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activeX/activeX1.xml" ContentType="application/vnd.ms-office.activeX+xml"/>
  <Override PartName="/xl/activeX/activeX1.bin" ContentType="application/vnd.ms-office.activeX"/>
  <Override PartName="/xl/drawings/drawing3.xml" ContentType="application/vnd.openxmlformats-officedocument.drawing+xml"/>
  <Override PartName="/xl/drawings/drawing4.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Override PartName="/xl/charts/chart3.xml" ContentType="application/vnd.openxmlformats-officedocument.drawingml.chart+xml"/>
  <Override PartName="/xl/drawings/drawing5.xml" ContentType="application/vnd.openxmlformats-officedocument.drawing+xml"/>
  <Override PartName="/xl/activeX/activeX2.xml" ContentType="application/vnd.ms-office.activeX+xml"/>
  <Override PartName="/xl/activeX/activeX2.bin" ContentType="application/vnd.ms-office.activeX"/>
  <Override PartName="/xl/activeX/activeX3.xml" ContentType="application/vnd.ms-office.activeX+xml"/>
  <Override PartName="/xl/activeX/activeX3.bin" ContentType="application/vnd.ms-office.activeX"/>
  <Override PartName="/xl/activeX/activeX4.xml" ContentType="application/vnd.ms-office.activeX+xml"/>
  <Override PartName="/xl/activeX/activeX4.bin" ContentType="application/vnd.ms-office.activeX"/>
  <Override PartName="/xl/activeX/activeX5.xml" ContentType="application/vnd.ms-office.activeX+xml"/>
  <Override PartName="/xl/activeX/activeX5.bin" ContentType="application/vnd.ms-office.activeX"/>
  <Override PartName="/xl/activeX/activeX6.xml" ContentType="application/vnd.ms-office.activeX+xml"/>
  <Override PartName="/xl/activeX/activeX6.bin" ContentType="application/vnd.ms-office.activeX"/>
  <Override PartName="/xl/activeX/activeX7.xml" ContentType="application/vnd.ms-office.activeX+xml"/>
  <Override PartName="/xl/activeX/activeX7.bin" ContentType="application/vnd.ms-office.activeX"/>
  <Override PartName="/xl/activeX/activeX8.xml" ContentType="application/vnd.ms-office.activeX+xml"/>
  <Override PartName="/xl/activeX/activeX8.bin" ContentType="application/vnd.ms-office.activeX"/>
  <Override PartName="/xl/activeX/activeX9.xml" ContentType="application/vnd.ms-office.activeX+xml"/>
  <Override PartName="/xl/activeX/activeX9.bin" ContentType="application/vnd.ms-office.activeX"/>
  <Override PartName="/xl/activeX/activeX10.xml" ContentType="application/vnd.ms-office.activeX+xml"/>
  <Override PartName="/xl/activeX/activeX10.bin" ContentType="application/vnd.ms-office.activeX"/>
  <Override PartName="/xl/activeX/activeX11.xml" ContentType="application/vnd.ms-office.activeX+xml"/>
  <Override PartName="/xl/activeX/activeX11.bin" ContentType="application/vnd.ms-office.activeX"/>
  <Override PartName="/xl/activeX/activeX12.xml" ContentType="application/vnd.ms-office.activeX+xml"/>
  <Override PartName="/xl/activeX/activeX12.bin" ContentType="application/vnd.ms-office.activeX"/>
  <Override PartName="/xl/activeX/activeX13.xml" ContentType="application/vnd.ms-office.activeX+xml"/>
  <Override PartName="/xl/activeX/activeX13.bin" ContentType="application/vnd.ms-office.activeX"/>
  <Override PartName="/xl/activeX/activeX14.xml" ContentType="application/vnd.ms-office.activeX+xml"/>
  <Override PartName="/xl/activeX/activeX14.bin" ContentType="application/vnd.ms-office.activeX"/>
  <Override PartName="/xl/activeX/activeX15.xml" ContentType="application/vnd.ms-office.activeX+xml"/>
  <Override PartName="/xl/activeX/activeX15.bin" ContentType="application/vnd.ms-office.activeX"/>
  <Override PartName="/xl/activeX/activeX16.xml" ContentType="application/vnd.ms-office.activeX+xml"/>
  <Override PartName="/xl/activeX/activeX16.bin" ContentType="application/vnd.ms-office.activeX"/>
  <Override PartName="/xl/activeX/activeX17.xml" ContentType="application/vnd.ms-office.activeX+xml"/>
  <Override PartName="/xl/activeX/activeX17.bin" ContentType="application/vnd.ms-office.activeX"/>
  <Override PartName="/xl/activeX/activeX18.xml" ContentType="application/vnd.ms-office.activeX+xml"/>
  <Override PartName="/xl/activeX/activeX18.bin" ContentType="application/vnd.ms-office.activeX"/>
  <Override PartName="/xl/activeX/activeX19.xml" ContentType="application/vnd.ms-office.activeX+xml"/>
  <Override PartName="/xl/activeX/activeX19.bin" ContentType="application/vnd.ms-office.activeX"/>
  <Override PartName="/xl/activeX/activeX20.xml" ContentType="application/vnd.ms-office.activeX+xml"/>
  <Override PartName="/xl/activeX/activeX20.bin" ContentType="application/vnd.ms-office.activeX"/>
  <Override PartName="/xl/activeX/activeX21.xml" ContentType="application/vnd.ms-office.activeX+xml"/>
  <Override PartName="/xl/activeX/activeX21.bin" ContentType="application/vnd.ms-office.activeX"/>
  <Override PartName="/xl/activeX/activeX22.xml" ContentType="application/vnd.ms-office.activeX+xml"/>
  <Override PartName="/xl/activeX/activeX22.bin" ContentType="application/vnd.ms-office.activeX"/>
  <Override PartName="/xl/pivotTables/pivotTable1.xml" ContentType="application/vnd.openxmlformats-officedocument.spreadsheetml.pivotTable+xml"/>
  <Override PartName="/xl/drawings/drawing6.xml" ContentType="application/vnd.openxmlformats-officedocument.drawing+xml"/>
  <Override PartName="/xl/charts/chart4.xml" ContentType="application/vnd.openxmlformats-officedocument.drawingml.chart+xml"/>
  <Override PartName="/xl/drawings/drawing7.xml" ContentType="application/vnd.openxmlformats-officedocument.drawing+xml"/>
  <Override PartName="/xl/activeX/activeX23.xml" ContentType="application/vnd.ms-office.activeX+xml"/>
  <Override PartName="/xl/activeX/activeX23.bin" ContentType="application/vnd.ms-office.activeX"/>
  <Override PartName="/xl/drawings/drawing8.xml" ContentType="application/vnd.openxmlformats-officedocument.drawing+xml"/>
  <Override PartName="/xl/activeX/activeX24.xml" ContentType="application/vnd.ms-office.activeX+xml"/>
  <Override PartName="/xl/activeX/activeX24.bin" ContentType="application/vnd.ms-office.activeX"/>
  <Override PartName="/xl/charts/chart5.xml" ContentType="application/vnd.openxmlformats-officedocument.drawingml.chart+xml"/>
  <Override PartName="/xl/charts/chart6.xml" ContentType="application/vnd.openxmlformats-officedocument.drawingml.chart+xml"/>
  <Override PartName="/xl/charts/chart7.xml" ContentType="application/vnd.openxmlformats-officedocument.drawingml.chart+xml"/>
  <Override PartName="/xl/drawings/drawing9.xml" ContentType="application/vnd.openxmlformats-officedocument.drawing+xml"/>
  <Override PartName="/xl/activeX/activeX25.xml" ContentType="application/vnd.ms-office.activeX+xml"/>
  <Override PartName="/xl/activeX/activeX25.bin" ContentType="application/vnd.ms-office.activeX"/>
  <Override PartName="/xl/charts/chart8.xml" ContentType="application/vnd.openxmlformats-officedocument.drawingml.chart+xml"/>
  <Override PartName="/xl/charts/chart9.xml" ContentType="application/vnd.openxmlformats-officedocument.drawingml.chart+xml"/>
  <Override PartName="/xl/charts/chart10.xml" ContentType="application/vnd.openxmlformats-officedocument.drawingml.chart+xml"/>
  <Override PartName="/xl/charts/chart11.xml" ContentType="application/vnd.openxmlformats-officedocument.drawingml.chart+xml"/>
  <Override PartName="/xl/charts/chart12.xml" ContentType="application/vnd.openxmlformats-officedocument.drawingml.chart+xml"/>
  <Override PartName="/xl/charts/chart13.xml" ContentType="application/vnd.openxmlformats-officedocument.drawingml.chart+xml"/>
  <Override PartName="/xl/charts/chart14.xml" ContentType="application/vnd.openxmlformats-officedocument.drawingml.chart+xml"/>
  <Override PartName="/xl/charts/chart15.xml" ContentType="application/vnd.openxmlformats-officedocument.drawingml.chart+xml"/>
  <Override PartName="/xl/charts/chart16.xml" ContentType="application/vnd.openxmlformats-officedocument.drawingml.chart+xml"/>
  <Override PartName="/xl/charts/chart17.xml" ContentType="application/vnd.openxmlformats-officedocument.drawingml.chart+xml"/>
  <Override PartName="/xl/charts/chart18.xml" ContentType="application/vnd.openxmlformats-officedocument.drawingml.chart+xml"/>
  <Override PartName="/xl/charts/chart19.xml" ContentType="application/vnd.openxmlformats-officedocument.drawingml.chart+xml"/>
  <Override PartName="/xl/charts/chart20.xml" ContentType="application/vnd.openxmlformats-officedocument.drawingml.chart+xml"/>
  <Override PartName="/xl/charts/chart21.xml" ContentType="application/vnd.openxmlformats-officedocument.drawingml.chart+xml"/>
  <Override PartName="/xl/charts/chart22.xml" ContentType="application/vnd.openxmlformats-officedocument.drawingml.chart+xml"/>
  <Override PartName="/xl/charts/chart23.xml" ContentType="application/vnd.openxmlformats-officedocument.drawingml.chart+xml"/>
  <Override PartName="/xl/charts/chart24.xml" ContentType="application/vnd.openxmlformats-officedocument.drawingml.chart+xml"/>
  <Override PartName="/xl/charts/chart25.xml" ContentType="application/vnd.openxmlformats-officedocument.drawingml.chart+xml"/>
  <Override PartName="/xl/charts/chart26.xml" ContentType="application/vnd.openxmlformats-officedocument.drawingml.chart+xml"/>
  <Override PartName="/xl/charts/chart27.xml" ContentType="application/vnd.openxmlformats-officedocument.drawingml.chart+xml"/>
  <Override PartName="/xl/charts/chart28.xml" ContentType="application/vnd.openxmlformats-officedocument.drawingml.chart+xml"/>
  <Override PartName="/xl/charts/chart29.xml" ContentType="application/vnd.openxmlformats-officedocument.drawingml.chart+xml"/>
  <Override PartName="/xl/charts/chart30.xml" ContentType="application/vnd.openxmlformats-officedocument.drawingml.chart+xml"/>
  <Override PartName="/xl/charts/chart31.xml" ContentType="application/vnd.openxmlformats-officedocument.drawingml.chart+xml"/>
  <Override PartName="/xl/charts/chart32.xml" ContentType="application/vnd.openxmlformats-officedocument.drawingml.chart+xml"/>
  <Override PartName="/xl/charts/chart33.xml" ContentType="application/vnd.openxmlformats-officedocument.drawingml.chart+xml"/>
  <Override PartName="/xl/charts/chart34.xml" ContentType="application/vnd.openxmlformats-officedocument.drawingml.chart+xml"/>
  <Override PartName="/xl/charts/chart35.xml" ContentType="application/vnd.openxmlformats-officedocument.drawingml.chart+xml"/>
  <Override PartName="/xl/charts/chart36.xml" ContentType="application/vnd.openxmlformats-officedocument.drawingml.chart+xml"/>
  <Override PartName="/xl/charts/chart37.xml" ContentType="application/vnd.openxmlformats-officedocument.drawingml.chart+xml"/>
  <Override PartName="/xl/charts/chart38.xml" ContentType="application/vnd.openxmlformats-officedocument.drawingml.chart+xml"/>
  <Override PartName="/xl/charts/chart39.xml" ContentType="application/vnd.openxmlformats-officedocument.drawingml.chart+xml"/>
  <Override PartName="/xl/charts/chart40.xml" ContentType="application/vnd.openxmlformats-officedocument.drawingml.chart+xml"/>
  <Override PartName="/xl/charts/chart41.xml" ContentType="application/vnd.openxmlformats-officedocument.drawingml.chart+xml"/>
  <Override PartName="/xl/charts/chart42.xml" ContentType="application/vnd.openxmlformats-officedocument.drawingml.chart+xml"/>
  <Override PartName="/xl/charts/chart43.xml" ContentType="application/vnd.openxmlformats-officedocument.drawingml.chart+xml"/>
  <Override PartName="/xl/charts/chart44.xml" ContentType="application/vnd.openxmlformats-officedocument.drawingml.chart+xml"/>
  <Override PartName="/xl/charts/chart45.xml" ContentType="application/vnd.openxmlformats-officedocument.drawingml.chart+xml"/>
  <Override PartName="/xl/charts/chart46.xml" ContentType="application/vnd.openxmlformats-officedocument.drawingml.chart+xml"/>
  <Override PartName="/xl/charts/chart47.xml" ContentType="application/vnd.openxmlformats-officedocument.drawingml.chart+xml"/>
  <Override PartName="/xl/charts/chart48.xml" ContentType="application/vnd.openxmlformats-officedocument.drawingml.chart+xml"/>
  <Override PartName="/xl/charts/chart49.xml" ContentType="application/vnd.openxmlformats-officedocument.drawingml.chart+xml"/>
  <Override PartName="/xl/charts/chart50.xml" ContentType="application/vnd.openxmlformats-officedocument.drawingml.chart+xml"/>
  <Override PartName="/xl/charts/chart51.xml" ContentType="application/vnd.openxmlformats-officedocument.drawingml.chart+xml"/>
  <Override PartName="/xl/charts/chart52.xml" ContentType="application/vnd.openxmlformats-officedocument.drawingml.chart+xml"/>
  <Override PartName="/xl/charts/chart53.xml" ContentType="application/vnd.openxmlformats-officedocument.drawingml.chart+xml"/>
  <Override PartName="/xl/charts/chart54.xml" ContentType="application/vnd.openxmlformats-officedocument.drawingml.chart+xml"/>
  <Override PartName="/xl/charts/chart55.xml" ContentType="application/vnd.openxmlformats-officedocument.drawingml.chart+xml"/>
  <Override PartName="/xl/charts/chart56.xml" ContentType="application/vnd.openxmlformats-officedocument.drawingml.chart+xml"/>
  <Override PartName="/xl/charts/chart57.xml" ContentType="application/vnd.openxmlformats-officedocument.drawingml.chart+xml"/>
  <Override PartName="/xl/charts/chart58.xml" ContentType="application/vnd.openxmlformats-officedocument.drawingml.chart+xml"/>
  <Override PartName="/xl/charts/chart59.xml" ContentType="application/vnd.openxmlformats-officedocument.drawingml.chart+xml"/>
  <Override PartName="/xl/charts/chart60.xml" ContentType="application/vnd.openxmlformats-officedocument.drawingml.chart+xml"/>
  <Override PartName="/xl/charts/chart61.xml" ContentType="application/vnd.openxmlformats-officedocument.drawingml.chart+xml"/>
  <Override PartName="/xl/drawings/drawing10.xml" ContentType="application/vnd.openxmlformats-officedocument.drawing+xml"/>
  <Override PartName="/xl/activeX/activeX26.xml" ContentType="application/vnd.ms-office.activeX+xml"/>
  <Override PartName="/xl/activeX/activeX26.bin" ContentType="application/vnd.ms-office.activeX"/>
  <Override PartName="/xl/comments1.xml" ContentType="application/vnd.openxmlformats-officedocument.spreadsheetml.comments+xml"/>
  <Override PartName="/xl/threadedComments/threadedComment1.xml" ContentType="application/vnd.ms-excel.threadedcomments+xml"/>
  <Override PartName="/xl/drawings/drawing11.xml" ContentType="application/vnd.openxmlformats-officedocument.drawing+xml"/>
  <Override PartName="/xl/activeX/activeX27.xml" ContentType="application/vnd.ms-office.activeX+xml"/>
  <Override PartName="/xl/activeX/activeX27.bin" ContentType="application/vnd.ms-office.activeX"/>
  <Override PartName="/xl/drawings/drawing12.xml" ContentType="application/vnd.openxmlformats-officedocument.drawing+xml"/>
  <Override PartName="/xl/activeX/activeX28.xml" ContentType="application/vnd.ms-office.activeX+xml"/>
  <Override PartName="/xl/activeX/activeX28.bin" ContentType="application/vnd.ms-office.activeX"/>
  <Override PartName="/xl/drawings/drawing13.xml" ContentType="application/vnd.openxmlformats-officedocument.drawing+xml"/>
  <Override PartName="/xl/activeX/activeX29.xml" ContentType="application/vnd.ms-office.activeX+xml"/>
  <Override PartName="/xl/activeX/activeX29.bin" ContentType="application/vnd.ms-office.activeX"/>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activeX/activeX30.xml" ContentType="application/vnd.ms-office.activeX+xml"/>
  <Override PartName="/xl/activeX/activeX30.bin" ContentType="application/vnd.ms-office.activeX"/>
  <Override PartName="/xl/drawings/drawing18.xml" ContentType="application/vnd.openxmlformats-officedocument.drawing+xml"/>
  <Override PartName="/xl/activeX/activeX31.xml" ContentType="application/vnd.ms-office.activeX+xml"/>
  <Override PartName="/xl/activeX/activeX31.bin" ContentType="application/vnd.ms-office.activeX"/>
  <Override PartName="/xl/drawings/drawing19.xml" ContentType="application/vnd.openxmlformats-officedocument.drawing+xml"/>
  <Override PartName="/xl/activeX/activeX32.xml" ContentType="application/vnd.ms-office.activeX+xml"/>
  <Override PartName="/xl/activeX/activeX32.bin" ContentType="application/vnd.ms-office.activeX"/>
  <Override PartName="/xl/drawings/drawing20.xml" ContentType="application/vnd.openxmlformats-officedocument.drawing+xml"/>
  <Override PartName="/xl/activeX/activeX33.xml" ContentType="application/vnd.ms-office.activeX+xml"/>
  <Override PartName="/xl/activeX/activeX33.bin" ContentType="application/vnd.ms-office.activeX"/>
  <Override PartName="/xl/drawings/drawing21.xml" ContentType="application/vnd.openxmlformats-officedocument.drawing+xml"/>
  <Override PartName="/xl/activeX/activeX34.xml" ContentType="application/vnd.ms-office.activeX+xml"/>
  <Override PartName="/xl/activeX/activeX34.bin" ContentType="application/vnd.ms-office.activeX"/>
  <Override PartName="/xl/drawings/drawing22.xml" ContentType="application/vnd.openxmlformats-officedocument.drawing+xml"/>
  <Override PartName="/xl/activeX/activeX35.xml" ContentType="application/vnd.ms-office.activeX+xml"/>
  <Override PartName="/xl/activeX/activeX35.bin" ContentType="application/vnd.ms-office.activeX"/>
  <Override PartName="/xl/drawings/drawing23.xml" ContentType="application/vnd.openxmlformats-officedocument.drawing+xml"/>
  <Override PartName="/xl/activeX/activeX36.xml" ContentType="application/vnd.ms-office.activeX+xml"/>
  <Override PartName="/xl/activeX/activeX36.bin" ContentType="application/vnd.ms-office.activeX"/>
  <Override PartName="/xl/drawings/drawing24.xml" ContentType="application/vnd.openxmlformats-officedocument.drawing+xml"/>
  <Override PartName="/xl/activeX/activeX37.xml" ContentType="application/vnd.ms-office.activeX+xml"/>
  <Override PartName="/xl/activeX/activeX37.bin" ContentType="application/vnd.ms-office.activeX"/>
  <Override PartName="/xl/activeX/activeX38.xml" ContentType="application/vnd.ms-office.activeX+xml"/>
  <Override PartName="/xl/activeX/activeX38.bin" ContentType="application/vnd.ms-office.activeX"/>
  <Override PartName="/xl/drawings/drawing25.xml" ContentType="application/vnd.openxmlformats-officedocument.drawing+xml"/>
  <Override PartName="/xl/activeX/activeX39.xml" ContentType="application/vnd.ms-office.activeX+xml"/>
  <Override PartName="/xl/activeX/activeX39.bin" ContentType="application/vnd.ms-office.activeX"/>
  <Override PartName="/xl/activeX/activeX40.xml" ContentType="application/vnd.ms-office.activeX+xml"/>
  <Override PartName="/xl/activeX/activeX40.bin" ContentType="application/vnd.ms-office.activeX"/>
  <Override PartName="/xl/drawings/drawing26.xml" ContentType="application/vnd.openxmlformats-officedocument.drawing+xml"/>
  <Override PartName="/xl/activeX/activeX41.xml" ContentType="application/vnd.ms-office.activeX+xml"/>
  <Override PartName="/xl/activeX/activeX41.bin" ContentType="application/vnd.ms-office.activeX"/>
  <Override PartName="/xl/activeX/activeX42.xml" ContentType="application/vnd.ms-office.activeX+xml"/>
  <Override PartName="/xl/activeX/activeX42.bin" ContentType="application/vnd.ms-office.activeX"/>
  <Override PartName="/xl/drawings/drawing27.xml" ContentType="application/vnd.openxmlformats-officedocument.drawing+xml"/>
  <Override PartName="/xl/activeX/activeX43.xml" ContentType="application/vnd.ms-office.activeX+xml"/>
  <Override PartName="/xl/activeX/activeX43.bin" ContentType="application/vnd.ms-office.activeX"/>
  <Override PartName="/xl/activeX/activeX44.xml" ContentType="application/vnd.ms-office.activeX+xml"/>
  <Override PartName="/xl/activeX/activeX44.bin" ContentType="application/vnd.ms-office.activeX"/>
  <Override PartName="/xl/drawings/drawing28.xml" ContentType="application/vnd.openxmlformats-officedocument.drawing+xml"/>
  <Override PartName="/xl/activeX/activeX45.xml" ContentType="application/vnd.ms-office.activeX+xml"/>
  <Override PartName="/xl/activeX/activeX45.bin" ContentType="application/vnd.ms-office.activeX"/>
  <Override PartName="/xl/activeX/activeX46.xml" ContentType="application/vnd.ms-office.activeX+xml"/>
  <Override PartName="/xl/activeX/activeX46.bin" ContentType="application/vnd.ms-office.activeX"/>
  <Override PartName="/xl/charts/chart62.xml" ContentType="application/vnd.openxmlformats-officedocument.drawingml.chart+xml"/>
  <Override PartName="/xl/charts/chart63.xml" ContentType="application/vnd.openxmlformats-officedocument.drawingml.chart+xml"/>
  <Override PartName="/xl/charts/chart64.xml" ContentType="application/vnd.openxmlformats-officedocument.drawingml.chart+xml"/>
  <Override PartName="/xl/charts/chart65.xml" ContentType="application/vnd.openxmlformats-officedocument.drawingml.chart+xml"/>
  <Override PartName="/xl/charts/chart66.xml" ContentType="application/vnd.openxmlformats-officedocument.drawingml.chart+xml"/>
  <Override PartName="/xl/charts/chart67.xml" ContentType="application/vnd.openxmlformats-officedocument.drawingml.chart+xml"/>
  <Override PartName="/xl/charts/chart68.xml" ContentType="application/vnd.openxmlformats-officedocument.drawingml.chart+xml"/>
  <Override PartName="/xl/charts/chart69.xml" ContentType="application/vnd.openxmlformats-officedocument.drawingml.chart+xml"/>
  <Override PartName="/xl/charts/chart70.xml" ContentType="application/vnd.openxmlformats-officedocument.drawingml.chart+xml"/>
  <Override PartName="/xl/charts/chart71.xml" ContentType="application/vnd.openxmlformats-officedocument.drawingml.chart+xml"/>
  <Override PartName="/xl/charts/chart72.xml" ContentType="application/vnd.openxmlformats-officedocument.drawingml.chart+xml"/>
  <Override PartName="/xl/charts/chart73.xml" ContentType="application/vnd.openxmlformats-officedocument.drawingml.chart+xml"/>
  <Override PartName="/xl/charts/chart74.xml" ContentType="application/vnd.openxmlformats-officedocument.drawingml.chart+xml"/>
  <Override PartName="/xl/charts/chart75.xml" ContentType="application/vnd.openxmlformats-officedocument.drawingml.chart+xml"/>
  <Override PartName="/xl/charts/chart76.xml" ContentType="application/vnd.openxmlformats-officedocument.drawingml.chart+xml"/>
  <Override PartName="/xl/charts/chart77.xml" ContentType="application/vnd.openxmlformats-officedocument.drawingml.chart+xml"/>
  <Override PartName="/xl/charts/chart78.xml" ContentType="application/vnd.openxmlformats-officedocument.drawingml.chart+xml"/>
  <Override PartName="/xl/charts/chart79.xml" ContentType="application/vnd.openxmlformats-officedocument.drawingml.chart+xml"/>
  <Override PartName="/xl/charts/chart80.xml" ContentType="application/vnd.openxmlformats-officedocument.drawingml.chart+xml"/>
  <Override PartName="/xl/charts/chart81.xml" ContentType="application/vnd.openxmlformats-officedocument.drawingml.chart+xml"/>
  <Override PartName="/xl/charts/chart82.xml" ContentType="application/vnd.openxmlformats-officedocument.drawingml.chart+xml"/>
  <Override PartName="/xl/charts/chart83.xml" ContentType="application/vnd.openxmlformats-officedocument.drawingml.chart+xml"/>
  <Override PartName="/xl/charts/chart84.xml" ContentType="application/vnd.openxmlformats-officedocument.drawingml.chart+xml"/>
  <Override PartName="/xl/charts/chart85.xml" ContentType="application/vnd.openxmlformats-officedocument.drawingml.chart+xml"/>
  <Override PartName="/xl/charts/chart86.xml" ContentType="application/vnd.openxmlformats-officedocument.drawingml.chart+xml"/>
  <Override PartName="/xl/charts/chart87.xml" ContentType="application/vnd.openxmlformats-officedocument.drawingml.chart+xml"/>
  <Override PartName="/xl/charts/chart88.xml" ContentType="application/vnd.openxmlformats-officedocument.drawingml.chart+xml"/>
  <Override PartName="/xl/charts/chart89.xml" ContentType="application/vnd.openxmlformats-officedocument.drawingml.chart+xml"/>
  <Override PartName="/xl/charts/chart90.xml" ContentType="application/vnd.openxmlformats-officedocument.drawingml.chart+xml"/>
  <Override PartName="/xl/charts/chart91.xml" ContentType="application/vnd.openxmlformats-officedocument.drawingml.chart+xml"/>
  <Override PartName="/xl/charts/chart92.xml" ContentType="application/vnd.openxmlformats-officedocument.drawingml.chart+xml"/>
  <Override PartName="/xl/charts/chart93.xml" ContentType="application/vnd.openxmlformats-officedocument.drawingml.chart+xml"/>
  <Override PartName="/xl/charts/chart94.xml" ContentType="application/vnd.openxmlformats-officedocument.drawingml.chart+xml"/>
  <Override PartName="/xl/charts/chart95.xml" ContentType="application/vnd.openxmlformats-officedocument.drawingml.chart+xml"/>
  <Override PartName="/xl/charts/chart96.xml" ContentType="application/vnd.openxmlformats-officedocument.drawingml.chart+xml"/>
  <Override PartName="/xl/charts/chart97.xml" ContentType="application/vnd.openxmlformats-officedocument.drawingml.chart+xml"/>
  <Override PartName="/xl/charts/chart98.xml" ContentType="application/vnd.openxmlformats-officedocument.drawingml.chart+xml"/>
  <Override PartName="/xl/charts/chart99.xml" ContentType="application/vnd.openxmlformats-officedocument.drawingml.chart+xml"/>
  <Override PartName="/xl/charts/chart100.xml" ContentType="application/vnd.openxmlformats-officedocument.drawingml.chart+xml"/>
  <Override PartName="/xl/charts/chart101.xml" ContentType="application/vnd.openxmlformats-officedocument.drawingml.chart+xml"/>
  <Override PartName="/xl/drawings/drawing29.xml" ContentType="application/vnd.openxmlformats-officedocument.drawing+xml"/>
  <Override PartName="/xl/activeX/activeX47.xml" ContentType="application/vnd.ms-office.activeX+xml"/>
  <Override PartName="/xl/activeX/activeX47.bin" ContentType="application/vnd.ms-office.activeX"/>
  <Override PartName="/xl/activeX/activeX48.xml" ContentType="application/vnd.ms-office.activeX+xml"/>
  <Override PartName="/xl/activeX/activeX48.bin" ContentType="application/vnd.ms-office.activeX"/>
  <Override PartName="/xl/charts/chart102.xml" ContentType="application/vnd.openxmlformats-officedocument.drawingml.chart+xml"/>
  <Override PartName="/xl/charts/chart103.xml" ContentType="application/vnd.openxmlformats-officedocument.drawingml.chart+xml"/>
  <Override PartName="/xl/charts/chart104.xml" ContentType="application/vnd.openxmlformats-officedocument.drawingml.chart+xml"/>
  <Override PartName="/xl/charts/chart105.xml" ContentType="application/vnd.openxmlformats-officedocument.drawingml.chart+xml"/>
  <Override PartName="/xl/charts/chart106.xml" ContentType="application/vnd.openxmlformats-officedocument.drawingml.chart+xml"/>
  <Override PartName="/xl/charts/chart107.xml" ContentType="application/vnd.openxmlformats-officedocument.drawingml.chart+xml"/>
  <Override PartName="/xl/charts/chart108.xml" ContentType="application/vnd.openxmlformats-officedocument.drawingml.chart+xml"/>
  <Override PartName="/xl/charts/chart109.xml" ContentType="application/vnd.openxmlformats-officedocument.drawingml.chart+xml"/>
  <Override PartName="/xl/charts/chart110.xml" ContentType="application/vnd.openxmlformats-officedocument.drawingml.chart+xml"/>
  <Override PartName="/xl/charts/chart111.xml" ContentType="application/vnd.openxmlformats-officedocument.drawingml.chart+xml"/>
  <Override PartName="/xl/charts/chart112.xml" ContentType="application/vnd.openxmlformats-officedocument.drawingml.chart+xml"/>
  <Override PartName="/xl/charts/chart113.xml" ContentType="application/vnd.openxmlformats-officedocument.drawingml.chart+xml"/>
  <Override PartName="/xl/charts/chart114.xml" ContentType="application/vnd.openxmlformats-officedocument.drawingml.chart+xml"/>
  <Override PartName="/xl/charts/chart115.xml" ContentType="application/vnd.openxmlformats-officedocument.drawingml.chart+xml"/>
  <Override PartName="/xl/charts/chart116.xml" ContentType="application/vnd.openxmlformats-officedocument.drawingml.chart+xml"/>
  <Override PartName="/xl/charts/chart117.xml" ContentType="application/vnd.openxmlformats-officedocument.drawingml.chart+xml"/>
  <Override PartName="/xl/charts/chart118.xml" ContentType="application/vnd.openxmlformats-officedocument.drawingml.chart+xml"/>
  <Override PartName="/xl/charts/chart119.xml" ContentType="application/vnd.openxmlformats-officedocument.drawingml.chart+xml"/>
  <Override PartName="/xl/charts/chart120.xml" ContentType="application/vnd.openxmlformats-officedocument.drawingml.chart+xml"/>
  <Override PartName="/xl/charts/chart121.xml" ContentType="application/vnd.openxmlformats-officedocument.drawingml.chart+xml"/>
  <Override PartName="/xl/charts/chart122.xml" ContentType="application/vnd.openxmlformats-officedocument.drawingml.chart+xml"/>
  <Override PartName="/xl/charts/chart123.xml" ContentType="application/vnd.openxmlformats-officedocument.drawingml.chart+xml"/>
  <Override PartName="/xl/charts/chart124.xml" ContentType="application/vnd.openxmlformats-officedocument.drawingml.chart+xml"/>
  <Override PartName="/xl/charts/chart125.xml" ContentType="application/vnd.openxmlformats-officedocument.drawingml.chart+xml"/>
  <Override PartName="/xl/charts/chart126.xml" ContentType="application/vnd.openxmlformats-officedocument.drawingml.chart+xml"/>
  <Override PartName="/xl/charts/chart127.xml" ContentType="application/vnd.openxmlformats-officedocument.drawingml.chart+xml"/>
  <Override PartName="/xl/charts/chart128.xml" ContentType="application/vnd.openxmlformats-officedocument.drawingml.chart+xml"/>
  <Override PartName="/xl/charts/chart129.xml" ContentType="application/vnd.openxmlformats-officedocument.drawingml.chart+xml"/>
  <Override PartName="/xl/charts/chart130.xml" ContentType="application/vnd.openxmlformats-officedocument.drawingml.chart+xml"/>
  <Override PartName="/xl/charts/chart131.xml" ContentType="application/vnd.openxmlformats-officedocument.drawingml.chart+xml"/>
  <Override PartName="/xl/charts/chart132.xml" ContentType="application/vnd.openxmlformats-officedocument.drawingml.chart+xml"/>
  <Override PartName="/xl/charts/chart133.xml" ContentType="application/vnd.openxmlformats-officedocument.drawingml.chart+xml"/>
  <Override PartName="/xl/charts/chart134.xml" ContentType="application/vnd.openxmlformats-officedocument.drawingml.chart+xml"/>
  <Override PartName="/xl/charts/chart135.xml" ContentType="application/vnd.openxmlformats-officedocument.drawingml.chart+xml"/>
  <Override PartName="/xl/charts/chart136.xml" ContentType="application/vnd.openxmlformats-officedocument.drawingml.chart+xml"/>
  <Override PartName="/xl/charts/chart137.xml" ContentType="application/vnd.openxmlformats-officedocument.drawingml.chart+xml"/>
  <Override PartName="/xl/charts/chart138.xml" ContentType="application/vnd.openxmlformats-officedocument.drawingml.chart+xml"/>
  <Override PartName="/xl/charts/chart139.xml" ContentType="application/vnd.openxmlformats-officedocument.drawingml.chart+xml"/>
  <Override PartName="/xl/charts/chart140.xml" ContentType="application/vnd.openxmlformats-officedocument.drawingml.chart+xml"/>
  <Override PartName="/xl/charts/chart141.xml" ContentType="application/vnd.openxmlformats-officedocument.drawingml.chart+xml"/>
  <Override PartName="/xl/drawings/drawing30.xml" ContentType="application/vnd.openxmlformats-officedocument.drawing+xml"/>
  <Override PartName="/xl/activeX/activeX49.xml" ContentType="application/vnd.ms-office.activeX+xml"/>
  <Override PartName="/xl/activeX/activeX49.bin" ContentType="application/vnd.ms-office.activeX"/>
  <Override PartName="/xl/activeX/activeX50.xml" ContentType="application/vnd.ms-office.activeX+xml"/>
  <Override PartName="/xl/activeX/activeX50.bin" ContentType="application/vnd.ms-office.activeX"/>
  <Override PartName="/xl/charts/chart142.xml" ContentType="application/vnd.openxmlformats-officedocument.drawingml.chart+xml"/>
  <Override PartName="/xl/charts/chart143.xml" ContentType="application/vnd.openxmlformats-officedocument.drawingml.chart+xml"/>
  <Override PartName="/xl/charts/chart144.xml" ContentType="application/vnd.openxmlformats-officedocument.drawingml.chart+xml"/>
  <Override PartName="/xl/charts/chart145.xml" ContentType="application/vnd.openxmlformats-officedocument.drawingml.chart+xml"/>
  <Override PartName="/xl/charts/chart146.xml" ContentType="application/vnd.openxmlformats-officedocument.drawingml.chart+xml"/>
  <Override PartName="/xl/charts/chart147.xml" ContentType="application/vnd.openxmlformats-officedocument.drawingml.chart+xml"/>
  <Override PartName="/xl/charts/chart148.xml" ContentType="application/vnd.openxmlformats-officedocument.drawingml.chart+xml"/>
  <Override PartName="/xl/charts/chart149.xml" ContentType="application/vnd.openxmlformats-officedocument.drawingml.chart+xml"/>
  <Override PartName="/xl/charts/chart150.xml" ContentType="application/vnd.openxmlformats-officedocument.drawingml.chart+xml"/>
  <Override PartName="/xl/charts/chart151.xml" ContentType="application/vnd.openxmlformats-officedocument.drawingml.chart+xml"/>
  <Override PartName="/xl/charts/chart152.xml" ContentType="application/vnd.openxmlformats-officedocument.drawingml.chart+xml"/>
  <Override PartName="/xl/charts/chart153.xml" ContentType="application/vnd.openxmlformats-officedocument.drawingml.chart+xml"/>
  <Override PartName="/xl/charts/chart154.xml" ContentType="application/vnd.openxmlformats-officedocument.drawingml.chart+xml"/>
  <Override PartName="/xl/charts/chart155.xml" ContentType="application/vnd.openxmlformats-officedocument.drawingml.chart+xml"/>
  <Override PartName="/xl/charts/chart156.xml" ContentType="application/vnd.openxmlformats-officedocument.drawingml.chart+xml"/>
  <Override PartName="/xl/charts/chart157.xml" ContentType="application/vnd.openxmlformats-officedocument.drawingml.chart+xml"/>
  <Override PartName="/xl/charts/chart158.xml" ContentType="application/vnd.openxmlformats-officedocument.drawingml.chart+xml"/>
  <Override PartName="/xl/charts/chart159.xml" ContentType="application/vnd.openxmlformats-officedocument.drawingml.chart+xml"/>
  <Override PartName="/xl/charts/chart160.xml" ContentType="application/vnd.openxmlformats-officedocument.drawingml.chart+xml"/>
  <Override PartName="/xl/charts/chart161.xml" ContentType="application/vnd.openxmlformats-officedocument.drawingml.chart+xml"/>
  <Override PartName="/xl/charts/chart162.xml" ContentType="application/vnd.openxmlformats-officedocument.drawingml.chart+xml"/>
  <Override PartName="/xl/charts/chart163.xml" ContentType="application/vnd.openxmlformats-officedocument.drawingml.chart+xml"/>
  <Override PartName="/xl/charts/chart164.xml" ContentType="application/vnd.openxmlformats-officedocument.drawingml.chart+xml"/>
  <Override PartName="/xl/charts/chart165.xml" ContentType="application/vnd.openxmlformats-officedocument.drawingml.chart+xml"/>
  <Override PartName="/xl/charts/chart166.xml" ContentType="application/vnd.openxmlformats-officedocument.drawingml.chart+xml"/>
  <Override PartName="/xl/charts/chart167.xml" ContentType="application/vnd.openxmlformats-officedocument.drawingml.chart+xml"/>
  <Override PartName="/xl/charts/chart168.xml" ContentType="application/vnd.openxmlformats-officedocument.drawingml.chart+xml"/>
  <Override PartName="/xl/charts/chart169.xml" ContentType="application/vnd.openxmlformats-officedocument.drawingml.chart+xml"/>
  <Override PartName="/xl/charts/chart170.xml" ContentType="application/vnd.openxmlformats-officedocument.drawingml.chart+xml"/>
  <Override PartName="/xl/charts/chart171.xml" ContentType="application/vnd.openxmlformats-officedocument.drawingml.chart+xml"/>
  <Override PartName="/xl/charts/chart172.xml" ContentType="application/vnd.openxmlformats-officedocument.drawingml.chart+xml"/>
  <Override PartName="/xl/charts/chart173.xml" ContentType="application/vnd.openxmlformats-officedocument.drawingml.chart+xml"/>
  <Override PartName="/xl/charts/chart174.xml" ContentType="application/vnd.openxmlformats-officedocument.drawingml.chart+xml"/>
  <Override PartName="/xl/charts/chart175.xml" ContentType="application/vnd.openxmlformats-officedocument.drawingml.chart+xml"/>
  <Override PartName="/xl/charts/chart176.xml" ContentType="application/vnd.openxmlformats-officedocument.drawingml.chart+xml"/>
  <Override PartName="/xl/charts/chart177.xml" ContentType="application/vnd.openxmlformats-officedocument.drawingml.chart+xml"/>
  <Override PartName="/xl/charts/chart178.xml" ContentType="application/vnd.openxmlformats-officedocument.drawingml.chart+xml"/>
  <Override PartName="/xl/charts/chart179.xml" ContentType="application/vnd.openxmlformats-officedocument.drawingml.chart+xml"/>
  <Override PartName="/xl/charts/chart180.xml" ContentType="application/vnd.openxmlformats-officedocument.drawingml.chart+xml"/>
  <Override PartName="/xl/charts/chart181.xml" ContentType="application/vnd.openxmlformats-officedocument.drawingml.chart+xml"/>
  <Override PartName="/xl/drawings/drawing31.xml" ContentType="application/vnd.openxmlformats-officedocument.drawing+xml"/>
  <Override PartName="/xl/activeX/activeX51.xml" ContentType="application/vnd.ms-office.activeX+xml"/>
  <Override PartName="/xl/activeX/activeX51.bin" ContentType="application/vnd.ms-office.activeX"/>
  <Override PartName="/xl/activeX/activeX52.xml" ContentType="application/vnd.ms-office.activeX+xml"/>
  <Override PartName="/xl/activeX/activeX52.bin" ContentType="application/vnd.ms-office.activeX"/>
  <Override PartName="/xl/charts/chart182.xml" ContentType="application/vnd.openxmlformats-officedocument.drawingml.chart+xml"/>
  <Override PartName="/xl/charts/chart183.xml" ContentType="application/vnd.openxmlformats-officedocument.drawingml.chart+xml"/>
  <Override PartName="/xl/charts/chart184.xml" ContentType="application/vnd.openxmlformats-officedocument.drawingml.chart+xml"/>
  <Override PartName="/xl/charts/chart185.xml" ContentType="application/vnd.openxmlformats-officedocument.drawingml.chart+xml"/>
  <Override PartName="/xl/charts/chart186.xml" ContentType="application/vnd.openxmlformats-officedocument.drawingml.chart+xml"/>
  <Override PartName="/xl/charts/chart187.xml" ContentType="application/vnd.openxmlformats-officedocument.drawingml.chart+xml"/>
  <Override PartName="/xl/charts/chart188.xml" ContentType="application/vnd.openxmlformats-officedocument.drawingml.chart+xml"/>
  <Override PartName="/xl/charts/chart189.xml" ContentType="application/vnd.openxmlformats-officedocument.drawingml.chart+xml"/>
  <Override PartName="/xl/charts/chart190.xml" ContentType="application/vnd.openxmlformats-officedocument.drawingml.chart+xml"/>
  <Override PartName="/xl/charts/chart191.xml" ContentType="application/vnd.openxmlformats-officedocument.drawingml.chart+xml"/>
  <Override PartName="/xl/charts/chart192.xml" ContentType="application/vnd.openxmlformats-officedocument.drawingml.chart+xml"/>
  <Override PartName="/xl/charts/chart193.xml" ContentType="application/vnd.openxmlformats-officedocument.drawingml.chart+xml"/>
  <Override PartName="/xl/charts/chart194.xml" ContentType="application/vnd.openxmlformats-officedocument.drawingml.chart+xml"/>
  <Override PartName="/xl/charts/chart195.xml" ContentType="application/vnd.openxmlformats-officedocument.drawingml.chart+xml"/>
  <Override PartName="/xl/charts/chart196.xml" ContentType="application/vnd.openxmlformats-officedocument.drawingml.chart+xml"/>
  <Override PartName="/xl/charts/chart197.xml" ContentType="application/vnd.openxmlformats-officedocument.drawingml.chart+xml"/>
  <Override PartName="/xl/charts/chart198.xml" ContentType="application/vnd.openxmlformats-officedocument.drawingml.chart+xml"/>
  <Override PartName="/xl/charts/chart199.xml" ContentType="application/vnd.openxmlformats-officedocument.drawingml.chart+xml"/>
  <Override PartName="/xl/charts/chart200.xml" ContentType="application/vnd.openxmlformats-officedocument.drawingml.chart+xml"/>
  <Override PartName="/xl/charts/chart201.xml" ContentType="application/vnd.openxmlformats-officedocument.drawingml.chart+xml"/>
  <Override PartName="/xl/drawings/drawing32.xml" ContentType="application/vnd.openxmlformats-officedocument.drawing+xml"/>
  <Override PartName="/xl/activeX/activeX53.xml" ContentType="application/vnd.ms-office.activeX+xml"/>
  <Override PartName="/xl/activeX/activeX53.bin" ContentType="application/vnd.ms-office.activeX"/>
  <Override PartName="/xl/charts/chart202.xml" ContentType="application/vnd.openxmlformats-officedocument.drawingml.chart+xml"/>
  <Override PartName="/xl/charts/chart203.xml" ContentType="application/vnd.openxmlformats-officedocument.drawingml.chart+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codeName="{28389E77-7640-9E18-AD5C-E98E2F4A8B83}"/>
  <workbookPr updateLinks="never" codeName="ThisWorkbook" hidePivotFieldList="1" defaultThemeVersion="166925"/>
  <mc:AlternateContent xmlns:mc="http://schemas.openxmlformats.org/markup-compatibility/2006">
    <mc:Choice Requires="x15">
      <x15ac:absPath xmlns:x15ac="http://schemas.microsoft.com/office/spreadsheetml/2010/11/ac" url="https://twkmun-my.sharepoint.com/personal/carishajo_twk_gov_za/Documents/Documents/0.Financial years/2026-2027/0. Budget/2. Final Budget/0000. Treasury/"/>
    </mc:Choice>
  </mc:AlternateContent>
  <xr:revisionPtr revIDLastSave="1" documentId="8_{B8650C55-61DC-4953-B2ED-47426561D770}" xr6:coauthVersionLast="47" xr6:coauthVersionMax="47" xr10:uidLastSave="{EAA2E6D0-829D-4BDD-93DA-69754DBE329C}"/>
  <bookViews>
    <workbookView xWindow="-96" yWindow="-96" windowWidth="23232" windowHeight="12432" tabRatio="857" firstSheet="9" activeTab="11" xr2:uid="{74203B0D-B3BD-4234-8C60-0F11CAAC63D4}"/>
  </bookViews>
  <sheets>
    <sheet name="Main menu" sheetId="20" r:id="rId1"/>
    <sheet name="User instructions" sheetId="21" r:id="rId2"/>
    <sheet name="PART A Guide " sheetId="78" r:id="rId3"/>
    <sheet name="Dd" sheetId="77" state="hidden" r:id="rId4"/>
    <sheet name="PART B Graphs" sheetId="79" state="hidden" r:id="rId5"/>
    <sheet name="PART C- Municipal Details" sheetId="69" r:id="rId6"/>
    <sheet name="1.Outcomes" sheetId="75" r:id="rId7"/>
    <sheet name="2.High Level Reconciliation" sheetId="73" state="hidden" r:id="rId8"/>
    <sheet name="3.Inc &amp; Exp per Function" sheetId="71" state="hidden" r:id="rId9"/>
    <sheet name="4.Inc &amp; Exp Summary" sheetId="72" r:id="rId10"/>
    <sheet name="5.Cons and detailed recon" sheetId="76" r:id="rId11"/>
    <sheet name="6.Summary" sheetId="74" r:id="rId12"/>
    <sheet name="Revenue" sheetId="4" r:id="rId13"/>
    <sheet name="Expenditure" sheetId="2" r:id="rId14"/>
    <sheet name="Revenue required" sheetId="48" r:id="rId15"/>
    <sheet name="Surplus" sheetId="47" r:id="rId16"/>
    <sheet name="1 Customer data" sheetId="45" r:id="rId17"/>
    <sheet name="1 Water" sheetId="12" r:id="rId18"/>
    <sheet name="1 Sanitation per Volume" sheetId="17" r:id="rId19"/>
    <sheet name="1 Sanitation per Units" sheetId="80" r:id="rId20"/>
    <sheet name="1 Sanitation per Valuation" sheetId="81" r:id="rId21"/>
    <sheet name="1 Sanitation per Erf Size" sheetId="82" r:id="rId22"/>
    <sheet name="1 Electricity" sheetId="18" r:id="rId23"/>
    <sheet name="1 Solid waste" sheetId="19" r:id="rId24"/>
    <sheet name="2 Customer data" sheetId="5" r:id="rId25"/>
    <sheet name="2 Water" sheetId="9" r:id="rId26"/>
    <sheet name="2 Sanitation" sheetId="13" r:id="rId27"/>
    <sheet name="2 Electricity" sheetId="23" r:id="rId28"/>
    <sheet name="2 Solid waste" sheetId="16" r:id="rId29"/>
    <sheet name="3 Water" sheetId="24" r:id="rId30"/>
    <sheet name="3 Sanitation" sheetId="30" r:id="rId31"/>
    <sheet name="3 Electricity" sheetId="28" r:id="rId32"/>
    <sheet name="3 Solid waste" sheetId="31" r:id="rId33"/>
    <sheet name="Water report" sheetId="51" r:id="rId34"/>
    <sheet name="Sanitation report" sheetId="52" r:id="rId35"/>
    <sheet name="Electricity report" sheetId="53" r:id="rId36"/>
    <sheet name="Solid waste report" sheetId="54" r:id="rId37"/>
    <sheet name="Affordability" sheetId="55" r:id="rId38"/>
    <sheet name="Engines" sheetId="60" r:id="rId39"/>
    <sheet name="W Summary" sheetId="61" r:id="rId40"/>
    <sheet name="S Summary" sheetId="65" r:id="rId41"/>
    <sheet name="E Summary" sheetId="66" r:id="rId42"/>
    <sheet name="SW Summary" sheetId="67" r:id="rId43"/>
    <sheet name="W Affordability" sheetId="56" r:id="rId44"/>
    <sheet name="S Affordability" sheetId="57" r:id="rId45"/>
    <sheet name="E Affordability" sheetId="58" r:id="rId46"/>
    <sheet name="SW Affordability" sheetId="68" r:id="rId47"/>
  </sheets>
  <definedNames>
    <definedName name="__xleta.YEAR" hidden="1" xlm="1">#NAME?</definedName>
    <definedName name="_xlnm._FilterDatabase" localSheetId="8" hidden="1">'3.Inc &amp; Exp per Function'!$C$6:$W$1107</definedName>
    <definedName name="_xlnm._FilterDatabase" localSheetId="9" hidden="1">'4.Inc &amp; Exp Summary'!$C$5:$N$69</definedName>
    <definedName name="_xlnm.Print_Area" localSheetId="32">'3 Solid waste'!$A$1:$S$367</definedName>
    <definedName name="_xlnm.Print_Area" localSheetId="35">'Electricity report'!$B$6:$I$1411</definedName>
    <definedName name="_xlnm.Print_Area" localSheetId="34">'Sanitation report'!$B$6:$H$1334</definedName>
    <definedName name="_xlnm.Print_Area" localSheetId="36">'Solid waste report'!$B$6:$H$926</definedName>
    <definedName name="_xlnm.Print_Area" localSheetId="33">'Water report'!$B$6:$H$1337</definedName>
  </definedNames>
  <calcPr calcId="191029" iterate="1"/>
  <pivotCaches>
    <pivotCache cacheId="0" r:id="rId48"/>
  </pivotCache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43" i="24" l="1"/>
  <c r="G90" i="45"/>
  <c r="L58" i="5"/>
  <c r="L59" i="5"/>
  <c r="L60" i="5"/>
  <c r="L61" i="5"/>
  <c r="L62" i="5"/>
  <c r="L63" i="5"/>
  <c r="L64" i="5"/>
  <c r="L65" i="5"/>
  <c r="L57" i="5"/>
  <c r="G65" i="5"/>
  <c r="G57" i="5"/>
  <c r="G63" i="5"/>
  <c r="G61" i="5"/>
  <c r="G60" i="5"/>
  <c r="G59" i="5"/>
  <c r="G58" i="5"/>
  <c r="G22" i="5"/>
  <c r="F99" i="45"/>
  <c r="F89" i="45"/>
  <c r="F45" i="45"/>
  <c r="F30" i="45"/>
  <c r="F16" i="45"/>
  <c r="F15" i="45"/>
  <c r="G44" i="82"/>
  <c r="K44" i="82" s="1"/>
  <c r="G43" i="82"/>
  <c r="K43" i="82" s="1"/>
  <c r="G42" i="82"/>
  <c r="K42" i="82" s="1"/>
  <c r="G41" i="82"/>
  <c r="K41" i="82" s="1"/>
  <c r="G40" i="82"/>
  <c r="K40" i="82" s="1"/>
  <c r="G31" i="82"/>
  <c r="H29" i="82"/>
  <c r="G29" i="82"/>
  <c r="E29" i="82"/>
  <c r="I29" i="82" s="1"/>
  <c r="D29" i="82"/>
  <c r="I28" i="82"/>
  <c r="H28" i="82"/>
  <c r="G28" i="82"/>
  <c r="E28" i="82"/>
  <c r="D28" i="82"/>
  <c r="G27" i="82"/>
  <c r="E27" i="82"/>
  <c r="I27" i="82" s="1"/>
  <c r="D27" i="82"/>
  <c r="G26" i="82"/>
  <c r="D26" i="82"/>
  <c r="G25" i="82"/>
  <c r="D25" i="82"/>
  <c r="G24" i="82"/>
  <c r="D24" i="82"/>
  <c r="G23" i="82"/>
  <c r="D23" i="82"/>
  <c r="G22" i="82"/>
  <c r="D22" i="82"/>
  <c r="G21" i="82"/>
  <c r="D21" i="82"/>
  <c r="G20" i="82"/>
  <c r="D20" i="82"/>
  <c r="G19" i="82"/>
  <c r="D19" i="82"/>
  <c r="G18" i="82"/>
  <c r="D18" i="82"/>
  <c r="G17" i="82"/>
  <c r="D17" i="82"/>
  <c r="G16" i="82"/>
  <c r="D16" i="82"/>
  <c r="E31" i="45"/>
  <c r="G41" i="81"/>
  <c r="K41" i="81" s="1"/>
  <c r="G42" i="81"/>
  <c r="K42" i="81" s="1"/>
  <c r="G43" i="81"/>
  <c r="K43" i="81" s="1"/>
  <c r="G44" i="81"/>
  <c r="K44" i="81" s="1"/>
  <c r="G40" i="81"/>
  <c r="K40" i="81" s="1"/>
  <c r="H76" i="45"/>
  <c r="F41" i="81"/>
  <c r="F42" i="81"/>
  <c r="F43" i="81"/>
  <c r="F44" i="81"/>
  <c r="F40" i="81"/>
  <c r="E41" i="81"/>
  <c r="E40" i="81"/>
  <c r="H61" i="45"/>
  <c r="K45" i="82" l="1"/>
  <c r="G45" i="82"/>
  <c r="H27" i="82"/>
  <c r="K45" i="81"/>
  <c r="F31" i="45"/>
  <c r="G45" i="81"/>
  <c r="I75" i="45" l="1"/>
  <c r="I74" i="45"/>
  <c r="I73" i="45"/>
  <c r="I72" i="45"/>
  <c r="I71" i="45"/>
  <c r="I60" i="45"/>
  <c r="I59" i="45"/>
  <c r="I58" i="45"/>
  <c r="I57" i="45"/>
  <c r="I56" i="45"/>
  <c r="G70" i="45"/>
  <c r="E44" i="81" l="1"/>
  <c r="E43" i="81"/>
  <c r="E42" i="81"/>
  <c r="G55" i="45"/>
  <c r="F44" i="45"/>
  <c r="G31" i="81"/>
  <c r="G29" i="81"/>
  <c r="E29" i="81"/>
  <c r="D29" i="81"/>
  <c r="G28" i="81"/>
  <c r="E28" i="81"/>
  <c r="H28" i="81" s="1"/>
  <c r="D28" i="81"/>
  <c r="G27" i="81"/>
  <c r="E27" i="81"/>
  <c r="D27" i="81"/>
  <c r="G26" i="81"/>
  <c r="D26" i="81"/>
  <c r="G25" i="81"/>
  <c r="D25" i="81"/>
  <c r="G24" i="81"/>
  <c r="D24" i="81"/>
  <c r="G23" i="81"/>
  <c r="D23" i="81"/>
  <c r="G22" i="81"/>
  <c r="D22" i="81"/>
  <c r="G21" i="81"/>
  <c r="D21" i="81"/>
  <c r="G20" i="81"/>
  <c r="D20" i="81"/>
  <c r="G19" i="81"/>
  <c r="D19" i="81"/>
  <c r="G18" i="81"/>
  <c r="D18" i="81"/>
  <c r="G17" i="81"/>
  <c r="D17" i="81"/>
  <c r="G16" i="81"/>
  <c r="D16" i="81"/>
  <c r="D66" i="80"/>
  <c r="D65" i="80"/>
  <c r="E55" i="80"/>
  <c r="G31" i="80"/>
  <c r="G29" i="80"/>
  <c r="E29" i="80"/>
  <c r="H29" i="80" s="1"/>
  <c r="D29" i="80"/>
  <c r="G28" i="80"/>
  <c r="E28" i="80"/>
  <c r="H28" i="80" s="1"/>
  <c r="D28" i="80"/>
  <c r="G27" i="80"/>
  <c r="E27" i="80"/>
  <c r="D27" i="80"/>
  <c r="G26" i="80"/>
  <c r="D26" i="80"/>
  <c r="G25" i="80"/>
  <c r="D25" i="80"/>
  <c r="G24" i="80"/>
  <c r="D24" i="80"/>
  <c r="G23" i="80"/>
  <c r="D23" i="80"/>
  <c r="G22" i="80"/>
  <c r="D22" i="80"/>
  <c r="G21" i="80"/>
  <c r="D21" i="80"/>
  <c r="G20" i="80"/>
  <c r="D20" i="80"/>
  <c r="G19" i="80"/>
  <c r="D19" i="80"/>
  <c r="G18" i="80"/>
  <c r="D18" i="80"/>
  <c r="G17" i="80"/>
  <c r="D17" i="80"/>
  <c r="G16" i="80"/>
  <c r="D16" i="80"/>
  <c r="G45" i="45"/>
  <c r="E44" i="45"/>
  <c r="AO56" i="74"/>
  <c r="AN56" i="74"/>
  <c r="AM56" i="74"/>
  <c r="AL56" i="74"/>
  <c r="AK56" i="74"/>
  <c r="AJ56" i="74"/>
  <c r="Y56" i="74"/>
  <c r="X56" i="74"/>
  <c r="W56" i="74"/>
  <c r="V56" i="74"/>
  <c r="U56" i="74"/>
  <c r="CG53" i="69"/>
  <c r="CF53" i="69"/>
  <c r="CJ53" i="69" s="1"/>
  <c r="CF48" i="69" s="1"/>
  <c r="CJ52" i="69"/>
  <c r="CJ51" i="69"/>
  <c r="CI51" i="69"/>
  <c r="CI53" i="69" s="1"/>
  <c r="CH51" i="69"/>
  <c r="CH53" i="69" s="1"/>
  <c r="CG51" i="69"/>
  <c r="CF51" i="69"/>
  <c r="CE50" i="69"/>
  <c r="CE48" i="69"/>
  <c r="CI39" i="69"/>
  <c r="CI40" i="69" s="1"/>
  <c r="CH39" i="69"/>
  <c r="CH40" i="69" s="1"/>
  <c r="CG39" i="69"/>
  <c r="CG40" i="69" s="1"/>
  <c r="CF39" i="69"/>
  <c r="CJ38" i="69"/>
  <c r="CI38" i="69"/>
  <c r="CH38" i="69"/>
  <c r="CG38" i="69"/>
  <c r="CF38" i="69"/>
  <c r="CF40" i="69" s="1"/>
  <c r="CE37" i="69"/>
  <c r="CE35" i="69"/>
  <c r="CL32" i="69"/>
  <c r="AW53" i="69"/>
  <c r="AS48" i="69" s="1"/>
  <c r="AV53" i="69"/>
  <c r="AS53" i="69"/>
  <c r="AW52" i="69"/>
  <c r="AV51" i="69"/>
  <c r="AU51" i="69"/>
  <c r="AU53" i="69" s="1"/>
  <c r="AT51" i="69"/>
  <c r="AT53" i="69" s="1"/>
  <c r="AS51" i="69"/>
  <c r="AW51" i="69" s="1"/>
  <c r="AR50" i="69"/>
  <c r="AR48" i="69"/>
  <c r="AT40" i="69"/>
  <c r="AV39" i="69"/>
  <c r="AV40" i="69" s="1"/>
  <c r="AU39" i="69"/>
  <c r="AT39" i="69"/>
  <c r="AS39" i="69"/>
  <c r="AS40" i="69" s="1"/>
  <c r="AW38" i="69"/>
  <c r="AV38" i="69"/>
  <c r="AU38" i="69"/>
  <c r="AU40" i="69" s="1"/>
  <c r="AT38" i="69"/>
  <c r="AS38" i="69"/>
  <c r="AR37" i="69"/>
  <c r="AR35" i="69"/>
  <c r="AY32" i="69"/>
  <c r="Z56" i="74" s="1"/>
  <c r="I56" i="74"/>
  <c r="H56" i="74"/>
  <c r="G56" i="74"/>
  <c r="F56" i="74"/>
  <c r="L32" i="69"/>
  <c r="K71" i="74"/>
  <c r="Z71" i="74"/>
  <c r="AO71" i="74"/>
  <c r="K73" i="74"/>
  <c r="Z73" i="74"/>
  <c r="AO73" i="74"/>
  <c r="E154" i="74"/>
  <c r="T154" i="74"/>
  <c r="AI154" i="74"/>
  <c r="F155" i="74"/>
  <c r="G155" i="74"/>
  <c r="H155" i="74"/>
  <c r="I155" i="74"/>
  <c r="J155" i="74"/>
  <c r="U155" i="74"/>
  <c r="V155" i="74"/>
  <c r="W155" i="74"/>
  <c r="X155" i="74"/>
  <c r="Y155" i="74"/>
  <c r="AJ155" i="74"/>
  <c r="AK155" i="74"/>
  <c r="AL155" i="74"/>
  <c r="AM155" i="74"/>
  <c r="AN155" i="74"/>
  <c r="Y170" i="74"/>
  <c r="AJ170" i="74"/>
  <c r="AK170" i="74"/>
  <c r="AL170" i="74"/>
  <c r="AM170" i="74"/>
  <c r="AI170" i="74" s="1"/>
  <c r="AN170" i="74"/>
  <c r="J173" i="74"/>
  <c r="Y173" i="74"/>
  <c r="AN173" i="74"/>
  <c r="E196" i="74"/>
  <c r="F196" i="74"/>
  <c r="T196" i="74"/>
  <c r="U196" i="74"/>
  <c r="U227" i="74" s="1"/>
  <c r="AI196" i="74"/>
  <c r="AJ196" i="74"/>
  <c r="E202" i="74"/>
  <c r="G202" i="74"/>
  <c r="G227" i="74" s="1"/>
  <c r="T202" i="74"/>
  <c r="V202" i="74"/>
  <c r="V227" i="74" s="1"/>
  <c r="AI202" i="74"/>
  <c r="AK202" i="74"/>
  <c r="AK227" i="74" s="1"/>
  <c r="AL73" i="74" s="1"/>
  <c r="E209" i="74"/>
  <c r="H209" i="74"/>
  <c r="T209" i="74"/>
  <c r="W209" i="74"/>
  <c r="W227" i="74" s="1"/>
  <c r="AI209" i="74"/>
  <c r="AL209" i="74"/>
  <c r="AL227" i="74" s="1"/>
  <c r="AM73" i="74" s="1"/>
  <c r="E220" i="74"/>
  <c r="E227" i="74" s="1"/>
  <c r="F73" i="74" s="1"/>
  <c r="I220" i="74"/>
  <c r="T220" i="74"/>
  <c r="X220" i="74"/>
  <c r="AI220" i="74"/>
  <c r="AM220" i="74"/>
  <c r="AM227" i="74" s="1"/>
  <c r="F227" i="74"/>
  <c r="H227" i="74"/>
  <c r="I73" i="74" s="1"/>
  <c r="I227" i="74"/>
  <c r="J73" i="74" s="1"/>
  <c r="X227" i="74"/>
  <c r="AJ227" i="74"/>
  <c r="AK73" i="74" s="1"/>
  <c r="I27" i="81" l="1"/>
  <c r="I29" i="81"/>
  <c r="I28" i="81"/>
  <c r="H27" i="81"/>
  <c r="H29" i="81"/>
  <c r="J56" i="74"/>
  <c r="V73" i="74"/>
  <c r="U173" i="74"/>
  <c r="T227" i="74"/>
  <c r="U73" i="74" s="1"/>
  <c r="AI227" i="74"/>
  <c r="AJ73" i="74" s="1"/>
  <c r="AW40" i="69"/>
  <c r="AS35" i="69" s="1"/>
  <c r="I28" i="80"/>
  <c r="I27" i="80"/>
  <c r="I29" i="80"/>
  <c r="H27" i="80"/>
  <c r="CJ40" i="69"/>
  <c r="CF35" i="69" s="1"/>
  <c r="CJ39" i="69"/>
  <c r="AW39" i="69"/>
  <c r="T173" i="74"/>
  <c r="W73" i="74"/>
  <c r="V173" i="74"/>
  <c r="X73" i="74"/>
  <c r="W173" i="74"/>
  <c r="AL173" i="74"/>
  <c r="G73" i="74"/>
  <c r="E73" i="74" s="1"/>
  <c r="L73" i="74" s="1"/>
  <c r="F173" i="74"/>
  <c r="Y73" i="74"/>
  <c r="X173" i="74"/>
  <c r="H73" i="74"/>
  <c r="G173" i="74"/>
  <c r="AM173" i="74"/>
  <c r="AN73" i="74"/>
  <c r="AK173" i="74"/>
  <c r="I173" i="74"/>
  <c r="AJ173" i="74"/>
  <c r="H173" i="74"/>
  <c r="J24" i="74"/>
  <c r="ED64" i="76"/>
  <c r="AP64" i="76"/>
  <c r="T73" i="74" l="1"/>
  <c r="AA73" i="74" s="1"/>
  <c r="AI73" i="74"/>
  <c r="AP73" i="74" s="1"/>
  <c r="E173" i="74"/>
  <c r="AI173" i="74"/>
  <c r="CJ64" i="76"/>
  <c r="F1057" i="71" l="1"/>
  <c r="E1057" i="71" s="1"/>
  <c r="D1057" i="71"/>
  <c r="F988" i="71"/>
  <c r="E988" i="71" s="1"/>
  <c r="D988" i="71"/>
  <c r="F919" i="71"/>
  <c r="E919" i="71" s="1"/>
  <c r="D919" i="71"/>
  <c r="F850" i="71"/>
  <c r="E850" i="71" s="1"/>
  <c r="D850" i="71"/>
  <c r="F781" i="71"/>
  <c r="E781" i="71" s="1"/>
  <c r="D781" i="71"/>
  <c r="F712" i="71"/>
  <c r="E712" i="71" s="1"/>
  <c r="D712" i="71"/>
  <c r="F643" i="71"/>
  <c r="E643" i="71" s="1"/>
  <c r="D643" i="71"/>
  <c r="F574" i="71"/>
  <c r="E574" i="71" s="1"/>
  <c r="D574" i="71"/>
  <c r="F504" i="71"/>
  <c r="E504" i="71" s="1"/>
  <c r="D504" i="71"/>
  <c r="F436" i="71"/>
  <c r="E436" i="71" s="1"/>
  <c r="D436" i="71"/>
  <c r="F367" i="71"/>
  <c r="E367" i="71" s="1"/>
  <c r="D367" i="71"/>
  <c r="F298" i="71"/>
  <c r="E298" i="71" s="1"/>
  <c r="D298" i="71"/>
  <c r="F229" i="71"/>
  <c r="E229" i="71" s="1"/>
  <c r="D229" i="71"/>
  <c r="F160" i="71"/>
  <c r="E160" i="71" s="1"/>
  <c r="D160" i="71"/>
  <c r="F91" i="71"/>
  <c r="E91" i="71" s="1"/>
  <c r="D91" i="71"/>
  <c r="F23" i="71"/>
  <c r="E23" i="71" s="1"/>
  <c r="D23" i="71"/>
  <c r="ED23" i="76"/>
  <c r="CJ23" i="76"/>
  <c r="AP23" i="76"/>
  <c r="DD23" i="76"/>
  <c r="DC23" i="76"/>
  <c r="DB23" i="76"/>
  <c r="DA23" i="76"/>
  <c r="CZ23" i="76"/>
  <c r="CY23" i="76"/>
  <c r="CX23" i="76"/>
  <c r="CW23" i="76"/>
  <c r="CV23" i="76"/>
  <c r="CU23" i="76"/>
  <c r="CT23" i="76"/>
  <c r="CS23" i="76"/>
  <c r="CR23" i="76"/>
  <c r="CQ23" i="76"/>
  <c r="CP23" i="76"/>
  <c r="CO23" i="76"/>
  <c r="BJ23" i="76"/>
  <c r="BI23" i="76"/>
  <c r="BH23" i="76"/>
  <c r="BG23" i="76"/>
  <c r="BF23" i="76"/>
  <c r="BE23" i="76"/>
  <c r="BD23" i="76"/>
  <c r="BC23" i="76"/>
  <c r="BB23" i="76"/>
  <c r="BA23" i="76"/>
  <c r="AZ23" i="76"/>
  <c r="AY23" i="76"/>
  <c r="AX23" i="76"/>
  <c r="AW23" i="76"/>
  <c r="AV23" i="76"/>
  <c r="AU23" i="76"/>
  <c r="P23" i="76"/>
  <c r="O23" i="76"/>
  <c r="N23" i="76"/>
  <c r="M23" i="76"/>
  <c r="L23" i="76"/>
  <c r="K23" i="76"/>
  <c r="J23" i="76"/>
  <c r="I23" i="76"/>
  <c r="H23" i="76"/>
  <c r="G23" i="76"/>
  <c r="F23" i="76"/>
  <c r="E23" i="76"/>
  <c r="D23" i="76"/>
  <c r="C23" i="76"/>
  <c r="B23" i="76"/>
  <c r="A23" i="76"/>
  <c r="F9" i="71" l="1"/>
  <c r="E9" i="71" s="1"/>
  <c r="F10" i="71"/>
  <c r="E10" i="71" s="1"/>
  <c r="F11" i="71"/>
  <c r="F12" i="71"/>
  <c r="E12" i="71" s="1"/>
  <c r="F13" i="71"/>
  <c r="E13" i="71" s="1"/>
  <c r="F14" i="71"/>
  <c r="AE14" i="71" s="1"/>
  <c r="F15" i="71"/>
  <c r="E15" i="71" s="1"/>
  <c r="F16" i="71"/>
  <c r="AE16" i="71" s="1"/>
  <c r="F17" i="71"/>
  <c r="E17" i="71" s="1"/>
  <c r="F18" i="71"/>
  <c r="AE18" i="71" s="1"/>
  <c r="F19" i="71"/>
  <c r="F20" i="71"/>
  <c r="E20" i="71" s="1"/>
  <c r="F21" i="71"/>
  <c r="E21" i="71" s="1"/>
  <c r="F22" i="71"/>
  <c r="E22" i="71" s="1"/>
  <c r="F24" i="71"/>
  <c r="AE24" i="71" s="1"/>
  <c r="F25" i="71"/>
  <c r="E25" i="71" s="1"/>
  <c r="F26" i="71"/>
  <c r="E26" i="71" s="1"/>
  <c r="F27" i="71"/>
  <c r="E27" i="71" s="1"/>
  <c r="F28" i="71"/>
  <c r="F29" i="71"/>
  <c r="E29" i="71" s="1"/>
  <c r="F30" i="71"/>
  <c r="E30" i="71" s="1"/>
  <c r="F31" i="71"/>
  <c r="E31" i="71" s="1"/>
  <c r="F32" i="71"/>
  <c r="E32" i="71" s="1"/>
  <c r="F33" i="71"/>
  <c r="E33" i="71" s="1"/>
  <c r="F34" i="71"/>
  <c r="AE34" i="71" s="1"/>
  <c r="F35" i="71"/>
  <c r="AE35" i="71" s="1"/>
  <c r="F36" i="71"/>
  <c r="F37" i="71"/>
  <c r="E37" i="71" s="1"/>
  <c r="F38" i="71"/>
  <c r="E38" i="71" s="1"/>
  <c r="F39" i="71"/>
  <c r="E39" i="71" s="1"/>
  <c r="F40" i="71"/>
  <c r="AE40" i="71" s="1"/>
  <c r="F41" i="71"/>
  <c r="AE41" i="71" s="1"/>
  <c r="F42" i="71"/>
  <c r="E42" i="71" s="1"/>
  <c r="F43" i="71"/>
  <c r="E43" i="71" s="1"/>
  <c r="F44" i="71"/>
  <c r="F45" i="71"/>
  <c r="E45" i="71" s="1"/>
  <c r="F46" i="71"/>
  <c r="E46" i="71" s="1"/>
  <c r="F47" i="71"/>
  <c r="F48" i="71"/>
  <c r="E48" i="71" s="1"/>
  <c r="F49" i="71"/>
  <c r="AE49" i="71" s="1"/>
  <c r="F50" i="71"/>
  <c r="E50" i="71" s="1"/>
  <c r="F51" i="71"/>
  <c r="AE51" i="71" s="1"/>
  <c r="F52" i="71"/>
  <c r="F53" i="71"/>
  <c r="E53" i="71" s="1"/>
  <c r="F54" i="71"/>
  <c r="E54" i="71" s="1"/>
  <c r="F55" i="71"/>
  <c r="AE55" i="71" s="1"/>
  <c r="F56" i="71"/>
  <c r="AE56" i="71" s="1"/>
  <c r="F57" i="71"/>
  <c r="E57" i="71" s="1"/>
  <c r="F58" i="71"/>
  <c r="E58" i="71" s="1"/>
  <c r="F59" i="71"/>
  <c r="E59" i="71" s="1"/>
  <c r="F60" i="71"/>
  <c r="F61" i="71"/>
  <c r="E61" i="71" s="1"/>
  <c r="F62" i="71"/>
  <c r="E62" i="71" s="1"/>
  <c r="F63" i="71"/>
  <c r="AE63" i="71" s="1"/>
  <c r="F64" i="71"/>
  <c r="E64" i="71" s="1"/>
  <c r="F65" i="71"/>
  <c r="E65" i="71" s="1"/>
  <c r="F66" i="71"/>
  <c r="AE66" i="71" s="1"/>
  <c r="F67" i="71"/>
  <c r="AE67" i="71" s="1"/>
  <c r="F68" i="71"/>
  <c r="F69" i="71"/>
  <c r="E69" i="71" s="1"/>
  <c r="F70" i="71"/>
  <c r="E70" i="71" s="1"/>
  <c r="F71" i="71"/>
  <c r="F72" i="71"/>
  <c r="AE72" i="71" s="1"/>
  <c r="F73" i="71"/>
  <c r="E73" i="71" s="1"/>
  <c r="F74" i="71"/>
  <c r="E74" i="71" s="1"/>
  <c r="F75" i="71"/>
  <c r="E75" i="71" s="1"/>
  <c r="F76" i="71"/>
  <c r="F77" i="71"/>
  <c r="E77" i="71" s="1"/>
  <c r="F78" i="71"/>
  <c r="E78" i="71" s="1"/>
  <c r="F79" i="71"/>
  <c r="AE79" i="71" s="1"/>
  <c r="F80" i="71"/>
  <c r="E80" i="71" s="1"/>
  <c r="F81" i="71"/>
  <c r="AE81" i="71" s="1"/>
  <c r="F82" i="71"/>
  <c r="E82" i="71" s="1"/>
  <c r="F83" i="71"/>
  <c r="E83" i="71" s="1"/>
  <c r="F84" i="71"/>
  <c r="F85" i="71"/>
  <c r="E85" i="71" s="1"/>
  <c r="F86" i="71"/>
  <c r="E86" i="71" s="1"/>
  <c r="F87" i="71"/>
  <c r="E87" i="71" s="1"/>
  <c r="F88" i="71"/>
  <c r="E88" i="71" s="1"/>
  <c r="F89" i="71"/>
  <c r="E89" i="71" s="1"/>
  <c r="F90" i="71"/>
  <c r="E90" i="71" s="1"/>
  <c r="F92" i="71"/>
  <c r="E92" i="71" s="1"/>
  <c r="F93" i="71"/>
  <c r="F94" i="71"/>
  <c r="E94" i="71" s="1"/>
  <c r="F95" i="71"/>
  <c r="E95" i="71" s="1"/>
  <c r="F96" i="71"/>
  <c r="E96" i="71" s="1"/>
  <c r="F97" i="71"/>
  <c r="F98" i="71"/>
  <c r="E98" i="71" s="1"/>
  <c r="F99" i="71"/>
  <c r="AE99" i="71" s="1"/>
  <c r="F100" i="71"/>
  <c r="AE100" i="71" s="1"/>
  <c r="F101" i="71"/>
  <c r="F102" i="71"/>
  <c r="E102" i="71" s="1"/>
  <c r="F103" i="71"/>
  <c r="E103" i="71" s="1"/>
  <c r="F104" i="71"/>
  <c r="E104" i="71" s="1"/>
  <c r="F105" i="71"/>
  <c r="E105" i="71" s="1"/>
  <c r="F106" i="71"/>
  <c r="AE106" i="71" s="1"/>
  <c r="F107" i="71"/>
  <c r="E107" i="71" s="1"/>
  <c r="F108" i="71"/>
  <c r="E108" i="71" s="1"/>
  <c r="F109" i="71"/>
  <c r="F110" i="71"/>
  <c r="E110" i="71" s="1"/>
  <c r="F111" i="71"/>
  <c r="E111" i="71" s="1"/>
  <c r="F112" i="71"/>
  <c r="AE112" i="71" s="1"/>
  <c r="F113" i="71"/>
  <c r="E113" i="71" s="1"/>
  <c r="F114" i="71"/>
  <c r="E114" i="71" s="1"/>
  <c r="F115" i="71"/>
  <c r="E115" i="71" s="1"/>
  <c r="F116" i="71"/>
  <c r="E116" i="71" s="1"/>
  <c r="F117" i="71"/>
  <c r="F118" i="71"/>
  <c r="E118" i="71" s="1"/>
  <c r="F119" i="71"/>
  <c r="E119" i="71" s="1"/>
  <c r="F120" i="71"/>
  <c r="F121" i="71"/>
  <c r="E121" i="71" s="1"/>
  <c r="F122" i="71"/>
  <c r="E122" i="71" s="1"/>
  <c r="F123" i="71"/>
  <c r="AE123" i="71" s="1"/>
  <c r="F124" i="71"/>
  <c r="E124" i="71" s="1"/>
  <c r="F125" i="71"/>
  <c r="F126" i="71"/>
  <c r="E126" i="71" s="1"/>
  <c r="F127" i="71"/>
  <c r="E127" i="71" s="1"/>
  <c r="F128" i="71"/>
  <c r="E128" i="71" s="1"/>
  <c r="F129" i="71"/>
  <c r="E129" i="71" s="1"/>
  <c r="F130" i="71"/>
  <c r="E130" i="71" s="1"/>
  <c r="F131" i="71"/>
  <c r="E131" i="71" s="1"/>
  <c r="F132" i="71"/>
  <c r="E132" i="71" s="1"/>
  <c r="F133" i="71"/>
  <c r="F134" i="71"/>
  <c r="E134" i="71" s="1"/>
  <c r="F135" i="71"/>
  <c r="E135" i="71" s="1"/>
  <c r="F136" i="71"/>
  <c r="E136" i="71" s="1"/>
  <c r="F137" i="71"/>
  <c r="E137" i="71" s="1"/>
  <c r="F138" i="71"/>
  <c r="AE138" i="71" s="1"/>
  <c r="F139" i="71"/>
  <c r="AE139" i="71" s="1"/>
  <c r="F140" i="71"/>
  <c r="E140" i="71" s="1"/>
  <c r="F141" i="71"/>
  <c r="F142" i="71"/>
  <c r="E142" i="71" s="1"/>
  <c r="F143" i="71"/>
  <c r="E143" i="71" s="1"/>
  <c r="F144" i="71"/>
  <c r="F145" i="71"/>
  <c r="AE145" i="71" s="1"/>
  <c r="F146" i="71"/>
  <c r="E146" i="71" s="1"/>
  <c r="F147" i="71"/>
  <c r="E147" i="71" s="1"/>
  <c r="F148" i="71"/>
  <c r="AE148" i="71" s="1"/>
  <c r="F149" i="71"/>
  <c r="F150" i="71"/>
  <c r="E150" i="71" s="1"/>
  <c r="F151" i="71"/>
  <c r="E151" i="71" s="1"/>
  <c r="F152" i="71"/>
  <c r="E152" i="71" s="1"/>
  <c r="F153" i="71"/>
  <c r="E153" i="71" s="1"/>
  <c r="F154" i="71"/>
  <c r="E154" i="71" s="1"/>
  <c r="F155" i="71"/>
  <c r="E155" i="71" s="1"/>
  <c r="F156" i="71"/>
  <c r="E156" i="71" s="1"/>
  <c r="F157" i="71"/>
  <c r="F158" i="71"/>
  <c r="E158" i="71" s="1"/>
  <c r="F159" i="71"/>
  <c r="E159" i="71" s="1"/>
  <c r="F161" i="71"/>
  <c r="E161" i="71" s="1"/>
  <c r="F162" i="71"/>
  <c r="E162" i="71" s="1"/>
  <c r="F163" i="71"/>
  <c r="E163" i="71" s="1"/>
  <c r="F164" i="71"/>
  <c r="E164" i="71" s="1"/>
  <c r="F165" i="71"/>
  <c r="E165" i="71" s="1"/>
  <c r="F166" i="71"/>
  <c r="F167" i="71"/>
  <c r="E167" i="71" s="1"/>
  <c r="F168" i="71"/>
  <c r="E168" i="71" s="1"/>
  <c r="F169" i="71"/>
  <c r="F170" i="71"/>
  <c r="F171" i="71"/>
  <c r="AE171" i="71" s="1"/>
  <c r="F172" i="71"/>
  <c r="AE172" i="71" s="1"/>
  <c r="F173" i="71"/>
  <c r="E173" i="71" s="1"/>
  <c r="F174" i="71"/>
  <c r="F175" i="71"/>
  <c r="E175" i="71" s="1"/>
  <c r="F176" i="71"/>
  <c r="E176" i="71" s="1"/>
  <c r="F177" i="71"/>
  <c r="AE177" i="71" s="1"/>
  <c r="F178" i="71"/>
  <c r="E178" i="71" s="1"/>
  <c r="F179" i="71"/>
  <c r="E179" i="71" s="1"/>
  <c r="F180" i="71"/>
  <c r="E180" i="71" s="1"/>
  <c r="F181" i="71"/>
  <c r="AE181" i="71" s="1"/>
  <c r="F182" i="71"/>
  <c r="F183" i="71"/>
  <c r="E183" i="71" s="1"/>
  <c r="F184" i="71"/>
  <c r="E184" i="71" s="1"/>
  <c r="F185" i="71"/>
  <c r="AE185" i="71" s="1"/>
  <c r="F186" i="71"/>
  <c r="E186" i="71" s="1"/>
  <c r="F187" i="71"/>
  <c r="AE187" i="71" s="1"/>
  <c r="F188" i="71"/>
  <c r="E188" i="71" s="1"/>
  <c r="F189" i="71"/>
  <c r="E189" i="71" s="1"/>
  <c r="F190" i="71"/>
  <c r="F191" i="71"/>
  <c r="E191" i="71" s="1"/>
  <c r="F192" i="71"/>
  <c r="E192" i="71" s="1"/>
  <c r="F193" i="71"/>
  <c r="F194" i="71"/>
  <c r="AE194" i="71" s="1"/>
  <c r="F195" i="71"/>
  <c r="AE195" i="71" s="1"/>
  <c r="F196" i="71"/>
  <c r="E196" i="71" s="1"/>
  <c r="F197" i="71"/>
  <c r="E197" i="71" s="1"/>
  <c r="F198" i="71"/>
  <c r="F199" i="71"/>
  <c r="E199" i="71" s="1"/>
  <c r="F200" i="71"/>
  <c r="E200" i="71" s="1"/>
  <c r="F201" i="71"/>
  <c r="E201" i="71" s="1"/>
  <c r="F202" i="71"/>
  <c r="E202" i="71" s="1"/>
  <c r="F203" i="71"/>
  <c r="E203" i="71" s="1"/>
  <c r="F204" i="71"/>
  <c r="AE204" i="71" s="1"/>
  <c r="F205" i="71"/>
  <c r="E205" i="71" s="1"/>
  <c r="F206" i="71"/>
  <c r="F207" i="71"/>
  <c r="E207" i="71" s="1"/>
  <c r="F208" i="71"/>
  <c r="E208" i="71" s="1"/>
  <c r="F209" i="71"/>
  <c r="E209" i="71" s="1"/>
  <c r="F210" i="71"/>
  <c r="E210" i="71" s="1"/>
  <c r="F211" i="71"/>
  <c r="E211" i="71" s="1"/>
  <c r="F212" i="71"/>
  <c r="E212" i="71" s="1"/>
  <c r="F213" i="71"/>
  <c r="AE213" i="71" s="1"/>
  <c r="F214" i="71"/>
  <c r="F215" i="71"/>
  <c r="E215" i="71" s="1"/>
  <c r="F216" i="71"/>
  <c r="E216" i="71" s="1"/>
  <c r="F217" i="71"/>
  <c r="F218" i="71"/>
  <c r="E218" i="71" s="1"/>
  <c r="F219" i="71"/>
  <c r="AE219" i="71" s="1"/>
  <c r="F220" i="71"/>
  <c r="AE220" i="71" s="1"/>
  <c r="F221" i="71"/>
  <c r="E221" i="71" s="1"/>
  <c r="F222" i="71"/>
  <c r="F223" i="71"/>
  <c r="E223" i="71" s="1"/>
  <c r="F224" i="71"/>
  <c r="E224" i="71" s="1"/>
  <c r="F225" i="71"/>
  <c r="AE225" i="71" s="1"/>
  <c r="F226" i="71"/>
  <c r="E226" i="71" s="1"/>
  <c r="F227" i="71"/>
  <c r="AE227" i="71" s="1"/>
  <c r="F228" i="71"/>
  <c r="E228" i="71" s="1"/>
  <c r="F230" i="71"/>
  <c r="E230" i="71" s="1"/>
  <c r="F231" i="71"/>
  <c r="F232" i="71"/>
  <c r="E232" i="71" s="1"/>
  <c r="F233" i="71"/>
  <c r="E233" i="71" s="1"/>
  <c r="F234" i="71"/>
  <c r="F235" i="71"/>
  <c r="E235" i="71" s="1"/>
  <c r="F236" i="71"/>
  <c r="E236" i="71" s="1"/>
  <c r="F237" i="71"/>
  <c r="AE237" i="71" s="1"/>
  <c r="F238" i="71"/>
  <c r="E238" i="71" s="1"/>
  <c r="F239" i="71"/>
  <c r="F240" i="71"/>
  <c r="E240" i="71" s="1"/>
  <c r="F241" i="71"/>
  <c r="E241" i="71" s="1"/>
  <c r="F242" i="71"/>
  <c r="F243" i="71"/>
  <c r="F244" i="71"/>
  <c r="E244" i="71" s="1"/>
  <c r="F245" i="71"/>
  <c r="E245" i="71" s="1"/>
  <c r="F246" i="71"/>
  <c r="AE246" i="71" s="1"/>
  <c r="F247" i="71"/>
  <c r="F248" i="71"/>
  <c r="E248" i="71" s="1"/>
  <c r="F249" i="71"/>
  <c r="E249" i="71" s="1"/>
  <c r="F250" i="71"/>
  <c r="E250" i="71" s="1"/>
  <c r="F251" i="71"/>
  <c r="E251" i="71" s="1"/>
  <c r="F252" i="71"/>
  <c r="E252" i="71" s="1"/>
  <c r="F253" i="71"/>
  <c r="E253" i="71" s="1"/>
  <c r="F254" i="71"/>
  <c r="E254" i="71" s="1"/>
  <c r="F255" i="71"/>
  <c r="F256" i="71"/>
  <c r="E256" i="71" s="1"/>
  <c r="F257" i="71"/>
  <c r="E257" i="71" s="1"/>
  <c r="F258" i="71"/>
  <c r="AE258" i="71" s="1"/>
  <c r="F259" i="71"/>
  <c r="E259" i="71" s="1"/>
  <c r="F260" i="71"/>
  <c r="E260" i="71" s="1"/>
  <c r="F261" i="71"/>
  <c r="E261" i="71" s="1"/>
  <c r="F262" i="71"/>
  <c r="E262" i="71" s="1"/>
  <c r="F263" i="71"/>
  <c r="F264" i="71"/>
  <c r="AE264" i="71" s="1"/>
  <c r="F265" i="71"/>
  <c r="E265" i="71" s="1"/>
  <c r="F266" i="71"/>
  <c r="F267" i="71"/>
  <c r="AE267" i="71" s="1"/>
  <c r="F268" i="71"/>
  <c r="E268" i="71" s="1"/>
  <c r="F269" i="71"/>
  <c r="E269" i="71" s="1"/>
  <c r="F270" i="71"/>
  <c r="E270" i="71" s="1"/>
  <c r="F271" i="71"/>
  <c r="F272" i="71"/>
  <c r="E272" i="71" s="1"/>
  <c r="F273" i="71"/>
  <c r="E273" i="71" s="1"/>
  <c r="F274" i="71"/>
  <c r="E274" i="71" s="1"/>
  <c r="F275" i="71"/>
  <c r="E275" i="71" s="1"/>
  <c r="F276" i="71"/>
  <c r="AE276" i="71" s="1"/>
  <c r="F277" i="71"/>
  <c r="E277" i="71" s="1"/>
  <c r="F278" i="71"/>
  <c r="E278" i="71" s="1"/>
  <c r="F279" i="71"/>
  <c r="F280" i="71"/>
  <c r="AE280" i="71" s="1"/>
  <c r="F281" i="71"/>
  <c r="E281" i="71" s="1"/>
  <c r="F282" i="71"/>
  <c r="E282" i="71" s="1"/>
  <c r="F283" i="71"/>
  <c r="E283" i="71" s="1"/>
  <c r="F284" i="71"/>
  <c r="E284" i="71" s="1"/>
  <c r="F285" i="71"/>
  <c r="AE285" i="71" s="1"/>
  <c r="F286" i="71"/>
  <c r="AE286" i="71" s="1"/>
  <c r="F287" i="71"/>
  <c r="F288" i="71"/>
  <c r="E288" i="71" s="1"/>
  <c r="F289" i="71"/>
  <c r="E289" i="71" s="1"/>
  <c r="F290" i="71"/>
  <c r="E290" i="71" s="1"/>
  <c r="F291" i="71"/>
  <c r="E291" i="71" s="1"/>
  <c r="F292" i="71"/>
  <c r="E292" i="71" s="1"/>
  <c r="F293" i="71"/>
  <c r="E293" i="71" s="1"/>
  <c r="F294" i="71"/>
  <c r="E294" i="71" s="1"/>
  <c r="F295" i="71"/>
  <c r="F296" i="71"/>
  <c r="AE296" i="71" s="1"/>
  <c r="F297" i="71"/>
  <c r="E297" i="71" s="1"/>
  <c r="F299" i="71"/>
  <c r="E299" i="71" s="1"/>
  <c r="F300" i="71"/>
  <c r="E300" i="71" s="1"/>
  <c r="F301" i="71"/>
  <c r="E301" i="71" s="1"/>
  <c r="F302" i="71"/>
  <c r="E302" i="71" s="1"/>
  <c r="F303" i="71"/>
  <c r="E303" i="71" s="1"/>
  <c r="F304" i="71"/>
  <c r="F305" i="71"/>
  <c r="E305" i="71" s="1"/>
  <c r="F306" i="71"/>
  <c r="E306" i="71" s="1"/>
  <c r="F307" i="71"/>
  <c r="F308" i="71"/>
  <c r="E308" i="71" s="1"/>
  <c r="F309" i="71"/>
  <c r="E309" i="71" s="1"/>
  <c r="F310" i="71"/>
  <c r="E310" i="71" s="1"/>
  <c r="F311" i="71"/>
  <c r="E311" i="71" s="1"/>
  <c r="F312" i="71"/>
  <c r="F313" i="71"/>
  <c r="AE313" i="71" s="1"/>
  <c r="F314" i="71"/>
  <c r="E314" i="71" s="1"/>
  <c r="F315" i="71"/>
  <c r="F316" i="71"/>
  <c r="F317" i="71"/>
  <c r="E317" i="71" s="1"/>
  <c r="F318" i="71"/>
  <c r="E318" i="71" s="1"/>
  <c r="F319" i="71"/>
  <c r="E319" i="71" s="1"/>
  <c r="F320" i="71"/>
  <c r="F321" i="71"/>
  <c r="E321" i="71" s="1"/>
  <c r="F322" i="71"/>
  <c r="E322" i="71" s="1"/>
  <c r="F323" i="71"/>
  <c r="E323" i="71" s="1"/>
  <c r="F324" i="71"/>
  <c r="E324" i="71" s="1"/>
  <c r="F325" i="71"/>
  <c r="E325" i="71" s="1"/>
  <c r="F326" i="71"/>
  <c r="AE326" i="71" s="1"/>
  <c r="F327" i="71"/>
  <c r="E327" i="71" s="1"/>
  <c r="F328" i="71"/>
  <c r="F329" i="71"/>
  <c r="AE329" i="71" s="1"/>
  <c r="F330" i="71"/>
  <c r="E330" i="71" s="1"/>
  <c r="F331" i="71"/>
  <c r="AE331" i="71" s="1"/>
  <c r="F332" i="71"/>
  <c r="E332" i="71" s="1"/>
  <c r="F333" i="71"/>
  <c r="AE333" i="71" s="1"/>
  <c r="F334" i="71"/>
  <c r="E334" i="71" s="1"/>
  <c r="F335" i="71"/>
  <c r="AE335" i="71" s="1"/>
  <c r="F336" i="71"/>
  <c r="F337" i="71"/>
  <c r="E337" i="71" s="1"/>
  <c r="F338" i="71"/>
  <c r="E338" i="71" s="1"/>
  <c r="F339" i="71"/>
  <c r="F340" i="71"/>
  <c r="E340" i="71" s="1"/>
  <c r="F341" i="71"/>
  <c r="E341" i="71" s="1"/>
  <c r="F342" i="71"/>
  <c r="E342" i="71" s="1"/>
  <c r="F343" i="71"/>
  <c r="E343" i="71" s="1"/>
  <c r="F344" i="71"/>
  <c r="F345" i="71"/>
  <c r="AE345" i="71" s="1"/>
  <c r="F346" i="71"/>
  <c r="E346" i="71" s="1"/>
  <c r="F347" i="71"/>
  <c r="E347" i="71" s="1"/>
  <c r="F348" i="71"/>
  <c r="E348" i="71" s="1"/>
  <c r="F349" i="71"/>
  <c r="E349" i="71" s="1"/>
  <c r="F350" i="71"/>
  <c r="E350" i="71" s="1"/>
  <c r="F351" i="71"/>
  <c r="E351" i="71" s="1"/>
  <c r="F352" i="71"/>
  <c r="F353" i="71"/>
  <c r="E353" i="71" s="1"/>
  <c r="F354" i="71"/>
  <c r="E354" i="71" s="1"/>
  <c r="F355" i="71"/>
  <c r="E355" i="71" s="1"/>
  <c r="F356" i="71"/>
  <c r="E356" i="71" s="1"/>
  <c r="F357" i="71"/>
  <c r="AE357" i="71" s="1"/>
  <c r="F358" i="71"/>
  <c r="AE358" i="71" s="1"/>
  <c r="F359" i="71"/>
  <c r="E359" i="71" s="1"/>
  <c r="F360" i="71"/>
  <c r="F361" i="71"/>
  <c r="AE361" i="71" s="1"/>
  <c r="F362" i="71"/>
  <c r="E362" i="71" s="1"/>
  <c r="F363" i="71"/>
  <c r="F364" i="71"/>
  <c r="E364" i="71" s="1"/>
  <c r="F365" i="71"/>
  <c r="AE365" i="71" s="1"/>
  <c r="F366" i="71"/>
  <c r="E366" i="71" s="1"/>
  <c r="F368" i="71"/>
  <c r="AE368" i="71" s="1"/>
  <c r="F369" i="71"/>
  <c r="F370" i="71"/>
  <c r="E370" i="71" s="1"/>
  <c r="F371" i="71"/>
  <c r="E371" i="71" s="1"/>
  <c r="F372" i="71"/>
  <c r="AE372" i="71" s="1"/>
  <c r="F373" i="71"/>
  <c r="E373" i="71" s="1"/>
  <c r="F374" i="71"/>
  <c r="E374" i="71" s="1"/>
  <c r="F375" i="71"/>
  <c r="E375" i="71" s="1"/>
  <c r="F376" i="71"/>
  <c r="E376" i="71" s="1"/>
  <c r="F377" i="71"/>
  <c r="F378" i="71"/>
  <c r="AE378" i="71" s="1"/>
  <c r="F379" i="71"/>
  <c r="E379" i="71" s="1"/>
  <c r="F380" i="71"/>
  <c r="E380" i="71" s="1"/>
  <c r="F381" i="71"/>
  <c r="E381" i="71" s="1"/>
  <c r="F382" i="71"/>
  <c r="E382" i="71" s="1"/>
  <c r="F383" i="71"/>
  <c r="E383" i="71" s="1"/>
  <c r="F384" i="71"/>
  <c r="E384" i="71" s="1"/>
  <c r="F385" i="71"/>
  <c r="F386" i="71"/>
  <c r="E386" i="71" s="1"/>
  <c r="F387" i="71"/>
  <c r="E387" i="71" s="1"/>
  <c r="F388" i="71"/>
  <c r="F389" i="71"/>
  <c r="AE389" i="71" s="1"/>
  <c r="F390" i="71"/>
  <c r="E390" i="71" s="1"/>
  <c r="F391" i="71"/>
  <c r="AE391" i="71" s="1"/>
  <c r="F392" i="71"/>
  <c r="E392" i="71" s="1"/>
  <c r="F393" i="71"/>
  <c r="F394" i="71"/>
  <c r="AE394" i="71" s="1"/>
  <c r="F395" i="71"/>
  <c r="E395" i="71" s="1"/>
  <c r="F396" i="71"/>
  <c r="E396" i="71" s="1"/>
  <c r="F397" i="71"/>
  <c r="E397" i="71" s="1"/>
  <c r="F398" i="71"/>
  <c r="AE398" i="71" s="1"/>
  <c r="F399" i="71"/>
  <c r="E399" i="71" s="1"/>
  <c r="F400" i="71"/>
  <c r="AE400" i="71" s="1"/>
  <c r="F401" i="71"/>
  <c r="F402" i="71"/>
  <c r="E402" i="71" s="1"/>
  <c r="F403" i="71"/>
  <c r="E403" i="71" s="1"/>
  <c r="F404" i="71"/>
  <c r="AE404" i="71" s="1"/>
  <c r="F405" i="71"/>
  <c r="E405" i="71" s="1"/>
  <c r="F406" i="71"/>
  <c r="E406" i="71" s="1"/>
  <c r="F407" i="71"/>
  <c r="E407" i="71" s="1"/>
  <c r="F408" i="71"/>
  <c r="E408" i="71" s="1"/>
  <c r="F409" i="71"/>
  <c r="F410" i="71"/>
  <c r="AE410" i="71" s="1"/>
  <c r="F411" i="71"/>
  <c r="E411" i="71" s="1"/>
  <c r="F412" i="71"/>
  <c r="E412" i="71" s="1"/>
  <c r="F413" i="71"/>
  <c r="F414" i="71"/>
  <c r="E414" i="71" s="1"/>
  <c r="F415" i="71"/>
  <c r="E415" i="71" s="1"/>
  <c r="F416" i="71"/>
  <c r="E416" i="71" s="1"/>
  <c r="F417" i="71"/>
  <c r="F418" i="71"/>
  <c r="E418" i="71" s="1"/>
  <c r="F419" i="71"/>
  <c r="E419" i="71" s="1"/>
  <c r="F420" i="71"/>
  <c r="E420" i="71" s="1"/>
  <c r="F421" i="71"/>
  <c r="E421" i="71" s="1"/>
  <c r="F422" i="71"/>
  <c r="AE422" i="71" s="1"/>
  <c r="F423" i="71"/>
  <c r="AE423" i="71" s="1"/>
  <c r="F424" i="71"/>
  <c r="E424" i="71" s="1"/>
  <c r="F425" i="71"/>
  <c r="F426" i="71"/>
  <c r="AE426" i="71" s="1"/>
  <c r="F427" i="71"/>
  <c r="E427" i="71" s="1"/>
  <c r="F428" i="71"/>
  <c r="E428" i="71" s="1"/>
  <c r="F429" i="71"/>
  <c r="E429" i="71" s="1"/>
  <c r="F430" i="71"/>
  <c r="E430" i="71" s="1"/>
  <c r="F431" i="71"/>
  <c r="E431" i="71" s="1"/>
  <c r="F432" i="71"/>
  <c r="AE432" i="71" s="1"/>
  <c r="F433" i="71"/>
  <c r="F434" i="71"/>
  <c r="E434" i="71" s="1"/>
  <c r="F435" i="71"/>
  <c r="E435" i="71" s="1"/>
  <c r="F437" i="71"/>
  <c r="F438" i="71"/>
  <c r="AE438" i="71" s="1"/>
  <c r="F439" i="71"/>
  <c r="E439" i="71" s="1"/>
  <c r="F440" i="71"/>
  <c r="AE440" i="71" s="1"/>
  <c r="F441" i="71"/>
  <c r="E441" i="71" s="1"/>
  <c r="F442" i="71"/>
  <c r="F443" i="71"/>
  <c r="AE443" i="71" s="1"/>
  <c r="F444" i="71"/>
  <c r="E444" i="71" s="1"/>
  <c r="F445" i="71"/>
  <c r="E445" i="71" s="1"/>
  <c r="F446" i="71"/>
  <c r="E446" i="71" s="1"/>
  <c r="F447" i="71"/>
  <c r="E447" i="71" s="1"/>
  <c r="F448" i="71"/>
  <c r="E448" i="71" s="1"/>
  <c r="F449" i="71"/>
  <c r="E449" i="71" s="1"/>
  <c r="F450" i="71"/>
  <c r="F451" i="71"/>
  <c r="E451" i="71" s="1"/>
  <c r="F452" i="71"/>
  <c r="E452" i="71" s="1"/>
  <c r="F453" i="71"/>
  <c r="E453" i="71" s="1"/>
  <c r="F454" i="71"/>
  <c r="E454" i="71" s="1"/>
  <c r="F455" i="71"/>
  <c r="E455" i="71" s="1"/>
  <c r="F456" i="71"/>
  <c r="E456" i="71" s="1"/>
  <c r="F457" i="71"/>
  <c r="E457" i="71" s="1"/>
  <c r="F458" i="71"/>
  <c r="F459" i="71"/>
  <c r="AE459" i="71" s="1"/>
  <c r="F460" i="71"/>
  <c r="E460" i="71" s="1"/>
  <c r="F461" i="71"/>
  <c r="F462" i="71"/>
  <c r="E462" i="71" s="1"/>
  <c r="F463" i="71"/>
  <c r="AE463" i="71" s="1"/>
  <c r="F464" i="71"/>
  <c r="E464" i="71" s="1"/>
  <c r="F465" i="71"/>
  <c r="E465" i="71" s="1"/>
  <c r="F466" i="71"/>
  <c r="F467" i="71"/>
  <c r="E467" i="71" s="1"/>
  <c r="F468" i="71"/>
  <c r="E468" i="71" s="1"/>
  <c r="F469" i="71"/>
  <c r="AE469" i="71" s="1"/>
  <c r="F470" i="71"/>
  <c r="E470" i="71" s="1"/>
  <c r="F471" i="71"/>
  <c r="E471" i="71" s="1"/>
  <c r="F472" i="71"/>
  <c r="AE472" i="71" s="1"/>
  <c r="F473" i="71"/>
  <c r="AE473" i="71" s="1"/>
  <c r="F474" i="71"/>
  <c r="F475" i="71"/>
  <c r="E475" i="71" s="1"/>
  <c r="F476" i="71"/>
  <c r="E476" i="71" s="1"/>
  <c r="F477" i="71"/>
  <c r="AE477" i="71" s="1"/>
  <c r="F478" i="71"/>
  <c r="E478" i="71" s="1"/>
  <c r="F479" i="71"/>
  <c r="E479" i="71" s="1"/>
  <c r="F480" i="71"/>
  <c r="E480" i="71" s="1"/>
  <c r="F481" i="71"/>
  <c r="E481" i="71" s="1"/>
  <c r="F482" i="71"/>
  <c r="F483" i="71"/>
  <c r="AE483" i="71" s="1"/>
  <c r="F484" i="71"/>
  <c r="E484" i="71" s="1"/>
  <c r="F485" i="71"/>
  <c r="F486" i="71"/>
  <c r="F487" i="71"/>
  <c r="AE487" i="71" s="1"/>
  <c r="F488" i="71"/>
  <c r="E488" i="71" s="1"/>
  <c r="F489" i="71"/>
  <c r="E489" i="71" s="1"/>
  <c r="F490" i="71"/>
  <c r="F491" i="71"/>
  <c r="E491" i="71" s="1"/>
  <c r="F492" i="71"/>
  <c r="E492" i="71" s="1"/>
  <c r="F493" i="71"/>
  <c r="E493" i="71" s="1"/>
  <c r="F494" i="71"/>
  <c r="E494" i="71" s="1"/>
  <c r="F495" i="71"/>
  <c r="E495" i="71" s="1"/>
  <c r="F496" i="71"/>
  <c r="E496" i="71" s="1"/>
  <c r="F497" i="71"/>
  <c r="E497" i="71" s="1"/>
  <c r="F498" i="71"/>
  <c r="F499" i="71"/>
  <c r="AE499" i="71" s="1"/>
  <c r="F500" i="71"/>
  <c r="E500" i="71" s="1"/>
  <c r="F501" i="71"/>
  <c r="E501" i="71" s="1"/>
  <c r="F502" i="71"/>
  <c r="E502" i="71" s="1"/>
  <c r="F503" i="71"/>
  <c r="E503" i="71" s="1"/>
  <c r="F505" i="71"/>
  <c r="AE505" i="71" s="1"/>
  <c r="F506" i="71"/>
  <c r="AE506" i="71" s="1"/>
  <c r="F507" i="71"/>
  <c r="F508" i="71"/>
  <c r="E508" i="71" s="1"/>
  <c r="F509" i="71"/>
  <c r="E509" i="71" s="1"/>
  <c r="F510" i="71"/>
  <c r="F511" i="71"/>
  <c r="E511" i="71" s="1"/>
  <c r="F512" i="71"/>
  <c r="AE512" i="71" s="1"/>
  <c r="F513" i="71"/>
  <c r="E513" i="71" s="1"/>
  <c r="F514" i="71"/>
  <c r="E514" i="71" s="1"/>
  <c r="F515" i="71"/>
  <c r="F516" i="71"/>
  <c r="AE516" i="71" s="1"/>
  <c r="F517" i="71"/>
  <c r="E517" i="71" s="1"/>
  <c r="F518" i="71"/>
  <c r="E518" i="71" s="1"/>
  <c r="F519" i="71"/>
  <c r="E519" i="71" s="1"/>
  <c r="F520" i="71"/>
  <c r="E520" i="71" s="1"/>
  <c r="F521" i="71"/>
  <c r="E521" i="71" s="1"/>
  <c r="F522" i="71"/>
  <c r="E522" i="71" s="1"/>
  <c r="F523" i="71"/>
  <c r="F524" i="71"/>
  <c r="E524" i="71" s="1"/>
  <c r="F525" i="71"/>
  <c r="E525" i="71" s="1"/>
  <c r="F526" i="71"/>
  <c r="E526" i="71" s="1"/>
  <c r="F527" i="71"/>
  <c r="E527" i="71" s="1"/>
  <c r="F528" i="71"/>
  <c r="E528" i="71" s="1"/>
  <c r="F529" i="71"/>
  <c r="E529" i="71" s="1"/>
  <c r="F530" i="71"/>
  <c r="E530" i="71" s="1"/>
  <c r="F531" i="71"/>
  <c r="F532" i="71"/>
  <c r="E532" i="71" s="1"/>
  <c r="F533" i="71"/>
  <c r="E533" i="71" s="1"/>
  <c r="F534" i="71"/>
  <c r="E534" i="71" s="1"/>
  <c r="F535" i="71"/>
  <c r="E535" i="71" s="1"/>
  <c r="F536" i="71"/>
  <c r="E536" i="71" s="1"/>
  <c r="F537" i="71"/>
  <c r="E537" i="71" s="1"/>
  <c r="F538" i="71"/>
  <c r="E538" i="71" s="1"/>
  <c r="F539" i="71"/>
  <c r="F540" i="71"/>
  <c r="E540" i="71" s="1"/>
  <c r="F541" i="71"/>
  <c r="E541" i="71" s="1"/>
  <c r="F542" i="71"/>
  <c r="E542" i="71" s="1"/>
  <c r="F543" i="71"/>
  <c r="E543" i="71" s="1"/>
  <c r="F544" i="71"/>
  <c r="AE544" i="71" s="1"/>
  <c r="F545" i="71"/>
  <c r="AE545" i="71" s="1"/>
  <c r="F546" i="71"/>
  <c r="E546" i="71" s="1"/>
  <c r="F547" i="71"/>
  <c r="F548" i="71"/>
  <c r="E548" i="71" s="1"/>
  <c r="F549" i="71"/>
  <c r="E549" i="71" s="1"/>
  <c r="F550" i="71"/>
  <c r="E550" i="71" s="1"/>
  <c r="F551" i="71"/>
  <c r="E551" i="71" s="1"/>
  <c r="F552" i="71"/>
  <c r="E552" i="71" s="1"/>
  <c r="F553" i="71"/>
  <c r="E553" i="71" s="1"/>
  <c r="F554" i="71"/>
  <c r="AE554" i="71" s="1"/>
  <c r="F555" i="71"/>
  <c r="F556" i="71"/>
  <c r="E556" i="71" s="1"/>
  <c r="F557" i="71"/>
  <c r="E557" i="71" s="1"/>
  <c r="F558" i="71"/>
  <c r="F559" i="71"/>
  <c r="E559" i="71" s="1"/>
  <c r="F560" i="71"/>
  <c r="E560" i="71" s="1"/>
  <c r="F561" i="71"/>
  <c r="E561" i="71" s="1"/>
  <c r="F562" i="71"/>
  <c r="E562" i="71" s="1"/>
  <c r="F563" i="71"/>
  <c r="F564" i="71"/>
  <c r="E564" i="71" s="1"/>
  <c r="F565" i="71"/>
  <c r="E565" i="71" s="1"/>
  <c r="F566" i="71"/>
  <c r="E566" i="71" s="1"/>
  <c r="F567" i="71"/>
  <c r="AE567" i="71" s="1"/>
  <c r="F568" i="71"/>
  <c r="E568" i="71" s="1"/>
  <c r="F569" i="71"/>
  <c r="E569" i="71" s="1"/>
  <c r="F570" i="71"/>
  <c r="E570" i="71" s="1"/>
  <c r="F571" i="71"/>
  <c r="F572" i="71"/>
  <c r="E572" i="71" s="1"/>
  <c r="F573" i="71"/>
  <c r="E573" i="71" s="1"/>
  <c r="F575" i="71"/>
  <c r="E575" i="71" s="1"/>
  <c r="F576" i="71"/>
  <c r="AE576" i="71" s="1"/>
  <c r="F577" i="71"/>
  <c r="E577" i="71" s="1"/>
  <c r="F578" i="71"/>
  <c r="AE578" i="71" s="1"/>
  <c r="F579" i="71"/>
  <c r="E579" i="71" s="1"/>
  <c r="F580" i="71"/>
  <c r="F581" i="71"/>
  <c r="E581" i="71" s="1"/>
  <c r="F582" i="71"/>
  <c r="E582" i="71" s="1"/>
  <c r="F583" i="71"/>
  <c r="AE583" i="71" s="1"/>
  <c r="F584" i="71"/>
  <c r="E584" i="71" s="1"/>
  <c r="F585" i="71"/>
  <c r="E585" i="71" s="1"/>
  <c r="F586" i="71"/>
  <c r="E586" i="71" s="1"/>
  <c r="F587" i="71"/>
  <c r="AE587" i="71" s="1"/>
  <c r="F588" i="71"/>
  <c r="F589" i="71"/>
  <c r="E589" i="71" s="1"/>
  <c r="F590" i="71"/>
  <c r="E590" i="71" s="1"/>
  <c r="F591" i="71"/>
  <c r="E591" i="71" s="1"/>
  <c r="F592" i="71"/>
  <c r="E592" i="71" s="1"/>
  <c r="F593" i="71"/>
  <c r="AE593" i="71" s="1"/>
  <c r="F594" i="71"/>
  <c r="E594" i="71" s="1"/>
  <c r="F595" i="71"/>
  <c r="E595" i="71" s="1"/>
  <c r="F596" i="71"/>
  <c r="F597" i="71"/>
  <c r="E597" i="71" s="1"/>
  <c r="F598" i="71"/>
  <c r="E598" i="71" s="1"/>
  <c r="F599" i="71"/>
  <c r="E599" i="71" s="1"/>
  <c r="F600" i="71"/>
  <c r="AE600" i="71" s="1"/>
  <c r="F601" i="71"/>
  <c r="AE601" i="71" s="1"/>
  <c r="F602" i="71"/>
  <c r="E602" i="71" s="1"/>
  <c r="F603" i="71"/>
  <c r="E603" i="71" s="1"/>
  <c r="F604" i="71"/>
  <c r="F605" i="71"/>
  <c r="E605" i="71" s="1"/>
  <c r="F606" i="71"/>
  <c r="E606" i="71" s="1"/>
  <c r="F607" i="71"/>
  <c r="F608" i="71"/>
  <c r="F609" i="71"/>
  <c r="E609" i="71" s="1"/>
  <c r="F610" i="71"/>
  <c r="AE610" i="71" s="1"/>
  <c r="F611" i="71"/>
  <c r="E611" i="71" s="1"/>
  <c r="F612" i="71"/>
  <c r="F613" i="71"/>
  <c r="E613" i="71" s="1"/>
  <c r="F614" i="71"/>
  <c r="E614" i="71" s="1"/>
  <c r="F615" i="71"/>
  <c r="E615" i="71" s="1"/>
  <c r="F616" i="71"/>
  <c r="E616" i="71" s="1"/>
  <c r="F617" i="71"/>
  <c r="E617" i="71" s="1"/>
  <c r="F618" i="71"/>
  <c r="E618" i="71" s="1"/>
  <c r="F619" i="71"/>
  <c r="AE619" i="71" s="1"/>
  <c r="F620" i="71"/>
  <c r="F621" i="71"/>
  <c r="E621" i="71" s="1"/>
  <c r="F622" i="71"/>
  <c r="E622" i="71" s="1"/>
  <c r="F623" i="71"/>
  <c r="AE623" i="71" s="1"/>
  <c r="F624" i="71"/>
  <c r="E624" i="71" s="1"/>
  <c r="F625" i="71"/>
  <c r="E625" i="71" s="1"/>
  <c r="F626" i="71"/>
  <c r="AE626" i="71" s="1"/>
  <c r="F627" i="71"/>
  <c r="E627" i="71" s="1"/>
  <c r="F628" i="71"/>
  <c r="F629" i="71"/>
  <c r="E629" i="71" s="1"/>
  <c r="F630" i="71"/>
  <c r="E630" i="71" s="1"/>
  <c r="F631" i="71"/>
  <c r="F632" i="71"/>
  <c r="E632" i="71" s="1"/>
  <c r="F633" i="71"/>
  <c r="E633" i="71" s="1"/>
  <c r="F634" i="71"/>
  <c r="E634" i="71" s="1"/>
  <c r="F635" i="71"/>
  <c r="E635" i="71" s="1"/>
  <c r="F636" i="71"/>
  <c r="F637" i="71"/>
  <c r="E637" i="71" s="1"/>
  <c r="F638" i="71"/>
  <c r="E638" i="71" s="1"/>
  <c r="F639" i="71"/>
  <c r="E639" i="71" s="1"/>
  <c r="F640" i="71"/>
  <c r="E640" i="71" s="1"/>
  <c r="F641" i="71"/>
  <c r="E641" i="71" s="1"/>
  <c r="F642" i="71"/>
  <c r="AE642" i="71" s="1"/>
  <c r="F644" i="71"/>
  <c r="E644" i="71" s="1"/>
  <c r="F645" i="71"/>
  <c r="F646" i="71"/>
  <c r="E646" i="71" s="1"/>
  <c r="F647" i="71"/>
  <c r="E647" i="71" s="1"/>
  <c r="F648" i="71"/>
  <c r="E648" i="71" s="1"/>
  <c r="F649" i="71"/>
  <c r="E649" i="71" s="1"/>
  <c r="F650" i="71"/>
  <c r="E650" i="71" s="1"/>
  <c r="F651" i="71"/>
  <c r="E651" i="71" s="1"/>
  <c r="F652" i="71"/>
  <c r="AE652" i="71" s="1"/>
  <c r="F653" i="71"/>
  <c r="F654" i="71"/>
  <c r="E654" i="71" s="1"/>
  <c r="F655" i="71"/>
  <c r="E655" i="71" s="1"/>
  <c r="F656" i="71"/>
  <c r="AE656" i="71" s="1"/>
  <c r="F657" i="71"/>
  <c r="E657" i="71" s="1"/>
  <c r="F658" i="71"/>
  <c r="E658" i="71" s="1"/>
  <c r="F659" i="71"/>
  <c r="E659" i="71" s="1"/>
  <c r="F660" i="71"/>
  <c r="E660" i="71" s="1"/>
  <c r="F661" i="71"/>
  <c r="F662" i="71"/>
  <c r="E662" i="71" s="1"/>
  <c r="F663" i="71"/>
  <c r="E663" i="71" s="1"/>
  <c r="F664" i="71"/>
  <c r="E664" i="71" s="1"/>
  <c r="F665" i="71"/>
  <c r="E665" i="71" s="1"/>
  <c r="F666" i="71"/>
  <c r="E666" i="71" s="1"/>
  <c r="F667" i="71"/>
  <c r="E667" i="71" s="1"/>
  <c r="F668" i="71"/>
  <c r="E668" i="71" s="1"/>
  <c r="F669" i="71"/>
  <c r="F670" i="71"/>
  <c r="E670" i="71" s="1"/>
  <c r="F671" i="71"/>
  <c r="E671" i="71" s="1"/>
  <c r="F672" i="71"/>
  <c r="E672" i="71" s="1"/>
  <c r="F673" i="71"/>
  <c r="E673" i="71" s="1"/>
  <c r="F674" i="71"/>
  <c r="AE674" i="71" s="1"/>
  <c r="F675" i="71"/>
  <c r="E675" i="71" s="1"/>
  <c r="F676" i="71"/>
  <c r="E676" i="71" s="1"/>
  <c r="F677" i="71"/>
  <c r="F678" i="71"/>
  <c r="E678" i="71" s="1"/>
  <c r="F679" i="71"/>
  <c r="E679" i="71" s="1"/>
  <c r="F680" i="71"/>
  <c r="F681" i="71"/>
  <c r="F682" i="71"/>
  <c r="E682" i="71" s="1"/>
  <c r="F683" i="71"/>
  <c r="E683" i="71" s="1"/>
  <c r="F684" i="71"/>
  <c r="E684" i="71" s="1"/>
  <c r="F685" i="71"/>
  <c r="F686" i="71"/>
  <c r="E686" i="71" s="1"/>
  <c r="F687" i="71"/>
  <c r="E687" i="71" s="1"/>
  <c r="F688" i="71"/>
  <c r="E688" i="71" s="1"/>
  <c r="F689" i="71"/>
  <c r="AE689" i="71" s="1"/>
  <c r="F690" i="71"/>
  <c r="E690" i="71" s="1"/>
  <c r="F691" i="71"/>
  <c r="AE691" i="71" s="1"/>
  <c r="F692" i="71"/>
  <c r="AE692" i="71" s="1"/>
  <c r="F693" i="71"/>
  <c r="F694" i="71"/>
  <c r="E694" i="71" s="1"/>
  <c r="F695" i="71"/>
  <c r="E695" i="71" s="1"/>
  <c r="F696" i="71"/>
  <c r="AE696" i="71" s="1"/>
  <c r="F697" i="71"/>
  <c r="E697" i="71" s="1"/>
  <c r="F698" i="71"/>
  <c r="E698" i="71" s="1"/>
  <c r="F699" i="71"/>
  <c r="E699" i="71" s="1"/>
  <c r="F700" i="71"/>
  <c r="E700" i="71" s="1"/>
  <c r="F701" i="71"/>
  <c r="E701" i="71" s="1"/>
  <c r="F702" i="71"/>
  <c r="E702" i="71" s="1"/>
  <c r="F703" i="71"/>
  <c r="AE703" i="71" s="1"/>
  <c r="F704" i="71"/>
  <c r="F705" i="71"/>
  <c r="F706" i="71"/>
  <c r="AE706" i="71" s="1"/>
  <c r="F707" i="71"/>
  <c r="E707" i="71" s="1"/>
  <c r="F708" i="71"/>
  <c r="E708" i="71" s="1"/>
  <c r="F709" i="71"/>
  <c r="E709" i="71" s="1"/>
  <c r="F710" i="71"/>
  <c r="E710" i="71" s="1"/>
  <c r="F711" i="71"/>
  <c r="AE711" i="71" s="1"/>
  <c r="F713" i="71"/>
  <c r="E713" i="71" s="1"/>
  <c r="F714" i="71"/>
  <c r="E714" i="71" s="1"/>
  <c r="F715" i="71"/>
  <c r="E715" i="71" s="1"/>
  <c r="F716" i="71"/>
  <c r="E716" i="71" s="1"/>
  <c r="F717" i="71"/>
  <c r="E717" i="71" s="1"/>
  <c r="F718" i="71"/>
  <c r="E718" i="71" s="1"/>
  <c r="F719" i="71"/>
  <c r="E719" i="71" s="1"/>
  <c r="F720" i="71"/>
  <c r="AE720" i="71" s="1"/>
  <c r="F721" i="71"/>
  <c r="AE721" i="71" s="1"/>
  <c r="F722" i="71"/>
  <c r="E722" i="71" s="1"/>
  <c r="F723" i="71"/>
  <c r="E723" i="71" s="1"/>
  <c r="F724" i="71"/>
  <c r="AE724" i="71" s="1"/>
  <c r="F725" i="71"/>
  <c r="AE725" i="71" s="1"/>
  <c r="F726" i="71"/>
  <c r="E726" i="71" s="1"/>
  <c r="F727" i="71"/>
  <c r="E727" i="71" s="1"/>
  <c r="F728" i="71"/>
  <c r="AE728" i="71" s="1"/>
  <c r="F729" i="71"/>
  <c r="AE729" i="71" s="1"/>
  <c r="F730" i="71"/>
  <c r="E730" i="71" s="1"/>
  <c r="F731" i="71"/>
  <c r="AE731" i="71" s="1"/>
  <c r="F732" i="71"/>
  <c r="E732" i="71" s="1"/>
  <c r="F733" i="71"/>
  <c r="E733" i="71" s="1"/>
  <c r="F734" i="71"/>
  <c r="E734" i="71" s="1"/>
  <c r="F735" i="71"/>
  <c r="E735" i="71" s="1"/>
  <c r="F736" i="71"/>
  <c r="AE736" i="71" s="1"/>
  <c r="F737" i="71"/>
  <c r="E737" i="71" s="1"/>
  <c r="F738" i="71"/>
  <c r="E738" i="71" s="1"/>
  <c r="F739" i="71"/>
  <c r="E739" i="71" s="1"/>
  <c r="F740" i="71"/>
  <c r="E740" i="71" s="1"/>
  <c r="F741" i="71"/>
  <c r="E741" i="71" s="1"/>
  <c r="F742" i="71"/>
  <c r="E742" i="71" s="1"/>
  <c r="F743" i="71"/>
  <c r="E743" i="71" s="1"/>
  <c r="F744" i="71"/>
  <c r="AE744" i="71" s="1"/>
  <c r="F745" i="71"/>
  <c r="E745" i="71" s="1"/>
  <c r="F746" i="71"/>
  <c r="E746" i="71" s="1"/>
  <c r="F747" i="71"/>
  <c r="E747" i="71" s="1"/>
  <c r="F748" i="71"/>
  <c r="E748" i="71" s="1"/>
  <c r="F749" i="71"/>
  <c r="E749" i="71" s="1"/>
  <c r="F750" i="71"/>
  <c r="E750" i="71" s="1"/>
  <c r="F751" i="71"/>
  <c r="E751" i="71" s="1"/>
  <c r="F752" i="71"/>
  <c r="AE752" i="71" s="1"/>
  <c r="F753" i="71"/>
  <c r="F754" i="71"/>
  <c r="F755" i="71"/>
  <c r="AE755" i="71" s="1"/>
  <c r="F756" i="71"/>
  <c r="AE756" i="71" s="1"/>
  <c r="F757" i="71"/>
  <c r="AE757" i="71" s="1"/>
  <c r="F758" i="71"/>
  <c r="E758" i="71" s="1"/>
  <c r="F759" i="71"/>
  <c r="AE759" i="71" s="1"/>
  <c r="F760" i="71"/>
  <c r="AE760" i="71" s="1"/>
  <c r="F761" i="71"/>
  <c r="E761" i="71" s="1"/>
  <c r="F762" i="71"/>
  <c r="AE762" i="71" s="1"/>
  <c r="F763" i="71"/>
  <c r="AE763" i="71" s="1"/>
  <c r="F764" i="71"/>
  <c r="E764" i="71" s="1"/>
  <c r="F765" i="71"/>
  <c r="E765" i="71" s="1"/>
  <c r="F766" i="71"/>
  <c r="E766" i="71" s="1"/>
  <c r="F767" i="71"/>
  <c r="E767" i="71" s="1"/>
  <c r="F768" i="71"/>
  <c r="AE768" i="71" s="1"/>
  <c r="F769" i="71"/>
  <c r="AE769" i="71" s="1"/>
  <c r="F770" i="71"/>
  <c r="AE770" i="71" s="1"/>
  <c r="F771" i="71"/>
  <c r="E771" i="71" s="1"/>
  <c r="F772" i="71"/>
  <c r="E772" i="71" s="1"/>
  <c r="F773" i="71"/>
  <c r="E773" i="71" s="1"/>
  <c r="F774" i="71"/>
  <c r="E774" i="71" s="1"/>
  <c r="F775" i="71"/>
  <c r="AE775" i="71" s="1"/>
  <c r="F776" i="71"/>
  <c r="AE776" i="71" s="1"/>
  <c r="F777" i="71"/>
  <c r="F778" i="71"/>
  <c r="E778" i="71" s="1"/>
  <c r="F779" i="71"/>
  <c r="AE779" i="71" s="1"/>
  <c r="F780" i="71"/>
  <c r="E780" i="71" s="1"/>
  <c r="F782" i="71"/>
  <c r="E782" i="71" s="1"/>
  <c r="F783" i="71"/>
  <c r="E783" i="71" s="1"/>
  <c r="F784" i="71"/>
  <c r="E784" i="71" s="1"/>
  <c r="F785" i="71"/>
  <c r="AE785" i="71" s="1"/>
  <c r="F786" i="71"/>
  <c r="AE786" i="71" s="1"/>
  <c r="F787" i="71"/>
  <c r="AE787" i="71" s="1"/>
  <c r="F788" i="71"/>
  <c r="E788" i="71" s="1"/>
  <c r="F789" i="71"/>
  <c r="AE789" i="71" s="1"/>
  <c r="F790" i="71"/>
  <c r="AE790" i="71" s="1"/>
  <c r="F791" i="71"/>
  <c r="E791" i="71" s="1"/>
  <c r="F792" i="71"/>
  <c r="AE792" i="71" s="1"/>
  <c r="F793" i="71"/>
  <c r="AE793" i="71" s="1"/>
  <c r="F794" i="71"/>
  <c r="AE794" i="71" s="1"/>
  <c r="F795" i="71"/>
  <c r="AE795" i="71" s="1"/>
  <c r="F796" i="71"/>
  <c r="E796" i="71" s="1"/>
  <c r="F797" i="71"/>
  <c r="E797" i="71" s="1"/>
  <c r="F798" i="71"/>
  <c r="E798" i="71" s="1"/>
  <c r="F799" i="71"/>
  <c r="E799" i="71" s="1"/>
  <c r="F800" i="71"/>
  <c r="E800" i="71" s="1"/>
  <c r="F801" i="71"/>
  <c r="AE801" i="71" s="1"/>
  <c r="F802" i="71"/>
  <c r="F803" i="71"/>
  <c r="AE803" i="71" s="1"/>
  <c r="F804" i="71"/>
  <c r="E804" i="71" s="1"/>
  <c r="F805" i="71"/>
  <c r="E805" i="71" s="1"/>
  <c r="F806" i="71"/>
  <c r="E806" i="71" s="1"/>
  <c r="F807" i="71"/>
  <c r="E807" i="71" s="1"/>
  <c r="F808" i="71"/>
  <c r="AE808" i="71" s="1"/>
  <c r="F809" i="71"/>
  <c r="AE809" i="71" s="1"/>
  <c r="F810" i="71"/>
  <c r="E810" i="71" s="1"/>
  <c r="F811" i="71"/>
  <c r="E811" i="71" s="1"/>
  <c r="F812" i="71"/>
  <c r="AE812" i="71" s="1"/>
  <c r="F813" i="71"/>
  <c r="E813" i="71" s="1"/>
  <c r="F814" i="71"/>
  <c r="E814" i="71" s="1"/>
  <c r="F815" i="71"/>
  <c r="E815" i="71" s="1"/>
  <c r="F816" i="71"/>
  <c r="AE816" i="71" s="1"/>
  <c r="F817" i="71"/>
  <c r="AE817" i="71" s="1"/>
  <c r="F818" i="71"/>
  <c r="AE818" i="71" s="1"/>
  <c r="F819" i="71"/>
  <c r="AE819" i="71" s="1"/>
  <c r="F820" i="71"/>
  <c r="AE820" i="71" s="1"/>
  <c r="F821" i="71"/>
  <c r="AE821" i="71" s="1"/>
  <c r="F822" i="71"/>
  <c r="AE822" i="71" s="1"/>
  <c r="F823" i="71"/>
  <c r="E823" i="71" s="1"/>
  <c r="F824" i="71"/>
  <c r="E824" i="71" s="1"/>
  <c r="F825" i="71"/>
  <c r="AE825" i="71" s="1"/>
  <c r="F826" i="71"/>
  <c r="F827" i="71"/>
  <c r="AE827" i="71" s="1"/>
  <c r="F828" i="71"/>
  <c r="E828" i="71" s="1"/>
  <c r="F829" i="71"/>
  <c r="E829" i="71" s="1"/>
  <c r="F830" i="71"/>
  <c r="E830" i="71" s="1"/>
  <c r="F831" i="71"/>
  <c r="E831" i="71" s="1"/>
  <c r="F832" i="71"/>
  <c r="E832" i="71" s="1"/>
  <c r="F833" i="71"/>
  <c r="AE833" i="71" s="1"/>
  <c r="F834" i="71"/>
  <c r="E834" i="71" s="1"/>
  <c r="F835" i="71"/>
  <c r="AE835" i="71" s="1"/>
  <c r="F836" i="71"/>
  <c r="E836" i="71" s="1"/>
  <c r="F837" i="71"/>
  <c r="E837" i="71" s="1"/>
  <c r="F838" i="71"/>
  <c r="E838" i="71" s="1"/>
  <c r="F839" i="71"/>
  <c r="E839" i="71" s="1"/>
  <c r="F840" i="71"/>
  <c r="E840" i="71" s="1"/>
  <c r="F841" i="71"/>
  <c r="AE841" i="71" s="1"/>
  <c r="F842" i="71"/>
  <c r="E842" i="71" s="1"/>
  <c r="F843" i="71"/>
  <c r="AE843" i="71" s="1"/>
  <c r="F844" i="71"/>
  <c r="E844" i="71" s="1"/>
  <c r="F845" i="71"/>
  <c r="E845" i="71" s="1"/>
  <c r="F846" i="71"/>
  <c r="E846" i="71" s="1"/>
  <c r="F847" i="71"/>
  <c r="E847" i="71" s="1"/>
  <c r="F848" i="71"/>
  <c r="E848" i="71" s="1"/>
  <c r="F849" i="71"/>
  <c r="AE849" i="71" s="1"/>
  <c r="F851" i="71"/>
  <c r="F852" i="71"/>
  <c r="AE852" i="71" s="1"/>
  <c r="F853" i="71"/>
  <c r="E853" i="71" s="1"/>
  <c r="F854" i="71"/>
  <c r="AE854" i="71" s="1"/>
  <c r="F855" i="71"/>
  <c r="AE855" i="71" s="1"/>
  <c r="F856" i="71"/>
  <c r="E856" i="71" s="1"/>
  <c r="F857" i="71"/>
  <c r="E857" i="71" s="1"/>
  <c r="F858" i="71"/>
  <c r="AE858" i="71" s="1"/>
  <c r="F859" i="71"/>
  <c r="AE859" i="71" s="1"/>
  <c r="F860" i="71"/>
  <c r="E860" i="71" s="1"/>
  <c r="F861" i="71"/>
  <c r="E861" i="71" s="1"/>
  <c r="F862" i="71"/>
  <c r="E862" i="71" s="1"/>
  <c r="F863" i="71"/>
  <c r="E863" i="71" s="1"/>
  <c r="F864" i="71"/>
  <c r="E864" i="71" s="1"/>
  <c r="F865" i="71"/>
  <c r="E865" i="71" s="1"/>
  <c r="F866" i="71"/>
  <c r="AE866" i="71" s="1"/>
  <c r="F867" i="71"/>
  <c r="AE867" i="71" s="1"/>
  <c r="F868" i="71"/>
  <c r="AE868" i="71" s="1"/>
  <c r="F869" i="71"/>
  <c r="AE869" i="71" s="1"/>
  <c r="F870" i="71"/>
  <c r="E870" i="71" s="1"/>
  <c r="F871" i="71"/>
  <c r="E871" i="71" s="1"/>
  <c r="F872" i="71"/>
  <c r="E872" i="71" s="1"/>
  <c r="F873" i="71"/>
  <c r="E873" i="71" s="1"/>
  <c r="F874" i="71"/>
  <c r="AE874" i="71" s="1"/>
  <c r="F875" i="71"/>
  <c r="F876" i="71"/>
  <c r="E876" i="71" s="1"/>
  <c r="F877" i="71"/>
  <c r="E877" i="71" s="1"/>
  <c r="F878" i="71"/>
  <c r="E878" i="71" s="1"/>
  <c r="F879" i="71"/>
  <c r="E879" i="71" s="1"/>
  <c r="F880" i="71"/>
  <c r="E880" i="71" s="1"/>
  <c r="F881" i="71"/>
  <c r="E881" i="71" s="1"/>
  <c r="F882" i="71"/>
  <c r="AE882" i="71" s="1"/>
  <c r="F883" i="71"/>
  <c r="E883" i="71" s="1"/>
  <c r="F884" i="71"/>
  <c r="AE884" i="71" s="1"/>
  <c r="F885" i="71"/>
  <c r="E885" i="71" s="1"/>
  <c r="F886" i="71"/>
  <c r="AE886" i="71" s="1"/>
  <c r="F887" i="71"/>
  <c r="AE887" i="71" s="1"/>
  <c r="F888" i="71"/>
  <c r="E888" i="71" s="1"/>
  <c r="F889" i="71"/>
  <c r="E889" i="71" s="1"/>
  <c r="F890" i="71"/>
  <c r="AE890" i="71" s="1"/>
  <c r="F891" i="71"/>
  <c r="E891" i="71" s="1"/>
  <c r="F892" i="71"/>
  <c r="AE892" i="71" s="1"/>
  <c r="F893" i="71"/>
  <c r="AE893" i="71" s="1"/>
  <c r="F894" i="71"/>
  <c r="E894" i="71" s="1"/>
  <c r="F895" i="71"/>
  <c r="E895" i="71" s="1"/>
  <c r="F896" i="71"/>
  <c r="E896" i="71" s="1"/>
  <c r="F897" i="71"/>
  <c r="AE897" i="71" s="1"/>
  <c r="F898" i="71"/>
  <c r="AE898" i="71" s="1"/>
  <c r="F899" i="71"/>
  <c r="E899" i="71" s="1"/>
  <c r="F900" i="71"/>
  <c r="AE900" i="71" s="1"/>
  <c r="F901" i="71"/>
  <c r="E901" i="71" s="1"/>
  <c r="F902" i="71"/>
  <c r="E902" i="71" s="1"/>
  <c r="F903" i="71"/>
  <c r="E903" i="71" s="1"/>
  <c r="F904" i="71"/>
  <c r="E904" i="71" s="1"/>
  <c r="F905" i="71"/>
  <c r="E905" i="71" s="1"/>
  <c r="F906" i="71"/>
  <c r="AE906" i="71" s="1"/>
  <c r="F907" i="71"/>
  <c r="AE907" i="71" s="1"/>
  <c r="F908" i="71"/>
  <c r="AE908" i="71" s="1"/>
  <c r="F909" i="71"/>
  <c r="E909" i="71" s="1"/>
  <c r="F910" i="71"/>
  <c r="E910" i="71" s="1"/>
  <c r="F911" i="71"/>
  <c r="E911" i="71" s="1"/>
  <c r="F912" i="71"/>
  <c r="E912" i="71" s="1"/>
  <c r="F913" i="71"/>
  <c r="AE913" i="71" s="1"/>
  <c r="F914" i="71"/>
  <c r="AE914" i="71" s="1"/>
  <c r="F915" i="71"/>
  <c r="AE915" i="71" s="1"/>
  <c r="F916" i="71"/>
  <c r="AE916" i="71" s="1"/>
  <c r="F917" i="71"/>
  <c r="AE917" i="71" s="1"/>
  <c r="F918" i="71"/>
  <c r="AE918" i="71" s="1"/>
  <c r="F920" i="71"/>
  <c r="AE920" i="71" s="1"/>
  <c r="F921" i="71"/>
  <c r="E921" i="71" s="1"/>
  <c r="F922" i="71"/>
  <c r="E922" i="71" s="1"/>
  <c r="F923" i="71"/>
  <c r="AE923" i="71" s="1"/>
  <c r="F924" i="71"/>
  <c r="F925" i="71"/>
  <c r="E925" i="71" s="1"/>
  <c r="F926" i="71"/>
  <c r="E926" i="71" s="1"/>
  <c r="F927" i="71"/>
  <c r="E927" i="71" s="1"/>
  <c r="F928" i="71"/>
  <c r="E928" i="71" s="1"/>
  <c r="F929" i="71"/>
  <c r="E929" i="71" s="1"/>
  <c r="F930" i="71"/>
  <c r="AE930" i="71" s="1"/>
  <c r="F931" i="71"/>
  <c r="AE931" i="71" s="1"/>
  <c r="F932" i="71"/>
  <c r="E932" i="71" s="1"/>
  <c r="F933" i="71"/>
  <c r="AE933" i="71" s="1"/>
  <c r="F934" i="71"/>
  <c r="E934" i="71" s="1"/>
  <c r="F935" i="71"/>
  <c r="E935" i="71" s="1"/>
  <c r="F936" i="71"/>
  <c r="E936" i="71" s="1"/>
  <c r="F937" i="71"/>
  <c r="E937" i="71" s="1"/>
  <c r="F938" i="71"/>
  <c r="E938" i="71" s="1"/>
  <c r="F939" i="71"/>
  <c r="AE939" i="71" s="1"/>
  <c r="F940" i="71"/>
  <c r="AE940" i="71" s="1"/>
  <c r="F941" i="71"/>
  <c r="E941" i="71" s="1"/>
  <c r="F942" i="71"/>
  <c r="E942" i="71" s="1"/>
  <c r="F943" i="71"/>
  <c r="E943" i="71" s="1"/>
  <c r="F944" i="71"/>
  <c r="E944" i="71" s="1"/>
  <c r="F945" i="71"/>
  <c r="E945" i="71" s="1"/>
  <c r="F946" i="71"/>
  <c r="E946" i="71" s="1"/>
  <c r="F947" i="71"/>
  <c r="AE947" i="71" s="1"/>
  <c r="F948" i="71"/>
  <c r="F949" i="71"/>
  <c r="AE949" i="71" s="1"/>
  <c r="F950" i="71"/>
  <c r="AE950" i="71" s="1"/>
  <c r="F951" i="71"/>
  <c r="AE951" i="71" s="1"/>
  <c r="F952" i="71"/>
  <c r="AE952" i="71" s="1"/>
  <c r="F953" i="71"/>
  <c r="E953" i="71" s="1"/>
  <c r="F954" i="71"/>
  <c r="E954" i="71" s="1"/>
  <c r="F955" i="71"/>
  <c r="AE955" i="71" s="1"/>
  <c r="F956" i="71"/>
  <c r="AE956" i="71" s="1"/>
  <c r="F957" i="71"/>
  <c r="AE957" i="71" s="1"/>
  <c r="F958" i="71"/>
  <c r="AE958" i="71" s="1"/>
  <c r="F959" i="71"/>
  <c r="AE959" i="71" s="1"/>
  <c r="F960" i="71"/>
  <c r="E960" i="71" s="1"/>
  <c r="F961" i="71"/>
  <c r="E961" i="71" s="1"/>
  <c r="F962" i="71"/>
  <c r="E962" i="71" s="1"/>
  <c r="F963" i="71"/>
  <c r="AE963" i="71" s="1"/>
  <c r="F964" i="71"/>
  <c r="E964" i="71" s="1"/>
  <c r="F965" i="71"/>
  <c r="AE965" i="71" s="1"/>
  <c r="F966" i="71"/>
  <c r="AE966" i="71" s="1"/>
  <c r="F967" i="71"/>
  <c r="E967" i="71" s="1"/>
  <c r="F968" i="71"/>
  <c r="AE968" i="71" s="1"/>
  <c r="F969" i="71"/>
  <c r="E969" i="71" s="1"/>
  <c r="F970" i="71"/>
  <c r="E970" i="71" s="1"/>
  <c r="F971" i="71"/>
  <c r="AE971" i="71" s="1"/>
  <c r="F972" i="71"/>
  <c r="E972" i="71" s="1"/>
  <c r="F973" i="71"/>
  <c r="F974" i="71"/>
  <c r="E974" i="71" s="1"/>
  <c r="F975" i="71"/>
  <c r="AE975" i="71" s="1"/>
  <c r="F976" i="71"/>
  <c r="AE976" i="71" s="1"/>
  <c r="F977" i="71"/>
  <c r="E977" i="71" s="1"/>
  <c r="F978" i="71"/>
  <c r="E978" i="71" s="1"/>
  <c r="F979" i="71"/>
  <c r="AE979" i="71" s="1"/>
  <c r="F980" i="71"/>
  <c r="AE980" i="71" s="1"/>
  <c r="F981" i="71"/>
  <c r="AE981" i="71" s="1"/>
  <c r="F982" i="71"/>
  <c r="E982" i="71" s="1"/>
  <c r="F983" i="71"/>
  <c r="E983" i="71" s="1"/>
  <c r="F984" i="71"/>
  <c r="E984" i="71" s="1"/>
  <c r="F985" i="71"/>
  <c r="E985" i="71" s="1"/>
  <c r="F986" i="71"/>
  <c r="E986" i="71" s="1"/>
  <c r="F987" i="71"/>
  <c r="AE987" i="71" s="1"/>
  <c r="F989" i="71"/>
  <c r="E989" i="71" s="1"/>
  <c r="F990" i="71"/>
  <c r="E990" i="71" s="1"/>
  <c r="F991" i="71"/>
  <c r="E991" i="71" s="1"/>
  <c r="F992" i="71"/>
  <c r="E992" i="71" s="1"/>
  <c r="F993" i="71"/>
  <c r="E993" i="71" s="1"/>
  <c r="F994" i="71"/>
  <c r="E994" i="71" s="1"/>
  <c r="F995" i="71"/>
  <c r="E995" i="71" s="1"/>
  <c r="F996" i="71"/>
  <c r="AE996" i="71" s="1"/>
  <c r="F997" i="71"/>
  <c r="F998" i="71"/>
  <c r="AE998" i="71" s="1"/>
  <c r="F999" i="71"/>
  <c r="AE999" i="71" s="1"/>
  <c r="F1000" i="71"/>
  <c r="E1000" i="71" s="1"/>
  <c r="F1001" i="71"/>
  <c r="E1001" i="71" s="1"/>
  <c r="F1002" i="71"/>
  <c r="E1002" i="71" s="1"/>
  <c r="F1003" i="71"/>
  <c r="E1003" i="71" s="1"/>
  <c r="F1004" i="71"/>
  <c r="AE1004" i="71" s="1"/>
  <c r="F1005" i="71"/>
  <c r="E1005" i="71" s="1"/>
  <c r="F1006" i="71"/>
  <c r="E1006" i="71" s="1"/>
  <c r="F1007" i="71"/>
  <c r="E1007" i="71" s="1"/>
  <c r="F1008" i="71"/>
  <c r="AE1008" i="71" s="1"/>
  <c r="F1009" i="71"/>
  <c r="AE1009" i="71" s="1"/>
  <c r="F1010" i="71"/>
  <c r="E1010" i="71" s="1"/>
  <c r="F1011" i="71"/>
  <c r="E1011" i="71" s="1"/>
  <c r="F1012" i="71"/>
  <c r="AE1012" i="71" s="1"/>
  <c r="F1013" i="71"/>
  <c r="E1013" i="71" s="1"/>
  <c r="F1014" i="71"/>
  <c r="AE1014" i="71" s="1"/>
  <c r="F1015" i="71"/>
  <c r="E1015" i="71" s="1"/>
  <c r="F1016" i="71"/>
  <c r="E1016" i="71" s="1"/>
  <c r="F1017" i="71"/>
  <c r="E1017" i="71" s="1"/>
  <c r="F1018" i="71"/>
  <c r="E1018" i="71" s="1"/>
  <c r="F1019" i="71"/>
  <c r="E1019" i="71" s="1"/>
  <c r="F1020" i="71"/>
  <c r="AE1020" i="71" s="1"/>
  <c r="F1021" i="71"/>
  <c r="F1022" i="71"/>
  <c r="E1022" i="71" s="1"/>
  <c r="F1023" i="71"/>
  <c r="E1023" i="71" s="1"/>
  <c r="F1024" i="71"/>
  <c r="E1024" i="71" s="1"/>
  <c r="F1025" i="71"/>
  <c r="E1025" i="71" s="1"/>
  <c r="F1026" i="71"/>
  <c r="E1026" i="71" s="1"/>
  <c r="F1027" i="71"/>
  <c r="E1027" i="71" s="1"/>
  <c r="F1028" i="71"/>
  <c r="AE1028" i="71" s="1"/>
  <c r="F1029" i="71"/>
  <c r="E1029" i="71" s="1"/>
  <c r="F1030" i="71"/>
  <c r="AE1030" i="71" s="1"/>
  <c r="F1031" i="71"/>
  <c r="E1031" i="71" s="1"/>
  <c r="F1032" i="71"/>
  <c r="E1032" i="71" s="1"/>
  <c r="F1033" i="71"/>
  <c r="E1033" i="71" s="1"/>
  <c r="F1034" i="71"/>
  <c r="E1034" i="71" s="1"/>
  <c r="F1035" i="71"/>
  <c r="E1035" i="71" s="1"/>
  <c r="F1036" i="71"/>
  <c r="AE1036" i="71" s="1"/>
  <c r="F1037" i="71"/>
  <c r="AE1037" i="71" s="1"/>
  <c r="F1038" i="71"/>
  <c r="AE1038" i="71" s="1"/>
  <c r="F1039" i="71"/>
  <c r="E1039" i="71" s="1"/>
  <c r="F1040" i="71"/>
  <c r="AE1040" i="71" s="1"/>
  <c r="F1041" i="71"/>
  <c r="AE1041" i="71" s="1"/>
  <c r="F1042" i="71"/>
  <c r="E1042" i="71" s="1"/>
  <c r="F1043" i="71"/>
  <c r="E1043" i="71" s="1"/>
  <c r="F1044" i="71"/>
  <c r="AE1044" i="71" s="1"/>
  <c r="F1045" i="71"/>
  <c r="AE1045" i="71" s="1"/>
  <c r="F1046" i="71"/>
  <c r="AE1046" i="71" s="1"/>
  <c r="F1047" i="71"/>
  <c r="E1047" i="71" s="1"/>
  <c r="F1048" i="71"/>
  <c r="E1048" i="71" s="1"/>
  <c r="F1049" i="71"/>
  <c r="E1049" i="71" s="1"/>
  <c r="F1050" i="71"/>
  <c r="E1050" i="71" s="1"/>
  <c r="F1051" i="71"/>
  <c r="E1051" i="71" s="1"/>
  <c r="F1052" i="71"/>
  <c r="AE1052" i="71" s="1"/>
  <c r="F1053" i="71"/>
  <c r="AE1053" i="71" s="1"/>
  <c r="F1054" i="71"/>
  <c r="AE1054" i="71" s="1"/>
  <c r="F1055" i="71"/>
  <c r="AE1055" i="71" s="1"/>
  <c r="F1056" i="71"/>
  <c r="E1056" i="71" s="1"/>
  <c r="F1058" i="71"/>
  <c r="AE1058" i="71" s="1"/>
  <c r="F1059" i="71"/>
  <c r="E1059" i="71" s="1"/>
  <c r="F1060" i="71"/>
  <c r="E1060" i="71" s="1"/>
  <c r="F1061" i="71"/>
  <c r="AE1061" i="71" s="1"/>
  <c r="F1062" i="71"/>
  <c r="AE1062" i="71" s="1"/>
  <c r="F1063" i="71"/>
  <c r="AE1063" i="71" s="1"/>
  <c r="F1064" i="71"/>
  <c r="E1064" i="71" s="1"/>
  <c r="F1065" i="71"/>
  <c r="E1065" i="71" s="1"/>
  <c r="F1066" i="71"/>
  <c r="E1066" i="71" s="1"/>
  <c r="F1067" i="71"/>
  <c r="E1067" i="71" s="1"/>
  <c r="F1068" i="71"/>
  <c r="AE1068" i="71" s="1"/>
  <c r="F1069" i="71"/>
  <c r="AE1069" i="71" s="1"/>
  <c r="F1070" i="71"/>
  <c r="E1070" i="71" s="1"/>
  <c r="F1071" i="71"/>
  <c r="AE1071" i="71" s="1"/>
  <c r="F1072" i="71"/>
  <c r="E1072" i="71" s="1"/>
  <c r="F1073" i="71"/>
  <c r="E1073" i="71" s="1"/>
  <c r="F1074" i="71"/>
  <c r="E1074" i="71" s="1"/>
  <c r="F1075" i="71"/>
  <c r="E1075" i="71" s="1"/>
  <c r="F1076" i="71"/>
  <c r="E1076" i="71" s="1"/>
  <c r="F1077" i="71"/>
  <c r="AE1077" i="71" s="1"/>
  <c r="F1078" i="71"/>
  <c r="E1078" i="71" s="1"/>
  <c r="F1079" i="71"/>
  <c r="AE1079" i="71" s="1"/>
  <c r="F1080" i="71"/>
  <c r="AE1080" i="71" s="1"/>
  <c r="F1081" i="71"/>
  <c r="AE1081" i="71" s="1"/>
  <c r="F1082" i="71"/>
  <c r="E1082" i="71" s="1"/>
  <c r="F1083" i="71"/>
  <c r="E1083" i="71" s="1"/>
  <c r="F1084" i="71"/>
  <c r="AE1084" i="71" s="1"/>
  <c r="F1085" i="71"/>
  <c r="AE1085" i="71" s="1"/>
  <c r="F1086" i="71"/>
  <c r="AE1086" i="71" s="1"/>
  <c r="F1087" i="71"/>
  <c r="AE1087" i="71" s="1"/>
  <c r="F1088" i="71"/>
  <c r="E1088" i="71" s="1"/>
  <c r="F1089" i="71"/>
  <c r="E1089" i="71" s="1"/>
  <c r="F1090" i="71"/>
  <c r="AE1090" i="71" s="1"/>
  <c r="F1091" i="71"/>
  <c r="E1091" i="71" s="1"/>
  <c r="F1092" i="71"/>
  <c r="E1092" i="71" s="1"/>
  <c r="F1093" i="71"/>
  <c r="AE1093" i="71" s="1"/>
  <c r="F1094" i="71"/>
  <c r="F1095" i="71"/>
  <c r="AE1095" i="71" s="1"/>
  <c r="F1096" i="71"/>
  <c r="E1096" i="71" s="1"/>
  <c r="F1097" i="71"/>
  <c r="E1097" i="71" s="1"/>
  <c r="F1098" i="71"/>
  <c r="E1098" i="71" s="1"/>
  <c r="F1099" i="71"/>
  <c r="E1099" i="71" s="1"/>
  <c r="F1100" i="71"/>
  <c r="AE1100" i="71" s="1"/>
  <c r="F1101" i="71"/>
  <c r="AE1101" i="71" s="1"/>
  <c r="F1102" i="71"/>
  <c r="E1102" i="71" s="1"/>
  <c r="F1103" i="71"/>
  <c r="E1103" i="71" s="1"/>
  <c r="F1104" i="71"/>
  <c r="E1104" i="71" s="1"/>
  <c r="F1105" i="71"/>
  <c r="E1105" i="71" s="1"/>
  <c r="F1106" i="71"/>
  <c r="E1106" i="71" s="1"/>
  <c r="F1107" i="71"/>
  <c r="E1107" i="71" s="1"/>
  <c r="F8" i="71"/>
  <c r="AE8" i="71" s="1"/>
  <c r="G6" i="20"/>
  <c r="E60" i="74"/>
  <c r="BV23" i="69"/>
  <c r="DI23" i="69" s="1"/>
  <c r="BV14" i="69"/>
  <c r="DI14" i="69" s="1"/>
  <c r="BV9" i="69"/>
  <c r="DI9" i="69" s="1"/>
  <c r="BV4" i="69"/>
  <c r="DI4" i="69" s="1"/>
  <c r="DE21" i="69"/>
  <c r="DD21" i="69"/>
  <c r="DC21" i="69"/>
  <c r="DB21" i="69"/>
  <c r="DA21" i="69"/>
  <c r="CZ21" i="69"/>
  <c r="CU21" i="69"/>
  <c r="CT21" i="69"/>
  <c r="CS21" i="69"/>
  <c r="CR21" i="69"/>
  <c r="CQ21" i="69"/>
  <c r="CP21" i="69"/>
  <c r="DE19" i="69"/>
  <c r="DD19" i="69"/>
  <c r="DC19" i="69"/>
  <c r="DB19" i="69"/>
  <c r="DA19" i="69"/>
  <c r="CZ19" i="69"/>
  <c r="CU19" i="69"/>
  <c r="CT19" i="69"/>
  <c r="CS19" i="69"/>
  <c r="CR19" i="69"/>
  <c r="CQ19" i="69"/>
  <c r="CP19" i="69"/>
  <c r="BR21" i="69"/>
  <c r="BQ21" i="69"/>
  <c r="BP21" i="69"/>
  <c r="BO21" i="69"/>
  <c r="BN21" i="69"/>
  <c r="BM21" i="69"/>
  <c r="BH21" i="69"/>
  <c r="BG21" i="69"/>
  <c r="BF21" i="69"/>
  <c r="BE21" i="69"/>
  <c r="BD21" i="69"/>
  <c r="BC21" i="69"/>
  <c r="BR19" i="69"/>
  <c r="BQ19" i="69"/>
  <c r="BP19" i="69"/>
  <c r="BO19" i="69"/>
  <c r="BN19" i="69"/>
  <c r="BM19" i="69"/>
  <c r="BH19" i="69"/>
  <c r="BG19" i="69"/>
  <c r="BF19" i="69"/>
  <c r="BE19" i="69"/>
  <c r="BD19" i="69"/>
  <c r="BC19" i="69"/>
  <c r="CF66" i="69"/>
  <c r="CG66" i="69"/>
  <c r="CH66" i="69"/>
  <c r="CI66" i="69"/>
  <c r="AC46" i="47"/>
  <c r="AD46" i="47"/>
  <c r="AE46" i="47"/>
  <c r="AB46" i="47"/>
  <c r="S46" i="47"/>
  <c r="T46" i="47"/>
  <c r="U46" i="47"/>
  <c r="R46" i="47"/>
  <c r="AV66" i="69"/>
  <c r="AU66" i="69"/>
  <c r="AT66" i="69"/>
  <c r="AS66" i="69"/>
  <c r="AI23" i="69"/>
  <c r="AI65" i="69" s="1"/>
  <c r="M4" i="75" s="1"/>
  <c r="AI14" i="69"/>
  <c r="AI64" i="69" s="1"/>
  <c r="J4" i="75" s="1"/>
  <c r="AI9" i="69"/>
  <c r="AI63" i="69" s="1"/>
  <c r="G4" i="75" s="1"/>
  <c r="AI4" i="69"/>
  <c r="AI62" i="69" s="1"/>
  <c r="D4" i="75" s="1"/>
  <c r="E48" i="69"/>
  <c r="AE147" i="48"/>
  <c r="AB147" i="48"/>
  <c r="Z147" i="48"/>
  <c r="AC147" i="48" s="1"/>
  <c r="R147" i="48"/>
  <c r="U147" i="48"/>
  <c r="P147" i="48"/>
  <c r="S147" i="48" s="1"/>
  <c r="Q71" i="47"/>
  <c r="R72" i="47"/>
  <c r="S72" i="47"/>
  <c r="T72" i="47"/>
  <c r="U72" i="47"/>
  <c r="V72" i="47"/>
  <c r="AA21" i="69"/>
  <c r="Z21" i="69"/>
  <c r="AA19" i="69"/>
  <c r="Z19" i="69"/>
  <c r="P21" i="69"/>
  <c r="P19" i="69"/>
  <c r="AF72" i="47"/>
  <c r="AE72" i="47"/>
  <c r="AD72" i="47"/>
  <c r="AC72" i="47"/>
  <c r="AB72" i="47"/>
  <c r="AA71" i="47"/>
  <c r="AH32" i="2"/>
  <c r="AH31" i="2"/>
  <c r="AH30" i="2"/>
  <c r="AG122" i="4"/>
  <c r="AF122" i="4"/>
  <c r="AG120" i="4"/>
  <c r="AE105" i="4"/>
  <c r="AE112" i="4"/>
  <c r="AE23" i="48" s="1"/>
  <c r="AA105" i="4"/>
  <c r="AD94" i="4"/>
  <c r="AD112" i="4" s="1"/>
  <c r="AA94" i="4"/>
  <c r="AC87" i="4"/>
  <c r="AC112" i="4"/>
  <c r="AC23" i="48" s="1"/>
  <c r="AA87" i="4"/>
  <c r="AB81" i="4"/>
  <c r="AB112" i="4" s="1"/>
  <c r="AA81" i="4"/>
  <c r="AH47" i="4"/>
  <c r="AH25" i="4"/>
  <c r="AH24" i="4"/>
  <c r="AH23" i="4"/>
  <c r="AH22" i="4"/>
  <c r="AH21" i="4"/>
  <c r="AH20" i="4"/>
  <c r="AH19" i="4"/>
  <c r="AH18" i="4"/>
  <c r="AH17" i="4"/>
  <c r="AH16" i="4"/>
  <c r="Q30" i="2"/>
  <c r="R30" i="2"/>
  <c r="S30" i="2"/>
  <c r="T30" i="2"/>
  <c r="U30" i="2"/>
  <c r="V30" i="2"/>
  <c r="W30" i="2"/>
  <c r="X32" i="2"/>
  <c r="X31" i="2"/>
  <c r="X71" i="4"/>
  <c r="X47" i="4"/>
  <c r="X25" i="4"/>
  <c r="X24" i="4"/>
  <c r="X23" i="4"/>
  <c r="X22" i="4"/>
  <c r="X21" i="4"/>
  <c r="X20" i="4"/>
  <c r="X19" i="4"/>
  <c r="X18" i="4"/>
  <c r="X17" i="4"/>
  <c r="X16" i="4"/>
  <c r="W122" i="4"/>
  <c r="V122" i="4"/>
  <c r="W120" i="4"/>
  <c r="U105" i="4"/>
  <c r="U112" i="4" s="1"/>
  <c r="Q105" i="4"/>
  <c r="T94" i="4"/>
  <c r="T112" i="4" s="1"/>
  <c r="Q94" i="4"/>
  <c r="S87" i="4"/>
  <c r="S112" i="4" s="1"/>
  <c r="Q87" i="4"/>
  <c r="Q112" i="4" s="1"/>
  <c r="R81" i="4"/>
  <c r="R112" i="4" s="1"/>
  <c r="Q81" i="4"/>
  <c r="AO36" i="74"/>
  <c r="AN36" i="74"/>
  <c r="AM36" i="74"/>
  <c r="AL36" i="74"/>
  <c r="AK36" i="74"/>
  <c r="AJ36" i="74"/>
  <c r="AI36" i="74"/>
  <c r="X8" i="76"/>
  <c r="AM8" i="76"/>
  <c r="Z36" i="74"/>
  <c r="Y36" i="74"/>
  <c r="X36" i="74"/>
  <c r="W36" i="74"/>
  <c r="V36" i="74"/>
  <c r="AP5" i="74"/>
  <c r="AA5" i="74"/>
  <c r="DD72" i="76"/>
  <c r="DC72" i="76"/>
  <c r="DB72" i="76"/>
  <c r="DA72" i="76"/>
  <c r="CZ72" i="76"/>
  <c r="CY72" i="76"/>
  <c r="CX72" i="76"/>
  <c r="CW72" i="76"/>
  <c r="CV72" i="76"/>
  <c r="CU72" i="76"/>
  <c r="CT72" i="76"/>
  <c r="CS72" i="76"/>
  <c r="CR72" i="76"/>
  <c r="CQ72" i="76"/>
  <c r="CP72" i="76"/>
  <c r="CO72" i="76"/>
  <c r="DD71" i="76"/>
  <c r="DC71" i="76"/>
  <c r="DB71" i="76"/>
  <c r="DA71" i="76"/>
  <c r="CZ71" i="76"/>
  <c r="CY71" i="76"/>
  <c r="CX71" i="76"/>
  <c r="CW71" i="76"/>
  <c r="CV71" i="76"/>
  <c r="CU71" i="76"/>
  <c r="CT71" i="76"/>
  <c r="CS71" i="76"/>
  <c r="CR71" i="76"/>
  <c r="CQ71" i="76"/>
  <c r="CP71" i="76"/>
  <c r="CO71" i="76"/>
  <c r="DD70" i="76"/>
  <c r="DC70" i="76"/>
  <c r="DB70" i="76"/>
  <c r="DA70" i="76"/>
  <c r="CZ70" i="76"/>
  <c r="CY70" i="76"/>
  <c r="CX70" i="76"/>
  <c r="CW70" i="76"/>
  <c r="CV70" i="76"/>
  <c r="CU70" i="76"/>
  <c r="CT70" i="76"/>
  <c r="CS70" i="76"/>
  <c r="CR70" i="76"/>
  <c r="CQ70" i="76"/>
  <c r="CP70" i="76"/>
  <c r="CO70" i="76"/>
  <c r="DD69" i="76"/>
  <c r="DC69" i="76"/>
  <c r="DB69" i="76"/>
  <c r="DA69" i="76"/>
  <c r="CZ69" i="76"/>
  <c r="CY69" i="76"/>
  <c r="CX69" i="76"/>
  <c r="CW69" i="76"/>
  <c r="CV69" i="76"/>
  <c r="CU69" i="76"/>
  <c r="CT69" i="76"/>
  <c r="CS69" i="76"/>
  <c r="CR69" i="76"/>
  <c r="CQ69" i="76"/>
  <c r="CP69" i="76"/>
  <c r="CO69" i="76"/>
  <c r="DD68" i="76"/>
  <c r="DC68" i="76"/>
  <c r="DB68" i="76"/>
  <c r="DA68" i="76"/>
  <c r="CZ68" i="76"/>
  <c r="CY68" i="76"/>
  <c r="CX68" i="76"/>
  <c r="CW68" i="76"/>
  <c r="CV68" i="76"/>
  <c r="CU68" i="76"/>
  <c r="CT68" i="76"/>
  <c r="CS68" i="76"/>
  <c r="CR68" i="76"/>
  <c r="CQ68" i="76"/>
  <c r="CP68" i="76"/>
  <c r="CO68" i="76"/>
  <c r="DD67" i="76"/>
  <c r="DC67" i="76"/>
  <c r="DB67" i="76"/>
  <c r="DA67" i="76"/>
  <c r="CZ67" i="76"/>
  <c r="CY67" i="76"/>
  <c r="CX67" i="76"/>
  <c r="CW67" i="76"/>
  <c r="CV67" i="76"/>
  <c r="CU67" i="76"/>
  <c r="CT67" i="76"/>
  <c r="CS67" i="76"/>
  <c r="CR67" i="76"/>
  <c r="CQ67" i="76"/>
  <c r="CP67" i="76"/>
  <c r="CO67" i="76"/>
  <c r="DD66" i="76"/>
  <c r="DC66" i="76"/>
  <c r="DB66" i="76"/>
  <c r="DA66" i="76"/>
  <c r="CZ66" i="76"/>
  <c r="CY66" i="76"/>
  <c r="CX66" i="76"/>
  <c r="CW66" i="76"/>
  <c r="CV66" i="76"/>
  <c r="CU66" i="76"/>
  <c r="CT66" i="76"/>
  <c r="CS66" i="76"/>
  <c r="CR66" i="76"/>
  <c r="CQ66" i="76"/>
  <c r="CP66" i="76"/>
  <c r="CO66" i="76"/>
  <c r="DD65" i="76"/>
  <c r="DC65" i="76"/>
  <c r="DB65" i="76"/>
  <c r="DA65" i="76"/>
  <c r="CZ65" i="76"/>
  <c r="CY65" i="76"/>
  <c r="CX65" i="76"/>
  <c r="CW65" i="76"/>
  <c r="CV65" i="76"/>
  <c r="CU65" i="76"/>
  <c r="CT65" i="76"/>
  <c r="CS65" i="76"/>
  <c r="CR65" i="76"/>
  <c r="CQ65" i="76"/>
  <c r="CP65" i="76"/>
  <c r="CO65" i="76"/>
  <c r="DD64" i="76"/>
  <c r="DC64" i="76"/>
  <c r="DB64" i="76"/>
  <c r="DA64" i="76"/>
  <c r="CZ64" i="76"/>
  <c r="CY64" i="76"/>
  <c r="CX64" i="76"/>
  <c r="CW64" i="76"/>
  <c r="CV64" i="76"/>
  <c r="CU64" i="76"/>
  <c r="CT64" i="76"/>
  <c r="CS64" i="76"/>
  <c r="CR64" i="76"/>
  <c r="CQ64" i="76"/>
  <c r="CP64" i="76"/>
  <c r="CO64" i="76"/>
  <c r="DD63" i="76"/>
  <c r="DC63" i="76"/>
  <c r="DB63" i="76"/>
  <c r="DA63" i="76"/>
  <c r="CZ63" i="76"/>
  <c r="CY63" i="76"/>
  <c r="CX63" i="76"/>
  <c r="CW63" i="76"/>
  <c r="CV63" i="76"/>
  <c r="CU63" i="76"/>
  <c r="CT63" i="76"/>
  <c r="CS63" i="76"/>
  <c r="CR63" i="76"/>
  <c r="CQ63" i="76"/>
  <c r="CP63" i="76"/>
  <c r="CO63" i="76"/>
  <c r="DD62" i="76"/>
  <c r="DC62" i="76"/>
  <c r="DB62" i="76"/>
  <c r="DA62" i="76"/>
  <c r="CZ62" i="76"/>
  <c r="CY62" i="76"/>
  <c r="CX62" i="76"/>
  <c r="CW62" i="76"/>
  <c r="CV62" i="76"/>
  <c r="CU62" i="76"/>
  <c r="CT62" i="76"/>
  <c r="CS62" i="76"/>
  <c r="CR62" i="76"/>
  <c r="CQ62" i="76"/>
  <c r="CP62" i="76"/>
  <c r="CO62" i="76"/>
  <c r="DD61" i="76"/>
  <c r="DC61" i="76"/>
  <c r="DB61" i="76"/>
  <c r="DA61" i="76"/>
  <c r="CZ61" i="76"/>
  <c r="CY61" i="76"/>
  <c r="CX61" i="76"/>
  <c r="CW61" i="76"/>
  <c r="CV61" i="76"/>
  <c r="CU61" i="76"/>
  <c r="CT61" i="76"/>
  <c r="CS61" i="76"/>
  <c r="CR61" i="76"/>
  <c r="CQ61" i="76"/>
  <c r="CP61" i="76"/>
  <c r="CO61" i="76"/>
  <c r="DD60" i="76"/>
  <c r="DC60" i="76"/>
  <c r="DB60" i="76"/>
  <c r="DA60" i="76"/>
  <c r="CZ60" i="76"/>
  <c r="CY60" i="76"/>
  <c r="CX60" i="76"/>
  <c r="CW60" i="76"/>
  <c r="CV60" i="76"/>
  <c r="CU60" i="76"/>
  <c r="CT60" i="76"/>
  <c r="CS60" i="76"/>
  <c r="CR60" i="76"/>
  <c r="CQ60" i="76"/>
  <c r="CP60" i="76"/>
  <c r="CO60" i="76"/>
  <c r="DD59" i="76"/>
  <c r="DC59" i="76"/>
  <c r="DB59" i="76"/>
  <c r="DA59" i="76"/>
  <c r="CZ59" i="76"/>
  <c r="CY59" i="76"/>
  <c r="CX59" i="76"/>
  <c r="CW59" i="76"/>
  <c r="CV59" i="76"/>
  <c r="CU59" i="76"/>
  <c r="CT59" i="76"/>
  <c r="CS59" i="76"/>
  <c r="CR59" i="76"/>
  <c r="CQ59" i="76"/>
  <c r="CP59" i="76"/>
  <c r="CO59" i="76"/>
  <c r="DD58" i="76"/>
  <c r="DC58" i="76"/>
  <c r="DB58" i="76"/>
  <c r="DA58" i="76"/>
  <c r="CZ58" i="76"/>
  <c r="CY58" i="76"/>
  <c r="CX58" i="76"/>
  <c r="CW58" i="76"/>
  <c r="CV58" i="76"/>
  <c r="CU58" i="76"/>
  <c r="CT58" i="76"/>
  <c r="CS58" i="76"/>
  <c r="CR58" i="76"/>
  <c r="CQ58" i="76"/>
  <c r="CP58" i="76"/>
  <c r="CO58" i="76"/>
  <c r="DD57" i="76"/>
  <c r="DC57" i="76"/>
  <c r="DB57" i="76"/>
  <c r="DA57" i="76"/>
  <c r="CZ57" i="76"/>
  <c r="CY57" i="76"/>
  <c r="CX57" i="76"/>
  <c r="CW57" i="76"/>
  <c r="CV57" i="76"/>
  <c r="CU57" i="76"/>
  <c r="CT57" i="76"/>
  <c r="CS57" i="76"/>
  <c r="CR57" i="76"/>
  <c r="CQ57" i="76"/>
  <c r="CP57" i="76"/>
  <c r="CO57" i="76"/>
  <c r="DD56" i="76"/>
  <c r="DC56" i="76"/>
  <c r="DB56" i="76"/>
  <c r="DA56" i="76"/>
  <c r="CZ56" i="76"/>
  <c r="CY56" i="76"/>
  <c r="CX56" i="76"/>
  <c r="CW56" i="76"/>
  <c r="CV56" i="76"/>
  <c r="CU56" i="76"/>
  <c r="CT56" i="76"/>
  <c r="CS56" i="76"/>
  <c r="CR56" i="76"/>
  <c r="CQ56" i="76"/>
  <c r="CP56" i="76"/>
  <c r="CO56" i="76"/>
  <c r="DD55" i="76"/>
  <c r="DC55" i="76"/>
  <c r="DB55" i="76"/>
  <c r="DA55" i="76"/>
  <c r="CZ55" i="76"/>
  <c r="CY55" i="76"/>
  <c r="CX55" i="76"/>
  <c r="CW55" i="76"/>
  <c r="CV55" i="76"/>
  <c r="CU55" i="76"/>
  <c r="CT55" i="76"/>
  <c r="CS55" i="76"/>
  <c r="CR55" i="76"/>
  <c r="CQ55" i="76"/>
  <c r="CP55" i="76"/>
  <c r="CO55" i="76"/>
  <c r="DD54" i="76"/>
  <c r="DC54" i="76"/>
  <c r="DB54" i="76"/>
  <c r="DA54" i="76"/>
  <c r="CZ54" i="76"/>
  <c r="CY54" i="76"/>
  <c r="CX54" i="76"/>
  <c r="CW54" i="76"/>
  <c r="CV54" i="76"/>
  <c r="CU54" i="76"/>
  <c r="CT54" i="76"/>
  <c r="CS54" i="76"/>
  <c r="CR54" i="76"/>
  <c r="CQ54" i="76"/>
  <c r="CP54" i="76"/>
  <c r="CO54" i="76"/>
  <c r="DD53" i="76"/>
  <c r="DC53" i="76"/>
  <c r="DB53" i="76"/>
  <c r="DA53" i="76"/>
  <c r="CZ53" i="76"/>
  <c r="CY53" i="76"/>
  <c r="CX53" i="76"/>
  <c r="CW53" i="76"/>
  <c r="CV53" i="76"/>
  <c r="CU53" i="76"/>
  <c r="CT53" i="76"/>
  <c r="CS53" i="76"/>
  <c r="CR53" i="76"/>
  <c r="CQ53" i="76"/>
  <c r="CP53" i="76"/>
  <c r="CO53" i="76"/>
  <c r="DD52" i="76"/>
  <c r="DC52" i="76"/>
  <c r="DB52" i="76"/>
  <c r="DA52" i="76"/>
  <c r="CZ52" i="76"/>
  <c r="CY52" i="76"/>
  <c r="CX52" i="76"/>
  <c r="CW52" i="76"/>
  <c r="CV52" i="76"/>
  <c r="CU52" i="76"/>
  <c r="CT52" i="76"/>
  <c r="CS52" i="76"/>
  <c r="CR52" i="76"/>
  <c r="CQ52" i="76"/>
  <c r="CP52" i="76"/>
  <c r="CO52" i="76"/>
  <c r="DD51" i="76"/>
  <c r="DC51" i="76"/>
  <c r="DB51" i="76"/>
  <c r="DA51" i="76"/>
  <c r="CZ51" i="76"/>
  <c r="CY51" i="76"/>
  <c r="CX51" i="76"/>
  <c r="CW51" i="76"/>
  <c r="CV51" i="76"/>
  <c r="CU51" i="76"/>
  <c r="CT51" i="76"/>
  <c r="CS51" i="76"/>
  <c r="CR51" i="76"/>
  <c r="CQ51" i="76"/>
  <c r="CP51" i="76"/>
  <c r="CO51" i="76"/>
  <c r="DD50" i="76"/>
  <c r="DC50" i="76"/>
  <c r="DB50" i="76"/>
  <c r="DA50" i="76"/>
  <c r="CZ50" i="76"/>
  <c r="CY50" i="76"/>
  <c r="CX50" i="76"/>
  <c r="CW50" i="76"/>
  <c r="CV50" i="76"/>
  <c r="CU50" i="76"/>
  <c r="CT50" i="76"/>
  <c r="CS50" i="76"/>
  <c r="CR50" i="76"/>
  <c r="CQ50" i="76"/>
  <c r="CP50" i="76"/>
  <c r="CO50" i="76"/>
  <c r="DD49" i="76"/>
  <c r="DC49" i="76"/>
  <c r="DB49" i="76"/>
  <c r="DA49" i="76"/>
  <c r="CZ49" i="76"/>
  <c r="CY49" i="76"/>
  <c r="CX49" i="76"/>
  <c r="CW49" i="76"/>
  <c r="CV49" i="76"/>
  <c r="CU49" i="76"/>
  <c r="CT49" i="76"/>
  <c r="CS49" i="76"/>
  <c r="CR49" i="76"/>
  <c r="CQ49" i="76"/>
  <c r="CP49" i="76"/>
  <c r="CO49" i="76"/>
  <c r="DD48" i="76"/>
  <c r="DC48" i="76"/>
  <c r="DB48" i="76"/>
  <c r="DA48" i="76"/>
  <c r="CZ48" i="76"/>
  <c r="CY48" i="76"/>
  <c r="CX48" i="76"/>
  <c r="CW48" i="76"/>
  <c r="CV48" i="76"/>
  <c r="CU48" i="76"/>
  <c r="CT48" i="76"/>
  <c r="CS48" i="76"/>
  <c r="CR48" i="76"/>
  <c r="CQ48" i="76"/>
  <c r="CP48" i="76"/>
  <c r="CO48" i="76"/>
  <c r="DD47" i="76"/>
  <c r="DC47" i="76"/>
  <c r="DB47" i="76"/>
  <c r="DA47" i="76"/>
  <c r="CZ47" i="76"/>
  <c r="CY47" i="76"/>
  <c r="CX47" i="76"/>
  <c r="CW47" i="76"/>
  <c r="CV47" i="76"/>
  <c r="CU47" i="76"/>
  <c r="CT47" i="76"/>
  <c r="CS47" i="76"/>
  <c r="CR47" i="76"/>
  <c r="CQ47" i="76"/>
  <c r="CP47" i="76"/>
  <c r="CO47" i="76"/>
  <c r="DD46" i="76"/>
  <c r="DC46" i="76"/>
  <c r="DB46" i="76"/>
  <c r="DA46" i="76"/>
  <c r="CZ46" i="76"/>
  <c r="CY46" i="76"/>
  <c r="CX46" i="76"/>
  <c r="CW46" i="76"/>
  <c r="CV46" i="76"/>
  <c r="CU46" i="76"/>
  <c r="CT46" i="76"/>
  <c r="CS46" i="76"/>
  <c r="CR46" i="76"/>
  <c r="CQ46" i="76"/>
  <c r="CP46" i="76"/>
  <c r="CO46" i="76"/>
  <c r="DD45" i="76"/>
  <c r="DC45" i="76"/>
  <c r="DB45" i="76"/>
  <c r="DA45" i="76"/>
  <c r="CZ45" i="76"/>
  <c r="CY45" i="76"/>
  <c r="CX45" i="76"/>
  <c r="CW45" i="76"/>
  <c r="CV45" i="76"/>
  <c r="CU45" i="76"/>
  <c r="CT45" i="76"/>
  <c r="CS45" i="76"/>
  <c r="CR45" i="76"/>
  <c r="CQ45" i="76"/>
  <c r="CP45" i="76"/>
  <c r="CO45" i="76"/>
  <c r="DD44" i="76"/>
  <c r="DC44" i="76"/>
  <c r="DB44" i="76"/>
  <c r="DA44" i="76"/>
  <c r="CZ44" i="76"/>
  <c r="CY44" i="76"/>
  <c r="CX44" i="76"/>
  <c r="CW44" i="76"/>
  <c r="CV44" i="76"/>
  <c r="CU44" i="76"/>
  <c r="CT44" i="76"/>
  <c r="CS44" i="76"/>
  <c r="CR44" i="76"/>
  <c r="CQ44" i="76"/>
  <c r="CP44" i="76"/>
  <c r="CO44" i="76"/>
  <c r="DD43" i="76"/>
  <c r="DC43" i="76"/>
  <c r="DB43" i="76"/>
  <c r="DA43" i="76"/>
  <c r="CZ43" i="76"/>
  <c r="CY43" i="76"/>
  <c r="CX43" i="76"/>
  <c r="CW43" i="76"/>
  <c r="CV43" i="76"/>
  <c r="CU43" i="76"/>
  <c r="CT43" i="76"/>
  <c r="CS43" i="76"/>
  <c r="CR43" i="76"/>
  <c r="CQ43" i="76"/>
  <c r="CP43" i="76"/>
  <c r="CO43" i="76"/>
  <c r="DD42" i="76"/>
  <c r="DC42" i="76"/>
  <c r="DB42" i="76"/>
  <c r="DA42" i="76"/>
  <c r="CZ42" i="76"/>
  <c r="CY42" i="76"/>
  <c r="CX42" i="76"/>
  <c r="CW42" i="76"/>
  <c r="CV42" i="76"/>
  <c r="CU42" i="76"/>
  <c r="CT42" i="76"/>
  <c r="CS42" i="76"/>
  <c r="CR42" i="76"/>
  <c r="CQ42" i="76"/>
  <c r="CP42" i="76"/>
  <c r="CO42" i="76"/>
  <c r="DD41" i="76"/>
  <c r="DC41" i="76"/>
  <c r="DB41" i="76"/>
  <c r="DA41" i="76"/>
  <c r="CZ41" i="76"/>
  <c r="CY41" i="76"/>
  <c r="CX41" i="76"/>
  <c r="CW41" i="76"/>
  <c r="CV41" i="76"/>
  <c r="CU41" i="76"/>
  <c r="CT41" i="76"/>
  <c r="CS41" i="76"/>
  <c r="CR41" i="76"/>
  <c r="CQ41" i="76"/>
  <c r="CP41" i="76"/>
  <c r="CO41" i="76"/>
  <c r="DD40" i="76"/>
  <c r="DC40" i="76"/>
  <c r="DB40" i="76"/>
  <c r="DA40" i="76"/>
  <c r="CZ40" i="76"/>
  <c r="CY40" i="76"/>
  <c r="CX40" i="76"/>
  <c r="CW40" i="76"/>
  <c r="CV40" i="76"/>
  <c r="CU40" i="76"/>
  <c r="CT40" i="76"/>
  <c r="CS40" i="76"/>
  <c r="CR40" i="76"/>
  <c r="CQ40" i="76"/>
  <c r="CP40" i="76"/>
  <c r="CO40" i="76"/>
  <c r="DD39" i="76"/>
  <c r="DC39" i="76"/>
  <c r="DB39" i="76"/>
  <c r="DA39" i="76"/>
  <c r="CZ39" i="76"/>
  <c r="CY39" i="76"/>
  <c r="CX39" i="76"/>
  <c r="CW39" i="76"/>
  <c r="CV39" i="76"/>
  <c r="CU39" i="76"/>
  <c r="CT39" i="76"/>
  <c r="CS39" i="76"/>
  <c r="CR39" i="76"/>
  <c r="CQ39" i="76"/>
  <c r="CP39" i="76"/>
  <c r="CO39" i="76"/>
  <c r="DD38" i="76"/>
  <c r="DC38" i="76"/>
  <c r="DB38" i="76"/>
  <c r="DA38" i="76"/>
  <c r="CZ38" i="76"/>
  <c r="CY38" i="76"/>
  <c r="CX38" i="76"/>
  <c r="CW38" i="76"/>
  <c r="CV38" i="76"/>
  <c r="CU38" i="76"/>
  <c r="CT38" i="76"/>
  <c r="CS38" i="76"/>
  <c r="CR38" i="76"/>
  <c r="CQ38" i="76"/>
  <c r="CP38" i="76"/>
  <c r="CO38" i="76"/>
  <c r="DD37" i="76"/>
  <c r="DC37" i="76"/>
  <c r="DB37" i="76"/>
  <c r="DA37" i="76"/>
  <c r="CZ37" i="76"/>
  <c r="CY37" i="76"/>
  <c r="CX37" i="76"/>
  <c r="CW37" i="76"/>
  <c r="CV37" i="76"/>
  <c r="CU37" i="76"/>
  <c r="CT37" i="76"/>
  <c r="CS37" i="76"/>
  <c r="CR37" i="76"/>
  <c r="CQ37" i="76"/>
  <c r="CP37" i="76"/>
  <c r="CO37" i="76"/>
  <c r="DD36" i="76"/>
  <c r="DC36" i="76"/>
  <c r="DB36" i="76"/>
  <c r="DA36" i="76"/>
  <c r="CZ36" i="76"/>
  <c r="CY36" i="76"/>
  <c r="CX36" i="76"/>
  <c r="CW36" i="76"/>
  <c r="CV36" i="76"/>
  <c r="CU36" i="76"/>
  <c r="CT36" i="76"/>
  <c r="CS36" i="76"/>
  <c r="CR36" i="76"/>
  <c r="CQ36" i="76"/>
  <c r="CP36" i="76"/>
  <c r="CO36" i="76"/>
  <c r="DD35" i="76"/>
  <c r="DC35" i="76"/>
  <c r="DB35" i="76"/>
  <c r="DA35" i="76"/>
  <c r="CZ35" i="76"/>
  <c r="CY35" i="76"/>
  <c r="CX35" i="76"/>
  <c r="CW35" i="76"/>
  <c r="CV35" i="76"/>
  <c r="CU35" i="76"/>
  <c r="CT35" i="76"/>
  <c r="CS35" i="76"/>
  <c r="CR35" i="76"/>
  <c r="CQ35" i="76"/>
  <c r="CP35" i="76"/>
  <c r="CO35" i="76"/>
  <c r="DD34" i="76"/>
  <c r="DC34" i="76"/>
  <c r="DB34" i="76"/>
  <c r="DA34" i="76"/>
  <c r="CZ34" i="76"/>
  <c r="CY34" i="76"/>
  <c r="CX34" i="76"/>
  <c r="CW34" i="76"/>
  <c r="CV34" i="76"/>
  <c r="CU34" i="76"/>
  <c r="CT34" i="76"/>
  <c r="CS34" i="76"/>
  <c r="CR34" i="76"/>
  <c r="CQ34" i="76"/>
  <c r="CP34" i="76"/>
  <c r="CO34" i="76"/>
  <c r="DD33" i="76"/>
  <c r="DC33" i="76"/>
  <c r="DB33" i="76"/>
  <c r="DA33" i="76"/>
  <c r="CZ33" i="76"/>
  <c r="CY33" i="76"/>
  <c r="CX33" i="76"/>
  <c r="CW33" i="76"/>
  <c r="CV33" i="76"/>
  <c r="CU33" i="76"/>
  <c r="CT33" i="76"/>
  <c r="CS33" i="76"/>
  <c r="CR33" i="76"/>
  <c r="CQ33" i="76"/>
  <c r="CP33" i="76"/>
  <c r="CO33" i="76"/>
  <c r="DD32" i="76"/>
  <c r="DC32" i="76"/>
  <c r="DB32" i="76"/>
  <c r="DA32" i="76"/>
  <c r="CZ32" i="76"/>
  <c r="CY32" i="76"/>
  <c r="CX32" i="76"/>
  <c r="CW32" i="76"/>
  <c r="CV32" i="76"/>
  <c r="CU32" i="76"/>
  <c r="CT32" i="76"/>
  <c r="CS32" i="76"/>
  <c r="CR32" i="76"/>
  <c r="CQ32" i="76"/>
  <c r="CP32" i="76"/>
  <c r="CO32" i="76"/>
  <c r="DD31" i="76"/>
  <c r="DC31" i="76"/>
  <c r="DB31" i="76"/>
  <c r="DA31" i="76"/>
  <c r="CZ31" i="76"/>
  <c r="CY31" i="76"/>
  <c r="CX31" i="76"/>
  <c r="CW31" i="76"/>
  <c r="CV31" i="76"/>
  <c r="CU31" i="76"/>
  <c r="CT31" i="76"/>
  <c r="CS31" i="76"/>
  <c r="CR31" i="76"/>
  <c r="CQ31" i="76"/>
  <c r="CP31" i="76"/>
  <c r="CO31" i="76"/>
  <c r="DD30" i="76"/>
  <c r="DC30" i="76"/>
  <c r="DB30" i="76"/>
  <c r="DA30" i="76"/>
  <c r="CZ30" i="76"/>
  <c r="CY30" i="76"/>
  <c r="CX30" i="76"/>
  <c r="CW30" i="76"/>
  <c r="CV30" i="76"/>
  <c r="CU30" i="76"/>
  <c r="CT30" i="76"/>
  <c r="CS30" i="76"/>
  <c r="CR30" i="76"/>
  <c r="CQ30" i="76"/>
  <c r="CP30" i="76"/>
  <c r="CO30" i="76"/>
  <c r="DD29" i="76"/>
  <c r="DC29" i="76"/>
  <c r="DB29" i="76"/>
  <c r="DA29" i="76"/>
  <c r="CZ29" i="76"/>
  <c r="CY29" i="76"/>
  <c r="CX29" i="76"/>
  <c r="CW29" i="76"/>
  <c r="CV29" i="76"/>
  <c r="CU29" i="76"/>
  <c r="CT29" i="76"/>
  <c r="CS29" i="76"/>
  <c r="CR29" i="76"/>
  <c r="CQ29" i="76"/>
  <c r="CP29" i="76"/>
  <c r="CO29" i="76"/>
  <c r="DD28" i="76"/>
  <c r="DC28" i="76"/>
  <c r="DB28" i="76"/>
  <c r="DA28" i="76"/>
  <c r="CZ28" i="76"/>
  <c r="CY28" i="76"/>
  <c r="CX28" i="76"/>
  <c r="CW28" i="76"/>
  <c r="CV28" i="76"/>
  <c r="CU28" i="76"/>
  <c r="CT28" i="76"/>
  <c r="CS28" i="76"/>
  <c r="CR28" i="76"/>
  <c r="CQ28" i="76"/>
  <c r="CP28" i="76"/>
  <c r="CO28" i="76"/>
  <c r="DD27" i="76"/>
  <c r="DC27" i="76"/>
  <c r="DB27" i="76"/>
  <c r="DA27" i="76"/>
  <c r="CZ27" i="76"/>
  <c r="CY27" i="76"/>
  <c r="CX27" i="76"/>
  <c r="CW27" i="76"/>
  <c r="CV27" i="76"/>
  <c r="CU27" i="76"/>
  <c r="CT27" i="76"/>
  <c r="CS27" i="76"/>
  <c r="CR27" i="76"/>
  <c r="CQ27" i="76"/>
  <c r="CP27" i="76"/>
  <c r="CO27" i="76"/>
  <c r="DD26" i="76"/>
  <c r="DC26" i="76"/>
  <c r="DB26" i="76"/>
  <c r="DA26" i="76"/>
  <c r="CZ26" i="76"/>
  <c r="CY26" i="76"/>
  <c r="CX26" i="76"/>
  <c r="CW26" i="76"/>
  <c r="CV26" i="76"/>
  <c r="CU26" i="76"/>
  <c r="CT26" i="76"/>
  <c r="CS26" i="76"/>
  <c r="CR26" i="76"/>
  <c r="CQ26" i="76"/>
  <c r="CP26" i="76"/>
  <c r="CO26" i="76"/>
  <c r="DD25" i="76"/>
  <c r="DC25" i="76"/>
  <c r="DB25" i="76"/>
  <c r="DA25" i="76"/>
  <c r="CZ25" i="76"/>
  <c r="CY25" i="76"/>
  <c r="CX25" i="76"/>
  <c r="CW25" i="76"/>
  <c r="CV25" i="76"/>
  <c r="CU25" i="76"/>
  <c r="CT25" i="76"/>
  <c r="CS25" i="76"/>
  <c r="CR25" i="76"/>
  <c r="CQ25" i="76"/>
  <c r="CP25" i="76"/>
  <c r="CO25" i="76"/>
  <c r="DD24" i="76"/>
  <c r="DC24" i="76"/>
  <c r="DB24" i="76"/>
  <c r="DA24" i="76"/>
  <c r="CZ24" i="76"/>
  <c r="CY24" i="76"/>
  <c r="CX24" i="76"/>
  <c r="CW24" i="76"/>
  <c r="CV24" i="76"/>
  <c r="CU24" i="76"/>
  <c r="CT24" i="76"/>
  <c r="CS24" i="76"/>
  <c r="CR24" i="76"/>
  <c r="CQ24" i="76"/>
  <c r="CP24" i="76"/>
  <c r="CO24" i="76"/>
  <c r="DD22" i="76"/>
  <c r="DC22" i="76"/>
  <c r="DB22" i="76"/>
  <c r="DA22" i="76"/>
  <c r="CZ22" i="76"/>
  <c r="CY22" i="76"/>
  <c r="CX22" i="76"/>
  <c r="CW22" i="76"/>
  <c r="CV22" i="76"/>
  <c r="CU22" i="76"/>
  <c r="CT22" i="76"/>
  <c r="CS22" i="76"/>
  <c r="CR22" i="76"/>
  <c r="CQ22" i="76"/>
  <c r="CP22" i="76"/>
  <c r="CO22" i="76"/>
  <c r="DD21" i="76"/>
  <c r="DC21" i="76"/>
  <c r="DB21" i="76"/>
  <c r="DA21" i="76"/>
  <c r="CZ21" i="76"/>
  <c r="CY21" i="76"/>
  <c r="CX21" i="76"/>
  <c r="CW21" i="76"/>
  <c r="CV21" i="76"/>
  <c r="CU21" i="76"/>
  <c r="CT21" i="76"/>
  <c r="CS21" i="76"/>
  <c r="CR21" i="76"/>
  <c r="CQ21" i="76"/>
  <c r="CP21" i="76"/>
  <c r="CO21" i="76"/>
  <c r="DD20" i="76"/>
  <c r="DC20" i="76"/>
  <c r="DB20" i="76"/>
  <c r="DA20" i="76"/>
  <c r="CZ20" i="76"/>
  <c r="CY20" i="76"/>
  <c r="CX20" i="76"/>
  <c r="CW20" i="76"/>
  <c r="CV20" i="76"/>
  <c r="CU20" i="76"/>
  <c r="CT20" i="76"/>
  <c r="CS20" i="76"/>
  <c r="CR20" i="76"/>
  <c r="CQ20" i="76"/>
  <c r="CP20" i="76"/>
  <c r="CO20" i="76"/>
  <c r="DD19" i="76"/>
  <c r="DC19" i="76"/>
  <c r="DB19" i="76"/>
  <c r="DA19" i="76"/>
  <c r="CZ19" i="76"/>
  <c r="CY19" i="76"/>
  <c r="CX19" i="76"/>
  <c r="CW19" i="76"/>
  <c r="CV19" i="76"/>
  <c r="CU19" i="76"/>
  <c r="CT19" i="76"/>
  <c r="CS19" i="76"/>
  <c r="CR19" i="76"/>
  <c r="CQ19" i="76"/>
  <c r="CP19" i="76"/>
  <c r="CO19" i="76"/>
  <c r="DD18" i="76"/>
  <c r="DC18" i="76"/>
  <c r="DB18" i="76"/>
  <c r="DA18" i="76"/>
  <c r="CZ18" i="76"/>
  <c r="CY18" i="76"/>
  <c r="CX18" i="76"/>
  <c r="CW18" i="76"/>
  <c r="CV18" i="76"/>
  <c r="CU18" i="76"/>
  <c r="CT18" i="76"/>
  <c r="CS18" i="76"/>
  <c r="CR18" i="76"/>
  <c r="CQ18" i="76"/>
  <c r="CP18" i="76"/>
  <c r="CO18" i="76"/>
  <c r="DD17" i="76"/>
  <c r="DC17" i="76"/>
  <c r="DB17" i="76"/>
  <c r="DA17" i="76"/>
  <c r="CZ17" i="76"/>
  <c r="CY17" i="76"/>
  <c r="CX17" i="76"/>
  <c r="CW17" i="76"/>
  <c r="CV17" i="76"/>
  <c r="CU17" i="76"/>
  <c r="CT17" i="76"/>
  <c r="CS17" i="76"/>
  <c r="CR17" i="76"/>
  <c r="CQ17" i="76"/>
  <c r="CP17" i="76"/>
  <c r="CO17" i="76"/>
  <c r="DD16" i="76"/>
  <c r="DC16" i="76"/>
  <c r="DB16" i="76"/>
  <c r="DA16" i="76"/>
  <c r="CZ16" i="76"/>
  <c r="CY16" i="76"/>
  <c r="CX16" i="76"/>
  <c r="CW16" i="76"/>
  <c r="CV16" i="76"/>
  <c r="CU16" i="76"/>
  <c r="CT16" i="76"/>
  <c r="CS16" i="76"/>
  <c r="CR16" i="76"/>
  <c r="CQ16" i="76"/>
  <c r="CP16" i="76"/>
  <c r="CO16" i="76"/>
  <c r="DD15" i="76"/>
  <c r="DC15" i="76"/>
  <c r="DB15" i="76"/>
  <c r="DA15" i="76"/>
  <c r="CZ15" i="76"/>
  <c r="CY15" i="76"/>
  <c r="CX15" i="76"/>
  <c r="CW15" i="76"/>
  <c r="CV15" i="76"/>
  <c r="CU15" i="76"/>
  <c r="CT15" i="76"/>
  <c r="CS15" i="76"/>
  <c r="CR15" i="76"/>
  <c r="CQ15" i="76"/>
  <c r="CP15" i="76"/>
  <c r="CO15" i="76"/>
  <c r="DD14" i="76"/>
  <c r="DC14" i="76"/>
  <c r="DB14" i="76"/>
  <c r="DA14" i="76"/>
  <c r="CZ14" i="76"/>
  <c r="CY14" i="76"/>
  <c r="CX14" i="76"/>
  <c r="CW14" i="76"/>
  <c r="CV14" i="76"/>
  <c r="CU14" i="76"/>
  <c r="CT14" i="76"/>
  <c r="CS14" i="76"/>
  <c r="CR14" i="76"/>
  <c r="CQ14" i="76"/>
  <c r="CP14" i="76"/>
  <c r="CO14" i="76"/>
  <c r="DD13" i="76"/>
  <c r="DC13" i="76"/>
  <c r="DB13" i="76"/>
  <c r="DA13" i="76"/>
  <c r="CZ13" i="76"/>
  <c r="CY13" i="76"/>
  <c r="CX13" i="76"/>
  <c r="CW13" i="76"/>
  <c r="CV13" i="76"/>
  <c r="CU13" i="76"/>
  <c r="CT13" i="76"/>
  <c r="CS13" i="76"/>
  <c r="CR13" i="76"/>
  <c r="CQ13" i="76"/>
  <c r="CP13" i="76"/>
  <c r="CO13" i="76"/>
  <c r="DD12" i="76"/>
  <c r="DC12" i="76"/>
  <c r="DB12" i="76"/>
  <c r="DA12" i="76"/>
  <c r="CZ12" i="76"/>
  <c r="CY12" i="76"/>
  <c r="CX12" i="76"/>
  <c r="CW12" i="76"/>
  <c r="CV12" i="76"/>
  <c r="CU12" i="76"/>
  <c r="CT12" i="76"/>
  <c r="CS12" i="76"/>
  <c r="CR12" i="76"/>
  <c r="CQ12" i="76"/>
  <c r="CP12" i="76"/>
  <c r="CO12" i="76"/>
  <c r="DD11" i="76"/>
  <c r="DC11" i="76"/>
  <c r="DB11" i="76"/>
  <c r="DA11" i="76"/>
  <c r="CZ11" i="76"/>
  <c r="CY11" i="76"/>
  <c r="CX11" i="76"/>
  <c r="CW11" i="76"/>
  <c r="CV11" i="76"/>
  <c r="CU11" i="76"/>
  <c r="CT11" i="76"/>
  <c r="CS11" i="76"/>
  <c r="CR11" i="76"/>
  <c r="CQ11" i="76"/>
  <c r="CP11" i="76"/>
  <c r="CO11" i="76"/>
  <c r="DD10" i="76"/>
  <c r="DC10" i="76"/>
  <c r="DB10" i="76"/>
  <c r="DA10" i="76"/>
  <c r="CZ10" i="76"/>
  <c r="CY10" i="76"/>
  <c r="CX10" i="76"/>
  <c r="CW10" i="76"/>
  <c r="CV10" i="76"/>
  <c r="CU10" i="76"/>
  <c r="CT10" i="76"/>
  <c r="CS10" i="76"/>
  <c r="CR10" i="76"/>
  <c r="CQ10" i="76"/>
  <c r="CP10" i="76"/>
  <c r="CO10" i="76"/>
  <c r="DD9" i="76"/>
  <c r="DC9" i="76"/>
  <c r="DB9" i="76"/>
  <c r="DA9" i="76"/>
  <c r="CZ9" i="76"/>
  <c r="CY9" i="76"/>
  <c r="CX9" i="76"/>
  <c r="CW9" i="76"/>
  <c r="CV9" i="76"/>
  <c r="CU9" i="76"/>
  <c r="CT9" i="76"/>
  <c r="CS9" i="76"/>
  <c r="CR9" i="76"/>
  <c r="CQ9" i="76"/>
  <c r="CP9" i="76"/>
  <c r="CO9" i="76"/>
  <c r="BJ72" i="76"/>
  <c r="BI72" i="76"/>
  <c r="BH72" i="76"/>
  <c r="BG72" i="76"/>
  <c r="BF72" i="76"/>
  <c r="BE72" i="76"/>
  <c r="BD72" i="76"/>
  <c r="BC72" i="76"/>
  <c r="BB72" i="76"/>
  <c r="BA72" i="76"/>
  <c r="AZ72" i="76"/>
  <c r="AY72" i="76"/>
  <c r="AX72" i="76"/>
  <c r="AW72" i="76"/>
  <c r="AV72" i="76"/>
  <c r="AU72" i="76"/>
  <c r="BJ71" i="76"/>
  <c r="BI71" i="76"/>
  <c r="BH71" i="76"/>
  <c r="BG71" i="76"/>
  <c r="BF71" i="76"/>
  <c r="BE71" i="76"/>
  <c r="BD71" i="76"/>
  <c r="BC71" i="76"/>
  <c r="BB71" i="76"/>
  <c r="BA71" i="76"/>
  <c r="AZ71" i="76"/>
  <c r="AY71" i="76"/>
  <c r="AX71" i="76"/>
  <c r="AW71" i="76"/>
  <c r="AV71" i="76"/>
  <c r="AU71" i="76"/>
  <c r="BJ70" i="76"/>
  <c r="BI70" i="76"/>
  <c r="BH70" i="76"/>
  <c r="BG70" i="76"/>
  <c r="BF70" i="76"/>
  <c r="BE70" i="76"/>
  <c r="BD70" i="76"/>
  <c r="BC70" i="76"/>
  <c r="BB70" i="76"/>
  <c r="BA70" i="76"/>
  <c r="AZ70" i="76"/>
  <c r="AY70" i="76"/>
  <c r="AX70" i="76"/>
  <c r="AW70" i="76"/>
  <c r="AV70" i="76"/>
  <c r="AU70" i="76"/>
  <c r="BJ69" i="76"/>
  <c r="BI69" i="76"/>
  <c r="BH69" i="76"/>
  <c r="BG69" i="76"/>
  <c r="BF69" i="76"/>
  <c r="BE69" i="76"/>
  <c r="BD69" i="76"/>
  <c r="BC69" i="76"/>
  <c r="BB69" i="76"/>
  <c r="BA69" i="76"/>
  <c r="AZ69" i="76"/>
  <c r="AY69" i="76"/>
  <c r="AX69" i="76"/>
  <c r="AW69" i="76"/>
  <c r="AV69" i="76"/>
  <c r="AU69" i="76"/>
  <c r="BJ68" i="76"/>
  <c r="BI68" i="76"/>
  <c r="BH68" i="76"/>
  <c r="BG68" i="76"/>
  <c r="BF68" i="76"/>
  <c r="BE68" i="76"/>
  <c r="BD68" i="76"/>
  <c r="BC68" i="76"/>
  <c r="BB68" i="76"/>
  <c r="BA68" i="76"/>
  <c r="AZ68" i="76"/>
  <c r="AY68" i="76"/>
  <c r="AX68" i="76"/>
  <c r="AW68" i="76"/>
  <c r="AV68" i="76"/>
  <c r="AU68" i="76"/>
  <c r="BJ67" i="76"/>
  <c r="BI67" i="76"/>
  <c r="BH67" i="76"/>
  <c r="BG67" i="76"/>
  <c r="BF67" i="76"/>
  <c r="BE67" i="76"/>
  <c r="BD67" i="76"/>
  <c r="BC67" i="76"/>
  <c r="BB67" i="76"/>
  <c r="BA67" i="76"/>
  <c r="AZ67" i="76"/>
  <c r="AY67" i="76"/>
  <c r="AX67" i="76"/>
  <c r="AW67" i="76"/>
  <c r="AV67" i="76"/>
  <c r="AU67" i="76"/>
  <c r="BJ66" i="76"/>
  <c r="BI66" i="76"/>
  <c r="BH66" i="76"/>
  <c r="BG66" i="76"/>
  <c r="BF66" i="76"/>
  <c r="BE66" i="76"/>
  <c r="BD66" i="76"/>
  <c r="BC66" i="76"/>
  <c r="BB66" i="76"/>
  <c r="BA66" i="76"/>
  <c r="AZ66" i="76"/>
  <c r="AY66" i="76"/>
  <c r="AX66" i="76"/>
  <c r="AW66" i="76"/>
  <c r="AV66" i="76"/>
  <c r="AU66" i="76"/>
  <c r="BJ65" i="76"/>
  <c r="BI65" i="76"/>
  <c r="BH65" i="76"/>
  <c r="BG65" i="76"/>
  <c r="BF65" i="76"/>
  <c r="BE65" i="76"/>
  <c r="BD65" i="76"/>
  <c r="BC65" i="76"/>
  <c r="BB65" i="76"/>
  <c r="BA65" i="76"/>
  <c r="AZ65" i="76"/>
  <c r="AY65" i="76"/>
  <c r="AX65" i="76"/>
  <c r="AW65" i="76"/>
  <c r="AV65" i="76"/>
  <c r="AU65" i="76"/>
  <c r="BJ64" i="76"/>
  <c r="BI64" i="76"/>
  <c r="BH64" i="76"/>
  <c r="BG64" i="76"/>
  <c r="BF64" i="76"/>
  <c r="BE64" i="76"/>
  <c r="BD64" i="76"/>
  <c r="BC64" i="76"/>
  <c r="BB64" i="76"/>
  <c r="BA64" i="76"/>
  <c r="AZ64" i="76"/>
  <c r="AY64" i="76"/>
  <c r="AX64" i="76"/>
  <c r="AW64" i="76"/>
  <c r="AV64" i="76"/>
  <c r="AU64" i="76"/>
  <c r="BJ63" i="76"/>
  <c r="BI63" i="76"/>
  <c r="BH63" i="76"/>
  <c r="BG63" i="76"/>
  <c r="BF63" i="76"/>
  <c r="BE63" i="76"/>
  <c r="BD63" i="76"/>
  <c r="BC63" i="76"/>
  <c r="BB63" i="76"/>
  <c r="BA63" i="76"/>
  <c r="AZ63" i="76"/>
  <c r="AY63" i="76"/>
  <c r="AX63" i="76"/>
  <c r="AW63" i="76"/>
  <c r="AV63" i="76"/>
  <c r="AU63" i="76"/>
  <c r="BJ62" i="76"/>
  <c r="BI62" i="76"/>
  <c r="BH62" i="76"/>
  <c r="BG62" i="76"/>
  <c r="BF62" i="76"/>
  <c r="BE62" i="76"/>
  <c r="BD62" i="76"/>
  <c r="BC62" i="76"/>
  <c r="BB62" i="76"/>
  <c r="BA62" i="76"/>
  <c r="AZ62" i="76"/>
  <c r="AY62" i="76"/>
  <c r="AX62" i="76"/>
  <c r="AW62" i="76"/>
  <c r="AV62" i="76"/>
  <c r="AU62" i="76"/>
  <c r="BJ61" i="76"/>
  <c r="BI61" i="76"/>
  <c r="BH61" i="76"/>
  <c r="BG61" i="76"/>
  <c r="BF61" i="76"/>
  <c r="BE61" i="76"/>
  <c r="BD61" i="76"/>
  <c r="BC61" i="76"/>
  <c r="BB61" i="76"/>
  <c r="BA61" i="76"/>
  <c r="AZ61" i="76"/>
  <c r="AY61" i="76"/>
  <c r="AX61" i="76"/>
  <c r="AW61" i="76"/>
  <c r="AV61" i="76"/>
  <c r="AU61" i="76"/>
  <c r="BJ60" i="76"/>
  <c r="BI60" i="76"/>
  <c r="BH60" i="76"/>
  <c r="BG60" i="76"/>
  <c r="BF60" i="76"/>
  <c r="BE60" i="76"/>
  <c r="BD60" i="76"/>
  <c r="BC60" i="76"/>
  <c r="BB60" i="76"/>
  <c r="BA60" i="76"/>
  <c r="AZ60" i="76"/>
  <c r="AY60" i="76"/>
  <c r="AX60" i="76"/>
  <c r="AW60" i="76"/>
  <c r="AV60" i="76"/>
  <c r="AU60" i="76"/>
  <c r="BJ59" i="76"/>
  <c r="BI59" i="76"/>
  <c r="BH59" i="76"/>
  <c r="BG59" i="76"/>
  <c r="BF59" i="76"/>
  <c r="BE59" i="76"/>
  <c r="BD59" i="76"/>
  <c r="BC59" i="76"/>
  <c r="BB59" i="76"/>
  <c r="BA59" i="76"/>
  <c r="AZ59" i="76"/>
  <c r="AY59" i="76"/>
  <c r="AX59" i="76"/>
  <c r="AW59" i="76"/>
  <c r="AV59" i="76"/>
  <c r="AU59" i="76"/>
  <c r="BJ58" i="76"/>
  <c r="BI58" i="76"/>
  <c r="BH58" i="76"/>
  <c r="BG58" i="76"/>
  <c r="BF58" i="76"/>
  <c r="BE58" i="76"/>
  <c r="BD58" i="76"/>
  <c r="BC58" i="76"/>
  <c r="BB58" i="76"/>
  <c r="BA58" i="76"/>
  <c r="AZ58" i="76"/>
  <c r="AY58" i="76"/>
  <c r="AX58" i="76"/>
  <c r="AW58" i="76"/>
  <c r="AV58" i="76"/>
  <c r="AU58" i="76"/>
  <c r="BJ57" i="76"/>
  <c r="BI57" i="76"/>
  <c r="BH57" i="76"/>
  <c r="BG57" i="76"/>
  <c r="BF57" i="76"/>
  <c r="BE57" i="76"/>
  <c r="BD57" i="76"/>
  <c r="BC57" i="76"/>
  <c r="BB57" i="76"/>
  <c r="BA57" i="76"/>
  <c r="AZ57" i="76"/>
  <c r="AY57" i="76"/>
  <c r="AX57" i="76"/>
  <c r="AW57" i="76"/>
  <c r="AV57" i="76"/>
  <c r="AU57" i="76"/>
  <c r="BJ56" i="76"/>
  <c r="BI56" i="76"/>
  <c r="BH56" i="76"/>
  <c r="BG56" i="76"/>
  <c r="BF56" i="76"/>
  <c r="BE56" i="76"/>
  <c r="BD56" i="76"/>
  <c r="BC56" i="76"/>
  <c r="BB56" i="76"/>
  <c r="BA56" i="76"/>
  <c r="AZ56" i="76"/>
  <c r="AY56" i="76"/>
  <c r="AX56" i="76"/>
  <c r="AW56" i="76"/>
  <c r="AV56" i="76"/>
  <c r="AU56" i="76"/>
  <c r="BJ55" i="76"/>
  <c r="BI55" i="76"/>
  <c r="BH55" i="76"/>
  <c r="BG55" i="76"/>
  <c r="BF55" i="76"/>
  <c r="BE55" i="76"/>
  <c r="BD55" i="76"/>
  <c r="BC55" i="76"/>
  <c r="BB55" i="76"/>
  <c r="BA55" i="76"/>
  <c r="AZ55" i="76"/>
  <c r="AY55" i="76"/>
  <c r="AX55" i="76"/>
  <c r="AW55" i="76"/>
  <c r="AV55" i="76"/>
  <c r="AU55" i="76"/>
  <c r="BJ54" i="76"/>
  <c r="BI54" i="76"/>
  <c r="BH54" i="76"/>
  <c r="BG54" i="76"/>
  <c r="BF54" i="76"/>
  <c r="BE54" i="76"/>
  <c r="BD54" i="76"/>
  <c r="BC54" i="76"/>
  <c r="BB54" i="76"/>
  <c r="BA54" i="76"/>
  <c r="AZ54" i="76"/>
  <c r="AY54" i="76"/>
  <c r="AX54" i="76"/>
  <c r="AW54" i="76"/>
  <c r="AV54" i="76"/>
  <c r="AU54" i="76"/>
  <c r="BJ53" i="76"/>
  <c r="BI53" i="76"/>
  <c r="BH53" i="76"/>
  <c r="BG53" i="76"/>
  <c r="BF53" i="76"/>
  <c r="BE53" i="76"/>
  <c r="BD53" i="76"/>
  <c r="BC53" i="76"/>
  <c r="BB53" i="76"/>
  <c r="BA53" i="76"/>
  <c r="AZ53" i="76"/>
  <c r="AY53" i="76"/>
  <c r="AX53" i="76"/>
  <c r="AW53" i="76"/>
  <c r="AV53" i="76"/>
  <c r="AU53" i="76"/>
  <c r="BJ52" i="76"/>
  <c r="BI52" i="76"/>
  <c r="BH52" i="76"/>
  <c r="BG52" i="76"/>
  <c r="BF52" i="76"/>
  <c r="BE52" i="76"/>
  <c r="BD52" i="76"/>
  <c r="BC52" i="76"/>
  <c r="BB52" i="76"/>
  <c r="BA52" i="76"/>
  <c r="AZ52" i="76"/>
  <c r="AY52" i="76"/>
  <c r="AX52" i="76"/>
  <c r="AW52" i="76"/>
  <c r="AV52" i="76"/>
  <c r="AU52" i="76"/>
  <c r="BJ51" i="76"/>
  <c r="BI51" i="76"/>
  <c r="BH51" i="76"/>
  <c r="BG51" i="76"/>
  <c r="BF51" i="76"/>
  <c r="BE51" i="76"/>
  <c r="BD51" i="76"/>
  <c r="BC51" i="76"/>
  <c r="BB51" i="76"/>
  <c r="BA51" i="76"/>
  <c r="AZ51" i="76"/>
  <c r="AY51" i="76"/>
  <c r="AX51" i="76"/>
  <c r="AW51" i="76"/>
  <c r="AV51" i="76"/>
  <c r="AU51" i="76"/>
  <c r="BJ50" i="76"/>
  <c r="BI50" i="76"/>
  <c r="BH50" i="76"/>
  <c r="BG50" i="76"/>
  <c r="BF50" i="76"/>
  <c r="BE50" i="76"/>
  <c r="BD50" i="76"/>
  <c r="BC50" i="76"/>
  <c r="BB50" i="76"/>
  <c r="BA50" i="76"/>
  <c r="AZ50" i="76"/>
  <c r="AY50" i="76"/>
  <c r="AX50" i="76"/>
  <c r="AW50" i="76"/>
  <c r="AV50" i="76"/>
  <c r="AU50" i="76"/>
  <c r="BJ49" i="76"/>
  <c r="BI49" i="76"/>
  <c r="BH49" i="76"/>
  <c r="BG49" i="76"/>
  <c r="BF49" i="76"/>
  <c r="BE49" i="76"/>
  <c r="BD49" i="76"/>
  <c r="BC49" i="76"/>
  <c r="BB49" i="76"/>
  <c r="BA49" i="76"/>
  <c r="AZ49" i="76"/>
  <c r="AY49" i="76"/>
  <c r="AX49" i="76"/>
  <c r="AW49" i="76"/>
  <c r="AV49" i="76"/>
  <c r="AU49" i="76"/>
  <c r="BJ48" i="76"/>
  <c r="BI48" i="76"/>
  <c r="BH48" i="76"/>
  <c r="BG48" i="76"/>
  <c r="BF48" i="76"/>
  <c r="BE48" i="76"/>
  <c r="BD48" i="76"/>
  <c r="BC48" i="76"/>
  <c r="BB48" i="76"/>
  <c r="BA48" i="76"/>
  <c r="AZ48" i="76"/>
  <c r="AY48" i="76"/>
  <c r="AX48" i="76"/>
  <c r="AW48" i="76"/>
  <c r="AV48" i="76"/>
  <c r="AU48" i="76"/>
  <c r="BJ47" i="76"/>
  <c r="BI47" i="76"/>
  <c r="BH47" i="76"/>
  <c r="BG47" i="76"/>
  <c r="BF47" i="76"/>
  <c r="BE47" i="76"/>
  <c r="BD47" i="76"/>
  <c r="BC47" i="76"/>
  <c r="BB47" i="76"/>
  <c r="BA47" i="76"/>
  <c r="AZ47" i="76"/>
  <c r="AY47" i="76"/>
  <c r="AX47" i="76"/>
  <c r="AW47" i="76"/>
  <c r="AV47" i="76"/>
  <c r="AU47" i="76"/>
  <c r="BJ46" i="76"/>
  <c r="BI46" i="76"/>
  <c r="BH46" i="76"/>
  <c r="BG46" i="76"/>
  <c r="BF46" i="76"/>
  <c r="BE46" i="76"/>
  <c r="BD46" i="76"/>
  <c r="BC46" i="76"/>
  <c r="BB46" i="76"/>
  <c r="BA46" i="76"/>
  <c r="AZ46" i="76"/>
  <c r="AY46" i="76"/>
  <c r="AX46" i="76"/>
  <c r="AW46" i="76"/>
  <c r="AV46" i="76"/>
  <c r="AU46" i="76"/>
  <c r="BJ45" i="76"/>
  <c r="BI45" i="76"/>
  <c r="BH45" i="76"/>
  <c r="BG45" i="76"/>
  <c r="BF45" i="76"/>
  <c r="BE45" i="76"/>
  <c r="BD45" i="76"/>
  <c r="BC45" i="76"/>
  <c r="BB45" i="76"/>
  <c r="BA45" i="76"/>
  <c r="AZ45" i="76"/>
  <c r="AY45" i="76"/>
  <c r="AX45" i="76"/>
  <c r="AW45" i="76"/>
  <c r="AV45" i="76"/>
  <c r="AU45" i="76"/>
  <c r="BJ44" i="76"/>
  <c r="BI44" i="76"/>
  <c r="BH44" i="76"/>
  <c r="BG44" i="76"/>
  <c r="BF44" i="76"/>
  <c r="BE44" i="76"/>
  <c r="BD44" i="76"/>
  <c r="BC44" i="76"/>
  <c r="BB44" i="76"/>
  <c r="BA44" i="76"/>
  <c r="AZ44" i="76"/>
  <c r="AY44" i="76"/>
  <c r="AX44" i="76"/>
  <c r="AW44" i="76"/>
  <c r="AV44" i="76"/>
  <c r="AU44" i="76"/>
  <c r="BJ43" i="76"/>
  <c r="BI43" i="76"/>
  <c r="BH43" i="76"/>
  <c r="BG43" i="76"/>
  <c r="BF43" i="76"/>
  <c r="BE43" i="76"/>
  <c r="BD43" i="76"/>
  <c r="BC43" i="76"/>
  <c r="BB43" i="76"/>
  <c r="BA43" i="76"/>
  <c r="AZ43" i="76"/>
  <c r="AY43" i="76"/>
  <c r="AX43" i="76"/>
  <c r="AW43" i="76"/>
  <c r="AV43" i="76"/>
  <c r="AU43" i="76"/>
  <c r="BJ42" i="76"/>
  <c r="BI42" i="76"/>
  <c r="BH42" i="76"/>
  <c r="BG42" i="76"/>
  <c r="BF42" i="76"/>
  <c r="BE42" i="76"/>
  <c r="BD42" i="76"/>
  <c r="BC42" i="76"/>
  <c r="BB42" i="76"/>
  <c r="BA42" i="76"/>
  <c r="AZ42" i="76"/>
  <c r="AY42" i="76"/>
  <c r="AX42" i="76"/>
  <c r="AW42" i="76"/>
  <c r="AV42" i="76"/>
  <c r="AU42" i="76"/>
  <c r="BJ41" i="76"/>
  <c r="BI41" i="76"/>
  <c r="BH41" i="76"/>
  <c r="BG41" i="76"/>
  <c r="BF41" i="76"/>
  <c r="BE41" i="76"/>
  <c r="BD41" i="76"/>
  <c r="BC41" i="76"/>
  <c r="BB41" i="76"/>
  <c r="BA41" i="76"/>
  <c r="AZ41" i="76"/>
  <c r="AY41" i="76"/>
  <c r="AX41" i="76"/>
  <c r="AW41" i="76"/>
  <c r="AV41" i="76"/>
  <c r="AU41" i="76"/>
  <c r="BJ40" i="76"/>
  <c r="BI40" i="76"/>
  <c r="BH40" i="76"/>
  <c r="BG40" i="76"/>
  <c r="BF40" i="76"/>
  <c r="BE40" i="76"/>
  <c r="BD40" i="76"/>
  <c r="BC40" i="76"/>
  <c r="BB40" i="76"/>
  <c r="BA40" i="76"/>
  <c r="AZ40" i="76"/>
  <c r="AY40" i="76"/>
  <c r="AX40" i="76"/>
  <c r="AW40" i="76"/>
  <c r="AV40" i="76"/>
  <c r="AU40" i="76"/>
  <c r="BJ39" i="76"/>
  <c r="BI39" i="76"/>
  <c r="BH39" i="76"/>
  <c r="BG39" i="76"/>
  <c r="BF39" i="76"/>
  <c r="BE39" i="76"/>
  <c r="BD39" i="76"/>
  <c r="BC39" i="76"/>
  <c r="BB39" i="76"/>
  <c r="BA39" i="76"/>
  <c r="AZ39" i="76"/>
  <c r="AY39" i="76"/>
  <c r="AX39" i="76"/>
  <c r="AW39" i="76"/>
  <c r="AV39" i="76"/>
  <c r="AU39" i="76"/>
  <c r="BJ38" i="76"/>
  <c r="BI38" i="76"/>
  <c r="BH38" i="76"/>
  <c r="BG38" i="76"/>
  <c r="BF38" i="76"/>
  <c r="BE38" i="76"/>
  <c r="BD38" i="76"/>
  <c r="BC38" i="76"/>
  <c r="BB38" i="76"/>
  <c r="BA38" i="76"/>
  <c r="AZ38" i="76"/>
  <c r="AY38" i="76"/>
  <c r="AX38" i="76"/>
  <c r="AW38" i="76"/>
  <c r="AV38" i="76"/>
  <c r="AU38" i="76"/>
  <c r="BJ37" i="76"/>
  <c r="BI37" i="76"/>
  <c r="BH37" i="76"/>
  <c r="BG37" i="76"/>
  <c r="BF37" i="76"/>
  <c r="BE37" i="76"/>
  <c r="BD37" i="76"/>
  <c r="BC37" i="76"/>
  <c r="BB37" i="76"/>
  <c r="BA37" i="76"/>
  <c r="AZ37" i="76"/>
  <c r="AY37" i="76"/>
  <c r="AX37" i="76"/>
  <c r="AW37" i="76"/>
  <c r="AV37" i="76"/>
  <c r="AU37" i="76"/>
  <c r="BJ36" i="76"/>
  <c r="BI36" i="76"/>
  <c r="BH36" i="76"/>
  <c r="BG36" i="76"/>
  <c r="BF36" i="76"/>
  <c r="BE36" i="76"/>
  <c r="BD36" i="76"/>
  <c r="BC36" i="76"/>
  <c r="BB36" i="76"/>
  <c r="BA36" i="76"/>
  <c r="AZ36" i="76"/>
  <c r="AY36" i="76"/>
  <c r="AX36" i="76"/>
  <c r="AW36" i="76"/>
  <c r="AV36" i="76"/>
  <c r="AU36" i="76"/>
  <c r="BJ35" i="76"/>
  <c r="BI35" i="76"/>
  <c r="BH35" i="76"/>
  <c r="BG35" i="76"/>
  <c r="BF35" i="76"/>
  <c r="BE35" i="76"/>
  <c r="BD35" i="76"/>
  <c r="BC35" i="76"/>
  <c r="BB35" i="76"/>
  <c r="BA35" i="76"/>
  <c r="AZ35" i="76"/>
  <c r="AY35" i="76"/>
  <c r="AX35" i="76"/>
  <c r="AW35" i="76"/>
  <c r="AV35" i="76"/>
  <c r="AU35" i="76"/>
  <c r="BJ34" i="76"/>
  <c r="BI34" i="76"/>
  <c r="BH34" i="76"/>
  <c r="BG34" i="76"/>
  <c r="BF34" i="76"/>
  <c r="BE34" i="76"/>
  <c r="BD34" i="76"/>
  <c r="BC34" i="76"/>
  <c r="BB34" i="76"/>
  <c r="BA34" i="76"/>
  <c r="AZ34" i="76"/>
  <c r="AY34" i="76"/>
  <c r="AX34" i="76"/>
  <c r="AW34" i="76"/>
  <c r="AV34" i="76"/>
  <c r="AU34" i="76"/>
  <c r="BJ33" i="76"/>
  <c r="BI33" i="76"/>
  <c r="BH33" i="76"/>
  <c r="BG33" i="76"/>
  <c r="BF33" i="76"/>
  <c r="BE33" i="76"/>
  <c r="BD33" i="76"/>
  <c r="BC33" i="76"/>
  <c r="BB33" i="76"/>
  <c r="BA33" i="76"/>
  <c r="AZ33" i="76"/>
  <c r="AY33" i="76"/>
  <c r="AX33" i="76"/>
  <c r="AW33" i="76"/>
  <c r="AV33" i="76"/>
  <c r="AU33" i="76"/>
  <c r="BJ32" i="76"/>
  <c r="BI32" i="76"/>
  <c r="BH32" i="76"/>
  <c r="BG32" i="76"/>
  <c r="BF32" i="76"/>
  <c r="BE32" i="76"/>
  <c r="BD32" i="76"/>
  <c r="BC32" i="76"/>
  <c r="BB32" i="76"/>
  <c r="BA32" i="76"/>
  <c r="AZ32" i="76"/>
  <c r="AY32" i="76"/>
  <c r="AX32" i="76"/>
  <c r="AW32" i="76"/>
  <c r="AV32" i="76"/>
  <c r="AU32" i="76"/>
  <c r="BJ31" i="76"/>
  <c r="BI31" i="76"/>
  <c r="BH31" i="76"/>
  <c r="BG31" i="76"/>
  <c r="BF31" i="76"/>
  <c r="BE31" i="76"/>
  <c r="BD31" i="76"/>
  <c r="BC31" i="76"/>
  <c r="BB31" i="76"/>
  <c r="BA31" i="76"/>
  <c r="AZ31" i="76"/>
  <c r="AY31" i="76"/>
  <c r="AX31" i="76"/>
  <c r="AW31" i="76"/>
  <c r="AV31" i="76"/>
  <c r="AU31" i="76"/>
  <c r="BJ30" i="76"/>
  <c r="BI30" i="76"/>
  <c r="BH30" i="76"/>
  <c r="BG30" i="76"/>
  <c r="BF30" i="76"/>
  <c r="BE30" i="76"/>
  <c r="BD30" i="76"/>
  <c r="BC30" i="76"/>
  <c r="BB30" i="76"/>
  <c r="BA30" i="76"/>
  <c r="AZ30" i="76"/>
  <c r="AY30" i="76"/>
  <c r="AX30" i="76"/>
  <c r="AW30" i="76"/>
  <c r="AV30" i="76"/>
  <c r="AU30" i="76"/>
  <c r="BJ29" i="76"/>
  <c r="BI29" i="76"/>
  <c r="BH29" i="76"/>
  <c r="BG29" i="76"/>
  <c r="BF29" i="76"/>
  <c r="BE29" i="76"/>
  <c r="BD29" i="76"/>
  <c r="BC29" i="76"/>
  <c r="BB29" i="76"/>
  <c r="BA29" i="76"/>
  <c r="AZ29" i="76"/>
  <c r="AY29" i="76"/>
  <c r="AX29" i="76"/>
  <c r="AW29" i="76"/>
  <c r="AV29" i="76"/>
  <c r="AU29" i="76"/>
  <c r="BJ28" i="76"/>
  <c r="BI28" i="76"/>
  <c r="BH28" i="76"/>
  <c r="BG28" i="76"/>
  <c r="BF28" i="76"/>
  <c r="BE28" i="76"/>
  <c r="BD28" i="76"/>
  <c r="BC28" i="76"/>
  <c r="BB28" i="76"/>
  <c r="BA28" i="76"/>
  <c r="AZ28" i="76"/>
  <c r="AY28" i="76"/>
  <c r="AX28" i="76"/>
  <c r="AW28" i="76"/>
  <c r="AV28" i="76"/>
  <c r="AU28" i="76"/>
  <c r="BJ27" i="76"/>
  <c r="BI27" i="76"/>
  <c r="BH27" i="76"/>
  <c r="BG27" i="76"/>
  <c r="BF27" i="76"/>
  <c r="BE27" i="76"/>
  <c r="BD27" i="76"/>
  <c r="BC27" i="76"/>
  <c r="BB27" i="76"/>
  <c r="BA27" i="76"/>
  <c r="AZ27" i="76"/>
  <c r="AY27" i="76"/>
  <c r="AX27" i="76"/>
  <c r="AW27" i="76"/>
  <c r="AV27" i="76"/>
  <c r="AU27" i="76"/>
  <c r="BJ26" i="76"/>
  <c r="BI26" i="76"/>
  <c r="BH26" i="76"/>
  <c r="BG26" i="76"/>
  <c r="BF26" i="76"/>
  <c r="BE26" i="76"/>
  <c r="BD26" i="76"/>
  <c r="BC26" i="76"/>
  <c r="BB26" i="76"/>
  <c r="BA26" i="76"/>
  <c r="AZ26" i="76"/>
  <c r="AY26" i="76"/>
  <c r="AX26" i="76"/>
  <c r="AW26" i="76"/>
  <c r="AV26" i="76"/>
  <c r="AU26" i="76"/>
  <c r="BJ25" i="76"/>
  <c r="BI25" i="76"/>
  <c r="BH25" i="76"/>
  <c r="BG25" i="76"/>
  <c r="BF25" i="76"/>
  <c r="BE25" i="76"/>
  <c r="BD25" i="76"/>
  <c r="BC25" i="76"/>
  <c r="BB25" i="76"/>
  <c r="BA25" i="76"/>
  <c r="AZ25" i="76"/>
  <c r="AY25" i="76"/>
  <c r="AX25" i="76"/>
  <c r="AW25" i="76"/>
  <c r="AV25" i="76"/>
  <c r="AU25" i="76"/>
  <c r="BJ24" i="76"/>
  <c r="BI24" i="76"/>
  <c r="BH24" i="76"/>
  <c r="BG24" i="76"/>
  <c r="BF24" i="76"/>
  <c r="BE24" i="76"/>
  <c r="BD24" i="76"/>
  <c r="BC24" i="76"/>
  <c r="BB24" i="76"/>
  <c r="BA24" i="76"/>
  <c r="AZ24" i="76"/>
  <c r="AY24" i="76"/>
  <c r="AX24" i="76"/>
  <c r="AW24" i="76"/>
  <c r="AV24" i="76"/>
  <c r="AU24" i="76"/>
  <c r="BJ22" i="76"/>
  <c r="BI22" i="76"/>
  <c r="BH22" i="76"/>
  <c r="BG22" i="76"/>
  <c r="BF22" i="76"/>
  <c r="BE22" i="76"/>
  <c r="BD22" i="76"/>
  <c r="BC22" i="76"/>
  <c r="BB22" i="76"/>
  <c r="BA22" i="76"/>
  <c r="AZ22" i="76"/>
  <c r="AY22" i="76"/>
  <c r="AX22" i="76"/>
  <c r="AW22" i="76"/>
  <c r="AV22" i="76"/>
  <c r="AU22" i="76"/>
  <c r="BJ21" i="76"/>
  <c r="BI21" i="76"/>
  <c r="BH21" i="76"/>
  <c r="BG21" i="76"/>
  <c r="BF21" i="76"/>
  <c r="BE21" i="76"/>
  <c r="BD21" i="76"/>
  <c r="BC21" i="76"/>
  <c r="BB21" i="76"/>
  <c r="BA21" i="76"/>
  <c r="AZ21" i="76"/>
  <c r="AY21" i="76"/>
  <c r="AX21" i="76"/>
  <c r="AW21" i="76"/>
  <c r="AV21" i="76"/>
  <c r="AU21" i="76"/>
  <c r="BJ20" i="76"/>
  <c r="BI20" i="76"/>
  <c r="BH20" i="76"/>
  <c r="BG20" i="76"/>
  <c r="BF20" i="76"/>
  <c r="BE20" i="76"/>
  <c r="BD20" i="76"/>
  <c r="BC20" i="76"/>
  <c r="BB20" i="76"/>
  <c r="BA20" i="76"/>
  <c r="AZ20" i="76"/>
  <c r="AY20" i="76"/>
  <c r="AX20" i="76"/>
  <c r="AW20" i="76"/>
  <c r="AV20" i="76"/>
  <c r="AU20" i="76"/>
  <c r="BJ19" i="76"/>
  <c r="BI19" i="76"/>
  <c r="BH19" i="76"/>
  <c r="BG19" i="76"/>
  <c r="BF19" i="76"/>
  <c r="BE19" i="76"/>
  <c r="BD19" i="76"/>
  <c r="BC19" i="76"/>
  <c r="BB19" i="76"/>
  <c r="BA19" i="76"/>
  <c r="AZ19" i="76"/>
  <c r="AY19" i="76"/>
  <c r="AX19" i="76"/>
  <c r="AW19" i="76"/>
  <c r="AV19" i="76"/>
  <c r="AU19" i="76"/>
  <c r="BJ18" i="76"/>
  <c r="BI18" i="76"/>
  <c r="BH18" i="76"/>
  <c r="BG18" i="76"/>
  <c r="BF18" i="76"/>
  <c r="BE18" i="76"/>
  <c r="BD18" i="76"/>
  <c r="BC18" i="76"/>
  <c r="BB18" i="76"/>
  <c r="BA18" i="76"/>
  <c r="AZ18" i="76"/>
  <c r="AY18" i="76"/>
  <c r="AX18" i="76"/>
  <c r="AW18" i="76"/>
  <c r="AV18" i="76"/>
  <c r="AU18" i="76"/>
  <c r="BJ17" i="76"/>
  <c r="BI17" i="76"/>
  <c r="BH17" i="76"/>
  <c r="BG17" i="76"/>
  <c r="BF17" i="76"/>
  <c r="BE17" i="76"/>
  <c r="BD17" i="76"/>
  <c r="BC17" i="76"/>
  <c r="BB17" i="76"/>
  <c r="BA17" i="76"/>
  <c r="AZ17" i="76"/>
  <c r="AY17" i="76"/>
  <c r="AX17" i="76"/>
  <c r="AW17" i="76"/>
  <c r="AV17" i="76"/>
  <c r="AU17" i="76"/>
  <c r="BJ16" i="76"/>
  <c r="BI16" i="76"/>
  <c r="BH16" i="76"/>
  <c r="BG16" i="76"/>
  <c r="BF16" i="76"/>
  <c r="BE16" i="76"/>
  <c r="BD16" i="76"/>
  <c r="BC16" i="76"/>
  <c r="BB16" i="76"/>
  <c r="BA16" i="76"/>
  <c r="AZ16" i="76"/>
  <c r="AY16" i="76"/>
  <c r="AX16" i="76"/>
  <c r="AW16" i="76"/>
  <c r="AV16" i="76"/>
  <c r="AU16" i="76"/>
  <c r="BJ15" i="76"/>
  <c r="BI15" i="76"/>
  <c r="BH15" i="76"/>
  <c r="BG15" i="76"/>
  <c r="BF15" i="76"/>
  <c r="BE15" i="76"/>
  <c r="BD15" i="76"/>
  <c r="BC15" i="76"/>
  <c r="BB15" i="76"/>
  <c r="BA15" i="76"/>
  <c r="AZ15" i="76"/>
  <c r="AY15" i="76"/>
  <c r="AX15" i="76"/>
  <c r="AW15" i="76"/>
  <c r="AV15" i="76"/>
  <c r="AU15" i="76"/>
  <c r="BJ14" i="76"/>
  <c r="BI14" i="76"/>
  <c r="BH14" i="76"/>
  <c r="BG14" i="76"/>
  <c r="BF14" i="76"/>
  <c r="BE14" i="76"/>
  <c r="BD14" i="76"/>
  <c r="BC14" i="76"/>
  <c r="BB14" i="76"/>
  <c r="BA14" i="76"/>
  <c r="AZ14" i="76"/>
  <c r="AY14" i="76"/>
  <c r="AX14" i="76"/>
  <c r="AW14" i="76"/>
  <c r="AV14" i="76"/>
  <c r="AU14" i="76"/>
  <c r="BJ13" i="76"/>
  <c r="BI13" i="76"/>
  <c r="BH13" i="76"/>
  <c r="BG13" i="76"/>
  <c r="BF13" i="76"/>
  <c r="BE13" i="76"/>
  <c r="BD13" i="76"/>
  <c r="BC13" i="76"/>
  <c r="BB13" i="76"/>
  <c r="BA13" i="76"/>
  <c r="AZ13" i="76"/>
  <c r="AY13" i="76"/>
  <c r="AX13" i="76"/>
  <c r="AW13" i="76"/>
  <c r="AV13" i="76"/>
  <c r="AU13" i="76"/>
  <c r="BJ12" i="76"/>
  <c r="BI12" i="76"/>
  <c r="BH12" i="76"/>
  <c r="BG12" i="76"/>
  <c r="BF12" i="76"/>
  <c r="BE12" i="76"/>
  <c r="BD12" i="76"/>
  <c r="BC12" i="76"/>
  <c r="BB12" i="76"/>
  <c r="BA12" i="76"/>
  <c r="AZ12" i="76"/>
  <c r="AY12" i="76"/>
  <c r="AX12" i="76"/>
  <c r="AW12" i="76"/>
  <c r="AV12" i="76"/>
  <c r="AU12" i="76"/>
  <c r="BJ11" i="76"/>
  <c r="BI11" i="76"/>
  <c r="BH11" i="76"/>
  <c r="BG11" i="76"/>
  <c r="BF11" i="76"/>
  <c r="BE11" i="76"/>
  <c r="BD11" i="76"/>
  <c r="BC11" i="76"/>
  <c r="BB11" i="76"/>
  <c r="BA11" i="76"/>
  <c r="AZ11" i="76"/>
  <c r="AY11" i="76"/>
  <c r="AX11" i="76"/>
  <c r="AW11" i="76"/>
  <c r="AV11" i="76"/>
  <c r="AU11" i="76"/>
  <c r="BJ10" i="76"/>
  <c r="BI10" i="76"/>
  <c r="BH10" i="76"/>
  <c r="BG10" i="76"/>
  <c r="BF10" i="76"/>
  <c r="BE10" i="76"/>
  <c r="BD10" i="76"/>
  <c r="BC10" i="76"/>
  <c r="BB10" i="76"/>
  <c r="BA10" i="76"/>
  <c r="AZ10" i="76"/>
  <c r="AY10" i="76"/>
  <c r="AX10" i="76"/>
  <c r="AW10" i="76"/>
  <c r="AV10" i="76"/>
  <c r="AU10" i="76"/>
  <c r="BJ9" i="76"/>
  <c r="BI9" i="76"/>
  <c r="BH9" i="76"/>
  <c r="BG9" i="76"/>
  <c r="BF9" i="76"/>
  <c r="BE9" i="76"/>
  <c r="BD9" i="76"/>
  <c r="BC9" i="76"/>
  <c r="BB9" i="76"/>
  <c r="BA9" i="76"/>
  <c r="AZ9" i="76"/>
  <c r="AY9" i="76"/>
  <c r="AX9" i="76"/>
  <c r="AW9" i="76"/>
  <c r="AV9" i="76"/>
  <c r="AU9" i="76"/>
  <c r="AH21" i="73"/>
  <c r="AG21" i="73"/>
  <c r="AF21" i="73"/>
  <c r="AH20" i="73"/>
  <c r="AG20" i="73"/>
  <c r="AF20" i="73"/>
  <c r="AH19" i="73"/>
  <c r="AG19" i="73"/>
  <c r="AF19" i="73"/>
  <c r="AH18" i="73"/>
  <c r="AG18" i="73"/>
  <c r="AF18" i="73"/>
  <c r="AH17" i="73"/>
  <c r="AG17" i="73"/>
  <c r="AF17" i="73"/>
  <c r="AH16" i="73"/>
  <c r="AG16" i="73"/>
  <c r="AF16" i="73"/>
  <c r="AH15" i="73"/>
  <c r="AG15" i="73"/>
  <c r="AF15" i="73"/>
  <c r="AH14" i="73"/>
  <c r="AG14" i="73"/>
  <c r="AF14" i="73"/>
  <c r="AH13" i="73"/>
  <c r="AG13" i="73"/>
  <c r="AF13" i="73"/>
  <c r="AH12" i="73"/>
  <c r="AG12" i="73"/>
  <c r="AF12" i="73"/>
  <c r="AH11" i="73"/>
  <c r="AG11" i="73"/>
  <c r="AF11" i="73"/>
  <c r="AH10" i="73"/>
  <c r="AG10" i="73"/>
  <c r="AF10" i="73"/>
  <c r="AH9" i="73"/>
  <c r="AG9" i="73"/>
  <c r="AF9" i="73"/>
  <c r="AH8" i="73"/>
  <c r="AG8" i="73"/>
  <c r="AF8" i="73"/>
  <c r="AH7" i="73"/>
  <c r="AG7" i="73"/>
  <c r="AF7" i="73"/>
  <c r="AH6" i="73"/>
  <c r="AG6" i="73"/>
  <c r="AF6" i="73"/>
  <c r="U21" i="73"/>
  <c r="T21" i="73"/>
  <c r="S21" i="73"/>
  <c r="U20" i="73"/>
  <c r="T20" i="73"/>
  <c r="S20" i="73"/>
  <c r="U19" i="73"/>
  <c r="T19" i="73"/>
  <c r="S19" i="73"/>
  <c r="U18" i="73"/>
  <c r="T18" i="73"/>
  <c r="S18" i="73"/>
  <c r="U17" i="73"/>
  <c r="T17" i="73"/>
  <c r="S17" i="73"/>
  <c r="U16" i="73"/>
  <c r="T16" i="73"/>
  <c r="S16" i="73"/>
  <c r="U15" i="73"/>
  <c r="T15" i="73"/>
  <c r="S15" i="73"/>
  <c r="U14" i="73"/>
  <c r="T14" i="73"/>
  <c r="S14" i="73"/>
  <c r="U13" i="73"/>
  <c r="T13" i="73"/>
  <c r="S13" i="73"/>
  <c r="U12" i="73"/>
  <c r="T12" i="73"/>
  <c r="S12" i="73"/>
  <c r="U11" i="73"/>
  <c r="T11" i="73"/>
  <c r="S11" i="73"/>
  <c r="U10" i="73"/>
  <c r="T10" i="73"/>
  <c r="S10" i="73"/>
  <c r="U9" i="73"/>
  <c r="T9" i="73"/>
  <c r="S9" i="73"/>
  <c r="U8" i="73"/>
  <c r="T8" i="73"/>
  <c r="S8" i="73"/>
  <c r="U7" i="73"/>
  <c r="T7" i="73"/>
  <c r="S7" i="73"/>
  <c r="U6" i="73"/>
  <c r="T6" i="73"/>
  <c r="S6" i="73"/>
  <c r="M624" i="71"/>
  <c r="J61" i="74"/>
  <c r="K36" i="74"/>
  <c r="J36" i="74"/>
  <c r="I36" i="74"/>
  <c r="H36" i="74"/>
  <c r="F36" i="74"/>
  <c r="G36" i="74"/>
  <c r="AP9" i="76"/>
  <c r="CJ9" i="76"/>
  <c r="ED9" i="76"/>
  <c r="W62" i="74"/>
  <c r="W185" i="74" s="1"/>
  <c r="AL62" i="74"/>
  <c r="AL185" i="74" s="1"/>
  <c r="F39" i="69"/>
  <c r="U62" i="74"/>
  <c r="U185" i="74" s="1"/>
  <c r="AJ62" i="74"/>
  <c r="AJ185" i="74" s="1"/>
  <c r="G39" i="69"/>
  <c r="V62" i="74"/>
  <c r="V185" i="74" s="1"/>
  <c r="AK62" i="74"/>
  <c r="AK185" i="74" s="1"/>
  <c r="I39" i="69"/>
  <c r="CJ13" i="76"/>
  <c r="ED13" i="76"/>
  <c r="AP14" i="76"/>
  <c r="CJ14" i="76"/>
  <c r="ED14" i="76"/>
  <c r="AP15" i="76"/>
  <c r="CJ15" i="76"/>
  <c r="ED15" i="76"/>
  <c r="AP16" i="76"/>
  <c r="CJ16" i="76"/>
  <c r="ED16" i="76"/>
  <c r="AP17" i="76"/>
  <c r="CJ17" i="76"/>
  <c r="ED17" i="76"/>
  <c r="AP18" i="76"/>
  <c r="CJ18" i="76"/>
  <c r="ED18" i="76"/>
  <c r="AP19" i="76"/>
  <c r="CJ19" i="76"/>
  <c r="ED19" i="76"/>
  <c r="AP20" i="76"/>
  <c r="CJ20" i="76"/>
  <c r="ED20" i="76"/>
  <c r="AP21" i="76"/>
  <c r="CJ21" i="76"/>
  <c r="ED21" i="76"/>
  <c r="AP22" i="76"/>
  <c r="CJ22" i="76"/>
  <c r="ED22" i="76"/>
  <c r="AP24" i="76"/>
  <c r="CJ24" i="76"/>
  <c r="ED24" i="76"/>
  <c r="AP25" i="76"/>
  <c r="CJ25" i="76"/>
  <c r="ED25" i="76"/>
  <c r="AP26" i="76"/>
  <c r="CJ26" i="76"/>
  <c r="ED26" i="76"/>
  <c r="AP27" i="76"/>
  <c r="CJ27" i="76"/>
  <c r="ED27" i="76"/>
  <c r="AP28" i="76"/>
  <c r="CJ28" i="76"/>
  <c r="ED28" i="76"/>
  <c r="AP29" i="76"/>
  <c r="CJ29" i="76"/>
  <c r="ED29" i="76"/>
  <c r="AP30" i="76"/>
  <c r="CJ30" i="76"/>
  <c r="ED30" i="76"/>
  <c r="AP31" i="76"/>
  <c r="CJ31" i="76"/>
  <c r="ED31" i="76"/>
  <c r="AP32" i="76"/>
  <c r="CJ32" i="76"/>
  <c r="ED32" i="76"/>
  <c r="AP33" i="76"/>
  <c r="CJ33" i="76"/>
  <c r="ED33" i="76"/>
  <c r="AP34" i="76"/>
  <c r="CJ34" i="76"/>
  <c r="ED34" i="76"/>
  <c r="AP35" i="76"/>
  <c r="CJ35" i="76"/>
  <c r="ED35" i="76"/>
  <c r="AP36" i="76"/>
  <c r="CJ36" i="76"/>
  <c r="ED36" i="76"/>
  <c r="CJ38" i="76"/>
  <c r="ED38" i="76"/>
  <c r="AP39" i="76"/>
  <c r="CJ39" i="76"/>
  <c r="ED39" i="76"/>
  <c r="AP40" i="76"/>
  <c r="CJ40" i="76"/>
  <c r="ED40" i="76"/>
  <c r="AP41" i="76"/>
  <c r="CJ41" i="76"/>
  <c r="ED41" i="76"/>
  <c r="AP42" i="76"/>
  <c r="CJ42" i="76"/>
  <c r="ED42" i="76"/>
  <c r="AP43" i="76"/>
  <c r="CJ43" i="76"/>
  <c r="ED43" i="76"/>
  <c r="AP44" i="76"/>
  <c r="CJ44" i="76"/>
  <c r="ED44" i="76"/>
  <c r="AP45" i="76"/>
  <c r="CJ45" i="76"/>
  <c r="ED45" i="76"/>
  <c r="AP46" i="76"/>
  <c r="CJ46" i="76"/>
  <c r="ED46" i="76"/>
  <c r="AP47" i="76"/>
  <c r="CJ47" i="76"/>
  <c r="ED47" i="76"/>
  <c r="AP48" i="76"/>
  <c r="CJ48" i="76"/>
  <c r="ED48" i="76"/>
  <c r="AP49" i="76"/>
  <c r="CJ49" i="76"/>
  <c r="ED49" i="76"/>
  <c r="AP50" i="76"/>
  <c r="CJ50" i="76"/>
  <c r="ED50" i="76"/>
  <c r="AP51" i="76"/>
  <c r="CJ51" i="76"/>
  <c r="ED51" i="76"/>
  <c r="AP52" i="76"/>
  <c r="CJ52" i="76"/>
  <c r="AP54" i="76"/>
  <c r="CJ54" i="76"/>
  <c r="ED54" i="76"/>
  <c r="AP55" i="76"/>
  <c r="CJ55" i="76"/>
  <c r="ED55" i="76"/>
  <c r="AP57" i="76"/>
  <c r="CJ57" i="76"/>
  <c r="ED57" i="76"/>
  <c r="AP59" i="76"/>
  <c r="CJ59" i="76"/>
  <c r="ED59" i="76"/>
  <c r="AP60" i="76"/>
  <c r="CJ60" i="76"/>
  <c r="ED60" i="76"/>
  <c r="AP62" i="76"/>
  <c r="CJ62" i="76"/>
  <c r="ED62" i="76"/>
  <c r="AP63" i="76"/>
  <c r="CJ63" i="76"/>
  <c r="ED63" i="76"/>
  <c r="C9" i="76"/>
  <c r="C10" i="76"/>
  <c r="C11" i="76"/>
  <c r="C12" i="76"/>
  <c r="P72" i="76"/>
  <c r="O72" i="76"/>
  <c r="N72" i="76"/>
  <c r="M72" i="76"/>
  <c r="L72" i="76"/>
  <c r="K72" i="76"/>
  <c r="J72" i="76"/>
  <c r="I72" i="76"/>
  <c r="H72" i="76"/>
  <c r="G72" i="76"/>
  <c r="F72" i="76"/>
  <c r="E72" i="76"/>
  <c r="D72" i="76"/>
  <c r="C72" i="76"/>
  <c r="B72" i="76"/>
  <c r="A72" i="76"/>
  <c r="P71" i="76"/>
  <c r="O71" i="76"/>
  <c r="N71" i="76"/>
  <c r="M71" i="76"/>
  <c r="L71" i="76"/>
  <c r="K71" i="76"/>
  <c r="J71" i="76"/>
  <c r="I71" i="76"/>
  <c r="H71" i="76"/>
  <c r="G71" i="76"/>
  <c r="F71" i="76"/>
  <c r="E71" i="76"/>
  <c r="D71" i="76"/>
  <c r="C71" i="76"/>
  <c r="B71" i="76"/>
  <c r="A71" i="76"/>
  <c r="P70" i="76"/>
  <c r="O70" i="76"/>
  <c r="N70" i="76"/>
  <c r="M70" i="76"/>
  <c r="L70" i="76"/>
  <c r="K70" i="76"/>
  <c r="J70" i="76"/>
  <c r="I70" i="76"/>
  <c r="H70" i="76"/>
  <c r="G70" i="76"/>
  <c r="F70" i="76"/>
  <c r="E70" i="76"/>
  <c r="D70" i="76"/>
  <c r="C70" i="76"/>
  <c r="B70" i="76"/>
  <c r="A70" i="76"/>
  <c r="P69" i="76"/>
  <c r="O69" i="76"/>
  <c r="N69" i="76"/>
  <c r="M69" i="76"/>
  <c r="L69" i="76"/>
  <c r="K69" i="76"/>
  <c r="J69" i="76"/>
  <c r="I69" i="76"/>
  <c r="H69" i="76"/>
  <c r="G69" i="76"/>
  <c r="F69" i="76"/>
  <c r="E69" i="76"/>
  <c r="D69" i="76"/>
  <c r="C69" i="76"/>
  <c r="B69" i="76"/>
  <c r="A69" i="76"/>
  <c r="P68" i="76"/>
  <c r="O68" i="76"/>
  <c r="N68" i="76"/>
  <c r="M68" i="76"/>
  <c r="L68" i="76"/>
  <c r="K68" i="76"/>
  <c r="J68" i="76"/>
  <c r="I68" i="76"/>
  <c r="H68" i="76"/>
  <c r="G68" i="76"/>
  <c r="F68" i="76"/>
  <c r="E68" i="76"/>
  <c r="D68" i="76"/>
  <c r="C68" i="76"/>
  <c r="B68" i="76"/>
  <c r="A68" i="76"/>
  <c r="P67" i="76"/>
  <c r="O67" i="76"/>
  <c r="N67" i="76"/>
  <c r="M67" i="76"/>
  <c r="L67" i="76"/>
  <c r="K67" i="76"/>
  <c r="J67" i="76"/>
  <c r="I67" i="76"/>
  <c r="H67" i="76"/>
  <c r="G67" i="76"/>
  <c r="F67" i="76"/>
  <c r="E67" i="76"/>
  <c r="D67" i="76"/>
  <c r="C67" i="76"/>
  <c r="B67" i="76"/>
  <c r="A67" i="76"/>
  <c r="P66" i="76"/>
  <c r="O66" i="76"/>
  <c r="N66" i="76"/>
  <c r="M66" i="76"/>
  <c r="L66" i="76"/>
  <c r="K66" i="76"/>
  <c r="J66" i="76"/>
  <c r="I66" i="76"/>
  <c r="H66" i="76"/>
  <c r="G66" i="76"/>
  <c r="F66" i="76"/>
  <c r="E66" i="76"/>
  <c r="D66" i="76"/>
  <c r="C66" i="76"/>
  <c r="B66" i="76"/>
  <c r="A66" i="76"/>
  <c r="P65" i="76"/>
  <c r="O65" i="76"/>
  <c r="N65" i="76"/>
  <c r="M65" i="76"/>
  <c r="L65" i="76"/>
  <c r="K65" i="76"/>
  <c r="J65" i="76"/>
  <c r="I65" i="76"/>
  <c r="H65" i="76"/>
  <c r="G65" i="76"/>
  <c r="F65" i="76"/>
  <c r="E65" i="76"/>
  <c r="D65" i="76"/>
  <c r="C65" i="76"/>
  <c r="B65" i="76"/>
  <c r="A65" i="76"/>
  <c r="P64" i="76"/>
  <c r="O64" i="76"/>
  <c r="N64" i="76"/>
  <c r="M64" i="76"/>
  <c r="L64" i="76"/>
  <c r="K64" i="76"/>
  <c r="J64" i="76"/>
  <c r="I64" i="76"/>
  <c r="H64" i="76"/>
  <c r="G64" i="76"/>
  <c r="F64" i="76"/>
  <c r="E64" i="76"/>
  <c r="D64" i="76"/>
  <c r="C64" i="76"/>
  <c r="B64" i="76"/>
  <c r="A64" i="76"/>
  <c r="P63" i="76"/>
  <c r="O63" i="76"/>
  <c r="N63" i="76"/>
  <c r="M63" i="76"/>
  <c r="L63" i="76"/>
  <c r="K63" i="76"/>
  <c r="J63" i="76"/>
  <c r="I63" i="76"/>
  <c r="H63" i="76"/>
  <c r="G63" i="76"/>
  <c r="F63" i="76"/>
  <c r="E63" i="76"/>
  <c r="D63" i="76"/>
  <c r="C63" i="76"/>
  <c r="B63" i="76"/>
  <c r="A63" i="76"/>
  <c r="P62" i="76"/>
  <c r="O62" i="76"/>
  <c r="N62" i="76"/>
  <c r="M62" i="76"/>
  <c r="L62" i="76"/>
  <c r="K62" i="76"/>
  <c r="J62" i="76"/>
  <c r="I62" i="76"/>
  <c r="H62" i="76"/>
  <c r="G62" i="76"/>
  <c r="F62" i="76"/>
  <c r="E62" i="76"/>
  <c r="D62" i="76"/>
  <c r="C62" i="76"/>
  <c r="B62" i="76"/>
  <c r="A62" i="76"/>
  <c r="A10" i="76"/>
  <c r="B10" i="76"/>
  <c r="D10" i="76"/>
  <c r="E10" i="76"/>
  <c r="F10" i="76"/>
  <c r="G10" i="76"/>
  <c r="H10" i="76"/>
  <c r="I10" i="76"/>
  <c r="J10" i="76"/>
  <c r="K10" i="76"/>
  <c r="L10" i="76"/>
  <c r="M10" i="76"/>
  <c r="N10" i="76"/>
  <c r="O10" i="76"/>
  <c r="P10" i="76"/>
  <c r="A11" i="76"/>
  <c r="B11" i="76"/>
  <c r="D11" i="76"/>
  <c r="E11" i="76"/>
  <c r="F11" i="76"/>
  <c r="G11" i="76"/>
  <c r="H11" i="76"/>
  <c r="I11" i="76"/>
  <c r="J11" i="76"/>
  <c r="K11" i="76"/>
  <c r="L11" i="76"/>
  <c r="M11" i="76"/>
  <c r="N11" i="76"/>
  <c r="O11" i="76"/>
  <c r="P11" i="76"/>
  <c r="A12" i="76"/>
  <c r="B12" i="76"/>
  <c r="D12" i="76"/>
  <c r="E12" i="76"/>
  <c r="F12" i="76"/>
  <c r="G12" i="76"/>
  <c r="H12" i="76"/>
  <c r="I12" i="76"/>
  <c r="J12" i="76"/>
  <c r="K12" i="76"/>
  <c r="L12" i="76"/>
  <c r="M12" i="76"/>
  <c r="N12" i="76"/>
  <c r="O12" i="76"/>
  <c r="P12" i="76"/>
  <c r="A13" i="76"/>
  <c r="B13" i="76"/>
  <c r="C13" i="76"/>
  <c r="D13" i="76"/>
  <c r="E13" i="76"/>
  <c r="F13" i="76"/>
  <c r="G13" i="76"/>
  <c r="H13" i="76"/>
  <c r="I13" i="76"/>
  <c r="J13" i="76"/>
  <c r="K13" i="76"/>
  <c r="L13" i="76"/>
  <c r="M13" i="76"/>
  <c r="N13" i="76"/>
  <c r="O13" i="76"/>
  <c r="P13" i="76"/>
  <c r="A14" i="76"/>
  <c r="B14" i="76"/>
  <c r="C14" i="76"/>
  <c r="D14" i="76"/>
  <c r="E14" i="76"/>
  <c r="F14" i="76"/>
  <c r="G14" i="76"/>
  <c r="H14" i="76"/>
  <c r="I14" i="76"/>
  <c r="J14" i="76"/>
  <c r="K14" i="76"/>
  <c r="L14" i="76"/>
  <c r="M14" i="76"/>
  <c r="N14" i="76"/>
  <c r="O14" i="76"/>
  <c r="P14" i="76"/>
  <c r="A15" i="76"/>
  <c r="B15" i="76"/>
  <c r="C15" i="76"/>
  <c r="D15" i="76"/>
  <c r="E15" i="76"/>
  <c r="F15" i="76"/>
  <c r="G15" i="76"/>
  <c r="H15" i="76"/>
  <c r="I15" i="76"/>
  <c r="J15" i="76"/>
  <c r="K15" i="76"/>
  <c r="L15" i="76"/>
  <c r="M15" i="76"/>
  <c r="N15" i="76"/>
  <c r="O15" i="76"/>
  <c r="P15" i="76"/>
  <c r="A16" i="76"/>
  <c r="B16" i="76"/>
  <c r="C16" i="76"/>
  <c r="D16" i="76"/>
  <c r="E16" i="76"/>
  <c r="F16" i="76"/>
  <c r="G16" i="76"/>
  <c r="H16" i="76"/>
  <c r="I16" i="76"/>
  <c r="J16" i="76"/>
  <c r="K16" i="76"/>
  <c r="L16" i="76"/>
  <c r="M16" i="76"/>
  <c r="N16" i="76"/>
  <c r="O16" i="76"/>
  <c r="P16" i="76"/>
  <c r="A17" i="76"/>
  <c r="B17" i="76"/>
  <c r="C17" i="76"/>
  <c r="D17" i="76"/>
  <c r="E17" i="76"/>
  <c r="F17" i="76"/>
  <c r="G17" i="76"/>
  <c r="H17" i="76"/>
  <c r="I17" i="76"/>
  <c r="J17" i="76"/>
  <c r="K17" i="76"/>
  <c r="L17" i="76"/>
  <c r="M17" i="76"/>
  <c r="N17" i="76"/>
  <c r="O17" i="76"/>
  <c r="P17" i="76"/>
  <c r="A18" i="76"/>
  <c r="B18" i="76"/>
  <c r="C18" i="76"/>
  <c r="D18" i="76"/>
  <c r="E18" i="76"/>
  <c r="F18" i="76"/>
  <c r="G18" i="76"/>
  <c r="H18" i="76"/>
  <c r="I18" i="76"/>
  <c r="J18" i="76"/>
  <c r="K18" i="76"/>
  <c r="L18" i="76"/>
  <c r="M18" i="76"/>
  <c r="N18" i="76"/>
  <c r="O18" i="76"/>
  <c r="P18" i="76"/>
  <c r="A19" i="76"/>
  <c r="B19" i="76"/>
  <c r="C19" i="76"/>
  <c r="D19" i="76"/>
  <c r="E19" i="76"/>
  <c r="F19" i="76"/>
  <c r="G19" i="76"/>
  <c r="H19" i="76"/>
  <c r="I19" i="76"/>
  <c r="J19" i="76"/>
  <c r="K19" i="76"/>
  <c r="L19" i="76"/>
  <c r="M19" i="76"/>
  <c r="N19" i="76"/>
  <c r="O19" i="76"/>
  <c r="P19" i="76"/>
  <c r="A20" i="76"/>
  <c r="B20" i="76"/>
  <c r="C20" i="76"/>
  <c r="D20" i="76"/>
  <c r="E20" i="76"/>
  <c r="F20" i="76"/>
  <c r="G20" i="76"/>
  <c r="H20" i="76"/>
  <c r="I20" i="76"/>
  <c r="J20" i="76"/>
  <c r="K20" i="76"/>
  <c r="L20" i="76"/>
  <c r="M20" i="76"/>
  <c r="N20" i="76"/>
  <c r="O20" i="76"/>
  <c r="P20" i="76"/>
  <c r="A21" i="76"/>
  <c r="B21" i="76"/>
  <c r="C21" i="76"/>
  <c r="D21" i="76"/>
  <c r="E21" i="76"/>
  <c r="F21" i="76"/>
  <c r="G21" i="76"/>
  <c r="H21" i="76"/>
  <c r="I21" i="76"/>
  <c r="J21" i="76"/>
  <c r="K21" i="76"/>
  <c r="L21" i="76"/>
  <c r="M21" i="76"/>
  <c r="N21" i="76"/>
  <c r="O21" i="76"/>
  <c r="P21" i="76"/>
  <c r="A22" i="76"/>
  <c r="B22" i="76"/>
  <c r="C22" i="76"/>
  <c r="D22" i="76"/>
  <c r="E22" i="76"/>
  <c r="F22" i="76"/>
  <c r="G22" i="76"/>
  <c r="H22" i="76"/>
  <c r="I22" i="76"/>
  <c r="J22" i="76"/>
  <c r="K22" i="76"/>
  <c r="L22" i="76"/>
  <c r="M22" i="76"/>
  <c r="N22" i="76"/>
  <c r="O22" i="76"/>
  <c r="P22" i="76"/>
  <c r="A24" i="76"/>
  <c r="B24" i="76"/>
  <c r="C24" i="76"/>
  <c r="D24" i="76"/>
  <c r="E24" i="76"/>
  <c r="F24" i="76"/>
  <c r="G24" i="76"/>
  <c r="H24" i="76"/>
  <c r="I24" i="76"/>
  <c r="J24" i="76"/>
  <c r="K24" i="76"/>
  <c r="L24" i="76"/>
  <c r="M24" i="76"/>
  <c r="N24" i="76"/>
  <c r="O24" i="76"/>
  <c r="P24" i="76"/>
  <c r="A25" i="76"/>
  <c r="B25" i="76"/>
  <c r="C25" i="76"/>
  <c r="D25" i="76"/>
  <c r="E25" i="76"/>
  <c r="F25" i="76"/>
  <c r="G25" i="76"/>
  <c r="H25" i="76"/>
  <c r="I25" i="76"/>
  <c r="J25" i="76"/>
  <c r="K25" i="76"/>
  <c r="L25" i="76"/>
  <c r="M25" i="76"/>
  <c r="N25" i="76"/>
  <c r="O25" i="76"/>
  <c r="P25" i="76"/>
  <c r="A26" i="76"/>
  <c r="B26" i="76"/>
  <c r="C26" i="76"/>
  <c r="D26" i="76"/>
  <c r="E26" i="76"/>
  <c r="F26" i="76"/>
  <c r="G26" i="76"/>
  <c r="H26" i="76"/>
  <c r="I26" i="76"/>
  <c r="J26" i="76"/>
  <c r="K26" i="76"/>
  <c r="L26" i="76"/>
  <c r="M26" i="76"/>
  <c r="N26" i="76"/>
  <c r="O26" i="76"/>
  <c r="P26" i="76"/>
  <c r="A27" i="76"/>
  <c r="B27" i="76"/>
  <c r="C27" i="76"/>
  <c r="D27" i="76"/>
  <c r="E27" i="76"/>
  <c r="F27" i="76"/>
  <c r="G27" i="76"/>
  <c r="H27" i="76"/>
  <c r="I27" i="76"/>
  <c r="J27" i="76"/>
  <c r="K27" i="76"/>
  <c r="L27" i="76"/>
  <c r="M27" i="76"/>
  <c r="N27" i="76"/>
  <c r="O27" i="76"/>
  <c r="P27" i="76"/>
  <c r="A28" i="76"/>
  <c r="B28" i="76"/>
  <c r="C28" i="76"/>
  <c r="D28" i="76"/>
  <c r="E28" i="76"/>
  <c r="F28" i="76"/>
  <c r="G28" i="76"/>
  <c r="H28" i="76"/>
  <c r="I28" i="76"/>
  <c r="J28" i="76"/>
  <c r="K28" i="76"/>
  <c r="L28" i="76"/>
  <c r="M28" i="76"/>
  <c r="N28" i="76"/>
  <c r="O28" i="76"/>
  <c r="P28" i="76"/>
  <c r="A29" i="76"/>
  <c r="B29" i="76"/>
  <c r="C29" i="76"/>
  <c r="D29" i="76"/>
  <c r="E29" i="76"/>
  <c r="F29" i="76"/>
  <c r="G29" i="76"/>
  <c r="H29" i="76"/>
  <c r="I29" i="76"/>
  <c r="J29" i="76"/>
  <c r="K29" i="76"/>
  <c r="L29" i="76"/>
  <c r="M29" i="76"/>
  <c r="N29" i="76"/>
  <c r="O29" i="76"/>
  <c r="P29" i="76"/>
  <c r="A30" i="76"/>
  <c r="B30" i="76"/>
  <c r="C30" i="76"/>
  <c r="D30" i="76"/>
  <c r="E30" i="76"/>
  <c r="F30" i="76"/>
  <c r="G30" i="76"/>
  <c r="H30" i="76"/>
  <c r="I30" i="76"/>
  <c r="J30" i="76"/>
  <c r="K30" i="76"/>
  <c r="L30" i="76"/>
  <c r="M30" i="76"/>
  <c r="N30" i="76"/>
  <c r="O30" i="76"/>
  <c r="P30" i="76"/>
  <c r="A31" i="76"/>
  <c r="B31" i="76"/>
  <c r="C31" i="76"/>
  <c r="D31" i="76"/>
  <c r="E31" i="76"/>
  <c r="F31" i="76"/>
  <c r="G31" i="76"/>
  <c r="H31" i="76"/>
  <c r="I31" i="76"/>
  <c r="J31" i="76"/>
  <c r="K31" i="76"/>
  <c r="L31" i="76"/>
  <c r="M31" i="76"/>
  <c r="N31" i="76"/>
  <c r="O31" i="76"/>
  <c r="P31" i="76"/>
  <c r="A32" i="76"/>
  <c r="B32" i="76"/>
  <c r="C32" i="76"/>
  <c r="D32" i="76"/>
  <c r="E32" i="76"/>
  <c r="F32" i="76"/>
  <c r="G32" i="76"/>
  <c r="H32" i="76"/>
  <c r="I32" i="76"/>
  <c r="J32" i="76"/>
  <c r="K32" i="76"/>
  <c r="L32" i="76"/>
  <c r="M32" i="76"/>
  <c r="N32" i="76"/>
  <c r="O32" i="76"/>
  <c r="P32" i="76"/>
  <c r="A33" i="76"/>
  <c r="B33" i="76"/>
  <c r="C33" i="76"/>
  <c r="D33" i="76"/>
  <c r="E33" i="76"/>
  <c r="F33" i="76"/>
  <c r="G33" i="76"/>
  <c r="H33" i="76"/>
  <c r="I33" i="76"/>
  <c r="J33" i="76"/>
  <c r="K33" i="76"/>
  <c r="L33" i="76"/>
  <c r="M33" i="76"/>
  <c r="N33" i="76"/>
  <c r="O33" i="76"/>
  <c r="P33" i="76"/>
  <c r="A34" i="76"/>
  <c r="B34" i="76"/>
  <c r="C34" i="76"/>
  <c r="D34" i="76"/>
  <c r="E34" i="76"/>
  <c r="F34" i="76"/>
  <c r="G34" i="76"/>
  <c r="H34" i="76"/>
  <c r="I34" i="76"/>
  <c r="J34" i="76"/>
  <c r="K34" i="76"/>
  <c r="L34" i="76"/>
  <c r="M34" i="76"/>
  <c r="N34" i="76"/>
  <c r="O34" i="76"/>
  <c r="P34" i="76"/>
  <c r="A35" i="76"/>
  <c r="B35" i="76"/>
  <c r="C35" i="76"/>
  <c r="D35" i="76"/>
  <c r="E35" i="76"/>
  <c r="F35" i="76"/>
  <c r="G35" i="76"/>
  <c r="H35" i="76"/>
  <c r="I35" i="76"/>
  <c r="J35" i="76"/>
  <c r="K35" i="76"/>
  <c r="L35" i="76"/>
  <c r="M35" i="76"/>
  <c r="N35" i="76"/>
  <c r="O35" i="76"/>
  <c r="P35" i="76"/>
  <c r="A36" i="76"/>
  <c r="B36" i="76"/>
  <c r="C36" i="76"/>
  <c r="D36" i="76"/>
  <c r="E36" i="76"/>
  <c r="F36" i="76"/>
  <c r="G36" i="76"/>
  <c r="H36" i="76"/>
  <c r="I36" i="76"/>
  <c r="J36" i="76"/>
  <c r="K36" i="76"/>
  <c r="L36" i="76"/>
  <c r="M36" i="76"/>
  <c r="N36" i="76"/>
  <c r="O36" i="76"/>
  <c r="P36" i="76"/>
  <c r="A37" i="76"/>
  <c r="B37" i="76"/>
  <c r="C37" i="76"/>
  <c r="D37" i="76"/>
  <c r="E37" i="76"/>
  <c r="F37" i="76"/>
  <c r="G37" i="76"/>
  <c r="H37" i="76"/>
  <c r="I37" i="76"/>
  <c r="J37" i="76"/>
  <c r="K37" i="76"/>
  <c r="L37" i="76"/>
  <c r="M37" i="76"/>
  <c r="N37" i="76"/>
  <c r="O37" i="76"/>
  <c r="P37" i="76"/>
  <c r="A38" i="76"/>
  <c r="B38" i="76"/>
  <c r="C38" i="76"/>
  <c r="D38" i="76"/>
  <c r="E38" i="76"/>
  <c r="F38" i="76"/>
  <c r="G38" i="76"/>
  <c r="H38" i="76"/>
  <c r="I38" i="76"/>
  <c r="J38" i="76"/>
  <c r="K38" i="76"/>
  <c r="L38" i="76"/>
  <c r="M38" i="76"/>
  <c r="N38" i="76"/>
  <c r="O38" i="76"/>
  <c r="P38" i="76"/>
  <c r="A39" i="76"/>
  <c r="B39" i="76"/>
  <c r="C39" i="76"/>
  <c r="D39" i="76"/>
  <c r="E39" i="76"/>
  <c r="F39" i="76"/>
  <c r="G39" i="76"/>
  <c r="H39" i="76"/>
  <c r="I39" i="76"/>
  <c r="J39" i="76"/>
  <c r="K39" i="76"/>
  <c r="L39" i="76"/>
  <c r="M39" i="76"/>
  <c r="N39" i="76"/>
  <c r="O39" i="76"/>
  <c r="P39" i="76"/>
  <c r="A40" i="76"/>
  <c r="B40" i="76"/>
  <c r="C40" i="76"/>
  <c r="D40" i="76"/>
  <c r="E40" i="76"/>
  <c r="F40" i="76"/>
  <c r="G40" i="76"/>
  <c r="H40" i="76"/>
  <c r="I40" i="76"/>
  <c r="J40" i="76"/>
  <c r="K40" i="76"/>
  <c r="L40" i="76"/>
  <c r="M40" i="76"/>
  <c r="N40" i="76"/>
  <c r="O40" i="76"/>
  <c r="P40" i="76"/>
  <c r="A41" i="76"/>
  <c r="B41" i="76"/>
  <c r="C41" i="76"/>
  <c r="D41" i="76"/>
  <c r="E41" i="76"/>
  <c r="F41" i="76"/>
  <c r="G41" i="76"/>
  <c r="H41" i="76"/>
  <c r="I41" i="76"/>
  <c r="J41" i="76"/>
  <c r="K41" i="76"/>
  <c r="L41" i="76"/>
  <c r="M41" i="76"/>
  <c r="N41" i="76"/>
  <c r="O41" i="76"/>
  <c r="P41" i="76"/>
  <c r="A42" i="76"/>
  <c r="B42" i="76"/>
  <c r="C42" i="76"/>
  <c r="D42" i="76"/>
  <c r="E42" i="76"/>
  <c r="F42" i="76"/>
  <c r="G42" i="76"/>
  <c r="H42" i="76"/>
  <c r="I42" i="76"/>
  <c r="J42" i="76"/>
  <c r="K42" i="76"/>
  <c r="L42" i="76"/>
  <c r="M42" i="76"/>
  <c r="N42" i="76"/>
  <c r="O42" i="76"/>
  <c r="P42" i="76"/>
  <c r="A43" i="76"/>
  <c r="B43" i="76"/>
  <c r="C43" i="76"/>
  <c r="D43" i="76"/>
  <c r="E43" i="76"/>
  <c r="F43" i="76"/>
  <c r="G43" i="76"/>
  <c r="H43" i="76"/>
  <c r="I43" i="76"/>
  <c r="J43" i="76"/>
  <c r="K43" i="76"/>
  <c r="L43" i="76"/>
  <c r="M43" i="76"/>
  <c r="N43" i="76"/>
  <c r="O43" i="76"/>
  <c r="P43" i="76"/>
  <c r="A44" i="76"/>
  <c r="B44" i="76"/>
  <c r="C44" i="76"/>
  <c r="D44" i="76"/>
  <c r="E44" i="76"/>
  <c r="F44" i="76"/>
  <c r="G44" i="76"/>
  <c r="H44" i="76"/>
  <c r="I44" i="76"/>
  <c r="J44" i="76"/>
  <c r="K44" i="76"/>
  <c r="L44" i="76"/>
  <c r="M44" i="76"/>
  <c r="N44" i="76"/>
  <c r="O44" i="76"/>
  <c r="P44" i="76"/>
  <c r="A45" i="76"/>
  <c r="B45" i="76"/>
  <c r="C45" i="76"/>
  <c r="D45" i="76"/>
  <c r="E45" i="76"/>
  <c r="F45" i="76"/>
  <c r="G45" i="76"/>
  <c r="H45" i="76"/>
  <c r="I45" i="76"/>
  <c r="J45" i="76"/>
  <c r="K45" i="76"/>
  <c r="L45" i="76"/>
  <c r="M45" i="76"/>
  <c r="N45" i="76"/>
  <c r="O45" i="76"/>
  <c r="P45" i="76"/>
  <c r="A46" i="76"/>
  <c r="B46" i="76"/>
  <c r="C46" i="76"/>
  <c r="D46" i="76"/>
  <c r="E46" i="76"/>
  <c r="F46" i="76"/>
  <c r="G46" i="76"/>
  <c r="H46" i="76"/>
  <c r="I46" i="76"/>
  <c r="J46" i="76"/>
  <c r="K46" i="76"/>
  <c r="L46" i="76"/>
  <c r="M46" i="76"/>
  <c r="N46" i="76"/>
  <c r="O46" i="76"/>
  <c r="P46" i="76"/>
  <c r="A47" i="76"/>
  <c r="B47" i="76"/>
  <c r="C47" i="76"/>
  <c r="D47" i="76"/>
  <c r="E47" i="76"/>
  <c r="F47" i="76"/>
  <c r="G47" i="76"/>
  <c r="H47" i="76"/>
  <c r="I47" i="76"/>
  <c r="J47" i="76"/>
  <c r="K47" i="76"/>
  <c r="L47" i="76"/>
  <c r="M47" i="76"/>
  <c r="N47" i="76"/>
  <c r="O47" i="76"/>
  <c r="P47" i="76"/>
  <c r="A48" i="76"/>
  <c r="B48" i="76"/>
  <c r="C48" i="76"/>
  <c r="D48" i="76"/>
  <c r="E48" i="76"/>
  <c r="F48" i="76"/>
  <c r="G48" i="76"/>
  <c r="H48" i="76"/>
  <c r="I48" i="76"/>
  <c r="J48" i="76"/>
  <c r="K48" i="76"/>
  <c r="L48" i="76"/>
  <c r="M48" i="76"/>
  <c r="N48" i="76"/>
  <c r="O48" i="76"/>
  <c r="P48" i="76"/>
  <c r="A49" i="76"/>
  <c r="B49" i="76"/>
  <c r="C49" i="76"/>
  <c r="D49" i="76"/>
  <c r="E49" i="76"/>
  <c r="F49" i="76"/>
  <c r="G49" i="76"/>
  <c r="H49" i="76"/>
  <c r="I49" i="76"/>
  <c r="J49" i="76"/>
  <c r="K49" i="76"/>
  <c r="L49" i="76"/>
  <c r="M49" i="76"/>
  <c r="N49" i="76"/>
  <c r="O49" i="76"/>
  <c r="P49" i="76"/>
  <c r="A50" i="76"/>
  <c r="B50" i="76"/>
  <c r="C50" i="76"/>
  <c r="D50" i="76"/>
  <c r="E50" i="76"/>
  <c r="F50" i="76"/>
  <c r="G50" i="76"/>
  <c r="H50" i="76"/>
  <c r="I50" i="76"/>
  <c r="J50" i="76"/>
  <c r="K50" i="76"/>
  <c r="L50" i="76"/>
  <c r="M50" i="76"/>
  <c r="N50" i="76"/>
  <c r="O50" i="76"/>
  <c r="P50" i="76"/>
  <c r="A51" i="76"/>
  <c r="B51" i="76"/>
  <c r="C51" i="76"/>
  <c r="D51" i="76"/>
  <c r="E51" i="76"/>
  <c r="F51" i="76"/>
  <c r="G51" i="76"/>
  <c r="H51" i="76"/>
  <c r="I51" i="76"/>
  <c r="J51" i="76"/>
  <c r="K51" i="76"/>
  <c r="L51" i="76"/>
  <c r="M51" i="76"/>
  <c r="N51" i="76"/>
  <c r="O51" i="76"/>
  <c r="P51" i="76"/>
  <c r="A52" i="76"/>
  <c r="B52" i="76"/>
  <c r="C52" i="76"/>
  <c r="D52" i="76"/>
  <c r="E52" i="76"/>
  <c r="F52" i="76"/>
  <c r="G52" i="76"/>
  <c r="H52" i="76"/>
  <c r="I52" i="76"/>
  <c r="J52" i="76"/>
  <c r="K52" i="76"/>
  <c r="L52" i="76"/>
  <c r="M52" i="76"/>
  <c r="N52" i="76"/>
  <c r="O52" i="76"/>
  <c r="P52" i="76"/>
  <c r="A53" i="76"/>
  <c r="B53" i="76"/>
  <c r="C53" i="76"/>
  <c r="D53" i="76"/>
  <c r="E53" i="76"/>
  <c r="F53" i="76"/>
  <c r="G53" i="76"/>
  <c r="H53" i="76"/>
  <c r="I53" i="76"/>
  <c r="J53" i="76"/>
  <c r="K53" i="76"/>
  <c r="L53" i="76"/>
  <c r="M53" i="76"/>
  <c r="N53" i="76"/>
  <c r="O53" i="76"/>
  <c r="P53" i="76"/>
  <c r="A54" i="76"/>
  <c r="B54" i="76"/>
  <c r="C54" i="76"/>
  <c r="D54" i="76"/>
  <c r="E54" i="76"/>
  <c r="F54" i="76"/>
  <c r="G54" i="76"/>
  <c r="H54" i="76"/>
  <c r="I54" i="76"/>
  <c r="J54" i="76"/>
  <c r="K54" i="76"/>
  <c r="L54" i="76"/>
  <c r="M54" i="76"/>
  <c r="N54" i="76"/>
  <c r="O54" i="76"/>
  <c r="P54" i="76"/>
  <c r="A55" i="76"/>
  <c r="B55" i="76"/>
  <c r="C55" i="76"/>
  <c r="D55" i="76"/>
  <c r="E55" i="76"/>
  <c r="F55" i="76"/>
  <c r="G55" i="76"/>
  <c r="H55" i="76"/>
  <c r="I55" i="76"/>
  <c r="J55" i="76"/>
  <c r="K55" i="76"/>
  <c r="L55" i="76"/>
  <c r="M55" i="76"/>
  <c r="N55" i="76"/>
  <c r="O55" i="76"/>
  <c r="P55" i="76"/>
  <c r="A56" i="76"/>
  <c r="B56" i="76"/>
  <c r="C56" i="76"/>
  <c r="D56" i="76"/>
  <c r="E56" i="76"/>
  <c r="F56" i="76"/>
  <c r="G56" i="76"/>
  <c r="H56" i="76"/>
  <c r="I56" i="76"/>
  <c r="J56" i="76"/>
  <c r="K56" i="76"/>
  <c r="L56" i="76"/>
  <c r="M56" i="76"/>
  <c r="N56" i="76"/>
  <c r="O56" i="76"/>
  <c r="P56" i="76"/>
  <c r="A57" i="76"/>
  <c r="B57" i="76"/>
  <c r="C57" i="76"/>
  <c r="D57" i="76"/>
  <c r="E57" i="76"/>
  <c r="F57" i="76"/>
  <c r="G57" i="76"/>
  <c r="H57" i="76"/>
  <c r="I57" i="76"/>
  <c r="J57" i="76"/>
  <c r="K57" i="76"/>
  <c r="L57" i="76"/>
  <c r="M57" i="76"/>
  <c r="N57" i="76"/>
  <c r="O57" i="76"/>
  <c r="P57" i="76"/>
  <c r="A58" i="76"/>
  <c r="B58" i="76"/>
  <c r="C58" i="76"/>
  <c r="D58" i="76"/>
  <c r="E58" i="76"/>
  <c r="F58" i="76"/>
  <c r="G58" i="76"/>
  <c r="H58" i="76"/>
  <c r="I58" i="76"/>
  <c r="J58" i="76"/>
  <c r="K58" i="76"/>
  <c r="L58" i="76"/>
  <c r="M58" i="76"/>
  <c r="N58" i="76"/>
  <c r="O58" i="76"/>
  <c r="P58" i="76"/>
  <c r="A59" i="76"/>
  <c r="B59" i="76"/>
  <c r="C59" i="76"/>
  <c r="D59" i="76"/>
  <c r="E59" i="76"/>
  <c r="F59" i="76"/>
  <c r="G59" i="76"/>
  <c r="H59" i="76"/>
  <c r="I59" i="76"/>
  <c r="J59" i="76"/>
  <c r="K59" i="76"/>
  <c r="L59" i="76"/>
  <c r="M59" i="76"/>
  <c r="N59" i="76"/>
  <c r="O59" i="76"/>
  <c r="P59" i="76"/>
  <c r="A60" i="76"/>
  <c r="B60" i="76"/>
  <c r="C60" i="76"/>
  <c r="D60" i="76"/>
  <c r="E60" i="76"/>
  <c r="F60" i="76"/>
  <c r="G60" i="76"/>
  <c r="H60" i="76"/>
  <c r="I60" i="76"/>
  <c r="J60" i="76"/>
  <c r="K60" i="76"/>
  <c r="L60" i="76"/>
  <c r="M60" i="76"/>
  <c r="N60" i="76"/>
  <c r="O60" i="76"/>
  <c r="P60" i="76"/>
  <c r="A61" i="76"/>
  <c r="B61" i="76"/>
  <c r="C61" i="76"/>
  <c r="D61" i="76"/>
  <c r="E61" i="76"/>
  <c r="F61" i="76"/>
  <c r="G61" i="76"/>
  <c r="H61" i="76"/>
  <c r="I61" i="76"/>
  <c r="J61" i="76"/>
  <c r="K61" i="76"/>
  <c r="L61" i="76"/>
  <c r="M61" i="76"/>
  <c r="N61" i="76"/>
  <c r="O61" i="76"/>
  <c r="P61" i="76"/>
  <c r="B9" i="76"/>
  <c r="D9" i="76"/>
  <c r="E9" i="76"/>
  <c r="F9" i="76"/>
  <c r="G9" i="76"/>
  <c r="H9" i="76"/>
  <c r="I9" i="76"/>
  <c r="J9" i="76"/>
  <c r="K9" i="76"/>
  <c r="L9" i="76"/>
  <c r="M9" i="76"/>
  <c r="N9" i="76"/>
  <c r="O9" i="76"/>
  <c r="P9" i="76"/>
  <c r="A9" i="76"/>
  <c r="E35" i="69"/>
  <c r="E37" i="69"/>
  <c r="J52" i="69"/>
  <c r="AE4" i="71"/>
  <c r="AE6" i="71"/>
  <c r="AE7" i="71"/>
  <c r="D8" i="71"/>
  <c r="D9" i="71"/>
  <c r="D10" i="71"/>
  <c r="D11" i="71"/>
  <c r="D12" i="71"/>
  <c r="D13" i="71"/>
  <c r="D14" i="71"/>
  <c r="D15" i="71"/>
  <c r="D16" i="71"/>
  <c r="D17" i="71"/>
  <c r="D18" i="71"/>
  <c r="D19" i="71"/>
  <c r="D20" i="71"/>
  <c r="D21" i="71"/>
  <c r="D22" i="71"/>
  <c r="D24" i="71"/>
  <c r="E24" i="71"/>
  <c r="D25" i="71"/>
  <c r="D26" i="71"/>
  <c r="D27" i="71"/>
  <c r="D28" i="71"/>
  <c r="D29" i="71"/>
  <c r="D30" i="71"/>
  <c r="D31" i="71"/>
  <c r="D32" i="71"/>
  <c r="D33" i="71"/>
  <c r="D34" i="71"/>
  <c r="D35" i="71"/>
  <c r="D36" i="71"/>
  <c r="D37" i="71"/>
  <c r="D38" i="71"/>
  <c r="D39" i="71"/>
  <c r="D40" i="71"/>
  <c r="D41" i="71"/>
  <c r="D42" i="71"/>
  <c r="D43" i="71"/>
  <c r="D44" i="71"/>
  <c r="D45" i="71"/>
  <c r="D46" i="71"/>
  <c r="D47" i="71"/>
  <c r="E47" i="71"/>
  <c r="AE47" i="71"/>
  <c r="D48" i="71"/>
  <c r="AE48" i="71"/>
  <c r="D49" i="71"/>
  <c r="D50" i="71"/>
  <c r="D51" i="71"/>
  <c r="D52" i="71"/>
  <c r="D53" i="71"/>
  <c r="D54" i="71"/>
  <c r="D55" i="71"/>
  <c r="D56" i="71"/>
  <c r="D57" i="71"/>
  <c r="D58" i="71"/>
  <c r="D59" i="71"/>
  <c r="D60" i="71"/>
  <c r="D61" i="71"/>
  <c r="D62" i="71"/>
  <c r="D63" i="71"/>
  <c r="E63" i="71"/>
  <c r="D64" i="71"/>
  <c r="D65" i="71"/>
  <c r="D66" i="71"/>
  <c r="D67" i="71"/>
  <c r="D68" i="71"/>
  <c r="D69" i="71"/>
  <c r="D70" i="71"/>
  <c r="D71" i="71"/>
  <c r="E71" i="71"/>
  <c r="AE71" i="71"/>
  <c r="D72" i="71"/>
  <c r="E72" i="71"/>
  <c r="D73" i="71"/>
  <c r="D74" i="71"/>
  <c r="D75" i="71"/>
  <c r="D76" i="71"/>
  <c r="D77" i="71"/>
  <c r="D78" i="71"/>
  <c r="D79" i="71"/>
  <c r="D80" i="71"/>
  <c r="D81" i="71"/>
  <c r="D82" i="71"/>
  <c r="D83" i="71"/>
  <c r="D84" i="71"/>
  <c r="D85" i="71"/>
  <c r="D86" i="71"/>
  <c r="D87" i="71"/>
  <c r="D88" i="71"/>
  <c r="D89" i="71"/>
  <c r="D90" i="71"/>
  <c r="D92" i="71"/>
  <c r="D93" i="71"/>
  <c r="D94" i="71"/>
  <c r="D95" i="71"/>
  <c r="D96" i="71"/>
  <c r="D97" i="71"/>
  <c r="E97" i="71"/>
  <c r="AE97" i="71"/>
  <c r="D98" i="71"/>
  <c r="D99" i="71"/>
  <c r="D100" i="71"/>
  <c r="D101" i="71"/>
  <c r="D102" i="71"/>
  <c r="D103" i="71"/>
  <c r="D104" i="71"/>
  <c r="D105" i="71"/>
  <c r="D106" i="71"/>
  <c r="D107" i="71"/>
  <c r="D108" i="71"/>
  <c r="D109" i="71"/>
  <c r="D110" i="71"/>
  <c r="D111" i="71"/>
  <c r="D112" i="71"/>
  <c r="D113" i="71"/>
  <c r="D114" i="71"/>
  <c r="D115" i="71"/>
  <c r="D116" i="71"/>
  <c r="D117" i="71"/>
  <c r="D118" i="71"/>
  <c r="D119" i="71"/>
  <c r="D120" i="71"/>
  <c r="E120" i="71"/>
  <c r="AE120" i="71"/>
  <c r="D121" i="71"/>
  <c r="AE121" i="71"/>
  <c r="D122" i="71"/>
  <c r="D123" i="71"/>
  <c r="D124" i="71"/>
  <c r="D125" i="71"/>
  <c r="D126" i="71"/>
  <c r="D127" i="71"/>
  <c r="D128" i="71"/>
  <c r="D129" i="71"/>
  <c r="D130" i="71"/>
  <c r="D131" i="71"/>
  <c r="D132" i="71"/>
  <c r="D133" i="71"/>
  <c r="D134" i="71"/>
  <c r="D135" i="71"/>
  <c r="D136" i="71"/>
  <c r="D137" i="71"/>
  <c r="D138" i="71"/>
  <c r="D139" i="71"/>
  <c r="D140" i="71"/>
  <c r="D141" i="71"/>
  <c r="D142" i="71"/>
  <c r="D143" i="71"/>
  <c r="D144" i="71"/>
  <c r="E144" i="71"/>
  <c r="AE144" i="71"/>
  <c r="D145" i="71"/>
  <c r="E145" i="71"/>
  <c r="D146" i="71"/>
  <c r="D147" i="71"/>
  <c r="D148" i="71"/>
  <c r="D149" i="71"/>
  <c r="D150" i="71"/>
  <c r="D151" i="71"/>
  <c r="D152" i="71"/>
  <c r="D153" i="71"/>
  <c r="D154" i="71"/>
  <c r="D155" i="71"/>
  <c r="D156" i="71"/>
  <c r="D157" i="71"/>
  <c r="D158" i="71"/>
  <c r="D159" i="71"/>
  <c r="D161" i="71"/>
  <c r="D162" i="71"/>
  <c r="D163" i="71"/>
  <c r="D164" i="71"/>
  <c r="D165" i="71"/>
  <c r="D166" i="71"/>
  <c r="D167" i="71"/>
  <c r="D168" i="71"/>
  <c r="D169" i="71"/>
  <c r="E169" i="71"/>
  <c r="AE169" i="71"/>
  <c r="D170" i="71"/>
  <c r="E170" i="71"/>
  <c r="AE170" i="71"/>
  <c r="D171" i="71"/>
  <c r="D172" i="71"/>
  <c r="D173" i="71"/>
  <c r="D174" i="71"/>
  <c r="D175" i="71"/>
  <c r="D176" i="71"/>
  <c r="D177" i="71"/>
  <c r="D178" i="71"/>
  <c r="D179" i="71"/>
  <c r="D180" i="71"/>
  <c r="D181" i="71"/>
  <c r="D182" i="71"/>
  <c r="D183" i="71"/>
  <c r="D184" i="71"/>
  <c r="D185" i="71"/>
  <c r="D186" i="71"/>
  <c r="D187" i="71"/>
  <c r="D188" i="71"/>
  <c r="D189" i="71"/>
  <c r="D190" i="71"/>
  <c r="D191" i="71"/>
  <c r="D192" i="71"/>
  <c r="D193" i="71"/>
  <c r="E193" i="71"/>
  <c r="AE193" i="71"/>
  <c r="D194" i="71"/>
  <c r="E194" i="71"/>
  <c r="D195" i="71"/>
  <c r="D196" i="71"/>
  <c r="D197" i="71"/>
  <c r="D198" i="71"/>
  <c r="D199" i="71"/>
  <c r="D200" i="71"/>
  <c r="D201" i="71"/>
  <c r="D202" i="71"/>
  <c r="D203" i="71"/>
  <c r="D204" i="71"/>
  <c r="D205" i="71"/>
  <c r="D206" i="71"/>
  <c r="D207" i="71"/>
  <c r="D208" i="71"/>
  <c r="D209" i="71"/>
  <c r="D210" i="71"/>
  <c r="D211" i="71"/>
  <c r="D212" i="71"/>
  <c r="D213" i="71"/>
  <c r="D214" i="71"/>
  <c r="D215" i="71"/>
  <c r="D216" i="71"/>
  <c r="D217" i="71"/>
  <c r="E217" i="71"/>
  <c r="AE217" i="71"/>
  <c r="D218" i="71"/>
  <c r="D219" i="71"/>
  <c r="D220" i="71"/>
  <c r="D221" i="71"/>
  <c r="D222" i="71"/>
  <c r="D223" i="71"/>
  <c r="D224" i="71"/>
  <c r="D225" i="71"/>
  <c r="D226" i="71"/>
  <c r="D227" i="71"/>
  <c r="D228" i="71"/>
  <c r="D230" i="71"/>
  <c r="D231" i="71"/>
  <c r="D232" i="71"/>
  <c r="D233" i="71"/>
  <c r="D234" i="71"/>
  <c r="E234" i="71"/>
  <c r="AE234" i="71"/>
  <c r="D235" i="71"/>
  <c r="D236" i="71"/>
  <c r="D237" i="71"/>
  <c r="D238" i="71"/>
  <c r="D239" i="71"/>
  <c r="D240" i="71"/>
  <c r="D241" i="71"/>
  <c r="D242" i="71"/>
  <c r="E242" i="71"/>
  <c r="AE242" i="71"/>
  <c r="D243" i="71"/>
  <c r="E243" i="71"/>
  <c r="AE243" i="71"/>
  <c r="D244" i="71"/>
  <c r="D245" i="71"/>
  <c r="D246" i="71"/>
  <c r="D247" i="71"/>
  <c r="D248" i="71"/>
  <c r="D249" i="71"/>
  <c r="D250" i="71"/>
  <c r="D251" i="71"/>
  <c r="D252" i="71"/>
  <c r="D253" i="71"/>
  <c r="D254" i="71"/>
  <c r="D255" i="71"/>
  <c r="D256" i="71"/>
  <c r="D257" i="71"/>
  <c r="D258" i="71"/>
  <c r="D259" i="71"/>
  <c r="D260" i="71"/>
  <c r="D261" i="71"/>
  <c r="D262" i="71"/>
  <c r="D263" i="71"/>
  <c r="D264" i="71"/>
  <c r="D265" i="71"/>
  <c r="D266" i="71"/>
  <c r="E266" i="71"/>
  <c r="AE266" i="71"/>
  <c r="D267" i="71"/>
  <c r="E267" i="71"/>
  <c r="D268" i="71"/>
  <c r="D269" i="71"/>
  <c r="D270" i="71"/>
  <c r="D271" i="71"/>
  <c r="D272" i="71"/>
  <c r="D273" i="71"/>
  <c r="D274" i="71"/>
  <c r="D275" i="71"/>
  <c r="D276" i="71"/>
  <c r="D277" i="71"/>
  <c r="D278" i="71"/>
  <c r="D279" i="71"/>
  <c r="D280" i="71"/>
  <c r="D281" i="71"/>
  <c r="D282" i="71"/>
  <c r="D283" i="71"/>
  <c r="D284" i="71"/>
  <c r="D285" i="71"/>
  <c r="D286" i="71"/>
  <c r="D287" i="71"/>
  <c r="D288" i="71"/>
  <c r="D289" i="71"/>
  <c r="D290" i="71"/>
  <c r="D291" i="71"/>
  <c r="AE291" i="71"/>
  <c r="D292" i="71"/>
  <c r="D293" i="71"/>
  <c r="D294" i="71"/>
  <c r="D295" i="71"/>
  <c r="D296" i="71"/>
  <c r="D297" i="71"/>
  <c r="D299" i="71"/>
  <c r="D300" i="71"/>
  <c r="D301" i="71"/>
  <c r="D302" i="71"/>
  <c r="D303" i="71"/>
  <c r="D304" i="71"/>
  <c r="D305" i="71"/>
  <c r="D306" i="71"/>
  <c r="D307" i="71"/>
  <c r="E307" i="71"/>
  <c r="AE307" i="71"/>
  <c r="D308" i="71"/>
  <c r="D309" i="71"/>
  <c r="D310" i="71"/>
  <c r="D311" i="71"/>
  <c r="D312" i="71"/>
  <c r="D313" i="71"/>
  <c r="D314" i="71"/>
  <c r="D315" i="71"/>
  <c r="E315" i="71"/>
  <c r="AE315" i="71"/>
  <c r="D316" i="71"/>
  <c r="E316" i="71"/>
  <c r="AE316" i="71"/>
  <c r="D317" i="71"/>
  <c r="D318" i="71"/>
  <c r="D319" i="71"/>
  <c r="D320" i="71"/>
  <c r="D321" i="71"/>
  <c r="D322" i="71"/>
  <c r="D323" i="71"/>
  <c r="D324" i="71"/>
  <c r="D325" i="71"/>
  <c r="D326" i="71"/>
  <c r="D327" i="71"/>
  <c r="D328" i="71"/>
  <c r="D329" i="71"/>
  <c r="D330" i="71"/>
  <c r="D331" i="71"/>
  <c r="D332" i="71"/>
  <c r="D333" i="71"/>
  <c r="D334" i="71"/>
  <c r="D335" i="71"/>
  <c r="D336" i="71"/>
  <c r="D337" i="71"/>
  <c r="D338" i="71"/>
  <c r="D339" i="71"/>
  <c r="E339" i="71"/>
  <c r="AE339" i="71"/>
  <c r="D340" i="71"/>
  <c r="D341" i="71"/>
  <c r="D342" i="71"/>
  <c r="D343" i="71"/>
  <c r="D344" i="71"/>
  <c r="D345" i="71"/>
  <c r="D346" i="71"/>
  <c r="D347" i="71"/>
  <c r="D348" i="71"/>
  <c r="D349" i="71"/>
  <c r="D350" i="71"/>
  <c r="D351" i="71"/>
  <c r="D352" i="71"/>
  <c r="D353" i="71"/>
  <c r="D354" i="71"/>
  <c r="D355" i="71"/>
  <c r="D356" i="71"/>
  <c r="D357" i="71"/>
  <c r="D358" i="71"/>
  <c r="D359" i="71"/>
  <c r="D360" i="71"/>
  <c r="D361" i="71"/>
  <c r="D362" i="71"/>
  <c r="D363" i="71"/>
  <c r="E363" i="71"/>
  <c r="AE363" i="71"/>
  <c r="D364" i="71"/>
  <c r="AE364" i="71"/>
  <c r="D365" i="71"/>
  <c r="D366" i="71"/>
  <c r="D368" i="71"/>
  <c r="D369" i="71"/>
  <c r="D370" i="71"/>
  <c r="D371" i="71"/>
  <c r="D372" i="71"/>
  <c r="D373" i="71"/>
  <c r="D374" i="71"/>
  <c r="D375" i="71"/>
  <c r="D376" i="71"/>
  <c r="D377" i="71"/>
  <c r="D378" i="71"/>
  <c r="D379" i="71"/>
  <c r="D380" i="71"/>
  <c r="D381" i="71"/>
  <c r="D382" i="71"/>
  <c r="D383" i="71"/>
  <c r="D384" i="71"/>
  <c r="D385" i="71"/>
  <c r="D386" i="71"/>
  <c r="D387" i="71"/>
  <c r="D388" i="71"/>
  <c r="E388" i="71"/>
  <c r="AE388" i="71"/>
  <c r="D389" i="71"/>
  <c r="E389" i="71"/>
  <c r="D390" i="71"/>
  <c r="D391" i="71"/>
  <c r="D392" i="71"/>
  <c r="D393" i="71"/>
  <c r="D394" i="71"/>
  <c r="D395" i="71"/>
  <c r="D396" i="71"/>
  <c r="D397" i="71"/>
  <c r="D398" i="71"/>
  <c r="D399" i="71"/>
  <c r="D400" i="71"/>
  <c r="D401" i="71"/>
  <c r="D402" i="71"/>
  <c r="D403" i="71"/>
  <c r="D404" i="71"/>
  <c r="D405" i="71"/>
  <c r="D406" i="71"/>
  <c r="D407" i="71"/>
  <c r="D408" i="71"/>
  <c r="D409" i="71"/>
  <c r="D410" i="71"/>
  <c r="D411" i="71"/>
  <c r="D412" i="71"/>
  <c r="D413" i="71"/>
  <c r="E413" i="71"/>
  <c r="AE413" i="71"/>
  <c r="D414" i="71"/>
  <c r="D415" i="71"/>
  <c r="D416" i="71"/>
  <c r="D417" i="71"/>
  <c r="D418" i="71"/>
  <c r="D419" i="71"/>
  <c r="D420" i="71"/>
  <c r="D421" i="71"/>
  <c r="D422" i="71"/>
  <c r="D423" i="71"/>
  <c r="D424" i="71"/>
  <c r="D425" i="71"/>
  <c r="D426" i="71"/>
  <c r="D427" i="71"/>
  <c r="D428" i="71"/>
  <c r="D429" i="71"/>
  <c r="D430" i="71"/>
  <c r="D431" i="71"/>
  <c r="D432" i="71"/>
  <c r="D433" i="71"/>
  <c r="D434" i="71"/>
  <c r="D435" i="71"/>
  <c r="D437" i="71"/>
  <c r="E437" i="71"/>
  <c r="AE437" i="71"/>
  <c r="D438" i="71"/>
  <c r="E438" i="71"/>
  <c r="D439" i="71"/>
  <c r="D440" i="71"/>
  <c r="D441" i="71"/>
  <c r="D442" i="71"/>
  <c r="D443" i="71"/>
  <c r="D444" i="71"/>
  <c r="D445" i="71"/>
  <c r="D446" i="71"/>
  <c r="D447" i="71"/>
  <c r="D448" i="71"/>
  <c r="D449" i="71"/>
  <c r="D450" i="71"/>
  <c r="D451" i="71"/>
  <c r="D452" i="71"/>
  <c r="D453" i="71"/>
  <c r="D454" i="71"/>
  <c r="D455" i="71"/>
  <c r="D456" i="71"/>
  <c r="D457" i="71"/>
  <c r="D458" i="71"/>
  <c r="D459" i="71"/>
  <c r="D460" i="71"/>
  <c r="D461" i="71"/>
  <c r="E461" i="71"/>
  <c r="AE461" i="71"/>
  <c r="D462" i="71"/>
  <c r="D463" i="71"/>
  <c r="D464" i="71"/>
  <c r="D465" i="71"/>
  <c r="D466" i="71"/>
  <c r="D467" i="71"/>
  <c r="D468" i="71"/>
  <c r="D469" i="71"/>
  <c r="D470" i="71"/>
  <c r="D471" i="71"/>
  <c r="D472" i="71"/>
  <c r="D473" i="71"/>
  <c r="D474" i="71"/>
  <c r="D475" i="71"/>
  <c r="D476" i="71"/>
  <c r="D477" i="71"/>
  <c r="D478" i="71"/>
  <c r="D479" i="71"/>
  <c r="D480" i="71"/>
  <c r="D481" i="71"/>
  <c r="D482" i="71"/>
  <c r="D483" i="71"/>
  <c r="D484" i="71"/>
  <c r="D485" i="71"/>
  <c r="E485" i="71"/>
  <c r="AE485" i="71"/>
  <c r="D486" i="71"/>
  <c r="E486" i="71"/>
  <c r="AE486" i="71"/>
  <c r="D487" i="71"/>
  <c r="D488" i="71"/>
  <c r="D489" i="71"/>
  <c r="D490" i="71"/>
  <c r="D491" i="71"/>
  <c r="D492" i="71"/>
  <c r="D493" i="71"/>
  <c r="D494" i="71"/>
  <c r="D495" i="71"/>
  <c r="D496" i="71"/>
  <c r="D497" i="71"/>
  <c r="D498" i="71"/>
  <c r="D499" i="71"/>
  <c r="D500" i="71"/>
  <c r="D501" i="71"/>
  <c r="D502" i="71"/>
  <c r="D503" i="71"/>
  <c r="D505" i="71"/>
  <c r="D506" i="71"/>
  <c r="D507" i="71"/>
  <c r="D508" i="71"/>
  <c r="D509" i="71"/>
  <c r="D510" i="71"/>
  <c r="E510" i="71"/>
  <c r="AE510" i="71"/>
  <c r="D511" i="71"/>
  <c r="AE511" i="71"/>
  <c r="D512" i="71"/>
  <c r="D513" i="71"/>
  <c r="D514" i="71"/>
  <c r="D515" i="71"/>
  <c r="D516" i="71"/>
  <c r="D517" i="71"/>
  <c r="D518" i="71"/>
  <c r="D519" i="71"/>
  <c r="D520" i="71"/>
  <c r="D521" i="71"/>
  <c r="D522" i="71"/>
  <c r="D523" i="71"/>
  <c r="D524" i="71"/>
  <c r="D525" i="71"/>
  <c r="D526" i="71"/>
  <c r="D527" i="71"/>
  <c r="D528" i="71"/>
  <c r="D529" i="71"/>
  <c r="D530" i="71"/>
  <c r="D531" i="71"/>
  <c r="D532" i="71"/>
  <c r="D533" i="71"/>
  <c r="D534" i="71"/>
  <c r="D535" i="71"/>
  <c r="AE535" i="71"/>
  <c r="D536" i="71"/>
  <c r="D537" i="71"/>
  <c r="D538" i="71"/>
  <c r="D539" i="71"/>
  <c r="D540" i="71"/>
  <c r="D541" i="71"/>
  <c r="D542" i="71"/>
  <c r="D543" i="71"/>
  <c r="D544" i="71"/>
  <c r="D545" i="71"/>
  <c r="D546" i="71"/>
  <c r="D547" i="71"/>
  <c r="D548" i="71"/>
  <c r="D549" i="71"/>
  <c r="D550" i="71"/>
  <c r="D551" i="71"/>
  <c r="D552" i="71"/>
  <c r="D553" i="71"/>
  <c r="D554" i="71"/>
  <c r="D555" i="71"/>
  <c r="D556" i="71"/>
  <c r="D557" i="71"/>
  <c r="D558" i="71"/>
  <c r="E558" i="71"/>
  <c r="AE558" i="71"/>
  <c r="D559" i="71"/>
  <c r="AE559" i="71"/>
  <c r="D560" i="71"/>
  <c r="D561" i="71"/>
  <c r="D562" i="71"/>
  <c r="D563" i="71"/>
  <c r="D564" i="71"/>
  <c r="D565" i="71"/>
  <c r="D566" i="71"/>
  <c r="D567" i="71"/>
  <c r="D568" i="71"/>
  <c r="D569" i="71"/>
  <c r="D570" i="71"/>
  <c r="D571" i="71"/>
  <c r="D572" i="71"/>
  <c r="D573" i="71"/>
  <c r="D575" i="71"/>
  <c r="D576" i="71"/>
  <c r="D577" i="71"/>
  <c r="D578" i="71"/>
  <c r="D579" i="71"/>
  <c r="D580" i="71"/>
  <c r="D581" i="71"/>
  <c r="D582" i="71"/>
  <c r="D583" i="71"/>
  <c r="E583" i="71"/>
  <c r="D584" i="71"/>
  <c r="AE584" i="71"/>
  <c r="D585" i="71"/>
  <c r="D586" i="71"/>
  <c r="D587" i="71"/>
  <c r="D588" i="71"/>
  <c r="D589" i="71"/>
  <c r="D590" i="71"/>
  <c r="D591" i="71"/>
  <c r="D592" i="71"/>
  <c r="D593" i="71"/>
  <c r="D594" i="71"/>
  <c r="D595" i="71"/>
  <c r="D596" i="71"/>
  <c r="D597" i="71"/>
  <c r="D598" i="71"/>
  <c r="D599" i="71"/>
  <c r="D600" i="71"/>
  <c r="D601" i="71"/>
  <c r="D602" i="71"/>
  <c r="D603" i="71"/>
  <c r="D604" i="71"/>
  <c r="D605" i="71"/>
  <c r="D606" i="71"/>
  <c r="D607" i="71"/>
  <c r="E607" i="71"/>
  <c r="AE607" i="71"/>
  <c r="D608" i="71"/>
  <c r="E608" i="71"/>
  <c r="AE608" i="71"/>
  <c r="D609" i="71"/>
  <c r="D610" i="71"/>
  <c r="D611" i="71"/>
  <c r="D612" i="71"/>
  <c r="D613" i="71"/>
  <c r="D614" i="71"/>
  <c r="D615" i="71"/>
  <c r="D616" i="71"/>
  <c r="D617" i="71"/>
  <c r="D618" i="71"/>
  <c r="D619" i="71"/>
  <c r="D620" i="71"/>
  <c r="D621" i="71"/>
  <c r="D622" i="71"/>
  <c r="D623" i="71"/>
  <c r="D624" i="71"/>
  <c r="D625" i="71"/>
  <c r="D626" i="71"/>
  <c r="D627" i="71"/>
  <c r="D628" i="71"/>
  <c r="D629" i="71"/>
  <c r="D630" i="71"/>
  <c r="D631" i="71"/>
  <c r="E631" i="71"/>
  <c r="AE631" i="71"/>
  <c r="D632" i="71"/>
  <c r="AE632" i="71"/>
  <c r="D633" i="71"/>
  <c r="D634" i="71"/>
  <c r="D635" i="71"/>
  <c r="D636" i="71"/>
  <c r="D637" i="71"/>
  <c r="D638" i="71"/>
  <c r="D639" i="71"/>
  <c r="D640" i="71"/>
  <c r="D641" i="71"/>
  <c r="D642" i="71"/>
  <c r="D644" i="71"/>
  <c r="D645" i="71"/>
  <c r="D646" i="71"/>
  <c r="D647" i="71"/>
  <c r="D648" i="71"/>
  <c r="D649" i="71"/>
  <c r="D650" i="71"/>
  <c r="D651" i="71"/>
  <c r="D652" i="71"/>
  <c r="D653" i="71"/>
  <c r="D654" i="71"/>
  <c r="D655" i="71"/>
  <c r="D656" i="71"/>
  <c r="E656" i="71"/>
  <c r="D657" i="71"/>
  <c r="AE657" i="71"/>
  <c r="D658" i="71"/>
  <c r="D659" i="71"/>
  <c r="D660" i="71"/>
  <c r="D661" i="71"/>
  <c r="D662" i="71"/>
  <c r="D663" i="71"/>
  <c r="D664" i="71"/>
  <c r="D665" i="71"/>
  <c r="D666" i="71"/>
  <c r="D667" i="71"/>
  <c r="D668" i="71"/>
  <c r="D669" i="71"/>
  <c r="D670" i="71"/>
  <c r="D671" i="71"/>
  <c r="D672" i="71"/>
  <c r="D673" i="71"/>
  <c r="D674" i="71"/>
  <c r="D675" i="71"/>
  <c r="D676" i="71"/>
  <c r="D677" i="71"/>
  <c r="D678" i="71"/>
  <c r="D679" i="71"/>
  <c r="D680" i="71"/>
  <c r="E680" i="71"/>
  <c r="AE680" i="71"/>
  <c r="D681" i="71"/>
  <c r="E681" i="71"/>
  <c r="AE681" i="71"/>
  <c r="D682" i="71"/>
  <c r="D683" i="71"/>
  <c r="D684" i="71"/>
  <c r="D685" i="71"/>
  <c r="D686" i="71"/>
  <c r="D687" i="71"/>
  <c r="D688" i="71"/>
  <c r="D689" i="71"/>
  <c r="D690" i="71"/>
  <c r="D691" i="71"/>
  <c r="D692" i="71"/>
  <c r="D693" i="71"/>
  <c r="D694" i="71"/>
  <c r="D695" i="71"/>
  <c r="D696" i="71"/>
  <c r="D697" i="71"/>
  <c r="D698" i="71"/>
  <c r="D699" i="71"/>
  <c r="D700" i="71"/>
  <c r="D701" i="71"/>
  <c r="D702" i="71"/>
  <c r="D703" i="71"/>
  <c r="D704" i="71"/>
  <c r="E704" i="71"/>
  <c r="AE704" i="71"/>
  <c r="D705" i="71"/>
  <c r="E705" i="71"/>
  <c r="AE705" i="71"/>
  <c r="D706" i="71"/>
  <c r="D707" i="71"/>
  <c r="D708" i="71"/>
  <c r="D709" i="71"/>
  <c r="D710" i="71"/>
  <c r="D711" i="71"/>
  <c r="D713" i="71"/>
  <c r="D714" i="71"/>
  <c r="D715" i="71"/>
  <c r="D716" i="71"/>
  <c r="D717" i="71"/>
  <c r="D718" i="71"/>
  <c r="D719" i="71"/>
  <c r="D720" i="71"/>
  <c r="D721" i="71"/>
  <c r="D722" i="71"/>
  <c r="D723" i="71"/>
  <c r="D724" i="71"/>
  <c r="D725" i="71"/>
  <c r="D726" i="71"/>
  <c r="D727" i="71"/>
  <c r="D728" i="71"/>
  <c r="D729" i="71"/>
  <c r="E729" i="71"/>
  <c r="D730" i="71"/>
  <c r="AE730" i="71"/>
  <c r="D731" i="71"/>
  <c r="D732" i="71"/>
  <c r="D733" i="71"/>
  <c r="D734" i="71"/>
  <c r="D735" i="71"/>
  <c r="D736" i="71"/>
  <c r="D737" i="71"/>
  <c r="D738" i="71"/>
  <c r="D739" i="71"/>
  <c r="D740" i="71"/>
  <c r="D741" i="71"/>
  <c r="D742" i="71"/>
  <c r="D743" i="71"/>
  <c r="D744" i="71"/>
  <c r="D745" i="71"/>
  <c r="AE745" i="71"/>
  <c r="D746" i="71"/>
  <c r="D747" i="71"/>
  <c r="D748" i="71"/>
  <c r="D749" i="71"/>
  <c r="D750" i="71"/>
  <c r="D751" i="71"/>
  <c r="D752" i="71"/>
  <c r="D753" i="71"/>
  <c r="E753" i="71"/>
  <c r="AE753" i="71"/>
  <c r="D754" i="71"/>
  <c r="E754" i="71"/>
  <c r="AE754" i="71"/>
  <c r="D755" i="71"/>
  <c r="D756" i="71"/>
  <c r="D757" i="71"/>
  <c r="D758" i="71"/>
  <c r="D759" i="71"/>
  <c r="D760" i="71"/>
  <c r="D761" i="71"/>
  <c r="D762" i="71"/>
  <c r="D763" i="71"/>
  <c r="D764" i="71"/>
  <c r="D765" i="71"/>
  <c r="D766" i="71"/>
  <c r="D767" i="71"/>
  <c r="D768" i="71"/>
  <c r="D769" i="71"/>
  <c r="D770" i="71"/>
  <c r="D771" i="71"/>
  <c r="D772" i="71"/>
  <c r="D773" i="71"/>
  <c r="D774" i="71"/>
  <c r="D775" i="71"/>
  <c r="D776" i="71"/>
  <c r="D777" i="71"/>
  <c r="E777" i="71"/>
  <c r="AE777" i="71"/>
  <c r="D778" i="71"/>
  <c r="D779" i="71"/>
  <c r="D780" i="71"/>
  <c r="D782" i="71"/>
  <c r="D783" i="71"/>
  <c r="D784" i="71"/>
  <c r="D785" i="71"/>
  <c r="D786" i="71"/>
  <c r="D787" i="71"/>
  <c r="D788" i="71"/>
  <c r="D789" i="71"/>
  <c r="D790" i="71"/>
  <c r="D791" i="71"/>
  <c r="D792" i="71"/>
  <c r="D793" i="71"/>
  <c r="D794" i="71"/>
  <c r="D795" i="71"/>
  <c r="D796" i="71"/>
  <c r="D797" i="71"/>
  <c r="D798" i="71"/>
  <c r="D799" i="71"/>
  <c r="D800" i="71"/>
  <c r="D801" i="71"/>
  <c r="D802" i="71"/>
  <c r="E802" i="71"/>
  <c r="AE802" i="71"/>
  <c r="D803" i="71"/>
  <c r="D804" i="71"/>
  <c r="D805" i="71"/>
  <c r="D806" i="71"/>
  <c r="D807" i="71"/>
  <c r="D808" i="71"/>
  <c r="D809" i="71"/>
  <c r="D810" i="71"/>
  <c r="D811" i="71"/>
  <c r="D812" i="71"/>
  <c r="D813" i="71"/>
  <c r="D814" i="71"/>
  <c r="D815" i="71"/>
  <c r="D816" i="71"/>
  <c r="D817" i="71"/>
  <c r="D818" i="71"/>
  <c r="D819" i="71"/>
  <c r="D820" i="71"/>
  <c r="D821" i="71"/>
  <c r="D822" i="71"/>
  <c r="D823" i="71"/>
  <c r="D824" i="71"/>
  <c r="D825" i="71"/>
  <c r="D826" i="71"/>
  <c r="E826" i="71"/>
  <c r="AE826" i="71"/>
  <c r="D827" i="71"/>
  <c r="E827" i="71"/>
  <c r="D828" i="71"/>
  <c r="D829" i="71"/>
  <c r="D830" i="71"/>
  <c r="D831" i="71"/>
  <c r="D832" i="71"/>
  <c r="D833" i="71"/>
  <c r="D834" i="71"/>
  <c r="D835" i="71"/>
  <c r="D836" i="71"/>
  <c r="D837" i="71"/>
  <c r="D838" i="71"/>
  <c r="D839" i="71"/>
  <c r="D840" i="71"/>
  <c r="D841" i="71"/>
  <c r="D842" i="71"/>
  <c r="AE842" i="71"/>
  <c r="D843" i="71"/>
  <c r="D844" i="71"/>
  <c r="D845" i="71"/>
  <c r="D846" i="71"/>
  <c r="D847" i="71"/>
  <c r="D848" i="71"/>
  <c r="D849" i="71"/>
  <c r="D851" i="71"/>
  <c r="E851" i="71"/>
  <c r="AE851" i="71"/>
  <c r="D852" i="71"/>
  <c r="E852" i="71"/>
  <c r="D853" i="71"/>
  <c r="D854" i="71"/>
  <c r="D855" i="71"/>
  <c r="D856" i="71"/>
  <c r="D857" i="71"/>
  <c r="D858" i="71"/>
  <c r="D859" i="71"/>
  <c r="D860" i="71"/>
  <c r="D861" i="71"/>
  <c r="D862" i="71"/>
  <c r="D863" i="71"/>
  <c r="D864" i="71"/>
  <c r="D865" i="71"/>
  <c r="D866" i="71"/>
  <c r="D867" i="71"/>
  <c r="D868" i="71"/>
  <c r="D869" i="71"/>
  <c r="D870" i="71"/>
  <c r="D871" i="71"/>
  <c r="D872" i="71"/>
  <c r="D873" i="71"/>
  <c r="D874" i="71"/>
  <c r="D875" i="71"/>
  <c r="E875" i="71"/>
  <c r="AE875" i="71"/>
  <c r="D876" i="71"/>
  <c r="D877" i="71"/>
  <c r="D878" i="71"/>
  <c r="D879" i="71"/>
  <c r="D880" i="71"/>
  <c r="D881" i="71"/>
  <c r="D882" i="71"/>
  <c r="D883" i="71"/>
  <c r="D884" i="71"/>
  <c r="D885" i="71"/>
  <c r="D886" i="71"/>
  <c r="D887" i="71"/>
  <c r="D888" i="71"/>
  <c r="D889" i="71"/>
  <c r="D890" i="71"/>
  <c r="D891" i="71"/>
  <c r="D892" i="71"/>
  <c r="D893" i="71"/>
  <c r="D894" i="71"/>
  <c r="D895" i="71"/>
  <c r="D896" i="71"/>
  <c r="D897" i="71"/>
  <c r="D898" i="71"/>
  <c r="D899" i="71"/>
  <c r="AE899" i="71"/>
  <c r="D900" i="71"/>
  <c r="E900" i="71"/>
  <c r="D901" i="71"/>
  <c r="D902" i="71"/>
  <c r="D903" i="71"/>
  <c r="D904" i="71"/>
  <c r="D905" i="71"/>
  <c r="D906" i="71"/>
  <c r="D907" i="71"/>
  <c r="D908" i="71"/>
  <c r="D909" i="71"/>
  <c r="D910" i="71"/>
  <c r="D911" i="71"/>
  <c r="D912" i="71"/>
  <c r="D913" i="71"/>
  <c r="D914" i="71"/>
  <c r="D915" i="71"/>
  <c r="D916" i="71"/>
  <c r="D917" i="71"/>
  <c r="D918" i="71"/>
  <c r="D920" i="71"/>
  <c r="D921" i="71"/>
  <c r="D922" i="71"/>
  <c r="D923" i="71"/>
  <c r="D924" i="71"/>
  <c r="E924" i="71"/>
  <c r="AE924" i="71"/>
  <c r="D925" i="71"/>
  <c r="AE925" i="71"/>
  <c r="D926" i="71"/>
  <c r="D927" i="71"/>
  <c r="D928" i="71"/>
  <c r="D929" i="71"/>
  <c r="D930" i="71"/>
  <c r="D931" i="71"/>
  <c r="D932" i="71"/>
  <c r="D933" i="71"/>
  <c r="D934" i="71"/>
  <c r="D935" i="71"/>
  <c r="D936" i="71"/>
  <c r="D937" i="71"/>
  <c r="D938" i="71"/>
  <c r="D939" i="71"/>
  <c r="D940" i="71"/>
  <c r="D941" i="71"/>
  <c r="D942" i="71"/>
  <c r="D943" i="71"/>
  <c r="D944" i="71"/>
  <c r="D945" i="71"/>
  <c r="D946" i="71"/>
  <c r="D947" i="71"/>
  <c r="D948" i="71"/>
  <c r="E948" i="71"/>
  <c r="AE948" i="71"/>
  <c r="D949" i="71"/>
  <c r="E949" i="71"/>
  <c r="D950" i="71"/>
  <c r="D951" i="71"/>
  <c r="D952" i="71"/>
  <c r="D953" i="71"/>
  <c r="D954" i="71"/>
  <c r="D955" i="71"/>
  <c r="D956" i="71"/>
  <c r="D957" i="71"/>
  <c r="D958" i="71"/>
  <c r="D959" i="71"/>
  <c r="D960" i="71"/>
  <c r="D961" i="71"/>
  <c r="D962" i="71"/>
  <c r="D963" i="71"/>
  <c r="D964" i="71"/>
  <c r="D965" i="71"/>
  <c r="D966" i="71"/>
  <c r="D967" i="71"/>
  <c r="D968" i="71"/>
  <c r="D969" i="71"/>
  <c r="D970" i="71"/>
  <c r="D971" i="71"/>
  <c r="D972" i="71"/>
  <c r="D973" i="71"/>
  <c r="E973" i="71"/>
  <c r="AE973" i="71"/>
  <c r="D974" i="71"/>
  <c r="D975" i="71"/>
  <c r="D976" i="71"/>
  <c r="D977" i="71"/>
  <c r="D978" i="71"/>
  <c r="D979" i="71"/>
  <c r="D980" i="71"/>
  <c r="D981" i="71"/>
  <c r="D982" i="71"/>
  <c r="D983" i="71"/>
  <c r="D984" i="71"/>
  <c r="D985" i="71"/>
  <c r="D986" i="71"/>
  <c r="D987" i="71"/>
  <c r="D989" i="71"/>
  <c r="D990" i="71"/>
  <c r="D991" i="71"/>
  <c r="D992" i="71"/>
  <c r="D993" i="71"/>
  <c r="D994" i="71"/>
  <c r="D995" i="71"/>
  <c r="D996" i="71"/>
  <c r="D997" i="71"/>
  <c r="E997" i="71"/>
  <c r="AE997" i="71"/>
  <c r="D998" i="71"/>
  <c r="E998" i="71"/>
  <c r="D999" i="71"/>
  <c r="D1000" i="71"/>
  <c r="D1001" i="71"/>
  <c r="D1002" i="71"/>
  <c r="D1003" i="71"/>
  <c r="D1004" i="71"/>
  <c r="D1005" i="71"/>
  <c r="D1006" i="71"/>
  <c r="D1007" i="71"/>
  <c r="D1008" i="71"/>
  <c r="D1009" i="71"/>
  <c r="D1010" i="71"/>
  <c r="D1011" i="71"/>
  <c r="D1012" i="71"/>
  <c r="D1013" i="71"/>
  <c r="D1014" i="71"/>
  <c r="D1015" i="71"/>
  <c r="D1016" i="71"/>
  <c r="D1017" i="71"/>
  <c r="D1018" i="71"/>
  <c r="D1019" i="71"/>
  <c r="D1020" i="71"/>
  <c r="D1021" i="71"/>
  <c r="E1021" i="71"/>
  <c r="AE1021" i="71"/>
  <c r="D1022" i="71"/>
  <c r="D1023" i="71"/>
  <c r="D1024" i="71"/>
  <c r="D1025" i="71"/>
  <c r="D1026" i="71"/>
  <c r="D1027" i="71"/>
  <c r="D1028" i="71"/>
  <c r="D1029" i="71"/>
  <c r="D1030" i="71"/>
  <c r="D1031" i="71"/>
  <c r="D1032" i="71"/>
  <c r="D1033" i="71"/>
  <c r="D1034" i="71"/>
  <c r="D1035" i="71"/>
  <c r="D1036" i="71"/>
  <c r="D1037" i="71"/>
  <c r="D1038" i="71"/>
  <c r="D1039" i="71"/>
  <c r="D1040" i="71"/>
  <c r="D1041" i="71"/>
  <c r="D1042" i="71"/>
  <c r="D1043" i="71"/>
  <c r="D1044" i="71"/>
  <c r="D1045" i="71"/>
  <c r="E1045" i="71"/>
  <c r="D1046" i="71"/>
  <c r="D1047" i="71"/>
  <c r="D1048" i="71"/>
  <c r="D1049" i="71"/>
  <c r="D1050" i="71"/>
  <c r="D1051" i="71"/>
  <c r="D1052" i="71"/>
  <c r="D1053" i="71"/>
  <c r="D1054" i="71"/>
  <c r="D1055" i="71"/>
  <c r="D1056" i="71"/>
  <c r="D1058" i="71"/>
  <c r="D1059" i="71"/>
  <c r="D1060" i="71"/>
  <c r="D1061" i="71"/>
  <c r="D1062" i="71"/>
  <c r="D1063" i="71"/>
  <c r="D1064" i="71"/>
  <c r="D1065" i="71"/>
  <c r="D1066" i="71"/>
  <c r="D1067" i="71"/>
  <c r="D1068" i="71"/>
  <c r="D1069" i="71"/>
  <c r="D1070" i="71"/>
  <c r="AE1070" i="71"/>
  <c r="D1071" i="71"/>
  <c r="D1072" i="71"/>
  <c r="D1073" i="71"/>
  <c r="D1074" i="71"/>
  <c r="D1075" i="71"/>
  <c r="D1076" i="71"/>
  <c r="D1077" i="71"/>
  <c r="D1078" i="71"/>
  <c r="D1079" i="71"/>
  <c r="D1080" i="71"/>
  <c r="D1081" i="71"/>
  <c r="D1082" i="71"/>
  <c r="D1083" i="71"/>
  <c r="D1084" i="71"/>
  <c r="D1085" i="71"/>
  <c r="D1086" i="71"/>
  <c r="D1087" i="71"/>
  <c r="D1088" i="71"/>
  <c r="D1089" i="71"/>
  <c r="D1090" i="71"/>
  <c r="D1091" i="71"/>
  <c r="D1092" i="71"/>
  <c r="D1093" i="71"/>
  <c r="D1094" i="71"/>
  <c r="E1094" i="71"/>
  <c r="AE1094" i="71"/>
  <c r="D1095" i="71"/>
  <c r="D1096" i="71"/>
  <c r="D1097" i="71"/>
  <c r="D1098" i="71"/>
  <c r="D1099" i="71"/>
  <c r="D1100" i="71"/>
  <c r="D1101" i="71"/>
  <c r="D1102" i="71"/>
  <c r="D1103" i="71"/>
  <c r="D1104" i="71"/>
  <c r="D1105" i="71"/>
  <c r="D1106" i="71"/>
  <c r="D1107" i="71"/>
  <c r="AE1108" i="71"/>
  <c r="F6" i="73"/>
  <c r="G6" i="73"/>
  <c r="H6" i="73"/>
  <c r="F7" i="73"/>
  <c r="G7" i="73"/>
  <c r="H7" i="73"/>
  <c r="F8" i="73"/>
  <c r="G8" i="73"/>
  <c r="H8" i="73"/>
  <c r="F9" i="73"/>
  <c r="G9" i="73"/>
  <c r="H9" i="73"/>
  <c r="F10" i="73"/>
  <c r="G10" i="73"/>
  <c r="H10" i="73"/>
  <c r="F11" i="73"/>
  <c r="G11" i="73"/>
  <c r="H11" i="73"/>
  <c r="F12" i="73"/>
  <c r="G12" i="73"/>
  <c r="H12" i="73"/>
  <c r="F13" i="73"/>
  <c r="G13" i="73"/>
  <c r="H13" i="73"/>
  <c r="F14" i="73"/>
  <c r="G14" i="73"/>
  <c r="H14" i="73"/>
  <c r="F15" i="73"/>
  <c r="G15" i="73"/>
  <c r="H15" i="73"/>
  <c r="F16" i="73"/>
  <c r="G16" i="73"/>
  <c r="H16" i="73"/>
  <c r="F17" i="73"/>
  <c r="G17" i="73"/>
  <c r="H17" i="73"/>
  <c r="F18" i="73"/>
  <c r="G18" i="73"/>
  <c r="H18" i="73"/>
  <c r="F19" i="73"/>
  <c r="G19" i="73"/>
  <c r="H19" i="73"/>
  <c r="F20" i="73"/>
  <c r="G20" i="73"/>
  <c r="H20" i="73"/>
  <c r="F21" i="73"/>
  <c r="G21" i="73"/>
  <c r="H21" i="73"/>
  <c r="AS60" i="76"/>
  <c r="L16" i="4"/>
  <c r="L17" i="4"/>
  <c r="L18" i="4"/>
  <c r="L19" i="4"/>
  <c r="L20" i="4"/>
  <c r="L21" i="4"/>
  <c r="L22" i="4"/>
  <c r="L23" i="4"/>
  <c r="L24" i="4"/>
  <c r="L25" i="4"/>
  <c r="L70" i="4"/>
  <c r="E81" i="4"/>
  <c r="F81" i="4"/>
  <c r="F112" i="4" s="1"/>
  <c r="F122" i="4" s="1"/>
  <c r="E87" i="4"/>
  <c r="G87" i="4"/>
  <c r="G112" i="4" s="1"/>
  <c r="E94" i="4"/>
  <c r="H94" i="4"/>
  <c r="H112" i="4"/>
  <c r="H23" i="48" s="1"/>
  <c r="K55" i="23"/>
  <c r="E105" i="4"/>
  <c r="I105" i="4"/>
  <c r="I112" i="4" s="1"/>
  <c r="I23" i="48" s="1"/>
  <c r="K120" i="4"/>
  <c r="J122" i="4"/>
  <c r="K122" i="4"/>
  <c r="L30" i="2"/>
  <c r="L31" i="2"/>
  <c r="L32" i="2"/>
  <c r="E71" i="47"/>
  <c r="F72" i="47"/>
  <c r="G72" i="47"/>
  <c r="H72" i="47"/>
  <c r="I72" i="47"/>
  <c r="J72" i="47"/>
  <c r="D147" i="48"/>
  <c r="G147" i="48" s="1"/>
  <c r="F147" i="48"/>
  <c r="I147" i="48"/>
  <c r="E14" i="45"/>
  <c r="F56" i="5" s="1"/>
  <c r="F14" i="45"/>
  <c r="I92" i="5" s="1"/>
  <c r="G15" i="45"/>
  <c r="G16" i="45"/>
  <c r="J40" i="5" s="1"/>
  <c r="E29" i="45"/>
  <c r="F29" i="45"/>
  <c r="H55" i="45" s="1"/>
  <c r="H70" i="45" s="1"/>
  <c r="G30" i="45"/>
  <c r="G31" i="45"/>
  <c r="E34" i="45"/>
  <c r="E87" i="45"/>
  <c r="F87" i="45"/>
  <c r="G88" i="45"/>
  <c r="G89" i="45"/>
  <c r="M93" i="5"/>
  <c r="E98" i="45"/>
  <c r="F98" i="45"/>
  <c r="G99" i="45"/>
  <c r="D17" i="12"/>
  <c r="G17" i="12"/>
  <c r="D18" i="12"/>
  <c r="G18" i="12"/>
  <c r="D19" i="12"/>
  <c r="G19" i="12"/>
  <c r="D20" i="12"/>
  <c r="G20" i="12"/>
  <c r="D21" i="12"/>
  <c r="G21" i="12"/>
  <c r="D22" i="12"/>
  <c r="G22" i="12"/>
  <c r="D23" i="12"/>
  <c r="G23" i="12"/>
  <c r="D24" i="12"/>
  <c r="G24" i="12"/>
  <c r="D25" i="12"/>
  <c r="G25" i="12"/>
  <c r="D26" i="12"/>
  <c r="G26" i="12"/>
  <c r="D27" i="12"/>
  <c r="G27" i="12"/>
  <c r="D28" i="12"/>
  <c r="E28" i="12"/>
  <c r="H28" i="12"/>
  <c r="G28" i="12"/>
  <c r="D29" i="12"/>
  <c r="E29" i="12"/>
  <c r="H29" i="12" s="1"/>
  <c r="G29" i="12"/>
  <c r="D30" i="12"/>
  <c r="E30" i="12"/>
  <c r="G30" i="12"/>
  <c r="G32" i="12"/>
  <c r="D69" i="12"/>
  <c r="D70" i="12"/>
  <c r="D72" i="12"/>
  <c r="D73" i="12"/>
  <c r="D16" i="17"/>
  <c r="G16" i="17"/>
  <c r="D17" i="17"/>
  <c r="G17" i="17"/>
  <c r="D18" i="17"/>
  <c r="G18" i="17"/>
  <c r="D19" i="17"/>
  <c r="G19" i="17"/>
  <c r="D20" i="17"/>
  <c r="G20" i="17"/>
  <c r="D21" i="17"/>
  <c r="G21" i="17"/>
  <c r="D22" i="17"/>
  <c r="G22" i="17"/>
  <c r="D23" i="17"/>
  <c r="G23" i="17"/>
  <c r="D24" i="17"/>
  <c r="G24" i="17"/>
  <c r="D25" i="17"/>
  <c r="G25" i="17"/>
  <c r="D26" i="17"/>
  <c r="G26" i="17"/>
  <c r="D27" i="17"/>
  <c r="E27" i="17"/>
  <c r="H27" i="17"/>
  <c r="G27" i="17"/>
  <c r="D28" i="17"/>
  <c r="E28" i="17"/>
  <c r="I28" i="17"/>
  <c r="G28" i="17"/>
  <c r="D29" i="17"/>
  <c r="E29" i="17"/>
  <c r="H29" i="17"/>
  <c r="G29" i="17"/>
  <c r="G31" i="17"/>
  <c r="D67" i="17"/>
  <c r="D68" i="17"/>
  <c r="D70" i="17"/>
  <c r="D71" i="17"/>
  <c r="D19" i="18"/>
  <c r="H19" i="18"/>
  <c r="D20" i="18"/>
  <c r="H20" i="18"/>
  <c r="D21" i="18"/>
  <c r="H21" i="18"/>
  <c r="D22" i="18"/>
  <c r="H22" i="18"/>
  <c r="D23" i="18"/>
  <c r="H23" i="18"/>
  <c r="D24" i="18"/>
  <c r="H24" i="18"/>
  <c r="D25" i="18"/>
  <c r="H25" i="18"/>
  <c r="D26" i="18"/>
  <c r="H26" i="18"/>
  <c r="D27" i="18"/>
  <c r="H27" i="18"/>
  <c r="D28" i="18"/>
  <c r="H28" i="18"/>
  <c r="D29" i="18"/>
  <c r="H29" i="18"/>
  <c r="D30" i="18"/>
  <c r="E30" i="18"/>
  <c r="I30" i="18" s="1"/>
  <c r="H30" i="18"/>
  <c r="D31" i="18"/>
  <c r="E31" i="18"/>
  <c r="I31" i="18" s="1"/>
  <c r="J31" i="18"/>
  <c r="H31" i="18"/>
  <c r="D32" i="18"/>
  <c r="E32" i="18"/>
  <c r="I32" i="18"/>
  <c r="H32" i="18"/>
  <c r="H34" i="18"/>
  <c r="D71" i="18"/>
  <c r="D72" i="18"/>
  <c r="D73" i="18"/>
  <c r="D75" i="18"/>
  <c r="D76" i="18"/>
  <c r="D39" i="19"/>
  <c r="D40" i="19"/>
  <c r="F41" i="5"/>
  <c r="F42" i="5" s="1"/>
  <c r="G41" i="5"/>
  <c r="G42" i="5" s="1"/>
  <c r="I41" i="5"/>
  <c r="F77" i="5"/>
  <c r="F78" i="5" s="1"/>
  <c r="G77" i="5"/>
  <c r="G78" i="5" s="1"/>
  <c r="I77" i="5"/>
  <c r="I78" i="5" s="1"/>
  <c r="K77" i="5"/>
  <c r="K78" i="5" s="1"/>
  <c r="F113" i="5"/>
  <c r="F114" i="5" s="1"/>
  <c r="G113" i="5"/>
  <c r="H113" i="5"/>
  <c r="J113" i="5"/>
  <c r="L113" i="5"/>
  <c r="L114" i="5" s="1"/>
  <c r="N113" i="5"/>
  <c r="N114" i="5" s="1"/>
  <c r="G114" i="5"/>
  <c r="H114" i="5"/>
  <c r="F149" i="5"/>
  <c r="F150" i="5" s="1"/>
  <c r="H149" i="5"/>
  <c r="D19" i="9"/>
  <c r="D126" i="9" s="1"/>
  <c r="E19" i="9"/>
  <c r="D20" i="9"/>
  <c r="D55" i="9" s="1"/>
  <c r="E20" i="9"/>
  <c r="E159" i="9" s="1"/>
  <c r="D21" i="9"/>
  <c r="D160" i="9" s="1"/>
  <c r="E21" i="9"/>
  <c r="D22" i="9"/>
  <c r="D93" i="9" s="1"/>
  <c r="E22" i="9"/>
  <c r="E129" i="9" s="1"/>
  <c r="D23" i="9"/>
  <c r="D58" i="9" s="1"/>
  <c r="E23" i="9"/>
  <c r="D24" i="9"/>
  <c r="D95" i="9" s="1"/>
  <c r="E24" i="9"/>
  <c r="E59" i="9" s="1"/>
  <c r="D25" i="9"/>
  <c r="E25" i="9"/>
  <c r="E60" i="9" s="1"/>
  <c r="D26" i="9"/>
  <c r="E26" i="9"/>
  <c r="E97" i="9" s="1"/>
  <c r="D27" i="9"/>
  <c r="E27" i="9"/>
  <c r="D28" i="9"/>
  <c r="E28" i="9"/>
  <c r="E99" i="9" s="1"/>
  <c r="D29" i="9"/>
  <c r="D100" i="9" s="1"/>
  <c r="E29" i="9"/>
  <c r="D30" i="9"/>
  <c r="E30" i="9"/>
  <c r="D31" i="9"/>
  <c r="E31" i="9"/>
  <c r="D32" i="9"/>
  <c r="E32" i="9"/>
  <c r="D33" i="9"/>
  <c r="D104" i="9" s="1"/>
  <c r="E33" i="9"/>
  <c r="E68" i="9" s="1"/>
  <c r="D34" i="9"/>
  <c r="D173" i="9" s="1"/>
  <c r="E34" i="9"/>
  <c r="D35" i="9"/>
  <c r="D106" i="9" s="1"/>
  <c r="E35" i="9"/>
  <c r="D36" i="9"/>
  <c r="E36" i="9"/>
  <c r="D37" i="9"/>
  <c r="E37" i="9"/>
  <c r="D38" i="9"/>
  <c r="E38" i="9"/>
  <c r="E109" i="9" s="1"/>
  <c r="H53" i="9"/>
  <c r="L53" i="9"/>
  <c r="D59" i="9"/>
  <c r="E61" i="9"/>
  <c r="E63" i="9"/>
  <c r="D64" i="9"/>
  <c r="D65" i="9"/>
  <c r="D66" i="9"/>
  <c r="E66" i="9"/>
  <c r="E67" i="9"/>
  <c r="D69" i="9"/>
  <c r="D70" i="9"/>
  <c r="D71" i="9"/>
  <c r="D72" i="9"/>
  <c r="D73" i="9"/>
  <c r="E73" i="9"/>
  <c r="H74" i="9"/>
  <c r="L74" i="9"/>
  <c r="E100" i="9"/>
  <c r="D101" i="9"/>
  <c r="D102" i="9"/>
  <c r="D103" i="9"/>
  <c r="E103" i="9"/>
  <c r="E104" i="9"/>
  <c r="D105" i="9"/>
  <c r="D107" i="9"/>
  <c r="D108" i="9"/>
  <c r="D109" i="9"/>
  <c r="H125" i="9"/>
  <c r="J125" i="9"/>
  <c r="E135" i="9"/>
  <c r="D136" i="9"/>
  <c r="D137" i="9"/>
  <c r="D138" i="9"/>
  <c r="E139" i="9"/>
  <c r="E140" i="9"/>
  <c r="D141" i="9"/>
  <c r="D142" i="9"/>
  <c r="D143" i="9"/>
  <c r="D144" i="9"/>
  <c r="D145" i="9"/>
  <c r="E145" i="9"/>
  <c r="H146" i="9"/>
  <c r="J146" i="9"/>
  <c r="E158" i="9"/>
  <c r="H158" i="9"/>
  <c r="H159" i="9"/>
  <c r="H160" i="9"/>
  <c r="H161" i="9"/>
  <c r="H162" i="9"/>
  <c r="D163" i="9"/>
  <c r="H163" i="9"/>
  <c r="E164" i="9"/>
  <c r="H164" i="9"/>
  <c r="H165" i="9"/>
  <c r="H166" i="9"/>
  <c r="D167" i="9"/>
  <c r="E167" i="9"/>
  <c r="H167" i="9"/>
  <c r="D168" i="9"/>
  <c r="E168" i="9"/>
  <c r="H168" i="9"/>
  <c r="D169" i="9"/>
  <c r="H169" i="9"/>
  <c r="D170" i="9"/>
  <c r="H170" i="9"/>
  <c r="D171" i="9"/>
  <c r="E171" i="9"/>
  <c r="H171" i="9"/>
  <c r="D172" i="9"/>
  <c r="E172" i="9"/>
  <c r="H172" i="9"/>
  <c r="E173" i="9"/>
  <c r="H173" i="9"/>
  <c r="D174" i="9"/>
  <c r="H174" i="9"/>
  <c r="D175" i="9"/>
  <c r="H175" i="9"/>
  <c r="D176" i="9"/>
  <c r="H176" i="9"/>
  <c r="D177" i="9"/>
  <c r="E177" i="9"/>
  <c r="H177" i="9"/>
  <c r="D19" i="13"/>
  <c r="D153" i="13" s="1"/>
  <c r="E19" i="13"/>
  <c r="D20" i="13"/>
  <c r="D154" i="13" s="1"/>
  <c r="E20" i="13"/>
  <c r="D21" i="13"/>
  <c r="D55" i="13" s="1"/>
  <c r="E21" i="13"/>
  <c r="D22" i="13"/>
  <c r="D125" i="13" s="1"/>
  <c r="E22" i="13"/>
  <c r="E91" i="13" s="1"/>
  <c r="D23" i="13"/>
  <c r="E23" i="13"/>
  <c r="E92" i="13" s="1"/>
  <c r="D24" i="13"/>
  <c r="D158" i="13" s="1"/>
  <c r="E24" i="13"/>
  <c r="D25" i="13"/>
  <c r="D94" i="13" s="1"/>
  <c r="E25" i="13"/>
  <c r="E94" i="13" s="1"/>
  <c r="D26" i="13"/>
  <c r="D95" i="13" s="1"/>
  <c r="E26" i="13"/>
  <c r="D27" i="13"/>
  <c r="E27" i="13"/>
  <c r="D28" i="13"/>
  <c r="E28" i="13"/>
  <c r="D29" i="13"/>
  <c r="E29" i="13"/>
  <c r="D30" i="13"/>
  <c r="E30" i="13"/>
  <c r="D31" i="13"/>
  <c r="E31" i="13"/>
  <c r="D32" i="13"/>
  <c r="E32" i="13"/>
  <c r="D33" i="13"/>
  <c r="E33" i="13"/>
  <c r="D34" i="13"/>
  <c r="E34" i="13"/>
  <c r="D35" i="13"/>
  <c r="E35" i="13"/>
  <c r="D36" i="13"/>
  <c r="E36" i="13"/>
  <c r="D37" i="13"/>
  <c r="E37" i="13"/>
  <c r="D38" i="13"/>
  <c r="E38" i="13"/>
  <c r="H52" i="13"/>
  <c r="L52" i="13"/>
  <c r="D56" i="13"/>
  <c r="D57" i="13"/>
  <c r="D58" i="13"/>
  <c r="D59" i="13"/>
  <c r="D60" i="13"/>
  <c r="D61" i="13"/>
  <c r="D62" i="13"/>
  <c r="D63" i="13"/>
  <c r="D64" i="13"/>
  <c r="D65" i="13"/>
  <c r="D66" i="13"/>
  <c r="D67" i="13"/>
  <c r="E67" i="13"/>
  <c r="D68" i="13"/>
  <c r="D69" i="13"/>
  <c r="D70" i="13"/>
  <c r="D71" i="13"/>
  <c r="D72" i="13"/>
  <c r="H73" i="13"/>
  <c r="D90" i="13"/>
  <c r="D91" i="13"/>
  <c r="D92" i="13"/>
  <c r="D93" i="13"/>
  <c r="D96" i="13"/>
  <c r="D97" i="13"/>
  <c r="D98" i="13"/>
  <c r="D99" i="13"/>
  <c r="E99" i="13"/>
  <c r="D100" i="13"/>
  <c r="D101" i="13"/>
  <c r="D102" i="13"/>
  <c r="E102" i="13"/>
  <c r="D103" i="13"/>
  <c r="E103" i="13"/>
  <c r="D104" i="13"/>
  <c r="D105" i="13"/>
  <c r="D106" i="13"/>
  <c r="D107" i="13"/>
  <c r="H121" i="13"/>
  <c r="J121" i="13"/>
  <c r="D122" i="13"/>
  <c r="D124" i="13"/>
  <c r="D126" i="13"/>
  <c r="D127" i="13"/>
  <c r="D130" i="13"/>
  <c r="D131" i="13"/>
  <c r="E131" i="13"/>
  <c r="D132" i="13"/>
  <c r="D133" i="13"/>
  <c r="E133" i="13"/>
  <c r="D134" i="13"/>
  <c r="D135" i="13"/>
  <c r="E135" i="13"/>
  <c r="D136" i="13"/>
  <c r="D137" i="13"/>
  <c r="D138" i="13"/>
  <c r="D139" i="13"/>
  <c r="E139" i="13"/>
  <c r="D140" i="13"/>
  <c r="D141" i="13"/>
  <c r="H142" i="13"/>
  <c r="J142" i="13"/>
  <c r="I152" i="13"/>
  <c r="H153" i="13"/>
  <c r="H154" i="13"/>
  <c r="D155" i="13"/>
  <c r="H155" i="13"/>
  <c r="D156" i="13"/>
  <c r="H156" i="13"/>
  <c r="D157" i="13"/>
  <c r="E157" i="13"/>
  <c r="H157" i="13"/>
  <c r="H158" i="13"/>
  <c r="H159" i="13"/>
  <c r="H160" i="13"/>
  <c r="D161" i="13"/>
  <c r="H161" i="13"/>
  <c r="D162" i="13"/>
  <c r="H162" i="13"/>
  <c r="D163" i="13"/>
  <c r="H163" i="13"/>
  <c r="D164" i="13"/>
  <c r="H164" i="13"/>
  <c r="D165" i="13"/>
  <c r="H165" i="13"/>
  <c r="D166" i="13"/>
  <c r="E166" i="13"/>
  <c r="H166" i="13"/>
  <c r="D167" i="13"/>
  <c r="H167" i="13"/>
  <c r="D168" i="13"/>
  <c r="H168" i="13"/>
  <c r="D169" i="13"/>
  <c r="H169" i="13"/>
  <c r="D170" i="13"/>
  <c r="H170" i="13"/>
  <c r="D171" i="13"/>
  <c r="H171" i="13"/>
  <c r="D172" i="13"/>
  <c r="H172" i="13"/>
  <c r="I173" i="13"/>
  <c r="D21" i="23"/>
  <c r="D92" i="23" s="1"/>
  <c r="E21" i="23"/>
  <c r="E126" i="23" s="1"/>
  <c r="D22" i="23"/>
  <c r="D57" i="23" s="1"/>
  <c r="E22" i="23"/>
  <c r="D23" i="23"/>
  <c r="E23" i="23"/>
  <c r="E58" i="23" s="1"/>
  <c r="D24" i="23"/>
  <c r="E24" i="23"/>
  <c r="D25" i="23"/>
  <c r="E25" i="23"/>
  <c r="E96" i="23" s="1"/>
  <c r="D26" i="23"/>
  <c r="D162" i="23" s="1"/>
  <c r="E26" i="23"/>
  <c r="D27" i="23"/>
  <c r="D163" i="23" s="1"/>
  <c r="E27" i="23"/>
  <c r="E132" i="23" s="1"/>
  <c r="D28" i="23"/>
  <c r="D164" i="23" s="1"/>
  <c r="E28" i="23"/>
  <c r="D29" i="23"/>
  <c r="E29" i="23"/>
  <c r="E100" i="23" s="1"/>
  <c r="D30" i="23"/>
  <c r="E30" i="23"/>
  <c r="D31" i="23"/>
  <c r="E31" i="23"/>
  <c r="D32" i="23"/>
  <c r="D137" i="23" s="1"/>
  <c r="E32" i="23"/>
  <c r="D33" i="23"/>
  <c r="E33" i="23"/>
  <c r="D34" i="23"/>
  <c r="E34" i="23"/>
  <c r="D35" i="23"/>
  <c r="E35" i="23"/>
  <c r="E171" i="23" s="1"/>
  <c r="D36" i="23"/>
  <c r="E36" i="23"/>
  <c r="D37" i="23"/>
  <c r="E37" i="23"/>
  <c r="D38" i="23"/>
  <c r="E38" i="23"/>
  <c r="D39" i="23"/>
  <c r="D175" i="23" s="1"/>
  <c r="E39" i="23"/>
  <c r="D40" i="23"/>
  <c r="D145" i="23" s="1"/>
  <c r="E40" i="23"/>
  <c r="H55" i="23"/>
  <c r="L55" i="23"/>
  <c r="D61" i="23"/>
  <c r="D62" i="23"/>
  <c r="D63" i="23"/>
  <c r="D64" i="23"/>
  <c r="E64" i="23"/>
  <c r="D65" i="23"/>
  <c r="D67" i="23"/>
  <c r="D68" i="23"/>
  <c r="E68" i="23"/>
  <c r="D69" i="23"/>
  <c r="D70" i="23"/>
  <c r="E72" i="23"/>
  <c r="D73" i="23"/>
  <c r="D74" i="23"/>
  <c r="D75" i="23"/>
  <c r="H76" i="23"/>
  <c r="L76" i="23"/>
  <c r="E94" i="23"/>
  <c r="D95" i="23"/>
  <c r="D97" i="23"/>
  <c r="D98" i="23"/>
  <c r="D100" i="23"/>
  <c r="D101" i="23"/>
  <c r="E102" i="23"/>
  <c r="D103" i="23"/>
  <c r="E104" i="23"/>
  <c r="D105" i="23"/>
  <c r="E108" i="23"/>
  <c r="D109" i="23"/>
  <c r="D110" i="23"/>
  <c r="D111" i="23"/>
  <c r="H125" i="23"/>
  <c r="J125" i="23"/>
  <c r="E128" i="23"/>
  <c r="D130" i="23"/>
  <c r="E130" i="23"/>
  <c r="D131" i="23"/>
  <c r="D132" i="23"/>
  <c r="D134" i="23"/>
  <c r="E134" i="23"/>
  <c r="D135" i="23"/>
  <c r="E136" i="23"/>
  <c r="E138" i="23"/>
  <c r="D139" i="23"/>
  <c r="D141" i="23"/>
  <c r="D142" i="23"/>
  <c r="E142" i="23"/>
  <c r="D143" i="23"/>
  <c r="D144" i="23"/>
  <c r="H146" i="23"/>
  <c r="J146" i="23"/>
  <c r="I156" i="23"/>
  <c r="I177" i="23" s="1"/>
  <c r="E157" i="23"/>
  <c r="H157" i="23"/>
  <c r="H158" i="23"/>
  <c r="E159" i="23"/>
  <c r="H159" i="23"/>
  <c r="H160" i="23"/>
  <c r="E161" i="23"/>
  <c r="H161" i="23"/>
  <c r="E162" i="23"/>
  <c r="H162" i="23"/>
  <c r="H163" i="23"/>
  <c r="E164" i="23"/>
  <c r="H164" i="23"/>
  <c r="D165" i="23"/>
  <c r="E165" i="23"/>
  <c r="H165" i="23"/>
  <c r="D166" i="23"/>
  <c r="E166" i="23"/>
  <c r="H166" i="23"/>
  <c r="H167" i="23"/>
  <c r="D168" i="23"/>
  <c r="H168" i="23"/>
  <c r="E169" i="23"/>
  <c r="H169" i="23"/>
  <c r="D170" i="23"/>
  <c r="E170" i="23"/>
  <c r="H170" i="23"/>
  <c r="D171" i="23"/>
  <c r="H171" i="23"/>
  <c r="H172" i="23"/>
  <c r="D173" i="23"/>
  <c r="E173" i="23"/>
  <c r="H173" i="23"/>
  <c r="D174" i="23"/>
  <c r="E174" i="23"/>
  <c r="H174" i="23"/>
  <c r="H175" i="23"/>
  <c r="D176" i="23"/>
  <c r="E176" i="23"/>
  <c r="H176" i="23"/>
  <c r="D16" i="16"/>
  <c r="E16" i="16"/>
  <c r="D17" i="16"/>
  <c r="D52" i="16" s="1"/>
  <c r="E17" i="16"/>
  <c r="E123" i="16" s="1"/>
  <c r="D18" i="16"/>
  <c r="D124" i="16" s="1"/>
  <c r="E18" i="16"/>
  <c r="E155" i="16" s="1"/>
  <c r="D19" i="16"/>
  <c r="E19" i="16"/>
  <c r="E54" i="16" s="1"/>
  <c r="D20" i="16"/>
  <c r="D55" i="16" s="1"/>
  <c r="E20" i="16"/>
  <c r="E126" i="16" s="1"/>
  <c r="D21" i="16"/>
  <c r="E21" i="16"/>
  <c r="E127" i="16" s="1"/>
  <c r="D22" i="16"/>
  <c r="E22" i="16"/>
  <c r="D23" i="16"/>
  <c r="E23" i="16"/>
  <c r="E58" i="16" s="1"/>
  <c r="D24" i="16"/>
  <c r="E24" i="16"/>
  <c r="D25" i="16"/>
  <c r="E25" i="16"/>
  <c r="E131" i="16" s="1"/>
  <c r="D26" i="16"/>
  <c r="E26" i="16"/>
  <c r="D27" i="16"/>
  <c r="E27" i="16"/>
  <c r="D28" i="16"/>
  <c r="E28" i="16"/>
  <c r="E99" i="16" s="1"/>
  <c r="D29" i="16"/>
  <c r="E29" i="16"/>
  <c r="E135" i="16" s="1"/>
  <c r="D30" i="16"/>
  <c r="E30" i="16"/>
  <c r="E65" i="16" s="1"/>
  <c r="D31" i="16"/>
  <c r="D102" i="16" s="1"/>
  <c r="E31" i="16"/>
  <c r="E137" i="16" s="1"/>
  <c r="D32" i="16"/>
  <c r="D103" i="16" s="1"/>
  <c r="E32" i="16"/>
  <c r="E67" i="16" s="1"/>
  <c r="D33" i="16"/>
  <c r="E33" i="16"/>
  <c r="D34" i="16"/>
  <c r="D171" i="16" s="1"/>
  <c r="E34" i="16"/>
  <c r="E140" i="16" s="1"/>
  <c r="D35" i="16"/>
  <c r="E35" i="16"/>
  <c r="H50" i="16"/>
  <c r="J50" i="16"/>
  <c r="L50" i="16"/>
  <c r="E51" i="16"/>
  <c r="E52" i="16"/>
  <c r="E53" i="16"/>
  <c r="D57" i="16"/>
  <c r="E57" i="16"/>
  <c r="E59" i="16"/>
  <c r="E60" i="16"/>
  <c r="E61" i="16"/>
  <c r="D62" i="16"/>
  <c r="E62" i="16"/>
  <c r="D63" i="16"/>
  <c r="E63" i="16"/>
  <c r="E64" i="16"/>
  <c r="D65" i="16"/>
  <c r="D66" i="16"/>
  <c r="E66" i="16"/>
  <c r="D69" i="16"/>
  <c r="E69" i="16"/>
  <c r="E70" i="16"/>
  <c r="H71" i="16"/>
  <c r="J71" i="16"/>
  <c r="L71" i="16"/>
  <c r="H86" i="16"/>
  <c r="E87" i="16"/>
  <c r="D89" i="16"/>
  <c r="D92" i="16"/>
  <c r="D93" i="16"/>
  <c r="E93" i="16"/>
  <c r="E94" i="16"/>
  <c r="E95" i="16"/>
  <c r="D96" i="16"/>
  <c r="E96" i="16"/>
  <c r="D97" i="16"/>
  <c r="E98" i="16"/>
  <c r="D99" i="16"/>
  <c r="E100" i="16"/>
  <c r="D101" i="16"/>
  <c r="E101" i="16"/>
  <c r="E103" i="16"/>
  <c r="E104" i="16"/>
  <c r="D105" i="16"/>
  <c r="E105" i="16"/>
  <c r="E106" i="16"/>
  <c r="H107" i="16"/>
  <c r="H121" i="16"/>
  <c r="J121" i="16"/>
  <c r="D123" i="16"/>
  <c r="E124" i="16"/>
  <c r="D128" i="16"/>
  <c r="E128" i="16"/>
  <c r="E129" i="16"/>
  <c r="E130" i="16"/>
  <c r="E133" i="16"/>
  <c r="D134" i="16"/>
  <c r="E134" i="16"/>
  <c r="D136" i="16"/>
  <c r="E136" i="16"/>
  <c r="D137" i="16"/>
  <c r="D138" i="16"/>
  <c r="E138" i="16"/>
  <c r="D140" i="16"/>
  <c r="D141" i="16"/>
  <c r="E141" i="16"/>
  <c r="H142" i="16"/>
  <c r="J142" i="16"/>
  <c r="M151" i="16"/>
  <c r="I152" i="16"/>
  <c r="H153" i="16"/>
  <c r="E154" i="16"/>
  <c r="H154" i="16"/>
  <c r="H155" i="16"/>
  <c r="D156" i="16"/>
  <c r="H156" i="16"/>
  <c r="H157" i="16"/>
  <c r="E158" i="16"/>
  <c r="H158" i="16"/>
  <c r="D159" i="16"/>
  <c r="E159" i="16"/>
  <c r="H159" i="16"/>
  <c r="E160" i="16"/>
  <c r="H160" i="16"/>
  <c r="E161" i="16"/>
  <c r="H161" i="16"/>
  <c r="E162" i="16"/>
  <c r="H162" i="16"/>
  <c r="H163" i="16"/>
  <c r="E164" i="16"/>
  <c r="D165" i="16"/>
  <c r="E165" i="16"/>
  <c r="E166" i="16"/>
  <c r="D167" i="16"/>
  <c r="E167" i="16"/>
  <c r="E168" i="16"/>
  <c r="E169" i="16"/>
  <c r="H170" i="16"/>
  <c r="E171" i="16"/>
  <c r="H171" i="16"/>
  <c r="D172" i="16"/>
  <c r="E172" i="16"/>
  <c r="H172" i="16"/>
  <c r="I173" i="16"/>
  <c r="D12" i="24"/>
  <c r="E15" i="24"/>
  <c r="E18" i="24"/>
  <c r="E26" i="24" s="1"/>
  <c r="E39" i="24"/>
  <c r="O39" i="24"/>
  <c r="E40" i="24"/>
  <c r="F40" i="24" s="1"/>
  <c r="O40" i="24"/>
  <c r="E41" i="24"/>
  <c r="F41" i="24" s="1"/>
  <c r="E42" i="24"/>
  <c r="F42" i="24" s="1"/>
  <c r="E44" i="24"/>
  <c r="F44" i="24" s="1"/>
  <c r="E45" i="24"/>
  <c r="F45" i="24" s="1"/>
  <c r="E46" i="24"/>
  <c r="E47" i="24"/>
  <c r="F47" i="24" s="1"/>
  <c r="E48" i="24"/>
  <c r="D53" i="24"/>
  <c r="E56" i="24"/>
  <c r="E59" i="24"/>
  <c r="E80" i="24"/>
  <c r="O80" i="24" s="1"/>
  <c r="E81" i="24"/>
  <c r="O81" i="24" s="1"/>
  <c r="P81" i="24"/>
  <c r="E82" i="24"/>
  <c r="E83" i="24"/>
  <c r="L5" i="61" s="1"/>
  <c r="E84" i="24"/>
  <c r="E86" i="24"/>
  <c r="E87" i="24"/>
  <c r="E88" i="24"/>
  <c r="P88" i="24" s="1"/>
  <c r="F88" i="24"/>
  <c r="J88" i="24"/>
  <c r="K88" i="24" s="1"/>
  <c r="E89" i="24"/>
  <c r="F89" i="24" s="1"/>
  <c r="O89" i="24"/>
  <c r="D94" i="24"/>
  <c r="E97" i="24"/>
  <c r="E100" i="24"/>
  <c r="E108" i="24" s="1"/>
  <c r="E121" i="24"/>
  <c r="O121" i="24" s="1"/>
  <c r="E122" i="24"/>
  <c r="H6" i="61" s="1"/>
  <c r="E123" i="24"/>
  <c r="E124" i="24"/>
  <c r="F124" i="24"/>
  <c r="E125" i="24"/>
  <c r="F125" i="24" s="1"/>
  <c r="E126" i="24"/>
  <c r="F126" i="24"/>
  <c r="E127" i="24"/>
  <c r="F127" i="24"/>
  <c r="E128" i="24"/>
  <c r="E129" i="24"/>
  <c r="E130" i="24"/>
  <c r="F130" i="24" s="1"/>
  <c r="D135" i="24"/>
  <c r="E138" i="24"/>
  <c r="E141" i="24"/>
  <c r="E149" i="24" s="1"/>
  <c r="E162" i="24"/>
  <c r="O162" i="24" s="1"/>
  <c r="E163" i="24"/>
  <c r="F163" i="24" s="1"/>
  <c r="E164" i="24"/>
  <c r="F164" i="24" s="1"/>
  <c r="E165" i="24"/>
  <c r="F165" i="24" s="1"/>
  <c r="E166" i="24"/>
  <c r="F166" i="24" s="1"/>
  <c r="E167" i="24"/>
  <c r="F167" i="24" s="1"/>
  <c r="E168" i="24"/>
  <c r="T7" i="61" s="1"/>
  <c r="F168" i="24"/>
  <c r="E169" i="24"/>
  <c r="E170" i="24"/>
  <c r="F170" i="24" s="1"/>
  <c r="E171" i="24"/>
  <c r="D176" i="24"/>
  <c r="E179" i="24"/>
  <c r="E182" i="24"/>
  <c r="E203" i="24"/>
  <c r="D8" i="61" s="1"/>
  <c r="O203" i="24"/>
  <c r="E204" i="24"/>
  <c r="F204" i="24" s="1"/>
  <c r="E205" i="24"/>
  <c r="F205" i="24" s="1"/>
  <c r="E206" i="24"/>
  <c r="F206" i="24"/>
  <c r="E207" i="24"/>
  <c r="F207" i="24" s="1"/>
  <c r="E208" i="24"/>
  <c r="F208" i="24"/>
  <c r="E209" i="24"/>
  <c r="F209" i="24" s="1"/>
  <c r="E210" i="24"/>
  <c r="F210" i="24" s="1"/>
  <c r="E211" i="24"/>
  <c r="F211" i="24"/>
  <c r="E212" i="24"/>
  <c r="F212" i="24"/>
  <c r="D217" i="24"/>
  <c r="E220" i="24"/>
  <c r="E223" i="24"/>
  <c r="E244" i="24"/>
  <c r="O244" i="24" s="1"/>
  <c r="E245" i="24"/>
  <c r="O245" i="24"/>
  <c r="E246" i="24"/>
  <c r="P246" i="24" s="1"/>
  <c r="E247" i="24"/>
  <c r="P247" i="24" s="1"/>
  <c r="E248" i="24"/>
  <c r="E249" i="24"/>
  <c r="E250" i="24"/>
  <c r="E251" i="24"/>
  <c r="F251" i="24"/>
  <c r="E252" i="24"/>
  <c r="F252" i="24"/>
  <c r="E253" i="24"/>
  <c r="F253" i="24" s="1"/>
  <c r="D258" i="24"/>
  <c r="E261" i="24"/>
  <c r="E264" i="24"/>
  <c r="E285" i="24"/>
  <c r="J456" i="51" s="1"/>
  <c r="O285" i="24"/>
  <c r="E286" i="24"/>
  <c r="O286" i="24"/>
  <c r="P286" i="24"/>
  <c r="E287" i="24"/>
  <c r="J450" i="51" s="1"/>
  <c r="E288" i="24"/>
  <c r="P288" i="24" s="1"/>
  <c r="F288" i="24"/>
  <c r="E289" i="24"/>
  <c r="J453" i="51" s="1"/>
  <c r="E290" i="24"/>
  <c r="F290" i="24" s="1"/>
  <c r="E291" i="24"/>
  <c r="F291" i="24" s="1"/>
  <c r="E292" i="24"/>
  <c r="F292" i="24"/>
  <c r="E293" i="24"/>
  <c r="F293" i="24"/>
  <c r="E294" i="24"/>
  <c r="F294" i="24" s="1"/>
  <c r="D299" i="24"/>
  <c r="E302" i="24"/>
  <c r="E305" i="24"/>
  <c r="E326" i="24"/>
  <c r="O326" i="24" s="1"/>
  <c r="E327" i="24"/>
  <c r="F327" i="24" s="1"/>
  <c r="E328" i="24"/>
  <c r="P328" i="24" s="1"/>
  <c r="F328" i="24"/>
  <c r="E329" i="24"/>
  <c r="F329" i="24" s="1"/>
  <c r="G11" i="61" s="1"/>
  <c r="E330" i="24"/>
  <c r="E331" i="24"/>
  <c r="F331" i="24"/>
  <c r="E332" i="24"/>
  <c r="E333" i="24"/>
  <c r="E334" i="24"/>
  <c r="F334" i="24"/>
  <c r="E335" i="24"/>
  <c r="D340" i="24"/>
  <c r="E343" i="24"/>
  <c r="E346" i="24"/>
  <c r="E354" i="24"/>
  <c r="E367" i="24"/>
  <c r="J584" i="51" s="1"/>
  <c r="E368" i="24"/>
  <c r="E369" i="24"/>
  <c r="F369" i="24" s="1"/>
  <c r="P369" i="24"/>
  <c r="E370" i="24"/>
  <c r="J589" i="51" s="1"/>
  <c r="E371" i="24"/>
  <c r="E372" i="24"/>
  <c r="E373" i="24"/>
  <c r="F373" i="24" s="1"/>
  <c r="E374" i="24"/>
  <c r="E375" i="24"/>
  <c r="F375" i="24" s="1"/>
  <c r="E376" i="24"/>
  <c r="D381" i="24"/>
  <c r="E384" i="24"/>
  <c r="E387" i="24"/>
  <c r="F387" i="24"/>
  <c r="I395" i="24" s="1"/>
  <c r="J395" i="24" s="1"/>
  <c r="G387" i="24"/>
  <c r="E395" i="24"/>
  <c r="E408" i="24"/>
  <c r="J408" i="24" s="1"/>
  <c r="K651" i="51" s="1"/>
  <c r="O408" i="24"/>
  <c r="E409" i="24"/>
  <c r="E410" i="24"/>
  <c r="F410" i="24"/>
  <c r="P410" i="24"/>
  <c r="E411" i="24"/>
  <c r="E412" i="24"/>
  <c r="F412" i="24"/>
  <c r="E413" i="24"/>
  <c r="P413" i="24"/>
  <c r="E414" i="24"/>
  <c r="F414" i="24"/>
  <c r="E415" i="24"/>
  <c r="E416" i="24"/>
  <c r="F416" i="24" s="1"/>
  <c r="P416" i="24"/>
  <c r="E417" i="24"/>
  <c r="P417" i="24"/>
  <c r="D422" i="24"/>
  <c r="E425" i="24"/>
  <c r="E428" i="24"/>
  <c r="F428" i="24"/>
  <c r="I436" i="24" s="1"/>
  <c r="J436" i="24" s="1"/>
  <c r="G428" i="24"/>
  <c r="E436" i="24"/>
  <c r="E449" i="24"/>
  <c r="O449" i="24"/>
  <c r="E450" i="24"/>
  <c r="F450" i="24"/>
  <c r="O450" i="24"/>
  <c r="P450" i="24"/>
  <c r="E451" i="24"/>
  <c r="P451" i="24"/>
  <c r="E452" i="24"/>
  <c r="F452" i="24"/>
  <c r="P452" i="24"/>
  <c r="E453" i="24"/>
  <c r="E454" i="24"/>
  <c r="F454" i="24"/>
  <c r="P454" i="24"/>
  <c r="E455" i="24"/>
  <c r="F455" i="24" s="1"/>
  <c r="P455" i="24"/>
  <c r="E456" i="24"/>
  <c r="F456" i="24"/>
  <c r="P456" i="24"/>
  <c r="E457" i="24"/>
  <c r="F457" i="24" s="1"/>
  <c r="P457" i="24"/>
  <c r="E458" i="24"/>
  <c r="F458" i="24"/>
  <c r="P458" i="24"/>
  <c r="D463" i="24"/>
  <c r="E466" i="24"/>
  <c r="E469" i="24"/>
  <c r="F469" i="24"/>
  <c r="I477" i="24" s="1"/>
  <c r="J477" i="24" s="1"/>
  <c r="E490" i="24"/>
  <c r="E491" i="24"/>
  <c r="F491" i="24"/>
  <c r="O491" i="24"/>
  <c r="P491" i="24"/>
  <c r="E492" i="24"/>
  <c r="F492" i="24" s="1"/>
  <c r="O492" i="24"/>
  <c r="O493" i="24" s="1"/>
  <c r="P492" i="24"/>
  <c r="E493" i="24"/>
  <c r="F493" i="24"/>
  <c r="P493" i="24"/>
  <c r="E494" i="24"/>
  <c r="P494" i="24"/>
  <c r="E495" i="24"/>
  <c r="F495" i="24"/>
  <c r="P495" i="24"/>
  <c r="E496" i="24"/>
  <c r="E497" i="24"/>
  <c r="F497" i="24"/>
  <c r="P497" i="24"/>
  <c r="E498" i="24"/>
  <c r="F498" i="24" s="1"/>
  <c r="P498" i="24"/>
  <c r="E499" i="24"/>
  <c r="F499" i="24"/>
  <c r="P499" i="24"/>
  <c r="D504" i="24"/>
  <c r="E507" i="24"/>
  <c r="E510" i="24"/>
  <c r="F510" i="24"/>
  <c r="I518" i="24" s="1"/>
  <c r="J518" i="24" s="1"/>
  <c r="E531" i="24"/>
  <c r="E532" i="24"/>
  <c r="F532" i="24"/>
  <c r="O532" i="24"/>
  <c r="O533" i="24" s="1"/>
  <c r="O534" i="24" s="1"/>
  <c r="O535" i="24" s="1"/>
  <c r="O536" i="24" s="1"/>
  <c r="O537" i="24" s="1"/>
  <c r="O538" i="24" s="1"/>
  <c r="O539" i="24" s="1"/>
  <c r="O540" i="24" s="1"/>
  <c r="P532" i="24"/>
  <c r="E533" i="24"/>
  <c r="P533" i="24" s="1"/>
  <c r="F533" i="24"/>
  <c r="E534" i="24"/>
  <c r="F534" i="24"/>
  <c r="P534" i="24"/>
  <c r="E535" i="24"/>
  <c r="P535" i="24" s="1"/>
  <c r="F535" i="24"/>
  <c r="E536" i="24"/>
  <c r="F536" i="24"/>
  <c r="P536" i="24"/>
  <c r="E537" i="24"/>
  <c r="P537" i="24" s="1"/>
  <c r="F537" i="24"/>
  <c r="E538" i="24"/>
  <c r="F538" i="24"/>
  <c r="P538" i="24"/>
  <c r="E539" i="24"/>
  <c r="P539" i="24" s="1"/>
  <c r="F539" i="24"/>
  <c r="E540" i="24"/>
  <c r="F540" i="24"/>
  <c r="P540" i="24"/>
  <c r="D545" i="24"/>
  <c r="E548" i="24"/>
  <c r="E551" i="24"/>
  <c r="E572" i="24"/>
  <c r="J572" i="24"/>
  <c r="X17" i="61" s="1"/>
  <c r="O572" i="24"/>
  <c r="E573" i="24"/>
  <c r="O573" i="24"/>
  <c r="E574" i="24"/>
  <c r="E575" i="24"/>
  <c r="P575" i="24" s="1"/>
  <c r="F575" i="24"/>
  <c r="E576" i="24"/>
  <c r="E577" i="24"/>
  <c r="E578" i="24"/>
  <c r="F578" i="24"/>
  <c r="E579" i="24"/>
  <c r="F579" i="24"/>
  <c r="E580" i="24"/>
  <c r="F580" i="24"/>
  <c r="E581" i="24"/>
  <c r="P581" i="24" s="1"/>
  <c r="D586" i="24"/>
  <c r="E589" i="24"/>
  <c r="E592" i="24"/>
  <c r="F592" i="24"/>
  <c r="I600" i="24" s="1"/>
  <c r="J600" i="24" s="1"/>
  <c r="G592" i="24"/>
  <c r="E600" i="24"/>
  <c r="E613" i="24"/>
  <c r="E614" i="24"/>
  <c r="E615" i="24"/>
  <c r="E616" i="24"/>
  <c r="P616" i="24" s="1"/>
  <c r="F616" i="24"/>
  <c r="E617" i="24"/>
  <c r="E618" i="24"/>
  <c r="F618" i="24"/>
  <c r="E619" i="24"/>
  <c r="F619" i="24"/>
  <c r="E620" i="24"/>
  <c r="F620" i="24" s="1"/>
  <c r="E621" i="24"/>
  <c r="F621" i="24"/>
  <c r="L18" i="61" s="1"/>
  <c r="E622" i="24"/>
  <c r="P622" i="24" s="1"/>
  <c r="D627" i="24"/>
  <c r="E630" i="24"/>
  <c r="E633" i="24"/>
  <c r="F633" i="24"/>
  <c r="I641" i="24" s="1"/>
  <c r="J641" i="24" s="1"/>
  <c r="G633" i="24"/>
  <c r="E641" i="24"/>
  <c r="E654" i="24"/>
  <c r="J654" i="24" s="1"/>
  <c r="X19" i="61" s="1"/>
  <c r="O654" i="24"/>
  <c r="E655" i="24"/>
  <c r="O655" i="24" s="1"/>
  <c r="F655" i="24"/>
  <c r="P655" i="24"/>
  <c r="E656" i="24"/>
  <c r="P656" i="24" s="1"/>
  <c r="E657" i="24"/>
  <c r="F657" i="24"/>
  <c r="P657" i="24"/>
  <c r="E658" i="24"/>
  <c r="P658" i="24"/>
  <c r="E659" i="24"/>
  <c r="E660" i="24"/>
  <c r="P660" i="24"/>
  <c r="E661" i="24"/>
  <c r="E662" i="24"/>
  <c r="E663" i="24"/>
  <c r="F663" i="24"/>
  <c r="P663" i="24"/>
  <c r="D668" i="24"/>
  <c r="E671" i="24"/>
  <c r="E674" i="24"/>
  <c r="F674" i="24"/>
  <c r="I682" i="24" s="1"/>
  <c r="J682" i="24" s="1"/>
  <c r="G674" i="24"/>
  <c r="E682" i="24"/>
  <c r="E695" i="24"/>
  <c r="E696" i="24"/>
  <c r="O696" i="24"/>
  <c r="E697" i="24"/>
  <c r="F697" i="24"/>
  <c r="O697" i="24"/>
  <c r="O698" i="24" s="1"/>
  <c r="O699" i="24" s="1"/>
  <c r="P697" i="24"/>
  <c r="E698" i="24"/>
  <c r="F698" i="24" s="1"/>
  <c r="P698" i="24"/>
  <c r="E699" i="24"/>
  <c r="F699" i="24"/>
  <c r="P699" i="24"/>
  <c r="E700" i="24"/>
  <c r="P700" i="24"/>
  <c r="E701" i="24"/>
  <c r="F701" i="24"/>
  <c r="P701" i="24"/>
  <c r="E702" i="24"/>
  <c r="E703" i="24"/>
  <c r="F703" i="24"/>
  <c r="P703" i="24"/>
  <c r="E704" i="24"/>
  <c r="F704" i="24" s="1"/>
  <c r="P704" i="24"/>
  <c r="D709" i="24"/>
  <c r="E712" i="24"/>
  <c r="E715" i="24"/>
  <c r="E736" i="24"/>
  <c r="J736" i="24"/>
  <c r="X21" i="61" s="1"/>
  <c r="O736" i="24"/>
  <c r="E737" i="24"/>
  <c r="F737" i="24"/>
  <c r="O737" i="24"/>
  <c r="P737" i="24"/>
  <c r="E738" i="24"/>
  <c r="F738" i="24"/>
  <c r="O738" i="24"/>
  <c r="O739" i="24" s="1"/>
  <c r="O740" i="24" s="1"/>
  <c r="O741" i="24" s="1"/>
  <c r="O742" i="24" s="1"/>
  <c r="O743" i="24" s="1"/>
  <c r="P738" i="24"/>
  <c r="E739" i="24"/>
  <c r="F739" i="24"/>
  <c r="P739" i="24"/>
  <c r="E740" i="24"/>
  <c r="F740" i="24"/>
  <c r="P740" i="24"/>
  <c r="E741" i="24"/>
  <c r="F741" i="24"/>
  <c r="P741" i="24"/>
  <c r="E742" i="24"/>
  <c r="F742" i="24"/>
  <c r="P742" i="24"/>
  <c r="E743" i="24"/>
  <c r="F743" i="24"/>
  <c r="P743" i="24"/>
  <c r="E744" i="24"/>
  <c r="F744" i="24"/>
  <c r="O744" i="24"/>
  <c r="O745" i="24" s="1"/>
  <c r="P744" i="24"/>
  <c r="E745" i="24"/>
  <c r="F745" i="24"/>
  <c r="P745" i="24"/>
  <c r="D750" i="24"/>
  <c r="E753" i="24"/>
  <c r="E756" i="24"/>
  <c r="F756" i="24"/>
  <c r="I764" i="24" s="1"/>
  <c r="J764" i="24" s="1"/>
  <c r="E777" i="24"/>
  <c r="O777" i="24" s="1"/>
  <c r="J777" i="24"/>
  <c r="X22" i="61" s="1"/>
  <c r="E778" i="24"/>
  <c r="F778" i="24"/>
  <c r="E779" i="24"/>
  <c r="P779" i="24" s="1"/>
  <c r="E780" i="24"/>
  <c r="F780" i="24"/>
  <c r="E781" i="24"/>
  <c r="P781" i="24" s="1"/>
  <c r="F781" i="24"/>
  <c r="E782" i="24"/>
  <c r="F782" i="24" s="1"/>
  <c r="E783" i="24"/>
  <c r="P783" i="24" s="1"/>
  <c r="F783" i="24"/>
  <c r="E784" i="24"/>
  <c r="F784" i="24"/>
  <c r="E785" i="24"/>
  <c r="E786" i="24"/>
  <c r="F786" i="24"/>
  <c r="P786" i="24"/>
  <c r="D791" i="24"/>
  <c r="E794" i="24"/>
  <c r="E797" i="24"/>
  <c r="E818" i="24"/>
  <c r="E819" i="24"/>
  <c r="E820" i="24"/>
  <c r="F820" i="24"/>
  <c r="P820" i="24"/>
  <c r="P821" i="24" s="1"/>
  <c r="E821" i="24"/>
  <c r="F821" i="24" s="1"/>
  <c r="J821" i="24"/>
  <c r="K821" i="24" s="1"/>
  <c r="O821" i="24"/>
  <c r="E822" i="24"/>
  <c r="F822" i="24"/>
  <c r="J822" i="24"/>
  <c r="K822" i="24" s="1"/>
  <c r="O822" i="24"/>
  <c r="P822" i="24"/>
  <c r="E823" i="24"/>
  <c r="E824" i="24"/>
  <c r="F824" i="24"/>
  <c r="E825" i="24"/>
  <c r="F825" i="24" s="1"/>
  <c r="O825" i="24"/>
  <c r="E826" i="24"/>
  <c r="F826" i="24"/>
  <c r="J826" i="24"/>
  <c r="K826" i="24" s="1"/>
  <c r="O826" i="24"/>
  <c r="E827" i="24"/>
  <c r="O827" i="24" s="1"/>
  <c r="F827" i="24"/>
  <c r="D12" i="30"/>
  <c r="E15" i="30"/>
  <c r="E18" i="30"/>
  <c r="E39" i="30"/>
  <c r="J57" i="52" s="1"/>
  <c r="S39" i="30"/>
  <c r="E40" i="30"/>
  <c r="S40" i="30" s="1"/>
  <c r="G40" i="30"/>
  <c r="K40" i="30"/>
  <c r="E41" i="30"/>
  <c r="S41" i="30" s="1"/>
  <c r="G41" i="30"/>
  <c r="K41" i="30"/>
  <c r="T41" i="30"/>
  <c r="E42" i="30"/>
  <c r="G42" i="30"/>
  <c r="K42" i="30"/>
  <c r="E43" i="30"/>
  <c r="G43" i="30"/>
  <c r="K43" i="30"/>
  <c r="E44" i="30"/>
  <c r="G44" i="30"/>
  <c r="K44" i="30"/>
  <c r="E45" i="30"/>
  <c r="G45" i="30"/>
  <c r="K45" i="30"/>
  <c r="E46" i="30"/>
  <c r="S46" i="30" s="1"/>
  <c r="G46" i="30"/>
  <c r="K46" i="30"/>
  <c r="E47" i="30"/>
  <c r="G47" i="30"/>
  <c r="K47" i="30"/>
  <c r="E48" i="30"/>
  <c r="G48" i="30"/>
  <c r="K48" i="30"/>
  <c r="D53" i="30"/>
  <c r="E56" i="30"/>
  <c r="E59" i="30"/>
  <c r="E80" i="30"/>
  <c r="F5" i="65" s="1"/>
  <c r="E81" i="30"/>
  <c r="M5" i="65" s="1"/>
  <c r="G81" i="30"/>
  <c r="K81" i="30"/>
  <c r="E82" i="30"/>
  <c r="J126" i="52" s="1"/>
  <c r="G82" i="30"/>
  <c r="K82" i="30"/>
  <c r="E83" i="30"/>
  <c r="G83" i="30"/>
  <c r="K83" i="30"/>
  <c r="E84" i="30"/>
  <c r="G84" i="30"/>
  <c r="K84" i="30"/>
  <c r="E85" i="30"/>
  <c r="G85" i="30"/>
  <c r="K85" i="30"/>
  <c r="E86" i="30"/>
  <c r="G86" i="30"/>
  <c r="J5" i="65" s="1"/>
  <c r="K86" i="30"/>
  <c r="E87" i="30"/>
  <c r="G87" i="30"/>
  <c r="K87" i="30"/>
  <c r="E88" i="30"/>
  <c r="G88" i="30"/>
  <c r="K88" i="30"/>
  <c r="E89" i="30"/>
  <c r="G89" i="30"/>
  <c r="K89" i="30"/>
  <c r="D94" i="30"/>
  <c r="E97" i="30"/>
  <c r="E100" i="30"/>
  <c r="E108" i="30"/>
  <c r="E121" i="30"/>
  <c r="S121" i="30" s="1"/>
  <c r="E122" i="30"/>
  <c r="G122" i="30"/>
  <c r="K122" i="30"/>
  <c r="E123" i="30"/>
  <c r="G123" i="30"/>
  <c r="K123" i="30"/>
  <c r="E124" i="30"/>
  <c r="I6" i="65" s="1"/>
  <c r="G124" i="30"/>
  <c r="K124" i="30"/>
  <c r="E125" i="30"/>
  <c r="G125" i="30"/>
  <c r="K125" i="30"/>
  <c r="E126" i="30"/>
  <c r="G126" i="30"/>
  <c r="K126" i="30"/>
  <c r="E127" i="30"/>
  <c r="G127" i="30"/>
  <c r="K127" i="30"/>
  <c r="E128" i="30"/>
  <c r="G128" i="30"/>
  <c r="K128" i="30"/>
  <c r="E129" i="30"/>
  <c r="G129" i="30"/>
  <c r="K129" i="30"/>
  <c r="E130" i="30"/>
  <c r="G130" i="30"/>
  <c r="K130" i="30"/>
  <c r="D135" i="30"/>
  <c r="E138" i="30"/>
  <c r="E141" i="30"/>
  <c r="E149" i="30" s="1"/>
  <c r="E162" i="30"/>
  <c r="J255" i="52" s="1"/>
  <c r="S162" i="30"/>
  <c r="E163" i="30"/>
  <c r="T163" i="30" s="1"/>
  <c r="G163" i="30"/>
  <c r="K163" i="30"/>
  <c r="S163" i="30"/>
  <c r="E164" i="30"/>
  <c r="G164" i="30"/>
  <c r="K164" i="30"/>
  <c r="S164" i="30"/>
  <c r="E165" i="30"/>
  <c r="G165" i="30"/>
  <c r="K165" i="30"/>
  <c r="E166" i="30"/>
  <c r="J252" i="52" s="1"/>
  <c r="G166" i="30"/>
  <c r="K166" i="30"/>
  <c r="E167" i="30"/>
  <c r="G167" i="30"/>
  <c r="K167" i="30"/>
  <c r="E168" i="30"/>
  <c r="G168" i="30"/>
  <c r="K168" i="30"/>
  <c r="E169" i="30"/>
  <c r="G169" i="30"/>
  <c r="K169" i="30"/>
  <c r="E170" i="30"/>
  <c r="G170" i="30"/>
  <c r="K170" i="30"/>
  <c r="E171" i="30"/>
  <c r="G171" i="30"/>
  <c r="K171" i="30"/>
  <c r="D176" i="30"/>
  <c r="E179" i="30"/>
  <c r="E182" i="30"/>
  <c r="E203" i="30"/>
  <c r="S203" i="30"/>
  <c r="E204" i="30"/>
  <c r="T8" i="65" s="1"/>
  <c r="G204" i="30"/>
  <c r="K204" i="30"/>
  <c r="E205" i="30"/>
  <c r="G205" i="30"/>
  <c r="K205" i="30"/>
  <c r="E206" i="30"/>
  <c r="G206" i="30"/>
  <c r="K206" i="30"/>
  <c r="E207" i="30"/>
  <c r="G207" i="30"/>
  <c r="K207" i="30"/>
  <c r="E208" i="30"/>
  <c r="G208" i="30"/>
  <c r="K208" i="30"/>
  <c r="E209" i="30"/>
  <c r="G209" i="30"/>
  <c r="K209" i="30"/>
  <c r="E210" i="30"/>
  <c r="G210" i="30"/>
  <c r="K210" i="30"/>
  <c r="E211" i="30"/>
  <c r="G211" i="30"/>
  <c r="K211" i="30"/>
  <c r="E212" i="30"/>
  <c r="G212" i="30"/>
  <c r="K212" i="30"/>
  <c r="D217" i="30"/>
  <c r="E220" i="30"/>
  <c r="E223" i="30"/>
  <c r="E244" i="30"/>
  <c r="S244" i="30" s="1"/>
  <c r="E245" i="30"/>
  <c r="S245" i="30" s="1"/>
  <c r="G245" i="30"/>
  <c r="K245" i="30"/>
  <c r="T245" i="30"/>
  <c r="E246" i="30"/>
  <c r="S246" i="30" s="1"/>
  <c r="G246" i="30"/>
  <c r="K246" i="30"/>
  <c r="E247" i="30"/>
  <c r="G247" i="30"/>
  <c r="K247" i="30"/>
  <c r="S247" i="30"/>
  <c r="S248" i="30" s="1"/>
  <c r="E248" i="30"/>
  <c r="G248" i="30"/>
  <c r="K248" i="30"/>
  <c r="E249" i="30"/>
  <c r="G249" i="30"/>
  <c r="K249" i="30"/>
  <c r="E250" i="30"/>
  <c r="M9" i="65" s="1"/>
  <c r="G250" i="30"/>
  <c r="K250" i="30"/>
  <c r="E251" i="30"/>
  <c r="G251" i="30"/>
  <c r="K251" i="30"/>
  <c r="E252" i="30"/>
  <c r="G252" i="30"/>
  <c r="K252" i="30"/>
  <c r="E253" i="30"/>
  <c r="G253" i="30"/>
  <c r="K253" i="30"/>
  <c r="D258" i="30"/>
  <c r="E261" i="30"/>
  <c r="E264" i="30"/>
  <c r="E285" i="30"/>
  <c r="E286" i="30"/>
  <c r="I10" i="65" s="1"/>
  <c r="G286" i="30"/>
  <c r="K286" i="30"/>
  <c r="S286" i="30"/>
  <c r="T286" i="30"/>
  <c r="E287" i="30"/>
  <c r="J450" i="52" s="1"/>
  <c r="G287" i="30"/>
  <c r="K287" i="30"/>
  <c r="E288" i="30"/>
  <c r="E10" i="65" s="1"/>
  <c r="G288" i="30"/>
  <c r="K288" i="30"/>
  <c r="E289" i="30"/>
  <c r="G289" i="30"/>
  <c r="K289" i="30"/>
  <c r="E290" i="30"/>
  <c r="G290" i="30"/>
  <c r="K290" i="30"/>
  <c r="E291" i="30"/>
  <c r="G291" i="30"/>
  <c r="K291" i="30"/>
  <c r="E292" i="30"/>
  <c r="G292" i="30"/>
  <c r="K292" i="30"/>
  <c r="E293" i="30"/>
  <c r="G293" i="30"/>
  <c r="K293" i="30"/>
  <c r="E294" i="30"/>
  <c r="G294" i="30"/>
  <c r="K294" i="30"/>
  <c r="D299" i="30"/>
  <c r="E302" i="30"/>
  <c r="E305" i="30"/>
  <c r="E326" i="30"/>
  <c r="S326" i="30"/>
  <c r="E327" i="30"/>
  <c r="T327" i="30" s="1"/>
  <c r="G327" i="30"/>
  <c r="K327" i="30"/>
  <c r="E328" i="30"/>
  <c r="S328" i="30" s="1"/>
  <c r="G328" i="30"/>
  <c r="K328" i="30"/>
  <c r="T328" i="30"/>
  <c r="E329" i="30"/>
  <c r="G329" i="30"/>
  <c r="K329" i="30"/>
  <c r="E330" i="30"/>
  <c r="G330" i="30"/>
  <c r="K330" i="30"/>
  <c r="E331" i="30"/>
  <c r="G331" i="30"/>
  <c r="K331" i="30"/>
  <c r="E332" i="30"/>
  <c r="G332" i="30"/>
  <c r="K332" i="30"/>
  <c r="E333" i="30"/>
  <c r="G333" i="30"/>
  <c r="K333" i="30"/>
  <c r="E334" i="30"/>
  <c r="G334" i="30"/>
  <c r="K334" i="30"/>
  <c r="E335" i="30"/>
  <c r="G335" i="30"/>
  <c r="K335" i="30"/>
  <c r="D340" i="30"/>
  <c r="E343" i="30"/>
  <c r="E346" i="30"/>
  <c r="E367" i="30"/>
  <c r="E368" i="30"/>
  <c r="S368" i="30" s="1"/>
  <c r="G368" i="30"/>
  <c r="K368" i="30"/>
  <c r="T368" i="30"/>
  <c r="E369" i="30"/>
  <c r="H12" i="65" s="1"/>
  <c r="G369" i="30"/>
  <c r="K369" i="30"/>
  <c r="E370" i="30"/>
  <c r="T370" i="30" s="1"/>
  <c r="T371" i="30" s="1"/>
  <c r="G370" i="30"/>
  <c r="K370" i="30"/>
  <c r="E371" i="30"/>
  <c r="G371" i="30"/>
  <c r="K371" i="30"/>
  <c r="E372" i="30"/>
  <c r="G372" i="30"/>
  <c r="K372" i="30"/>
  <c r="E373" i="30"/>
  <c r="G373" i="30"/>
  <c r="K373" i="30"/>
  <c r="E374" i="30"/>
  <c r="G374" i="30"/>
  <c r="K374" i="30"/>
  <c r="E375" i="30"/>
  <c r="G375" i="30"/>
  <c r="K375" i="30"/>
  <c r="E376" i="30"/>
  <c r="G376" i="30"/>
  <c r="K376" i="30"/>
  <c r="D381" i="30"/>
  <c r="E384" i="30"/>
  <c r="E387" i="30"/>
  <c r="F387" i="30"/>
  <c r="I395" i="30" s="1"/>
  <c r="J395" i="30" s="1"/>
  <c r="J387" i="30"/>
  <c r="E395" i="30"/>
  <c r="E408" i="30"/>
  <c r="S408" i="30"/>
  <c r="E409" i="30"/>
  <c r="G409" i="30"/>
  <c r="K409" i="30"/>
  <c r="E410" i="30"/>
  <c r="G410" i="30"/>
  <c r="K410" i="30"/>
  <c r="E411" i="30"/>
  <c r="G411" i="30"/>
  <c r="K411" i="30"/>
  <c r="E412" i="30"/>
  <c r="G412" i="30"/>
  <c r="K412" i="30"/>
  <c r="E413" i="30"/>
  <c r="G413" i="30"/>
  <c r="K413" i="30"/>
  <c r="E414" i="30"/>
  <c r="G414" i="30"/>
  <c r="K414" i="30"/>
  <c r="E415" i="30"/>
  <c r="G415" i="30"/>
  <c r="K415" i="30"/>
  <c r="E416" i="30"/>
  <c r="G416" i="30"/>
  <c r="K416" i="30"/>
  <c r="E417" i="30"/>
  <c r="G417" i="30"/>
  <c r="K417" i="30"/>
  <c r="D422" i="30"/>
  <c r="E425" i="30"/>
  <c r="E428" i="30"/>
  <c r="F428" i="30"/>
  <c r="I436" i="30" s="1"/>
  <c r="E449" i="30"/>
  <c r="L449" i="30" s="1"/>
  <c r="X14" i="65" s="1"/>
  <c r="E450" i="30"/>
  <c r="T450" i="30" s="1"/>
  <c r="T451" i="30" s="1"/>
  <c r="G450" i="30"/>
  <c r="K450" i="30"/>
  <c r="S450" i="30"/>
  <c r="E451" i="30"/>
  <c r="G451" i="30"/>
  <c r="F14" i="65" s="1"/>
  <c r="K451" i="30"/>
  <c r="E452" i="30"/>
  <c r="G452" i="30"/>
  <c r="K452" i="30"/>
  <c r="E453" i="30"/>
  <c r="G453" i="30"/>
  <c r="K453" i="30"/>
  <c r="E454" i="30"/>
  <c r="G454" i="30"/>
  <c r="K454" i="30"/>
  <c r="E455" i="30"/>
  <c r="G455" i="30"/>
  <c r="K455" i="30"/>
  <c r="E456" i="30"/>
  <c r="G456" i="30"/>
  <c r="K456" i="30"/>
  <c r="E457" i="30"/>
  <c r="G457" i="30"/>
  <c r="K457" i="30"/>
  <c r="E458" i="30"/>
  <c r="G458" i="30"/>
  <c r="K458" i="30"/>
  <c r="D463" i="30"/>
  <c r="E466" i="30"/>
  <c r="E469" i="30"/>
  <c r="E490" i="30"/>
  <c r="L490" i="30" s="1"/>
  <c r="X15" i="65" s="1"/>
  <c r="E491" i="30"/>
  <c r="S491" i="30" s="1"/>
  <c r="G491" i="30"/>
  <c r="K491" i="30"/>
  <c r="T491" i="30"/>
  <c r="T492" i="30" s="1"/>
  <c r="E492" i="30"/>
  <c r="G492" i="30"/>
  <c r="K492" i="30"/>
  <c r="S492" i="30"/>
  <c r="S493" i="30" s="1"/>
  <c r="S494" i="30" s="1"/>
  <c r="E493" i="30"/>
  <c r="G493" i="30"/>
  <c r="K493" i="30"/>
  <c r="T493" i="30"/>
  <c r="T494" i="30" s="1"/>
  <c r="E494" i="30"/>
  <c r="G494" i="30"/>
  <c r="K494" i="30"/>
  <c r="E495" i="30"/>
  <c r="S495" i="30" s="1"/>
  <c r="G495" i="30"/>
  <c r="K495" i="30"/>
  <c r="T495" i="30"/>
  <c r="E496" i="30"/>
  <c r="G496" i="30"/>
  <c r="K496" i="30"/>
  <c r="T496" i="30"/>
  <c r="E497" i="30"/>
  <c r="G497" i="30"/>
  <c r="K497" i="30"/>
  <c r="E498" i="30"/>
  <c r="G498" i="30"/>
  <c r="K498" i="30"/>
  <c r="E499" i="30"/>
  <c r="G499" i="30"/>
  <c r="K499" i="30"/>
  <c r="D504" i="30"/>
  <c r="E507" i="30"/>
  <c r="E510" i="30"/>
  <c r="F510" i="30"/>
  <c r="I518" i="30" s="1"/>
  <c r="J510" i="30"/>
  <c r="E518" i="30"/>
  <c r="E531" i="30"/>
  <c r="L531" i="30"/>
  <c r="X16" i="65" s="1"/>
  <c r="S531" i="30"/>
  <c r="E532" i="30"/>
  <c r="G532" i="30"/>
  <c r="K532" i="30"/>
  <c r="E533" i="30"/>
  <c r="G533" i="30"/>
  <c r="K533" i="30"/>
  <c r="E534" i="30"/>
  <c r="G534" i="30"/>
  <c r="K534" i="30"/>
  <c r="E535" i="30"/>
  <c r="J852" i="52" s="1"/>
  <c r="G535" i="30"/>
  <c r="K535" i="30"/>
  <c r="E536" i="30"/>
  <c r="G536" i="30"/>
  <c r="K536" i="30"/>
  <c r="E537" i="30"/>
  <c r="G537" i="30"/>
  <c r="K537" i="30"/>
  <c r="E538" i="30"/>
  <c r="G538" i="30"/>
  <c r="K538" i="30"/>
  <c r="E539" i="30"/>
  <c r="G539" i="30"/>
  <c r="K539" i="30"/>
  <c r="E540" i="30"/>
  <c r="G540" i="30"/>
  <c r="K540" i="30"/>
  <c r="D545" i="30"/>
  <c r="E548" i="30"/>
  <c r="E551" i="30"/>
  <c r="E559" i="30" s="1"/>
  <c r="J551" i="30"/>
  <c r="E572" i="30"/>
  <c r="L572" i="30"/>
  <c r="X17" i="65" s="1"/>
  <c r="S572" i="30"/>
  <c r="E573" i="30"/>
  <c r="S573" i="30" s="1"/>
  <c r="S574" i="30" s="1"/>
  <c r="G573" i="30"/>
  <c r="K573" i="30"/>
  <c r="E574" i="30"/>
  <c r="G574" i="30"/>
  <c r="F17" i="65" s="1"/>
  <c r="K574" i="30"/>
  <c r="E575" i="30"/>
  <c r="G575" i="30"/>
  <c r="K575" i="30"/>
  <c r="E576" i="30"/>
  <c r="G576" i="30"/>
  <c r="K576" i="30"/>
  <c r="E577" i="30"/>
  <c r="G577" i="30"/>
  <c r="K577" i="30"/>
  <c r="E578" i="30"/>
  <c r="G578" i="30"/>
  <c r="K578" i="30"/>
  <c r="E579" i="30"/>
  <c r="G579" i="30"/>
  <c r="K579" i="30"/>
  <c r="E580" i="30"/>
  <c r="G580" i="30"/>
  <c r="K580" i="30"/>
  <c r="E581" i="30"/>
  <c r="G581" i="30"/>
  <c r="K581" i="30"/>
  <c r="D586" i="30"/>
  <c r="E589" i="30"/>
  <c r="E592" i="30"/>
  <c r="J592" i="30" s="1"/>
  <c r="E613" i="30"/>
  <c r="L613" i="30" s="1"/>
  <c r="K982" i="52" s="1"/>
  <c r="E614" i="30"/>
  <c r="G614" i="30"/>
  <c r="K614" i="30"/>
  <c r="S614" i="30"/>
  <c r="T614" i="30"/>
  <c r="E615" i="30"/>
  <c r="G615" i="30"/>
  <c r="K615" i="30"/>
  <c r="T615" i="30"/>
  <c r="E616" i="30"/>
  <c r="G616" i="30"/>
  <c r="K616" i="30"/>
  <c r="E617" i="30"/>
  <c r="G617" i="30"/>
  <c r="K617" i="30"/>
  <c r="E618" i="30"/>
  <c r="G618" i="30"/>
  <c r="K618" i="30"/>
  <c r="E619" i="30"/>
  <c r="G619" i="30"/>
  <c r="K619" i="30"/>
  <c r="E620" i="30"/>
  <c r="G620" i="30"/>
  <c r="K620" i="30"/>
  <c r="E621" i="30"/>
  <c r="G621" i="30"/>
  <c r="K621" i="30"/>
  <c r="E622" i="30"/>
  <c r="G622" i="30"/>
  <c r="K622" i="30"/>
  <c r="D627" i="30"/>
  <c r="E630" i="30"/>
  <c r="E633" i="30"/>
  <c r="J633" i="30"/>
  <c r="J654" i="30" s="1"/>
  <c r="K654" i="30" s="1"/>
  <c r="E654" i="30"/>
  <c r="E655" i="30"/>
  <c r="S655" i="30" s="1"/>
  <c r="G655" i="30"/>
  <c r="K655" i="30"/>
  <c r="T655" i="30"/>
  <c r="E656" i="30"/>
  <c r="G656" i="30"/>
  <c r="K656" i="30"/>
  <c r="E657" i="30"/>
  <c r="G657" i="30"/>
  <c r="K657" i="30"/>
  <c r="E658" i="30"/>
  <c r="G658" i="30"/>
  <c r="K658" i="30"/>
  <c r="E659" i="30"/>
  <c r="G659" i="30"/>
  <c r="I19" i="65" s="1"/>
  <c r="K659" i="30"/>
  <c r="E660" i="30"/>
  <c r="G660" i="30"/>
  <c r="K660" i="30"/>
  <c r="E661" i="30"/>
  <c r="G661" i="30"/>
  <c r="K661" i="30"/>
  <c r="E662" i="30"/>
  <c r="G662" i="30"/>
  <c r="K662" i="30"/>
  <c r="E663" i="30"/>
  <c r="G663" i="30"/>
  <c r="K663" i="30"/>
  <c r="D668" i="30"/>
  <c r="E671" i="30"/>
  <c r="E674" i="30"/>
  <c r="F674" i="30"/>
  <c r="I682" i="30" s="1"/>
  <c r="J682" i="30" s="1"/>
  <c r="J674" i="30"/>
  <c r="E682" i="30"/>
  <c r="E695" i="30"/>
  <c r="L695" i="30" s="1"/>
  <c r="K1117" i="52" s="1"/>
  <c r="S695" i="30"/>
  <c r="E696" i="30"/>
  <c r="S696" i="30" s="1"/>
  <c r="S697" i="30" s="1"/>
  <c r="S698" i="30" s="1"/>
  <c r="G696" i="30"/>
  <c r="K696" i="30"/>
  <c r="E697" i="30"/>
  <c r="G697" i="30"/>
  <c r="K697" i="30"/>
  <c r="E698" i="30"/>
  <c r="G698" i="30"/>
  <c r="K698" i="30"/>
  <c r="E699" i="30"/>
  <c r="G699" i="30"/>
  <c r="K699" i="30"/>
  <c r="E700" i="30"/>
  <c r="G700" i="30"/>
  <c r="K700" i="30"/>
  <c r="E701" i="30"/>
  <c r="G701" i="30"/>
  <c r="K701" i="30"/>
  <c r="E702" i="30"/>
  <c r="G702" i="30"/>
  <c r="K702" i="30"/>
  <c r="E703" i="30"/>
  <c r="G703" i="30"/>
  <c r="K703" i="30"/>
  <c r="E704" i="30"/>
  <c r="G704" i="30"/>
  <c r="K704" i="30"/>
  <c r="D709" i="30"/>
  <c r="E712" i="30"/>
  <c r="E715" i="30"/>
  <c r="E723" i="30" s="1"/>
  <c r="E736" i="30"/>
  <c r="L736" i="30"/>
  <c r="K1184" i="52" s="1"/>
  <c r="S736" i="30"/>
  <c r="E737" i="30"/>
  <c r="T737" i="30" s="1"/>
  <c r="G737" i="30"/>
  <c r="K737" i="30"/>
  <c r="S737" i="30"/>
  <c r="S738" i="30" s="1"/>
  <c r="E738" i="30"/>
  <c r="G738" i="30"/>
  <c r="K738" i="30"/>
  <c r="E739" i="30"/>
  <c r="G739" i="30"/>
  <c r="K739" i="30"/>
  <c r="E740" i="30"/>
  <c r="G740" i="30"/>
  <c r="K740" i="30"/>
  <c r="E741" i="30"/>
  <c r="G741" i="30"/>
  <c r="K741" i="30"/>
  <c r="E742" i="30"/>
  <c r="G742" i="30"/>
  <c r="K742" i="30"/>
  <c r="E743" i="30"/>
  <c r="G743" i="30"/>
  <c r="K743" i="30"/>
  <c r="E744" i="30"/>
  <c r="G744" i="30"/>
  <c r="K744" i="30"/>
  <c r="E745" i="30"/>
  <c r="G745" i="30"/>
  <c r="K745" i="30"/>
  <c r="D750" i="30"/>
  <c r="E753" i="30"/>
  <c r="E756" i="30"/>
  <c r="E777" i="30"/>
  <c r="E778" i="30"/>
  <c r="T778" i="30" s="1"/>
  <c r="G778" i="30"/>
  <c r="K778" i="30"/>
  <c r="S778" i="30"/>
  <c r="E779" i="30"/>
  <c r="G779" i="30"/>
  <c r="K779" i="30"/>
  <c r="E780" i="30"/>
  <c r="G780" i="30"/>
  <c r="G22" i="65" s="1"/>
  <c r="K780" i="30"/>
  <c r="E781" i="30"/>
  <c r="G781" i="30"/>
  <c r="K781" i="30"/>
  <c r="E782" i="30"/>
  <c r="G782" i="30"/>
  <c r="K782" i="30"/>
  <c r="E783" i="30"/>
  <c r="G783" i="30"/>
  <c r="K783" i="30"/>
  <c r="E784" i="30"/>
  <c r="G784" i="30"/>
  <c r="K784" i="30"/>
  <c r="E785" i="30"/>
  <c r="G785" i="30"/>
  <c r="K785" i="30"/>
  <c r="E786" i="30"/>
  <c r="G786" i="30"/>
  <c r="K786" i="30"/>
  <c r="D791" i="30"/>
  <c r="E794" i="30"/>
  <c r="E797" i="30"/>
  <c r="E805" i="30" s="1"/>
  <c r="E818" i="30"/>
  <c r="S818" i="30" s="1"/>
  <c r="L818" i="30"/>
  <c r="E819" i="30"/>
  <c r="G819" i="30"/>
  <c r="K819" i="30"/>
  <c r="E820" i="30"/>
  <c r="G820" i="30"/>
  <c r="K820" i="30"/>
  <c r="E821" i="30"/>
  <c r="G821" i="30"/>
  <c r="K821" i="30"/>
  <c r="E822" i="30"/>
  <c r="G822" i="30"/>
  <c r="K822" i="30"/>
  <c r="E823" i="30"/>
  <c r="G823" i="30"/>
  <c r="K823" i="30"/>
  <c r="E824" i="30"/>
  <c r="G824" i="30"/>
  <c r="K824" i="30"/>
  <c r="E825" i="30"/>
  <c r="G825" i="30"/>
  <c r="K825" i="30"/>
  <c r="E826" i="30"/>
  <c r="G826" i="30"/>
  <c r="K826" i="30"/>
  <c r="E827" i="30"/>
  <c r="G827" i="30"/>
  <c r="K827" i="30"/>
  <c r="D12" i="28"/>
  <c r="F15" i="28"/>
  <c r="F18" i="28"/>
  <c r="F26" i="28"/>
  <c r="F45" i="28"/>
  <c r="V45" i="28" s="1"/>
  <c r="J45" i="28"/>
  <c r="K45" i="28"/>
  <c r="F46" i="28"/>
  <c r="V46" i="28" s="1"/>
  <c r="W46" i="28"/>
  <c r="F47" i="28"/>
  <c r="W47" i="28" s="1"/>
  <c r="F48" i="28"/>
  <c r="F49" i="28"/>
  <c r="G49" i="28"/>
  <c r="F64" i="28"/>
  <c r="W64" i="28" s="1"/>
  <c r="F65" i="28"/>
  <c r="W65" i="28" s="1"/>
  <c r="W66" i="28" s="1"/>
  <c r="F66" i="28"/>
  <c r="X66" i="28" s="1"/>
  <c r="F67" i="28"/>
  <c r="W67" i="28" s="1"/>
  <c r="G67" i="28"/>
  <c r="F68" i="28"/>
  <c r="K64" i="28" s="1"/>
  <c r="D74" i="28"/>
  <c r="F77" i="28"/>
  <c r="F80" i="28"/>
  <c r="F107" i="28"/>
  <c r="V107" i="28" s="1"/>
  <c r="J107" i="28"/>
  <c r="K107" i="28"/>
  <c r="F108" i="28"/>
  <c r="V108" i="28"/>
  <c r="F109" i="28"/>
  <c r="F110" i="28"/>
  <c r="F111" i="28"/>
  <c r="G111" i="28"/>
  <c r="F126" i="28"/>
  <c r="V126" i="28" s="1"/>
  <c r="F127" i="28"/>
  <c r="G127" i="28" s="1"/>
  <c r="F128" i="28"/>
  <c r="W128" i="28"/>
  <c r="F129" i="28"/>
  <c r="G129" i="28" s="1"/>
  <c r="F130" i="28"/>
  <c r="D136" i="28"/>
  <c r="F139" i="28"/>
  <c r="F142" i="28"/>
  <c r="F150" i="28" s="1"/>
  <c r="F169" i="28"/>
  <c r="V169" i="28" s="1"/>
  <c r="F170" i="28"/>
  <c r="F171" i="28"/>
  <c r="G171" i="28"/>
  <c r="F172" i="28"/>
  <c r="G172" i="28" s="1"/>
  <c r="F173" i="28"/>
  <c r="F188" i="28"/>
  <c r="F189" i="28"/>
  <c r="F190" i="28"/>
  <c r="F191" i="28"/>
  <c r="G191" i="28" s="1"/>
  <c r="F192" i="28"/>
  <c r="D198" i="28"/>
  <c r="F201" i="28"/>
  <c r="F204" i="28"/>
  <c r="F213" i="28"/>
  <c r="F231" i="28"/>
  <c r="V231" i="28" s="1"/>
  <c r="J231" i="28"/>
  <c r="K231" i="28"/>
  <c r="F232" i="28"/>
  <c r="G232" i="28" s="1"/>
  <c r="F233" i="28"/>
  <c r="G233" i="28"/>
  <c r="V233" i="28"/>
  <c r="F234" i="28"/>
  <c r="G234" i="28"/>
  <c r="F235" i="28"/>
  <c r="G235" i="28"/>
  <c r="F250" i="28"/>
  <c r="K280" i="53" s="1"/>
  <c r="V250" i="28"/>
  <c r="W250" i="28"/>
  <c r="F251" i="28"/>
  <c r="G251" i="28" s="1"/>
  <c r="F252" i="28"/>
  <c r="G252" i="28"/>
  <c r="X252" i="28"/>
  <c r="F253" i="28"/>
  <c r="G253" i="28"/>
  <c r="F254" i="28"/>
  <c r="D260" i="28"/>
  <c r="F263" i="28"/>
  <c r="F266" i="28"/>
  <c r="F275" i="28"/>
  <c r="F293" i="28"/>
  <c r="E8" i="66" s="1"/>
  <c r="V293" i="28"/>
  <c r="F294" i="28"/>
  <c r="F295" i="28"/>
  <c r="G295" i="28"/>
  <c r="F296" i="28"/>
  <c r="G296" i="28" s="1"/>
  <c r="F297" i="28"/>
  <c r="G297" i="28" s="1"/>
  <c r="F312" i="28"/>
  <c r="V312" i="28"/>
  <c r="W312" i="28"/>
  <c r="F313" i="28"/>
  <c r="G313" i="28" s="1"/>
  <c r="Y313" i="28"/>
  <c r="F314" i="28"/>
  <c r="F315" i="28"/>
  <c r="G315" i="28"/>
  <c r="F316" i="28"/>
  <c r="G316" i="28"/>
  <c r="D322" i="28"/>
  <c r="F325" i="28"/>
  <c r="F328" i="28"/>
  <c r="F337" i="28"/>
  <c r="F355" i="28"/>
  <c r="N9" i="66" s="1"/>
  <c r="V355" i="28"/>
  <c r="F356" i="28"/>
  <c r="L9" i="66" s="1"/>
  <c r="F357" i="28"/>
  <c r="G357" i="28" s="1"/>
  <c r="F358" i="28"/>
  <c r="G358" i="28" s="1"/>
  <c r="F359" i="28"/>
  <c r="G359" i="28" s="1"/>
  <c r="F374" i="28"/>
  <c r="F375" i="28"/>
  <c r="G375" i="28" s="1"/>
  <c r="W375" i="28"/>
  <c r="Y375" i="28"/>
  <c r="F376" i="28"/>
  <c r="G376" i="28"/>
  <c r="F377" i="28"/>
  <c r="G377" i="28" s="1"/>
  <c r="F378" i="28"/>
  <c r="G378" i="28" s="1"/>
  <c r="D384" i="28"/>
  <c r="F387" i="28"/>
  <c r="F390" i="28"/>
  <c r="F398" i="28"/>
  <c r="F399" i="28"/>
  <c r="F417" i="28"/>
  <c r="V417" i="28" s="1"/>
  <c r="F418" i="28"/>
  <c r="V418" i="28" s="1"/>
  <c r="G418" i="28"/>
  <c r="W418" i="28"/>
  <c r="F419" i="28"/>
  <c r="F420" i="28"/>
  <c r="G420" i="28" s="1"/>
  <c r="F421" i="28"/>
  <c r="G421" i="28" s="1"/>
  <c r="F436" i="28"/>
  <c r="W436" i="28" s="1"/>
  <c r="L436" i="28"/>
  <c r="V436" i="28"/>
  <c r="V437" i="28" s="1"/>
  <c r="F437" i="28"/>
  <c r="G437" i="28" s="1"/>
  <c r="W437" i="28"/>
  <c r="Y437" i="28"/>
  <c r="F438" i="28"/>
  <c r="G438" i="28" s="1"/>
  <c r="Y438" i="28"/>
  <c r="F439" i="28"/>
  <c r="F440" i="28"/>
  <c r="G440" i="28"/>
  <c r="D446" i="28"/>
  <c r="F449" i="28"/>
  <c r="F452" i="28"/>
  <c r="F460" i="28"/>
  <c r="F461" i="28"/>
  <c r="F479" i="28"/>
  <c r="V479" i="28" s="1"/>
  <c r="F480" i="28"/>
  <c r="G480" i="28"/>
  <c r="F481" i="28"/>
  <c r="F482" i="28"/>
  <c r="K555" i="53" s="1"/>
  <c r="F483" i="28"/>
  <c r="G483" i="28" s="1"/>
  <c r="F498" i="28"/>
  <c r="V498" i="28" s="1"/>
  <c r="V499" i="28" s="1"/>
  <c r="V500" i="28" s="1"/>
  <c r="W498" i="28"/>
  <c r="F499" i="28"/>
  <c r="W499" i="28"/>
  <c r="W500" i="28" s="1"/>
  <c r="F500" i="28"/>
  <c r="G500" i="28" s="1"/>
  <c r="X500" i="28"/>
  <c r="F501" i="28"/>
  <c r="X501" i="28"/>
  <c r="F502" i="28"/>
  <c r="G502" i="28"/>
  <c r="D508" i="28"/>
  <c r="F511" i="28"/>
  <c r="F514" i="28"/>
  <c r="F522" i="28" s="1"/>
  <c r="F523" i="28"/>
  <c r="F541" i="28"/>
  <c r="V541" i="28" s="1"/>
  <c r="F542" i="28"/>
  <c r="M12" i="66" s="1"/>
  <c r="F543" i="28"/>
  <c r="N12" i="66" s="1"/>
  <c r="F544" i="28"/>
  <c r="F545" i="28"/>
  <c r="G545" i="28" s="1"/>
  <c r="F560" i="28"/>
  <c r="M560" i="28"/>
  <c r="M561" i="28" s="1"/>
  <c r="M562" i="28" s="1"/>
  <c r="N560" i="28"/>
  <c r="F561" i="28"/>
  <c r="F562" i="28"/>
  <c r="G562" i="28" s="1"/>
  <c r="X562" i="28"/>
  <c r="X563" i="28" s="1"/>
  <c r="F563" i="28"/>
  <c r="G563" i="28" s="1"/>
  <c r="F564" i="28"/>
  <c r="X564" i="28" s="1"/>
  <c r="D570" i="28"/>
  <c r="F573" i="28"/>
  <c r="F576" i="28"/>
  <c r="F585" i="28"/>
  <c r="F603" i="28"/>
  <c r="V603" i="28" s="1"/>
  <c r="F604" i="28"/>
  <c r="G604" i="28" s="1"/>
  <c r="V604" i="28"/>
  <c r="V605" i="28" s="1"/>
  <c r="W604" i="28"/>
  <c r="F605" i="28"/>
  <c r="W605" i="28" s="1"/>
  <c r="G605" i="28"/>
  <c r="F606" i="28"/>
  <c r="G606" i="28" s="1"/>
  <c r="V606" i="28"/>
  <c r="V607" i="28" s="1"/>
  <c r="W606" i="28"/>
  <c r="F607" i="28"/>
  <c r="G607" i="28"/>
  <c r="F622" i="28"/>
  <c r="M622" i="28"/>
  <c r="N622" i="28"/>
  <c r="N623" i="28" s="1"/>
  <c r="V622" i="28"/>
  <c r="W622" i="28"/>
  <c r="F623" i="28"/>
  <c r="L622" i="28" s="1"/>
  <c r="Y623" i="28"/>
  <c r="F624" i="28"/>
  <c r="F625" i="28"/>
  <c r="G625" i="28" s="1"/>
  <c r="F626" i="28"/>
  <c r="G626" i="28"/>
  <c r="D632" i="28"/>
  <c r="F635" i="28"/>
  <c r="F638" i="28"/>
  <c r="G638" i="28"/>
  <c r="J646" i="28" s="1"/>
  <c r="K646" i="28" s="1"/>
  <c r="H638" i="28"/>
  <c r="F646" i="28"/>
  <c r="F647" i="28"/>
  <c r="F665" i="28"/>
  <c r="V665" i="28"/>
  <c r="F666" i="28"/>
  <c r="F667" i="28"/>
  <c r="G667" i="28" s="1"/>
  <c r="G14" i="66" s="1"/>
  <c r="F668" i="28"/>
  <c r="G668" i="28" s="1"/>
  <c r="F669" i="28"/>
  <c r="G669" i="28" s="1"/>
  <c r="F684" i="28"/>
  <c r="V684" i="28" s="1"/>
  <c r="M684" i="28"/>
  <c r="M685" i="28" s="1"/>
  <c r="N684" i="28"/>
  <c r="F685" i="28"/>
  <c r="F686" i="28"/>
  <c r="G686" i="28" s="1"/>
  <c r="X686" i="28"/>
  <c r="F687" i="28"/>
  <c r="X687" i="28"/>
  <c r="F688" i="28"/>
  <c r="G688" i="28"/>
  <c r="D694" i="28"/>
  <c r="F697" i="28"/>
  <c r="F700" i="28"/>
  <c r="F708" i="28" s="1"/>
  <c r="G700" i="28"/>
  <c r="J708" i="28" s="1"/>
  <c r="K708" i="28" s="1"/>
  <c r="H700" i="28"/>
  <c r="F709" i="28"/>
  <c r="F727" i="28"/>
  <c r="V727" i="28" s="1"/>
  <c r="F728" i="28"/>
  <c r="F729" i="28"/>
  <c r="G729" i="28"/>
  <c r="G15" i="66" s="1"/>
  <c r="F730" i="28"/>
  <c r="F731" i="28"/>
  <c r="G731" i="28"/>
  <c r="F746" i="28"/>
  <c r="V746" i="28" s="1"/>
  <c r="M746" i="28"/>
  <c r="M747" i="28" s="1"/>
  <c r="N746" i="28"/>
  <c r="W746" i="28"/>
  <c r="F747" i="28"/>
  <c r="F748" i="28"/>
  <c r="G748" i="28" s="1"/>
  <c r="X748" i="28"/>
  <c r="F749" i="28"/>
  <c r="G749" i="28"/>
  <c r="F750" i="28"/>
  <c r="G750" i="28"/>
  <c r="D756" i="28"/>
  <c r="F759" i="28"/>
  <c r="F762" i="28"/>
  <c r="G762" i="28"/>
  <c r="J770" i="28" s="1"/>
  <c r="K770" i="28" s="1"/>
  <c r="H762" i="28"/>
  <c r="F770" i="28"/>
  <c r="F771" i="28"/>
  <c r="F789" i="28"/>
  <c r="V789" i="28" s="1"/>
  <c r="F790" i="28"/>
  <c r="F791" i="28"/>
  <c r="F792" i="28"/>
  <c r="F793" i="28"/>
  <c r="G793" i="28"/>
  <c r="I16" i="66" s="1"/>
  <c r="F808" i="28"/>
  <c r="V808" i="28" s="1"/>
  <c r="V809" i="28" s="1"/>
  <c r="M808" i="28"/>
  <c r="N808" i="28"/>
  <c r="W808" i="28"/>
  <c r="F809" i="28"/>
  <c r="K808" i="28" s="1"/>
  <c r="W809" i="28"/>
  <c r="F810" i="28"/>
  <c r="F811" i="28"/>
  <c r="F812" i="28"/>
  <c r="G812" i="28"/>
  <c r="D818" i="28"/>
  <c r="F821" i="28"/>
  <c r="F824" i="28"/>
  <c r="G824" i="28"/>
  <c r="J832" i="28" s="1"/>
  <c r="K832" i="28" s="1"/>
  <c r="H824" i="28"/>
  <c r="J851" i="28" s="1"/>
  <c r="F832" i="28"/>
  <c r="F833" i="28"/>
  <c r="F851" i="28"/>
  <c r="V851" i="28"/>
  <c r="F852" i="28"/>
  <c r="G852" i="28" s="1"/>
  <c r="V852" i="28"/>
  <c r="W852" i="28"/>
  <c r="W853" i="28" s="1"/>
  <c r="F853" i="28"/>
  <c r="G853" i="28" s="1"/>
  <c r="F854" i="28"/>
  <c r="G854" i="28" s="1"/>
  <c r="W854" i="28"/>
  <c r="W855" i="28" s="1"/>
  <c r="F855" i="28"/>
  <c r="G855" i="28" s="1"/>
  <c r="F870" i="28"/>
  <c r="M870" i="28"/>
  <c r="M871" i="28" s="1"/>
  <c r="N870" i="28"/>
  <c r="N871" i="28" s="1"/>
  <c r="Q871" i="28" s="1"/>
  <c r="F871" i="28"/>
  <c r="G871" i="28"/>
  <c r="Y871" i="28"/>
  <c r="F872" i="28"/>
  <c r="Y872" i="28"/>
  <c r="F873" i="28"/>
  <c r="F874" i="28"/>
  <c r="G874" i="28" s="1"/>
  <c r="D880" i="28"/>
  <c r="F883" i="28"/>
  <c r="F886" i="28"/>
  <c r="H886" i="28" s="1"/>
  <c r="J913" i="28" s="1"/>
  <c r="G886" i="28"/>
  <c r="J894" i="28" s="1"/>
  <c r="K894" i="28" s="1"/>
  <c r="F895" i="28"/>
  <c r="F913" i="28"/>
  <c r="V913" i="28"/>
  <c r="F914" i="28"/>
  <c r="W914" i="28" s="1"/>
  <c r="G914" i="28"/>
  <c r="V914" i="28"/>
  <c r="V915" i="28" s="1"/>
  <c r="V916" i="28" s="1"/>
  <c r="V917" i="28" s="1"/>
  <c r="F915" i="28"/>
  <c r="G915" i="28" s="1"/>
  <c r="W915" i="28"/>
  <c r="F916" i="28"/>
  <c r="W916" i="28" s="1"/>
  <c r="W917" i="28" s="1"/>
  <c r="G916" i="28"/>
  <c r="F917" i="28"/>
  <c r="G917" i="28" s="1"/>
  <c r="F932" i="28"/>
  <c r="K932" i="28"/>
  <c r="M932" i="28"/>
  <c r="P932" i="28" s="1"/>
  <c r="N932" i="28"/>
  <c r="N933" i="28" s="1"/>
  <c r="V932" i="28"/>
  <c r="W932" i="28"/>
  <c r="F933" i="28"/>
  <c r="G933" i="28"/>
  <c r="F934" i="28"/>
  <c r="X934" i="28"/>
  <c r="X935" i="28" s="1"/>
  <c r="F935" i="28"/>
  <c r="G935" i="28" s="1"/>
  <c r="F936" i="28"/>
  <c r="D942" i="28"/>
  <c r="F945" i="28"/>
  <c r="F948" i="28"/>
  <c r="F957" i="28"/>
  <c r="F975" i="28"/>
  <c r="V975" i="28" s="1"/>
  <c r="J975" i="28"/>
  <c r="K975" i="28"/>
  <c r="F976" i="28"/>
  <c r="W976" i="28" s="1"/>
  <c r="W977" i="28" s="1"/>
  <c r="G976" i="28"/>
  <c r="V976" i="28"/>
  <c r="V977" i="28" s="1"/>
  <c r="F977" i="28"/>
  <c r="G977" i="28" s="1"/>
  <c r="F978" i="28"/>
  <c r="G978" i="28" s="1"/>
  <c r="F979" i="28"/>
  <c r="G979" i="28"/>
  <c r="F994" i="28"/>
  <c r="F995" i="28"/>
  <c r="F996" i="28"/>
  <c r="F997" i="28"/>
  <c r="G997" i="28" s="1"/>
  <c r="F998" i="28"/>
  <c r="D1004" i="28"/>
  <c r="F1007" i="28"/>
  <c r="F1010" i="28"/>
  <c r="G1010" i="28" s="1"/>
  <c r="J1018" i="28" s="1"/>
  <c r="K1018" i="28" s="1"/>
  <c r="F1019" i="28"/>
  <c r="F1037" i="28"/>
  <c r="J1037" i="28"/>
  <c r="K1037" i="28"/>
  <c r="V1037" i="28"/>
  <c r="F1038" i="28"/>
  <c r="G1038" i="28"/>
  <c r="F1039" i="28"/>
  <c r="F1040" i="28"/>
  <c r="F1041" i="28"/>
  <c r="G1041" i="28"/>
  <c r="F1056" i="28"/>
  <c r="V1056" i="28" s="1"/>
  <c r="W1056" i="28"/>
  <c r="F1057" i="28"/>
  <c r="W1057" i="28"/>
  <c r="W1058" i="28" s="1"/>
  <c r="F1058" i="28"/>
  <c r="G1058" i="28" s="1"/>
  <c r="X1058" i="28"/>
  <c r="F1059" i="28"/>
  <c r="G1059" i="28"/>
  <c r="F1060" i="28"/>
  <c r="G1060" i="28"/>
  <c r="D1066" i="28"/>
  <c r="F1069" i="28"/>
  <c r="F1072" i="28"/>
  <c r="G1072" i="28" s="1"/>
  <c r="J1080" i="28" s="1"/>
  <c r="K1080" i="28" s="1"/>
  <c r="F1080" i="28"/>
  <c r="F1081" i="28"/>
  <c r="F1099" i="28"/>
  <c r="V1099" i="28" s="1"/>
  <c r="J1099" i="28"/>
  <c r="K1099" i="28"/>
  <c r="K1100" i="28" s="1"/>
  <c r="L1100" i="28" s="1"/>
  <c r="F1100" i="28"/>
  <c r="G1100" i="28"/>
  <c r="V1100" i="28"/>
  <c r="W1100" i="28"/>
  <c r="F1101" i="28"/>
  <c r="G1101" i="28"/>
  <c r="F1102" i="28"/>
  <c r="G1102" i="28" s="1"/>
  <c r="F1103" i="28"/>
  <c r="F1118" i="28"/>
  <c r="F1119" i="28"/>
  <c r="G1119" i="28" s="1"/>
  <c r="W1119" i="28"/>
  <c r="Y1119" i="28"/>
  <c r="F1120" i="28"/>
  <c r="X1120" i="28" s="1"/>
  <c r="W1120" i="28"/>
  <c r="W1121" i="28" s="1"/>
  <c r="Y1120" i="28"/>
  <c r="F1121" i="28"/>
  <c r="X1121" i="28" s="1"/>
  <c r="G1121" i="28"/>
  <c r="F1122" i="28"/>
  <c r="G1122" i="28"/>
  <c r="X1122" i="28"/>
  <c r="D1128" i="28"/>
  <c r="F1131" i="28"/>
  <c r="F1134" i="28"/>
  <c r="F1143" i="28"/>
  <c r="F1161" i="28"/>
  <c r="J1161" i="28"/>
  <c r="K1161" i="28"/>
  <c r="V1161" i="28"/>
  <c r="F1162" i="28"/>
  <c r="F1163" i="28"/>
  <c r="F1164" i="28"/>
  <c r="G1164" i="28" s="1"/>
  <c r="F1165" i="28"/>
  <c r="F1180" i="28"/>
  <c r="V1180" i="28"/>
  <c r="W1180" i="28"/>
  <c r="F1181" i="28"/>
  <c r="K1180" i="28" s="1"/>
  <c r="G1181" i="28"/>
  <c r="V1181" i="28"/>
  <c r="V1182" i="28" s="1"/>
  <c r="W1181" i="28"/>
  <c r="W1182" i="28" s="1"/>
  <c r="F1182" i="28"/>
  <c r="G1182" i="28"/>
  <c r="X1182" i="28"/>
  <c r="F1183" i="28"/>
  <c r="G1183" i="28" s="1"/>
  <c r="W1183" i="28"/>
  <c r="X1183" i="28"/>
  <c r="F1184" i="28"/>
  <c r="G1184" i="28"/>
  <c r="I22" i="66" s="1"/>
  <c r="D1190" i="28"/>
  <c r="F1193" i="28"/>
  <c r="F1196" i="28"/>
  <c r="H1196" i="28" s="1"/>
  <c r="G1196" i="28"/>
  <c r="J1204" i="28" s="1"/>
  <c r="K1204" i="28" s="1"/>
  <c r="F1205" i="28"/>
  <c r="F1223" i="28"/>
  <c r="V1223" i="28" s="1"/>
  <c r="J1223" i="28"/>
  <c r="K1223" i="28"/>
  <c r="K1224" i="28" s="1"/>
  <c r="L1224" i="28" s="1"/>
  <c r="F1224" i="28"/>
  <c r="G1224" i="28"/>
  <c r="V1224" i="28"/>
  <c r="W1224" i="28"/>
  <c r="F1225" i="28"/>
  <c r="F1226" i="28"/>
  <c r="G1226" i="28"/>
  <c r="F1227" i="28"/>
  <c r="F1242" i="28"/>
  <c r="V1242" i="28" s="1"/>
  <c r="K1242" i="28"/>
  <c r="F1243" i="28"/>
  <c r="G1243" i="28" s="1"/>
  <c r="F23" i="66" s="1"/>
  <c r="W1243" i="28"/>
  <c r="W1244" i="28" s="1"/>
  <c r="Y1243" i="28"/>
  <c r="F1244" i="28"/>
  <c r="X1244" i="28" s="1"/>
  <c r="G1244" i="28"/>
  <c r="F1245" i="28"/>
  <c r="X1245" i="28"/>
  <c r="X1246" i="28" s="1"/>
  <c r="F1246" i="28"/>
  <c r="G1246" i="28" s="1"/>
  <c r="I23" i="66" s="1"/>
  <c r="D10" i="31"/>
  <c r="E13" i="31"/>
  <c r="E16" i="31"/>
  <c r="F22" i="31"/>
  <c r="E23" i="31"/>
  <c r="D28" i="31"/>
  <c r="E31" i="31"/>
  <c r="E34" i="31"/>
  <c r="F40" i="31"/>
  <c r="D46" i="31"/>
  <c r="E49" i="31"/>
  <c r="E52" i="31"/>
  <c r="F58" i="31"/>
  <c r="D64" i="31"/>
  <c r="E67" i="31"/>
  <c r="E70" i="31"/>
  <c r="E77" i="31" s="1"/>
  <c r="F76" i="31"/>
  <c r="D82" i="31"/>
  <c r="E85" i="31"/>
  <c r="E88" i="31"/>
  <c r="F94" i="31"/>
  <c r="D100" i="31"/>
  <c r="E103" i="31"/>
  <c r="E106" i="31"/>
  <c r="F112" i="31"/>
  <c r="D118" i="31"/>
  <c r="E121" i="31"/>
  <c r="E124" i="31"/>
  <c r="F124" i="31"/>
  <c r="F130" i="31"/>
  <c r="E131" i="31"/>
  <c r="D136" i="31"/>
  <c r="E139" i="31"/>
  <c r="E142" i="31"/>
  <c r="F148" i="31"/>
  <c r="D154" i="31"/>
  <c r="E157" i="31"/>
  <c r="E160" i="31"/>
  <c r="F160" i="31"/>
  <c r="F166" i="31"/>
  <c r="E167" i="31"/>
  <c r="D172" i="31"/>
  <c r="E175" i="31"/>
  <c r="E178" i="31"/>
  <c r="F184" i="31"/>
  <c r="D190" i="31"/>
  <c r="E193" i="31"/>
  <c r="E196" i="31"/>
  <c r="F196" i="31"/>
  <c r="F202" i="31"/>
  <c r="E203" i="31"/>
  <c r="D208" i="31"/>
  <c r="E211" i="31"/>
  <c r="E214" i="31"/>
  <c r="F220" i="31"/>
  <c r="D226" i="31"/>
  <c r="E229" i="31"/>
  <c r="E232" i="31"/>
  <c r="F232" i="31"/>
  <c r="F238" i="31"/>
  <c r="E239" i="31"/>
  <c r="D244" i="31"/>
  <c r="E247" i="31"/>
  <c r="E250" i="31"/>
  <c r="F256" i="31"/>
  <c r="D262" i="31"/>
  <c r="E265" i="31"/>
  <c r="E268" i="31"/>
  <c r="F268" i="31"/>
  <c r="F274" i="31"/>
  <c r="E275" i="31"/>
  <c r="D280" i="31"/>
  <c r="E283" i="31"/>
  <c r="E286" i="31"/>
  <c r="E293" i="31" s="1"/>
  <c r="F292" i="31"/>
  <c r="D298" i="31"/>
  <c r="E301" i="31"/>
  <c r="E304" i="31"/>
  <c r="F304" i="31"/>
  <c r="F310" i="31"/>
  <c r="E311" i="31"/>
  <c r="D316" i="31"/>
  <c r="E319" i="31"/>
  <c r="E322" i="31"/>
  <c r="F328" i="31"/>
  <c r="D334" i="31"/>
  <c r="E337" i="31"/>
  <c r="E340" i="31"/>
  <c r="F340" i="31"/>
  <c r="F346" i="31"/>
  <c r="E347" i="31"/>
  <c r="D352" i="31"/>
  <c r="E355" i="31"/>
  <c r="E358" i="31"/>
  <c r="E365" i="31" s="1"/>
  <c r="F358" i="31"/>
  <c r="F364" i="31"/>
  <c r="D8" i="51"/>
  <c r="D68" i="51"/>
  <c r="D133" i="51"/>
  <c r="D200" i="51"/>
  <c r="D267" i="51"/>
  <c r="J315" i="51"/>
  <c r="D334" i="51"/>
  <c r="J385" i="51"/>
  <c r="D400" i="51"/>
  <c r="J455" i="51"/>
  <c r="D467" i="51"/>
  <c r="J517" i="51"/>
  <c r="D536" i="51"/>
  <c r="D603" i="51"/>
  <c r="E644" i="51"/>
  <c r="J651" i="51"/>
  <c r="D670" i="51"/>
  <c r="E711" i="51"/>
  <c r="D737" i="51"/>
  <c r="E778" i="51"/>
  <c r="J785" i="51"/>
  <c r="J786" i="51"/>
  <c r="J787" i="51"/>
  <c r="J788" i="51"/>
  <c r="J789" i="51"/>
  <c r="J790" i="51"/>
  <c r="J791" i="51"/>
  <c r="J792" i="51"/>
  <c r="J793" i="51"/>
  <c r="J794" i="51"/>
  <c r="D804" i="51"/>
  <c r="E845" i="51"/>
  <c r="J852" i="51"/>
  <c r="J853" i="51"/>
  <c r="J854" i="51"/>
  <c r="J855" i="51"/>
  <c r="J856" i="51"/>
  <c r="J857" i="51"/>
  <c r="J858" i="51"/>
  <c r="J859" i="51"/>
  <c r="J860" i="51"/>
  <c r="J861" i="51"/>
  <c r="D871" i="51"/>
  <c r="E912" i="51"/>
  <c r="J919" i="51"/>
  <c r="J920" i="51"/>
  <c r="J923" i="51"/>
  <c r="J927" i="51"/>
  <c r="J928" i="51"/>
  <c r="D938" i="51"/>
  <c r="E979" i="51"/>
  <c r="J986" i="51"/>
  <c r="J988" i="51"/>
  <c r="J989" i="51"/>
  <c r="J991" i="51"/>
  <c r="J992" i="51"/>
  <c r="D1005" i="51"/>
  <c r="E1046" i="51"/>
  <c r="J1053" i="51"/>
  <c r="J1054" i="51"/>
  <c r="J1055" i="51"/>
  <c r="J1056" i="51"/>
  <c r="J1057" i="51"/>
  <c r="J1058" i="51"/>
  <c r="J1059" i="51"/>
  <c r="J1060" i="51"/>
  <c r="D1072" i="51"/>
  <c r="E1113" i="51"/>
  <c r="J1120" i="51"/>
  <c r="J1121" i="51"/>
  <c r="J1122" i="51"/>
  <c r="J1123" i="51"/>
  <c r="J1124" i="51"/>
  <c r="J1125" i="51"/>
  <c r="J1126" i="51"/>
  <c r="J1127" i="51"/>
  <c r="J1128" i="51"/>
  <c r="J1129" i="51"/>
  <c r="D1139" i="51"/>
  <c r="E1180" i="51"/>
  <c r="J1187" i="51"/>
  <c r="J1188" i="51"/>
  <c r="J1189" i="51"/>
  <c r="J1190" i="51"/>
  <c r="J1191" i="51"/>
  <c r="J1192" i="51"/>
  <c r="J1193" i="51"/>
  <c r="J1194" i="51"/>
  <c r="J1195" i="51"/>
  <c r="J1196" i="51"/>
  <c r="D1206" i="51"/>
  <c r="E1247" i="51"/>
  <c r="J1254" i="51"/>
  <c r="J1255" i="51"/>
  <c r="J1256" i="51"/>
  <c r="J1257" i="51"/>
  <c r="J1258" i="51"/>
  <c r="J1259" i="51"/>
  <c r="J1260" i="51"/>
  <c r="J1261" i="51"/>
  <c r="J1262" i="51"/>
  <c r="J1263" i="51"/>
  <c r="D1273" i="51"/>
  <c r="E1314" i="51"/>
  <c r="J1321" i="51"/>
  <c r="J1322" i="51"/>
  <c r="J1323" i="51"/>
  <c r="J1324" i="51"/>
  <c r="K1324" i="51"/>
  <c r="J1325" i="51"/>
  <c r="K1325" i="51"/>
  <c r="J1326" i="51"/>
  <c r="K1326" i="51"/>
  <c r="J1327" i="51"/>
  <c r="K1327" i="51"/>
  <c r="J1328" i="51"/>
  <c r="K1328" i="51"/>
  <c r="J1329" i="51"/>
  <c r="K1329" i="51"/>
  <c r="J1330" i="51"/>
  <c r="K1330" i="51"/>
  <c r="D8" i="52"/>
  <c r="J55" i="52"/>
  <c r="J56" i="52"/>
  <c r="D73" i="52"/>
  <c r="E113" i="52"/>
  <c r="J129" i="52"/>
  <c r="D138" i="52"/>
  <c r="E178" i="52"/>
  <c r="J191" i="52"/>
  <c r="J192" i="52"/>
  <c r="D203" i="52"/>
  <c r="E243" i="52"/>
  <c r="J254" i="52"/>
  <c r="D268" i="52"/>
  <c r="E309" i="52"/>
  <c r="J316" i="52"/>
  <c r="J317" i="52"/>
  <c r="J321" i="52"/>
  <c r="D334" i="52"/>
  <c r="E374" i="52"/>
  <c r="J390" i="52"/>
  <c r="D400" i="52"/>
  <c r="E440" i="52"/>
  <c r="J447" i="52"/>
  <c r="J455" i="52"/>
  <c r="D466" i="52"/>
  <c r="E506" i="52"/>
  <c r="J518" i="52"/>
  <c r="D532" i="52"/>
  <c r="E572" i="52"/>
  <c r="D598" i="52"/>
  <c r="E638" i="52"/>
  <c r="J645" i="52"/>
  <c r="J646" i="52"/>
  <c r="J650" i="52"/>
  <c r="J651" i="52"/>
  <c r="J653" i="52"/>
  <c r="J654" i="52"/>
  <c r="D664" i="52"/>
  <c r="E705" i="52"/>
  <c r="J712" i="52"/>
  <c r="J713" i="52"/>
  <c r="J714" i="52"/>
  <c r="J715" i="52"/>
  <c r="J716" i="52"/>
  <c r="J717" i="52"/>
  <c r="D731" i="52"/>
  <c r="E772" i="52"/>
  <c r="J779" i="52"/>
  <c r="J782" i="52"/>
  <c r="J783" i="52"/>
  <c r="J785" i="52"/>
  <c r="J786" i="52"/>
  <c r="D798" i="52"/>
  <c r="E839" i="52"/>
  <c r="J846" i="52"/>
  <c r="D865" i="52"/>
  <c r="E906" i="52"/>
  <c r="J914" i="52"/>
  <c r="J915" i="52"/>
  <c r="J916" i="52"/>
  <c r="J917" i="52"/>
  <c r="J918" i="52"/>
  <c r="J919" i="52"/>
  <c r="D933" i="52"/>
  <c r="E974" i="52"/>
  <c r="J982" i="52"/>
  <c r="J983" i="52"/>
  <c r="J984" i="52"/>
  <c r="J985" i="52"/>
  <c r="J986" i="52"/>
  <c r="J987" i="52"/>
  <c r="J988" i="52"/>
  <c r="J989" i="52"/>
  <c r="J990" i="52"/>
  <c r="D1001" i="52"/>
  <c r="E1042" i="52"/>
  <c r="J1050" i="52"/>
  <c r="J1052" i="52"/>
  <c r="J1053" i="52"/>
  <c r="J1057" i="52"/>
  <c r="J1058" i="52"/>
  <c r="D1069" i="52"/>
  <c r="E1110" i="52"/>
  <c r="J1117" i="52"/>
  <c r="J1118" i="52"/>
  <c r="J1119" i="52"/>
  <c r="J1120" i="52"/>
  <c r="J1121" i="52"/>
  <c r="J1122" i="52"/>
  <c r="J1123" i="52"/>
  <c r="J1124" i="52"/>
  <c r="J1125" i="52"/>
  <c r="J1126" i="52"/>
  <c r="D1136" i="52"/>
  <c r="E1177" i="52"/>
  <c r="J1184" i="52"/>
  <c r="J1185" i="52"/>
  <c r="J1186" i="52"/>
  <c r="J1187" i="52"/>
  <c r="J1188" i="52"/>
  <c r="J1189" i="52"/>
  <c r="J1190" i="52"/>
  <c r="J1191" i="52"/>
  <c r="J1192" i="52"/>
  <c r="J1193" i="52"/>
  <c r="D1203" i="52"/>
  <c r="E1244" i="52"/>
  <c r="J1251" i="52"/>
  <c r="J1252" i="52"/>
  <c r="J1253" i="52"/>
  <c r="J1254" i="52"/>
  <c r="J1255" i="52"/>
  <c r="J1259" i="52"/>
  <c r="J1260" i="52"/>
  <c r="D1270" i="52"/>
  <c r="E1311" i="52"/>
  <c r="J1318" i="52"/>
  <c r="J1319" i="52"/>
  <c r="J1320" i="52"/>
  <c r="J1321" i="52"/>
  <c r="J1322" i="52"/>
  <c r="J1323" i="52"/>
  <c r="J1324" i="52"/>
  <c r="J1325" i="52"/>
  <c r="J1326" i="52"/>
  <c r="J1327" i="52"/>
  <c r="D8" i="53"/>
  <c r="E51" i="53"/>
  <c r="D55" i="53"/>
  <c r="M58" i="53" s="1"/>
  <c r="D80" i="53"/>
  <c r="E123" i="53"/>
  <c r="D127" i="53"/>
  <c r="L131" i="53"/>
  <c r="M131" i="53"/>
  <c r="K136" i="53"/>
  <c r="D151" i="53"/>
  <c r="E195" i="53"/>
  <c r="D199" i="53"/>
  <c r="L203" i="53"/>
  <c r="M203" i="53"/>
  <c r="D224" i="53"/>
  <c r="E267" i="53"/>
  <c r="D271" i="53"/>
  <c r="M275" i="53" s="1"/>
  <c r="L275" i="53"/>
  <c r="K276" i="53"/>
  <c r="K279" i="53"/>
  <c r="D295" i="53"/>
  <c r="E337" i="53"/>
  <c r="D341" i="53"/>
  <c r="L344" i="53" s="1"/>
  <c r="M344" i="53"/>
  <c r="K345" i="53"/>
  <c r="K346" i="53"/>
  <c r="D365" i="53"/>
  <c r="E407" i="53"/>
  <c r="D411" i="53"/>
  <c r="M416" i="53" s="1"/>
  <c r="D435" i="53"/>
  <c r="E477" i="53"/>
  <c r="D481" i="53"/>
  <c r="L484" i="53" s="1"/>
  <c r="D505" i="53"/>
  <c r="E546" i="53"/>
  <c r="D550" i="53"/>
  <c r="M553" i="53" s="1"/>
  <c r="L553" i="53"/>
  <c r="K554" i="53"/>
  <c r="K557" i="53"/>
  <c r="K558" i="53"/>
  <c r="D574" i="53"/>
  <c r="E616" i="53"/>
  <c r="D620" i="53"/>
  <c r="M623" i="53"/>
  <c r="K624" i="53"/>
  <c r="K625" i="53"/>
  <c r="K626" i="53"/>
  <c r="D644" i="53"/>
  <c r="E686" i="53"/>
  <c r="D690" i="53"/>
  <c r="M693" i="53"/>
  <c r="K694" i="53"/>
  <c r="K695" i="53"/>
  <c r="K696" i="53"/>
  <c r="M696" i="53"/>
  <c r="K697" i="53"/>
  <c r="K698" i="53"/>
  <c r="D714" i="53"/>
  <c r="E756" i="53"/>
  <c r="D760" i="53"/>
  <c r="M765" i="53" s="1"/>
  <c r="L764" i="53"/>
  <c r="M764" i="53"/>
  <c r="K765" i="53"/>
  <c r="K766" i="53"/>
  <c r="M766" i="53"/>
  <c r="K767" i="53"/>
  <c r="M767" i="53"/>
  <c r="K768" i="53"/>
  <c r="M768" i="53"/>
  <c r="K769" i="53"/>
  <c r="D784" i="53"/>
  <c r="E826" i="53"/>
  <c r="D830" i="53"/>
  <c r="K835" i="53"/>
  <c r="K836" i="53"/>
  <c r="K837" i="53"/>
  <c r="K838" i="53"/>
  <c r="K839" i="53"/>
  <c r="D854" i="53"/>
  <c r="E896" i="53"/>
  <c r="D900" i="53"/>
  <c r="K905" i="53"/>
  <c r="K906" i="53"/>
  <c r="K907" i="53"/>
  <c r="M907" i="53"/>
  <c r="K908" i="53"/>
  <c r="K909" i="53"/>
  <c r="D924" i="53"/>
  <c r="E966" i="53"/>
  <c r="D970" i="53"/>
  <c r="K975" i="53"/>
  <c r="K976" i="53"/>
  <c r="K977" i="53"/>
  <c r="K978" i="53"/>
  <c r="K979" i="53"/>
  <c r="D994" i="53"/>
  <c r="E1036" i="53"/>
  <c r="D1040" i="53"/>
  <c r="L1043" i="53"/>
  <c r="M1043" i="53"/>
  <c r="K1044" i="53"/>
  <c r="M1044" i="53"/>
  <c r="K1045" i="53"/>
  <c r="M1045" i="53"/>
  <c r="K1046" i="53"/>
  <c r="M1046" i="53"/>
  <c r="K1047" i="53"/>
  <c r="M1047" i="53"/>
  <c r="K1048" i="53"/>
  <c r="M1048" i="53"/>
  <c r="D1064" i="53"/>
  <c r="E1106" i="53"/>
  <c r="D1110" i="53"/>
  <c r="L1113" i="53" s="1"/>
  <c r="M1113" i="53"/>
  <c r="K1114" i="53"/>
  <c r="K1116" i="53"/>
  <c r="K1117" i="53"/>
  <c r="D1134" i="53"/>
  <c r="E1176" i="53"/>
  <c r="D1180" i="53"/>
  <c r="L1183" i="53"/>
  <c r="M1183" i="53"/>
  <c r="K1184" i="53"/>
  <c r="K1185" i="53"/>
  <c r="K1186" i="53"/>
  <c r="K1187" i="53"/>
  <c r="K1188" i="53"/>
  <c r="D1204" i="53"/>
  <c r="E1246" i="53"/>
  <c r="D1250" i="53"/>
  <c r="M1253" i="53" s="1"/>
  <c r="L1253" i="53"/>
  <c r="K1255" i="53"/>
  <c r="K1257" i="53"/>
  <c r="K1258" i="53"/>
  <c r="D1274" i="53"/>
  <c r="E1316" i="53"/>
  <c r="D1320" i="53"/>
  <c r="L1323" i="53" s="1"/>
  <c r="M1323" i="53"/>
  <c r="K1324" i="53"/>
  <c r="K1325" i="53"/>
  <c r="K1326" i="53"/>
  <c r="K1327" i="53"/>
  <c r="K1328" i="53"/>
  <c r="D1344" i="53"/>
  <c r="E1386" i="53"/>
  <c r="D1390" i="53"/>
  <c r="K1394" i="53"/>
  <c r="K1395" i="53"/>
  <c r="K1396" i="53"/>
  <c r="K1398" i="53"/>
  <c r="D8" i="54"/>
  <c r="I35" i="54"/>
  <c r="I36" i="54"/>
  <c r="I37" i="54"/>
  <c r="I38" i="54"/>
  <c r="I39" i="54"/>
  <c r="I40" i="54"/>
  <c r="D45" i="54"/>
  <c r="D54" i="54"/>
  <c r="D91" i="54"/>
  <c r="D100" i="54"/>
  <c r="I125" i="54"/>
  <c r="I126" i="54"/>
  <c r="I127" i="54"/>
  <c r="I128" i="54"/>
  <c r="I129" i="54"/>
  <c r="I130" i="54"/>
  <c r="D137" i="54"/>
  <c r="D146" i="54"/>
  <c r="I171" i="54"/>
  <c r="I172" i="54"/>
  <c r="I173" i="54"/>
  <c r="I174" i="54"/>
  <c r="I175" i="54"/>
  <c r="I176" i="54"/>
  <c r="D183" i="54"/>
  <c r="D192" i="54"/>
  <c r="I218" i="54"/>
  <c r="I219" i="54"/>
  <c r="I220" i="54"/>
  <c r="I221" i="54"/>
  <c r="I222" i="54"/>
  <c r="I223" i="54"/>
  <c r="D229" i="54"/>
  <c r="D238" i="54"/>
  <c r="I262" i="54"/>
  <c r="I263" i="54"/>
  <c r="I264" i="54"/>
  <c r="I265" i="54"/>
  <c r="I266" i="54"/>
  <c r="I267" i="54"/>
  <c r="D275" i="54"/>
  <c r="D284" i="54"/>
  <c r="I310" i="54"/>
  <c r="I311" i="54"/>
  <c r="I312" i="54"/>
  <c r="I313" i="54"/>
  <c r="I314" i="54"/>
  <c r="I315" i="54"/>
  <c r="D322" i="54"/>
  <c r="D331" i="54"/>
  <c r="I359" i="54"/>
  <c r="I360" i="54"/>
  <c r="I361" i="54"/>
  <c r="I362" i="54"/>
  <c r="I363" i="54"/>
  <c r="I364" i="54"/>
  <c r="D368" i="54"/>
  <c r="D377" i="54"/>
  <c r="I404" i="54"/>
  <c r="I405" i="54"/>
  <c r="I406" i="54"/>
  <c r="I407" i="54"/>
  <c r="I408" i="54"/>
  <c r="I409" i="54"/>
  <c r="D414" i="54"/>
  <c r="D423" i="54"/>
  <c r="I450" i="54"/>
  <c r="I451" i="54"/>
  <c r="I452" i="54"/>
  <c r="I453" i="54"/>
  <c r="I454" i="54"/>
  <c r="I455" i="54"/>
  <c r="D460" i="54"/>
  <c r="D469" i="54"/>
  <c r="I495" i="54"/>
  <c r="I496" i="54"/>
  <c r="I497" i="54"/>
  <c r="I498" i="54"/>
  <c r="I499" i="54"/>
  <c r="I500" i="54"/>
  <c r="D506" i="54"/>
  <c r="D515" i="54"/>
  <c r="I541" i="54"/>
  <c r="I542" i="54"/>
  <c r="I543" i="54"/>
  <c r="I544" i="54"/>
  <c r="I545" i="54"/>
  <c r="I546" i="54"/>
  <c r="D552" i="54"/>
  <c r="D561" i="54"/>
  <c r="I588" i="54"/>
  <c r="I589" i="54"/>
  <c r="I590" i="54"/>
  <c r="I591" i="54"/>
  <c r="I592" i="54"/>
  <c r="I593" i="54"/>
  <c r="D598" i="54"/>
  <c r="D607" i="54"/>
  <c r="I634" i="54"/>
  <c r="I635" i="54"/>
  <c r="I636" i="54"/>
  <c r="I637" i="54"/>
  <c r="I638" i="54"/>
  <c r="I639" i="54"/>
  <c r="D644" i="54"/>
  <c r="D653" i="54"/>
  <c r="I680" i="54"/>
  <c r="I681" i="54"/>
  <c r="I682" i="54"/>
  <c r="I683" i="54"/>
  <c r="I684" i="54"/>
  <c r="I685" i="54"/>
  <c r="D690" i="54"/>
  <c r="D699" i="54"/>
  <c r="I725" i="54"/>
  <c r="I726" i="54"/>
  <c r="I727" i="54"/>
  <c r="I728" i="54"/>
  <c r="I729" i="54"/>
  <c r="I730" i="54"/>
  <c r="D736" i="54"/>
  <c r="D745" i="54"/>
  <c r="I770" i="54"/>
  <c r="I771" i="54"/>
  <c r="I772" i="54"/>
  <c r="I773" i="54"/>
  <c r="I774" i="54"/>
  <c r="I775" i="54"/>
  <c r="D782" i="54"/>
  <c r="D791" i="54"/>
  <c r="I817" i="54"/>
  <c r="I818" i="54"/>
  <c r="I819" i="54"/>
  <c r="I820" i="54"/>
  <c r="I821" i="54"/>
  <c r="I822" i="54"/>
  <c r="D828" i="54"/>
  <c r="D837" i="54"/>
  <c r="I863" i="54"/>
  <c r="I864" i="54"/>
  <c r="I865" i="54"/>
  <c r="I866" i="54"/>
  <c r="I867" i="54"/>
  <c r="I868" i="54"/>
  <c r="D874" i="54"/>
  <c r="D883" i="54"/>
  <c r="I910" i="54"/>
  <c r="I911" i="54"/>
  <c r="I912" i="54"/>
  <c r="I913" i="54"/>
  <c r="I914" i="54"/>
  <c r="I915" i="54"/>
  <c r="D920" i="54"/>
  <c r="A4" i="61"/>
  <c r="C4" i="61"/>
  <c r="D4" i="61"/>
  <c r="A5" i="61"/>
  <c r="C5" i="61"/>
  <c r="D5" i="61"/>
  <c r="N5" i="61"/>
  <c r="A6" i="61"/>
  <c r="C6" i="61"/>
  <c r="J6" i="61"/>
  <c r="A7" i="61"/>
  <c r="C7" i="61"/>
  <c r="A8" i="61"/>
  <c r="C8" i="61"/>
  <c r="N8" i="61"/>
  <c r="A9" i="61"/>
  <c r="C9" i="61"/>
  <c r="N9" i="61"/>
  <c r="A10" i="61"/>
  <c r="C10" i="61"/>
  <c r="D10" i="61"/>
  <c r="K10" i="61"/>
  <c r="O10" i="61"/>
  <c r="W10" i="61"/>
  <c r="A11" i="61"/>
  <c r="C11" i="61"/>
  <c r="E11" i="61"/>
  <c r="F11" i="61"/>
  <c r="A12" i="61"/>
  <c r="C12" i="61"/>
  <c r="D12" i="61"/>
  <c r="N12" i="61"/>
  <c r="O12" i="61"/>
  <c r="P12" i="61"/>
  <c r="Q12" i="61"/>
  <c r="R12" i="61"/>
  <c r="A13" i="61"/>
  <c r="B13" i="61"/>
  <c r="C13" i="61"/>
  <c r="D13" i="61"/>
  <c r="N13" i="61"/>
  <c r="R13" i="61"/>
  <c r="S13" i="61"/>
  <c r="A14" i="61"/>
  <c r="B14" i="61"/>
  <c r="C14" i="61"/>
  <c r="J14" i="61"/>
  <c r="K14" i="61"/>
  <c r="P14" i="61"/>
  <c r="R14" i="61"/>
  <c r="S14" i="61"/>
  <c r="A15" i="61"/>
  <c r="B15" i="61"/>
  <c r="C15" i="61"/>
  <c r="D15" i="61"/>
  <c r="E15" i="61"/>
  <c r="F15" i="61"/>
  <c r="G15" i="61"/>
  <c r="I15" i="61"/>
  <c r="K15" i="61"/>
  <c r="L15" i="61"/>
  <c r="M15" i="61"/>
  <c r="N15" i="61"/>
  <c r="O15" i="61"/>
  <c r="P15" i="61"/>
  <c r="Q15" i="61"/>
  <c r="R15" i="61"/>
  <c r="S15" i="61"/>
  <c r="T15" i="61"/>
  <c r="U15" i="61"/>
  <c r="V15" i="61"/>
  <c r="W15" i="61"/>
  <c r="A16" i="61"/>
  <c r="B16" i="61"/>
  <c r="C16" i="61"/>
  <c r="D16" i="61"/>
  <c r="E16" i="61"/>
  <c r="F16" i="61"/>
  <c r="G16" i="61"/>
  <c r="H16" i="61"/>
  <c r="I16" i="61"/>
  <c r="J16" i="61"/>
  <c r="K16" i="61"/>
  <c r="L16" i="61"/>
  <c r="M16" i="61"/>
  <c r="N16" i="61"/>
  <c r="O16" i="61"/>
  <c r="P16" i="61"/>
  <c r="Q16" i="61"/>
  <c r="R16" i="61"/>
  <c r="S16" i="61"/>
  <c r="T16" i="61"/>
  <c r="U16" i="61"/>
  <c r="V16" i="61"/>
  <c r="W16" i="61"/>
  <c r="A17" i="61"/>
  <c r="B17" i="61"/>
  <c r="C17" i="61"/>
  <c r="D17" i="61"/>
  <c r="G17" i="61"/>
  <c r="J17" i="61"/>
  <c r="K17" i="61"/>
  <c r="L17" i="61"/>
  <c r="N17" i="61"/>
  <c r="O17" i="61"/>
  <c r="P17" i="61"/>
  <c r="Q17" i="61"/>
  <c r="R17" i="61"/>
  <c r="S17" i="61"/>
  <c r="T17" i="61"/>
  <c r="U17" i="61"/>
  <c r="V17" i="61"/>
  <c r="W17" i="61"/>
  <c r="A18" i="61"/>
  <c r="B18" i="61"/>
  <c r="C18" i="61"/>
  <c r="D18" i="61"/>
  <c r="G18" i="61"/>
  <c r="I18" i="61"/>
  <c r="J18" i="61"/>
  <c r="K18" i="61"/>
  <c r="N18" i="61"/>
  <c r="O18" i="61"/>
  <c r="P18" i="61"/>
  <c r="Q18" i="61"/>
  <c r="R18" i="61"/>
  <c r="S18" i="61"/>
  <c r="T18" i="61"/>
  <c r="U18" i="61"/>
  <c r="V18" i="61"/>
  <c r="W18" i="61"/>
  <c r="A19" i="61"/>
  <c r="B19" i="61"/>
  <c r="C19" i="61"/>
  <c r="D19" i="61"/>
  <c r="E19" i="61"/>
  <c r="G19" i="61"/>
  <c r="N19" i="61"/>
  <c r="O19" i="61"/>
  <c r="P19" i="61"/>
  <c r="Q19" i="61"/>
  <c r="R19" i="61"/>
  <c r="S19" i="61"/>
  <c r="T19" i="61"/>
  <c r="U19" i="61"/>
  <c r="A20" i="61"/>
  <c r="B20" i="61"/>
  <c r="C20" i="61"/>
  <c r="D20" i="61"/>
  <c r="F20" i="61"/>
  <c r="G20" i="61"/>
  <c r="H20" i="61"/>
  <c r="J20" i="61"/>
  <c r="L20" i="61"/>
  <c r="M20" i="61"/>
  <c r="N20" i="61"/>
  <c r="O20" i="61"/>
  <c r="P20" i="61"/>
  <c r="Q20" i="61"/>
  <c r="R20" i="61"/>
  <c r="S20" i="61"/>
  <c r="T20" i="61"/>
  <c r="U20" i="61"/>
  <c r="V20" i="61"/>
  <c r="W20" i="61"/>
  <c r="A21" i="61"/>
  <c r="B21" i="61"/>
  <c r="C21" i="61"/>
  <c r="D21" i="61"/>
  <c r="E21" i="61"/>
  <c r="F21" i="61"/>
  <c r="G21" i="61"/>
  <c r="H21" i="61"/>
  <c r="I21" i="61"/>
  <c r="J21" i="61"/>
  <c r="K21" i="61"/>
  <c r="L21" i="61"/>
  <c r="M21" i="61"/>
  <c r="N21" i="61"/>
  <c r="O21" i="61"/>
  <c r="P21" i="61"/>
  <c r="Q21" i="61"/>
  <c r="R21" i="61"/>
  <c r="S21" i="61"/>
  <c r="T21" i="61"/>
  <c r="U21" i="61"/>
  <c r="V21" i="61"/>
  <c r="W21" i="61"/>
  <c r="A22" i="61"/>
  <c r="B22" i="61"/>
  <c r="C22" i="61"/>
  <c r="D22" i="61"/>
  <c r="E22" i="61"/>
  <c r="G22" i="61"/>
  <c r="H22" i="61"/>
  <c r="I22" i="61"/>
  <c r="J22" i="61"/>
  <c r="K22" i="61"/>
  <c r="M22" i="61"/>
  <c r="N22" i="61"/>
  <c r="O22" i="61"/>
  <c r="P22" i="61"/>
  <c r="Q22" i="61"/>
  <c r="R22" i="61"/>
  <c r="S22" i="61"/>
  <c r="T22" i="61"/>
  <c r="U22" i="61"/>
  <c r="V22" i="61"/>
  <c r="W22" i="61"/>
  <c r="A23" i="61"/>
  <c r="B23" i="61"/>
  <c r="C23" i="61"/>
  <c r="D23" i="61"/>
  <c r="F23" i="61"/>
  <c r="G23" i="61"/>
  <c r="H23" i="61"/>
  <c r="I23" i="61"/>
  <c r="J23" i="61"/>
  <c r="K23" i="61"/>
  <c r="L23" i="61"/>
  <c r="M23" i="61"/>
  <c r="N23" i="61"/>
  <c r="O23" i="61"/>
  <c r="P23" i="61"/>
  <c r="Q23" i="61"/>
  <c r="R23" i="61"/>
  <c r="S23" i="61"/>
  <c r="T23" i="61"/>
  <c r="U23" i="61"/>
  <c r="V23" i="61"/>
  <c r="W23" i="61"/>
  <c r="AA23" i="61"/>
  <c r="AB23" i="61"/>
  <c r="AC23" i="61"/>
  <c r="AD23" i="61"/>
  <c r="AE23" i="61"/>
  <c r="AF23" i="61"/>
  <c r="AG23" i="61"/>
  <c r="A4" i="65"/>
  <c r="C4" i="65"/>
  <c r="L4" i="65"/>
  <c r="C62" i="57" s="1"/>
  <c r="A5" i="65"/>
  <c r="B5" i="65"/>
  <c r="C5" i="65"/>
  <c r="D5" i="65"/>
  <c r="E5" i="65"/>
  <c r="N5" i="65"/>
  <c r="Q5" i="65"/>
  <c r="R5" i="65"/>
  <c r="A6" i="65"/>
  <c r="D81" i="57" s="1"/>
  <c r="F81" i="57" s="1"/>
  <c r="B6" i="65"/>
  <c r="C6" i="65"/>
  <c r="D6" i="65"/>
  <c r="E6" i="65"/>
  <c r="F6" i="65"/>
  <c r="N6" i="65"/>
  <c r="Q6" i="65"/>
  <c r="R6" i="65"/>
  <c r="A7" i="65"/>
  <c r="B7" i="65"/>
  <c r="C7" i="65"/>
  <c r="D7" i="65"/>
  <c r="F7" i="65"/>
  <c r="S7" i="65"/>
  <c r="A8" i="65"/>
  <c r="B8" i="65"/>
  <c r="C8" i="65"/>
  <c r="H8" i="65"/>
  <c r="I8" i="65"/>
  <c r="J8" i="65"/>
  <c r="N8" i="65"/>
  <c r="U8" i="65"/>
  <c r="V8" i="65"/>
  <c r="A9" i="65"/>
  <c r="B9" i="65"/>
  <c r="C9" i="65"/>
  <c r="N9" i="65"/>
  <c r="O9" i="65"/>
  <c r="A10" i="65"/>
  <c r="B10" i="65"/>
  <c r="C10" i="65"/>
  <c r="D10" i="65"/>
  <c r="H10" i="65"/>
  <c r="N10" i="65"/>
  <c r="T10" i="65"/>
  <c r="A11" i="65"/>
  <c r="B11" i="65"/>
  <c r="C11" i="65"/>
  <c r="I11" i="65"/>
  <c r="U11" i="65"/>
  <c r="A12" i="65"/>
  <c r="B12" i="65"/>
  <c r="C12" i="65"/>
  <c r="D12" i="65"/>
  <c r="E12" i="65"/>
  <c r="G12" i="65"/>
  <c r="N12" i="65"/>
  <c r="R12" i="65"/>
  <c r="S12" i="65"/>
  <c r="A13" i="65"/>
  <c r="B13" i="65"/>
  <c r="C13" i="65"/>
  <c r="D13" i="65"/>
  <c r="E13" i="65"/>
  <c r="F13" i="65"/>
  <c r="G13" i="65"/>
  <c r="H13" i="65"/>
  <c r="I13" i="65"/>
  <c r="J13" i="65"/>
  <c r="K13" i="65"/>
  <c r="L13" i="65"/>
  <c r="M13" i="65"/>
  <c r="N13" i="65"/>
  <c r="O13" i="65"/>
  <c r="P13" i="65"/>
  <c r="Q13" i="65"/>
  <c r="R13" i="65"/>
  <c r="S13" i="65"/>
  <c r="T13" i="65"/>
  <c r="U13" i="65"/>
  <c r="V13" i="65"/>
  <c r="W13" i="65"/>
  <c r="A14" i="65"/>
  <c r="B14" i="65"/>
  <c r="C14" i="65"/>
  <c r="D14" i="65"/>
  <c r="E14" i="65"/>
  <c r="G14" i="65"/>
  <c r="H14" i="65"/>
  <c r="I14" i="65"/>
  <c r="J14" i="65"/>
  <c r="K14" i="65"/>
  <c r="N14" i="65"/>
  <c r="O14" i="65"/>
  <c r="P14" i="65"/>
  <c r="Q14" i="65"/>
  <c r="R14" i="65"/>
  <c r="S14" i="65"/>
  <c r="T14" i="65"/>
  <c r="A15" i="65"/>
  <c r="B15" i="65"/>
  <c r="C15" i="65"/>
  <c r="D15" i="65"/>
  <c r="E15" i="65"/>
  <c r="F15" i="65"/>
  <c r="G15" i="65"/>
  <c r="H15" i="65"/>
  <c r="I15" i="65"/>
  <c r="J15" i="65"/>
  <c r="K15" i="65"/>
  <c r="L15" i="65"/>
  <c r="M15" i="65"/>
  <c r="N15" i="65"/>
  <c r="O15" i="65"/>
  <c r="P15" i="65"/>
  <c r="Q15" i="65"/>
  <c r="R15" i="65"/>
  <c r="S15" i="65"/>
  <c r="T15" i="65"/>
  <c r="U15" i="65"/>
  <c r="V15" i="65"/>
  <c r="W15" i="65"/>
  <c r="A16" i="65"/>
  <c r="B16" i="65"/>
  <c r="C16" i="65"/>
  <c r="D16" i="65"/>
  <c r="F16" i="65"/>
  <c r="I16" i="65"/>
  <c r="N16" i="65"/>
  <c r="P16" i="65"/>
  <c r="Q16" i="65"/>
  <c r="A17" i="65"/>
  <c r="B17" i="65"/>
  <c r="C17" i="65"/>
  <c r="D17" i="65"/>
  <c r="E17" i="65"/>
  <c r="G17" i="65"/>
  <c r="H17" i="65"/>
  <c r="M17" i="65"/>
  <c r="N17" i="65"/>
  <c r="O17" i="65"/>
  <c r="P17" i="65"/>
  <c r="Q17" i="65"/>
  <c r="R17" i="65"/>
  <c r="U17" i="65"/>
  <c r="W17" i="65"/>
  <c r="A18" i="65"/>
  <c r="B18" i="65"/>
  <c r="C18" i="65"/>
  <c r="D18" i="65"/>
  <c r="E18" i="65"/>
  <c r="F18" i="65"/>
  <c r="G18" i="65"/>
  <c r="H18" i="65"/>
  <c r="I18" i="65"/>
  <c r="J18" i="65"/>
  <c r="K18" i="65"/>
  <c r="L18" i="65"/>
  <c r="M18" i="65"/>
  <c r="N18" i="65"/>
  <c r="O18" i="65"/>
  <c r="P18" i="65"/>
  <c r="Q18" i="65"/>
  <c r="R18" i="65"/>
  <c r="S18" i="65"/>
  <c r="T18" i="65"/>
  <c r="U18" i="65"/>
  <c r="V18" i="65"/>
  <c r="W18" i="65"/>
  <c r="A19" i="65"/>
  <c r="B19" i="65"/>
  <c r="C19" i="65"/>
  <c r="D19" i="65"/>
  <c r="E19" i="65"/>
  <c r="F19" i="65"/>
  <c r="G19" i="65"/>
  <c r="H19" i="65"/>
  <c r="J19" i="65"/>
  <c r="K19" i="65"/>
  <c r="L19" i="65"/>
  <c r="M19" i="65"/>
  <c r="N19" i="65"/>
  <c r="O19" i="65"/>
  <c r="P19" i="65"/>
  <c r="Q19" i="65"/>
  <c r="R19" i="65"/>
  <c r="S19" i="65"/>
  <c r="T19" i="65"/>
  <c r="U19" i="65"/>
  <c r="V19" i="65"/>
  <c r="W19" i="65"/>
  <c r="A20" i="65"/>
  <c r="B20" i="65"/>
  <c r="C20" i="65"/>
  <c r="D20" i="65"/>
  <c r="E20" i="65"/>
  <c r="F20" i="65"/>
  <c r="G20" i="65"/>
  <c r="H20" i="65"/>
  <c r="I20" i="65"/>
  <c r="J20" i="65"/>
  <c r="K20" i="65"/>
  <c r="L20" i="65"/>
  <c r="M20" i="65"/>
  <c r="N20" i="65"/>
  <c r="O20" i="65"/>
  <c r="P20" i="65"/>
  <c r="Q20" i="65"/>
  <c r="R20" i="65"/>
  <c r="S20" i="65"/>
  <c r="T20" i="65"/>
  <c r="U20" i="65"/>
  <c r="V20" i="65"/>
  <c r="W20" i="65"/>
  <c r="A21" i="65"/>
  <c r="B21" i="65"/>
  <c r="C21" i="65"/>
  <c r="D21" i="65"/>
  <c r="E21" i="65"/>
  <c r="F21" i="65"/>
  <c r="G21" i="65"/>
  <c r="H21" i="65"/>
  <c r="I21" i="65"/>
  <c r="J21" i="65"/>
  <c r="K21" i="65"/>
  <c r="L21" i="65"/>
  <c r="M21" i="65"/>
  <c r="N21" i="65"/>
  <c r="O21" i="65"/>
  <c r="P21" i="65"/>
  <c r="Q21" i="65"/>
  <c r="R21" i="65"/>
  <c r="S21" i="65"/>
  <c r="T21" i="65"/>
  <c r="U21" i="65"/>
  <c r="V21" i="65"/>
  <c r="W21" i="65"/>
  <c r="A22" i="65"/>
  <c r="B22" i="65"/>
  <c r="C22" i="65"/>
  <c r="D22" i="65"/>
  <c r="E22" i="65"/>
  <c r="F22" i="65"/>
  <c r="H22" i="65"/>
  <c r="I22" i="65"/>
  <c r="J22" i="65"/>
  <c r="K22" i="65"/>
  <c r="L22" i="65"/>
  <c r="M22" i="65"/>
  <c r="N22" i="65"/>
  <c r="O22" i="65"/>
  <c r="P22" i="65"/>
  <c r="Q22" i="65"/>
  <c r="R22" i="65"/>
  <c r="S22" i="65"/>
  <c r="T22" i="65"/>
  <c r="U22" i="65"/>
  <c r="V22" i="65"/>
  <c r="W22" i="65"/>
  <c r="A23" i="65"/>
  <c r="B23" i="65"/>
  <c r="C23" i="65"/>
  <c r="D23" i="65"/>
  <c r="E23" i="65"/>
  <c r="F23" i="65"/>
  <c r="G23" i="65"/>
  <c r="H23" i="65"/>
  <c r="I23" i="65"/>
  <c r="J23" i="65"/>
  <c r="K23" i="65"/>
  <c r="L23" i="65"/>
  <c r="M23" i="65"/>
  <c r="N23" i="65"/>
  <c r="O23" i="65"/>
  <c r="P23" i="65"/>
  <c r="Q23" i="65"/>
  <c r="R23" i="65"/>
  <c r="S23" i="65"/>
  <c r="T23" i="65"/>
  <c r="U23" i="65"/>
  <c r="V23" i="65"/>
  <c r="W23" i="65"/>
  <c r="A4" i="66"/>
  <c r="B4" i="66"/>
  <c r="C4" i="66"/>
  <c r="D4" i="66"/>
  <c r="E4" i="66"/>
  <c r="O4" i="66"/>
  <c r="P4" i="66"/>
  <c r="Q4" i="66"/>
  <c r="R4" i="66"/>
  <c r="S4" i="66"/>
  <c r="A5" i="66"/>
  <c r="B5" i="66"/>
  <c r="C5" i="66"/>
  <c r="D5" i="66"/>
  <c r="E5" i="66"/>
  <c r="H5" i="66"/>
  <c r="O5" i="66"/>
  <c r="P5" i="66"/>
  <c r="Q5" i="66"/>
  <c r="R5" i="66"/>
  <c r="S5" i="66"/>
  <c r="A6" i="66"/>
  <c r="B6" i="66"/>
  <c r="C6" i="66"/>
  <c r="D6" i="66"/>
  <c r="E6" i="66"/>
  <c r="A7" i="66"/>
  <c r="B7" i="66"/>
  <c r="C7" i="66"/>
  <c r="D7" i="66"/>
  <c r="O7" i="66"/>
  <c r="P7" i="66"/>
  <c r="Q7" i="66"/>
  <c r="R7" i="66"/>
  <c r="S7" i="66"/>
  <c r="A8" i="66"/>
  <c r="B8" i="66"/>
  <c r="C8" i="66"/>
  <c r="D8" i="66"/>
  <c r="L8" i="66"/>
  <c r="M8" i="66"/>
  <c r="D32" i="58" s="1"/>
  <c r="H32" i="58" s="1"/>
  <c r="A9" i="66"/>
  <c r="B9" i="66"/>
  <c r="C9" i="66"/>
  <c r="D9" i="66"/>
  <c r="J9" i="66"/>
  <c r="M9" i="66"/>
  <c r="A10" i="66"/>
  <c r="B10" i="66"/>
  <c r="C10" i="66"/>
  <c r="D10" i="66"/>
  <c r="E10" i="66"/>
  <c r="J10" i="66"/>
  <c r="M10" i="66"/>
  <c r="N10" i="66"/>
  <c r="A11" i="66"/>
  <c r="B11" i="66"/>
  <c r="C11" i="66"/>
  <c r="D11" i="66"/>
  <c r="E11" i="66"/>
  <c r="J11" i="66"/>
  <c r="L11" i="66"/>
  <c r="M11" i="66"/>
  <c r="N11" i="66"/>
  <c r="A12" i="66"/>
  <c r="B12" i="66"/>
  <c r="C12" i="66"/>
  <c r="D12" i="66"/>
  <c r="T12" i="66"/>
  <c r="U12" i="66"/>
  <c r="V12" i="66"/>
  <c r="W12" i="66"/>
  <c r="X12" i="66"/>
  <c r="Y12" i="66"/>
  <c r="Z12" i="66"/>
  <c r="AA12" i="66"/>
  <c r="AB12" i="66"/>
  <c r="AC12" i="66"/>
  <c r="A13" i="66"/>
  <c r="B26" i="58" s="1"/>
  <c r="B13" i="66"/>
  <c r="C13" i="66"/>
  <c r="D13" i="66"/>
  <c r="E13" i="66"/>
  <c r="F13" i="66"/>
  <c r="G13" i="66"/>
  <c r="H13" i="66"/>
  <c r="I13" i="66"/>
  <c r="J13" i="66"/>
  <c r="K13" i="66"/>
  <c r="L13" i="66"/>
  <c r="M13" i="66"/>
  <c r="N13" i="66"/>
  <c r="T13" i="66"/>
  <c r="U13" i="66"/>
  <c r="V13" i="66"/>
  <c r="W13" i="66"/>
  <c r="X13" i="66"/>
  <c r="Y13" i="66"/>
  <c r="Z13" i="66"/>
  <c r="AA13" i="66"/>
  <c r="AB13" i="66"/>
  <c r="AC13" i="66"/>
  <c r="A14" i="66"/>
  <c r="B14" i="66"/>
  <c r="C14" i="66"/>
  <c r="D14" i="66"/>
  <c r="E14" i="66"/>
  <c r="H14" i="66"/>
  <c r="I14" i="66"/>
  <c r="J14" i="66"/>
  <c r="K14" i="66"/>
  <c r="L14" i="66"/>
  <c r="M14" i="66"/>
  <c r="N14" i="66"/>
  <c r="T14" i="66"/>
  <c r="U14" i="66"/>
  <c r="V14" i="66"/>
  <c r="W14" i="66"/>
  <c r="X14" i="66"/>
  <c r="Y14" i="66"/>
  <c r="Z14" i="66"/>
  <c r="AA14" i="66"/>
  <c r="AB14" i="66"/>
  <c r="AC14" i="66"/>
  <c r="A15" i="66"/>
  <c r="B15" i="66"/>
  <c r="C15" i="66"/>
  <c r="D15" i="66"/>
  <c r="E15" i="66"/>
  <c r="I15" i="66"/>
  <c r="J15" i="66"/>
  <c r="K15" i="66"/>
  <c r="L15" i="66"/>
  <c r="M15" i="66"/>
  <c r="N15" i="66"/>
  <c r="T15" i="66"/>
  <c r="U15" i="66"/>
  <c r="V15" i="66"/>
  <c r="W15" i="66"/>
  <c r="X15" i="66"/>
  <c r="Y15" i="66"/>
  <c r="Z15" i="66"/>
  <c r="AA15" i="66"/>
  <c r="AB15" i="66"/>
  <c r="AC15" i="66"/>
  <c r="A16" i="66"/>
  <c r="B16" i="66"/>
  <c r="C16" i="66"/>
  <c r="D16" i="66"/>
  <c r="E16" i="66"/>
  <c r="J16" i="66"/>
  <c r="K16" i="66"/>
  <c r="L16" i="66"/>
  <c r="M16" i="66"/>
  <c r="N16" i="66"/>
  <c r="T16" i="66"/>
  <c r="U16" i="66"/>
  <c r="V16" i="66"/>
  <c r="W16" i="66"/>
  <c r="X16" i="66"/>
  <c r="Y16" i="66"/>
  <c r="Z16" i="66"/>
  <c r="AA16" i="66"/>
  <c r="AB16" i="66"/>
  <c r="AC16" i="66"/>
  <c r="A17" i="66"/>
  <c r="B17" i="66"/>
  <c r="C17" i="66"/>
  <c r="D17" i="66"/>
  <c r="E17" i="66"/>
  <c r="F17" i="66"/>
  <c r="G17" i="66"/>
  <c r="H17" i="66"/>
  <c r="I17" i="66"/>
  <c r="J17" i="66"/>
  <c r="K17" i="66"/>
  <c r="L17" i="66"/>
  <c r="M17" i="66"/>
  <c r="N17" i="66"/>
  <c r="T17" i="66"/>
  <c r="U17" i="66"/>
  <c r="V17" i="66"/>
  <c r="W17" i="66"/>
  <c r="X17" i="66"/>
  <c r="Y17" i="66"/>
  <c r="Z17" i="66"/>
  <c r="AA17" i="66"/>
  <c r="AB17" i="66"/>
  <c r="AC17" i="66"/>
  <c r="A18" i="66"/>
  <c r="B18" i="66"/>
  <c r="C18" i="66"/>
  <c r="D18" i="66"/>
  <c r="E18" i="66"/>
  <c r="F18" i="66"/>
  <c r="G18" i="66"/>
  <c r="H18" i="66"/>
  <c r="I18" i="66"/>
  <c r="J18" i="66"/>
  <c r="K18" i="66"/>
  <c r="L18" i="66"/>
  <c r="M18" i="66"/>
  <c r="N18" i="66"/>
  <c r="T18" i="66"/>
  <c r="U18" i="66"/>
  <c r="V18" i="66"/>
  <c r="W18" i="66"/>
  <c r="X18" i="66"/>
  <c r="Y18" i="66"/>
  <c r="Z18" i="66"/>
  <c r="AA18" i="66"/>
  <c r="AB18" i="66"/>
  <c r="AC18" i="66"/>
  <c r="A19" i="66"/>
  <c r="B19" i="66"/>
  <c r="C19" i="66"/>
  <c r="D19" i="66"/>
  <c r="E19" i="66"/>
  <c r="H19" i="66"/>
  <c r="J19" i="66"/>
  <c r="M19" i="66"/>
  <c r="N19" i="66"/>
  <c r="O19" i="66"/>
  <c r="P19" i="66"/>
  <c r="Q19" i="66"/>
  <c r="R19" i="66"/>
  <c r="S19" i="66"/>
  <c r="A20" i="66"/>
  <c r="B20" i="66"/>
  <c r="C20" i="66"/>
  <c r="D20" i="66"/>
  <c r="E20" i="66"/>
  <c r="G20" i="66"/>
  <c r="H20" i="66"/>
  <c r="I20" i="66"/>
  <c r="J20" i="66"/>
  <c r="K20" i="66"/>
  <c r="L20" i="66"/>
  <c r="M20" i="66"/>
  <c r="N20" i="66"/>
  <c r="O20" i="66"/>
  <c r="P20" i="66"/>
  <c r="Q20" i="66"/>
  <c r="R20" i="66"/>
  <c r="S20" i="66"/>
  <c r="A21" i="66"/>
  <c r="B21" i="66"/>
  <c r="C21" i="66"/>
  <c r="D21" i="66"/>
  <c r="H21" i="66"/>
  <c r="J21" i="66"/>
  <c r="K21" i="66"/>
  <c r="O21" i="66"/>
  <c r="P21" i="66"/>
  <c r="Q21" i="66"/>
  <c r="R21" i="66"/>
  <c r="S21" i="66"/>
  <c r="A22" i="66"/>
  <c r="B22" i="66"/>
  <c r="C22" i="66"/>
  <c r="D22" i="66"/>
  <c r="E22" i="66"/>
  <c r="F22" i="66"/>
  <c r="G22" i="66"/>
  <c r="H22" i="66"/>
  <c r="J22" i="66"/>
  <c r="K22" i="66"/>
  <c r="L22" i="66"/>
  <c r="M22" i="66"/>
  <c r="N22" i="66"/>
  <c r="O22" i="66"/>
  <c r="P22" i="66"/>
  <c r="Q22" i="66"/>
  <c r="R22" i="66"/>
  <c r="S22" i="66"/>
  <c r="A23" i="66"/>
  <c r="B23" i="66"/>
  <c r="C23" i="66"/>
  <c r="D23" i="66"/>
  <c r="E23" i="66"/>
  <c r="G23" i="66"/>
  <c r="J23" i="66"/>
  <c r="K23" i="66"/>
  <c r="L23" i="66"/>
  <c r="M23" i="66"/>
  <c r="O23" i="66"/>
  <c r="P23" i="66"/>
  <c r="Q23" i="66"/>
  <c r="R23" i="66"/>
  <c r="S23" i="66"/>
  <c r="A4" i="67"/>
  <c r="A5" i="67"/>
  <c r="A6" i="67"/>
  <c r="A7" i="67"/>
  <c r="A8" i="67"/>
  <c r="A9" i="67"/>
  <c r="A10" i="67"/>
  <c r="A11" i="67"/>
  <c r="A12" i="67"/>
  <c r="A13" i="67"/>
  <c r="A14" i="67"/>
  <c r="A15" i="67"/>
  <c r="A16" i="67"/>
  <c r="A17" i="67"/>
  <c r="A18" i="67"/>
  <c r="A19" i="67"/>
  <c r="A20" i="67"/>
  <c r="A21" i="67"/>
  <c r="A22" i="67"/>
  <c r="A23" i="67"/>
  <c r="A4" i="56"/>
  <c r="B4" i="56"/>
  <c r="C4" i="56"/>
  <c r="A25" i="56"/>
  <c r="B25" i="56"/>
  <c r="C25" i="56"/>
  <c r="A46" i="56"/>
  <c r="B46" i="56"/>
  <c r="C46" i="56"/>
  <c r="A67" i="56"/>
  <c r="B67" i="56"/>
  <c r="C67" i="56"/>
  <c r="A4" i="57"/>
  <c r="B4" i="57"/>
  <c r="C4" i="57"/>
  <c r="D4" i="57"/>
  <c r="A27" i="57"/>
  <c r="B27" i="57"/>
  <c r="C27" i="57"/>
  <c r="D27" i="57"/>
  <c r="A48" i="57"/>
  <c r="B48" i="57"/>
  <c r="C48" i="57"/>
  <c r="D48" i="57"/>
  <c r="A69" i="57"/>
  <c r="B69" i="57"/>
  <c r="D69" i="57"/>
  <c r="A4" i="58"/>
  <c r="B4" i="58"/>
  <c r="C4" i="58"/>
  <c r="A22" i="58"/>
  <c r="B22" i="58"/>
  <c r="C22" i="58"/>
  <c r="A40" i="58"/>
  <c r="B40" i="58"/>
  <c r="C40" i="58"/>
  <c r="A58" i="58"/>
  <c r="B58" i="58"/>
  <c r="C58" i="58"/>
  <c r="A4" i="68"/>
  <c r="B4" i="68"/>
  <c r="A8" i="68"/>
  <c r="B8" i="68"/>
  <c r="A12" i="68"/>
  <c r="B12" i="68"/>
  <c r="A16" i="68"/>
  <c r="B16" i="68"/>
  <c r="F23" i="48"/>
  <c r="E59" i="12" s="1"/>
  <c r="H157" i="9"/>
  <c r="J174" i="9" s="1"/>
  <c r="H152" i="16"/>
  <c r="H152" i="13"/>
  <c r="J155" i="13" s="1"/>
  <c r="H156" i="23"/>
  <c r="J163" i="23" s="1"/>
  <c r="J162" i="23"/>
  <c r="J171" i="23"/>
  <c r="J164" i="23"/>
  <c r="J159" i="23"/>
  <c r="J165" i="23"/>
  <c r="J175" i="23"/>
  <c r="J161" i="23"/>
  <c r="J166" i="23"/>
  <c r="J170" i="23"/>
  <c r="J172" i="23"/>
  <c r="J157" i="23"/>
  <c r="J160" i="23"/>
  <c r="J168" i="23"/>
  <c r="J173" i="23"/>
  <c r="J176" i="23"/>
  <c r="J158" i="23"/>
  <c r="J169" i="23"/>
  <c r="J174" i="23"/>
  <c r="J167" i="23"/>
  <c r="J154" i="13"/>
  <c r="J172" i="13"/>
  <c r="J160" i="13"/>
  <c r="J153" i="13"/>
  <c r="J157" i="13"/>
  <c r="J158" i="13"/>
  <c r="J166" i="13"/>
  <c r="J164" i="13"/>
  <c r="J163" i="13"/>
  <c r="J170" i="13"/>
  <c r="J169" i="13"/>
  <c r="J171" i="13"/>
  <c r="J167" i="13"/>
  <c r="J157" i="16"/>
  <c r="J159" i="16"/>
  <c r="J159" i="9"/>
  <c r="J162" i="9"/>
  <c r="J168" i="9"/>
  <c r="J171" i="9"/>
  <c r="J177" i="9"/>
  <c r="J175" i="9"/>
  <c r="J160" i="9"/>
  <c r="J172" i="9"/>
  <c r="J176" i="9"/>
  <c r="J161" i="9"/>
  <c r="J158" i="9"/>
  <c r="J166" i="9"/>
  <c r="J173" i="9"/>
  <c r="L47" i="4"/>
  <c r="L5" i="74"/>
  <c r="H122" i="4"/>
  <c r="E122" i="4" s="1"/>
  <c r="L122" i="4" s="1"/>
  <c r="AH71" i="4"/>
  <c r="AH70" i="4"/>
  <c r="L71" i="4"/>
  <c r="AA112" i="4"/>
  <c r="K50" i="16"/>
  <c r="E29" i="19"/>
  <c r="G23" i="48"/>
  <c r="E57" i="17" s="1"/>
  <c r="G122" i="4"/>
  <c r="I122" i="4"/>
  <c r="K53" i="9"/>
  <c r="E61" i="18"/>
  <c r="I27" i="17"/>
  <c r="K31" i="18"/>
  <c r="I29" i="17"/>
  <c r="H28" i="17"/>
  <c r="I29" i="12"/>
  <c r="H30" i="12"/>
  <c r="K32" i="18"/>
  <c r="K30" i="18"/>
  <c r="J32" i="18"/>
  <c r="I28" i="12"/>
  <c r="J30" i="18"/>
  <c r="K52" i="13"/>
  <c r="Q19" i="69"/>
  <c r="Q21" i="69"/>
  <c r="E50" i="69"/>
  <c r="CG64" i="69"/>
  <c r="CE11" i="69"/>
  <c r="AT64" i="69"/>
  <c r="AR11" i="69" s="1"/>
  <c r="K556" i="53" l="1"/>
  <c r="I11" i="66"/>
  <c r="G11" i="66"/>
  <c r="K11" i="66"/>
  <c r="G10" i="66"/>
  <c r="K486" i="53"/>
  <c r="F10" i="66"/>
  <c r="K485" i="53"/>
  <c r="L10" i="66"/>
  <c r="K10" i="66"/>
  <c r="K489" i="53"/>
  <c r="K488" i="53"/>
  <c r="I10" i="66"/>
  <c r="K487" i="53"/>
  <c r="M484" i="53"/>
  <c r="J8" i="66"/>
  <c r="D29" i="58" s="1"/>
  <c r="H29" i="58" s="1"/>
  <c r="K8" i="66"/>
  <c r="D30" i="58" s="1"/>
  <c r="H30" i="58" s="1"/>
  <c r="I8" i="66"/>
  <c r="C33" i="58" s="1"/>
  <c r="F8" i="66"/>
  <c r="C66" i="58" s="1"/>
  <c r="K421" i="53"/>
  <c r="K420" i="53"/>
  <c r="K419" i="53"/>
  <c r="K418" i="53"/>
  <c r="E9" i="66"/>
  <c r="K417" i="53"/>
  <c r="K9" i="66"/>
  <c r="G9" i="66"/>
  <c r="H9" i="66"/>
  <c r="I9" i="66"/>
  <c r="F9" i="66"/>
  <c r="L416" i="53"/>
  <c r="K12" i="66"/>
  <c r="I12" i="66"/>
  <c r="E12" i="66"/>
  <c r="K628" i="53"/>
  <c r="L12" i="66"/>
  <c r="J12" i="66"/>
  <c r="K627" i="53"/>
  <c r="J7" i="66"/>
  <c r="H7" i="66"/>
  <c r="F7" i="66"/>
  <c r="K278" i="53"/>
  <c r="K277" i="53"/>
  <c r="N7" i="66"/>
  <c r="L250" i="28"/>
  <c r="M7" i="66"/>
  <c r="L7" i="66"/>
  <c r="K7" i="66"/>
  <c r="X253" i="28"/>
  <c r="G7" i="66"/>
  <c r="E7" i="66"/>
  <c r="W232" i="28"/>
  <c r="W233" i="28" s="1"/>
  <c r="W234" i="28" s="1"/>
  <c r="W235" i="28" s="1"/>
  <c r="K232" i="28"/>
  <c r="L232" i="28" s="1"/>
  <c r="V234" i="28"/>
  <c r="V235" i="28" s="1"/>
  <c r="V232" i="28"/>
  <c r="K6" i="66"/>
  <c r="J6" i="66"/>
  <c r="H6" i="66"/>
  <c r="L126" i="28"/>
  <c r="K126" i="28"/>
  <c r="K133" i="53"/>
  <c r="K132" i="53"/>
  <c r="M5" i="66"/>
  <c r="L5" i="66"/>
  <c r="K5" i="66"/>
  <c r="Y127" i="28"/>
  <c r="F5" i="66"/>
  <c r="K135" i="53"/>
  <c r="K134" i="53"/>
  <c r="N5" i="66"/>
  <c r="J5" i="66"/>
  <c r="W127" i="28"/>
  <c r="K46" i="28"/>
  <c r="L46" i="28" s="1"/>
  <c r="W68" i="28"/>
  <c r="G66" i="28"/>
  <c r="K62" i="53"/>
  <c r="G4" i="66"/>
  <c r="L4" i="66"/>
  <c r="K4" i="66"/>
  <c r="Y65" i="28"/>
  <c r="Y66" i="28" s="1"/>
  <c r="M4" i="66"/>
  <c r="J4" i="66"/>
  <c r="N4" i="66"/>
  <c r="I4" i="66"/>
  <c r="H4" i="66"/>
  <c r="K63" i="53"/>
  <c r="G68" i="28"/>
  <c r="V64" i="28"/>
  <c r="V65" i="28" s="1"/>
  <c r="V66" i="28" s="1"/>
  <c r="K61" i="53"/>
  <c r="Y67" i="28"/>
  <c r="Y68" i="28" s="1"/>
  <c r="K60" i="53"/>
  <c r="X67" i="28"/>
  <c r="X68" i="28" s="1"/>
  <c r="K59" i="53"/>
  <c r="P12" i="65"/>
  <c r="M12" i="65"/>
  <c r="J582" i="52"/>
  <c r="J585" i="52"/>
  <c r="J584" i="52"/>
  <c r="T369" i="30"/>
  <c r="L12" i="65"/>
  <c r="J581" i="52"/>
  <c r="W12" i="65"/>
  <c r="K12" i="65"/>
  <c r="O12" i="65"/>
  <c r="V12" i="65"/>
  <c r="J12" i="65"/>
  <c r="F12" i="65"/>
  <c r="U12" i="65"/>
  <c r="I12" i="65"/>
  <c r="Q12" i="65"/>
  <c r="T12" i="65"/>
  <c r="H11" i="65"/>
  <c r="J517" i="52"/>
  <c r="G11" i="65"/>
  <c r="J516" i="52"/>
  <c r="R11" i="65"/>
  <c r="J515" i="52"/>
  <c r="J513" i="52"/>
  <c r="O11" i="65"/>
  <c r="M11" i="65"/>
  <c r="J522" i="52"/>
  <c r="L11" i="65"/>
  <c r="J521" i="52"/>
  <c r="S327" i="30"/>
  <c r="T11" i="65"/>
  <c r="S11" i="65"/>
  <c r="F11" i="65"/>
  <c r="Q11" i="65"/>
  <c r="E11" i="65"/>
  <c r="J514" i="52"/>
  <c r="P11" i="65"/>
  <c r="D11" i="65"/>
  <c r="T329" i="30"/>
  <c r="N11" i="65"/>
  <c r="W11" i="65"/>
  <c r="K11" i="65"/>
  <c r="J520" i="52"/>
  <c r="V11" i="65"/>
  <c r="J11" i="65"/>
  <c r="J519" i="52"/>
  <c r="O10" i="65"/>
  <c r="S287" i="30"/>
  <c r="J448" i="52"/>
  <c r="S10" i="65"/>
  <c r="J449" i="52"/>
  <c r="M10" i="65"/>
  <c r="L10" i="65"/>
  <c r="W10" i="65"/>
  <c r="K10" i="65"/>
  <c r="S285" i="30"/>
  <c r="G10" i="65"/>
  <c r="F10" i="65"/>
  <c r="Q10" i="65"/>
  <c r="J451" i="52"/>
  <c r="V10" i="65"/>
  <c r="J10" i="65"/>
  <c r="J454" i="52"/>
  <c r="R10" i="65"/>
  <c r="J452" i="52"/>
  <c r="P10" i="65"/>
  <c r="U10" i="65"/>
  <c r="J388" i="52"/>
  <c r="V9" i="65"/>
  <c r="U9" i="65"/>
  <c r="I9" i="65"/>
  <c r="J384" i="52"/>
  <c r="W9" i="65"/>
  <c r="J9" i="65"/>
  <c r="J385" i="52"/>
  <c r="T9" i="65"/>
  <c r="H9" i="65"/>
  <c r="J383" i="52"/>
  <c r="J389" i="52"/>
  <c r="L9" i="65"/>
  <c r="J387" i="52"/>
  <c r="T246" i="30"/>
  <c r="K9" i="65"/>
  <c r="J386" i="52"/>
  <c r="G9" i="65"/>
  <c r="R9" i="65"/>
  <c r="F9" i="65"/>
  <c r="J381" i="52"/>
  <c r="S9" i="65"/>
  <c r="J382" i="52"/>
  <c r="Q9" i="65"/>
  <c r="E9" i="65"/>
  <c r="P9" i="65"/>
  <c r="D9" i="65"/>
  <c r="D8" i="65"/>
  <c r="S8" i="65"/>
  <c r="F8" i="65"/>
  <c r="R8" i="65"/>
  <c r="E8" i="65"/>
  <c r="Q8" i="65"/>
  <c r="P8" i="65"/>
  <c r="G8" i="65"/>
  <c r="O8" i="65"/>
  <c r="L8" i="65"/>
  <c r="J324" i="52"/>
  <c r="K8" i="65"/>
  <c r="J322" i="52"/>
  <c r="R7" i="65"/>
  <c r="M7" i="65"/>
  <c r="L7" i="65"/>
  <c r="J259" i="52"/>
  <c r="E7" i="65"/>
  <c r="J253" i="52"/>
  <c r="Q7" i="65"/>
  <c r="K7" i="65"/>
  <c r="P7" i="65"/>
  <c r="J251" i="52"/>
  <c r="O7" i="65"/>
  <c r="J250" i="52"/>
  <c r="N7" i="65"/>
  <c r="W7" i="65"/>
  <c r="J7" i="65"/>
  <c r="J258" i="52"/>
  <c r="V7" i="65"/>
  <c r="I7" i="65"/>
  <c r="J257" i="52"/>
  <c r="U7" i="65"/>
  <c r="H7" i="65"/>
  <c r="J256" i="52"/>
  <c r="T7" i="65"/>
  <c r="G7" i="65"/>
  <c r="J189" i="52"/>
  <c r="M6" i="65"/>
  <c r="J187" i="52"/>
  <c r="J188" i="52"/>
  <c r="L6" i="65"/>
  <c r="J186" i="52"/>
  <c r="P6" i="65"/>
  <c r="J190" i="52"/>
  <c r="W6" i="65"/>
  <c r="K6" i="65"/>
  <c r="J185" i="52"/>
  <c r="V6" i="65"/>
  <c r="T6" i="65"/>
  <c r="H6" i="65"/>
  <c r="J194" i="52"/>
  <c r="O6" i="65"/>
  <c r="J6" i="65"/>
  <c r="U6" i="65"/>
  <c r="S6" i="65"/>
  <c r="G6" i="65"/>
  <c r="J193" i="52"/>
  <c r="W5" i="65"/>
  <c r="K5" i="65"/>
  <c r="J123" i="52"/>
  <c r="P5" i="65"/>
  <c r="J128" i="52"/>
  <c r="O5" i="65"/>
  <c r="L5" i="65"/>
  <c r="J124" i="52"/>
  <c r="V5" i="65"/>
  <c r="I5" i="65"/>
  <c r="J122" i="52"/>
  <c r="J127" i="52"/>
  <c r="J125" i="52"/>
  <c r="U5" i="65"/>
  <c r="H5" i="65"/>
  <c r="J121" i="52"/>
  <c r="T5" i="65"/>
  <c r="G5" i="65"/>
  <c r="J120" i="52"/>
  <c r="S5" i="65"/>
  <c r="J62" i="52"/>
  <c r="Q4" i="65"/>
  <c r="D13" i="57" s="1"/>
  <c r="F13" i="57" s="1"/>
  <c r="E4" i="65"/>
  <c r="C11" i="57" s="1"/>
  <c r="J61" i="52"/>
  <c r="H4" i="65"/>
  <c r="C14" i="57" s="1"/>
  <c r="J64" i="52"/>
  <c r="G4" i="65"/>
  <c r="C36" i="57" s="1"/>
  <c r="J63" i="52"/>
  <c r="T42" i="30"/>
  <c r="R4" i="65"/>
  <c r="D14" i="57" s="1"/>
  <c r="F14" i="57" s="1"/>
  <c r="P4" i="65"/>
  <c r="D12" i="57" s="1"/>
  <c r="F12" i="57" s="1"/>
  <c r="D4" i="65"/>
  <c r="C33" i="57" s="1"/>
  <c r="J60" i="52"/>
  <c r="S42" i="30"/>
  <c r="S43" i="30" s="1"/>
  <c r="S44" i="30" s="1"/>
  <c r="S45" i="30" s="1"/>
  <c r="K4" i="65"/>
  <c r="C40" i="57" s="1"/>
  <c r="J4" i="65"/>
  <c r="C16" i="57" s="1"/>
  <c r="T4" i="65"/>
  <c r="D16" i="57" s="1"/>
  <c r="F16" i="57" s="1"/>
  <c r="F4" i="65"/>
  <c r="C35" i="57" s="1"/>
  <c r="O4" i="65"/>
  <c r="D55" i="57" s="1"/>
  <c r="F55" i="57" s="1"/>
  <c r="J59" i="52"/>
  <c r="T40" i="30"/>
  <c r="W4" i="65"/>
  <c r="D42" i="57" s="1"/>
  <c r="I4" i="65"/>
  <c r="C15" i="57" s="1"/>
  <c r="S47" i="30"/>
  <c r="N4" i="65"/>
  <c r="D54" i="57" s="1"/>
  <c r="F54" i="57" s="1"/>
  <c r="J58" i="52"/>
  <c r="V4" i="65"/>
  <c r="D62" i="57" s="1"/>
  <c r="U4" i="65"/>
  <c r="D17" i="57" s="1"/>
  <c r="F17" i="57" s="1"/>
  <c r="S4" i="65"/>
  <c r="D15" i="57" s="1"/>
  <c r="F15" i="57" s="1"/>
  <c r="M4" i="65"/>
  <c r="C63" i="57" s="1"/>
  <c r="L12" i="61"/>
  <c r="J12" i="61"/>
  <c r="W12" i="61"/>
  <c r="F12" i="61"/>
  <c r="J593" i="51"/>
  <c r="V12" i="61"/>
  <c r="U12" i="61"/>
  <c r="J586" i="51"/>
  <c r="T12" i="61"/>
  <c r="J585" i="51"/>
  <c r="S12" i="61"/>
  <c r="R11" i="61"/>
  <c r="J523" i="51"/>
  <c r="T11" i="61"/>
  <c r="I11" i="61"/>
  <c r="S11" i="61"/>
  <c r="J524" i="51"/>
  <c r="Q11" i="61"/>
  <c r="J522" i="51"/>
  <c r="N11" i="61"/>
  <c r="J519" i="51"/>
  <c r="W11" i="61"/>
  <c r="V11" i="61"/>
  <c r="D11" i="61"/>
  <c r="U11" i="61"/>
  <c r="J526" i="51"/>
  <c r="J525" i="51"/>
  <c r="P11" i="61"/>
  <c r="J521" i="51"/>
  <c r="O11" i="61"/>
  <c r="J520" i="51"/>
  <c r="L11" i="61"/>
  <c r="J518" i="51"/>
  <c r="Q10" i="61"/>
  <c r="J449" i="51"/>
  <c r="P10" i="61"/>
  <c r="J448" i="51"/>
  <c r="U10" i="61"/>
  <c r="M10" i="61"/>
  <c r="J457" i="51"/>
  <c r="V10" i="61"/>
  <c r="J10" i="61"/>
  <c r="J454" i="51"/>
  <c r="I10" i="61"/>
  <c r="T10" i="61"/>
  <c r="G10" i="61"/>
  <c r="J452" i="51"/>
  <c r="S10" i="61"/>
  <c r="J451" i="51"/>
  <c r="R10" i="61"/>
  <c r="N10" i="61"/>
  <c r="L10" i="61"/>
  <c r="D9" i="61"/>
  <c r="T9" i="61"/>
  <c r="O246" i="24"/>
  <c r="S9" i="61"/>
  <c r="J390" i="51"/>
  <c r="F246" i="24"/>
  <c r="P9" i="61"/>
  <c r="J387" i="51"/>
  <c r="M9" i="61"/>
  <c r="J384" i="51"/>
  <c r="L9" i="61"/>
  <c r="J383" i="51"/>
  <c r="W9" i="61"/>
  <c r="K9" i="61"/>
  <c r="J382" i="51"/>
  <c r="V9" i="61"/>
  <c r="F9" i="61"/>
  <c r="J381" i="51"/>
  <c r="U9" i="61"/>
  <c r="R9" i="61"/>
  <c r="J389" i="51"/>
  <c r="Q9" i="61"/>
  <c r="J388" i="51"/>
  <c r="O9" i="61"/>
  <c r="J386" i="51"/>
  <c r="G8" i="61"/>
  <c r="J323" i="51"/>
  <c r="J8" i="61"/>
  <c r="P8" i="61"/>
  <c r="J252" i="51"/>
  <c r="K121" i="51"/>
  <c r="J117" i="51"/>
  <c r="J113" i="51"/>
  <c r="W5" i="61"/>
  <c r="L4" i="61"/>
  <c r="E4" i="61"/>
  <c r="O41" i="24"/>
  <c r="O42" i="24" s="1"/>
  <c r="F52" i="31"/>
  <c r="F16" i="31"/>
  <c r="E92" i="16"/>
  <c r="E56" i="16"/>
  <c r="E157" i="16"/>
  <c r="E91" i="16"/>
  <c r="E55" i="16"/>
  <c r="E156" i="16"/>
  <c r="E125" i="16"/>
  <c r="E90" i="16"/>
  <c r="E89" i="16"/>
  <c r="E88" i="16"/>
  <c r="D154" i="16"/>
  <c r="B17" i="68"/>
  <c r="H50" i="55" s="1"/>
  <c r="H59" i="55" s="1"/>
  <c r="E59" i="31"/>
  <c r="D91" i="16"/>
  <c r="E95" i="31"/>
  <c r="D126" i="16"/>
  <c r="D157" i="16"/>
  <c r="D88" i="16"/>
  <c r="E62" i="23"/>
  <c r="E98" i="23"/>
  <c r="E163" i="23"/>
  <c r="E60" i="23"/>
  <c r="E56" i="23"/>
  <c r="E92" i="23"/>
  <c r="D158" i="23"/>
  <c r="D127" i="23"/>
  <c r="D93" i="23"/>
  <c r="F336" i="28"/>
  <c r="F88" i="28"/>
  <c r="D133" i="23"/>
  <c r="E722" i="53" s="1"/>
  <c r="K742" i="53" s="1"/>
  <c r="D99" i="23"/>
  <c r="D68" i="58"/>
  <c r="H68" i="58" s="1"/>
  <c r="F264" i="30"/>
  <c r="I272" i="30" s="1"/>
  <c r="F273" i="30" s="1"/>
  <c r="E59" i="13"/>
  <c r="E125" i="13"/>
  <c r="D123" i="13"/>
  <c r="E272" i="30"/>
  <c r="D129" i="13"/>
  <c r="D89" i="13"/>
  <c r="E82" i="57"/>
  <c r="C83" i="57"/>
  <c r="D160" i="13"/>
  <c r="D128" i="13"/>
  <c r="D88" i="13"/>
  <c r="D54" i="13"/>
  <c r="D53" i="13"/>
  <c r="E67" i="30"/>
  <c r="D159" i="13"/>
  <c r="J59" i="30"/>
  <c r="J80" i="30" s="1"/>
  <c r="K80" i="30" s="1"/>
  <c r="E165" i="9"/>
  <c r="E133" i="9"/>
  <c r="D131" i="9"/>
  <c r="E313" i="24"/>
  <c r="H128" i="5"/>
  <c r="J92" i="5"/>
  <c r="N92" i="5"/>
  <c r="AE536" i="71"/>
  <c r="E1071" i="71"/>
  <c r="AE355" i="71"/>
  <c r="E819" i="71"/>
  <c r="AE161" i="71"/>
  <c r="E818" i="71"/>
  <c r="AE527" i="71"/>
  <c r="AE964" i="71"/>
  <c r="E576" i="71"/>
  <c r="E1037" i="71"/>
  <c r="AE462" i="71"/>
  <c r="AE340" i="71"/>
  <c r="AE218" i="71"/>
  <c r="AE972" i="71"/>
  <c r="AE876" i="71"/>
  <c r="AE575" i="71"/>
  <c r="AE534" i="71"/>
  <c r="AE526" i="71"/>
  <c r="AE453" i="71"/>
  <c r="AE412" i="71"/>
  <c r="AE290" i="71"/>
  <c r="AE96" i="71"/>
  <c r="AE22" i="71"/>
  <c r="E1014" i="71"/>
  <c r="E600" i="71"/>
  <c r="AE380" i="71"/>
  <c r="AE209" i="71"/>
  <c r="AE87" i="71"/>
  <c r="E940" i="71"/>
  <c r="E721" i="71"/>
  <c r="E1086" i="71"/>
  <c r="E769" i="71"/>
  <c r="AE649" i="71"/>
  <c r="AE599" i="71"/>
  <c r="AE713" i="71"/>
  <c r="AE1013" i="71"/>
  <c r="AE501" i="71"/>
  <c r="AE932" i="71"/>
  <c r="E372" i="71"/>
  <c r="E225" i="71"/>
  <c r="E79" i="71"/>
  <c r="AE518" i="71"/>
  <c r="AE551" i="71"/>
  <c r="AE543" i="71"/>
  <c r="AE989" i="71"/>
  <c r="E762" i="71"/>
  <c r="AE428" i="71"/>
  <c r="AE282" i="71"/>
  <c r="AE136" i="71"/>
  <c r="E696" i="71"/>
  <c r="AE761" i="71"/>
  <c r="AE624" i="71"/>
  <c r="AE550" i="71"/>
  <c r="AE445" i="71"/>
  <c r="AE299" i="71"/>
  <c r="AE152" i="71"/>
  <c r="AE519" i="71"/>
  <c r="AE737" i="71"/>
  <c r="E843" i="71"/>
  <c r="E957" i="71"/>
  <c r="AE810" i="71"/>
  <c r="AE592" i="71"/>
  <c r="E567" i="71"/>
  <c r="AE616" i="71"/>
  <c r="AE542" i="71"/>
  <c r="AE566" i="71"/>
  <c r="AE323" i="71"/>
  <c r="AE104" i="71"/>
  <c r="E1053" i="71"/>
  <c r="E956" i="71"/>
  <c r="E868" i="71"/>
  <c r="AE673" i="71"/>
  <c r="E469" i="71"/>
  <c r="AE697" i="71"/>
  <c r="AE615" i="71"/>
  <c r="E1062" i="71"/>
  <c r="AE990" i="71"/>
  <c r="E981" i="71"/>
  <c r="AE722" i="71"/>
  <c r="AE714" i="71"/>
  <c r="E689" i="71"/>
  <c r="AE648" i="71"/>
  <c r="AE639" i="71"/>
  <c r="E623" i="71"/>
  <c r="E477" i="71"/>
  <c r="E404" i="71"/>
  <c r="E331" i="71"/>
  <c r="E258" i="71"/>
  <c r="E185" i="71"/>
  <c r="E112" i="71"/>
  <c r="E55" i="71"/>
  <c r="AE640" i="71"/>
  <c r="AE396" i="71"/>
  <c r="E1063" i="71"/>
  <c r="AE665" i="71"/>
  <c r="AE591" i="71"/>
  <c r="E177" i="71"/>
  <c r="E907" i="71"/>
  <c r="AE15" i="71"/>
  <c r="AE746" i="71"/>
  <c r="AE738" i="71"/>
  <c r="AE672" i="71"/>
  <c r="AE664" i="71"/>
  <c r="AE493" i="71"/>
  <c r="AE420" i="71"/>
  <c r="AE347" i="71"/>
  <c r="AE274" i="71"/>
  <c r="AE201" i="71"/>
  <c r="AE128" i="71"/>
  <c r="AE250" i="71"/>
  <c r="E915" i="71"/>
  <c r="AE688" i="71"/>
  <c r="E980" i="71"/>
  <c r="AE32" i="71"/>
  <c r="E1038" i="71"/>
  <c r="E916" i="71"/>
  <c r="E908" i="71"/>
  <c r="AE883" i="71"/>
  <c r="E867" i="71"/>
  <c r="E859" i="71"/>
  <c r="AE64" i="71"/>
  <c r="E56" i="71"/>
  <c r="AE31" i="71"/>
  <c r="E14" i="71"/>
  <c r="AE1102" i="71"/>
  <c r="AE860" i="71"/>
  <c r="E892" i="71"/>
  <c r="E795" i="71"/>
  <c r="E786" i="71"/>
  <c r="E40" i="71"/>
  <c r="AE1029" i="71"/>
  <c r="AE941" i="71"/>
  <c r="E933" i="71"/>
  <c r="AE891" i="71"/>
  <c r="E794" i="71"/>
  <c r="AE502" i="71"/>
  <c r="AE494" i="71"/>
  <c r="AE478" i="71"/>
  <c r="AE470" i="71"/>
  <c r="AE454" i="71"/>
  <c r="AE446" i="71"/>
  <c r="AE429" i="71"/>
  <c r="AE421" i="71"/>
  <c r="AE405" i="71"/>
  <c r="AE397" i="71"/>
  <c r="AE381" i="71"/>
  <c r="AE373" i="71"/>
  <c r="AE356" i="71"/>
  <c r="AE348" i="71"/>
  <c r="AE332" i="71"/>
  <c r="AE324" i="71"/>
  <c r="AE308" i="71"/>
  <c r="AE300" i="71"/>
  <c r="AE283" i="71"/>
  <c r="AE275" i="71"/>
  <c r="AE259" i="71"/>
  <c r="AE251" i="71"/>
  <c r="AE235" i="71"/>
  <c r="AE226" i="71"/>
  <c r="AE210" i="71"/>
  <c r="AE202" i="71"/>
  <c r="AE186" i="71"/>
  <c r="AE178" i="71"/>
  <c r="AE162" i="71"/>
  <c r="AE153" i="71"/>
  <c r="AE137" i="71"/>
  <c r="AE129" i="71"/>
  <c r="AE113" i="71"/>
  <c r="AE105" i="71"/>
  <c r="AE88" i="71"/>
  <c r="AE80" i="71"/>
  <c r="AE39" i="71"/>
  <c r="AE1006" i="71"/>
  <c r="E835" i="71"/>
  <c r="AE1005" i="71"/>
  <c r="AE834" i="71"/>
  <c r="E884" i="71"/>
  <c r="E1030" i="71"/>
  <c r="AE1078" i="71"/>
  <c r="AE811" i="71"/>
  <c r="K846" i="52"/>
  <c r="K712" i="52"/>
  <c r="J56" i="5"/>
  <c r="M933" i="28"/>
  <c r="P933" i="28" s="1"/>
  <c r="I56" i="5"/>
  <c r="H56" i="5"/>
  <c r="J20" i="5"/>
  <c r="O870" i="28"/>
  <c r="K92" i="5"/>
  <c r="M56" i="5"/>
  <c r="M111" i="5"/>
  <c r="M101" i="5"/>
  <c r="M109" i="5"/>
  <c r="M100" i="5"/>
  <c r="M108" i="5"/>
  <c r="M99" i="5"/>
  <c r="M107" i="5"/>
  <c r="M98" i="5"/>
  <c r="M106" i="5"/>
  <c r="M97" i="5"/>
  <c r="M105" i="5"/>
  <c r="M96" i="5"/>
  <c r="M104" i="5"/>
  <c r="M95" i="5"/>
  <c r="M112" i="5"/>
  <c r="M103" i="5"/>
  <c r="X21" i="65"/>
  <c r="O622" i="28"/>
  <c r="F34" i="45"/>
  <c r="G34" i="45" s="1"/>
  <c r="L107" i="28"/>
  <c r="L45" i="28"/>
  <c r="L231" i="28"/>
  <c r="O808" i="28"/>
  <c r="M872" i="28"/>
  <c r="P872" i="28" s="1"/>
  <c r="P871" i="28"/>
  <c r="O871" i="28"/>
  <c r="N872" i="28"/>
  <c r="N873" i="28" s="1"/>
  <c r="K108" i="28"/>
  <c r="L108" i="28" s="1"/>
  <c r="F683" i="30"/>
  <c r="H20" i="5"/>
  <c r="K96" i="5"/>
  <c r="H204" i="28" s="1"/>
  <c r="K103" i="5"/>
  <c r="M686" i="28"/>
  <c r="P685" i="28"/>
  <c r="Q623" i="28"/>
  <c r="N624" i="28"/>
  <c r="M748" i="28"/>
  <c r="P747" i="28"/>
  <c r="K233" i="28"/>
  <c r="L233" i="28" s="1"/>
  <c r="G132" i="5"/>
  <c r="F70" i="31" s="1"/>
  <c r="G142" i="5"/>
  <c r="L166" i="16" s="1"/>
  <c r="G139" i="5"/>
  <c r="G134" i="5"/>
  <c r="G143" i="5"/>
  <c r="L167" i="16" s="1"/>
  <c r="G130" i="5"/>
  <c r="G148" i="5"/>
  <c r="G135" i="5"/>
  <c r="G144" i="5"/>
  <c r="L168" i="16" s="1"/>
  <c r="G136" i="5"/>
  <c r="G145" i="5"/>
  <c r="L169" i="16" s="1"/>
  <c r="G137" i="5"/>
  <c r="G146" i="5"/>
  <c r="G129" i="5"/>
  <c r="G138" i="5"/>
  <c r="G147" i="5"/>
  <c r="G131" i="5"/>
  <c r="G140" i="5"/>
  <c r="L164" i="16" s="1"/>
  <c r="J75" i="5"/>
  <c r="M75" i="5" s="1"/>
  <c r="J60" i="5"/>
  <c r="J58" i="5"/>
  <c r="J67" i="5"/>
  <c r="M67" i="5" s="1"/>
  <c r="I105" i="5"/>
  <c r="I111" i="5"/>
  <c r="I101" i="5"/>
  <c r="G514" i="28" s="1"/>
  <c r="J522" i="28" s="1"/>
  <c r="K522" i="28" s="1"/>
  <c r="I104" i="5"/>
  <c r="I93" i="5"/>
  <c r="G18" i="28" s="1"/>
  <c r="J26" i="28" s="1"/>
  <c r="K26" i="28" s="1"/>
  <c r="I97" i="5"/>
  <c r="G266" i="28" s="1"/>
  <c r="J274" i="28" s="1"/>
  <c r="K274" i="28" s="1"/>
  <c r="I102" i="5"/>
  <c r="I107" i="5"/>
  <c r="I94" i="5"/>
  <c r="G80" i="28" s="1"/>
  <c r="J88" i="28" s="1"/>
  <c r="K88" i="28" s="1"/>
  <c r="I98" i="5"/>
  <c r="G328" i="28" s="1"/>
  <c r="J336" i="28" s="1"/>
  <c r="K336" i="28" s="1"/>
  <c r="I99" i="5"/>
  <c r="G390" i="28" s="1"/>
  <c r="J398" i="28" s="1"/>
  <c r="K398" i="28" s="1"/>
  <c r="I95" i="5"/>
  <c r="I96" i="5"/>
  <c r="I110" i="5"/>
  <c r="H59" i="5"/>
  <c r="F100" i="30" s="1"/>
  <c r="I108" i="30" s="1"/>
  <c r="J108" i="30" s="1"/>
  <c r="H68" i="5"/>
  <c r="H60" i="5"/>
  <c r="F141" i="30" s="1"/>
  <c r="I149" i="30" s="1"/>
  <c r="J149" i="30" s="1"/>
  <c r="H69" i="5"/>
  <c r="H71" i="5"/>
  <c r="H75" i="5"/>
  <c r="H72" i="5"/>
  <c r="H62" i="5"/>
  <c r="F223" i="30" s="1"/>
  <c r="I231" i="30" s="1"/>
  <c r="H74" i="5"/>
  <c r="H63" i="5"/>
  <c r="H66" i="5"/>
  <c r="H76" i="5"/>
  <c r="N809" i="28"/>
  <c r="O932" i="28"/>
  <c r="X20" i="65"/>
  <c r="K914" i="52"/>
  <c r="O684" i="28"/>
  <c r="L975" i="28"/>
  <c r="L1161" i="28"/>
  <c r="O560" i="28"/>
  <c r="O746" i="28"/>
  <c r="F396" i="30"/>
  <c r="I42" i="5"/>
  <c r="F24" i="9"/>
  <c r="X18" i="65"/>
  <c r="Q622" i="28"/>
  <c r="P808" i="28"/>
  <c r="AE1103" i="71"/>
  <c r="E1054" i="71"/>
  <c r="E1046" i="71"/>
  <c r="AI23" i="76"/>
  <c r="W37" i="76"/>
  <c r="CD37" i="76"/>
  <c r="AC37" i="76"/>
  <c r="AA37" i="76"/>
  <c r="CE37" i="76"/>
  <c r="AG37" i="76"/>
  <c r="AI37" i="76"/>
  <c r="CF37" i="76"/>
  <c r="AD37" i="76"/>
  <c r="AJ37" i="76"/>
  <c r="AF37" i="76"/>
  <c r="Y37" i="76"/>
  <c r="Z37" i="76"/>
  <c r="AB37" i="76"/>
  <c r="CC37" i="76"/>
  <c r="AK37" i="76"/>
  <c r="V37" i="76"/>
  <c r="AL37" i="76"/>
  <c r="U37" i="76"/>
  <c r="AE37" i="76"/>
  <c r="K18" i="75"/>
  <c r="M37" i="75" s="1"/>
  <c r="M50" i="75" s="1"/>
  <c r="K14" i="75"/>
  <c r="M34" i="75" s="1"/>
  <c r="M47" i="75" s="1"/>
  <c r="E1087" i="71"/>
  <c r="E787" i="71"/>
  <c r="I18" i="75"/>
  <c r="K37" i="75" s="1"/>
  <c r="K50" i="75" s="1"/>
  <c r="AE778" i="71"/>
  <c r="I14" i="75"/>
  <c r="K34" i="75" s="1"/>
  <c r="K47" i="75" s="1"/>
  <c r="AI24" i="76"/>
  <c r="H25" i="74" s="1"/>
  <c r="U23" i="76"/>
  <c r="AI22" i="76"/>
  <c r="H23" i="74" s="1"/>
  <c r="H56" i="4" s="1"/>
  <c r="AI25" i="76"/>
  <c r="Z56" i="76"/>
  <c r="Z58" i="76"/>
  <c r="E803" i="71"/>
  <c r="Z61" i="76"/>
  <c r="AB9" i="76"/>
  <c r="Z60" i="76"/>
  <c r="AG22" i="76"/>
  <c r="Z57" i="76"/>
  <c r="AI55" i="76"/>
  <c r="AI52" i="76"/>
  <c r="AI51" i="76"/>
  <c r="H53" i="74" s="1"/>
  <c r="AI50" i="76"/>
  <c r="H52" i="74" s="1"/>
  <c r="H27" i="2" s="1"/>
  <c r="Z45" i="76"/>
  <c r="AI43" i="76"/>
  <c r="H45" i="74" s="1"/>
  <c r="H20" i="2" s="1"/>
  <c r="E23" i="18" s="1"/>
  <c r="AI41" i="76"/>
  <c r="H43" i="74" s="1"/>
  <c r="AI39" i="76"/>
  <c r="H41" i="74" s="1"/>
  <c r="H16" i="2" s="1"/>
  <c r="E19" i="18" s="1"/>
  <c r="I19" i="18" s="1"/>
  <c r="Z35" i="76"/>
  <c r="AI32" i="76"/>
  <c r="AD61" i="76"/>
  <c r="AD57" i="76"/>
  <c r="AD52" i="76"/>
  <c r="AD48" i="76"/>
  <c r="AD44" i="76"/>
  <c r="AD40" i="76"/>
  <c r="U35" i="76"/>
  <c r="U32" i="76"/>
  <c r="AD29" i="76"/>
  <c r="AD28" i="76"/>
  <c r="AD25" i="76"/>
  <c r="AD24" i="76"/>
  <c r="AD20" i="76"/>
  <c r="U19" i="76"/>
  <c r="AD17" i="76"/>
  <c r="U15" i="76"/>
  <c r="AE9" i="76"/>
  <c r="AL60" i="76"/>
  <c r="AC59" i="76"/>
  <c r="AL57" i="76"/>
  <c r="AC56" i="76"/>
  <c r="AC55" i="76"/>
  <c r="AB61" i="76"/>
  <c r="AK60" i="76"/>
  <c r="AK59" i="76"/>
  <c r="AB58" i="76"/>
  <c r="AB57" i="76"/>
  <c r="AK56" i="76"/>
  <c r="AB55" i="76"/>
  <c r="AK54" i="76"/>
  <c r="AL9" i="76"/>
  <c r="AC9" i="76"/>
  <c r="AJ61" i="76"/>
  <c r="AA61" i="76"/>
  <c r="AJ60" i="76"/>
  <c r="AA60" i="76"/>
  <c r="AJ59" i="76"/>
  <c r="AA59" i="76"/>
  <c r="AJ58" i="76"/>
  <c r="AA58" i="76"/>
  <c r="AJ57" i="76"/>
  <c r="AA57" i="76"/>
  <c r="AJ56" i="76"/>
  <c r="AA56" i="76"/>
  <c r="AJ55" i="76"/>
  <c r="AA55" i="76"/>
  <c r="AJ54" i="76"/>
  <c r="AA54" i="76"/>
  <c r="AJ52" i="76"/>
  <c r="AA52" i="76"/>
  <c r="AJ51" i="76"/>
  <c r="F53" i="74" s="1"/>
  <c r="F28" i="2" s="1"/>
  <c r="AA51" i="76"/>
  <c r="AJ50" i="76"/>
  <c r="F52" i="74" s="1"/>
  <c r="F27" i="2" s="1"/>
  <c r="AA50" i="76"/>
  <c r="AJ49" i="76"/>
  <c r="F51" i="74" s="1"/>
  <c r="F26" i="2" s="1"/>
  <c r="E27" i="12" s="1"/>
  <c r="I27" i="12" s="1"/>
  <c r="AA49" i="76"/>
  <c r="AJ48" i="76"/>
  <c r="F50" i="74" s="1"/>
  <c r="F25" i="2" s="1"/>
  <c r="E26" i="12" s="1"/>
  <c r="AA48" i="76"/>
  <c r="AI59" i="76"/>
  <c r="Z54" i="76"/>
  <c r="Z48" i="76"/>
  <c r="AI46" i="76"/>
  <c r="H48" i="74" s="1"/>
  <c r="H23" i="2" s="1"/>
  <c r="E26" i="18" s="1"/>
  <c r="J26" i="18" s="1"/>
  <c r="AI44" i="76"/>
  <c r="H46" i="74" s="1"/>
  <c r="H21" i="2" s="1"/>
  <c r="E24" i="18" s="1"/>
  <c r="Z39" i="76"/>
  <c r="Z32" i="76"/>
  <c r="AI30" i="76"/>
  <c r="Z29" i="76"/>
  <c r="AI27" i="76"/>
  <c r="Z26" i="76"/>
  <c r="Z22" i="76"/>
  <c r="AI20" i="76"/>
  <c r="H21" i="74" s="1"/>
  <c r="H54" i="4" s="1"/>
  <c r="AI19" i="76"/>
  <c r="AI18" i="76"/>
  <c r="H19" i="74" s="1"/>
  <c r="H52" i="4" s="1"/>
  <c r="Z18" i="76"/>
  <c r="AI17" i="76"/>
  <c r="H18" i="74" s="1"/>
  <c r="H51" i="4" s="1"/>
  <c r="Z17" i="76"/>
  <c r="AI16" i="76"/>
  <c r="H17" i="74" s="1"/>
  <c r="H50" i="4" s="1"/>
  <c r="Z16" i="76"/>
  <c r="AI15" i="76"/>
  <c r="H16" i="74" s="1"/>
  <c r="H49" i="4" s="1"/>
  <c r="Z15" i="76"/>
  <c r="AI14" i="76"/>
  <c r="H15" i="74" s="1"/>
  <c r="H48" i="4" s="1"/>
  <c r="Z14" i="76"/>
  <c r="AI13" i="76"/>
  <c r="Z13" i="76"/>
  <c r="AI12" i="76"/>
  <c r="Z12" i="76"/>
  <c r="AG11" i="76"/>
  <c r="Y11" i="76"/>
  <c r="AF10" i="76"/>
  <c r="AB62" i="76"/>
  <c r="AK62" i="76"/>
  <c r="AB63" i="76"/>
  <c r="AK63" i="76"/>
  <c r="AB64" i="76"/>
  <c r="AK64" i="76"/>
  <c r="BW9" i="76"/>
  <c r="CF9" i="76"/>
  <c r="BW10" i="76"/>
  <c r="CF10" i="76"/>
  <c r="BW11" i="76"/>
  <c r="CF11" i="76"/>
  <c r="BW12" i="76"/>
  <c r="CF12" i="76"/>
  <c r="BW13" i="76"/>
  <c r="CF13" i="76"/>
  <c r="BW14" i="76"/>
  <c r="CF14" i="76"/>
  <c r="X15" i="74" s="1"/>
  <c r="U48" i="4" s="1"/>
  <c r="BW15" i="76"/>
  <c r="CF15" i="76"/>
  <c r="X16" i="74" s="1"/>
  <c r="U49" i="4" s="1"/>
  <c r="Y21" i="76"/>
  <c r="AG19" i="76"/>
  <c r="Y18" i="76"/>
  <c r="Y17" i="76"/>
  <c r="AG15" i="76"/>
  <c r="AG14" i="76"/>
  <c r="Y14" i="76"/>
  <c r="Y13" i="76"/>
  <c r="AG12" i="76"/>
  <c r="Y12" i="76"/>
  <c r="AF11" i="76"/>
  <c r="AE10" i="76"/>
  <c r="U10" i="76"/>
  <c r="AC62" i="76"/>
  <c r="AL62" i="76"/>
  <c r="AC63" i="76"/>
  <c r="AL63" i="76"/>
  <c r="AC64" i="76"/>
  <c r="AL64" i="76"/>
  <c r="Z59" i="76"/>
  <c r="AI57" i="76"/>
  <c r="Z51" i="76"/>
  <c r="AI49" i="76"/>
  <c r="H51" i="74" s="1"/>
  <c r="H26" i="2" s="1"/>
  <c r="E29" i="18" s="1"/>
  <c r="I29" i="18" s="1"/>
  <c r="Z44" i="76"/>
  <c r="AI42" i="76"/>
  <c r="H44" i="74" s="1"/>
  <c r="H19" i="2" s="1"/>
  <c r="E22" i="18" s="1"/>
  <c r="J22" i="18" s="1"/>
  <c r="AI35" i="76"/>
  <c r="Z31" i="76"/>
  <c r="AI29" i="76"/>
  <c r="AI28" i="76"/>
  <c r="Z27" i="76"/>
  <c r="Z24" i="76"/>
  <c r="Z21" i="76"/>
  <c r="Z19" i="76"/>
  <c r="DY45" i="76"/>
  <c r="DY29" i="76"/>
  <c r="DY21" i="76"/>
  <c r="AK22" i="74" s="1"/>
  <c r="AC55" i="4" s="1"/>
  <c r="DY13" i="76"/>
  <c r="DX45" i="76"/>
  <c r="DX29" i="76"/>
  <c r="DX21" i="76"/>
  <c r="AJ22" i="74" s="1"/>
  <c r="AB55" i="4" s="1"/>
  <c r="DX13" i="76"/>
  <c r="DY52" i="76"/>
  <c r="DY44" i="76"/>
  <c r="DY36" i="76"/>
  <c r="DY28" i="76"/>
  <c r="DY60" i="76"/>
  <c r="DY51" i="76"/>
  <c r="DY50" i="76"/>
  <c r="DY42" i="76"/>
  <c r="DY34" i="76"/>
  <c r="DY26" i="76"/>
  <c r="DY18" i="76"/>
  <c r="AK19" i="74" s="1"/>
  <c r="AC52" i="4" s="1"/>
  <c r="DY10" i="76"/>
  <c r="DX50" i="76"/>
  <c r="DX42" i="76"/>
  <c r="DX34" i="76"/>
  <c r="DX26" i="76"/>
  <c r="DX18" i="76"/>
  <c r="AJ19" i="74" s="1"/>
  <c r="AB52" i="4" s="1"/>
  <c r="DX10" i="76"/>
  <c r="DZ23" i="76"/>
  <c r="AM24" i="74" s="1"/>
  <c r="DY49" i="76"/>
  <c r="DY41" i="76"/>
  <c r="DY33" i="76"/>
  <c r="DY25" i="76"/>
  <c r="DY17" i="76"/>
  <c r="AK18" i="74" s="1"/>
  <c r="AC51" i="4" s="1"/>
  <c r="DY9" i="76"/>
  <c r="DX49" i="76"/>
  <c r="DX41" i="76"/>
  <c r="DX33" i="76"/>
  <c r="DX25" i="76"/>
  <c r="DX17" i="76"/>
  <c r="AJ18" i="74" s="1"/>
  <c r="AB51" i="4" s="1"/>
  <c r="DX9" i="76"/>
  <c r="DY64" i="76"/>
  <c r="DY48" i="76"/>
  <c r="DY40" i="76"/>
  <c r="DY32" i="76"/>
  <c r="DY24" i="76"/>
  <c r="DY16" i="76"/>
  <c r="AK17" i="74" s="1"/>
  <c r="AC50" i="4" s="1"/>
  <c r="DX64" i="76"/>
  <c r="DX48" i="76"/>
  <c r="DX40" i="76"/>
  <c r="DX32" i="76"/>
  <c r="DX24" i="76"/>
  <c r="DX16" i="76"/>
  <c r="AJ17" i="74" s="1"/>
  <c r="AB50" i="4" s="1"/>
  <c r="DY63" i="76"/>
  <c r="DY55" i="76"/>
  <c r="DY47" i="76"/>
  <c r="DY39" i="76"/>
  <c r="DY31" i="76"/>
  <c r="DY23" i="76"/>
  <c r="AK24" i="74" s="1"/>
  <c r="DY15" i="76"/>
  <c r="AK16" i="74" s="1"/>
  <c r="AC49" i="4" s="1"/>
  <c r="DX63" i="76"/>
  <c r="DX55" i="76"/>
  <c r="DX47" i="76"/>
  <c r="DX39" i="76"/>
  <c r="DX31" i="76"/>
  <c r="DX23" i="76"/>
  <c r="AJ24" i="74" s="1"/>
  <c r="DX15" i="76"/>
  <c r="AJ16" i="74" s="1"/>
  <c r="AB49" i="4" s="1"/>
  <c r="DY46" i="76"/>
  <c r="DY38" i="76"/>
  <c r="DY30" i="76"/>
  <c r="DY22" i="76"/>
  <c r="AK23" i="74" s="1"/>
  <c r="AC56" i="4" s="1"/>
  <c r="DY14" i="76"/>
  <c r="AK15" i="74" s="1"/>
  <c r="AC48" i="4" s="1"/>
  <c r="DX46" i="76"/>
  <c r="DX38" i="76"/>
  <c r="DX30" i="76"/>
  <c r="DX22" i="76"/>
  <c r="AJ23" i="74" s="1"/>
  <c r="AB56" i="4" s="1"/>
  <c r="DX14" i="76"/>
  <c r="AJ15" i="74" s="1"/>
  <c r="AB48" i="4" s="1"/>
  <c r="DX60" i="76"/>
  <c r="DX28" i="76"/>
  <c r="DW23" i="76"/>
  <c r="AL24" i="74" s="1"/>
  <c r="DX43" i="76"/>
  <c r="DY12" i="76"/>
  <c r="DX35" i="76"/>
  <c r="DY43" i="76"/>
  <c r="DX27" i="76"/>
  <c r="DX12" i="76"/>
  <c r="DY19" i="76"/>
  <c r="AK20" i="74" s="1"/>
  <c r="AC53" i="4" s="1"/>
  <c r="DY35" i="76"/>
  <c r="DX52" i="76"/>
  <c r="DX20" i="76"/>
  <c r="AJ21" i="74" s="1"/>
  <c r="AB54" i="4" s="1"/>
  <c r="DY20" i="76"/>
  <c r="AK21" i="74" s="1"/>
  <c r="AC54" i="4" s="1"/>
  <c r="DX11" i="76"/>
  <c r="DX36" i="76"/>
  <c r="DY27" i="76"/>
  <c r="DX51" i="76"/>
  <c r="DX19" i="76"/>
  <c r="AJ20" i="74" s="1"/>
  <c r="AB53" i="4" s="1"/>
  <c r="DX44" i="76"/>
  <c r="DY11" i="76"/>
  <c r="CE38" i="76"/>
  <c r="CF64" i="76"/>
  <c r="CF38" i="76"/>
  <c r="CE64" i="76"/>
  <c r="DK56" i="76"/>
  <c r="DN27" i="76"/>
  <c r="DO21" i="76"/>
  <c r="DR9" i="76"/>
  <c r="DR26" i="76"/>
  <c r="DT10" i="76"/>
  <c r="DU26" i="76"/>
  <c r="DZ45" i="76"/>
  <c r="DK12" i="76"/>
  <c r="DN25" i="76"/>
  <c r="DO44" i="76"/>
  <c r="DQ11" i="76"/>
  <c r="DR48" i="76"/>
  <c r="DT21" i="76"/>
  <c r="DU40" i="76"/>
  <c r="DZ54" i="76"/>
  <c r="DO58" i="76"/>
  <c r="DN36" i="76"/>
  <c r="DO39" i="76"/>
  <c r="DQ22" i="76"/>
  <c r="DR24" i="76"/>
  <c r="DS38" i="76"/>
  <c r="DT58" i="76"/>
  <c r="DZ18" i="76"/>
  <c r="AM19" i="74" s="1"/>
  <c r="AE52" i="4" s="1"/>
  <c r="DN16" i="76"/>
  <c r="DN17" i="76"/>
  <c r="DO31" i="76"/>
  <c r="DP44" i="76"/>
  <c r="DQ63" i="76"/>
  <c r="DS16" i="76"/>
  <c r="DT44" i="76"/>
  <c r="DZ13" i="76"/>
  <c r="DT15" i="76"/>
  <c r="DQ49" i="76"/>
  <c r="DK49" i="76"/>
  <c r="DO20" i="76"/>
  <c r="DP36" i="76"/>
  <c r="DQ60" i="76"/>
  <c r="DS33" i="76"/>
  <c r="DT47" i="76"/>
  <c r="DZ41" i="76"/>
  <c r="DT40" i="76"/>
  <c r="DP18" i="76"/>
  <c r="DK64" i="76"/>
  <c r="DK33" i="76"/>
  <c r="DO15" i="76"/>
  <c r="DP31" i="76"/>
  <c r="DQ48" i="76"/>
  <c r="DS22" i="76"/>
  <c r="DT23" i="76"/>
  <c r="DU33" i="76"/>
  <c r="DQ38" i="76"/>
  <c r="DP10" i="76"/>
  <c r="DK47" i="76"/>
  <c r="DO18" i="76"/>
  <c r="DP34" i="76"/>
  <c r="DQ51" i="76"/>
  <c r="DR60" i="76"/>
  <c r="DT20" i="76"/>
  <c r="DU36" i="76"/>
  <c r="DZ47" i="76"/>
  <c r="DN9" i="76"/>
  <c r="DK21" i="76"/>
  <c r="DZ44" i="76"/>
  <c r="DS50" i="76"/>
  <c r="DN35" i="76"/>
  <c r="DO27" i="76"/>
  <c r="DO46" i="76"/>
  <c r="DU9" i="76"/>
  <c r="DR34" i="76"/>
  <c r="DT18" i="76"/>
  <c r="DU34" i="76"/>
  <c r="DQ27" i="76"/>
  <c r="DK63" i="76"/>
  <c r="DN33" i="76"/>
  <c r="DO52" i="76"/>
  <c r="DQ19" i="76"/>
  <c r="DS10" i="76"/>
  <c r="DT27" i="76"/>
  <c r="DU48" i="76"/>
  <c r="DQ52" i="76"/>
  <c r="DP43" i="76"/>
  <c r="DN39" i="76"/>
  <c r="DO47" i="76"/>
  <c r="DQ28" i="76"/>
  <c r="DR32" i="76"/>
  <c r="DS46" i="76"/>
  <c r="DU10" i="76"/>
  <c r="DZ24" i="76"/>
  <c r="DO30" i="76"/>
  <c r="DN31" i="76"/>
  <c r="DO42" i="76"/>
  <c r="DP52" i="76"/>
  <c r="DR13" i="76"/>
  <c r="DS30" i="76"/>
  <c r="DT52" i="76"/>
  <c r="DZ21" i="76"/>
  <c r="AM22" i="74" s="1"/>
  <c r="AE55" i="4" s="1"/>
  <c r="DT48" i="76"/>
  <c r="DM23" i="76"/>
  <c r="DK58" i="76"/>
  <c r="DO26" i="76"/>
  <c r="DP39" i="76"/>
  <c r="DR16" i="76"/>
  <c r="DS44" i="76"/>
  <c r="DU16" i="76"/>
  <c r="DZ49" i="76"/>
  <c r="DU17" i="76"/>
  <c r="DK15" i="76"/>
  <c r="DN23" i="76"/>
  <c r="DK44" i="76"/>
  <c r="DO29" i="76"/>
  <c r="DP42" i="76"/>
  <c r="DR11" i="76"/>
  <c r="DS28" i="76"/>
  <c r="DT31" i="76"/>
  <c r="DU44" i="76"/>
  <c r="DR23" i="76"/>
  <c r="DP64" i="76"/>
  <c r="DN10" i="76"/>
  <c r="DO24" i="76"/>
  <c r="DP45" i="76"/>
  <c r="DQ64" i="76"/>
  <c r="DS9" i="76"/>
  <c r="DT26" i="76"/>
  <c r="DU39" i="76"/>
  <c r="DZ63" i="76"/>
  <c r="DU51" i="76"/>
  <c r="DT25" i="76"/>
  <c r="DT36" i="76"/>
  <c r="DP17" i="76"/>
  <c r="DN51" i="76"/>
  <c r="DO35" i="76"/>
  <c r="DO64" i="76"/>
  <c r="DP29" i="76"/>
  <c r="DU63" i="76"/>
  <c r="DR45" i="76"/>
  <c r="DT24" i="76"/>
  <c r="DU45" i="76"/>
  <c r="DQ58" i="76"/>
  <c r="DO49" i="76"/>
  <c r="DN44" i="76"/>
  <c r="DP13" i="76"/>
  <c r="DQ25" i="76"/>
  <c r="DS18" i="76"/>
  <c r="DT35" i="76"/>
  <c r="DU54" i="76"/>
  <c r="DQ46" i="76"/>
  <c r="DQ30" i="76"/>
  <c r="DN47" i="76"/>
  <c r="DP16" i="76"/>
  <c r="DQ36" i="76"/>
  <c r="DR43" i="76"/>
  <c r="DS55" i="76"/>
  <c r="DU18" i="76"/>
  <c r="DZ32" i="76"/>
  <c r="DK40" i="76"/>
  <c r="DN42" i="76"/>
  <c r="DO50" i="76"/>
  <c r="DQ9" i="76"/>
  <c r="DR21" i="76"/>
  <c r="DS41" i="76"/>
  <c r="DU13" i="76"/>
  <c r="DZ27" i="76"/>
  <c r="DU23" i="76"/>
  <c r="DK32" i="76"/>
  <c r="DN12" i="76"/>
  <c r="DO34" i="76"/>
  <c r="DP47" i="76"/>
  <c r="DR30" i="76"/>
  <c r="DS63" i="76"/>
  <c r="DU30" i="76"/>
  <c r="DZ55" i="76"/>
  <c r="DU50" i="76"/>
  <c r="DK60" i="76"/>
  <c r="DK30" i="76"/>
  <c r="DK52" i="76"/>
  <c r="DO40" i="76"/>
  <c r="DP50" i="76"/>
  <c r="DR19" i="76"/>
  <c r="DS36" i="76"/>
  <c r="DT42" i="76"/>
  <c r="DZ11" i="76"/>
  <c r="DS12" i="76"/>
  <c r="DQ41" i="76"/>
  <c r="DN18" i="76"/>
  <c r="DO32" i="76"/>
  <c r="DP60" i="76"/>
  <c r="DR14" i="76"/>
  <c r="DS17" i="76"/>
  <c r="DT34" i="76"/>
  <c r="DU47" i="76"/>
  <c r="DR56" i="76"/>
  <c r="DT50" i="76"/>
  <c r="DS45" i="76"/>
  <c r="DN24" i="76"/>
  <c r="DQ10" i="76"/>
  <c r="DR22" i="76"/>
  <c r="DT45" i="76"/>
  <c r="DT63" i="76"/>
  <c r="DS42" i="76"/>
  <c r="DU15" i="76"/>
  <c r="DO28" i="76"/>
  <c r="DQ21" i="76"/>
  <c r="DQ55" i="76"/>
  <c r="DZ16" i="76"/>
  <c r="AM17" i="74" s="1"/>
  <c r="AE50" i="4" s="1"/>
  <c r="DQ29" i="76"/>
  <c r="DP20" i="76"/>
  <c r="DP15" i="76"/>
  <c r="DK9" i="76"/>
  <c r="DP48" i="76"/>
  <c r="DZ31" i="76"/>
  <c r="DR64" i="76"/>
  <c r="DT32" i="76"/>
  <c r="DU60" i="76"/>
  <c r="DS20" i="76"/>
  <c r="DP32" i="76"/>
  <c r="DN52" i="76"/>
  <c r="DP21" i="76"/>
  <c r="DQ33" i="76"/>
  <c r="DS24" i="76"/>
  <c r="DT38" i="76"/>
  <c r="DU57" i="76"/>
  <c r="DR50" i="76"/>
  <c r="DI63" i="76"/>
  <c r="DN63" i="76"/>
  <c r="DP30" i="76"/>
  <c r="DQ39" i="76"/>
  <c r="DR51" i="76"/>
  <c r="DT16" i="76"/>
  <c r="DU24" i="76"/>
  <c r="DZ43" i="76"/>
  <c r="DI64" i="76"/>
  <c r="DN50" i="76"/>
  <c r="DO56" i="76"/>
  <c r="DQ17" i="76"/>
  <c r="DR27" i="76"/>
  <c r="DS49" i="76"/>
  <c r="DU21" i="76"/>
  <c r="DZ35" i="76"/>
  <c r="DK26" i="76"/>
  <c r="DN28" i="76"/>
  <c r="DN20" i="76"/>
  <c r="DO45" i="76"/>
  <c r="DQ12" i="76"/>
  <c r="DR41" i="76"/>
  <c r="DT14" i="76"/>
  <c r="DU41" i="76"/>
  <c r="DR52" i="76"/>
  <c r="DZ9" i="76"/>
  <c r="DK10" i="76"/>
  <c r="DK41" i="76"/>
  <c r="DN15" i="76"/>
  <c r="DO48" i="76"/>
  <c r="DP56" i="76"/>
  <c r="DR25" i="76"/>
  <c r="DS39" i="76"/>
  <c r="DZ19" i="76"/>
  <c r="AM20" i="74" s="1"/>
  <c r="AE53" i="4" s="1"/>
  <c r="DK14" i="76"/>
  <c r="DO43" i="76"/>
  <c r="DS23" i="76"/>
  <c r="DZ14" i="76"/>
  <c r="AM15" i="74" s="1"/>
  <c r="AE48" i="4" s="1"/>
  <c r="DO51" i="76"/>
  <c r="DR28" i="76"/>
  <c r="DZ22" i="76"/>
  <c r="AM23" i="74" s="1"/>
  <c r="AE56" i="4" s="1"/>
  <c r="DZ28" i="76"/>
  <c r="DK34" i="76"/>
  <c r="DS27" i="76"/>
  <c r="DP25" i="76"/>
  <c r="DO55" i="76"/>
  <c r="DR42" i="76"/>
  <c r="DT9" i="76"/>
  <c r="DR39" i="76"/>
  <c r="DK31" i="76"/>
  <c r="DN38" i="76"/>
  <c r="DK23" i="76"/>
  <c r="DK45" i="76"/>
  <c r="DS15" i="76"/>
  <c r="DT43" i="76"/>
  <c r="DZ12" i="76"/>
  <c r="DS64" i="76"/>
  <c r="DQ16" i="76"/>
  <c r="DO11" i="76"/>
  <c r="DP27" i="76"/>
  <c r="DQ44" i="76"/>
  <c r="DS32" i="76"/>
  <c r="DT46" i="76"/>
  <c r="DZ15" i="76"/>
  <c r="AM16" i="74" s="1"/>
  <c r="AE49" i="4" s="1"/>
  <c r="DS26" i="76"/>
  <c r="DK48" i="76"/>
  <c r="DO14" i="76"/>
  <c r="DP41" i="76"/>
  <c r="DQ47" i="76"/>
  <c r="DS13" i="76"/>
  <c r="DT30" i="76"/>
  <c r="DU32" i="76"/>
  <c r="DZ51" i="76"/>
  <c r="DK18" i="76"/>
  <c r="DN60" i="76"/>
  <c r="DP11" i="76"/>
  <c r="DQ23" i="76"/>
  <c r="DR35" i="76"/>
  <c r="DT11" i="76"/>
  <c r="DU27" i="76"/>
  <c r="DZ38" i="76"/>
  <c r="DN30" i="76"/>
  <c r="DK13" i="76"/>
  <c r="DN26" i="76"/>
  <c r="DO63" i="76"/>
  <c r="DQ20" i="76"/>
  <c r="DR49" i="76"/>
  <c r="DT22" i="76"/>
  <c r="DU49" i="76"/>
  <c r="DQ13" i="76"/>
  <c r="DZ60" i="76"/>
  <c r="DK51" i="76"/>
  <c r="DK55" i="76"/>
  <c r="DN29" i="76"/>
  <c r="DO60" i="76"/>
  <c r="DP63" i="76"/>
  <c r="DR33" i="76"/>
  <c r="DS47" i="76"/>
  <c r="DT56" i="76"/>
  <c r="DZ25" i="76"/>
  <c r="DT29" i="76"/>
  <c r="DK22" i="76"/>
  <c r="DN32" i="76"/>
  <c r="DQ18" i="76"/>
  <c r="DS31" i="76"/>
  <c r="DZ40" i="76"/>
  <c r="DP55" i="76"/>
  <c r="DK27" i="76"/>
  <c r="DU38" i="76"/>
  <c r="DQ34" i="76"/>
  <c r="DN48" i="76"/>
  <c r="DK36" i="76"/>
  <c r="DN21" i="76"/>
  <c r="DO38" i="76"/>
  <c r="DN13" i="76"/>
  <c r="DP24" i="76"/>
  <c r="DS29" i="76"/>
  <c r="DT51" i="76"/>
  <c r="DZ20" i="76"/>
  <c r="AM21" i="74" s="1"/>
  <c r="AE54" i="4" s="1"/>
  <c r="DT60" i="76"/>
  <c r="DK29" i="76"/>
  <c r="DO19" i="76"/>
  <c r="DP35" i="76"/>
  <c r="DR15" i="76"/>
  <c r="DS43" i="76"/>
  <c r="DT64" i="76"/>
  <c r="DZ29" i="76"/>
  <c r="DU31" i="76"/>
  <c r="DJ23" i="76"/>
  <c r="DO22" i="76"/>
  <c r="DP49" i="76"/>
  <c r="DQ56" i="76"/>
  <c r="DS21" i="76"/>
  <c r="DT41" i="76"/>
  <c r="DU43" i="76"/>
  <c r="DS56" i="76"/>
  <c r="DK43" i="76"/>
  <c r="DO9" i="76"/>
  <c r="DP19" i="76"/>
  <c r="DQ31" i="76"/>
  <c r="DR38" i="76"/>
  <c r="DT19" i="76"/>
  <c r="DU35" i="76"/>
  <c r="DZ46" i="76"/>
  <c r="DO16" i="76"/>
  <c r="DK35" i="76"/>
  <c r="DN34" i="76"/>
  <c r="DP14" i="76"/>
  <c r="DQ26" i="76"/>
  <c r="DS11" i="76"/>
  <c r="DT28" i="76"/>
  <c r="DU55" i="76"/>
  <c r="DQ35" i="76"/>
  <c r="DK20" i="76"/>
  <c r="DN22" i="76"/>
  <c r="DK11" i="76"/>
  <c r="DN40" i="76"/>
  <c r="DP9" i="76"/>
  <c r="DQ15" i="76"/>
  <c r="DR44" i="76"/>
  <c r="DS60" i="76"/>
  <c r="DU11" i="76"/>
  <c r="DZ33" i="76"/>
  <c r="DZ17" i="76"/>
  <c r="AM18" i="74" s="1"/>
  <c r="AE51" i="4" s="1"/>
  <c r="DK28" i="76"/>
  <c r="DN43" i="76"/>
  <c r="DP12" i="76"/>
  <c r="DQ24" i="76"/>
  <c r="DR36" i="76"/>
  <c r="DU14" i="76"/>
  <c r="DR10" i="76"/>
  <c r="DO17" i="76"/>
  <c r="DN45" i="76"/>
  <c r="DN49" i="76"/>
  <c r="DU19" i="76"/>
  <c r="DU22" i="76"/>
  <c r="DK50" i="76"/>
  <c r="DK42" i="76"/>
  <c r="DO13" i="76"/>
  <c r="DR12" i="76"/>
  <c r="DS40" i="76"/>
  <c r="DU12" i="76"/>
  <c r="DZ26" i="76"/>
  <c r="DU42" i="76"/>
  <c r="DN11" i="76"/>
  <c r="DO25" i="76"/>
  <c r="DP38" i="76"/>
  <c r="DR29" i="76"/>
  <c r="DS51" i="76"/>
  <c r="DK24" i="76"/>
  <c r="DT49" i="76"/>
  <c r="DR46" i="76"/>
  <c r="DS19" i="76"/>
  <c r="DR63" i="76"/>
  <c r="DQ32" i="76"/>
  <c r="DK17" i="76"/>
  <c r="DN46" i="76"/>
  <c r="DP40" i="76"/>
  <c r="DR20" i="76"/>
  <c r="DS48" i="76"/>
  <c r="DU20" i="76"/>
  <c r="DZ34" i="76"/>
  <c r="DZ42" i="76"/>
  <c r="DN19" i="76"/>
  <c r="DO33" i="76"/>
  <c r="DP46" i="76"/>
  <c r="DR40" i="76"/>
  <c r="DT13" i="76"/>
  <c r="DU29" i="76"/>
  <c r="DZ48" i="76"/>
  <c r="DN41" i="76"/>
  <c r="DN14" i="76"/>
  <c r="DO36" i="76"/>
  <c r="DQ14" i="76"/>
  <c r="DR18" i="76"/>
  <c r="DS35" i="76"/>
  <c r="DT55" i="76"/>
  <c r="DZ10" i="76"/>
  <c r="DR17" i="76"/>
  <c r="DK46" i="76"/>
  <c r="DO23" i="76"/>
  <c r="DP33" i="76"/>
  <c r="DQ50" i="76"/>
  <c r="DR55" i="76"/>
  <c r="DT33" i="76"/>
  <c r="DU46" i="76"/>
  <c r="DR31" i="76"/>
  <c r="DP51" i="76"/>
  <c r="DK16" i="76"/>
  <c r="DO12" i="76"/>
  <c r="DP28" i="76"/>
  <c r="DQ45" i="76"/>
  <c r="DS25" i="76"/>
  <c r="DT39" i="76"/>
  <c r="DZ30" i="76"/>
  <c r="DS34" i="76"/>
  <c r="DO41" i="76"/>
  <c r="DK38" i="76"/>
  <c r="DK25" i="76"/>
  <c r="DN64" i="76"/>
  <c r="DP23" i="76"/>
  <c r="DQ40" i="76"/>
  <c r="DS14" i="76"/>
  <c r="DT17" i="76"/>
  <c r="DU25" i="76"/>
  <c r="DS52" i="76"/>
  <c r="DN55" i="76"/>
  <c r="DK39" i="76"/>
  <c r="DO10" i="76"/>
  <c r="DP26" i="76"/>
  <c r="DQ43" i="76"/>
  <c r="DR47" i="76"/>
  <c r="DT12" i="76"/>
  <c r="DU28" i="76"/>
  <c r="DZ39" i="76"/>
  <c r="DQ42" i="76"/>
  <c r="DP22" i="76"/>
  <c r="DK19" i="76"/>
  <c r="DZ50" i="76"/>
  <c r="DZ36" i="76"/>
  <c r="DN56" i="76"/>
  <c r="DS58" i="76"/>
  <c r="DR58" i="76"/>
  <c r="DP58" i="76"/>
  <c r="DN58" i="76"/>
  <c r="DZ57" i="76"/>
  <c r="DZ59" i="76"/>
  <c r="DU59" i="76"/>
  <c r="DZ62" i="76"/>
  <c r="DU62" i="76"/>
  <c r="BS23" i="76"/>
  <c r="AJ23" i="76"/>
  <c r="F24" i="74" s="1"/>
  <c r="AG23" i="76"/>
  <c r="BV23" i="76"/>
  <c r="CD23" i="76"/>
  <c r="U24" i="74" s="1"/>
  <c r="AE23" i="76"/>
  <c r="CA23" i="76"/>
  <c r="CE23" i="76"/>
  <c r="V24" i="74" s="1"/>
  <c r="BP23" i="76"/>
  <c r="Y23" i="76"/>
  <c r="AA23" i="76"/>
  <c r="AD23" i="76"/>
  <c r="BY23" i="76"/>
  <c r="CC23" i="76"/>
  <c r="W24" i="74" s="1"/>
  <c r="AC23" i="76"/>
  <c r="BO23" i="76"/>
  <c r="BT23" i="76"/>
  <c r="Z23" i="76"/>
  <c r="AL23" i="76"/>
  <c r="I24" i="74" s="1"/>
  <c r="BX23" i="76"/>
  <c r="AF23" i="76"/>
  <c r="BU23" i="76"/>
  <c r="BW23" i="76"/>
  <c r="BZ23" i="76"/>
  <c r="AK23" i="76"/>
  <c r="G24" i="74" s="1"/>
  <c r="DI23" i="76"/>
  <c r="BQ23" i="76"/>
  <c r="AB23" i="76"/>
  <c r="CF23" i="76"/>
  <c r="X24" i="74" s="1"/>
  <c r="AG61" i="76"/>
  <c r="AG60" i="76"/>
  <c r="Y59" i="76"/>
  <c r="Y58" i="76"/>
  <c r="AG57" i="76"/>
  <c r="AG56" i="76"/>
  <c r="Y55" i="76"/>
  <c r="Y54" i="76"/>
  <c r="AG52" i="76"/>
  <c r="Y51" i="76"/>
  <c r="Y50" i="76"/>
  <c r="Y49" i="76"/>
  <c r="AG48" i="76"/>
  <c r="AG47" i="76"/>
  <c r="AG46" i="76"/>
  <c r="Y45" i="76"/>
  <c r="AG44" i="76"/>
  <c r="AG43" i="76"/>
  <c r="Y42" i="76"/>
  <c r="Y41" i="76"/>
  <c r="AG40" i="76"/>
  <c r="Y39" i="76"/>
  <c r="Y36" i="76"/>
  <c r="AG35" i="76"/>
  <c r="Y34" i="76"/>
  <c r="AG33" i="76"/>
  <c r="Y32" i="76"/>
  <c r="AG31" i="76"/>
  <c r="AG30" i="76"/>
  <c r="Y29" i="76"/>
  <c r="AG28" i="76"/>
  <c r="Y27" i="76"/>
  <c r="Y26" i="76"/>
  <c r="Y25" i="76"/>
  <c r="Y24" i="76"/>
  <c r="AG21" i="76"/>
  <c r="AG20" i="76"/>
  <c r="Y19" i="76"/>
  <c r="AG17" i="76"/>
  <c r="AG16" i="76"/>
  <c r="Y15" i="76"/>
  <c r="AG13" i="76"/>
  <c r="Z9" i="76"/>
  <c r="AF61" i="76"/>
  <c r="AF60" i="76"/>
  <c r="AF59" i="76"/>
  <c r="AF58" i="76"/>
  <c r="AF57" i="76"/>
  <c r="AF56" i="76"/>
  <c r="AF55" i="76"/>
  <c r="AI58" i="76"/>
  <c r="Z52" i="76"/>
  <c r="Z47" i="76"/>
  <c r="AI45" i="76"/>
  <c r="H47" i="74" s="1"/>
  <c r="Z40" i="76"/>
  <c r="Z34" i="76"/>
  <c r="AI31" i="76"/>
  <c r="Z30" i="76"/>
  <c r="Z28" i="76"/>
  <c r="AI26" i="76"/>
  <c r="Z25" i="76"/>
  <c r="AI21" i="76"/>
  <c r="H22" i="74" s="1"/>
  <c r="H55" i="4" s="1"/>
  <c r="Z20" i="76"/>
  <c r="AA9" i="76"/>
  <c r="Y61" i="76"/>
  <c r="Y60" i="76"/>
  <c r="AG59" i="76"/>
  <c r="AG58" i="76"/>
  <c r="Y57" i="76"/>
  <c r="Y56" i="76"/>
  <c r="AG55" i="76"/>
  <c r="AG54" i="76"/>
  <c r="Y52" i="76"/>
  <c r="AG51" i="76"/>
  <c r="AG50" i="76"/>
  <c r="AG49" i="76"/>
  <c r="Y48" i="76"/>
  <c r="Y47" i="76"/>
  <c r="Y46" i="76"/>
  <c r="AG45" i="76"/>
  <c r="Y44" i="76"/>
  <c r="Y43" i="76"/>
  <c r="AG42" i="76"/>
  <c r="AG41" i="76"/>
  <c r="Y40" i="76"/>
  <c r="AG39" i="76"/>
  <c r="AG36" i="76"/>
  <c r="Y35" i="76"/>
  <c r="AG34" i="76"/>
  <c r="Y33" i="76"/>
  <c r="AG32" i="76"/>
  <c r="Y31" i="76"/>
  <c r="Y30" i="76"/>
  <c r="AG29" i="76"/>
  <c r="Y28" i="76"/>
  <c r="AG27" i="76"/>
  <c r="AG26" i="76"/>
  <c r="AG25" i="76"/>
  <c r="AG24" i="76"/>
  <c r="Y22" i="76"/>
  <c r="Y20" i="76"/>
  <c r="AG18" i="76"/>
  <c r="Y16" i="76"/>
  <c r="AG9" i="76"/>
  <c r="Y9" i="76"/>
  <c r="AE61" i="76"/>
  <c r="AE60" i="76"/>
  <c r="AE59" i="76"/>
  <c r="AE58" i="76"/>
  <c r="AE57" i="76"/>
  <c r="AE56" i="76"/>
  <c r="AE55" i="76"/>
  <c r="AE54" i="76"/>
  <c r="AE52" i="76"/>
  <c r="AE51" i="76"/>
  <c r="AI56" i="76"/>
  <c r="Z50" i="76"/>
  <c r="AI48" i="76"/>
  <c r="H50" i="74" s="1"/>
  <c r="Z43" i="76"/>
  <c r="Z36" i="76"/>
  <c r="AI33" i="76"/>
  <c r="AD60" i="76"/>
  <c r="AD56" i="76"/>
  <c r="AD51" i="76"/>
  <c r="AD47" i="76"/>
  <c r="AD42" i="76"/>
  <c r="AD36" i="76"/>
  <c r="AD34" i="76"/>
  <c r="AD31" i="76"/>
  <c r="AD30" i="76"/>
  <c r="AD27" i="76"/>
  <c r="AD26" i="76"/>
  <c r="AD22" i="76"/>
  <c r="AD21" i="76"/>
  <c r="AD19" i="76"/>
  <c r="U17" i="76"/>
  <c r="U16" i="76"/>
  <c r="U14" i="76"/>
  <c r="AD13" i="76"/>
  <c r="U13" i="76"/>
  <c r="AD12" i="76"/>
  <c r="AL11" i="76"/>
  <c r="AC11" i="76"/>
  <c r="AK10" i="76"/>
  <c r="AB10" i="76"/>
  <c r="AF62" i="76"/>
  <c r="AF63" i="76"/>
  <c r="AF64" i="76"/>
  <c r="BS9" i="76"/>
  <c r="BS10" i="76"/>
  <c r="CA10" i="76"/>
  <c r="BS11" i="76"/>
  <c r="CA11" i="76"/>
  <c r="BS12" i="76"/>
  <c r="CA12" i="76"/>
  <c r="BS13" i="76"/>
  <c r="CA13" i="76"/>
  <c r="BS14" i="76"/>
  <c r="CA14" i="76"/>
  <c r="BS15" i="76"/>
  <c r="CA15" i="76"/>
  <c r="BS16" i="76"/>
  <c r="CA16" i="76"/>
  <c r="BS17" i="76"/>
  <c r="CA17" i="76"/>
  <c r="BS18" i="76"/>
  <c r="CA18" i="76"/>
  <c r="BS19" i="76"/>
  <c r="CA19" i="76"/>
  <c r="BS20" i="76"/>
  <c r="CA20" i="76"/>
  <c r="BS21" i="76"/>
  <c r="CA21" i="76"/>
  <c r="BS22" i="76"/>
  <c r="CA22" i="76"/>
  <c r="BS24" i="76"/>
  <c r="AI54" i="76"/>
  <c r="Z46" i="76"/>
  <c r="Z41" i="76"/>
  <c r="AI40" i="76"/>
  <c r="H42" i="74" s="1"/>
  <c r="AI36" i="76"/>
  <c r="AI34" i="76"/>
  <c r="AF9" i="76"/>
  <c r="AD58" i="76"/>
  <c r="AD54" i="76"/>
  <c r="AD49" i="76"/>
  <c r="AD45" i="76"/>
  <c r="AD41" i="76"/>
  <c r="AD35" i="76"/>
  <c r="AD33" i="76"/>
  <c r="AD32" i="76"/>
  <c r="U31" i="76"/>
  <c r="U29" i="76"/>
  <c r="U27" i="76"/>
  <c r="U25" i="76"/>
  <c r="U22" i="76"/>
  <c r="U20" i="76"/>
  <c r="U18" i="76"/>
  <c r="AD15" i="76"/>
  <c r="AC61" i="76"/>
  <c r="AL59" i="76"/>
  <c r="AC58" i="76"/>
  <c r="AL56" i="76"/>
  <c r="AL55" i="76"/>
  <c r="AC54" i="76"/>
  <c r="AL52" i="76"/>
  <c r="AC52" i="76"/>
  <c r="AL51" i="76"/>
  <c r="I53" i="74" s="1"/>
  <c r="AC51" i="76"/>
  <c r="AL50" i="76"/>
  <c r="I52" i="74" s="1"/>
  <c r="AC50" i="76"/>
  <c r="AL49" i="76"/>
  <c r="I51" i="74" s="1"/>
  <c r="AC49" i="76"/>
  <c r="AL48" i="76"/>
  <c r="I50" i="74" s="1"/>
  <c r="AC48" i="76"/>
  <c r="AL47" i="76"/>
  <c r="I49" i="74" s="1"/>
  <c r="AC47" i="76"/>
  <c r="AL46" i="76"/>
  <c r="I48" i="74" s="1"/>
  <c r="AC46" i="76"/>
  <c r="AL45" i="76"/>
  <c r="I47" i="74" s="1"/>
  <c r="AC45" i="76"/>
  <c r="AL44" i="76"/>
  <c r="I46" i="74" s="1"/>
  <c r="AC44" i="76"/>
  <c r="AL43" i="76"/>
  <c r="I45" i="74" s="1"/>
  <c r="AC43" i="76"/>
  <c r="AL42" i="76"/>
  <c r="I44" i="74" s="1"/>
  <c r="AC42" i="76"/>
  <c r="AL41" i="76"/>
  <c r="I43" i="74" s="1"/>
  <c r="AC41" i="76"/>
  <c r="AL40" i="76"/>
  <c r="I42" i="74" s="1"/>
  <c r="AC40" i="76"/>
  <c r="AL39" i="76"/>
  <c r="I41" i="74" s="1"/>
  <c r="AC39" i="76"/>
  <c r="AL36" i="76"/>
  <c r="AC36" i="76"/>
  <c r="AL35" i="76"/>
  <c r="AC35" i="76"/>
  <c r="AL34" i="76"/>
  <c r="AC34" i="76"/>
  <c r="AL33" i="76"/>
  <c r="AC33" i="76"/>
  <c r="AL32" i="76"/>
  <c r="AC32" i="76"/>
  <c r="AK9" i="76"/>
  <c r="AI61" i="76"/>
  <c r="AI60" i="76"/>
  <c r="Z55" i="76"/>
  <c r="Z49" i="76"/>
  <c r="AI47" i="76"/>
  <c r="H49" i="74" s="1"/>
  <c r="Z42" i="76"/>
  <c r="Z33" i="76"/>
  <c r="AD59" i="76"/>
  <c r="AD55" i="76"/>
  <c r="AD50" i="76"/>
  <c r="AD46" i="76"/>
  <c r="AD43" i="76"/>
  <c r="AD39" i="76"/>
  <c r="U34" i="76"/>
  <c r="U33" i="76"/>
  <c r="U30" i="76"/>
  <c r="U28" i="76"/>
  <c r="U26" i="76"/>
  <c r="U24" i="76"/>
  <c r="U21" i="76"/>
  <c r="AD18" i="76"/>
  <c r="AD16" i="76"/>
  <c r="AD14" i="76"/>
  <c r="AL61" i="76"/>
  <c r="AC60" i="76"/>
  <c r="AL58" i="76"/>
  <c r="AC57" i="76"/>
  <c r="AL54" i="76"/>
  <c r="AD9" i="76"/>
  <c r="AK61" i="76"/>
  <c r="AB60" i="76"/>
  <c r="AB59" i="76"/>
  <c r="AK58" i="76"/>
  <c r="AK57" i="76"/>
  <c r="AB56" i="76"/>
  <c r="AK55" i="76"/>
  <c r="AB54" i="76"/>
  <c r="AK52" i="76"/>
  <c r="AB52" i="76"/>
  <c r="AK51" i="76"/>
  <c r="G53" i="74" s="1"/>
  <c r="AB51" i="76"/>
  <c r="AK50" i="76"/>
  <c r="G52" i="74" s="1"/>
  <c r="AB50" i="76"/>
  <c r="AK49" i="76"/>
  <c r="G51" i="74" s="1"/>
  <c r="AB49" i="76"/>
  <c r="AK48" i="76"/>
  <c r="G50" i="74" s="1"/>
  <c r="AB48" i="76"/>
  <c r="AK47" i="76"/>
  <c r="G49" i="74" s="1"/>
  <c r="AB47" i="76"/>
  <c r="AK46" i="76"/>
  <c r="G48" i="74" s="1"/>
  <c r="AB46" i="76"/>
  <c r="AK45" i="76"/>
  <c r="G47" i="74" s="1"/>
  <c r="AB45" i="76"/>
  <c r="AK44" i="76"/>
  <c r="G46" i="74" s="1"/>
  <c r="AB44" i="76"/>
  <c r="AK43" i="76"/>
  <c r="G45" i="74" s="1"/>
  <c r="AB43" i="76"/>
  <c r="AK42" i="76"/>
  <c r="G44" i="74" s="1"/>
  <c r="AB42" i="76"/>
  <c r="AK41" i="76"/>
  <c r="G43" i="74" s="1"/>
  <c r="AB41" i="76"/>
  <c r="AK40" i="76"/>
  <c r="G42" i="74" s="1"/>
  <c r="AB40" i="76"/>
  <c r="AK39" i="76"/>
  <c r="G41" i="74" s="1"/>
  <c r="G16" i="2" s="1"/>
  <c r="E16" i="82" s="1"/>
  <c r="AB39" i="76"/>
  <c r="AK36" i="76"/>
  <c r="AB36" i="76"/>
  <c r="AK35" i="76"/>
  <c r="AB35" i="76"/>
  <c r="AK34" i="76"/>
  <c r="AE50" i="76"/>
  <c r="AE49" i="76"/>
  <c r="AE48" i="76"/>
  <c r="AE47" i="76"/>
  <c r="AE46" i="76"/>
  <c r="AE45" i="76"/>
  <c r="AE44" i="76"/>
  <c r="AE43" i="76"/>
  <c r="AE42" i="76"/>
  <c r="AE41" i="76"/>
  <c r="AE40" i="76"/>
  <c r="AE39" i="76"/>
  <c r="AE36" i="76"/>
  <c r="AE35" i="76"/>
  <c r="AE34" i="76"/>
  <c r="AE33" i="76"/>
  <c r="AE32" i="76"/>
  <c r="AE31" i="76"/>
  <c r="AE30" i="76"/>
  <c r="AE29" i="76"/>
  <c r="AE28" i="76"/>
  <c r="AE27" i="76"/>
  <c r="AE26" i="76"/>
  <c r="AE25" i="76"/>
  <c r="AE24" i="76"/>
  <c r="AE22" i="76"/>
  <c r="AE21" i="76"/>
  <c r="AE20" i="76"/>
  <c r="AE19" i="76"/>
  <c r="AE18" i="76"/>
  <c r="AE17" i="76"/>
  <c r="AE16" i="76"/>
  <c r="AE15" i="76"/>
  <c r="AE14" i="76"/>
  <c r="AE13" i="76"/>
  <c r="AE12" i="76"/>
  <c r="U12" i="76"/>
  <c r="AD11" i="76"/>
  <c r="AL10" i="76"/>
  <c r="AC10" i="76"/>
  <c r="AE62" i="76"/>
  <c r="AE63" i="76"/>
  <c r="AE64" i="76"/>
  <c r="BQ9" i="76"/>
  <c r="BQ10" i="76"/>
  <c r="BZ10" i="76"/>
  <c r="BQ11" i="76"/>
  <c r="BZ11" i="76"/>
  <c r="BQ12" i="76"/>
  <c r="BZ12" i="76"/>
  <c r="BQ13" i="76"/>
  <c r="BZ13" i="76"/>
  <c r="BQ14" i="76"/>
  <c r="BZ14" i="76"/>
  <c r="BQ15" i="76"/>
  <c r="BZ15" i="76"/>
  <c r="BQ16" i="76"/>
  <c r="BZ16" i="76"/>
  <c r="BQ17" i="76"/>
  <c r="BZ17" i="76"/>
  <c r="BQ18" i="76"/>
  <c r="BZ18" i="76"/>
  <c r="BQ19" i="76"/>
  <c r="BZ19" i="76"/>
  <c r="BQ20" i="76"/>
  <c r="BZ20" i="76"/>
  <c r="BQ21" i="76"/>
  <c r="BZ21" i="76"/>
  <c r="BQ22" i="76"/>
  <c r="BZ22" i="76"/>
  <c r="BQ24" i="76"/>
  <c r="BZ24" i="76"/>
  <c r="BQ25" i="76"/>
  <c r="BZ25" i="76"/>
  <c r="BQ26" i="76"/>
  <c r="BZ26" i="76"/>
  <c r="BQ27" i="76"/>
  <c r="BZ27" i="76"/>
  <c r="BQ28" i="76"/>
  <c r="BZ28" i="76"/>
  <c r="BQ29" i="76"/>
  <c r="BZ29" i="76"/>
  <c r="BQ30" i="76"/>
  <c r="BZ30" i="76"/>
  <c r="AL31" i="76"/>
  <c r="AC31" i="76"/>
  <c r="AL30" i="76"/>
  <c r="AC30" i="76"/>
  <c r="AL29" i="76"/>
  <c r="AC29" i="76"/>
  <c r="AL28" i="76"/>
  <c r="AC28" i="76"/>
  <c r="AL27" i="76"/>
  <c r="AC27" i="76"/>
  <c r="AL26" i="76"/>
  <c r="AC26" i="76"/>
  <c r="AL25" i="76"/>
  <c r="AC25" i="76"/>
  <c r="AL24" i="76"/>
  <c r="AC24" i="76"/>
  <c r="AL22" i="76"/>
  <c r="I23" i="74" s="1"/>
  <c r="I56" i="4" s="1"/>
  <c r="AC22" i="76"/>
  <c r="AL21" i="76"/>
  <c r="I22" i="74" s="1"/>
  <c r="I55" i="4" s="1"/>
  <c r="AC21" i="76"/>
  <c r="AL20" i="76"/>
  <c r="I21" i="74" s="1"/>
  <c r="I54" i="4" s="1"/>
  <c r="AC20" i="76"/>
  <c r="AL19" i="76"/>
  <c r="I20" i="74" s="1"/>
  <c r="I53" i="4" s="1"/>
  <c r="AC19" i="76"/>
  <c r="AL18" i="76"/>
  <c r="I19" i="74" s="1"/>
  <c r="I52" i="4" s="1"/>
  <c r="AC18" i="76"/>
  <c r="AL17" i="76"/>
  <c r="I18" i="74" s="1"/>
  <c r="I51" i="4" s="1"/>
  <c r="AC17" i="76"/>
  <c r="AL16" i="76"/>
  <c r="I17" i="74" s="1"/>
  <c r="I50" i="4" s="1"/>
  <c r="AC16" i="76"/>
  <c r="AL15" i="76"/>
  <c r="I16" i="74" s="1"/>
  <c r="I49" i="4" s="1"/>
  <c r="AC15" i="76"/>
  <c r="AL14" i="76"/>
  <c r="I15" i="74" s="1"/>
  <c r="AC14" i="76"/>
  <c r="AL13" i="76"/>
  <c r="AC13" i="76"/>
  <c r="AL12" i="76"/>
  <c r="AC12" i="76"/>
  <c r="AK11" i="76"/>
  <c r="AB11" i="76"/>
  <c r="AJ10" i="76"/>
  <c r="AA10" i="76"/>
  <c r="Y62" i="76"/>
  <c r="AG62" i="76"/>
  <c r="Y63" i="76"/>
  <c r="AG63" i="76"/>
  <c r="Y64" i="76"/>
  <c r="AG64" i="76"/>
  <c r="BT9" i="76"/>
  <c r="BT10" i="76"/>
  <c r="CC10" i="76"/>
  <c r="BT11" i="76"/>
  <c r="CC11" i="76"/>
  <c r="BT12" i="76"/>
  <c r="CC12" i="76"/>
  <c r="BT13" i="76"/>
  <c r="CC13" i="76"/>
  <c r="BT14" i="76"/>
  <c r="CC14" i="76"/>
  <c r="W15" i="74" s="1"/>
  <c r="T48" i="4" s="1"/>
  <c r="BT15" i="76"/>
  <c r="CC15" i="76"/>
  <c r="W16" i="74" s="1"/>
  <c r="T49" i="4" s="1"/>
  <c r="BT16" i="76"/>
  <c r="CC16" i="76"/>
  <c r="W17" i="74" s="1"/>
  <c r="T50" i="4" s="1"/>
  <c r="BT17" i="76"/>
  <c r="CC17" i="76"/>
  <c r="W18" i="74" s="1"/>
  <c r="T51" i="4" s="1"/>
  <c r="BT18" i="76"/>
  <c r="CC18" i="76"/>
  <c r="W19" i="74" s="1"/>
  <c r="T52" i="4" s="1"/>
  <c r="BT19" i="76"/>
  <c r="CC19" i="76"/>
  <c r="W20" i="74" s="1"/>
  <c r="T53" i="4" s="1"/>
  <c r="BT20" i="76"/>
  <c r="CC20" i="76"/>
  <c r="W21" i="74" s="1"/>
  <c r="T54" i="4" s="1"/>
  <c r="BT21" i="76"/>
  <c r="CC21" i="76"/>
  <c r="W22" i="74" s="1"/>
  <c r="T55" i="4" s="1"/>
  <c r="BT22" i="76"/>
  <c r="CC22" i="76"/>
  <c r="W23" i="74" s="1"/>
  <c r="T56" i="4" s="1"/>
  <c r="BT24" i="76"/>
  <c r="CC24" i="76"/>
  <c r="BT25" i="76"/>
  <c r="CC25" i="76"/>
  <c r="BT26" i="76"/>
  <c r="AB34" i="76"/>
  <c r="AK33" i="76"/>
  <c r="AB33" i="76"/>
  <c r="AK32" i="76"/>
  <c r="AB32" i="76"/>
  <c r="AK31" i="76"/>
  <c r="AB31" i="76"/>
  <c r="AK30" i="76"/>
  <c r="AB30" i="76"/>
  <c r="AK29" i="76"/>
  <c r="AB29" i="76"/>
  <c r="AK28" i="76"/>
  <c r="AB28" i="76"/>
  <c r="AK27" i="76"/>
  <c r="AB27" i="76"/>
  <c r="AK26" i="76"/>
  <c r="G10" i="74" s="1"/>
  <c r="AB26" i="76"/>
  <c r="AK25" i="76"/>
  <c r="AB25" i="76"/>
  <c r="AK24" i="76"/>
  <c r="AB24" i="76"/>
  <c r="AK22" i="76"/>
  <c r="G23" i="74" s="1"/>
  <c r="G56" i="4" s="1"/>
  <c r="AB22" i="76"/>
  <c r="AK21" i="76"/>
  <c r="G22" i="74" s="1"/>
  <c r="G55" i="4" s="1"/>
  <c r="AB21" i="76"/>
  <c r="AK20" i="76"/>
  <c r="G21" i="74" s="1"/>
  <c r="G54" i="4" s="1"/>
  <c r="AB20" i="76"/>
  <c r="AK19" i="76"/>
  <c r="G20" i="74" s="1"/>
  <c r="G53" i="4" s="1"/>
  <c r="AB19" i="76"/>
  <c r="AK18" i="76"/>
  <c r="G19" i="74" s="1"/>
  <c r="G52" i="4" s="1"/>
  <c r="AB18" i="76"/>
  <c r="AK17" i="76"/>
  <c r="G18" i="74" s="1"/>
  <c r="G51" i="4" s="1"/>
  <c r="AB17" i="76"/>
  <c r="AK16" i="76"/>
  <c r="G17" i="74" s="1"/>
  <c r="G50" i="4" s="1"/>
  <c r="AB16" i="76"/>
  <c r="AK15" i="76"/>
  <c r="G16" i="74" s="1"/>
  <c r="G49" i="4" s="1"/>
  <c r="AB15" i="76"/>
  <c r="AK14" i="76"/>
  <c r="G15" i="74" s="1"/>
  <c r="G48" i="4" s="1"/>
  <c r="AB14" i="76"/>
  <c r="AK13" i="76"/>
  <c r="AB13" i="76"/>
  <c r="AK12" i="76"/>
  <c r="AB12" i="76"/>
  <c r="AJ11" i="76"/>
  <c r="AA11" i="76"/>
  <c r="Z10" i="76"/>
  <c r="Z62" i="76"/>
  <c r="AI62" i="76"/>
  <c r="Z63" i="76"/>
  <c r="AI63" i="76"/>
  <c r="Z64" i="76"/>
  <c r="AI64" i="76"/>
  <c r="BU10" i="76"/>
  <c r="CD10" i="76"/>
  <c r="BU11" i="76"/>
  <c r="CD11" i="76"/>
  <c r="BU12" i="76"/>
  <c r="CD12" i="76"/>
  <c r="BU13" i="76"/>
  <c r="CD13" i="76"/>
  <c r="BU14" i="76"/>
  <c r="CD14" i="76"/>
  <c r="U15" i="74" s="1"/>
  <c r="R48" i="4" s="1"/>
  <c r="BU15" i="76"/>
  <c r="CD15" i="76"/>
  <c r="U16" i="74" s="1"/>
  <c r="R49" i="4" s="1"/>
  <c r="BU16" i="76"/>
  <c r="CD16" i="76"/>
  <c r="U17" i="74" s="1"/>
  <c r="R50" i="4" s="1"/>
  <c r="BU17" i="76"/>
  <c r="CD17" i="76"/>
  <c r="U18" i="74" s="1"/>
  <c r="R51" i="4" s="1"/>
  <c r="BU18" i="76"/>
  <c r="CD18" i="76"/>
  <c r="U19" i="74" s="1"/>
  <c r="R52" i="4" s="1"/>
  <c r="BU19" i="76"/>
  <c r="CD19" i="76"/>
  <c r="U20" i="74" s="1"/>
  <c r="R53" i="4" s="1"/>
  <c r="BU20" i="76"/>
  <c r="CD20" i="76"/>
  <c r="U21" i="74" s="1"/>
  <c r="R54" i="4" s="1"/>
  <c r="BU21" i="76"/>
  <c r="CD21" i="76"/>
  <c r="U22" i="74" s="1"/>
  <c r="R55" i="4" s="1"/>
  <c r="BU22" i="76"/>
  <c r="CD22" i="76"/>
  <c r="U23" i="74" s="1"/>
  <c r="R56" i="4" s="1"/>
  <c r="BU24" i="76"/>
  <c r="CD24" i="76"/>
  <c r="BU25" i="76"/>
  <c r="CD25" i="76"/>
  <c r="BU26" i="76"/>
  <c r="CD26" i="76"/>
  <c r="BU27" i="76"/>
  <c r="CD27" i="76"/>
  <c r="AJ47" i="76"/>
  <c r="F49" i="74" s="1"/>
  <c r="AA47" i="76"/>
  <c r="AJ46" i="76"/>
  <c r="F48" i="74" s="1"/>
  <c r="AA46" i="76"/>
  <c r="AJ45" i="76"/>
  <c r="F47" i="74" s="1"/>
  <c r="AA45" i="76"/>
  <c r="AJ44" i="76"/>
  <c r="F46" i="74" s="1"/>
  <c r="AA44" i="76"/>
  <c r="AJ43" i="76"/>
  <c r="F45" i="74" s="1"/>
  <c r="AA43" i="76"/>
  <c r="AJ42" i="76"/>
  <c r="F44" i="74" s="1"/>
  <c r="AA42" i="76"/>
  <c r="AJ41" i="76"/>
  <c r="F43" i="74" s="1"/>
  <c r="AA41" i="76"/>
  <c r="AJ40" i="76"/>
  <c r="F42" i="74" s="1"/>
  <c r="AA40" i="76"/>
  <c r="AJ39" i="76"/>
  <c r="F41" i="74" s="1"/>
  <c r="F16" i="2" s="1"/>
  <c r="E17" i="12" s="1"/>
  <c r="I17" i="12" s="1"/>
  <c r="AA39" i="76"/>
  <c r="AJ36" i="76"/>
  <c r="AA36" i="76"/>
  <c r="AJ35" i="76"/>
  <c r="AA35" i="76"/>
  <c r="AJ34" i="76"/>
  <c r="AA34" i="76"/>
  <c r="AJ33" i="76"/>
  <c r="AA33" i="76"/>
  <c r="AJ32" i="76"/>
  <c r="AA32" i="76"/>
  <c r="AJ31" i="76"/>
  <c r="AA31" i="76"/>
  <c r="AJ30" i="76"/>
  <c r="AA30" i="76"/>
  <c r="AJ29" i="76"/>
  <c r="AA29" i="76"/>
  <c r="AJ28" i="76"/>
  <c r="AA28" i="76"/>
  <c r="AJ27" i="76"/>
  <c r="AA27" i="76"/>
  <c r="AJ26" i="76"/>
  <c r="AA26" i="76"/>
  <c r="AJ25" i="76"/>
  <c r="AA25" i="76"/>
  <c r="AJ24" i="76"/>
  <c r="AA24" i="76"/>
  <c r="AJ22" i="76"/>
  <c r="F23" i="74" s="1"/>
  <c r="F56" i="4" s="1"/>
  <c r="AA22" i="76"/>
  <c r="AJ21" i="76"/>
  <c r="F22" i="74" s="1"/>
  <c r="F55" i="4" s="1"/>
  <c r="AA21" i="76"/>
  <c r="AJ20" i="76"/>
  <c r="F21" i="74" s="1"/>
  <c r="F54" i="4" s="1"/>
  <c r="AA20" i="76"/>
  <c r="AJ19" i="76"/>
  <c r="F20" i="74" s="1"/>
  <c r="F53" i="4" s="1"/>
  <c r="AA19" i="76"/>
  <c r="AJ18" i="76"/>
  <c r="F19" i="74" s="1"/>
  <c r="F52" i="4" s="1"/>
  <c r="AA18" i="76"/>
  <c r="AJ17" i="76"/>
  <c r="F18" i="74" s="1"/>
  <c r="F51" i="4" s="1"/>
  <c r="AA17" i="76"/>
  <c r="AJ16" i="76"/>
  <c r="F17" i="74" s="1"/>
  <c r="F50" i="4" s="1"/>
  <c r="AA16" i="76"/>
  <c r="AJ15" i="76"/>
  <c r="F16" i="74" s="1"/>
  <c r="F49" i="4" s="1"/>
  <c r="AA15" i="76"/>
  <c r="AJ14" i="76"/>
  <c r="F15" i="74" s="1"/>
  <c r="F48" i="4" s="1"/>
  <c r="AA14" i="76"/>
  <c r="AJ13" i="76"/>
  <c r="AA13" i="76"/>
  <c r="AJ12" i="76"/>
  <c r="AA12" i="76"/>
  <c r="AI11" i="76"/>
  <c r="Z11" i="76"/>
  <c r="AG10" i="76"/>
  <c r="Y10" i="76"/>
  <c r="AA62" i="76"/>
  <c r="AJ62" i="76"/>
  <c r="AA63" i="76"/>
  <c r="AJ63" i="76"/>
  <c r="AA64" i="76"/>
  <c r="AJ64" i="76"/>
  <c r="BV9" i="76"/>
  <c r="CE9" i="76"/>
  <c r="BV10" i="76"/>
  <c r="CE10" i="76"/>
  <c r="BV11" i="76"/>
  <c r="CE11" i="76"/>
  <c r="BV12" i="76"/>
  <c r="CE12" i="76"/>
  <c r="BW16" i="76"/>
  <c r="CF16" i="76"/>
  <c r="X17" i="74" s="1"/>
  <c r="U50" i="4" s="1"/>
  <c r="BW17" i="76"/>
  <c r="CF17" i="76"/>
  <c r="X18" i="74" s="1"/>
  <c r="U51" i="4" s="1"/>
  <c r="BW18" i="76"/>
  <c r="CF18" i="76"/>
  <c r="X19" i="74" s="1"/>
  <c r="U52" i="4" s="1"/>
  <c r="BW19" i="76"/>
  <c r="CF19" i="76"/>
  <c r="X20" i="74" s="1"/>
  <c r="U53" i="4" s="1"/>
  <c r="BW20" i="76"/>
  <c r="CF20" i="76"/>
  <c r="X21" i="74" s="1"/>
  <c r="U54" i="4" s="1"/>
  <c r="BW21" i="76"/>
  <c r="CF21" i="76"/>
  <c r="X22" i="74" s="1"/>
  <c r="U55" i="4" s="1"/>
  <c r="BW22" i="76"/>
  <c r="CF22" i="76"/>
  <c r="X23" i="74" s="1"/>
  <c r="U56" i="4" s="1"/>
  <c r="BW24" i="76"/>
  <c r="CF24" i="76"/>
  <c r="BW25" i="76"/>
  <c r="CF25" i="76"/>
  <c r="BW26" i="76"/>
  <c r="CF26" i="76"/>
  <c r="BW27" i="76"/>
  <c r="CF27" i="76"/>
  <c r="BW28" i="76"/>
  <c r="CF28" i="76"/>
  <c r="BW29" i="76"/>
  <c r="CF29" i="76"/>
  <c r="X4" i="76" s="1"/>
  <c r="BW30" i="76"/>
  <c r="CF30" i="76"/>
  <c r="BW31" i="76"/>
  <c r="CF31" i="76"/>
  <c r="BW32" i="76"/>
  <c r="CF32" i="76"/>
  <c r="BW33" i="76"/>
  <c r="CF33" i="76"/>
  <c r="BW34" i="76"/>
  <c r="CF34" i="76"/>
  <c r="BW35" i="76"/>
  <c r="CF35" i="76"/>
  <c r="BW36" i="76"/>
  <c r="CF36" i="76"/>
  <c r="BW37" i="76"/>
  <c r="CD38" i="76"/>
  <c r="BW39" i="76"/>
  <c r="CF39" i="76"/>
  <c r="BW40" i="76"/>
  <c r="CF40" i="76"/>
  <c r="BW41" i="76"/>
  <c r="CF41" i="76"/>
  <c r="BW42" i="76"/>
  <c r="CF42" i="76"/>
  <c r="BW43" i="76"/>
  <c r="CF43" i="76"/>
  <c r="BW44" i="76"/>
  <c r="CF44" i="76"/>
  <c r="BW45" i="76"/>
  <c r="CF45" i="76"/>
  <c r="BW46" i="76"/>
  <c r="CF46" i="76"/>
  <c r="BW47" i="76"/>
  <c r="CF47" i="76"/>
  <c r="BW48" i="76"/>
  <c r="CF48" i="76"/>
  <c r="BW49" i="76"/>
  <c r="CF49" i="76"/>
  <c r="BW50" i="76"/>
  <c r="CF50" i="76"/>
  <c r="BW51" i="76"/>
  <c r="CF51" i="76"/>
  <c r="BW52" i="76"/>
  <c r="CF52" i="76"/>
  <c r="BW53" i="76"/>
  <c r="CF53" i="76"/>
  <c r="BW54" i="76"/>
  <c r="CF54" i="76"/>
  <c r="BW55" i="76"/>
  <c r="CF55" i="76"/>
  <c r="BW56" i="76"/>
  <c r="CF56" i="76"/>
  <c r="BW57" i="76"/>
  <c r="CF57" i="76"/>
  <c r="BW58" i="76"/>
  <c r="CF58" i="76"/>
  <c r="BW59" i="76"/>
  <c r="CF59" i="76"/>
  <c r="BW60" i="76"/>
  <c r="CF60" i="76"/>
  <c r="BW61" i="76"/>
  <c r="CF61" i="76"/>
  <c r="BW62" i="76"/>
  <c r="CF62" i="76"/>
  <c r="BW63" i="76"/>
  <c r="CF63" i="76"/>
  <c r="BW64" i="76"/>
  <c r="CD64" i="76"/>
  <c r="BX10" i="76"/>
  <c r="BX11" i="76"/>
  <c r="BX12" i="76"/>
  <c r="BX13" i="76"/>
  <c r="BX14" i="76"/>
  <c r="BX15" i="76"/>
  <c r="BX16" i="76"/>
  <c r="BX17" i="76"/>
  <c r="BX18" i="76"/>
  <c r="BX19" i="76"/>
  <c r="BX20" i="76"/>
  <c r="BX21" i="76"/>
  <c r="BX22" i="76"/>
  <c r="BO24" i="76"/>
  <c r="BX24" i="76"/>
  <c r="BO25" i="76"/>
  <c r="BX25" i="76"/>
  <c r="BO26" i="76"/>
  <c r="BX26" i="76"/>
  <c r="BO27" i="76"/>
  <c r="BX27" i="76"/>
  <c r="BO28" i="76"/>
  <c r="BX28" i="76"/>
  <c r="BO29" i="76"/>
  <c r="BX29" i="76"/>
  <c r="BO30" i="76"/>
  <c r="BX30" i="76"/>
  <c r="BO31" i="76"/>
  <c r="BX31" i="76"/>
  <c r="BO32" i="76"/>
  <c r="BX32" i="76"/>
  <c r="BO33" i="76"/>
  <c r="BX33" i="76"/>
  <c r="BO34" i="76"/>
  <c r="BX34" i="76"/>
  <c r="BO35" i="76"/>
  <c r="BX35" i="76"/>
  <c r="BO36" i="76"/>
  <c r="BX36" i="76"/>
  <c r="BO37" i="76"/>
  <c r="BX37" i="76"/>
  <c r="BO38" i="76"/>
  <c r="BX38" i="76"/>
  <c r="BO39" i="76"/>
  <c r="BX39" i="76"/>
  <c r="BO40" i="76"/>
  <c r="BX40" i="76"/>
  <c r="BO41" i="76"/>
  <c r="BX41" i="76"/>
  <c r="BO42" i="76"/>
  <c r="BX42" i="76"/>
  <c r="BO43" i="76"/>
  <c r="BX43" i="76"/>
  <c r="BO44" i="76"/>
  <c r="BX44" i="76"/>
  <c r="BO45" i="76"/>
  <c r="BX45" i="76"/>
  <c r="BO46" i="76"/>
  <c r="BX46" i="76"/>
  <c r="BO47" i="76"/>
  <c r="BX47" i="76"/>
  <c r="BO48" i="76"/>
  <c r="BX48" i="76"/>
  <c r="BO49" i="76"/>
  <c r="BX49" i="76"/>
  <c r="BO50" i="76"/>
  <c r="AF54" i="76"/>
  <c r="AF52" i="76"/>
  <c r="AF51" i="76"/>
  <c r="AF50" i="76"/>
  <c r="AF49" i="76"/>
  <c r="AF48" i="76"/>
  <c r="AF47" i="76"/>
  <c r="AF46" i="76"/>
  <c r="AF45" i="76"/>
  <c r="AF44" i="76"/>
  <c r="AF43" i="76"/>
  <c r="AF42" i="76"/>
  <c r="AF41" i="76"/>
  <c r="AF40" i="76"/>
  <c r="AF39" i="76"/>
  <c r="AF36" i="76"/>
  <c r="AF35" i="76"/>
  <c r="AF34" i="76"/>
  <c r="AF33" i="76"/>
  <c r="AF32" i="76"/>
  <c r="AF31" i="76"/>
  <c r="AF30" i="76"/>
  <c r="AF29" i="76"/>
  <c r="AF28" i="76"/>
  <c r="AF27" i="76"/>
  <c r="AF26" i="76"/>
  <c r="AF25" i="76"/>
  <c r="AF24" i="76"/>
  <c r="AF22" i="76"/>
  <c r="AF21" i="76"/>
  <c r="AF20" i="76"/>
  <c r="AF19" i="76"/>
  <c r="AF18" i="76"/>
  <c r="AF17" i="76"/>
  <c r="AF16" i="76"/>
  <c r="AF15" i="76"/>
  <c r="AF14" i="76"/>
  <c r="AF13" i="76"/>
  <c r="AF12" i="76"/>
  <c r="AE11" i="76"/>
  <c r="U11" i="76"/>
  <c r="AD10" i="76"/>
  <c r="AD62" i="76"/>
  <c r="AD63" i="76"/>
  <c r="AD64" i="76"/>
  <c r="BP9" i="76"/>
  <c r="BP10" i="76"/>
  <c r="BY10" i="76"/>
  <c r="BP11" i="76"/>
  <c r="BY11" i="76"/>
  <c r="BP12" i="76"/>
  <c r="BY12" i="76"/>
  <c r="BP13" i="76"/>
  <c r="BY13" i="76"/>
  <c r="BP14" i="76"/>
  <c r="BY14" i="76"/>
  <c r="BP15" i="76"/>
  <c r="BY15" i="76"/>
  <c r="BP16" i="76"/>
  <c r="BY16" i="76"/>
  <c r="BP17" i="76"/>
  <c r="BY17" i="76"/>
  <c r="BP18" i="76"/>
  <c r="BY18" i="76"/>
  <c r="BP19" i="76"/>
  <c r="BY19" i="76"/>
  <c r="BP20" i="76"/>
  <c r="BY20" i="76"/>
  <c r="BP21" i="76"/>
  <c r="BY21" i="76"/>
  <c r="BP22" i="76"/>
  <c r="BY22" i="76"/>
  <c r="BP24" i="76"/>
  <c r="BY24" i="76"/>
  <c r="BP25" i="76"/>
  <c r="BY25" i="76"/>
  <c r="BP26" i="76"/>
  <c r="BV13" i="76"/>
  <c r="CE13" i="76"/>
  <c r="BV14" i="76"/>
  <c r="CE14" i="76"/>
  <c r="V15" i="74" s="1"/>
  <c r="S48" i="4" s="1"/>
  <c r="BV15" i="76"/>
  <c r="CE15" i="76"/>
  <c r="V16" i="74" s="1"/>
  <c r="S49" i="4" s="1"/>
  <c r="BV16" i="76"/>
  <c r="CE16" i="76"/>
  <c r="V17" i="74" s="1"/>
  <c r="S50" i="4" s="1"/>
  <c r="BV17" i="76"/>
  <c r="CE17" i="76"/>
  <c r="V18" i="74" s="1"/>
  <c r="S51" i="4" s="1"/>
  <c r="BV18" i="76"/>
  <c r="CE18" i="76"/>
  <c r="V19" i="74" s="1"/>
  <c r="S52" i="4" s="1"/>
  <c r="BV19" i="76"/>
  <c r="CE19" i="76"/>
  <c r="V20" i="74" s="1"/>
  <c r="S53" i="4" s="1"/>
  <c r="BV20" i="76"/>
  <c r="CE20" i="76"/>
  <c r="V21" i="74" s="1"/>
  <c r="S54" i="4" s="1"/>
  <c r="BV21" i="76"/>
  <c r="CE21" i="76"/>
  <c r="V22" i="74" s="1"/>
  <c r="S55" i="4" s="1"/>
  <c r="BV22" i="76"/>
  <c r="CE22" i="76"/>
  <c r="V23" i="74" s="1"/>
  <c r="S56" i="4" s="1"/>
  <c r="BV24" i="76"/>
  <c r="CE24" i="76"/>
  <c r="BV25" i="76"/>
  <c r="CE25" i="76"/>
  <c r="BV26" i="76"/>
  <c r="CE26" i="76"/>
  <c r="BV27" i="76"/>
  <c r="CE27" i="76"/>
  <c r="BV28" i="76"/>
  <c r="CE28" i="76"/>
  <c r="BV29" i="76"/>
  <c r="CE29" i="76"/>
  <c r="BV30" i="76"/>
  <c r="CE30" i="76"/>
  <c r="BV31" i="76"/>
  <c r="CE31" i="76"/>
  <c r="BV32" i="76"/>
  <c r="CE32" i="76"/>
  <c r="BV33" i="76"/>
  <c r="CE33" i="76"/>
  <c r="BV34" i="76"/>
  <c r="CE34" i="76"/>
  <c r="BV35" i="76"/>
  <c r="CE35" i="76"/>
  <c r="BV36" i="76"/>
  <c r="CE36" i="76"/>
  <c r="BV37" i="76"/>
  <c r="BU38" i="76"/>
  <c r="BV39" i="76"/>
  <c r="CE39" i="76"/>
  <c r="CE40" i="76"/>
  <c r="CE41" i="76"/>
  <c r="CE42" i="76"/>
  <c r="CE43" i="76"/>
  <c r="CE44" i="76"/>
  <c r="CE45" i="76"/>
  <c r="CE46" i="76"/>
  <c r="CE47" i="76"/>
  <c r="CE48" i="76"/>
  <c r="CE49" i="76"/>
  <c r="CE50" i="76"/>
  <c r="CE51" i="76"/>
  <c r="CE52" i="76"/>
  <c r="CE53" i="76"/>
  <c r="CE54" i="76"/>
  <c r="CE55" i="76"/>
  <c r="CE56" i="76"/>
  <c r="CE57" i="76"/>
  <c r="CE58" i="76"/>
  <c r="CE59" i="76"/>
  <c r="CE60" i="76"/>
  <c r="CE61" i="76"/>
  <c r="CE62" i="76"/>
  <c r="CE63" i="76"/>
  <c r="CC64" i="76"/>
  <c r="BX50" i="76"/>
  <c r="BO51" i="76"/>
  <c r="BX51" i="76"/>
  <c r="BO52" i="76"/>
  <c r="BX52" i="76"/>
  <c r="BO53" i="76"/>
  <c r="BX53" i="76"/>
  <c r="BO54" i="76"/>
  <c r="BX54" i="76"/>
  <c r="BO55" i="76"/>
  <c r="BX55" i="76"/>
  <c r="BO56" i="76"/>
  <c r="BX56" i="76"/>
  <c r="BO57" i="76"/>
  <c r="BX57" i="76"/>
  <c r="BO58" i="76"/>
  <c r="BX58" i="76"/>
  <c r="BO59" i="76"/>
  <c r="BX59" i="76"/>
  <c r="BO60" i="76"/>
  <c r="BX60" i="76"/>
  <c r="BO61" i="76"/>
  <c r="BX61" i="76"/>
  <c r="BO62" i="76"/>
  <c r="BX62" i="76"/>
  <c r="BO63" i="76"/>
  <c r="BX63" i="76"/>
  <c r="BO64" i="76"/>
  <c r="BX64" i="76"/>
  <c r="DI11" i="76"/>
  <c r="DI12" i="76"/>
  <c r="DI13" i="76"/>
  <c r="DI14" i="76"/>
  <c r="DI15" i="76"/>
  <c r="DI16" i="76"/>
  <c r="DI17" i="76"/>
  <c r="DI18" i="76"/>
  <c r="DI19" i="76"/>
  <c r="DI20" i="76"/>
  <c r="DI21" i="76"/>
  <c r="DI22" i="76"/>
  <c r="DI24" i="76"/>
  <c r="DI25" i="76"/>
  <c r="DI26" i="76"/>
  <c r="DI27" i="76"/>
  <c r="DI28" i="76"/>
  <c r="DI29" i="76"/>
  <c r="DI30" i="76"/>
  <c r="DI31" i="76"/>
  <c r="DI32" i="76"/>
  <c r="DI33" i="76"/>
  <c r="DI34" i="76"/>
  <c r="DI35" i="76"/>
  <c r="DI36" i="76"/>
  <c r="DI38" i="76"/>
  <c r="DI39" i="76"/>
  <c r="DI40" i="76"/>
  <c r="DI41" i="76"/>
  <c r="DI42" i="76"/>
  <c r="DI43" i="76"/>
  <c r="DI44" i="76"/>
  <c r="DI45" i="76"/>
  <c r="DI46" i="76"/>
  <c r="DI47" i="76"/>
  <c r="DI48" i="76"/>
  <c r="DI49" i="76"/>
  <c r="DI50" i="76"/>
  <c r="DI51" i="76"/>
  <c r="DI52" i="76"/>
  <c r="DI55" i="76"/>
  <c r="DI56" i="76"/>
  <c r="DI58" i="76"/>
  <c r="DI60" i="76"/>
  <c r="BY26" i="76"/>
  <c r="BP27" i="76"/>
  <c r="BY27" i="76"/>
  <c r="BP28" i="76"/>
  <c r="BY28" i="76"/>
  <c r="BP29" i="76"/>
  <c r="BY29" i="76"/>
  <c r="BP30" i="76"/>
  <c r="BY30" i="76"/>
  <c r="BP31" i="76"/>
  <c r="BY31" i="76"/>
  <c r="BP32" i="76"/>
  <c r="BY32" i="76"/>
  <c r="BP33" i="76"/>
  <c r="BY33" i="76"/>
  <c r="BP34" i="76"/>
  <c r="BY34" i="76"/>
  <c r="BP35" i="76"/>
  <c r="BY35" i="76"/>
  <c r="BP36" i="76"/>
  <c r="BY36" i="76"/>
  <c r="BP37" i="76"/>
  <c r="BY37" i="76"/>
  <c r="BP38" i="76"/>
  <c r="BY38" i="76"/>
  <c r="BP39" i="76"/>
  <c r="BY39" i="76"/>
  <c r="BP40" i="76"/>
  <c r="BY40" i="76"/>
  <c r="BP41" i="76"/>
  <c r="BY41" i="76"/>
  <c r="BP42" i="76"/>
  <c r="BY42" i="76"/>
  <c r="BP43" i="76"/>
  <c r="BY43" i="76"/>
  <c r="BP44" i="76"/>
  <c r="BY44" i="76"/>
  <c r="BP45" i="76"/>
  <c r="BY45" i="76"/>
  <c r="BP46" i="76"/>
  <c r="BY46" i="76"/>
  <c r="BP47" i="76"/>
  <c r="BY47" i="76"/>
  <c r="BP48" i="76"/>
  <c r="BY48" i="76"/>
  <c r="BP49" i="76"/>
  <c r="BY49" i="76"/>
  <c r="BP50" i="76"/>
  <c r="BY50" i="76"/>
  <c r="BP51" i="76"/>
  <c r="BY51" i="76"/>
  <c r="BP52" i="76"/>
  <c r="BY52" i="76"/>
  <c r="BP53" i="76"/>
  <c r="BY53" i="76"/>
  <c r="BP54" i="76"/>
  <c r="BY54" i="76"/>
  <c r="BP55" i="76"/>
  <c r="BY55" i="76"/>
  <c r="BP56" i="76"/>
  <c r="BY56" i="76"/>
  <c r="BP57" i="76"/>
  <c r="BY57" i="76"/>
  <c r="BP58" i="76"/>
  <c r="BY58" i="76"/>
  <c r="BP59" i="76"/>
  <c r="BY59" i="76"/>
  <c r="BP60" i="76"/>
  <c r="BY60" i="76"/>
  <c r="BP61" i="76"/>
  <c r="BY61" i="76"/>
  <c r="BP62" i="76"/>
  <c r="BY62" i="76"/>
  <c r="BP63" i="76"/>
  <c r="BY63" i="76"/>
  <c r="BP64" i="76"/>
  <c r="BY64" i="76"/>
  <c r="DJ9" i="76"/>
  <c r="BQ31" i="76"/>
  <c r="BZ31" i="76"/>
  <c r="BQ32" i="76"/>
  <c r="BZ32" i="76"/>
  <c r="BQ33" i="76"/>
  <c r="BZ33" i="76"/>
  <c r="BQ34" i="76"/>
  <c r="BZ34" i="76"/>
  <c r="BQ35" i="76"/>
  <c r="BZ35" i="76"/>
  <c r="BQ36" i="76"/>
  <c r="BZ36" i="76"/>
  <c r="BQ37" i="76"/>
  <c r="BZ37" i="76"/>
  <c r="BQ38" i="76"/>
  <c r="BZ38" i="76"/>
  <c r="BQ39" i="76"/>
  <c r="BZ39" i="76"/>
  <c r="BQ40" i="76"/>
  <c r="BZ40" i="76"/>
  <c r="BQ41" i="76"/>
  <c r="BZ41" i="76"/>
  <c r="BQ42" i="76"/>
  <c r="BZ42" i="76"/>
  <c r="BQ43" i="76"/>
  <c r="BZ43" i="76"/>
  <c r="BQ44" i="76"/>
  <c r="BZ44" i="76"/>
  <c r="BQ45" i="76"/>
  <c r="BZ45" i="76"/>
  <c r="BQ46" i="76"/>
  <c r="BZ46" i="76"/>
  <c r="BQ47" i="76"/>
  <c r="BZ47" i="76"/>
  <c r="BQ48" i="76"/>
  <c r="BZ48" i="76"/>
  <c r="BQ49" i="76"/>
  <c r="BZ49" i="76"/>
  <c r="BQ50" i="76"/>
  <c r="BZ50" i="76"/>
  <c r="BQ51" i="76"/>
  <c r="BZ51" i="76"/>
  <c r="BQ52" i="76"/>
  <c r="BZ52" i="76"/>
  <c r="BQ53" i="76"/>
  <c r="BZ53" i="76"/>
  <c r="BQ54" i="76"/>
  <c r="BZ54" i="76"/>
  <c r="BQ55" i="76"/>
  <c r="BZ55" i="76"/>
  <c r="BQ56" i="76"/>
  <c r="BZ56" i="76"/>
  <c r="BQ57" i="76"/>
  <c r="BZ57" i="76"/>
  <c r="BQ58" i="76"/>
  <c r="BZ58" i="76"/>
  <c r="BQ59" i="76"/>
  <c r="BZ59" i="76"/>
  <c r="BQ60" i="76"/>
  <c r="BZ60" i="76"/>
  <c r="BQ61" i="76"/>
  <c r="BZ61" i="76"/>
  <c r="BQ62" i="76"/>
  <c r="BZ62" i="76"/>
  <c r="BQ63" i="76"/>
  <c r="BZ63" i="76"/>
  <c r="BQ64" i="76"/>
  <c r="BZ64" i="76"/>
  <c r="CA24" i="76"/>
  <c r="BS25" i="76"/>
  <c r="CA25" i="76"/>
  <c r="BS26" i="76"/>
  <c r="CA26" i="76"/>
  <c r="BS27" i="76"/>
  <c r="CA27" i="76"/>
  <c r="BS28" i="76"/>
  <c r="CA28" i="76"/>
  <c r="BS29" i="76"/>
  <c r="CA29" i="76"/>
  <c r="BS30" i="76"/>
  <c r="CA30" i="76"/>
  <c r="BS31" i="76"/>
  <c r="CA31" i="76"/>
  <c r="BS32" i="76"/>
  <c r="CA32" i="76"/>
  <c r="BS33" i="76"/>
  <c r="CA33" i="76"/>
  <c r="BS34" i="76"/>
  <c r="CA34" i="76"/>
  <c r="BS35" i="76"/>
  <c r="CA35" i="76"/>
  <c r="BS36" i="76"/>
  <c r="CA36" i="76"/>
  <c r="BS37" i="76"/>
  <c r="CA37" i="76"/>
  <c r="BS38" i="76"/>
  <c r="CA38" i="76"/>
  <c r="BS39" i="76"/>
  <c r="CA39" i="76"/>
  <c r="BS40" i="76"/>
  <c r="CA40" i="76"/>
  <c r="BS41" i="76"/>
  <c r="CA41" i="76"/>
  <c r="BS42" i="76"/>
  <c r="CA42" i="76"/>
  <c r="BS43" i="76"/>
  <c r="CA43" i="76"/>
  <c r="BS44" i="76"/>
  <c r="CA44" i="76"/>
  <c r="BS45" i="76"/>
  <c r="CA45" i="76"/>
  <c r="BS46" i="76"/>
  <c r="CA46" i="76"/>
  <c r="BS47" i="76"/>
  <c r="CA47" i="76"/>
  <c r="BS48" i="76"/>
  <c r="CA48" i="76"/>
  <c r="BS49" i="76"/>
  <c r="CA49" i="76"/>
  <c r="BS50" i="76"/>
  <c r="CA50" i="76"/>
  <c r="BS51" i="76"/>
  <c r="CA51" i="76"/>
  <c r="BS52" i="76"/>
  <c r="CA52" i="76"/>
  <c r="BS53" i="76"/>
  <c r="CA53" i="76"/>
  <c r="BS54" i="76"/>
  <c r="CA54" i="76"/>
  <c r="BS55" i="76"/>
  <c r="CA55" i="76"/>
  <c r="BS56" i="76"/>
  <c r="CA56" i="76"/>
  <c r="BS57" i="76"/>
  <c r="CA57" i="76"/>
  <c r="BS58" i="76"/>
  <c r="CA58" i="76"/>
  <c r="BS59" i="76"/>
  <c r="CA59" i="76"/>
  <c r="BS60" i="76"/>
  <c r="CA60" i="76"/>
  <c r="BS61" i="76"/>
  <c r="CA61" i="76"/>
  <c r="BS62" i="76"/>
  <c r="CA62" i="76"/>
  <c r="BS63" i="76"/>
  <c r="CA63" i="76"/>
  <c r="BS64" i="76"/>
  <c r="CA64" i="76"/>
  <c r="CC26" i="76"/>
  <c r="BT27" i="76"/>
  <c r="CC27" i="76"/>
  <c r="BT28" i="76"/>
  <c r="CC28" i="76"/>
  <c r="BT29" i="76"/>
  <c r="CC29" i="76"/>
  <c r="BT30" i="76"/>
  <c r="CC30" i="76"/>
  <c r="BT31" i="76"/>
  <c r="CC31" i="76"/>
  <c r="BT32" i="76"/>
  <c r="CC32" i="76"/>
  <c r="BT33" i="76"/>
  <c r="CC33" i="76"/>
  <c r="BT34" i="76"/>
  <c r="CC34" i="76"/>
  <c r="BT35" i="76"/>
  <c r="CC35" i="76"/>
  <c r="BT36" i="76"/>
  <c r="CC36" i="76"/>
  <c r="BT37" i="76"/>
  <c r="BT38" i="76"/>
  <c r="CC38" i="76"/>
  <c r="BT39" i="76"/>
  <c r="CC39" i="76"/>
  <c r="BT40" i="76"/>
  <c r="CC40" i="76"/>
  <c r="BT41" i="76"/>
  <c r="CC41" i="76"/>
  <c r="BT42" i="76"/>
  <c r="CC42" i="76"/>
  <c r="BT43" i="76"/>
  <c r="CC43" i="76"/>
  <c r="BT44" i="76"/>
  <c r="CC44" i="76"/>
  <c r="BT45" i="76"/>
  <c r="CC45" i="76"/>
  <c r="BT46" i="76"/>
  <c r="CC46" i="76"/>
  <c r="BT47" i="76"/>
  <c r="CC47" i="76"/>
  <c r="BT48" i="76"/>
  <c r="CC48" i="76"/>
  <c r="BT49" i="76"/>
  <c r="CC49" i="76"/>
  <c r="BT50" i="76"/>
  <c r="CC50" i="76"/>
  <c r="BT51" i="76"/>
  <c r="CC51" i="76"/>
  <c r="BT52" i="76"/>
  <c r="CC52" i="76"/>
  <c r="BT53" i="76"/>
  <c r="CC53" i="76"/>
  <c r="BT54" i="76"/>
  <c r="CC54" i="76"/>
  <c r="BT55" i="76"/>
  <c r="CC55" i="76"/>
  <c r="BT56" i="76"/>
  <c r="CC56" i="76"/>
  <c r="BT57" i="76"/>
  <c r="CC57" i="76"/>
  <c r="BT58" i="76"/>
  <c r="CC58" i="76"/>
  <c r="BT59" i="76"/>
  <c r="CC59" i="76"/>
  <c r="BT60" i="76"/>
  <c r="CC60" i="76"/>
  <c r="BT61" i="76"/>
  <c r="CC61" i="76"/>
  <c r="BT62" i="76"/>
  <c r="CC62" i="76"/>
  <c r="BT63" i="76"/>
  <c r="CC63" i="76"/>
  <c r="BT64" i="76"/>
  <c r="BU28" i="76"/>
  <c r="CD28" i="76"/>
  <c r="BU29" i="76"/>
  <c r="CD29" i="76"/>
  <c r="BU30" i="76"/>
  <c r="CD30" i="76"/>
  <c r="BU31" i="76"/>
  <c r="CD31" i="76"/>
  <c r="BU32" i="76"/>
  <c r="CD32" i="76"/>
  <c r="BU33" i="76"/>
  <c r="CD33" i="76"/>
  <c r="BU34" i="76"/>
  <c r="CD34" i="76"/>
  <c r="BU35" i="76"/>
  <c r="CD35" i="76"/>
  <c r="BU36" i="76"/>
  <c r="CD36" i="76"/>
  <c r="BU37" i="76"/>
  <c r="BU39" i="76"/>
  <c r="CD39" i="76"/>
  <c r="BU40" i="76"/>
  <c r="CD40" i="76"/>
  <c r="BU41" i="76"/>
  <c r="CD41" i="76"/>
  <c r="BU42" i="76"/>
  <c r="CD42" i="76"/>
  <c r="BU43" i="76"/>
  <c r="CD43" i="76"/>
  <c r="BU44" i="76"/>
  <c r="CD44" i="76"/>
  <c r="BU45" i="76"/>
  <c r="CD45" i="76"/>
  <c r="BU46" i="76"/>
  <c r="CD46" i="76"/>
  <c r="BU47" i="76"/>
  <c r="CD47" i="76"/>
  <c r="BU48" i="76"/>
  <c r="CD48" i="76"/>
  <c r="BU49" i="76"/>
  <c r="CD49" i="76"/>
  <c r="BU50" i="76"/>
  <c r="CD50" i="76"/>
  <c r="BU51" i="76"/>
  <c r="CD51" i="76"/>
  <c r="BU52" i="76"/>
  <c r="CD52" i="76"/>
  <c r="BU53" i="76"/>
  <c r="CD53" i="76"/>
  <c r="BU54" i="76"/>
  <c r="CD54" i="76"/>
  <c r="BU55" i="76"/>
  <c r="CD55" i="76"/>
  <c r="BU56" i="76"/>
  <c r="CD56" i="76"/>
  <c r="BU57" i="76"/>
  <c r="CD57" i="76"/>
  <c r="BU58" i="76"/>
  <c r="CD58" i="76"/>
  <c r="BU59" i="76"/>
  <c r="CD59" i="76"/>
  <c r="BU60" i="76"/>
  <c r="CD60" i="76"/>
  <c r="BU61" i="76"/>
  <c r="CD61" i="76"/>
  <c r="BU62" i="76"/>
  <c r="CD62" i="76"/>
  <c r="BU63" i="76"/>
  <c r="CD63" i="76"/>
  <c r="BV38" i="76"/>
  <c r="BW38" i="76"/>
  <c r="BU9" i="76"/>
  <c r="BV40" i="76"/>
  <c r="BV41" i="76"/>
  <c r="BV42" i="76"/>
  <c r="BV43" i="76"/>
  <c r="BV44" i="76"/>
  <c r="BV45" i="76"/>
  <c r="BV46" i="76"/>
  <c r="BV47" i="76"/>
  <c r="BV48" i="76"/>
  <c r="BV49" i="76"/>
  <c r="BV50" i="76"/>
  <c r="BV51" i="76"/>
  <c r="BV52" i="76"/>
  <c r="BV53" i="76"/>
  <c r="BV54" i="76"/>
  <c r="BV55" i="76"/>
  <c r="BV56" i="76"/>
  <c r="BV57" i="76"/>
  <c r="BV58" i="76"/>
  <c r="BV59" i="76"/>
  <c r="BV60" i="76"/>
  <c r="BV61" i="76"/>
  <c r="BV62" i="76"/>
  <c r="BV63" i="76"/>
  <c r="BU64" i="76"/>
  <c r="BV64" i="76"/>
  <c r="U51" i="76"/>
  <c r="W51" i="76"/>
  <c r="V51" i="76"/>
  <c r="W33" i="76"/>
  <c r="V33" i="76"/>
  <c r="W57" i="76"/>
  <c r="V57" i="76"/>
  <c r="U57" i="76"/>
  <c r="U50" i="76"/>
  <c r="W50" i="76"/>
  <c r="V50" i="76"/>
  <c r="V28" i="76"/>
  <c r="W28" i="76"/>
  <c r="W10" i="76"/>
  <c r="V10" i="76"/>
  <c r="AI10" i="76"/>
  <c r="AJ9" i="76"/>
  <c r="W23" i="76"/>
  <c r="V23" i="76"/>
  <c r="U61" i="76"/>
  <c r="W61" i="76"/>
  <c r="W27" i="76"/>
  <c r="V27" i="76"/>
  <c r="V46" i="76"/>
  <c r="U46" i="76"/>
  <c r="W46" i="76"/>
  <c r="V34" i="76"/>
  <c r="W34" i="76"/>
  <c r="W62" i="76"/>
  <c r="V62" i="76"/>
  <c r="U62" i="76"/>
  <c r="W16" i="76"/>
  <c r="V16" i="76"/>
  <c r="V44" i="76"/>
  <c r="U44" i="76"/>
  <c r="W44" i="76"/>
  <c r="W22" i="76"/>
  <c r="V22" i="76"/>
  <c r="V9" i="76"/>
  <c r="W9" i="76"/>
  <c r="AI9" i="76"/>
  <c r="W24" i="76"/>
  <c r="W63" i="76"/>
  <c r="U63" i="76"/>
  <c r="V63" i="76"/>
  <c r="W29" i="76"/>
  <c r="V29" i="76"/>
  <c r="V11" i="76"/>
  <c r="W11" i="76"/>
  <c r="W45" i="76"/>
  <c r="V45" i="76"/>
  <c r="U45" i="76"/>
  <c r="W40" i="76"/>
  <c r="V40" i="76"/>
  <c r="U40" i="76"/>
  <c r="V60" i="76"/>
  <c r="U60" i="76"/>
  <c r="W60" i="76"/>
  <c r="W56" i="76"/>
  <c r="V56" i="76"/>
  <c r="U56" i="76"/>
  <c r="V49" i="76"/>
  <c r="U49" i="76"/>
  <c r="W49" i="76"/>
  <c r="W43" i="76"/>
  <c r="U43" i="76"/>
  <c r="V43" i="76"/>
  <c r="V39" i="76"/>
  <c r="W39" i="76"/>
  <c r="V26" i="76"/>
  <c r="W26" i="76"/>
  <c r="W21" i="76"/>
  <c r="V21" i="76"/>
  <c r="W59" i="76"/>
  <c r="V59" i="76"/>
  <c r="U59" i="76"/>
  <c r="V55" i="76"/>
  <c r="U55" i="76"/>
  <c r="W55" i="76"/>
  <c r="W42" i="76"/>
  <c r="V42" i="76"/>
  <c r="U42" i="76"/>
  <c r="V20" i="76"/>
  <c r="W20" i="76"/>
  <c r="W15" i="76"/>
  <c r="V15" i="76"/>
  <c r="V58" i="76"/>
  <c r="U58" i="76"/>
  <c r="W58" i="76"/>
  <c r="W54" i="76"/>
  <c r="V54" i="76"/>
  <c r="W32" i="76"/>
  <c r="V32" i="76"/>
  <c r="W19" i="76"/>
  <c r="V19" i="76"/>
  <c r="V14" i="76"/>
  <c r="W14" i="76"/>
  <c r="W52" i="76"/>
  <c r="U48" i="76"/>
  <c r="W48" i="76"/>
  <c r="V48" i="76"/>
  <c r="V36" i="76"/>
  <c r="U36" i="76"/>
  <c r="W36" i="76"/>
  <c r="W31" i="76"/>
  <c r="V31" i="76"/>
  <c r="W25" i="76"/>
  <c r="V25" i="76"/>
  <c r="W18" i="76"/>
  <c r="V18" i="76"/>
  <c r="W13" i="76"/>
  <c r="V13" i="76"/>
  <c r="V52" i="76"/>
  <c r="U47" i="76"/>
  <c r="W47" i="76"/>
  <c r="V47" i="76"/>
  <c r="V41" i="76"/>
  <c r="U41" i="76"/>
  <c r="W41" i="76"/>
  <c r="W35" i="76"/>
  <c r="V35" i="76"/>
  <c r="V30" i="76"/>
  <c r="W30" i="76"/>
  <c r="W17" i="76"/>
  <c r="V17" i="76"/>
  <c r="W12" i="76"/>
  <c r="V12" i="76"/>
  <c r="W64" i="76"/>
  <c r="V24" i="76"/>
  <c r="AJ24" i="73"/>
  <c r="ED52" i="76"/>
  <c r="W24" i="73"/>
  <c r="J24" i="73"/>
  <c r="L36" i="74"/>
  <c r="AA36" i="74"/>
  <c r="E81" i="71"/>
  <c r="E958" i="71"/>
  <c r="E770" i="71"/>
  <c r="E1079" i="71"/>
  <c r="AE1022" i="71"/>
  <c r="E1095" i="71"/>
  <c r="E965" i="71"/>
  <c r="AE430" i="71"/>
  <c r="E187" i="71"/>
  <c r="AE1007" i="71"/>
  <c r="AE813" i="71"/>
  <c r="E391" i="71"/>
  <c r="E172" i="71"/>
  <c r="AE341" i="71"/>
  <c r="E171" i="71"/>
  <c r="AE739" i="71"/>
  <c r="E276" i="71"/>
  <c r="AE983" i="71"/>
  <c r="E195" i="71"/>
  <c r="E106" i="71"/>
  <c r="AE797" i="71"/>
  <c r="E1008" i="71"/>
  <c r="AE982" i="71"/>
  <c r="AE382" i="71"/>
  <c r="AE633" i="71"/>
  <c r="AE57" i="71"/>
  <c r="E955" i="71"/>
  <c r="AE594" i="71"/>
  <c r="E1080" i="71"/>
  <c r="E854" i="71"/>
  <c r="E763" i="71"/>
  <c r="E578" i="71"/>
  <c r="AE58" i="71"/>
  <c r="AE974" i="71"/>
  <c r="E959" i="71"/>
  <c r="AE667" i="71"/>
  <c r="E357" i="71"/>
  <c r="AE342" i="71"/>
  <c r="AE252" i="71"/>
  <c r="E220" i="71"/>
  <c r="E724" i="71"/>
  <c r="E285" i="71"/>
  <c r="E34" i="71"/>
  <c r="AE910" i="71"/>
  <c r="AE748" i="71"/>
  <c r="AE561" i="71"/>
  <c r="E472" i="71"/>
  <c r="AE1048" i="71"/>
  <c r="AE894" i="71"/>
  <c r="AE659" i="71"/>
  <c r="AE155" i="71"/>
  <c r="AE42" i="71"/>
  <c r="AE1065" i="71"/>
  <c r="AE1032" i="71"/>
  <c r="AE878" i="71"/>
  <c r="E789" i="71"/>
  <c r="AE513" i="71"/>
  <c r="AE496" i="71"/>
  <c r="AE407" i="71"/>
  <c r="E237" i="71"/>
  <c r="E123" i="71"/>
  <c r="E66" i="71"/>
  <c r="E918" i="71"/>
  <c r="AE683" i="71"/>
  <c r="E642" i="71"/>
  <c r="AE480" i="71"/>
  <c r="AE277" i="71"/>
  <c r="AE107" i="71"/>
  <c r="AE1097" i="71"/>
  <c r="AE943" i="71"/>
  <c r="AE862" i="71"/>
  <c r="E691" i="71"/>
  <c r="AE375" i="71"/>
  <c r="AE927" i="71"/>
  <c r="AE780" i="71"/>
  <c r="E756" i="71"/>
  <c r="E626" i="71"/>
  <c r="E545" i="71"/>
  <c r="AE520" i="71"/>
  <c r="E505" i="71"/>
  <c r="AE464" i="71"/>
  <c r="E440" i="71"/>
  <c r="AE349" i="71"/>
  <c r="AE310" i="71"/>
  <c r="E139" i="71"/>
  <c r="AE26" i="71"/>
  <c r="E326" i="71"/>
  <c r="E204" i="71"/>
  <c r="E1081" i="71"/>
  <c r="E1040" i="71"/>
  <c r="E975" i="71"/>
  <c r="E886" i="71"/>
  <c r="AE845" i="71"/>
  <c r="E820" i="71"/>
  <c r="AE716" i="71"/>
  <c r="E358" i="71"/>
  <c r="AE293" i="71"/>
  <c r="AE253" i="71"/>
  <c r="AE188" i="71"/>
  <c r="AE74" i="71"/>
  <c r="AE9" i="71"/>
  <c r="AE1016" i="71"/>
  <c r="E821" i="71"/>
  <c r="AE732" i="71"/>
  <c r="AE90" i="71"/>
  <c r="AE1000" i="71"/>
  <c r="E951" i="71"/>
  <c r="AE926" i="71"/>
  <c r="AE829" i="71"/>
  <c r="E779" i="71"/>
  <c r="AE764" i="71"/>
  <c r="AE699" i="71"/>
  <c r="E674" i="71"/>
  <c r="AE625" i="71"/>
  <c r="E610" i="71"/>
  <c r="AE529" i="71"/>
  <c r="E463" i="71"/>
  <c r="AE448" i="71"/>
  <c r="E423" i="71"/>
  <c r="E138" i="71"/>
  <c r="E99" i="71"/>
  <c r="E49" i="71"/>
  <c r="ED10" i="76"/>
  <c r="F62" i="74"/>
  <c r="F185" i="74" s="1"/>
  <c r="AP11" i="76"/>
  <c r="E976" i="71"/>
  <c r="AE376" i="71"/>
  <c r="E1090" i="71"/>
  <c r="AE660" i="71"/>
  <c r="E1055" i="71"/>
  <c r="AE1031" i="71"/>
  <c r="E67" i="71"/>
  <c r="AE644" i="71"/>
  <c r="AE359" i="71"/>
  <c r="AE960" i="71"/>
  <c r="AE806" i="71"/>
  <c r="AE676" i="71"/>
  <c r="AE936" i="71"/>
  <c r="AE522" i="71"/>
  <c r="E213" i="71"/>
  <c r="E51" i="71"/>
  <c r="AE1088" i="71"/>
  <c r="AE1015" i="71"/>
  <c r="E812" i="71"/>
  <c r="AE788" i="71"/>
  <c r="E755" i="71"/>
  <c r="E731" i="71"/>
  <c r="E706" i="71"/>
  <c r="AE682" i="71"/>
  <c r="E593" i="71"/>
  <c r="E487" i="71"/>
  <c r="AE406" i="71"/>
  <c r="E219" i="71"/>
  <c r="AE114" i="71"/>
  <c r="AE1064" i="71"/>
  <c r="E950" i="71"/>
  <c r="E917" i="71"/>
  <c r="E893" i="71"/>
  <c r="E869" i="71"/>
  <c r="AE844" i="71"/>
  <c r="E601" i="71"/>
  <c r="E544" i="71"/>
  <c r="E512" i="71"/>
  <c r="AE414" i="71"/>
  <c r="E227" i="71"/>
  <c r="AE146" i="71"/>
  <c r="AE1072" i="71"/>
  <c r="E966" i="71"/>
  <c r="AE901" i="71"/>
  <c r="AE828" i="71"/>
  <c r="AE771" i="71"/>
  <c r="AE715" i="71"/>
  <c r="AE658" i="71"/>
  <c r="AE577" i="71"/>
  <c r="AE552" i="71"/>
  <c r="AE471" i="71"/>
  <c r="E365" i="71"/>
  <c r="E333" i="71"/>
  <c r="AE309" i="71"/>
  <c r="AE284" i="71"/>
  <c r="AE260" i="71"/>
  <c r="AE179" i="71"/>
  <c r="AE122" i="71"/>
  <c r="E16" i="71"/>
  <c r="AE934" i="71"/>
  <c r="AE877" i="71"/>
  <c r="AE528" i="71"/>
  <c r="E422" i="71"/>
  <c r="AE236" i="71"/>
  <c r="AE130" i="71"/>
  <c r="E41" i="71"/>
  <c r="E999" i="71"/>
  <c r="AE585" i="71"/>
  <c r="E398" i="71"/>
  <c r="AE317" i="71"/>
  <c r="AE292" i="71"/>
  <c r="AE1023" i="71"/>
  <c r="AE942" i="71"/>
  <c r="AE885" i="71"/>
  <c r="AE836" i="71"/>
  <c r="AE723" i="71"/>
  <c r="AE666" i="71"/>
  <c r="AE650" i="71"/>
  <c r="AE641" i="71"/>
  <c r="AE479" i="71"/>
  <c r="AE301" i="71"/>
  <c r="AE244" i="71"/>
  <c r="AE73" i="71"/>
  <c r="AE65" i="71"/>
  <c r="E1068" i="71"/>
  <c r="AE532" i="71"/>
  <c r="AE118" i="71"/>
  <c r="AE662" i="71"/>
  <c r="AE1104" i="71"/>
  <c r="AE1096" i="71"/>
  <c r="AE1039" i="71"/>
  <c r="AE991" i="71"/>
  <c r="AE853" i="71"/>
  <c r="AE796" i="71"/>
  <c r="AE690" i="71"/>
  <c r="AE609" i="71"/>
  <c r="AE495" i="71"/>
  <c r="AE447" i="71"/>
  <c r="AE374" i="71"/>
  <c r="AE268" i="71"/>
  <c r="AE203" i="71"/>
  <c r="AE89" i="71"/>
  <c r="AE25" i="71"/>
  <c r="AE1047" i="71"/>
  <c r="AE970" i="71"/>
  <c r="AE909" i="71"/>
  <c r="AE861" i="71"/>
  <c r="AE804" i="71"/>
  <c r="AE747" i="71"/>
  <c r="AE698" i="71"/>
  <c r="AE617" i="71"/>
  <c r="AE568" i="71"/>
  <c r="AE560" i="71"/>
  <c r="AE503" i="71"/>
  <c r="AE455" i="71"/>
  <c r="AE439" i="71"/>
  <c r="AE390" i="71"/>
  <c r="AE325" i="71"/>
  <c r="E313" i="71"/>
  <c r="AE211" i="71"/>
  <c r="AE163" i="71"/>
  <c r="AE154" i="71"/>
  <c r="AE98" i="71"/>
  <c r="AE33" i="71"/>
  <c r="E443" i="71"/>
  <c r="E264" i="71"/>
  <c r="E1058" i="71"/>
  <c r="AE903" i="71"/>
  <c r="AE773" i="71"/>
  <c r="AE627" i="71"/>
  <c r="AE611" i="71"/>
  <c r="AE489" i="71"/>
  <c r="AE343" i="71"/>
  <c r="AE327" i="71"/>
  <c r="E181" i="71"/>
  <c r="E35" i="71"/>
  <c r="E18" i="71"/>
  <c r="AE1098" i="71"/>
  <c r="AE1082" i="71"/>
  <c r="E920" i="71"/>
  <c r="E790" i="71"/>
  <c r="E619" i="71"/>
  <c r="E506" i="71"/>
  <c r="E335" i="71"/>
  <c r="AE221" i="71"/>
  <c r="AE205" i="71"/>
  <c r="AE993" i="71"/>
  <c r="E968" i="71"/>
  <c r="E952" i="71"/>
  <c r="E822" i="71"/>
  <c r="E692" i="71"/>
  <c r="E652" i="71"/>
  <c r="E368" i="71"/>
  <c r="AE254" i="71"/>
  <c r="AE238" i="71"/>
  <c r="AE124" i="71"/>
  <c r="AE83" i="71"/>
  <c r="E1009" i="71"/>
  <c r="AE838" i="71"/>
  <c r="AE708" i="71"/>
  <c r="AE562" i="71"/>
  <c r="AE546" i="71"/>
  <c r="AE408" i="71"/>
  <c r="AE392" i="71"/>
  <c r="AE270" i="71"/>
  <c r="E246" i="71"/>
  <c r="E100" i="71"/>
  <c r="AE1025" i="71"/>
  <c r="E855" i="71"/>
  <c r="E725" i="71"/>
  <c r="E554" i="71"/>
  <c r="E400" i="71"/>
  <c r="E286" i="71"/>
  <c r="AE156" i="71"/>
  <c r="AE140" i="71"/>
  <c r="AE116" i="71"/>
  <c r="E1041" i="71"/>
  <c r="AE871" i="71"/>
  <c r="AE741" i="71"/>
  <c r="AE595" i="71"/>
  <c r="AE579" i="71"/>
  <c r="AE457" i="71"/>
  <c r="AE441" i="71"/>
  <c r="AE424" i="71"/>
  <c r="AE303" i="71"/>
  <c r="E148" i="71"/>
  <c r="E887" i="71"/>
  <c r="E757" i="71"/>
  <c r="E587" i="71"/>
  <c r="E473" i="71"/>
  <c r="E432" i="71"/>
  <c r="AE189" i="71"/>
  <c r="AE173" i="71"/>
  <c r="AE1105" i="71"/>
  <c r="AE1073" i="71"/>
  <c r="AE1066" i="71"/>
  <c r="AE1033" i="71"/>
  <c r="AE1001" i="71"/>
  <c r="AE944" i="71"/>
  <c r="AE911" i="71"/>
  <c r="AE879" i="71"/>
  <c r="AE846" i="71"/>
  <c r="AE814" i="71"/>
  <c r="AE782" i="71"/>
  <c r="AE749" i="71"/>
  <c r="AE717" i="71"/>
  <c r="AE684" i="71"/>
  <c r="AE634" i="71"/>
  <c r="AE602" i="71"/>
  <c r="AE569" i="71"/>
  <c r="AE537" i="71"/>
  <c r="AE530" i="71"/>
  <c r="AE497" i="71"/>
  <c r="AE465" i="71"/>
  <c r="AE415" i="71"/>
  <c r="AE383" i="71"/>
  <c r="AE350" i="71"/>
  <c r="AE318" i="71"/>
  <c r="AE311" i="71"/>
  <c r="AE278" i="71"/>
  <c r="AE261" i="71"/>
  <c r="AE228" i="71"/>
  <c r="AE196" i="71"/>
  <c r="AE164" i="71"/>
  <c r="AE131" i="71"/>
  <c r="AE92" i="71"/>
  <c r="AE59" i="71"/>
  <c r="AE27" i="71"/>
  <c r="AE1089" i="71"/>
  <c r="AE1049" i="71"/>
  <c r="AE1017" i="71"/>
  <c r="AE984" i="71"/>
  <c r="AE967" i="71"/>
  <c r="AE928" i="71"/>
  <c r="AE895" i="71"/>
  <c r="AE863" i="71"/>
  <c r="AE830" i="71"/>
  <c r="AE798" i="71"/>
  <c r="AE765" i="71"/>
  <c r="AE733" i="71"/>
  <c r="AE700" i="71"/>
  <c r="AE668" i="71"/>
  <c r="AE651" i="71"/>
  <c r="AE618" i="71"/>
  <c r="AE586" i="71"/>
  <c r="AE553" i="71"/>
  <c r="AE514" i="71"/>
  <c r="AE481" i="71"/>
  <c r="AE449" i="71"/>
  <c r="AE431" i="71"/>
  <c r="AE399" i="71"/>
  <c r="AE366" i="71"/>
  <c r="AE334" i="71"/>
  <c r="AE294" i="71"/>
  <c r="AE245" i="71"/>
  <c r="AE212" i="71"/>
  <c r="AE180" i="71"/>
  <c r="AE147" i="71"/>
  <c r="AE108" i="71"/>
  <c r="AE75" i="71"/>
  <c r="AE43" i="71"/>
  <c r="AE10" i="71"/>
  <c r="AE1106" i="71"/>
  <c r="AE1074" i="71"/>
  <c r="AE1056" i="71"/>
  <c r="AE1024" i="71"/>
  <c r="AE992" i="71"/>
  <c r="AE935" i="71"/>
  <c r="AE902" i="71"/>
  <c r="AE870" i="71"/>
  <c r="AE837" i="71"/>
  <c r="AE805" i="71"/>
  <c r="AE772" i="71"/>
  <c r="AE740" i="71"/>
  <c r="AE707" i="71"/>
  <c r="AE675" i="71"/>
  <c r="AE635" i="71"/>
  <c r="AE603" i="71"/>
  <c r="AE570" i="71"/>
  <c r="AE538" i="71"/>
  <c r="AE521" i="71"/>
  <c r="AE488" i="71"/>
  <c r="AE456" i="71"/>
  <c r="AE416" i="71"/>
  <c r="AE384" i="71"/>
  <c r="AE351" i="71"/>
  <c r="AE319" i="71"/>
  <c r="AE302" i="71"/>
  <c r="AE269" i="71"/>
  <c r="AE262" i="71"/>
  <c r="AE230" i="71"/>
  <c r="AE197" i="71"/>
  <c r="AE165" i="71"/>
  <c r="AE132" i="71"/>
  <c r="AE115" i="71"/>
  <c r="AE82" i="71"/>
  <c r="AE50" i="71"/>
  <c r="AE17" i="71"/>
  <c r="AE1019" i="71"/>
  <c r="AE581" i="71"/>
  <c r="AE215" i="71"/>
  <c r="AE37" i="71"/>
  <c r="E8" i="71"/>
  <c r="E1084" i="71"/>
  <c r="E808" i="71"/>
  <c r="E759" i="71"/>
  <c r="AE629" i="71"/>
  <c r="E410" i="71"/>
  <c r="E280" i="71"/>
  <c r="AE85" i="71"/>
  <c r="AE1035" i="71"/>
  <c r="AE986" i="71"/>
  <c r="AE881" i="71"/>
  <c r="AE832" i="71"/>
  <c r="AE678" i="71"/>
  <c r="AE548" i="71"/>
  <c r="E459" i="71"/>
  <c r="E329" i="71"/>
  <c r="AE232" i="71"/>
  <c r="AE134" i="71"/>
  <c r="E1100" i="71"/>
  <c r="E930" i="71"/>
  <c r="E775" i="71"/>
  <c r="AE727" i="71"/>
  <c r="AE597" i="71"/>
  <c r="E378" i="71"/>
  <c r="AE183" i="71"/>
  <c r="AE53" i="71"/>
  <c r="E913" i="71"/>
  <c r="E361" i="71"/>
  <c r="AE1051" i="71"/>
  <c r="AE646" i="71"/>
  <c r="E426" i="71"/>
  <c r="E296" i="71"/>
  <c r="AE248" i="71"/>
  <c r="AE102" i="71"/>
  <c r="AE865" i="71"/>
  <c r="AE167" i="71"/>
  <c r="AE1003" i="71"/>
  <c r="E897" i="71"/>
  <c r="AE848" i="71"/>
  <c r="AE694" i="71"/>
  <c r="AE564" i="71"/>
  <c r="E345" i="71"/>
  <c r="AE150" i="71"/>
  <c r="AE20" i="71"/>
  <c r="AE710" i="71"/>
  <c r="E792" i="71"/>
  <c r="AE743" i="71"/>
  <c r="AE613" i="71"/>
  <c r="E394" i="71"/>
  <c r="AE199" i="71"/>
  <c r="AE69" i="71"/>
  <c r="X62" i="74"/>
  <c r="X185" i="74" s="1"/>
  <c r="CJ12" i="76"/>
  <c r="ED12" i="76"/>
  <c r="W8" i="61"/>
  <c r="J322" i="51"/>
  <c r="O8" i="61"/>
  <c r="E8" i="61"/>
  <c r="J321" i="51"/>
  <c r="U8" i="61"/>
  <c r="M8" i="61"/>
  <c r="J320" i="51"/>
  <c r="J319" i="51"/>
  <c r="T8" i="61"/>
  <c r="S8" i="61"/>
  <c r="K8" i="61"/>
  <c r="J318" i="51"/>
  <c r="P204" i="24"/>
  <c r="P205" i="24" s="1"/>
  <c r="P206" i="24" s="1"/>
  <c r="P207" i="24" s="1"/>
  <c r="P208" i="24" s="1"/>
  <c r="P209" i="24" s="1"/>
  <c r="P210" i="24" s="1"/>
  <c r="P211" i="24" s="1"/>
  <c r="P212" i="24" s="1"/>
  <c r="L8" i="61"/>
  <c r="R8" i="61"/>
  <c r="I8" i="61"/>
  <c r="J317" i="51"/>
  <c r="O204" i="24"/>
  <c r="O205" i="24" s="1"/>
  <c r="O206" i="24" s="1"/>
  <c r="O207" i="24" s="1"/>
  <c r="O208" i="24" s="1"/>
  <c r="O209" i="24" s="1"/>
  <c r="O210" i="24" s="1"/>
  <c r="O211" i="24" s="1"/>
  <c r="O212" i="24" s="1"/>
  <c r="F8" i="61"/>
  <c r="V8" i="61"/>
  <c r="Q8" i="61"/>
  <c r="H8" i="61"/>
  <c r="J324" i="51"/>
  <c r="J316" i="51"/>
  <c r="J253" i="51"/>
  <c r="J7" i="61"/>
  <c r="J251" i="51"/>
  <c r="I7" i="61"/>
  <c r="J250" i="51"/>
  <c r="Q7" i="61"/>
  <c r="G7" i="61"/>
  <c r="J257" i="51"/>
  <c r="J249" i="51"/>
  <c r="S7" i="61"/>
  <c r="P7" i="61"/>
  <c r="F7" i="61"/>
  <c r="J256" i="51"/>
  <c r="J248" i="51"/>
  <c r="O7" i="61"/>
  <c r="V7" i="61"/>
  <c r="N7" i="61"/>
  <c r="D7" i="61"/>
  <c r="J254" i="51"/>
  <c r="P163" i="24"/>
  <c r="P164" i="24" s="1"/>
  <c r="P165" i="24" s="1"/>
  <c r="P166" i="24" s="1"/>
  <c r="P167" i="24" s="1"/>
  <c r="P168" i="24" s="1"/>
  <c r="P169" i="24" s="1"/>
  <c r="P170" i="24" s="1"/>
  <c r="P171" i="24" s="1"/>
  <c r="R7" i="61"/>
  <c r="H7" i="61"/>
  <c r="W7" i="61"/>
  <c r="E7" i="61"/>
  <c r="J255" i="51"/>
  <c r="U7" i="61"/>
  <c r="L7" i="61"/>
  <c r="R6" i="61"/>
  <c r="G6" i="61"/>
  <c r="J185" i="51"/>
  <c r="T6" i="61"/>
  <c r="I6" i="61"/>
  <c r="J187" i="51"/>
  <c r="S6" i="61"/>
  <c r="J186" i="51"/>
  <c r="Q6" i="61"/>
  <c r="J184" i="51"/>
  <c r="D6" i="61"/>
  <c r="P6" i="61"/>
  <c r="J183" i="51"/>
  <c r="O6" i="61"/>
  <c r="J182" i="51"/>
  <c r="N6" i="61"/>
  <c r="J181" i="51"/>
  <c r="AG5" i="61"/>
  <c r="E40" i="56" s="1"/>
  <c r="J121" i="51"/>
  <c r="F81" i="24"/>
  <c r="E5" i="61" s="1"/>
  <c r="C74" i="56" s="1"/>
  <c r="V5" i="61"/>
  <c r="D60" i="56" s="1"/>
  <c r="J115" i="51"/>
  <c r="O88" i="24"/>
  <c r="T5" i="61"/>
  <c r="D58" i="56" s="1"/>
  <c r="J114" i="51"/>
  <c r="P5" i="61"/>
  <c r="D75" i="56" s="1"/>
  <c r="O5" i="61"/>
  <c r="D53" i="56" s="1"/>
  <c r="U4" i="61"/>
  <c r="J52" i="51"/>
  <c r="P4" i="61"/>
  <c r="J51" i="51"/>
  <c r="J55" i="51"/>
  <c r="J53" i="51"/>
  <c r="O4" i="61"/>
  <c r="N4" i="61"/>
  <c r="F4" i="61"/>
  <c r="J60" i="51"/>
  <c r="T4" i="61"/>
  <c r="J4" i="61"/>
  <c r="J59" i="51"/>
  <c r="O43" i="24"/>
  <c r="R4" i="61"/>
  <c r="H4" i="61"/>
  <c r="J57" i="51"/>
  <c r="S4" i="61"/>
  <c r="J58" i="51"/>
  <c r="Q4" i="61"/>
  <c r="G4" i="61"/>
  <c r="J56" i="51"/>
  <c r="I4" i="61"/>
  <c r="W4" i="61"/>
  <c r="J54" i="51"/>
  <c r="V4" i="61"/>
  <c r="P40" i="24"/>
  <c r="P41" i="24" s="1"/>
  <c r="P42" i="24" s="1"/>
  <c r="P43" i="24" s="1"/>
  <c r="P44" i="24" s="1"/>
  <c r="P45" i="24" s="1"/>
  <c r="D14" i="56"/>
  <c r="C15" i="56"/>
  <c r="D57" i="9"/>
  <c r="D161" i="9"/>
  <c r="D94" i="9"/>
  <c r="D162" i="9"/>
  <c r="D130" i="9"/>
  <c r="D129" i="9"/>
  <c r="E127" i="9"/>
  <c r="D159" i="9"/>
  <c r="D127" i="9"/>
  <c r="D91" i="9"/>
  <c r="E96" i="9"/>
  <c r="E132" i="9"/>
  <c r="E131" i="9"/>
  <c r="E95" i="9"/>
  <c r="E163" i="9"/>
  <c r="K1254" i="51"/>
  <c r="X13" i="61"/>
  <c r="K919" i="51"/>
  <c r="D73" i="56"/>
  <c r="C19" i="56"/>
  <c r="F18" i="24"/>
  <c r="D54" i="9"/>
  <c r="D18" i="56"/>
  <c r="B28" i="56"/>
  <c r="D11" i="56"/>
  <c r="B26" i="56"/>
  <c r="G42" i="56" s="1"/>
  <c r="E12" i="56"/>
  <c r="K1053" i="51"/>
  <c r="H25" i="5"/>
  <c r="F182" i="24" s="1"/>
  <c r="H40" i="5"/>
  <c r="L40" i="5" s="1"/>
  <c r="K1187" i="51"/>
  <c r="X30" i="2"/>
  <c r="X70" i="4"/>
  <c r="ED11" i="76"/>
  <c r="CJ11" i="76"/>
  <c r="AP13" i="76"/>
  <c r="E939" i="71"/>
  <c r="AE954" i="71"/>
  <c r="AE467" i="71"/>
  <c r="AE1092" i="71"/>
  <c r="AE938" i="71"/>
  <c r="AE922" i="71"/>
  <c r="AE905" i="71"/>
  <c r="E874" i="71"/>
  <c r="E816" i="71"/>
  <c r="AE800" i="71"/>
  <c r="AE784" i="71"/>
  <c r="AE767" i="71"/>
  <c r="E516" i="71"/>
  <c r="E499" i="71"/>
  <c r="E483" i="71"/>
  <c r="AE451" i="71"/>
  <c r="AE434" i="71"/>
  <c r="AE418" i="71"/>
  <c r="AE402" i="71"/>
  <c r="AE386" i="71"/>
  <c r="AE370" i="71"/>
  <c r="AE353" i="71"/>
  <c r="AE337" i="71"/>
  <c r="AE321" i="71"/>
  <c r="AE305" i="71"/>
  <c r="AE288" i="71"/>
  <c r="AE272" i="71"/>
  <c r="AE1076" i="71"/>
  <c r="AE1060" i="71"/>
  <c r="AE1043" i="71"/>
  <c r="AE1027" i="71"/>
  <c r="AE889" i="71"/>
  <c r="E825" i="71"/>
  <c r="AE751" i="71"/>
  <c r="AE525" i="71"/>
  <c r="AE256" i="71"/>
  <c r="AE240" i="71"/>
  <c r="AE223" i="71"/>
  <c r="AE207" i="71"/>
  <c r="AE1011" i="71"/>
  <c r="AE995" i="71"/>
  <c r="AE978" i="71"/>
  <c r="AE962" i="71"/>
  <c r="AE873" i="71"/>
  <c r="AE857" i="71"/>
  <c r="AE840" i="71"/>
  <c r="E809" i="71"/>
  <c r="AE735" i="71"/>
  <c r="AE719" i="71"/>
  <c r="AE702" i="71"/>
  <c r="AE686" i="71"/>
  <c r="AE670" i="71"/>
  <c r="AE654" i="71"/>
  <c r="AE637" i="71"/>
  <c r="AE621" i="71"/>
  <c r="AE605" i="71"/>
  <c r="AE589" i="71"/>
  <c r="AE572" i="71"/>
  <c r="AE556" i="71"/>
  <c r="AE540" i="71"/>
  <c r="AE460" i="71"/>
  <c r="AE191" i="71"/>
  <c r="AE175" i="71"/>
  <c r="AE158" i="71"/>
  <c r="AE142" i="71"/>
  <c r="AE126" i="71"/>
  <c r="AE110" i="71"/>
  <c r="AE94" i="71"/>
  <c r="AE77" i="71"/>
  <c r="AE61" i="71"/>
  <c r="AE45" i="71"/>
  <c r="AE29" i="71"/>
  <c r="AE12" i="71"/>
  <c r="E890" i="71"/>
  <c r="E1085" i="71"/>
  <c r="AE946" i="71"/>
  <c r="AE824" i="71"/>
  <c r="E760" i="71"/>
  <c r="AE524" i="71"/>
  <c r="AE508" i="71"/>
  <c r="AE491" i="71"/>
  <c r="AE475" i="71"/>
  <c r="AE265" i="71"/>
  <c r="E1020" i="71"/>
  <c r="E744" i="71"/>
  <c r="AE200" i="71"/>
  <c r="E1044" i="71"/>
  <c r="E979" i="71"/>
  <c r="E914" i="71"/>
  <c r="E849" i="71"/>
  <c r="E785" i="71"/>
  <c r="E720" i="71"/>
  <c r="AE509" i="71"/>
  <c r="AE249" i="71"/>
  <c r="E1093" i="71"/>
  <c r="E1028" i="71"/>
  <c r="E963" i="71"/>
  <c r="E898" i="71"/>
  <c r="E833" i="71"/>
  <c r="E768" i="71"/>
  <c r="E703" i="71"/>
  <c r="AE444" i="71"/>
  <c r="AE184" i="71"/>
  <c r="E1052" i="71"/>
  <c r="E987" i="71"/>
  <c r="E923" i="71"/>
  <c r="E858" i="71"/>
  <c r="E793" i="71"/>
  <c r="E728" i="71"/>
  <c r="AE655" i="71"/>
  <c r="AE395" i="71"/>
  <c r="AE135" i="71"/>
  <c r="E1077" i="71"/>
  <c r="E1012" i="71"/>
  <c r="E947" i="71"/>
  <c r="E882" i="71"/>
  <c r="E817" i="71"/>
  <c r="E752" i="71"/>
  <c r="AE638" i="71"/>
  <c r="AE379" i="71"/>
  <c r="AE119" i="71"/>
  <c r="E1069" i="71"/>
  <c r="E1004" i="71"/>
  <c r="E1101" i="71"/>
  <c r="E1036" i="71"/>
  <c r="E971" i="71"/>
  <c r="E906" i="71"/>
  <c r="E841" i="71"/>
  <c r="E776" i="71"/>
  <c r="E711" i="71"/>
  <c r="AE590" i="71"/>
  <c r="AE330" i="71"/>
  <c r="AE70" i="71"/>
  <c r="E1061" i="71"/>
  <c r="E996" i="71"/>
  <c r="E931" i="71"/>
  <c r="E866" i="71"/>
  <c r="E801" i="71"/>
  <c r="E736" i="71"/>
  <c r="AE573" i="71"/>
  <c r="AE314" i="71"/>
  <c r="AE54" i="71"/>
  <c r="AE679" i="71"/>
  <c r="AE614" i="71"/>
  <c r="AE549" i="71"/>
  <c r="AE484" i="71"/>
  <c r="AE419" i="71"/>
  <c r="AE354" i="71"/>
  <c r="AE289" i="71"/>
  <c r="AE224" i="71"/>
  <c r="AE159" i="71"/>
  <c r="AE95" i="71"/>
  <c r="AE30" i="71"/>
  <c r="E693" i="71"/>
  <c r="AE693" i="71"/>
  <c r="E645" i="71"/>
  <c r="AE645" i="71"/>
  <c r="E604" i="71"/>
  <c r="AE604" i="71"/>
  <c r="E588" i="71"/>
  <c r="AE588" i="71"/>
  <c r="E563" i="71"/>
  <c r="AE563" i="71"/>
  <c r="E547" i="71"/>
  <c r="AE547" i="71"/>
  <c r="E498" i="71"/>
  <c r="AE498" i="71"/>
  <c r="E474" i="71"/>
  <c r="AE474" i="71"/>
  <c r="E466" i="71"/>
  <c r="AE466" i="71"/>
  <c r="E450" i="71"/>
  <c r="AE450" i="71"/>
  <c r="E433" i="71"/>
  <c r="AE433" i="71"/>
  <c r="E425" i="71"/>
  <c r="AE425" i="71"/>
  <c r="E417" i="71"/>
  <c r="AE417" i="71"/>
  <c r="E409" i="71"/>
  <c r="AE409" i="71"/>
  <c r="E401" i="71"/>
  <c r="AE401" i="71"/>
  <c r="E393" i="71"/>
  <c r="AE393" i="71"/>
  <c r="E369" i="71"/>
  <c r="AE369" i="71"/>
  <c r="E360" i="71"/>
  <c r="AE360" i="71"/>
  <c r="E352" i="71"/>
  <c r="AE352" i="71"/>
  <c r="E344" i="71"/>
  <c r="AE344" i="71"/>
  <c r="E336" i="71"/>
  <c r="AE336" i="71"/>
  <c r="E328" i="71"/>
  <c r="AE328" i="71"/>
  <c r="E320" i="71"/>
  <c r="AE320" i="71"/>
  <c r="E312" i="71"/>
  <c r="AE312" i="71"/>
  <c r="E304" i="71"/>
  <c r="AE304" i="71"/>
  <c r="E295" i="71"/>
  <c r="AE295" i="71"/>
  <c r="E287" i="71"/>
  <c r="AE287" i="71"/>
  <c r="E279" i="71"/>
  <c r="AE279" i="71"/>
  <c r="E271" i="71"/>
  <c r="AE271" i="71"/>
  <c r="E263" i="71"/>
  <c r="AE263" i="71"/>
  <c r="E255" i="71"/>
  <c r="AE255" i="71"/>
  <c r="E247" i="71"/>
  <c r="AE247" i="71"/>
  <c r="E239" i="71"/>
  <c r="AE239" i="71"/>
  <c r="E231" i="71"/>
  <c r="AE231" i="71"/>
  <c r="E222" i="71"/>
  <c r="AE222" i="71"/>
  <c r="E214" i="71"/>
  <c r="AE214" i="71"/>
  <c r="E206" i="71"/>
  <c r="AE206" i="71"/>
  <c r="E198" i="71"/>
  <c r="AE198" i="71"/>
  <c r="E190" i="71"/>
  <c r="AE190" i="71"/>
  <c r="E182" i="71"/>
  <c r="AE182" i="71"/>
  <c r="E174" i="71"/>
  <c r="AE174" i="71"/>
  <c r="E166" i="71"/>
  <c r="AE166" i="71"/>
  <c r="E157" i="71"/>
  <c r="AE157" i="71"/>
  <c r="E149" i="71"/>
  <c r="AE149" i="71"/>
  <c r="E141" i="71"/>
  <c r="AE141" i="71"/>
  <c r="E133" i="71"/>
  <c r="AE133" i="71"/>
  <c r="E125" i="71"/>
  <c r="AE125" i="71"/>
  <c r="E117" i="71"/>
  <c r="AE117" i="71"/>
  <c r="E109" i="71"/>
  <c r="AE109" i="71"/>
  <c r="E101" i="71"/>
  <c r="AE101" i="71"/>
  <c r="E93" i="71"/>
  <c r="AE93" i="71"/>
  <c r="E84" i="71"/>
  <c r="AE84" i="71"/>
  <c r="E76" i="71"/>
  <c r="AE76" i="71"/>
  <c r="E68" i="71"/>
  <c r="AE68" i="71"/>
  <c r="E60" i="71"/>
  <c r="AE60" i="71"/>
  <c r="E52" i="71"/>
  <c r="AE52" i="71"/>
  <c r="E44" i="71"/>
  <c r="AE44" i="71"/>
  <c r="E36" i="71"/>
  <c r="AE36" i="71"/>
  <c r="E653" i="71"/>
  <c r="AE653" i="71"/>
  <c r="E636" i="71"/>
  <c r="AE636" i="71"/>
  <c r="E596" i="71"/>
  <c r="AE596" i="71"/>
  <c r="E580" i="71"/>
  <c r="AE580" i="71"/>
  <c r="E555" i="71"/>
  <c r="AE555" i="71"/>
  <c r="E507" i="71"/>
  <c r="AE507" i="71"/>
  <c r="E490" i="71"/>
  <c r="AE490" i="71"/>
  <c r="E458" i="71"/>
  <c r="AE458" i="71"/>
  <c r="E442" i="71"/>
  <c r="AE442" i="71"/>
  <c r="E385" i="71"/>
  <c r="AE385" i="71"/>
  <c r="AE663" i="71"/>
  <c r="AE598" i="71"/>
  <c r="AE533" i="71"/>
  <c r="AE468" i="71"/>
  <c r="AE403" i="71"/>
  <c r="AE338" i="71"/>
  <c r="AE273" i="71"/>
  <c r="AE208" i="71"/>
  <c r="AE143" i="71"/>
  <c r="AE78" i="71"/>
  <c r="AE13" i="71"/>
  <c r="E661" i="71"/>
  <c r="AE661" i="71"/>
  <c r="E620" i="71"/>
  <c r="AE620" i="71"/>
  <c r="E571" i="71"/>
  <c r="AE571" i="71"/>
  <c r="E531" i="71"/>
  <c r="AE531" i="71"/>
  <c r="E482" i="71"/>
  <c r="AE482" i="71"/>
  <c r="E377" i="71"/>
  <c r="AE377" i="71"/>
  <c r="AE687" i="71"/>
  <c r="AE622" i="71"/>
  <c r="AE557" i="71"/>
  <c r="AE492" i="71"/>
  <c r="AE427" i="71"/>
  <c r="AE362" i="71"/>
  <c r="AE297" i="71"/>
  <c r="AE233" i="71"/>
  <c r="AE168" i="71"/>
  <c r="AE103" i="71"/>
  <c r="AE38" i="71"/>
  <c r="E685" i="71"/>
  <c r="AE685" i="71"/>
  <c r="E628" i="71"/>
  <c r="AE628" i="71"/>
  <c r="E523" i="71"/>
  <c r="AE523" i="71"/>
  <c r="E19" i="71"/>
  <c r="AE19" i="71"/>
  <c r="AE1107" i="71"/>
  <c r="AE1099" i="71"/>
  <c r="AE1091" i="71"/>
  <c r="AE1083" i="71"/>
  <c r="AE1075" i="71"/>
  <c r="AE1067" i="71"/>
  <c r="AE1059" i="71"/>
  <c r="AE1050" i="71"/>
  <c r="AE1042" i="71"/>
  <c r="AE1034" i="71"/>
  <c r="AE1026" i="71"/>
  <c r="AE1018" i="71"/>
  <c r="AE1010" i="71"/>
  <c r="AE1002" i="71"/>
  <c r="AE994" i="71"/>
  <c r="AE985" i="71"/>
  <c r="AE977" i="71"/>
  <c r="AE969" i="71"/>
  <c r="AE961" i="71"/>
  <c r="AE953" i="71"/>
  <c r="AE945" i="71"/>
  <c r="AE937" i="71"/>
  <c r="AE929" i="71"/>
  <c r="AE921" i="71"/>
  <c r="AE912" i="71"/>
  <c r="AE904" i="71"/>
  <c r="AE896" i="71"/>
  <c r="AE888" i="71"/>
  <c r="AE880" i="71"/>
  <c r="AE872" i="71"/>
  <c r="AE864" i="71"/>
  <c r="AE856" i="71"/>
  <c r="AE847" i="71"/>
  <c r="AE839" i="71"/>
  <c r="AE831" i="71"/>
  <c r="AE823" i="71"/>
  <c r="AE815" i="71"/>
  <c r="AE807" i="71"/>
  <c r="AE799" i="71"/>
  <c r="AE791" i="71"/>
  <c r="AE783" i="71"/>
  <c r="AE774" i="71"/>
  <c r="AE766" i="71"/>
  <c r="AE758" i="71"/>
  <c r="AE750" i="71"/>
  <c r="AE742" i="71"/>
  <c r="AE734" i="71"/>
  <c r="AE726" i="71"/>
  <c r="AE718" i="71"/>
  <c r="AE709" i="71"/>
  <c r="AE701" i="71"/>
  <c r="AE647" i="71"/>
  <c r="AE582" i="71"/>
  <c r="AE517" i="71"/>
  <c r="AE452" i="71"/>
  <c r="AE387" i="71"/>
  <c r="AE322" i="71"/>
  <c r="AE257" i="71"/>
  <c r="AE192" i="71"/>
  <c r="AE127" i="71"/>
  <c r="AE62" i="71"/>
  <c r="E669" i="71"/>
  <c r="AE669" i="71"/>
  <c r="E539" i="71"/>
  <c r="AE539" i="71"/>
  <c r="E11" i="71"/>
  <c r="AE11" i="71"/>
  <c r="AE671" i="71"/>
  <c r="AE606" i="71"/>
  <c r="AE541" i="71"/>
  <c r="AE476" i="71"/>
  <c r="AE411" i="71"/>
  <c r="AE346" i="71"/>
  <c r="AE281" i="71"/>
  <c r="AE216" i="71"/>
  <c r="AE151" i="71"/>
  <c r="AE86" i="71"/>
  <c r="AE21" i="71"/>
  <c r="E677" i="71"/>
  <c r="AE677" i="71"/>
  <c r="E612" i="71"/>
  <c r="AE612" i="71"/>
  <c r="E515" i="71"/>
  <c r="AE515" i="71"/>
  <c r="E28" i="71"/>
  <c r="AE28" i="71"/>
  <c r="AE695" i="71"/>
  <c r="AE630" i="71"/>
  <c r="AE565" i="71"/>
  <c r="AE500" i="71"/>
  <c r="AE435" i="71"/>
  <c r="AE371" i="71"/>
  <c r="AE306" i="71"/>
  <c r="AE241" i="71"/>
  <c r="AE176" i="71"/>
  <c r="AE111" i="71"/>
  <c r="AE46" i="71"/>
  <c r="F20" i="5"/>
  <c r="G56" i="5"/>
  <c r="H92" i="5"/>
  <c r="F128" i="5"/>
  <c r="G92" i="5"/>
  <c r="F92" i="5"/>
  <c r="G20" i="5"/>
  <c r="CJ10" i="76"/>
  <c r="I62" i="74"/>
  <c r="I185" i="74" s="1"/>
  <c r="AM62" i="74"/>
  <c r="AM185" i="74" s="1"/>
  <c r="J14" i="75"/>
  <c r="L34" i="75" s="1"/>
  <c r="L47" i="75" s="1"/>
  <c r="G62" i="74"/>
  <c r="G185" i="74" s="1"/>
  <c r="AP12" i="76"/>
  <c r="B59" i="58"/>
  <c r="B72" i="58" s="1"/>
  <c r="D31" i="58"/>
  <c r="H31" i="58" s="1"/>
  <c r="L974" i="53"/>
  <c r="M974" i="53"/>
  <c r="M978" i="53"/>
  <c r="M975" i="53"/>
  <c r="M979" i="53"/>
  <c r="M976" i="53"/>
  <c r="M977" i="53"/>
  <c r="G1225" i="28"/>
  <c r="V1225" i="28"/>
  <c r="W1225" i="28"/>
  <c r="K1225" i="28"/>
  <c r="L1037" i="28"/>
  <c r="K1038" i="28"/>
  <c r="L14" i="65"/>
  <c r="M14" i="65"/>
  <c r="U14" i="65"/>
  <c r="V14" i="65"/>
  <c r="W14" i="65"/>
  <c r="J720" i="52"/>
  <c r="J721" i="52"/>
  <c r="J18" i="75"/>
  <c r="L37" i="75" s="1"/>
  <c r="L50" i="75" s="1"/>
  <c r="H1134" i="28"/>
  <c r="F1142" i="28"/>
  <c r="G1134" i="28"/>
  <c r="J1142" i="28" s="1"/>
  <c r="K1142" i="28" s="1"/>
  <c r="J156" i="23"/>
  <c r="C29" i="58"/>
  <c r="D79" i="57"/>
  <c r="F79" i="57" s="1"/>
  <c r="C47" i="58"/>
  <c r="B30" i="57"/>
  <c r="D36" i="57"/>
  <c r="F36" i="57" s="1"/>
  <c r="D76" i="57"/>
  <c r="F76" i="57" s="1"/>
  <c r="E79" i="57"/>
  <c r="B7" i="57"/>
  <c r="C41" i="57"/>
  <c r="C75" i="57"/>
  <c r="E84" i="57"/>
  <c r="C55" i="57"/>
  <c r="E77" i="57"/>
  <c r="C18" i="57"/>
  <c r="D56" i="57"/>
  <c r="F56" i="57" s="1"/>
  <c r="C79" i="57"/>
  <c r="B51" i="57"/>
  <c r="D82" i="57"/>
  <c r="F82" i="57" s="1"/>
  <c r="F322" i="31"/>
  <c r="E329" i="31"/>
  <c r="Q933" i="28"/>
  <c r="N934" i="28"/>
  <c r="M834" i="53"/>
  <c r="M838" i="53"/>
  <c r="M835" i="53"/>
  <c r="M839" i="53"/>
  <c r="L834" i="53"/>
  <c r="M836" i="53"/>
  <c r="M837" i="53"/>
  <c r="J162" i="16"/>
  <c r="J156" i="16"/>
  <c r="J154" i="16"/>
  <c r="J170" i="16"/>
  <c r="J161" i="16"/>
  <c r="J160" i="16"/>
  <c r="J153" i="16"/>
  <c r="J158" i="16"/>
  <c r="J171" i="16"/>
  <c r="J163" i="16"/>
  <c r="J155" i="16"/>
  <c r="D11" i="58"/>
  <c r="H11" i="58" s="1"/>
  <c r="D12" i="56"/>
  <c r="C31" i="56"/>
  <c r="D40" i="56"/>
  <c r="E13" i="56"/>
  <c r="C17" i="56"/>
  <c r="B70" i="56"/>
  <c r="B47" i="56"/>
  <c r="G63" i="56" s="1"/>
  <c r="C11" i="56"/>
  <c r="B49" i="56"/>
  <c r="D13" i="58"/>
  <c r="H13" i="58" s="1"/>
  <c r="C11" i="58"/>
  <c r="C30" i="58"/>
  <c r="C65" i="58"/>
  <c r="J172" i="16"/>
  <c r="M563" i="28"/>
  <c r="P562" i="28"/>
  <c r="B13" i="68"/>
  <c r="H49" i="55" s="1"/>
  <c r="H58" i="55" s="1"/>
  <c r="E75" i="57"/>
  <c r="M694" i="53"/>
  <c r="M698" i="53"/>
  <c r="M695" i="53"/>
  <c r="L693" i="53"/>
  <c r="J855" i="52"/>
  <c r="E221" i="31"/>
  <c r="F214" i="31"/>
  <c r="Y685" i="28"/>
  <c r="Y686" i="28" s="1"/>
  <c r="N685" i="28"/>
  <c r="K684" i="28"/>
  <c r="P684" i="28" s="1"/>
  <c r="G685" i="28"/>
  <c r="W685" i="28"/>
  <c r="W686" i="28" s="1"/>
  <c r="W687" i="28" s="1"/>
  <c r="W688" i="28" s="1"/>
  <c r="L684" i="28"/>
  <c r="Q684" i="28" s="1"/>
  <c r="V685" i="28"/>
  <c r="V686" i="28" s="1"/>
  <c r="W560" i="28"/>
  <c r="V560" i="28"/>
  <c r="F437" i="30"/>
  <c r="J436" i="30"/>
  <c r="F409" i="24"/>
  <c r="E13" i="61" s="1"/>
  <c r="O409" i="24"/>
  <c r="O410" i="24" s="1"/>
  <c r="O411" i="24" s="1"/>
  <c r="O412" i="24" s="1"/>
  <c r="O413" i="24" s="1"/>
  <c r="O414" i="24" s="1"/>
  <c r="O415" i="24" s="1"/>
  <c r="O416" i="24" s="1"/>
  <c r="O417" i="24" s="1"/>
  <c r="P409" i="24"/>
  <c r="J659" i="51"/>
  <c r="J652" i="51"/>
  <c r="J660" i="51"/>
  <c r="J653" i="51"/>
  <c r="J656" i="51"/>
  <c r="J657" i="51"/>
  <c r="L13" i="61"/>
  <c r="T13" i="61"/>
  <c r="J654" i="51"/>
  <c r="U13" i="61"/>
  <c r="J655" i="51"/>
  <c r="F13" i="61"/>
  <c r="V13" i="61"/>
  <c r="J658" i="51"/>
  <c r="O13" i="61"/>
  <c r="W13" i="61"/>
  <c r="Q13" i="61"/>
  <c r="F128" i="24"/>
  <c r="K6" i="61" s="1"/>
  <c r="J188" i="51"/>
  <c r="J189" i="51"/>
  <c r="M6" i="61"/>
  <c r="U6" i="61"/>
  <c r="J190" i="51"/>
  <c r="V6" i="61"/>
  <c r="W6" i="61"/>
  <c r="E23" i="48"/>
  <c r="J164" i="9"/>
  <c r="J167" i="9"/>
  <c r="J165" i="9"/>
  <c r="J156" i="13"/>
  <c r="J152" i="13" s="1"/>
  <c r="J168" i="13"/>
  <c r="B9" i="68"/>
  <c r="H48" i="55" s="1"/>
  <c r="H57" i="55" s="1"/>
  <c r="B5" i="58"/>
  <c r="B18" i="58" s="1"/>
  <c r="C12" i="58"/>
  <c r="C14" i="58"/>
  <c r="B6" i="58"/>
  <c r="D12" i="58"/>
  <c r="H12" i="58" s="1"/>
  <c r="C13" i="58"/>
  <c r="D14" i="58"/>
  <c r="H14" i="58" s="1"/>
  <c r="E81" i="57"/>
  <c r="G81" i="57" s="1"/>
  <c r="C78" i="57"/>
  <c r="E18" i="56"/>
  <c r="E14" i="56"/>
  <c r="H16" i="65"/>
  <c r="P13" i="61"/>
  <c r="M697" i="53"/>
  <c r="G1162" i="28"/>
  <c r="K1162" i="28"/>
  <c r="V1162" i="28"/>
  <c r="W1162" i="28"/>
  <c r="W1163" i="28" s="1"/>
  <c r="W1164" i="28" s="1"/>
  <c r="W1165" i="28" s="1"/>
  <c r="J756" i="30"/>
  <c r="J777" i="30" s="1"/>
  <c r="K777" i="30" s="1"/>
  <c r="F756" i="30"/>
  <c r="I764" i="30" s="1"/>
  <c r="E764" i="30"/>
  <c r="J449" i="24"/>
  <c r="K718" i="51" s="1"/>
  <c r="J719" i="51"/>
  <c r="J727" i="51"/>
  <c r="J720" i="51"/>
  <c r="J721" i="51"/>
  <c r="J724" i="51"/>
  <c r="J718" i="51"/>
  <c r="J725" i="51"/>
  <c r="D14" i="61"/>
  <c r="L14" i="61"/>
  <c r="T14" i="61"/>
  <c r="J722" i="51"/>
  <c r="E14" i="61"/>
  <c r="M14" i="61"/>
  <c r="U14" i="61"/>
  <c r="J723" i="51"/>
  <c r="N14" i="61"/>
  <c r="V14" i="61"/>
  <c r="J726" i="51"/>
  <c r="G14" i="61"/>
  <c r="O14" i="61"/>
  <c r="W14" i="61"/>
  <c r="I14" i="61"/>
  <c r="Q14" i="61"/>
  <c r="L904" i="53"/>
  <c r="M904" i="53"/>
  <c r="M908" i="53"/>
  <c r="M905" i="53"/>
  <c r="M909" i="53"/>
  <c r="M906" i="53"/>
  <c r="M624" i="53"/>
  <c r="M628" i="53"/>
  <c r="M625" i="53"/>
  <c r="L623" i="53"/>
  <c r="B5" i="68"/>
  <c r="H47" i="55" s="1"/>
  <c r="H56" i="55" s="1"/>
  <c r="E37" i="55"/>
  <c r="B7" i="58" s="1"/>
  <c r="B17" i="58" s="1"/>
  <c r="B19" i="58" s="1"/>
  <c r="G47" i="55" s="1"/>
  <c r="G56" i="55" s="1"/>
  <c r="E38" i="55"/>
  <c r="B25" i="58" s="1"/>
  <c r="E39" i="55"/>
  <c r="B43" i="58" s="1"/>
  <c r="J170" i="9"/>
  <c r="J161" i="13"/>
  <c r="J165" i="13"/>
  <c r="B62" i="58"/>
  <c r="B60" i="58"/>
  <c r="B42" i="58"/>
  <c r="D15" i="58"/>
  <c r="B8" i="58"/>
  <c r="D84" i="57"/>
  <c r="D77" i="57"/>
  <c r="F77" i="57" s="1"/>
  <c r="B72" i="57"/>
  <c r="E16" i="56"/>
  <c r="D13" i="56"/>
  <c r="B7" i="56"/>
  <c r="V16" i="65"/>
  <c r="D33" i="57"/>
  <c r="F33" i="57" s="1"/>
  <c r="D35" i="57"/>
  <c r="F35" i="57" s="1"/>
  <c r="D40" i="57"/>
  <c r="F40" i="57" s="1"/>
  <c r="C42" i="57"/>
  <c r="D57" i="57"/>
  <c r="F57" i="57" s="1"/>
  <c r="D41" i="57"/>
  <c r="F41" i="57" s="1"/>
  <c r="C60" i="57"/>
  <c r="D31" i="56"/>
  <c r="C39" i="56"/>
  <c r="C52" i="56"/>
  <c r="C60" i="56"/>
  <c r="C81" i="56"/>
  <c r="D52" i="56"/>
  <c r="D61" i="56"/>
  <c r="C73" i="56"/>
  <c r="D82" i="56"/>
  <c r="J13" i="61"/>
  <c r="M627" i="53"/>
  <c r="E149" i="31"/>
  <c r="F142" i="31"/>
  <c r="V1245" i="28"/>
  <c r="V1246" i="28" s="1"/>
  <c r="W1245" i="28"/>
  <c r="W1246" i="28" s="1"/>
  <c r="N23" i="66"/>
  <c r="G1245" i="28"/>
  <c r="H23" i="66" s="1"/>
  <c r="K1397" i="53"/>
  <c r="S532" i="30"/>
  <c r="T532" i="30"/>
  <c r="T533" i="30" s="1"/>
  <c r="T534" i="30" s="1"/>
  <c r="T535" i="30" s="1"/>
  <c r="T536" i="30" s="1"/>
  <c r="T537" i="30" s="1"/>
  <c r="T538" i="30" s="1"/>
  <c r="T539" i="30" s="1"/>
  <c r="T540" i="30" s="1"/>
  <c r="J849" i="52"/>
  <c r="J850" i="52"/>
  <c r="J851" i="52"/>
  <c r="J854" i="52"/>
  <c r="J16" i="65"/>
  <c r="R16" i="65"/>
  <c r="K16" i="65"/>
  <c r="S16" i="65"/>
  <c r="J847" i="52"/>
  <c r="L16" i="65"/>
  <c r="T16" i="65"/>
  <c r="J848" i="52"/>
  <c r="E16" i="65"/>
  <c r="M16" i="65"/>
  <c r="U16" i="65"/>
  <c r="J853" i="52"/>
  <c r="G16" i="65"/>
  <c r="O16" i="65"/>
  <c r="W16" i="65"/>
  <c r="F662" i="24"/>
  <c r="L19" i="61" s="1"/>
  <c r="P662" i="24"/>
  <c r="M19" i="61"/>
  <c r="V19" i="61"/>
  <c r="W19" i="61"/>
  <c r="F83" i="24"/>
  <c r="G5" i="61" s="1"/>
  <c r="C34" i="56" s="1"/>
  <c r="K119" i="51"/>
  <c r="J120" i="51"/>
  <c r="K120" i="51"/>
  <c r="J118" i="51"/>
  <c r="J122" i="51"/>
  <c r="K118" i="51"/>
  <c r="K122" i="51"/>
  <c r="AC5" i="61"/>
  <c r="E57" i="56" s="1"/>
  <c r="I5" i="61"/>
  <c r="C36" i="56" s="1"/>
  <c r="Q5" i="61"/>
  <c r="D55" i="56" s="1"/>
  <c r="AD5" i="61"/>
  <c r="E79" i="56" s="1"/>
  <c r="J5" i="61"/>
  <c r="C58" i="56" s="1"/>
  <c r="R5" i="61"/>
  <c r="D56" i="56" s="1"/>
  <c r="AE5" i="61"/>
  <c r="E38" i="56" s="1"/>
  <c r="J116" i="51"/>
  <c r="K5" i="61"/>
  <c r="C80" i="56" s="1"/>
  <c r="S5" i="61"/>
  <c r="D57" i="56" s="1"/>
  <c r="AF5" i="61"/>
  <c r="E81" i="56" s="1"/>
  <c r="J119" i="51"/>
  <c r="M5" i="61"/>
  <c r="C40" i="56" s="1"/>
  <c r="U5" i="61"/>
  <c r="D59" i="56" s="1"/>
  <c r="D95" i="16"/>
  <c r="D161" i="16"/>
  <c r="D130" i="16"/>
  <c r="D59" i="16"/>
  <c r="D67" i="58"/>
  <c r="H67" i="58" s="1"/>
  <c r="B24" i="58"/>
  <c r="C15" i="58"/>
  <c r="C16" i="56"/>
  <c r="H13" i="61"/>
  <c r="L1393" i="53"/>
  <c r="M1393" i="53"/>
  <c r="V1118" i="28"/>
  <c r="V1119" i="28" s="1"/>
  <c r="V1120" i="28" s="1"/>
  <c r="V1121" i="28" s="1"/>
  <c r="V1122" i="28" s="1"/>
  <c r="W1118" i="28"/>
  <c r="L21" i="66"/>
  <c r="E21" i="66"/>
  <c r="M21" i="66"/>
  <c r="F21" i="66"/>
  <c r="N21" i="66"/>
  <c r="K1254" i="53"/>
  <c r="K1256" i="53"/>
  <c r="I21" i="66"/>
  <c r="G1040" i="28"/>
  <c r="V870" i="28"/>
  <c r="W870" i="28"/>
  <c r="K560" i="28"/>
  <c r="P560" i="28" s="1"/>
  <c r="V561" i="28"/>
  <c r="L560" i="28"/>
  <c r="Q560" i="28" s="1"/>
  <c r="W561" i="28"/>
  <c r="W562" i="28" s="1"/>
  <c r="W563" i="28" s="1"/>
  <c r="Y561" i="28"/>
  <c r="G561" i="28"/>
  <c r="N561" i="28"/>
  <c r="X314" i="28"/>
  <c r="X315" i="28" s="1"/>
  <c r="X316" i="28" s="1"/>
  <c r="Y314" i="28"/>
  <c r="Y315" i="28" s="1"/>
  <c r="Y316" i="28" s="1"/>
  <c r="L312" i="28"/>
  <c r="G314" i="28"/>
  <c r="K312" i="28"/>
  <c r="N8" i="66"/>
  <c r="D51" i="58" s="1"/>
  <c r="K347" i="53"/>
  <c r="G8" i="66"/>
  <c r="C67" i="58" s="1"/>
  <c r="K348" i="53"/>
  <c r="H8" i="66"/>
  <c r="C50" i="58" s="1"/>
  <c r="K349" i="53"/>
  <c r="W170" i="28"/>
  <c r="V170" i="28"/>
  <c r="G170" i="28"/>
  <c r="S577" i="30"/>
  <c r="S578" i="30" s="1"/>
  <c r="S579" i="30" s="1"/>
  <c r="S580" i="30" s="1"/>
  <c r="S581" i="30" s="1"/>
  <c r="J920" i="52"/>
  <c r="J921" i="52"/>
  <c r="J922" i="52"/>
  <c r="J923" i="52"/>
  <c r="I17" i="65"/>
  <c r="J17" i="65"/>
  <c r="K17" i="65"/>
  <c r="S17" i="65"/>
  <c r="L17" i="65"/>
  <c r="T17" i="65"/>
  <c r="V17" i="65"/>
  <c r="J325" i="52"/>
  <c r="M8" i="65"/>
  <c r="W8" i="65"/>
  <c r="K47" i="28"/>
  <c r="P561" i="28"/>
  <c r="J169" i="9"/>
  <c r="J159" i="13"/>
  <c r="J162" i="13"/>
  <c r="D49" i="58"/>
  <c r="H49" i="58" s="1"/>
  <c r="D50" i="58"/>
  <c r="H50" i="58" s="1"/>
  <c r="C51" i="58"/>
  <c r="D47" i="58"/>
  <c r="H47" i="58" s="1"/>
  <c r="B41" i="58"/>
  <c r="B54" i="58" s="1"/>
  <c r="B44" i="58"/>
  <c r="B23" i="58"/>
  <c r="B36" i="58" s="1"/>
  <c r="C69" i="57"/>
  <c r="D78" i="57"/>
  <c r="F78" i="57" s="1"/>
  <c r="C80" i="57"/>
  <c r="D83" i="57"/>
  <c r="F83" i="57" s="1"/>
  <c r="E76" i="57"/>
  <c r="D80" i="57"/>
  <c r="F80" i="57" s="1"/>
  <c r="E83" i="57"/>
  <c r="B70" i="57"/>
  <c r="G86" i="57" s="1"/>
  <c r="C77" i="57"/>
  <c r="E78" i="57"/>
  <c r="E80" i="57"/>
  <c r="C82" i="57"/>
  <c r="C84" i="57"/>
  <c r="D75" i="57"/>
  <c r="F75" i="57" s="1"/>
  <c r="C76" i="57"/>
  <c r="C81" i="57"/>
  <c r="B68" i="56"/>
  <c r="G84" i="56" s="1"/>
  <c r="C10" i="56"/>
  <c r="E11" i="56"/>
  <c r="D15" i="56"/>
  <c r="D17" i="56"/>
  <c r="D19" i="56"/>
  <c r="D10" i="56"/>
  <c r="E15" i="56"/>
  <c r="E17" i="56"/>
  <c r="E19" i="56"/>
  <c r="E10" i="56"/>
  <c r="C12" i="56"/>
  <c r="C14" i="56"/>
  <c r="C18" i="56"/>
  <c r="B5" i="56"/>
  <c r="G21" i="56" s="1"/>
  <c r="C13" i="56"/>
  <c r="D16" i="56"/>
  <c r="E40" i="55"/>
  <c r="B61" i="58" s="1"/>
  <c r="M626" i="53"/>
  <c r="F250" i="31"/>
  <c r="E257" i="31"/>
  <c r="L994" i="28"/>
  <c r="G995" i="28"/>
  <c r="F19" i="66" s="1"/>
  <c r="W995" i="28"/>
  <c r="K994" i="28"/>
  <c r="Y995" i="28"/>
  <c r="Y996" i="28" s="1"/>
  <c r="Y997" i="28" s="1"/>
  <c r="Y998" i="28" s="1"/>
  <c r="K1118" i="53"/>
  <c r="K19" i="66"/>
  <c r="L19" i="66"/>
  <c r="K1115" i="53"/>
  <c r="G936" i="28"/>
  <c r="X936" i="28"/>
  <c r="G190" i="28"/>
  <c r="G6" i="66" s="1"/>
  <c r="W190" i="28"/>
  <c r="X190" i="28"/>
  <c r="L6" i="66"/>
  <c r="K206" i="53"/>
  <c r="M6" i="66"/>
  <c r="K207" i="53"/>
  <c r="N6" i="66"/>
  <c r="K208" i="53"/>
  <c r="K1318" i="52"/>
  <c r="X23" i="65"/>
  <c r="E175" i="23"/>
  <c r="E110" i="23"/>
  <c r="E144" i="23"/>
  <c r="E74" i="23"/>
  <c r="U23" i="48"/>
  <c r="U122" i="4"/>
  <c r="F106" i="31"/>
  <c r="E113" i="31"/>
  <c r="W1242" i="28"/>
  <c r="G1165" i="28"/>
  <c r="G998" i="28"/>
  <c r="I19" i="66" s="1"/>
  <c r="V810" i="28"/>
  <c r="V811" i="28" s="1"/>
  <c r="V812" i="28" s="1"/>
  <c r="W810" i="28"/>
  <c r="W811" i="28" s="1"/>
  <c r="W812" i="28" s="1"/>
  <c r="X810" i="28"/>
  <c r="X811" i="28" s="1"/>
  <c r="X812" i="28" s="1"/>
  <c r="G810" i="28"/>
  <c r="S654" i="30"/>
  <c r="L654" i="30"/>
  <c r="J1054" i="52"/>
  <c r="J1055" i="52"/>
  <c r="J1056" i="52"/>
  <c r="J1051" i="52"/>
  <c r="J1059" i="52"/>
  <c r="J456" i="52"/>
  <c r="J453" i="52"/>
  <c r="S204" i="30"/>
  <c r="J318" i="52"/>
  <c r="J319" i="52"/>
  <c r="J320" i="52"/>
  <c r="J323" i="52"/>
  <c r="T204" i="30"/>
  <c r="P617" i="24"/>
  <c r="F617" i="24"/>
  <c r="H18" i="61" s="1"/>
  <c r="I613" i="24"/>
  <c r="O574" i="24"/>
  <c r="O575" i="24" s="1"/>
  <c r="P574" i="24"/>
  <c r="F574" i="24"/>
  <c r="F17" i="61" s="1"/>
  <c r="J924" i="51"/>
  <c r="J925" i="51"/>
  <c r="J926" i="51"/>
  <c r="J921" i="51"/>
  <c r="J922" i="51"/>
  <c r="E122" i="13"/>
  <c r="E153" i="13"/>
  <c r="E88" i="13"/>
  <c r="E53" i="13"/>
  <c r="L1056" i="28"/>
  <c r="Y1057" i="28"/>
  <c r="Y1058" i="28" s="1"/>
  <c r="K1056" i="28"/>
  <c r="G1057" i="28"/>
  <c r="F20" i="66" s="1"/>
  <c r="V1057" i="28"/>
  <c r="V1058" i="28" s="1"/>
  <c r="G1039" i="28"/>
  <c r="V1039" i="28"/>
  <c r="V1040" i="28" s="1"/>
  <c r="V1041" i="28" s="1"/>
  <c r="W1039" i="28"/>
  <c r="W1040" i="28" s="1"/>
  <c r="W1041" i="28" s="1"/>
  <c r="G791" i="28"/>
  <c r="G16" i="66" s="1"/>
  <c r="G666" i="28"/>
  <c r="F14" i="66" s="1"/>
  <c r="V666" i="28"/>
  <c r="W666" i="28"/>
  <c r="W667" i="28" s="1"/>
  <c r="W668" i="28" s="1"/>
  <c r="W669" i="28" s="1"/>
  <c r="G482" i="28"/>
  <c r="V419" i="28"/>
  <c r="V420" i="28" s="1"/>
  <c r="G294" i="28"/>
  <c r="V294" i="28"/>
  <c r="V295" i="28" s="1"/>
  <c r="V296" i="28" s="1"/>
  <c r="W294" i="28"/>
  <c r="W295" i="28" s="1"/>
  <c r="W296" i="28" s="1"/>
  <c r="V189" i="28"/>
  <c r="V190" i="28" s="1"/>
  <c r="V191" i="28" s="1"/>
  <c r="V192" i="28" s="1"/>
  <c r="K188" i="28"/>
  <c r="L188" i="28"/>
  <c r="W189" i="28"/>
  <c r="G189" i="28"/>
  <c r="F6" i="66" s="1"/>
  <c r="Y189" i="28"/>
  <c r="Y190" i="28" s="1"/>
  <c r="Y191" i="28" s="1"/>
  <c r="Y192" i="28" s="1"/>
  <c r="G109" i="28"/>
  <c r="V109" i="28"/>
  <c r="J718" i="52"/>
  <c r="J719" i="52"/>
  <c r="T415" i="30"/>
  <c r="T416" i="30" s="1"/>
  <c r="T417" i="30" s="1"/>
  <c r="F661" i="24"/>
  <c r="K19" i="61" s="1"/>
  <c r="P661" i="24"/>
  <c r="J1061" i="51"/>
  <c r="J1062" i="51"/>
  <c r="I654" i="24"/>
  <c r="K654" i="24" s="1"/>
  <c r="L58" i="53"/>
  <c r="F286" i="31"/>
  <c r="F178" i="31"/>
  <c r="E185" i="31"/>
  <c r="G1227" i="28"/>
  <c r="V1227" i="28"/>
  <c r="W1122" i="28"/>
  <c r="G544" i="28"/>
  <c r="H12" i="66" s="1"/>
  <c r="G481" i="28"/>
  <c r="V356" i="28"/>
  <c r="V357" i="28" s="1"/>
  <c r="V358" i="28" s="1"/>
  <c r="V359" i="28" s="1"/>
  <c r="G356" i="28"/>
  <c r="W356" i="28"/>
  <c r="W357" i="28" s="1"/>
  <c r="W358" i="28" s="1"/>
  <c r="W359" i="28" s="1"/>
  <c r="V188" i="28"/>
  <c r="W188" i="28"/>
  <c r="K204" i="53"/>
  <c r="K205" i="53"/>
  <c r="V47" i="28"/>
  <c r="V48" i="28" s="1"/>
  <c r="V49" i="28" s="1"/>
  <c r="G47" i="28"/>
  <c r="T656" i="30"/>
  <c r="T657" i="30" s="1"/>
  <c r="S656" i="30"/>
  <c r="S657" i="30" s="1"/>
  <c r="S658" i="30" s="1"/>
  <c r="S490" i="30"/>
  <c r="K779" i="52"/>
  <c r="J787" i="52"/>
  <c r="J780" i="52"/>
  <c r="J788" i="52"/>
  <c r="J781" i="52"/>
  <c r="J784" i="52"/>
  <c r="S48" i="30"/>
  <c r="F415" i="24"/>
  <c r="K13" i="61" s="1"/>
  <c r="P415" i="24"/>
  <c r="I408" i="24"/>
  <c r="K408" i="24" s="1"/>
  <c r="F370" i="24"/>
  <c r="G12" i="61" s="1"/>
  <c r="P370" i="24"/>
  <c r="J590" i="51"/>
  <c r="J591" i="51"/>
  <c r="J592" i="51"/>
  <c r="J587" i="51"/>
  <c r="J588" i="51"/>
  <c r="E140" i="13"/>
  <c r="E71" i="13"/>
  <c r="E106" i="13"/>
  <c r="E171" i="13"/>
  <c r="M769" i="53"/>
  <c r="F34" i="31"/>
  <c r="E41" i="31"/>
  <c r="G1163" i="28"/>
  <c r="V1163" i="28"/>
  <c r="V1164" i="28" s="1"/>
  <c r="V1165" i="28" s="1"/>
  <c r="H1010" i="28"/>
  <c r="F1018" i="28"/>
  <c r="G996" i="28"/>
  <c r="G19" i="66" s="1"/>
  <c r="W996" i="28"/>
  <c r="X996" i="28"/>
  <c r="G687" i="28"/>
  <c r="V687" i="28"/>
  <c r="V688" i="28" s="1"/>
  <c r="Y687" i="28"/>
  <c r="G543" i="28"/>
  <c r="G12" i="66" s="1"/>
  <c r="S781" i="30"/>
  <c r="S782" i="30" s="1"/>
  <c r="S783" i="30" s="1"/>
  <c r="S784" i="30" s="1"/>
  <c r="S785" i="30" s="1"/>
  <c r="S786" i="30" s="1"/>
  <c r="J1256" i="52"/>
  <c r="J1257" i="52"/>
  <c r="J1258" i="52"/>
  <c r="S533" i="30"/>
  <c r="S534" i="30" s="1"/>
  <c r="S535" i="30" s="1"/>
  <c r="S536" i="30" s="1"/>
  <c r="S537" i="30" s="1"/>
  <c r="S538" i="30" s="1"/>
  <c r="S539" i="30" s="1"/>
  <c r="S540" i="30" s="1"/>
  <c r="T409" i="30"/>
  <c r="J647" i="52"/>
  <c r="J648" i="52"/>
  <c r="S409" i="30"/>
  <c r="S410" i="30" s="1"/>
  <c r="J649" i="52"/>
  <c r="J652" i="52"/>
  <c r="F797" i="24"/>
  <c r="I805" i="24" s="1"/>
  <c r="J805" i="24" s="1"/>
  <c r="G797" i="24"/>
  <c r="I818" i="24" s="1"/>
  <c r="E805" i="24"/>
  <c r="P614" i="24"/>
  <c r="F614" i="24"/>
  <c r="E18" i="61" s="1"/>
  <c r="O614" i="24"/>
  <c r="J993" i="51"/>
  <c r="J994" i="51"/>
  <c r="J987" i="51"/>
  <c r="J995" i="51"/>
  <c r="J990" i="51"/>
  <c r="P577" i="24"/>
  <c r="F577" i="24"/>
  <c r="I17" i="61" s="1"/>
  <c r="D159" i="23"/>
  <c r="D94" i="23"/>
  <c r="D128" i="23"/>
  <c r="D58" i="23"/>
  <c r="M58" i="5"/>
  <c r="V1226" i="28"/>
  <c r="W1226" i="28"/>
  <c r="W1227" i="28" s="1"/>
  <c r="L1223" i="28"/>
  <c r="Y934" i="28"/>
  <c r="Y935" i="28" s="1"/>
  <c r="Y936" i="28" s="1"/>
  <c r="V934" i="28"/>
  <c r="V935" i="28" s="1"/>
  <c r="V936" i="28" s="1"/>
  <c r="G934" i="28"/>
  <c r="L932" i="28"/>
  <c r="Q932" i="28" s="1"/>
  <c r="G542" i="28"/>
  <c r="F12" i="66" s="1"/>
  <c r="V542" i="28"/>
  <c r="V543" i="28" s="1"/>
  <c r="V544" i="28" s="1"/>
  <c r="V545" i="28" s="1"/>
  <c r="W542" i="28"/>
  <c r="W543" i="28" s="1"/>
  <c r="W544" i="28" s="1"/>
  <c r="W545" i="28" s="1"/>
  <c r="X439" i="28"/>
  <c r="X440" i="28" s="1"/>
  <c r="Y439" i="28"/>
  <c r="Y440" i="28" s="1"/>
  <c r="G439" i="28"/>
  <c r="H10" i="66" s="1"/>
  <c r="V374" i="28"/>
  <c r="W374" i="28"/>
  <c r="V297" i="28"/>
  <c r="W297" i="28"/>
  <c r="G254" i="28"/>
  <c r="I7" i="66" s="1"/>
  <c r="X254" i="28"/>
  <c r="T658" i="30"/>
  <c r="T659" i="30" s="1"/>
  <c r="T660" i="30" s="1"/>
  <c r="T661" i="30" s="1"/>
  <c r="T662" i="30" s="1"/>
  <c r="T663" i="30" s="1"/>
  <c r="J991" i="52"/>
  <c r="J613" i="30"/>
  <c r="K613" i="30" s="1"/>
  <c r="O613" i="30" s="1"/>
  <c r="M613" i="30" s="1"/>
  <c r="AH18" i="65" s="1"/>
  <c r="F519" i="30"/>
  <c r="J518" i="30"/>
  <c r="S367" i="30"/>
  <c r="J579" i="52"/>
  <c r="J586" i="52"/>
  <c r="J587" i="52"/>
  <c r="J580" i="52"/>
  <c r="J588" i="52"/>
  <c r="J583" i="52"/>
  <c r="T205" i="30"/>
  <c r="T206" i="30" s="1"/>
  <c r="T207" i="30" s="1"/>
  <c r="T208" i="30" s="1"/>
  <c r="T209" i="30" s="1"/>
  <c r="T210" i="30" s="1"/>
  <c r="T211" i="30" s="1"/>
  <c r="T212" i="30" s="1"/>
  <c r="S205" i="30"/>
  <c r="S206" i="30" s="1"/>
  <c r="S207" i="30" s="1"/>
  <c r="S208" i="30" s="1"/>
  <c r="S209" i="30" s="1"/>
  <c r="S210" i="30" s="1"/>
  <c r="S211" i="30" s="1"/>
  <c r="S212" i="30" s="1"/>
  <c r="K1101" i="28"/>
  <c r="V1101" i="28"/>
  <c r="V1102" i="28" s="1"/>
  <c r="L1099" i="28"/>
  <c r="V1059" i="28"/>
  <c r="V1060" i="28" s="1"/>
  <c r="W1059" i="28"/>
  <c r="W1060" i="28" s="1"/>
  <c r="G790" i="28"/>
  <c r="F16" i="66" s="1"/>
  <c r="V790" i="28"/>
  <c r="V791" i="28" s="1"/>
  <c r="V792" i="28" s="1"/>
  <c r="V793" i="28" s="1"/>
  <c r="W790" i="28"/>
  <c r="W791" i="28" s="1"/>
  <c r="W792" i="28" s="1"/>
  <c r="W793" i="28" s="1"/>
  <c r="W749" i="28"/>
  <c r="W750" i="28" s="1"/>
  <c r="K746" i="28"/>
  <c r="P746" i="28" s="1"/>
  <c r="G747" i="28"/>
  <c r="L746" i="28"/>
  <c r="Q746" i="28" s="1"/>
  <c r="N747" i="28"/>
  <c r="N748" i="28" s="1"/>
  <c r="N749" i="28" s="1"/>
  <c r="V747" i="28"/>
  <c r="G576" i="28"/>
  <c r="J584" i="28" s="1"/>
  <c r="K584" i="28" s="1"/>
  <c r="H576" i="28"/>
  <c r="J603" i="28" s="1"/>
  <c r="F584" i="28"/>
  <c r="S819" i="30"/>
  <c r="S820" i="30" s="1"/>
  <c r="S821" i="30" s="1"/>
  <c r="S822" i="30" s="1"/>
  <c r="S823" i="30" s="1"/>
  <c r="S824" i="30" s="1"/>
  <c r="S825" i="30" s="1"/>
  <c r="S826" i="30" s="1"/>
  <c r="S827" i="30" s="1"/>
  <c r="T819" i="30"/>
  <c r="T820" i="30" s="1"/>
  <c r="T821" i="30" s="1"/>
  <c r="T822" i="30" s="1"/>
  <c r="T823" i="30" s="1"/>
  <c r="T824" i="30" s="1"/>
  <c r="T825" i="30" s="1"/>
  <c r="T826" i="30" s="1"/>
  <c r="T827" i="30" s="1"/>
  <c r="E190" i="30"/>
  <c r="G510" i="24"/>
  <c r="I531" i="24" s="1"/>
  <c r="E518" i="24"/>
  <c r="P287" i="24"/>
  <c r="F287" i="24"/>
  <c r="F10" i="61" s="1"/>
  <c r="F87" i="24"/>
  <c r="P87" i="24"/>
  <c r="J87" i="24"/>
  <c r="K87" i="24" s="1"/>
  <c r="O87" i="24"/>
  <c r="D68" i="16"/>
  <c r="D104" i="16"/>
  <c r="D170" i="16"/>
  <c r="D139" i="16"/>
  <c r="L1242" i="28"/>
  <c r="G1103" i="28"/>
  <c r="V1103" i="28"/>
  <c r="V1038" i="28"/>
  <c r="W1038" i="28"/>
  <c r="V994" i="28"/>
  <c r="V995" i="28" s="1"/>
  <c r="V996" i="28" s="1"/>
  <c r="V997" i="28" s="1"/>
  <c r="V998" i="28" s="1"/>
  <c r="W994" i="28"/>
  <c r="X873" i="28"/>
  <c r="X874" i="28" s="1"/>
  <c r="Y873" i="28"/>
  <c r="Y874" i="28" s="1"/>
  <c r="G873" i="28"/>
  <c r="V871" i="28"/>
  <c r="G730" i="28"/>
  <c r="H15" i="66" s="1"/>
  <c r="J727" i="28"/>
  <c r="J665" i="28"/>
  <c r="W624" i="28"/>
  <c r="W625" i="28" s="1"/>
  <c r="W626" i="28" s="1"/>
  <c r="X624" i="28"/>
  <c r="X625" i="28" s="1"/>
  <c r="X626" i="28" s="1"/>
  <c r="Y624" i="28"/>
  <c r="G624" i="28"/>
  <c r="W607" i="28"/>
  <c r="G501" i="28"/>
  <c r="H11" i="66" s="1"/>
  <c r="V501" i="28"/>
  <c r="V502" i="28" s="1"/>
  <c r="W501" i="28"/>
  <c r="W502" i="28" s="1"/>
  <c r="K498" i="28"/>
  <c r="Y499" i="28"/>
  <c r="Y500" i="28" s="1"/>
  <c r="Y501" i="28" s="1"/>
  <c r="L498" i="28"/>
  <c r="G499" i="28"/>
  <c r="F11" i="66" s="1"/>
  <c r="W376" i="28"/>
  <c r="W377" i="28" s="1"/>
  <c r="W378" i="28" s="1"/>
  <c r="W171" i="28"/>
  <c r="V171" i="28"/>
  <c r="V172" i="28" s="1"/>
  <c r="V173" i="28" s="1"/>
  <c r="G142" i="28"/>
  <c r="J150" i="28" s="1"/>
  <c r="K150" i="28" s="1"/>
  <c r="G48" i="28"/>
  <c r="W48" i="28"/>
  <c r="W49" i="28" s="1"/>
  <c r="F633" i="30"/>
  <c r="I641" i="30" s="1"/>
  <c r="E641" i="30"/>
  <c r="S575" i="30"/>
  <c r="S576" i="30" s="1"/>
  <c r="T497" i="30"/>
  <c r="T452" i="30"/>
  <c r="T453" i="30" s="1"/>
  <c r="T454" i="30" s="1"/>
  <c r="T455" i="30" s="1"/>
  <c r="T456" i="30" s="1"/>
  <c r="T457" i="30" s="1"/>
  <c r="T458" i="30" s="1"/>
  <c r="L408" i="30"/>
  <c r="T287" i="30"/>
  <c r="T288" i="30" s="1"/>
  <c r="T289" i="30" s="1"/>
  <c r="T290" i="30" s="1"/>
  <c r="T291" i="30" s="1"/>
  <c r="T292" i="30" s="1"/>
  <c r="T293" i="30" s="1"/>
  <c r="T294" i="30" s="1"/>
  <c r="J818" i="24"/>
  <c r="O818" i="24"/>
  <c r="F551" i="24"/>
  <c r="I559" i="24" s="1"/>
  <c r="J559" i="24" s="1"/>
  <c r="G551" i="24"/>
  <c r="I572" i="24" s="1"/>
  <c r="K572" i="24" s="1"/>
  <c r="E559" i="24"/>
  <c r="J86" i="24"/>
  <c r="K86" i="24" s="1"/>
  <c r="F86" i="24"/>
  <c r="O86" i="24"/>
  <c r="P86" i="24"/>
  <c r="Y1244" i="28"/>
  <c r="Y1245" i="28" s="1"/>
  <c r="Y1246" i="28" s="1"/>
  <c r="V1243" i="28"/>
  <c r="V1244" i="28" s="1"/>
  <c r="X1184" i="28"/>
  <c r="V1183" i="28"/>
  <c r="V1184" i="28" s="1"/>
  <c r="L1180" i="28"/>
  <c r="Y1121" i="28"/>
  <c r="Y1122" i="28" s="1"/>
  <c r="H1072" i="28"/>
  <c r="Y1060" i="28"/>
  <c r="G811" i="28"/>
  <c r="G792" i="28"/>
  <c r="H16" i="66" s="1"/>
  <c r="Y747" i="28"/>
  <c r="W684" i="28"/>
  <c r="V668" i="28"/>
  <c r="V669" i="28" s="1"/>
  <c r="V480" i="28"/>
  <c r="V481" i="28" s="1"/>
  <c r="V482" i="28" s="1"/>
  <c r="V483" i="28" s="1"/>
  <c r="W480" i="28"/>
  <c r="W481" i="28" s="1"/>
  <c r="W482" i="28" s="1"/>
  <c r="W483" i="28" s="1"/>
  <c r="W419" i="28"/>
  <c r="W420" i="28" s="1"/>
  <c r="W421" i="28" s="1"/>
  <c r="W251" i="28"/>
  <c r="W252" i="28" s="1"/>
  <c r="W253" i="28" s="1"/>
  <c r="W254" i="28" s="1"/>
  <c r="V251" i="28"/>
  <c r="Y251" i="28"/>
  <c r="Y252" i="28" s="1"/>
  <c r="Y253" i="28" s="1"/>
  <c r="Y254" i="28" s="1"/>
  <c r="K250" i="28"/>
  <c r="X191" i="28"/>
  <c r="X192" i="28" s="1"/>
  <c r="S699" i="30"/>
  <c r="S700" i="30" s="1"/>
  <c r="S701" i="30" s="1"/>
  <c r="S702" i="30" s="1"/>
  <c r="S703" i="30" s="1"/>
  <c r="S704" i="30" s="1"/>
  <c r="T81" i="30"/>
  <c r="T82" i="30" s="1"/>
  <c r="S81" i="30"/>
  <c r="S82" i="30" s="1"/>
  <c r="S83" i="30" s="1"/>
  <c r="S84" i="30" s="1"/>
  <c r="S85" i="30" s="1"/>
  <c r="S86" i="30" s="1"/>
  <c r="S87" i="30" s="1"/>
  <c r="S88" i="30" s="1"/>
  <c r="S89" i="30" s="1"/>
  <c r="P823" i="24"/>
  <c r="P824" i="24" s="1"/>
  <c r="P825" i="24" s="1"/>
  <c r="P826" i="24" s="1"/>
  <c r="P827" i="24" s="1"/>
  <c r="J823" i="24"/>
  <c r="K823" i="24" s="1"/>
  <c r="F823" i="24"/>
  <c r="O823" i="24"/>
  <c r="F700" i="24"/>
  <c r="I20" i="61" s="1"/>
  <c r="O700" i="24"/>
  <c r="O701" i="24" s="1"/>
  <c r="O702" i="24" s="1"/>
  <c r="O703" i="24" s="1"/>
  <c r="O704" i="24" s="1"/>
  <c r="O490" i="24"/>
  <c r="J490" i="24"/>
  <c r="O367" i="24"/>
  <c r="F333" i="24"/>
  <c r="K11" i="61" s="1"/>
  <c r="E132" i="13"/>
  <c r="E63" i="13"/>
  <c r="E163" i="13"/>
  <c r="E56" i="9"/>
  <c r="E92" i="9"/>
  <c r="E128" i="9"/>
  <c r="E160" i="9"/>
  <c r="F1204" i="28"/>
  <c r="W1184" i="28"/>
  <c r="Y1181" i="28"/>
  <c r="Y1182" i="28" s="1"/>
  <c r="Y1183" i="28" s="1"/>
  <c r="Y1184" i="28" s="1"/>
  <c r="G1120" i="28"/>
  <c r="G21" i="66" s="1"/>
  <c r="L1118" i="28"/>
  <c r="Y1059" i="28"/>
  <c r="G948" i="28"/>
  <c r="J956" i="28" s="1"/>
  <c r="K956" i="28" s="1"/>
  <c r="H948" i="28"/>
  <c r="F956" i="28"/>
  <c r="V933" i="28"/>
  <c r="V872" i="28"/>
  <c r="V873" i="28" s="1"/>
  <c r="V874" i="28" s="1"/>
  <c r="W872" i="28"/>
  <c r="W873" i="28" s="1"/>
  <c r="W874" i="28" s="1"/>
  <c r="X872" i="28"/>
  <c r="G872" i="28"/>
  <c r="J789" i="28"/>
  <c r="Y749" i="28"/>
  <c r="W747" i="28"/>
  <c r="W748" i="28" s="1"/>
  <c r="G728" i="28"/>
  <c r="F15" i="66" s="1"/>
  <c r="V728" i="28"/>
  <c r="V729" i="28" s="1"/>
  <c r="V730" i="28" s="1"/>
  <c r="V731" i="28" s="1"/>
  <c r="W728" i="28"/>
  <c r="W729" i="28" s="1"/>
  <c r="W730" i="28" s="1"/>
  <c r="W731" i="28" s="1"/>
  <c r="G623" i="28"/>
  <c r="G564" i="28"/>
  <c r="W564" i="28"/>
  <c r="Y562" i="28"/>
  <c r="Y563" i="28" s="1"/>
  <c r="Y564" i="28" s="1"/>
  <c r="V562" i="28"/>
  <c r="V563" i="28" s="1"/>
  <c r="V564" i="28" s="1"/>
  <c r="V438" i="28"/>
  <c r="V439" i="28" s="1"/>
  <c r="V440" i="28" s="1"/>
  <c r="W438" i="28"/>
  <c r="W439" i="28" s="1"/>
  <c r="W440" i="28" s="1"/>
  <c r="X438" i="28"/>
  <c r="K436" i="28"/>
  <c r="F274" i="28"/>
  <c r="G173" i="28"/>
  <c r="G130" i="28"/>
  <c r="I5" i="66" s="1"/>
  <c r="W130" i="28"/>
  <c r="G110" i="28"/>
  <c r="V110" i="28"/>
  <c r="V111" i="28" s="1"/>
  <c r="L777" i="30"/>
  <c r="S777" i="30"/>
  <c r="J695" i="30"/>
  <c r="K695" i="30" s="1"/>
  <c r="O695" i="30" s="1"/>
  <c r="M695" i="30" s="1"/>
  <c r="AH20" i="65" s="1"/>
  <c r="T616" i="30"/>
  <c r="T617" i="30" s="1"/>
  <c r="T618" i="30" s="1"/>
  <c r="T619" i="30" s="1"/>
  <c r="T620" i="30" s="1"/>
  <c r="T621" i="30" s="1"/>
  <c r="T622" i="30" s="1"/>
  <c r="S496" i="30"/>
  <c r="S497" i="30" s="1"/>
  <c r="S498" i="30" s="1"/>
  <c r="S499" i="30" s="1"/>
  <c r="F469" i="30"/>
  <c r="I477" i="30" s="1"/>
  <c r="J469" i="30"/>
  <c r="J490" i="30" s="1"/>
  <c r="K490" i="30" s="1"/>
  <c r="O490" i="30" s="1"/>
  <c r="M490" i="30" s="1"/>
  <c r="AH15" i="65" s="1"/>
  <c r="E477" i="30"/>
  <c r="J408" i="30"/>
  <c r="K408" i="30" s="1"/>
  <c r="T330" i="30"/>
  <c r="T331" i="30" s="1"/>
  <c r="T332" i="30" s="1"/>
  <c r="T333" i="30" s="1"/>
  <c r="T334" i="30" s="1"/>
  <c r="T335" i="30" s="1"/>
  <c r="T83" i="30"/>
  <c r="T84" i="30" s="1"/>
  <c r="T85" i="30" s="1"/>
  <c r="T86" i="30" s="1"/>
  <c r="T87" i="30" s="1"/>
  <c r="T88" i="30" s="1"/>
  <c r="T89" i="30" s="1"/>
  <c r="F332" i="24"/>
  <c r="J11" i="61" s="1"/>
  <c r="F250" i="24"/>
  <c r="J9" i="61" s="1"/>
  <c r="E67" i="23"/>
  <c r="E137" i="23"/>
  <c r="E103" i="23"/>
  <c r="E168" i="23"/>
  <c r="E98" i="13"/>
  <c r="K1118" i="28"/>
  <c r="W1101" i="28"/>
  <c r="W1102" i="28" s="1"/>
  <c r="W1103" i="28" s="1"/>
  <c r="X1059" i="28"/>
  <c r="X1060" i="28" s="1"/>
  <c r="W997" i="28"/>
  <c r="W998" i="28" s="1"/>
  <c r="X997" i="28"/>
  <c r="X998" i="28" s="1"/>
  <c r="V978" i="28"/>
  <c r="V979" i="28" s="1"/>
  <c r="W978" i="28"/>
  <c r="W979" i="28" s="1"/>
  <c r="F894" i="28"/>
  <c r="L870" i="28"/>
  <c r="Q870" i="28" s="1"/>
  <c r="X749" i="28"/>
  <c r="X750" i="28" s="1"/>
  <c r="Y625" i="28"/>
  <c r="Y626" i="28" s="1"/>
  <c r="V623" i="28"/>
  <c r="V624" i="28" s="1"/>
  <c r="V625" i="28" s="1"/>
  <c r="V626" i="28" s="1"/>
  <c r="K622" i="28"/>
  <c r="P622" i="28" s="1"/>
  <c r="W623" i="28"/>
  <c r="M623" i="28"/>
  <c r="G419" i="28"/>
  <c r="G204" i="28"/>
  <c r="J212" i="28" s="1"/>
  <c r="K212" i="28" s="1"/>
  <c r="F212" i="28"/>
  <c r="W191" i="28"/>
  <c r="F797" i="30"/>
  <c r="I805" i="30" s="1"/>
  <c r="J797" i="30"/>
  <c r="J818" i="30" s="1"/>
  <c r="K818" i="30" s="1"/>
  <c r="O818" i="30" s="1"/>
  <c r="M818" i="30" s="1"/>
  <c r="AH23" i="65" s="1"/>
  <c r="S779" i="30"/>
  <c r="S780" i="30" s="1"/>
  <c r="T779" i="30"/>
  <c r="T780" i="30" s="1"/>
  <c r="T781" i="30" s="1"/>
  <c r="T782" i="30" s="1"/>
  <c r="T783" i="30" s="1"/>
  <c r="T784" i="30" s="1"/>
  <c r="T785" i="30" s="1"/>
  <c r="T786" i="30" s="1"/>
  <c r="J572" i="30"/>
  <c r="K572" i="30" s="1"/>
  <c r="O572" i="30" s="1"/>
  <c r="M572" i="30" s="1"/>
  <c r="AH17" i="65" s="1"/>
  <c r="P371" i="24"/>
  <c r="P372" i="24" s="1"/>
  <c r="F371" i="24"/>
  <c r="H12" i="61" s="1"/>
  <c r="K870" i="28"/>
  <c r="P870" i="28" s="1"/>
  <c r="Y809" i="28"/>
  <c r="Y810" i="28" s="1"/>
  <c r="Y811" i="28" s="1"/>
  <c r="Y812" i="28" s="1"/>
  <c r="Y748" i="28"/>
  <c r="L374" i="28"/>
  <c r="G128" i="28"/>
  <c r="G5" i="66" s="1"/>
  <c r="Y128" i="28"/>
  <c r="Y129" i="28" s="1"/>
  <c r="Y130" i="28" s="1"/>
  <c r="S739" i="30"/>
  <c r="S740" i="30" s="1"/>
  <c r="S741" i="30" s="1"/>
  <c r="S742" i="30" s="1"/>
  <c r="S743" i="30" s="1"/>
  <c r="S744" i="30" s="1"/>
  <c r="S745" i="30" s="1"/>
  <c r="J531" i="30"/>
  <c r="K531" i="30" s="1"/>
  <c r="O531" i="30" s="1"/>
  <c r="M531" i="30" s="1"/>
  <c r="AH16" i="65" s="1"/>
  <c r="S449" i="30"/>
  <c r="J428" i="30"/>
  <c r="J449" i="30" s="1"/>
  <c r="K449" i="30" s="1"/>
  <c r="O449" i="30" s="1"/>
  <c r="M449" i="30" s="1"/>
  <c r="AH14" i="65" s="1"/>
  <c r="E436" i="30"/>
  <c r="S411" i="30"/>
  <c r="S412" i="30" s="1"/>
  <c r="S413" i="30" s="1"/>
  <c r="S414" i="30" s="1"/>
  <c r="S415" i="30" s="1"/>
  <c r="S416" i="30" s="1"/>
  <c r="S417" i="30" s="1"/>
  <c r="S369" i="30"/>
  <c r="S370" i="30" s="1"/>
  <c r="S371" i="30" s="1"/>
  <c r="S372" i="30" s="1"/>
  <c r="S373" i="30" s="1"/>
  <c r="S374" i="30" s="1"/>
  <c r="S375" i="30" s="1"/>
  <c r="S376" i="30" s="1"/>
  <c r="S165" i="30"/>
  <c r="S166" i="30" s="1"/>
  <c r="S167" i="30" s="1"/>
  <c r="S168" i="30" s="1"/>
  <c r="S169" i="30" s="1"/>
  <c r="S170" i="30" s="1"/>
  <c r="S171" i="30" s="1"/>
  <c r="S80" i="30"/>
  <c r="P780" i="24"/>
  <c r="G756" i="24"/>
  <c r="I777" i="24" s="1"/>
  <c r="K777" i="24" s="1"/>
  <c r="E764" i="24"/>
  <c r="E723" i="24"/>
  <c r="F715" i="24"/>
  <c r="I723" i="24" s="1"/>
  <c r="J723" i="24" s="1"/>
  <c r="G715" i="24"/>
  <c r="I736" i="24" s="1"/>
  <c r="K736" i="24" s="1"/>
  <c r="P618" i="24"/>
  <c r="P573" i="24"/>
  <c r="F573" i="24"/>
  <c r="E17" i="61" s="1"/>
  <c r="P414" i="24"/>
  <c r="F374" i="24"/>
  <c r="K12" i="61" s="1"/>
  <c r="E67" i="24"/>
  <c r="F46" i="24"/>
  <c r="K4" i="61" s="1"/>
  <c r="O46" i="24"/>
  <c r="O47" i="24" s="1"/>
  <c r="O48" i="24" s="1"/>
  <c r="P46" i="24"/>
  <c r="P47" i="24" s="1"/>
  <c r="P48" i="24" s="1"/>
  <c r="D104" i="23"/>
  <c r="D138" i="23"/>
  <c r="D169" i="23"/>
  <c r="E60" i="13"/>
  <c r="E160" i="13"/>
  <c r="E129" i="13"/>
  <c r="E95" i="13"/>
  <c r="I30" i="12"/>
  <c r="E112" i="4"/>
  <c r="F702" i="24"/>
  <c r="K20" i="61" s="1"/>
  <c r="P702" i="24"/>
  <c r="P621" i="24"/>
  <c r="O576" i="24"/>
  <c r="O577" i="24" s="1"/>
  <c r="O578" i="24" s="1"/>
  <c r="O579" i="24" s="1"/>
  <c r="O580" i="24" s="1"/>
  <c r="O581" i="24" s="1"/>
  <c r="P576" i="24"/>
  <c r="F576" i="24"/>
  <c r="H17" i="61" s="1"/>
  <c r="F494" i="24"/>
  <c r="H15" i="61" s="1"/>
  <c r="O494" i="24"/>
  <c r="O495" i="24" s="1"/>
  <c r="O496" i="24" s="1"/>
  <c r="O497" i="24" s="1"/>
  <c r="O498" i="24" s="1"/>
  <c r="O499" i="24" s="1"/>
  <c r="F451" i="24"/>
  <c r="F14" i="61" s="1"/>
  <c r="O451" i="24"/>
  <c r="O452" i="24" s="1"/>
  <c r="O453" i="24" s="1"/>
  <c r="O454" i="24" s="1"/>
  <c r="O455" i="24" s="1"/>
  <c r="O456" i="24" s="1"/>
  <c r="O457" i="24" s="1"/>
  <c r="O458" i="24" s="1"/>
  <c r="F417" i="24"/>
  <c r="M13" i="61" s="1"/>
  <c r="P373" i="24"/>
  <c r="P374" i="24" s="1"/>
  <c r="P375" i="24" s="1"/>
  <c r="P376" i="24" s="1"/>
  <c r="F245" i="24"/>
  <c r="E9" i="61" s="1"/>
  <c r="P245" i="24"/>
  <c r="J23" i="5"/>
  <c r="J31" i="5"/>
  <c r="J39" i="5"/>
  <c r="J21" i="5"/>
  <c r="J24" i="5"/>
  <c r="J27" i="5"/>
  <c r="J30" i="5"/>
  <c r="J33" i="5"/>
  <c r="J36" i="5"/>
  <c r="J35" i="5"/>
  <c r="J28" i="5"/>
  <c r="J25" i="5"/>
  <c r="J26" i="5"/>
  <c r="J37" i="5"/>
  <c r="J34" i="5"/>
  <c r="J32" i="5"/>
  <c r="J22" i="5"/>
  <c r="J38" i="5"/>
  <c r="Y933" i="28"/>
  <c r="W871" i="28"/>
  <c r="V853" i="28"/>
  <c r="V854" i="28" s="1"/>
  <c r="V855" i="28" s="1"/>
  <c r="M809" i="28"/>
  <c r="Y750" i="28"/>
  <c r="V748" i="28"/>
  <c r="V749" i="28" s="1"/>
  <c r="V750" i="28" s="1"/>
  <c r="Y688" i="28"/>
  <c r="V667" i="28"/>
  <c r="Y502" i="28"/>
  <c r="V421" i="28"/>
  <c r="Y376" i="28"/>
  <c r="Y377" i="28" s="1"/>
  <c r="Y378" i="28" s="1"/>
  <c r="V375" i="28"/>
  <c r="V376" i="28" s="1"/>
  <c r="V377" i="28" s="1"/>
  <c r="V378" i="28" s="1"/>
  <c r="W313" i="28"/>
  <c r="W314" i="28" s="1"/>
  <c r="W315" i="28" s="1"/>
  <c r="W316" i="28" s="1"/>
  <c r="V252" i="28"/>
  <c r="V253" i="28" s="1"/>
  <c r="V254" i="28" s="1"/>
  <c r="W192" i="28"/>
  <c r="V67" i="28"/>
  <c r="V68" i="28" s="1"/>
  <c r="G46" i="28"/>
  <c r="J715" i="30"/>
  <c r="J736" i="30" s="1"/>
  <c r="K736" i="30" s="1"/>
  <c r="O736" i="30" s="1"/>
  <c r="M736" i="30" s="1"/>
  <c r="AH21" i="65" s="1"/>
  <c r="S659" i="30"/>
  <c r="S660" i="30" s="1"/>
  <c r="S661" i="30" s="1"/>
  <c r="S662" i="30" s="1"/>
  <c r="S663" i="30" s="1"/>
  <c r="S613" i="30"/>
  <c r="E600" i="30"/>
  <c r="F551" i="30"/>
  <c r="I559" i="30" s="1"/>
  <c r="S451" i="30"/>
  <c r="S452" i="30" s="1"/>
  <c r="S453" i="30" s="1"/>
  <c r="S454" i="30" s="1"/>
  <c r="S455" i="30" s="1"/>
  <c r="S456" i="30" s="1"/>
  <c r="S457" i="30" s="1"/>
  <c r="S458" i="30" s="1"/>
  <c r="T372" i="30"/>
  <c r="T373" i="30" s="1"/>
  <c r="T374" i="30" s="1"/>
  <c r="T375" i="30" s="1"/>
  <c r="T376" i="30" s="1"/>
  <c r="E354" i="30"/>
  <c r="S288" i="30"/>
  <c r="S289" i="30" s="1"/>
  <c r="S290" i="30" s="1"/>
  <c r="S291" i="30" s="1"/>
  <c r="S292" i="30" s="1"/>
  <c r="S293" i="30" s="1"/>
  <c r="S294" i="30" s="1"/>
  <c r="F819" i="24"/>
  <c r="E23" i="61" s="1"/>
  <c r="O819" i="24"/>
  <c r="P819" i="24"/>
  <c r="O778" i="24"/>
  <c r="O779" i="24" s="1"/>
  <c r="O780" i="24" s="1"/>
  <c r="O781" i="24" s="1"/>
  <c r="O782" i="24" s="1"/>
  <c r="O783" i="24" s="1"/>
  <c r="O784" i="24" s="1"/>
  <c r="O785" i="24" s="1"/>
  <c r="O786" i="24" s="1"/>
  <c r="P778" i="24"/>
  <c r="F696" i="24"/>
  <c r="E20" i="61" s="1"/>
  <c r="P696" i="24"/>
  <c r="P580" i="24"/>
  <c r="F368" i="24"/>
  <c r="E12" i="61" s="1"/>
  <c r="O368" i="24"/>
  <c r="O369" i="24" s="1"/>
  <c r="O370" i="24" s="1"/>
  <c r="O371" i="24" s="1"/>
  <c r="O372" i="24" s="1"/>
  <c r="O373" i="24" s="1"/>
  <c r="O374" i="24" s="1"/>
  <c r="O375" i="24" s="1"/>
  <c r="O376" i="24" s="1"/>
  <c r="P368" i="24"/>
  <c r="F335" i="24"/>
  <c r="M11" i="61" s="1"/>
  <c r="P248" i="24"/>
  <c r="P249" i="24" s="1"/>
  <c r="P250" i="24" s="1"/>
  <c r="P251" i="24" s="1"/>
  <c r="P252" i="24" s="1"/>
  <c r="P253" i="24" s="1"/>
  <c r="F248" i="24"/>
  <c r="H9" i="61" s="1"/>
  <c r="D122" i="16"/>
  <c r="D153" i="16"/>
  <c r="D87" i="16"/>
  <c r="E106" i="23"/>
  <c r="E140" i="23"/>
  <c r="E70" i="23"/>
  <c r="E138" i="13"/>
  <c r="E104" i="13"/>
  <c r="E169" i="13"/>
  <c r="E72" i="9"/>
  <c r="E144" i="9"/>
  <c r="E108" i="9"/>
  <c r="E176" i="9"/>
  <c r="E101" i="9"/>
  <c r="E169" i="9"/>
  <c r="E65" i="9"/>
  <c r="D98" i="9"/>
  <c r="D134" i="9"/>
  <c r="D166" i="9"/>
  <c r="D62" i="9"/>
  <c r="J29" i="5"/>
  <c r="K976" i="28"/>
  <c r="W933" i="28"/>
  <c r="W934" i="28" s="1"/>
  <c r="W935" i="28" s="1"/>
  <c r="W936" i="28" s="1"/>
  <c r="G809" i="28"/>
  <c r="L808" i="28"/>
  <c r="Q808" i="28" s="1"/>
  <c r="X688" i="28"/>
  <c r="X502" i="28"/>
  <c r="X376" i="28"/>
  <c r="X377" i="28" s="1"/>
  <c r="X378" i="28" s="1"/>
  <c r="V313" i="28"/>
  <c r="V314" i="28" s="1"/>
  <c r="V315" i="28" s="1"/>
  <c r="V316" i="28" s="1"/>
  <c r="W172" i="28"/>
  <c r="W173" i="28" s="1"/>
  <c r="W129" i="28"/>
  <c r="V127" i="28"/>
  <c r="V128" i="28" s="1"/>
  <c r="V129" i="28" s="1"/>
  <c r="V130" i="28" s="1"/>
  <c r="G65" i="28"/>
  <c r="F4" i="66" s="1"/>
  <c r="L64" i="28"/>
  <c r="T738" i="30"/>
  <c r="F715" i="30"/>
  <c r="I723" i="30" s="1"/>
  <c r="T696" i="30"/>
  <c r="T697" i="30" s="1"/>
  <c r="T698" i="30" s="1"/>
  <c r="T699" i="30" s="1"/>
  <c r="T700" i="30" s="1"/>
  <c r="T701" i="30" s="1"/>
  <c r="T702" i="30" s="1"/>
  <c r="T703" i="30" s="1"/>
  <c r="T704" i="30" s="1"/>
  <c r="F592" i="30"/>
  <c r="I600" i="30" s="1"/>
  <c r="T573" i="30"/>
  <c r="T574" i="30" s="1"/>
  <c r="T575" i="30" s="1"/>
  <c r="T576" i="30" s="1"/>
  <c r="T577" i="30" s="1"/>
  <c r="T578" i="30" s="1"/>
  <c r="T579" i="30" s="1"/>
  <c r="T580" i="30" s="1"/>
  <c r="T581" i="30" s="1"/>
  <c r="T498" i="30"/>
  <c r="T499" i="30" s="1"/>
  <c r="T410" i="30"/>
  <c r="T411" i="30" s="1"/>
  <c r="T412" i="30" s="1"/>
  <c r="T413" i="30" s="1"/>
  <c r="T414" i="30" s="1"/>
  <c r="J346" i="30"/>
  <c r="J367" i="30" s="1"/>
  <c r="K367" i="30" s="1"/>
  <c r="F305" i="30"/>
  <c r="I313" i="30" s="1"/>
  <c r="E313" i="30"/>
  <c r="S253" i="30"/>
  <c r="S249" i="30"/>
  <c r="S250" i="30" s="1"/>
  <c r="S251" i="30" s="1"/>
  <c r="S252" i="30" s="1"/>
  <c r="T247" i="30"/>
  <c r="T248" i="30" s="1"/>
  <c r="T249" i="30" s="1"/>
  <c r="T250" i="30" s="1"/>
  <c r="T251" i="30" s="1"/>
  <c r="T252" i="30" s="1"/>
  <c r="T253" i="30" s="1"/>
  <c r="J223" i="30"/>
  <c r="J244" i="30" s="1"/>
  <c r="K244" i="30" s="1"/>
  <c r="E231" i="30"/>
  <c r="T164" i="30"/>
  <c r="T165" i="30" s="1"/>
  <c r="T166" i="30" s="1"/>
  <c r="T167" i="30" s="1"/>
  <c r="T168" i="30" s="1"/>
  <c r="T169" i="30" s="1"/>
  <c r="T170" i="30" s="1"/>
  <c r="T171" i="30" s="1"/>
  <c r="F659" i="24"/>
  <c r="I19" i="61" s="1"/>
  <c r="P659" i="24"/>
  <c r="P620" i="24"/>
  <c r="O531" i="24"/>
  <c r="J531" i="24"/>
  <c r="I449" i="24"/>
  <c r="P412" i="24"/>
  <c r="F376" i="24"/>
  <c r="M12" i="61" s="1"/>
  <c r="P330" i="24"/>
  <c r="P331" i="24" s="1"/>
  <c r="P332" i="24" s="1"/>
  <c r="P333" i="24" s="1"/>
  <c r="P334" i="24" s="1"/>
  <c r="P335" i="24" s="1"/>
  <c r="F330" i="24"/>
  <c r="H11" i="61" s="1"/>
  <c r="F123" i="24"/>
  <c r="F6" i="61" s="1"/>
  <c r="F48" i="24"/>
  <c r="M4" i="61" s="1"/>
  <c r="D51" i="16"/>
  <c r="E163" i="16"/>
  <c r="E97" i="16"/>
  <c r="E132" i="16"/>
  <c r="D94" i="16"/>
  <c r="D58" i="16"/>
  <c r="D160" i="16"/>
  <c r="D129" i="16"/>
  <c r="D140" i="23"/>
  <c r="D106" i="23"/>
  <c r="E59" i="23"/>
  <c r="E129" i="23"/>
  <c r="E95" i="23"/>
  <c r="E160" i="23"/>
  <c r="E69" i="13"/>
  <c r="E72" i="13"/>
  <c r="E172" i="13"/>
  <c r="E141" i="13"/>
  <c r="E107" i="13"/>
  <c r="K374" i="28"/>
  <c r="G192" i="28"/>
  <c r="I6" i="66" s="1"/>
  <c r="X128" i="28"/>
  <c r="X129" i="28" s="1"/>
  <c r="X130" i="28" s="1"/>
  <c r="W126" i="28"/>
  <c r="W108" i="28"/>
  <c r="W109" i="28" s="1"/>
  <c r="W110" i="28" s="1"/>
  <c r="W111" i="28" s="1"/>
  <c r="G108" i="28"/>
  <c r="T739" i="30"/>
  <c r="T740" i="30" s="1"/>
  <c r="T741" i="30" s="1"/>
  <c r="T742" i="30" s="1"/>
  <c r="T743" i="30" s="1"/>
  <c r="T744" i="30" s="1"/>
  <c r="T745" i="30" s="1"/>
  <c r="S615" i="30"/>
  <c r="S616" i="30" s="1"/>
  <c r="S617" i="30" s="1"/>
  <c r="S618" i="30" s="1"/>
  <c r="S619" i="30" s="1"/>
  <c r="S620" i="30" s="1"/>
  <c r="S621" i="30" s="1"/>
  <c r="S622" i="30" s="1"/>
  <c r="S329" i="30"/>
  <c r="S330" i="30" s="1"/>
  <c r="S331" i="30" s="1"/>
  <c r="S332" i="30" s="1"/>
  <c r="S333" i="30" s="1"/>
  <c r="S334" i="30" s="1"/>
  <c r="S335" i="30" s="1"/>
  <c r="S122" i="30"/>
  <c r="S123" i="30" s="1"/>
  <c r="S124" i="30" s="1"/>
  <c r="S125" i="30" s="1"/>
  <c r="S126" i="30" s="1"/>
  <c r="S127" i="30" s="1"/>
  <c r="S128" i="30" s="1"/>
  <c r="S129" i="30" s="1"/>
  <c r="S130" i="30" s="1"/>
  <c r="T122" i="30"/>
  <c r="T123" i="30" s="1"/>
  <c r="T124" i="30" s="1"/>
  <c r="T125" i="30" s="1"/>
  <c r="T126" i="30" s="1"/>
  <c r="O824" i="24"/>
  <c r="J824" i="24"/>
  <c r="K824" i="24" s="1"/>
  <c r="P785" i="24"/>
  <c r="F785" i="24"/>
  <c r="L22" i="61" s="1"/>
  <c r="J695" i="24"/>
  <c r="O695" i="24"/>
  <c r="O615" i="24"/>
  <c r="O616" i="24" s="1"/>
  <c r="O617" i="24" s="1"/>
  <c r="O618" i="24" s="1"/>
  <c r="O619" i="24" s="1"/>
  <c r="O620" i="24" s="1"/>
  <c r="O621" i="24" s="1"/>
  <c r="O622" i="24" s="1"/>
  <c r="P615" i="24"/>
  <c r="F615" i="24"/>
  <c r="F18" i="61" s="1"/>
  <c r="P579" i="24"/>
  <c r="F496" i="24"/>
  <c r="J15" i="61" s="1"/>
  <c r="P496" i="24"/>
  <c r="F453" i="24"/>
  <c r="H14" i="61" s="1"/>
  <c r="P453" i="24"/>
  <c r="F411" i="24"/>
  <c r="G13" i="61" s="1"/>
  <c r="P411" i="24"/>
  <c r="F289" i="24"/>
  <c r="H10" i="61" s="1"/>
  <c r="P289" i="24"/>
  <c r="P290" i="24" s="1"/>
  <c r="P291" i="24" s="1"/>
  <c r="P292" i="24" s="1"/>
  <c r="P293" i="24" s="1"/>
  <c r="P294" i="24" s="1"/>
  <c r="O247" i="24"/>
  <c r="O248" i="24" s="1"/>
  <c r="O249" i="24" s="1"/>
  <c r="O250" i="24" s="1"/>
  <c r="O251" i="24" s="1"/>
  <c r="O252" i="24" s="1"/>
  <c r="O253" i="24" s="1"/>
  <c r="F247" i="24"/>
  <c r="G9" i="61" s="1"/>
  <c r="E231" i="24"/>
  <c r="F223" i="24"/>
  <c r="O168" i="24"/>
  <c r="O122" i="24"/>
  <c r="O123" i="24" s="1"/>
  <c r="O124" i="24" s="1"/>
  <c r="O125" i="24" s="1"/>
  <c r="O126" i="24" s="1"/>
  <c r="O127" i="24" s="1"/>
  <c r="O128" i="24" s="1"/>
  <c r="O129" i="24" s="1"/>
  <c r="O130" i="24" s="1"/>
  <c r="F122" i="24"/>
  <c r="E6" i="61" s="1"/>
  <c r="P122" i="24"/>
  <c r="P123" i="24" s="1"/>
  <c r="P124" i="24" s="1"/>
  <c r="P125" i="24" s="1"/>
  <c r="P126" i="24" s="1"/>
  <c r="P127" i="24" s="1"/>
  <c r="P128" i="24" s="1"/>
  <c r="P129" i="24" s="1"/>
  <c r="P130" i="24" s="1"/>
  <c r="D61" i="16"/>
  <c r="D132" i="16"/>
  <c r="D163" i="16"/>
  <c r="D90" i="16"/>
  <c r="D54" i="16"/>
  <c r="D125" i="16"/>
  <c r="E68" i="13"/>
  <c r="E168" i="13"/>
  <c r="E137" i="13"/>
  <c r="E134" i="13"/>
  <c r="E165" i="13"/>
  <c r="E65" i="13"/>
  <c r="E100" i="13"/>
  <c r="E124" i="13"/>
  <c r="E55" i="13"/>
  <c r="E155" i="13"/>
  <c r="E90" i="13"/>
  <c r="E137" i="9"/>
  <c r="E71" i="9"/>
  <c r="E143" i="9"/>
  <c r="E107" i="9"/>
  <c r="E175" i="9"/>
  <c r="H150" i="5"/>
  <c r="T127" i="30"/>
  <c r="T128" i="30" s="1"/>
  <c r="T129" i="30" s="1"/>
  <c r="T130" i="30" s="1"/>
  <c r="T43" i="30"/>
  <c r="P784" i="24"/>
  <c r="F658" i="24"/>
  <c r="H19" i="61" s="1"/>
  <c r="P329" i="24"/>
  <c r="O287" i="24"/>
  <c r="O288" i="24" s="1"/>
  <c r="O289" i="24" s="1"/>
  <c r="O290" i="24" s="1"/>
  <c r="O291" i="24" s="1"/>
  <c r="O292" i="24" s="1"/>
  <c r="O293" i="24" s="1"/>
  <c r="O294" i="24" s="1"/>
  <c r="F171" i="24"/>
  <c r="M7" i="61" s="1"/>
  <c r="F82" i="24"/>
  <c r="F5" i="61" s="1"/>
  <c r="C54" i="56" s="1"/>
  <c r="O82" i="24"/>
  <c r="O83" i="24" s="1"/>
  <c r="O84" i="24" s="1"/>
  <c r="O85" i="24" s="1"/>
  <c r="P82" i="24"/>
  <c r="P83" i="24" s="1"/>
  <c r="P84" i="24" s="1"/>
  <c r="P85" i="24" s="1"/>
  <c r="D169" i="16"/>
  <c r="E102" i="16"/>
  <c r="D67" i="16"/>
  <c r="E139" i="16"/>
  <c r="E170" i="16"/>
  <c r="E68" i="16"/>
  <c r="D98" i="16"/>
  <c r="D164" i="16"/>
  <c r="D133" i="16"/>
  <c r="E153" i="16"/>
  <c r="E122" i="16"/>
  <c r="D71" i="23"/>
  <c r="D107" i="23"/>
  <c r="D172" i="23"/>
  <c r="D129" i="23"/>
  <c r="D59" i="23"/>
  <c r="D160" i="23"/>
  <c r="E54" i="13"/>
  <c r="E89" i="13"/>
  <c r="E123" i="13"/>
  <c r="E154" i="13"/>
  <c r="D128" i="9"/>
  <c r="D92" i="9"/>
  <c r="D56" i="9"/>
  <c r="E26" i="30"/>
  <c r="J827" i="24"/>
  <c r="K827" i="24" s="1"/>
  <c r="O820" i="24"/>
  <c r="F660" i="24"/>
  <c r="J19" i="61" s="1"/>
  <c r="J613" i="24"/>
  <c r="O613" i="24"/>
  <c r="G469" i="24"/>
  <c r="I490" i="24" s="1"/>
  <c r="E477" i="24"/>
  <c r="O331" i="24"/>
  <c r="O332" i="24" s="1"/>
  <c r="O333" i="24" s="1"/>
  <c r="O334" i="24" s="1"/>
  <c r="O335" i="24" s="1"/>
  <c r="F264" i="24"/>
  <c r="E272" i="24"/>
  <c r="P89" i="24"/>
  <c r="J89" i="24"/>
  <c r="K89" i="24" s="1"/>
  <c r="D64" i="16"/>
  <c r="D166" i="16"/>
  <c r="D135" i="16"/>
  <c r="E130" i="13"/>
  <c r="E161" i="13"/>
  <c r="E96" i="13"/>
  <c r="E61" i="13"/>
  <c r="E106" i="9"/>
  <c r="E174" i="9"/>
  <c r="E142" i="9"/>
  <c r="E70" i="9"/>
  <c r="E90" i="9"/>
  <c r="E126" i="9"/>
  <c r="E54" i="9"/>
  <c r="J114" i="5"/>
  <c r="K97" i="5"/>
  <c r="H266" i="28" s="1"/>
  <c r="J293" i="28" s="1"/>
  <c r="K105" i="5"/>
  <c r="K95" i="5"/>
  <c r="H142" i="28" s="1"/>
  <c r="J169" i="28" s="1"/>
  <c r="K98" i="5"/>
  <c r="H328" i="28" s="1"/>
  <c r="J355" i="28" s="1"/>
  <c r="K101" i="5"/>
  <c r="H514" i="28" s="1"/>
  <c r="J541" i="28" s="1"/>
  <c r="K104" i="5"/>
  <c r="K107" i="5"/>
  <c r="K110" i="5"/>
  <c r="K102" i="5"/>
  <c r="K93" i="5"/>
  <c r="H18" i="28" s="1"/>
  <c r="K100" i="5"/>
  <c r="H452" i="28" s="1"/>
  <c r="J479" i="28" s="1"/>
  <c r="K108" i="5"/>
  <c r="K112" i="5"/>
  <c r="K106" i="5"/>
  <c r="K94" i="5"/>
  <c r="H80" i="28" s="1"/>
  <c r="K111" i="5"/>
  <c r="J62" i="5"/>
  <c r="J70" i="5"/>
  <c r="J59" i="5"/>
  <c r="J100" i="30" s="1"/>
  <c r="J121" i="30" s="1"/>
  <c r="K121" i="30" s="1"/>
  <c r="J73" i="5"/>
  <c r="J76" i="5"/>
  <c r="J57" i="5"/>
  <c r="J18" i="30" s="1"/>
  <c r="J39" i="30" s="1"/>
  <c r="K39" i="30" s="1"/>
  <c r="J61" i="5"/>
  <c r="J182" i="30" s="1"/>
  <c r="J203" i="30" s="1"/>
  <c r="K203" i="30" s="1"/>
  <c r="J65" i="5"/>
  <c r="J69" i="5"/>
  <c r="J63" i="5"/>
  <c r="J264" i="30" s="1"/>
  <c r="J285" i="30" s="1"/>
  <c r="K285" i="30" s="1"/>
  <c r="J68" i="5"/>
  <c r="J64" i="5"/>
  <c r="J305" i="30" s="1"/>
  <c r="J326" i="30" s="1"/>
  <c r="K326" i="30" s="1"/>
  <c r="J66" i="5"/>
  <c r="J71" i="5"/>
  <c r="J74" i="5"/>
  <c r="H26" i="5"/>
  <c r="H34" i="5"/>
  <c r="H29" i="5"/>
  <c r="F346" i="24" s="1"/>
  <c r="H32" i="5"/>
  <c r="H35" i="5"/>
  <c r="H38" i="5"/>
  <c r="H23" i="5"/>
  <c r="F100" i="24" s="1"/>
  <c r="H27" i="5"/>
  <c r="H31" i="5"/>
  <c r="H39" i="5"/>
  <c r="H37" i="5"/>
  <c r="H36" i="5"/>
  <c r="H21" i="5"/>
  <c r="H28" i="5"/>
  <c r="F305" i="24" s="1"/>
  <c r="H24" i="5"/>
  <c r="F141" i="24" s="1"/>
  <c r="T44" i="30"/>
  <c r="T45" i="30" s="1"/>
  <c r="T46" i="30" s="1"/>
  <c r="T47" i="30" s="1"/>
  <c r="T48" i="30" s="1"/>
  <c r="J825" i="24"/>
  <c r="K825" i="24" s="1"/>
  <c r="F779" i="24"/>
  <c r="F22" i="61" s="1"/>
  <c r="F622" i="24"/>
  <c r="M18" i="61" s="1"/>
  <c r="P619" i="24"/>
  <c r="F581" i="24"/>
  <c r="M17" i="61" s="1"/>
  <c r="P578" i="24"/>
  <c r="F413" i="24"/>
  <c r="I13" i="61" s="1"/>
  <c r="F372" i="24"/>
  <c r="I12" i="61" s="1"/>
  <c r="F249" i="24"/>
  <c r="I9" i="61" s="1"/>
  <c r="E190" i="24"/>
  <c r="F169" i="24"/>
  <c r="K7" i="61" s="1"/>
  <c r="O169" i="24"/>
  <c r="O170" i="24" s="1"/>
  <c r="O171" i="24" s="1"/>
  <c r="O163" i="24"/>
  <c r="O164" i="24" s="1"/>
  <c r="O165" i="24" s="1"/>
  <c r="O166" i="24" s="1"/>
  <c r="O167" i="24" s="1"/>
  <c r="F129" i="24"/>
  <c r="L6" i="61" s="1"/>
  <c r="F84" i="24"/>
  <c r="H5" i="61" s="1"/>
  <c r="C56" i="56" s="1"/>
  <c r="O44" i="24"/>
  <c r="O45" i="24" s="1"/>
  <c r="D100" i="16"/>
  <c r="D106" i="16"/>
  <c r="D70" i="16"/>
  <c r="D155" i="16"/>
  <c r="D53" i="16"/>
  <c r="D102" i="23"/>
  <c r="D66" i="23"/>
  <c r="D167" i="23"/>
  <c r="D136" i="23"/>
  <c r="E58" i="13"/>
  <c r="E93" i="13"/>
  <c r="E127" i="13"/>
  <c r="E158" i="13"/>
  <c r="D60" i="9"/>
  <c r="D132" i="9"/>
  <c r="D164" i="9"/>
  <c r="D96" i="9"/>
  <c r="D90" i="9"/>
  <c r="D158" i="9"/>
  <c r="K109" i="5"/>
  <c r="K99" i="5"/>
  <c r="H390" i="28" s="1"/>
  <c r="J417" i="28" s="1"/>
  <c r="J72" i="5"/>
  <c r="H33" i="5"/>
  <c r="H22" i="5"/>
  <c r="F59" i="24" s="1"/>
  <c r="P782" i="24"/>
  <c r="I695" i="24"/>
  <c r="F656" i="24"/>
  <c r="F19" i="61" s="1"/>
  <c r="O656" i="24"/>
  <c r="O657" i="24" s="1"/>
  <c r="O658" i="24" s="1"/>
  <c r="O659" i="24" s="1"/>
  <c r="O660" i="24" s="1"/>
  <c r="O661" i="24" s="1"/>
  <c r="O662" i="24" s="1"/>
  <c r="O663" i="24" s="1"/>
  <c r="O327" i="24"/>
  <c r="O328" i="24" s="1"/>
  <c r="O329" i="24" s="1"/>
  <c r="O330" i="24" s="1"/>
  <c r="P327" i="24"/>
  <c r="F286" i="24"/>
  <c r="E10" i="61" s="1"/>
  <c r="D56" i="16"/>
  <c r="D158" i="16"/>
  <c r="D127" i="16"/>
  <c r="D72" i="23"/>
  <c r="D108" i="23"/>
  <c r="E101" i="23"/>
  <c r="E65" i="23"/>
  <c r="E135" i="23"/>
  <c r="E69" i="9"/>
  <c r="E105" i="9"/>
  <c r="E141" i="9"/>
  <c r="D63" i="9"/>
  <c r="D135" i="9"/>
  <c r="D99" i="9"/>
  <c r="H30" i="5"/>
  <c r="E71" i="23"/>
  <c r="E141" i="23"/>
  <c r="E107" i="23"/>
  <c r="E172" i="23"/>
  <c r="E56" i="13"/>
  <c r="E156" i="13"/>
  <c r="E98" i="9"/>
  <c r="E166" i="9"/>
  <c r="E62" i="9"/>
  <c r="E134" i="9"/>
  <c r="E57" i="9"/>
  <c r="E93" i="9"/>
  <c r="E161" i="9"/>
  <c r="D60" i="16"/>
  <c r="D131" i="16"/>
  <c r="D162" i="16"/>
  <c r="D161" i="23"/>
  <c r="D96" i="23"/>
  <c r="D60" i="23"/>
  <c r="E93" i="23"/>
  <c r="E158" i="23"/>
  <c r="E57" i="23"/>
  <c r="E127" i="23"/>
  <c r="E70" i="13"/>
  <c r="E105" i="13"/>
  <c r="E170" i="13"/>
  <c r="E136" i="13"/>
  <c r="E167" i="13"/>
  <c r="D97" i="9"/>
  <c r="D165" i="9"/>
  <c r="D61" i="9"/>
  <c r="D133" i="9"/>
  <c r="E105" i="23"/>
  <c r="E69" i="23"/>
  <c r="E139" i="23"/>
  <c r="E62" i="13"/>
  <c r="E97" i="13"/>
  <c r="E162" i="13"/>
  <c r="D67" i="9"/>
  <c r="D139" i="9"/>
  <c r="AP10" i="76"/>
  <c r="H39" i="69"/>
  <c r="J39" i="69" s="1"/>
  <c r="H62" i="74"/>
  <c r="H185" i="74" s="1"/>
  <c r="E64" i="13"/>
  <c r="E164" i="13"/>
  <c r="E126" i="13"/>
  <c r="E57" i="13"/>
  <c r="E102" i="9"/>
  <c r="E138" i="9"/>
  <c r="E170" i="9"/>
  <c r="E94" i="9"/>
  <c r="E130" i="9"/>
  <c r="E162" i="9"/>
  <c r="E55" i="9"/>
  <c r="E91" i="9"/>
  <c r="D168" i="16"/>
  <c r="E66" i="23"/>
  <c r="E167" i="23"/>
  <c r="D126" i="23"/>
  <c r="D157" i="23"/>
  <c r="D56" i="23"/>
  <c r="E66" i="13"/>
  <c r="E101" i="13"/>
  <c r="E128" i="13"/>
  <c r="E159" i="13"/>
  <c r="E58" i="9"/>
  <c r="E75" i="23"/>
  <c r="E145" i="23"/>
  <c r="E111" i="23"/>
  <c r="E109" i="23"/>
  <c r="E73" i="23"/>
  <c r="E143" i="23"/>
  <c r="D140" i="9"/>
  <c r="D68" i="9"/>
  <c r="E64" i="9"/>
  <c r="E136" i="9"/>
  <c r="I100" i="5"/>
  <c r="G452" i="28" s="1"/>
  <c r="J460" i="28" s="1"/>
  <c r="K460" i="28" s="1"/>
  <c r="I108" i="5"/>
  <c r="I103" i="5"/>
  <c r="I106" i="5"/>
  <c r="I109" i="5"/>
  <c r="I112" i="5"/>
  <c r="H57" i="5"/>
  <c r="F18" i="30" s="1"/>
  <c r="H65" i="5"/>
  <c r="F346" i="30" s="1"/>
  <c r="I354" i="30" s="1"/>
  <c r="H73" i="5"/>
  <c r="H58" i="5"/>
  <c r="F59" i="30" s="1"/>
  <c r="I67" i="30" s="1"/>
  <c r="J67" i="30" s="1"/>
  <c r="H61" i="5"/>
  <c r="F182" i="30" s="1"/>
  <c r="I190" i="30" s="1"/>
  <c r="F191" i="30" s="1"/>
  <c r="H64" i="5"/>
  <c r="H67" i="5"/>
  <c r="H70" i="5"/>
  <c r="K20" i="5"/>
  <c r="L92" i="5"/>
  <c r="I20" i="5"/>
  <c r="K56" i="5"/>
  <c r="M92" i="5"/>
  <c r="G128" i="5"/>
  <c r="S23" i="48"/>
  <c r="S122" i="4"/>
  <c r="E63" i="23"/>
  <c r="E133" i="23"/>
  <c r="E99" i="23"/>
  <c r="E97" i="23"/>
  <c r="E61" i="23"/>
  <c r="E131" i="23"/>
  <c r="M94" i="5"/>
  <c r="M102" i="5"/>
  <c r="M110" i="5"/>
  <c r="AP36" i="74"/>
  <c r="R122" i="4"/>
  <c r="R23" i="48"/>
  <c r="Q23" i="48" s="1"/>
  <c r="AB122" i="4"/>
  <c r="AB23" i="48"/>
  <c r="AA23" i="48" s="1"/>
  <c r="G133" i="5"/>
  <c r="F88" i="31" s="1"/>
  <c r="G141" i="5"/>
  <c r="L165" i="16" s="1"/>
  <c r="T122" i="4"/>
  <c r="T23" i="48"/>
  <c r="AD122" i="4"/>
  <c r="AD23" i="48"/>
  <c r="AC122" i="4"/>
  <c r="AE122" i="4"/>
  <c r="DJ17" i="76"/>
  <c r="DI9" i="76"/>
  <c r="BY9" i="76"/>
  <c r="DM63" i="76"/>
  <c r="DJ45" i="76"/>
  <c r="DM45" i="76"/>
  <c r="DW39" i="76"/>
  <c r="DJ12" i="76"/>
  <c r="DM12" i="76"/>
  <c r="I7" i="73"/>
  <c r="V15" i="73"/>
  <c r="I20" i="73"/>
  <c r="DM50" i="76"/>
  <c r="DW42" i="76"/>
  <c r="DM34" i="76"/>
  <c r="DW34" i="76"/>
  <c r="DJ26" i="76"/>
  <c r="BO17" i="76"/>
  <c r="K6" i="73"/>
  <c r="I10" i="73"/>
  <c r="AJ15" i="73"/>
  <c r="DW9" i="76"/>
  <c r="W6" i="73"/>
  <c r="X8" i="73"/>
  <c r="AJ16" i="73"/>
  <c r="AJ12" i="73"/>
  <c r="X7" i="73"/>
  <c r="AJ17" i="73"/>
  <c r="V6" i="73"/>
  <c r="AJ6" i="73"/>
  <c r="AJ20" i="73"/>
  <c r="AJ8" i="73"/>
  <c r="J8" i="73"/>
  <c r="V21" i="73"/>
  <c r="I12" i="73"/>
  <c r="X17" i="73"/>
  <c r="I8" i="73"/>
  <c r="AJ18" i="73"/>
  <c r="V19" i="73"/>
  <c r="AJ14" i="73"/>
  <c r="X20" i="73"/>
  <c r="X9" i="73"/>
  <c r="I15" i="73"/>
  <c r="K18" i="73"/>
  <c r="AJ11" i="73"/>
  <c r="V17" i="73"/>
  <c r="X12" i="73"/>
  <c r="X18" i="73"/>
  <c r="DM9" i="76"/>
  <c r="J14" i="73"/>
  <c r="AJ21" i="73"/>
  <c r="V11" i="73"/>
  <c r="W8" i="73"/>
  <c r="W16" i="73"/>
  <c r="CD9" i="76"/>
  <c r="X13" i="73"/>
  <c r="W15" i="73"/>
  <c r="DJ31" i="76"/>
  <c r="W12" i="73"/>
  <c r="X11" i="73"/>
  <c r="DJ29" i="76"/>
  <c r="V20" i="73"/>
  <c r="DJ20" i="76"/>
  <c r="DM20" i="76"/>
  <c r="W11" i="73"/>
  <c r="CC9" i="76"/>
  <c r="AJ10" i="73"/>
  <c r="AJ7" i="73"/>
  <c r="J16" i="73"/>
  <c r="K20" i="73"/>
  <c r="AJ9" i="73"/>
  <c r="DW48" i="76"/>
  <c r="DM33" i="76"/>
  <c r="X6" i="73"/>
  <c r="J7" i="73"/>
  <c r="BO9" i="76"/>
  <c r="X10" i="73"/>
  <c r="DM58" i="76"/>
  <c r="DW43" i="76"/>
  <c r="U9" i="76"/>
  <c r="BZ9" i="76"/>
  <c r="W13" i="73"/>
  <c r="DM49" i="76"/>
  <c r="DW41" i="76"/>
  <c r="DM16" i="76"/>
  <c r="BX9" i="76"/>
  <c r="DW64" i="76"/>
  <c r="DW40" i="76"/>
  <c r="DW15" i="76"/>
  <c r="AL16" i="74" s="1"/>
  <c r="AD49" i="4" s="1"/>
  <c r="DW49" i="76"/>
  <c r="DJ25" i="76"/>
  <c r="DW10" i="76"/>
  <c r="DJ27" i="76"/>
  <c r="DW18" i="76"/>
  <c r="AL19" i="74" s="1"/>
  <c r="AD52" i="4" s="1"/>
  <c r="DW33" i="76"/>
  <c r="DW16" i="76"/>
  <c r="AL17" i="74" s="1"/>
  <c r="AD50" i="4" s="1"/>
  <c r="BO16" i="76"/>
  <c r="U64" i="76"/>
  <c r="DM24" i="76"/>
  <c r="DW24" i="76"/>
  <c r="BO10" i="76"/>
  <c r="DW45" i="76"/>
  <c r="BO15" i="76"/>
  <c r="DM15" i="76"/>
  <c r="DM48" i="76"/>
  <c r="DJ16" i="76"/>
  <c r="W19" i="73"/>
  <c r="DW51" i="76"/>
  <c r="J19" i="73"/>
  <c r="DW27" i="76"/>
  <c r="CA9" i="76"/>
  <c r="DW17" i="76"/>
  <c r="AL18" i="74" s="1"/>
  <c r="AD51" i="4" s="1"/>
  <c r="DW12" i="76"/>
  <c r="DW20" i="76"/>
  <c r="AL21" i="74" s="1"/>
  <c r="AD54" i="4" s="1"/>
  <c r="DW29" i="76"/>
  <c r="DM40" i="76"/>
  <c r="DM56" i="76"/>
  <c r="DJ41" i="76"/>
  <c r="DW44" i="76"/>
  <c r="DM17" i="76"/>
  <c r="DM26" i="76"/>
  <c r="DM64" i="76"/>
  <c r="DJ33" i="76"/>
  <c r="DJ34" i="76"/>
  <c r="DJ50" i="76"/>
  <c r="DW50" i="76"/>
  <c r="DM29" i="76"/>
  <c r="DJ15" i="76"/>
  <c r="DW32" i="76"/>
  <c r="DW25" i="76"/>
  <c r="DW26" i="76"/>
  <c r="DM42" i="76"/>
  <c r="DJ42" i="76"/>
  <c r="DM32" i="76"/>
  <c r="DJ21" i="76"/>
  <c r="BO11" i="76"/>
  <c r="BO12" i="76"/>
  <c r="DW19" i="76"/>
  <c r="AL20" i="74" s="1"/>
  <c r="AD53" i="4" s="1"/>
  <c r="DJ51" i="76"/>
  <c r="DM51" i="76"/>
  <c r="DM44" i="76"/>
  <c r="DM43" i="76"/>
  <c r="DJ43" i="76"/>
  <c r="DW35" i="76"/>
  <c r="DM35" i="76"/>
  <c r="DM25" i="76"/>
  <c r="DW28" i="76"/>
  <c r="V8" i="73"/>
  <c r="DJ18" i="76"/>
  <c r="DM19" i="76"/>
  <c r="DM11" i="76"/>
  <c r="K11" i="73"/>
  <c r="DI10" i="76"/>
  <c r="I18" i="73"/>
  <c r="J15" i="73"/>
  <c r="I16" i="73"/>
  <c r="DJ10" i="76"/>
  <c r="W14" i="73"/>
  <c r="W21" i="73"/>
  <c r="DM10" i="76"/>
  <c r="J13" i="73"/>
  <c r="I11" i="73"/>
  <c r="J9" i="73"/>
  <c r="V16" i="73"/>
  <c r="K17" i="73"/>
  <c r="W10" i="73"/>
  <c r="I21" i="73"/>
  <c r="J21" i="73"/>
  <c r="DJ52" i="76"/>
  <c r="V14" i="73"/>
  <c r="V18" i="73"/>
  <c r="I9" i="73"/>
  <c r="U52" i="76"/>
  <c r="U54" i="76"/>
  <c r="DJ38" i="76"/>
  <c r="BO21" i="76"/>
  <c r="DJ13" i="76"/>
  <c r="BO13" i="76"/>
  <c r="X21" i="73"/>
  <c r="BO19" i="76"/>
  <c r="J10" i="73"/>
  <c r="BO20" i="76"/>
  <c r="DM36" i="76"/>
  <c r="K15" i="73"/>
  <c r="DJ24" i="76"/>
  <c r="DJ32" i="76"/>
  <c r="DJ40" i="76"/>
  <c r="DJ48" i="76"/>
  <c r="DM14" i="76"/>
  <c r="DM22" i="76"/>
  <c r="DM31" i="76"/>
  <c r="DM39" i="76"/>
  <c r="DM47" i="76"/>
  <c r="DM55" i="76"/>
  <c r="DW60" i="76"/>
  <c r="V9" i="73"/>
  <c r="X16" i="73"/>
  <c r="DM60" i="76"/>
  <c r="DJ60" i="76"/>
  <c r="U39" i="76"/>
  <c r="X19" i="73"/>
  <c r="DJ11" i="76"/>
  <c r="K7" i="73"/>
  <c r="K21" i="73"/>
  <c r="I14" i="73"/>
  <c r="X14" i="73"/>
  <c r="K14" i="73"/>
  <c r="W17" i="73"/>
  <c r="W9" i="73"/>
  <c r="W20" i="73"/>
  <c r="DW36" i="76"/>
  <c r="DJ36" i="76"/>
  <c r="DJ19" i="76"/>
  <c r="J11" i="73"/>
  <c r="K12" i="73"/>
  <c r="I6" i="73"/>
  <c r="DW11" i="76"/>
  <c r="V7" i="73"/>
  <c r="DM41" i="76"/>
  <c r="I17" i="73"/>
  <c r="W18" i="73"/>
  <c r="J17" i="73"/>
  <c r="V10" i="73"/>
  <c r="V13" i="73"/>
  <c r="K16" i="73"/>
  <c r="K10" i="73"/>
  <c r="J20" i="73"/>
  <c r="BO18" i="76"/>
  <c r="DM27" i="76"/>
  <c r="DJ35" i="76"/>
  <c r="DM52" i="76"/>
  <c r="DM28" i="76"/>
  <c r="DJ28" i="76"/>
  <c r="J18" i="73"/>
  <c r="V12" i="73"/>
  <c r="I19" i="73"/>
  <c r="DM18" i="76"/>
  <c r="DJ30" i="76"/>
  <c r="X15" i="73"/>
  <c r="W7" i="73"/>
  <c r="I13" i="73"/>
  <c r="K13" i="73"/>
  <c r="DJ44" i="76"/>
  <c r="DW52" i="76"/>
  <c r="J6" i="73"/>
  <c r="K8" i="73"/>
  <c r="J12" i="73"/>
  <c r="BO14" i="76"/>
  <c r="BO22" i="76"/>
  <c r="DW14" i="76"/>
  <c r="AL15" i="74" s="1"/>
  <c r="AD48" i="4" s="1"/>
  <c r="DW22" i="76"/>
  <c r="AL23" i="74" s="1"/>
  <c r="AD56" i="4" s="1"/>
  <c r="DW31" i="76"/>
  <c r="DW47" i="76"/>
  <c r="DW55" i="76"/>
  <c r="DW63" i="76"/>
  <c r="DJ14" i="76"/>
  <c r="DJ22" i="76"/>
  <c r="DJ39" i="76"/>
  <c r="DJ47" i="76"/>
  <c r="DJ55" i="76"/>
  <c r="DJ63" i="76"/>
  <c r="DM13" i="76"/>
  <c r="DM21" i="76"/>
  <c r="DM30" i="76"/>
  <c r="DM38" i="76"/>
  <c r="DM46" i="76"/>
  <c r="DW13" i="76"/>
  <c r="DW21" i="76"/>
  <c r="AL22" i="74" s="1"/>
  <c r="AD55" i="4" s="1"/>
  <c r="DW30" i="76"/>
  <c r="DW38" i="76"/>
  <c r="DW46" i="76"/>
  <c r="K19" i="73"/>
  <c r="K9" i="73"/>
  <c r="D65" i="58" l="1"/>
  <c r="H65" i="58" s="1"/>
  <c r="C48" i="58"/>
  <c r="D66" i="58"/>
  <c r="H66" i="58" s="1"/>
  <c r="C19" i="57"/>
  <c r="D63" i="57"/>
  <c r="C12" i="57"/>
  <c r="D19" i="57"/>
  <c r="D34" i="57"/>
  <c r="F34" i="57" s="1"/>
  <c r="D60" i="57"/>
  <c r="F60" i="57" s="1"/>
  <c r="D58" i="57"/>
  <c r="F58" i="57" s="1"/>
  <c r="D18" i="57"/>
  <c r="C39" i="57"/>
  <c r="C58" i="57"/>
  <c r="C17" i="57"/>
  <c r="D37" i="57"/>
  <c r="F37" i="57" s="1"/>
  <c r="C34" i="57"/>
  <c r="D10" i="57"/>
  <c r="F10" i="57" s="1"/>
  <c r="D39" i="57"/>
  <c r="F39" i="57" s="1"/>
  <c r="C69" i="58"/>
  <c r="D48" i="58"/>
  <c r="H48" i="58" s="1"/>
  <c r="C13" i="57"/>
  <c r="C56" i="57"/>
  <c r="C61" i="57"/>
  <c r="C57" i="57"/>
  <c r="D11" i="57"/>
  <c r="F11" i="57" s="1"/>
  <c r="D61" i="57"/>
  <c r="F61" i="57" s="1"/>
  <c r="D59" i="57"/>
  <c r="F59" i="57" s="1"/>
  <c r="D38" i="57"/>
  <c r="F38" i="57" s="1"/>
  <c r="C37" i="57"/>
  <c r="C38" i="57"/>
  <c r="C54" i="57"/>
  <c r="C59" i="57"/>
  <c r="C10" i="57"/>
  <c r="C32" i="58"/>
  <c r="C31" i="58"/>
  <c r="C49" i="58"/>
  <c r="D33" i="58"/>
  <c r="Q872" i="28"/>
  <c r="D69" i="58"/>
  <c r="K109" i="28"/>
  <c r="L109" i="28" s="1"/>
  <c r="E513" i="53"/>
  <c r="K534" i="53" s="1"/>
  <c r="E1352" i="53"/>
  <c r="K1373" i="53" s="1"/>
  <c r="K234" i="28"/>
  <c r="K235" i="28" s="1"/>
  <c r="L235" i="28" s="1"/>
  <c r="C68" i="58"/>
  <c r="M60" i="5"/>
  <c r="J141" i="30"/>
  <c r="J162" i="30" s="1"/>
  <c r="K162" i="30" s="1"/>
  <c r="J190" i="30"/>
  <c r="J272" i="30"/>
  <c r="F232" i="30"/>
  <c r="J231" i="30"/>
  <c r="J354" i="30"/>
  <c r="F355" i="30"/>
  <c r="G82" i="57"/>
  <c r="G264" i="24"/>
  <c r="I285" i="24" s="1"/>
  <c r="G305" i="24"/>
  <c r="I326" i="24" s="1"/>
  <c r="G346" i="24"/>
  <c r="I367" i="24" s="1"/>
  <c r="G223" i="24"/>
  <c r="I244" i="24" s="1"/>
  <c r="G182" i="24"/>
  <c r="I203" i="24" s="1"/>
  <c r="I16" i="82"/>
  <c r="H16" i="82"/>
  <c r="E16" i="81"/>
  <c r="I16" i="81" s="1"/>
  <c r="O933" i="28"/>
  <c r="M934" i="28"/>
  <c r="O934" i="28" s="1"/>
  <c r="G78" i="57"/>
  <c r="O872" i="28"/>
  <c r="G149" i="5"/>
  <c r="F32" i="16" s="1"/>
  <c r="C32" i="56"/>
  <c r="F32" i="56" s="1"/>
  <c r="M873" i="28"/>
  <c r="P873" i="28" s="1"/>
  <c r="E16" i="17"/>
  <c r="I16" i="17" s="1"/>
  <c r="E16" i="80"/>
  <c r="G80" i="57"/>
  <c r="P748" i="28"/>
  <c r="M749" i="28"/>
  <c r="O749" i="28" s="1"/>
  <c r="N625" i="28"/>
  <c r="Q624" i="28"/>
  <c r="G75" i="57"/>
  <c r="G85" i="57" s="1"/>
  <c r="G87" i="57" s="1"/>
  <c r="F50" i="55" s="1"/>
  <c r="F59" i="55" s="1"/>
  <c r="N810" i="28"/>
  <c r="Q809" i="28"/>
  <c r="G76" i="57"/>
  <c r="P686" i="28"/>
  <c r="M687" i="28"/>
  <c r="C53" i="56"/>
  <c r="F53" i="56" s="1"/>
  <c r="L10" i="75"/>
  <c r="N31" i="75" s="1"/>
  <c r="N44" i="75" s="1"/>
  <c r="L18" i="75"/>
  <c r="N37" i="75" s="1"/>
  <c r="N50" i="75" s="1"/>
  <c r="L14" i="75"/>
  <c r="N34" i="75" s="1"/>
  <c r="N47" i="75" s="1"/>
  <c r="K10" i="75"/>
  <c r="M31" i="75" s="1"/>
  <c r="M44" i="75" s="1"/>
  <c r="J10" i="75"/>
  <c r="L31" i="75" s="1"/>
  <c r="V31" i="75" s="1"/>
  <c r="I10" i="75"/>
  <c r="K31" i="75" s="1"/>
  <c r="U31" i="75" s="1"/>
  <c r="F20" i="2"/>
  <c r="E21" i="12" s="1"/>
  <c r="F24" i="2"/>
  <c r="E25" i="12" s="1"/>
  <c r="H22" i="2"/>
  <c r="E25" i="18" s="1"/>
  <c r="G20" i="2"/>
  <c r="E20" i="82" s="1"/>
  <c r="G24" i="2"/>
  <c r="E24" i="82" s="1"/>
  <c r="G28" i="2"/>
  <c r="I18" i="2"/>
  <c r="I22" i="2"/>
  <c r="I26" i="2"/>
  <c r="H17" i="2"/>
  <c r="E20" i="18" s="1"/>
  <c r="J20" i="18" s="1"/>
  <c r="H28" i="2"/>
  <c r="F17" i="2"/>
  <c r="E18" i="12" s="1"/>
  <c r="H18" i="12" s="1"/>
  <c r="F21" i="2"/>
  <c r="E22" i="12" s="1"/>
  <c r="G17" i="2"/>
  <c r="E17" i="82" s="1"/>
  <c r="G21" i="2"/>
  <c r="E21" i="82" s="1"/>
  <c r="G25" i="2"/>
  <c r="E25" i="82" s="1"/>
  <c r="I19" i="2"/>
  <c r="I23" i="2"/>
  <c r="I27" i="2"/>
  <c r="F18" i="2"/>
  <c r="E19" i="12" s="1"/>
  <c r="H19" i="12" s="1"/>
  <c r="F22" i="2"/>
  <c r="E23" i="12" s="1"/>
  <c r="H24" i="2"/>
  <c r="E27" i="18" s="1"/>
  <c r="K27" i="18" s="1"/>
  <c r="G18" i="2"/>
  <c r="E18" i="82" s="1"/>
  <c r="G22" i="2"/>
  <c r="E22" i="82" s="1"/>
  <c r="G26" i="2"/>
  <c r="E26" i="82" s="1"/>
  <c r="I20" i="2"/>
  <c r="I24" i="2"/>
  <c r="I28" i="2"/>
  <c r="F19" i="2"/>
  <c r="E20" i="12" s="1"/>
  <c r="F23" i="2"/>
  <c r="E24" i="12" s="1"/>
  <c r="H24" i="12" s="1"/>
  <c r="G19" i="2"/>
  <c r="E19" i="82" s="1"/>
  <c r="G23" i="2"/>
  <c r="E23" i="82" s="1"/>
  <c r="G27" i="2"/>
  <c r="I17" i="2"/>
  <c r="I21" i="2"/>
  <c r="I25" i="2"/>
  <c r="H25" i="2"/>
  <c r="E28" i="18" s="1"/>
  <c r="H24" i="74"/>
  <c r="AM23" i="76"/>
  <c r="DL35" i="76"/>
  <c r="DL51" i="76"/>
  <c r="DL34" i="76"/>
  <c r="DL32" i="76"/>
  <c r="DL42" i="76"/>
  <c r="DL36" i="76"/>
  <c r="DL55" i="76"/>
  <c r="DL41" i="76"/>
  <c r="CG64" i="76"/>
  <c r="DL33" i="76"/>
  <c r="DL25" i="76"/>
  <c r="CG58" i="76"/>
  <c r="BR64" i="76"/>
  <c r="DL52" i="76"/>
  <c r="CB36" i="76"/>
  <c r="CG60" i="76"/>
  <c r="CG49" i="76"/>
  <c r="CG50" i="76"/>
  <c r="AK53" i="76"/>
  <c r="CG63" i="76"/>
  <c r="CG59" i="76"/>
  <c r="CG55" i="76"/>
  <c r="CG51" i="76"/>
  <c r="CG47" i="76"/>
  <c r="CG43" i="76"/>
  <c r="DL24" i="76"/>
  <c r="DL27" i="76"/>
  <c r="DL47" i="76"/>
  <c r="DL22" i="76"/>
  <c r="AO23" i="74" s="1"/>
  <c r="AG56" i="4" s="1"/>
  <c r="AL53" i="76"/>
  <c r="DL30" i="76"/>
  <c r="DL39" i="76"/>
  <c r="DL40" i="76"/>
  <c r="DL29" i="76"/>
  <c r="DL63" i="76"/>
  <c r="DL48" i="76"/>
  <c r="DL38" i="76"/>
  <c r="DL31" i="76"/>
  <c r="CG61" i="76"/>
  <c r="CG57" i="76"/>
  <c r="CG41" i="76"/>
  <c r="DL23" i="76"/>
  <c r="AO24" i="74" s="1"/>
  <c r="DL50" i="76"/>
  <c r="CG56" i="76"/>
  <c r="CG52" i="76"/>
  <c r="CG48" i="76"/>
  <c r="CG44" i="76"/>
  <c r="CG40" i="76"/>
  <c r="CG53" i="76"/>
  <c r="CG45" i="76"/>
  <c r="CG62" i="76"/>
  <c r="CG36" i="76"/>
  <c r="DL45" i="76"/>
  <c r="AJ53" i="76"/>
  <c r="CG54" i="76"/>
  <c r="CG46" i="76"/>
  <c r="CG42" i="76"/>
  <c r="DL43" i="76"/>
  <c r="DL26" i="76"/>
  <c r="DV23" i="76"/>
  <c r="DL44" i="76"/>
  <c r="EA23" i="76"/>
  <c r="DL28" i="76"/>
  <c r="DL60" i="76"/>
  <c r="EA24" i="76"/>
  <c r="DV24" i="76"/>
  <c r="CB61" i="76"/>
  <c r="CB57" i="76"/>
  <c r="CB63" i="76"/>
  <c r="CB59" i="76"/>
  <c r="CB55" i="76"/>
  <c r="CB62" i="76"/>
  <c r="CB54" i="76"/>
  <c r="CB50" i="76"/>
  <c r="CB64" i="76"/>
  <c r="CB60" i="76"/>
  <c r="CB56" i="76"/>
  <c r="CB58" i="76"/>
  <c r="CB53" i="76"/>
  <c r="CB51" i="76"/>
  <c r="X33" i="76"/>
  <c r="X34" i="76"/>
  <c r="V4" i="74"/>
  <c r="S15" i="4" s="1"/>
  <c r="S26" i="4" s="1"/>
  <c r="BR37" i="76"/>
  <c r="X28" i="76"/>
  <c r="DJ46" i="76"/>
  <c r="DL46" i="76" s="1"/>
  <c r="DJ49" i="76"/>
  <c r="DL49" i="76" s="1"/>
  <c r="BR57" i="76"/>
  <c r="V61" i="76"/>
  <c r="X61" i="76" s="1"/>
  <c r="V64" i="76"/>
  <c r="X64" i="76" s="1"/>
  <c r="X32" i="76"/>
  <c r="X27" i="76"/>
  <c r="X31" i="76"/>
  <c r="Y53" i="76"/>
  <c r="X29" i="76"/>
  <c r="X26" i="76"/>
  <c r="Z53" i="76"/>
  <c r="AM24" i="76"/>
  <c r="W53" i="76"/>
  <c r="AH24" i="76"/>
  <c r="AA53" i="76"/>
  <c r="AI53" i="76"/>
  <c r="X30" i="76"/>
  <c r="AF53" i="76"/>
  <c r="AB53" i="76"/>
  <c r="AD53" i="76"/>
  <c r="X24" i="76"/>
  <c r="AC53" i="76"/>
  <c r="AE53" i="76"/>
  <c r="X25" i="76"/>
  <c r="X23" i="76"/>
  <c r="X39" i="76"/>
  <c r="K41" i="74" s="1"/>
  <c r="X45" i="76"/>
  <c r="K47" i="74" s="1"/>
  <c r="X48" i="76"/>
  <c r="K50" i="74" s="1"/>
  <c r="U53" i="76"/>
  <c r="V53" i="76"/>
  <c r="X47" i="76"/>
  <c r="K49" i="74" s="1"/>
  <c r="X44" i="76"/>
  <c r="K46" i="74" s="1"/>
  <c r="X51" i="76"/>
  <c r="K53" i="74" s="1"/>
  <c r="X46" i="76"/>
  <c r="K48" i="74" s="1"/>
  <c r="X50" i="76"/>
  <c r="K52" i="74" s="1"/>
  <c r="X41" i="76"/>
  <c r="K43" i="74" s="1"/>
  <c r="X43" i="76"/>
  <c r="K45" i="74" s="1"/>
  <c r="X42" i="76"/>
  <c r="K44" i="74" s="1"/>
  <c r="X49" i="76"/>
  <c r="K51" i="74" s="1"/>
  <c r="V48" i="74"/>
  <c r="S23" i="2" s="1"/>
  <c r="X36" i="76"/>
  <c r="X40" i="76"/>
  <c r="K42" i="74" s="1"/>
  <c r="U25" i="74"/>
  <c r="R57" i="4" s="1"/>
  <c r="X35" i="76"/>
  <c r="H27" i="74"/>
  <c r="H59" i="4" s="1"/>
  <c r="AK43" i="74"/>
  <c r="AC18" i="2" s="1"/>
  <c r="AJ44" i="74"/>
  <c r="AB19" i="2" s="1"/>
  <c r="V50" i="74"/>
  <c r="S25" i="2" s="1"/>
  <c r="U34" i="74"/>
  <c r="R66" i="4" s="1"/>
  <c r="G32" i="74"/>
  <c r="G64" i="4" s="1"/>
  <c r="X19" i="76"/>
  <c r="AK10" i="74"/>
  <c r="AC37" i="4" s="1"/>
  <c r="AC38" i="4" s="1"/>
  <c r="AC120" i="4" s="1"/>
  <c r="W46" i="74"/>
  <c r="T21" i="2" s="1"/>
  <c r="W48" i="74"/>
  <c r="T23" i="2" s="1"/>
  <c r="W4" i="74"/>
  <c r="T15" i="4" s="1"/>
  <c r="T26" i="4" s="1"/>
  <c r="AJ46" i="74"/>
  <c r="AB21" i="2" s="1"/>
  <c r="AJ32" i="74"/>
  <c r="AB64" i="4" s="1"/>
  <c r="AK30" i="74"/>
  <c r="AC62" i="4" s="1"/>
  <c r="AK28" i="74"/>
  <c r="AC60" i="4" s="1"/>
  <c r="F32" i="74"/>
  <c r="F64" i="4" s="1"/>
  <c r="AL48" i="74"/>
  <c r="AD23" i="2" s="1"/>
  <c r="AJ49" i="74"/>
  <c r="AB24" i="2" s="1"/>
  <c r="AK32" i="74"/>
  <c r="AC64" i="4" s="1"/>
  <c r="AM49" i="74"/>
  <c r="AE24" i="2" s="1"/>
  <c r="H28" i="74"/>
  <c r="H60" i="4" s="1"/>
  <c r="H4" i="74"/>
  <c r="H15" i="4" s="1"/>
  <c r="H26" i="4" s="1"/>
  <c r="H170" i="74" s="1"/>
  <c r="U4" i="74"/>
  <c r="R15" i="4" s="1"/>
  <c r="R26" i="4" s="1"/>
  <c r="F10" i="74"/>
  <c r="F11" i="74" s="1"/>
  <c r="U48" i="74"/>
  <c r="R23" i="2" s="1"/>
  <c r="AL49" i="74"/>
  <c r="AD24" i="2" s="1"/>
  <c r="AK51" i="74"/>
  <c r="AC26" i="2" s="1"/>
  <c r="AM32" i="74"/>
  <c r="AE64" i="4" s="1"/>
  <c r="X45" i="74"/>
  <c r="U20" i="2" s="1"/>
  <c r="U28" i="74"/>
  <c r="R60" i="4" s="1"/>
  <c r="AL30" i="74"/>
  <c r="AD62" i="4" s="1"/>
  <c r="AJ41" i="74"/>
  <c r="AB16" i="2" s="1"/>
  <c r="W28" i="74"/>
  <c r="T60" i="4" s="1"/>
  <c r="U26" i="74"/>
  <c r="R58" i="4" s="1"/>
  <c r="AM26" i="74"/>
  <c r="AE58" i="4" s="1"/>
  <c r="W31" i="74"/>
  <c r="T63" i="4" s="1"/>
  <c r="V25" i="74"/>
  <c r="S57" i="4" s="1"/>
  <c r="W41" i="74"/>
  <c r="T16" i="2" s="1"/>
  <c r="U43" i="74"/>
  <c r="R18" i="2" s="1"/>
  <c r="AM41" i="74"/>
  <c r="AE16" i="2" s="1"/>
  <c r="AM4" i="74"/>
  <c r="V28" i="74"/>
  <c r="S60" i="4" s="1"/>
  <c r="H34" i="74"/>
  <c r="H66" i="4" s="1"/>
  <c r="G35" i="74"/>
  <c r="G67" i="4" s="1"/>
  <c r="AJ51" i="74"/>
  <c r="AB26" i="2" s="1"/>
  <c r="AJ30" i="74"/>
  <c r="AB62" i="4" s="1"/>
  <c r="F30" i="74"/>
  <c r="F62" i="4" s="1"/>
  <c r="X48" i="74"/>
  <c r="U23" i="2" s="1"/>
  <c r="AL42" i="74"/>
  <c r="AD17" i="2" s="1"/>
  <c r="V42" i="74"/>
  <c r="S17" i="2" s="1"/>
  <c r="AL32" i="74"/>
  <c r="AD64" i="4" s="1"/>
  <c r="V32" i="74"/>
  <c r="S64" i="4" s="1"/>
  <c r="X35" i="74"/>
  <c r="U67" i="4" s="1"/>
  <c r="AK41" i="74"/>
  <c r="AC16" i="2" s="1"/>
  <c r="V46" i="74"/>
  <c r="S21" i="2" s="1"/>
  <c r="H32" i="74"/>
  <c r="H64" i="4" s="1"/>
  <c r="AM50" i="74"/>
  <c r="AE25" i="2" s="1"/>
  <c r="I4" i="74"/>
  <c r="I15" i="4" s="1"/>
  <c r="I26" i="4" s="1"/>
  <c r="I170" i="74" s="1"/>
  <c r="AJ28" i="74"/>
  <c r="AB60" i="4" s="1"/>
  <c r="AK50" i="74"/>
  <c r="AC25" i="2" s="1"/>
  <c r="AK49" i="74"/>
  <c r="AC24" i="2" s="1"/>
  <c r="AM28" i="74"/>
  <c r="AE60" i="4" s="1"/>
  <c r="AM46" i="74"/>
  <c r="AE21" i="2" s="1"/>
  <c r="AM34" i="74"/>
  <c r="AE66" i="4" s="1"/>
  <c r="X28" i="74"/>
  <c r="U60" i="4" s="1"/>
  <c r="AL10" i="74"/>
  <c r="AD37" i="4" s="1"/>
  <c r="AD38" i="4" s="1"/>
  <c r="AD120" i="4" s="1"/>
  <c r="X50" i="74"/>
  <c r="U25" i="2" s="1"/>
  <c r="X42" i="74"/>
  <c r="U17" i="2" s="1"/>
  <c r="X46" i="74"/>
  <c r="U21" i="2" s="1"/>
  <c r="I29" i="74"/>
  <c r="I61" i="4" s="1"/>
  <c r="G37" i="4"/>
  <c r="G38" i="4" s="1"/>
  <c r="AK48" i="74"/>
  <c r="AC23" i="2" s="1"/>
  <c r="AL43" i="74"/>
  <c r="AD18" i="2" s="1"/>
  <c r="AM30" i="74"/>
  <c r="AE62" i="4" s="1"/>
  <c r="AK46" i="74"/>
  <c r="AC21" i="2" s="1"/>
  <c r="AL28" i="74"/>
  <c r="AD60" i="4" s="1"/>
  <c r="AJ10" i="74"/>
  <c r="AJ11" i="74" s="1"/>
  <c r="AL4" i="74"/>
  <c r="AJ4" i="74"/>
  <c r="AB15" i="4" s="1"/>
  <c r="AB26" i="4" s="1"/>
  <c r="AM45" i="74"/>
  <c r="AE20" i="2" s="1"/>
  <c r="AL50" i="74"/>
  <c r="AD25" i="2" s="1"/>
  <c r="X25" i="74"/>
  <c r="U57" i="4" s="1"/>
  <c r="W26" i="74"/>
  <c r="T58" i="4" s="1"/>
  <c r="W51" i="74"/>
  <c r="T26" i="2" s="1"/>
  <c r="AJ48" i="74"/>
  <c r="AB23" i="2" s="1"/>
  <c r="AJ34" i="74"/>
  <c r="AB66" i="4" s="1"/>
  <c r="AJ50" i="74"/>
  <c r="AB25" i="2" s="1"/>
  <c r="G34" i="74"/>
  <c r="G66" i="4" s="1"/>
  <c r="AM43" i="74"/>
  <c r="AE18" i="2" s="1"/>
  <c r="AJ42" i="74"/>
  <c r="AB17" i="2" s="1"/>
  <c r="AM48" i="74"/>
  <c r="AE23" i="2" s="1"/>
  <c r="W53" i="74"/>
  <c r="T28" i="2" s="1"/>
  <c r="AK34" i="74"/>
  <c r="AC66" i="4" s="1"/>
  <c r="AL27" i="74"/>
  <c r="AD59" i="4" s="1"/>
  <c r="AL47" i="74"/>
  <c r="AD22" i="2" s="1"/>
  <c r="AK26" i="74"/>
  <c r="AC58" i="4" s="1"/>
  <c r="AL51" i="74"/>
  <c r="AD26" i="2" s="1"/>
  <c r="AL45" i="74"/>
  <c r="AD20" i="2" s="1"/>
  <c r="AK25" i="74"/>
  <c r="AC57" i="4" s="1"/>
  <c r="AL26" i="74"/>
  <c r="AD58" i="4" s="1"/>
  <c r="AL52" i="74"/>
  <c r="AD27" i="2" s="1"/>
  <c r="U52" i="74"/>
  <c r="R27" i="2" s="1"/>
  <c r="AL29" i="74"/>
  <c r="AD61" i="4" s="1"/>
  <c r="V31" i="74"/>
  <c r="S63" i="4" s="1"/>
  <c r="AM47" i="74"/>
  <c r="AE22" i="2" s="1"/>
  <c r="U32" i="74"/>
  <c r="R64" i="4" s="1"/>
  <c r="AJ26" i="74"/>
  <c r="AB58" i="4" s="1"/>
  <c r="G30" i="74"/>
  <c r="G62" i="4" s="1"/>
  <c r="AM29" i="74"/>
  <c r="AE61" i="4" s="1"/>
  <c r="W44" i="74"/>
  <c r="T19" i="2" s="1"/>
  <c r="AL44" i="74"/>
  <c r="AD19" i="2" s="1"/>
  <c r="AL41" i="74"/>
  <c r="AD16" i="2" s="1"/>
  <c r="U27" i="74"/>
  <c r="R59" i="4" s="1"/>
  <c r="AK42" i="74"/>
  <c r="AC17" i="2" s="1"/>
  <c r="AJ45" i="74"/>
  <c r="AB20" i="2" s="1"/>
  <c r="AJ47" i="74"/>
  <c r="AB22" i="2" s="1"/>
  <c r="AK27" i="74"/>
  <c r="AC59" i="4" s="1"/>
  <c r="AJ33" i="74"/>
  <c r="AB65" i="4" s="1"/>
  <c r="AM44" i="74"/>
  <c r="AE19" i="2" s="1"/>
  <c r="AM33" i="74"/>
  <c r="AE65" i="4" s="1"/>
  <c r="AL53" i="74"/>
  <c r="AD28" i="2" s="1"/>
  <c r="AK52" i="74"/>
  <c r="AC27" i="2" s="1"/>
  <c r="AK33" i="74"/>
  <c r="AC65" i="4" s="1"/>
  <c r="AK4" i="74"/>
  <c r="AK45" i="74"/>
  <c r="AC20" i="2" s="1"/>
  <c r="AJ27" i="74"/>
  <c r="AB59" i="4" s="1"/>
  <c r="AL31" i="74"/>
  <c r="AD63" i="4" s="1"/>
  <c r="V47" i="74"/>
  <c r="S22" i="2" s="1"/>
  <c r="I31" i="74"/>
  <c r="I63" i="4" s="1"/>
  <c r="AK47" i="74"/>
  <c r="AC22" i="2" s="1"/>
  <c r="AL25" i="74"/>
  <c r="AD57" i="4" s="1"/>
  <c r="AM31" i="74"/>
  <c r="AE63" i="4" s="1"/>
  <c r="AM10" i="74"/>
  <c r="AM11" i="74" s="1"/>
  <c r="AK31" i="74"/>
  <c r="AC63" i="4" s="1"/>
  <c r="U50" i="74"/>
  <c r="R25" i="2" s="1"/>
  <c r="AM25" i="74"/>
  <c r="AE57" i="4" s="1"/>
  <c r="AK44" i="74"/>
  <c r="AC19" i="2" s="1"/>
  <c r="AK29" i="74"/>
  <c r="AC61" i="4" s="1"/>
  <c r="AM42" i="74"/>
  <c r="AE17" i="2" s="1"/>
  <c r="U30" i="74"/>
  <c r="R62" i="4" s="1"/>
  <c r="X53" i="74"/>
  <c r="U28" i="2" s="1"/>
  <c r="AJ53" i="74"/>
  <c r="AB28" i="2" s="1"/>
  <c r="AM52" i="74"/>
  <c r="AE27" i="2" s="1"/>
  <c r="AJ25" i="74"/>
  <c r="AB57" i="4" s="1"/>
  <c r="X51" i="74"/>
  <c r="U26" i="2" s="1"/>
  <c r="U49" i="74"/>
  <c r="R24" i="2" s="1"/>
  <c r="H30" i="74"/>
  <c r="H62" i="4" s="1"/>
  <c r="AL34" i="74"/>
  <c r="AD66" i="4" s="1"/>
  <c r="AK53" i="74"/>
  <c r="AC28" i="2" s="1"/>
  <c r="AJ31" i="74"/>
  <c r="AB63" i="4" s="1"/>
  <c r="AJ29" i="74"/>
  <c r="AB61" i="4" s="1"/>
  <c r="X33" i="74"/>
  <c r="U65" i="4" s="1"/>
  <c r="AL46" i="74"/>
  <c r="AD21" i="2" s="1"/>
  <c r="W25" i="74"/>
  <c r="T57" i="4" s="1"/>
  <c r="W50" i="74"/>
  <c r="T25" i="2" s="1"/>
  <c r="X26" i="74"/>
  <c r="U58" i="4" s="1"/>
  <c r="AM51" i="74"/>
  <c r="AE26" i="2" s="1"/>
  <c r="V51" i="74"/>
  <c r="S26" i="2" s="1"/>
  <c r="AJ43" i="74"/>
  <c r="AB18" i="2" s="1"/>
  <c r="AL33" i="74"/>
  <c r="AD65" i="4" s="1"/>
  <c r="AJ52" i="74"/>
  <c r="AB27" i="2" s="1"/>
  <c r="G28" i="74"/>
  <c r="G60" i="4" s="1"/>
  <c r="X47" i="74"/>
  <c r="U22" i="2" s="1"/>
  <c r="I30" i="74"/>
  <c r="I62" i="4" s="1"/>
  <c r="X10" i="74"/>
  <c r="U37" i="4" s="1"/>
  <c r="U38" i="4" s="1"/>
  <c r="U120" i="4" s="1"/>
  <c r="U47" i="74"/>
  <c r="R22" i="2" s="1"/>
  <c r="W27" i="74"/>
  <c r="T59" i="4" s="1"/>
  <c r="V35" i="74"/>
  <c r="S67" i="4" s="1"/>
  <c r="X32" i="74"/>
  <c r="U64" i="4" s="1"/>
  <c r="V27" i="74"/>
  <c r="S59" i="4" s="1"/>
  <c r="W42" i="74"/>
  <c r="T17" i="2" s="1"/>
  <c r="W30" i="74"/>
  <c r="T62" i="4" s="1"/>
  <c r="X41" i="74"/>
  <c r="U16" i="2" s="1"/>
  <c r="V53" i="74"/>
  <c r="S28" i="2" s="1"/>
  <c r="X27" i="74"/>
  <c r="U59" i="4" s="1"/>
  <c r="V29" i="74"/>
  <c r="S61" i="4" s="1"/>
  <c r="X52" i="74"/>
  <c r="U27" i="2" s="1"/>
  <c r="X30" i="74"/>
  <c r="U62" i="4" s="1"/>
  <c r="U51" i="74"/>
  <c r="R26" i="2" s="1"/>
  <c r="W10" i="74"/>
  <c r="W11" i="74" s="1"/>
  <c r="V30" i="74"/>
  <c r="S62" i="4" s="1"/>
  <c r="W35" i="74"/>
  <c r="T67" i="4" s="1"/>
  <c r="W34" i="74"/>
  <c r="T66" i="4" s="1"/>
  <c r="U29" i="74"/>
  <c r="R61" i="4" s="1"/>
  <c r="U44" i="74"/>
  <c r="R19" i="2" s="1"/>
  <c r="V41" i="74"/>
  <c r="S16" i="2" s="1"/>
  <c r="U10" i="74"/>
  <c r="U11" i="74" s="1"/>
  <c r="W43" i="74"/>
  <c r="T18" i="2" s="1"/>
  <c r="I34" i="74"/>
  <c r="I66" i="4" s="1"/>
  <c r="V34" i="74"/>
  <c r="S66" i="4" s="1"/>
  <c r="X34" i="74"/>
  <c r="U66" i="4" s="1"/>
  <c r="I26" i="74"/>
  <c r="I58" i="4" s="1"/>
  <c r="X31" i="74"/>
  <c r="U63" i="4" s="1"/>
  <c r="U31" i="74"/>
  <c r="R63" i="4" s="1"/>
  <c r="W29" i="74"/>
  <c r="T61" i="4" s="1"/>
  <c r="U33" i="74"/>
  <c r="R65" i="4" s="1"/>
  <c r="U35" i="74"/>
  <c r="R67" i="4" s="1"/>
  <c r="V26" i="74"/>
  <c r="S58" i="4" s="1"/>
  <c r="V52" i="74"/>
  <c r="S27" i="2" s="1"/>
  <c r="V49" i="74"/>
  <c r="S24" i="2" s="1"/>
  <c r="W47" i="74"/>
  <c r="T22" i="2" s="1"/>
  <c r="W32" i="74"/>
  <c r="T64" i="4" s="1"/>
  <c r="G4" i="74"/>
  <c r="G6" i="74" s="1" a="1"/>
  <c r="G7" i="74" s="1"/>
  <c r="U53" i="74"/>
  <c r="R28" i="2" s="1"/>
  <c r="I28" i="74"/>
  <c r="I60" i="4" s="1"/>
  <c r="G26" i="74"/>
  <c r="G58" i="4" s="1"/>
  <c r="U46" i="74"/>
  <c r="R21" i="2" s="1"/>
  <c r="X44" i="74"/>
  <c r="U19" i="2" s="1"/>
  <c r="X29" i="74"/>
  <c r="U61" i="4" s="1"/>
  <c r="U42" i="74"/>
  <c r="R17" i="2" s="1"/>
  <c r="X43" i="74"/>
  <c r="U18" i="2" s="1"/>
  <c r="V10" i="74"/>
  <c r="V11" i="74" s="1"/>
  <c r="W33" i="74"/>
  <c r="T65" i="4" s="1"/>
  <c r="W52" i="74"/>
  <c r="T27" i="2" s="1"/>
  <c r="U41" i="74"/>
  <c r="R16" i="2" s="1"/>
  <c r="W49" i="74"/>
  <c r="T24" i="2" s="1"/>
  <c r="U45" i="74"/>
  <c r="R20" i="2" s="1"/>
  <c r="V45" i="74"/>
  <c r="S20" i="2" s="1"/>
  <c r="W45" i="74"/>
  <c r="T20" i="2" s="1"/>
  <c r="V44" i="74"/>
  <c r="S19" i="2" s="1"/>
  <c r="X49" i="74"/>
  <c r="U24" i="2" s="1"/>
  <c r="V33" i="74"/>
  <c r="S65" i="4" s="1"/>
  <c r="V43" i="74"/>
  <c r="S18" i="2" s="1"/>
  <c r="F4" i="74"/>
  <c r="F15" i="4" s="1"/>
  <c r="F26" i="4" s="1"/>
  <c r="F170" i="74" s="1"/>
  <c r="I10" i="74"/>
  <c r="I11" i="74" s="1"/>
  <c r="F25" i="74"/>
  <c r="F57" i="4" s="1"/>
  <c r="H26" i="74"/>
  <c r="H58" i="4" s="1"/>
  <c r="H57" i="4"/>
  <c r="H31" i="74"/>
  <c r="H63" i="4" s="1"/>
  <c r="I33" i="74"/>
  <c r="I65" i="4" s="1"/>
  <c r="F29" i="74"/>
  <c r="F61" i="4" s="1"/>
  <c r="F26" i="74"/>
  <c r="F58" i="4" s="1"/>
  <c r="I27" i="74"/>
  <c r="I59" i="4" s="1"/>
  <c r="G33" i="74"/>
  <c r="G65" i="4" s="1"/>
  <c r="F28" i="74"/>
  <c r="F60" i="4" s="1"/>
  <c r="G29" i="74"/>
  <c r="G61" i="4" s="1"/>
  <c r="I35" i="74"/>
  <c r="I67" i="4" s="1"/>
  <c r="I32" i="74"/>
  <c r="I64" i="4" s="1"/>
  <c r="H33" i="74"/>
  <c r="H65" i="4" s="1"/>
  <c r="I25" i="74"/>
  <c r="I57" i="4" s="1"/>
  <c r="H10" i="74"/>
  <c r="H37" i="4" s="1"/>
  <c r="H38" i="4" s="1"/>
  <c r="H120" i="4" s="1"/>
  <c r="G31" i="74"/>
  <c r="G63" i="4" s="1"/>
  <c r="F33" i="74"/>
  <c r="F65" i="4" s="1"/>
  <c r="G25" i="74"/>
  <c r="G57" i="4" s="1"/>
  <c r="F27" i="74"/>
  <c r="F59" i="4" s="1"/>
  <c r="H29" i="74"/>
  <c r="H61" i="4" s="1"/>
  <c r="G27" i="74"/>
  <c r="G59" i="4" s="1"/>
  <c r="H35" i="74"/>
  <c r="H67" i="4" s="1"/>
  <c r="F34" i="74"/>
  <c r="F66" i="4" s="1"/>
  <c r="F31" i="74"/>
  <c r="F63" i="4" s="1"/>
  <c r="AN62" i="74"/>
  <c r="AN185" i="74" s="1"/>
  <c r="Y62" i="74"/>
  <c r="Y185" i="74" s="1"/>
  <c r="G141" i="24"/>
  <c r="I162" i="24" s="1"/>
  <c r="G18" i="24"/>
  <c r="I39" i="24" s="1"/>
  <c r="L22" i="5"/>
  <c r="G100" i="24"/>
  <c r="I121" i="24" s="1"/>
  <c r="D81" i="56"/>
  <c r="E82" i="56"/>
  <c r="D39" i="56"/>
  <c r="E61" i="56"/>
  <c r="D79" i="56"/>
  <c r="D32" i="56"/>
  <c r="D37" i="56"/>
  <c r="D74" i="56"/>
  <c r="D54" i="56"/>
  <c r="D33" i="56"/>
  <c r="E58" i="56"/>
  <c r="C79" i="56"/>
  <c r="E36" i="56"/>
  <c r="C38" i="56"/>
  <c r="E78" i="56"/>
  <c r="E37" i="56"/>
  <c r="C37" i="56"/>
  <c r="C57" i="56"/>
  <c r="D38" i="56"/>
  <c r="C77" i="56"/>
  <c r="F77" i="56" s="1"/>
  <c r="D78" i="56"/>
  <c r="C59" i="56"/>
  <c r="D80" i="56"/>
  <c r="D36" i="56"/>
  <c r="C55" i="56"/>
  <c r="F55" i="56" s="1"/>
  <c r="C75" i="56"/>
  <c r="F75" i="56" s="1"/>
  <c r="C82" i="56"/>
  <c r="C33" i="56"/>
  <c r="F33" i="56" s="1"/>
  <c r="E39" i="56"/>
  <c r="C61" i="56"/>
  <c r="D34" i="56"/>
  <c r="E80" i="56"/>
  <c r="D35" i="56"/>
  <c r="D76" i="56"/>
  <c r="C76" i="56"/>
  <c r="F76" i="56" s="1"/>
  <c r="E60" i="56"/>
  <c r="D77" i="56"/>
  <c r="C35" i="56"/>
  <c r="F35" i="56" s="1"/>
  <c r="E59" i="56"/>
  <c r="C78" i="56"/>
  <c r="F31" i="56"/>
  <c r="F39" i="56"/>
  <c r="F34" i="56"/>
  <c r="F40" i="56"/>
  <c r="G40" i="56" s="1"/>
  <c r="F37" i="56"/>
  <c r="F36" i="56"/>
  <c r="F38" i="56"/>
  <c r="G38" i="56" s="1"/>
  <c r="H41" i="5"/>
  <c r="H42" i="5" s="1"/>
  <c r="BR47" i="76"/>
  <c r="DL16" i="76"/>
  <c r="AO17" i="74" s="1"/>
  <c r="AG50" i="4" s="1"/>
  <c r="DL12" i="76"/>
  <c r="X9" i="76"/>
  <c r="AM15" i="76"/>
  <c r="H18" i="2"/>
  <c r="J23" i="73"/>
  <c r="J25" i="73" s="1"/>
  <c r="BR31" i="76"/>
  <c r="BR56" i="76"/>
  <c r="BR17" i="76"/>
  <c r="Z18" i="74" s="1"/>
  <c r="W51" i="4" s="1"/>
  <c r="BR20" i="76"/>
  <c r="Z21" i="74" s="1"/>
  <c r="W54" i="4" s="1"/>
  <c r="BR16" i="76"/>
  <c r="Z17" i="74" s="1"/>
  <c r="W50" i="4" s="1"/>
  <c r="J19" i="18"/>
  <c r="K19" i="18"/>
  <c r="X16" i="76"/>
  <c r="DL18" i="76"/>
  <c r="AO19" i="74" s="1"/>
  <c r="AG52" i="4" s="1"/>
  <c r="AM64" i="76"/>
  <c r="BR25" i="76"/>
  <c r="M14" i="75"/>
  <c r="BR23" i="76"/>
  <c r="Z24" i="74" s="1"/>
  <c r="CB9" i="76"/>
  <c r="CG9" i="76"/>
  <c r="DL17" i="76"/>
  <c r="AO18" i="74" s="1"/>
  <c r="AG51" i="4" s="1"/>
  <c r="CG39" i="76"/>
  <c r="K26" i="18"/>
  <c r="CB33" i="76"/>
  <c r="AM55" i="76"/>
  <c r="X17" i="76"/>
  <c r="H27" i="12"/>
  <c r="X63" i="76"/>
  <c r="BR12" i="76"/>
  <c r="DL20" i="76"/>
  <c r="AO21" i="74" s="1"/>
  <c r="AG54" i="4" s="1"/>
  <c r="EA15" i="76"/>
  <c r="H17" i="12"/>
  <c r="CB28" i="76"/>
  <c r="CG17" i="76"/>
  <c r="EA9" i="76"/>
  <c r="DV17" i="76"/>
  <c r="AN18" i="74" s="1"/>
  <c r="AF51" i="4" s="1"/>
  <c r="AM57" i="76"/>
  <c r="BR40" i="76"/>
  <c r="EA34" i="76"/>
  <c r="DV9" i="76"/>
  <c r="EA50" i="76"/>
  <c r="BR54" i="76"/>
  <c r="EA17" i="76"/>
  <c r="CG24" i="76"/>
  <c r="CB24" i="76"/>
  <c r="Y25" i="74" s="1"/>
  <c r="BR52" i="76"/>
  <c r="BR41" i="76"/>
  <c r="BR26" i="76"/>
  <c r="DL9" i="76"/>
  <c r="DV20" i="76"/>
  <c r="AN21" i="74" s="1"/>
  <c r="AF54" i="4" s="1"/>
  <c r="DL15" i="76"/>
  <c r="AO16" i="74" s="1"/>
  <c r="AG49" i="4" s="1"/>
  <c r="CG23" i="76"/>
  <c r="EA25" i="76"/>
  <c r="CB38" i="76"/>
  <c r="EA26" i="76"/>
  <c r="EA48" i="76"/>
  <c r="BR10" i="76"/>
  <c r="BR32" i="76"/>
  <c r="AM56" i="76"/>
  <c r="DV12" i="76"/>
  <c r="BR39" i="76"/>
  <c r="AH32" i="76"/>
  <c r="CB23" i="76"/>
  <c r="Y24" i="74" s="1"/>
  <c r="EA45" i="76"/>
  <c r="BR55" i="76"/>
  <c r="EA40" i="76"/>
  <c r="CB30" i="76"/>
  <c r="CB32" i="76"/>
  <c r="AM9" i="76"/>
  <c r="X55" i="76"/>
  <c r="AH8" i="76"/>
  <c r="CB22" i="76"/>
  <c r="CG33" i="76"/>
  <c r="AM32" i="76"/>
  <c r="CG20" i="76"/>
  <c r="EA20" i="76"/>
  <c r="EA49" i="76"/>
  <c r="AH33" i="76"/>
  <c r="CB14" i="76"/>
  <c r="Y15" i="74" s="1"/>
  <c r="V48" i="4" s="1"/>
  <c r="CB41" i="76"/>
  <c r="BR28" i="76"/>
  <c r="EA51" i="76"/>
  <c r="X22" i="76"/>
  <c r="BR51" i="76"/>
  <c r="AM54" i="76"/>
  <c r="BR53" i="76"/>
  <c r="DV45" i="76"/>
  <c r="CB12" i="76"/>
  <c r="X57" i="76"/>
  <c r="BR15" i="76"/>
  <c r="Z16" i="74" s="1"/>
  <c r="W49" i="4" s="1"/>
  <c r="Q749" i="28"/>
  <c r="N750" i="28"/>
  <c r="AK6" i="74" a="1"/>
  <c r="AK7" i="74" s="1"/>
  <c r="BR33" i="76"/>
  <c r="M71" i="5"/>
  <c r="J77" i="5"/>
  <c r="F19" i="13" s="1"/>
  <c r="M57" i="5"/>
  <c r="F23" i="9"/>
  <c r="L25" i="5"/>
  <c r="J41" i="5"/>
  <c r="F37" i="9" s="1"/>
  <c r="J477" i="30"/>
  <c r="F478" i="30"/>
  <c r="K1102" i="28"/>
  <c r="L1101" i="28"/>
  <c r="F84" i="57"/>
  <c r="G84" i="57" s="1"/>
  <c r="E932" i="53"/>
  <c r="K952" i="53" s="1"/>
  <c r="F13" i="56"/>
  <c r="G13" i="56" s="1"/>
  <c r="F11" i="56"/>
  <c r="G11" i="56" s="1"/>
  <c r="F15" i="56"/>
  <c r="G15" i="56" s="1"/>
  <c r="F17" i="56"/>
  <c r="G17" i="56" s="1"/>
  <c r="F14" i="56"/>
  <c r="G14" i="56" s="1"/>
  <c r="F12" i="56"/>
  <c r="G12" i="56" s="1"/>
  <c r="F19" i="56"/>
  <c r="G19" i="56" s="1"/>
  <c r="F18" i="56"/>
  <c r="G18" i="56" s="1"/>
  <c r="F10" i="56"/>
  <c r="G10" i="56" s="1"/>
  <c r="G20" i="56" s="1"/>
  <c r="G22" i="56" s="1"/>
  <c r="E47" i="55" s="1"/>
  <c r="E56" i="55" s="1"/>
  <c r="F16" i="56"/>
  <c r="G16" i="56" s="1"/>
  <c r="E46" i="58"/>
  <c r="F18" i="57"/>
  <c r="F19" i="57"/>
  <c r="E1142" i="53"/>
  <c r="K1163" i="53" s="1"/>
  <c r="J62" i="74"/>
  <c r="J185" i="74" s="1"/>
  <c r="CG14" i="76"/>
  <c r="CB46" i="76"/>
  <c r="M66" i="5"/>
  <c r="M76" i="5"/>
  <c r="L28" i="5"/>
  <c r="F26" i="9"/>
  <c r="L39" i="5"/>
  <c r="K48" i="28"/>
  <c r="L47" i="28"/>
  <c r="F63" i="57"/>
  <c r="F62" i="57"/>
  <c r="F765" i="30"/>
  <c r="J764" i="30"/>
  <c r="I10" i="58"/>
  <c r="E15" i="58"/>
  <c r="J46" i="58"/>
  <c r="K64" i="58"/>
  <c r="J64" i="58"/>
  <c r="J10" i="58"/>
  <c r="K10" i="58"/>
  <c r="J28" i="58"/>
  <c r="K46" i="58"/>
  <c r="G14" i="58"/>
  <c r="K14" i="58" s="1"/>
  <c r="G15" i="58"/>
  <c r="F12" i="58"/>
  <c r="J12" i="58" s="1"/>
  <c r="G13" i="58"/>
  <c r="K13" i="58" s="1"/>
  <c r="I46" i="58"/>
  <c r="I64" i="58"/>
  <c r="E13" i="58"/>
  <c r="I13" i="58" s="1"/>
  <c r="G12" i="58"/>
  <c r="K12" i="58" s="1"/>
  <c r="E10" i="58"/>
  <c r="F14" i="58"/>
  <c r="E11" i="58"/>
  <c r="I11" i="58" s="1"/>
  <c r="I16" i="58" s="1"/>
  <c r="I28" i="58"/>
  <c r="F11" i="58"/>
  <c r="J11" i="58" s="1"/>
  <c r="J16" i="58" s="1"/>
  <c r="K28" i="58"/>
  <c r="F13" i="58"/>
  <c r="J13" i="58" s="1"/>
  <c r="G11" i="58"/>
  <c r="K11" i="58" s="1"/>
  <c r="K16" i="58" s="1"/>
  <c r="E12" i="58"/>
  <c r="I12" i="58" s="1"/>
  <c r="E14" i="58"/>
  <c r="I14" i="58" s="1"/>
  <c r="F15" i="58"/>
  <c r="G77" i="57"/>
  <c r="U6" i="74" a="1"/>
  <c r="U7" i="74" s="1"/>
  <c r="M72" i="5"/>
  <c r="M64" i="5"/>
  <c r="M73" i="5"/>
  <c r="K531" i="24"/>
  <c r="X16" i="61"/>
  <c r="K852" i="51"/>
  <c r="J559" i="30"/>
  <c r="F560" i="30"/>
  <c r="Q748" i="28"/>
  <c r="O748" i="28"/>
  <c r="L38" i="5"/>
  <c r="F33" i="9"/>
  <c r="L35" i="5"/>
  <c r="L31" i="5"/>
  <c r="O623" i="28"/>
  <c r="P623" i="28"/>
  <c r="K1251" i="52"/>
  <c r="X22" i="65"/>
  <c r="Q747" i="28"/>
  <c r="O747" i="28"/>
  <c r="E28" i="58"/>
  <c r="O777" i="30"/>
  <c r="M777" i="30" s="1"/>
  <c r="AH22" i="65" s="1"/>
  <c r="H6" i="74" a="1"/>
  <c r="AA122" i="4"/>
  <c r="AH122" i="4" s="1"/>
  <c r="M113" i="5"/>
  <c r="H38" i="23" s="1"/>
  <c r="I113" i="5"/>
  <c r="F31" i="23" s="1"/>
  <c r="M68" i="5"/>
  <c r="M59" i="5"/>
  <c r="F20" i="9"/>
  <c r="L36" i="5"/>
  <c r="K785" i="51"/>
  <c r="X15" i="61"/>
  <c r="K490" i="24"/>
  <c r="K818" i="24"/>
  <c r="K1321" i="51"/>
  <c r="X23" i="61"/>
  <c r="K645" i="52"/>
  <c r="X13" i="65"/>
  <c r="J641" i="30"/>
  <c r="F642" i="30"/>
  <c r="K110" i="28"/>
  <c r="K1050" i="52"/>
  <c r="X19" i="65"/>
  <c r="N874" i="28"/>
  <c r="Q873" i="28"/>
  <c r="N935" i="28"/>
  <c r="Q934" i="28"/>
  <c r="M63" i="5"/>
  <c r="M70" i="5"/>
  <c r="K113" i="5"/>
  <c r="G38" i="23" s="1"/>
  <c r="L32" i="5"/>
  <c r="F31" i="9"/>
  <c r="L33" i="5"/>
  <c r="G83" i="57"/>
  <c r="Q561" i="28"/>
  <c r="N562" i="28"/>
  <c r="O561" i="28"/>
  <c r="E1002" i="53"/>
  <c r="K1023" i="53" s="1"/>
  <c r="F58" i="56"/>
  <c r="F52" i="56"/>
  <c r="F56" i="56"/>
  <c r="F61" i="56"/>
  <c r="F57" i="56"/>
  <c r="G57" i="56" s="1"/>
  <c r="F59" i="56"/>
  <c r="F60" i="56"/>
  <c r="F54" i="56"/>
  <c r="F80" i="56"/>
  <c r="F82" i="56"/>
  <c r="F78" i="56"/>
  <c r="F74" i="56"/>
  <c r="F79" i="56"/>
  <c r="G79" i="56" s="1"/>
  <c r="F73" i="56"/>
  <c r="F81" i="56"/>
  <c r="G81" i="56" s="1"/>
  <c r="J152" i="16"/>
  <c r="K1039" i="28"/>
  <c r="L1038" i="28"/>
  <c r="CG15" i="76"/>
  <c r="Q122" i="4"/>
  <c r="X122" i="4" s="1"/>
  <c r="M69" i="5"/>
  <c r="M62" i="5"/>
  <c r="K695" i="24"/>
  <c r="K1120" i="51"/>
  <c r="X20" i="61"/>
  <c r="F314" i="30"/>
  <c r="J313" i="30"/>
  <c r="F601" i="30"/>
  <c r="J600" i="30"/>
  <c r="L976" i="28"/>
  <c r="K977" i="28"/>
  <c r="M810" i="28"/>
  <c r="P809" i="28"/>
  <c r="O809" i="28"/>
  <c r="L34" i="5"/>
  <c r="F32" i="9"/>
  <c r="L30" i="5"/>
  <c r="O408" i="30"/>
  <c r="M408" i="30" s="1"/>
  <c r="AH13" i="65" s="1"/>
  <c r="O654" i="30"/>
  <c r="M654" i="30" s="1"/>
  <c r="AH19" i="65" s="1"/>
  <c r="E64" i="58"/>
  <c r="K1163" i="28"/>
  <c r="L1162" i="28"/>
  <c r="E373" i="53"/>
  <c r="K393" i="53" s="1"/>
  <c r="F42" i="57"/>
  <c r="AM6" i="74" a="1"/>
  <c r="AM7" i="74" s="1"/>
  <c r="DL21" i="76"/>
  <c r="AO22" i="74" s="1"/>
  <c r="AG55" i="4" s="1"/>
  <c r="H77" i="5"/>
  <c r="H78" i="5" s="1"/>
  <c r="M65" i="5"/>
  <c r="L29" i="5"/>
  <c r="L37" i="5"/>
  <c r="L27" i="5"/>
  <c r="J805" i="30"/>
  <c r="F806" i="30"/>
  <c r="K449" i="24"/>
  <c r="X14" i="61"/>
  <c r="Q685" i="28"/>
  <c r="O685" i="28"/>
  <c r="N686" i="28"/>
  <c r="G79" i="57"/>
  <c r="L1225" i="28"/>
  <c r="K1226" i="28"/>
  <c r="W6" i="74" a="1"/>
  <c r="W7" i="74" s="1"/>
  <c r="AJ6" i="74" a="1"/>
  <c r="AJ7" i="74" s="1"/>
  <c r="CB25" i="76"/>
  <c r="Y26" i="74" s="1"/>
  <c r="I6" i="74" a="1"/>
  <c r="I7" i="74" s="1"/>
  <c r="E88" i="53"/>
  <c r="K109" i="53" s="1"/>
  <c r="E303" i="53"/>
  <c r="K323" i="53" s="1"/>
  <c r="E443" i="53"/>
  <c r="K463" i="53" s="1"/>
  <c r="E582" i="53"/>
  <c r="K603" i="53" s="1"/>
  <c r="E1282" i="53"/>
  <c r="K1303" i="53" s="1"/>
  <c r="E792" i="53"/>
  <c r="K811" i="53" s="1"/>
  <c r="E232" i="53"/>
  <c r="K254" i="53" s="1"/>
  <c r="E862" i="53"/>
  <c r="K882" i="53" s="1"/>
  <c r="E16" i="53"/>
  <c r="K37" i="53" s="1"/>
  <c r="E1072" i="53"/>
  <c r="K1093" i="53" s="1"/>
  <c r="E159" i="53"/>
  <c r="K180" i="53" s="1"/>
  <c r="E1212" i="53"/>
  <c r="K1233" i="53" s="1"/>
  <c r="M74" i="5"/>
  <c r="M61" i="5"/>
  <c r="K986" i="51"/>
  <c r="X18" i="61"/>
  <c r="K613" i="24"/>
  <c r="F724" i="30"/>
  <c r="J723" i="30"/>
  <c r="L26" i="5"/>
  <c r="F22" i="9"/>
  <c r="M624" i="28"/>
  <c r="P563" i="28"/>
  <c r="M564" i="28"/>
  <c r="E652" i="53"/>
  <c r="K672" i="53" s="1"/>
  <c r="X54" i="76"/>
  <c r="CB49" i="76"/>
  <c r="DV32" i="76"/>
  <c r="CB20" i="76"/>
  <c r="Y21" i="74" s="1"/>
  <c r="V54" i="4" s="1"/>
  <c r="X4" i="74"/>
  <c r="X18" i="76"/>
  <c r="EA19" i="76"/>
  <c r="EA32" i="76"/>
  <c r="X15" i="76"/>
  <c r="AM34" i="76"/>
  <c r="X20" i="76"/>
  <c r="BR24" i="76"/>
  <c r="CG12" i="76"/>
  <c r="BR19" i="76"/>
  <c r="Z20" i="74" s="1"/>
  <c r="W53" i="4" s="1"/>
  <c r="BR44" i="76"/>
  <c r="AH45" i="76"/>
  <c r="J47" i="74" s="1"/>
  <c r="DV25" i="76"/>
  <c r="DV29" i="76"/>
  <c r="EA44" i="76"/>
  <c r="AM60" i="76"/>
  <c r="EA12" i="76"/>
  <c r="DV42" i="76"/>
  <c r="DV26" i="76"/>
  <c r="DV50" i="76"/>
  <c r="AM48" i="76"/>
  <c r="BR48" i="76"/>
  <c r="BR9" i="76"/>
  <c r="BR27" i="76"/>
  <c r="EA43" i="76"/>
  <c r="K22" i="18"/>
  <c r="I22" i="18"/>
  <c r="X59" i="76"/>
  <c r="BR61" i="76"/>
  <c r="BR43" i="76"/>
  <c r="AH31" i="76"/>
  <c r="AH51" i="76"/>
  <c r="J53" i="74" s="1"/>
  <c r="DV15" i="76"/>
  <c r="AN16" i="74" s="1"/>
  <c r="AF49" i="4" s="1"/>
  <c r="AM58" i="76"/>
  <c r="CB31" i="76"/>
  <c r="CB44" i="76"/>
  <c r="DV33" i="76"/>
  <c r="AH40" i="76"/>
  <c r="J42" i="74" s="1"/>
  <c r="CG25" i="76"/>
  <c r="AM22" i="76"/>
  <c r="EA29" i="76"/>
  <c r="CG31" i="76"/>
  <c r="AH58" i="76"/>
  <c r="BR34" i="76"/>
  <c r="DV41" i="76"/>
  <c r="CB17" i="76"/>
  <c r="Y18" i="74" s="1"/>
  <c r="V51" i="4" s="1"/>
  <c r="CG38" i="76"/>
  <c r="EA42" i="76"/>
  <c r="X62" i="76"/>
  <c r="CB40" i="76"/>
  <c r="BR50" i="76"/>
  <c r="CG32" i="76"/>
  <c r="CG34" i="76"/>
  <c r="AM10" i="76"/>
  <c r="DV16" i="76"/>
  <c r="AN17" i="74" s="1"/>
  <c r="AF50" i="4" s="1"/>
  <c r="EA16" i="76"/>
  <c r="AH17" i="76"/>
  <c r="J18" i="74" s="1"/>
  <c r="J51" i="4" s="1"/>
  <c r="BR36" i="76"/>
  <c r="AM16" i="76"/>
  <c r="DL13" i="76"/>
  <c r="AH41" i="76"/>
  <c r="J43" i="74" s="1"/>
  <c r="EA18" i="76"/>
  <c r="AM63" i="76"/>
  <c r="BR45" i="76"/>
  <c r="BR18" i="76"/>
  <c r="Z19" i="74" s="1"/>
  <c r="W52" i="4" s="1"/>
  <c r="CG16" i="76"/>
  <c r="BR30" i="76"/>
  <c r="BR59" i="76"/>
  <c r="DV34" i="76"/>
  <c r="AH55" i="76"/>
  <c r="BR22" i="76"/>
  <c r="Z23" i="74" s="1"/>
  <c r="W56" i="4" s="1"/>
  <c r="CB16" i="76"/>
  <c r="Y17" i="74" s="1"/>
  <c r="V50" i="4" s="1"/>
  <c r="AH48" i="76"/>
  <c r="J50" i="74" s="1"/>
  <c r="DV44" i="76"/>
  <c r="AH36" i="76"/>
  <c r="CB43" i="76"/>
  <c r="AM44" i="76"/>
  <c r="CG19" i="76"/>
  <c r="X10" i="76"/>
  <c r="EA14" i="76"/>
  <c r="DL10" i="76"/>
  <c r="AM30" i="76"/>
  <c r="CG28" i="76"/>
  <c r="DV48" i="76"/>
  <c r="AH43" i="76"/>
  <c r="J45" i="74" s="1"/>
  <c r="X14" i="76"/>
  <c r="DV49" i="76"/>
  <c r="X13" i="76"/>
  <c r="BR42" i="76"/>
  <c r="AM13" i="76"/>
  <c r="DV40" i="76"/>
  <c r="CG22" i="76"/>
  <c r="AM25" i="76"/>
  <c r="DV31" i="76"/>
  <c r="DL14" i="76"/>
  <c r="AO15" i="74" s="1"/>
  <c r="AG48" i="4" s="1"/>
  <c r="BR46" i="76"/>
  <c r="BR38" i="76"/>
  <c r="AM61" i="76"/>
  <c r="AM59" i="76"/>
  <c r="AH30" i="76"/>
  <c r="AH22" i="76"/>
  <c r="J23" i="74" s="1"/>
  <c r="J56" i="4" s="1"/>
  <c r="AH52" i="76"/>
  <c r="CB27" i="76"/>
  <c r="Y27" i="74" s="1"/>
  <c r="AH18" i="76"/>
  <c r="J19" i="74" s="1"/>
  <c r="J52" i="4" s="1"/>
  <c r="X12" i="76"/>
  <c r="BR58" i="76"/>
  <c r="CB48" i="76"/>
  <c r="DV28" i="76"/>
  <c r="AH25" i="76"/>
  <c r="CB15" i="76"/>
  <c r="Y16" i="74" s="1"/>
  <c r="V49" i="4" s="1"/>
  <c r="AH64" i="76"/>
  <c r="BR49" i="76"/>
  <c r="CB11" i="76"/>
  <c r="CG10" i="76"/>
  <c r="AM40" i="76"/>
  <c r="CG27" i="76"/>
  <c r="W4" i="76"/>
  <c r="CB47" i="76"/>
  <c r="BR21" i="76"/>
  <c r="Z22" i="74" s="1"/>
  <c r="W55" i="4" s="1"/>
  <c r="BR62" i="76"/>
  <c r="AH54" i="76"/>
  <c r="AH61" i="76"/>
  <c r="CG30" i="76"/>
  <c r="AM41" i="76"/>
  <c r="DV47" i="76"/>
  <c r="BR13" i="76"/>
  <c r="AH26" i="76"/>
  <c r="AH47" i="76"/>
  <c r="J49" i="74" s="1"/>
  <c r="DL19" i="76"/>
  <c r="AO20" i="74" s="1"/>
  <c r="AG53" i="4" s="1"/>
  <c r="X11" i="76"/>
  <c r="CB42" i="76"/>
  <c r="EA10" i="76"/>
  <c r="AH9" i="76"/>
  <c r="CB21" i="76"/>
  <c r="Y22" i="74" s="1"/>
  <c r="V55" i="4" s="1"/>
  <c r="AH49" i="76"/>
  <c r="J51" i="74" s="1"/>
  <c r="AH27" i="76"/>
  <c r="AH60" i="76"/>
  <c r="AM39" i="76"/>
  <c r="AM47" i="76"/>
  <c r="CB39" i="76"/>
  <c r="EA55" i="76"/>
  <c r="DV14" i="76"/>
  <c r="AN15" i="74" s="1"/>
  <c r="AF48" i="4" s="1"/>
  <c r="DV22" i="76"/>
  <c r="AN23" i="74" s="1"/>
  <c r="CG11" i="76"/>
  <c r="CB35" i="76"/>
  <c r="AM12" i="76"/>
  <c r="DV10" i="76"/>
  <c r="AM52" i="76"/>
  <c r="CB10" i="76"/>
  <c r="EA11" i="76"/>
  <c r="DV19" i="76"/>
  <c r="AN20" i="74" s="1"/>
  <c r="AF53" i="4" s="1"/>
  <c r="AH28" i="76"/>
  <c r="X56" i="76"/>
  <c r="AM43" i="76"/>
  <c r="AH19" i="76"/>
  <c r="J20" i="74" s="1"/>
  <c r="J53" i="4" s="1"/>
  <c r="DV35" i="76"/>
  <c r="EA33" i="76"/>
  <c r="EA36" i="76"/>
  <c r="AH14" i="76"/>
  <c r="J15" i="74" s="1"/>
  <c r="CB34" i="76"/>
  <c r="AH56" i="76"/>
  <c r="DV43" i="76"/>
  <c r="AM28" i="76"/>
  <c r="DV63" i="76"/>
  <c r="DV60" i="76"/>
  <c r="AH39" i="76"/>
  <c r="J41" i="74" s="1"/>
  <c r="J16" i="2" s="1"/>
  <c r="AH38" i="76"/>
  <c r="CB18" i="76"/>
  <c r="Y19" i="74" s="1"/>
  <c r="V52" i="4" s="1"/>
  <c r="AH50" i="76"/>
  <c r="J52" i="74" s="1"/>
  <c r="CB29" i="76"/>
  <c r="AH29" i="76"/>
  <c r="W23" i="73"/>
  <c r="W25" i="73" s="1"/>
  <c r="AH62" i="76"/>
  <c r="AM51" i="76"/>
  <c r="AM31" i="76"/>
  <c r="AM35" i="76"/>
  <c r="CG26" i="76"/>
  <c r="EA35" i="76"/>
  <c r="EA41" i="76"/>
  <c r="BR29" i="76"/>
  <c r="AM62" i="76"/>
  <c r="AH42" i="76"/>
  <c r="J44" i="74" s="1"/>
  <c r="BR14" i="76"/>
  <c r="Z15" i="74" s="1"/>
  <c r="W48" i="4" s="1"/>
  <c r="AH11" i="76"/>
  <c r="AH44" i="76"/>
  <c r="J46" i="74" s="1"/>
  <c r="AH20" i="76"/>
  <c r="J21" i="74" s="1"/>
  <c r="J54" i="4" s="1"/>
  <c r="X60" i="76"/>
  <c r="DV51" i="76"/>
  <c r="DV11" i="76"/>
  <c r="AH63" i="76"/>
  <c r="CB26" i="76"/>
  <c r="AH15" i="76"/>
  <c r="J16" i="74" s="1"/>
  <c r="J49" i="4" s="1"/>
  <c r="AM49" i="76"/>
  <c r="DV39" i="76"/>
  <c r="AH34" i="76"/>
  <c r="AH13" i="76"/>
  <c r="AH12" i="76"/>
  <c r="X23" i="73"/>
  <c r="CB19" i="76"/>
  <c r="Y20" i="74" s="1"/>
  <c r="V53" i="4" s="1"/>
  <c r="AH35" i="76"/>
  <c r="V23" i="73"/>
  <c r="AM11" i="76"/>
  <c r="DV36" i="76"/>
  <c r="AH57" i="76"/>
  <c r="CG35" i="76"/>
  <c r="I26" i="18"/>
  <c r="AM42" i="76"/>
  <c r="AH59" i="76"/>
  <c r="DV27" i="76"/>
  <c r="AM27" i="76"/>
  <c r="BR35" i="76"/>
  <c r="AM50" i="76"/>
  <c r="EA13" i="76"/>
  <c r="AM21" i="76"/>
  <c r="AM46" i="76"/>
  <c r="AH46" i="76"/>
  <c r="J48" i="74" s="1"/>
  <c r="AM33" i="76"/>
  <c r="AM45" i="76"/>
  <c r="AH16" i="76"/>
  <c r="J17" i="74" s="1"/>
  <c r="J50" i="4" s="1"/>
  <c r="AH21" i="76"/>
  <c r="J22" i="74" s="1"/>
  <c r="J55" i="4" s="1"/>
  <c r="AM20" i="76"/>
  <c r="X21" i="76"/>
  <c r="CB52" i="76"/>
  <c r="AM14" i="76"/>
  <c r="J29" i="18"/>
  <c r="CG18" i="76"/>
  <c r="K29" i="18"/>
  <c r="DV13" i="76"/>
  <c r="I23" i="73"/>
  <c r="EA39" i="76"/>
  <c r="EA31" i="76"/>
  <c r="AM26" i="76"/>
  <c r="X58" i="76"/>
  <c r="AM18" i="76"/>
  <c r="AM17" i="76"/>
  <c r="EA28" i="76"/>
  <c r="EA21" i="76"/>
  <c r="BR11" i="76"/>
  <c r="EA38" i="76"/>
  <c r="DV21" i="76"/>
  <c r="AN22" i="74" s="1"/>
  <c r="AF55" i="4" s="1"/>
  <c r="DV55" i="76"/>
  <c r="DV30" i="76"/>
  <c r="CB13" i="76"/>
  <c r="CB37" i="76"/>
  <c r="EA63" i="76"/>
  <c r="AM38" i="76"/>
  <c r="DV18" i="76"/>
  <c r="AN19" i="74" s="1"/>
  <c r="AF52" i="4" s="1"/>
  <c r="EA22" i="76"/>
  <c r="I24" i="18"/>
  <c r="K24" i="18"/>
  <c r="J24" i="18"/>
  <c r="DV46" i="76"/>
  <c r="DV38" i="76"/>
  <c r="CB45" i="76"/>
  <c r="AM29" i="76"/>
  <c r="CG21" i="76"/>
  <c r="EA46" i="76"/>
  <c r="CG37" i="76"/>
  <c r="DL11" i="76"/>
  <c r="EA47" i="76"/>
  <c r="EA30" i="76"/>
  <c r="CG13" i="76"/>
  <c r="AM27" i="74"/>
  <c r="EA27" i="76"/>
  <c r="EA60" i="76"/>
  <c r="CG29" i="76"/>
  <c r="F35" i="74"/>
  <c r="AM36" i="76"/>
  <c r="H20" i="74"/>
  <c r="H53" i="4" s="1"/>
  <c r="AM19" i="76"/>
  <c r="F54" i="74"/>
  <c r="K23" i="73"/>
  <c r="I23" i="18"/>
  <c r="J23" i="18"/>
  <c r="K23" i="18"/>
  <c r="I26" i="12"/>
  <c r="H26" i="12"/>
  <c r="I54" i="74"/>
  <c r="I82" i="74" s="1"/>
  <c r="I16" i="2"/>
  <c r="G54" i="74"/>
  <c r="G82" i="74" s="1"/>
  <c r="I48" i="4"/>
  <c r="J34" i="75" l="1"/>
  <c r="J47" i="75" s="1"/>
  <c r="L234" i="28"/>
  <c r="H26" i="82"/>
  <c r="I26" i="82"/>
  <c r="I23" i="82"/>
  <c r="H23" i="82"/>
  <c r="H22" i="82"/>
  <c r="I22" i="82"/>
  <c r="I25" i="82"/>
  <c r="H25" i="82"/>
  <c r="I19" i="82"/>
  <c r="H19" i="82"/>
  <c r="H18" i="82"/>
  <c r="I18" i="82"/>
  <c r="I21" i="82"/>
  <c r="H21" i="82"/>
  <c r="I17" i="82"/>
  <c r="H17" i="82"/>
  <c r="I24" i="82"/>
  <c r="H24" i="82"/>
  <c r="H20" i="82"/>
  <c r="I20" i="82"/>
  <c r="H16" i="81"/>
  <c r="E26" i="81"/>
  <c r="H26" i="81" s="1"/>
  <c r="E23" i="81"/>
  <c r="I23" i="81" s="1"/>
  <c r="E22" i="81"/>
  <c r="I22" i="81" s="1"/>
  <c r="E25" i="81"/>
  <c r="I25" i="81" s="1"/>
  <c r="E19" i="81"/>
  <c r="I19" i="81" s="1"/>
  <c r="E21" i="81"/>
  <c r="I21" i="81" s="1"/>
  <c r="E17" i="81"/>
  <c r="I17" i="81" s="1"/>
  <c r="E24" i="81"/>
  <c r="H24" i="81" s="1"/>
  <c r="E20" i="81"/>
  <c r="H20" i="81" s="1"/>
  <c r="F30" i="16"/>
  <c r="F25" i="16"/>
  <c r="F28" i="16"/>
  <c r="F22" i="16"/>
  <c r="F31" i="16"/>
  <c r="F20" i="16"/>
  <c r="F19" i="16"/>
  <c r="F16" i="16"/>
  <c r="F33" i="16"/>
  <c r="F29" i="16"/>
  <c r="F17" i="16"/>
  <c r="G150" i="5"/>
  <c r="M874" i="28"/>
  <c r="P874" i="28" s="1"/>
  <c r="M935" i="28"/>
  <c r="O935" i="28" s="1"/>
  <c r="P934" i="28"/>
  <c r="H16" i="17"/>
  <c r="F35" i="16"/>
  <c r="F23" i="16"/>
  <c r="F21" i="16"/>
  <c r="F26" i="16"/>
  <c r="F34" i="16"/>
  <c r="F27" i="16"/>
  <c r="L24" i="5"/>
  <c r="L21" i="5"/>
  <c r="E18" i="80"/>
  <c r="H18" i="80" s="1"/>
  <c r="E18" i="81"/>
  <c r="X31" i="75"/>
  <c r="F18" i="16"/>
  <c r="G120" i="4"/>
  <c r="F24" i="16"/>
  <c r="L44" i="75"/>
  <c r="K44" i="75"/>
  <c r="O873" i="28"/>
  <c r="E19" i="17"/>
  <c r="H19" i="17" s="1"/>
  <c r="E19" i="80"/>
  <c r="E21" i="17"/>
  <c r="I21" i="17" s="1"/>
  <c r="E21" i="80"/>
  <c r="E24" i="17"/>
  <c r="I24" i="17" s="1"/>
  <c r="E24" i="80"/>
  <c r="E17" i="17"/>
  <c r="I17" i="17" s="1"/>
  <c r="E17" i="80"/>
  <c r="E20" i="17"/>
  <c r="I20" i="17" s="1"/>
  <c r="E20" i="80"/>
  <c r="E26" i="17"/>
  <c r="I26" i="17" s="1"/>
  <c r="E26" i="80"/>
  <c r="I16" i="80"/>
  <c r="H16" i="80"/>
  <c r="E23" i="17"/>
  <c r="I23" i="17" s="1"/>
  <c r="E23" i="80"/>
  <c r="E22" i="17"/>
  <c r="I22" i="17" s="1"/>
  <c r="E22" i="80"/>
  <c r="E25" i="17"/>
  <c r="I25" i="17" s="1"/>
  <c r="E25" i="80"/>
  <c r="F36" i="13"/>
  <c r="F35" i="13"/>
  <c r="F23" i="13"/>
  <c r="F30" i="13"/>
  <c r="F28" i="13"/>
  <c r="F24" i="13"/>
  <c r="L23" i="5"/>
  <c r="F27" i="13"/>
  <c r="G21" i="23"/>
  <c r="G29" i="23"/>
  <c r="N626" i="28"/>
  <c r="Q626" i="28" s="1"/>
  <c r="Q625" i="28"/>
  <c r="F32" i="13"/>
  <c r="F26" i="13"/>
  <c r="N811" i="28"/>
  <c r="Q810" i="28"/>
  <c r="M750" i="28"/>
  <c r="P750" i="28" s="1"/>
  <c r="P749" i="28"/>
  <c r="G25" i="23"/>
  <c r="F25" i="13"/>
  <c r="F38" i="13"/>
  <c r="G22" i="23"/>
  <c r="F34" i="13"/>
  <c r="M688" i="28"/>
  <c r="P688" i="28" s="1"/>
  <c r="P687" i="28"/>
  <c r="F31" i="13"/>
  <c r="F21" i="13"/>
  <c r="F82" i="74"/>
  <c r="F100" i="74" s="1"/>
  <c r="F71" i="74"/>
  <c r="I100" i="74"/>
  <c r="G100" i="74"/>
  <c r="AM71" i="74"/>
  <c r="AJ71" i="74"/>
  <c r="W71" i="74"/>
  <c r="V71" i="74"/>
  <c r="U71" i="74"/>
  <c r="I71" i="74"/>
  <c r="I20" i="18"/>
  <c r="V6" i="74" a="1"/>
  <c r="V7" i="74" s="1"/>
  <c r="F6" i="74" a="1"/>
  <c r="F7" i="74" s="1"/>
  <c r="AK6" i="74"/>
  <c r="AK70" i="74" s="1"/>
  <c r="AL6" i="74" a="1"/>
  <c r="AL7" i="74" s="1"/>
  <c r="AM6" i="74"/>
  <c r="AM70" i="74" s="1"/>
  <c r="K20" i="18"/>
  <c r="J31" i="75"/>
  <c r="J44" i="75" s="1"/>
  <c r="J37" i="75"/>
  <c r="J50" i="75" s="1"/>
  <c r="W31" i="75"/>
  <c r="M18" i="75"/>
  <c r="M10" i="75"/>
  <c r="I27" i="18"/>
  <c r="J27" i="18"/>
  <c r="I24" i="12"/>
  <c r="H20" i="48"/>
  <c r="I20" i="48"/>
  <c r="F20" i="48"/>
  <c r="H20" i="12"/>
  <c r="I20" i="12"/>
  <c r="H25" i="12"/>
  <c r="I25" i="12"/>
  <c r="E18" i="17"/>
  <c r="G33" i="2"/>
  <c r="G52" i="2" s="1"/>
  <c r="G13" i="48" s="1"/>
  <c r="I21" i="12"/>
  <c r="H21" i="12"/>
  <c r="I23" i="12"/>
  <c r="H23" i="12"/>
  <c r="I28" i="18"/>
  <c r="K28" i="18"/>
  <c r="J28" i="18"/>
  <c r="K25" i="18"/>
  <c r="I25" i="18"/>
  <c r="J25" i="18"/>
  <c r="H22" i="12"/>
  <c r="I22" i="12"/>
  <c r="I18" i="12"/>
  <c r="J17" i="2"/>
  <c r="J20" i="2"/>
  <c r="J28" i="2"/>
  <c r="I19" i="12"/>
  <c r="J18" i="2"/>
  <c r="F33" i="2"/>
  <c r="F52" i="2" s="1"/>
  <c r="F17" i="47" s="1"/>
  <c r="J21" i="2"/>
  <c r="J27" i="2"/>
  <c r="J23" i="2"/>
  <c r="J24" i="2"/>
  <c r="I33" i="2"/>
  <c r="I52" i="2" s="1"/>
  <c r="I13" i="48" s="1"/>
  <c r="J26" i="2"/>
  <c r="J19" i="2"/>
  <c r="J22" i="2"/>
  <c r="CI37" i="76"/>
  <c r="Y23" i="74"/>
  <c r="V56" i="4" s="1"/>
  <c r="AO23" i="76"/>
  <c r="E24" i="74" s="1"/>
  <c r="K24" i="74"/>
  <c r="CI64" i="76"/>
  <c r="CI36" i="76"/>
  <c r="CK36" i="76" s="1"/>
  <c r="EC23" i="76"/>
  <c r="EC63" i="76"/>
  <c r="EE63" i="76" s="1"/>
  <c r="CI62" i="76"/>
  <c r="CK62" i="76" s="1"/>
  <c r="AO64" i="76"/>
  <c r="K27" i="2"/>
  <c r="AO51" i="76"/>
  <c r="E53" i="74" s="1"/>
  <c r="K17" i="2"/>
  <c r="AO41" i="76"/>
  <c r="E43" i="74" s="1"/>
  <c r="K24" i="2"/>
  <c r="AO48" i="76"/>
  <c r="E50" i="74" s="1"/>
  <c r="K26" i="2"/>
  <c r="AO50" i="76"/>
  <c r="E52" i="74" s="1"/>
  <c r="AO45" i="76"/>
  <c r="E47" i="74" s="1"/>
  <c r="K21" i="2"/>
  <c r="K16" i="2"/>
  <c r="AO40" i="76"/>
  <c r="E42" i="74" s="1"/>
  <c r="K22" i="2"/>
  <c r="AO46" i="76"/>
  <c r="E48" i="74" s="1"/>
  <c r="K20" i="2"/>
  <c r="AO44" i="76"/>
  <c r="E46" i="74" s="1"/>
  <c r="K25" i="2"/>
  <c r="AO49" i="76"/>
  <c r="E51" i="74" s="1"/>
  <c r="K23" i="2"/>
  <c r="AO47" i="76"/>
  <c r="E49" i="74" s="1"/>
  <c r="K18" i="2"/>
  <c r="AO42" i="76"/>
  <c r="E44" i="74" s="1"/>
  <c r="K19" i="2"/>
  <c r="AO43" i="76"/>
  <c r="E45" i="74" s="1"/>
  <c r="AO39" i="76"/>
  <c r="BR60" i="76"/>
  <c r="CI60" i="76" s="1"/>
  <c r="CK60" i="76" s="1"/>
  <c r="BR63" i="76"/>
  <c r="AM37" i="76"/>
  <c r="AM53" i="76"/>
  <c r="AO24" i="76"/>
  <c r="AQ24" i="76" s="1"/>
  <c r="AO34" i="76"/>
  <c r="AG53" i="76"/>
  <c r="AH53" i="76" s="1"/>
  <c r="AH37" i="76"/>
  <c r="AH10" i="76"/>
  <c r="AO10" i="76" s="1"/>
  <c r="AQ10" i="76" s="1"/>
  <c r="AO30" i="76"/>
  <c r="AO28" i="76"/>
  <c r="AQ28" i="76" s="1"/>
  <c r="AO29" i="76"/>
  <c r="AQ29" i="76" s="1"/>
  <c r="AO25" i="76"/>
  <c r="AQ25" i="76" s="1"/>
  <c r="AO31" i="76"/>
  <c r="AO32" i="76"/>
  <c r="AQ32" i="76" s="1"/>
  <c r="AO26" i="76"/>
  <c r="AQ26" i="76" s="1"/>
  <c r="AO33" i="76"/>
  <c r="AQ33" i="76" s="1"/>
  <c r="AO27" i="76"/>
  <c r="AQ27" i="76" s="1"/>
  <c r="K18" i="74"/>
  <c r="K51" i="4" s="1"/>
  <c r="AO17" i="76"/>
  <c r="AQ17" i="76" s="1"/>
  <c r="K22" i="74"/>
  <c r="K55" i="4" s="1"/>
  <c r="AO21" i="76"/>
  <c r="AO13" i="76"/>
  <c r="AQ13" i="76" s="1"/>
  <c r="K21" i="74"/>
  <c r="K54" i="4" s="1"/>
  <c r="AO20" i="76"/>
  <c r="AQ20" i="76" s="1"/>
  <c r="K19" i="74"/>
  <c r="K52" i="4" s="1"/>
  <c r="AO18" i="76"/>
  <c r="E19" i="74" s="1"/>
  <c r="E52" i="4" s="1"/>
  <c r="AO12" i="76"/>
  <c r="AQ12" i="76" s="1"/>
  <c r="K20" i="74"/>
  <c r="K53" i="4" s="1"/>
  <c r="AO19" i="76"/>
  <c r="E20" i="74" s="1"/>
  <c r="AO35" i="76"/>
  <c r="K15" i="74"/>
  <c r="K48" i="4" s="1"/>
  <c r="AO14" i="76"/>
  <c r="E15" i="74" s="1"/>
  <c r="E48" i="4" s="1"/>
  <c r="K23" i="74"/>
  <c r="K56" i="4" s="1"/>
  <c r="AO22" i="76"/>
  <c r="E23" i="74" s="1"/>
  <c r="K16" i="74"/>
  <c r="K49" i="4" s="1"/>
  <c r="AO15" i="76"/>
  <c r="E16" i="74" s="1"/>
  <c r="AO36" i="76"/>
  <c r="K17" i="74"/>
  <c r="K50" i="4" s="1"/>
  <c r="AO16" i="76"/>
  <c r="AQ16" i="76" s="1"/>
  <c r="AO11" i="76"/>
  <c r="AQ11" i="76" s="1"/>
  <c r="X52" i="76"/>
  <c r="X37" i="76"/>
  <c r="AK11" i="74"/>
  <c r="T37" i="4"/>
  <c r="T38" i="4" s="1"/>
  <c r="T120" i="4" s="1"/>
  <c r="AD15" i="4"/>
  <c r="AD26" i="4" s="1"/>
  <c r="AD119" i="4" s="1"/>
  <c r="F37" i="4"/>
  <c r="F38" i="4" s="1"/>
  <c r="F120" i="4" s="1"/>
  <c r="S37" i="4"/>
  <c r="S38" i="4" s="1"/>
  <c r="S120" i="4" s="1"/>
  <c r="AL11" i="74"/>
  <c r="AN4" i="74"/>
  <c r="AF15" i="4" s="1"/>
  <c r="AF26" i="4" s="1"/>
  <c r="AF119" i="4" s="1"/>
  <c r="I119" i="4"/>
  <c r="Z4" i="74"/>
  <c r="W15" i="4" s="1"/>
  <c r="W26" i="4" s="1"/>
  <c r="W170" i="74" s="1"/>
  <c r="AN41" i="74"/>
  <c r="AF16" i="2" s="1"/>
  <c r="AO46" i="74"/>
  <c r="AG21" i="2" s="1"/>
  <c r="AE15" i="4"/>
  <c r="AE26" i="4" s="1"/>
  <c r="AE20" i="48" s="1"/>
  <c r="AO26" i="74"/>
  <c r="AG58" i="4" s="1"/>
  <c r="AN46" i="74"/>
  <c r="AF21" i="2" s="1"/>
  <c r="Z49" i="74"/>
  <c r="W24" i="2" s="1"/>
  <c r="Y4" i="74"/>
  <c r="V15" i="4" s="1"/>
  <c r="V26" i="4" s="1"/>
  <c r="V170" i="74" s="1"/>
  <c r="AE37" i="4"/>
  <c r="AE38" i="4" s="1"/>
  <c r="AE120" i="4" s="1"/>
  <c r="Z41" i="74"/>
  <c r="W16" i="2" s="1"/>
  <c r="AB37" i="4"/>
  <c r="AB38" i="4" s="1"/>
  <c r="AB120" i="4" s="1"/>
  <c r="Z26" i="74"/>
  <c r="W58" i="4" s="1"/>
  <c r="Y51" i="74"/>
  <c r="V26" i="2" s="1"/>
  <c r="Y28" i="74"/>
  <c r="V60" i="4" s="1"/>
  <c r="AO42" i="74"/>
  <c r="AG17" i="2" s="1"/>
  <c r="J34" i="74"/>
  <c r="J66" i="4" s="1"/>
  <c r="X11" i="74"/>
  <c r="AO48" i="74"/>
  <c r="AG23" i="2" s="1"/>
  <c r="G11" i="74"/>
  <c r="G15" i="4"/>
  <c r="G26" i="4" s="1"/>
  <c r="G170" i="74" s="1"/>
  <c r="Z52" i="74"/>
  <c r="W27" i="2" s="1"/>
  <c r="AN30" i="74"/>
  <c r="AF62" i="4" s="1"/>
  <c r="Z45" i="74"/>
  <c r="W20" i="2" s="1"/>
  <c r="T72" i="4"/>
  <c r="T121" i="4" s="1"/>
  <c r="R37" i="4"/>
  <c r="R38" i="4" s="1"/>
  <c r="R120" i="4" s="1"/>
  <c r="AC15" i="4"/>
  <c r="AC26" i="4" s="1"/>
  <c r="AC20" i="48" s="1"/>
  <c r="Z53" i="74"/>
  <c r="W28" i="2" s="1"/>
  <c r="AN42" i="74"/>
  <c r="AF17" i="2" s="1"/>
  <c r="Z35" i="74"/>
  <c r="W67" i="4" s="1"/>
  <c r="AO31" i="74"/>
  <c r="AG63" i="4" s="1"/>
  <c r="Z30" i="74"/>
  <c r="W62" i="4" s="1"/>
  <c r="G6" i="74"/>
  <c r="G70" i="74" s="1"/>
  <c r="W37" i="74"/>
  <c r="Y48" i="74"/>
  <c r="V23" i="2" s="1"/>
  <c r="AN43" i="74"/>
  <c r="AF18" i="2" s="1"/>
  <c r="Y31" i="74"/>
  <c r="V63" i="4" s="1"/>
  <c r="V57" i="4"/>
  <c r="AO50" i="74"/>
  <c r="AG25" i="2" s="1"/>
  <c r="AN49" i="74"/>
  <c r="AF24" i="2" s="1"/>
  <c r="Y34" i="74"/>
  <c r="V66" i="4" s="1"/>
  <c r="V59" i="4"/>
  <c r="AN27" i="74"/>
  <c r="AF59" i="4" s="1"/>
  <c r="Y45" i="74"/>
  <c r="V20" i="2" s="1"/>
  <c r="Y42" i="74"/>
  <c r="V17" i="2" s="1"/>
  <c r="AN26" i="74"/>
  <c r="AF58" i="4" s="1"/>
  <c r="AO25" i="74"/>
  <c r="AG57" i="4" s="1"/>
  <c r="Z25" i="74"/>
  <c r="W57" i="4" s="1"/>
  <c r="AO4" i="74"/>
  <c r="AG15" i="4" s="1"/>
  <c r="AG26" i="4" s="1"/>
  <c r="AG119" i="4" s="1"/>
  <c r="AO34" i="74"/>
  <c r="AG66" i="4" s="1"/>
  <c r="J33" i="74"/>
  <c r="J65" i="4" s="1"/>
  <c r="AO29" i="74"/>
  <c r="AG61" i="4" s="1"/>
  <c r="U33" i="2"/>
  <c r="U52" i="2" s="1"/>
  <c r="U13" i="48" s="1"/>
  <c r="S72" i="4"/>
  <c r="S121" i="4" s="1"/>
  <c r="AN33" i="74"/>
  <c r="AF65" i="4" s="1"/>
  <c r="AN51" i="74"/>
  <c r="AF26" i="2" s="1"/>
  <c r="Z47" i="74"/>
  <c r="W22" i="2" s="1"/>
  <c r="Y35" i="74"/>
  <c r="V67" i="4" s="1"/>
  <c r="AN28" i="74"/>
  <c r="AF60" i="4" s="1"/>
  <c r="K25" i="74"/>
  <c r="K57" i="4" s="1"/>
  <c r="AO43" i="74"/>
  <c r="AG18" i="2" s="1"/>
  <c r="AO45" i="74"/>
  <c r="AG20" i="2" s="1"/>
  <c r="U72" i="4"/>
  <c r="U121" i="4" s="1"/>
  <c r="AB33" i="2"/>
  <c r="AB52" i="2" s="1"/>
  <c r="AB17" i="47" s="1"/>
  <c r="R33" i="2"/>
  <c r="R52" i="2" s="1"/>
  <c r="R13" i="48" s="1"/>
  <c r="AC33" i="2"/>
  <c r="AC52" i="2" s="1"/>
  <c r="AC17" i="47" s="1"/>
  <c r="AN34" i="74"/>
  <c r="AF66" i="4" s="1"/>
  <c r="AN50" i="74"/>
  <c r="AF25" i="2" s="1"/>
  <c r="AN25" i="74"/>
  <c r="AF57" i="4" s="1"/>
  <c r="J31" i="74"/>
  <c r="J63" i="4" s="1"/>
  <c r="AO49" i="74"/>
  <c r="AG24" i="2" s="1"/>
  <c r="Y44" i="74"/>
  <c r="V19" i="2" s="1"/>
  <c r="AO33" i="74"/>
  <c r="AG65" i="4" s="1"/>
  <c r="AJ54" i="74"/>
  <c r="AJ82" i="74" s="1"/>
  <c r="I37" i="4"/>
  <c r="I38" i="4" s="1"/>
  <c r="I120" i="4" s="1"/>
  <c r="AL54" i="74"/>
  <c r="AL82" i="74" s="1"/>
  <c r="K27" i="74"/>
  <c r="K59" i="4" s="1"/>
  <c r="K4" i="74"/>
  <c r="K15" i="4" s="1"/>
  <c r="K26" i="4" s="1"/>
  <c r="AO27" i="74"/>
  <c r="AG59" i="4" s="1"/>
  <c r="AO51" i="74"/>
  <c r="AG26" i="2" s="1"/>
  <c r="R72" i="4"/>
  <c r="R121" i="4" s="1"/>
  <c r="U54" i="74"/>
  <c r="U82" i="74" s="1"/>
  <c r="AD33" i="2"/>
  <c r="AD52" i="2" s="1"/>
  <c r="AD13" i="48" s="1"/>
  <c r="J29" i="74"/>
  <c r="J61" i="4" s="1"/>
  <c r="AN45" i="74"/>
  <c r="AF20" i="2" s="1"/>
  <c r="AN32" i="74"/>
  <c r="AF64" i="4" s="1"/>
  <c r="AN52" i="74"/>
  <c r="AF27" i="2" s="1"/>
  <c r="AN29" i="74"/>
  <c r="AF61" i="4" s="1"/>
  <c r="AN31" i="74"/>
  <c r="AF63" i="4" s="1"/>
  <c r="Z42" i="74"/>
  <c r="W17" i="2" s="1"/>
  <c r="AO44" i="74"/>
  <c r="AG19" i="2" s="1"/>
  <c r="AN47" i="74"/>
  <c r="AF22" i="2" s="1"/>
  <c r="AO32" i="74"/>
  <c r="AG64" i="4" s="1"/>
  <c r="AO47" i="74"/>
  <c r="AG22" i="2" s="1"/>
  <c r="AN48" i="74"/>
  <c r="AF23" i="2" s="1"/>
  <c r="AO41" i="74"/>
  <c r="AG16" i="2" s="1"/>
  <c r="X37" i="74"/>
  <c r="AO30" i="74"/>
  <c r="AG62" i="4" s="1"/>
  <c r="AN44" i="74"/>
  <c r="AF19" i="2" s="1"/>
  <c r="AO53" i="74"/>
  <c r="AG28" i="2" s="1"/>
  <c r="AO52" i="74"/>
  <c r="AG27" i="2" s="1"/>
  <c r="AK54" i="74"/>
  <c r="AK82" i="74" s="1"/>
  <c r="AO28" i="74"/>
  <c r="AG60" i="4" s="1"/>
  <c r="H11" i="74"/>
  <c r="K30" i="74"/>
  <c r="K62" i="4" s="1"/>
  <c r="Z28" i="74"/>
  <c r="W60" i="4" s="1"/>
  <c r="Y50" i="74"/>
  <c r="V25" i="2" s="1"/>
  <c r="Z51" i="74"/>
  <c r="W26" i="2" s="1"/>
  <c r="Z29" i="74"/>
  <c r="W61" i="4" s="1"/>
  <c r="Z43" i="74"/>
  <c r="W18" i="2" s="1"/>
  <c r="V37" i="74"/>
  <c r="Y49" i="74"/>
  <c r="V24" i="2" s="1"/>
  <c r="V58" i="4"/>
  <c r="Y33" i="74"/>
  <c r="V65" i="4" s="1"/>
  <c r="J28" i="74"/>
  <c r="J60" i="4" s="1"/>
  <c r="Y46" i="74"/>
  <c r="V21" i="2" s="1"/>
  <c r="K34" i="74"/>
  <c r="K66" i="4" s="1"/>
  <c r="Z48" i="74"/>
  <c r="W23" i="2" s="1"/>
  <c r="Y43" i="74"/>
  <c r="V18" i="2" s="1"/>
  <c r="Z33" i="74"/>
  <c r="W65" i="4" s="1"/>
  <c r="J32" i="74"/>
  <c r="J64" i="4" s="1"/>
  <c r="Y32" i="74"/>
  <c r="V64" i="4" s="1"/>
  <c r="Z27" i="74"/>
  <c r="W59" i="4" s="1"/>
  <c r="Z31" i="74"/>
  <c r="W63" i="4" s="1"/>
  <c r="W54" i="74"/>
  <c r="W82" i="74" s="1"/>
  <c r="T33" i="2"/>
  <c r="T52" i="2" s="1"/>
  <c r="T13" i="48" s="1"/>
  <c r="Y53" i="74"/>
  <c r="V28" i="2" s="1"/>
  <c r="Z46" i="74"/>
  <c r="W21" i="2" s="1"/>
  <c r="Y52" i="74"/>
  <c r="V27" i="2" s="1"/>
  <c r="Y30" i="74"/>
  <c r="V62" i="4" s="1"/>
  <c r="Y41" i="74"/>
  <c r="V16" i="2" s="1"/>
  <c r="X54" i="74"/>
  <c r="X82" i="74" s="1"/>
  <c r="Y47" i="74"/>
  <c r="V22" i="2" s="1"/>
  <c r="U37" i="74"/>
  <c r="V54" i="74"/>
  <c r="V82" i="74" s="1"/>
  <c r="Z34" i="74"/>
  <c r="W66" i="4" s="1"/>
  <c r="S33" i="2"/>
  <c r="S52" i="2" s="1"/>
  <c r="S17" i="47" s="1"/>
  <c r="Z32" i="74"/>
  <c r="W64" i="4" s="1"/>
  <c r="Z44" i="74"/>
  <c r="W19" i="2" s="1"/>
  <c r="Y29" i="74"/>
  <c r="V61" i="4" s="1"/>
  <c r="Z50" i="74"/>
  <c r="W25" i="2" s="1"/>
  <c r="J27" i="74"/>
  <c r="J59" i="4" s="1"/>
  <c r="J35" i="74"/>
  <c r="J67" i="4" s="1"/>
  <c r="K26" i="74"/>
  <c r="K58" i="4" s="1"/>
  <c r="J4" i="74"/>
  <c r="J15" i="4" s="1"/>
  <c r="J26" i="4" s="1"/>
  <c r="J170" i="74" s="1"/>
  <c r="J30" i="74"/>
  <c r="J62" i="4" s="1"/>
  <c r="I37" i="74"/>
  <c r="F37" i="74"/>
  <c r="K29" i="74"/>
  <c r="K61" i="4" s="1"/>
  <c r="K33" i="74"/>
  <c r="K65" i="4" s="1"/>
  <c r="G37" i="74"/>
  <c r="K28" i="74"/>
  <c r="K60" i="4" s="1"/>
  <c r="J26" i="74"/>
  <c r="J58" i="4" s="1"/>
  <c r="K32" i="74"/>
  <c r="K64" i="4" s="1"/>
  <c r="K31" i="74"/>
  <c r="K63" i="4" s="1"/>
  <c r="J25" i="74"/>
  <c r="J57" i="4" s="1"/>
  <c r="K35" i="74"/>
  <c r="K67" i="4" s="1"/>
  <c r="AB119" i="4"/>
  <c r="AB20" i="48"/>
  <c r="T119" i="4"/>
  <c r="T20" i="48"/>
  <c r="S119" i="4"/>
  <c r="S20" i="48"/>
  <c r="R119" i="4"/>
  <c r="R20" i="48"/>
  <c r="G82" i="56"/>
  <c r="G59" i="24"/>
  <c r="I80" i="24" s="1"/>
  <c r="K41" i="5"/>
  <c r="G30" i="9" s="1"/>
  <c r="G61" i="56"/>
  <c r="G58" i="56"/>
  <c r="F25" i="9"/>
  <c r="G36" i="56"/>
  <c r="G60" i="56"/>
  <c r="F27" i="9"/>
  <c r="F30" i="9"/>
  <c r="F21" i="9"/>
  <c r="F34" i="9"/>
  <c r="F29" i="9"/>
  <c r="F35" i="9"/>
  <c r="G78" i="56"/>
  <c r="G59" i="56"/>
  <c r="G37" i="56"/>
  <c r="G39" i="56"/>
  <c r="G80" i="56"/>
  <c r="F28" i="9"/>
  <c r="F36" i="9"/>
  <c r="AO9" i="76"/>
  <c r="AQ9" i="76" s="1"/>
  <c r="F119" i="4"/>
  <c r="H119" i="4"/>
  <c r="AJ6" i="74"/>
  <c r="AJ70" i="74" s="1"/>
  <c r="I6" i="74"/>
  <c r="I70" i="74" s="1"/>
  <c r="H54" i="74"/>
  <c r="H82" i="74" s="1"/>
  <c r="E21" i="18"/>
  <c r="H33" i="2"/>
  <c r="H52" i="2" s="1"/>
  <c r="H17" i="47" s="1"/>
  <c r="AO55" i="76"/>
  <c r="AQ55" i="76" s="1"/>
  <c r="CI9" i="76"/>
  <c r="CK9" i="76" s="1"/>
  <c r="EC17" i="76"/>
  <c r="EE17" i="76" s="1"/>
  <c r="EC9" i="76"/>
  <c r="EE9" i="76" s="1"/>
  <c r="CI41" i="76"/>
  <c r="CK41" i="76" s="1"/>
  <c r="CI54" i="76"/>
  <c r="CK54" i="76" s="1"/>
  <c r="EC20" i="76"/>
  <c r="EE20" i="76" s="1"/>
  <c r="EC12" i="76"/>
  <c r="EE12" i="76" s="1"/>
  <c r="CI56" i="76"/>
  <c r="CI28" i="76"/>
  <c r="CK28" i="76" s="1"/>
  <c r="CI32" i="76"/>
  <c r="CK32" i="76" s="1"/>
  <c r="CI24" i="76"/>
  <c r="CK24" i="76" s="1"/>
  <c r="EC26" i="76"/>
  <c r="CI55" i="76"/>
  <c r="CK55" i="76" s="1"/>
  <c r="CI23" i="76"/>
  <c r="EC45" i="76"/>
  <c r="CI57" i="76"/>
  <c r="CK57" i="76" s="1"/>
  <c r="CI12" i="76"/>
  <c r="CK12" i="76" s="1"/>
  <c r="AO57" i="76"/>
  <c r="AQ57" i="76" s="1"/>
  <c r="EC15" i="76"/>
  <c r="AI16" i="74" s="1"/>
  <c r="AP16" i="74" s="1"/>
  <c r="CI33" i="76"/>
  <c r="CK33" i="76" s="1"/>
  <c r="EC34" i="76"/>
  <c r="CI20" i="76"/>
  <c r="CI25" i="76"/>
  <c r="CK25" i="76" s="1"/>
  <c r="AO58" i="76"/>
  <c r="AO54" i="76"/>
  <c r="AQ54" i="76" s="1"/>
  <c r="CI17" i="76"/>
  <c r="CK17" i="76" s="1"/>
  <c r="Y6" i="74" a="1"/>
  <c r="Y7" i="74" s="1"/>
  <c r="K6" i="74" a="1"/>
  <c r="K7" i="74" s="1"/>
  <c r="K114" i="5"/>
  <c r="G35" i="23"/>
  <c r="G31" i="23"/>
  <c r="G39" i="23"/>
  <c r="G24" i="23"/>
  <c r="G30" i="23"/>
  <c r="N936" i="28"/>
  <c r="Q935" i="28"/>
  <c r="Q874" i="28"/>
  <c r="U6" i="74"/>
  <c r="U70" i="74" s="1"/>
  <c r="G32" i="23"/>
  <c r="Z6" i="74" a="1"/>
  <c r="Z7" i="74" s="1"/>
  <c r="M811" i="28"/>
  <c r="O810" i="28"/>
  <c r="P810" i="28"/>
  <c r="G28" i="23"/>
  <c r="H15" i="58"/>
  <c r="K15" i="58" s="1"/>
  <c r="J14" i="58"/>
  <c r="L48" i="28"/>
  <c r="K49" i="28"/>
  <c r="L49" i="28" s="1"/>
  <c r="K1103" i="28"/>
  <c r="L1103" i="28" s="1"/>
  <c r="L1102" i="28"/>
  <c r="G34" i="23"/>
  <c r="Q750" i="28"/>
  <c r="AO6" i="74" a="1"/>
  <c r="AO7" i="74" s="1"/>
  <c r="K1227" i="28"/>
  <c r="L1227" i="28" s="1"/>
  <c r="L1226" i="28"/>
  <c r="K978" i="28"/>
  <c r="L977" i="28"/>
  <c r="H24" i="23"/>
  <c r="H31" i="23"/>
  <c r="H23" i="23"/>
  <c r="H27" i="23"/>
  <c r="H33" i="23"/>
  <c r="M114" i="5"/>
  <c r="H25" i="23"/>
  <c r="H21" i="23"/>
  <c r="H28" i="23"/>
  <c r="H36" i="23"/>
  <c r="H29" i="23"/>
  <c r="H35" i="23"/>
  <c r="H34" i="23"/>
  <c r="H26" i="23"/>
  <c r="H40" i="23"/>
  <c r="H39" i="23"/>
  <c r="H37" i="23"/>
  <c r="H32" i="23"/>
  <c r="M77" i="5"/>
  <c r="AN6" i="74" a="1"/>
  <c r="AN7" i="74" s="1"/>
  <c r="J6" i="74" a="1"/>
  <c r="J7" i="74" s="1"/>
  <c r="K111" i="28"/>
  <c r="L111" i="28" s="1"/>
  <c r="L110" i="28"/>
  <c r="H22" i="23"/>
  <c r="G40" i="23"/>
  <c r="X6" i="74" a="1"/>
  <c r="X7" i="74" s="1"/>
  <c r="J78" i="5"/>
  <c r="F22" i="13"/>
  <c r="F20" i="13"/>
  <c r="F29" i="13"/>
  <c r="F37" i="13"/>
  <c r="G36" i="23"/>
  <c r="G37" i="23"/>
  <c r="H7" i="74"/>
  <c r="H6" i="74"/>
  <c r="H70" i="74" s="1"/>
  <c r="J42" i="5"/>
  <c r="F38" i="9"/>
  <c r="F33" i="13"/>
  <c r="G27" i="23"/>
  <c r="P564" i="28"/>
  <c r="P624" i="28"/>
  <c r="O624" i="28"/>
  <c r="M625" i="28"/>
  <c r="Q686" i="28"/>
  <c r="N687" i="28"/>
  <c r="O686" i="28"/>
  <c r="L1163" i="28"/>
  <c r="K1164" i="28"/>
  <c r="G33" i="23"/>
  <c r="I114" i="5"/>
  <c r="F38" i="23"/>
  <c r="F26" i="23"/>
  <c r="F23" i="23"/>
  <c r="F22" i="23"/>
  <c r="F27" i="23"/>
  <c r="F21" i="23"/>
  <c r="F29" i="23"/>
  <c r="F24" i="23"/>
  <c r="F32" i="23"/>
  <c r="F25" i="23"/>
  <c r="F37" i="23"/>
  <c r="F40" i="23"/>
  <c r="F33" i="23"/>
  <c r="F30" i="23"/>
  <c r="F28" i="23"/>
  <c r="F35" i="23"/>
  <c r="F39" i="23"/>
  <c r="H30" i="23"/>
  <c r="F19" i="9"/>
  <c r="G23" i="23"/>
  <c r="W6" i="74"/>
  <c r="W70" i="74" s="1"/>
  <c r="L1039" i="28"/>
  <c r="K1040" i="28"/>
  <c r="Q562" i="28"/>
  <c r="N563" i="28"/>
  <c r="O562" i="28"/>
  <c r="G26" i="23"/>
  <c r="F34" i="23"/>
  <c r="F36" i="23"/>
  <c r="CI44" i="76"/>
  <c r="CK44" i="76" s="1"/>
  <c r="U15" i="4"/>
  <c r="U26" i="4" s="1"/>
  <c r="U170" i="74" s="1"/>
  <c r="EC33" i="76"/>
  <c r="CI40" i="76"/>
  <c r="CK40" i="76" s="1"/>
  <c r="EC50" i="76"/>
  <c r="AO63" i="76"/>
  <c r="AQ63" i="76" s="1"/>
  <c r="EC29" i="76"/>
  <c r="EE29" i="76" s="1"/>
  <c r="G72" i="4"/>
  <c r="CI27" i="76"/>
  <c r="CK27" i="76" s="1"/>
  <c r="CI16" i="76"/>
  <c r="CK16" i="76" s="1"/>
  <c r="CI59" i="76"/>
  <c r="CK59" i="76" s="1"/>
  <c r="CI42" i="76"/>
  <c r="EC41" i="76"/>
  <c r="EC47" i="76"/>
  <c r="CI52" i="76"/>
  <c r="CK52" i="76" s="1"/>
  <c r="EC42" i="76"/>
  <c r="EE42" i="76" s="1"/>
  <c r="CI19" i="76"/>
  <c r="CK19" i="76" s="1"/>
  <c r="CI58" i="76"/>
  <c r="EC14" i="76"/>
  <c r="AI15" i="74" s="1"/>
  <c r="AP15" i="74" s="1"/>
  <c r="AO56" i="76"/>
  <c r="CI38" i="76"/>
  <c r="CK38" i="76" s="1"/>
  <c r="CI48" i="76"/>
  <c r="CK48" i="76" s="1"/>
  <c r="CI30" i="76"/>
  <c r="CK30" i="76" s="1"/>
  <c r="EC21" i="76"/>
  <c r="AI22" i="74" s="1"/>
  <c r="AA55" i="4" s="1"/>
  <c r="AH55" i="4" s="1"/>
  <c r="EC32" i="76"/>
  <c r="EE32" i="76" s="1"/>
  <c r="EC11" i="76"/>
  <c r="EE11" i="76" s="1"/>
  <c r="AO60" i="76"/>
  <c r="AQ60" i="76" s="1"/>
  <c r="AO62" i="76"/>
  <c r="AQ62" i="76" s="1"/>
  <c r="EC60" i="76"/>
  <c r="EE60" i="76" s="1"/>
  <c r="CI31" i="76"/>
  <c r="CK31" i="76" s="1"/>
  <c r="EC16" i="76"/>
  <c r="EE16" i="76" s="1"/>
  <c r="EC40" i="76"/>
  <c r="EE40" i="76" s="1"/>
  <c r="EC24" i="76"/>
  <c r="CI10" i="76"/>
  <c r="CK10" i="76" s="1"/>
  <c r="CI11" i="76"/>
  <c r="CK11" i="76" s="1"/>
  <c r="CI46" i="76"/>
  <c r="CK46" i="76" s="1"/>
  <c r="EC43" i="76"/>
  <c r="EE43" i="76" s="1"/>
  <c r="CI22" i="76"/>
  <c r="CK22" i="76" s="1"/>
  <c r="EC13" i="76"/>
  <c r="EE13" i="76" s="1"/>
  <c r="CI50" i="76"/>
  <c r="CK50" i="76" s="1"/>
  <c r="EC22" i="76"/>
  <c r="AI23" i="74" s="1"/>
  <c r="AA56" i="4" s="1"/>
  <c r="CI39" i="76"/>
  <c r="CK39" i="76" s="1"/>
  <c r="EC27" i="76"/>
  <c r="EE27" i="76" s="1"/>
  <c r="EC31" i="76"/>
  <c r="EE31" i="76" s="1"/>
  <c r="AO59" i="76"/>
  <c r="AQ59" i="76" s="1"/>
  <c r="EC39" i="76"/>
  <c r="CI49" i="76"/>
  <c r="CK49" i="76" s="1"/>
  <c r="EC10" i="76"/>
  <c r="EE10" i="76" s="1"/>
  <c r="EC25" i="76"/>
  <c r="EC51" i="76"/>
  <c r="EE51" i="76" s="1"/>
  <c r="EC18" i="76"/>
  <c r="AI19" i="74" s="1"/>
  <c r="CI34" i="76"/>
  <c r="CK34" i="76" s="1"/>
  <c r="CI29" i="76"/>
  <c r="CK29" i="76" s="1"/>
  <c r="CI43" i="76"/>
  <c r="CK43" i="76" s="1"/>
  <c r="EC28" i="76"/>
  <c r="EE28" i="76" s="1"/>
  <c r="EC55" i="76"/>
  <c r="EE55" i="76" s="1"/>
  <c r="AO61" i="76"/>
  <c r="EC19" i="76"/>
  <c r="AI20" i="74" s="1"/>
  <c r="AA53" i="4" s="1"/>
  <c r="AH53" i="4" s="1"/>
  <c r="CI21" i="76"/>
  <c r="EC38" i="76"/>
  <c r="EE38" i="76" s="1"/>
  <c r="EC35" i="76"/>
  <c r="CI18" i="76"/>
  <c r="CI15" i="76"/>
  <c r="EC48" i="76"/>
  <c r="EE48" i="76" s="1"/>
  <c r="EC49" i="76"/>
  <c r="EE49" i="76" s="1"/>
  <c r="CI47" i="76"/>
  <c r="CK47" i="76" s="1"/>
  <c r="I72" i="4"/>
  <c r="CI26" i="76"/>
  <c r="CK26" i="76" s="1"/>
  <c r="CI61" i="76"/>
  <c r="CI13" i="76"/>
  <c r="CK13" i="76" s="1"/>
  <c r="CI51" i="76"/>
  <c r="CK51" i="76" s="1"/>
  <c r="CI35" i="76"/>
  <c r="CK35" i="76" s="1"/>
  <c r="EC30" i="76"/>
  <c r="CI14" i="76"/>
  <c r="CI53" i="76"/>
  <c r="CI45" i="76"/>
  <c r="CK45" i="76" s="1"/>
  <c r="EC44" i="76"/>
  <c r="EC46" i="76"/>
  <c r="EC36" i="76"/>
  <c r="F67" i="4"/>
  <c r="AE59" i="4"/>
  <c r="H37" i="74"/>
  <c r="H72" i="4"/>
  <c r="J48" i="4"/>
  <c r="AF56" i="4"/>
  <c r="J25" i="2"/>
  <c r="O874" i="28" l="1"/>
  <c r="H22" i="81"/>
  <c r="H21" i="81"/>
  <c r="H23" i="81"/>
  <c r="H19" i="81"/>
  <c r="I24" i="81"/>
  <c r="I26" i="81"/>
  <c r="T31" i="75"/>
  <c r="H17" i="81"/>
  <c r="H25" i="81"/>
  <c r="I20" i="81"/>
  <c r="P935" i="28"/>
  <c r="M936" i="28"/>
  <c r="P936" i="28" s="1"/>
  <c r="F36" i="16"/>
  <c r="I18" i="80"/>
  <c r="O750" i="28"/>
  <c r="I18" i="81"/>
  <c r="H18" i="81"/>
  <c r="H26" i="17"/>
  <c r="H20" i="17"/>
  <c r="H25" i="17"/>
  <c r="H21" i="17"/>
  <c r="H22" i="17"/>
  <c r="H17" i="17"/>
  <c r="H24" i="17"/>
  <c r="I19" i="17"/>
  <c r="G35" i="9"/>
  <c r="G38" i="9"/>
  <c r="H23" i="17"/>
  <c r="I24" i="80"/>
  <c r="H24" i="80"/>
  <c r="I25" i="80"/>
  <c r="H25" i="80"/>
  <c r="I26" i="80"/>
  <c r="H26" i="80"/>
  <c r="H21" i="80"/>
  <c r="I21" i="80"/>
  <c r="I22" i="80"/>
  <c r="H22" i="80"/>
  <c r="H20" i="80"/>
  <c r="I20" i="80"/>
  <c r="I23" i="80"/>
  <c r="H23" i="80"/>
  <c r="I17" i="80"/>
  <c r="H17" i="80"/>
  <c r="I19" i="80"/>
  <c r="H19" i="80"/>
  <c r="G32" i="9"/>
  <c r="G21" i="9"/>
  <c r="G41" i="23"/>
  <c r="G31" i="9"/>
  <c r="J15" i="58"/>
  <c r="G34" i="9"/>
  <c r="G23" i="9"/>
  <c r="G28" i="9"/>
  <c r="I15" i="58"/>
  <c r="G25" i="9"/>
  <c r="Q811" i="28"/>
  <c r="N812" i="28"/>
  <c r="Q812" i="28" s="1"/>
  <c r="G19" i="9"/>
  <c r="F39" i="13"/>
  <c r="G36" i="9"/>
  <c r="G27" i="9"/>
  <c r="F13" i="48"/>
  <c r="AA154" i="48" s="1"/>
  <c r="H72" i="74"/>
  <c r="G72" i="74"/>
  <c r="V100" i="74"/>
  <c r="V72" i="74"/>
  <c r="AL71" i="74"/>
  <c r="G163" i="74"/>
  <c r="AK100" i="74"/>
  <c r="F72" i="74"/>
  <c r="X100" i="74"/>
  <c r="AL100" i="74"/>
  <c r="G71" i="74"/>
  <c r="I163" i="74"/>
  <c r="U100" i="74"/>
  <c r="AJ100" i="74"/>
  <c r="W72" i="74"/>
  <c r="W74" i="74" s="1"/>
  <c r="W104" i="74" s="1"/>
  <c r="X71" i="74"/>
  <c r="AK71" i="74"/>
  <c r="F163" i="74"/>
  <c r="U72" i="74"/>
  <c r="W100" i="74"/>
  <c r="H100" i="74"/>
  <c r="I72" i="74"/>
  <c r="I74" i="74" s="1"/>
  <c r="I104" i="74" s="1"/>
  <c r="X72" i="74"/>
  <c r="E170" i="74"/>
  <c r="H71" i="74"/>
  <c r="V6" i="74"/>
  <c r="V70" i="74" s="1"/>
  <c r="F6" i="74"/>
  <c r="F70" i="74" s="1"/>
  <c r="AL6" i="74"/>
  <c r="AL70" i="74" s="1"/>
  <c r="G17" i="47"/>
  <c r="V119" i="4"/>
  <c r="W119" i="4"/>
  <c r="G20" i="48"/>
  <c r="J119" i="4"/>
  <c r="I17" i="47"/>
  <c r="J54" i="74"/>
  <c r="J82" i="74" s="1"/>
  <c r="J33" i="2"/>
  <c r="J52" i="2" s="1"/>
  <c r="E52" i="2" s="1"/>
  <c r="AQ46" i="76"/>
  <c r="AQ48" i="76"/>
  <c r="I18" i="17"/>
  <c r="H18" i="17"/>
  <c r="AQ44" i="76"/>
  <c r="AQ39" i="76"/>
  <c r="E41" i="74"/>
  <c r="EE23" i="76"/>
  <c r="AI24" i="74"/>
  <c r="CK23" i="76"/>
  <c r="T24" i="74"/>
  <c r="AQ23" i="76"/>
  <c r="T21" i="74"/>
  <c r="AA21" i="74" s="1"/>
  <c r="CK20" i="76"/>
  <c r="T16" i="74"/>
  <c r="Q49" i="4" s="1"/>
  <c r="X49" i="4" s="1"/>
  <c r="CK15" i="76"/>
  <c r="T15" i="74"/>
  <c r="Q48" i="4" s="1"/>
  <c r="X48" i="4" s="1"/>
  <c r="CK14" i="76"/>
  <c r="T22" i="74"/>
  <c r="Q55" i="4" s="1"/>
  <c r="X55" i="4" s="1"/>
  <c r="CK21" i="76"/>
  <c r="T19" i="74"/>
  <c r="Q52" i="4" s="1"/>
  <c r="X52" i="4" s="1"/>
  <c r="CK18" i="76"/>
  <c r="K28" i="2"/>
  <c r="K33" i="2" s="1"/>
  <c r="E44" i="2" s="1"/>
  <c r="AO52" i="76"/>
  <c r="CI63" i="76"/>
  <c r="CK63" i="76" s="1"/>
  <c r="AO37" i="76"/>
  <c r="E18" i="2"/>
  <c r="L18" i="2" s="1"/>
  <c r="AQ42" i="76"/>
  <c r="E23" i="2"/>
  <c r="L23" i="2" s="1"/>
  <c r="AQ47" i="76"/>
  <c r="E19" i="2"/>
  <c r="L19" i="2" s="1"/>
  <c r="AQ43" i="76"/>
  <c r="E27" i="2"/>
  <c r="AQ51" i="76"/>
  <c r="L50" i="74"/>
  <c r="AQ49" i="76"/>
  <c r="E17" i="2"/>
  <c r="L17" i="2" s="1"/>
  <c r="AQ41" i="76"/>
  <c r="L51" i="74"/>
  <c r="AQ50" i="76"/>
  <c r="E21" i="2"/>
  <c r="L21" i="2" s="1"/>
  <c r="AQ45" i="76"/>
  <c r="L23" i="74"/>
  <c r="L52" i="4"/>
  <c r="X53" i="76"/>
  <c r="AD20" i="48"/>
  <c r="AC119" i="4"/>
  <c r="AE119" i="4"/>
  <c r="AB13" i="48"/>
  <c r="AD17" i="47"/>
  <c r="R17" i="47"/>
  <c r="G119" i="4"/>
  <c r="AC13" i="48"/>
  <c r="T28" i="74"/>
  <c r="Q60" i="4" s="1"/>
  <c r="E34" i="74"/>
  <c r="E66" i="4" s="1"/>
  <c r="AG33" i="2"/>
  <c r="AA44" i="2" s="1"/>
  <c r="AI4" i="74"/>
  <c r="AP4" i="74" s="1"/>
  <c r="W72" i="4"/>
  <c r="W121" i="4" s="1"/>
  <c r="U17" i="47"/>
  <c r="Z37" i="74"/>
  <c r="Z72" i="74" s="1"/>
  <c r="AI41" i="74"/>
  <c r="AA16" i="2" s="1"/>
  <c r="AH16" i="2" s="1"/>
  <c r="AI52" i="74"/>
  <c r="AP52" i="74" s="1"/>
  <c r="AI26" i="74"/>
  <c r="AA58" i="4" s="1"/>
  <c r="AI33" i="74"/>
  <c r="AA65" i="4" s="1"/>
  <c r="AI47" i="74"/>
  <c r="AA22" i="2" s="1"/>
  <c r="AH22" i="2" s="1"/>
  <c r="W33" i="2"/>
  <c r="Q44" i="2" s="1"/>
  <c r="AI25" i="74"/>
  <c r="AA57" i="4" s="1"/>
  <c r="E4" i="74"/>
  <c r="E15" i="4" s="1"/>
  <c r="E26" i="4" s="1"/>
  <c r="L26" i="4" s="1"/>
  <c r="AI49" i="74"/>
  <c r="AP49" i="74" s="1"/>
  <c r="T27" i="74"/>
  <c r="Q59" i="4" s="1"/>
  <c r="T43" i="74"/>
  <c r="Q18" i="2" s="1"/>
  <c r="X18" i="2" s="1"/>
  <c r="AO54" i="74"/>
  <c r="AI57" i="74" s="1"/>
  <c r="T41" i="74"/>
  <c r="Q16" i="2" s="1"/>
  <c r="AI48" i="74"/>
  <c r="AA23" i="2" s="1"/>
  <c r="AH23" i="2" s="1"/>
  <c r="Z54" i="74"/>
  <c r="T57" i="74" s="1"/>
  <c r="AI32" i="74"/>
  <c r="AP32" i="74" s="1"/>
  <c r="AI10" i="74"/>
  <c r="AN10" i="74" s="1"/>
  <c r="AP10" i="74" s="1"/>
  <c r="AI43" i="74"/>
  <c r="AA18" i="2" s="1"/>
  <c r="AH18" i="2" s="1"/>
  <c r="T17" i="47"/>
  <c r="T46" i="74"/>
  <c r="Q21" i="2" s="1"/>
  <c r="X21" i="2" s="1"/>
  <c r="T45" i="74"/>
  <c r="AA45" i="74" s="1"/>
  <c r="V72" i="4"/>
  <c r="V121" i="4" s="1"/>
  <c r="K37" i="74"/>
  <c r="K72" i="74" s="1"/>
  <c r="T4" i="74"/>
  <c r="Q15" i="4" s="1"/>
  <c r="X15" i="4" s="1"/>
  <c r="E30" i="74"/>
  <c r="E62" i="4" s="1"/>
  <c r="Y37" i="74"/>
  <c r="T26" i="74"/>
  <c r="Q58" i="4" s="1"/>
  <c r="T34" i="74"/>
  <c r="Q66" i="4" s="1"/>
  <c r="Y54" i="74"/>
  <c r="Y82" i="74" s="1"/>
  <c r="T82" i="74" s="1"/>
  <c r="S13" i="48"/>
  <c r="E28" i="74"/>
  <c r="E60" i="4" s="1"/>
  <c r="T51" i="74"/>
  <c r="Q26" i="2" s="1"/>
  <c r="X26" i="2" s="1"/>
  <c r="T44" i="74"/>
  <c r="Q19" i="2" s="1"/>
  <c r="X19" i="2" s="1"/>
  <c r="T47" i="74"/>
  <c r="Q22" i="2" s="1"/>
  <c r="X22" i="2" s="1"/>
  <c r="T33" i="74"/>
  <c r="AA33" i="74" s="1"/>
  <c r="T25" i="74"/>
  <c r="Q57" i="4" s="1"/>
  <c r="J37" i="74"/>
  <c r="T53" i="74"/>
  <c r="Q28" i="2" s="1"/>
  <c r="T31" i="74"/>
  <c r="AA31" i="74" s="1"/>
  <c r="E35" i="74"/>
  <c r="L35" i="74" s="1"/>
  <c r="E27" i="74"/>
  <c r="E59" i="4" s="1"/>
  <c r="E10" i="74"/>
  <c r="J10" i="74" s="1"/>
  <c r="J11" i="74" s="1"/>
  <c r="E33" i="74"/>
  <c r="E65" i="4" s="1"/>
  <c r="R123" i="4"/>
  <c r="R21" i="47" s="1"/>
  <c r="T123" i="4"/>
  <c r="T21" i="47" s="1"/>
  <c r="U119" i="4"/>
  <c r="U123" i="4" s="1"/>
  <c r="U21" i="47" s="1"/>
  <c r="U20" i="48"/>
  <c r="S123" i="4"/>
  <c r="S21" i="47" s="1"/>
  <c r="G20" i="9"/>
  <c r="G37" i="9"/>
  <c r="G33" i="9"/>
  <c r="G24" i="9"/>
  <c r="K42" i="5"/>
  <c r="G22" i="9"/>
  <c r="G29" i="9"/>
  <c r="G26" i="9"/>
  <c r="F39" i="9"/>
  <c r="E18" i="74"/>
  <c r="E51" i="4" s="1"/>
  <c r="L51" i="4" s="1"/>
  <c r="I121" i="4"/>
  <c r="I123" i="4" s="1"/>
  <c r="I21" i="47" s="1"/>
  <c r="G121" i="4"/>
  <c r="H121" i="4"/>
  <c r="H123" i="4" s="1"/>
  <c r="H21" i="47" s="1"/>
  <c r="H13" i="48"/>
  <c r="AA174" i="48" s="1"/>
  <c r="K119" i="4"/>
  <c r="AN6" i="74"/>
  <c r="AN70" i="74" s="1"/>
  <c r="Z6" i="74"/>
  <c r="Z70" i="74" s="1"/>
  <c r="X6" i="74"/>
  <c r="X70" i="74" s="1"/>
  <c r="J6" i="74"/>
  <c r="J70" i="74" s="1"/>
  <c r="K21" i="18"/>
  <c r="I21" i="18"/>
  <c r="J21" i="18"/>
  <c r="E32" i="74"/>
  <c r="E64" i="4" s="1"/>
  <c r="AI18" i="74"/>
  <c r="AA51" i="4" s="1"/>
  <c r="AH51" i="4" s="1"/>
  <c r="T30" i="74"/>
  <c r="AA30" i="74" s="1"/>
  <c r="AI21" i="74"/>
  <c r="AA54" i="4" s="1"/>
  <c r="AH54" i="4" s="1"/>
  <c r="T32" i="74"/>
  <c r="Q64" i="4" s="1"/>
  <c r="AI44" i="74"/>
  <c r="AP44" i="74" s="1"/>
  <c r="T49" i="74"/>
  <c r="Q24" i="2" s="1"/>
  <c r="X24" i="2" s="1"/>
  <c r="E31" i="74"/>
  <c r="E63" i="4" s="1"/>
  <c r="AQ18" i="76"/>
  <c r="AI45" i="74"/>
  <c r="AA20" i="2" s="1"/>
  <c r="AH20" i="2" s="1"/>
  <c r="T29" i="74"/>
  <c r="Q61" i="4" s="1"/>
  <c r="AA49" i="4"/>
  <c r="AH49" i="4" s="1"/>
  <c r="EE39" i="76"/>
  <c r="CK42" i="76"/>
  <c r="AQ36" i="76"/>
  <c r="EE45" i="76"/>
  <c r="EE26" i="76"/>
  <c r="T10" i="74"/>
  <c r="Q37" i="4" s="1"/>
  <c r="EE34" i="76"/>
  <c r="T18" i="74"/>
  <c r="Q51" i="4" s="1"/>
  <c r="X51" i="4" s="1"/>
  <c r="EE15" i="76"/>
  <c r="T42" i="74"/>
  <c r="Q17" i="2" s="1"/>
  <c r="X17" i="2" s="1"/>
  <c r="K72" i="4"/>
  <c r="AI31" i="74"/>
  <c r="AP31" i="74" s="1"/>
  <c r="E21" i="74"/>
  <c r="E54" i="4" s="1"/>
  <c r="L54" i="4" s="1"/>
  <c r="EE41" i="76"/>
  <c r="EE22" i="76"/>
  <c r="AI29" i="74"/>
  <c r="AA61" i="4" s="1"/>
  <c r="E56" i="4"/>
  <c r="L56" i="4" s="1"/>
  <c r="EE14" i="76"/>
  <c r="EE21" i="76"/>
  <c r="EE47" i="76"/>
  <c r="E26" i="74"/>
  <c r="E58" i="4" s="1"/>
  <c r="E29" i="74"/>
  <c r="L29" i="74" s="1"/>
  <c r="EE25" i="76"/>
  <c r="AI17" i="74"/>
  <c r="AP17" i="74" s="1"/>
  <c r="AI50" i="74"/>
  <c r="AA25" i="2" s="1"/>
  <c r="AH25" i="2" s="1"/>
  <c r="M78" i="5"/>
  <c r="G22" i="13"/>
  <c r="G20" i="13"/>
  <c r="G29" i="13"/>
  <c r="G37" i="13"/>
  <c r="AO6" i="74"/>
  <c r="AO70" i="74" s="1"/>
  <c r="G32" i="13"/>
  <c r="Q936" i="28"/>
  <c r="Q563" i="28"/>
  <c r="N564" i="28"/>
  <c r="O563" i="28"/>
  <c r="L1164" i="28"/>
  <c r="K1165" i="28"/>
  <c r="L1165" i="28" s="1"/>
  <c r="G30" i="13"/>
  <c r="G36" i="13"/>
  <c r="G19" i="13"/>
  <c r="H41" i="23"/>
  <c r="G31" i="13"/>
  <c r="K6" i="74"/>
  <c r="K70" i="74" s="1"/>
  <c r="AI6" i="74" a="1"/>
  <c r="AI7" i="74" s="1"/>
  <c r="G33" i="13"/>
  <c r="G38" i="13"/>
  <c r="G26" i="13"/>
  <c r="L978" i="28"/>
  <c r="K979" i="28"/>
  <c r="L979" i="28" s="1"/>
  <c r="L1040" i="28"/>
  <c r="K1041" i="28"/>
  <c r="L1041" i="28" s="1"/>
  <c r="G25" i="13"/>
  <c r="E22" i="2"/>
  <c r="L22" i="2" s="1"/>
  <c r="Q687" i="28"/>
  <c r="N688" i="28"/>
  <c r="O687" i="28"/>
  <c r="G21" i="13"/>
  <c r="G27" i="13"/>
  <c r="M812" i="28"/>
  <c r="O811" i="28"/>
  <c r="P811" i="28"/>
  <c r="Y6" i="74"/>
  <c r="Y70" i="74" s="1"/>
  <c r="AQ31" i="76"/>
  <c r="EE50" i="76"/>
  <c r="T17" i="74"/>
  <c r="Q50" i="4" s="1"/>
  <c r="X50" i="4" s="1"/>
  <c r="G24" i="13"/>
  <c r="G28" i="13"/>
  <c r="F41" i="23"/>
  <c r="G23" i="13"/>
  <c r="M626" i="28"/>
  <c r="O625" i="28"/>
  <c r="P625" i="28"/>
  <c r="G34" i="13"/>
  <c r="G35" i="13"/>
  <c r="EE33" i="76"/>
  <c r="T23" i="74"/>
  <c r="AA23" i="74" s="1"/>
  <c r="AI28" i="74"/>
  <c r="AA60" i="4" s="1"/>
  <c r="T52" i="74"/>
  <c r="Q27" i="2" s="1"/>
  <c r="EE24" i="76"/>
  <c r="AP22" i="74"/>
  <c r="AA48" i="4"/>
  <c r="AH48" i="4" s="1"/>
  <c r="AQ30" i="76"/>
  <c r="E25" i="74"/>
  <c r="E57" i="4" s="1"/>
  <c r="T20" i="74"/>
  <c r="AA20" i="74" s="1"/>
  <c r="AQ22" i="76"/>
  <c r="AI27" i="74"/>
  <c r="L15" i="74"/>
  <c r="AI42" i="74"/>
  <c r="AP42" i="74" s="1"/>
  <c r="L48" i="4"/>
  <c r="E24" i="2"/>
  <c r="L24" i="2" s="1"/>
  <c r="EE18" i="76"/>
  <c r="E17" i="74"/>
  <c r="E50" i="4" s="1"/>
  <c r="L50" i="4" s="1"/>
  <c r="AQ35" i="76"/>
  <c r="AI51" i="74"/>
  <c r="AA26" i="2" s="1"/>
  <c r="AH26" i="2" s="1"/>
  <c r="AQ15" i="76"/>
  <c r="AI30" i="74"/>
  <c r="AA62" i="4" s="1"/>
  <c r="AQ34" i="76"/>
  <c r="T35" i="74"/>
  <c r="Q67" i="4" s="1"/>
  <c r="T50" i="74"/>
  <c r="AQ19" i="76"/>
  <c r="AI34" i="74"/>
  <c r="EE35" i="76"/>
  <c r="EE19" i="76"/>
  <c r="EE46" i="76"/>
  <c r="AP20" i="74"/>
  <c r="AQ40" i="76"/>
  <c r="L19" i="74"/>
  <c r="L20" i="74"/>
  <c r="E53" i="4"/>
  <c r="L53" i="4" s="1"/>
  <c r="EE30" i="76"/>
  <c r="T48" i="74"/>
  <c r="EE44" i="76"/>
  <c r="AI46" i="74"/>
  <c r="F72" i="4"/>
  <c r="EE36" i="76"/>
  <c r="AQ21" i="76"/>
  <c r="E22" i="74"/>
  <c r="AH56" i="4"/>
  <c r="V33" i="2"/>
  <c r="V52" i="2" s="1"/>
  <c r="Q52" i="2" s="1"/>
  <c r="AA52" i="4"/>
  <c r="AH52" i="4" s="1"/>
  <c r="AP19" i="74"/>
  <c r="J72" i="4"/>
  <c r="E49" i="4"/>
  <c r="L49" i="4" s="1"/>
  <c r="L16" i="74"/>
  <c r="Z184" i="48"/>
  <c r="AC184" i="48" s="1"/>
  <c r="E184" i="48"/>
  <c r="AA184" i="48"/>
  <c r="Q184" i="48"/>
  <c r="P184" i="48"/>
  <c r="S184" i="48" s="1"/>
  <c r="D184" i="48"/>
  <c r="G184" i="48" s="1"/>
  <c r="AP23" i="74"/>
  <c r="Q164" i="48"/>
  <c r="AA164" i="48"/>
  <c r="D164" i="48"/>
  <c r="G164" i="48" s="1"/>
  <c r="Z164" i="48"/>
  <c r="AC164" i="48" s="1"/>
  <c r="E164" i="48"/>
  <c r="P164" i="48"/>
  <c r="S164" i="48" s="1"/>
  <c r="O936" i="28" l="1"/>
  <c r="E52" i="80"/>
  <c r="P154" i="48"/>
  <c r="S154" i="48" s="1"/>
  <c r="Q154" i="48"/>
  <c r="D154" i="48"/>
  <c r="G154" i="48" s="1"/>
  <c r="E154" i="48"/>
  <c r="Z154" i="48"/>
  <c r="AC154" i="48" s="1"/>
  <c r="G39" i="9"/>
  <c r="K74" i="74"/>
  <c r="E105" i="74" s="1"/>
  <c r="X74" i="74"/>
  <c r="X104" i="74" s="1"/>
  <c r="H74" i="74"/>
  <c r="H104" i="74" s="1"/>
  <c r="G74" i="74"/>
  <c r="G104" i="74" s="1"/>
  <c r="Z74" i="74"/>
  <c r="T105" i="74" s="1"/>
  <c r="H163" i="74"/>
  <c r="AL163" i="74"/>
  <c r="AK163" i="74"/>
  <c r="T70" i="74"/>
  <c r="J72" i="74"/>
  <c r="E72" i="74" s="1"/>
  <c r="L72" i="74" s="1"/>
  <c r="Y100" i="74"/>
  <c r="T100" i="74" s="1"/>
  <c r="W163" i="74"/>
  <c r="AJ163" i="74"/>
  <c r="X163" i="74"/>
  <c r="U74" i="74"/>
  <c r="U104" i="74" s="1"/>
  <c r="AI70" i="74"/>
  <c r="J100" i="74"/>
  <c r="E100" i="74" s="1"/>
  <c r="F74" i="74"/>
  <c r="F104" i="74" s="1"/>
  <c r="E70" i="74"/>
  <c r="V163" i="74"/>
  <c r="J71" i="74"/>
  <c r="Y72" i="74"/>
  <c r="T72" i="74" s="1"/>
  <c r="AA72" i="74" s="1"/>
  <c r="V74" i="74"/>
  <c r="V104" i="74" s="1"/>
  <c r="U163" i="74"/>
  <c r="E82" i="74"/>
  <c r="E6" i="74" a="1"/>
  <c r="E7" i="74" s="1"/>
  <c r="T6" i="74" a="1"/>
  <c r="T7" i="74" s="1"/>
  <c r="W123" i="4"/>
  <c r="J17" i="47"/>
  <c r="E17" i="47" s="1"/>
  <c r="J13" i="48"/>
  <c r="E13" i="48" s="1"/>
  <c r="AQ52" i="76"/>
  <c r="L53" i="74"/>
  <c r="AA16" i="74"/>
  <c r="AA15" i="74"/>
  <c r="AA19" i="74"/>
  <c r="Q54" i="4"/>
  <c r="X54" i="4" s="1"/>
  <c r="AA22" i="74"/>
  <c r="K54" i="74"/>
  <c r="E57" i="74" s="1"/>
  <c r="E25" i="2"/>
  <c r="L25" i="2" s="1"/>
  <c r="L48" i="74"/>
  <c r="L42" i="74"/>
  <c r="L43" i="74"/>
  <c r="E26" i="2"/>
  <c r="L26" i="2" s="1"/>
  <c r="L44" i="74"/>
  <c r="L52" i="74"/>
  <c r="L46" i="74"/>
  <c r="AO53" i="76"/>
  <c r="AA119" i="4"/>
  <c r="AH119" i="4" s="1"/>
  <c r="E119" i="4"/>
  <c r="L119" i="4" s="1"/>
  <c r="G123" i="4"/>
  <c r="G21" i="47" s="1"/>
  <c r="AA15" i="4"/>
  <c r="AH15" i="4" s="1"/>
  <c r="E67" i="4"/>
  <c r="Q121" i="4"/>
  <c r="X121" i="4" s="1"/>
  <c r="AP33" i="74"/>
  <c r="L30" i="74"/>
  <c r="AA28" i="74"/>
  <c r="Q26" i="4"/>
  <c r="X26" i="4" s="1"/>
  <c r="X170" i="74" s="1"/>
  <c r="L34" i="74"/>
  <c r="AP25" i="74"/>
  <c r="AA41" i="74"/>
  <c r="AA24" i="2"/>
  <c r="AH24" i="2" s="1"/>
  <c r="AA37" i="4"/>
  <c r="AA43" i="74"/>
  <c r="AA53" i="74"/>
  <c r="AP47" i="74"/>
  <c r="AF37" i="4"/>
  <c r="AF38" i="4" s="1"/>
  <c r="AF120" i="4" s="1"/>
  <c r="AA120" i="4" s="1"/>
  <c r="AH120" i="4" s="1"/>
  <c r="L4" i="74"/>
  <c r="L15" i="4"/>
  <c r="Q20" i="2"/>
  <c r="X20" i="2" s="1"/>
  <c r="AP41" i="74"/>
  <c r="E37" i="4"/>
  <c r="E11" i="74"/>
  <c r="AA47" i="74"/>
  <c r="AP26" i="74"/>
  <c r="AN11" i="74"/>
  <c r="AA27" i="2"/>
  <c r="AP48" i="74"/>
  <c r="AA34" i="74"/>
  <c r="AP43" i="74"/>
  <c r="L28" i="74"/>
  <c r="Q65" i="4"/>
  <c r="Q63" i="4"/>
  <c r="AA27" i="74"/>
  <c r="AA4" i="74"/>
  <c r="AA46" i="74"/>
  <c r="J37" i="4"/>
  <c r="J38" i="4" s="1"/>
  <c r="E38" i="4" s="1"/>
  <c r="AA64" i="4"/>
  <c r="L33" i="74"/>
  <c r="AA25" i="74"/>
  <c r="AA51" i="74"/>
  <c r="AA44" i="74"/>
  <c r="L10" i="74"/>
  <c r="AA26" i="74"/>
  <c r="L27" i="74"/>
  <c r="Q119" i="4"/>
  <c r="X119" i="4" s="1"/>
  <c r="L18" i="74"/>
  <c r="K121" i="4"/>
  <c r="K123" i="4" s="1"/>
  <c r="Z174" i="48"/>
  <c r="AC174" i="48" s="1"/>
  <c r="D174" i="48"/>
  <c r="G174" i="48" s="1"/>
  <c r="Q174" i="48"/>
  <c r="P174" i="48"/>
  <c r="S174" i="48" s="1"/>
  <c r="E174" i="48"/>
  <c r="J121" i="4"/>
  <c r="F121" i="4"/>
  <c r="F123" i="4" s="1"/>
  <c r="F21" i="47" s="1"/>
  <c r="AI6" i="74"/>
  <c r="L32" i="74"/>
  <c r="Q62" i="4"/>
  <c r="AP21" i="74"/>
  <c r="AP18" i="74"/>
  <c r="AA63" i="4"/>
  <c r="AA18" i="74"/>
  <c r="AA49" i="74"/>
  <c r="AA19" i="2"/>
  <c r="AH19" i="2" s="1"/>
  <c r="AA32" i="74"/>
  <c r="L31" i="74"/>
  <c r="AP45" i="74"/>
  <c r="AA29" i="74"/>
  <c r="AA42" i="74"/>
  <c r="Y10" i="74"/>
  <c r="Y11" i="74" s="1"/>
  <c r="L21" i="74"/>
  <c r="AP50" i="74"/>
  <c r="L25" i="74"/>
  <c r="E61" i="4"/>
  <c r="L26" i="74"/>
  <c r="AP29" i="74"/>
  <c r="Q56" i="4"/>
  <c r="X56" i="4" s="1"/>
  <c r="L47" i="74"/>
  <c r="AA17" i="74"/>
  <c r="L49" i="74"/>
  <c r="AA52" i="74"/>
  <c r="AA50" i="4"/>
  <c r="AH50" i="4" s="1"/>
  <c r="P812" i="28"/>
  <c r="O812" i="28"/>
  <c r="E6" i="74"/>
  <c r="P626" i="28"/>
  <c r="O626" i="28"/>
  <c r="Q564" i="28"/>
  <c r="O564" i="28"/>
  <c r="Q688" i="28"/>
  <c r="O688" i="28"/>
  <c r="G39" i="13"/>
  <c r="L17" i="74"/>
  <c r="AP28" i="74"/>
  <c r="Q53" i="4"/>
  <c r="X53" i="4" s="1"/>
  <c r="AP27" i="74"/>
  <c r="AA59" i="4"/>
  <c r="AA17" i="2"/>
  <c r="AH17" i="2" s="1"/>
  <c r="AP51" i="74"/>
  <c r="AP30" i="74"/>
  <c r="E20" i="2"/>
  <c r="L20" i="2" s="1"/>
  <c r="L45" i="74"/>
  <c r="V13" i="48"/>
  <c r="Q13" i="48" s="1"/>
  <c r="T37" i="74"/>
  <c r="T54" i="74"/>
  <c r="AA54" i="74" s="1"/>
  <c r="AA35" i="74"/>
  <c r="Q25" i="2"/>
  <c r="X25" i="2" s="1"/>
  <c r="AA50" i="74"/>
  <c r="E16" i="2"/>
  <c r="L16" i="2" s="1"/>
  <c r="L41" i="74"/>
  <c r="AP34" i="74"/>
  <c r="AA66" i="4"/>
  <c r="Q23" i="2"/>
  <c r="X23" i="2" s="1"/>
  <c r="AA48" i="74"/>
  <c r="AA21" i="2"/>
  <c r="AP46" i="74"/>
  <c r="E55" i="4"/>
  <c r="L55" i="4" s="1"/>
  <c r="L22" i="74"/>
  <c r="E37" i="74"/>
  <c r="V17" i="47"/>
  <c r="Q17" i="47" s="1"/>
  <c r="X16" i="2"/>
  <c r="J74" i="74" l="1"/>
  <c r="J104" i="74" s="1"/>
  <c r="E104" i="74" s="1"/>
  <c r="E106" i="74" s="1"/>
  <c r="AN71" i="74"/>
  <c r="Y163" i="74"/>
  <c r="E163" i="74"/>
  <c r="E71" i="74"/>
  <c r="L71" i="74" s="1"/>
  <c r="J163" i="74"/>
  <c r="AP70" i="74"/>
  <c r="L70" i="74"/>
  <c r="T170" i="74"/>
  <c r="Y71" i="74"/>
  <c r="T163" i="74"/>
  <c r="AA70" i="74"/>
  <c r="T6" i="74"/>
  <c r="Q144" i="48"/>
  <c r="E144" i="48"/>
  <c r="D144" i="48"/>
  <c r="G144" i="48" s="1"/>
  <c r="P144" i="48"/>
  <c r="S144" i="48" s="1"/>
  <c r="Z144" i="48"/>
  <c r="AC144" i="48" s="1"/>
  <c r="AA144" i="48"/>
  <c r="E28" i="2"/>
  <c r="E33" i="2" s="1"/>
  <c r="L33" i="2" s="1"/>
  <c r="E54" i="74"/>
  <c r="E56" i="74" s="1"/>
  <c r="AA26" i="4"/>
  <c r="AH26" i="4" s="1"/>
  <c r="K37" i="4"/>
  <c r="AG37" i="4"/>
  <c r="J120" i="4"/>
  <c r="J123" i="4" s="1"/>
  <c r="J21" i="47" s="1"/>
  <c r="E21" i="47" s="1"/>
  <c r="AA38" i="4"/>
  <c r="AI11" i="74"/>
  <c r="E121" i="4"/>
  <c r="L121" i="4" s="1"/>
  <c r="V37" i="4"/>
  <c r="V38" i="4" s="1"/>
  <c r="AA10" i="74"/>
  <c r="Q72" i="4"/>
  <c r="X72" i="4" s="1"/>
  <c r="T56" i="74"/>
  <c r="Q33" i="2"/>
  <c r="X33" i="2" s="1"/>
  <c r="AH21" i="2"/>
  <c r="E72" i="4"/>
  <c r="L72" i="4" s="1"/>
  <c r="T11" i="74"/>
  <c r="E134" i="48"/>
  <c r="AA134" i="48"/>
  <c r="Q134" i="48"/>
  <c r="Z134" i="48"/>
  <c r="AC134" i="48" s="1"/>
  <c r="D134" i="48"/>
  <c r="G134" i="48" s="1"/>
  <c r="P134" i="48"/>
  <c r="S134" i="48" s="1"/>
  <c r="E74" i="74" l="1"/>
  <c r="E75" i="74" s="1"/>
  <c r="F75" i="74" s="1"/>
  <c r="AI71" i="74"/>
  <c r="Y74" i="74"/>
  <c r="Y104" i="74" s="1"/>
  <c r="T71" i="74"/>
  <c r="H57" i="74"/>
  <c r="V57" i="74"/>
  <c r="T43" i="2"/>
  <c r="T44" i="2" s="1"/>
  <c r="T22" i="48" s="1"/>
  <c r="U43" i="2"/>
  <c r="U44" i="2" s="1"/>
  <c r="U22" i="48" s="1"/>
  <c r="Y57" i="74"/>
  <c r="F57" i="74"/>
  <c r="I43" i="2"/>
  <c r="I44" i="2" s="1"/>
  <c r="J57" i="74"/>
  <c r="L54" i="74"/>
  <c r="E120" i="4"/>
  <c r="L120" i="4" s="1"/>
  <c r="W37" i="4"/>
  <c r="Q38" i="4"/>
  <c r="V120" i="4"/>
  <c r="I22" i="47" l="1"/>
  <c r="I23" i="47" s="1"/>
  <c r="I22" i="48"/>
  <c r="L74" i="74"/>
  <c r="AA71" i="74"/>
  <c r="T74" i="74"/>
  <c r="Y83" i="74"/>
  <c r="Y172" i="74"/>
  <c r="Y105" i="74"/>
  <c r="Y106" i="74" s="1"/>
  <c r="Y171" i="74"/>
  <c r="J83" i="74"/>
  <c r="J171" i="74"/>
  <c r="J105" i="74"/>
  <c r="J106" i="74" s="1"/>
  <c r="J172" i="74"/>
  <c r="V83" i="74"/>
  <c r="V171" i="74"/>
  <c r="V105" i="74"/>
  <c r="V106" i="74" s="1"/>
  <c r="V172" i="74"/>
  <c r="T104" i="74"/>
  <c r="T106" i="74" s="1"/>
  <c r="H83" i="74"/>
  <c r="H171" i="74"/>
  <c r="H105" i="74"/>
  <c r="H106" i="74" s="1"/>
  <c r="H172" i="74"/>
  <c r="AP71" i="74"/>
  <c r="F83" i="74"/>
  <c r="F171" i="74"/>
  <c r="F105" i="74"/>
  <c r="F106" i="74" s="1"/>
  <c r="F172" i="74"/>
  <c r="F43" i="2"/>
  <c r="F44" i="2" s="1"/>
  <c r="X57" i="74"/>
  <c r="I57" i="74"/>
  <c r="H43" i="2"/>
  <c r="H44" i="2" s="1"/>
  <c r="K56" i="74"/>
  <c r="L56" i="74" s="1"/>
  <c r="G57" i="74"/>
  <c r="G43" i="2"/>
  <c r="G44" i="2" s="1"/>
  <c r="E31" i="82" s="1"/>
  <c r="E123" i="4"/>
  <c r="L123" i="4" s="1"/>
  <c r="W57" i="74"/>
  <c r="AA56" i="74"/>
  <c r="U57" i="74"/>
  <c r="R43" i="2"/>
  <c r="R44" i="2" s="1"/>
  <c r="R22" i="48" s="1"/>
  <c r="S43" i="2"/>
  <c r="S44" i="2" s="1"/>
  <c r="S22" i="48" s="1"/>
  <c r="V123" i="4"/>
  <c r="V21" i="47" s="1"/>
  <c r="Q21" i="47" s="1"/>
  <c r="Q120" i="4"/>
  <c r="I53" i="2"/>
  <c r="I21" i="48"/>
  <c r="T21" i="48"/>
  <c r="T53" i="2"/>
  <c r="T22" i="47"/>
  <c r="T23" i="47" s="1"/>
  <c r="U21" i="48"/>
  <c r="U53" i="2"/>
  <c r="U22" i="47"/>
  <c r="U23" i="47" s="1"/>
  <c r="I31" i="82" l="1"/>
  <c r="I32" i="82" s="1"/>
  <c r="H31" i="82"/>
  <c r="H32" i="82" s="1"/>
  <c r="E31" i="81"/>
  <c r="I31" i="81" s="1"/>
  <c r="I32" i="81" s="1"/>
  <c r="G22" i="48"/>
  <c r="G21" i="48"/>
  <c r="F22" i="47"/>
  <c r="F22" i="48"/>
  <c r="H22" i="47"/>
  <c r="H22" i="48"/>
  <c r="E60" i="18" s="1"/>
  <c r="G22" i="47"/>
  <c r="G23" i="47" s="1"/>
  <c r="E31" i="80"/>
  <c r="Y174" i="74"/>
  <c r="Y177" i="74" s="1"/>
  <c r="H174" i="74"/>
  <c r="G83" i="74"/>
  <c r="G171" i="74"/>
  <c r="G172" i="74"/>
  <c r="G105" i="74"/>
  <c r="G106" i="74" s="1"/>
  <c r="F174" i="74"/>
  <c r="J174" i="74"/>
  <c r="J177" i="74" s="1"/>
  <c r="J101" i="74"/>
  <c r="J84" i="74"/>
  <c r="J86" i="74" s="1"/>
  <c r="U83" i="74"/>
  <c r="U171" i="74"/>
  <c r="U105" i="74"/>
  <c r="U106" i="74" s="1"/>
  <c r="U172" i="74"/>
  <c r="I83" i="74"/>
  <c r="I171" i="74"/>
  <c r="I105" i="74"/>
  <c r="I106" i="74" s="1"/>
  <c r="I172" i="74"/>
  <c r="X83" i="74"/>
  <c r="X171" i="74"/>
  <c r="X172" i="74"/>
  <c r="X105" i="74"/>
  <c r="X106" i="74" s="1"/>
  <c r="V174" i="74"/>
  <c r="F101" i="74"/>
  <c r="F84" i="74"/>
  <c r="F87" i="74" s="1"/>
  <c r="W83" i="74"/>
  <c r="W171" i="74"/>
  <c r="W172" i="74"/>
  <c r="W105" i="74"/>
  <c r="W106" i="74" s="1"/>
  <c r="V101" i="74"/>
  <c r="V84" i="74"/>
  <c r="V86" i="74" s="1"/>
  <c r="Y101" i="74"/>
  <c r="Y84" i="74"/>
  <c r="Y86" i="74" s="1"/>
  <c r="T75" i="74"/>
  <c r="U75" i="74" s="1"/>
  <c r="AA74" i="74"/>
  <c r="H101" i="74"/>
  <c r="H84" i="74"/>
  <c r="H53" i="2"/>
  <c r="H18" i="47" s="1"/>
  <c r="H19" i="47" s="1"/>
  <c r="H21" i="48"/>
  <c r="G55" i="23" s="1"/>
  <c r="E34" i="18"/>
  <c r="J34" i="18" s="1"/>
  <c r="J35" i="18" s="1"/>
  <c r="J43" i="2"/>
  <c r="J44" i="2" s="1"/>
  <c r="K57" i="74"/>
  <c r="L57" i="74" s="1"/>
  <c r="G53" i="2"/>
  <c r="G14" i="48" s="1"/>
  <c r="E31" i="17"/>
  <c r="I31" i="17" s="1"/>
  <c r="I32" i="17" s="1"/>
  <c r="S21" i="48"/>
  <c r="Z57" i="74"/>
  <c r="AA57" i="74" s="1"/>
  <c r="V43" i="2"/>
  <c r="V44" i="2" s="1"/>
  <c r="V22" i="48" s="1"/>
  <c r="S53" i="2"/>
  <c r="S18" i="47" s="1"/>
  <c r="S19" i="47" s="1"/>
  <c r="S22" i="47"/>
  <c r="S23" i="47" s="1"/>
  <c r="X120" i="4"/>
  <c r="Q123" i="4"/>
  <c r="X123" i="4" s="1"/>
  <c r="E54" i="17"/>
  <c r="G87" i="13"/>
  <c r="E32" i="12"/>
  <c r="F53" i="2"/>
  <c r="F21" i="48"/>
  <c r="E27" i="19"/>
  <c r="G50" i="16"/>
  <c r="I24" i="48"/>
  <c r="E26" i="19"/>
  <c r="G86" i="16"/>
  <c r="I50" i="16"/>
  <c r="E28" i="19"/>
  <c r="G91" i="23"/>
  <c r="E58" i="18"/>
  <c r="I18" i="47"/>
  <c r="I19" i="47" s="1"/>
  <c r="I25" i="47" s="1"/>
  <c r="I54" i="2"/>
  <c r="I57" i="2" s="1"/>
  <c r="I14" i="48"/>
  <c r="U18" i="47"/>
  <c r="U19" i="47" s="1"/>
  <c r="U25" i="47" s="1"/>
  <c r="U14" i="48"/>
  <c r="U15" i="48" s="1"/>
  <c r="U54" i="2"/>
  <c r="U57" i="2" s="1"/>
  <c r="T18" i="47"/>
  <c r="T19" i="47" s="1"/>
  <c r="T25" i="47" s="1"/>
  <c r="T14" i="48"/>
  <c r="T15" i="48" s="1"/>
  <c r="T54" i="2"/>
  <c r="T57" i="2" s="1"/>
  <c r="T24" i="48"/>
  <c r="U24" i="48"/>
  <c r="R53" i="2"/>
  <c r="R21" i="48"/>
  <c r="R22" i="47"/>
  <c r="E32" i="82" l="1"/>
  <c r="F32" i="82" s="1"/>
  <c r="H49" i="82"/>
  <c r="H31" i="81"/>
  <c r="H32" i="81" s="1"/>
  <c r="E53" i="80"/>
  <c r="H49" i="81"/>
  <c r="J22" i="47"/>
  <c r="J23" i="47" s="1"/>
  <c r="J22" i="48"/>
  <c r="E22" i="48" s="1"/>
  <c r="E56" i="17"/>
  <c r="E54" i="80"/>
  <c r="H31" i="80"/>
  <c r="H32" i="80" s="1"/>
  <c r="E39" i="80" s="1"/>
  <c r="I31" i="80"/>
  <c r="I32" i="80" s="1"/>
  <c r="I52" i="13"/>
  <c r="G24" i="48"/>
  <c r="F168" i="48" s="1"/>
  <c r="E172" i="74"/>
  <c r="V87" i="74"/>
  <c r="I174" i="74"/>
  <c r="X174" i="74"/>
  <c r="G174" i="74"/>
  <c r="E83" i="74"/>
  <c r="J87" i="74"/>
  <c r="T172" i="74"/>
  <c r="V164" i="74"/>
  <c r="V165" i="74" s="1"/>
  <c r="V102" i="74"/>
  <c r="J164" i="74"/>
  <c r="J165" i="74" s="1"/>
  <c r="J102" i="74"/>
  <c r="I101" i="74"/>
  <c r="I84" i="74"/>
  <c r="I86" i="74" s="1"/>
  <c r="W174" i="74"/>
  <c r="E171" i="74"/>
  <c r="G101" i="74"/>
  <c r="G84" i="74"/>
  <c r="G86" i="74" s="1"/>
  <c r="H78" i="74"/>
  <c r="H86" i="74"/>
  <c r="Y164" i="74"/>
  <c r="Y165" i="74" s="1"/>
  <c r="Y102" i="74"/>
  <c r="W101" i="74"/>
  <c r="W84" i="74"/>
  <c r="W86" i="74" s="1"/>
  <c r="T171" i="74"/>
  <c r="U174" i="74"/>
  <c r="H87" i="74"/>
  <c r="Y87" i="74"/>
  <c r="F86" i="74"/>
  <c r="X101" i="74"/>
  <c r="X84" i="74"/>
  <c r="X86" i="74" s="1"/>
  <c r="U101" i="74"/>
  <c r="T83" i="74"/>
  <c r="U84" i="74"/>
  <c r="H164" i="74"/>
  <c r="H165" i="74" s="1"/>
  <c r="H102" i="74"/>
  <c r="F164" i="74"/>
  <c r="F165" i="74" s="1"/>
  <c r="F102" i="74"/>
  <c r="I55" i="23"/>
  <c r="H24" i="48"/>
  <c r="P178" i="48" s="1"/>
  <c r="S178" i="48" s="1"/>
  <c r="I34" i="18"/>
  <c r="I35" i="18" s="1"/>
  <c r="I27" i="23" s="1"/>
  <c r="H31" i="17"/>
  <c r="H32" i="17" s="1"/>
  <c r="H19" i="13" s="1"/>
  <c r="H14" i="48"/>
  <c r="Q175" i="48" s="1"/>
  <c r="K34" i="18"/>
  <c r="K35" i="18" s="1"/>
  <c r="K33" i="23" s="1"/>
  <c r="O33" i="23" s="1"/>
  <c r="E59" i="18"/>
  <c r="E62" i="18" s="1"/>
  <c r="H54" i="2"/>
  <c r="H56" i="2" s="1"/>
  <c r="G18" i="47"/>
  <c r="G19" i="47" s="1"/>
  <c r="G25" i="47" s="1"/>
  <c r="G54" i="2"/>
  <c r="G57" i="2" s="1"/>
  <c r="J21" i="48"/>
  <c r="E21" i="48" s="1"/>
  <c r="E55" i="17"/>
  <c r="K44" i="2"/>
  <c r="G52" i="13"/>
  <c r="J53" i="2"/>
  <c r="J18" i="47" s="1"/>
  <c r="J19" i="47" s="1"/>
  <c r="J20" i="48"/>
  <c r="E20" i="48" s="1"/>
  <c r="W44" i="2"/>
  <c r="Q22" i="48"/>
  <c r="V21" i="48"/>
  <c r="Q21" i="48" s="1"/>
  <c r="V53" i="2"/>
  <c r="V14" i="48" s="1"/>
  <c r="V15" i="48" s="1"/>
  <c r="S14" i="48"/>
  <c r="S15" i="48" s="1"/>
  <c r="V22" i="47"/>
  <c r="V23" i="47" s="1"/>
  <c r="S24" i="48"/>
  <c r="S25" i="47"/>
  <c r="S54" i="2"/>
  <c r="S57" i="2" s="1"/>
  <c r="V20" i="48"/>
  <c r="Q20" i="48" s="1"/>
  <c r="E30" i="19"/>
  <c r="E58" i="12"/>
  <c r="I53" i="9"/>
  <c r="I35" i="13"/>
  <c r="L35" i="13" s="1"/>
  <c r="I28" i="13"/>
  <c r="L28" i="13" s="1"/>
  <c r="I37" i="13"/>
  <c r="L37" i="13" s="1"/>
  <c r="I33" i="13"/>
  <c r="L33" i="13" s="1"/>
  <c r="I25" i="13"/>
  <c r="L25" i="13" s="1"/>
  <c r="I19" i="13"/>
  <c r="I36" i="13"/>
  <c r="L36" i="13" s="1"/>
  <c r="I32" i="13"/>
  <c r="L32" i="13" s="1"/>
  <c r="I23" i="13"/>
  <c r="L23" i="13" s="1"/>
  <c r="I30" i="13"/>
  <c r="L30" i="13" s="1"/>
  <c r="I20" i="13"/>
  <c r="L20" i="13" s="1"/>
  <c r="E40" i="17"/>
  <c r="E68" i="17" s="1"/>
  <c r="I27" i="13"/>
  <c r="L27" i="13" s="1"/>
  <c r="I24" i="13"/>
  <c r="L24" i="13" s="1"/>
  <c r="I26" i="13"/>
  <c r="L26" i="13" s="1"/>
  <c r="I31" i="13"/>
  <c r="L31" i="13" s="1"/>
  <c r="I38" i="13"/>
  <c r="L38" i="13" s="1"/>
  <c r="I29" i="13"/>
  <c r="L29" i="13" s="1"/>
  <c r="I21" i="13"/>
  <c r="L21" i="13" s="1"/>
  <c r="I22" i="13"/>
  <c r="L22" i="13" s="1"/>
  <c r="I34" i="13"/>
  <c r="L34" i="13" s="1"/>
  <c r="AA165" i="48"/>
  <c r="Q165" i="48"/>
  <c r="G15" i="48"/>
  <c r="D165" i="48"/>
  <c r="G165" i="48" s="1"/>
  <c r="P165" i="48"/>
  <c r="S165" i="48" s="1"/>
  <c r="Z165" i="48"/>
  <c r="AC165" i="48" s="1"/>
  <c r="E165" i="48"/>
  <c r="E57" i="12"/>
  <c r="G53" i="9"/>
  <c r="Z188" i="48"/>
  <c r="AC188" i="48" s="1"/>
  <c r="AB188" i="48"/>
  <c r="D188" i="48"/>
  <c r="G188" i="48" s="1"/>
  <c r="R188" i="48"/>
  <c r="F188" i="48"/>
  <c r="P188" i="48"/>
  <c r="S188" i="48" s="1"/>
  <c r="G89" i="9"/>
  <c r="F24" i="48"/>
  <c r="E56" i="12"/>
  <c r="F54" i="2"/>
  <c r="F57" i="2" s="1"/>
  <c r="F14" i="48"/>
  <c r="F18" i="47"/>
  <c r="J37" i="23"/>
  <c r="N37" i="23" s="1"/>
  <c r="J34" i="23"/>
  <c r="N34" i="23" s="1"/>
  <c r="J25" i="23"/>
  <c r="N25" i="23" s="1"/>
  <c r="J35" i="23"/>
  <c r="N35" i="23" s="1"/>
  <c r="J29" i="23"/>
  <c r="N29" i="23" s="1"/>
  <c r="J33" i="23"/>
  <c r="N33" i="23" s="1"/>
  <c r="J38" i="23"/>
  <c r="N38" i="23" s="1"/>
  <c r="J39" i="23"/>
  <c r="N39" i="23" s="1"/>
  <c r="J28" i="23"/>
  <c r="N28" i="23" s="1"/>
  <c r="J36" i="23"/>
  <c r="N36" i="23" s="1"/>
  <c r="J26" i="23"/>
  <c r="N26" i="23" s="1"/>
  <c r="J23" i="23"/>
  <c r="N23" i="23" s="1"/>
  <c r="J30" i="23"/>
  <c r="N30" i="23" s="1"/>
  <c r="J27" i="23"/>
  <c r="N27" i="23" s="1"/>
  <c r="J22" i="23"/>
  <c r="N22" i="23" s="1"/>
  <c r="J32" i="23"/>
  <c r="N32" i="23" s="1"/>
  <c r="J40" i="23"/>
  <c r="N40" i="23" s="1"/>
  <c r="J31" i="23"/>
  <c r="N31" i="23" s="1"/>
  <c r="E43" i="18"/>
  <c r="E72" i="18" s="1"/>
  <c r="J24" i="23"/>
  <c r="N24" i="23" s="1"/>
  <c r="J21" i="23"/>
  <c r="H32" i="12"/>
  <c r="H33" i="12" s="1"/>
  <c r="I32" i="12"/>
  <c r="I33" i="12" s="1"/>
  <c r="P185" i="48"/>
  <c r="S185" i="48" s="1"/>
  <c r="I15" i="48"/>
  <c r="D185" i="48"/>
  <c r="G185" i="48" s="1"/>
  <c r="Q185" i="48"/>
  <c r="E185" i="48"/>
  <c r="Z185" i="48"/>
  <c r="AC185" i="48" s="1"/>
  <c r="AA185" i="48"/>
  <c r="G32" i="16"/>
  <c r="G16" i="16"/>
  <c r="E21" i="19"/>
  <c r="G19" i="16"/>
  <c r="G23" i="16"/>
  <c r="G34" i="16"/>
  <c r="G28" i="16"/>
  <c r="G35" i="16"/>
  <c r="I56" i="2"/>
  <c r="G24" i="16"/>
  <c r="G17" i="16"/>
  <c r="G29" i="16"/>
  <c r="G22" i="16"/>
  <c r="G21" i="16"/>
  <c r="G31" i="16"/>
  <c r="G18" i="16"/>
  <c r="G25" i="16"/>
  <c r="I34" i="47"/>
  <c r="I36" i="47" s="1"/>
  <c r="I64" i="47" s="1"/>
  <c r="I45" i="47"/>
  <c r="G20" i="16"/>
  <c r="E13" i="19"/>
  <c r="E39" i="19" s="1"/>
  <c r="G27" i="16"/>
  <c r="G26" i="16"/>
  <c r="G33" i="16"/>
  <c r="G30" i="16"/>
  <c r="F23" i="47"/>
  <c r="R24" i="48"/>
  <c r="R14" i="48"/>
  <c r="R54" i="2"/>
  <c r="R18" i="47"/>
  <c r="U34" i="47"/>
  <c r="U36" i="47" s="1"/>
  <c r="U64" i="47" s="1"/>
  <c r="U45" i="47"/>
  <c r="U56" i="2"/>
  <c r="T56" i="2"/>
  <c r="T45" i="47"/>
  <c r="T34" i="47"/>
  <c r="T36" i="47" s="1"/>
  <c r="T64" i="47" s="1"/>
  <c r="R23" i="47"/>
  <c r="G32" i="82" l="1"/>
  <c r="H43" i="82"/>
  <c r="I43" i="82" s="1"/>
  <c r="H50" i="82"/>
  <c r="H44" i="82"/>
  <c r="I44" i="82" s="1"/>
  <c r="H40" i="82"/>
  <c r="I40" i="82" s="1"/>
  <c r="K46" i="82"/>
  <c r="H41" i="82"/>
  <c r="I41" i="82" s="1"/>
  <c r="H42" i="82"/>
  <c r="I42" i="82" s="1"/>
  <c r="E32" i="81"/>
  <c r="K46" i="81" s="1"/>
  <c r="E56" i="80"/>
  <c r="E58" i="17"/>
  <c r="E32" i="80"/>
  <c r="G32" i="80" s="1"/>
  <c r="E65" i="80"/>
  <c r="P168" i="48"/>
  <c r="S168" i="48" s="1"/>
  <c r="Z168" i="48"/>
  <c r="AC168" i="48" s="1"/>
  <c r="R168" i="48"/>
  <c r="D168" i="48"/>
  <c r="G168" i="48" s="1"/>
  <c r="AB168" i="48"/>
  <c r="E174" i="74"/>
  <c r="G87" i="74"/>
  <c r="E101" i="74"/>
  <c r="E164" i="74" s="1"/>
  <c r="E165" i="74" s="1"/>
  <c r="H117" i="74"/>
  <c r="H108" i="74"/>
  <c r="X87" i="74"/>
  <c r="G164" i="74"/>
  <c r="G165" i="74" s="1"/>
  <c r="G102" i="74"/>
  <c r="W164" i="74"/>
  <c r="W165" i="74" s="1"/>
  <c r="W102" i="74"/>
  <c r="V117" i="74"/>
  <c r="V108" i="74"/>
  <c r="T84" i="74"/>
  <c r="U86" i="74"/>
  <c r="E84" i="74"/>
  <c r="W87" i="74"/>
  <c r="Y117" i="74"/>
  <c r="Y108" i="74"/>
  <c r="Y119" i="74" s="1"/>
  <c r="Y147" i="74" s="1"/>
  <c r="T101" i="74"/>
  <c r="U164" i="74"/>
  <c r="U165" i="74" s="1"/>
  <c r="U102" i="74"/>
  <c r="F108" i="74"/>
  <c r="F117" i="74"/>
  <c r="U87" i="74"/>
  <c r="T174" i="74"/>
  <c r="I87" i="74"/>
  <c r="I164" i="74"/>
  <c r="I165" i="74" s="1"/>
  <c r="I102" i="74"/>
  <c r="X164" i="74"/>
  <c r="X165" i="74" s="1"/>
  <c r="X102" i="74"/>
  <c r="J108" i="74"/>
  <c r="J119" i="74" s="1"/>
  <c r="J147" i="74" s="1"/>
  <c r="J117" i="74"/>
  <c r="I31" i="23"/>
  <c r="M31" i="23" s="1"/>
  <c r="E42" i="18"/>
  <c r="E71" i="18" s="1"/>
  <c r="I35" i="23"/>
  <c r="M35" i="23" s="1"/>
  <c r="I30" i="23"/>
  <c r="M30" i="23" s="1"/>
  <c r="I40" i="23"/>
  <c r="M40" i="23" s="1"/>
  <c r="I32" i="23"/>
  <c r="M32" i="23" s="1"/>
  <c r="I36" i="23"/>
  <c r="M36" i="23" s="1"/>
  <c r="I39" i="23"/>
  <c r="M39" i="23" s="1"/>
  <c r="H45" i="47"/>
  <c r="D175" i="48"/>
  <c r="G175" i="48" s="1"/>
  <c r="I21" i="23"/>
  <c r="I22" i="23"/>
  <c r="M22" i="23" s="1"/>
  <c r="I38" i="23"/>
  <c r="M38" i="23" s="1"/>
  <c r="I28" i="23"/>
  <c r="M28" i="23" s="1"/>
  <c r="I26" i="23"/>
  <c r="M26" i="23" s="1"/>
  <c r="I29" i="23"/>
  <c r="M29" i="23" s="1"/>
  <c r="I25" i="23"/>
  <c r="M25" i="23" s="1"/>
  <c r="I24" i="23"/>
  <c r="M24" i="23" s="1"/>
  <c r="E45" i="18"/>
  <c r="E75" i="18" s="1"/>
  <c r="I23" i="23"/>
  <c r="I33" i="23"/>
  <c r="M33" i="23" s="1"/>
  <c r="R178" i="48"/>
  <c r="F178" i="48"/>
  <c r="I34" i="23"/>
  <c r="M34" i="23" s="1"/>
  <c r="I37" i="23"/>
  <c r="M37" i="23" s="1"/>
  <c r="Z178" i="48"/>
  <c r="AC178" i="48" s="1"/>
  <c r="AB178" i="48"/>
  <c r="D178" i="48"/>
  <c r="G178" i="48" s="1"/>
  <c r="J25" i="47"/>
  <c r="J36" i="47" s="1"/>
  <c r="J64" i="47" s="1"/>
  <c r="H34" i="13"/>
  <c r="J34" i="13" s="1"/>
  <c r="K23" i="23"/>
  <c r="O23" i="23" s="1"/>
  <c r="H26" i="13"/>
  <c r="K26" i="13" s="1"/>
  <c r="E39" i="17"/>
  <c r="E67" i="17" s="1"/>
  <c r="H30" i="13"/>
  <c r="J30" i="13" s="1"/>
  <c r="H32" i="13"/>
  <c r="J32" i="13" s="1"/>
  <c r="E175" i="48"/>
  <c r="H33" i="13"/>
  <c r="K33" i="13" s="1"/>
  <c r="K39" i="23"/>
  <c r="O39" i="23" s="1"/>
  <c r="H24" i="13"/>
  <c r="J24" i="13" s="1"/>
  <c r="H35" i="13"/>
  <c r="K35" i="13" s="1"/>
  <c r="H37" i="13"/>
  <c r="J37" i="13" s="1"/>
  <c r="K32" i="23"/>
  <c r="O32" i="23" s="1"/>
  <c r="H38" i="13"/>
  <c r="J38" i="13" s="1"/>
  <c r="H29" i="13"/>
  <c r="K29" i="13" s="1"/>
  <c r="K30" i="23"/>
  <c r="O30" i="23" s="1"/>
  <c r="H25" i="13"/>
  <c r="J25" i="13" s="1"/>
  <c r="H22" i="13"/>
  <c r="J22" i="13" s="1"/>
  <c r="K27" i="23"/>
  <c r="O27" i="23" s="1"/>
  <c r="E35" i="18"/>
  <c r="H35" i="18" s="1"/>
  <c r="E32" i="17"/>
  <c r="E41" i="17" s="1"/>
  <c r="E70" i="17" s="1"/>
  <c r="H23" i="13"/>
  <c r="K23" i="13" s="1"/>
  <c r="H36" i="13"/>
  <c r="J36" i="13" s="1"/>
  <c r="K25" i="23"/>
  <c r="O25" i="23" s="1"/>
  <c r="H27" i="13"/>
  <c r="J27" i="13" s="1"/>
  <c r="H31" i="13"/>
  <c r="J31" i="13" s="1"/>
  <c r="H20" i="13"/>
  <c r="K20" i="13" s="1"/>
  <c r="K24" i="23"/>
  <c r="O24" i="23" s="1"/>
  <c r="H21" i="13"/>
  <c r="K21" i="13" s="1"/>
  <c r="H28" i="13"/>
  <c r="J28" i="13" s="1"/>
  <c r="K35" i="23"/>
  <c r="O35" i="23" s="1"/>
  <c r="K28" i="23"/>
  <c r="O28" i="23" s="1"/>
  <c r="K38" i="23"/>
  <c r="O38" i="23" s="1"/>
  <c r="K34" i="23"/>
  <c r="O34" i="23" s="1"/>
  <c r="K29" i="23"/>
  <c r="O29" i="23" s="1"/>
  <c r="K21" i="23"/>
  <c r="K31" i="23"/>
  <c r="O31" i="23" s="1"/>
  <c r="E53" i="18"/>
  <c r="K26" i="23"/>
  <c r="O26" i="23" s="1"/>
  <c r="K37" i="23"/>
  <c r="O37" i="23" s="1"/>
  <c r="K36" i="23"/>
  <c r="O36" i="23" s="1"/>
  <c r="K40" i="23"/>
  <c r="O40" i="23" s="1"/>
  <c r="Z175" i="48"/>
  <c r="AC175" i="48" s="1"/>
  <c r="E44" i="18"/>
  <c r="E73" i="18" s="1"/>
  <c r="K22" i="23"/>
  <c r="O22" i="23" s="1"/>
  <c r="P175" i="48"/>
  <c r="S175" i="48" s="1"/>
  <c r="H15" i="48"/>
  <c r="AA175" i="48"/>
  <c r="G56" i="2"/>
  <c r="G34" i="47"/>
  <c r="G36" i="47" s="1"/>
  <c r="G64" i="47" s="1"/>
  <c r="G45" i="47"/>
  <c r="H34" i="47"/>
  <c r="H36" i="47" s="1"/>
  <c r="H64" i="47" s="1"/>
  <c r="G125" i="23" s="1"/>
  <c r="H57" i="2"/>
  <c r="J14" i="48"/>
  <c r="Q145" i="48" s="1"/>
  <c r="E53" i="2"/>
  <c r="J54" i="2"/>
  <c r="J34" i="47" s="1"/>
  <c r="J24" i="48"/>
  <c r="F148" i="48" s="1"/>
  <c r="S45" i="47"/>
  <c r="T19" i="69" s="1"/>
  <c r="Q22" i="47"/>
  <c r="S34" i="47"/>
  <c r="S36" i="47" s="1"/>
  <c r="S64" i="47" s="1"/>
  <c r="V54" i="2"/>
  <c r="V57" i="2" s="1"/>
  <c r="Q53" i="2"/>
  <c r="V18" i="47"/>
  <c r="V19" i="47" s="1"/>
  <c r="V25" i="47" s="1"/>
  <c r="V36" i="47" s="1"/>
  <c r="V64" i="47" s="1"/>
  <c r="S56" i="2"/>
  <c r="Q23" i="47"/>
  <c r="V24" i="48"/>
  <c r="V27" i="48" s="1"/>
  <c r="E60" i="12"/>
  <c r="I22" i="16"/>
  <c r="M159" i="16" s="1"/>
  <c r="H22" i="16"/>
  <c r="F57" i="16" s="1"/>
  <c r="I23" i="16"/>
  <c r="M160" i="16" s="1"/>
  <c r="H23" i="16"/>
  <c r="F58" i="16" s="1"/>
  <c r="H33" i="9"/>
  <c r="H37" i="9"/>
  <c r="H32" i="9"/>
  <c r="H35" i="9"/>
  <c r="H22" i="9"/>
  <c r="H38" i="9"/>
  <c r="E41" i="12"/>
  <c r="E69" i="12" s="1"/>
  <c r="H28" i="9"/>
  <c r="H24" i="9"/>
  <c r="H27" i="9"/>
  <c r="H29" i="9"/>
  <c r="H36" i="9"/>
  <c r="H26" i="9"/>
  <c r="H23" i="9"/>
  <c r="E33" i="12"/>
  <c r="F33" i="12" s="1"/>
  <c r="H20" i="9"/>
  <c r="H30" i="9"/>
  <c r="H25" i="9"/>
  <c r="H31" i="9"/>
  <c r="H34" i="9"/>
  <c r="H19" i="9"/>
  <c r="H21" i="9"/>
  <c r="J19" i="69"/>
  <c r="I17" i="16"/>
  <c r="M154" i="16" s="1"/>
  <c r="H17" i="16"/>
  <c r="F52" i="16" s="1"/>
  <c r="E509" i="53"/>
  <c r="K532" i="53" s="1"/>
  <c r="E439" i="53"/>
  <c r="K461" i="53" s="1"/>
  <c r="J204" i="28"/>
  <c r="O276" i="53" s="1"/>
  <c r="J514" i="28"/>
  <c r="O624" i="53" s="1"/>
  <c r="J452" i="28"/>
  <c r="O554" i="53" s="1"/>
  <c r="E578" i="53"/>
  <c r="K601" i="53" s="1"/>
  <c r="J638" i="28"/>
  <c r="O765" i="53" s="1"/>
  <c r="E369" i="53"/>
  <c r="K391" i="53" s="1"/>
  <c r="E928" i="53"/>
  <c r="K950" i="53" s="1"/>
  <c r="J1072" i="28"/>
  <c r="O1254" i="53" s="1"/>
  <c r="E1348" i="53"/>
  <c r="K1371" i="53" s="1"/>
  <c r="J1010" i="28"/>
  <c r="O1184" i="53" s="1"/>
  <c r="E1068" i="53"/>
  <c r="K1091" i="53" s="1"/>
  <c r="E228" i="53"/>
  <c r="K252" i="53" s="1"/>
  <c r="E84" i="53"/>
  <c r="K107" i="53" s="1"/>
  <c r="J576" i="28"/>
  <c r="O694" i="53" s="1"/>
  <c r="J762" i="28"/>
  <c r="O905" i="53" s="1"/>
  <c r="E998" i="53"/>
  <c r="K1021" i="53" s="1"/>
  <c r="J328" i="28"/>
  <c r="O417" i="53" s="1"/>
  <c r="J1196" i="28"/>
  <c r="O1394" i="53" s="1"/>
  <c r="N21" i="23"/>
  <c r="J948" i="28"/>
  <c r="O1114" i="53" s="1"/>
  <c r="E1208" i="53"/>
  <c r="K1231" i="53" s="1"/>
  <c r="E1278" i="53"/>
  <c r="K1301" i="53" s="1"/>
  <c r="E1138" i="53"/>
  <c r="K1161" i="53" s="1"/>
  <c r="E648" i="53"/>
  <c r="K670" i="53" s="1"/>
  <c r="J41" i="23"/>
  <c r="N41" i="23" s="1"/>
  <c r="J266" i="28"/>
  <c r="O345" i="53" s="1"/>
  <c r="E12" i="53"/>
  <c r="K35" i="53" s="1"/>
  <c r="J824" i="28"/>
  <c r="O975" i="53" s="1"/>
  <c r="E155" i="53"/>
  <c r="K178" i="53" s="1"/>
  <c r="J700" i="28"/>
  <c r="O835" i="53" s="1"/>
  <c r="E718" i="53"/>
  <c r="K740" i="53" s="1"/>
  <c r="J886" i="28"/>
  <c r="O1044" i="53" s="1"/>
  <c r="J1134" i="28"/>
  <c r="O1324" i="53" s="1"/>
  <c r="E788" i="53"/>
  <c r="K809" i="53" s="1"/>
  <c r="J390" i="28"/>
  <c r="O485" i="53" s="1"/>
  <c r="E299" i="53"/>
  <c r="K321" i="53" s="1"/>
  <c r="J142" i="28"/>
  <c r="O204" i="53" s="1"/>
  <c r="J18" i="28"/>
  <c r="O59" i="53" s="1"/>
  <c r="J80" i="28"/>
  <c r="O132" i="53" s="1"/>
  <c r="E858" i="53"/>
  <c r="K880" i="53" s="1"/>
  <c r="G121" i="16"/>
  <c r="E22" i="19"/>
  <c r="H24" i="16"/>
  <c r="F59" i="16" s="1"/>
  <c r="I24" i="16"/>
  <c r="M161" i="16" s="1"/>
  <c r="E287" i="54"/>
  <c r="J310" i="54" s="1"/>
  <c r="E748" i="54"/>
  <c r="J770" i="54" s="1"/>
  <c r="E57" i="54"/>
  <c r="J80" i="54" s="1"/>
  <c r="E334" i="54"/>
  <c r="J359" i="54" s="1"/>
  <c r="E195" i="54"/>
  <c r="J218" i="54" s="1"/>
  <c r="E610" i="54"/>
  <c r="J634" i="54" s="1"/>
  <c r="E840" i="54"/>
  <c r="J863" i="54" s="1"/>
  <c r="E886" i="54"/>
  <c r="J910" i="54" s="1"/>
  <c r="I16" i="16"/>
  <c r="M153" i="16" s="1"/>
  <c r="E380" i="54"/>
  <c r="J404" i="54" s="1"/>
  <c r="E656" i="54"/>
  <c r="J680" i="54" s="1"/>
  <c r="E149" i="54"/>
  <c r="J171" i="54" s="1"/>
  <c r="E103" i="54"/>
  <c r="J125" i="54" s="1"/>
  <c r="E564" i="54"/>
  <c r="J588" i="54" s="1"/>
  <c r="E426" i="54"/>
  <c r="J450" i="54" s="1"/>
  <c r="E472" i="54"/>
  <c r="J495" i="54" s="1"/>
  <c r="E702" i="54"/>
  <c r="J725" i="54" s="1"/>
  <c r="E11" i="54"/>
  <c r="J35" i="54" s="1"/>
  <c r="E241" i="54"/>
  <c r="J262" i="54" s="1"/>
  <c r="E794" i="54"/>
  <c r="J817" i="54" s="1"/>
  <c r="G36" i="16"/>
  <c r="I36" i="16" s="1"/>
  <c r="M152" i="16" s="1"/>
  <c r="E518" i="54"/>
  <c r="J541" i="54" s="1"/>
  <c r="H16" i="16"/>
  <c r="K19" i="13"/>
  <c r="E11" i="52"/>
  <c r="J34" i="52" s="1"/>
  <c r="J19" i="13"/>
  <c r="G18" i="30"/>
  <c r="F26" i="30" s="1"/>
  <c r="H30" i="16"/>
  <c r="F65" i="16" s="1"/>
  <c r="I30" i="16"/>
  <c r="M167" i="16" s="1"/>
  <c r="I25" i="16"/>
  <c r="M162" i="16" s="1"/>
  <c r="H25" i="16"/>
  <c r="F60" i="16" s="1"/>
  <c r="I32" i="16"/>
  <c r="M169" i="16" s="1"/>
  <c r="H32" i="16"/>
  <c r="F67" i="16" s="1"/>
  <c r="M27" i="23"/>
  <c r="I33" i="16"/>
  <c r="M170" i="16" s="1"/>
  <c r="H33" i="16"/>
  <c r="F68" i="16" s="1"/>
  <c r="I18" i="16"/>
  <c r="M155" i="16" s="1"/>
  <c r="H18" i="16"/>
  <c r="F53" i="16" s="1"/>
  <c r="H35" i="16"/>
  <c r="F70" i="16" s="1"/>
  <c r="I35" i="16"/>
  <c r="M172" i="16" s="1"/>
  <c r="H26" i="16"/>
  <c r="F61" i="16" s="1"/>
  <c r="I26" i="16"/>
  <c r="M163" i="16" s="1"/>
  <c r="H31" i="16"/>
  <c r="F66" i="16" s="1"/>
  <c r="I31" i="16"/>
  <c r="M168" i="16" s="1"/>
  <c r="H28" i="16"/>
  <c r="F63" i="16" s="1"/>
  <c r="I28" i="16"/>
  <c r="M165" i="16" s="1"/>
  <c r="F19" i="47"/>
  <c r="E18" i="47"/>
  <c r="D158" i="48"/>
  <c r="G158" i="48" s="1"/>
  <c r="AB158" i="48"/>
  <c r="P158" i="48"/>
  <c r="S158" i="48" s="1"/>
  <c r="R158" i="48"/>
  <c r="Z158" i="48"/>
  <c r="AC158" i="48" s="1"/>
  <c r="F158" i="48"/>
  <c r="E11" i="53"/>
  <c r="K34" i="53" s="1"/>
  <c r="H27" i="16"/>
  <c r="F62" i="16" s="1"/>
  <c r="I27" i="16"/>
  <c r="M164" i="16" s="1"/>
  <c r="H21" i="16"/>
  <c r="F56" i="16" s="1"/>
  <c r="I21" i="16"/>
  <c r="M158" i="16" s="1"/>
  <c r="H34" i="16"/>
  <c r="F69" i="16" s="1"/>
  <c r="I34" i="16"/>
  <c r="M171" i="16" s="1"/>
  <c r="I24" i="9"/>
  <c r="L24" i="9" s="1"/>
  <c r="I30" i="9"/>
  <c r="L30" i="9" s="1"/>
  <c r="I22" i="9"/>
  <c r="L22" i="9" s="1"/>
  <c r="I38" i="9"/>
  <c r="L38" i="9" s="1"/>
  <c r="I28" i="9"/>
  <c r="L28" i="9" s="1"/>
  <c r="I29" i="9"/>
  <c r="L29" i="9" s="1"/>
  <c r="I33" i="9"/>
  <c r="L33" i="9" s="1"/>
  <c r="I37" i="9"/>
  <c r="L37" i="9" s="1"/>
  <c r="I34" i="9"/>
  <c r="L34" i="9" s="1"/>
  <c r="I27" i="9"/>
  <c r="L27" i="9" s="1"/>
  <c r="I36" i="9"/>
  <c r="L36" i="9" s="1"/>
  <c r="I32" i="9"/>
  <c r="L32" i="9" s="1"/>
  <c r="I21" i="9"/>
  <c r="L21" i="9" s="1"/>
  <c r="I20" i="9"/>
  <c r="L20" i="9" s="1"/>
  <c r="I26" i="9"/>
  <c r="L26" i="9" s="1"/>
  <c r="I19" i="9"/>
  <c r="E42" i="12"/>
  <c r="E70" i="12" s="1"/>
  <c r="I31" i="9"/>
  <c r="L31" i="9" s="1"/>
  <c r="I25" i="9"/>
  <c r="L25" i="9" s="1"/>
  <c r="I23" i="9"/>
  <c r="L23" i="9" s="1"/>
  <c r="I35" i="9"/>
  <c r="L35" i="9" s="1"/>
  <c r="AA155" i="48"/>
  <c r="D155" i="48"/>
  <c r="G155" i="48" s="1"/>
  <c r="F15" i="48"/>
  <c r="Q155" i="48"/>
  <c r="E155" i="48"/>
  <c r="Z155" i="48"/>
  <c r="AC155" i="48" s="1"/>
  <c r="P155" i="48"/>
  <c r="S155" i="48" s="1"/>
  <c r="E937" i="52"/>
  <c r="J959" i="52" s="1"/>
  <c r="E142" i="52"/>
  <c r="J164" i="52" s="1"/>
  <c r="H592" i="30"/>
  <c r="M982" i="52" s="1"/>
  <c r="H387" i="30"/>
  <c r="M645" i="52" s="1"/>
  <c r="E802" i="52"/>
  <c r="J825" i="52" s="1"/>
  <c r="H469" i="30"/>
  <c r="M779" i="52" s="1"/>
  <c r="E1274" i="52"/>
  <c r="J1296" i="52" s="1"/>
  <c r="E1073" i="52"/>
  <c r="J1095" i="52" s="1"/>
  <c r="H428" i="30"/>
  <c r="M712" i="52" s="1"/>
  <c r="E470" i="52"/>
  <c r="J493" i="52" s="1"/>
  <c r="E272" i="52"/>
  <c r="J292" i="52" s="1"/>
  <c r="E12" i="52"/>
  <c r="J35" i="52" s="1"/>
  <c r="H756" i="30"/>
  <c r="M1251" i="52" s="1"/>
  <c r="H633" i="30"/>
  <c r="M1050" i="52" s="1"/>
  <c r="H223" i="30"/>
  <c r="M381" i="52" s="1"/>
  <c r="E338" i="52"/>
  <c r="J358" i="52" s="1"/>
  <c r="E602" i="52"/>
  <c r="J625" i="52" s="1"/>
  <c r="E536" i="52"/>
  <c r="J558" i="52" s="1"/>
  <c r="H674" i="30"/>
  <c r="M1117" i="52" s="1"/>
  <c r="E1207" i="52"/>
  <c r="J1229" i="52" s="1"/>
  <c r="E1005" i="52"/>
  <c r="J1027" i="52" s="1"/>
  <c r="E869" i="52"/>
  <c r="J891" i="52" s="1"/>
  <c r="H797" i="30"/>
  <c r="M1318" i="52" s="1"/>
  <c r="H715" i="30"/>
  <c r="M1184" i="52" s="1"/>
  <c r="H18" i="30"/>
  <c r="M55" i="52" s="1"/>
  <c r="H346" i="30"/>
  <c r="M579" i="52" s="1"/>
  <c r="H59" i="30"/>
  <c r="M120" i="52" s="1"/>
  <c r="E404" i="52"/>
  <c r="J425" i="52" s="1"/>
  <c r="H141" i="30"/>
  <c r="M250" i="52" s="1"/>
  <c r="I39" i="13"/>
  <c r="L39" i="13" s="1"/>
  <c r="H264" i="30"/>
  <c r="M447" i="52" s="1"/>
  <c r="E77" i="52"/>
  <c r="J99" i="52" s="1"/>
  <c r="E207" i="52"/>
  <c r="J229" i="52" s="1"/>
  <c r="E1140" i="52"/>
  <c r="J1162" i="52" s="1"/>
  <c r="H100" i="30"/>
  <c r="M185" i="52" s="1"/>
  <c r="E668" i="52"/>
  <c r="J690" i="52" s="1"/>
  <c r="H510" i="30"/>
  <c r="M846" i="52" s="1"/>
  <c r="H182" i="30"/>
  <c r="M316" i="52" s="1"/>
  <c r="H551" i="30"/>
  <c r="M914" i="52" s="1"/>
  <c r="H305" i="30"/>
  <c r="M513" i="52" s="1"/>
  <c r="L19" i="13"/>
  <c r="E735" i="52"/>
  <c r="J759" i="52" s="1"/>
  <c r="H20" i="16"/>
  <c r="F55" i="16" s="1"/>
  <c r="I20" i="16"/>
  <c r="M157" i="16" s="1"/>
  <c r="H29" i="16"/>
  <c r="F64" i="16" s="1"/>
  <c r="I29" i="16"/>
  <c r="M166" i="16" s="1"/>
  <c r="I19" i="16"/>
  <c r="M156" i="16" s="1"/>
  <c r="H19" i="16"/>
  <c r="F54" i="16" s="1"/>
  <c r="F56" i="2"/>
  <c r="F45" i="47"/>
  <c r="F34" i="47"/>
  <c r="E13" i="53"/>
  <c r="K36" i="53" s="1"/>
  <c r="R19" i="47"/>
  <c r="R34" i="47"/>
  <c r="R45" i="47"/>
  <c r="R56" i="2"/>
  <c r="AV19" i="69"/>
  <c r="U19" i="69"/>
  <c r="T47" i="47"/>
  <c r="R15" i="48"/>
  <c r="Q14" i="48"/>
  <c r="Q15" i="48" s="1"/>
  <c r="U47" i="47"/>
  <c r="AW19" i="69"/>
  <c r="R57" i="2"/>
  <c r="K762" i="28" l="1"/>
  <c r="E577" i="53"/>
  <c r="K600" i="53" s="1"/>
  <c r="G633" i="30"/>
  <c r="F641" i="30" s="1"/>
  <c r="G641" i="30" s="1"/>
  <c r="E337" i="52"/>
  <c r="J357" i="52" s="1"/>
  <c r="G592" i="30"/>
  <c r="F600" i="30" s="1"/>
  <c r="E975" i="52" s="1"/>
  <c r="E667" i="52"/>
  <c r="J689" i="52" s="1"/>
  <c r="E271" i="52"/>
  <c r="J291" i="52" s="1"/>
  <c r="G756" i="30"/>
  <c r="F764" i="30" s="1"/>
  <c r="E1245" i="52" s="1"/>
  <c r="G387" i="30"/>
  <c r="F395" i="30" s="1"/>
  <c r="G395" i="30" s="1"/>
  <c r="G428" i="30"/>
  <c r="F436" i="30" s="1"/>
  <c r="E706" i="52" s="1"/>
  <c r="E1139" i="52"/>
  <c r="J1161" i="52" s="1"/>
  <c r="G264" i="30"/>
  <c r="F272" i="30" s="1"/>
  <c r="G272" i="30" s="1"/>
  <c r="G715" i="30"/>
  <c r="F723" i="30" s="1"/>
  <c r="E1178" i="52" s="1"/>
  <c r="E1273" i="52"/>
  <c r="J1295" i="52" s="1"/>
  <c r="G59" i="30"/>
  <c r="F67" i="30" s="1"/>
  <c r="G67" i="30" s="1"/>
  <c r="E734" i="52"/>
  <c r="J758" i="52" s="1"/>
  <c r="G141" i="30"/>
  <c r="F149" i="30" s="1"/>
  <c r="G149" i="30" s="1"/>
  <c r="G305" i="30"/>
  <c r="F313" i="30" s="1"/>
  <c r="G313" i="30" s="1"/>
  <c r="G797" i="30"/>
  <c r="F805" i="30" s="1"/>
  <c r="G805" i="30" s="1"/>
  <c r="E1004" i="52"/>
  <c r="J1026" i="52" s="1"/>
  <c r="E206" i="52"/>
  <c r="J228" i="52" s="1"/>
  <c r="G469" i="30"/>
  <c r="F477" i="30" s="1"/>
  <c r="E773" i="52" s="1"/>
  <c r="E801" i="52"/>
  <c r="J824" i="52" s="1"/>
  <c r="G510" i="30"/>
  <c r="F518" i="30" s="1"/>
  <c r="E840" i="52" s="1"/>
  <c r="E601" i="52"/>
  <c r="J624" i="52" s="1"/>
  <c r="E403" i="52"/>
  <c r="J424" i="52" s="1"/>
  <c r="E469" i="52"/>
  <c r="J492" i="52" s="1"/>
  <c r="E76" i="52"/>
  <c r="J98" i="52" s="1"/>
  <c r="E1206" i="52"/>
  <c r="J1228" i="52" s="1"/>
  <c r="G551" i="30"/>
  <c r="F559" i="30" s="1"/>
  <c r="E907" i="52" s="1"/>
  <c r="E868" i="52"/>
  <c r="J890" i="52" s="1"/>
  <c r="G674" i="30"/>
  <c r="F682" i="30" s="1"/>
  <c r="G682" i="30" s="1"/>
  <c r="G223" i="30"/>
  <c r="F231" i="30" s="1"/>
  <c r="E375" i="52" s="1"/>
  <c r="G182" i="30"/>
  <c r="F190" i="30" s="1"/>
  <c r="E310" i="52" s="1"/>
  <c r="G100" i="30"/>
  <c r="F108" i="30" s="1"/>
  <c r="E179" i="52" s="1"/>
  <c r="E141" i="52"/>
  <c r="J163" i="52" s="1"/>
  <c r="E936" i="52"/>
  <c r="J958" i="52" s="1"/>
  <c r="E1072" i="52"/>
  <c r="J1094" i="52" s="1"/>
  <c r="G346" i="30"/>
  <c r="F354" i="30" s="1"/>
  <c r="E573" i="52" s="1"/>
  <c r="E535" i="52"/>
  <c r="J557" i="52" s="1"/>
  <c r="H44" i="81"/>
  <c r="I44" i="81" s="1"/>
  <c r="H42" i="81"/>
  <c r="I42" i="81" s="1"/>
  <c r="H41" i="81"/>
  <c r="I41" i="81" s="1"/>
  <c r="H43" i="81"/>
  <c r="I43" i="81" s="1"/>
  <c r="G32" i="81"/>
  <c r="H40" i="81"/>
  <c r="I40" i="81" s="1"/>
  <c r="F32" i="81"/>
  <c r="H50" i="81"/>
  <c r="F32" i="80"/>
  <c r="E47" i="80"/>
  <c r="G121" i="13"/>
  <c r="E48" i="80"/>
  <c r="E102" i="74"/>
  <c r="E108" i="74" s="1"/>
  <c r="J127" i="74"/>
  <c r="J129" i="74" s="1"/>
  <c r="U117" i="74"/>
  <c r="U108" i="74"/>
  <c r="I108" i="74"/>
  <c r="I117" i="74"/>
  <c r="G108" i="74"/>
  <c r="G117" i="74"/>
  <c r="X108" i="74"/>
  <c r="X117" i="74"/>
  <c r="T164" i="74"/>
  <c r="T165" i="74" s="1"/>
  <c r="T102" i="74"/>
  <c r="T108" i="74" s="1"/>
  <c r="V119" i="74"/>
  <c r="V147" i="74" s="1"/>
  <c r="V127" i="74"/>
  <c r="V129" i="74" s="1"/>
  <c r="F119" i="74"/>
  <c r="F127" i="74"/>
  <c r="F129" i="74" s="1"/>
  <c r="Y127" i="74"/>
  <c r="Y129" i="74" s="1"/>
  <c r="W108" i="74"/>
  <c r="W117" i="74"/>
  <c r="H127" i="74"/>
  <c r="H129" i="74" s="1"/>
  <c r="H119" i="74"/>
  <c r="H147" i="74" s="1"/>
  <c r="K31" i="13"/>
  <c r="J26" i="13"/>
  <c r="F60" i="13" s="1"/>
  <c r="L34" i="23"/>
  <c r="P34" i="23" s="1"/>
  <c r="M170" i="23" s="1"/>
  <c r="I948" i="28"/>
  <c r="K34" i="13"/>
  <c r="I142" i="28"/>
  <c r="F151" i="28" s="1"/>
  <c r="M21" i="23"/>
  <c r="I576" i="28"/>
  <c r="I266" i="28"/>
  <c r="I328" i="28"/>
  <c r="K266" i="28"/>
  <c r="E154" i="53"/>
  <c r="K177" i="53" s="1"/>
  <c r="E156" i="53"/>
  <c r="K179" i="53" s="1"/>
  <c r="K1134" i="28"/>
  <c r="I1134" i="28"/>
  <c r="E1207" i="53"/>
  <c r="K1230" i="53" s="1"/>
  <c r="J20" i="13"/>
  <c r="F54" i="13" s="1"/>
  <c r="I1196" i="28"/>
  <c r="E999" i="53"/>
  <c r="K1022" i="53" s="1"/>
  <c r="E929" i="53"/>
  <c r="K951" i="53" s="1"/>
  <c r="L30" i="23"/>
  <c r="P30" i="23" s="1"/>
  <c r="M166" i="23" s="1"/>
  <c r="E300" i="53"/>
  <c r="K322" i="53" s="1"/>
  <c r="E1347" i="53"/>
  <c r="K1370" i="53" s="1"/>
  <c r="E229" i="53"/>
  <c r="K253" i="53" s="1"/>
  <c r="E1279" i="53"/>
  <c r="K1302" i="53" s="1"/>
  <c r="E789" i="53"/>
  <c r="K810" i="53" s="1"/>
  <c r="K638" i="28"/>
  <c r="I1010" i="28"/>
  <c r="I1072" i="28"/>
  <c r="I390" i="28"/>
  <c r="K1196" i="28"/>
  <c r="K18" i="28"/>
  <c r="I204" i="28"/>
  <c r="I452" i="28"/>
  <c r="J35" i="13"/>
  <c r="F69" i="13" s="1"/>
  <c r="E1209" i="53"/>
  <c r="K1232" i="53" s="1"/>
  <c r="K948" i="28"/>
  <c r="K204" i="28"/>
  <c r="K700" i="28"/>
  <c r="E440" i="53"/>
  <c r="K462" i="53" s="1"/>
  <c r="E85" i="53"/>
  <c r="K108" i="53" s="1"/>
  <c r="E859" i="53"/>
  <c r="K881" i="53" s="1"/>
  <c r="K142" i="28"/>
  <c r="E1139" i="53"/>
  <c r="K1162" i="53" s="1"/>
  <c r="K390" i="28"/>
  <c r="E719" i="53"/>
  <c r="K741" i="53" s="1"/>
  <c r="E1349" i="53"/>
  <c r="K1372" i="53" s="1"/>
  <c r="K1010" i="28"/>
  <c r="E579" i="53"/>
  <c r="K602" i="53" s="1"/>
  <c r="O21" i="23"/>
  <c r="K37" i="13"/>
  <c r="K32" i="13"/>
  <c r="K514" i="28"/>
  <c r="E649" i="53"/>
  <c r="K671" i="53" s="1"/>
  <c r="E1069" i="53"/>
  <c r="K1092" i="53" s="1"/>
  <c r="E83" i="53"/>
  <c r="K106" i="53" s="1"/>
  <c r="E997" i="53"/>
  <c r="K1020" i="53" s="1"/>
  <c r="E857" i="53"/>
  <c r="K879" i="53" s="1"/>
  <c r="E647" i="53"/>
  <c r="K669" i="53" s="1"/>
  <c r="K22" i="13"/>
  <c r="L27" i="23"/>
  <c r="F62" i="23" s="1"/>
  <c r="I80" i="28"/>
  <c r="F89" i="28" s="1"/>
  <c r="E787" i="53"/>
  <c r="K808" i="53" s="1"/>
  <c r="I762" i="28"/>
  <c r="I886" i="28"/>
  <c r="I18" i="28"/>
  <c r="E1137" i="53"/>
  <c r="K1160" i="53" s="1"/>
  <c r="I638" i="28"/>
  <c r="I700" i="28"/>
  <c r="E227" i="53"/>
  <c r="K251" i="53" s="1"/>
  <c r="K1072" i="28"/>
  <c r="E368" i="53"/>
  <c r="K390" i="53" s="1"/>
  <c r="E298" i="53"/>
  <c r="K320" i="53" s="1"/>
  <c r="E927" i="53"/>
  <c r="K949" i="53" s="1"/>
  <c r="J29" i="13"/>
  <c r="M29" i="13" s="1"/>
  <c r="M163" i="13" s="1"/>
  <c r="E508" i="53"/>
  <c r="K531" i="53" s="1"/>
  <c r="L29" i="23"/>
  <c r="F64" i="23" s="1"/>
  <c r="I824" i="28"/>
  <c r="E438" i="53"/>
  <c r="K460" i="53" s="1"/>
  <c r="E1067" i="53"/>
  <c r="K1090" i="53" s="1"/>
  <c r="I514" i="28"/>
  <c r="E1277" i="53"/>
  <c r="K1300" i="53" s="1"/>
  <c r="E717" i="53"/>
  <c r="K739" i="53" s="1"/>
  <c r="L21" i="23"/>
  <c r="L28" i="23"/>
  <c r="F63" i="23" s="1"/>
  <c r="E49" i="17"/>
  <c r="J15" i="48"/>
  <c r="P145" i="48"/>
  <c r="S145" i="48" s="1"/>
  <c r="E14" i="48"/>
  <c r="P135" i="48" s="1"/>
  <c r="S135" i="48" s="1"/>
  <c r="K24" i="13"/>
  <c r="L40" i="23"/>
  <c r="F75" i="23" s="1"/>
  <c r="K38" i="13"/>
  <c r="L24" i="23"/>
  <c r="F59" i="23" s="1"/>
  <c r="K36" i="13"/>
  <c r="L33" i="23"/>
  <c r="F68" i="23" s="1"/>
  <c r="I19" i="69"/>
  <c r="K452" i="28"/>
  <c r="K824" i="28"/>
  <c r="E510" i="53"/>
  <c r="K533" i="53" s="1"/>
  <c r="E370" i="53"/>
  <c r="K392" i="53" s="1"/>
  <c r="K576" i="28"/>
  <c r="K886" i="28"/>
  <c r="K80" i="28"/>
  <c r="K328" i="28"/>
  <c r="F35" i="18"/>
  <c r="G35" i="18"/>
  <c r="Z145" i="48"/>
  <c r="AC145" i="48" s="1"/>
  <c r="E145" i="48"/>
  <c r="D145" i="48"/>
  <c r="G145" i="48" s="1"/>
  <c r="L31" i="23"/>
  <c r="F66" i="23" s="1"/>
  <c r="L32" i="23"/>
  <c r="P32" i="23" s="1"/>
  <c r="M168" i="23" s="1"/>
  <c r="K30" i="13"/>
  <c r="AA145" i="48"/>
  <c r="E50" i="17"/>
  <c r="E54" i="18"/>
  <c r="K25" i="13"/>
  <c r="K27" i="13"/>
  <c r="L23" i="23"/>
  <c r="P23" i="23" s="1"/>
  <c r="M159" i="23" s="1"/>
  <c r="K41" i="23"/>
  <c r="O41" i="23" s="1"/>
  <c r="E54" i="2"/>
  <c r="I41" i="23"/>
  <c r="M41" i="23" s="1"/>
  <c r="K28" i="13"/>
  <c r="J23" i="13"/>
  <c r="F57" i="13" s="1"/>
  <c r="M23" i="23"/>
  <c r="J21" i="13"/>
  <c r="F55" i="13" s="1"/>
  <c r="L22" i="23"/>
  <c r="P22" i="23" s="1"/>
  <c r="M158" i="23" s="1"/>
  <c r="F32" i="17"/>
  <c r="L35" i="23"/>
  <c r="F70" i="23" s="1"/>
  <c r="L38" i="23"/>
  <c r="P38" i="23" s="1"/>
  <c r="M174" i="23" s="1"/>
  <c r="J57" i="2"/>
  <c r="L36" i="23"/>
  <c r="F71" i="23" s="1"/>
  <c r="G32" i="17"/>
  <c r="H39" i="13"/>
  <c r="K39" i="13" s="1"/>
  <c r="J33" i="13"/>
  <c r="M33" i="13" s="1"/>
  <c r="M167" i="13" s="1"/>
  <c r="L37" i="23"/>
  <c r="P37" i="23" s="1"/>
  <c r="M173" i="23" s="1"/>
  <c r="L25" i="23"/>
  <c r="P25" i="23" s="1"/>
  <c r="M161" i="23" s="1"/>
  <c r="L39" i="23"/>
  <c r="P39" i="23" s="1"/>
  <c r="M175" i="23" s="1"/>
  <c r="H19" i="69"/>
  <c r="L26" i="23"/>
  <c r="F61" i="23" s="1"/>
  <c r="E24" i="48"/>
  <c r="P138" i="48" s="1"/>
  <c r="S138" i="48" s="1"/>
  <c r="J56" i="2"/>
  <c r="J45" i="47"/>
  <c r="E45" i="47" s="1"/>
  <c r="F19" i="69" s="1"/>
  <c r="AB148" i="48"/>
  <c r="P148" i="48"/>
  <c r="S148" i="48" s="1"/>
  <c r="R148" i="48"/>
  <c r="D148" i="48"/>
  <c r="G148" i="48" s="1"/>
  <c r="Z148" i="48"/>
  <c r="AC148" i="48" s="1"/>
  <c r="J27" i="48"/>
  <c r="AU19" i="69"/>
  <c r="S47" i="47"/>
  <c r="AU21" i="69" s="1"/>
  <c r="Q24" i="48"/>
  <c r="Q18" i="47"/>
  <c r="V56" i="2"/>
  <c r="V34" i="47"/>
  <c r="Q34" i="47" s="1"/>
  <c r="V45" i="47"/>
  <c r="V47" i="47" s="1"/>
  <c r="Q54" i="2"/>
  <c r="E34" i="47"/>
  <c r="F36" i="47"/>
  <c r="M580" i="52"/>
  <c r="M587" i="52"/>
  <c r="M586" i="52"/>
  <c r="M583" i="52"/>
  <c r="M582" i="52"/>
  <c r="M584" i="52"/>
  <c r="M581" i="52"/>
  <c r="M585" i="52"/>
  <c r="M588" i="52"/>
  <c r="I39" i="9"/>
  <c r="L39" i="9" s="1"/>
  <c r="L19" i="9"/>
  <c r="E540" i="51"/>
  <c r="J559" i="51" s="1"/>
  <c r="I510" i="24"/>
  <c r="M852" i="51" s="1"/>
  <c r="E875" i="51"/>
  <c r="J899" i="51" s="1"/>
  <c r="E204" i="51"/>
  <c r="J224" i="51" s="1"/>
  <c r="I387" i="24"/>
  <c r="M651" i="51" s="1"/>
  <c r="I141" i="24"/>
  <c r="M248" i="51" s="1"/>
  <c r="E471" i="51"/>
  <c r="J493" i="51" s="1"/>
  <c r="I469" i="24"/>
  <c r="M785" i="51" s="1"/>
  <c r="I715" i="24"/>
  <c r="M1187" i="51" s="1"/>
  <c r="E1143" i="51"/>
  <c r="J1162" i="51" s="1"/>
  <c r="I797" i="24"/>
  <c r="M1321" i="51" s="1"/>
  <c r="I346" i="24"/>
  <c r="M584" i="51" s="1"/>
  <c r="E1076" i="51"/>
  <c r="J1097" i="51" s="1"/>
  <c r="E271" i="51"/>
  <c r="J292" i="51" s="1"/>
  <c r="E607" i="51"/>
  <c r="J628" i="51" s="1"/>
  <c r="I264" i="24"/>
  <c r="M448" i="51" s="1"/>
  <c r="I59" i="24"/>
  <c r="N114" i="51" s="1"/>
  <c r="E1210" i="51"/>
  <c r="J1231" i="51" s="1"/>
  <c r="I223" i="24"/>
  <c r="M381" i="51" s="1"/>
  <c r="E1277" i="51"/>
  <c r="J1297" i="51" s="1"/>
  <c r="E741" i="51"/>
  <c r="J759" i="51" s="1"/>
  <c r="E674" i="51"/>
  <c r="J693" i="51" s="1"/>
  <c r="I18" i="24"/>
  <c r="M51" i="51" s="1"/>
  <c r="M52" i="51" s="1"/>
  <c r="M53" i="51" s="1"/>
  <c r="M54" i="51" s="1"/>
  <c r="M55" i="51" s="1"/>
  <c r="M56" i="51" s="1"/>
  <c r="M57" i="51" s="1"/>
  <c r="M58" i="51" s="1"/>
  <c r="M59" i="51" s="1"/>
  <c r="M60" i="51" s="1"/>
  <c r="E11" i="51"/>
  <c r="J33" i="51" s="1"/>
  <c r="E808" i="51"/>
  <c r="J827" i="51" s="1"/>
  <c r="I100" i="24"/>
  <c r="M181" i="51" s="1"/>
  <c r="I305" i="24"/>
  <c r="M517" i="51" s="1"/>
  <c r="I592" i="24"/>
  <c r="M986" i="51" s="1"/>
  <c r="I182" i="24"/>
  <c r="M315" i="51" s="1"/>
  <c r="E404" i="51"/>
  <c r="J425" i="51" s="1"/>
  <c r="E71" i="51"/>
  <c r="J90" i="51" s="1"/>
  <c r="E1009" i="51"/>
  <c r="J1032" i="51" s="1"/>
  <c r="I633" i="24"/>
  <c r="M1053" i="51" s="1"/>
  <c r="E338" i="51"/>
  <c r="J358" i="51" s="1"/>
  <c r="I674" i="24"/>
  <c r="M1120" i="51" s="1"/>
  <c r="I551" i="24"/>
  <c r="M919" i="51" s="1"/>
  <c r="I756" i="24"/>
  <c r="M1254" i="51" s="1"/>
  <c r="E137" i="51"/>
  <c r="J158" i="51" s="1"/>
  <c r="E942" i="51"/>
  <c r="J965" i="51" s="1"/>
  <c r="I428" i="24"/>
  <c r="M718" i="51" s="1"/>
  <c r="E14" i="53"/>
  <c r="O1328" i="53"/>
  <c r="O1326" i="53"/>
  <c r="O1327" i="53"/>
  <c r="O1325" i="53"/>
  <c r="O420" i="53"/>
  <c r="O421" i="53"/>
  <c r="O419" i="53"/>
  <c r="O418" i="53"/>
  <c r="O277" i="53"/>
  <c r="O280" i="53"/>
  <c r="O278" i="53"/>
  <c r="O279" i="53"/>
  <c r="K31" i="9"/>
  <c r="J31" i="9"/>
  <c r="J36" i="9"/>
  <c r="K36" i="9"/>
  <c r="J35" i="9"/>
  <c r="K35" i="9"/>
  <c r="M37" i="13"/>
  <c r="M171" i="13" s="1"/>
  <c r="F71" i="13"/>
  <c r="O1046" i="53"/>
  <c r="O1045" i="53"/>
  <c r="O1047" i="53"/>
  <c r="O1048" i="53"/>
  <c r="O1257" i="53"/>
  <c r="O1258" i="53"/>
  <c r="O1256" i="53"/>
  <c r="O1255" i="53"/>
  <c r="J29" i="9"/>
  <c r="K29" i="9"/>
  <c r="K32" i="9"/>
  <c r="J32" i="9"/>
  <c r="M62" i="52"/>
  <c r="M56" i="52"/>
  <c r="M60" i="52"/>
  <c r="M63" i="52"/>
  <c r="M59" i="52"/>
  <c r="M57" i="52"/>
  <c r="M64" i="52"/>
  <c r="M58" i="52"/>
  <c r="M61" i="52"/>
  <c r="M517" i="52"/>
  <c r="M522" i="52"/>
  <c r="M515" i="52"/>
  <c r="M518" i="52"/>
  <c r="M514" i="52"/>
  <c r="M516" i="52"/>
  <c r="M521" i="52"/>
  <c r="M520" i="52"/>
  <c r="M519" i="52"/>
  <c r="M1187" i="52"/>
  <c r="M1193" i="52"/>
  <c r="M1188" i="52"/>
  <c r="M1191" i="52"/>
  <c r="M1192" i="52"/>
  <c r="M1189" i="52"/>
  <c r="M1190" i="52"/>
  <c r="M1186" i="52"/>
  <c r="M1185" i="52"/>
  <c r="G26" i="30"/>
  <c r="M36" i="13"/>
  <c r="M170" i="13" s="1"/>
  <c r="F70" i="13"/>
  <c r="O136" i="53"/>
  <c r="O134" i="53"/>
  <c r="O135" i="53"/>
  <c r="O133" i="53"/>
  <c r="O909" i="53"/>
  <c r="O907" i="53"/>
  <c r="O908" i="53"/>
  <c r="O906" i="53"/>
  <c r="K25" i="9"/>
  <c r="J25" i="9"/>
  <c r="K27" i="9"/>
  <c r="J27" i="9"/>
  <c r="J37" i="9"/>
  <c r="K37" i="9"/>
  <c r="G19" i="69"/>
  <c r="M718" i="52"/>
  <c r="M717" i="52"/>
  <c r="M720" i="52"/>
  <c r="M715" i="52"/>
  <c r="M714" i="52"/>
  <c r="M721" i="52"/>
  <c r="M719" i="52"/>
  <c r="M716" i="52"/>
  <c r="M713" i="52"/>
  <c r="M922" i="52"/>
  <c r="M916" i="52"/>
  <c r="M919" i="52"/>
  <c r="M917" i="52"/>
  <c r="M920" i="52"/>
  <c r="M915" i="52"/>
  <c r="M921" i="52"/>
  <c r="M923" i="52"/>
  <c r="M918" i="52"/>
  <c r="M450" i="52"/>
  <c r="M451" i="52"/>
  <c r="M452" i="52"/>
  <c r="M456" i="52"/>
  <c r="M455" i="52"/>
  <c r="M448" i="52"/>
  <c r="M449" i="52"/>
  <c r="M453" i="52"/>
  <c r="M454" i="52"/>
  <c r="M1321" i="52"/>
  <c r="M1323" i="52"/>
  <c r="M1320" i="52"/>
  <c r="M1325" i="52"/>
  <c r="M1322" i="52"/>
  <c r="M1326" i="52"/>
  <c r="M1324" i="52"/>
  <c r="M1319" i="52"/>
  <c r="M1327" i="52"/>
  <c r="M386" i="52"/>
  <c r="M390" i="52"/>
  <c r="M383" i="52"/>
  <c r="M389" i="52"/>
  <c r="M388" i="52"/>
  <c r="M384" i="52"/>
  <c r="M387" i="52"/>
  <c r="M382" i="52"/>
  <c r="M385" i="52"/>
  <c r="F56" i="13"/>
  <c r="M22" i="13"/>
  <c r="M156" i="13" s="1"/>
  <c r="M28" i="13"/>
  <c r="M162" i="13" s="1"/>
  <c r="F62" i="13"/>
  <c r="O60" i="53"/>
  <c r="O61" i="53"/>
  <c r="O62" i="53"/>
  <c r="O63" i="53"/>
  <c r="O837" i="53"/>
  <c r="O838" i="53"/>
  <c r="O836" i="53"/>
  <c r="O839" i="53"/>
  <c r="O696" i="53"/>
  <c r="O698" i="53"/>
  <c r="O697" i="53"/>
  <c r="O695" i="53"/>
  <c r="K30" i="9"/>
  <c r="J30" i="9"/>
  <c r="K24" i="9"/>
  <c r="J24" i="9"/>
  <c r="J33" i="9"/>
  <c r="K33" i="9"/>
  <c r="F65" i="13"/>
  <c r="M31" i="13"/>
  <c r="M165" i="13" s="1"/>
  <c r="F68" i="13"/>
  <c r="M34" i="13"/>
  <c r="M168" i="13" s="1"/>
  <c r="M321" i="52"/>
  <c r="M319" i="52"/>
  <c r="M322" i="52"/>
  <c r="M325" i="52"/>
  <c r="M323" i="52"/>
  <c r="M317" i="52"/>
  <c r="M318" i="52"/>
  <c r="M320" i="52"/>
  <c r="M324" i="52"/>
  <c r="M1059" i="52"/>
  <c r="M1053" i="52"/>
  <c r="M1055" i="52"/>
  <c r="M1057" i="52"/>
  <c r="M1054" i="52"/>
  <c r="M1051" i="52"/>
  <c r="M1056" i="52"/>
  <c r="M1058" i="52"/>
  <c r="M1052" i="52"/>
  <c r="M785" i="52"/>
  <c r="M788" i="52"/>
  <c r="M786" i="52"/>
  <c r="M782" i="52"/>
  <c r="M780" i="52"/>
  <c r="M784" i="52"/>
  <c r="M781" i="52"/>
  <c r="M783" i="52"/>
  <c r="M787" i="52"/>
  <c r="F59" i="13"/>
  <c r="M25" i="13"/>
  <c r="M159" i="13" s="1"/>
  <c r="F72" i="13"/>
  <c r="M38" i="13"/>
  <c r="M172" i="13" s="1"/>
  <c r="E414" i="54"/>
  <c r="E690" i="54"/>
  <c r="E275" i="54"/>
  <c r="E229" i="54"/>
  <c r="E920" i="54"/>
  <c r="E782" i="54"/>
  <c r="E460" i="54"/>
  <c r="E368" i="54"/>
  <c r="E45" i="54"/>
  <c r="E506" i="54"/>
  <c r="E598" i="54"/>
  <c r="E137" i="54"/>
  <c r="E91" i="54"/>
  <c r="E322" i="54"/>
  <c r="E552" i="54"/>
  <c r="E874" i="54"/>
  <c r="E183" i="54"/>
  <c r="E736" i="54"/>
  <c r="E644" i="54"/>
  <c r="E828" i="54"/>
  <c r="O206" i="53"/>
  <c r="O208" i="53"/>
  <c r="O207" i="53"/>
  <c r="O205" i="53"/>
  <c r="O767" i="53"/>
  <c r="O768" i="53"/>
  <c r="O766" i="53"/>
  <c r="O769" i="53"/>
  <c r="J20" i="9"/>
  <c r="K20" i="9"/>
  <c r="K28" i="9"/>
  <c r="J28" i="9"/>
  <c r="M1259" i="52"/>
  <c r="M1258" i="52"/>
  <c r="M1254" i="52"/>
  <c r="M1257" i="52"/>
  <c r="M1260" i="52"/>
  <c r="M1253" i="52"/>
  <c r="M1256" i="52"/>
  <c r="M1252" i="52"/>
  <c r="M1255" i="52"/>
  <c r="E19" i="47"/>
  <c r="F25" i="47"/>
  <c r="F58" i="13"/>
  <c r="M24" i="13"/>
  <c r="M158" i="13" s="1"/>
  <c r="O978" i="53"/>
  <c r="O979" i="53"/>
  <c r="O977" i="53"/>
  <c r="O976" i="53"/>
  <c r="O1117" i="53"/>
  <c r="O1118" i="53"/>
  <c r="O1115" i="53"/>
  <c r="O1116" i="53"/>
  <c r="J21" i="9"/>
  <c r="K21" i="9"/>
  <c r="E43" i="12"/>
  <c r="E72" i="12" s="1"/>
  <c r="G33" i="12"/>
  <c r="E51" i="12"/>
  <c r="M855" i="52"/>
  <c r="M852" i="52"/>
  <c r="M854" i="52"/>
  <c r="M849" i="52"/>
  <c r="M847" i="52"/>
  <c r="M848" i="52"/>
  <c r="M850" i="52"/>
  <c r="M853" i="52"/>
  <c r="M851" i="52"/>
  <c r="M251" i="52"/>
  <c r="M253" i="52"/>
  <c r="M252" i="52"/>
  <c r="M259" i="52"/>
  <c r="M255" i="52"/>
  <c r="M256" i="52"/>
  <c r="M257" i="52"/>
  <c r="M258" i="52"/>
  <c r="M254" i="52"/>
  <c r="M32" i="13"/>
  <c r="M166" i="13" s="1"/>
  <c r="F66" i="13"/>
  <c r="M649" i="52"/>
  <c r="M647" i="52"/>
  <c r="M646" i="52"/>
  <c r="M651" i="52"/>
  <c r="M653" i="52"/>
  <c r="M652" i="52"/>
  <c r="M650" i="52"/>
  <c r="M654" i="52"/>
  <c r="M648" i="52"/>
  <c r="E104" i="54"/>
  <c r="E657" i="54"/>
  <c r="E196" i="54"/>
  <c r="E841" i="54"/>
  <c r="E150" i="54"/>
  <c r="E58" i="54"/>
  <c r="E749" i="54"/>
  <c r="E288" i="54"/>
  <c r="E703" i="54"/>
  <c r="E795" i="54"/>
  <c r="E242" i="54"/>
  <c r="E12" i="54"/>
  <c r="H36" i="16"/>
  <c r="F50" i="16" s="1"/>
  <c r="G60" i="16" s="1"/>
  <c r="E427" i="54"/>
  <c r="E519" i="54"/>
  <c r="F51" i="16"/>
  <c r="E335" i="54"/>
  <c r="E565" i="54"/>
  <c r="E887" i="54"/>
  <c r="E381" i="54"/>
  <c r="E473" i="54"/>
  <c r="E611" i="54"/>
  <c r="O488" i="53"/>
  <c r="O489" i="53"/>
  <c r="O487" i="53"/>
  <c r="O486" i="53"/>
  <c r="O558" i="53"/>
  <c r="O557" i="53"/>
  <c r="O556" i="53"/>
  <c r="O555" i="53"/>
  <c r="E403" i="51"/>
  <c r="J424" i="51" s="1"/>
  <c r="E470" i="51"/>
  <c r="J492" i="51" s="1"/>
  <c r="H674" i="24"/>
  <c r="E1276" i="51"/>
  <c r="J1296" i="51" s="1"/>
  <c r="H59" i="24"/>
  <c r="E807" i="51"/>
  <c r="J826" i="51" s="1"/>
  <c r="H387" i="24"/>
  <c r="E539" i="51"/>
  <c r="J558" i="51" s="1"/>
  <c r="H715" i="24"/>
  <c r="E10" i="51"/>
  <c r="J32" i="51" s="1"/>
  <c r="H797" i="24"/>
  <c r="H756" i="24"/>
  <c r="E673" i="51"/>
  <c r="J692" i="51" s="1"/>
  <c r="E941" i="51"/>
  <c r="J964" i="51" s="1"/>
  <c r="H305" i="24"/>
  <c r="K19" i="9"/>
  <c r="J19" i="9"/>
  <c r="H100" i="24"/>
  <c r="E606" i="51"/>
  <c r="J627" i="51" s="1"/>
  <c r="E203" i="51"/>
  <c r="J223" i="51" s="1"/>
  <c r="E270" i="51"/>
  <c r="J291" i="51" s="1"/>
  <c r="H18" i="24"/>
  <c r="E740" i="51"/>
  <c r="J758" i="51" s="1"/>
  <c r="E136" i="51"/>
  <c r="J157" i="51" s="1"/>
  <c r="H223" i="24"/>
  <c r="H264" i="24"/>
  <c r="H592" i="24"/>
  <c r="H510" i="24"/>
  <c r="E874" i="51"/>
  <c r="J898" i="51" s="1"/>
  <c r="H428" i="24"/>
  <c r="H39" i="9"/>
  <c r="K39" i="9" s="1"/>
  <c r="E1142" i="51"/>
  <c r="J1161" i="51" s="1"/>
  <c r="H182" i="24"/>
  <c r="E1209" i="51"/>
  <c r="J1230" i="51" s="1"/>
  <c r="E1075" i="51"/>
  <c r="J1096" i="51" s="1"/>
  <c r="E337" i="51"/>
  <c r="J357" i="51" s="1"/>
  <c r="H633" i="24"/>
  <c r="H346" i="24"/>
  <c r="E70" i="51"/>
  <c r="J89" i="51" s="1"/>
  <c r="H551" i="24"/>
  <c r="H141" i="24"/>
  <c r="H469" i="24"/>
  <c r="E1008" i="51"/>
  <c r="J1031" i="51" s="1"/>
  <c r="J23" i="9"/>
  <c r="K23" i="9"/>
  <c r="J38" i="9"/>
  <c r="K38" i="9"/>
  <c r="M27" i="13"/>
  <c r="M161" i="13" s="1"/>
  <c r="F61" i="13"/>
  <c r="M189" i="52"/>
  <c r="M192" i="52"/>
  <c r="M188" i="52"/>
  <c r="M193" i="52"/>
  <c r="M191" i="52"/>
  <c r="M187" i="52"/>
  <c r="M190" i="52"/>
  <c r="M194" i="52"/>
  <c r="M186" i="52"/>
  <c r="M128" i="52"/>
  <c r="M121" i="52"/>
  <c r="M129" i="52"/>
  <c r="M127" i="52"/>
  <c r="M123" i="52"/>
  <c r="M124" i="52"/>
  <c r="M125" i="52"/>
  <c r="M122" i="52"/>
  <c r="M126" i="52"/>
  <c r="M1123" i="52"/>
  <c r="M1121" i="52"/>
  <c r="M1122" i="52"/>
  <c r="M1120" i="52"/>
  <c r="M1125" i="52"/>
  <c r="M1126" i="52"/>
  <c r="M1118" i="52"/>
  <c r="M1119" i="52"/>
  <c r="M1124" i="52"/>
  <c r="M983" i="52"/>
  <c r="M985" i="52"/>
  <c r="M990" i="52"/>
  <c r="M984" i="52"/>
  <c r="M988" i="52"/>
  <c r="M987" i="52"/>
  <c r="M989" i="52"/>
  <c r="M991" i="52"/>
  <c r="M986" i="52"/>
  <c r="F64" i="13"/>
  <c r="M30" i="13"/>
  <c r="M164" i="13" s="1"/>
  <c r="E339" i="52"/>
  <c r="E1074" i="52"/>
  <c r="F53" i="13"/>
  <c r="M19" i="13"/>
  <c r="M153" i="13" s="1"/>
  <c r="E603" i="52"/>
  <c r="E736" i="52"/>
  <c r="E938" i="52"/>
  <c r="E13" i="52"/>
  <c r="E870" i="52"/>
  <c r="E669" i="52"/>
  <c r="E1275" i="52"/>
  <c r="E1141" i="52"/>
  <c r="E1208" i="52"/>
  <c r="E803" i="52"/>
  <c r="E208" i="52"/>
  <c r="E405" i="52"/>
  <c r="E1006" i="52"/>
  <c r="E537" i="52"/>
  <c r="O348" i="53"/>
  <c r="O349" i="53"/>
  <c r="O346" i="53"/>
  <c r="O347" i="53"/>
  <c r="O1398" i="53"/>
  <c r="O1395" i="53"/>
  <c r="O1397" i="53"/>
  <c r="O1396" i="53"/>
  <c r="O1188" i="53"/>
  <c r="O1187" i="53"/>
  <c r="O1185" i="53"/>
  <c r="O1186" i="53"/>
  <c r="O628" i="53"/>
  <c r="O626" i="53"/>
  <c r="O627" i="53"/>
  <c r="O625" i="53"/>
  <c r="J34" i="9"/>
  <c r="K34" i="9"/>
  <c r="J26" i="9"/>
  <c r="K26" i="9"/>
  <c r="J22" i="9"/>
  <c r="K22" i="9"/>
  <c r="R47" i="47"/>
  <c r="AT19" i="69"/>
  <c r="S19" i="69"/>
  <c r="R36" i="47"/>
  <c r="U21" i="69"/>
  <c r="T65" i="47"/>
  <c r="T17" i="48"/>
  <c r="T18" i="48" s="1"/>
  <c r="T26" i="48" s="1"/>
  <c r="AV21" i="69"/>
  <c r="R25" i="47"/>
  <c r="Q25" i="47" s="1"/>
  <c r="Q19" i="47"/>
  <c r="AW21" i="69"/>
  <c r="U65" i="47"/>
  <c r="U17" i="48"/>
  <c r="U18" i="48" s="1"/>
  <c r="U26" i="48" s="1"/>
  <c r="G764" i="30" l="1"/>
  <c r="B4" i="65"/>
  <c r="E48" i="52"/>
  <c r="I26" i="30"/>
  <c r="G600" i="30"/>
  <c r="G770" i="28"/>
  <c r="E897" i="53" s="1"/>
  <c r="E371" i="53"/>
  <c r="E639" i="52"/>
  <c r="E1043" i="52"/>
  <c r="G436" i="30"/>
  <c r="G723" i="30"/>
  <c r="E441" i="52"/>
  <c r="E114" i="52"/>
  <c r="G477" i="30"/>
  <c r="E1312" i="52"/>
  <c r="G231" i="30"/>
  <c r="E507" i="52"/>
  <c r="E244" i="52"/>
  <c r="E1111" i="52"/>
  <c r="G190" i="30"/>
  <c r="G518" i="30"/>
  <c r="G354" i="30"/>
  <c r="G559" i="30"/>
  <c r="G108" i="30"/>
  <c r="E471" i="52"/>
  <c r="E273" i="52"/>
  <c r="E78" i="52"/>
  <c r="E143" i="52"/>
  <c r="H23" i="47"/>
  <c r="E22" i="47"/>
  <c r="G66" i="69"/>
  <c r="I66" i="69"/>
  <c r="I46" i="47"/>
  <c r="I47" i="47" s="1"/>
  <c r="M26" i="13"/>
  <c r="M160" i="13" s="1"/>
  <c r="E502" i="52" s="1"/>
  <c r="F66" i="69"/>
  <c r="F46" i="47"/>
  <c r="F47" i="47" s="1"/>
  <c r="G21" i="69" s="1"/>
  <c r="J148" i="74"/>
  <c r="J167" i="74"/>
  <c r="J168" i="74" s="1"/>
  <c r="F148" i="74"/>
  <c r="I127" i="74"/>
  <c r="I129" i="74" s="1"/>
  <c r="I119" i="74"/>
  <c r="I147" i="74" s="1"/>
  <c r="H167" i="74"/>
  <c r="H168" i="74" s="1"/>
  <c r="H176" i="74" s="1"/>
  <c r="H148" i="74"/>
  <c r="F147" i="74"/>
  <c r="E117" i="74"/>
  <c r="W119" i="74"/>
  <c r="W147" i="74" s="1"/>
  <c r="W127" i="74"/>
  <c r="W129" i="74" s="1"/>
  <c r="X119" i="74"/>
  <c r="X147" i="74" s="1"/>
  <c r="X127" i="74"/>
  <c r="X129" i="74" s="1"/>
  <c r="U127" i="74"/>
  <c r="T117" i="74"/>
  <c r="U119" i="74"/>
  <c r="V167" i="74"/>
  <c r="V168" i="74" s="1"/>
  <c r="V176" i="74" s="1"/>
  <c r="V148" i="74"/>
  <c r="G119" i="74"/>
  <c r="G147" i="74" s="1"/>
  <c r="G127" i="74"/>
  <c r="G129" i="74" s="1"/>
  <c r="Y167" i="74"/>
  <c r="Y168" i="74" s="1"/>
  <c r="Y148" i="74"/>
  <c r="F69" i="23"/>
  <c r="G956" i="28"/>
  <c r="E1107" i="53" s="1"/>
  <c r="G584" i="28"/>
  <c r="H584" i="28" s="1"/>
  <c r="G274" i="28"/>
  <c r="E338" i="53" s="1"/>
  <c r="G336" i="28"/>
  <c r="H336" i="28" s="1"/>
  <c r="G150" i="28"/>
  <c r="E196" i="53" s="1"/>
  <c r="M20" i="13"/>
  <c r="M154" i="13" s="1"/>
  <c r="E109" i="52" s="1"/>
  <c r="G1142" i="28"/>
  <c r="E1317" i="53" s="1"/>
  <c r="F67" i="23"/>
  <c r="F65" i="23"/>
  <c r="G1204" i="28"/>
  <c r="E1387" i="53" s="1"/>
  <c r="G460" i="28"/>
  <c r="H460" i="28" s="1"/>
  <c r="G212" i="28"/>
  <c r="H212" i="28" s="1"/>
  <c r="G708" i="28"/>
  <c r="H708" i="28" s="1"/>
  <c r="G1080" i="28"/>
  <c r="E1247" i="53" s="1"/>
  <c r="G1018" i="28"/>
  <c r="H1018" i="28" s="1"/>
  <c r="G26" i="28"/>
  <c r="E52" i="53" s="1"/>
  <c r="G398" i="28"/>
  <c r="H398" i="28" s="1"/>
  <c r="G646" i="28"/>
  <c r="E757" i="53" s="1"/>
  <c r="M35" i="13"/>
  <c r="M169" i="13" s="1"/>
  <c r="G88" i="28"/>
  <c r="E124" i="53" s="1"/>
  <c r="G894" i="28"/>
  <c r="E1037" i="53" s="1"/>
  <c r="P28" i="23"/>
  <c r="M164" i="23" s="1"/>
  <c r="F73" i="23"/>
  <c r="G522" i="28"/>
  <c r="H522" i="28" s="1"/>
  <c r="F138" i="48"/>
  <c r="P35" i="23"/>
  <c r="M171" i="23" s="1"/>
  <c r="F67" i="13"/>
  <c r="M21" i="13"/>
  <c r="M155" i="13" s="1"/>
  <c r="E174" i="52" s="1"/>
  <c r="J47" i="47"/>
  <c r="AA135" i="48"/>
  <c r="D135" i="48"/>
  <c r="G135" i="48" s="1"/>
  <c r="E720" i="53"/>
  <c r="F63" i="13"/>
  <c r="P24" i="23"/>
  <c r="M160" i="23" s="1"/>
  <c r="P27" i="23"/>
  <c r="M163" i="23" s="1"/>
  <c r="F27" i="28"/>
  <c r="P40" i="23"/>
  <c r="M176" i="23" s="1"/>
  <c r="E580" i="53"/>
  <c r="E1210" i="53"/>
  <c r="E230" i="53"/>
  <c r="E157" i="53"/>
  <c r="E790" i="53"/>
  <c r="E1140" i="53"/>
  <c r="E441" i="53"/>
  <c r="P29" i="23"/>
  <c r="M165" i="23" s="1"/>
  <c r="E860" i="53"/>
  <c r="P21" i="23"/>
  <c r="M157" i="23" s="1"/>
  <c r="E1242" i="53" s="1"/>
  <c r="E930" i="53"/>
  <c r="E650" i="53"/>
  <c r="E1350" i="53"/>
  <c r="E301" i="53"/>
  <c r="E1000" i="53"/>
  <c r="E15" i="48"/>
  <c r="E511" i="53"/>
  <c r="E1280" i="53"/>
  <c r="F56" i="23"/>
  <c r="Q135" i="48"/>
  <c r="Z135" i="48"/>
  <c r="AC135" i="48" s="1"/>
  <c r="E135" i="48"/>
  <c r="E86" i="53"/>
  <c r="E1070" i="53"/>
  <c r="G832" i="28"/>
  <c r="E967" i="53" s="1"/>
  <c r="P33" i="23"/>
  <c r="M169" i="23" s="1"/>
  <c r="D138" i="48"/>
  <c r="G138" i="48" s="1"/>
  <c r="R138" i="48"/>
  <c r="Z138" i="48"/>
  <c r="AC138" i="48" s="1"/>
  <c r="AB138" i="48"/>
  <c r="M23" i="13"/>
  <c r="M157" i="13" s="1"/>
  <c r="E305" i="52" s="1"/>
  <c r="F60" i="23"/>
  <c r="F74" i="23"/>
  <c r="P31" i="23"/>
  <c r="M167" i="23" s="1"/>
  <c r="F72" i="23"/>
  <c r="F58" i="23"/>
  <c r="P36" i="23"/>
  <c r="M172" i="23" s="1"/>
  <c r="J39" i="13"/>
  <c r="F52" i="13" s="1"/>
  <c r="K55" i="13" s="1"/>
  <c r="K19" i="69"/>
  <c r="F57" i="23"/>
  <c r="L41" i="23"/>
  <c r="P41" i="23" s="1"/>
  <c r="M156" i="23" s="1"/>
  <c r="P26" i="23"/>
  <c r="M162" i="23" s="1"/>
  <c r="T21" i="69"/>
  <c r="S65" i="47"/>
  <c r="S17" i="48"/>
  <c r="S18" i="48" s="1"/>
  <c r="S26" i="48" s="1"/>
  <c r="V61" i="74" s="1"/>
  <c r="AX19" i="69"/>
  <c r="Q45" i="47"/>
  <c r="R19" i="69" s="1"/>
  <c r="I57" i="16"/>
  <c r="I58" i="16"/>
  <c r="G59" i="16"/>
  <c r="G52" i="16"/>
  <c r="G68" i="16"/>
  <c r="G54" i="16"/>
  <c r="K56" i="16"/>
  <c r="I52" i="16"/>
  <c r="I65" i="16"/>
  <c r="K61" i="16"/>
  <c r="G62" i="16"/>
  <c r="I53" i="16"/>
  <c r="I61" i="16"/>
  <c r="K62" i="16"/>
  <c r="I59" i="16"/>
  <c r="G53" i="16"/>
  <c r="F69" i="9"/>
  <c r="M34" i="9"/>
  <c r="M173" i="9" s="1"/>
  <c r="E779" i="51"/>
  <c r="F477" i="24"/>
  <c r="G477" i="24" s="1"/>
  <c r="F272" i="24"/>
  <c r="G272" i="24" s="1"/>
  <c r="H272" i="24" s="1"/>
  <c r="F108" i="24"/>
  <c r="G108" i="24" s="1"/>
  <c r="H108" i="24" s="1"/>
  <c r="G57" i="16"/>
  <c r="G66" i="16"/>
  <c r="K66" i="16"/>
  <c r="I55" i="16"/>
  <c r="K57" i="16"/>
  <c r="I70" i="16"/>
  <c r="K59" i="16"/>
  <c r="K53" i="16"/>
  <c r="I66" i="16"/>
  <c r="K63" i="16"/>
  <c r="K58" i="16"/>
  <c r="K54" i="16"/>
  <c r="K68" i="16"/>
  <c r="K55" i="16"/>
  <c r="K70" i="16"/>
  <c r="K52" i="16"/>
  <c r="G61" i="16"/>
  <c r="I62" i="16"/>
  <c r="K60" i="16"/>
  <c r="K67" i="16"/>
  <c r="I63" i="16"/>
  <c r="I68" i="16"/>
  <c r="F149" i="24"/>
  <c r="G149" i="24" s="1"/>
  <c r="H149" i="24" s="1"/>
  <c r="F190" i="24"/>
  <c r="G190" i="24" s="1"/>
  <c r="H190" i="24" s="1"/>
  <c r="F231" i="24"/>
  <c r="G231" i="24" s="1"/>
  <c r="H231" i="24" s="1"/>
  <c r="E339" i="51"/>
  <c r="E405" i="51"/>
  <c r="E12" i="51"/>
  <c r="E272" i="51"/>
  <c r="E472" i="51"/>
  <c r="E72" i="51"/>
  <c r="E608" i="51"/>
  <c r="E1077" i="51"/>
  <c r="M19" i="9"/>
  <c r="M158" i="9" s="1"/>
  <c r="E943" i="51"/>
  <c r="E1211" i="51"/>
  <c r="E1010" i="51"/>
  <c r="E541" i="51"/>
  <c r="E1278" i="51"/>
  <c r="E809" i="51"/>
  <c r="E742" i="51"/>
  <c r="E138" i="51"/>
  <c r="E675" i="51"/>
  <c r="E876" i="51"/>
  <c r="J39" i="9"/>
  <c r="E1144" i="51"/>
  <c r="E205" i="51"/>
  <c r="F54" i="9"/>
  <c r="E1181" i="51"/>
  <c r="F723" i="24"/>
  <c r="G723" i="24" s="1"/>
  <c r="F55" i="9"/>
  <c r="M20" i="9"/>
  <c r="M159" i="9" s="1"/>
  <c r="G69" i="16"/>
  <c r="M1263" i="51"/>
  <c r="M1262" i="51"/>
  <c r="M1259" i="51"/>
  <c r="M1258" i="51"/>
  <c r="M1255" i="51"/>
  <c r="M1261" i="51"/>
  <c r="M1256" i="51"/>
  <c r="M1260" i="51"/>
  <c r="M1257" i="51"/>
  <c r="M316" i="51"/>
  <c r="M321" i="51"/>
  <c r="M324" i="51"/>
  <c r="M318" i="51"/>
  <c r="M323" i="51"/>
  <c r="M319" i="51"/>
  <c r="M317" i="51"/>
  <c r="M320" i="51"/>
  <c r="M322" i="51"/>
  <c r="M660" i="51"/>
  <c r="M659" i="51"/>
  <c r="M658" i="51"/>
  <c r="M654" i="51"/>
  <c r="M652" i="51"/>
  <c r="M653" i="51"/>
  <c r="M657" i="51"/>
  <c r="M656" i="51"/>
  <c r="M655" i="51"/>
  <c r="M32" i="9"/>
  <c r="M171" i="9" s="1"/>
  <c r="F67" i="9"/>
  <c r="F70" i="9"/>
  <c r="M35" i="9"/>
  <c r="M174" i="9" s="1"/>
  <c r="M927" i="51"/>
  <c r="M928" i="51"/>
  <c r="M922" i="51"/>
  <c r="M926" i="51"/>
  <c r="M921" i="51"/>
  <c r="M925" i="51"/>
  <c r="M920" i="51"/>
  <c r="M923" i="51"/>
  <c r="M924" i="51"/>
  <c r="M987" i="51"/>
  <c r="M990" i="51"/>
  <c r="M993" i="51"/>
  <c r="M992" i="51"/>
  <c r="M988" i="51"/>
  <c r="M995" i="51"/>
  <c r="M991" i="51"/>
  <c r="M994" i="51"/>
  <c r="M989" i="51"/>
  <c r="M586" i="51"/>
  <c r="M592" i="51"/>
  <c r="M590" i="51"/>
  <c r="M587" i="51"/>
  <c r="M593" i="51"/>
  <c r="M589" i="51"/>
  <c r="M588" i="51"/>
  <c r="M585" i="51"/>
  <c r="M591" i="51"/>
  <c r="E436" i="52"/>
  <c r="E634" i="52"/>
  <c r="E1038" i="52"/>
  <c r="E1106" i="52"/>
  <c r="E902" i="52"/>
  <c r="E1173" i="52"/>
  <c r="E970" i="52"/>
  <c r="E1307" i="52"/>
  <c r="E239" i="52"/>
  <c r="E1240" i="52"/>
  <c r="E701" i="52"/>
  <c r="E835" i="52"/>
  <c r="E768" i="52"/>
  <c r="E44" i="52"/>
  <c r="E370" i="52"/>
  <c r="E568" i="52"/>
  <c r="E913" i="51"/>
  <c r="F559" i="24"/>
  <c r="G559" i="24" s="1"/>
  <c r="F313" i="24"/>
  <c r="G313" i="24" s="1"/>
  <c r="H313" i="24" s="1"/>
  <c r="F395" i="24"/>
  <c r="G395" i="24" s="1"/>
  <c r="E645" i="51"/>
  <c r="G65" i="16"/>
  <c r="I54" i="16"/>
  <c r="G56" i="16"/>
  <c r="G55" i="16"/>
  <c r="K64" i="16"/>
  <c r="F72" i="9"/>
  <c r="M37" i="9"/>
  <c r="M176" i="9" s="1"/>
  <c r="M1126" i="51"/>
  <c r="M1125" i="51"/>
  <c r="M1121" i="51"/>
  <c r="M1122" i="51"/>
  <c r="M1127" i="51"/>
  <c r="M1129" i="51"/>
  <c r="M1124" i="51"/>
  <c r="M1123" i="51"/>
  <c r="M1128" i="51"/>
  <c r="M525" i="51"/>
  <c r="M526" i="51"/>
  <c r="M521" i="51"/>
  <c r="M520" i="51"/>
  <c r="M523" i="51"/>
  <c r="M519" i="51"/>
  <c r="M524" i="51"/>
  <c r="M522" i="51"/>
  <c r="M518" i="51"/>
  <c r="M382" i="51"/>
  <c r="M385" i="51"/>
  <c r="M390" i="51"/>
  <c r="M384" i="51"/>
  <c r="M389" i="51"/>
  <c r="M387" i="51"/>
  <c r="M388" i="51"/>
  <c r="M386" i="51"/>
  <c r="M383" i="51"/>
  <c r="M1325" i="51"/>
  <c r="M1328" i="51"/>
  <c r="M1329" i="51"/>
  <c r="M1330" i="51"/>
  <c r="M1323" i="51"/>
  <c r="M1324" i="51"/>
  <c r="M1326" i="51"/>
  <c r="M1327" i="51"/>
  <c r="M1322" i="51"/>
  <c r="F57" i="9"/>
  <c r="M22" i="9"/>
  <c r="M161" i="9" s="1"/>
  <c r="F73" i="9"/>
  <c r="M38" i="9"/>
  <c r="M177" i="9" s="1"/>
  <c r="F354" i="24"/>
  <c r="G354" i="24" s="1"/>
  <c r="H354" i="24" s="1"/>
  <c r="E712" i="51"/>
  <c r="F436" i="24"/>
  <c r="G436" i="24" s="1"/>
  <c r="F26" i="24"/>
  <c r="K65" i="16"/>
  <c r="F56" i="9"/>
  <c r="M21" i="9"/>
  <c r="M160" i="9" s="1"/>
  <c r="G70" i="16"/>
  <c r="G58" i="16"/>
  <c r="F68" i="9"/>
  <c r="M33" i="9"/>
  <c r="M172" i="9" s="1"/>
  <c r="I56" i="16"/>
  <c r="I64" i="16"/>
  <c r="M27" i="9"/>
  <c r="M166" i="9" s="1"/>
  <c r="F62" i="9"/>
  <c r="M36" i="9"/>
  <c r="M175" i="9" s="1"/>
  <c r="F71" i="9"/>
  <c r="E47" i="53"/>
  <c r="M253" i="51"/>
  <c r="M184" i="51"/>
  <c r="M257" i="51"/>
  <c r="M185" i="51"/>
  <c r="M188" i="51"/>
  <c r="M249" i="51"/>
  <c r="M182" i="51"/>
  <c r="M189" i="51"/>
  <c r="M251" i="51"/>
  <c r="M250" i="51"/>
  <c r="M190" i="51"/>
  <c r="M252" i="51"/>
  <c r="M255" i="51"/>
  <c r="M186" i="51"/>
  <c r="M183" i="51"/>
  <c r="M256" i="51"/>
  <c r="M254" i="51"/>
  <c r="M187" i="51"/>
  <c r="M860" i="51"/>
  <c r="M857" i="51"/>
  <c r="M855" i="51"/>
  <c r="M856" i="51"/>
  <c r="M858" i="51"/>
  <c r="M853" i="51"/>
  <c r="M859" i="51"/>
  <c r="M854" i="51"/>
  <c r="M861" i="51"/>
  <c r="E36" i="47"/>
  <c r="F64" i="47"/>
  <c r="E1047" i="51"/>
  <c r="F641" i="24"/>
  <c r="G641" i="24" s="1"/>
  <c r="F67" i="24"/>
  <c r="G67" i="24" s="1"/>
  <c r="H67" i="24" s="1"/>
  <c r="G51" i="16"/>
  <c r="K51" i="16"/>
  <c r="I51" i="16"/>
  <c r="F59" i="9"/>
  <c r="M24" i="9"/>
  <c r="M163" i="9" s="1"/>
  <c r="M29" i="9"/>
  <c r="M168" i="9" s="1"/>
  <c r="F64" i="9"/>
  <c r="M31" i="9"/>
  <c r="M170" i="9" s="1"/>
  <c r="F66" i="9"/>
  <c r="M1062" i="51"/>
  <c r="M1054" i="51"/>
  <c r="M1061" i="51"/>
  <c r="M1056" i="51"/>
  <c r="M1058" i="51"/>
  <c r="M1060" i="51"/>
  <c r="M1055" i="51"/>
  <c r="M1059" i="51"/>
  <c r="M1057" i="51"/>
  <c r="N120" i="51"/>
  <c r="N123" i="51"/>
  <c r="N115" i="51"/>
  <c r="N121" i="51"/>
  <c r="N122" i="51"/>
  <c r="N117" i="51"/>
  <c r="N116" i="51"/>
  <c r="N118" i="51"/>
  <c r="N119" i="51"/>
  <c r="M1193" i="51"/>
  <c r="M1192" i="51"/>
  <c r="M1195" i="51"/>
  <c r="M1189" i="51"/>
  <c r="M1194" i="51"/>
  <c r="M1191" i="51"/>
  <c r="M1196" i="51"/>
  <c r="M1190" i="51"/>
  <c r="M1188" i="51"/>
  <c r="F61" i="9"/>
  <c r="M26" i="9"/>
  <c r="M165" i="9" s="1"/>
  <c r="M23" i="9"/>
  <c r="M162" i="9" s="1"/>
  <c r="F58" i="9"/>
  <c r="E846" i="51"/>
  <c r="F518" i="24"/>
  <c r="G518" i="24" s="1"/>
  <c r="E1248" i="51"/>
  <c r="F764" i="24"/>
  <c r="G764" i="24" s="1"/>
  <c r="M28" i="9"/>
  <c r="M167" i="9" s="1"/>
  <c r="F63" i="9"/>
  <c r="I60" i="16"/>
  <c r="I69" i="16"/>
  <c r="G64" i="16"/>
  <c r="M25" i="9"/>
  <c r="M164" i="9" s="1"/>
  <c r="F60" i="9"/>
  <c r="I67" i="16"/>
  <c r="M720" i="51"/>
  <c r="M725" i="51"/>
  <c r="M724" i="51"/>
  <c r="M726" i="51"/>
  <c r="M722" i="51"/>
  <c r="M723" i="51"/>
  <c r="M721" i="51"/>
  <c r="M727" i="51"/>
  <c r="M719" i="51"/>
  <c r="M452" i="51"/>
  <c r="M457" i="51"/>
  <c r="M456" i="51"/>
  <c r="M453" i="51"/>
  <c r="M451" i="51"/>
  <c r="M454" i="51"/>
  <c r="M450" i="51"/>
  <c r="M455" i="51"/>
  <c r="M449" i="51"/>
  <c r="M794" i="51"/>
  <c r="M791" i="51"/>
  <c r="M788" i="51"/>
  <c r="M792" i="51"/>
  <c r="M789" i="51"/>
  <c r="M787" i="51"/>
  <c r="M786" i="51"/>
  <c r="M790" i="51"/>
  <c r="M793" i="51"/>
  <c r="F600" i="24"/>
  <c r="G600" i="24" s="1"/>
  <c r="E980" i="51"/>
  <c r="E1315" i="51"/>
  <c r="F805" i="24"/>
  <c r="G805" i="24" s="1"/>
  <c r="F682" i="24"/>
  <c r="G682" i="24" s="1"/>
  <c r="E1114" i="51"/>
  <c r="M30" i="9"/>
  <c r="M169" i="9" s="1"/>
  <c r="F65" i="9"/>
  <c r="K69" i="16"/>
  <c r="G67" i="16"/>
  <c r="G63" i="16"/>
  <c r="W61" i="74"/>
  <c r="T27" i="48"/>
  <c r="X61" i="74"/>
  <c r="U27" i="48"/>
  <c r="Q36" i="47"/>
  <c r="R64" i="47"/>
  <c r="Q64" i="47" s="1"/>
  <c r="R65" i="47"/>
  <c r="S21" i="69"/>
  <c r="Q47" i="47"/>
  <c r="AT21" i="69"/>
  <c r="V65" i="47"/>
  <c r="AX21" i="69"/>
  <c r="V17" i="48"/>
  <c r="V18" i="48" s="1"/>
  <c r="J26" i="30" l="1"/>
  <c r="E49" i="52"/>
  <c r="B5" i="57"/>
  <c r="G21" i="57" s="1"/>
  <c r="B28" i="57"/>
  <c r="G44" i="57" s="1"/>
  <c r="B49" i="57"/>
  <c r="G65" i="57" s="1"/>
  <c r="B12" i="61"/>
  <c r="E577" i="51"/>
  <c r="I354" i="24"/>
  <c r="B11" i="61"/>
  <c r="E510" i="51"/>
  <c r="I313" i="24"/>
  <c r="B10" i="61"/>
  <c r="E441" i="51"/>
  <c r="I272" i="24"/>
  <c r="B9" i="61"/>
  <c r="E374" i="51"/>
  <c r="I231" i="24"/>
  <c r="B8" i="61"/>
  <c r="E308" i="51"/>
  <c r="I190" i="24"/>
  <c r="E241" i="51"/>
  <c r="B7" i="61"/>
  <c r="I149" i="24"/>
  <c r="E174" i="51"/>
  <c r="B6" i="61"/>
  <c r="I108" i="24"/>
  <c r="G26" i="24"/>
  <c r="H26" i="24" s="1"/>
  <c r="B4" i="61" s="1"/>
  <c r="E107" i="51"/>
  <c r="B5" i="61"/>
  <c r="I67" i="24"/>
  <c r="H770" i="28"/>
  <c r="F65" i="47"/>
  <c r="I125" i="9" s="1"/>
  <c r="H25" i="47"/>
  <c r="E25" i="47" s="1"/>
  <c r="E23" i="47"/>
  <c r="G46" i="47"/>
  <c r="G47" i="47" s="1"/>
  <c r="H21" i="69" s="1"/>
  <c r="I65" i="47"/>
  <c r="I17" i="48"/>
  <c r="J21" i="69"/>
  <c r="H66" i="69"/>
  <c r="G64" i="69" s="1"/>
  <c r="E11" i="69" s="1"/>
  <c r="H46" i="47"/>
  <c r="H47" i="47" s="1"/>
  <c r="T127" i="74"/>
  <c r="G148" i="74"/>
  <c r="G167" i="74"/>
  <c r="G168" i="74" s="1"/>
  <c r="G176" i="74" s="1"/>
  <c r="E129" i="74"/>
  <c r="E127" i="74"/>
  <c r="U129" i="74"/>
  <c r="T119" i="74"/>
  <c r="U147" i="74"/>
  <c r="T147" i="74" s="1"/>
  <c r="I148" i="74"/>
  <c r="I167" i="74"/>
  <c r="I168" i="74" s="1"/>
  <c r="I176" i="74" s="1"/>
  <c r="E147" i="74"/>
  <c r="E119" i="74"/>
  <c r="F167" i="74"/>
  <c r="X148" i="74"/>
  <c r="X167" i="74"/>
  <c r="X168" i="74" s="1"/>
  <c r="X176" i="74" s="1"/>
  <c r="V184" i="74"/>
  <c r="V186" i="74" s="1"/>
  <c r="V177" i="74"/>
  <c r="W167" i="74"/>
  <c r="W168" i="74" s="1"/>
  <c r="W176" i="74" s="1"/>
  <c r="W148" i="74"/>
  <c r="H184" i="74"/>
  <c r="H186" i="74" s="1"/>
  <c r="H177" i="74"/>
  <c r="H956" i="28"/>
  <c r="H150" i="28"/>
  <c r="H274" i="28"/>
  <c r="E687" i="53"/>
  <c r="E408" i="53"/>
  <c r="H1204" i="28"/>
  <c r="H1142" i="28"/>
  <c r="H88" i="28"/>
  <c r="E827" i="53"/>
  <c r="H26" i="28"/>
  <c r="E1177" i="53"/>
  <c r="E547" i="53"/>
  <c r="H646" i="28"/>
  <c r="H1080" i="28"/>
  <c r="E268" i="53"/>
  <c r="E478" i="53"/>
  <c r="J65" i="47"/>
  <c r="H894" i="28"/>
  <c r="K21" i="69"/>
  <c r="J17" i="48"/>
  <c r="Z146" i="48" s="1"/>
  <c r="AC146" i="48" s="1"/>
  <c r="E617" i="53"/>
  <c r="H832" i="28"/>
  <c r="E1312" i="53"/>
  <c r="N1324" i="53" s="1"/>
  <c r="E822" i="53"/>
  <c r="N835" i="53" s="1"/>
  <c r="E612" i="53"/>
  <c r="N626" i="53" s="1"/>
  <c r="E892" i="53"/>
  <c r="N908" i="53" s="1"/>
  <c r="E1032" i="53"/>
  <c r="N1047" i="53" s="1"/>
  <c r="E1382" i="53"/>
  <c r="N1398" i="53" s="1"/>
  <c r="E682" i="53"/>
  <c r="N694" i="53" s="1"/>
  <c r="E333" i="53"/>
  <c r="N347" i="53" s="1"/>
  <c r="E1102" i="53"/>
  <c r="N1114" i="53" s="1"/>
  <c r="E263" i="53"/>
  <c r="N280" i="53" s="1"/>
  <c r="E191" i="53"/>
  <c r="N205" i="53" s="1"/>
  <c r="E403" i="53"/>
  <c r="N417" i="53" s="1"/>
  <c r="E962" i="53"/>
  <c r="N978" i="53" s="1"/>
  <c r="E473" i="53"/>
  <c r="N488" i="53" s="1"/>
  <c r="E1172" i="53"/>
  <c r="N1184" i="53" s="1"/>
  <c r="E752" i="53"/>
  <c r="N767" i="53" s="1"/>
  <c r="E119" i="53"/>
  <c r="N135" i="53" s="1"/>
  <c r="E542" i="53"/>
  <c r="N555" i="53" s="1"/>
  <c r="M39" i="13"/>
  <c r="M152" i="13" s="1"/>
  <c r="F55" i="23"/>
  <c r="K61" i="23" s="1"/>
  <c r="S27" i="48"/>
  <c r="I56" i="13"/>
  <c r="AS19" i="69"/>
  <c r="K59" i="13"/>
  <c r="G56" i="13"/>
  <c r="I71" i="13"/>
  <c r="G59" i="13"/>
  <c r="I58" i="13"/>
  <c r="G60" i="13"/>
  <c r="I59" i="13"/>
  <c r="G69" i="13"/>
  <c r="K69" i="13"/>
  <c r="G71" i="13"/>
  <c r="G57" i="13"/>
  <c r="G72" i="13"/>
  <c r="G54" i="13"/>
  <c r="K56" i="13"/>
  <c r="G58" i="13"/>
  <c r="I72" i="13"/>
  <c r="M53" i="16"/>
  <c r="F89" i="16" s="1"/>
  <c r="G89" i="16" s="1"/>
  <c r="I89" i="16" s="1"/>
  <c r="F124" i="16" s="1"/>
  <c r="G124" i="16" s="1"/>
  <c r="I69" i="13"/>
  <c r="K58" i="13"/>
  <c r="K72" i="13"/>
  <c r="M56" i="16"/>
  <c r="F92" i="16" s="1"/>
  <c r="G92" i="16" s="1"/>
  <c r="I92" i="16" s="1"/>
  <c r="F127" i="16" s="1"/>
  <c r="G127" i="16" s="1"/>
  <c r="I57" i="13"/>
  <c r="K60" i="13"/>
  <c r="M59" i="16"/>
  <c r="F95" i="16" s="1"/>
  <c r="G95" i="16" s="1"/>
  <c r="I95" i="16" s="1"/>
  <c r="F130" i="16" s="1"/>
  <c r="G130" i="16" s="1"/>
  <c r="M55" i="16"/>
  <c r="F91" i="16" s="1"/>
  <c r="M57" i="16"/>
  <c r="F93" i="16" s="1"/>
  <c r="G93" i="16" s="1"/>
  <c r="I93" i="16" s="1"/>
  <c r="F128" i="16" s="1"/>
  <c r="G128" i="16" s="1"/>
  <c r="M62" i="16"/>
  <c r="F98" i="16" s="1"/>
  <c r="G98" i="16" s="1"/>
  <c r="I98" i="16" s="1"/>
  <c r="F133" i="16" s="1"/>
  <c r="G133" i="16" s="1"/>
  <c r="K62" i="13"/>
  <c r="I66" i="13"/>
  <c r="R17" i="48"/>
  <c r="Q17" i="48" s="1"/>
  <c r="Q18" i="48" s="1"/>
  <c r="G68" i="13"/>
  <c r="I68" i="13"/>
  <c r="M61" i="16"/>
  <c r="F97" i="16" s="1"/>
  <c r="G97" i="16" s="1"/>
  <c r="I97" i="16" s="1"/>
  <c r="F132" i="16" s="1"/>
  <c r="G132" i="16" s="1"/>
  <c r="K68" i="13"/>
  <c r="M65" i="16"/>
  <c r="F101" i="16" s="1"/>
  <c r="G101" i="16" s="1"/>
  <c r="I101" i="16" s="1"/>
  <c r="F136" i="16" s="1"/>
  <c r="G136" i="16" s="1"/>
  <c r="M52" i="16"/>
  <c r="F88" i="16" s="1"/>
  <c r="M58" i="16"/>
  <c r="F94" i="16" s="1"/>
  <c r="G94" i="16" s="1"/>
  <c r="I94" i="16" s="1"/>
  <c r="F129" i="16" s="1"/>
  <c r="G129" i="16" s="1"/>
  <c r="M60" i="16"/>
  <c r="F96" i="16" s="1"/>
  <c r="G96" i="16" s="1"/>
  <c r="I96" i="16" s="1"/>
  <c r="F131" i="16" s="1"/>
  <c r="G131" i="16" s="1"/>
  <c r="I63" i="13"/>
  <c r="L1259" i="52"/>
  <c r="L1252" i="52"/>
  <c r="L1253" i="52"/>
  <c r="L1255" i="52"/>
  <c r="L1254" i="52"/>
  <c r="L1260" i="52"/>
  <c r="L1257" i="52"/>
  <c r="L1251" i="52"/>
  <c r="L1258" i="52"/>
  <c r="L1256" i="52"/>
  <c r="L125" i="52"/>
  <c r="L120" i="52"/>
  <c r="L124" i="52"/>
  <c r="L127" i="52"/>
  <c r="L122" i="52"/>
  <c r="L121" i="52"/>
  <c r="L129" i="52"/>
  <c r="L128" i="52"/>
  <c r="L123" i="52"/>
  <c r="L126" i="52"/>
  <c r="E841" i="51"/>
  <c r="E1042" i="51"/>
  <c r="E1176" i="51"/>
  <c r="E304" i="51"/>
  <c r="E1109" i="51"/>
  <c r="E103" i="51"/>
  <c r="E707" i="51"/>
  <c r="E1310" i="51"/>
  <c r="E975" i="51"/>
  <c r="E640" i="51"/>
  <c r="E908" i="51"/>
  <c r="E41" i="51"/>
  <c r="E370" i="51"/>
  <c r="E437" i="51"/>
  <c r="E774" i="51"/>
  <c r="E573" i="51"/>
  <c r="E506" i="51"/>
  <c r="E237" i="51"/>
  <c r="E170" i="51"/>
  <c r="E1243" i="51"/>
  <c r="M67" i="16"/>
  <c r="F103" i="16" s="1"/>
  <c r="G103" i="16" s="1"/>
  <c r="I103" i="16" s="1"/>
  <c r="F138" i="16" s="1"/>
  <c r="G138" i="16" s="1"/>
  <c r="K71" i="13"/>
  <c r="N1256" i="53"/>
  <c r="N1258" i="53"/>
  <c r="N1255" i="53"/>
  <c r="N1254" i="53"/>
  <c r="N1257" i="53"/>
  <c r="L259" i="52"/>
  <c r="L251" i="52"/>
  <c r="L257" i="52"/>
  <c r="L255" i="52"/>
  <c r="L250" i="52"/>
  <c r="L253" i="52"/>
  <c r="L252" i="52"/>
  <c r="L256" i="52"/>
  <c r="L258" i="52"/>
  <c r="L254" i="52"/>
  <c r="L1053" i="52"/>
  <c r="L1050" i="52"/>
  <c r="L1056" i="52"/>
  <c r="L1051" i="52"/>
  <c r="L1055" i="52"/>
  <c r="L1059" i="52"/>
  <c r="L1058" i="52"/>
  <c r="L1054" i="52"/>
  <c r="L1057" i="52"/>
  <c r="L1052" i="52"/>
  <c r="K63" i="13"/>
  <c r="G62" i="13"/>
  <c r="G64" i="13"/>
  <c r="I70" i="13"/>
  <c r="K66" i="13"/>
  <c r="M54" i="16"/>
  <c r="F90" i="16" s="1"/>
  <c r="E64" i="47"/>
  <c r="E52" i="12"/>
  <c r="G125" i="9"/>
  <c r="N59" i="53"/>
  <c r="N63" i="53"/>
  <c r="N60" i="53"/>
  <c r="N61" i="53"/>
  <c r="N62" i="53"/>
  <c r="L583" i="52"/>
  <c r="L585" i="52"/>
  <c r="L581" i="52"/>
  <c r="L588" i="52"/>
  <c r="L582" i="52"/>
  <c r="L579" i="52"/>
  <c r="L580" i="52"/>
  <c r="L584" i="52"/>
  <c r="L586" i="52"/>
  <c r="L587" i="52"/>
  <c r="L1327" i="52"/>
  <c r="L1319" i="52"/>
  <c r="L1325" i="52"/>
  <c r="L1320" i="52"/>
  <c r="L1318" i="52"/>
  <c r="L1326" i="52"/>
  <c r="L1323" i="52"/>
  <c r="L1322" i="52"/>
  <c r="L1321" i="52"/>
  <c r="L1324" i="52"/>
  <c r="L654" i="52"/>
  <c r="L645" i="52"/>
  <c r="L647" i="52"/>
  <c r="L649" i="52"/>
  <c r="L646" i="52"/>
  <c r="L650" i="52"/>
  <c r="L651" i="52"/>
  <c r="L653" i="52"/>
  <c r="L648" i="52"/>
  <c r="L652" i="52"/>
  <c r="G65" i="13"/>
  <c r="I64" i="13"/>
  <c r="G66" i="13"/>
  <c r="E662" i="54"/>
  <c r="E340" i="54"/>
  <c r="I71" i="16"/>
  <c r="E708" i="54"/>
  <c r="E386" i="54"/>
  <c r="E63" i="54"/>
  <c r="E247" i="54"/>
  <c r="E616" i="54"/>
  <c r="E892" i="54"/>
  <c r="E17" i="54"/>
  <c r="E524" i="54"/>
  <c r="E570" i="54"/>
  <c r="E478" i="54"/>
  <c r="E754" i="54"/>
  <c r="E155" i="54"/>
  <c r="E201" i="54"/>
  <c r="E800" i="54"/>
  <c r="E846" i="54"/>
  <c r="E432" i="54"/>
  <c r="E293" i="54"/>
  <c r="E109" i="54"/>
  <c r="I60" i="13"/>
  <c r="I54" i="13"/>
  <c r="G53" i="13"/>
  <c r="L387" i="52"/>
  <c r="L382" i="52"/>
  <c r="L390" i="52"/>
  <c r="L385" i="52"/>
  <c r="L388" i="52"/>
  <c r="L381" i="52"/>
  <c r="L383" i="52"/>
  <c r="L384" i="52"/>
  <c r="L389" i="52"/>
  <c r="L386" i="52"/>
  <c r="L983" i="52"/>
  <c r="L987" i="52"/>
  <c r="L984" i="52"/>
  <c r="L982" i="52"/>
  <c r="L988" i="52"/>
  <c r="L991" i="52"/>
  <c r="L985" i="52"/>
  <c r="L986" i="52"/>
  <c r="L990" i="52"/>
  <c r="L989" i="52"/>
  <c r="L185" i="52"/>
  <c r="L188" i="52"/>
  <c r="L193" i="52"/>
  <c r="L186" i="52"/>
  <c r="L187" i="52"/>
  <c r="L191" i="52"/>
  <c r="L190" i="52"/>
  <c r="L189" i="52"/>
  <c r="L192" i="52"/>
  <c r="L194" i="52"/>
  <c r="I65" i="13"/>
  <c r="F17" i="48"/>
  <c r="M63" i="16"/>
  <c r="F99" i="16" s="1"/>
  <c r="G99" i="16" s="1"/>
  <c r="I99" i="16" s="1"/>
  <c r="F134" i="16" s="1"/>
  <c r="G134" i="16" s="1"/>
  <c r="M66" i="16"/>
  <c r="F102" i="16" s="1"/>
  <c r="I61" i="13"/>
  <c r="E387" i="54"/>
  <c r="E801" i="54"/>
  <c r="E571" i="54"/>
  <c r="E709" i="54"/>
  <c r="E893" i="54"/>
  <c r="E202" i="54"/>
  <c r="E341" i="54"/>
  <c r="E479" i="54"/>
  <c r="E525" i="54"/>
  <c r="E755" i="54"/>
  <c r="K71" i="16"/>
  <c r="E294" i="54"/>
  <c r="E847" i="54"/>
  <c r="E433" i="54"/>
  <c r="E18" i="54"/>
  <c r="E110" i="54"/>
  <c r="E64" i="54"/>
  <c r="E663" i="54"/>
  <c r="E617" i="54"/>
  <c r="E248" i="54"/>
  <c r="E156" i="54"/>
  <c r="I53" i="13"/>
  <c r="L64" i="52"/>
  <c r="L61" i="52"/>
  <c r="L57" i="52"/>
  <c r="L63" i="52"/>
  <c r="L62" i="52"/>
  <c r="L60" i="52"/>
  <c r="L56" i="52"/>
  <c r="L58" i="52"/>
  <c r="L59" i="52"/>
  <c r="L55" i="52"/>
  <c r="L517" i="52"/>
  <c r="L520" i="52"/>
  <c r="L513" i="52"/>
  <c r="L515" i="52"/>
  <c r="L522" i="52"/>
  <c r="L516" i="52"/>
  <c r="L519" i="52"/>
  <c r="L518" i="52"/>
  <c r="L521" i="52"/>
  <c r="L514" i="52"/>
  <c r="L452" i="52"/>
  <c r="L449" i="52"/>
  <c r="L456" i="52"/>
  <c r="L450" i="52"/>
  <c r="L455" i="52"/>
  <c r="L447" i="52"/>
  <c r="L448" i="52"/>
  <c r="L451" i="52"/>
  <c r="L453" i="52"/>
  <c r="L454" i="52"/>
  <c r="K67" i="13"/>
  <c r="K65" i="13"/>
  <c r="M68" i="16"/>
  <c r="F104" i="16" s="1"/>
  <c r="G61" i="13"/>
  <c r="E292" i="54"/>
  <c r="G71" i="16"/>
  <c r="E16" i="54"/>
  <c r="E385" i="54"/>
  <c r="E431" i="54"/>
  <c r="E569" i="54"/>
  <c r="E707" i="54"/>
  <c r="E753" i="54"/>
  <c r="E246" i="54"/>
  <c r="E477" i="54"/>
  <c r="E154" i="54"/>
  <c r="E339" i="54"/>
  <c r="E523" i="54"/>
  <c r="E661" i="54"/>
  <c r="E200" i="54"/>
  <c r="E845" i="54"/>
  <c r="E62" i="54"/>
  <c r="E891" i="54"/>
  <c r="M51" i="16"/>
  <c r="E108" i="54"/>
  <c r="E799" i="54"/>
  <c r="E615" i="54"/>
  <c r="K54" i="13"/>
  <c r="K53" i="13"/>
  <c r="L785" i="52"/>
  <c r="L780" i="52"/>
  <c r="L787" i="52"/>
  <c r="L786" i="52"/>
  <c r="L788" i="52"/>
  <c r="L779" i="52"/>
  <c r="L784" i="52"/>
  <c r="L782" i="52"/>
  <c r="L781" i="52"/>
  <c r="L783" i="52"/>
  <c r="L1192" i="52"/>
  <c r="L1191" i="52"/>
  <c r="L1184" i="52"/>
  <c r="L1185" i="52"/>
  <c r="L1193" i="52"/>
  <c r="L1190" i="52"/>
  <c r="L1189" i="52"/>
  <c r="L1188" i="52"/>
  <c r="L1186" i="52"/>
  <c r="L1187" i="52"/>
  <c r="L319" i="52"/>
  <c r="L318" i="52"/>
  <c r="L321" i="52"/>
  <c r="L323" i="52"/>
  <c r="L324" i="52"/>
  <c r="L317" i="52"/>
  <c r="L316" i="52"/>
  <c r="L320" i="52"/>
  <c r="L325" i="52"/>
  <c r="L322" i="52"/>
  <c r="G67" i="13"/>
  <c r="G55" i="13"/>
  <c r="F53" i="9"/>
  <c r="I59" i="9" s="1"/>
  <c r="M39" i="9"/>
  <c r="M157" i="9" s="1"/>
  <c r="K61" i="13"/>
  <c r="L855" i="52"/>
  <c r="L848" i="52"/>
  <c r="L847" i="52"/>
  <c r="L854" i="52"/>
  <c r="L850" i="52"/>
  <c r="L851" i="52"/>
  <c r="L846" i="52"/>
  <c r="L852" i="52"/>
  <c r="L849" i="52"/>
  <c r="L853" i="52"/>
  <c r="L919" i="52"/>
  <c r="L922" i="52"/>
  <c r="L914" i="52"/>
  <c r="L915" i="52"/>
  <c r="L918" i="52"/>
  <c r="L920" i="52"/>
  <c r="L921" i="52"/>
  <c r="L923" i="52"/>
  <c r="L916" i="52"/>
  <c r="L917" i="52"/>
  <c r="I67" i="13"/>
  <c r="M69" i="16"/>
  <c r="F105" i="16" s="1"/>
  <c r="G105" i="16" s="1"/>
  <c r="I105" i="16" s="1"/>
  <c r="F140" i="16" s="1"/>
  <c r="G140" i="16" s="1"/>
  <c r="M64" i="16"/>
  <c r="F100" i="16" s="1"/>
  <c r="G100" i="16" s="1"/>
  <c r="I100" i="16" s="1"/>
  <c r="F135" i="16" s="1"/>
  <c r="G135" i="16" s="1"/>
  <c r="K70" i="13"/>
  <c r="G70" i="13"/>
  <c r="K57" i="13"/>
  <c r="L718" i="52"/>
  <c r="L716" i="52"/>
  <c r="L719" i="52"/>
  <c r="L713" i="52"/>
  <c r="L715" i="52"/>
  <c r="L721" i="52"/>
  <c r="L717" i="52"/>
  <c r="L720" i="52"/>
  <c r="L714" i="52"/>
  <c r="L712" i="52"/>
  <c r="L1122" i="52"/>
  <c r="L1119" i="52"/>
  <c r="L1120" i="52"/>
  <c r="L1118" i="52"/>
  <c r="L1124" i="52"/>
  <c r="L1125" i="52"/>
  <c r="L1123" i="52"/>
  <c r="L1126" i="52"/>
  <c r="L1117" i="52"/>
  <c r="L1121" i="52"/>
  <c r="G63" i="13"/>
  <c r="I62" i="13"/>
  <c r="I55" i="13"/>
  <c r="K64" i="13"/>
  <c r="M70" i="16"/>
  <c r="F106" i="16" s="1"/>
  <c r="G106" i="16" s="1"/>
  <c r="I106" i="16" s="1"/>
  <c r="F141" i="16" s="1"/>
  <c r="G141" i="16" s="1"/>
  <c r="R21" i="69"/>
  <c r="AS21" i="69"/>
  <c r="Q53" i="47"/>
  <c r="L13" i="75"/>
  <c r="N33" i="75" s="1"/>
  <c r="N46" i="75" s="1"/>
  <c r="X63" i="74"/>
  <c r="L15" i="75" s="1"/>
  <c r="W63" i="74"/>
  <c r="K15" i="75" s="1"/>
  <c r="K13" i="75"/>
  <c r="M33" i="75" s="1"/>
  <c r="M46" i="75" s="1"/>
  <c r="Q65" i="47"/>
  <c r="V63" i="74"/>
  <c r="J15" i="75" s="1"/>
  <c r="J13" i="75"/>
  <c r="L33" i="75" s="1"/>
  <c r="L46" i="75" s="1"/>
  <c r="J52" i="13" l="1"/>
  <c r="J73" i="13" s="1"/>
  <c r="J354" i="24"/>
  <c r="E578" i="51"/>
  <c r="J313" i="24"/>
  <c r="E511" i="51"/>
  <c r="J272" i="24"/>
  <c r="E442" i="51"/>
  <c r="J231" i="24"/>
  <c r="E375" i="51"/>
  <c r="J190" i="24"/>
  <c r="E309" i="51"/>
  <c r="I26" i="24"/>
  <c r="J26" i="24" s="1"/>
  <c r="E45" i="51"/>
  <c r="J149" i="24"/>
  <c r="E242" i="51"/>
  <c r="J108" i="24"/>
  <c r="E175" i="51"/>
  <c r="J67" i="24"/>
  <c r="E108" i="51"/>
  <c r="K47" i="81"/>
  <c r="K47" i="82"/>
  <c r="K48" i="82" s="1"/>
  <c r="K50" i="82" s="1"/>
  <c r="E53" i="12"/>
  <c r="E54" i="12" s="1"/>
  <c r="E62" i="12" s="1"/>
  <c r="E63" i="12" s="1"/>
  <c r="E73" i="12" s="1"/>
  <c r="E74" i="12" s="1"/>
  <c r="G17" i="48"/>
  <c r="D166" i="48" s="1"/>
  <c r="G166" i="48" s="1"/>
  <c r="G65" i="47"/>
  <c r="Q186" i="48"/>
  <c r="Q190" i="48" s="1"/>
  <c r="T186" i="48" s="1"/>
  <c r="I18" i="48"/>
  <c r="I26" i="48" s="1"/>
  <c r="P189" i="48"/>
  <c r="S189" i="48" s="1"/>
  <c r="F189" i="48"/>
  <c r="I189" i="48" s="1"/>
  <c r="D186" i="48"/>
  <c r="G186" i="48" s="1"/>
  <c r="R189" i="48"/>
  <c r="U189" i="48" s="1"/>
  <c r="P186" i="48"/>
  <c r="S186" i="48" s="1"/>
  <c r="AA186" i="48"/>
  <c r="AA190" i="48" s="1"/>
  <c r="AD186" i="48" s="1"/>
  <c r="D189" i="48"/>
  <c r="G189" i="48" s="1"/>
  <c r="Z186" i="48"/>
  <c r="AC186" i="48" s="1"/>
  <c r="E186" i="48"/>
  <c r="E190" i="48" s="1"/>
  <c r="H186" i="48" s="1"/>
  <c r="Z189" i="48"/>
  <c r="AC189" i="48" s="1"/>
  <c r="AB189" i="48"/>
  <c r="AE189" i="48" s="1"/>
  <c r="I121" i="16"/>
  <c r="E23" i="19"/>
  <c r="E24" i="19" s="1"/>
  <c r="E32" i="19" s="1"/>
  <c r="E33" i="19" s="1"/>
  <c r="E40" i="19" s="1"/>
  <c r="E41" i="19" s="1"/>
  <c r="I21" i="69"/>
  <c r="H17" i="48"/>
  <c r="H65" i="47"/>
  <c r="E47" i="47"/>
  <c r="E148" i="74"/>
  <c r="X150" i="74" s="1"/>
  <c r="E167" i="74"/>
  <c r="E168" i="74" s="1"/>
  <c r="F168" i="74"/>
  <c r="F176" i="74" s="1"/>
  <c r="U167" i="74"/>
  <c r="T129" i="74"/>
  <c r="U148" i="74"/>
  <c r="T148" i="74" s="1"/>
  <c r="X184" i="74"/>
  <c r="X177" i="74"/>
  <c r="K134" i="74"/>
  <c r="E135" i="74"/>
  <c r="W184" i="74"/>
  <c r="W186" i="74" s="1"/>
  <c r="W177" i="74"/>
  <c r="G184" i="74"/>
  <c r="G186" i="74" s="1"/>
  <c r="G177" i="74"/>
  <c r="I184" i="74"/>
  <c r="I38" i="69" s="1"/>
  <c r="I40" i="69" s="1"/>
  <c r="I177" i="74"/>
  <c r="D146" i="48"/>
  <c r="G146" i="48" s="1"/>
  <c r="N839" i="53"/>
  <c r="N837" i="53"/>
  <c r="N133" i="53"/>
  <c r="N1044" i="53"/>
  <c r="N979" i="53"/>
  <c r="N1045" i="53"/>
  <c r="P149" i="48"/>
  <c r="S149" i="48" s="1"/>
  <c r="Q146" i="48"/>
  <c r="Q150" i="48" s="1"/>
  <c r="T146" i="48" s="1"/>
  <c r="AB149" i="48"/>
  <c r="AB150" i="48" s="1"/>
  <c r="AE148" i="48" s="1"/>
  <c r="AA146" i="48"/>
  <c r="AA150" i="48" s="1"/>
  <c r="AD146" i="48" s="1"/>
  <c r="F149" i="48"/>
  <c r="F150" i="48" s="1"/>
  <c r="I148" i="48" s="1"/>
  <c r="E146" i="48"/>
  <c r="E150" i="48" s="1"/>
  <c r="H146" i="48" s="1"/>
  <c r="J18" i="48"/>
  <c r="Z149" i="48"/>
  <c r="AC149" i="48" s="1"/>
  <c r="D149" i="48"/>
  <c r="G149" i="48" s="1"/>
  <c r="R149" i="48"/>
  <c r="R150" i="48" s="1"/>
  <c r="U148" i="48" s="1"/>
  <c r="P146" i="48"/>
  <c r="S146" i="48" s="1"/>
  <c r="N487" i="53"/>
  <c r="N1325" i="53"/>
  <c r="N1115" i="53"/>
  <c r="N1326" i="53"/>
  <c r="N1117" i="53"/>
  <c r="N345" i="53"/>
  <c r="N698" i="53"/>
  <c r="N204" i="53"/>
  <c r="N909" i="53"/>
  <c r="N1327" i="53"/>
  <c r="N906" i="53"/>
  <c r="N1328" i="53"/>
  <c r="N905" i="53"/>
  <c r="N134" i="53"/>
  <c r="N1118" i="53"/>
  <c r="N1116" i="53"/>
  <c r="N907" i="53"/>
  <c r="N207" i="53"/>
  <c r="N206" i="53"/>
  <c r="N208" i="53"/>
  <c r="N975" i="53"/>
  <c r="N697" i="53"/>
  <c r="N420" i="53"/>
  <c r="N1046" i="53"/>
  <c r="N1395" i="53"/>
  <c r="N419" i="53"/>
  <c r="N558" i="53"/>
  <c r="N556" i="53"/>
  <c r="N136" i="53"/>
  <c r="N1397" i="53"/>
  <c r="N624" i="53"/>
  <c r="N485" i="53"/>
  <c r="N486" i="53"/>
  <c r="N1394" i="53"/>
  <c r="N838" i="53"/>
  <c r="N421" i="53"/>
  <c r="N277" i="53"/>
  <c r="N836" i="53"/>
  <c r="N625" i="53"/>
  <c r="N1396" i="53"/>
  <c r="N489" i="53"/>
  <c r="N278" i="53"/>
  <c r="N276" i="53"/>
  <c r="N418" i="53"/>
  <c r="N628" i="53"/>
  <c r="N279" i="53"/>
  <c r="N627" i="53"/>
  <c r="N557" i="53"/>
  <c r="N554" i="53"/>
  <c r="N695" i="53"/>
  <c r="N976" i="53"/>
  <c r="N1048" i="53"/>
  <c r="N696" i="53"/>
  <c r="N348" i="53"/>
  <c r="N346" i="53"/>
  <c r="N977" i="53"/>
  <c r="N349" i="53"/>
  <c r="N765" i="53"/>
  <c r="N766" i="53"/>
  <c r="N768" i="53"/>
  <c r="N1188" i="53"/>
  <c r="N769" i="53"/>
  <c r="N1185" i="53"/>
  <c r="N1186" i="53"/>
  <c r="N1187" i="53"/>
  <c r="N132" i="53"/>
  <c r="I72" i="23"/>
  <c r="I70" i="23"/>
  <c r="K59" i="23"/>
  <c r="K64" i="23"/>
  <c r="I73" i="23"/>
  <c r="I65" i="23"/>
  <c r="G69" i="23"/>
  <c r="I67" i="23"/>
  <c r="G64" i="23"/>
  <c r="K69" i="23"/>
  <c r="K75" i="23"/>
  <c r="I74" i="23"/>
  <c r="K72" i="23"/>
  <c r="G56" i="23"/>
  <c r="G73" i="23"/>
  <c r="I68" i="23"/>
  <c r="G67" i="23"/>
  <c r="I64" i="23"/>
  <c r="G65" i="23"/>
  <c r="G62" i="23"/>
  <c r="G58" i="23"/>
  <c r="K62" i="23"/>
  <c r="G61" i="23"/>
  <c r="K58" i="23"/>
  <c r="K70" i="23"/>
  <c r="I71" i="23"/>
  <c r="K65" i="23"/>
  <c r="I63" i="23"/>
  <c r="G68" i="23"/>
  <c r="I57" i="23"/>
  <c r="I66" i="23"/>
  <c r="I61" i="23"/>
  <c r="I69" i="23"/>
  <c r="G71" i="23"/>
  <c r="I75" i="23"/>
  <c r="G60" i="23"/>
  <c r="G57" i="23"/>
  <c r="G59" i="23"/>
  <c r="G63" i="23"/>
  <c r="G70" i="23"/>
  <c r="G72" i="23"/>
  <c r="I60" i="23"/>
  <c r="G66" i="23"/>
  <c r="K74" i="23"/>
  <c r="K57" i="23"/>
  <c r="K66" i="23"/>
  <c r="I56" i="23"/>
  <c r="K60" i="23"/>
  <c r="K68" i="23"/>
  <c r="G75" i="23"/>
  <c r="G74" i="23"/>
  <c r="K73" i="23"/>
  <c r="I62" i="23"/>
  <c r="I59" i="23"/>
  <c r="K67" i="23"/>
  <c r="K71" i="23"/>
  <c r="K63" i="23"/>
  <c r="I58" i="23"/>
  <c r="K56" i="23"/>
  <c r="K59" i="9"/>
  <c r="R18" i="48"/>
  <c r="R26" i="48" s="1"/>
  <c r="U61" i="74" s="1"/>
  <c r="M56" i="13"/>
  <c r="F91" i="13" s="1"/>
  <c r="M59" i="13"/>
  <c r="F94" i="13" s="1"/>
  <c r="G94" i="13" s="1"/>
  <c r="M60" i="13"/>
  <c r="F95" i="13" s="1"/>
  <c r="G95" i="13" s="1"/>
  <c r="M71" i="13"/>
  <c r="F106" i="13" s="1"/>
  <c r="G106" i="13" s="1"/>
  <c r="I106" i="13" s="1"/>
  <c r="F140" i="13" s="1"/>
  <c r="G140" i="13" s="1"/>
  <c r="M69" i="13"/>
  <c r="F104" i="13" s="1"/>
  <c r="G104" i="13" s="1"/>
  <c r="I104" i="13" s="1"/>
  <c r="F138" i="13" s="1"/>
  <c r="G138" i="13" s="1"/>
  <c r="M57" i="13"/>
  <c r="F92" i="13" s="1"/>
  <c r="G92" i="13" s="1"/>
  <c r="M72" i="13"/>
  <c r="F107" i="13" s="1"/>
  <c r="G107" i="13" s="1"/>
  <c r="I107" i="13" s="1"/>
  <c r="F141" i="13" s="1"/>
  <c r="G141" i="13" s="1"/>
  <c r="M58" i="13"/>
  <c r="F93" i="13" s="1"/>
  <c r="G93" i="13" s="1"/>
  <c r="G69" i="9"/>
  <c r="G58" i="9"/>
  <c r="E20" i="53"/>
  <c r="M63" i="13"/>
  <c r="F98" i="13" s="1"/>
  <c r="G98" i="13" s="1"/>
  <c r="I98" i="13" s="1"/>
  <c r="F132" i="13" s="1"/>
  <c r="G132" i="13" s="1"/>
  <c r="K175" i="54"/>
  <c r="K66" i="9"/>
  <c r="K821" i="54"/>
  <c r="K454" i="54"/>
  <c r="K56" i="9"/>
  <c r="M68" i="13"/>
  <c r="F103" i="13" s="1"/>
  <c r="G103" i="13" s="1"/>
  <c r="I103" i="13" s="1"/>
  <c r="F137" i="13" s="1"/>
  <c r="G137" i="13" s="1"/>
  <c r="K774" i="54"/>
  <c r="I56" i="9"/>
  <c r="K499" i="54"/>
  <c r="G68" i="9"/>
  <c r="M66" i="13"/>
  <c r="F101" i="13" s="1"/>
  <c r="G101" i="13" s="1"/>
  <c r="I101" i="13" s="1"/>
  <c r="F135" i="13" s="1"/>
  <c r="G135" i="13" s="1"/>
  <c r="K65" i="9"/>
  <c r="M67" i="13"/>
  <c r="F102" i="13" s="1"/>
  <c r="G102" i="13" s="1"/>
  <c r="I102" i="13" s="1"/>
  <c r="F136" i="13" s="1"/>
  <c r="G136" i="13" s="1"/>
  <c r="K129" i="54"/>
  <c r="K69" i="9"/>
  <c r="I68" i="9"/>
  <c r="K914" i="54"/>
  <c r="K84" i="54"/>
  <c r="K867" i="54"/>
  <c r="K222" i="54"/>
  <c r="K729" i="54"/>
  <c r="K638" i="54"/>
  <c r="K684" i="54"/>
  <c r="K592" i="54"/>
  <c r="K545" i="54"/>
  <c r="K363" i="54"/>
  <c r="K408" i="54"/>
  <c r="F87" i="16"/>
  <c r="G90" i="16" s="1"/>
  <c r="I90" i="16" s="1"/>
  <c r="F125" i="16" s="1"/>
  <c r="M50" i="16"/>
  <c r="F86" i="16" s="1"/>
  <c r="K39" i="54"/>
  <c r="L453" i="51"/>
  <c r="L448" i="51"/>
  <c r="L450" i="51"/>
  <c r="L456" i="51"/>
  <c r="L451" i="51"/>
  <c r="L452" i="51"/>
  <c r="L457" i="51"/>
  <c r="L455" i="51"/>
  <c r="L454" i="51"/>
  <c r="L449" i="51"/>
  <c r="M120" i="51"/>
  <c r="M114" i="51"/>
  <c r="M116" i="51"/>
  <c r="M117" i="51"/>
  <c r="M121" i="51"/>
  <c r="M122" i="51"/>
  <c r="M118" i="51"/>
  <c r="M123" i="51"/>
  <c r="M115" i="51"/>
  <c r="M119" i="51"/>
  <c r="G102" i="16"/>
  <c r="I102" i="16" s="1"/>
  <c r="F137" i="16" s="1"/>
  <c r="G137" i="16" s="1"/>
  <c r="K62" i="9"/>
  <c r="L384" i="51"/>
  <c r="L386" i="51"/>
  <c r="L385" i="51"/>
  <c r="L387" i="51"/>
  <c r="L382" i="51"/>
  <c r="L390" i="51"/>
  <c r="L388" i="51"/>
  <c r="L389" i="51"/>
  <c r="L383" i="51"/>
  <c r="L381" i="51"/>
  <c r="L1121" i="51"/>
  <c r="L1123" i="51"/>
  <c r="L1120" i="51"/>
  <c r="L1126" i="51"/>
  <c r="L1129" i="51"/>
  <c r="L1127" i="51"/>
  <c r="L1128" i="51"/>
  <c r="L1124" i="51"/>
  <c r="L1125" i="51"/>
  <c r="L1122" i="51"/>
  <c r="M70" i="13"/>
  <c r="F105" i="13" s="1"/>
  <c r="G105" i="13" s="1"/>
  <c r="I105" i="13" s="1"/>
  <c r="F139" i="13" s="1"/>
  <c r="G139" i="13" s="1"/>
  <c r="K72" i="9"/>
  <c r="G59" i="9"/>
  <c r="K67" i="9"/>
  <c r="I66" i="9"/>
  <c r="I67" i="9"/>
  <c r="G64" i="9"/>
  <c r="G66" i="9"/>
  <c r="K55" i="9"/>
  <c r="I70" i="9"/>
  <c r="K54" i="9"/>
  <c r="I54" i="9"/>
  <c r="I63" i="9"/>
  <c r="K64" i="9"/>
  <c r="I61" i="9"/>
  <c r="I60" i="9"/>
  <c r="I69" i="9"/>
  <c r="I73" i="9"/>
  <c r="I72" i="9"/>
  <c r="G72" i="9"/>
  <c r="I57" i="9"/>
  <c r="G65" i="9"/>
  <c r="I62" i="9"/>
  <c r="G61" i="9"/>
  <c r="K58" i="9"/>
  <c r="I58" i="9"/>
  <c r="I65" i="9"/>
  <c r="K70" i="9"/>
  <c r="I71" i="9"/>
  <c r="I64" i="9"/>
  <c r="K63" i="9"/>
  <c r="K71" i="9"/>
  <c r="K60" i="9"/>
  <c r="K73" i="9"/>
  <c r="I55" i="9"/>
  <c r="G57" i="9"/>
  <c r="G71" i="9"/>
  <c r="G55" i="9"/>
  <c r="G62" i="9"/>
  <c r="K68" i="9"/>
  <c r="K266" i="54"/>
  <c r="K314" i="54"/>
  <c r="M64" i="13"/>
  <c r="F99" i="13" s="1"/>
  <c r="G99" i="13" s="1"/>
  <c r="I99" i="13" s="1"/>
  <c r="F133" i="13" s="1"/>
  <c r="G133" i="13" s="1"/>
  <c r="L1262" i="51"/>
  <c r="L1258" i="51"/>
  <c r="L1263" i="51"/>
  <c r="L1260" i="51"/>
  <c r="L1259" i="51"/>
  <c r="L1254" i="51"/>
  <c r="L1255" i="51"/>
  <c r="L1256" i="51"/>
  <c r="L1257" i="51"/>
  <c r="L1261" i="51"/>
  <c r="L60" i="51"/>
  <c r="L54" i="51"/>
  <c r="L56" i="51"/>
  <c r="L58" i="51"/>
  <c r="L57" i="51"/>
  <c r="L51" i="51"/>
  <c r="L55" i="51"/>
  <c r="L53" i="51"/>
  <c r="L59" i="51"/>
  <c r="L52" i="51"/>
  <c r="L317" i="51"/>
  <c r="L319" i="51"/>
  <c r="L321" i="51"/>
  <c r="L315" i="51"/>
  <c r="L318" i="51"/>
  <c r="L316" i="51"/>
  <c r="L323" i="51"/>
  <c r="L320" i="51"/>
  <c r="L324" i="51"/>
  <c r="L322" i="51"/>
  <c r="E19" i="53"/>
  <c r="M55" i="13"/>
  <c r="F90" i="13" s="1"/>
  <c r="E1080" i="52"/>
  <c r="E675" i="52"/>
  <c r="E809" i="52"/>
  <c r="E1214" i="52"/>
  <c r="E1147" i="52"/>
  <c r="E214" i="52"/>
  <c r="E609" i="52"/>
  <c r="K73" i="13"/>
  <c r="E345" i="52"/>
  <c r="E19" i="52"/>
  <c r="E742" i="52"/>
  <c r="E411" i="52"/>
  <c r="E543" i="52"/>
  <c r="E876" i="52"/>
  <c r="E279" i="52"/>
  <c r="E1281" i="52"/>
  <c r="E1012" i="52"/>
  <c r="E84" i="52"/>
  <c r="E944" i="52"/>
  <c r="E149" i="52"/>
  <c r="E477" i="52"/>
  <c r="G60" i="9"/>
  <c r="F18" i="48"/>
  <c r="F26" i="48" s="1"/>
  <c r="P159" i="48"/>
  <c r="S159" i="48" s="1"/>
  <c r="Q156" i="48"/>
  <c r="P156" i="48"/>
  <c r="S156" i="48" s="1"/>
  <c r="E156" i="48"/>
  <c r="D159" i="48"/>
  <c r="G159" i="48" s="1"/>
  <c r="F159" i="48"/>
  <c r="I159" i="48" s="1"/>
  <c r="Z156" i="48"/>
  <c r="AC156" i="48" s="1"/>
  <c r="Z159" i="48"/>
  <c r="AC159" i="48" s="1"/>
  <c r="D156" i="48"/>
  <c r="G156" i="48" s="1"/>
  <c r="AA156" i="48"/>
  <c r="AB159" i="48"/>
  <c r="AE159" i="48" s="1"/>
  <c r="R159" i="48"/>
  <c r="U159" i="48" s="1"/>
  <c r="G54" i="9"/>
  <c r="K61" i="9"/>
  <c r="M62" i="13"/>
  <c r="F97" i="13" s="1"/>
  <c r="G97" i="13" s="1"/>
  <c r="I97" i="13" s="1"/>
  <c r="F131" i="13" s="1"/>
  <c r="G131" i="13" s="1"/>
  <c r="L187" i="51"/>
  <c r="L248" i="51"/>
  <c r="L253" i="51"/>
  <c r="L182" i="51"/>
  <c r="L185" i="51"/>
  <c r="L184" i="51"/>
  <c r="L252" i="51"/>
  <c r="L190" i="51"/>
  <c r="L250" i="51"/>
  <c r="L254" i="51"/>
  <c r="L257" i="51"/>
  <c r="L181" i="51"/>
  <c r="L249" i="51"/>
  <c r="L255" i="51"/>
  <c r="L188" i="51"/>
  <c r="L189" i="51"/>
  <c r="L256" i="51"/>
  <c r="L251" i="51"/>
  <c r="L186" i="51"/>
  <c r="L183" i="51"/>
  <c r="L923" i="51"/>
  <c r="L924" i="51"/>
  <c r="L927" i="51"/>
  <c r="L922" i="51"/>
  <c r="L928" i="51"/>
  <c r="L925" i="51"/>
  <c r="L926" i="51"/>
  <c r="L921" i="51"/>
  <c r="L920" i="51"/>
  <c r="L919" i="51"/>
  <c r="L1196" i="51"/>
  <c r="L1194" i="51"/>
  <c r="L1190" i="51"/>
  <c r="L1192" i="51"/>
  <c r="L1188" i="51"/>
  <c r="L1187" i="51"/>
  <c r="L1195" i="51"/>
  <c r="L1189" i="51"/>
  <c r="L1191" i="51"/>
  <c r="L1193" i="51"/>
  <c r="G104" i="16"/>
  <c r="I104" i="16" s="1"/>
  <c r="F139" i="16" s="1"/>
  <c r="G139" i="16" s="1"/>
  <c r="H38" i="69"/>
  <c r="H40" i="69" s="1"/>
  <c r="M53" i="13"/>
  <c r="E942" i="52"/>
  <c r="E673" i="52"/>
  <c r="E17" i="52"/>
  <c r="E807" i="52"/>
  <c r="E475" i="52"/>
  <c r="E541" i="52"/>
  <c r="E1145" i="52"/>
  <c r="E1078" i="52"/>
  <c r="E607" i="52"/>
  <c r="E1010" i="52"/>
  <c r="E277" i="52"/>
  <c r="E740" i="52"/>
  <c r="E409" i="52"/>
  <c r="E212" i="52"/>
  <c r="E343" i="52"/>
  <c r="E147" i="52"/>
  <c r="E82" i="52"/>
  <c r="E1212" i="52"/>
  <c r="G73" i="13"/>
  <c r="E874" i="52"/>
  <c r="E1279" i="52"/>
  <c r="L651" i="51"/>
  <c r="L659" i="51"/>
  <c r="L654" i="51"/>
  <c r="L660" i="51"/>
  <c r="L657" i="51"/>
  <c r="L658" i="51"/>
  <c r="L652" i="51"/>
  <c r="L653" i="51"/>
  <c r="L655" i="51"/>
  <c r="L656" i="51"/>
  <c r="L1060" i="51"/>
  <c r="L1053" i="51"/>
  <c r="L1055" i="51"/>
  <c r="L1054" i="51"/>
  <c r="L1062" i="51"/>
  <c r="L1057" i="51"/>
  <c r="L1058" i="51"/>
  <c r="L1056" i="51"/>
  <c r="L1059" i="51"/>
  <c r="L1061" i="51"/>
  <c r="G63" i="9"/>
  <c r="E18" i="53"/>
  <c r="M65" i="13"/>
  <c r="F100" i="13" s="1"/>
  <c r="E542" i="52"/>
  <c r="E608" i="52"/>
  <c r="E1280" i="52"/>
  <c r="E148" i="52"/>
  <c r="E1213" i="52"/>
  <c r="E1011" i="52"/>
  <c r="E674" i="52"/>
  <c r="E476" i="52"/>
  <c r="E410" i="52"/>
  <c r="E808" i="52"/>
  <c r="E278" i="52"/>
  <c r="E213" i="52"/>
  <c r="E1079" i="52"/>
  <c r="E344" i="52"/>
  <c r="E18" i="52"/>
  <c r="E943" i="52"/>
  <c r="E741" i="52"/>
  <c r="E1146" i="52"/>
  <c r="I73" i="13"/>
  <c r="E83" i="52"/>
  <c r="E875" i="52"/>
  <c r="G67" i="9"/>
  <c r="G70" i="9"/>
  <c r="L522" i="51"/>
  <c r="L519" i="51"/>
  <c r="L523" i="51"/>
  <c r="L518" i="51"/>
  <c r="L520" i="51"/>
  <c r="L526" i="51"/>
  <c r="L521" i="51"/>
  <c r="L525" i="51"/>
  <c r="L517" i="51"/>
  <c r="L524" i="51"/>
  <c r="L991" i="51"/>
  <c r="L993" i="51"/>
  <c r="L990" i="51"/>
  <c r="L995" i="51"/>
  <c r="L987" i="51"/>
  <c r="L988" i="51"/>
  <c r="L989" i="51"/>
  <c r="L992" i="51"/>
  <c r="L986" i="51"/>
  <c r="L994" i="51"/>
  <c r="L859" i="51"/>
  <c r="L857" i="51"/>
  <c r="L852" i="51"/>
  <c r="L858" i="51"/>
  <c r="L856" i="51"/>
  <c r="L860" i="51"/>
  <c r="L861" i="51"/>
  <c r="L855" i="51"/>
  <c r="L853" i="51"/>
  <c r="L854" i="51"/>
  <c r="G56" i="9"/>
  <c r="M61" i="13"/>
  <c r="F96" i="13" s="1"/>
  <c r="G96" i="13" s="1"/>
  <c r="K57" i="9"/>
  <c r="G73" i="9"/>
  <c r="L587" i="51"/>
  <c r="L586" i="51"/>
  <c r="L589" i="51"/>
  <c r="L590" i="51"/>
  <c r="L593" i="51"/>
  <c r="L592" i="51"/>
  <c r="L591" i="51"/>
  <c r="L584" i="51"/>
  <c r="L588" i="51"/>
  <c r="L585" i="51"/>
  <c r="L1328" i="51"/>
  <c r="L1323" i="51"/>
  <c r="L1325" i="51"/>
  <c r="L1329" i="51"/>
  <c r="L1326" i="51"/>
  <c r="L1327" i="51"/>
  <c r="L1321" i="51"/>
  <c r="L1322" i="51"/>
  <c r="L1324" i="51"/>
  <c r="L1330" i="51"/>
  <c r="M54" i="13"/>
  <c r="F89" i="13" s="1"/>
  <c r="L792" i="51"/>
  <c r="L787" i="51"/>
  <c r="L789" i="51"/>
  <c r="L793" i="51"/>
  <c r="L790" i="51"/>
  <c r="L788" i="51"/>
  <c r="L786" i="51"/>
  <c r="L791" i="51"/>
  <c r="L794" i="51"/>
  <c r="L785" i="51"/>
  <c r="L723" i="51"/>
  <c r="L726" i="51"/>
  <c r="L727" i="51"/>
  <c r="L722" i="51"/>
  <c r="L724" i="51"/>
  <c r="L719" i="51"/>
  <c r="L721" i="51"/>
  <c r="L718" i="51"/>
  <c r="L725" i="51"/>
  <c r="L720" i="51"/>
  <c r="K16" i="75"/>
  <c r="M35" i="75"/>
  <c r="M48" i="75" s="1"/>
  <c r="L16" i="75"/>
  <c r="N35" i="75"/>
  <c r="N48" i="75" s="1"/>
  <c r="J16" i="75"/>
  <c r="L35" i="75"/>
  <c r="L48" i="75" s="1"/>
  <c r="AS27" i="69"/>
  <c r="AT27" i="69" s="1"/>
  <c r="R53" i="47"/>
  <c r="Q54" i="47"/>
  <c r="AS28" i="69" s="1"/>
  <c r="J55" i="23" l="1"/>
  <c r="J76" i="23" s="1"/>
  <c r="I96" i="13"/>
  <c r="F130" i="13" s="1"/>
  <c r="G130" i="13" s="1"/>
  <c r="I92" i="13"/>
  <c r="F126" i="13" s="1"/>
  <c r="G126" i="13" s="1"/>
  <c r="I93" i="13"/>
  <c r="F127" i="13" s="1"/>
  <c r="G127" i="13" s="1"/>
  <c r="I95" i="13"/>
  <c r="F129" i="13" s="1"/>
  <c r="G129" i="13" s="1"/>
  <c r="I94" i="13"/>
  <c r="F128" i="13" s="1"/>
  <c r="G128" i="13" s="1"/>
  <c r="J53" i="9"/>
  <c r="J74" i="9" s="1"/>
  <c r="E46" i="51"/>
  <c r="G91" i="16"/>
  <c r="I91" i="16" s="1"/>
  <c r="F126" i="16" s="1"/>
  <c r="E515" i="53"/>
  <c r="E1286" i="53"/>
  <c r="E795" i="53"/>
  <c r="T185" i="48"/>
  <c r="E51" i="17"/>
  <c r="E52" i="17" s="1"/>
  <c r="E60" i="17" s="1"/>
  <c r="E61" i="17" s="1"/>
  <c r="E71" i="17" s="1"/>
  <c r="E72" i="17" s="1"/>
  <c r="E49" i="80"/>
  <c r="E50" i="80" s="1"/>
  <c r="E58" i="80" s="1"/>
  <c r="E59" i="80" s="1"/>
  <c r="AD185" i="48"/>
  <c r="H184" i="48"/>
  <c r="T184" i="48"/>
  <c r="H185" i="48"/>
  <c r="AA166" i="48"/>
  <c r="AA170" i="48" s="1"/>
  <c r="AD166" i="48" s="1"/>
  <c r="Q166" i="48"/>
  <c r="Q170" i="48" s="1"/>
  <c r="T166" i="48" s="1"/>
  <c r="I121" i="13"/>
  <c r="Z169" i="48"/>
  <c r="AC169" i="48" s="1"/>
  <c r="E65" i="47"/>
  <c r="V67" i="47" s="1"/>
  <c r="E166" i="48"/>
  <c r="E170" i="48" s="1"/>
  <c r="H166" i="48" s="1"/>
  <c r="G18" i="48"/>
  <c r="G26" i="48" s="1"/>
  <c r="F167" i="48" s="1"/>
  <c r="Z166" i="48"/>
  <c r="AC166" i="48" s="1"/>
  <c r="R169" i="48"/>
  <c r="P166" i="48"/>
  <c r="S166" i="48" s="1"/>
  <c r="AB169" i="48"/>
  <c r="D169" i="48"/>
  <c r="G169" i="48" s="1"/>
  <c r="F169" i="48"/>
  <c r="E17" i="48"/>
  <c r="Q136" i="48" s="1"/>
  <c r="P169" i="48"/>
  <c r="S169" i="48" s="1"/>
  <c r="AD184" i="48"/>
  <c r="AB187" i="48"/>
  <c r="AB190" i="48" s="1"/>
  <c r="AE188" i="48" s="1"/>
  <c r="R187" i="48"/>
  <c r="I61" i="74"/>
  <c r="F187" i="48"/>
  <c r="F190" i="48" s="1"/>
  <c r="I188" i="48" s="1"/>
  <c r="D187" i="48"/>
  <c r="G187" i="48" s="1"/>
  <c r="P187" i="48"/>
  <c r="S187" i="48" s="1"/>
  <c r="Z187" i="48"/>
  <c r="AC187" i="48" s="1"/>
  <c r="I27" i="48"/>
  <c r="E53" i="47"/>
  <c r="F21" i="69"/>
  <c r="I125" i="23"/>
  <c r="E55" i="18"/>
  <c r="E56" i="18" s="1"/>
  <c r="E64" i="18" s="1"/>
  <c r="E65" i="18" s="1"/>
  <c r="E76" i="18" s="1"/>
  <c r="E77" i="18" s="1"/>
  <c r="E176" i="48"/>
  <c r="E180" i="48" s="1"/>
  <c r="R179" i="48"/>
  <c r="U179" i="48" s="1"/>
  <c r="AA176" i="48"/>
  <c r="AA180" i="48" s="1"/>
  <c r="D176" i="48"/>
  <c r="G176" i="48" s="1"/>
  <c r="AB179" i="48"/>
  <c r="AE179" i="48" s="1"/>
  <c r="Q176" i="48"/>
  <c r="Q180" i="48" s="1"/>
  <c r="F179" i="48"/>
  <c r="I179" i="48" s="1"/>
  <c r="H18" i="48"/>
  <c r="H26" i="48" s="1"/>
  <c r="D179" i="48"/>
  <c r="G179" i="48" s="1"/>
  <c r="Z176" i="48"/>
  <c r="AC176" i="48" s="1"/>
  <c r="P179" i="48"/>
  <c r="S179" i="48" s="1"/>
  <c r="Z179" i="48"/>
  <c r="AC179" i="48" s="1"/>
  <c r="P176" i="48"/>
  <c r="S176" i="48" s="1"/>
  <c r="W150" i="74"/>
  <c r="U150" i="74"/>
  <c r="J150" i="74"/>
  <c r="I150" i="74"/>
  <c r="Y150" i="74"/>
  <c r="G150" i="74"/>
  <c r="V150" i="74"/>
  <c r="F150" i="74"/>
  <c r="H150" i="74"/>
  <c r="F135" i="74"/>
  <c r="E136" i="74"/>
  <c r="I186" i="74"/>
  <c r="L184" i="74"/>
  <c r="X186" i="74"/>
  <c r="AA184" i="74"/>
  <c r="Z134" i="74"/>
  <c r="T135" i="74"/>
  <c r="T167" i="74"/>
  <c r="T168" i="74" s="1"/>
  <c r="U168" i="74"/>
  <c r="U176" i="74" s="1"/>
  <c r="F184" i="74"/>
  <c r="E176" i="74"/>
  <c r="F177" i="74"/>
  <c r="E177" i="74" s="1"/>
  <c r="G38" i="69"/>
  <c r="G40" i="69" s="1"/>
  <c r="E307" i="53"/>
  <c r="E654" i="53"/>
  <c r="E161" i="53"/>
  <c r="E234" i="53"/>
  <c r="E1144" i="53"/>
  <c r="M65" i="23"/>
  <c r="F101" i="23" s="1"/>
  <c r="G101" i="23" s="1"/>
  <c r="I101" i="23" s="1"/>
  <c r="F135" i="23" s="1"/>
  <c r="G135" i="23" s="1"/>
  <c r="E794" i="53"/>
  <c r="E1004" i="53"/>
  <c r="E1284" i="53"/>
  <c r="E375" i="53"/>
  <c r="E1214" i="53"/>
  <c r="E934" i="53"/>
  <c r="E724" i="53"/>
  <c r="E584" i="53"/>
  <c r="E1354" i="53"/>
  <c r="E1074" i="53"/>
  <c r="E445" i="53"/>
  <c r="E90" i="53"/>
  <c r="M62" i="23"/>
  <c r="F98" i="23" s="1"/>
  <c r="M75" i="23"/>
  <c r="F111" i="23" s="1"/>
  <c r="G111" i="23" s="1"/>
  <c r="I111" i="23" s="1"/>
  <c r="F145" i="23" s="1"/>
  <c r="G145" i="23" s="1"/>
  <c r="M68" i="23"/>
  <c r="F104" i="23" s="1"/>
  <c r="G104" i="23" s="1"/>
  <c r="I104" i="23" s="1"/>
  <c r="F138" i="23" s="1"/>
  <c r="G138" i="23" s="1"/>
  <c r="M58" i="23"/>
  <c r="F94" i="23" s="1"/>
  <c r="G94" i="23" s="1"/>
  <c r="M72" i="23"/>
  <c r="F108" i="23" s="1"/>
  <c r="G108" i="23" s="1"/>
  <c r="I108" i="23" s="1"/>
  <c r="F142" i="23" s="1"/>
  <c r="G142" i="23" s="1"/>
  <c r="M61" i="23"/>
  <c r="F97" i="23" s="1"/>
  <c r="M57" i="23"/>
  <c r="F93" i="23" s="1"/>
  <c r="E1006" i="53"/>
  <c r="M64" i="23"/>
  <c r="F100" i="23" s="1"/>
  <c r="G100" i="23" s="1"/>
  <c r="E447" i="53"/>
  <c r="E1356" i="53"/>
  <c r="E377" i="53"/>
  <c r="E656" i="53"/>
  <c r="E1076" i="53"/>
  <c r="E866" i="53"/>
  <c r="E305" i="53"/>
  <c r="E864" i="53"/>
  <c r="E92" i="53"/>
  <c r="E586" i="53"/>
  <c r="E517" i="53"/>
  <c r="E1216" i="53"/>
  <c r="M73" i="23"/>
  <c r="F109" i="23" s="1"/>
  <c r="G109" i="23" s="1"/>
  <c r="I109" i="23" s="1"/>
  <c r="F143" i="23" s="1"/>
  <c r="G143" i="23" s="1"/>
  <c r="M59" i="23"/>
  <c r="F95" i="23" s="1"/>
  <c r="G95" i="23" s="1"/>
  <c r="M60" i="23"/>
  <c r="F96" i="23" s="1"/>
  <c r="E516" i="53"/>
  <c r="M66" i="23"/>
  <c r="F102" i="23" s="1"/>
  <c r="G102" i="23" s="1"/>
  <c r="I102" i="23" s="1"/>
  <c r="F136" i="23" s="1"/>
  <c r="G136" i="23" s="1"/>
  <c r="E446" i="53"/>
  <c r="E91" i="53"/>
  <c r="E935" i="53"/>
  <c r="G76" i="23"/>
  <c r="K76" i="23"/>
  <c r="M67" i="23"/>
  <c r="F103" i="23" s="1"/>
  <c r="G103" i="23" s="1"/>
  <c r="I103" i="23" s="1"/>
  <c r="F137" i="23" s="1"/>
  <c r="G137" i="23" s="1"/>
  <c r="E1215" i="53"/>
  <c r="E1285" i="53"/>
  <c r="E235" i="53"/>
  <c r="E1005" i="53"/>
  <c r="E725" i="53"/>
  <c r="E1355" i="53"/>
  <c r="E376" i="53"/>
  <c r="E1075" i="53"/>
  <c r="E865" i="53"/>
  <c r="E236" i="53"/>
  <c r="E163" i="53"/>
  <c r="E796" i="53"/>
  <c r="M63" i="23"/>
  <c r="F99" i="23" s="1"/>
  <c r="G99" i="23" s="1"/>
  <c r="E585" i="53"/>
  <c r="E1145" i="53"/>
  <c r="M56" i="23"/>
  <c r="F92" i="23" s="1"/>
  <c r="E655" i="53"/>
  <c r="E162" i="53"/>
  <c r="E1146" i="53"/>
  <c r="E726" i="53"/>
  <c r="M71" i="23"/>
  <c r="F107" i="23" s="1"/>
  <c r="G107" i="23" s="1"/>
  <c r="I107" i="23" s="1"/>
  <c r="F141" i="23" s="1"/>
  <c r="G141" i="23" s="1"/>
  <c r="E306" i="53"/>
  <c r="E936" i="53"/>
  <c r="M74" i="23"/>
  <c r="F110" i="23" s="1"/>
  <c r="G110" i="23" s="1"/>
  <c r="I110" i="23" s="1"/>
  <c r="F144" i="23" s="1"/>
  <c r="G144" i="23" s="1"/>
  <c r="I76" i="23"/>
  <c r="M70" i="23"/>
  <c r="F106" i="23" s="1"/>
  <c r="G106" i="23" s="1"/>
  <c r="I106" i="23" s="1"/>
  <c r="F140" i="23" s="1"/>
  <c r="G140" i="23" s="1"/>
  <c r="M69" i="23"/>
  <c r="F105" i="23" s="1"/>
  <c r="G105" i="23" s="1"/>
  <c r="I105" i="23" s="1"/>
  <c r="F139" i="23" s="1"/>
  <c r="G139" i="23" s="1"/>
  <c r="R27" i="48"/>
  <c r="Q27" i="48" s="1"/>
  <c r="Q26" i="48"/>
  <c r="L40" i="53"/>
  <c r="M69" i="9"/>
  <c r="F105" i="9" s="1"/>
  <c r="G105" i="9" s="1"/>
  <c r="I105" i="9" s="1"/>
  <c r="F141" i="9" s="1"/>
  <c r="G141" i="9" s="1"/>
  <c r="M68" i="9"/>
  <c r="F104" i="9" s="1"/>
  <c r="G104" i="9" s="1"/>
  <c r="I104" i="9" s="1"/>
  <c r="F140" i="9" s="1"/>
  <c r="G140" i="9" s="1"/>
  <c r="M56" i="9"/>
  <c r="F92" i="9" s="1"/>
  <c r="M64" i="9"/>
  <c r="F100" i="9" s="1"/>
  <c r="G100" i="9" s="1"/>
  <c r="I100" i="9" s="1"/>
  <c r="F136" i="9" s="1"/>
  <c r="G136" i="9" s="1"/>
  <c r="M60" i="9"/>
  <c r="F96" i="9" s="1"/>
  <c r="M55" i="9"/>
  <c r="F91" i="9" s="1"/>
  <c r="K168" i="52"/>
  <c r="M63" i="9"/>
  <c r="F99" i="9" s="1"/>
  <c r="G99" i="9" s="1"/>
  <c r="I99" i="9" s="1"/>
  <c r="F135" i="9" s="1"/>
  <c r="G135" i="9" s="1"/>
  <c r="K233" i="52"/>
  <c r="K562" i="52"/>
  <c r="K429" i="52"/>
  <c r="M59" i="9"/>
  <c r="F95" i="9" s="1"/>
  <c r="G95" i="9" s="1"/>
  <c r="I149" i="48"/>
  <c r="K39" i="52"/>
  <c r="M58" i="9"/>
  <c r="F94" i="9" s="1"/>
  <c r="G94" i="9" s="1"/>
  <c r="AE149" i="48"/>
  <c r="U149" i="48"/>
  <c r="K1233" i="52"/>
  <c r="K1031" i="52"/>
  <c r="K694" i="52"/>
  <c r="AA160" i="48"/>
  <c r="AD156" i="48" s="1"/>
  <c r="M72" i="9"/>
  <c r="F108" i="9" s="1"/>
  <c r="G108" i="9" s="1"/>
  <c r="I108" i="9" s="1"/>
  <c r="F144" i="9" s="1"/>
  <c r="G144" i="9" s="1"/>
  <c r="E881" i="51"/>
  <c r="E747" i="51"/>
  <c r="E1283" i="51"/>
  <c r="E680" i="51"/>
  <c r="E77" i="51"/>
  <c r="E143" i="51"/>
  <c r="E546" i="51"/>
  <c r="E210" i="51"/>
  <c r="E410" i="51"/>
  <c r="E277" i="51"/>
  <c r="E948" i="51"/>
  <c r="E1015" i="51"/>
  <c r="E613" i="51"/>
  <c r="E1149" i="51"/>
  <c r="E1216" i="51"/>
  <c r="E17" i="51"/>
  <c r="E344" i="51"/>
  <c r="E477" i="51"/>
  <c r="E1082" i="51"/>
  <c r="I74" i="9"/>
  <c r="E814" i="51"/>
  <c r="AD144" i="48"/>
  <c r="AD145" i="48"/>
  <c r="K103" i="52"/>
  <c r="K629" i="52"/>
  <c r="K963" i="52"/>
  <c r="Q160" i="48"/>
  <c r="T156" i="48" s="1"/>
  <c r="E345" i="51"/>
  <c r="E1150" i="51"/>
  <c r="E1016" i="51"/>
  <c r="E144" i="51"/>
  <c r="E882" i="51"/>
  <c r="E1284" i="51"/>
  <c r="E478" i="51"/>
  <c r="E211" i="51"/>
  <c r="K74" i="9"/>
  <c r="E681" i="51"/>
  <c r="E18" i="51"/>
  <c r="E78" i="51"/>
  <c r="E815" i="51"/>
  <c r="E1083" i="51"/>
  <c r="E411" i="51"/>
  <c r="E748" i="51"/>
  <c r="E1217" i="51"/>
  <c r="E547" i="51"/>
  <c r="E278" i="51"/>
  <c r="E614" i="51"/>
  <c r="E949" i="51"/>
  <c r="H144" i="48"/>
  <c r="H145" i="48"/>
  <c r="G100" i="13"/>
  <c r="I100" i="13" s="1"/>
  <c r="F134" i="13" s="1"/>
  <c r="K1099" i="52"/>
  <c r="F88" i="13"/>
  <c r="G89" i="13" s="1"/>
  <c r="M52" i="13"/>
  <c r="F87" i="13" s="1"/>
  <c r="M73" i="9"/>
  <c r="F109" i="9" s="1"/>
  <c r="M70" i="9"/>
  <c r="F106" i="9" s="1"/>
  <c r="G106" i="9" s="1"/>
  <c r="I106" i="9" s="1"/>
  <c r="F142" i="9" s="1"/>
  <c r="G142" i="9" s="1"/>
  <c r="T144" i="48"/>
  <c r="T145" i="48"/>
  <c r="K362" i="52"/>
  <c r="K1166" i="52"/>
  <c r="Z157" i="48"/>
  <c r="AC157" i="48" s="1"/>
  <c r="AB157" i="48"/>
  <c r="D157" i="48"/>
  <c r="G157" i="48" s="1"/>
  <c r="F27" i="48"/>
  <c r="P157" i="48"/>
  <c r="S157" i="48" s="1"/>
  <c r="F157" i="48"/>
  <c r="R157" i="48"/>
  <c r="F61" i="74"/>
  <c r="M62" i="9"/>
  <c r="F98" i="9" s="1"/>
  <c r="M61" i="9"/>
  <c r="F97" i="9" s="1"/>
  <c r="M66" i="9"/>
  <c r="F102" i="9" s="1"/>
  <c r="G88" i="16"/>
  <c r="I88" i="16" s="1"/>
  <c r="F123" i="16" s="1"/>
  <c r="F107" i="16"/>
  <c r="G87" i="16"/>
  <c r="K1300" i="52"/>
  <c r="K497" i="52"/>
  <c r="E76" i="51"/>
  <c r="E16" i="51"/>
  <c r="E679" i="51"/>
  <c r="E409" i="51"/>
  <c r="E276" i="51"/>
  <c r="E343" i="51"/>
  <c r="E545" i="51"/>
  <c r="E1014" i="51"/>
  <c r="E1148" i="51"/>
  <c r="E612" i="51"/>
  <c r="E476" i="51"/>
  <c r="E209" i="51"/>
  <c r="E142" i="51"/>
  <c r="E1282" i="51"/>
  <c r="E813" i="51"/>
  <c r="E880" i="51"/>
  <c r="E746" i="51"/>
  <c r="E947" i="51"/>
  <c r="E1215" i="51"/>
  <c r="E1081" i="51"/>
  <c r="G74" i="9"/>
  <c r="M54" i="9"/>
  <c r="K895" i="52"/>
  <c r="K763" i="52"/>
  <c r="K829" i="52"/>
  <c r="M71" i="9"/>
  <c r="F107" i="9" s="1"/>
  <c r="G107" i="9" s="1"/>
  <c r="I107" i="9" s="1"/>
  <c r="F143" i="9" s="1"/>
  <c r="G143" i="9" s="1"/>
  <c r="M65" i="9"/>
  <c r="F101" i="9" s="1"/>
  <c r="G101" i="9" s="1"/>
  <c r="I101" i="9" s="1"/>
  <c r="F137" i="9" s="1"/>
  <c r="G137" i="9" s="1"/>
  <c r="M67" i="9"/>
  <c r="F103" i="9" s="1"/>
  <c r="K296" i="52"/>
  <c r="E160" i="48"/>
  <c r="H156" i="48" s="1"/>
  <c r="M57" i="9"/>
  <c r="F93" i="9" s="1"/>
  <c r="U63" i="74"/>
  <c r="Y61" i="74"/>
  <c r="I13" i="75"/>
  <c r="I100" i="23" l="1"/>
  <c r="F134" i="23" s="1"/>
  <c r="G134" i="23" s="1"/>
  <c r="I94" i="23"/>
  <c r="F128" i="23" s="1"/>
  <c r="G128" i="23" s="1"/>
  <c r="I95" i="23"/>
  <c r="F129" i="23" s="1"/>
  <c r="G129" i="23" s="1"/>
  <c r="I99" i="23"/>
  <c r="F133" i="23" s="1"/>
  <c r="G133" i="23" s="1"/>
  <c r="I89" i="13"/>
  <c r="F123" i="13" s="1"/>
  <c r="G123" i="13" s="1"/>
  <c r="I94" i="9"/>
  <c r="F130" i="9" s="1"/>
  <c r="G130" i="9" s="1"/>
  <c r="I95" i="9"/>
  <c r="F131" i="9" s="1"/>
  <c r="G131" i="9" s="1"/>
  <c r="G96" i="23"/>
  <c r="G98" i="23"/>
  <c r="G97" i="23"/>
  <c r="G90" i="13"/>
  <c r="G91" i="13"/>
  <c r="E66" i="80"/>
  <c r="AD164" i="48"/>
  <c r="E18" i="48"/>
  <c r="I187" i="48"/>
  <c r="D139" i="48"/>
  <c r="G139" i="48" s="1"/>
  <c r="D136" i="48"/>
  <c r="G136" i="48" s="1"/>
  <c r="F139" i="48"/>
  <c r="Z167" i="48"/>
  <c r="AC167" i="48" s="1"/>
  <c r="F67" i="47"/>
  <c r="P139" i="48"/>
  <c r="S139" i="48" s="1"/>
  <c r="Z139" i="48"/>
  <c r="AC139" i="48" s="1"/>
  <c r="R139" i="48"/>
  <c r="P136" i="48"/>
  <c r="S136" i="48" s="1"/>
  <c r="AB167" i="48"/>
  <c r="AB170" i="48" s="1"/>
  <c r="AE168" i="48" s="1"/>
  <c r="T165" i="48"/>
  <c r="S67" i="47"/>
  <c r="T164" i="48"/>
  <c r="I67" i="47"/>
  <c r="H67" i="47"/>
  <c r="T67" i="47"/>
  <c r="G61" i="74"/>
  <c r="G63" i="74" s="1"/>
  <c r="H164" i="48"/>
  <c r="AD165" i="48"/>
  <c r="D167" i="48"/>
  <c r="G167" i="48" s="1"/>
  <c r="J67" i="47"/>
  <c r="U67" i="47"/>
  <c r="G27" i="48"/>
  <c r="G67" i="47"/>
  <c r="R167" i="48"/>
  <c r="R170" i="48" s="1"/>
  <c r="U168" i="48" s="1"/>
  <c r="E26" i="48"/>
  <c r="AB137" i="48" s="1"/>
  <c r="P167" i="48"/>
  <c r="S167" i="48" s="1"/>
  <c r="AE187" i="48"/>
  <c r="R67" i="47"/>
  <c r="H165" i="48"/>
  <c r="F170" i="48"/>
  <c r="I168" i="48" s="1"/>
  <c r="Z136" i="48"/>
  <c r="AC136" i="48" s="1"/>
  <c r="AB139" i="48"/>
  <c r="E136" i="48"/>
  <c r="E140" i="48" s="1"/>
  <c r="H136" i="48" s="1"/>
  <c r="AA136" i="48"/>
  <c r="AA140" i="48" s="1"/>
  <c r="AD136" i="48" s="1"/>
  <c r="L9" i="75"/>
  <c r="I51" i="69"/>
  <c r="I53" i="69" s="1"/>
  <c r="I63" i="74"/>
  <c r="R190" i="48"/>
  <c r="U188" i="48" s="1"/>
  <c r="E54" i="47"/>
  <c r="P27" i="69"/>
  <c r="Q27" i="69" s="1"/>
  <c r="BC27" i="69"/>
  <c r="BD27" i="69" s="1"/>
  <c r="CZ27" i="69"/>
  <c r="DA27" i="69" s="1"/>
  <c r="BM27" i="69"/>
  <c r="BN27" i="69" s="1"/>
  <c r="Z27" i="69"/>
  <c r="AA27" i="69" s="1"/>
  <c r="CP27" i="69"/>
  <c r="CQ27" i="69" s="1"/>
  <c r="F27" i="69"/>
  <c r="G27" i="69" s="1"/>
  <c r="F53" i="47"/>
  <c r="AD176" i="48"/>
  <c r="AD175" i="48"/>
  <c r="AD174" i="48"/>
  <c r="H176" i="48"/>
  <c r="H175" i="48"/>
  <c r="H174" i="48"/>
  <c r="R177" i="48"/>
  <c r="F177" i="48"/>
  <c r="D177" i="48"/>
  <c r="G177" i="48" s="1"/>
  <c r="Z177" i="48"/>
  <c r="AC177" i="48" s="1"/>
  <c r="P177" i="48"/>
  <c r="S177" i="48" s="1"/>
  <c r="H27" i="48"/>
  <c r="H61" i="74"/>
  <c r="AB177" i="48"/>
  <c r="T176" i="48"/>
  <c r="T175" i="48"/>
  <c r="T174" i="48"/>
  <c r="T150" i="74"/>
  <c r="E150" i="74"/>
  <c r="U151" i="74" s="1"/>
  <c r="T136" i="74"/>
  <c r="U135" i="74"/>
  <c r="J184" i="74"/>
  <c r="J38" i="69" s="1"/>
  <c r="F186" i="74"/>
  <c r="J186" i="74" s="1"/>
  <c r="T176" i="74"/>
  <c r="U184" i="74"/>
  <c r="U177" i="74"/>
  <c r="T177" i="74" s="1"/>
  <c r="L1306" i="53"/>
  <c r="L814" i="53"/>
  <c r="L1026" i="53"/>
  <c r="L466" i="53"/>
  <c r="M55" i="23"/>
  <c r="F91" i="23" s="1"/>
  <c r="F112" i="23" s="1"/>
  <c r="L675" i="53"/>
  <c r="L1096" i="53"/>
  <c r="L112" i="53"/>
  <c r="L885" i="53"/>
  <c r="L396" i="53"/>
  <c r="L326" i="53"/>
  <c r="L1376" i="53"/>
  <c r="L1236" i="53"/>
  <c r="L537" i="53"/>
  <c r="L606" i="53"/>
  <c r="L183" i="53"/>
  <c r="L257" i="53"/>
  <c r="L955" i="53"/>
  <c r="L1166" i="53"/>
  <c r="L745" i="53"/>
  <c r="K763" i="51"/>
  <c r="K1301" i="51"/>
  <c r="K429" i="51"/>
  <c r="K632" i="51"/>
  <c r="K94" i="51"/>
  <c r="F108" i="13"/>
  <c r="K563" i="51"/>
  <c r="K162" i="51"/>
  <c r="G134" i="13"/>
  <c r="F38" i="69"/>
  <c r="F40" i="69" s="1"/>
  <c r="J40" i="69" s="1"/>
  <c r="F35" i="69" s="1"/>
  <c r="K37" i="51"/>
  <c r="K228" i="51"/>
  <c r="H154" i="48"/>
  <c r="H155" i="48"/>
  <c r="I87" i="16"/>
  <c r="E295" i="54"/>
  <c r="E111" i="54"/>
  <c r="E249" i="54"/>
  <c r="E572" i="54"/>
  <c r="E526" i="54"/>
  <c r="G107" i="16"/>
  <c r="E756" i="54"/>
  <c r="E19" i="54"/>
  <c r="E894" i="54"/>
  <c r="E710" i="54"/>
  <c r="E848" i="54"/>
  <c r="E65" i="54"/>
  <c r="E203" i="54"/>
  <c r="E664" i="54"/>
  <c r="E618" i="54"/>
  <c r="E157" i="54"/>
  <c r="E342" i="54"/>
  <c r="E802" i="54"/>
  <c r="E434" i="54"/>
  <c r="E480" i="54"/>
  <c r="E388" i="54"/>
  <c r="G92" i="23"/>
  <c r="G93" i="23"/>
  <c r="F51" i="69"/>
  <c r="I9" i="75"/>
  <c r="F63" i="74"/>
  <c r="R160" i="48"/>
  <c r="U158" i="48" s="1"/>
  <c r="K1166" i="51"/>
  <c r="AD154" i="48"/>
  <c r="AD155" i="48"/>
  <c r="G123" i="16"/>
  <c r="F160" i="48"/>
  <c r="I158" i="48" s="1"/>
  <c r="G109" i="9"/>
  <c r="I109" i="9" s="1"/>
  <c r="F145" i="9" s="1"/>
  <c r="G145" i="9" s="1"/>
  <c r="K362" i="51"/>
  <c r="Q140" i="48"/>
  <c r="T136" i="48" s="1"/>
  <c r="K831" i="51"/>
  <c r="F90" i="9"/>
  <c r="G96" i="9" s="1"/>
  <c r="M53" i="9"/>
  <c r="F89" i="9" s="1"/>
  <c r="G102" i="9"/>
  <c r="I102" i="9" s="1"/>
  <c r="F138" i="9" s="1"/>
  <c r="T154" i="48"/>
  <c r="T155" i="48"/>
  <c r="K1036" i="51"/>
  <c r="G93" i="9"/>
  <c r="G103" i="9"/>
  <c r="I103" i="9" s="1"/>
  <c r="F139" i="9" s="1"/>
  <c r="K1101" i="51"/>
  <c r="K969" i="51"/>
  <c r="G98" i="9"/>
  <c r="K296" i="51"/>
  <c r="K1235" i="51"/>
  <c r="K497" i="51"/>
  <c r="K697" i="51"/>
  <c r="AB160" i="48"/>
  <c r="AE158" i="48" s="1"/>
  <c r="G88" i="13"/>
  <c r="K903" i="51"/>
  <c r="M13" i="75"/>
  <c r="K33" i="75"/>
  <c r="I15" i="75"/>
  <c r="Y63" i="74"/>
  <c r="I98" i="23" l="1"/>
  <c r="F132" i="23" s="1"/>
  <c r="I96" i="23"/>
  <c r="F130" i="23" s="1"/>
  <c r="I93" i="23"/>
  <c r="F127" i="23" s="1"/>
  <c r="G127" i="23" s="1"/>
  <c r="E378" i="53"/>
  <c r="I90" i="13"/>
  <c r="F124" i="13" s="1"/>
  <c r="I91" i="13"/>
  <c r="F125" i="13" s="1"/>
  <c r="I93" i="9"/>
  <c r="F129" i="9" s="1"/>
  <c r="G129" i="9" s="1"/>
  <c r="I96" i="9"/>
  <c r="F132" i="9" s="1"/>
  <c r="I98" i="9"/>
  <c r="F134" i="9" s="1"/>
  <c r="G134" i="9" s="1"/>
  <c r="G97" i="9"/>
  <c r="K48" i="81"/>
  <c r="K50" i="81" s="1"/>
  <c r="U169" i="48"/>
  <c r="I169" i="48"/>
  <c r="AE169" i="48"/>
  <c r="P137" i="48"/>
  <c r="S137" i="48" s="1"/>
  <c r="D137" i="48"/>
  <c r="G137" i="48" s="1"/>
  <c r="G51" i="69"/>
  <c r="G53" i="69" s="1"/>
  <c r="F137" i="48"/>
  <c r="F140" i="48" s="1"/>
  <c r="I137" i="48" s="1"/>
  <c r="R137" i="48"/>
  <c r="R140" i="48" s="1"/>
  <c r="U138" i="48" s="1"/>
  <c r="J9" i="75"/>
  <c r="L30" i="75" s="1"/>
  <c r="Z137" i="48"/>
  <c r="AC137" i="48" s="1"/>
  <c r="E67" i="47"/>
  <c r="V68" i="47" s="1"/>
  <c r="E27" i="48"/>
  <c r="Q67" i="47"/>
  <c r="I167" i="48"/>
  <c r="G151" i="74"/>
  <c r="V151" i="74"/>
  <c r="Y151" i="74"/>
  <c r="J151" i="74"/>
  <c r="U187" i="48"/>
  <c r="I151" i="74"/>
  <c r="W151" i="74"/>
  <c r="N30" i="75"/>
  <c r="L11" i="75"/>
  <c r="L12" i="75" s="1"/>
  <c r="R180" i="48"/>
  <c r="U178" i="48" s="1"/>
  <c r="K9" i="75"/>
  <c r="H51" i="69"/>
  <c r="H53" i="69" s="1"/>
  <c r="H63" i="74"/>
  <c r="J63" i="74" s="1"/>
  <c r="AB180" i="48"/>
  <c r="AE178" i="48" s="1"/>
  <c r="F151" i="74"/>
  <c r="X151" i="74"/>
  <c r="H151" i="74"/>
  <c r="F180" i="48"/>
  <c r="I178" i="48" s="1"/>
  <c r="CP28" i="69"/>
  <c r="Z28" i="69"/>
  <c r="P28" i="69"/>
  <c r="F28" i="69"/>
  <c r="BM28" i="69"/>
  <c r="BC28" i="69"/>
  <c r="CZ28" i="69"/>
  <c r="U167" i="48"/>
  <c r="AE167" i="48"/>
  <c r="Y184" i="74"/>
  <c r="U186" i="74"/>
  <c r="Y186" i="74" s="1"/>
  <c r="U157" i="48"/>
  <c r="I157" i="48"/>
  <c r="G138" i="9"/>
  <c r="G139" i="9"/>
  <c r="AB140" i="48"/>
  <c r="K498" i="54"/>
  <c r="E481" i="54"/>
  <c r="K83" i="54"/>
  <c r="E66" i="54"/>
  <c r="K591" i="54"/>
  <c r="E573" i="54"/>
  <c r="T134" i="48"/>
  <c r="T135" i="48"/>
  <c r="E435" i="54"/>
  <c r="K453" i="54"/>
  <c r="K866" i="54"/>
  <c r="E849" i="54"/>
  <c r="K265" i="54"/>
  <c r="E250" i="54"/>
  <c r="K30" i="75"/>
  <c r="I11" i="75"/>
  <c r="K820" i="54"/>
  <c r="E803" i="54"/>
  <c r="E711" i="54"/>
  <c r="K728" i="54"/>
  <c r="K128" i="54"/>
  <c r="E112" i="54"/>
  <c r="AD134" i="48"/>
  <c r="AD135" i="48"/>
  <c r="F53" i="69"/>
  <c r="J53" i="69" s="1"/>
  <c r="F48" i="69" s="1"/>
  <c r="K362" i="54"/>
  <c r="E343" i="54"/>
  <c r="K913" i="54"/>
  <c r="E895" i="54"/>
  <c r="E296" i="54"/>
  <c r="K313" i="54"/>
  <c r="H134" i="48"/>
  <c r="H135" i="48"/>
  <c r="K174" i="54"/>
  <c r="E158" i="54"/>
  <c r="K38" i="54"/>
  <c r="E20" i="54"/>
  <c r="F122" i="16"/>
  <c r="I86" i="16"/>
  <c r="I107" i="16" s="1"/>
  <c r="E544" i="52"/>
  <c r="E945" i="52"/>
  <c r="E877" i="52"/>
  <c r="E20" i="52"/>
  <c r="G108" i="13"/>
  <c r="E478" i="52"/>
  <c r="E85" i="52"/>
  <c r="E610" i="52"/>
  <c r="E346" i="52"/>
  <c r="E1282" i="52"/>
  <c r="E743" i="52"/>
  <c r="E1215" i="52"/>
  <c r="E810" i="52"/>
  <c r="E1013" i="52"/>
  <c r="E412" i="52"/>
  <c r="E1081" i="52"/>
  <c r="E280" i="52"/>
  <c r="E676" i="52"/>
  <c r="E1148" i="52"/>
  <c r="K637" i="54"/>
  <c r="E619" i="54"/>
  <c r="K773" i="54"/>
  <c r="E757" i="54"/>
  <c r="I92" i="23"/>
  <c r="E237" i="53"/>
  <c r="E867" i="53"/>
  <c r="E1077" i="53"/>
  <c r="E1007" i="53"/>
  <c r="E518" i="53"/>
  <c r="E727" i="53"/>
  <c r="E448" i="53"/>
  <c r="E937" i="53"/>
  <c r="E93" i="53"/>
  <c r="E1217" i="53"/>
  <c r="E657" i="53"/>
  <c r="E164" i="53"/>
  <c r="E587" i="53"/>
  <c r="E1287" i="53"/>
  <c r="G112" i="23"/>
  <c r="E1147" i="53"/>
  <c r="E1357" i="53"/>
  <c r="E308" i="53"/>
  <c r="E21" i="53"/>
  <c r="E797" i="53"/>
  <c r="K683" i="54"/>
  <c r="E665" i="54"/>
  <c r="AE157" i="48"/>
  <c r="G92" i="9"/>
  <c r="G91" i="9"/>
  <c r="F110" i="9"/>
  <c r="G90" i="9"/>
  <c r="E389" i="54"/>
  <c r="K407" i="54"/>
  <c r="K221" i="54"/>
  <c r="E204" i="54"/>
  <c r="K544" i="54"/>
  <c r="E527" i="54"/>
  <c r="I16" i="75"/>
  <c r="K35" i="75"/>
  <c r="M15" i="75"/>
  <c r="J33" i="75"/>
  <c r="J46" i="75" s="1"/>
  <c r="K46" i="75"/>
  <c r="I97" i="23" l="1"/>
  <c r="F131" i="23" s="1"/>
  <c r="H91" i="23"/>
  <c r="H112" i="23" s="1"/>
  <c r="E215" i="52"/>
  <c r="E216" i="52" s="1"/>
  <c r="E150" i="52"/>
  <c r="E151" i="52" s="1"/>
  <c r="H87" i="13"/>
  <c r="H108" i="13" s="1"/>
  <c r="I88" i="13"/>
  <c r="I97" i="9"/>
  <c r="F133" i="9" s="1"/>
  <c r="I91" i="9"/>
  <c r="F127" i="9" s="1"/>
  <c r="E145" i="51"/>
  <c r="G125" i="16"/>
  <c r="G126" i="16"/>
  <c r="M9" i="75"/>
  <c r="U137" i="48"/>
  <c r="J11" i="75"/>
  <c r="J12" i="75" s="1"/>
  <c r="U139" i="48"/>
  <c r="T68" i="47"/>
  <c r="J68" i="47"/>
  <c r="S68" i="47"/>
  <c r="H68" i="47"/>
  <c r="F68" i="47"/>
  <c r="I68" i="47"/>
  <c r="G68" i="47"/>
  <c r="R68" i="47"/>
  <c r="U68" i="47"/>
  <c r="J51" i="69"/>
  <c r="I177" i="48"/>
  <c r="X30" i="75"/>
  <c r="N43" i="75"/>
  <c r="N32" i="75"/>
  <c r="AE177" i="48"/>
  <c r="M30" i="75"/>
  <c r="J30" i="75" s="1"/>
  <c r="J43" i="75" s="1"/>
  <c r="K11" i="75"/>
  <c r="K12" i="75" s="1"/>
  <c r="U177" i="48"/>
  <c r="V30" i="75"/>
  <c r="L43" i="75"/>
  <c r="L32" i="75"/>
  <c r="E347" i="52"/>
  <c r="K361" i="52"/>
  <c r="L1375" i="53"/>
  <c r="E1358" i="53"/>
  <c r="L111" i="53"/>
  <c r="E94" i="53"/>
  <c r="E868" i="53"/>
  <c r="L884" i="53"/>
  <c r="E413" i="52"/>
  <c r="K428" i="52"/>
  <c r="K628" i="52"/>
  <c r="E611" i="52"/>
  <c r="K561" i="52"/>
  <c r="E545" i="52"/>
  <c r="K32" i="75"/>
  <c r="U30" i="75"/>
  <c r="K43" i="75"/>
  <c r="L256" i="53"/>
  <c r="E238" i="53"/>
  <c r="K102" i="52"/>
  <c r="E86" i="52"/>
  <c r="AE138" i="48"/>
  <c r="AE139" i="48"/>
  <c r="L1235" i="53"/>
  <c r="E1218" i="53"/>
  <c r="L1165" i="53"/>
  <c r="E1148" i="53"/>
  <c r="L465" i="53"/>
  <c r="E449" i="53"/>
  <c r="F126" i="23"/>
  <c r="K1030" i="52"/>
  <c r="E1014" i="52"/>
  <c r="K496" i="52"/>
  <c r="E479" i="52"/>
  <c r="I132" i="16"/>
  <c r="K132" i="16" s="1"/>
  <c r="F163" i="16" s="1"/>
  <c r="K163" i="16" s="1"/>
  <c r="L163" i="16" s="1"/>
  <c r="I127" i="16"/>
  <c r="K127" i="16" s="1"/>
  <c r="F158" i="16" s="1"/>
  <c r="K158" i="16" s="1"/>
  <c r="L158" i="16" s="1"/>
  <c r="I137" i="16"/>
  <c r="K137" i="16" s="1"/>
  <c r="I122" i="16"/>
  <c r="I131" i="16"/>
  <c r="K131" i="16" s="1"/>
  <c r="F162" i="16" s="1"/>
  <c r="K162" i="16" s="1"/>
  <c r="L162" i="16" s="1"/>
  <c r="I141" i="16"/>
  <c r="K141" i="16" s="1"/>
  <c r="F172" i="16" s="1"/>
  <c r="K172" i="16" s="1"/>
  <c r="L172" i="16" s="1"/>
  <c r="I134" i="16"/>
  <c r="K134" i="16" s="1"/>
  <c r="I140" i="16"/>
  <c r="K140" i="16" s="1"/>
  <c r="F171" i="16" s="1"/>
  <c r="K171" i="16" s="1"/>
  <c r="L171" i="16" s="1"/>
  <c r="I129" i="16"/>
  <c r="K129" i="16" s="1"/>
  <c r="F160" i="16" s="1"/>
  <c r="K160" i="16" s="1"/>
  <c r="L160" i="16" s="1"/>
  <c r="G122" i="16"/>
  <c r="I133" i="16"/>
  <c r="K133" i="16" s="1"/>
  <c r="I130" i="16"/>
  <c r="K130" i="16" s="1"/>
  <c r="F161" i="16" s="1"/>
  <c r="K161" i="16" s="1"/>
  <c r="L161" i="16" s="1"/>
  <c r="F121" i="16"/>
  <c r="F142" i="16" s="1"/>
  <c r="I128" i="16"/>
  <c r="K128" i="16" s="1"/>
  <c r="F159" i="16" s="1"/>
  <c r="K159" i="16" s="1"/>
  <c r="L159" i="16" s="1"/>
  <c r="I125" i="16"/>
  <c r="I136" i="16"/>
  <c r="K136" i="16" s="1"/>
  <c r="I135" i="16"/>
  <c r="K135" i="16" s="1"/>
  <c r="I139" i="16"/>
  <c r="K139" i="16" s="1"/>
  <c r="F170" i="16" s="1"/>
  <c r="K170" i="16" s="1"/>
  <c r="L170" i="16" s="1"/>
  <c r="I138" i="16"/>
  <c r="K138" i="16" s="1"/>
  <c r="I124" i="16"/>
  <c r="K124" i="16" s="1"/>
  <c r="F155" i="16" s="1"/>
  <c r="K155" i="16" s="1"/>
  <c r="L155" i="16" s="1"/>
  <c r="I126" i="16"/>
  <c r="I123" i="16"/>
  <c r="K123" i="16" s="1"/>
  <c r="F154" i="16" s="1"/>
  <c r="K154" i="16" s="1"/>
  <c r="L154" i="16" s="1"/>
  <c r="AE137" i="48"/>
  <c r="L1095" i="53"/>
  <c r="E1078" i="53"/>
  <c r="E1082" i="52"/>
  <c r="K1098" i="52"/>
  <c r="L954" i="53"/>
  <c r="E938" i="53"/>
  <c r="L1305" i="53"/>
  <c r="E1288" i="53"/>
  <c r="L395" i="53"/>
  <c r="E379" i="53"/>
  <c r="K828" i="52"/>
  <c r="E811" i="52"/>
  <c r="I138" i="48"/>
  <c r="I139" i="48"/>
  <c r="L605" i="53"/>
  <c r="E588" i="53"/>
  <c r="L744" i="53"/>
  <c r="E728" i="53"/>
  <c r="K1165" i="52"/>
  <c r="E1149" i="52"/>
  <c r="K1232" i="52"/>
  <c r="E1216" i="52"/>
  <c r="K38" i="52"/>
  <c r="E21" i="52"/>
  <c r="E798" i="53"/>
  <c r="L813" i="53"/>
  <c r="L182" i="53"/>
  <c r="E165" i="53"/>
  <c r="L536" i="53"/>
  <c r="E519" i="53"/>
  <c r="K693" i="52"/>
  <c r="E677" i="52"/>
  <c r="E744" i="52"/>
  <c r="K762" i="52"/>
  <c r="K894" i="52"/>
  <c r="E878" i="52"/>
  <c r="E309" i="53"/>
  <c r="L325" i="53"/>
  <c r="I90" i="9"/>
  <c r="E548" i="51"/>
  <c r="E682" i="51"/>
  <c r="E1084" i="51"/>
  <c r="E1151" i="51"/>
  <c r="E1218" i="51"/>
  <c r="E883" i="51"/>
  <c r="E212" i="51"/>
  <c r="E412" i="51"/>
  <c r="E615" i="51"/>
  <c r="E1285" i="51"/>
  <c r="E950" i="51"/>
  <c r="E1017" i="51"/>
  <c r="E816" i="51"/>
  <c r="E749" i="51"/>
  <c r="E19" i="51"/>
  <c r="G110" i="9"/>
  <c r="E279" i="51"/>
  <c r="E346" i="51"/>
  <c r="L39" i="53"/>
  <c r="E22" i="53"/>
  <c r="L674" i="53"/>
  <c r="E658" i="53"/>
  <c r="L1025" i="53"/>
  <c r="E1008" i="53"/>
  <c r="K295" i="52"/>
  <c r="E281" i="52"/>
  <c r="K1299" i="52"/>
  <c r="E1283" i="52"/>
  <c r="K962" i="52"/>
  <c r="E946" i="52"/>
  <c r="I12" i="75"/>
  <c r="T12" i="75"/>
  <c r="M16" i="75"/>
  <c r="E13" i="75"/>
  <c r="P46" i="75" s="1"/>
  <c r="J35" i="75"/>
  <c r="J48" i="75" s="1"/>
  <c r="K48" i="75"/>
  <c r="K232" i="52" l="1"/>
  <c r="I91" i="23"/>
  <c r="I112" i="23" s="1"/>
  <c r="E479" i="51"/>
  <c r="K496" i="51" s="1"/>
  <c r="G132" i="23"/>
  <c r="G130" i="23"/>
  <c r="G131" i="23"/>
  <c r="K167" i="52"/>
  <c r="F122" i="13"/>
  <c r="I87" i="13"/>
  <c r="I108" i="13" s="1"/>
  <c r="E79" i="51"/>
  <c r="E80" i="51" s="1"/>
  <c r="H89" i="9"/>
  <c r="H110" i="9" s="1"/>
  <c r="I92" i="9"/>
  <c r="F128" i="9" s="1"/>
  <c r="G128" i="9" s="1"/>
  <c r="K126" i="16"/>
  <c r="F157" i="16" s="1"/>
  <c r="K157" i="16" s="1"/>
  <c r="L157" i="16" s="1"/>
  <c r="K125" i="16"/>
  <c r="F156" i="16" s="1"/>
  <c r="K156" i="16" s="1"/>
  <c r="L156" i="16" s="1"/>
  <c r="I126" i="23"/>
  <c r="I134" i="23"/>
  <c r="K134" i="23" s="1"/>
  <c r="F165" i="23" s="1"/>
  <c r="K165" i="23" s="1"/>
  <c r="L165" i="23" s="1"/>
  <c r="I137" i="23"/>
  <c r="K137" i="23" s="1"/>
  <c r="F168" i="23" s="1"/>
  <c r="K168" i="23" s="1"/>
  <c r="L168" i="23" s="1"/>
  <c r="I144" i="23"/>
  <c r="K144" i="23" s="1"/>
  <c r="F175" i="23" s="1"/>
  <c r="K175" i="23" s="1"/>
  <c r="L175" i="23" s="1"/>
  <c r="I128" i="23"/>
  <c r="K128" i="23" s="1"/>
  <c r="F159" i="23" s="1"/>
  <c r="K159" i="23" s="1"/>
  <c r="L159" i="23" s="1"/>
  <c r="I130" i="23"/>
  <c r="I131" i="23"/>
  <c r="I140" i="23"/>
  <c r="K140" i="23" s="1"/>
  <c r="F171" i="23" s="1"/>
  <c r="K171" i="23" s="1"/>
  <c r="L171" i="23" s="1"/>
  <c r="I145" i="23"/>
  <c r="K145" i="23" s="1"/>
  <c r="F176" i="23" s="1"/>
  <c r="K176" i="23" s="1"/>
  <c r="L176" i="23" s="1"/>
  <c r="I138" i="23"/>
  <c r="K138" i="23" s="1"/>
  <c r="F169" i="23" s="1"/>
  <c r="K169" i="23" s="1"/>
  <c r="L169" i="23" s="1"/>
  <c r="I133" i="23"/>
  <c r="K133" i="23" s="1"/>
  <c r="F164" i="23" s="1"/>
  <c r="K164" i="23" s="1"/>
  <c r="L164" i="23" s="1"/>
  <c r="I135" i="23"/>
  <c r="K135" i="23" s="1"/>
  <c r="F166" i="23" s="1"/>
  <c r="K166" i="23" s="1"/>
  <c r="L166" i="23" s="1"/>
  <c r="I141" i="23"/>
  <c r="K141" i="23" s="1"/>
  <c r="F172" i="23" s="1"/>
  <c r="K172" i="23" s="1"/>
  <c r="L172" i="23" s="1"/>
  <c r="I143" i="23"/>
  <c r="K143" i="23" s="1"/>
  <c r="F174" i="23" s="1"/>
  <c r="K174" i="23" s="1"/>
  <c r="L174" i="23" s="1"/>
  <c r="I136" i="23"/>
  <c r="K136" i="23" s="1"/>
  <c r="F167" i="23" s="1"/>
  <c r="K167" i="23" s="1"/>
  <c r="L167" i="23" s="1"/>
  <c r="I127" i="23"/>
  <c r="I129" i="23"/>
  <c r="K129" i="23" s="1"/>
  <c r="F160" i="23" s="1"/>
  <c r="K160" i="23" s="1"/>
  <c r="L160" i="23" s="1"/>
  <c r="I139" i="23"/>
  <c r="K139" i="23" s="1"/>
  <c r="F170" i="23" s="1"/>
  <c r="K170" i="23" s="1"/>
  <c r="L170" i="23" s="1"/>
  <c r="I142" i="23"/>
  <c r="K142" i="23" s="1"/>
  <c r="F173" i="23" s="1"/>
  <c r="K173" i="23" s="1"/>
  <c r="L173" i="23" s="1"/>
  <c r="I132" i="23"/>
  <c r="M11" i="75"/>
  <c r="T11" i="75" s="1"/>
  <c r="N45" i="75"/>
  <c r="X32" i="75"/>
  <c r="M32" i="75"/>
  <c r="J32" i="75" s="1"/>
  <c r="J45" i="75" s="1"/>
  <c r="M43" i="75"/>
  <c r="W30" i="75"/>
  <c r="T30" i="75" s="1"/>
  <c r="L45" i="75"/>
  <c r="V32" i="75"/>
  <c r="K361" i="51"/>
  <c r="E347" i="51"/>
  <c r="E1219" i="51"/>
  <c r="K1234" i="51"/>
  <c r="E713" i="54"/>
  <c r="K730" i="54" s="1"/>
  <c r="E529" i="54"/>
  <c r="K546" i="54" s="1"/>
  <c r="E298" i="54"/>
  <c r="K315" i="54" s="1"/>
  <c r="E160" i="54"/>
  <c r="K176" i="54" s="1"/>
  <c r="E437" i="54"/>
  <c r="K455" i="54" s="1"/>
  <c r="E667" i="54"/>
  <c r="K685" i="54" s="1"/>
  <c r="E114" i="54"/>
  <c r="K130" i="54" s="1"/>
  <c r="E391" i="54"/>
  <c r="K409" i="54" s="1"/>
  <c r="E483" i="54"/>
  <c r="K500" i="54" s="1"/>
  <c r="E206" i="54"/>
  <c r="K223" i="54" s="1"/>
  <c r="E575" i="54"/>
  <c r="K593" i="54" s="1"/>
  <c r="E252" i="54"/>
  <c r="K267" i="54" s="1"/>
  <c r="E805" i="54"/>
  <c r="K822" i="54" s="1"/>
  <c r="E68" i="54"/>
  <c r="K85" i="54" s="1"/>
  <c r="E621" i="54"/>
  <c r="K639" i="54" s="1"/>
  <c r="E897" i="54"/>
  <c r="K915" i="54" s="1"/>
  <c r="G142" i="16"/>
  <c r="E345" i="54"/>
  <c r="K364" i="54" s="1"/>
  <c r="E759" i="54"/>
  <c r="K775" i="54" s="1"/>
  <c r="E22" i="54"/>
  <c r="K40" i="54" s="1"/>
  <c r="E851" i="54"/>
  <c r="K868" i="54" s="1"/>
  <c r="E884" i="51"/>
  <c r="K902" i="51"/>
  <c r="K295" i="51"/>
  <c r="E280" i="51"/>
  <c r="E951" i="51"/>
  <c r="K968" i="51"/>
  <c r="K1165" i="51"/>
  <c r="E1152" i="51"/>
  <c r="K1035" i="51"/>
  <c r="E1018" i="51"/>
  <c r="K161" i="51"/>
  <c r="E146" i="51"/>
  <c r="K1100" i="51"/>
  <c r="E1085" i="51"/>
  <c r="U32" i="75"/>
  <c r="K45" i="75"/>
  <c r="K36" i="51"/>
  <c r="E20" i="51"/>
  <c r="K1300" i="51"/>
  <c r="E1286" i="51"/>
  <c r="K696" i="51"/>
  <c r="E683" i="51"/>
  <c r="K762" i="51"/>
  <c r="E750" i="51"/>
  <c r="E616" i="51"/>
  <c r="K631" i="51"/>
  <c r="K562" i="51"/>
  <c r="E549" i="51"/>
  <c r="E547" i="52"/>
  <c r="K563" i="52" s="1"/>
  <c r="E481" i="52"/>
  <c r="K498" i="52" s="1"/>
  <c r="E813" i="52"/>
  <c r="K830" i="52" s="1"/>
  <c r="E1084" i="52"/>
  <c r="K1100" i="52" s="1"/>
  <c r="E880" i="52"/>
  <c r="K896" i="52" s="1"/>
  <c r="E679" i="52"/>
  <c r="K695" i="52" s="1"/>
  <c r="E283" i="52"/>
  <c r="K297" i="52" s="1"/>
  <c r="E1218" i="52"/>
  <c r="K1234" i="52" s="1"/>
  <c r="E1016" i="52"/>
  <c r="K1032" i="52" s="1"/>
  <c r="E349" i="52"/>
  <c r="K363" i="52" s="1"/>
  <c r="E948" i="52"/>
  <c r="K964" i="52" s="1"/>
  <c r="E1151" i="52"/>
  <c r="K1167" i="52" s="1"/>
  <c r="E613" i="52"/>
  <c r="K630" i="52" s="1"/>
  <c r="E746" i="52"/>
  <c r="K764" i="52" s="1"/>
  <c r="E1285" i="52"/>
  <c r="K1301" i="52" s="1"/>
  <c r="E415" i="52"/>
  <c r="K430" i="52" s="1"/>
  <c r="E88" i="52"/>
  <c r="K104" i="52" s="1"/>
  <c r="K428" i="51"/>
  <c r="E413" i="51"/>
  <c r="F126" i="9"/>
  <c r="K830" i="51"/>
  <c r="E817" i="51"/>
  <c r="K227" i="51"/>
  <c r="E213" i="51"/>
  <c r="K122" i="16"/>
  <c r="E383" i="54"/>
  <c r="E843" i="54"/>
  <c r="E198" i="54"/>
  <c r="E152" i="54"/>
  <c r="E521" i="54"/>
  <c r="E889" i="54"/>
  <c r="E60" i="54"/>
  <c r="E613" i="54"/>
  <c r="E475" i="54"/>
  <c r="E797" i="54"/>
  <c r="E244" i="54"/>
  <c r="E429" i="54"/>
  <c r="E337" i="54"/>
  <c r="E106" i="54"/>
  <c r="E659" i="54"/>
  <c r="E290" i="54"/>
  <c r="E14" i="54"/>
  <c r="I142" i="16"/>
  <c r="E751" i="54"/>
  <c r="E567" i="54"/>
  <c r="E705" i="54"/>
  <c r="G126" i="23"/>
  <c r="F125" i="23"/>
  <c r="F146" i="23" s="1"/>
  <c r="K130" i="23" l="1"/>
  <c r="F161" i="23" s="1"/>
  <c r="K161" i="23" s="1"/>
  <c r="L161" i="23" s="1"/>
  <c r="K132" i="23"/>
  <c r="F163" i="23" s="1"/>
  <c r="K163" i="23" s="1"/>
  <c r="L163" i="23" s="1"/>
  <c r="E480" i="51"/>
  <c r="K131" i="23"/>
  <c r="F162" i="23" s="1"/>
  <c r="K162" i="23" s="1"/>
  <c r="L162" i="23" s="1"/>
  <c r="K93" i="51"/>
  <c r="G125" i="13"/>
  <c r="E218" i="52" s="1"/>
  <c r="K234" i="52" s="1"/>
  <c r="I131" i="13"/>
  <c r="I129" i="13"/>
  <c r="I127" i="13"/>
  <c r="G122" i="13"/>
  <c r="I133" i="13"/>
  <c r="K133" i="13" s="1"/>
  <c r="F164" i="13" s="1"/>
  <c r="K164" i="13" s="1"/>
  <c r="L164" i="13" s="1"/>
  <c r="I137" i="13"/>
  <c r="K137" i="13" s="1"/>
  <c r="F168" i="13" s="1"/>
  <c r="K168" i="13" s="1"/>
  <c r="L168" i="13" s="1"/>
  <c r="I141" i="13"/>
  <c r="K141" i="13" s="1"/>
  <c r="F172" i="13" s="1"/>
  <c r="K172" i="13" s="1"/>
  <c r="L172" i="13" s="1"/>
  <c r="I132" i="13"/>
  <c r="K132" i="13" s="1"/>
  <c r="F163" i="13" s="1"/>
  <c r="K163" i="13" s="1"/>
  <c r="L163" i="13" s="1"/>
  <c r="G124" i="13"/>
  <c r="I126" i="13"/>
  <c r="I125" i="13"/>
  <c r="I122" i="13"/>
  <c r="I139" i="13"/>
  <c r="K139" i="13" s="1"/>
  <c r="F170" i="13" s="1"/>
  <c r="K170" i="13" s="1"/>
  <c r="L170" i="13" s="1"/>
  <c r="I135" i="13"/>
  <c r="K135" i="13" s="1"/>
  <c r="F166" i="13" s="1"/>
  <c r="K166" i="13" s="1"/>
  <c r="L166" i="13" s="1"/>
  <c r="I138" i="13"/>
  <c r="K138" i="13" s="1"/>
  <c r="F169" i="13" s="1"/>
  <c r="K169" i="13" s="1"/>
  <c r="L169" i="13" s="1"/>
  <c r="I124" i="13"/>
  <c r="E145" i="52" s="1"/>
  <c r="I128" i="13"/>
  <c r="I130" i="13"/>
  <c r="I123" i="13"/>
  <c r="I134" i="13"/>
  <c r="K134" i="13" s="1"/>
  <c r="F165" i="13" s="1"/>
  <c r="K165" i="13" s="1"/>
  <c r="L165" i="13" s="1"/>
  <c r="F121" i="13"/>
  <c r="F142" i="13" s="1"/>
  <c r="I140" i="13"/>
  <c r="K140" i="13" s="1"/>
  <c r="F171" i="13" s="1"/>
  <c r="K171" i="13" s="1"/>
  <c r="L171" i="13" s="1"/>
  <c r="I136" i="13"/>
  <c r="K136" i="13" s="1"/>
  <c r="F167" i="13" s="1"/>
  <c r="K167" i="13" s="1"/>
  <c r="L167" i="13" s="1"/>
  <c r="I89" i="9"/>
  <c r="I110" i="9" s="1"/>
  <c r="I146" i="23"/>
  <c r="K127" i="23"/>
  <c r="F158" i="23" s="1"/>
  <c r="K158" i="23" s="1"/>
  <c r="L158" i="23" s="1"/>
  <c r="G132" i="9"/>
  <c r="G133" i="9"/>
  <c r="G127" i="9"/>
  <c r="I126" i="9"/>
  <c r="I145" i="9"/>
  <c r="K145" i="9" s="1"/>
  <c r="F177" i="9" s="1"/>
  <c r="K177" i="9" s="1"/>
  <c r="L177" i="9" s="1"/>
  <c r="I129" i="9"/>
  <c r="I131" i="9"/>
  <c r="I137" i="9"/>
  <c r="K137" i="9" s="1"/>
  <c r="F169" i="9" s="1"/>
  <c r="K169" i="9" s="1"/>
  <c r="L169" i="9" s="1"/>
  <c r="I135" i="9"/>
  <c r="I133" i="9"/>
  <c r="I140" i="9"/>
  <c r="K140" i="9" s="1"/>
  <c r="F172" i="9" s="1"/>
  <c r="K172" i="9" s="1"/>
  <c r="L172" i="9" s="1"/>
  <c r="I138" i="9"/>
  <c r="K138" i="9" s="1"/>
  <c r="F170" i="9" s="1"/>
  <c r="K170" i="9" s="1"/>
  <c r="L170" i="9" s="1"/>
  <c r="I144" i="9"/>
  <c r="K144" i="9" s="1"/>
  <c r="F176" i="9" s="1"/>
  <c r="K176" i="9" s="1"/>
  <c r="L176" i="9" s="1"/>
  <c r="I132" i="9"/>
  <c r="I128" i="9"/>
  <c r="I139" i="9"/>
  <c r="K139" i="9" s="1"/>
  <c r="F171" i="9" s="1"/>
  <c r="K171" i="9" s="1"/>
  <c r="L171" i="9" s="1"/>
  <c r="I127" i="9"/>
  <c r="E74" i="51" s="1"/>
  <c r="J91" i="51" s="1"/>
  <c r="I136" i="9"/>
  <c r="K136" i="9" s="1"/>
  <c r="F168" i="9" s="1"/>
  <c r="K168" i="9" s="1"/>
  <c r="L168" i="9" s="1"/>
  <c r="I142" i="9"/>
  <c r="K142" i="9" s="1"/>
  <c r="F174" i="9" s="1"/>
  <c r="K174" i="9" s="1"/>
  <c r="L174" i="9" s="1"/>
  <c r="I134" i="9"/>
  <c r="I130" i="9"/>
  <c r="I143" i="9"/>
  <c r="K143" i="9" s="1"/>
  <c r="F175" i="9" s="1"/>
  <c r="K175" i="9" s="1"/>
  <c r="L175" i="9" s="1"/>
  <c r="I141" i="9"/>
  <c r="K141" i="9" s="1"/>
  <c r="F173" i="9" s="1"/>
  <c r="K173" i="9" s="1"/>
  <c r="L173" i="9" s="1"/>
  <c r="M12" i="75"/>
  <c r="E9" i="75"/>
  <c r="P43" i="75" s="1"/>
  <c r="W32" i="75"/>
  <c r="T32" i="75" s="1"/>
  <c r="M45" i="75"/>
  <c r="E521" i="53"/>
  <c r="E24" i="53"/>
  <c r="E1150" i="53"/>
  <c r="G146" i="23"/>
  <c r="E240" i="53"/>
  <c r="E96" i="53"/>
  <c r="E311" i="53"/>
  <c r="E381" i="53"/>
  <c r="E730" i="53"/>
  <c r="E870" i="53"/>
  <c r="E451" i="53"/>
  <c r="E167" i="53"/>
  <c r="E1220" i="53"/>
  <c r="E1360" i="53"/>
  <c r="E800" i="53"/>
  <c r="E660" i="53"/>
  <c r="E1080" i="53"/>
  <c r="E1010" i="53"/>
  <c r="E590" i="53"/>
  <c r="E940" i="53"/>
  <c r="E1290" i="53"/>
  <c r="E139" i="54"/>
  <c r="J126" i="54"/>
  <c r="J911" i="54"/>
  <c r="E922" i="54"/>
  <c r="E738" i="54"/>
  <c r="J726" i="54"/>
  <c r="E370" i="54"/>
  <c r="J360" i="54"/>
  <c r="E554" i="54"/>
  <c r="J542" i="54"/>
  <c r="E600" i="54"/>
  <c r="J589" i="54"/>
  <c r="J451" i="54"/>
  <c r="E462" i="54"/>
  <c r="E185" i="54"/>
  <c r="J172" i="54"/>
  <c r="J771" i="54"/>
  <c r="E784" i="54"/>
  <c r="E277" i="54"/>
  <c r="J263" i="54"/>
  <c r="E231" i="54"/>
  <c r="J219" i="54"/>
  <c r="J818" i="54"/>
  <c r="E830" i="54"/>
  <c r="J864" i="54"/>
  <c r="E876" i="54"/>
  <c r="G126" i="9"/>
  <c r="F125" i="9"/>
  <c r="F146" i="9" s="1"/>
  <c r="E47" i="54"/>
  <c r="J36" i="54"/>
  <c r="E508" i="54"/>
  <c r="J496" i="54"/>
  <c r="J405" i="54"/>
  <c r="E416" i="54"/>
  <c r="K126" i="23"/>
  <c r="J311" i="54"/>
  <c r="E324" i="54"/>
  <c r="J635" i="54"/>
  <c r="E646" i="54"/>
  <c r="K121" i="16"/>
  <c r="K142" i="16" s="1"/>
  <c r="F153" i="16"/>
  <c r="E692" i="54"/>
  <c r="J681" i="54"/>
  <c r="E93" i="54"/>
  <c r="J81" i="54"/>
  <c r="K126" i="13" l="1"/>
  <c r="F157" i="13" s="1"/>
  <c r="K157" i="13" s="1"/>
  <c r="L157" i="13" s="1"/>
  <c r="E275" i="52"/>
  <c r="E153" i="52"/>
  <c r="K169" i="52" s="1"/>
  <c r="K124" i="13"/>
  <c r="F155" i="13" s="1"/>
  <c r="K155" i="13" s="1"/>
  <c r="L155" i="13" s="1"/>
  <c r="K128" i="13"/>
  <c r="F159" i="13" s="1"/>
  <c r="K159" i="13" s="1"/>
  <c r="L159" i="13" s="1"/>
  <c r="E407" i="52"/>
  <c r="J165" i="52"/>
  <c r="K125" i="13"/>
  <c r="F156" i="13" s="1"/>
  <c r="K156" i="13" s="1"/>
  <c r="L156" i="13" s="1"/>
  <c r="E210" i="52"/>
  <c r="K130" i="13"/>
  <c r="F161" i="13" s="1"/>
  <c r="K161" i="13" s="1"/>
  <c r="L161" i="13" s="1"/>
  <c r="E539" i="52"/>
  <c r="K122" i="13"/>
  <c r="E23" i="52"/>
  <c r="K40" i="52" s="1"/>
  <c r="G142" i="13"/>
  <c r="K127" i="13"/>
  <c r="F158" i="13" s="1"/>
  <c r="K158" i="13" s="1"/>
  <c r="L158" i="13" s="1"/>
  <c r="E341" i="52"/>
  <c r="K129" i="13"/>
  <c r="F160" i="13" s="1"/>
  <c r="K160" i="13" s="1"/>
  <c r="L160" i="13" s="1"/>
  <c r="E473" i="52"/>
  <c r="K123" i="13"/>
  <c r="F154" i="13" s="1"/>
  <c r="K154" i="13" s="1"/>
  <c r="L154" i="13" s="1"/>
  <c r="E80" i="52"/>
  <c r="K131" i="13"/>
  <c r="F162" i="13" s="1"/>
  <c r="K162" i="13" s="1"/>
  <c r="L162" i="13" s="1"/>
  <c r="E1008" i="52"/>
  <c r="E671" i="52"/>
  <c r="E738" i="52"/>
  <c r="E805" i="52"/>
  <c r="E1076" i="52"/>
  <c r="E1277" i="52"/>
  <c r="E872" i="52"/>
  <c r="E1210" i="52"/>
  <c r="E1143" i="52"/>
  <c r="E940" i="52"/>
  <c r="E605" i="52"/>
  <c r="I142" i="13"/>
  <c r="E15" i="52"/>
  <c r="K131" i="9"/>
  <c r="F163" i="9" s="1"/>
  <c r="E341" i="51"/>
  <c r="J359" i="51" s="1"/>
  <c r="K132" i="9"/>
  <c r="F164" i="9" s="1"/>
  <c r="K164" i="9" s="1"/>
  <c r="L164" i="9" s="1"/>
  <c r="E407" i="51"/>
  <c r="J426" i="51" s="1"/>
  <c r="K135" i="9"/>
  <c r="F167" i="9" s="1"/>
  <c r="K167" i="9" s="1"/>
  <c r="L167" i="9" s="1"/>
  <c r="E677" i="51"/>
  <c r="J694" i="51" s="1"/>
  <c r="E1079" i="51"/>
  <c r="J1098" i="51" s="1"/>
  <c r="E878" i="51"/>
  <c r="J900" i="51" s="1"/>
  <c r="E1280" i="51"/>
  <c r="J1298" i="51" s="1"/>
  <c r="E1146" i="51"/>
  <c r="J1163" i="51" s="1"/>
  <c r="E945" i="51"/>
  <c r="J966" i="51" s="1"/>
  <c r="E1213" i="51"/>
  <c r="J1232" i="51" s="1"/>
  <c r="E811" i="51"/>
  <c r="J828" i="51" s="1"/>
  <c r="E1012" i="51"/>
  <c r="J1033" i="51" s="1"/>
  <c r="E744" i="51"/>
  <c r="J760" i="51" s="1"/>
  <c r="E610" i="51"/>
  <c r="J629" i="51" s="1"/>
  <c r="K129" i="9"/>
  <c r="F161" i="9" s="1"/>
  <c r="K161" i="9" s="1"/>
  <c r="L161" i="9" s="1"/>
  <c r="E207" i="51"/>
  <c r="J225" i="51" s="1"/>
  <c r="K133" i="9"/>
  <c r="F165" i="9" s="1"/>
  <c r="K165" i="9" s="1"/>
  <c r="L165" i="9" s="1"/>
  <c r="E474" i="51"/>
  <c r="J494" i="51" s="1"/>
  <c r="K134" i="9"/>
  <c r="F166" i="9" s="1"/>
  <c r="K166" i="9" s="1"/>
  <c r="L166" i="9" s="1"/>
  <c r="E543" i="51"/>
  <c r="J560" i="51" s="1"/>
  <c r="E14" i="51"/>
  <c r="J34" i="51" s="1"/>
  <c r="I146" i="9"/>
  <c r="K130" i="9"/>
  <c r="F162" i="9" s="1"/>
  <c r="K162" i="9" s="1"/>
  <c r="L162" i="9" s="1"/>
  <c r="E274" i="51"/>
  <c r="J293" i="51" s="1"/>
  <c r="E140" i="51"/>
  <c r="J159" i="51" s="1"/>
  <c r="K128" i="9"/>
  <c r="F160" i="9" s="1"/>
  <c r="K160" i="9" s="1"/>
  <c r="L160" i="9" s="1"/>
  <c r="K127" i="9"/>
  <c r="F159" i="9" s="1"/>
  <c r="K159" i="9" s="1"/>
  <c r="L159" i="9" s="1"/>
  <c r="L397" i="53"/>
  <c r="E405" i="53"/>
  <c r="E824" i="53"/>
  <c r="L815" i="53"/>
  <c r="L327" i="53"/>
  <c r="E335" i="53"/>
  <c r="L1377" i="53"/>
  <c r="E1384" i="53"/>
  <c r="L113" i="53"/>
  <c r="E121" i="53"/>
  <c r="L676" i="53"/>
  <c r="E684" i="53"/>
  <c r="L1307" i="53"/>
  <c r="E1314" i="53"/>
  <c r="L1237" i="53"/>
  <c r="E1244" i="53"/>
  <c r="L258" i="53"/>
  <c r="E265" i="53"/>
  <c r="F157" i="23"/>
  <c r="K125" i="23"/>
  <c r="K146" i="23" s="1"/>
  <c r="E964" i="53"/>
  <c r="L956" i="53"/>
  <c r="E193" i="53"/>
  <c r="L184" i="53"/>
  <c r="L607" i="53"/>
  <c r="E614" i="53"/>
  <c r="L467" i="53"/>
  <c r="E475" i="53"/>
  <c r="L1167" i="53"/>
  <c r="E1174" i="53"/>
  <c r="K153" i="16"/>
  <c r="F152" i="16"/>
  <c r="K126" i="9"/>
  <c r="E953" i="51"/>
  <c r="E1288" i="51"/>
  <c r="E685" i="51"/>
  <c r="E1221" i="51"/>
  <c r="E819" i="51"/>
  <c r="E415" i="51"/>
  <c r="E1154" i="51"/>
  <c r="E82" i="51"/>
  <c r="E22" i="51"/>
  <c r="E752" i="51"/>
  <c r="G146" i="9"/>
  <c r="E482" i="51"/>
  <c r="E551" i="51"/>
  <c r="E1020" i="51"/>
  <c r="E618" i="51"/>
  <c r="E282" i="51"/>
  <c r="E148" i="51"/>
  <c r="E886" i="51"/>
  <c r="E215" i="51"/>
  <c r="E1087" i="51"/>
  <c r="E1034" i="53"/>
  <c r="L1027" i="53"/>
  <c r="L886" i="53"/>
  <c r="E894" i="53"/>
  <c r="L41" i="53"/>
  <c r="E49" i="53"/>
  <c r="L1097" i="53"/>
  <c r="E1104" i="53"/>
  <c r="L746" i="53"/>
  <c r="E754" i="53"/>
  <c r="E544" i="53"/>
  <c r="L538" i="53"/>
  <c r="E703" i="52" l="1"/>
  <c r="J691" i="52"/>
  <c r="E570" i="52"/>
  <c r="J559" i="52"/>
  <c r="J626" i="52"/>
  <c r="E636" i="52"/>
  <c r="E972" i="52"/>
  <c r="J960" i="52"/>
  <c r="E438" i="52"/>
  <c r="J426" i="52"/>
  <c r="E904" i="52"/>
  <c r="J892" i="52"/>
  <c r="E372" i="52"/>
  <c r="J359" i="52"/>
  <c r="J230" i="52"/>
  <c r="E241" i="52"/>
  <c r="E504" i="52"/>
  <c r="J494" i="52"/>
  <c r="J1297" i="52"/>
  <c r="E1309" i="52"/>
  <c r="E46" i="52"/>
  <c r="J36" i="52"/>
  <c r="E111" i="52"/>
  <c r="J100" i="52"/>
  <c r="E1242" i="52"/>
  <c r="J1230" i="52"/>
  <c r="J1096" i="52"/>
  <c r="E1108" i="52"/>
  <c r="J293" i="52"/>
  <c r="E307" i="52"/>
  <c r="J1028" i="52"/>
  <c r="E1040" i="52"/>
  <c r="J1163" i="52"/>
  <c r="E1175" i="52"/>
  <c r="E837" i="52"/>
  <c r="J826" i="52"/>
  <c r="E770" i="52"/>
  <c r="J760" i="52"/>
  <c r="K121" i="13"/>
  <c r="K142" i="13" s="1"/>
  <c r="F153" i="13"/>
  <c r="E176" i="52"/>
  <c r="I715" i="30"/>
  <c r="L737" i="30" s="1"/>
  <c r="L738" i="30" s="1"/>
  <c r="E815" i="52"/>
  <c r="K827" i="52" s="1"/>
  <c r="I305" i="30"/>
  <c r="I264" i="30"/>
  <c r="I756" i="30"/>
  <c r="L778" i="30" s="1"/>
  <c r="L779" i="30" s="1"/>
  <c r="E882" i="52"/>
  <c r="K893" i="52" s="1"/>
  <c r="I797" i="30"/>
  <c r="L819" i="30" s="1"/>
  <c r="Y23" i="65" s="1"/>
  <c r="E417" i="52"/>
  <c r="K427" i="52" s="1"/>
  <c r="I428" i="30"/>
  <c r="L450" i="30" s="1"/>
  <c r="L451" i="30" s="1"/>
  <c r="I100" i="30"/>
  <c r="I633" i="30"/>
  <c r="L655" i="30" s="1"/>
  <c r="O655" i="30" s="1"/>
  <c r="M655" i="30" s="1"/>
  <c r="E615" i="52"/>
  <c r="K627" i="52" s="1"/>
  <c r="I469" i="30"/>
  <c r="L491" i="30" s="1"/>
  <c r="O491" i="30" s="1"/>
  <c r="M491" i="30" s="1"/>
  <c r="E549" i="52"/>
  <c r="K560" i="52" s="1"/>
  <c r="E1153" i="52"/>
  <c r="K1164" i="52" s="1"/>
  <c r="E351" i="52"/>
  <c r="K360" i="52" s="1"/>
  <c r="E1086" i="52"/>
  <c r="K1097" i="52" s="1"/>
  <c r="I510" i="30"/>
  <c r="L532" i="30" s="1"/>
  <c r="Y16" i="65" s="1"/>
  <c r="E155" i="52"/>
  <c r="K166" i="52" s="1"/>
  <c r="E950" i="52"/>
  <c r="K961" i="52" s="1"/>
  <c r="I387" i="30"/>
  <c r="L409" i="30" s="1"/>
  <c r="K646" i="52" s="1"/>
  <c r="I551" i="30"/>
  <c r="L573" i="30" s="1"/>
  <c r="O573" i="30" s="1"/>
  <c r="M573" i="30" s="1"/>
  <c r="E681" i="52"/>
  <c r="K692" i="52" s="1"/>
  <c r="E220" i="52"/>
  <c r="K231" i="52" s="1"/>
  <c r="E1220" i="52"/>
  <c r="K1231" i="52" s="1"/>
  <c r="E1018" i="52"/>
  <c r="K1029" i="52" s="1"/>
  <c r="I59" i="30"/>
  <c r="E748" i="52"/>
  <c r="K761" i="52" s="1"/>
  <c r="I592" i="30"/>
  <c r="L614" i="30" s="1"/>
  <c r="L615" i="30" s="1"/>
  <c r="I223" i="30"/>
  <c r="I346" i="30"/>
  <c r="E483" i="52"/>
  <c r="K495" i="52" s="1"/>
  <c r="I182" i="30"/>
  <c r="E285" i="52"/>
  <c r="K294" i="52" s="1"/>
  <c r="E1287" i="52"/>
  <c r="K1298" i="52" s="1"/>
  <c r="E90" i="52"/>
  <c r="K101" i="52" s="1"/>
  <c r="I674" i="30"/>
  <c r="L696" i="30" s="1"/>
  <c r="Y20" i="65" s="1"/>
  <c r="K1167" i="51"/>
  <c r="E1178" i="51"/>
  <c r="K1037" i="51"/>
  <c r="E1044" i="51"/>
  <c r="E439" i="51"/>
  <c r="K430" i="51"/>
  <c r="H268" i="31"/>
  <c r="E24" i="54"/>
  <c r="K37" i="54" s="1"/>
  <c r="E208" i="54"/>
  <c r="K220" i="54" s="1"/>
  <c r="H232" i="31"/>
  <c r="H322" i="31"/>
  <c r="G178" i="31"/>
  <c r="G142" i="31"/>
  <c r="G34" i="31"/>
  <c r="E531" i="54"/>
  <c r="K543" i="54" s="1"/>
  <c r="G340" i="31"/>
  <c r="H16" i="31"/>
  <c r="H250" i="31"/>
  <c r="H214" i="31"/>
  <c r="H196" i="31"/>
  <c r="G106" i="31"/>
  <c r="G160" i="31"/>
  <c r="E116" i="54"/>
  <c r="K127" i="54" s="1"/>
  <c r="E853" i="54"/>
  <c r="K865" i="54" s="1"/>
  <c r="H340" i="31"/>
  <c r="H52" i="31"/>
  <c r="E623" i="54"/>
  <c r="K636" i="54" s="1"/>
  <c r="G88" i="31"/>
  <c r="G286" i="31"/>
  <c r="G232" i="31"/>
  <c r="G268" i="31"/>
  <c r="H160" i="31"/>
  <c r="H106" i="31"/>
  <c r="E577" i="54"/>
  <c r="K590" i="54" s="1"/>
  <c r="H142" i="31"/>
  <c r="E300" i="54"/>
  <c r="K312" i="54" s="1"/>
  <c r="G124" i="31"/>
  <c r="H124" i="31"/>
  <c r="H304" i="31"/>
  <c r="H286" i="31"/>
  <c r="H358" i="31"/>
  <c r="E485" i="54"/>
  <c r="K497" i="54" s="1"/>
  <c r="E761" i="54"/>
  <c r="K772" i="54" s="1"/>
  <c r="H70" i="31"/>
  <c r="G358" i="31"/>
  <c r="G16" i="31"/>
  <c r="E715" i="54"/>
  <c r="K727" i="54" s="1"/>
  <c r="H34" i="31"/>
  <c r="L153" i="16"/>
  <c r="E807" i="54"/>
  <c r="K819" i="54" s="1"/>
  <c r="G250" i="31"/>
  <c r="H88" i="31"/>
  <c r="E393" i="54"/>
  <c r="K406" i="54" s="1"/>
  <c r="E70" i="54"/>
  <c r="K82" i="54" s="1"/>
  <c r="E254" i="54"/>
  <c r="K264" i="54" s="1"/>
  <c r="G214" i="31"/>
  <c r="E439" i="54"/>
  <c r="K452" i="54" s="1"/>
  <c r="G304" i="31"/>
  <c r="E162" i="54"/>
  <c r="K173" i="54" s="1"/>
  <c r="E347" i="54"/>
  <c r="K361" i="54" s="1"/>
  <c r="E669" i="54"/>
  <c r="K682" i="54" s="1"/>
  <c r="K152" i="16"/>
  <c r="L152" i="16" s="1"/>
  <c r="H178" i="31"/>
  <c r="G322" i="31"/>
  <c r="G196" i="31"/>
  <c r="G70" i="31"/>
  <c r="E899" i="54"/>
  <c r="K912" i="54" s="1"/>
  <c r="G52" i="31"/>
  <c r="E1111" i="51"/>
  <c r="K1102" i="51"/>
  <c r="E575" i="51"/>
  <c r="K564" i="51"/>
  <c r="K832" i="51"/>
  <c r="E843" i="51"/>
  <c r="E239" i="51"/>
  <c r="K229" i="51"/>
  <c r="K498" i="51"/>
  <c r="E508" i="51"/>
  <c r="K1236" i="51"/>
  <c r="E1245" i="51"/>
  <c r="K633" i="51"/>
  <c r="E642" i="51"/>
  <c r="K904" i="51"/>
  <c r="E910" i="51"/>
  <c r="K698" i="51"/>
  <c r="E709" i="51"/>
  <c r="L163" i="30"/>
  <c r="K163" i="51"/>
  <c r="E172" i="51"/>
  <c r="K764" i="51"/>
  <c r="E776" i="51"/>
  <c r="E1312" i="51"/>
  <c r="K1302" i="51"/>
  <c r="K157" i="23"/>
  <c r="F156" i="23"/>
  <c r="E43" i="51"/>
  <c r="K38" i="51"/>
  <c r="K970" i="51"/>
  <c r="E977" i="51"/>
  <c r="K297" i="51"/>
  <c r="E306" i="51"/>
  <c r="K95" i="51"/>
  <c r="E105" i="51"/>
  <c r="K125" i="9"/>
  <c r="K146" i="9" s="1"/>
  <c r="F158" i="9"/>
  <c r="F152" i="13" l="1"/>
  <c r="K153" i="13"/>
  <c r="L368" i="30"/>
  <c r="K580" i="52" s="1"/>
  <c r="L367" i="30"/>
  <c r="L327" i="30"/>
  <c r="L328" i="30" s="1"/>
  <c r="O328" i="30" s="1"/>
  <c r="M328" i="30" s="1"/>
  <c r="L326" i="30"/>
  <c r="L286" i="30"/>
  <c r="Y10" i="65" s="1"/>
  <c r="L285" i="30"/>
  <c r="L245" i="30"/>
  <c r="K382" i="52" s="1"/>
  <c r="L244" i="30"/>
  <c r="L204" i="30"/>
  <c r="Y8" i="65" s="1"/>
  <c r="L203" i="30"/>
  <c r="F68" i="30"/>
  <c r="L80" i="30"/>
  <c r="F109" i="30"/>
  <c r="L121" i="30"/>
  <c r="K317" i="52"/>
  <c r="Y22" i="65"/>
  <c r="E635" i="52"/>
  <c r="K514" i="52"/>
  <c r="L533" i="30"/>
  <c r="Z16" i="65" s="1"/>
  <c r="K713" i="52"/>
  <c r="K1252" i="52"/>
  <c r="O286" i="30"/>
  <c r="M286" i="30" s="1"/>
  <c r="O778" i="30"/>
  <c r="M778" i="30" s="1"/>
  <c r="N778" i="30" s="1"/>
  <c r="K1185" i="52"/>
  <c r="Y11" i="65"/>
  <c r="Y21" i="65"/>
  <c r="O450" i="30"/>
  <c r="M450" i="30" s="1"/>
  <c r="N450" i="30" s="1"/>
  <c r="O737" i="30"/>
  <c r="M737" i="30" s="1"/>
  <c r="AI21" i="65" s="1"/>
  <c r="Y14" i="65"/>
  <c r="E1174" i="52"/>
  <c r="E437" i="52"/>
  <c r="E769" i="52"/>
  <c r="E1039" i="52"/>
  <c r="K448" i="52"/>
  <c r="E175" i="52"/>
  <c r="L410" i="30"/>
  <c r="O410" i="30" s="1"/>
  <c r="M410" i="30" s="1"/>
  <c r="O696" i="30"/>
  <c r="M696" i="30" s="1"/>
  <c r="N696" i="30" s="1"/>
  <c r="E240" i="52"/>
  <c r="L697" i="30"/>
  <c r="L698" i="30" s="1"/>
  <c r="E371" i="52"/>
  <c r="K847" i="52"/>
  <c r="L287" i="30"/>
  <c r="L288" i="30" s="1"/>
  <c r="Y19" i="65"/>
  <c r="E903" i="52"/>
  <c r="O532" i="30"/>
  <c r="M532" i="30" s="1"/>
  <c r="AI16" i="65" s="1"/>
  <c r="Y18" i="65"/>
  <c r="L656" i="30"/>
  <c r="O656" i="30" s="1"/>
  <c r="M656" i="30" s="1"/>
  <c r="E110" i="52"/>
  <c r="L205" i="30"/>
  <c r="L206" i="30" s="1"/>
  <c r="E702" i="52"/>
  <c r="K983" i="52"/>
  <c r="K1051" i="52"/>
  <c r="L492" i="30"/>
  <c r="L493" i="30" s="1"/>
  <c r="Y15" i="65"/>
  <c r="K780" i="52"/>
  <c r="L81" i="30"/>
  <c r="L82" i="30" s="1"/>
  <c r="L574" i="30"/>
  <c r="Z17" i="65" s="1"/>
  <c r="Y9" i="65"/>
  <c r="K915" i="52"/>
  <c r="O819" i="30"/>
  <c r="M819" i="30" s="1"/>
  <c r="AI23" i="65" s="1"/>
  <c r="L246" i="30"/>
  <c r="L247" i="30" s="1"/>
  <c r="L820" i="30"/>
  <c r="O820" i="30" s="1"/>
  <c r="M820" i="30" s="1"/>
  <c r="K1319" i="52"/>
  <c r="Y17" i="65"/>
  <c r="L122" i="30"/>
  <c r="Y6" i="65" s="1"/>
  <c r="K1118" i="52"/>
  <c r="E306" i="52"/>
  <c r="E569" i="52"/>
  <c r="O409" i="30"/>
  <c r="M409" i="30" s="1"/>
  <c r="AI13" i="65" s="1"/>
  <c r="E503" i="52"/>
  <c r="E836" i="52"/>
  <c r="Y13" i="65"/>
  <c r="E1308" i="52"/>
  <c r="O614" i="30"/>
  <c r="M614" i="30" s="1"/>
  <c r="AI18" i="65" s="1"/>
  <c r="E1107" i="52"/>
  <c r="E1241" i="52"/>
  <c r="O368" i="30"/>
  <c r="M368" i="30" s="1"/>
  <c r="AI12" i="65" s="1"/>
  <c r="L369" i="30"/>
  <c r="O369" i="30" s="1"/>
  <c r="M369" i="30" s="1"/>
  <c r="Y12" i="65"/>
  <c r="F329" i="31"/>
  <c r="G329" i="31"/>
  <c r="F275" i="31"/>
  <c r="G275" i="31"/>
  <c r="F221" i="31"/>
  <c r="G221" i="31"/>
  <c r="K158" i="9"/>
  <c r="F157" i="9"/>
  <c r="O451" i="30"/>
  <c r="M451" i="30" s="1"/>
  <c r="Z14" i="65"/>
  <c r="L452" i="30"/>
  <c r="K714" i="52"/>
  <c r="K1253" i="52"/>
  <c r="L780" i="30"/>
  <c r="O779" i="30"/>
  <c r="M779" i="30" s="1"/>
  <c r="Z22" i="65"/>
  <c r="G23" i="31"/>
  <c r="F23" i="31"/>
  <c r="G239" i="31"/>
  <c r="F239" i="31"/>
  <c r="F167" i="31"/>
  <c r="G167" i="31"/>
  <c r="F41" i="31"/>
  <c r="G41" i="31"/>
  <c r="Z11" i="65"/>
  <c r="K515" i="52"/>
  <c r="L329" i="30"/>
  <c r="AI15" i="65"/>
  <c r="N491" i="30"/>
  <c r="F365" i="31"/>
  <c r="G365" i="31"/>
  <c r="G131" i="31"/>
  <c r="F131" i="31"/>
  <c r="G293" i="31"/>
  <c r="F293" i="31"/>
  <c r="G113" i="31"/>
  <c r="F113" i="31"/>
  <c r="F149" i="31"/>
  <c r="G149" i="31"/>
  <c r="G347" i="31"/>
  <c r="F347" i="31"/>
  <c r="N573" i="30"/>
  <c r="AI17" i="65"/>
  <c r="G59" i="31"/>
  <c r="F59" i="31"/>
  <c r="G95" i="31"/>
  <c r="F95" i="31"/>
  <c r="G185" i="31"/>
  <c r="F185" i="31"/>
  <c r="G257" i="31"/>
  <c r="F257" i="31"/>
  <c r="N655" i="30"/>
  <c r="AI19" i="65"/>
  <c r="K984" i="52"/>
  <c r="Z18" i="65"/>
  <c r="O615" i="30"/>
  <c r="M615" i="30" s="1"/>
  <c r="L616" i="30"/>
  <c r="G77" i="31"/>
  <c r="F77" i="31"/>
  <c r="G311" i="31"/>
  <c r="F311" i="31"/>
  <c r="L452" i="28"/>
  <c r="K479" i="28" s="1"/>
  <c r="K156" i="23"/>
  <c r="L156" i="23" s="1"/>
  <c r="E662" i="53"/>
  <c r="L673" i="53" s="1"/>
  <c r="L204" i="28"/>
  <c r="E313" i="53"/>
  <c r="L324" i="53" s="1"/>
  <c r="L1196" i="28"/>
  <c r="E1012" i="53"/>
  <c r="L1024" i="53" s="1"/>
  <c r="E1222" i="53"/>
  <c r="L1234" i="53" s="1"/>
  <c r="L948" i="28"/>
  <c r="L18" i="28"/>
  <c r="E1292" i="53"/>
  <c r="L1304" i="53" s="1"/>
  <c r="L762" i="28"/>
  <c r="L142" i="28"/>
  <c r="K169" i="28" s="1"/>
  <c r="L576" i="28"/>
  <c r="E1362" i="53"/>
  <c r="L1374" i="53" s="1"/>
  <c r="L1010" i="28"/>
  <c r="L824" i="28"/>
  <c r="L157" i="23"/>
  <c r="L266" i="28"/>
  <c r="K293" i="28" s="1"/>
  <c r="L80" i="28"/>
  <c r="E872" i="53"/>
  <c r="L883" i="53" s="1"/>
  <c r="E26" i="53"/>
  <c r="L38" i="53" s="1"/>
  <c r="E242" i="53"/>
  <c r="L255" i="53" s="1"/>
  <c r="E942" i="53"/>
  <c r="L953" i="53" s="1"/>
  <c r="L514" i="28"/>
  <c r="E383" i="53"/>
  <c r="L394" i="53" s="1"/>
  <c r="E169" i="53"/>
  <c r="L181" i="53" s="1"/>
  <c r="E1082" i="53"/>
  <c r="L1094" i="53" s="1"/>
  <c r="L638" i="28"/>
  <c r="L390" i="28"/>
  <c r="K417" i="28" s="1"/>
  <c r="E453" i="53"/>
  <c r="L464" i="53" s="1"/>
  <c r="L886" i="28"/>
  <c r="E802" i="53"/>
  <c r="L812" i="53" s="1"/>
  <c r="E732" i="53"/>
  <c r="L743" i="53" s="1"/>
  <c r="L1072" i="28"/>
  <c r="L328" i="28"/>
  <c r="K355" i="28" s="1"/>
  <c r="E523" i="53"/>
  <c r="L535" i="53" s="1"/>
  <c r="L1134" i="28"/>
  <c r="L700" i="28"/>
  <c r="E1152" i="53"/>
  <c r="L1164" i="53" s="1"/>
  <c r="E592" i="53"/>
  <c r="L604" i="53" s="1"/>
  <c r="E98" i="53"/>
  <c r="L110" i="53" s="1"/>
  <c r="L164" i="30"/>
  <c r="K251" i="52"/>
  <c r="Y7" i="65"/>
  <c r="O163" i="30"/>
  <c r="M163" i="30" s="1"/>
  <c r="F203" i="31"/>
  <c r="G203" i="31"/>
  <c r="E92" i="54"/>
  <c r="E276" i="54"/>
  <c r="E737" i="54"/>
  <c r="E645" i="54"/>
  <c r="E691" i="54"/>
  <c r="E461" i="54"/>
  <c r="E921" i="54"/>
  <c r="E230" i="54"/>
  <c r="E875" i="54"/>
  <c r="E783" i="54"/>
  <c r="E553" i="54"/>
  <c r="E369" i="54"/>
  <c r="E184" i="54"/>
  <c r="E829" i="54"/>
  <c r="E138" i="54"/>
  <c r="E323" i="54"/>
  <c r="E46" i="54"/>
  <c r="E415" i="54"/>
  <c r="E507" i="54"/>
  <c r="E599" i="54"/>
  <c r="Z21" i="65"/>
  <c r="L739" i="30"/>
  <c r="K1186" i="52"/>
  <c r="O738" i="30"/>
  <c r="M738" i="30" s="1"/>
  <c r="O245" i="30" l="1"/>
  <c r="M245" i="30" s="1"/>
  <c r="I141" i="30"/>
  <c r="L153" i="13"/>
  <c r="I18" i="30"/>
  <c r="E25" i="52"/>
  <c r="K37" i="52" s="1"/>
  <c r="K152" i="13"/>
  <c r="L152" i="13" s="1"/>
  <c r="O11" i="66"/>
  <c r="K480" i="28"/>
  <c r="L479" i="28"/>
  <c r="K418" i="28"/>
  <c r="O10" i="66"/>
  <c r="L417" i="28"/>
  <c r="O8" i="66"/>
  <c r="L293" i="28"/>
  <c r="K294" i="28"/>
  <c r="O9" i="66"/>
  <c r="K356" i="28"/>
  <c r="L355" i="28"/>
  <c r="K170" i="28"/>
  <c r="O6" i="66"/>
  <c r="L169" i="28"/>
  <c r="X12" i="65"/>
  <c r="K579" i="52"/>
  <c r="O367" i="30"/>
  <c r="M367" i="30" s="1"/>
  <c r="AH12" i="65" s="1"/>
  <c r="O327" i="30"/>
  <c r="M327" i="30" s="1"/>
  <c r="K513" i="52"/>
  <c r="X11" i="65"/>
  <c r="O326" i="30"/>
  <c r="M326" i="30" s="1"/>
  <c r="AH11" i="65" s="1"/>
  <c r="K447" i="52"/>
  <c r="X10" i="65"/>
  <c r="O285" i="30"/>
  <c r="M285" i="30" s="1"/>
  <c r="AH10" i="65" s="1"/>
  <c r="X9" i="65"/>
  <c r="O244" i="30"/>
  <c r="M244" i="30" s="1"/>
  <c r="AH9" i="65" s="1"/>
  <c r="K381" i="52"/>
  <c r="O204" i="30"/>
  <c r="M204" i="30" s="1"/>
  <c r="K316" i="52"/>
  <c r="X8" i="65"/>
  <c r="O203" i="30"/>
  <c r="M203" i="30" s="1"/>
  <c r="AH8" i="65" s="1"/>
  <c r="K120" i="52"/>
  <c r="X5" i="65"/>
  <c r="O80" i="30"/>
  <c r="M80" i="30" s="1"/>
  <c r="AH5" i="65" s="1"/>
  <c r="X6" i="65"/>
  <c r="K185" i="52"/>
  <c r="O121" i="30"/>
  <c r="M121" i="30" s="1"/>
  <c r="AH6" i="65" s="1"/>
  <c r="O81" i="30"/>
  <c r="M81" i="30" s="1"/>
  <c r="L370" i="30"/>
  <c r="K582" i="52" s="1"/>
  <c r="Z23" i="65"/>
  <c r="Z19" i="65"/>
  <c r="K848" i="52"/>
  <c r="O697" i="30"/>
  <c r="M697" i="30" s="1"/>
  <c r="AJ20" i="65" s="1"/>
  <c r="K647" i="52"/>
  <c r="K1052" i="52"/>
  <c r="L40" i="30"/>
  <c r="L41" i="30" s="1"/>
  <c r="AI22" i="65"/>
  <c r="O246" i="30"/>
  <c r="M246" i="30" s="1"/>
  <c r="AJ9" i="65" s="1"/>
  <c r="N532" i="30"/>
  <c r="AI10" i="65"/>
  <c r="O533" i="30"/>
  <c r="M533" i="30" s="1"/>
  <c r="AJ16" i="65" s="1"/>
  <c r="L534" i="30"/>
  <c r="AA16" i="65" s="1"/>
  <c r="L821" i="30"/>
  <c r="K1321" i="52" s="1"/>
  <c r="AI11" i="65"/>
  <c r="Y5" i="65"/>
  <c r="K916" i="52"/>
  <c r="K121" i="52"/>
  <c r="AI14" i="65"/>
  <c r="L657" i="30"/>
  <c r="L658" i="30" s="1"/>
  <c r="O205" i="30"/>
  <c r="M205" i="30" s="1"/>
  <c r="O574" i="30"/>
  <c r="M574" i="30" s="1"/>
  <c r="AJ17" i="65" s="1"/>
  <c r="N737" i="30"/>
  <c r="K1320" i="52"/>
  <c r="K449" i="52"/>
  <c r="L575" i="30"/>
  <c r="O575" i="30" s="1"/>
  <c r="M575" i="30" s="1"/>
  <c r="Z20" i="65"/>
  <c r="N409" i="30"/>
  <c r="O287" i="30"/>
  <c r="M287" i="30" s="1"/>
  <c r="N287" i="30" s="1"/>
  <c r="Z8" i="65"/>
  <c r="O492" i="30"/>
  <c r="M492" i="30" s="1"/>
  <c r="AJ15" i="65" s="1"/>
  <c r="Z13" i="65"/>
  <c r="K1119" i="52"/>
  <c r="N819" i="30"/>
  <c r="Z9" i="65"/>
  <c r="K781" i="52"/>
  <c r="K383" i="52"/>
  <c r="K318" i="52"/>
  <c r="Z10" i="65"/>
  <c r="Z15" i="65"/>
  <c r="AI8" i="65"/>
  <c r="N614" i="30"/>
  <c r="AI20" i="65"/>
  <c r="AI9" i="65"/>
  <c r="L411" i="30"/>
  <c r="AA13" i="65" s="1"/>
  <c r="L123" i="30"/>
  <c r="Z6" i="65" s="1"/>
  <c r="K186" i="52"/>
  <c r="O122" i="30"/>
  <c r="M122" i="30" s="1"/>
  <c r="K581" i="52"/>
  <c r="Z12" i="65"/>
  <c r="N738" i="30"/>
  <c r="AJ21" i="65"/>
  <c r="E683" i="53"/>
  <c r="E192" i="53"/>
  <c r="E1383" i="53"/>
  <c r="E823" i="53"/>
  <c r="E963" i="53"/>
  <c r="E334" i="53"/>
  <c r="E1313" i="53"/>
  <c r="E474" i="53"/>
  <c r="E753" i="53"/>
  <c r="E264" i="53"/>
  <c r="E404" i="53"/>
  <c r="E543" i="53"/>
  <c r="E1033" i="53"/>
  <c r="E1103" i="53"/>
  <c r="E1243" i="53"/>
  <c r="E893" i="53"/>
  <c r="E48" i="53"/>
  <c r="E613" i="53"/>
  <c r="E120" i="53"/>
  <c r="E1173" i="53"/>
  <c r="G27" i="28"/>
  <c r="M64" i="28"/>
  <c r="N64" i="28"/>
  <c r="E372" i="54"/>
  <c r="B11" i="67"/>
  <c r="H149" i="31"/>
  <c r="I149" i="31" s="1"/>
  <c r="E924" i="54"/>
  <c r="H365" i="31"/>
  <c r="I365" i="31" s="1"/>
  <c r="B23" i="67"/>
  <c r="O780" i="30"/>
  <c r="M780" i="30" s="1"/>
  <c r="K1254" i="52"/>
  <c r="AA22" i="65"/>
  <c r="L781" i="30"/>
  <c r="K122" i="52"/>
  <c r="L83" i="30"/>
  <c r="Z5" i="65"/>
  <c r="O82" i="30"/>
  <c r="M82" i="30" s="1"/>
  <c r="B21" i="67"/>
  <c r="H329" i="31"/>
  <c r="I329" i="31" s="1"/>
  <c r="E832" i="54"/>
  <c r="K1120" i="52"/>
  <c r="O698" i="30"/>
  <c r="M698" i="30" s="1"/>
  <c r="L699" i="30"/>
  <c r="AA20" i="65"/>
  <c r="K541" i="28"/>
  <c r="G523" i="28"/>
  <c r="K851" i="28"/>
  <c r="G833" i="28"/>
  <c r="G957" i="28"/>
  <c r="M994" i="28"/>
  <c r="N994" i="28"/>
  <c r="G461" i="28"/>
  <c r="M498" i="28"/>
  <c r="N498" i="28"/>
  <c r="E786" i="54"/>
  <c r="B20" i="67"/>
  <c r="H311" i="31"/>
  <c r="I311" i="31" s="1"/>
  <c r="H347" i="31"/>
  <c r="I347" i="31" s="1"/>
  <c r="B22" i="67"/>
  <c r="E878" i="54"/>
  <c r="E602" i="54"/>
  <c r="B16" i="67"/>
  <c r="H239" i="31"/>
  <c r="I239" i="31" s="1"/>
  <c r="E821" i="51"/>
  <c r="K829" i="51" s="1"/>
  <c r="E84" i="51"/>
  <c r="K92" i="51" s="1"/>
  <c r="E687" i="51"/>
  <c r="K695" i="51" s="1"/>
  <c r="E553" i="51"/>
  <c r="K561" i="51" s="1"/>
  <c r="E1156" i="51"/>
  <c r="K1164" i="51" s="1"/>
  <c r="J592" i="24"/>
  <c r="E217" i="51"/>
  <c r="K226" i="51" s="1"/>
  <c r="J510" i="24"/>
  <c r="E1223" i="51"/>
  <c r="K1233" i="51" s="1"/>
  <c r="J633" i="24"/>
  <c r="E417" i="51"/>
  <c r="K427" i="51" s="1"/>
  <c r="J715" i="24"/>
  <c r="J756" i="24"/>
  <c r="E284" i="51"/>
  <c r="K294" i="51" s="1"/>
  <c r="E620" i="51"/>
  <c r="K630" i="51" s="1"/>
  <c r="J305" i="24"/>
  <c r="J326" i="24" s="1"/>
  <c r="J797" i="24"/>
  <c r="J141" i="24"/>
  <c r="J162" i="24" s="1"/>
  <c r="L158" i="9"/>
  <c r="J346" i="24"/>
  <c r="J367" i="24" s="1"/>
  <c r="E1089" i="51"/>
  <c r="K1099" i="51" s="1"/>
  <c r="J18" i="24"/>
  <c r="J39" i="24" s="1"/>
  <c r="J428" i="24"/>
  <c r="E1022" i="51"/>
  <c r="K1034" i="51" s="1"/>
  <c r="J469" i="24"/>
  <c r="J674" i="24"/>
  <c r="J551" i="24"/>
  <c r="E1290" i="51"/>
  <c r="K1299" i="51" s="1"/>
  <c r="E484" i="51"/>
  <c r="K495" i="51" s="1"/>
  <c r="J182" i="24"/>
  <c r="J203" i="24" s="1"/>
  <c r="J264" i="24"/>
  <c r="J285" i="24" s="1"/>
  <c r="E888" i="51"/>
  <c r="K901" i="51" s="1"/>
  <c r="J387" i="24"/>
  <c r="E150" i="51"/>
  <c r="K160" i="51" s="1"/>
  <c r="J59" i="24"/>
  <c r="E24" i="51"/>
  <c r="K35" i="51" s="1"/>
  <c r="E754" i="51"/>
  <c r="K761" i="51" s="1"/>
  <c r="J100" i="24"/>
  <c r="J121" i="24" s="1"/>
  <c r="E955" i="51"/>
  <c r="K967" i="51" s="1"/>
  <c r="K727" i="28"/>
  <c r="G709" i="28"/>
  <c r="E187" i="54"/>
  <c r="B7" i="67"/>
  <c r="H77" i="31"/>
  <c r="I77" i="31" s="1"/>
  <c r="AJ13" i="65"/>
  <c r="N410" i="30"/>
  <c r="E464" i="54"/>
  <c r="H185" i="31"/>
  <c r="I185" i="31" s="1"/>
  <c r="B13" i="67"/>
  <c r="B9" i="67"/>
  <c r="E279" i="54"/>
  <c r="H113" i="31"/>
  <c r="I113" i="31" s="1"/>
  <c r="B4" i="67"/>
  <c r="E49" i="54"/>
  <c r="H23" i="31"/>
  <c r="I23" i="31" s="1"/>
  <c r="AA9" i="65"/>
  <c r="L248" i="30"/>
  <c r="O247" i="30"/>
  <c r="M247" i="30" s="1"/>
  <c r="K384" i="52"/>
  <c r="AI7" i="65"/>
  <c r="M1180" i="28"/>
  <c r="G1143" i="28"/>
  <c r="N1180" i="28"/>
  <c r="M436" i="28"/>
  <c r="N436" i="28"/>
  <c r="G399" i="28"/>
  <c r="K603" i="28"/>
  <c r="G585" i="28"/>
  <c r="M1242" i="28"/>
  <c r="G1205" i="28"/>
  <c r="N1242" i="28"/>
  <c r="L617" i="30"/>
  <c r="AA18" i="65"/>
  <c r="K985" i="52"/>
  <c r="O616" i="30"/>
  <c r="M616" i="30" s="1"/>
  <c r="E95" i="54"/>
  <c r="B5" i="67"/>
  <c r="H41" i="31"/>
  <c r="I41" i="31" s="1"/>
  <c r="O288" i="30"/>
  <c r="M288" i="30" s="1"/>
  <c r="L289" i="30"/>
  <c r="K450" i="52"/>
  <c r="AA10" i="65"/>
  <c r="H275" i="31"/>
  <c r="I275" i="31" s="1"/>
  <c r="E694" i="54"/>
  <c r="B18" i="67"/>
  <c r="L740" i="30"/>
  <c r="K1187" i="52"/>
  <c r="O739" i="30"/>
  <c r="M739" i="30" s="1"/>
  <c r="AA21" i="65"/>
  <c r="G895" i="28"/>
  <c r="K913" i="28"/>
  <c r="K665" i="28"/>
  <c r="G647" i="28"/>
  <c r="N188" i="28"/>
  <c r="G151" i="28"/>
  <c r="M188" i="28"/>
  <c r="AJ19" i="65"/>
  <c r="N656" i="30"/>
  <c r="N615" i="30"/>
  <c r="AJ18" i="65"/>
  <c r="H257" i="31"/>
  <c r="I257" i="31" s="1"/>
  <c r="B17" i="67"/>
  <c r="E648" i="54"/>
  <c r="E233" i="54"/>
  <c r="B8" i="67"/>
  <c r="H95" i="31"/>
  <c r="I95" i="31" s="1"/>
  <c r="B19" i="67"/>
  <c r="E740" i="54"/>
  <c r="H293" i="31"/>
  <c r="I293" i="31" s="1"/>
  <c r="AA14" i="65"/>
  <c r="L453" i="30"/>
  <c r="K715" i="52"/>
  <c r="O452" i="30"/>
  <c r="M452" i="30" s="1"/>
  <c r="L207" i="30"/>
  <c r="O206" i="30"/>
  <c r="M206" i="30" s="1"/>
  <c r="K319" i="52"/>
  <c r="AA8" i="65"/>
  <c r="H203" i="31"/>
  <c r="I203" i="31" s="1"/>
  <c r="E510" i="54"/>
  <c r="B14" i="67"/>
  <c r="N374" i="28"/>
  <c r="G337" i="28"/>
  <c r="M374" i="28"/>
  <c r="N126" i="28"/>
  <c r="G89" i="28"/>
  <c r="M126" i="28"/>
  <c r="K789" i="28"/>
  <c r="G771" i="28"/>
  <c r="G213" i="28"/>
  <c r="N250" i="28"/>
  <c r="M250" i="28"/>
  <c r="L330" i="30"/>
  <c r="K516" i="52"/>
  <c r="O329" i="30"/>
  <c r="M329" i="30" s="1"/>
  <c r="AA11" i="65"/>
  <c r="E418" i="54"/>
  <c r="B12" i="67"/>
  <c r="H167" i="31"/>
  <c r="I167" i="31" s="1"/>
  <c r="H221" i="31"/>
  <c r="I221" i="31" s="1"/>
  <c r="E556" i="54"/>
  <c r="B15" i="67"/>
  <c r="L494" i="30"/>
  <c r="O493" i="30"/>
  <c r="M493" i="30" s="1"/>
  <c r="K782" i="52"/>
  <c r="AA15" i="65"/>
  <c r="G1019" i="28"/>
  <c r="N1056" i="28"/>
  <c r="M1056" i="28"/>
  <c r="K252" i="52"/>
  <c r="Z7" i="65"/>
  <c r="O164" i="30"/>
  <c r="M164" i="30" s="1"/>
  <c r="L165" i="30"/>
  <c r="G1081" i="28"/>
  <c r="N1118" i="28"/>
  <c r="M1118" i="28"/>
  <c r="N312" i="28"/>
  <c r="M312" i="28"/>
  <c r="G275" i="28"/>
  <c r="H59" i="31"/>
  <c r="I59" i="31" s="1"/>
  <c r="B6" i="67"/>
  <c r="E141" i="54"/>
  <c r="N369" i="30"/>
  <c r="AJ12" i="65"/>
  <c r="N820" i="30"/>
  <c r="AJ23" i="65"/>
  <c r="E326" i="54"/>
  <c r="B10" i="67"/>
  <c r="H131" i="31"/>
  <c r="I131" i="31" s="1"/>
  <c r="AJ11" i="65"/>
  <c r="N328" i="30"/>
  <c r="N779" i="30"/>
  <c r="AJ22" i="65"/>
  <c r="N451" i="30"/>
  <c r="AJ14" i="65"/>
  <c r="N205" i="30" l="1"/>
  <c r="F27" i="30"/>
  <c r="L39" i="30"/>
  <c r="E971" i="52"/>
  <c r="E45" i="52"/>
  <c r="L162" i="30"/>
  <c r="F150" i="30"/>
  <c r="P11" i="66"/>
  <c r="K481" i="28"/>
  <c r="L480" i="28"/>
  <c r="L418" i="28"/>
  <c r="P10" i="66"/>
  <c r="K419" i="28"/>
  <c r="P8" i="66"/>
  <c r="K295" i="28"/>
  <c r="L294" i="28"/>
  <c r="E47" i="58"/>
  <c r="I47" i="58" s="1"/>
  <c r="E29" i="58"/>
  <c r="I29" i="58" s="1"/>
  <c r="E65" i="58"/>
  <c r="I65" i="58" s="1"/>
  <c r="L356" i="28"/>
  <c r="P9" i="66"/>
  <c r="K357" i="28"/>
  <c r="L170" i="28"/>
  <c r="P6" i="66"/>
  <c r="K171" i="28"/>
  <c r="N368" i="30"/>
  <c r="N327" i="30"/>
  <c r="N286" i="30"/>
  <c r="N245" i="30"/>
  <c r="N81" i="30"/>
  <c r="N204" i="30"/>
  <c r="N122" i="30"/>
  <c r="K584" i="51"/>
  <c r="X12" i="61"/>
  <c r="K367" i="24"/>
  <c r="X10" i="61"/>
  <c r="K448" i="51"/>
  <c r="K285" i="24"/>
  <c r="X11" i="61"/>
  <c r="K517" i="51"/>
  <c r="K326" i="24"/>
  <c r="X8" i="61"/>
  <c r="K315" i="51"/>
  <c r="K203" i="24"/>
  <c r="K248" i="51"/>
  <c r="X7" i="61"/>
  <c r="K162" i="24"/>
  <c r="X6" i="61"/>
  <c r="K181" i="51"/>
  <c r="K121" i="24"/>
  <c r="K51" i="51"/>
  <c r="X4" i="61"/>
  <c r="K39" i="24"/>
  <c r="AI5" i="65"/>
  <c r="N246" i="30"/>
  <c r="O370" i="30"/>
  <c r="M370" i="30" s="1"/>
  <c r="AK12" i="65" s="1"/>
  <c r="AA12" i="65"/>
  <c r="N574" i="30"/>
  <c r="K1053" i="52"/>
  <c r="N533" i="30"/>
  <c r="N492" i="30"/>
  <c r="Y4" i="65"/>
  <c r="L576" i="30"/>
  <c r="K918" i="52" s="1"/>
  <c r="AA17" i="65"/>
  <c r="K917" i="52"/>
  <c r="K56" i="52"/>
  <c r="L371" i="30"/>
  <c r="L372" i="30" s="1"/>
  <c r="AJ10" i="65"/>
  <c r="AA23" i="65"/>
  <c r="L822" i="30"/>
  <c r="K1322" i="52" s="1"/>
  <c r="O821" i="30"/>
  <c r="M821" i="30" s="1"/>
  <c r="AK23" i="65" s="1"/>
  <c r="O40" i="30"/>
  <c r="M40" i="30" s="1"/>
  <c r="AI4" i="65" s="1"/>
  <c r="AJ8" i="65"/>
  <c r="N697" i="30"/>
  <c r="K648" i="52"/>
  <c r="L535" i="30"/>
  <c r="AB16" i="65" s="1"/>
  <c r="K849" i="52"/>
  <c r="O534" i="30"/>
  <c r="M534" i="30" s="1"/>
  <c r="N534" i="30" s="1"/>
  <c r="O657" i="30"/>
  <c r="M657" i="30" s="1"/>
  <c r="N657" i="30" s="1"/>
  <c r="AA19" i="65"/>
  <c r="K187" i="52"/>
  <c r="O411" i="30"/>
  <c r="M411" i="30" s="1"/>
  <c r="N411" i="30" s="1"/>
  <c r="L412" i="30"/>
  <c r="AB13" i="65" s="1"/>
  <c r="AI6" i="65"/>
  <c r="O123" i="30"/>
  <c r="M123" i="30" s="1"/>
  <c r="AJ6" i="65" s="1"/>
  <c r="L124" i="30"/>
  <c r="K188" i="52" s="1"/>
  <c r="Y9" i="66"/>
  <c r="Q374" i="28"/>
  <c r="N375" i="28"/>
  <c r="L417" i="53"/>
  <c r="N206" i="30"/>
  <c r="AK8" i="65"/>
  <c r="L694" i="53"/>
  <c r="L603" i="28"/>
  <c r="O13" i="66"/>
  <c r="K604" i="28"/>
  <c r="J819" i="24"/>
  <c r="F806" i="24"/>
  <c r="P994" i="28"/>
  <c r="O994" i="28"/>
  <c r="M995" i="28"/>
  <c r="T19" i="66"/>
  <c r="M1114" i="53"/>
  <c r="N698" i="30"/>
  <c r="AK20" i="65"/>
  <c r="N780" i="30"/>
  <c r="AK22" i="65"/>
  <c r="O165" i="30"/>
  <c r="M165" i="30" s="1"/>
  <c r="K253" i="52"/>
  <c r="AA7" i="65"/>
  <c r="L166" i="30"/>
  <c r="K320" i="52"/>
  <c r="L208" i="30"/>
  <c r="O207" i="30"/>
  <c r="M207" i="30" s="1"/>
  <c r="AB8" i="65"/>
  <c r="J286" i="24"/>
  <c r="F273" i="24"/>
  <c r="J450" i="24"/>
  <c r="F437" i="24"/>
  <c r="J327" i="24"/>
  <c r="F314" i="24"/>
  <c r="F642" i="24"/>
  <c r="J655" i="24"/>
  <c r="N82" i="30"/>
  <c r="AJ5" i="65"/>
  <c r="Y4" i="66"/>
  <c r="N65" i="28"/>
  <c r="L59" i="53"/>
  <c r="Q64" i="28"/>
  <c r="N575" i="30"/>
  <c r="AK17" i="65"/>
  <c r="AJ7" i="65"/>
  <c r="N164" i="30"/>
  <c r="AK15" i="65"/>
  <c r="N493" i="30"/>
  <c r="O16" i="66"/>
  <c r="L905" i="53"/>
  <c r="L789" i="28"/>
  <c r="K790" i="28"/>
  <c r="N452" i="30"/>
  <c r="AK14" i="65"/>
  <c r="L1044" i="53"/>
  <c r="K914" i="28"/>
  <c r="O18" i="66"/>
  <c r="L913" i="28"/>
  <c r="Y10" i="66"/>
  <c r="N437" i="28"/>
  <c r="Q436" i="28"/>
  <c r="L485" i="53"/>
  <c r="J122" i="24"/>
  <c r="F109" i="24"/>
  <c r="J204" i="24"/>
  <c r="F191" i="24"/>
  <c r="F27" i="24"/>
  <c r="J40" i="24"/>
  <c r="P64" i="28"/>
  <c r="O64" i="28"/>
  <c r="M65" i="28"/>
  <c r="T4" i="66"/>
  <c r="M59" i="53"/>
  <c r="K728" i="28"/>
  <c r="L727" i="28"/>
  <c r="L835" i="53"/>
  <c r="O15" i="66"/>
  <c r="L495" i="30"/>
  <c r="O494" i="30"/>
  <c r="M494" i="30" s="1"/>
  <c r="K783" i="52"/>
  <c r="AB15" i="65"/>
  <c r="T5" i="66"/>
  <c r="O126" i="28"/>
  <c r="P126" i="28"/>
  <c r="M127" i="28"/>
  <c r="M132" i="53"/>
  <c r="M204" i="53"/>
  <c r="M189" i="28"/>
  <c r="P188" i="28"/>
  <c r="O188" i="28"/>
  <c r="T6" i="66"/>
  <c r="L618" i="30"/>
  <c r="O617" i="30"/>
  <c r="M617" i="30" s="1"/>
  <c r="AB18" i="65"/>
  <c r="K986" i="52"/>
  <c r="P436" i="28"/>
  <c r="M437" i="28"/>
  <c r="O436" i="28"/>
  <c r="M485" i="53"/>
  <c r="T10" i="66"/>
  <c r="J532" i="24"/>
  <c r="F519" i="24"/>
  <c r="K852" i="28"/>
  <c r="O17" i="66"/>
  <c r="L975" i="53"/>
  <c r="L851" i="28"/>
  <c r="L84" i="30"/>
  <c r="K123" i="52"/>
  <c r="O83" i="30"/>
  <c r="M83" i="30" s="1"/>
  <c r="AA5" i="65"/>
  <c r="N288" i="30"/>
  <c r="AK10" i="65"/>
  <c r="N616" i="30"/>
  <c r="AK18" i="65"/>
  <c r="T8" i="66"/>
  <c r="O312" i="28"/>
  <c r="M345" i="53"/>
  <c r="M313" i="28"/>
  <c r="P312" i="28"/>
  <c r="O453" i="30"/>
  <c r="M453" i="30" s="1"/>
  <c r="AB14" i="65"/>
  <c r="K716" i="52"/>
  <c r="L454" i="30"/>
  <c r="Y23" i="66"/>
  <c r="Y22" i="66"/>
  <c r="L1394" i="53"/>
  <c r="N1243" i="28"/>
  <c r="Q1242" i="28"/>
  <c r="Q1180" i="28"/>
  <c r="L1324" i="53"/>
  <c r="N1181" i="28"/>
  <c r="N247" i="30"/>
  <c r="AK9" i="65"/>
  <c r="F355" i="24"/>
  <c r="J368" i="24"/>
  <c r="J778" i="24"/>
  <c r="F765" i="24"/>
  <c r="L554" i="53"/>
  <c r="N499" i="28"/>
  <c r="Q498" i="28"/>
  <c r="Y11" i="66"/>
  <c r="AB19" i="65"/>
  <c r="L659" i="30"/>
  <c r="O658" i="30"/>
  <c r="M658" i="30" s="1"/>
  <c r="K1054" i="52"/>
  <c r="Q312" i="28"/>
  <c r="L345" i="53"/>
  <c r="N313" i="28"/>
  <c r="Y8" i="66"/>
  <c r="O1056" i="28"/>
  <c r="M1184" i="53"/>
  <c r="M1057" i="28"/>
  <c r="P1056" i="28"/>
  <c r="T20" i="66"/>
  <c r="AK11" i="65"/>
  <c r="N329" i="30"/>
  <c r="N127" i="28"/>
  <c r="Q126" i="28"/>
  <c r="L132" i="53"/>
  <c r="Y5" i="66"/>
  <c r="Q188" i="28"/>
  <c r="Y6" i="66"/>
  <c r="L204" i="53"/>
  <c r="N189" i="28"/>
  <c r="N739" i="30"/>
  <c r="AK21" i="65"/>
  <c r="AB9" i="65"/>
  <c r="L249" i="30"/>
  <c r="O248" i="30"/>
  <c r="M248" i="30" s="1"/>
  <c r="K385" i="52"/>
  <c r="F68" i="24"/>
  <c r="J80" i="24"/>
  <c r="F560" i="24"/>
  <c r="J573" i="24"/>
  <c r="J614" i="24"/>
  <c r="F601" i="24"/>
  <c r="M499" i="28"/>
  <c r="P498" i="28"/>
  <c r="M554" i="53"/>
  <c r="T11" i="66"/>
  <c r="O498" i="28"/>
  <c r="O12" i="66"/>
  <c r="L541" i="28"/>
  <c r="K542" i="28"/>
  <c r="L624" i="53"/>
  <c r="AB22" i="65"/>
  <c r="O781" i="30"/>
  <c r="M781" i="30" s="1"/>
  <c r="L782" i="30"/>
  <c r="K1255" i="52"/>
  <c r="M375" i="28"/>
  <c r="M417" i="53"/>
  <c r="O374" i="28"/>
  <c r="P374" i="28"/>
  <c r="T9" i="66"/>
  <c r="Z4" i="65"/>
  <c r="O41" i="30"/>
  <c r="M41" i="30" s="1"/>
  <c r="K57" i="52"/>
  <c r="L42" i="30"/>
  <c r="M1324" i="53"/>
  <c r="M1181" i="28"/>
  <c r="P1180" i="28"/>
  <c r="O1180" i="28"/>
  <c r="F683" i="24"/>
  <c r="J696" i="24"/>
  <c r="J737" i="24"/>
  <c r="F724" i="24"/>
  <c r="M1254" i="53"/>
  <c r="T21" i="66"/>
  <c r="P1118" i="28"/>
  <c r="M1119" i="28"/>
  <c r="O1118" i="28"/>
  <c r="L1184" i="53"/>
  <c r="Q1056" i="28"/>
  <c r="Y20" i="66"/>
  <c r="N1057" i="28"/>
  <c r="T7" i="66"/>
  <c r="M276" i="53"/>
  <c r="P250" i="28"/>
  <c r="O250" i="28"/>
  <c r="M251" i="28"/>
  <c r="M1394" i="53"/>
  <c r="O1242" i="28"/>
  <c r="P1242" i="28"/>
  <c r="T22" i="66"/>
  <c r="M1243" i="28"/>
  <c r="T23" i="66"/>
  <c r="E1043" i="51"/>
  <c r="E104" i="51"/>
  <c r="E507" i="51"/>
  <c r="E171" i="51"/>
  <c r="E42" i="51"/>
  <c r="E1110" i="51"/>
  <c r="E1311" i="51"/>
  <c r="E1177" i="51"/>
  <c r="E574" i="51"/>
  <c r="E909" i="51"/>
  <c r="E305" i="51"/>
  <c r="E641" i="51"/>
  <c r="E1244" i="51"/>
  <c r="E842" i="51"/>
  <c r="E775" i="51"/>
  <c r="E708" i="51"/>
  <c r="E976" i="51"/>
  <c r="E238" i="51"/>
  <c r="E438" i="51"/>
  <c r="L1254" i="53"/>
  <c r="Y21" i="66"/>
  <c r="Q1118" i="28"/>
  <c r="N1119" i="28"/>
  <c r="K517" i="52"/>
  <c r="L331" i="30"/>
  <c r="O330" i="30"/>
  <c r="M330" i="30" s="1"/>
  <c r="AB11" i="65"/>
  <c r="L276" i="53"/>
  <c r="Y7" i="66"/>
  <c r="N251" i="28"/>
  <c r="Q250" i="28"/>
  <c r="O14" i="66"/>
  <c r="K666" i="28"/>
  <c r="L665" i="28"/>
  <c r="L765" i="53"/>
  <c r="O740" i="30"/>
  <c r="M740" i="30" s="1"/>
  <c r="K1188" i="52"/>
  <c r="L741" i="30"/>
  <c r="AB21" i="65"/>
  <c r="L290" i="30"/>
  <c r="K451" i="52"/>
  <c r="O289" i="30"/>
  <c r="M289" i="30" s="1"/>
  <c r="AB10" i="65"/>
  <c r="F396" i="24"/>
  <c r="J409" i="24"/>
  <c r="F478" i="24"/>
  <c r="J491" i="24"/>
  <c r="F150" i="24"/>
  <c r="J163" i="24"/>
  <c r="N995" i="28"/>
  <c r="Y19" i="66"/>
  <c r="L1114" i="53"/>
  <c r="Q994" i="28"/>
  <c r="L700" i="30"/>
  <c r="AB20" i="65"/>
  <c r="O699" i="30"/>
  <c r="M699" i="30" s="1"/>
  <c r="K1121" i="52"/>
  <c r="K250" i="52" l="1"/>
  <c r="O162" i="30"/>
  <c r="M162" i="30" s="1"/>
  <c r="X7" i="65"/>
  <c r="K55" i="52"/>
  <c r="X4" i="65"/>
  <c r="O39" i="30"/>
  <c r="M39" i="30" s="1"/>
  <c r="AH4" i="65" s="1"/>
  <c r="Q11" i="66"/>
  <c r="L481" i="28"/>
  <c r="K482" i="28"/>
  <c r="L419" i="28"/>
  <c r="Q10" i="66"/>
  <c r="K420" i="28"/>
  <c r="Q8" i="66"/>
  <c r="L295" i="28"/>
  <c r="K296" i="28"/>
  <c r="E48" i="58"/>
  <c r="I48" i="58" s="1"/>
  <c r="E66" i="58"/>
  <c r="I66" i="58" s="1"/>
  <c r="E30" i="58"/>
  <c r="I30" i="58" s="1"/>
  <c r="Q9" i="66"/>
  <c r="K358" i="28"/>
  <c r="L357" i="28"/>
  <c r="Q6" i="66"/>
  <c r="K172" i="28"/>
  <c r="L171" i="28"/>
  <c r="G47" i="58"/>
  <c r="K47" i="58" s="1"/>
  <c r="G65" i="58"/>
  <c r="K65" i="58" s="1"/>
  <c r="G29" i="58"/>
  <c r="K29" i="58" s="1"/>
  <c r="F65" i="58"/>
  <c r="J65" i="58" s="1"/>
  <c r="F29" i="58"/>
  <c r="J29" i="58" s="1"/>
  <c r="F47" i="58"/>
  <c r="J47" i="58" s="1"/>
  <c r="E34" i="57"/>
  <c r="G34" i="57" s="1"/>
  <c r="E11" i="57"/>
  <c r="G11" i="57" s="1"/>
  <c r="E55" i="57"/>
  <c r="G55" i="57" s="1"/>
  <c r="O371" i="30"/>
  <c r="M371" i="30" s="1"/>
  <c r="N371" i="30" s="1"/>
  <c r="AB12" i="65"/>
  <c r="K583" i="52"/>
  <c r="N370" i="30"/>
  <c r="N123" i="30"/>
  <c r="N821" i="30"/>
  <c r="L577" i="30"/>
  <c r="K919" i="52" s="1"/>
  <c r="AK19" i="65"/>
  <c r="AK16" i="65"/>
  <c r="AB17" i="65"/>
  <c r="O576" i="30"/>
  <c r="M576" i="30" s="1"/>
  <c r="AL17" i="65" s="1"/>
  <c r="L536" i="30"/>
  <c r="K851" i="52" s="1"/>
  <c r="AA6" i="65"/>
  <c r="O822" i="30"/>
  <c r="M822" i="30" s="1"/>
  <c r="N822" i="30" s="1"/>
  <c r="K850" i="52"/>
  <c r="AB23" i="65"/>
  <c r="O535" i="30"/>
  <c r="M535" i="30" s="1"/>
  <c r="AL16" i="65" s="1"/>
  <c r="L823" i="30"/>
  <c r="O823" i="30" s="1"/>
  <c r="M823" i="30" s="1"/>
  <c r="K649" i="52"/>
  <c r="O412" i="30"/>
  <c r="M412" i="30" s="1"/>
  <c r="AL13" i="65" s="1"/>
  <c r="L413" i="30"/>
  <c r="O413" i="30" s="1"/>
  <c r="M413" i="30" s="1"/>
  <c r="AK13" i="65"/>
  <c r="L125" i="30"/>
  <c r="K189" i="52" s="1"/>
  <c r="O124" i="30"/>
  <c r="M124" i="30" s="1"/>
  <c r="AK6" i="65" s="1"/>
  <c r="AL20" i="65"/>
  <c r="N699" i="30"/>
  <c r="AC10" i="65"/>
  <c r="L291" i="30"/>
  <c r="K452" i="52"/>
  <c r="O290" i="30"/>
  <c r="M290" i="30" s="1"/>
  <c r="K1188" i="51"/>
  <c r="J738" i="24"/>
  <c r="K737" i="24"/>
  <c r="Y21" i="61"/>
  <c r="L852" i="28"/>
  <c r="K853" i="28"/>
  <c r="L976" i="53"/>
  <c r="P17" i="66"/>
  <c r="Y15" i="61"/>
  <c r="K491" i="24"/>
  <c r="K786" i="51"/>
  <c r="J492" i="24"/>
  <c r="Z21" i="66"/>
  <c r="Q1119" i="28"/>
  <c r="L1255" i="53"/>
  <c r="N1120" i="28"/>
  <c r="M277" i="53"/>
  <c r="U7" i="66"/>
  <c r="M252" i="28"/>
  <c r="O251" i="28"/>
  <c r="P251" i="28"/>
  <c r="Y20" i="61"/>
  <c r="K696" i="24"/>
  <c r="J697" i="24"/>
  <c r="K1121" i="51"/>
  <c r="N41" i="30"/>
  <c r="AJ4" i="65"/>
  <c r="K113" i="51"/>
  <c r="X5" i="61"/>
  <c r="K80" i="24"/>
  <c r="J81" i="24"/>
  <c r="M1185" i="53"/>
  <c r="O1057" i="28"/>
  <c r="U20" i="66"/>
  <c r="P1057" i="28"/>
  <c r="M1058" i="28"/>
  <c r="N658" i="30"/>
  <c r="AL19" i="65"/>
  <c r="Y22" i="61"/>
  <c r="J779" i="24"/>
  <c r="K778" i="24"/>
  <c r="K1255" i="51"/>
  <c r="U6" i="66"/>
  <c r="P189" i="28"/>
  <c r="O189" i="28"/>
  <c r="M205" i="53"/>
  <c r="M190" i="28"/>
  <c r="K321" i="52"/>
  <c r="AC8" i="65"/>
  <c r="L209" i="30"/>
  <c r="O208" i="30"/>
  <c r="M208" i="30" s="1"/>
  <c r="P995" i="28"/>
  <c r="O995" i="28"/>
  <c r="M996" i="28"/>
  <c r="M1115" i="53"/>
  <c r="U19" i="66"/>
  <c r="AC14" i="65"/>
  <c r="L455" i="30"/>
  <c r="O454" i="30"/>
  <c r="M454" i="30" s="1"/>
  <c r="K717" i="52"/>
  <c r="AB5" i="65"/>
  <c r="K124" i="52"/>
  <c r="L85" i="30"/>
  <c r="O84" i="30"/>
  <c r="M84" i="30" s="1"/>
  <c r="AC20" i="65"/>
  <c r="L701" i="30"/>
  <c r="K1122" i="52"/>
  <c r="O700" i="30"/>
  <c r="M700" i="30" s="1"/>
  <c r="L742" i="30"/>
  <c r="O741" i="30"/>
  <c r="M741" i="30" s="1"/>
  <c r="K1189" i="52"/>
  <c r="AC21" i="65"/>
  <c r="N252" i="28"/>
  <c r="L277" i="53"/>
  <c r="Q251" i="28"/>
  <c r="Z7" i="66"/>
  <c r="U23" i="66"/>
  <c r="M1244" i="28"/>
  <c r="U22" i="66"/>
  <c r="P1243" i="28"/>
  <c r="M1395" i="53"/>
  <c r="O1243" i="28"/>
  <c r="U11" i="66"/>
  <c r="M555" i="53"/>
  <c r="P499" i="28"/>
  <c r="O499" i="28"/>
  <c r="M500" i="28"/>
  <c r="K1055" i="52"/>
  <c r="AC19" i="65"/>
  <c r="L660" i="30"/>
  <c r="O659" i="30"/>
  <c r="M659" i="30" s="1"/>
  <c r="K585" i="51"/>
  <c r="K368" i="24"/>
  <c r="Y12" i="61"/>
  <c r="J369" i="24"/>
  <c r="N1244" i="28"/>
  <c r="L1395" i="53"/>
  <c r="Z23" i="66"/>
  <c r="Z22" i="66"/>
  <c r="Q1243" i="28"/>
  <c r="K853" i="51"/>
  <c r="K532" i="24"/>
  <c r="J533" i="24"/>
  <c r="Y16" i="61"/>
  <c r="AL18" i="65"/>
  <c r="N617" i="30"/>
  <c r="N494" i="30"/>
  <c r="AL15" i="65"/>
  <c r="M66" i="28"/>
  <c r="O65" i="28"/>
  <c r="M60" i="53"/>
  <c r="P65" i="28"/>
  <c r="U4" i="66"/>
  <c r="K316" i="51"/>
  <c r="K204" i="24"/>
  <c r="J205" i="24"/>
  <c r="Y8" i="61"/>
  <c r="Y10" i="61"/>
  <c r="K449" i="51"/>
  <c r="K286" i="24"/>
  <c r="J287" i="24"/>
  <c r="N165" i="30"/>
  <c r="AK7" i="65"/>
  <c r="N781" i="30"/>
  <c r="AL22" i="65"/>
  <c r="L373" i="30"/>
  <c r="K584" i="52"/>
  <c r="AC12" i="65"/>
  <c r="O372" i="30"/>
  <c r="M372" i="30" s="1"/>
  <c r="J410" i="24"/>
  <c r="Y13" i="61"/>
  <c r="K409" i="24"/>
  <c r="K652" i="51"/>
  <c r="U21" i="66"/>
  <c r="P1119" i="28"/>
  <c r="M1120" i="28"/>
  <c r="M1255" i="53"/>
  <c r="O1119" i="28"/>
  <c r="L542" i="28"/>
  <c r="P12" i="66"/>
  <c r="K543" i="28"/>
  <c r="L625" i="53"/>
  <c r="AL14" i="65"/>
  <c r="N453" i="30"/>
  <c r="AC18" i="65"/>
  <c r="O618" i="30"/>
  <c r="M618" i="30" s="1"/>
  <c r="K987" i="52"/>
  <c r="L619" i="30"/>
  <c r="AC15" i="65"/>
  <c r="O495" i="30"/>
  <c r="M495" i="30" s="1"/>
  <c r="L496" i="30"/>
  <c r="K784" i="52"/>
  <c r="K915" i="28"/>
  <c r="L914" i="28"/>
  <c r="L1045" i="53"/>
  <c r="P18" i="66"/>
  <c r="L60" i="53"/>
  <c r="N66" i="28"/>
  <c r="Z4" i="66"/>
  <c r="Q65" i="28"/>
  <c r="J656" i="24"/>
  <c r="Y19" i="61"/>
  <c r="K655" i="24"/>
  <c r="K1054" i="51"/>
  <c r="K719" i="51"/>
  <c r="Y14" i="61"/>
  <c r="K450" i="24"/>
  <c r="J451" i="24"/>
  <c r="N207" i="30"/>
  <c r="AL8" i="65"/>
  <c r="AL21" i="65"/>
  <c r="N740" i="30"/>
  <c r="Y18" i="61"/>
  <c r="K987" i="51"/>
  <c r="K614" i="24"/>
  <c r="J615" i="24"/>
  <c r="N248" i="30"/>
  <c r="AL9" i="65"/>
  <c r="Q127" i="28"/>
  <c r="N128" i="28"/>
  <c r="Z5" i="66"/>
  <c r="L133" i="53"/>
  <c r="P127" i="28"/>
  <c r="U5" i="66"/>
  <c r="O127" i="28"/>
  <c r="M128" i="28"/>
  <c r="M133" i="53"/>
  <c r="Y6" i="61"/>
  <c r="K182" i="51"/>
  <c r="J123" i="24"/>
  <c r="K122" i="24"/>
  <c r="P1181" i="28"/>
  <c r="M1182" i="28"/>
  <c r="O1181" i="28"/>
  <c r="M1325" i="53"/>
  <c r="K386" i="52"/>
  <c r="L250" i="30"/>
  <c r="AC9" i="65"/>
  <c r="O249" i="30"/>
  <c r="M249" i="30" s="1"/>
  <c r="Z6" i="66"/>
  <c r="L205" i="53"/>
  <c r="Q189" i="28"/>
  <c r="N190" i="28"/>
  <c r="Q313" i="28"/>
  <c r="Z8" i="66"/>
  <c r="N314" i="28"/>
  <c r="L346" i="53"/>
  <c r="M346" i="53"/>
  <c r="M314" i="28"/>
  <c r="P313" i="28"/>
  <c r="O313" i="28"/>
  <c r="U8" i="66"/>
  <c r="K1322" i="51"/>
  <c r="J820" i="24"/>
  <c r="Y23" i="61"/>
  <c r="K819" i="24"/>
  <c r="L418" i="53"/>
  <c r="N376" i="28"/>
  <c r="Z9" i="66"/>
  <c r="Q375" i="28"/>
  <c r="AL10" i="65"/>
  <c r="N289" i="30"/>
  <c r="L1185" i="53"/>
  <c r="Z20" i="66"/>
  <c r="N1058" i="28"/>
  <c r="Q1057" i="28"/>
  <c r="N500" i="28"/>
  <c r="Z11" i="66"/>
  <c r="L555" i="53"/>
  <c r="Q499" i="28"/>
  <c r="Q1181" i="28"/>
  <c r="L1325" i="53"/>
  <c r="N1182" i="28"/>
  <c r="AK5" i="65"/>
  <c r="N83" i="30"/>
  <c r="P437" i="28"/>
  <c r="U10" i="66"/>
  <c r="M486" i="53"/>
  <c r="M438" i="28"/>
  <c r="O437" i="28"/>
  <c r="J328" i="24"/>
  <c r="K518" i="51"/>
  <c r="K327" i="24"/>
  <c r="Y11" i="61"/>
  <c r="K605" i="28"/>
  <c r="L604" i="28"/>
  <c r="L695" i="53"/>
  <c r="P13" i="66"/>
  <c r="N996" i="28"/>
  <c r="Q995" i="28"/>
  <c r="L1115" i="53"/>
  <c r="Z19" i="66"/>
  <c r="N330" i="30"/>
  <c r="AL11" i="65"/>
  <c r="K163" i="24"/>
  <c r="J164" i="24"/>
  <c r="K249" i="51"/>
  <c r="Y7" i="61"/>
  <c r="L766" i="53"/>
  <c r="P14" i="66"/>
  <c r="K667" i="28"/>
  <c r="L666" i="28"/>
  <c r="K518" i="52"/>
  <c r="O331" i="30"/>
  <c r="M331" i="30" s="1"/>
  <c r="L332" i="30"/>
  <c r="AC11" i="65"/>
  <c r="AA4" i="65"/>
  <c r="K58" i="52"/>
  <c r="O42" i="30"/>
  <c r="M42" i="30" s="1"/>
  <c r="L43" i="30"/>
  <c r="U9" i="66"/>
  <c r="P375" i="28"/>
  <c r="M418" i="53"/>
  <c r="M376" i="28"/>
  <c r="O375" i="28"/>
  <c r="K1256" i="52"/>
  <c r="AC22" i="65"/>
  <c r="L783" i="30"/>
  <c r="O782" i="30"/>
  <c r="M782" i="30" s="1"/>
  <c r="K573" i="24"/>
  <c r="Y17" i="61"/>
  <c r="K920" i="51"/>
  <c r="J574" i="24"/>
  <c r="L728" i="28"/>
  <c r="L836" i="53"/>
  <c r="P15" i="66"/>
  <c r="K729" i="28"/>
  <c r="Y4" i="61"/>
  <c r="J41" i="24"/>
  <c r="K40" i="24"/>
  <c r="K52" i="51"/>
  <c r="Z10" i="66"/>
  <c r="Q437" i="28"/>
  <c r="L486" i="53"/>
  <c r="N438" i="28"/>
  <c r="P16" i="66"/>
  <c r="L906" i="53"/>
  <c r="L790" i="28"/>
  <c r="K791" i="28"/>
  <c r="L167" i="30"/>
  <c r="K254" i="52"/>
  <c r="O166" i="30"/>
  <c r="M166" i="30" s="1"/>
  <c r="AB7" i="65"/>
  <c r="N40" i="30" l="1"/>
  <c r="E33" i="57"/>
  <c r="G33" i="57" s="1"/>
  <c r="E10" i="57"/>
  <c r="G10" i="57" s="1"/>
  <c r="E54" i="57"/>
  <c r="G54" i="57" s="1"/>
  <c r="AH7" i="65"/>
  <c r="N163" i="30"/>
  <c r="R11" i="66"/>
  <c r="L482" i="28"/>
  <c r="K483" i="28"/>
  <c r="L420" i="28"/>
  <c r="R10" i="66"/>
  <c r="K421" i="28"/>
  <c r="R8" i="66"/>
  <c r="K297" i="28"/>
  <c r="L296" i="28"/>
  <c r="E49" i="58"/>
  <c r="I49" i="58" s="1"/>
  <c r="E31" i="58"/>
  <c r="I31" i="58" s="1"/>
  <c r="E67" i="58"/>
  <c r="I67" i="58" s="1"/>
  <c r="R9" i="66"/>
  <c r="K359" i="28"/>
  <c r="L358" i="28"/>
  <c r="R6" i="66"/>
  <c r="K173" i="28"/>
  <c r="L172" i="28"/>
  <c r="F30" i="58"/>
  <c r="J30" i="58" s="1"/>
  <c r="F48" i="58"/>
  <c r="J48" i="58" s="1"/>
  <c r="F66" i="58"/>
  <c r="J66" i="58" s="1"/>
  <c r="G30" i="58"/>
  <c r="K30" i="58" s="1"/>
  <c r="G66" i="58"/>
  <c r="K66" i="58" s="1"/>
  <c r="G48" i="58"/>
  <c r="K48" i="58" s="1"/>
  <c r="E35" i="57"/>
  <c r="G35" i="57" s="1"/>
  <c r="E56" i="57"/>
  <c r="G56" i="57" s="1"/>
  <c r="E12" i="57"/>
  <c r="G12" i="57" s="1"/>
  <c r="E52" i="56"/>
  <c r="G52" i="56" s="1"/>
  <c r="E31" i="56"/>
  <c r="G31" i="56" s="1"/>
  <c r="E73" i="56"/>
  <c r="G73" i="56" s="1"/>
  <c r="AL12" i="65"/>
  <c r="AC17" i="65"/>
  <c r="L578" i="30"/>
  <c r="K920" i="52" s="1"/>
  <c r="AL23" i="65"/>
  <c r="O577" i="30"/>
  <c r="M577" i="30" s="1"/>
  <c r="N577" i="30" s="1"/>
  <c r="AB6" i="65"/>
  <c r="K1323" i="52"/>
  <c r="AC23" i="65"/>
  <c r="L824" i="30"/>
  <c r="O824" i="30" s="1"/>
  <c r="M824" i="30" s="1"/>
  <c r="O536" i="30"/>
  <c r="M536" i="30" s="1"/>
  <c r="N536" i="30" s="1"/>
  <c r="AC16" i="65"/>
  <c r="N576" i="30"/>
  <c r="L537" i="30"/>
  <c r="L538" i="30" s="1"/>
  <c r="O125" i="30"/>
  <c r="M125" i="30" s="1"/>
  <c r="N125" i="30" s="1"/>
  <c r="N535" i="30"/>
  <c r="L414" i="30"/>
  <c r="K651" i="52" s="1"/>
  <c r="N412" i="30"/>
  <c r="K650" i="52"/>
  <c r="N124" i="30"/>
  <c r="AC13" i="65"/>
  <c r="L126" i="30"/>
  <c r="AC6" i="65" s="1"/>
  <c r="AD22" i="65"/>
  <c r="K1257" i="52"/>
  <c r="L784" i="30"/>
  <c r="O783" i="30"/>
  <c r="M783" i="30" s="1"/>
  <c r="AD8" i="65"/>
  <c r="K322" i="52"/>
  <c r="L210" i="30"/>
  <c r="O209" i="30"/>
  <c r="M209" i="30" s="1"/>
  <c r="J739" i="24"/>
  <c r="Z21" i="61"/>
  <c r="K1189" i="51"/>
  <c r="K738" i="24"/>
  <c r="AK4" i="65"/>
  <c r="N42" i="30"/>
  <c r="L667" i="28"/>
  <c r="Q14" i="66"/>
  <c r="K668" i="28"/>
  <c r="L767" i="53"/>
  <c r="Q13" i="66"/>
  <c r="L696" i="53"/>
  <c r="L605" i="28"/>
  <c r="K606" i="28"/>
  <c r="L1326" i="53"/>
  <c r="N1183" i="28"/>
  <c r="Q1182" i="28"/>
  <c r="Q190" i="28"/>
  <c r="L206" i="53"/>
  <c r="N191" i="28"/>
  <c r="AA6" i="66"/>
  <c r="N823" i="30"/>
  <c r="AM23" i="65"/>
  <c r="O496" i="30"/>
  <c r="M496" i="30" s="1"/>
  <c r="K785" i="52"/>
  <c r="AD15" i="65"/>
  <c r="L497" i="30"/>
  <c r="O66" i="28"/>
  <c r="P66" i="28"/>
  <c r="V4" i="66"/>
  <c r="M61" i="53"/>
  <c r="M67" i="28"/>
  <c r="K369" i="24"/>
  <c r="Z12" i="61"/>
  <c r="J370" i="24"/>
  <c r="K586" i="51"/>
  <c r="AA7" i="66"/>
  <c r="Q252" i="28"/>
  <c r="L278" i="53"/>
  <c r="N253" i="28"/>
  <c r="AM22" i="65"/>
  <c r="N782" i="30"/>
  <c r="L168" i="30"/>
  <c r="O167" i="30"/>
  <c r="M167" i="30" s="1"/>
  <c r="AC7" i="65"/>
  <c r="K255" i="52"/>
  <c r="O128" i="28"/>
  <c r="M134" i="53"/>
  <c r="M129" i="28"/>
  <c r="P128" i="28"/>
  <c r="V5" i="66"/>
  <c r="N67" i="28"/>
  <c r="L61" i="53"/>
  <c r="Q66" i="28"/>
  <c r="AA4" i="66"/>
  <c r="AM15" i="65"/>
  <c r="N495" i="30"/>
  <c r="K317" i="51"/>
  <c r="J206" i="24"/>
  <c r="Z8" i="61"/>
  <c r="K205" i="24"/>
  <c r="N84" i="30"/>
  <c r="AL5" i="65"/>
  <c r="Z22" i="61"/>
  <c r="K1256" i="51"/>
  <c r="J780" i="24"/>
  <c r="K779" i="24"/>
  <c r="K697" i="24"/>
  <c r="K1122" i="51"/>
  <c r="J698" i="24"/>
  <c r="Z20" i="61"/>
  <c r="N1121" i="28"/>
  <c r="Q1120" i="28"/>
  <c r="AA21" i="66"/>
  <c r="L1256" i="53"/>
  <c r="AM10" i="65"/>
  <c r="N290" i="30"/>
  <c r="L729" i="28"/>
  <c r="L837" i="53"/>
  <c r="Q15" i="66"/>
  <c r="K730" i="28"/>
  <c r="K585" i="52"/>
  <c r="AD12" i="65"/>
  <c r="O373" i="30"/>
  <c r="M373" i="30" s="1"/>
  <c r="L374" i="30"/>
  <c r="L456" i="30"/>
  <c r="K718" i="52"/>
  <c r="O455" i="30"/>
  <c r="M455" i="30" s="1"/>
  <c r="AD14" i="65"/>
  <c r="Q16" i="66"/>
  <c r="K792" i="28"/>
  <c r="L907" i="53"/>
  <c r="L791" i="28"/>
  <c r="K574" i="24"/>
  <c r="J575" i="24"/>
  <c r="K921" i="51"/>
  <c r="Z17" i="61"/>
  <c r="P438" i="28"/>
  <c r="V10" i="66"/>
  <c r="O438" i="28"/>
  <c r="M439" i="28"/>
  <c r="M487" i="53"/>
  <c r="V8" i="66"/>
  <c r="M347" i="53"/>
  <c r="P314" i="28"/>
  <c r="O314" i="28"/>
  <c r="M315" i="28"/>
  <c r="O500" i="28"/>
  <c r="M556" i="53"/>
  <c r="P500" i="28"/>
  <c r="M501" i="28"/>
  <c r="V11" i="66"/>
  <c r="AC5" i="65"/>
  <c r="O85" i="30"/>
  <c r="M85" i="30" s="1"/>
  <c r="K125" i="52"/>
  <c r="L86" i="30"/>
  <c r="O190" i="28"/>
  <c r="V6" i="66"/>
  <c r="P190" i="28"/>
  <c r="M206" i="53"/>
  <c r="M191" i="28"/>
  <c r="Y5" i="61"/>
  <c r="J82" i="24"/>
  <c r="K81" i="24"/>
  <c r="K114" i="51"/>
  <c r="N166" i="30"/>
  <c r="AL7" i="65"/>
  <c r="K59" i="52"/>
  <c r="AB4" i="65"/>
  <c r="L44" i="30"/>
  <c r="O43" i="30"/>
  <c r="M43" i="30" s="1"/>
  <c r="AM13" i="65"/>
  <c r="N413" i="30"/>
  <c r="N1245" i="28"/>
  <c r="AA23" i="66"/>
  <c r="AA22" i="66"/>
  <c r="Q1244" i="28"/>
  <c r="L1396" i="53"/>
  <c r="O376" i="28"/>
  <c r="M419" i="53"/>
  <c r="M377" i="28"/>
  <c r="P376" i="28"/>
  <c r="V9" i="66"/>
  <c r="AA9" i="66"/>
  <c r="Q376" i="28"/>
  <c r="N377" i="28"/>
  <c r="L419" i="53"/>
  <c r="K988" i="51"/>
  <c r="J616" i="24"/>
  <c r="Z18" i="61"/>
  <c r="K615" i="24"/>
  <c r="Z14" i="61"/>
  <c r="K451" i="24"/>
  <c r="J452" i="24"/>
  <c r="K720" i="51"/>
  <c r="K988" i="52"/>
  <c r="L620" i="30"/>
  <c r="O619" i="30"/>
  <c r="M619" i="30" s="1"/>
  <c r="AD18" i="65"/>
  <c r="Z13" i="61"/>
  <c r="J411" i="24"/>
  <c r="K410" i="24"/>
  <c r="K653" i="51"/>
  <c r="V23" i="66"/>
  <c r="M1396" i="53"/>
  <c r="V22" i="66"/>
  <c r="O1244" i="28"/>
  <c r="P1244" i="28"/>
  <c r="M1245" i="28"/>
  <c r="N741" i="30"/>
  <c r="AM21" i="65"/>
  <c r="M997" i="28"/>
  <c r="V19" i="66"/>
  <c r="M1116" i="53"/>
  <c r="O996" i="28"/>
  <c r="P996" i="28"/>
  <c r="K854" i="28"/>
  <c r="Q17" i="66"/>
  <c r="L853" i="28"/>
  <c r="L977" i="53"/>
  <c r="K453" i="52"/>
  <c r="L292" i="30"/>
  <c r="AD10" i="65"/>
  <c r="O291" i="30"/>
  <c r="M291" i="30" s="1"/>
  <c r="AA10" i="66"/>
  <c r="Q438" i="28"/>
  <c r="L487" i="53"/>
  <c r="N439" i="28"/>
  <c r="K1323" i="51"/>
  <c r="Z23" i="61"/>
  <c r="K820" i="24"/>
  <c r="L134" i="53"/>
  <c r="N129" i="28"/>
  <c r="AA5" i="66"/>
  <c r="Q128" i="28"/>
  <c r="L702" i="30"/>
  <c r="O701" i="30"/>
  <c r="M701" i="30" s="1"/>
  <c r="AD20" i="65"/>
  <c r="K1123" i="52"/>
  <c r="K41" i="24"/>
  <c r="J42" i="24"/>
  <c r="K53" i="51"/>
  <c r="Z4" i="61"/>
  <c r="O332" i="30"/>
  <c r="M332" i="30" s="1"/>
  <c r="K519" i="52"/>
  <c r="AD11" i="65"/>
  <c r="L333" i="30"/>
  <c r="L1116" i="53"/>
  <c r="Q996" i="28"/>
  <c r="AA19" i="66"/>
  <c r="N997" i="28"/>
  <c r="AA20" i="66"/>
  <c r="N1059" i="28"/>
  <c r="L1186" i="53"/>
  <c r="Q1058" i="28"/>
  <c r="N249" i="30"/>
  <c r="AM9" i="65"/>
  <c r="N372" i="30"/>
  <c r="AM12" i="65"/>
  <c r="Z10" i="61"/>
  <c r="J288" i="24"/>
  <c r="K287" i="24"/>
  <c r="K450" i="51"/>
  <c r="N659" i="30"/>
  <c r="AM19" i="65"/>
  <c r="L743" i="30"/>
  <c r="O742" i="30"/>
  <c r="M742" i="30" s="1"/>
  <c r="K1190" i="52"/>
  <c r="AD21" i="65"/>
  <c r="AM11" i="65"/>
  <c r="N331" i="30"/>
  <c r="K250" i="51"/>
  <c r="K164" i="24"/>
  <c r="Z7" i="61"/>
  <c r="J165" i="24"/>
  <c r="AA8" i="66"/>
  <c r="L347" i="53"/>
  <c r="Q314" i="28"/>
  <c r="N315" i="28"/>
  <c r="K183" i="51"/>
  <c r="K123" i="24"/>
  <c r="Z6" i="61"/>
  <c r="J124" i="24"/>
  <c r="N618" i="30"/>
  <c r="AM18" i="65"/>
  <c r="M1121" i="28"/>
  <c r="O1120" i="28"/>
  <c r="M1256" i="53"/>
  <c r="P1120" i="28"/>
  <c r="V21" i="66"/>
  <c r="L661" i="30"/>
  <c r="AD19" i="65"/>
  <c r="K1056" i="52"/>
  <c r="O660" i="30"/>
  <c r="M660" i="30" s="1"/>
  <c r="AM20" i="65"/>
  <c r="N700" i="30"/>
  <c r="M1059" i="28"/>
  <c r="M1186" i="53"/>
  <c r="P1058" i="28"/>
  <c r="O1058" i="28"/>
  <c r="V20" i="66"/>
  <c r="J493" i="24"/>
  <c r="K492" i="24"/>
  <c r="Z15" i="61"/>
  <c r="K787" i="51"/>
  <c r="K519" i="51"/>
  <c r="K328" i="24"/>
  <c r="Z11" i="61"/>
  <c r="J329" i="24"/>
  <c r="L556" i="53"/>
  <c r="AA11" i="66"/>
  <c r="N501" i="28"/>
  <c r="Q500" i="28"/>
  <c r="L251" i="30"/>
  <c r="K387" i="52"/>
  <c r="O250" i="30"/>
  <c r="M250" i="30" s="1"/>
  <c r="AD9" i="65"/>
  <c r="M1326" i="53"/>
  <c r="O1182" i="28"/>
  <c r="M1183" i="28"/>
  <c r="P1182" i="28"/>
  <c r="K656" i="24"/>
  <c r="J657" i="24"/>
  <c r="Z19" i="61"/>
  <c r="K1055" i="51"/>
  <c r="K916" i="28"/>
  <c r="L915" i="28"/>
  <c r="Q18" i="66"/>
  <c r="L1046" i="53"/>
  <c r="L543" i="28"/>
  <c r="Q12" i="66"/>
  <c r="K544" i="28"/>
  <c r="L626" i="53"/>
  <c r="K533" i="24"/>
  <c r="J534" i="24"/>
  <c r="Z16" i="61"/>
  <c r="K854" i="51"/>
  <c r="AM14" i="65"/>
  <c r="N454" i="30"/>
  <c r="N208" i="30"/>
  <c r="AM8" i="65"/>
  <c r="O252" i="28"/>
  <c r="M278" i="53"/>
  <c r="P252" i="28"/>
  <c r="V7" i="66"/>
  <c r="M253" i="28"/>
  <c r="L483" i="28" l="1"/>
  <c r="S11" i="66"/>
  <c r="L421" i="28"/>
  <c r="S10" i="66"/>
  <c r="L297" i="28"/>
  <c r="S8" i="66"/>
  <c r="E32" i="58"/>
  <c r="I32" i="58" s="1"/>
  <c r="E68" i="58"/>
  <c r="I68" i="58" s="1"/>
  <c r="E50" i="58"/>
  <c r="I50" i="58" s="1"/>
  <c r="L359" i="28"/>
  <c r="S9" i="66"/>
  <c r="L173" i="28"/>
  <c r="S6" i="66"/>
  <c r="G67" i="58"/>
  <c r="K67" i="58" s="1"/>
  <c r="G31" i="58"/>
  <c r="K31" i="58" s="1"/>
  <c r="G49" i="58"/>
  <c r="K49" i="58" s="1"/>
  <c r="F67" i="58"/>
  <c r="J67" i="58" s="1"/>
  <c r="F49" i="58"/>
  <c r="J49" i="58" s="1"/>
  <c r="F31" i="58"/>
  <c r="J31" i="58" s="1"/>
  <c r="E13" i="57"/>
  <c r="G13" i="57" s="1"/>
  <c r="E36" i="57"/>
  <c r="G36" i="57" s="1"/>
  <c r="E57" i="57"/>
  <c r="G57" i="57" s="1"/>
  <c r="E74" i="56"/>
  <c r="G74" i="56" s="1"/>
  <c r="E32" i="56"/>
  <c r="G32" i="56" s="1"/>
  <c r="E53" i="56"/>
  <c r="G53" i="56" s="1"/>
  <c r="AM17" i="65"/>
  <c r="AD17" i="65"/>
  <c r="L579" i="30"/>
  <c r="L580" i="30" s="1"/>
  <c r="O578" i="30"/>
  <c r="M578" i="30" s="1"/>
  <c r="N578" i="30" s="1"/>
  <c r="L825" i="30"/>
  <c r="K1325" i="52" s="1"/>
  <c r="K1324" i="52"/>
  <c r="AD23" i="65"/>
  <c r="AM16" i="65"/>
  <c r="AL6" i="65"/>
  <c r="K190" i="52"/>
  <c r="AD13" i="65"/>
  <c r="O537" i="30"/>
  <c r="M537" i="30" s="1"/>
  <c r="AN16" i="65" s="1"/>
  <c r="AD16" i="65"/>
  <c r="K852" i="52"/>
  <c r="L127" i="30"/>
  <c r="K191" i="52" s="1"/>
  <c r="O126" i="30"/>
  <c r="M126" i="30" s="1"/>
  <c r="N126" i="30" s="1"/>
  <c r="O414" i="30"/>
  <c r="M414" i="30" s="1"/>
  <c r="AN13" i="65" s="1"/>
  <c r="L415" i="30"/>
  <c r="K652" i="52" s="1"/>
  <c r="O1183" i="28"/>
  <c r="P1183" i="28"/>
  <c r="M1184" i="28"/>
  <c r="M1327" i="53"/>
  <c r="P253" i="28"/>
  <c r="M279" i="53"/>
  <c r="W7" i="66"/>
  <c r="O253" i="28"/>
  <c r="M254" i="28"/>
  <c r="O251" i="30"/>
  <c r="M251" i="30" s="1"/>
  <c r="K388" i="52"/>
  <c r="AE9" i="65"/>
  <c r="L252" i="30"/>
  <c r="AA15" i="61"/>
  <c r="K493" i="24"/>
  <c r="K788" i="51"/>
  <c r="J494" i="24"/>
  <c r="N660" i="30"/>
  <c r="AN19" i="65"/>
  <c r="W21" i="66"/>
  <c r="M1257" i="53"/>
  <c r="M1122" i="28"/>
  <c r="P1121" i="28"/>
  <c r="O1121" i="28"/>
  <c r="N291" i="30"/>
  <c r="AN10" i="65"/>
  <c r="K1257" i="51"/>
  <c r="AA22" i="61"/>
  <c r="K780" i="24"/>
  <c r="J781" i="24"/>
  <c r="N1184" i="28"/>
  <c r="L1327" i="53"/>
  <c r="Q1183" i="28"/>
  <c r="N209" i="30"/>
  <c r="AN8" i="65"/>
  <c r="N619" i="30"/>
  <c r="AN18" i="65"/>
  <c r="K520" i="51"/>
  <c r="AA11" i="61"/>
  <c r="K329" i="24"/>
  <c r="J330" i="24"/>
  <c r="O333" i="30"/>
  <c r="M333" i="30" s="1"/>
  <c r="AE11" i="65"/>
  <c r="L334" i="30"/>
  <c r="K520" i="52"/>
  <c r="M557" i="53"/>
  <c r="O501" i="28"/>
  <c r="W11" i="66"/>
  <c r="M502" i="28"/>
  <c r="P501" i="28"/>
  <c r="AN23" i="65"/>
  <c r="N824" i="30"/>
  <c r="K731" i="28"/>
  <c r="L730" i="28"/>
  <c r="R15" i="66"/>
  <c r="L838" i="53"/>
  <c r="O538" i="30"/>
  <c r="M538" i="30" s="1"/>
  <c r="L539" i="30"/>
  <c r="K853" i="52"/>
  <c r="AE16" i="65"/>
  <c r="AE8" i="65"/>
  <c r="O210" i="30"/>
  <c r="M210" i="30" s="1"/>
  <c r="L211" i="30"/>
  <c r="K323" i="52"/>
  <c r="N455" i="30"/>
  <c r="AN14" i="65"/>
  <c r="AB21" i="66"/>
  <c r="Q1121" i="28"/>
  <c r="L1257" i="53"/>
  <c r="N1122" i="28"/>
  <c r="N167" i="30"/>
  <c r="AM7" i="65"/>
  <c r="K855" i="51"/>
  <c r="AA16" i="61"/>
  <c r="K534" i="24"/>
  <c r="J535" i="24"/>
  <c r="O661" i="30"/>
  <c r="M661" i="30" s="1"/>
  <c r="AE19" i="65"/>
  <c r="L662" i="30"/>
  <c r="K1057" i="52"/>
  <c r="AA6" i="61"/>
  <c r="K184" i="51"/>
  <c r="K124" i="24"/>
  <c r="J125" i="24"/>
  <c r="J289" i="24"/>
  <c r="K288" i="24"/>
  <c r="AA10" i="61"/>
  <c r="K451" i="51"/>
  <c r="L1187" i="53"/>
  <c r="N1060" i="28"/>
  <c r="AB20" i="66"/>
  <c r="Q1059" i="28"/>
  <c r="AN20" i="65"/>
  <c r="N701" i="30"/>
  <c r="L621" i="30"/>
  <c r="K989" i="52"/>
  <c r="O620" i="30"/>
  <c r="M620" i="30" s="1"/>
  <c r="AE18" i="65"/>
  <c r="J617" i="24"/>
  <c r="K989" i="51"/>
  <c r="AA18" i="61"/>
  <c r="K616" i="24"/>
  <c r="P377" i="28"/>
  <c r="M378" i="28"/>
  <c r="O377" i="28"/>
  <c r="W9" i="66"/>
  <c r="M420" i="53"/>
  <c r="K922" i="51"/>
  <c r="K575" i="24"/>
  <c r="AA17" i="61"/>
  <c r="J576" i="24"/>
  <c r="AD7" i="65"/>
  <c r="K256" i="52"/>
  <c r="L169" i="30"/>
  <c r="O168" i="30"/>
  <c r="M168" i="30" s="1"/>
  <c r="K587" i="51"/>
  <c r="J371" i="24"/>
  <c r="AA12" i="61"/>
  <c r="K370" i="24"/>
  <c r="O497" i="30"/>
  <c r="M497" i="30" s="1"/>
  <c r="L498" i="30"/>
  <c r="K786" i="52"/>
  <c r="AE15" i="65"/>
  <c r="Q1245" i="28"/>
  <c r="AB23" i="66"/>
  <c r="N1246" i="28"/>
  <c r="L1397" i="53"/>
  <c r="AB22" i="66"/>
  <c r="L916" i="28"/>
  <c r="R18" i="66"/>
  <c r="K917" i="28"/>
  <c r="L1047" i="53"/>
  <c r="N332" i="30"/>
  <c r="AN11" i="65"/>
  <c r="O702" i="30"/>
  <c r="M702" i="30" s="1"/>
  <c r="K1124" i="52"/>
  <c r="AE20" i="65"/>
  <c r="L703" i="30"/>
  <c r="L488" i="53"/>
  <c r="N440" i="28"/>
  <c r="AB10" i="66"/>
  <c r="Q439" i="28"/>
  <c r="P997" i="28"/>
  <c r="W19" i="66"/>
  <c r="M998" i="28"/>
  <c r="M1117" i="53"/>
  <c r="O997" i="28"/>
  <c r="L87" i="30"/>
  <c r="AD5" i="65"/>
  <c r="O86" i="30"/>
  <c r="M86" i="30" s="1"/>
  <c r="K126" i="52"/>
  <c r="L457" i="30"/>
  <c r="O456" i="30"/>
  <c r="M456" i="30" s="1"/>
  <c r="K719" i="52"/>
  <c r="AE14" i="65"/>
  <c r="K698" i="24"/>
  <c r="AA20" i="61"/>
  <c r="J699" i="24"/>
  <c r="K1123" i="51"/>
  <c r="L207" i="53"/>
  <c r="Q191" i="28"/>
  <c r="AB6" i="66"/>
  <c r="N192" i="28"/>
  <c r="AN22" i="65"/>
  <c r="N783" i="30"/>
  <c r="L62" i="53"/>
  <c r="AB4" i="66"/>
  <c r="N68" i="28"/>
  <c r="Q67" i="28"/>
  <c r="K607" i="28"/>
  <c r="L606" i="28"/>
  <c r="R13" i="66"/>
  <c r="L697" i="53"/>
  <c r="O1059" i="28"/>
  <c r="P1059" i="28"/>
  <c r="M1060" i="28"/>
  <c r="M1187" i="53"/>
  <c r="W20" i="66"/>
  <c r="AA7" i="61"/>
  <c r="K165" i="24"/>
  <c r="K251" i="51"/>
  <c r="J166" i="24"/>
  <c r="AN21" i="65"/>
  <c r="N742" i="30"/>
  <c r="AB19" i="66"/>
  <c r="Q997" i="28"/>
  <c r="N998" i="28"/>
  <c r="L1117" i="53"/>
  <c r="AL4" i="65"/>
  <c r="N43" i="30"/>
  <c r="Z5" i="61"/>
  <c r="J83" i="24"/>
  <c r="K115" i="51"/>
  <c r="K82" i="24"/>
  <c r="W10" i="66"/>
  <c r="M488" i="53"/>
  <c r="M440" i="28"/>
  <c r="P439" i="28"/>
  <c r="O439" i="28"/>
  <c r="O374" i="30"/>
  <c r="M374" i="30" s="1"/>
  <c r="AE12" i="65"/>
  <c r="K586" i="52"/>
  <c r="L375" i="30"/>
  <c r="P129" i="28"/>
  <c r="O129" i="28"/>
  <c r="W5" i="66"/>
  <c r="M135" i="53"/>
  <c r="M130" i="28"/>
  <c r="AE22" i="65"/>
  <c r="K1258" i="52"/>
  <c r="O784" i="30"/>
  <c r="M784" i="30" s="1"/>
  <c r="L785" i="30"/>
  <c r="R12" i="66"/>
  <c r="L544" i="28"/>
  <c r="L627" i="53"/>
  <c r="K545" i="28"/>
  <c r="N250" i="30"/>
  <c r="AN9" i="65"/>
  <c r="K1191" i="52"/>
  <c r="AE21" i="65"/>
  <c r="L744" i="30"/>
  <c r="O743" i="30"/>
  <c r="M743" i="30" s="1"/>
  <c r="AA14" i="61"/>
  <c r="K452" i="24"/>
  <c r="J453" i="24"/>
  <c r="K721" i="51"/>
  <c r="Q377" i="28"/>
  <c r="L420" i="53"/>
  <c r="N378" i="28"/>
  <c r="AB9" i="66"/>
  <c r="O44" i="30"/>
  <c r="M44" i="30" s="1"/>
  <c r="K60" i="52"/>
  <c r="L45" i="30"/>
  <c r="AC4" i="65"/>
  <c r="N85" i="30"/>
  <c r="AM5" i="65"/>
  <c r="N373" i="30"/>
  <c r="AN12" i="65"/>
  <c r="Q253" i="28"/>
  <c r="N254" i="28"/>
  <c r="L279" i="53"/>
  <c r="AB7" i="66"/>
  <c r="O67" i="28"/>
  <c r="M62" i="53"/>
  <c r="M68" i="28"/>
  <c r="W4" i="66"/>
  <c r="P67" i="28"/>
  <c r="AN15" i="65"/>
  <c r="N496" i="30"/>
  <c r="K454" i="52"/>
  <c r="L293" i="30"/>
  <c r="AE10" i="65"/>
  <c r="O292" i="30"/>
  <c r="M292" i="30" s="1"/>
  <c r="Q501" i="28"/>
  <c r="AB11" i="66"/>
  <c r="L557" i="53"/>
  <c r="N502" i="28"/>
  <c r="K1056" i="51"/>
  <c r="AA19" i="61"/>
  <c r="J658" i="24"/>
  <c r="K657" i="24"/>
  <c r="Q315" i="28"/>
  <c r="L348" i="53"/>
  <c r="AB8" i="66"/>
  <c r="N316" i="28"/>
  <c r="K54" i="51"/>
  <c r="AA4" i="61"/>
  <c r="K42" i="24"/>
  <c r="J43" i="24"/>
  <c r="L135" i="53"/>
  <c r="N130" i="28"/>
  <c r="Q129" i="28"/>
  <c r="AB5" i="66"/>
  <c r="K855" i="28"/>
  <c r="R17" i="66"/>
  <c r="L978" i="53"/>
  <c r="L854" i="28"/>
  <c r="W22" i="66"/>
  <c r="P1245" i="28"/>
  <c r="M1246" i="28"/>
  <c r="M1397" i="53"/>
  <c r="O1245" i="28"/>
  <c r="W23" i="66"/>
  <c r="AA13" i="61"/>
  <c r="K411" i="24"/>
  <c r="J412" i="24"/>
  <c r="K654" i="51"/>
  <c r="O191" i="28"/>
  <c r="M192" i="28"/>
  <c r="M207" i="53"/>
  <c r="P191" i="28"/>
  <c r="W6" i="66"/>
  <c r="W8" i="66"/>
  <c r="O315" i="28"/>
  <c r="M348" i="53"/>
  <c r="P315" i="28"/>
  <c r="M316" i="28"/>
  <c r="L792" i="28"/>
  <c r="K793" i="28"/>
  <c r="L908" i="53"/>
  <c r="R16" i="66"/>
  <c r="K318" i="51"/>
  <c r="AA8" i="61"/>
  <c r="J207" i="24"/>
  <c r="K206" i="24"/>
  <c r="L768" i="53"/>
  <c r="R14" i="66"/>
  <c r="K669" i="28"/>
  <c r="L668" i="28"/>
  <c r="J740" i="24"/>
  <c r="AA21" i="61"/>
  <c r="K1190" i="51"/>
  <c r="K739" i="24"/>
  <c r="E51" i="58" l="1"/>
  <c r="E33" i="58"/>
  <c r="E69" i="58"/>
  <c r="G50" i="58"/>
  <c r="K50" i="58" s="1"/>
  <c r="G68" i="58"/>
  <c r="K68" i="58" s="1"/>
  <c r="G32" i="58"/>
  <c r="K32" i="58" s="1"/>
  <c r="F68" i="58"/>
  <c r="F50" i="58"/>
  <c r="F32" i="58"/>
  <c r="E37" i="57"/>
  <c r="G37" i="57" s="1"/>
  <c r="E58" i="57"/>
  <c r="G58" i="57" s="1"/>
  <c r="E14" i="57"/>
  <c r="G14" i="57" s="1"/>
  <c r="E54" i="56"/>
  <c r="G54" i="56" s="1"/>
  <c r="E75" i="56"/>
  <c r="G75" i="56" s="1"/>
  <c r="E33" i="56"/>
  <c r="G33" i="56" s="1"/>
  <c r="O579" i="30"/>
  <c r="M579" i="30" s="1"/>
  <c r="N579" i="30" s="1"/>
  <c r="K921" i="52"/>
  <c r="AN17" i="65"/>
  <c r="AE17" i="65"/>
  <c r="AE23" i="65"/>
  <c r="O825" i="30"/>
  <c r="M825" i="30" s="1"/>
  <c r="N825" i="30" s="1"/>
  <c r="L826" i="30"/>
  <c r="AF23" i="65" s="1"/>
  <c r="N414" i="30"/>
  <c r="N537" i="30"/>
  <c r="AM6" i="65"/>
  <c r="O415" i="30"/>
  <c r="M415" i="30" s="1"/>
  <c r="N415" i="30" s="1"/>
  <c r="L416" i="30"/>
  <c r="K653" i="52" s="1"/>
  <c r="AD6" i="65"/>
  <c r="O127" i="30"/>
  <c r="M127" i="30" s="1"/>
  <c r="N127" i="30" s="1"/>
  <c r="L128" i="30"/>
  <c r="AE6" i="65" s="1"/>
  <c r="AE13" i="65"/>
  <c r="AE7" i="65"/>
  <c r="L170" i="30"/>
  <c r="K257" i="52"/>
  <c r="O169" i="30"/>
  <c r="M169" i="30" s="1"/>
  <c r="N210" i="30"/>
  <c r="AO8" i="65"/>
  <c r="L769" i="53"/>
  <c r="S14" i="66"/>
  <c r="L669" i="28"/>
  <c r="K319" i="51"/>
  <c r="K207" i="24"/>
  <c r="AB8" i="61"/>
  <c r="J208" i="24"/>
  <c r="S17" i="66"/>
  <c r="L979" i="53"/>
  <c r="L855" i="28"/>
  <c r="N743" i="30"/>
  <c r="AO21" i="65"/>
  <c r="AB7" i="61"/>
  <c r="K166" i="24"/>
  <c r="K252" i="51"/>
  <c r="J167" i="24"/>
  <c r="AF14" i="65"/>
  <c r="K720" i="52"/>
  <c r="L458" i="30"/>
  <c r="O457" i="30"/>
  <c r="M457" i="30" s="1"/>
  <c r="L88" i="30"/>
  <c r="K127" i="52"/>
  <c r="AE5" i="65"/>
  <c r="O87" i="30"/>
  <c r="M87" i="30" s="1"/>
  <c r="Q440" i="28"/>
  <c r="AC10" i="66"/>
  <c r="L489" i="53"/>
  <c r="AB6" i="61"/>
  <c r="K125" i="24"/>
  <c r="K185" i="51"/>
  <c r="J126" i="24"/>
  <c r="K535" i="24"/>
  <c r="J536" i="24"/>
  <c r="K856" i="51"/>
  <c r="AB16" i="61"/>
  <c r="AB22" i="61"/>
  <c r="J782" i="24"/>
  <c r="K1258" i="51"/>
  <c r="K781" i="24"/>
  <c r="P1122" i="28"/>
  <c r="M1258" i="53"/>
  <c r="O1122" i="28"/>
  <c r="X21" i="66"/>
  <c r="M208" i="53"/>
  <c r="O192" i="28"/>
  <c r="P192" i="28"/>
  <c r="X6" i="66"/>
  <c r="L349" i="53"/>
  <c r="Q316" i="28"/>
  <c r="AC8" i="66"/>
  <c r="AC11" i="66"/>
  <c r="L558" i="53"/>
  <c r="Q502" i="28"/>
  <c r="K922" i="52"/>
  <c r="L581" i="30"/>
  <c r="AF17" i="65"/>
  <c r="O580" i="30"/>
  <c r="M580" i="30" s="1"/>
  <c r="L421" i="53"/>
  <c r="AC9" i="66"/>
  <c r="Q378" i="28"/>
  <c r="L745" i="30"/>
  <c r="O744" i="30"/>
  <c r="M744" i="30" s="1"/>
  <c r="K1192" i="52"/>
  <c r="AF21" i="65"/>
  <c r="P440" i="28"/>
  <c r="M489" i="53"/>
  <c r="O440" i="28"/>
  <c r="X10" i="66"/>
  <c r="L1048" i="53"/>
  <c r="L917" i="28"/>
  <c r="S18" i="66"/>
  <c r="AN7" i="65"/>
  <c r="N168" i="30"/>
  <c r="K617" i="24"/>
  <c r="J618" i="24"/>
  <c r="K990" i="51"/>
  <c r="AB18" i="61"/>
  <c r="K324" i="52"/>
  <c r="L212" i="30"/>
  <c r="AF8" i="65"/>
  <c r="O211" i="30"/>
  <c r="M211" i="30" s="1"/>
  <c r="O252" i="30"/>
  <c r="M252" i="30" s="1"/>
  <c r="L253" i="30"/>
  <c r="AF9" i="65"/>
  <c r="K389" i="52"/>
  <c r="L704" i="30"/>
  <c r="AF20" i="65"/>
  <c r="K1125" i="52"/>
  <c r="O703" i="30"/>
  <c r="M703" i="30" s="1"/>
  <c r="Q1122" i="28"/>
  <c r="L1258" i="53"/>
  <c r="AC21" i="66"/>
  <c r="Q130" i="28"/>
  <c r="AC5" i="66"/>
  <c r="L136" i="53"/>
  <c r="AO22" i="65"/>
  <c r="N784" i="30"/>
  <c r="K587" i="52"/>
  <c r="O375" i="30"/>
  <c r="M375" i="30" s="1"/>
  <c r="L376" i="30"/>
  <c r="AF12" i="65"/>
  <c r="L1118" i="53"/>
  <c r="AC19" i="66"/>
  <c r="Q998" i="28"/>
  <c r="Q192" i="28"/>
  <c r="L208" i="53"/>
  <c r="AC6" i="66"/>
  <c r="O998" i="28"/>
  <c r="X19" i="66"/>
  <c r="P998" i="28"/>
  <c r="M1118" i="53"/>
  <c r="L499" i="30"/>
  <c r="AF15" i="65"/>
  <c r="K787" i="52"/>
  <c r="O498" i="30"/>
  <c r="M498" i="30" s="1"/>
  <c r="AO18" i="65"/>
  <c r="N620" i="30"/>
  <c r="L731" i="28"/>
  <c r="S15" i="66"/>
  <c r="L839" i="53"/>
  <c r="AB13" i="61"/>
  <c r="K412" i="24"/>
  <c r="J413" i="24"/>
  <c r="K655" i="51"/>
  <c r="L607" i="28"/>
  <c r="L698" i="53"/>
  <c r="S13" i="66"/>
  <c r="N497" i="30"/>
  <c r="AO15" i="65"/>
  <c r="M421" i="53"/>
  <c r="X9" i="66"/>
  <c r="P378" i="28"/>
  <c r="O378" i="28"/>
  <c r="O334" i="30"/>
  <c r="M334" i="30" s="1"/>
  <c r="K521" i="52"/>
  <c r="L335" i="30"/>
  <c r="AF11" i="65"/>
  <c r="N251" i="30"/>
  <c r="AO9" i="65"/>
  <c r="S16" i="66"/>
  <c r="L909" i="53"/>
  <c r="L793" i="28"/>
  <c r="K43" i="24"/>
  <c r="K55" i="51"/>
  <c r="J44" i="24"/>
  <c r="AB4" i="61"/>
  <c r="AO10" i="65"/>
  <c r="N292" i="30"/>
  <c r="P68" i="28"/>
  <c r="X4" i="66"/>
  <c r="O68" i="28"/>
  <c r="M63" i="53"/>
  <c r="AD4" i="65"/>
  <c r="L46" i="30"/>
  <c r="K61" i="52"/>
  <c r="O45" i="30"/>
  <c r="M45" i="30" s="1"/>
  <c r="K722" i="51"/>
  <c r="J454" i="24"/>
  <c r="AB14" i="61"/>
  <c r="K453" i="24"/>
  <c r="AO20" i="65"/>
  <c r="N702" i="30"/>
  <c r="AB17" i="61"/>
  <c r="K923" i="51"/>
  <c r="J577" i="24"/>
  <c r="K576" i="24"/>
  <c r="AF18" i="65"/>
  <c r="K990" i="52"/>
  <c r="O621" i="30"/>
  <c r="M621" i="30" s="1"/>
  <c r="L622" i="30"/>
  <c r="AF19" i="65"/>
  <c r="L663" i="30"/>
  <c r="O662" i="30"/>
  <c r="M662" i="30" s="1"/>
  <c r="K1058" i="52"/>
  <c r="Q1184" i="28"/>
  <c r="L1328" i="53"/>
  <c r="J495" i="24"/>
  <c r="K789" i="51"/>
  <c r="AB15" i="61"/>
  <c r="K494" i="24"/>
  <c r="M280" i="53"/>
  <c r="O254" i="28"/>
  <c r="P254" i="28"/>
  <c r="X7" i="66"/>
  <c r="M1328" i="53"/>
  <c r="O1184" i="28"/>
  <c r="P1184" i="28"/>
  <c r="AC20" i="66"/>
  <c r="Q1060" i="28"/>
  <c r="L1188" i="53"/>
  <c r="AB21" i="61"/>
  <c r="K740" i="24"/>
  <c r="J741" i="24"/>
  <c r="K1191" i="51"/>
  <c r="K658" i="24"/>
  <c r="AB19" i="61"/>
  <c r="J659" i="24"/>
  <c r="K1057" i="51"/>
  <c r="L545" i="28"/>
  <c r="S12" i="66"/>
  <c r="L628" i="53"/>
  <c r="X5" i="66"/>
  <c r="P130" i="28"/>
  <c r="M136" i="53"/>
  <c r="O130" i="28"/>
  <c r="N374" i="30"/>
  <c r="AO12" i="65"/>
  <c r="K116" i="51"/>
  <c r="J84" i="24"/>
  <c r="J85" i="24" s="1"/>
  <c r="K85" i="24" s="1"/>
  <c r="K83" i="24"/>
  <c r="AA5" i="61"/>
  <c r="O1060" i="28"/>
  <c r="P1060" i="28"/>
  <c r="M1188" i="53"/>
  <c r="X20" i="66"/>
  <c r="L63" i="53"/>
  <c r="AC4" i="66"/>
  <c r="Q68" i="28"/>
  <c r="N86" i="30"/>
  <c r="AN5" i="65"/>
  <c r="AC22" i="66"/>
  <c r="AC23" i="66"/>
  <c r="L1398" i="53"/>
  <c r="Q1246" i="28"/>
  <c r="K854" i="52"/>
  <c r="L540" i="30"/>
  <c r="O539" i="30"/>
  <c r="M539" i="30" s="1"/>
  <c r="AF16" i="65"/>
  <c r="N333" i="30"/>
  <c r="AO11" i="65"/>
  <c r="X22" i="66"/>
  <c r="O1246" i="28"/>
  <c r="M1398" i="53"/>
  <c r="P1246" i="28"/>
  <c r="X23" i="66"/>
  <c r="L280" i="53"/>
  <c r="Q254" i="28"/>
  <c r="AC7" i="66"/>
  <c r="AF22" i="65"/>
  <c r="K1259" i="52"/>
  <c r="L786" i="30"/>
  <c r="O785" i="30"/>
  <c r="M785" i="30" s="1"/>
  <c r="K1124" i="51"/>
  <c r="J700" i="24"/>
  <c r="K699" i="24"/>
  <c r="AB20" i="61"/>
  <c r="M349" i="53"/>
  <c r="X8" i="66"/>
  <c r="O316" i="28"/>
  <c r="P316" i="28"/>
  <c r="K455" i="52"/>
  <c r="L294" i="30"/>
  <c r="O293" i="30"/>
  <c r="M293" i="30" s="1"/>
  <c r="AF10" i="65"/>
  <c r="AM4" i="65"/>
  <c r="N44" i="30"/>
  <c r="AO14" i="65"/>
  <c r="N456" i="30"/>
  <c r="K588" i="51"/>
  <c r="AB12" i="61"/>
  <c r="J372" i="24"/>
  <c r="K371" i="24"/>
  <c r="AB10" i="61"/>
  <c r="K452" i="51"/>
  <c r="J290" i="24"/>
  <c r="K289" i="24"/>
  <c r="N661" i="30"/>
  <c r="AO19" i="65"/>
  <c r="AO16" i="65"/>
  <c r="N538" i="30"/>
  <c r="P502" i="28"/>
  <c r="M558" i="53"/>
  <c r="O502" i="28"/>
  <c r="X11" i="66"/>
  <c r="AB11" i="61"/>
  <c r="J331" i="24"/>
  <c r="K330" i="24"/>
  <c r="K521" i="51"/>
  <c r="G51" i="58" l="1"/>
  <c r="G33" i="58"/>
  <c r="G69" i="58"/>
  <c r="J50" i="58"/>
  <c r="H51" i="58"/>
  <c r="H69" i="58"/>
  <c r="J68" i="58"/>
  <c r="F51" i="58"/>
  <c r="F69" i="58"/>
  <c r="F33" i="58"/>
  <c r="H33" i="58"/>
  <c r="I33" i="58" s="1"/>
  <c r="I34" i="58" s="1"/>
  <c r="J32" i="58"/>
  <c r="E38" i="57"/>
  <c r="G38" i="57" s="1"/>
  <c r="E59" i="57"/>
  <c r="G59" i="57" s="1"/>
  <c r="E15" i="57"/>
  <c r="G15" i="57" s="1"/>
  <c r="AO17" i="65"/>
  <c r="E34" i="56"/>
  <c r="G34" i="56" s="1"/>
  <c r="E76" i="56"/>
  <c r="G76" i="56" s="1"/>
  <c r="E55" i="56"/>
  <c r="G55" i="56" s="1"/>
  <c r="AO23" i="65"/>
  <c r="L827" i="30"/>
  <c r="K1327" i="52" s="1"/>
  <c r="K1326" i="52"/>
  <c r="O826" i="30"/>
  <c r="M826" i="30" s="1"/>
  <c r="N826" i="30" s="1"/>
  <c r="K192" i="52"/>
  <c r="O128" i="30"/>
  <c r="M128" i="30" s="1"/>
  <c r="AO6" i="65" s="1"/>
  <c r="AO13" i="65"/>
  <c r="AF13" i="65"/>
  <c r="O416" i="30"/>
  <c r="M416" i="30" s="1"/>
  <c r="N416" i="30" s="1"/>
  <c r="L417" i="30"/>
  <c r="AG13" i="65" s="1"/>
  <c r="AN6" i="65"/>
  <c r="L129" i="30"/>
  <c r="K193" i="52" s="1"/>
  <c r="AP22" i="65"/>
  <c r="N785" i="30"/>
  <c r="K855" i="52"/>
  <c r="AG16" i="65"/>
  <c r="O540" i="30"/>
  <c r="M540" i="30" s="1"/>
  <c r="J455" i="24"/>
  <c r="K454" i="24"/>
  <c r="AC14" i="61"/>
  <c r="K723" i="51"/>
  <c r="AP21" i="65"/>
  <c r="N744" i="30"/>
  <c r="AC10" i="61"/>
  <c r="K453" i="51"/>
  <c r="J291" i="24"/>
  <c r="K290" i="24"/>
  <c r="O786" i="30"/>
  <c r="M786" i="30" s="1"/>
  <c r="AG22" i="65"/>
  <c r="K1260" i="52"/>
  <c r="K1058" i="51"/>
  <c r="J660" i="24"/>
  <c r="K659" i="24"/>
  <c r="AC19" i="61"/>
  <c r="AP19" i="65"/>
  <c r="N662" i="30"/>
  <c r="J578" i="24"/>
  <c r="AC17" i="61"/>
  <c r="K577" i="24"/>
  <c r="K924" i="51"/>
  <c r="N498" i="30"/>
  <c r="AP15" i="65"/>
  <c r="O253" i="30"/>
  <c r="M253" i="30" s="1"/>
  <c r="AG9" i="65"/>
  <c r="K390" i="52"/>
  <c r="J619" i="24"/>
  <c r="AC18" i="61"/>
  <c r="K618" i="24"/>
  <c r="K991" i="51"/>
  <c r="K1193" i="52"/>
  <c r="O745" i="30"/>
  <c r="M745" i="30" s="1"/>
  <c r="AG21" i="65"/>
  <c r="K782" i="24"/>
  <c r="K1259" i="51"/>
  <c r="AC22" i="61"/>
  <c r="J783" i="24"/>
  <c r="K536" i="24"/>
  <c r="K857" i="51"/>
  <c r="AC16" i="61"/>
  <c r="J537" i="24"/>
  <c r="AG19" i="65"/>
  <c r="O663" i="30"/>
  <c r="M663" i="30" s="1"/>
  <c r="K1059" i="52"/>
  <c r="N252" i="30"/>
  <c r="AP9" i="65"/>
  <c r="N87" i="30"/>
  <c r="AO5" i="65"/>
  <c r="N703" i="30"/>
  <c r="AP20" i="65"/>
  <c r="N211" i="30"/>
  <c r="AP8" i="65"/>
  <c r="J127" i="24"/>
  <c r="K126" i="24"/>
  <c r="AC6" i="61"/>
  <c r="K186" i="51"/>
  <c r="K208" i="24"/>
  <c r="K320" i="51"/>
  <c r="J209" i="24"/>
  <c r="AC8" i="61"/>
  <c r="O622" i="30"/>
  <c r="M622" i="30" s="1"/>
  <c r="AG18" i="65"/>
  <c r="K991" i="52"/>
  <c r="L47" i="30"/>
  <c r="O46" i="30"/>
  <c r="M46" i="30" s="1"/>
  <c r="AE4" i="65"/>
  <c r="K62" i="52"/>
  <c r="AP11" i="65"/>
  <c r="N334" i="30"/>
  <c r="AG15" i="65"/>
  <c r="K788" i="52"/>
  <c r="O499" i="30"/>
  <c r="M499" i="30" s="1"/>
  <c r="K588" i="52"/>
  <c r="AG12" i="65"/>
  <c r="O376" i="30"/>
  <c r="M376" i="30" s="1"/>
  <c r="N169" i="30"/>
  <c r="AO7" i="65"/>
  <c r="K117" i="51"/>
  <c r="K84" i="24"/>
  <c r="AB5" i="61"/>
  <c r="J373" i="24"/>
  <c r="AC12" i="61"/>
  <c r="K372" i="24"/>
  <c r="K589" i="51"/>
  <c r="N293" i="30"/>
  <c r="AP10" i="65"/>
  <c r="K1192" i="51"/>
  <c r="AC21" i="61"/>
  <c r="J742" i="24"/>
  <c r="K741" i="24"/>
  <c r="K790" i="51"/>
  <c r="AC15" i="61"/>
  <c r="K495" i="24"/>
  <c r="J496" i="24"/>
  <c r="AP18" i="65"/>
  <c r="N621" i="30"/>
  <c r="K44" i="24"/>
  <c r="K56" i="51"/>
  <c r="J45" i="24"/>
  <c r="AC4" i="61"/>
  <c r="AP12" i="65"/>
  <c r="N375" i="30"/>
  <c r="K325" i="52"/>
  <c r="O212" i="30"/>
  <c r="M212" i="30" s="1"/>
  <c r="AG8" i="65"/>
  <c r="AP17" i="65"/>
  <c r="N580" i="30"/>
  <c r="K128" i="52"/>
  <c r="AF5" i="65"/>
  <c r="L89" i="30"/>
  <c r="O88" i="30"/>
  <c r="M88" i="30" s="1"/>
  <c r="N45" i="30"/>
  <c r="AN4" i="65"/>
  <c r="AG11" i="65"/>
  <c r="K522" i="52"/>
  <c r="O335" i="30"/>
  <c r="M335" i="30" s="1"/>
  <c r="K331" i="24"/>
  <c r="J332" i="24"/>
  <c r="K522" i="51"/>
  <c r="AC11" i="61"/>
  <c r="O294" i="30"/>
  <c r="M294" i="30" s="1"/>
  <c r="K456" i="52"/>
  <c r="AG10" i="65"/>
  <c r="K1125" i="51"/>
  <c r="K700" i="24"/>
  <c r="AC20" i="61"/>
  <c r="J701" i="24"/>
  <c r="O704" i="30"/>
  <c r="M704" i="30" s="1"/>
  <c r="AG20" i="65"/>
  <c r="K1126" i="52"/>
  <c r="AP14" i="65"/>
  <c r="N457" i="30"/>
  <c r="K258" i="52"/>
  <c r="AF7" i="65"/>
  <c r="O170" i="30"/>
  <c r="M170" i="30" s="1"/>
  <c r="L171" i="30"/>
  <c r="J168" i="24"/>
  <c r="AC7" i="61"/>
  <c r="K167" i="24"/>
  <c r="K253" i="51"/>
  <c r="AP16" i="65"/>
  <c r="N539" i="30"/>
  <c r="K413" i="24"/>
  <c r="AC13" i="61"/>
  <c r="J414" i="24"/>
  <c r="K656" i="51"/>
  <c r="O581" i="30"/>
  <c r="M581" i="30" s="1"/>
  <c r="K923" i="52"/>
  <c r="AG17" i="65"/>
  <c r="AG14" i="65"/>
  <c r="O458" i="30"/>
  <c r="M458" i="30" s="1"/>
  <c r="K721" i="52"/>
  <c r="J69" i="58" l="1"/>
  <c r="J70" i="58" s="1"/>
  <c r="J51" i="58"/>
  <c r="J52" i="58" s="1"/>
  <c r="K51" i="58"/>
  <c r="K52" i="58" s="1"/>
  <c r="I51" i="58"/>
  <c r="I52" i="58" s="1"/>
  <c r="K69" i="58"/>
  <c r="K70" i="58" s="1"/>
  <c r="I69" i="58"/>
  <c r="I70" i="58" s="1"/>
  <c r="J33" i="58"/>
  <c r="J34" i="58" s="1"/>
  <c r="K33" i="58"/>
  <c r="K34" i="58" s="1"/>
  <c r="B35" i="58" s="1"/>
  <c r="B37" i="58" s="1"/>
  <c r="G48" i="55" s="1"/>
  <c r="G57" i="55" s="1"/>
  <c r="E16" i="57"/>
  <c r="G16" i="57" s="1"/>
  <c r="E39" i="57"/>
  <c r="G39" i="57" s="1"/>
  <c r="E60" i="57"/>
  <c r="G60" i="57" s="1"/>
  <c r="E56" i="56"/>
  <c r="G56" i="56" s="1"/>
  <c r="G62" i="56" s="1"/>
  <c r="G64" i="56" s="1"/>
  <c r="E49" i="55" s="1"/>
  <c r="E58" i="55" s="1"/>
  <c r="E77" i="56"/>
  <c r="G77" i="56" s="1"/>
  <c r="G83" i="56" s="1"/>
  <c r="G85" i="56" s="1"/>
  <c r="E50" i="55" s="1"/>
  <c r="E59" i="55" s="1"/>
  <c r="E35" i="56"/>
  <c r="G35" i="56" s="1"/>
  <c r="G41" i="56" s="1"/>
  <c r="G43" i="56" s="1"/>
  <c r="E48" i="55" s="1"/>
  <c r="E57" i="55" s="1"/>
  <c r="AP23" i="65"/>
  <c r="N128" i="30"/>
  <c r="O827" i="30"/>
  <c r="M827" i="30" s="1"/>
  <c r="AQ23" i="65" s="1"/>
  <c r="AG23" i="65"/>
  <c r="AP13" i="65"/>
  <c r="O417" i="30"/>
  <c r="M417" i="30" s="1"/>
  <c r="N417" i="30" s="1"/>
  <c r="K654" i="52"/>
  <c r="L130" i="30"/>
  <c r="AG6" i="65" s="1"/>
  <c r="AF6" i="65"/>
  <c r="O129" i="30"/>
  <c r="M129" i="30" s="1"/>
  <c r="N129" i="30" s="1"/>
  <c r="N88" i="30"/>
  <c r="AP5" i="65"/>
  <c r="AD15" i="61"/>
  <c r="K496" i="24"/>
  <c r="J497" i="24"/>
  <c r="K791" i="51"/>
  <c r="AD14" i="61"/>
  <c r="K724" i="51"/>
  <c r="K455" i="24"/>
  <c r="J456" i="24"/>
  <c r="AQ12" i="65"/>
  <c r="N376" i="30"/>
  <c r="K321" i="51"/>
  <c r="AD8" i="61"/>
  <c r="K209" i="24"/>
  <c r="J210" i="24"/>
  <c r="AQ8" i="65"/>
  <c r="N212" i="30"/>
  <c r="AQ15" i="65"/>
  <c r="N499" i="30"/>
  <c r="L48" i="30"/>
  <c r="O47" i="30"/>
  <c r="M47" i="30" s="1"/>
  <c r="K63" i="52"/>
  <c r="AF4" i="65"/>
  <c r="AQ16" i="65"/>
  <c r="N540" i="30"/>
  <c r="K1260" i="51"/>
  <c r="AD22" i="61"/>
  <c r="K783" i="24"/>
  <c r="J784" i="24"/>
  <c r="J292" i="24"/>
  <c r="AD10" i="61"/>
  <c r="K291" i="24"/>
  <c r="K454" i="51"/>
  <c r="N581" i="30"/>
  <c r="AQ17" i="65"/>
  <c r="K129" i="52"/>
  <c r="O89" i="30"/>
  <c r="M89" i="30" s="1"/>
  <c r="AG5" i="65"/>
  <c r="K660" i="24"/>
  <c r="J661" i="24"/>
  <c r="AD19" i="61"/>
  <c r="K1059" i="51"/>
  <c r="AQ11" i="65"/>
  <c r="N335" i="30"/>
  <c r="K858" i="51"/>
  <c r="J538" i="24"/>
  <c r="AD16" i="61"/>
  <c r="K537" i="24"/>
  <c r="N663" i="30"/>
  <c r="AQ19" i="65"/>
  <c r="N294" i="30"/>
  <c r="AQ10" i="65"/>
  <c r="AQ20" i="65"/>
  <c r="N704" i="30"/>
  <c r="AQ21" i="65"/>
  <c r="N745" i="30"/>
  <c r="AQ9" i="65"/>
  <c r="N253" i="30"/>
  <c r="K925" i="51"/>
  <c r="K578" i="24"/>
  <c r="AD17" i="61"/>
  <c r="J579" i="24"/>
  <c r="AO4" i="65"/>
  <c r="N46" i="30"/>
  <c r="K619" i="24"/>
  <c r="K992" i="51"/>
  <c r="AD18" i="61"/>
  <c r="J620" i="24"/>
  <c r="AP7" i="65"/>
  <c r="N170" i="30"/>
  <c r="AD13" i="61"/>
  <c r="J415" i="24"/>
  <c r="K657" i="51"/>
  <c r="K414" i="24"/>
  <c r="AD7" i="61"/>
  <c r="K168" i="24"/>
  <c r="J169" i="24"/>
  <c r="K254" i="51"/>
  <c r="AD4" i="61"/>
  <c r="J46" i="24"/>
  <c r="K45" i="24"/>
  <c r="K57" i="51"/>
  <c r="O171" i="30"/>
  <c r="M171" i="30" s="1"/>
  <c r="AG7" i="65"/>
  <c r="K259" i="52"/>
  <c r="N458" i="30"/>
  <c r="AQ14" i="65"/>
  <c r="K701" i="24"/>
  <c r="AD20" i="61"/>
  <c r="J702" i="24"/>
  <c r="K1126" i="51"/>
  <c r="K742" i="24"/>
  <c r="K1193" i="51"/>
  <c r="J743" i="24"/>
  <c r="AD21" i="61"/>
  <c r="K373" i="24"/>
  <c r="K590" i="51"/>
  <c r="AD12" i="61"/>
  <c r="J374" i="24"/>
  <c r="AQ18" i="65"/>
  <c r="N622" i="30"/>
  <c r="J128" i="24"/>
  <c r="K187" i="51"/>
  <c r="AD6" i="61"/>
  <c r="K127" i="24"/>
  <c r="AQ22" i="65"/>
  <c r="N786" i="30"/>
  <c r="J333" i="24"/>
  <c r="K332" i="24"/>
  <c r="AD11" i="61"/>
  <c r="K523" i="51"/>
  <c r="B71" i="58" l="1"/>
  <c r="B73" i="58" s="1"/>
  <c r="G50" i="55" s="1"/>
  <c r="G59" i="55" s="1"/>
  <c r="B53" i="58"/>
  <c r="B55" i="58" s="1"/>
  <c r="G49" i="55" s="1"/>
  <c r="G58" i="55" s="1"/>
  <c r="E17" i="57"/>
  <c r="G17" i="57" s="1"/>
  <c r="E61" i="57"/>
  <c r="G61" i="57" s="1"/>
  <c r="E40" i="57"/>
  <c r="G40" i="57" s="1"/>
  <c r="N827" i="30"/>
  <c r="AP6" i="65"/>
  <c r="O130" i="30"/>
  <c r="M130" i="30" s="1"/>
  <c r="N130" i="30" s="1"/>
  <c r="AQ13" i="65"/>
  <c r="K194" i="52"/>
  <c r="J703" i="24"/>
  <c r="K702" i="24"/>
  <c r="AE20" i="61"/>
  <c r="K1127" i="51"/>
  <c r="K255" i="51"/>
  <c r="J170" i="24"/>
  <c r="K169" i="24"/>
  <c r="AE7" i="61"/>
  <c r="N171" i="30"/>
  <c r="AQ7" i="65"/>
  <c r="K1060" i="51"/>
  <c r="K661" i="24"/>
  <c r="AE19" i="61"/>
  <c r="J662" i="24"/>
  <c r="J457" i="24"/>
  <c r="K725" i="51"/>
  <c r="K456" i="24"/>
  <c r="AE14" i="61"/>
  <c r="K1194" i="51"/>
  <c r="J744" i="24"/>
  <c r="AE21" i="61"/>
  <c r="K743" i="24"/>
  <c r="K620" i="24"/>
  <c r="K993" i="51"/>
  <c r="AE18" i="61"/>
  <c r="J621" i="24"/>
  <c r="J211" i="24"/>
  <c r="K210" i="24"/>
  <c r="K322" i="51"/>
  <c r="AE8" i="61"/>
  <c r="AE6" i="61"/>
  <c r="K128" i="24"/>
  <c r="J129" i="24"/>
  <c r="K188" i="51"/>
  <c r="J539" i="24"/>
  <c r="K538" i="24"/>
  <c r="AE16" i="61"/>
  <c r="K859" i="51"/>
  <c r="AE10" i="61"/>
  <c r="J293" i="24"/>
  <c r="K292" i="24"/>
  <c r="K455" i="51"/>
  <c r="J334" i="24"/>
  <c r="AE11" i="61"/>
  <c r="K333" i="24"/>
  <c r="K524" i="51"/>
  <c r="J416" i="24"/>
  <c r="AE13" i="61"/>
  <c r="K658" i="51"/>
  <c r="K415" i="24"/>
  <c r="N89" i="30"/>
  <c r="AQ5" i="65"/>
  <c r="K1261" i="51"/>
  <c r="K784" i="24"/>
  <c r="AE22" i="61"/>
  <c r="J785" i="24"/>
  <c r="AP4" i="65"/>
  <c r="N47" i="30"/>
  <c r="AE17" i="61"/>
  <c r="J580" i="24"/>
  <c r="K579" i="24"/>
  <c r="K926" i="51"/>
  <c r="K46" i="24"/>
  <c r="J47" i="24"/>
  <c r="AE4" i="61"/>
  <c r="K58" i="51"/>
  <c r="K591" i="51"/>
  <c r="J375" i="24"/>
  <c r="AE12" i="61"/>
  <c r="K374" i="24"/>
  <c r="AG4" i="65"/>
  <c r="K64" i="52"/>
  <c r="O48" i="30"/>
  <c r="M48" i="30" s="1"/>
  <c r="J498" i="24"/>
  <c r="K792" i="51"/>
  <c r="AE15" i="61"/>
  <c r="K497" i="24"/>
  <c r="E41" i="57" l="1"/>
  <c r="G41" i="57" s="1"/>
  <c r="E62" i="57"/>
  <c r="G62" i="57" s="1"/>
  <c r="E18" i="57"/>
  <c r="G18" i="57" s="1"/>
  <c r="AQ6" i="65"/>
  <c r="AF17" i="61"/>
  <c r="K580" i="24"/>
  <c r="K927" i="51"/>
  <c r="J581" i="24"/>
  <c r="AF4" i="61"/>
  <c r="J48" i="24"/>
  <c r="K59" i="51"/>
  <c r="K47" i="24"/>
  <c r="K785" i="24"/>
  <c r="J786" i="24"/>
  <c r="K1262" i="51"/>
  <c r="AF22" i="61"/>
  <c r="AF21" i="61"/>
  <c r="K1195" i="51"/>
  <c r="K744" i="24"/>
  <c r="J745" i="24"/>
  <c r="K256" i="51"/>
  <c r="AF7" i="61"/>
  <c r="J171" i="24"/>
  <c r="K170" i="24"/>
  <c r="J458" i="24"/>
  <c r="K726" i="51"/>
  <c r="AF14" i="61"/>
  <c r="K457" i="24"/>
  <c r="AF15" i="61"/>
  <c r="K498" i="24"/>
  <c r="K793" i="51"/>
  <c r="J499" i="24"/>
  <c r="AF19" i="61"/>
  <c r="K662" i="24"/>
  <c r="K1061" i="51"/>
  <c r="J663" i="24"/>
  <c r="N48" i="30"/>
  <c r="AQ4" i="65"/>
  <c r="AF13" i="61"/>
  <c r="J417" i="24"/>
  <c r="K659" i="51"/>
  <c r="K416" i="24"/>
  <c r="K525" i="51"/>
  <c r="K334" i="24"/>
  <c r="AF11" i="61"/>
  <c r="J335" i="24"/>
  <c r="J540" i="24"/>
  <c r="K539" i="24"/>
  <c r="AF16" i="61"/>
  <c r="K860" i="51"/>
  <c r="J212" i="24"/>
  <c r="AF8" i="61"/>
  <c r="K211" i="24"/>
  <c r="K323" i="51"/>
  <c r="K994" i="51"/>
  <c r="J622" i="24"/>
  <c r="AF18" i="61"/>
  <c r="K621" i="24"/>
  <c r="K189" i="51"/>
  <c r="K129" i="24"/>
  <c r="AF6" i="61"/>
  <c r="J130" i="24"/>
  <c r="K293" i="24"/>
  <c r="K456" i="51"/>
  <c r="AF10" i="61"/>
  <c r="J294" i="24"/>
  <c r="K375" i="24"/>
  <c r="J376" i="24"/>
  <c r="K592" i="51"/>
  <c r="AF12" i="61"/>
  <c r="AF20" i="61"/>
  <c r="K703" i="24"/>
  <c r="J704" i="24"/>
  <c r="K1128" i="51"/>
  <c r="E63" i="57" l="1"/>
  <c r="G63" i="57" s="1"/>
  <c r="G64" i="57" s="1"/>
  <c r="G66" i="57" s="1"/>
  <c r="F49" i="55" s="1"/>
  <c r="F58" i="55" s="1"/>
  <c r="E42" i="57"/>
  <c r="G42" i="57" s="1"/>
  <c r="G43" i="57" s="1"/>
  <c r="G45" i="57" s="1"/>
  <c r="F48" i="55" s="1"/>
  <c r="F57" i="55" s="1"/>
  <c r="E19" i="57"/>
  <c r="G19" i="57" s="1"/>
  <c r="G20" i="57" s="1"/>
  <c r="G22" i="57" s="1"/>
  <c r="F47" i="55" s="1"/>
  <c r="F56" i="55" s="1"/>
  <c r="K417" i="24"/>
  <c r="AG13" i="61"/>
  <c r="K660" i="51"/>
  <c r="AG16" i="61"/>
  <c r="K861" i="51"/>
  <c r="K540" i="24"/>
  <c r="K257" i="51"/>
  <c r="K171" i="24"/>
  <c r="AG7" i="61"/>
  <c r="K727" i="51"/>
  <c r="AG14" i="61"/>
  <c r="K458" i="24"/>
  <c r="AG17" i="61"/>
  <c r="K928" i="51"/>
  <c r="K581" i="24"/>
  <c r="AG11" i="61"/>
  <c r="K335" i="24"/>
  <c r="K526" i="51"/>
  <c r="K1263" i="51"/>
  <c r="K786" i="24"/>
  <c r="AG22" i="61"/>
  <c r="K1129" i="51"/>
  <c r="AG20" i="61"/>
  <c r="K704" i="24"/>
  <c r="K622" i="24"/>
  <c r="AG18" i="61"/>
  <c r="K995" i="51"/>
  <c r="AG8" i="61"/>
  <c r="K324" i="51"/>
  <c r="K794" i="51"/>
  <c r="AG15" i="61"/>
  <c r="K499" i="24"/>
  <c r="K130" i="24"/>
  <c r="K190" i="51"/>
  <c r="AG6" i="61"/>
  <c r="AG12" i="61"/>
  <c r="K376" i="24"/>
  <c r="K593" i="51"/>
  <c r="K1062" i="51"/>
  <c r="K663" i="24"/>
  <c r="AG19" i="61"/>
  <c r="AG21" i="61"/>
  <c r="K1196" i="51"/>
  <c r="K745" i="24"/>
  <c r="K294" i="24"/>
  <c r="AG10" i="61"/>
  <c r="K457" i="51"/>
  <c r="K60" i="51"/>
  <c r="K48" i="24"/>
  <c r="AG4" i="61"/>
  <c r="E349" i="51" l="1"/>
  <c r="E372" i="51" s="1"/>
  <c r="J157" i="9"/>
  <c r="I178" i="9"/>
  <c r="I157" i="9"/>
  <c r="J163" i="9"/>
  <c r="K163" i="9" s="1"/>
  <c r="L163" i="9" l="1"/>
  <c r="E371" i="51" s="1"/>
  <c r="J223" i="24"/>
  <c r="J244" i="24" s="1"/>
  <c r="E351" i="51"/>
  <c r="K360" i="51" s="1"/>
  <c r="K157" i="9"/>
  <c r="L157" i="9" s="1"/>
  <c r="K363" i="51"/>
  <c r="X9" i="61" l="1"/>
  <c r="K381" i="51"/>
  <c r="K244" i="24"/>
  <c r="F232" i="24"/>
  <c r="J245" i="24"/>
  <c r="K382" i="51" l="1"/>
  <c r="Y9" i="61"/>
  <c r="J246" i="24"/>
  <c r="K245" i="24"/>
  <c r="K383" i="51" l="1"/>
  <c r="Z9" i="61"/>
  <c r="K246" i="24"/>
  <c r="J247" i="24"/>
  <c r="J248" i="24" l="1"/>
  <c r="AA9" i="61"/>
  <c r="K384" i="51"/>
  <c r="K247" i="24"/>
  <c r="AB9" i="61" l="1"/>
  <c r="K385" i="51"/>
  <c r="K248" i="24"/>
  <c r="J249" i="24"/>
  <c r="K249" i="24" l="1"/>
  <c r="J250" i="24"/>
  <c r="K386" i="51"/>
  <c r="AC9" i="61"/>
  <c r="K250" i="24" l="1"/>
  <c r="K387" i="51"/>
  <c r="AD9" i="61"/>
  <c r="J251" i="24"/>
  <c r="AE9" i="61" l="1"/>
  <c r="K388" i="51"/>
  <c r="J252" i="24"/>
  <c r="K251" i="24"/>
  <c r="K389" i="51" l="1"/>
  <c r="K252" i="24"/>
  <c r="AF9" i="61"/>
  <c r="J253" i="24"/>
  <c r="AG9" i="61" l="1"/>
  <c r="K253" i="24"/>
  <c r="K390" i="51"/>
  <c r="DT53" i="76"/>
  <c r="DX53" i="76"/>
  <c r="DY53" i="76"/>
  <c r="DZ52" i="76"/>
  <c r="DU52" i="76"/>
  <c r="DU37" i="76"/>
  <c r="DZ37" i="76"/>
  <c r="DY37" i="76"/>
  <c r="DX37" i="76"/>
  <c r="DT37" i="76"/>
  <c r="DN37" i="76" l="1"/>
  <c r="DO53" i="76"/>
  <c r="DO37" i="76"/>
  <c r="DQ37" i="76"/>
  <c r="DQ53" i="76"/>
  <c r="AK7" i="73"/>
  <c r="DJ37" i="76"/>
  <c r="DR53" i="76"/>
  <c r="DR37" i="76"/>
  <c r="DI37" i="76"/>
  <c r="DS53" i="76"/>
  <c r="DS37" i="76"/>
  <c r="AK9" i="73"/>
  <c r="DM37" i="76"/>
  <c r="DK37" i="76"/>
  <c r="DK53" i="76"/>
  <c r="AI18" i="73"/>
  <c r="DW37" i="76"/>
  <c r="AI17" i="73"/>
  <c r="AJ35" i="74"/>
  <c r="AI21" i="73"/>
  <c r="AK18" i="73"/>
  <c r="DW53" i="76"/>
  <c r="AI15" i="73"/>
  <c r="AI20" i="73"/>
  <c r="AK35" i="74"/>
  <c r="AK10" i="73"/>
  <c r="AI19" i="73"/>
  <c r="AM35" i="74"/>
  <c r="DJ53" i="76"/>
  <c r="AI13" i="73"/>
  <c r="AI14" i="73"/>
  <c r="AJ13" i="73"/>
  <c r="DV52" i="76"/>
  <c r="AK21" i="73"/>
  <c r="AJ19" i="73"/>
  <c r="AI10" i="73"/>
  <c r="AK20" i="73"/>
  <c r="DZ53" i="76"/>
  <c r="DI54" i="76"/>
  <c r="DN54" i="76"/>
  <c r="DK54" i="76"/>
  <c r="DO54" i="76"/>
  <c r="DP54" i="76"/>
  <c r="DQ54" i="76"/>
  <c r="DU53" i="76"/>
  <c r="DR54" i="76"/>
  <c r="DS54" i="76"/>
  <c r="DT54" i="76"/>
  <c r="AK15" i="73" l="1"/>
  <c r="AI8" i="73"/>
  <c r="AK14" i="73"/>
  <c r="AK12" i="73"/>
  <c r="DP53" i="76"/>
  <c r="AK6" i="73"/>
  <c r="DI53" i="76"/>
  <c r="DL53" i="76" s="1"/>
  <c r="AI12" i="73"/>
  <c r="DP37" i="76"/>
  <c r="DV37" i="76" s="1"/>
  <c r="AN35" i="74" s="1"/>
  <c r="DL37" i="76"/>
  <c r="AK17" i="73"/>
  <c r="DN53" i="76"/>
  <c r="AI7" i="73"/>
  <c r="AI9" i="73"/>
  <c r="AI16" i="73"/>
  <c r="AI6" i="73"/>
  <c r="AK8" i="73"/>
  <c r="AK16" i="73"/>
  <c r="DM53" i="76"/>
  <c r="AK11" i="73"/>
  <c r="AI11" i="73"/>
  <c r="DX54" i="76"/>
  <c r="DX56" i="76"/>
  <c r="DY54" i="76"/>
  <c r="DY56" i="76"/>
  <c r="DW54" i="76"/>
  <c r="DW56" i="76"/>
  <c r="AC67" i="4"/>
  <c r="AC72" i="4" s="1"/>
  <c r="AC121" i="4" s="1"/>
  <c r="AC123" i="4" s="1"/>
  <c r="AC21" i="47" s="1"/>
  <c r="AK37" i="74"/>
  <c r="DS57" i="76"/>
  <c r="DM54" i="76"/>
  <c r="DT57" i="76"/>
  <c r="DJ54" i="76"/>
  <c r="DL54" i="76" s="1"/>
  <c r="DX57" i="76"/>
  <c r="AM53" i="74"/>
  <c r="EA52" i="76"/>
  <c r="EC52" i="76" s="1"/>
  <c r="AB67" i="4"/>
  <c r="AB72" i="4" s="1"/>
  <c r="AB121" i="4" s="1"/>
  <c r="AJ37" i="74"/>
  <c r="DR57" i="76"/>
  <c r="DY57" i="76"/>
  <c r="AN53" i="74"/>
  <c r="DU56" i="76"/>
  <c r="DQ57" i="76"/>
  <c r="DN57" i="76"/>
  <c r="AJ23" i="73"/>
  <c r="AJ25" i="73" s="1"/>
  <c r="AE67" i="4"/>
  <c r="AE72" i="4" s="1"/>
  <c r="AE121" i="4" s="1"/>
  <c r="AE123" i="4" s="1"/>
  <c r="AE21" i="47" s="1"/>
  <c r="AM37" i="74"/>
  <c r="AL35" i="74"/>
  <c r="EA37" i="76"/>
  <c r="DK57" i="76"/>
  <c r="DP57" i="76"/>
  <c r="DI57" i="76"/>
  <c r="DO57" i="76"/>
  <c r="DZ56" i="76"/>
  <c r="AJ72" i="74" l="1"/>
  <c r="AK72" i="74"/>
  <c r="AK74" i="74" s="1"/>
  <c r="AK104" i="74" s="1"/>
  <c r="AM72" i="74"/>
  <c r="AM74" i="74" s="1"/>
  <c r="AM104" i="74" s="1"/>
  <c r="AI23" i="73"/>
  <c r="DW58" i="76"/>
  <c r="DJ57" i="76"/>
  <c r="DL57" i="76" s="1"/>
  <c r="DJ56" i="76"/>
  <c r="DL56" i="76" s="1"/>
  <c r="EE52" i="76"/>
  <c r="AI53" i="74"/>
  <c r="AE28" i="2"/>
  <c r="AE33" i="2" s="1"/>
  <c r="AE52" i="2" s="1"/>
  <c r="AM54" i="74"/>
  <c r="AM82" i="74" s="1"/>
  <c r="AK13" i="73"/>
  <c r="DV53" i="76"/>
  <c r="DV54" i="76"/>
  <c r="DU58" i="76"/>
  <c r="DV56" i="76"/>
  <c r="DX59" i="76"/>
  <c r="DM57" i="76"/>
  <c r="AF28" i="2"/>
  <c r="AF33" i="2" s="1"/>
  <c r="AF52" i="2" s="1"/>
  <c r="AN54" i="74"/>
  <c r="AN82" i="74" s="1"/>
  <c r="EC37" i="76"/>
  <c r="AO35" i="74"/>
  <c r="EA53" i="76"/>
  <c r="AK19" i="73"/>
  <c r="AB123" i="4"/>
  <c r="AB21" i="47" s="1"/>
  <c r="AF67" i="4"/>
  <c r="AF72" i="4" s="1"/>
  <c r="AF121" i="4" s="1"/>
  <c r="AF123" i="4" s="1"/>
  <c r="AF21" i="47" s="1"/>
  <c r="AN37" i="74"/>
  <c r="EA54" i="76"/>
  <c r="DY59" i="76"/>
  <c r="DW57" i="76"/>
  <c r="AD67" i="4"/>
  <c r="AD72" i="4" s="1"/>
  <c r="AD121" i="4" s="1"/>
  <c r="AD123" i="4" s="1"/>
  <c r="AD21" i="47" s="1"/>
  <c r="AL37" i="74"/>
  <c r="DZ58" i="76"/>
  <c r="EA56" i="76"/>
  <c r="AN72" i="74" l="1"/>
  <c r="AN74" i="74" s="1"/>
  <c r="AN104" i="74" s="1"/>
  <c r="AM100" i="74"/>
  <c r="AI82" i="74"/>
  <c r="AN100" i="74"/>
  <c r="AL72" i="74"/>
  <c r="AL74" i="74" s="1"/>
  <c r="AL104" i="74" s="1"/>
  <c r="AJ74" i="74"/>
  <c r="AJ104" i="74" s="1"/>
  <c r="DK59" i="76"/>
  <c r="DK61" i="76"/>
  <c r="DO59" i="76"/>
  <c r="DO61" i="76"/>
  <c r="DQ59" i="76"/>
  <c r="DQ61" i="76"/>
  <c r="DS59" i="76"/>
  <c r="DS61" i="76"/>
  <c r="DR59" i="76"/>
  <c r="DR61" i="76"/>
  <c r="DN59" i="76"/>
  <c r="DN61" i="76"/>
  <c r="DP59" i="76"/>
  <c r="DP61" i="76"/>
  <c r="DI59" i="76"/>
  <c r="DI61" i="76"/>
  <c r="DT59" i="76"/>
  <c r="DT61" i="76"/>
  <c r="DM59" i="76"/>
  <c r="DM61" i="76"/>
  <c r="DX58" i="76"/>
  <c r="DX61" i="76"/>
  <c r="DY58" i="76"/>
  <c r="DY61" i="76"/>
  <c r="DW61" i="76"/>
  <c r="DJ59" i="76"/>
  <c r="DJ58" i="76"/>
  <c r="DL58" i="76" s="1"/>
  <c r="AK23" i="73"/>
  <c r="AA21" i="47"/>
  <c r="AF13" i="48"/>
  <c r="AF17" i="47"/>
  <c r="DQ62" i="76"/>
  <c r="DY62" i="76"/>
  <c r="DP62" i="76"/>
  <c r="DS62" i="76"/>
  <c r="DI62" i="76"/>
  <c r="DT62" i="76"/>
  <c r="AG67" i="4"/>
  <c r="AG72" i="4" s="1"/>
  <c r="AG121" i="4" s="1"/>
  <c r="AG123" i="4" s="1"/>
  <c r="AO37" i="74"/>
  <c r="AO72" i="74" s="1"/>
  <c r="AO74" i="74" s="1"/>
  <c r="AI105" i="74" s="1"/>
  <c r="EC54" i="76"/>
  <c r="EE54" i="76" s="1"/>
  <c r="AI35" i="74"/>
  <c r="DX62" i="76"/>
  <c r="AE17" i="47"/>
  <c r="AE13" i="48"/>
  <c r="AA52" i="2"/>
  <c r="EC56" i="76"/>
  <c r="DV57" i="76"/>
  <c r="DN62" i="76"/>
  <c r="DO62" i="76"/>
  <c r="DK62" i="76"/>
  <c r="EA57" i="76"/>
  <c r="DU61" i="76"/>
  <c r="DV58" i="76"/>
  <c r="DR62" i="76"/>
  <c r="AP53" i="74"/>
  <c r="AA28" i="2"/>
  <c r="AA33" i="2" s="1"/>
  <c r="AH33" i="2" s="1"/>
  <c r="AI54" i="74"/>
  <c r="DZ61" i="76"/>
  <c r="DW59" i="76"/>
  <c r="EC53" i="76"/>
  <c r="AI72" i="74" l="1"/>
  <c r="AI104" i="74"/>
  <c r="AI106" i="74" s="1"/>
  <c r="AM163" i="74"/>
  <c r="AI100" i="74"/>
  <c r="AN163" i="74"/>
  <c r="DL59" i="76"/>
  <c r="EA58" i="76"/>
  <c r="EC58" i="76" s="1"/>
  <c r="DJ62" i="76"/>
  <c r="DL62" i="76" s="1"/>
  <c r="DJ61" i="76"/>
  <c r="DL61" i="76" s="1"/>
  <c r="AA13" i="48"/>
  <c r="EA59" i="76"/>
  <c r="EA61" i="76"/>
  <c r="DW62" i="76"/>
  <c r="DJ64" i="76"/>
  <c r="DL64" i="76" s="1"/>
  <c r="AA67" i="4"/>
  <c r="AA72" i="4" s="1"/>
  <c r="AH72" i="4" s="1"/>
  <c r="AI37" i="74"/>
  <c r="AP54" i="74"/>
  <c r="AI56" i="74"/>
  <c r="DV61" i="76"/>
  <c r="DV59" i="76"/>
  <c r="AA17" i="47"/>
  <c r="AA121" i="4"/>
  <c r="DM62" i="76"/>
  <c r="EC57" i="76"/>
  <c r="EE57" i="76" s="1"/>
  <c r="AP35" i="74"/>
  <c r="AP72" i="74" l="1"/>
  <c r="AI74" i="74"/>
  <c r="AI163" i="74"/>
  <c r="DZ64" i="76"/>
  <c r="EA64" i="76" s="1"/>
  <c r="EC61" i="76"/>
  <c r="EA62" i="76"/>
  <c r="AN57" i="74"/>
  <c r="AH121" i="4"/>
  <c r="AA123" i="4"/>
  <c r="AH123" i="4" s="1"/>
  <c r="DV62" i="76"/>
  <c r="EC59" i="76"/>
  <c r="EE59" i="76" s="1"/>
  <c r="AI75" i="74" l="1"/>
  <c r="AJ75" i="74" s="1"/>
  <c r="AP74" i="74"/>
  <c r="AN83" i="74"/>
  <c r="AN105" i="74"/>
  <c r="AN106" i="74" s="1"/>
  <c r="AN171" i="74"/>
  <c r="AN172" i="74"/>
  <c r="EC62" i="76"/>
  <c r="EE62" i="76" s="1"/>
  <c r="DU64" i="76"/>
  <c r="DV64" i="76" s="1"/>
  <c r="AE43" i="2"/>
  <c r="AE44" i="2" s="1"/>
  <c r="AM57" i="74"/>
  <c r="AK57" i="74"/>
  <c r="AC43" i="2"/>
  <c r="AC44" i="2" s="1"/>
  <c r="AB43" i="2"/>
  <c r="AJ57" i="74"/>
  <c r="AP56" i="74"/>
  <c r="AL57" i="74"/>
  <c r="AD43" i="2"/>
  <c r="AD44" i="2" s="1"/>
  <c r="AL83" i="74" l="1"/>
  <c r="AL171" i="74"/>
  <c r="AL105" i="74"/>
  <c r="AL106" i="74" s="1"/>
  <c r="AL172" i="74"/>
  <c r="AJ83" i="74"/>
  <c r="AJ171" i="74"/>
  <c r="AJ105" i="74"/>
  <c r="AJ106" i="74" s="1"/>
  <c r="AJ172" i="74"/>
  <c r="AN174" i="74"/>
  <c r="AN177" i="74" s="1"/>
  <c r="AK83" i="74"/>
  <c r="AK171" i="74"/>
  <c r="AK105" i="74"/>
  <c r="AK106" i="74" s="1"/>
  <c r="AK172" i="74"/>
  <c r="AM83" i="74"/>
  <c r="AM171" i="74"/>
  <c r="AM105" i="74"/>
  <c r="AM106" i="74" s="1"/>
  <c r="AM172" i="74"/>
  <c r="AN101" i="74"/>
  <c r="AN84" i="74"/>
  <c r="AN86" i="74" s="1"/>
  <c r="EC64" i="76"/>
  <c r="AB44" i="2"/>
  <c r="AF43" i="2"/>
  <c r="AF44" i="2" s="1"/>
  <c r="AD22" i="48"/>
  <c r="AD21" i="48"/>
  <c r="AD53" i="2"/>
  <c r="AD22" i="47"/>
  <c r="AD23" i="47" s="1"/>
  <c r="AO57" i="74"/>
  <c r="AP57" i="74" s="1"/>
  <c r="AC22" i="48"/>
  <c r="AC21" i="48"/>
  <c r="AC53" i="2"/>
  <c r="AC22" i="47"/>
  <c r="AC23" i="47" s="1"/>
  <c r="AE22" i="48"/>
  <c r="AE21" i="48"/>
  <c r="AE53" i="2"/>
  <c r="AE22" i="47"/>
  <c r="AE23" i="47" s="1"/>
  <c r="AI171" i="74" l="1"/>
  <c r="AJ174" i="74"/>
  <c r="AI83" i="74"/>
  <c r="AJ101" i="74"/>
  <c r="AJ84" i="74"/>
  <c r="AK174" i="74"/>
  <c r="AN87" i="74"/>
  <c r="AL174" i="74"/>
  <c r="AL101" i="74"/>
  <c r="AL84" i="74"/>
  <c r="AL86" i="74" s="1"/>
  <c r="AI172" i="74"/>
  <c r="AM101" i="74"/>
  <c r="AM84" i="74"/>
  <c r="AM86" i="74" s="1"/>
  <c r="AN164" i="74"/>
  <c r="AN165" i="74" s="1"/>
  <c r="AN102" i="74"/>
  <c r="AK101" i="74"/>
  <c r="AK84" i="74"/>
  <c r="AK86" i="74" s="1"/>
  <c r="AM174" i="74"/>
  <c r="AE24" i="48"/>
  <c r="AC24" i="48"/>
  <c r="AE14" i="48"/>
  <c r="AE15" i="48" s="1"/>
  <c r="AE18" i="47"/>
  <c r="AE19" i="47" s="1"/>
  <c r="AE25" i="47" s="1"/>
  <c r="AE54" i="2"/>
  <c r="AD14" i="48"/>
  <c r="AD15" i="48" s="1"/>
  <c r="AD18" i="47"/>
  <c r="AD19" i="47" s="1"/>
  <c r="AD25" i="47" s="1"/>
  <c r="AD54" i="2"/>
  <c r="AF22" i="48"/>
  <c r="AF21" i="48"/>
  <c r="AF20" i="48"/>
  <c r="AF53" i="2"/>
  <c r="AF22" i="47"/>
  <c r="AF23" i="47" s="1"/>
  <c r="AC14" i="48"/>
  <c r="AC15" i="48" s="1"/>
  <c r="AC18" i="47"/>
  <c r="AC19" i="47" s="1"/>
  <c r="AC25" i="47" s="1"/>
  <c r="AC54" i="2"/>
  <c r="AD24" i="48"/>
  <c r="AB22" i="48"/>
  <c r="AB21" i="48"/>
  <c r="AB53" i="2"/>
  <c r="AG44" i="2"/>
  <c r="AB22" i="47"/>
  <c r="AM87" i="74" l="1"/>
  <c r="AI84" i="74"/>
  <c r="AJ86" i="74"/>
  <c r="AK87" i="74"/>
  <c r="AJ87" i="74"/>
  <c r="AL87" i="74"/>
  <c r="AI174" i="74"/>
  <c r="AI101" i="74"/>
  <c r="AJ164" i="74"/>
  <c r="AJ165" i="74" s="1"/>
  <c r="AJ102" i="74"/>
  <c r="AK164" i="74"/>
  <c r="AK165" i="74" s="1"/>
  <c r="AK102" i="74"/>
  <c r="AN108" i="74"/>
  <c r="AN119" i="74" s="1"/>
  <c r="AN147" i="74" s="1"/>
  <c r="AN150" i="74" s="1"/>
  <c r="AN151" i="74" s="1"/>
  <c r="AN117" i="74"/>
  <c r="AL164" i="74"/>
  <c r="AL165" i="74" s="1"/>
  <c r="AL102" i="74"/>
  <c r="AM164" i="74"/>
  <c r="AM165" i="74" s="1"/>
  <c r="AM102" i="74"/>
  <c r="AB24" i="48"/>
  <c r="AA22" i="48"/>
  <c r="AF18" i="47"/>
  <c r="AF19" i="47" s="1"/>
  <c r="AF25" i="47" s="1"/>
  <c r="AF36" i="47" s="1"/>
  <c r="AF64" i="47" s="1"/>
  <c r="AF67" i="47" s="1"/>
  <c r="AF68" i="47" s="1"/>
  <c r="AF14" i="48"/>
  <c r="AF15" i="48" s="1"/>
  <c r="AF54" i="2"/>
  <c r="AF57" i="2" s="1"/>
  <c r="AD57" i="2"/>
  <c r="AD45" i="47"/>
  <c r="AD56" i="2"/>
  <c r="AD34" i="47"/>
  <c r="AD36" i="47" s="1"/>
  <c r="AD64" i="47" s="1"/>
  <c r="AD67" i="47" s="1"/>
  <c r="AD68" i="47" s="1"/>
  <c r="AE57" i="2"/>
  <c r="AE45" i="47"/>
  <c r="AE34" i="47"/>
  <c r="AE36" i="47" s="1"/>
  <c r="AE64" i="47" s="1"/>
  <c r="AE67" i="47" s="1"/>
  <c r="AE68" i="47" s="1"/>
  <c r="AE56" i="2"/>
  <c r="AC57" i="2"/>
  <c r="AC56" i="2"/>
  <c r="AC34" i="47"/>
  <c r="AC36" i="47" s="1"/>
  <c r="AC64" i="47" s="1"/>
  <c r="AC67" i="47" s="1"/>
  <c r="AC68" i="47" s="1"/>
  <c r="AC45" i="47"/>
  <c r="AA20" i="48"/>
  <c r="AF24" i="48"/>
  <c r="AF27" i="48" s="1"/>
  <c r="AA21" i="48"/>
  <c r="AA22" i="47"/>
  <c r="AB23" i="47"/>
  <c r="AA23" i="47" s="1"/>
  <c r="AB18" i="47"/>
  <c r="AB14" i="48"/>
  <c r="AB54" i="2"/>
  <c r="AA53" i="2"/>
  <c r="AM117" i="74" l="1"/>
  <c r="AM108" i="74"/>
  <c r="AL108" i="74"/>
  <c r="AL117" i="74"/>
  <c r="AN127" i="74"/>
  <c r="AN129" i="74" s="1"/>
  <c r="AJ108" i="74"/>
  <c r="AJ117" i="74"/>
  <c r="AI164" i="74"/>
  <c r="AI165" i="74" s="1"/>
  <c r="AI102" i="74"/>
  <c r="AI108" i="74" s="1"/>
  <c r="AK108" i="74"/>
  <c r="AK117" i="74"/>
  <c r="AD19" i="69"/>
  <c r="AC47" i="47"/>
  <c r="CH19" i="69"/>
  <c r="CJ19" i="69"/>
  <c r="AE47" i="47"/>
  <c r="AB57" i="2"/>
  <c r="AB56" i="2"/>
  <c r="AB45" i="47"/>
  <c r="AB34" i="47"/>
  <c r="AB36" i="47" s="1"/>
  <c r="AA54" i="2"/>
  <c r="AB19" i="47"/>
  <c r="AA18" i="47"/>
  <c r="AB15" i="48"/>
  <c r="AA14" i="48"/>
  <c r="AA15" i="48" s="1"/>
  <c r="CI19" i="69"/>
  <c r="AD47" i="47"/>
  <c r="AE19" i="69"/>
  <c r="AF34" i="47"/>
  <c r="AF45" i="47"/>
  <c r="AF56" i="2"/>
  <c r="AA24" i="48"/>
  <c r="AI117" i="74" l="1"/>
  <c r="AJ119" i="74"/>
  <c r="AJ127" i="74"/>
  <c r="AJ129" i="74" s="1"/>
  <c r="AK119" i="74"/>
  <c r="AK147" i="74" s="1"/>
  <c r="AK150" i="74" s="1"/>
  <c r="AK151" i="74" s="1"/>
  <c r="AK127" i="74"/>
  <c r="AK129" i="74" s="1"/>
  <c r="AL127" i="74"/>
  <c r="AL129" i="74" s="1"/>
  <c r="AL119" i="74"/>
  <c r="AL147" i="74" s="1"/>
  <c r="AL150" i="74" s="1"/>
  <c r="AL151" i="74" s="1"/>
  <c r="AM119" i="74"/>
  <c r="AM147" i="74" s="1"/>
  <c r="AM150" i="74" s="1"/>
  <c r="AM151" i="74" s="1"/>
  <c r="AM127" i="74"/>
  <c r="AM129" i="74" s="1"/>
  <c r="AN167" i="74"/>
  <c r="AN168" i="74" s="1"/>
  <c r="AN148" i="74"/>
  <c r="AA34" i="47"/>
  <c r="AE65" i="47"/>
  <c r="AE17" i="48"/>
  <c r="AE18" i="48" s="1"/>
  <c r="AE26" i="48" s="1"/>
  <c r="CJ21" i="69"/>
  <c r="AE21" i="69"/>
  <c r="CI21" i="69"/>
  <c r="AD17" i="48"/>
  <c r="AD18" i="48" s="1"/>
  <c r="AD26" i="48" s="1"/>
  <c r="AD65" i="47"/>
  <c r="AB64" i="47"/>
  <c r="AA36" i="47"/>
  <c r="AB47" i="47"/>
  <c r="CG19" i="69"/>
  <c r="AC19" i="69"/>
  <c r="AA45" i="47"/>
  <c r="AB25" i="47"/>
  <c r="AA25" i="47" s="1"/>
  <c r="AA19" i="47"/>
  <c r="AD21" i="69"/>
  <c r="AC17" i="48"/>
  <c r="AC18" i="48" s="1"/>
  <c r="AC26" i="48" s="1"/>
  <c r="AC65" i="47"/>
  <c r="CH21" i="69"/>
  <c r="CK19" i="69"/>
  <c r="AF47" i="47"/>
  <c r="AK148" i="74" l="1"/>
  <c r="AK167" i="74"/>
  <c r="AK168" i="74" s="1"/>
  <c r="AK176" i="74" s="1"/>
  <c r="AL167" i="74"/>
  <c r="AL168" i="74" s="1"/>
  <c r="AL176" i="74" s="1"/>
  <c r="AL148" i="74"/>
  <c r="AI129" i="74"/>
  <c r="AJ148" i="74"/>
  <c r="AM148" i="74"/>
  <c r="AM167" i="74"/>
  <c r="AM168" i="74" s="1"/>
  <c r="AM176" i="74" s="1"/>
  <c r="AI127" i="74"/>
  <c r="AI119" i="74"/>
  <c r="AJ147" i="74"/>
  <c r="AL61" i="74"/>
  <c r="AD27" i="48"/>
  <c r="CK21" i="69"/>
  <c r="AF65" i="47"/>
  <c r="AF17" i="48"/>
  <c r="AF18" i="48" s="1"/>
  <c r="AK61" i="74"/>
  <c r="AC27" i="48"/>
  <c r="CF19" i="69"/>
  <c r="AB19" i="69"/>
  <c r="AM61" i="74"/>
  <c r="AE27" i="48"/>
  <c r="AC21" i="69"/>
  <c r="AB65" i="47"/>
  <c r="CG21" i="69"/>
  <c r="AB17" i="48"/>
  <c r="AA47" i="47"/>
  <c r="AA53" i="47" s="1"/>
  <c r="AB67" i="47"/>
  <c r="AA64" i="47"/>
  <c r="AI147" i="74" l="1"/>
  <c r="AJ150" i="74"/>
  <c r="AL184" i="74"/>
  <c r="AL186" i="74" s="1"/>
  <c r="AL177" i="74"/>
  <c r="AJ167" i="74"/>
  <c r="AI148" i="74"/>
  <c r="AO134" i="74"/>
  <c r="AI135" i="74"/>
  <c r="AK184" i="74"/>
  <c r="AK186" i="74" s="1"/>
  <c r="AK177" i="74"/>
  <c r="AM184" i="74"/>
  <c r="AM177" i="74"/>
  <c r="AA65" i="47"/>
  <c r="AA17" i="48"/>
  <c r="AA18" i="48" s="1"/>
  <c r="AB18" i="48"/>
  <c r="AB26" i="48" s="1"/>
  <c r="AK63" i="74"/>
  <c r="J19" i="75" s="1"/>
  <c r="J17" i="75"/>
  <c r="L36" i="75" s="1"/>
  <c r="L49" i="75" s="1"/>
  <c r="AA67" i="47"/>
  <c r="AB68" i="47"/>
  <c r="AM63" i="74"/>
  <c r="L19" i="75" s="1"/>
  <c r="L17" i="75"/>
  <c r="N36" i="75" s="1"/>
  <c r="N49" i="75" s="1"/>
  <c r="AB53" i="47"/>
  <c r="AA54" i="47"/>
  <c r="CF28" i="69" s="1"/>
  <c r="CF27" i="69"/>
  <c r="CG27" i="69" s="1"/>
  <c r="AB21" i="69"/>
  <c r="CF21" i="69"/>
  <c r="K17" i="75"/>
  <c r="M36" i="75" s="1"/>
  <c r="M49" i="75" s="1"/>
  <c r="AL63" i="74"/>
  <c r="K19" i="75" s="1"/>
  <c r="AP184" i="74" l="1"/>
  <c r="AM186" i="74"/>
  <c r="AI150" i="74"/>
  <c r="AJ151" i="74"/>
  <c r="AJ135" i="74"/>
  <c r="AI136" i="74"/>
  <c r="AI167" i="74"/>
  <c r="AI168" i="74" s="1"/>
  <c r="AJ168" i="74"/>
  <c r="AJ176" i="74" s="1"/>
  <c r="L20" i="75"/>
  <c r="N38" i="75"/>
  <c r="N51" i="75" s="1"/>
  <c r="K20" i="75"/>
  <c r="M38" i="75"/>
  <c r="M51" i="75" s="1"/>
  <c r="AA26" i="48"/>
  <c r="AJ61" i="74"/>
  <c r="AB27" i="48"/>
  <c r="AA27" i="48" s="1"/>
  <c r="L38" i="75"/>
  <c r="L51" i="75" s="1"/>
  <c r="J20" i="75"/>
  <c r="AJ184" i="74" l="1"/>
  <c r="AI176" i="74"/>
  <c r="AJ177" i="74"/>
  <c r="AI177" i="74" s="1"/>
  <c r="AN61" i="74"/>
  <c r="I17" i="75"/>
  <c r="AJ63" i="74"/>
  <c r="AN184" i="74" l="1"/>
  <c r="AJ186" i="74"/>
  <c r="AN186" i="74" s="1"/>
  <c r="I19" i="75"/>
  <c r="AN63" i="74"/>
  <c r="K36" i="75"/>
  <c r="M17" i="75"/>
  <c r="J36" i="75" l="1"/>
  <c r="J49" i="75" s="1"/>
  <c r="K49" i="75"/>
  <c r="K38" i="75"/>
  <c r="M19" i="75"/>
  <c r="I20" i="75"/>
  <c r="T13" i="75" l="1"/>
  <c r="M20" i="75"/>
  <c r="E17" i="75"/>
  <c r="P49" i="75" s="1"/>
  <c r="K51" i="75"/>
  <c r="J38" i="75"/>
  <c r="J51" i="75" s="1"/>
  <c r="CJ37" i="76" l="1"/>
  <c r="AP37" i="76"/>
  <c r="AQ37" i="76" s="1"/>
  <c r="AQ8" i="76" s="1"/>
  <c r="I24" i="73"/>
  <c r="I25" i="73" s="1"/>
  <c r="ED37" i="76" l="1"/>
  <c r="EE37" i="76" s="1"/>
  <c r="EE8" i="76" s="1"/>
  <c r="AI24" i="73"/>
  <c r="AI25" i="73" s="1"/>
  <c r="CK37" i="76"/>
  <c r="CK8" i="76" s="1"/>
  <c r="V24" i="73"/>
  <c r="V25" i="73" s="1"/>
  <c r="CJ53" i="76" l="1"/>
  <c r="CK53" i="76" s="1"/>
  <c r="X24" i="73"/>
  <c r="X25" i="73" s="1"/>
  <c r="CJ56" i="76"/>
  <c r="CK56" i="76" s="1"/>
  <c r="AP56" i="76"/>
  <c r="AQ56" i="76" s="1"/>
  <c r="AK24" i="73"/>
  <c r="AK25" i="73" s="1"/>
  <c r="ED53" i="76"/>
  <c r="EE53" i="76" s="1"/>
  <c r="AP53" i="76"/>
  <c r="AQ53" i="76" s="1"/>
  <c r="K24" i="73"/>
  <c r="K25" i="73" s="1"/>
  <c r="ED56" i="76"/>
  <c r="EE56" i="76" s="1"/>
  <c r="ED58" i="76" l="1"/>
  <c r="EE58" i="76" s="1"/>
  <c r="CJ58" i="76"/>
  <c r="CK58" i="76" s="1"/>
  <c r="AP58" i="76"/>
  <c r="AQ58" i="76" s="1"/>
  <c r="CJ61" i="76" l="1"/>
  <c r="CK61" i="76" s="1"/>
  <c r="ED61" i="76"/>
  <c r="EE61" i="76" s="1"/>
  <c r="AP61" i="76"/>
  <c r="AQ61" i="76"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tc={1E6DBFBD-413A-4856-AD71-0DCF818B2AA5}</author>
  </authors>
  <commentList>
    <comment ref="H22" authorId="0" shapeId="0" xr:uid="{1E6DBFBD-413A-4856-AD71-0DCF818B2AA5}">
      <text>
        <t>[Threaded comment]
Your version of Excel allows you to read this threaded comment; however, any edits to it will get removed if the file is opened in a newer version of Excel. Learn more: https://go.microsoft.com/fwlink/?linkid=870924
Comment:
    Do not include equitable shar from Governance and Admin.</t>
      </text>
    </comment>
  </commentList>
</comments>
</file>

<file path=xl/sharedStrings.xml><?xml version="1.0" encoding="utf-8"?>
<sst xmlns="http://schemas.openxmlformats.org/spreadsheetml/2006/main" count="17269" uniqueCount="1699">
  <si>
    <t>Property rates</t>
  </si>
  <si>
    <t>Rental of facilities and equipment</t>
  </si>
  <si>
    <t>Interest earned - external investments</t>
  </si>
  <si>
    <t>Interest earned - outstanding debtors</t>
  </si>
  <si>
    <t>Dividends received</t>
  </si>
  <si>
    <t>Licences and permits</t>
  </si>
  <si>
    <t>Agency services</t>
  </si>
  <si>
    <t>Other revenue</t>
  </si>
  <si>
    <t>Employee related costs</t>
  </si>
  <si>
    <t>Remuneration of councillors</t>
  </si>
  <si>
    <t>Debt impairment</t>
  </si>
  <si>
    <t>Finance charges</t>
  </si>
  <si>
    <t>Contracted services</t>
  </si>
  <si>
    <t>Other expenditure</t>
  </si>
  <si>
    <t xml:space="preserve">Type of expenditure </t>
  </si>
  <si>
    <t>Total</t>
  </si>
  <si>
    <t>Water</t>
  </si>
  <si>
    <t>Electricity</t>
  </si>
  <si>
    <t>Sanitation</t>
  </si>
  <si>
    <t>Solid waste</t>
  </si>
  <si>
    <t>Total direct costs per service</t>
  </si>
  <si>
    <t xml:space="preserve">Total grant allocation per service </t>
  </si>
  <si>
    <t>Expenditure</t>
  </si>
  <si>
    <t>Rates funding allocated to publicly accessed functions</t>
  </si>
  <si>
    <t>Total Rates Funding allocated to each service</t>
  </si>
  <si>
    <t>Revenue required from tariff</t>
  </si>
  <si>
    <t>Other income</t>
  </si>
  <si>
    <t>Customer categories</t>
  </si>
  <si>
    <t>Number of customers</t>
  </si>
  <si>
    <t>Indigents</t>
  </si>
  <si>
    <t>Domestic</t>
  </si>
  <si>
    <t>Domestic Flats</t>
  </si>
  <si>
    <t>Industrial</t>
  </si>
  <si>
    <t xml:space="preserve">Total </t>
  </si>
  <si>
    <t xml:space="preserve">Cost components </t>
  </si>
  <si>
    <t xml:space="preserve">Overheads </t>
  </si>
  <si>
    <t xml:space="preserve">Total expenditure </t>
  </si>
  <si>
    <t>Allocation of fixed costs</t>
  </si>
  <si>
    <t>Allocation of variable costs</t>
  </si>
  <si>
    <t xml:space="preserve">Total cost </t>
  </si>
  <si>
    <t>% of customers</t>
  </si>
  <si>
    <t>Total number of customers</t>
  </si>
  <si>
    <t>ALLOCATE FIXED AND VARIABLE COSTS</t>
  </si>
  <si>
    <t xml:space="preserve">CALCULATION OF UNIT COSTS </t>
  </si>
  <si>
    <t xml:space="preserve">Surplus generated on water </t>
  </si>
  <si>
    <t xml:space="preserve">Revenue required from tariff </t>
  </si>
  <si>
    <t xml:space="preserve">Water </t>
  </si>
  <si>
    <t xml:space="preserve">Electricity </t>
  </si>
  <si>
    <t>Surplus generated per customer (%)</t>
  </si>
  <si>
    <t>REVENUE REQUIRED FOR SOLID WASTE</t>
  </si>
  <si>
    <t xml:space="preserve">ELECTRICITY EXPENDITURE BY ACTIVITY </t>
  </si>
  <si>
    <t>Electricity direct cost components</t>
  </si>
  <si>
    <t>Demand cost</t>
  </si>
  <si>
    <t xml:space="preserve">REVENUE REQUIRED FOR ELECTRICITY </t>
  </si>
  <si>
    <t>ENTER WATER CUSTOMER DATA</t>
  </si>
  <si>
    <t>ENTER SOLID WASTE CUSTOMER DATA</t>
  </si>
  <si>
    <t>ENTER ELECTRICITY CUSTOMER DATA</t>
  </si>
  <si>
    <t>ENTER SANITATION CUSTOMER DATA</t>
  </si>
  <si>
    <t>Allocation of customer costs</t>
  </si>
  <si>
    <t xml:space="preserve">Workbook sheets </t>
  </si>
  <si>
    <t>Customer costs</t>
  </si>
  <si>
    <t xml:space="preserve">Description of the tool </t>
  </si>
  <si>
    <t>This sheet calculates the total fixed costs per month, the total variable cost per kl consumed, and the average revenue required per kl for all water services customers.</t>
  </si>
  <si>
    <t xml:space="preserve">This sheet calculates the unit costs and the average revenue required per unit for all solid waste services customers. </t>
  </si>
  <si>
    <t xml:space="preserve">This sheet calculates the total fixed costs per month, the total variable cost per kl consumed, and the average revenue required per kl for water services per customer.  </t>
  </si>
  <si>
    <t xml:space="preserve">This sheet calculates the unit costs and the average revenue required per unit for solid waste services per customer. </t>
  </si>
  <si>
    <t>Level 1 sheets</t>
  </si>
  <si>
    <t xml:space="preserve">Level 2 sheets </t>
  </si>
  <si>
    <t>Level 3 sheets</t>
  </si>
  <si>
    <t>Fixed costs</t>
  </si>
  <si>
    <t>Variable costs</t>
  </si>
  <si>
    <t>Total Revenue Required from Tariff</t>
  </si>
  <si>
    <t xml:space="preserve">Fixed water tariff </t>
  </si>
  <si>
    <t>Fixed cost per customer per month</t>
  </si>
  <si>
    <t>Fixed charge per customer (per month)</t>
  </si>
  <si>
    <t>Revenue from fixed charges (Annual)</t>
  </si>
  <si>
    <t>Revenue from fixed charges (Monthly)</t>
  </si>
  <si>
    <t xml:space="preserve">Select number of blocks </t>
  </si>
  <si>
    <t>Block Number</t>
  </si>
  <si>
    <t>Bottom of Block</t>
  </si>
  <si>
    <t>Top of block</t>
  </si>
  <si>
    <t>Tariff (R/kl)</t>
  </si>
  <si>
    <t>Volume of water sold in block</t>
  </si>
  <si>
    <t>Revenue received from block</t>
  </si>
  <si>
    <t>More</t>
  </si>
  <si>
    <t>Fixed electrictity tariff</t>
  </si>
  <si>
    <t>Fixed costs per customer category</t>
  </si>
  <si>
    <t>Fixed charge per customer per month</t>
  </si>
  <si>
    <t>Select number of blocks</t>
  </si>
  <si>
    <t xml:space="preserve">Annual </t>
  </si>
  <si>
    <t xml:space="preserve">Seasonal </t>
  </si>
  <si>
    <t xml:space="preserve">Block Number </t>
  </si>
  <si>
    <t xml:space="preserve">Bottom of block </t>
  </si>
  <si>
    <t xml:space="preserve">Fixed sanitation tariff </t>
  </si>
  <si>
    <t xml:space="preserve">CALCULATION OF REVENUE REQUIRED FOR SANITATION </t>
  </si>
  <si>
    <t xml:space="preserve">Select customer category </t>
  </si>
  <si>
    <t xml:space="preserve">Inclining block tariff </t>
  </si>
  <si>
    <t>Fixed solid waste tariff</t>
  </si>
  <si>
    <t xml:space="preserve">Number of blocks </t>
  </si>
  <si>
    <t>Return flow</t>
  </si>
  <si>
    <t xml:space="preserve">Tariff </t>
  </si>
  <si>
    <t>Governance and administration</t>
  </si>
  <si>
    <t>ENTER ELECTRICITY CUSTOMER  DATA</t>
  </si>
  <si>
    <t>ENTER SOLID WASTE CUSTOMER  DATA</t>
  </si>
  <si>
    <t>CALCULATION OF REVENUE REQUIREMENT PER CUSTOMER CATEGORY: ADJUSTED FOR CROSS SUBSIDISATION BETWEEN CUSTOMERS</t>
  </si>
  <si>
    <t>CALCULATION OF REVENUE REQUIREMENT PER CUSTOMER CATEGORY: ALLOWING FOR CROSS SUBSIDISATION BETWEEN CUSTOMERS</t>
  </si>
  <si>
    <t xml:space="preserve">ALLOCATING DIRECT COSTS PER FUNCTION </t>
  </si>
  <si>
    <t>OPERATING GRANTS AND SUBSIDIES</t>
  </si>
  <si>
    <t>check = 0</t>
  </si>
  <si>
    <t>Operational grants and subsidies</t>
  </si>
  <si>
    <t xml:space="preserve">PROPERTY RATES </t>
  </si>
  <si>
    <t xml:space="preserve">check = 0 </t>
  </si>
  <si>
    <t xml:space="preserve"> OTHER INCOME SOURCES </t>
  </si>
  <si>
    <t xml:space="preserve">SERVICE CHARGES NOT SET USING THIS MODEL </t>
  </si>
  <si>
    <t>Non-tariff revenue</t>
  </si>
  <si>
    <t>Appliance maintenance</t>
  </si>
  <si>
    <t xml:space="preserve">Connection/reconnection </t>
  </si>
  <si>
    <t>Joint pole usage</t>
  </si>
  <si>
    <t>Meter compliance testing</t>
  </si>
  <si>
    <t>Meter reading fees</t>
  </si>
  <si>
    <t>Notice revenues</t>
  </si>
  <si>
    <t>Temporary service plant</t>
  </si>
  <si>
    <t xml:space="preserve">Electricity distribution revenue for services </t>
  </si>
  <si>
    <t>Availability charges</t>
  </si>
  <si>
    <t>Connection/disconnection</t>
  </si>
  <si>
    <t>Industrial water (non-potable)</t>
  </si>
  <si>
    <t xml:space="preserve">Wastewater management </t>
  </si>
  <si>
    <t>Industrial effluent</t>
  </si>
  <si>
    <t>Treatment of effluent</t>
  </si>
  <si>
    <t>Connection/reconnection</t>
  </si>
  <si>
    <t>Pump/removal of wastewater (from tanks)</t>
  </si>
  <si>
    <t xml:space="preserve">Waste management </t>
  </si>
  <si>
    <t>Carrier bags</t>
  </si>
  <si>
    <t>Disposal facilities</t>
  </si>
  <si>
    <t>Refuse bags</t>
  </si>
  <si>
    <t>Waste bins</t>
  </si>
  <si>
    <t>Skip</t>
  </si>
  <si>
    <t>SUMMARY OF DIRECT AND INDIRECT COSTS</t>
  </si>
  <si>
    <t>Direct costs</t>
  </si>
  <si>
    <t xml:space="preserve">Indirect costs </t>
  </si>
  <si>
    <t>Total costs</t>
  </si>
  <si>
    <t xml:space="preserve">% direct costs </t>
  </si>
  <si>
    <t>% indirect costs (overheads)</t>
  </si>
  <si>
    <t xml:space="preserve">Expenditure </t>
  </si>
  <si>
    <t xml:space="preserve">Surplus generated </t>
  </si>
  <si>
    <t>Total non-tariff revenue</t>
  </si>
  <si>
    <t xml:space="preserve">REVENUE REQUIRED </t>
  </si>
  <si>
    <t xml:space="preserve">Direct expenditure </t>
  </si>
  <si>
    <t xml:space="preserve">Indirect expenditure </t>
  </si>
  <si>
    <t>Total expenditure</t>
  </si>
  <si>
    <t>Operating grants and transfers</t>
  </si>
  <si>
    <t xml:space="preserve">Property rates revenue </t>
  </si>
  <si>
    <t>Other service charges</t>
  </si>
  <si>
    <t xml:space="preserve">Total non-tariff revenue </t>
  </si>
  <si>
    <t xml:space="preserve">Revenue required from tariffs </t>
  </si>
  <si>
    <t xml:space="preserve">Enter Municipality </t>
  </si>
  <si>
    <t xml:space="preserve">This sheet requires the user to select the tariff structure to be used for setting water tariffs. </t>
  </si>
  <si>
    <t xml:space="preserve">This sheet requires the user to select the tariff structure to be used for setting sanitation tariffs. </t>
  </si>
  <si>
    <t xml:space="preserve">This sheet requires the user to select the tariff structure to be used for setting electricity tariffs. </t>
  </si>
  <si>
    <t xml:space="preserve">This sheet requires the user to select the tariff structure to be used for setting solid waste tariffs. </t>
  </si>
  <si>
    <t xml:space="preserve">Surplus generated on electricity </t>
  </si>
  <si>
    <t>Operating grants and subsidies</t>
  </si>
  <si>
    <t>Revenue</t>
  </si>
  <si>
    <t>Enter the name of the municipality for which the tariffs are being set.</t>
  </si>
  <si>
    <t xml:space="preserve">Enter the year for which the tariffs are being set. </t>
  </si>
  <si>
    <t xml:space="preserve">Other income </t>
  </si>
  <si>
    <t xml:space="preserve">% Fixed </t>
  </si>
  <si>
    <t xml:space="preserve">% Variable </t>
  </si>
  <si>
    <t>CALCULATION OF REVENUE REQUIREMENT PER CUSTOMER CATEGORY: ADJUSTED FOR NON-TARIFF REVENUE</t>
  </si>
  <si>
    <t>CALCULATION OF AVERAGE UNIT COSTS PER CUSTOMER CATEGORY</t>
  </si>
  <si>
    <t xml:space="preserve">This sheet calculates the average cost per unit and the average revenue required per unit for each water service customer category. </t>
  </si>
  <si>
    <t xml:space="preserve">This sheet calculates the average cost per unit and the average revenue required per unit for each sanitation service customer category. </t>
  </si>
  <si>
    <t xml:space="preserve">This sheet calculates the average cost per unit and the average revenue required per unit for each electricity service customer category. </t>
  </si>
  <si>
    <t xml:space="preserve">This sheet calculates the average cost per unit and the average revenue required per unit for each solid waste service customer category. </t>
  </si>
  <si>
    <t xml:space="preserve">User must enter tariff to be charged per unit for each block of an IBT except the last. The model calculates the tariff to be charged on the last block in order to meet the revenue requirement. </t>
  </si>
  <si>
    <t>User must enter tariff to be charged per unit for each block of an IBT except the last. The model calculates the tariff to be charged on the last block in order to meet the revenue requirement.</t>
  </si>
  <si>
    <t>Deficit generated</t>
  </si>
  <si>
    <t>SUMMARY: EXPENDITURE ALLOCATED AND NON-TARIFF REVENUE RECEIVED AFTER ALLOCATION OF GOVERNANCE AND ADMINISTRATION</t>
  </si>
  <si>
    <t>Direct expendtiure</t>
  </si>
  <si>
    <t>Indirect expenditure</t>
  </si>
  <si>
    <t>Non-tariff revenue allocated to service</t>
  </si>
  <si>
    <t>Total non-tariff revenue allocated</t>
  </si>
  <si>
    <t xml:space="preserve">ALLOCATING GOVERNANCE AND ADMINISTRATION COSTS </t>
  </si>
  <si>
    <t>DEFICIT TO BE ACCEPTED ON SERVICES</t>
  </si>
  <si>
    <t>Non-tariff revenue allocated to Gov &amp; Admin</t>
  </si>
  <si>
    <t>% allocation of Gov &amp; Admin costs</t>
  </si>
  <si>
    <t>ALLOCATION OF SURPLUS</t>
  </si>
  <si>
    <t>SURPLUS TO BE GENERATED ON SERVICES</t>
  </si>
  <si>
    <t>The Municipal Powers and Functions Act Number 12 of 2007 allows municipalities to levy a surcharge on tariffs. Enter the total surcharge that you plan to levy in the year for which tariffs are being set on each service in the table below. Make sure that you have not indicated a surplus to be generated if you have already indicated that there will be a deficit in the table above. If you do this, the cell entry will be highlighted in bold red text.</t>
  </si>
  <si>
    <t>Surplus generated</t>
  </si>
  <si>
    <t>Default % allocation of surplus</t>
  </si>
  <si>
    <t>User defined % allocation of surplus</t>
  </si>
  <si>
    <t>Use default allocation?</t>
  </si>
  <si>
    <t>Net surplus or deficit</t>
  </si>
  <si>
    <t>Net surplus or deficit as % of expenditure</t>
  </si>
  <si>
    <t xml:space="preserve">In order for the budget to be fully funded, surpluses generated must be sufficient to at least cover anticipated deficits. If this is not the case, the user must reduce the deficits anticipated or increase the surpluses to be generated. The net surplus below is the total surpluses less the total deficits. It must be positive. If it is negative, adjust the deficits to be accepted on services or the surpluses to be generated until a positive figure is obtained. </t>
  </si>
  <si>
    <t>Surplus or deficit</t>
  </si>
  <si>
    <t>Gap to be filled through tariffs</t>
  </si>
  <si>
    <t>BUDGET FUNDING</t>
  </si>
  <si>
    <t>Figures for graph:</t>
  </si>
  <si>
    <t>Full budget</t>
  </si>
  <si>
    <t>Other services</t>
  </si>
  <si>
    <t>Total revenue</t>
  </si>
  <si>
    <t>Total expenditure plus surplus or deficit</t>
  </si>
  <si>
    <t>Transfers and subsidies</t>
  </si>
  <si>
    <t xml:space="preserve">Enter year for which base data is entered. </t>
  </si>
  <si>
    <t xml:space="preserve">Go to sheet </t>
  </si>
  <si>
    <t>Enter base year</t>
  </si>
  <si>
    <t>Enter year tariffs are set</t>
  </si>
  <si>
    <t xml:space="preserve">% change </t>
  </si>
  <si>
    <t xml:space="preserve">Total annual sales (kl per annum) </t>
  </si>
  <si>
    <r>
      <t xml:space="preserve">Average % return flow </t>
    </r>
    <r>
      <rPr>
        <i/>
        <sz val="11"/>
        <color indexed="8"/>
        <rFont val="Calibri"/>
        <family val="2"/>
      </rPr>
      <t>(kl of wastewater treated as % of kl of water sold)</t>
    </r>
  </si>
  <si>
    <t>Select customer category</t>
  </si>
  <si>
    <t xml:space="preserve">Deficit generated on water </t>
  </si>
  <si>
    <t>Expenditure minus deficit plus surplus</t>
  </si>
  <si>
    <t>Deficit generated on sanitation</t>
  </si>
  <si>
    <t xml:space="preserve">Surplus generated on sanitation </t>
  </si>
  <si>
    <t>Deficit generated on electricity</t>
  </si>
  <si>
    <t>Deficit generated on solid waste</t>
  </si>
  <si>
    <t>Surplus generated on solid waste</t>
  </si>
  <si>
    <t>Fixed unit cost (R per customer per month)</t>
  </si>
  <si>
    <t>Variable unit cost (R per kl sold)</t>
  </si>
  <si>
    <t xml:space="preserve">CALCULATION OF UNIT REVENUE REQUIRED FOR WATER </t>
  </si>
  <si>
    <t>This box shows the fixed and variable unit costs, based on the allocation of costs in the table above. It also shows the total cost of supply per unit sold.</t>
  </si>
  <si>
    <t>Total unit cost (R per kl sold)</t>
  </si>
  <si>
    <t>SUMMARY: WATER</t>
  </si>
  <si>
    <t>This box shows the unit revenue required from tariffs for the service. This may be higher or lower than the total unit cost due to the allocation of subsidies, requirement for surpluses and allowance for deficits.</t>
  </si>
  <si>
    <t>Average unit revenue required (R per kl sold)</t>
  </si>
  <si>
    <t>Unit revenue required as % of cost</t>
  </si>
  <si>
    <t>Average monthly sales (kl/customer/month)</t>
  </si>
  <si>
    <t>Total
(R)</t>
  </si>
  <si>
    <t>Water 
(R)</t>
  </si>
  <si>
    <t>Sanitation 
(R)</t>
  </si>
  <si>
    <t>Electricity 
(R)</t>
  </si>
  <si>
    <t>Other services 
(R)</t>
  </si>
  <si>
    <t xml:space="preserve">Water 
(R) </t>
  </si>
  <si>
    <t xml:space="preserve">Sanitation 
(R) </t>
  </si>
  <si>
    <t xml:space="preserve">Electricity 
(R) </t>
  </si>
  <si>
    <t xml:space="preserve">Solid waste
(R) </t>
  </si>
  <si>
    <t xml:space="preserve">Other services 
(R) </t>
  </si>
  <si>
    <t xml:space="preserve">Total
(R) </t>
  </si>
  <si>
    <t xml:space="preserve">(R) </t>
  </si>
  <si>
    <t xml:space="preserve">Water
(R) </t>
  </si>
  <si>
    <t xml:space="preserve">Sanitation
(R) </t>
  </si>
  <si>
    <t xml:space="preserve">Electricity
(R) </t>
  </si>
  <si>
    <t xml:space="preserve">Governance and administration
(R) </t>
  </si>
  <si>
    <t>Total annual sales (kWh per annum)</t>
  </si>
  <si>
    <t>Variable unit cost (R per kl treated)</t>
  </si>
  <si>
    <t>Total unit cost (R per kl treated)</t>
  </si>
  <si>
    <t>Energy costs</t>
  </si>
  <si>
    <t>(R)</t>
  </si>
  <si>
    <t xml:space="preserve">Total expenditure
(R) </t>
  </si>
  <si>
    <t xml:space="preserve">Fixed costs
(R)  </t>
  </si>
  <si>
    <t xml:space="preserve">Variable costs
(R) </t>
  </si>
  <si>
    <t>Average unit revenue required (R per kl treated)</t>
  </si>
  <si>
    <t>Energy costs (R per kWh sold)</t>
  </si>
  <si>
    <t>Total cost (R per kWh sold)</t>
  </si>
  <si>
    <t>Customer cost (R per customer per month)</t>
  </si>
  <si>
    <t>Demand cost (R per kVA)</t>
  </si>
  <si>
    <t>Average unit revenue required (R per kWh sold)</t>
  </si>
  <si>
    <t>This box shows the customer, energy and demand unit costs, based on the allocation of costs in the table above. It also shows the total cost of supply per unit sold.</t>
  </si>
  <si>
    <t xml:space="preserve">Total  expenditure
(R)  </t>
  </si>
  <si>
    <t xml:space="preserve">Customer costs
(R)  </t>
  </si>
  <si>
    <t xml:space="preserve">Energy costs
(R) </t>
  </si>
  <si>
    <t xml:space="preserve">Demand costs
(R) </t>
  </si>
  <si>
    <t>SUMMARY: SANITATION</t>
  </si>
  <si>
    <t>SUMMARY: ELECTRICITY</t>
  </si>
  <si>
    <t>SUMMARY: SOLID WASTE</t>
  </si>
  <si>
    <t>Indigent</t>
  </si>
  <si>
    <t>Commercial</t>
  </si>
  <si>
    <t xml:space="preserve">Institutional </t>
  </si>
  <si>
    <t>Total annual water sales (kl per annum)</t>
  </si>
  <si>
    <t>% volume sold</t>
  </si>
  <si>
    <t>% of fixed costs</t>
  </si>
  <si>
    <t>% of variable costs</t>
  </si>
  <si>
    <t>CALCULATION OF REVENUE REQUIREMENT PER CUSTOMER CATEGORY: ADJUSTED FOR OPERATING GRANTS AND SUBSIDIES</t>
  </si>
  <si>
    <t>CALCULATION OF REVENUE REQUIREMENT PER CUSTOMER CATEGORY: ALLOCATING SURPLUSES AND DEFICITS</t>
  </si>
  <si>
    <t>Total annual water sales volume (kl)</t>
  </si>
  <si>
    <t>Annual volume sold</t>
  </si>
  <si>
    <t>Demand  costs</t>
  </si>
  <si>
    <t>Total expenditure adjusted for operating grants and subsidies
(R)</t>
  </si>
  <si>
    <t>Default allocation of deficit accepted on water service
(R)</t>
  </si>
  <si>
    <t>Customised allocation of deficit accepted on water service
(R)</t>
  </si>
  <si>
    <t>Municipal customer name</t>
  </si>
  <si>
    <t xml:space="preserve">Select standard customer classification  </t>
  </si>
  <si>
    <t>Average % return flow</t>
  </si>
  <si>
    <t>Solid waste
(R)</t>
  </si>
  <si>
    <t xml:space="preserve">Other services
(R) </t>
  </si>
  <si>
    <t>Governance and administration
(R)</t>
  </si>
  <si>
    <t>Sanitation
(R)</t>
  </si>
  <si>
    <t>Other services
(R)</t>
  </si>
  <si>
    <t>Water
(R)</t>
  </si>
  <si>
    <t>Fixed Costs
(R)</t>
  </si>
  <si>
    <t>Variable Costs
(R)</t>
  </si>
  <si>
    <t>Fixed cost (R per customer/ month)</t>
  </si>
  <si>
    <t>Variable cost (R per kl sold)</t>
  </si>
  <si>
    <t>Total cost (R per kl sold)</t>
  </si>
  <si>
    <t>Default allocation of property rates revenue
(R)</t>
  </si>
  <si>
    <t>Customised allocation of property rates revenue
(R)</t>
  </si>
  <si>
    <t>Default allocation of other income
(R)</t>
  </si>
  <si>
    <t>Customised allocation of other income
(R)</t>
  </si>
  <si>
    <t xml:space="preserve">Default allocation of other service charges
(R) </t>
  </si>
  <si>
    <t xml:space="preserve">Customised allocation of other service charges
(R) </t>
  </si>
  <si>
    <t>Total expenditure adjusted for non-tariff revenue
(R)</t>
  </si>
  <si>
    <t>Total expenditure
(R)</t>
  </si>
  <si>
    <t>Default allocation of operating grants and subsidies
(R)</t>
  </si>
  <si>
    <t>Customised allocation of operating grants and subsidies
(R)</t>
  </si>
  <si>
    <t>Default allocation of surplus generated on water service
(R)</t>
  </si>
  <si>
    <t>Customised allocation of surplus generated on water service
(R)</t>
  </si>
  <si>
    <t>Total expenditure adjusted for surplus or deficit on service
(R)</t>
  </si>
  <si>
    <t>Revenue required from tariff
(R)</t>
  </si>
  <si>
    <t>Average revenue required (R per kl)</t>
  </si>
  <si>
    <t xml:space="preserve">Standard customer classification </t>
  </si>
  <si>
    <t xml:space="preserve">Fixed cost (R per customer/month) </t>
  </si>
  <si>
    <t xml:space="preserve">Variable cost (R per kl treated) </t>
  </si>
  <si>
    <t>Total cost (R per kl treated)</t>
  </si>
  <si>
    <t>Default allocation of deficit accepted on sanitation service
(R)</t>
  </si>
  <si>
    <t>Customised allocation of deficit accepted on sanitation service
(R)</t>
  </si>
  <si>
    <t>Default allocation of surplus generated on sanitation service
(R)</t>
  </si>
  <si>
    <t>Customised allocation of surplus generated on sanitation service
(R)</t>
  </si>
  <si>
    <t>Average revenue required (R per kl treated)</t>
  </si>
  <si>
    <t>% of customer costs</t>
  </si>
  <si>
    <t>%  of energy costs</t>
  </si>
  <si>
    <t>% of demand costs</t>
  </si>
  <si>
    <t>Consumption costs (R per kWh sold)</t>
  </si>
  <si>
    <t>Demand cost (R per unit)</t>
  </si>
  <si>
    <t>Total cost ( R per kWh sold)</t>
  </si>
  <si>
    <t>Allocation of surplus (%)</t>
  </si>
  <si>
    <t>Revenue required from tariff (R)</t>
  </si>
  <si>
    <t>Average revenue required (R per kWh)</t>
  </si>
  <si>
    <t>Total cost (R per kWh)</t>
  </si>
  <si>
    <t xml:space="preserve">Fixed cost per customer per month </t>
  </si>
  <si>
    <t>% wastewater treated</t>
  </si>
  <si>
    <t xml:space="preserve">% increase in tariffs </t>
  </si>
  <si>
    <t>% increase in tariffs per estimated kl of wastewater returned</t>
  </si>
  <si>
    <t xml:space="preserve">Volume of water sold in block </t>
  </si>
  <si>
    <t>Tariff per estimated kl of wastewater returned</t>
  </si>
  <si>
    <t>Tariff per kl water sold</t>
  </si>
  <si>
    <t>% increase in tariffs per kl of water sold</t>
  </si>
  <si>
    <t>Estimated volume of wastewater returned in block</t>
  </si>
  <si>
    <t>% increase in annual tariffs</t>
  </si>
  <si>
    <t>Volume of energy sold in high season per block</t>
  </si>
  <si>
    <t>Volume of energy sold in low season per block</t>
  </si>
  <si>
    <t xml:space="preserve">Annual Inclining Block Tariff </t>
  </si>
  <si>
    <t>Seasonal Inclining Block Tariff</t>
  </si>
  <si>
    <t>Annual energy sales</t>
  </si>
  <si>
    <t>High season energy sales</t>
  </si>
  <si>
    <t>Low season energy sales</t>
  </si>
  <si>
    <t>Select IBT type</t>
  </si>
  <si>
    <t>Annual tariff</t>
  </si>
  <si>
    <t>Annual revenue</t>
  </si>
  <si>
    <t>High season tariff</t>
  </si>
  <si>
    <t>Low Season Tariff</t>
  </si>
  <si>
    <t>High season tariff as % of low season tariff</t>
  </si>
  <si>
    <t>High season revenue</t>
  </si>
  <si>
    <t>Low season revenue</t>
  </si>
  <si>
    <t xml:space="preserve">Volume of annual energy sold in block </t>
  </si>
  <si>
    <t xml:space="preserve">Revenue required </t>
  </si>
  <si>
    <t>Seasonal</t>
  </si>
  <si>
    <t xml:space="preserve">% volume sold </t>
  </si>
  <si>
    <t xml:space="preserve">% of customers </t>
  </si>
  <si>
    <t xml:space="preserve">% demand </t>
  </si>
  <si>
    <t>% energy sold</t>
  </si>
  <si>
    <t>Total unit cost (R per customer per month)</t>
  </si>
  <si>
    <t>Total costs (R)</t>
  </si>
  <si>
    <t>Fixed costs
(R)</t>
  </si>
  <si>
    <t>High season tariff block 1 as % of low season tariff block 1</t>
  </si>
  <si>
    <t>% increase in high season tariffs</t>
  </si>
  <si>
    <t>% increase in low season tariffs</t>
  </si>
  <si>
    <t>Fixed cost</t>
  </si>
  <si>
    <t>Variable cost</t>
  </si>
  <si>
    <t xml:space="preserve">Property rates allocated </t>
  </si>
  <si>
    <t>Other income allocated</t>
  </si>
  <si>
    <t>Other service charges allocated</t>
  </si>
  <si>
    <t>External grants and subsidies allocated</t>
  </si>
  <si>
    <t>Tariff revenue required</t>
  </si>
  <si>
    <t xml:space="preserve">Cost per kl </t>
  </si>
  <si>
    <t xml:space="preserve">Tariff revenue required per kl </t>
  </si>
  <si>
    <t>Surcharge/ deficit % of cost</t>
  </si>
  <si>
    <t xml:space="preserve">Fixed charge </t>
  </si>
  <si>
    <t>Revenue from fixed charge as % of fixed cost</t>
  </si>
  <si>
    <t xml:space="preserve">Consumption-based charge </t>
  </si>
  <si>
    <t xml:space="preserve">Block size </t>
  </si>
  <si>
    <t>Block number</t>
  </si>
  <si>
    <t xml:space="preserve">Deficit allowed </t>
  </si>
  <si>
    <t xml:space="preserve">Figures for graph: </t>
  </si>
  <si>
    <t xml:space="preserve">Cost per kl covered by consumption-based charged </t>
  </si>
  <si>
    <t>Cost (R per kl)</t>
  </si>
  <si>
    <t>Tariff revenue required (R per kl)</t>
  </si>
  <si>
    <t>Fixed charge (R)</t>
  </si>
  <si>
    <t>Expenditure R'000</t>
  </si>
  <si>
    <t>Revenue R'000</t>
  </si>
  <si>
    <t xml:space="preserve">Total cost per kl </t>
  </si>
  <si>
    <t xml:space="preserve">Customer costs </t>
  </si>
  <si>
    <t xml:space="preserve">Cost per kWh </t>
  </si>
  <si>
    <t xml:space="preserve">Tariff revenue required per kWh </t>
  </si>
  <si>
    <t xml:space="preserve">Customer Type </t>
  </si>
  <si>
    <t>Customer category</t>
  </si>
  <si>
    <t xml:space="preserve">Income per household </t>
  </si>
  <si>
    <t xml:space="preserve">Tariff Type </t>
  </si>
  <si>
    <t xml:space="preserve">Low Income </t>
  </si>
  <si>
    <t xml:space="preserve">High Income </t>
  </si>
  <si>
    <t xml:space="preserve">Indigent </t>
  </si>
  <si>
    <t>Water 
(kl/month puchased)</t>
  </si>
  <si>
    <t xml:space="preserve">Electricity
(kWh/month purchased) </t>
  </si>
  <si>
    <t xml:space="preserve">Consumption </t>
  </si>
  <si>
    <t>Fixed charge</t>
  </si>
  <si>
    <t xml:space="preserve">Tariff per block </t>
  </si>
  <si>
    <t xml:space="preserve">Number of IBT blocks </t>
  </si>
  <si>
    <t>Bottom of block</t>
  </si>
  <si>
    <t>Block 1</t>
  </si>
  <si>
    <t>Block 2</t>
  </si>
  <si>
    <t>Block 3</t>
  </si>
  <si>
    <t>Block 4</t>
  </si>
  <si>
    <t>Block 5</t>
  </si>
  <si>
    <t>Block 6</t>
  </si>
  <si>
    <t>Block 7</t>
  </si>
  <si>
    <t>Block 8</t>
  </si>
  <si>
    <t>Block 9</t>
  </si>
  <si>
    <t>Block 10</t>
  </si>
  <si>
    <t xml:space="preserve">Top of block </t>
  </si>
  <si>
    <t xml:space="preserve">Consumption in block </t>
  </si>
  <si>
    <t>Associated charge</t>
  </si>
  <si>
    <t xml:space="preserve">Monthly variable charges </t>
  </si>
  <si>
    <t xml:space="preserve">Monthly water bill </t>
  </si>
  <si>
    <t>Middle Income</t>
  </si>
  <si>
    <t xml:space="preserve">Water Affordability Calculations </t>
  </si>
  <si>
    <t>Water Tariff Summary</t>
  </si>
  <si>
    <t xml:space="preserve">Water Bill </t>
  </si>
  <si>
    <t xml:space="preserve">Sanitation Bill </t>
  </si>
  <si>
    <t>Electricity Bill</t>
  </si>
  <si>
    <t xml:space="preserve">Solid Waste Bill </t>
  </si>
  <si>
    <t>Sanitation Tariff Summary</t>
  </si>
  <si>
    <t>Electricity Tariff Summary</t>
  </si>
  <si>
    <t xml:space="preserve">High Season Tariff per block </t>
  </si>
  <si>
    <t xml:space="preserve">Low Season Tariff per block </t>
  </si>
  <si>
    <t xml:space="preserve">High Season Tariff </t>
  </si>
  <si>
    <t xml:space="preserve">Low Season Tariff </t>
  </si>
  <si>
    <t>Annual Tariff per block</t>
  </si>
  <si>
    <t>High demand season</t>
  </si>
  <si>
    <t>Low demand season</t>
  </si>
  <si>
    <t xml:space="preserve">Season in which bill is calculated </t>
  </si>
  <si>
    <t>Season in which bill is calculated</t>
  </si>
  <si>
    <t xml:space="preserve">Sanitation Affordability Calculations </t>
  </si>
  <si>
    <t xml:space="preserve">Sales in block </t>
  </si>
  <si>
    <t>Solid Waste Tariff Summary</t>
  </si>
  <si>
    <t xml:space="preserve">Solid waste Affordability Calculations </t>
  </si>
  <si>
    <t xml:space="preserve">Chart: Monthly municipal bill </t>
  </si>
  <si>
    <t xml:space="preserve">This sheet calculates the solid waste fixed charge per customer category per month. </t>
  </si>
  <si>
    <t xml:space="preserve">The table below calculates the monthly municipal bill for each customer type. </t>
  </si>
  <si>
    <t xml:space="preserve">The table below calculates the municipal bill as a % of household income for each customer type. </t>
  </si>
  <si>
    <t xml:space="preserve">User must select the number of blocks by clicking on the green highlighted cell. User must then enter the top of each block, the % increase in tariffs between tariff blocks and the volume of water sold in each block in the yellow highlighted cells. The model calculates the tariffs and revenue received from each block. </t>
  </si>
  <si>
    <t xml:space="preserve">This tool was developed in 2019 with funding from the African Development Bank. The tool has been developed to assist local municipalities in the tariff setting process for water, sanitation, electricity and solid waste removal tariffs. The tool is accompanied by a methodology and user notes. Along with this sheet, please read the accompanying methodology and user notes completely before using the tool. </t>
  </si>
  <si>
    <t xml:space="preserve">Customer data for each service should be captured in this sheet. </t>
  </si>
  <si>
    <t xml:space="preserve">This sheet calculates the total fixed costs per month, the total variable cost per kl treated,and the average revenue required per unit for all sanitation services customers. </t>
  </si>
  <si>
    <t xml:space="preserve">This sheet calculates the customer cost per month, the demand cost per unit demand, the consumption costs per kWh consumed, and the average revenue required for all electricity services customers. </t>
  </si>
  <si>
    <t xml:space="preserve">This sheet calculates the fixed costs per month, the total variable cost per kl treated, and the average revenue required per unit for sanitation services per customer. </t>
  </si>
  <si>
    <t xml:space="preserve">This sheet calculates the customer cost per month, the demand cost per unit demand, the consumption costs per kWh consumed, and the average revenue required for electricity services per customer. </t>
  </si>
  <si>
    <t>Affordability</t>
  </si>
  <si>
    <t>Water report</t>
  </si>
  <si>
    <t>Electricity report</t>
  </si>
  <si>
    <t>Solid waste report</t>
  </si>
  <si>
    <t>Sanitation report</t>
  </si>
  <si>
    <t>Reports</t>
  </si>
  <si>
    <t>This sheet presents the tariffs for water</t>
  </si>
  <si>
    <t>This sheet presents the tariffs for sanitation</t>
  </si>
  <si>
    <t>This sheet presents the tariffs for electricity</t>
  </si>
  <si>
    <t>This sheet presents the tariffs for solid waste removal</t>
  </si>
  <si>
    <t>This sheet provides analysis on the affordability of tariffs to domestic customers</t>
  </si>
  <si>
    <t>The user enters data on what non-tariff revenues are expected in the year for which tariffs are being set, and allocates these between the services.</t>
  </si>
  <si>
    <t>The user enters data on the expenditure budget for the year in which tariffs are being set, and allocates expenditures between the services.</t>
  </si>
  <si>
    <t>Surplus</t>
  </si>
  <si>
    <t>The user decides whether surpluses will be required from any services or deficits accepted.</t>
  </si>
  <si>
    <t>Revenue required</t>
  </si>
  <si>
    <t>The tool calculates the revenue required from tariffs for each service based on entries on the previous sheets.</t>
  </si>
  <si>
    <t xml:space="preserve">On this sheet, the user must enter data on non-tariff revenues anticipated in the year for which tariffs are being set and allocate these between the services. </t>
  </si>
  <si>
    <t>Equitable Share</t>
  </si>
  <si>
    <t>Health</t>
  </si>
  <si>
    <t>Total non-tariff service charges</t>
  </si>
  <si>
    <t>Non-tariff service charges</t>
  </si>
  <si>
    <t>SUMMARY: NON-TARIFF REVENUE SOURCES</t>
  </si>
  <si>
    <t xml:space="preserve">On this sheet, the user must enter data on expenditures anticipated in the year for which tariffs are to be set, and allocate these between services. </t>
  </si>
  <si>
    <t xml:space="preserve">The cost of supply of a service includes a portion of the governance and administration costs (overheads) of the municipality. Governance and Administration costs must thus be allocated between services in order to determine the full cost of supply of that service. Enter the % of governance and administration costs that will be allocated to each service in the grey cells below. </t>
  </si>
  <si>
    <t xml:space="preserve">Other services </t>
  </si>
  <si>
    <t xml:space="preserve">Sanitation </t>
  </si>
  <si>
    <t>Chart: Proportion of costs that are direct and indirect</t>
  </si>
  <si>
    <t>On this sheet, the user must decide if deficits are to be accepted on any services. The user must then enter the surpluses to be generated on the trading services and check that these result in sufficient surplus to cross-subsidiseany deficits allowed and still generate an adequate surplus on the budget as a whole.</t>
  </si>
  <si>
    <t>Municipalities should move towards ensuring that all services at least break even. However, currently municipalities operate some services at a deficit. Enter the deficit that you are willing to accept on providing a service in the grey cells below. Bear in mind that you will have to generate surpluses on other services to cross-subsidise these deficits.</t>
  </si>
  <si>
    <t>Enter deficit to be accepted as % of expenditure</t>
  </si>
  <si>
    <t>The table below summarises the allocation of expenditure and revenues in the previous sheets. Any non-tariff revenue allocated to the Governance and Administration function has been distributed between the services according to the allocation of the Governance and Administration expenditure between the services. There may be a gap to be filled through tariffs on 'Other services' if the property rates revenue and other non-tariff revenues are not sufficient to cover the costs of providing these services.</t>
  </si>
  <si>
    <t xml:space="preserve">Enter surplus to be generated as % of expenditure </t>
  </si>
  <si>
    <t>If you are generating surpluses on some services and deficits on others, you will need to make some decisions about how the surpluses should be allocated to cross-subsidise the deficits. This must be done in the table below. The model provides a default allocation that allocates the available surplus to service in proportion to the deficit generated on a service. The user can choose to define an alternative allocation. Entries must be made in the grey cells only. This is not necessary for tariff setting, but only to confirm the overall funding of the budget.</t>
  </si>
  <si>
    <t>Default allocation of surplus to cover deficits</t>
  </si>
  <si>
    <t>User defined allocation of surplus to cover deficits</t>
  </si>
  <si>
    <t>This sheet shows the revenue required from tariffs and the total funding of the budget. There are no user entries. It is a report sheet only.</t>
  </si>
  <si>
    <t>Other non-tariff service charges</t>
  </si>
  <si>
    <t>Enter data on the number of customers and total annual sales volume in the base year in the yellow cells below. Estimate the number of customers and annual sales volume in the year for which tariffs are to be set in the grey cells.</t>
  </si>
  <si>
    <t>Enter data on the number of customers and total annual water sales volume in the base year in the yellow cells below. Estimate the number of customers and annual water sales volume in the year for which tariffs are to be set in the grey cells. Note that the water sales volume entered here is the volume sold to sanitation customers. This may differ from the volume sold to water customers, entered in the table above. Also enter the average % return flow, which is the kl of wastewater treated as a % of the kl of water sold.</t>
  </si>
  <si>
    <t>Network demand (kVA)</t>
  </si>
  <si>
    <t>Total cost (R per customer/month)</t>
  </si>
  <si>
    <t>Average revenue required per customer per month</t>
  </si>
  <si>
    <t>Default allocation of deficit accepted on solid waste service
(R)</t>
  </si>
  <si>
    <t>Customised allocation of deficit accepted on solid waste service
(R)</t>
  </si>
  <si>
    <t>Default allocation of surplus generated on solid waste service
(R)</t>
  </si>
  <si>
    <t>Customised allocation of surplus generated on solid waste service
(R)</t>
  </si>
  <si>
    <t>Surplus generated per customer (% of adjusted expenditure)</t>
  </si>
  <si>
    <t xml:space="preserve">Allocation of surplus (% to each customer category) </t>
  </si>
  <si>
    <t xml:space="preserve">Enter data on the number of customers and total annual sales volume in the base year in the yellow cells below. Estimate the number of customers and annual sales volume in the year for which tariffs are to be set in the grey cells. </t>
  </si>
  <si>
    <t>If you have data on the total network demand in kVA in the base year, enter this in the yellow cell provided. Also enter the estimated kVA in the year for whcih tariffs are set in the grey cell. If you do not have this data, these cells can be left blank.</t>
  </si>
  <si>
    <t>Enter data on the number of customers in the base year in the yellow cell below. Estimate the number of customers in the year for which tariffs are to be set in the grey cell.</t>
  </si>
  <si>
    <t xml:space="preserve">This sheet calculates  the fixed cost per customer; the variable cost per unit sold; and the tariff revenue required per unit sold for the water service as a whole. </t>
  </si>
  <si>
    <t xml:space="preserve">This sheet calculates  the fixed cost per customer; the variable cost per unit sold; and the tariff revenue required per unit sold for the sanitation service as a whole. </t>
  </si>
  <si>
    <t>In this box, the user must specify what proportion of each expenditure type is fixed in the grey cells below. Expenditures can be 100% fixed, 100% variable or a mix. Fixed costs will be allocated between customer groups based on number of customers in each group later in the model, and variable costs will be allocated based on volumes of wastewater treated.</t>
  </si>
  <si>
    <t>In this box, the user must specify what proportion of each expenditure type is fixed in the grey cells below. Expenditures can be 100% fixed, 100% variable or a mix. Fixed costs will be allocated between customer groups based on number of customers in each group later in the model, and variable costs will be allocated based on volumes of water sold.</t>
  </si>
  <si>
    <t>This box shows the fixed and variable unit costs, based on the allocation of costs in the table above. It also shows the total cost of supply per unit treated.</t>
  </si>
  <si>
    <t xml:space="preserve">This sheet calculates  the fixed customer cost per customer; the fixed demand cost per unit of demand, and the variable cost per unit sold; as well as the tariff revenue required per unit sold for the electricity service as a whole. </t>
  </si>
  <si>
    <t>In this box, the user must specify what proportion of each expenditure type is related to customers, what proportion is related to energy/consumption and what proportion is related to demand. This is in line with the NERSA Cost of Supply Framework. Expenditures can be 100% of one category or a mix of categories. Customer costs will be allocated to customers based on number of customers later in the model, consumption costs will be allocated based on volumes sold, and demand costs will be allocated based on network kVA demand per customer category. Note that if you do not have data on network kVA per category, then you should allocate all demand costs to customer costs if you wish to treat them as fixed or to consumption costs if you wish to treat them as variable.</t>
  </si>
  <si>
    <t xml:space="preserve">% Fixed customer costs </t>
  </si>
  <si>
    <t>% Variable energy costs</t>
  </si>
  <si>
    <t>% Fixed demand cost</t>
  </si>
  <si>
    <t xml:space="preserve">This sheet calculates  the fixed cost per customer for the solid waste service as a whole. </t>
  </si>
  <si>
    <t>This box shows the unit cost per customer.</t>
  </si>
  <si>
    <t>Average unit revenue required (R per customer per month)</t>
  </si>
  <si>
    <t xml:space="preserve">On this sheet, the user must enter data about the customers, demand and sales of services. </t>
  </si>
  <si>
    <t xml:space="preserve">On this sheet, the user must enter data about the customers, demand and sales to each customer category within each service. </t>
  </si>
  <si>
    <t>The user must provide a name for each customer category and indicate its classification from the grey drop down list in the next column. The user must then enter the number of customers in each category and the volumes sold to that category for the base year. By default, the tool uses the unit growth factors calculated on the '1 Customer data' sheet to estimate the number of customers and volumes sold in the year for which tariffs are set. If the user wishes to over-write these defaults, they can enter their own estimates of number of customers and volumes sold to each category in the year for which tariffs are set in the green cells.</t>
  </si>
  <si>
    <t>There are checks provided at the bottom of the table. These check that the total number of customers and total volume of water sold in the year for which tariffs are being set align with the data previously entered on the '1 Customer data' sheet. Adjust your entries until all of these checks are zero.</t>
  </si>
  <si>
    <t>The user must provide a name for each customer category and indicate its classification from the grey drop down list in the next column. The user must then enter the number of customers in each category and the volumes of water sold to that category for the base year. By default, the tool uses the unit growth factors calculated on the '1 Customer data' sheet to estimate the number of customers and volumes of water sold in the year for which tariffs are set. If the user wishes to over-write these defaults, they can enter their own estimates of number of customers and volumes sold to each category in the year for which tariffs are set in the green cells. The user must also enter the assumed return flow for each customer category.</t>
  </si>
  <si>
    <t>Volume of wastewater treated (kl per annum)</t>
  </si>
  <si>
    <t xml:space="preserve">The user must provide a name for each customer category and indicate its classification from the grey drop down list in the next column. The user must then enter the number of customers in each category, the volumes of electricity sold to that category and the maximum kVA demand for the category (if the latter is available) for the base year. By default, the tool uses the unit growth factors calculated on the '1 Customer data' sheet to estimate the number of customers,  volumes of electricity sold and maximum kVA demand in the year for which tariffs are set. If the user wishes to over-write these defaults, they can enter their own estimates of number of customers,  volumes sold and kVA demand by each category in the year for which tariffs are set in the green cells. </t>
  </si>
  <si>
    <t>The user must provide a name for each customer category and indicate its classification from the grey drop down list in the next column. The user must then enter the number of customers in each categoryfor the base year. By default, the tool uses the unit growth factors calculated on the '1 Customer data' sheet to estimate the number of customers in the year for which tariffs are set. If the user wishes to over-write these defaults, they can enter their own estimates of number of customers in each category in the year for which tariffs are set in the green cells.</t>
  </si>
  <si>
    <t>The tool allocates variable costs between customer categories based on volumes of water sold to each category. By default, the tool allocates fixed costs between customers also based on volumes of water sold to the category. The user can choose to allocate fixed costs based on number of customers by selecting '% of customers' from the green drop down list.</t>
  </si>
  <si>
    <t>% of fixed costs allocated to customer category</t>
  </si>
  <si>
    <t>% of variable costs allocated to customer category</t>
  </si>
  <si>
    <t xml:space="preserve">In the "Revenue" and "Revenue required" sheets, non-tariff revenue sources were allocated between services. User must now allocate any non-tariff revenue allocated to the water service between  customer categories defined for that service. Defaults are provided by the model. These defaults allocate the non-tariff revenue (property rates revenue, other income and other service charges) in proportion to the total expenditure on each customer category. User can over-write defaults by making entries in the blank green cells adjacent to those containing the default allocations. </t>
  </si>
  <si>
    <t>check=0</t>
  </si>
  <si>
    <t>If you do choose to over-write the default allocations by making entries in the green cells, be sure to allocate all of the relevant revenues between the customer categories. There are checks provided in red at the bottom of the column. If you make any entries in the green cells, make sure that all checks are zero.</t>
  </si>
  <si>
    <t>If you do choose to over-write the default allocations by making entries in the green cells, be sure to allocate all of the operating grants and subsidies between the customer categories. There are checks provided in red at the bottom of the column. If you make any entries in the green cells, make sure that all checks are zero.</t>
  </si>
  <si>
    <t>In the "Revenue" and "Revenue required" sheets, external operating grants and subsidies were allocated between services. The user must now allocate any external operating grants and subsidies that were allocated to the solid waste service between  customer categories defined for that service. Defaults are provided by the model. These defaults allocate  operating grants and subsidies first to any categories identified as indigent. If there are no indigent customer categories, the default is to allocate external operating grants and subsidies to domestic customer categories. The user can choose a different allocation by entering values in the green cells.</t>
  </si>
  <si>
    <t>In the "Revenue" and "Revenue required" sheets, external operating grants and subsidies were allocated between services. The user must now allocate any external operating grants and subsidies that were allocated to the water service between  customer categories defined for that service. Defaults are provided by the model. These defaults allocate  operating grants and subsidies first to any categories identified as indigent. If there are no indigent customer categories, the default is to allocate external operating grants and subsidies to domestic customer categories. The user can choose a different allocation by entering values in the green cells.</t>
  </si>
  <si>
    <t>The tool allocates variable costs between customer categories based on volumes of wastewater treated for each category. By default, the tool allocates fixed costs between customers also based on volumes of wastewater treated for the category. The user can choose to allocate fixed costs based on number of customers by selecting '% of customers' from the green drop down list.</t>
  </si>
  <si>
    <t xml:space="preserve">In the "Revenue" and "Revenue required" sheets, non-tariff revenue sources were allocated between services. User must now allocate any non-tariff revenue allocated to the sanitation service between  customer categories defined for that service. Defaults are provided by the model. These defaults allocate the non-tariff revenue (property rates revenue, other income and other service charges) in proportion to the total expenditure on each customer category. User can over-write defaults by making entries in the blank green cells adjacent to those containing the default allocations. </t>
  </si>
  <si>
    <t>In the "Revenue" and "Revenue required" sheets, external operating grants and subsidies were allocated between services. The user must now allocate any external operating grants and subsidies that were allocated to the sanitation service between  customer categories defined for that service. Defaults are provided by the model. These defaults allocate  operating grants and subsidies first to any categories identified as indigent. If there are no indigent customer categories, the default is to allocate external operating grants and subsidies to domestic customer categories. The user can choose a different allocation by entering values in the green cells.</t>
  </si>
  <si>
    <t>In the "Surplus" sheet, the user specified whether they are willing to accept a deficit or whether a surplus must be generated on a service. If a defict is accepted or a surplus is generated on the service, the user must now use this table to specify on which customer categories the deficit or surplus will be generated. By default, the model assumes that deficits will be generated first on indigent customers and then on domestic customers. By default, the model distributes the surplus evenly across all categories not identified as Indigent. The user can over-write these defaults by making entries in the green cells.</t>
  </si>
  <si>
    <t xml:space="preserve">The user must now use this table to specify any additional cross-subsidisation that is to take place between customer categories within the sanitation service. The user must specify whether additional surpluses will be generated on any customer categories by entering %s in the grey cells. Surpluses are specified as % of expenditure. The user must then allocate any surpluses generated between the remaining customer categories. This is done by specifying what % of the surplus generated should be allocated to each customer category. The sum of any %s entered in the "Allocation of surplus" column must be 100%. </t>
  </si>
  <si>
    <t xml:space="preserve">The user must now use this table to specify any additional cross-subsidisation that is to take place between customer categories within the water service. The user must specify whether additional surpluses will be generated on any customer categories by entering %s in the grey cells. Surpluses are specified as % of expenditure. The user must then allocate any surpluses generated between the remaining customer categories. This is done by specifying what % of the surplus generated should be allocated to each customer category. The sum of any %s entered in the "Allocation of surplus" column must be 100%. </t>
  </si>
  <si>
    <t>The tool allocates fixed customer costs between customer categories based on the number of customers in each category. It allocates variable consumption/energy costs between customer categories based in the volume of electricity sold to each category. By default, the tool allocates fixed demand costs between customers also based on the maximum demand by each category. The user can choose to allocate fixed demand costs based on number of customers or volumes of energy sold by selecting '% of customers'  or '% energy sold' from the green drop down list.</t>
  </si>
  <si>
    <t>Allocation of energy costs</t>
  </si>
  <si>
    <t>Allocation of demand costs</t>
  </si>
  <si>
    <t xml:space="preserve">In the "Revenue" and "Revenue required" sheets, non-tariff revenue sources were allocated between services. User must now allocate any non-tariff revenue allocated to the electricity service between  customer categories defined for that service. Defaults are provided by the model. These defaults allocate the non-tariff revenue (property rates revenue, other income and other service charges) in proportion to the total expenditure on each customer category. User can over-write defaults by making entries in the blank green cells adjacent to those containing the default allocations. </t>
  </si>
  <si>
    <t>In the "Revenue" and "Revenue required" sheets, external operating grants and subsidies were allocated between services. The user must now allocate any external operating grants and subsidies that were allocated to the electricity service between  customer categories defined for that service. Defaults are provided by the model. These defaults allocate  operating grants and subsidies first to any categories identified as indigent. If there are no indigent customer categories, the default is to allocate external operating grants and subsidies to domestic customer categories. The user can choose a different allocation by entering values in the green cells.</t>
  </si>
  <si>
    <t xml:space="preserve">The user must now use this table to specify any additional cross-subsidisation that is to take place between customer categories within the electricity service. The user must specify whether additional surpluses will be generated on any customer categories by entering %s in the grey cells. Surpluses are specified as % of expenditure. The user must then allocate any surpluses generated between the remaining customer categories. This is done by specifying what % of the surplus generated should be allocated to each customer category. The sum of any %s entered in the "Allocation of surplus" column must be 100%. </t>
  </si>
  <si>
    <t>The tool allocates fixed costs between customers based on the number of customers in the category.</t>
  </si>
  <si>
    <t xml:space="preserve">In the "Revenue" and "Revenue required" sheets, non-tariff revenue sources were allocated between services. User must now allocate any non-tariff revenue allocated to the solid waste service between  customer categories defined for that service. Defaults are provided by the model. These defaults allocate the non-tariff revenue (property rates revenue, other income and other service charges) in proportion to the total expenditure on each customer category. User can over-write defaults by making entries in the blank green cells adjacent to those containing the default allocations. </t>
  </si>
  <si>
    <t>This sheet calculates the water tariff for each customer category. The DWS Norms and Standards for Water Services (2015) require municipalities to have an inclining block tariff for water. Municipalities can choose whether to combine this with a fixed charge. The tool thus allows the user to set the size of a fixed charge for each customer category. If the user does not wish to apply a fixed charge, they can set this to zero. The user must then specify an inclining block tariff for each customer category.</t>
  </si>
  <si>
    <t xml:space="preserve">User must enter fixed charge to be charged per customer. Zero can be entered if no fixed cost is to be applied. The tool provides the fixed cost per customer as a guide. </t>
  </si>
  <si>
    <t xml:space="preserve">User must select the number of blocks from the grey dropdown list. User must then enter the top of each block, the % increase in tariffs between tariff blocks and the volume of water sold in each block in the grey highlighted cells. The model calculates the tariffs and revenue received from each block. </t>
  </si>
  <si>
    <t>This sheet calculates the sanitation tariff for each customer category. The DWS Norms and Standards for Water Services (2015) require municipalities to have an inclining block tariff based on volumes of water sold for sanitation. Municipalities can choose whether to combine this with a fixed charge. The tool thus allows the user to set the size of a fixed charge for each customer category. If the user does not wish to apply a fixed charge, they can set this to zero. The user must then specify an inclining block tariff for each customer category.</t>
  </si>
  <si>
    <t xml:space="preserve">User must select the number of blocks by clicking on the grey highlighted cell. User must then enter the return flow, top of each block, the % increase in tariffs per estimated kl of wastewater returned between tariff blocks and the volume of water sold in each block in the grey highlighted cells. The model calculates the tariffs and revenue received from each block. </t>
  </si>
  <si>
    <t>This sheet calculates the electricity tariff for each customer category. NERSA require municipalities to have an inclining block tariff for electricity. Municipalities can choose whether to combine this with a fixed charge. The tool thus allows the user to set the size of a fixed charge for each customer category. If the user does not wish to apply a fixed charge, they can set this to zero. The user must then specify an inclining block tariff for each customer category. The user can choose either an inclining block tariff that applies throughout the year, or a seasonal inclining block tariff that differs in high or low season.</t>
  </si>
  <si>
    <t xml:space="preserve">User must first select the inclining block tariff type by clicking on the grey highlighted cell. User must then enter the data inputs required for the chosen IBT type. </t>
  </si>
  <si>
    <t xml:space="preserve">User must select the number of blocks by clicking on the grey highlighted cell. User must then enter the top of each block, the % increase in annual tariffs between tariff blocks in the grey cells and the volume of annual energy sold in each block in the yellow cells. </t>
  </si>
  <si>
    <t xml:space="preserve">User must select the number of blocks by clicking on the grey highlighted cell. User must then enter the high and low season energy sales, the high season tariff block 1 as a % of low season tariff block 1, the top of each block, the % increase in seasonal tariffs between tariff blocks and the volume of energy sold in the high and low season for each block except the first in the yellow or grey highlighted cells. </t>
  </si>
  <si>
    <t>Tariff revenue</t>
  </si>
  <si>
    <t>External grants &amp; subsidies</t>
  </si>
  <si>
    <t>Other non-tariff revenue</t>
  </si>
  <si>
    <t>Deficit</t>
  </si>
  <si>
    <t>Variable cost per kl</t>
  </si>
  <si>
    <t>IBT type</t>
  </si>
  <si>
    <t>This sheet tests the affordability of the tariffs. This is done by calculating the household bill for all four services for some 'typical' customers. The user must specify the typical customers and indicate what tariff applies to them. The tariffs set in the tool are then used to calculate the bill and the bill as a % of monthly income.</t>
  </si>
  <si>
    <t>The user must specify some 'typical' households in the table below. This means indicating what income an indigent, low income, middle income and high income household in your municipality earns, and what volumes of water and electricity they purchase.</t>
  </si>
  <si>
    <t>The user must then indicate what tariff applies to each of the customer types, by selecting from the dropdown lists below. These dropdown lists are drawn from the customer categories previously entered by the user on the '2 Customer data' sheet.</t>
  </si>
  <si>
    <t>SPECIFYING 'TYPICAL' HOUSEHOLDS</t>
  </si>
  <si>
    <t>TARIFF CATEGORIES APPLYING TO 'TYPICAL' HOUSEHOLDS</t>
  </si>
  <si>
    <t>The user may have applied an annual or seasonal tariff for the tariff category that applies to each 'typical' household. If the tariff is an annual tariff, the user should select 'annual' from the dropdown list available. If the tariff is a seasonal tariff, the user should indicate whether the bill should be calculated for the high or low demand season.</t>
  </si>
  <si>
    <t>MONTHLY MUNICIPAL BILL</t>
  </si>
  <si>
    <t>MUNICIPAL BILL AS % OF HOUSEHOLD INCOME</t>
  </si>
  <si>
    <t>Chart: Monthly municipal bill as a % of income</t>
  </si>
  <si>
    <t>No</t>
  </si>
  <si>
    <t xml:space="preserve">User must select the number of blocks by clicking on the grey highlighted cell. User must then enter the top of each block, the % increase in tariffs between tariff blocks and the volume of water sold in each block in the yellow highlighted cells. The model calculates the tariffs and revenue received from each block. </t>
  </si>
  <si>
    <t>Variable cost per kWh</t>
  </si>
  <si>
    <t>Variable cost per kl treated</t>
  </si>
  <si>
    <t xml:space="preserve">Tariff per kl wastewater returned </t>
  </si>
  <si>
    <t xml:space="preserve">Water volume </t>
  </si>
  <si>
    <t>Tariff per kl water</t>
  </si>
  <si>
    <t xml:space="preserve">The tool has been developed in three levels. The data required becomes more sophisticated as users move to progressive levels in the tool. A user can choose to implement Level 1 only, or to advance to progressive levels of tariff setting based on the data available. The three levels are described below: </t>
  </si>
  <si>
    <r>
      <rPr>
        <b/>
        <u/>
        <sz val="11"/>
        <color indexed="8"/>
        <rFont val="Calibri"/>
        <family val="2"/>
      </rPr>
      <t>Level 1</t>
    </r>
    <r>
      <rPr>
        <sz val="11"/>
        <color theme="1"/>
        <rFont val="Calibri"/>
        <family val="2"/>
        <scheme val="minor"/>
      </rPr>
      <t xml:space="preserve">: Looks at each service as a whole. The outputs from Level 1 include: (i) fixed costs per customer for each trading service as a whole; (ii) variable costs per unit for each trading service as a whole; and (iii) tariff revenue required per unit sold for each trading service as a whole.  </t>
    </r>
  </si>
  <si>
    <r>
      <rPr>
        <b/>
        <u/>
        <sz val="11"/>
        <color indexed="8"/>
        <rFont val="Calibri"/>
        <family val="2"/>
      </rPr>
      <t>Level 2</t>
    </r>
    <r>
      <rPr>
        <sz val="11"/>
        <color theme="1"/>
        <rFont val="Calibri"/>
        <family val="2"/>
        <scheme val="minor"/>
      </rPr>
      <t xml:space="preserve">: Introduces customer categories. Level 2 outputs include: (i) average fixed and variable costs per customer category for each trading service; and (ii) revenue required per unit sold for each customer category within a trading service. </t>
    </r>
  </si>
  <si>
    <r>
      <rPr>
        <b/>
        <u/>
        <sz val="11"/>
        <color indexed="8"/>
        <rFont val="Calibri"/>
        <family val="2"/>
      </rPr>
      <t>Level 3</t>
    </r>
    <r>
      <rPr>
        <sz val="11"/>
        <color theme="1"/>
        <rFont val="Calibri"/>
        <family val="2"/>
        <scheme val="minor"/>
      </rPr>
      <t xml:space="preserve">: Application of tariff structures and calculation of tariffs for each each customer group within a service. The outputs from Level 3 include fixed charges and tariffs per block in an inclining block tariff for each customer category within a trading service. </t>
    </r>
  </si>
  <si>
    <t>The user must complete the first four data entry sheets in the tool for all services. These sheets have grey tab colours. The user may choose to run the remainder of the tool for a single service only.</t>
  </si>
  <si>
    <r>
      <rPr>
        <b/>
        <u/>
        <sz val="11"/>
        <color indexed="8"/>
        <rFont val="Calibri"/>
        <family val="2"/>
      </rPr>
      <t>Affordability</t>
    </r>
    <r>
      <rPr>
        <sz val="11"/>
        <color theme="1"/>
        <rFont val="Calibri"/>
        <family val="2"/>
        <scheme val="minor"/>
      </rPr>
      <t>: The affordability of tariffs to domestic customers is tested</t>
    </r>
  </si>
  <si>
    <r>
      <rPr>
        <b/>
        <u/>
        <sz val="11"/>
        <color indexed="8"/>
        <rFont val="Calibri"/>
        <family val="2"/>
      </rPr>
      <t>Reports</t>
    </r>
    <r>
      <rPr>
        <sz val="11"/>
        <color theme="1"/>
        <rFont val="Calibri"/>
        <family val="2"/>
        <scheme val="minor"/>
      </rPr>
      <t xml:space="preserve">: The tool includes a set of report sheets for each trading service. The report sheets have been formatted for ease of printing and contain a summary of the Level 2 and Level 3 outputs per customer category for each trading service based on user inputs and decisions. </t>
    </r>
  </si>
  <si>
    <t>1 Customer data</t>
  </si>
  <si>
    <t>1 Water</t>
  </si>
  <si>
    <t>1 Sanitation</t>
  </si>
  <si>
    <t>1 Electricity</t>
  </si>
  <si>
    <t>1 Solid waste</t>
  </si>
  <si>
    <t>2 Water</t>
  </si>
  <si>
    <t>2 Sanitation</t>
  </si>
  <si>
    <t>2 Electricity</t>
  </si>
  <si>
    <t>2 Solid waste</t>
  </si>
  <si>
    <t>3 Water</t>
  </si>
  <si>
    <t>3 Sanitation</t>
  </si>
  <si>
    <t>3 Electricity</t>
  </si>
  <si>
    <t>3 Solid waste</t>
  </si>
  <si>
    <r>
      <t>Colour coding in the tool</t>
    </r>
    <r>
      <rPr>
        <sz val="11"/>
        <color theme="1"/>
        <rFont val="Calibri"/>
        <family val="2"/>
        <scheme val="minor"/>
      </rPr>
      <t xml:space="preserve">: Cells in the tool are colour coded. The table below provides a guide to the colour coding of cells used in the tool. </t>
    </r>
  </si>
  <si>
    <t>Colour code</t>
  </si>
  <si>
    <t xml:space="preserve">Meaning </t>
  </si>
  <si>
    <t>Yellow cells require data entries by the user</t>
  </si>
  <si>
    <t>Green cells indicate that a default is available. This means that the tool has proposed an entry for this cell. The user can choose to leave the green cell blank and accept the entry proposed by the tool, or the user can make an entry in the green cell and over-write the default proposed by the tool.</t>
  </si>
  <si>
    <t>Grey cells require entries by the user. These are not data entries but decisions that the user must make.</t>
  </si>
  <si>
    <t>White cells are calculated by the tool.</t>
  </si>
  <si>
    <t>Do you wish to have a zero price on the first block?</t>
  </si>
  <si>
    <t>Yes</t>
  </si>
  <si>
    <t xml:space="preserve">For formula no zero: </t>
  </si>
  <si>
    <t>For formula with zero</t>
  </si>
  <si>
    <t xml:space="preserve">For high season formula no zero: </t>
  </si>
  <si>
    <t xml:space="preserve">For low season formula no zero: </t>
  </si>
  <si>
    <t xml:space="preserve">For high season formula zero: </t>
  </si>
  <si>
    <t xml:space="preserve">For low season formula zero: </t>
  </si>
  <si>
    <t>Version 2019.2</t>
  </si>
  <si>
    <t xml:space="preserve">For annual formula no zero: </t>
  </si>
  <si>
    <t xml:space="preserve">For annual formula with zero: </t>
  </si>
  <si>
    <t>Assessment outcomes after Adjusting Defits</t>
  </si>
  <si>
    <t>Part A</t>
  </si>
  <si>
    <t>Select Budget</t>
  </si>
  <si>
    <t>Municipality</t>
  </si>
  <si>
    <t>Assessment outcome</t>
  </si>
  <si>
    <t>Part B</t>
  </si>
  <si>
    <t>Waste Water</t>
  </si>
  <si>
    <t>Solid Waste</t>
  </si>
  <si>
    <t xml:space="preserve">Total Deficit </t>
  </si>
  <si>
    <t>Revenue Required by NT Tariff Tool</t>
  </si>
  <si>
    <t>Revenue Budgeted</t>
  </si>
  <si>
    <t>Variance</t>
  </si>
  <si>
    <t>Surplus/(Deficit)</t>
  </si>
  <si>
    <t>Source: The approved 2021/22 MTREF financial performance information submitted to the Local Government Database and Reporting System (LGDRS).</t>
  </si>
  <si>
    <t>From NT Tool</t>
  </si>
  <si>
    <t>NB - Perform Final test just for Assuarance</t>
  </si>
  <si>
    <t>1.Governance And Administration</t>
  </si>
  <si>
    <t>2.Other Services</t>
  </si>
  <si>
    <t>3.Trading Services</t>
  </si>
  <si>
    <t>Sheet</t>
  </si>
  <si>
    <t>Mapping Set-Up</t>
  </si>
  <si>
    <t>PK</t>
  </si>
  <si>
    <t>Grouping</t>
  </si>
  <si>
    <t>Function</t>
  </si>
  <si>
    <t>X</t>
  </si>
  <si>
    <t>Executive and Council</t>
  </si>
  <si>
    <t>R</t>
  </si>
  <si>
    <t>Rand</t>
  </si>
  <si>
    <t>Description</t>
  </si>
  <si>
    <t>Ref</t>
  </si>
  <si>
    <t>2019/20</t>
  </si>
  <si>
    <t>2020/21</t>
  </si>
  <si>
    <t>2021/22</t>
  </si>
  <si>
    <t>Current year 2022/23</t>
  </si>
  <si>
    <t>2023/24 Medium Term Revenue &amp; Expenditure Framework</t>
  </si>
  <si>
    <t>Revenue By Source</t>
  </si>
  <si>
    <t>R thousands</t>
  </si>
  <si>
    <t>1</t>
  </si>
  <si>
    <t>Audited Outcome</t>
  </si>
  <si>
    <t>Original Budget</t>
  </si>
  <si>
    <t>Adjusted Budget</t>
  </si>
  <si>
    <t>Full Year Forecast</t>
  </si>
  <si>
    <t>Pre-audit Outcome</t>
  </si>
  <si>
    <t>Budget Year 2023/24</t>
  </si>
  <si>
    <t>0100</t>
  </si>
  <si>
    <t>0200</t>
  </si>
  <si>
    <t>Service charges - electricity revenue</t>
  </si>
  <si>
    <t>Exchange Revenue</t>
  </si>
  <si>
    <t>0300</t>
  </si>
  <si>
    <t>Service charges - water revenue</t>
  </si>
  <si>
    <t>Service charges - Electricity</t>
  </si>
  <si>
    <t>0400</t>
  </si>
  <si>
    <t>Service charges - sanitation revenue</t>
  </si>
  <si>
    <t>Service charges - Water</t>
  </si>
  <si>
    <t>0500</t>
  </si>
  <si>
    <t>Service charges - refuse revenue</t>
  </si>
  <si>
    <t>Service charges - Waste Water Management</t>
  </si>
  <si>
    <t>0600</t>
  </si>
  <si>
    <t xml:space="preserve"> </t>
  </si>
  <si>
    <t>Service charges - Waste Management</t>
  </si>
  <si>
    <t>0700</t>
  </si>
  <si>
    <t>Sale of Goods and Rendering of Services</t>
  </si>
  <si>
    <t>0800</t>
  </si>
  <si>
    <t>0900</t>
  </si>
  <si>
    <t>Interest</t>
  </si>
  <si>
    <t>1000</t>
  </si>
  <si>
    <t>Interest earned from Receivables</t>
  </si>
  <si>
    <t>1100</t>
  </si>
  <si>
    <t>Fines, penalties and forfeits</t>
  </si>
  <si>
    <t>Interest earned from Current and Non Current Assets</t>
  </si>
  <si>
    <t>1200</t>
  </si>
  <si>
    <t>Dividends</t>
  </si>
  <si>
    <t>1300</t>
  </si>
  <si>
    <t>Rent on Land</t>
  </si>
  <si>
    <t>1400</t>
  </si>
  <si>
    <t>Transfers and subsidies Income</t>
  </si>
  <si>
    <t>Rental from Fixed Assets</t>
  </si>
  <si>
    <t>1500</t>
  </si>
  <si>
    <t>Licence and permits</t>
  </si>
  <si>
    <t>1600</t>
  </si>
  <si>
    <t>Gains</t>
  </si>
  <si>
    <t>Operational Revenue</t>
  </si>
  <si>
    <t>1700</t>
  </si>
  <si>
    <t>RR</t>
  </si>
  <si>
    <t>Total Revenue (excluding capital transfers and contributions)</t>
  </si>
  <si>
    <t>Non-Exchange Revenue</t>
  </si>
  <si>
    <t>1800</t>
  </si>
  <si>
    <t/>
  </si>
  <si>
    <t>1900</t>
  </si>
  <si>
    <t>Expenditure By Type</t>
  </si>
  <si>
    <t>Surcharges and Taxes</t>
  </si>
  <si>
    <t>2000</t>
  </si>
  <si>
    <t>2100</t>
  </si>
  <si>
    <t>Licences or permits</t>
  </si>
  <si>
    <t>2200</t>
  </si>
  <si>
    <t>Transfer and subsidies - Operational</t>
  </si>
  <si>
    <t>2300</t>
  </si>
  <si>
    <t>Depreciation and asset impairment</t>
  </si>
  <si>
    <t>2400</t>
  </si>
  <si>
    <t>Fuel Levy</t>
  </si>
  <si>
    <t>2500</t>
  </si>
  <si>
    <t>Bulk purchases - electricity</t>
  </si>
  <si>
    <t>2600</t>
  </si>
  <si>
    <t>Inventory consumed</t>
  </si>
  <si>
    <t>Gains on disposal of Assets</t>
  </si>
  <si>
    <t>2700</t>
  </si>
  <si>
    <t>Other Gains</t>
  </si>
  <si>
    <t>2800</t>
  </si>
  <si>
    <t>Discontinued Operations</t>
  </si>
  <si>
    <t>2900</t>
  </si>
  <si>
    <t>3000</t>
  </si>
  <si>
    <t>Losses</t>
  </si>
  <si>
    <t>3100</t>
  </si>
  <si>
    <t>Total Expenditure</t>
  </si>
  <si>
    <t>3200</t>
  </si>
  <si>
    <t>3300</t>
  </si>
  <si>
    <t>3400</t>
  </si>
  <si>
    <t>Transfers and subsidies - capital (monetary allocations) (National / Provincial and District)</t>
  </si>
  <si>
    <t>3500</t>
  </si>
  <si>
    <t>Transfers and subsidies - capital (monetary allocations) (Nat / Prov Departm Agencies, Households, Non-profit Institutions, Private Enterprises, Public Corporatons, Higher Educ Institutions)</t>
  </si>
  <si>
    <t>3600</t>
  </si>
  <si>
    <t>Transfers and subsidies - capital (in-kind - all)</t>
  </si>
  <si>
    <t>Depreciation and amortisation</t>
  </si>
  <si>
    <t>3700</t>
  </si>
  <si>
    <t>Surplus/(Deficit) after capital transfers and contributions</t>
  </si>
  <si>
    <t>3800</t>
  </si>
  <si>
    <t>Taxation</t>
  </si>
  <si>
    <t>3900</t>
  </si>
  <si>
    <t>Surplus/(Deficit) after taxation</t>
  </si>
  <si>
    <t>4000</t>
  </si>
  <si>
    <t>Attributable to minorities</t>
  </si>
  <si>
    <t>Irrecoverable debts written off</t>
  </si>
  <si>
    <t>4100</t>
  </si>
  <si>
    <t>Surplus/(Deficit) attributable to municipality</t>
  </si>
  <si>
    <t>Operational costs</t>
  </si>
  <si>
    <t>4200</t>
  </si>
  <si>
    <t>Share of surplus/ (deficit) of associate</t>
  </si>
  <si>
    <t>Losses on disposal of Assets</t>
  </si>
  <si>
    <t>4300</t>
  </si>
  <si>
    <t>Surplus/(Deficit) for the year</t>
  </si>
  <si>
    <t>Other Losses</t>
  </si>
  <si>
    <t>4400</t>
  </si>
  <si>
    <t>References</t>
  </si>
  <si>
    <t>4500</t>
  </si>
  <si>
    <t>1. Classifications are revenue sources and expenditure type</t>
  </si>
  <si>
    <t>4600</t>
  </si>
  <si>
    <t>2. Detail to be provided in Table SA1</t>
  </si>
  <si>
    <t>Transfers and subsidies - capital (monetary allocations)</t>
  </si>
  <si>
    <t>4700</t>
  </si>
  <si>
    <t>3. Previously described as 'bad or doubtful debts' - amounts shown should reflect the change in the provision for debt impairment</t>
  </si>
  <si>
    <t>Transfers and subsidies - capital (in-kind)</t>
  </si>
  <si>
    <t>4800</t>
  </si>
  <si>
    <t>4. Expenditure type components previously shown under repairs and maintenance should be allocated back to the originating expenditure group/item; e.g. employee costs</t>
  </si>
  <si>
    <t>4900</t>
  </si>
  <si>
    <t>5. Repairs &amp; maintenance detailed in Table A9 and Table SA34c</t>
  </si>
  <si>
    <t>Income Tax</t>
  </si>
  <si>
    <t>5000</t>
  </si>
  <si>
    <t>6. Contributions are funds provided by external organisations to assist with infrastructure development; e.g. developer contributions (detail to be provided in Table SA1)</t>
  </si>
  <si>
    <t>Surplus/(Deficit) after income tax</t>
  </si>
  <si>
    <t>5100</t>
  </si>
  <si>
    <t>Share of Surplus/Deficit attributable to Joint Venture</t>
  </si>
  <si>
    <t>7. Equity method</t>
  </si>
  <si>
    <t>5200</t>
  </si>
  <si>
    <t>8. All materials not part of 'bulk' e.g  road making materials, pipe, cable etc.</t>
  </si>
  <si>
    <t>Share of Surplus/Deficit attributable to Minorities</t>
  </si>
  <si>
    <t>5300</t>
  </si>
  <si>
    <t>x</t>
  </si>
  <si>
    <t>5400</t>
  </si>
  <si>
    <t>Share of Surplus/Deficit attributable to Associate</t>
  </si>
  <si>
    <t>5500</t>
  </si>
  <si>
    <t>Intercompany/Parent subsidiary transactions</t>
  </si>
  <si>
    <t>5600</t>
  </si>
  <si>
    <t>3. Debt impairment includes Impairment and Reversal of Impairment Losses</t>
  </si>
  <si>
    <t>7. Equity method ( Includes Joint Ventures)</t>
  </si>
  <si>
    <t>8. All materials consumed including water consumed and materials used in operations.</t>
  </si>
  <si>
    <t>Finance and administration</t>
  </si>
  <si>
    <t>OLD</t>
  </si>
  <si>
    <t>Internal audit</t>
  </si>
  <si>
    <t>zz</t>
  </si>
  <si>
    <t>z</t>
  </si>
  <si>
    <t>Other Services</t>
  </si>
  <si>
    <t>Community and social services</t>
  </si>
  <si>
    <t>Sport and recreation</t>
  </si>
  <si>
    <t>Public safety</t>
  </si>
  <si>
    <t>Housing</t>
  </si>
  <si>
    <t>Planning and development</t>
  </si>
  <si>
    <t>Road transport</t>
  </si>
  <si>
    <t>Environmental protection</t>
  </si>
  <si>
    <t>Other</t>
  </si>
  <si>
    <t>Trading Services</t>
  </si>
  <si>
    <t>Energy sources</t>
  </si>
  <si>
    <t>Water management</t>
  </si>
  <si>
    <t>Waste water management</t>
  </si>
  <si>
    <t>Waste management</t>
  </si>
  <si>
    <t xml:space="preserve">Total Per  16 Functions </t>
  </si>
  <si>
    <t>Total Per A4 Summary</t>
  </si>
  <si>
    <t>Consolidation of A4 Schedules per Function</t>
  </si>
  <si>
    <t>Reconciliation</t>
  </si>
  <si>
    <t>A4 Per function to A4 Table summary</t>
  </si>
  <si>
    <t>Finance and Administration</t>
  </si>
  <si>
    <t>Internal Audit</t>
  </si>
  <si>
    <t>Muni</t>
  </si>
  <si>
    <t>3.Service Departments</t>
  </si>
  <si>
    <t>A4 Summary (Data per A4 Summary from LG Database)</t>
  </si>
  <si>
    <t>Variance (3-4)</t>
  </si>
  <si>
    <t>Totals</t>
  </si>
  <si>
    <t>1.Transfers &amp; Subsidies</t>
  </si>
  <si>
    <t>Check</t>
  </si>
  <si>
    <t>Equitable Share (Transfers and Subsidies)</t>
  </si>
  <si>
    <t>2.Property Rates</t>
  </si>
  <si>
    <t>3.Other Income Sources</t>
  </si>
  <si>
    <t>Check = 0</t>
  </si>
  <si>
    <t>4.Expenditure</t>
  </si>
  <si>
    <t>5.% allocation of Gov &amp; Admin costs</t>
  </si>
  <si>
    <t>6.Analysis of Surplus/Deficit</t>
  </si>
  <si>
    <t>Revenue Required from the Tool</t>
  </si>
  <si>
    <t>From NT Tariffs Tool</t>
  </si>
  <si>
    <t xml:space="preserve">From LGBA Scraps - Budget </t>
  </si>
  <si>
    <t>LPT tool Calculations</t>
  </si>
  <si>
    <t>Modimolle Local Municipality</t>
  </si>
  <si>
    <t>Total Deficit /Surplus</t>
  </si>
  <si>
    <t>Income &amp; Exp Budget - All 16 Functions</t>
  </si>
  <si>
    <t xml:space="preserve">For Pulling from The Scraps </t>
  </si>
  <si>
    <t>For High Level Reconciliations</t>
  </si>
  <si>
    <t>PK-1</t>
  </si>
  <si>
    <t>PK-2</t>
  </si>
  <si>
    <t>Maping/Pulling from The Downladed LGBA Report</t>
  </si>
  <si>
    <t>Per Function (Totals)</t>
  </si>
  <si>
    <r>
      <t xml:space="preserve">This tool only sets tariffs for services. There are a number of other service charges identified in mSCOA v 6.3 that are not set using this tool. The user must allocate the value of these service charges anticipated </t>
    </r>
    <r>
      <rPr>
        <b/>
        <i/>
        <sz val="7"/>
        <color indexed="8"/>
        <rFont val="Arial Narrow"/>
        <family val="2"/>
      </rPr>
      <t>in the year for which the tariffs</t>
    </r>
    <r>
      <rPr>
        <i/>
        <sz val="7"/>
        <color indexed="8"/>
        <rFont val="Arial Narrow"/>
        <family val="2"/>
      </rPr>
      <t xml:space="preserve"> are being set in the yellow highlighted cells below.</t>
    </r>
  </si>
  <si>
    <t>Year1</t>
  </si>
  <si>
    <t>2023/2024</t>
  </si>
  <si>
    <t>Financial Year</t>
  </si>
  <si>
    <t>Period</t>
  </si>
  <si>
    <t>Surplus /Deficit</t>
  </si>
  <si>
    <t>Assessment Status</t>
  </si>
  <si>
    <t>Item</t>
  </si>
  <si>
    <t>Year2</t>
  </si>
  <si>
    <t>Year3</t>
  </si>
  <si>
    <t>2024/2025</t>
  </si>
  <si>
    <t>2025/2026</t>
  </si>
  <si>
    <t>Year 1</t>
  </si>
  <si>
    <t>Year 2</t>
  </si>
  <si>
    <t>Year 3</t>
  </si>
  <si>
    <r>
      <t>Enter the total anticipated expenditure</t>
    </r>
    <r>
      <rPr>
        <b/>
        <i/>
        <sz val="9"/>
        <color indexed="8"/>
        <rFont val="Calibri"/>
        <family val="2"/>
      </rPr>
      <t xml:space="preserve"> in the year for which the tariffs are being set</t>
    </r>
    <r>
      <rPr>
        <i/>
        <sz val="9"/>
        <color indexed="8"/>
        <rFont val="Calibri"/>
        <family val="2"/>
      </rPr>
      <t>. This expenditure must then be allocated to each service in order to calculate the total direct cost of providing that service. The expenditure types in white cells are from the MBRR classification. The user may choose to enter other expenditure types in the yellow cells in the 'Type of expenditure' column. There is a check to the right of the table that the amounts allocated to the services all add up to the total. Make sure that this check is zero.</t>
    </r>
  </si>
  <si>
    <t>TABB</t>
  </si>
  <si>
    <t>ORGB</t>
  </si>
  <si>
    <t>ADJB</t>
  </si>
  <si>
    <t>30/06/2023</t>
  </si>
  <si>
    <t>30/06/2024</t>
  </si>
  <si>
    <t>30/06/2025</t>
  </si>
  <si>
    <t>30/06/2022</t>
  </si>
  <si>
    <t>30/06/2026</t>
  </si>
  <si>
    <r>
      <t>User must enter the name of each individual operating grant and the amount that is anticipated to be received</t>
    </r>
    <r>
      <rPr>
        <b/>
        <i/>
        <sz val="8"/>
        <color indexed="8"/>
        <rFont val="Arial Narrow"/>
        <family val="2"/>
      </rPr>
      <t xml:space="preserve"> in the year for which the tariffs are being set</t>
    </r>
    <r>
      <rPr>
        <i/>
        <sz val="8"/>
        <color indexed="8"/>
        <rFont val="Arial Narrow"/>
        <family val="2"/>
      </rPr>
      <t>. The user must then enter the amont to be allocated to each service. There is a check to the right of the table that the amounts allocated to the services all add up to the total. Make sure that this check is zero.</t>
    </r>
  </si>
  <si>
    <r>
      <t xml:space="preserve">Property rates are typically used to pay for services that are publicly accessed. This means that property rates are typically allocated to 'other' services. However, property rates might be allocated to a trading service if a portion of that trading service is publicly accessed. This may be the case for the street lighting component of electricity, for example. The user must enter the anticipated property rates revenue </t>
    </r>
    <r>
      <rPr>
        <b/>
        <i/>
        <sz val="8"/>
        <color indexed="8"/>
        <rFont val="Arial Narrow"/>
        <family val="2"/>
      </rPr>
      <t>in the year for which tariffs are being set</t>
    </r>
    <r>
      <rPr>
        <i/>
        <sz val="8"/>
        <color indexed="8"/>
        <rFont val="Arial Narrow"/>
        <family val="2"/>
      </rPr>
      <t>, and then allocate this revenue between the services in the table below. As a default, allocate all property rates revenue to 'other' services.  There is a check to the right of the table that the amounts allocated to the services all add up to the total. Make sure that this check is zero.</t>
    </r>
  </si>
  <si>
    <r>
      <t>User must enter the amount of other income sources anticipated to be received</t>
    </r>
    <r>
      <rPr>
        <b/>
        <i/>
        <sz val="8"/>
        <color indexed="8"/>
        <rFont val="Arial Narrow"/>
        <family val="2"/>
      </rPr>
      <t xml:space="preserve"> in the year for which the tariffs are being set</t>
    </r>
    <r>
      <rPr>
        <i/>
        <sz val="8"/>
        <color indexed="8"/>
        <rFont val="Arial Narrow"/>
        <family val="2"/>
      </rPr>
      <t>, and then allocate these between the service in the yellow highlighted cells. There is a check to the right of the table that the amounts allocated to the services all add up to the total. Make sure that this check is zero.</t>
    </r>
  </si>
  <si>
    <r>
      <t xml:space="preserve">This tool only sets tariffs for services. There are a number of other service charges identified in mSCOA v 6.3 that are not set using this tool. The user must allocate the value of these service charges anticipated </t>
    </r>
    <r>
      <rPr>
        <b/>
        <i/>
        <sz val="8"/>
        <color indexed="8"/>
        <rFont val="Arial Narrow"/>
        <family val="2"/>
      </rPr>
      <t>in the year for which the tariffs</t>
    </r>
    <r>
      <rPr>
        <i/>
        <sz val="8"/>
        <color indexed="8"/>
        <rFont val="Arial Narrow"/>
        <family val="2"/>
      </rPr>
      <t xml:space="preserve"> are being set in the yellow highlighted cells below.</t>
    </r>
  </si>
  <si>
    <t xml:space="preserve">Tariff Assessments for the MTREF Period </t>
  </si>
  <si>
    <t>Assessment Outcome per Service</t>
  </si>
  <si>
    <t>No.</t>
  </si>
  <si>
    <t>Province</t>
  </si>
  <si>
    <t>District</t>
  </si>
  <si>
    <t>Location Code</t>
  </si>
  <si>
    <t>LP</t>
  </si>
  <si>
    <t>Ba-Phalaborwa</t>
  </si>
  <si>
    <t>Mopani</t>
  </si>
  <si>
    <t>LIM334</t>
  </si>
  <si>
    <t>Bela Bela</t>
  </si>
  <si>
    <t>Waterberg</t>
  </si>
  <si>
    <t>LIM366</t>
  </si>
  <si>
    <t>Blouberg</t>
  </si>
  <si>
    <t>Capricorn</t>
  </si>
  <si>
    <t>LIM351</t>
  </si>
  <si>
    <t>DC35</t>
  </si>
  <si>
    <t>Collins Chabane</t>
  </si>
  <si>
    <t>Vhembe</t>
  </si>
  <si>
    <t>LIM345</t>
  </si>
  <si>
    <t>Elias Motsoaledi</t>
  </si>
  <si>
    <t>Sekhukhune</t>
  </si>
  <si>
    <t>LIM472</t>
  </si>
  <si>
    <t>Ephraim Mogale</t>
  </si>
  <si>
    <t>LIM471</t>
  </si>
  <si>
    <t>Greater Giyani</t>
  </si>
  <si>
    <t>LIM331</t>
  </si>
  <si>
    <t>Greater Letaba</t>
  </si>
  <si>
    <t>LIM332</t>
  </si>
  <si>
    <t>Greater Tzaneen</t>
  </si>
  <si>
    <t>LIM333</t>
  </si>
  <si>
    <t>Lepelle-Nkumpi</t>
  </si>
  <si>
    <t>LIM355</t>
  </si>
  <si>
    <t>Lephalale</t>
  </si>
  <si>
    <t>LIM362</t>
  </si>
  <si>
    <t>Makhado</t>
  </si>
  <si>
    <t>LIM344</t>
  </si>
  <si>
    <t>Makhuduthamaga</t>
  </si>
  <si>
    <t>LIM473</t>
  </si>
  <si>
    <t>Maruleng</t>
  </si>
  <si>
    <t>LIM335</t>
  </si>
  <si>
    <t>Modimolle-Mookgopong</t>
  </si>
  <si>
    <t>LIM368</t>
  </si>
  <si>
    <t>Mogalakwena</t>
  </si>
  <si>
    <t>LIM367</t>
  </si>
  <si>
    <t>Molemole</t>
  </si>
  <si>
    <t>LIM353</t>
  </si>
  <si>
    <t>DC33</t>
  </si>
  <si>
    <t>Musina</t>
  </si>
  <si>
    <t>LIM341</t>
  </si>
  <si>
    <t>Polokwane</t>
  </si>
  <si>
    <t>LIM354</t>
  </si>
  <si>
    <t>DC47</t>
  </si>
  <si>
    <t>Thabazimbi</t>
  </si>
  <si>
    <t>LIM361</t>
  </si>
  <si>
    <t>Thulamela</t>
  </si>
  <si>
    <t>LIM343</t>
  </si>
  <si>
    <t>Tubatse Fetakgomo</t>
  </si>
  <si>
    <t>LIM476</t>
  </si>
  <si>
    <t>DC34</t>
  </si>
  <si>
    <t>DC36</t>
  </si>
  <si>
    <t>EC</t>
  </si>
  <si>
    <t>Senqu</t>
  </si>
  <si>
    <t>Joe Gqabi</t>
  </si>
  <si>
    <t>EC142</t>
  </si>
  <si>
    <t>Alfred Nzo District</t>
  </si>
  <si>
    <t>Alfred Nzo</t>
  </si>
  <si>
    <t>DC44</t>
  </si>
  <si>
    <t>Joe Gqabi District</t>
  </si>
  <si>
    <t>DC14</t>
  </si>
  <si>
    <t xml:space="preserve">Sarah Baartman District </t>
  </si>
  <si>
    <t>Sarah Baartman</t>
  </si>
  <si>
    <t>DC10</t>
  </si>
  <si>
    <t>Blue Crane Route</t>
  </si>
  <si>
    <t>EC102</t>
  </si>
  <si>
    <t>Elundini</t>
  </si>
  <si>
    <t>EC141</t>
  </si>
  <si>
    <t>Emalahleni</t>
  </si>
  <si>
    <t>Chris Hani</t>
  </si>
  <si>
    <t>EC136</t>
  </si>
  <si>
    <t>Engcobo</t>
  </si>
  <si>
    <t>EC137</t>
  </si>
  <si>
    <t>Inxuba Yethemba</t>
  </si>
  <si>
    <t>EC131</t>
  </si>
  <si>
    <t>Kou Kamma</t>
  </si>
  <si>
    <t>EC109</t>
  </si>
  <si>
    <t>Kouga</t>
  </si>
  <si>
    <t>EC108</t>
  </si>
  <si>
    <t>Matatiele</t>
  </si>
  <si>
    <t>EC441</t>
  </si>
  <si>
    <t>Mbhashe</t>
  </si>
  <si>
    <t>Amatole</t>
  </si>
  <si>
    <t>EC121</t>
  </si>
  <si>
    <t>Mbizana</t>
  </si>
  <si>
    <t>EC443</t>
  </si>
  <si>
    <t>Ntabankulu</t>
  </si>
  <si>
    <t>EC444</t>
  </si>
  <si>
    <t>Nyandeni</t>
  </si>
  <si>
    <t>O.R. Tambo</t>
  </si>
  <si>
    <t>EC155</t>
  </si>
  <si>
    <t>Buffalo City Metro</t>
  </si>
  <si>
    <t xml:space="preserve">Buffalo City Metro </t>
  </si>
  <si>
    <t>BUF</t>
  </si>
  <si>
    <t>OR Tambo District</t>
  </si>
  <si>
    <t>DC15</t>
  </si>
  <si>
    <t>Amahlati</t>
  </si>
  <si>
    <t>EC124</t>
  </si>
  <si>
    <t>Intsika Yethu</t>
  </si>
  <si>
    <t>EC135</t>
  </si>
  <si>
    <t>King Sabata Dalindyebo</t>
  </si>
  <si>
    <t>EC157</t>
  </si>
  <si>
    <t>Mhlontlo</t>
  </si>
  <si>
    <t>EC156</t>
  </si>
  <si>
    <t>Mnquma</t>
  </si>
  <si>
    <t>EC122</t>
  </si>
  <si>
    <t>Ndlambe</t>
  </si>
  <si>
    <t>EC105</t>
  </si>
  <si>
    <t>Ngqushwa</t>
  </si>
  <si>
    <t>EC126</t>
  </si>
  <si>
    <t>Port St. Johns</t>
  </si>
  <si>
    <t>EC154</t>
  </si>
  <si>
    <t>Raymond Mhlaba</t>
  </si>
  <si>
    <t>EC129</t>
  </si>
  <si>
    <t>Sakhisizwe</t>
  </si>
  <si>
    <t>EC138</t>
  </si>
  <si>
    <t>Umzimvubu</t>
  </si>
  <si>
    <t>EC442</t>
  </si>
  <si>
    <t>Amathole District</t>
  </si>
  <si>
    <t>DC12</t>
  </si>
  <si>
    <t>Chris Hani District</t>
  </si>
  <si>
    <t>DC13</t>
  </si>
  <si>
    <t>Dr Beyers Naudé</t>
  </si>
  <si>
    <t>EC101</t>
  </si>
  <si>
    <t>Great Kei</t>
  </si>
  <si>
    <t>EC123</t>
  </si>
  <si>
    <t>Ingquza Hill</t>
  </si>
  <si>
    <t>EC153</t>
  </si>
  <si>
    <t>Makana</t>
  </si>
  <si>
    <t>EC104</t>
  </si>
  <si>
    <t>Sundays River Valley</t>
  </si>
  <si>
    <t>EC106</t>
  </si>
  <si>
    <t>Walter Sisulu</t>
  </si>
  <si>
    <t>EC145</t>
  </si>
  <si>
    <t>Nelson Mandela Bay Metro</t>
  </si>
  <si>
    <t>Nelson Mandela Metro</t>
  </si>
  <si>
    <t>NMA</t>
  </si>
  <si>
    <t>FS</t>
  </si>
  <si>
    <t>Enoch Mgijima</t>
  </si>
  <si>
    <t>EC139</t>
  </si>
  <si>
    <t>Lejweleputswa District</t>
  </si>
  <si>
    <t>Lejweleputswa</t>
  </si>
  <si>
    <t>DC18</t>
  </si>
  <si>
    <t>Thabo Mofutsanyana District</t>
  </si>
  <si>
    <t>Thabo Mofutsanyana</t>
  </si>
  <si>
    <t>DC19</t>
  </si>
  <si>
    <t>Xhariep</t>
  </si>
  <si>
    <t>Mangaung Metro</t>
  </si>
  <si>
    <t>MAN</t>
  </si>
  <si>
    <t>Dihlabeng</t>
  </si>
  <si>
    <t>FS192</t>
  </si>
  <si>
    <t>Letsemeng</t>
  </si>
  <si>
    <t>FS161</t>
  </si>
  <si>
    <t>Metsimaholo</t>
  </si>
  <si>
    <t>Fezile Dabi</t>
  </si>
  <si>
    <t>FS204</t>
  </si>
  <si>
    <t>Mohokare</t>
  </si>
  <si>
    <t>FS163</t>
  </si>
  <si>
    <t>Moqhaka</t>
  </si>
  <si>
    <t>FS201</t>
  </si>
  <si>
    <t>Ngwathe</t>
  </si>
  <si>
    <t>FS203</t>
  </si>
  <si>
    <t>Setsoto</t>
  </si>
  <si>
    <t>FS191</t>
  </si>
  <si>
    <t>Tswelopele</t>
  </si>
  <si>
    <t>FS183</t>
  </si>
  <si>
    <t>Fezile Dabi District</t>
  </si>
  <si>
    <t>DC20</t>
  </si>
  <si>
    <t>Nala</t>
  </si>
  <si>
    <t>FS185</t>
  </si>
  <si>
    <t>Nketoana</t>
  </si>
  <si>
    <t>FS193</t>
  </si>
  <si>
    <t>Kopanong</t>
  </si>
  <si>
    <t>FS162</t>
  </si>
  <si>
    <t>Mafube</t>
  </si>
  <si>
    <t>FS205</t>
  </si>
  <si>
    <t>Maluti-A-Phofung</t>
  </si>
  <si>
    <t>FS194</t>
  </si>
  <si>
    <t>Mantsopa</t>
  </si>
  <si>
    <t>FS196</t>
  </si>
  <si>
    <t>Masilonyana</t>
  </si>
  <si>
    <t>FS181</t>
  </si>
  <si>
    <t>Matjhabeng</t>
  </si>
  <si>
    <t>FS184</t>
  </si>
  <si>
    <t>Phumelela</t>
  </si>
  <si>
    <t>FS195</t>
  </si>
  <si>
    <t>GP</t>
  </si>
  <si>
    <t>Tokologo</t>
  </si>
  <si>
    <t>FS182</t>
  </si>
  <si>
    <t>Midvaal</t>
  </si>
  <si>
    <t>Sedibeng</t>
  </si>
  <si>
    <t>GT422</t>
  </si>
  <si>
    <t>City of Ekurhuleni</t>
  </si>
  <si>
    <t>Ekurhuleni Metro</t>
  </si>
  <si>
    <t>EKU</t>
  </si>
  <si>
    <t>City of Johannesburg Metro</t>
  </si>
  <si>
    <t>Johannesburg Metro</t>
  </si>
  <si>
    <t>JHB</t>
  </si>
  <si>
    <t>Sedibeng District</t>
  </si>
  <si>
    <t>DC42</t>
  </si>
  <si>
    <t xml:space="preserve">West Rand District </t>
  </si>
  <si>
    <t>West Rand</t>
  </si>
  <si>
    <t>DC48</t>
  </si>
  <si>
    <t xml:space="preserve">Lesedi </t>
  </si>
  <si>
    <t>GT423</t>
  </si>
  <si>
    <t>Merafong City</t>
  </si>
  <si>
    <t>GT484</t>
  </si>
  <si>
    <t>Mogale City</t>
  </si>
  <si>
    <t>GT481</t>
  </si>
  <si>
    <t>Rand West City</t>
  </si>
  <si>
    <t>GT485</t>
  </si>
  <si>
    <t>City of Tshwane Metro</t>
  </si>
  <si>
    <t>Tshwane Metro</t>
  </si>
  <si>
    <t>TSH</t>
  </si>
  <si>
    <t>KZN</t>
  </si>
  <si>
    <t>Emfuleni</t>
  </si>
  <si>
    <t>GT421</t>
  </si>
  <si>
    <t>Okhahlamba</t>
  </si>
  <si>
    <t>uThukela</t>
  </si>
  <si>
    <t>KZN235</t>
  </si>
  <si>
    <t>eThekwini Metro</t>
  </si>
  <si>
    <t>ETH</t>
  </si>
  <si>
    <t>Harry Gwala District</t>
  </si>
  <si>
    <t>Harry Gwala</t>
  </si>
  <si>
    <t>DC43</t>
  </si>
  <si>
    <t>Ilembe District</t>
  </si>
  <si>
    <t>iLembe</t>
  </si>
  <si>
    <t>DC29</t>
  </si>
  <si>
    <t>King Cetshwayo District</t>
  </si>
  <si>
    <t>uThungulu</t>
  </si>
  <si>
    <t>DC28</t>
  </si>
  <si>
    <t>Abaqulusi</t>
  </si>
  <si>
    <t>Zululand</t>
  </si>
  <si>
    <t>KZN263</t>
  </si>
  <si>
    <t>Alfred Duma</t>
  </si>
  <si>
    <t>KZN238</t>
  </si>
  <si>
    <t>Dr Nkosazana Dlamini Zuma</t>
  </si>
  <si>
    <t>KZN436</t>
  </si>
  <si>
    <t>eMadlangeni</t>
  </si>
  <si>
    <t>Amajuba</t>
  </si>
  <si>
    <t>KZN253</t>
  </si>
  <si>
    <t>Endumeni</t>
  </si>
  <si>
    <t>uMzinyathi</t>
  </si>
  <si>
    <t>KZN241</t>
  </si>
  <si>
    <t>Greater Kokstad</t>
  </si>
  <si>
    <t>KZN433</t>
  </si>
  <si>
    <t>Kwadukuza</t>
  </si>
  <si>
    <t>KZN292</t>
  </si>
  <si>
    <t>Mandeni</t>
  </si>
  <si>
    <t>KZN291</t>
  </si>
  <si>
    <t>Maphumulo</t>
  </si>
  <si>
    <t>KZN294</t>
  </si>
  <si>
    <t>Mfolozi</t>
  </si>
  <si>
    <t>KZN281</t>
  </si>
  <si>
    <t>Mkhambathini</t>
  </si>
  <si>
    <t>uMgungundlovu</t>
  </si>
  <si>
    <t>KZN226</t>
  </si>
  <si>
    <t>Msinga</t>
  </si>
  <si>
    <t>KZN244</t>
  </si>
  <si>
    <t>Mthonjaneni</t>
  </si>
  <si>
    <t>KZN285</t>
  </si>
  <si>
    <t>Ndwedwe</t>
  </si>
  <si>
    <t>KZN293</t>
  </si>
  <si>
    <t>Newcastle</t>
  </si>
  <si>
    <t>KZN252</t>
  </si>
  <si>
    <t>Nkandla</t>
  </si>
  <si>
    <t>KZN286</t>
  </si>
  <si>
    <t>Nongoma</t>
  </si>
  <si>
    <t>KZN265</t>
  </si>
  <si>
    <t>Nquthu</t>
  </si>
  <si>
    <t>KZN242</t>
  </si>
  <si>
    <t>Ray Nkonyeni</t>
  </si>
  <si>
    <t>Ugu</t>
  </si>
  <si>
    <t>KZN216</t>
  </si>
  <si>
    <t>Ulundi</t>
  </si>
  <si>
    <t>KZN266</t>
  </si>
  <si>
    <t>uMdoni</t>
  </si>
  <si>
    <t>KZN212</t>
  </si>
  <si>
    <t>uMhlabuyalingana</t>
  </si>
  <si>
    <t>uMkhanyakude</t>
  </si>
  <si>
    <t>KZN271</t>
  </si>
  <si>
    <t>uMhlathuze</t>
  </si>
  <si>
    <t>KZN282</t>
  </si>
  <si>
    <t>Umlalazi</t>
  </si>
  <si>
    <t>KZN284</t>
  </si>
  <si>
    <t>Umuziwabantu</t>
  </si>
  <si>
    <t>KZN214</t>
  </si>
  <si>
    <t>Umvoti</t>
  </si>
  <si>
    <t>KZN245</t>
  </si>
  <si>
    <t>Umzumbe</t>
  </si>
  <si>
    <t>KZN213</t>
  </si>
  <si>
    <t>uPhongolo</t>
  </si>
  <si>
    <t>KZN262</t>
  </si>
  <si>
    <t>Amajuba District</t>
  </si>
  <si>
    <t>DC25</t>
  </si>
  <si>
    <t>Ugu District</t>
  </si>
  <si>
    <t>DC21</t>
  </si>
  <si>
    <t>Umgungundlovu District</t>
  </si>
  <si>
    <t>DC22</t>
  </si>
  <si>
    <t>uMkhanyakude District</t>
  </si>
  <si>
    <t>DC27</t>
  </si>
  <si>
    <t>uThukela District</t>
  </si>
  <si>
    <t>DC23</t>
  </si>
  <si>
    <t>Zululand District</t>
  </si>
  <si>
    <t>DC26</t>
  </si>
  <si>
    <t>Big 5 Hlabisa</t>
  </si>
  <si>
    <t>KZN276</t>
  </si>
  <si>
    <t>Dannhauser</t>
  </si>
  <si>
    <t>KZN254</t>
  </si>
  <si>
    <t>eDumbe</t>
  </si>
  <si>
    <t>KZN261</t>
  </si>
  <si>
    <t>Impendle</t>
  </si>
  <si>
    <t>KZN224</t>
  </si>
  <si>
    <t>Jozini</t>
  </si>
  <si>
    <t>KZN272</t>
  </si>
  <si>
    <t>Msunduzi</t>
  </si>
  <si>
    <t>KZN225</t>
  </si>
  <si>
    <t>Mtubatuba</t>
  </si>
  <si>
    <t>KZN275</t>
  </si>
  <si>
    <t>Richmond</t>
  </si>
  <si>
    <t>KZN227</t>
  </si>
  <si>
    <t>Ubuhlebezwe</t>
  </si>
  <si>
    <t>KZN434</t>
  </si>
  <si>
    <t>Umngeni</t>
  </si>
  <si>
    <t>KZN222</t>
  </si>
  <si>
    <t>uMshwathi</t>
  </si>
  <si>
    <t>KZN221</t>
  </si>
  <si>
    <t>uMzimkhulu</t>
  </si>
  <si>
    <t>KZN435</t>
  </si>
  <si>
    <t>uMzinyathi District</t>
  </si>
  <si>
    <t>DC24</t>
  </si>
  <si>
    <t>Mpofana</t>
  </si>
  <si>
    <t>KZN223</t>
  </si>
  <si>
    <t>MP</t>
  </si>
  <si>
    <t>Inkosi Langalibalele</t>
  </si>
  <si>
    <t>KZN237</t>
  </si>
  <si>
    <t>Gert Sibande District</t>
  </si>
  <si>
    <t>Gert Sibande</t>
  </si>
  <si>
    <t>DC30</t>
  </si>
  <si>
    <t>Nkangala District</t>
  </si>
  <si>
    <t>Nkangala</t>
  </si>
  <si>
    <t>DC31</t>
  </si>
  <si>
    <t>Ehlanzeni District</t>
  </si>
  <si>
    <t>Ehlanzeni</t>
  </si>
  <si>
    <t>DC32</t>
  </si>
  <si>
    <t>Bushbuckridge</t>
  </si>
  <si>
    <t>MP325</t>
  </si>
  <si>
    <t>Chief Albert Luthuli</t>
  </si>
  <si>
    <t>MP301</t>
  </si>
  <si>
    <t>Nkomazi</t>
  </si>
  <si>
    <t>MP324</t>
  </si>
  <si>
    <t>Steve Tshwete</t>
  </si>
  <si>
    <t>MP313</t>
  </si>
  <si>
    <t>City of Mbombela</t>
  </si>
  <si>
    <t>MP326</t>
  </si>
  <si>
    <t>MP312</t>
  </si>
  <si>
    <t>Mkhondo</t>
  </si>
  <si>
    <t>MP303</t>
  </si>
  <si>
    <t>Thaba Chweu</t>
  </si>
  <si>
    <t>MP321</t>
  </si>
  <si>
    <t>Thembisile Hani</t>
  </si>
  <si>
    <t>MP315</t>
  </si>
  <si>
    <t>Emakhazeni</t>
  </si>
  <si>
    <t>MP314</t>
  </si>
  <si>
    <t>Msukaligwa</t>
  </si>
  <si>
    <t>MP302</t>
  </si>
  <si>
    <t>Dipaleseng</t>
  </si>
  <si>
    <t>MP306</t>
  </si>
  <si>
    <t>Dr Pixley Ka Isaka Seme</t>
  </si>
  <si>
    <t>MP304</t>
  </si>
  <si>
    <t>Lekwa</t>
  </si>
  <si>
    <t>MP305</t>
  </si>
  <si>
    <t>Victor Khanye</t>
  </si>
  <si>
    <t>MP311</t>
  </si>
  <si>
    <t>Dr. JS Moroka</t>
  </si>
  <si>
    <t>MP316</t>
  </si>
  <si>
    <t>NC</t>
  </si>
  <si>
    <t>Govan Mbeki</t>
  </si>
  <si>
    <t>MP307</t>
  </si>
  <si>
    <t>John Taolo Gaetsewe District</t>
  </si>
  <si>
    <t>John Taolo Gaetsewe</t>
  </si>
  <si>
    <t>DC45</t>
  </si>
  <si>
    <t>Frances Baard District</t>
  </si>
  <si>
    <t>Frances Baard</t>
  </si>
  <si>
    <t>DC9</t>
  </si>
  <si>
    <t xml:space="preserve">Namakwa District </t>
  </si>
  <si>
    <t>Namakwa</t>
  </si>
  <si>
    <t>DC6</t>
  </si>
  <si>
    <t xml:space="preserve">Pixley Ka Seme District </t>
  </si>
  <si>
    <t>Pixley Ka Seme - NC</t>
  </si>
  <si>
    <t>DC7</t>
  </si>
  <si>
    <t xml:space="preserve">ZF Mgcawu District </t>
  </si>
  <si>
    <t>ZF Mgcawu District</t>
  </si>
  <si>
    <t>DC8</t>
  </si>
  <si>
    <t>Dawid Kruiper</t>
  </si>
  <si>
    <t>NC087</t>
  </si>
  <si>
    <t>Hantam</t>
  </si>
  <si>
    <t>NC065</t>
  </si>
  <si>
    <t xml:space="preserve">Kareeberg </t>
  </si>
  <si>
    <t>NC074</t>
  </si>
  <si>
    <t xml:space="preserve">Siyancuma </t>
  </si>
  <si>
    <t>NC078</t>
  </si>
  <si>
    <t xml:space="preserve">Emthanjeni </t>
  </si>
  <si>
    <t>NC073</t>
  </si>
  <si>
    <t>Gamagara</t>
  </si>
  <si>
    <t>NC453</t>
  </si>
  <si>
    <t>Karoo Hoogland</t>
  </si>
  <si>
    <t>NC066</t>
  </si>
  <si>
    <t>Khai-Ma</t>
  </si>
  <si>
    <t>NC067</t>
  </si>
  <si>
    <t>Magareng</t>
  </si>
  <si>
    <t>NC093</t>
  </si>
  <si>
    <t>Nama Khoi</t>
  </si>
  <si>
    <t>NC062</t>
  </si>
  <si>
    <t xml:space="preserve">Richtersveld </t>
  </si>
  <si>
    <t>NC061</t>
  </si>
  <si>
    <t xml:space="preserve">Siyathemba </t>
  </si>
  <si>
    <t>NC077</t>
  </si>
  <si>
    <t>Sol Plaatje</t>
  </si>
  <si>
    <t>NC091</t>
  </si>
  <si>
    <t>Thembelihle</t>
  </si>
  <si>
    <t>NC076</t>
  </si>
  <si>
    <t>Ubuntu</t>
  </si>
  <si>
    <t>NC071</t>
  </si>
  <si>
    <t>Umsobomvu</t>
  </si>
  <si>
    <t>NC072</t>
  </si>
  <si>
    <t xml:space="preserve">!Kheis </t>
  </si>
  <si>
    <t>NC084</t>
  </si>
  <si>
    <t>Dikgatlong</t>
  </si>
  <si>
    <t>NC092</t>
  </si>
  <si>
    <t>Joe Morolong</t>
  </si>
  <si>
    <t>NC451</t>
  </si>
  <si>
    <t>Kai !Garib</t>
  </si>
  <si>
    <t>NC082</t>
  </si>
  <si>
    <t>Kamiesberg</t>
  </si>
  <si>
    <t>NC064</t>
  </si>
  <si>
    <t>Kgatelopele</t>
  </si>
  <si>
    <t>NC086</t>
  </si>
  <si>
    <t>Ga-Segonyana</t>
  </si>
  <si>
    <t>NC452</t>
  </si>
  <si>
    <t>Phokwane</t>
  </si>
  <si>
    <t>NC094</t>
  </si>
  <si>
    <t xml:space="preserve">Renosterberg </t>
  </si>
  <si>
    <t>NC075</t>
  </si>
  <si>
    <t>NW</t>
  </si>
  <si>
    <t>Tsantsabane</t>
  </si>
  <si>
    <t>NC085</t>
  </si>
  <si>
    <t>Dr Kenneth Kaunda District</t>
  </si>
  <si>
    <t>Dr Kenneth Kaunda</t>
  </si>
  <si>
    <t>DC40</t>
  </si>
  <si>
    <t>JB Marks</t>
  </si>
  <si>
    <t>NW405</t>
  </si>
  <si>
    <t>Kagisano-Molopo</t>
  </si>
  <si>
    <t>Dr Ruth S Mompati</t>
  </si>
  <si>
    <t>NW397</t>
  </si>
  <si>
    <t>Matlosana</t>
  </si>
  <si>
    <t>NW403</t>
  </si>
  <si>
    <t>Moretele</t>
  </si>
  <si>
    <t>Bojanala Platinum</t>
  </si>
  <si>
    <t>NW371</t>
  </si>
  <si>
    <t>Moses Kotane</t>
  </si>
  <si>
    <t>NW375</t>
  </si>
  <si>
    <t>Rustenburg</t>
  </si>
  <si>
    <t>NW373</t>
  </si>
  <si>
    <t>Tswaing</t>
  </si>
  <si>
    <t>Ngaka Modiri Molema</t>
  </si>
  <si>
    <t>NW382</t>
  </si>
  <si>
    <t>Dr Ruth S Mompati District</t>
  </si>
  <si>
    <t xml:space="preserve">DC39 </t>
  </si>
  <si>
    <t>Ditsobotla</t>
  </si>
  <si>
    <t>NW384</t>
  </si>
  <si>
    <t>Kgetlengriver</t>
  </si>
  <si>
    <t>NW374</t>
  </si>
  <si>
    <t>Lekwa Teemane</t>
  </si>
  <si>
    <t>NW396</t>
  </si>
  <si>
    <t>Madibeng</t>
  </si>
  <si>
    <t>NW372</t>
  </si>
  <si>
    <t>Mahikeng</t>
  </si>
  <si>
    <t>NW383</t>
  </si>
  <si>
    <t>Maquassi Hills</t>
  </si>
  <si>
    <t>NW404</t>
  </si>
  <si>
    <t>Ramotshere Moiloa</t>
  </si>
  <si>
    <t>NW385</t>
  </si>
  <si>
    <t>Ratlou</t>
  </si>
  <si>
    <t>NW381</t>
  </si>
  <si>
    <t>Bojanala District</t>
  </si>
  <si>
    <t>DC37</t>
  </si>
  <si>
    <t>Ngaka Modiri Molema District</t>
  </si>
  <si>
    <t>DC38</t>
  </si>
  <si>
    <t>Greater Taung</t>
  </si>
  <si>
    <t>NW394</t>
  </si>
  <si>
    <t>Mamusa</t>
  </si>
  <si>
    <t>NW393</t>
  </si>
  <si>
    <t>WC</t>
  </si>
  <si>
    <t>Naledi</t>
  </si>
  <si>
    <t>NW392</t>
  </si>
  <si>
    <t>Cape Winelands District</t>
  </si>
  <si>
    <t>Cape Winelands</t>
  </si>
  <si>
    <t>DC2</t>
  </si>
  <si>
    <t>West Coast District</t>
  </si>
  <si>
    <t>West Coast</t>
  </si>
  <si>
    <t>DC1</t>
  </si>
  <si>
    <t>Bergriver</t>
  </si>
  <si>
    <t>WC013</t>
  </si>
  <si>
    <t>Cape Agulhas</t>
  </si>
  <si>
    <t>Overberg</t>
  </si>
  <si>
    <t>WC033</t>
  </si>
  <si>
    <t>Cederberg</t>
  </si>
  <si>
    <t>WC012</t>
  </si>
  <si>
    <t>Drakenstein</t>
  </si>
  <si>
    <t>WC023</t>
  </si>
  <si>
    <t>Hessequa</t>
  </si>
  <si>
    <t>Garden Route</t>
  </si>
  <si>
    <t>WC042</t>
  </si>
  <si>
    <t>Langeberg</t>
  </si>
  <si>
    <t>WC026</t>
  </si>
  <si>
    <t>Overstrand</t>
  </si>
  <si>
    <t>WC032</t>
  </si>
  <si>
    <t>Prince Albert</t>
  </si>
  <si>
    <t>Central Karoo</t>
  </si>
  <si>
    <t>WC052</t>
  </si>
  <si>
    <t>Saldanha Bay</t>
  </si>
  <si>
    <t>WC014</t>
  </si>
  <si>
    <t>Theewaterskloof</t>
  </si>
  <si>
    <t>WC031</t>
  </si>
  <si>
    <t>Witzenberg</t>
  </si>
  <si>
    <t>WC022</t>
  </si>
  <si>
    <t>City of Cape Town Metro</t>
  </si>
  <si>
    <t>Cape Town Metro</t>
  </si>
  <si>
    <t>CPT</t>
  </si>
  <si>
    <t>Central Karoo District</t>
  </si>
  <si>
    <t>DC5</t>
  </si>
  <si>
    <t>Garden Route District</t>
  </si>
  <si>
    <t>DC4</t>
  </si>
  <si>
    <t>Overberg District</t>
  </si>
  <si>
    <t>DC3</t>
  </si>
  <si>
    <t>Bitou</t>
  </si>
  <si>
    <t>WC047</t>
  </si>
  <si>
    <t>Breede Valley</t>
  </si>
  <si>
    <t>WC025</t>
  </si>
  <si>
    <t>George</t>
  </si>
  <si>
    <t>WC044</t>
  </si>
  <si>
    <t>Knysna</t>
  </si>
  <si>
    <t>WC048</t>
  </si>
  <si>
    <t>Matzikama</t>
  </si>
  <si>
    <t>WC011</t>
  </si>
  <si>
    <t>Mossel Bay</t>
  </si>
  <si>
    <t>WC043</t>
  </si>
  <si>
    <t>Oudtshoorn</t>
  </si>
  <si>
    <t>WC045</t>
  </si>
  <si>
    <t>Stellenbosch</t>
  </si>
  <si>
    <t>WC024</t>
  </si>
  <si>
    <t>Swartland</t>
  </si>
  <si>
    <t>WC015</t>
  </si>
  <si>
    <t>Swellendam</t>
  </si>
  <si>
    <t>WC034</t>
  </si>
  <si>
    <t>Beaufort West</t>
  </si>
  <si>
    <t>WC053</t>
  </si>
  <si>
    <t>Laingsburg</t>
  </si>
  <si>
    <t>WC051</t>
  </si>
  <si>
    <t>Kannaland</t>
  </si>
  <si>
    <t>WC041</t>
  </si>
  <si>
    <t xml:space="preserve">Water
</t>
  </si>
  <si>
    <t xml:space="preserve">Sanitation
</t>
  </si>
  <si>
    <t xml:space="preserve">Electricity
</t>
  </si>
  <si>
    <t xml:space="preserve">Solid waste
</t>
  </si>
  <si>
    <t>0</t>
  </si>
  <si>
    <t>FALSE</t>
  </si>
  <si>
    <t>2023/2024 Tabled Budget</t>
  </si>
  <si>
    <t>2023/2024 Indicative Tabled Budget 2024/2025</t>
  </si>
  <si>
    <t>Use</t>
  </si>
  <si>
    <t>2023/2024 Indicative Tabled Budget 2025/2025</t>
  </si>
  <si>
    <t>A4- Budgeted Financial Performance</t>
  </si>
  <si>
    <t>Save As</t>
  </si>
  <si>
    <t>MTREF Yr 1</t>
  </si>
  <si>
    <t>MTREF Yr 2</t>
  </si>
  <si>
    <t>MTREF Yr 3</t>
  </si>
  <si>
    <t>Summary</t>
  </si>
  <si>
    <t>Reconciles the reports to the MTREF Period</t>
  </si>
  <si>
    <t>Provides Assessment for MTREF Outer year 2</t>
  </si>
  <si>
    <t>Provides Assessment for MTREF Outer year 3</t>
  </si>
  <si>
    <t>Process Summary for Populating Cost Reflective Tariffs Analysis Tool</t>
  </si>
  <si>
    <t>Gomuni Reports Applicable</t>
  </si>
  <si>
    <t>Defict Yr2</t>
  </si>
  <si>
    <t>Details</t>
  </si>
  <si>
    <t>Rev required Yr1</t>
  </si>
  <si>
    <t>Rev Budgeted Yr1</t>
  </si>
  <si>
    <t>Deficit/Surplus Yr1</t>
  </si>
  <si>
    <t xml:space="preserve">Deficit/Surplus </t>
  </si>
  <si>
    <t>Rev required Yr2</t>
  </si>
  <si>
    <t>Rev Budgeted Yr2</t>
  </si>
  <si>
    <t>Rev required Yr3</t>
  </si>
  <si>
    <t>Rev Budgeted Yr3</t>
  </si>
  <si>
    <t>Defict Yr3</t>
  </si>
  <si>
    <t>Stus</t>
  </si>
  <si>
    <t xml:space="preserve">Total Surplus/Deficit </t>
  </si>
  <si>
    <t>Grand Total</t>
  </si>
  <si>
    <t>Sum of Total</t>
  </si>
  <si>
    <t>Rev required Yr1 Total</t>
  </si>
  <si>
    <t>Rev required Yr2 Total</t>
  </si>
  <si>
    <t>Cost Reflective</t>
  </si>
  <si>
    <t>Rev required Yr3 Total</t>
  </si>
  <si>
    <t>Provides Assessment for the Draft Budget 2023-2024</t>
  </si>
  <si>
    <t>GoMuni portal</t>
  </si>
  <si>
    <t>Local Government Database</t>
  </si>
  <si>
    <t>MSCOA</t>
  </si>
  <si>
    <t xml:space="preserve"> Reporting</t>
  </si>
  <si>
    <t>List Operating Expenditure and Income Across Functions</t>
  </si>
  <si>
    <t>Dropdown List</t>
  </si>
  <si>
    <t>Selection</t>
  </si>
  <si>
    <t>Location Sort</t>
  </si>
  <si>
    <t>Name</t>
  </si>
  <si>
    <t>Location Level</t>
  </si>
  <si>
    <t>List Level</t>
  </si>
  <si>
    <t>Select the required municipality</t>
  </si>
  <si>
    <t>Function/Sub-function Group</t>
  </si>
  <si>
    <t>All Functions</t>
  </si>
  <si>
    <t>Functions</t>
  </si>
  <si>
    <t xml:space="preserve">All  </t>
  </si>
  <si>
    <t>Select period</t>
  </si>
  <si>
    <t>2023/24 Tabled Budget ;2023/24 Tabled Budget;2023/24 Tabled Budget</t>
  </si>
  <si>
    <t>List Actuals</t>
  </si>
  <si>
    <t xml:space="preserve">Select Line Items </t>
  </si>
  <si>
    <t>Select All</t>
  </si>
  <si>
    <t>Level of Detail</t>
  </si>
  <si>
    <t>Detail</t>
  </si>
  <si>
    <t>Print Empty Form</t>
  </si>
  <si>
    <t>Rands</t>
  </si>
  <si>
    <t>Sort Option</t>
  </si>
  <si>
    <t>Report Output</t>
  </si>
  <si>
    <t>Excell 97 - 2003 (xls)</t>
  </si>
  <si>
    <t>Select Process Request to genarate the report.</t>
  </si>
  <si>
    <t>Step1</t>
  </si>
  <si>
    <t>Sort-</t>
  </si>
  <si>
    <t>2023/2024 Indicative Tabled Budget 2025/2026</t>
  </si>
  <si>
    <r>
      <rPr>
        <b/>
        <u/>
        <sz val="20"/>
        <color indexed="8"/>
        <rFont val="Arial Narrow"/>
        <family val="2"/>
      </rPr>
      <t>1.</t>
    </r>
    <r>
      <rPr>
        <b/>
        <u/>
        <sz val="15"/>
        <color indexed="8"/>
        <rFont val="Arial Narrow"/>
        <family val="2"/>
      </rPr>
      <t>Download financial information</t>
    </r>
  </si>
  <si>
    <t>2.Saving files and populating the tool</t>
  </si>
  <si>
    <t>3.Analysis of the outcomes</t>
  </si>
  <si>
    <t>1.Outcomes</t>
  </si>
  <si>
    <t>Link</t>
  </si>
  <si>
    <t>1.Outcomes'!A1</t>
  </si>
  <si>
    <t>5.Cons and detailed recon</t>
  </si>
  <si>
    <t>5.Cons and detailed recon'!A1</t>
  </si>
  <si>
    <t>6.Summary</t>
  </si>
  <si>
    <t>6.Summary'!A1</t>
  </si>
  <si>
    <t>Detailed Guide</t>
  </si>
  <si>
    <t>Visual Snap Shots</t>
  </si>
  <si>
    <t>PART C- Municipal Details'!A1</t>
  </si>
  <si>
    <t>30/06/2027</t>
  </si>
  <si>
    <t>30/06/2028</t>
  </si>
  <si>
    <t>30/06/2029</t>
  </si>
  <si>
    <t>30/06/2030</t>
  </si>
  <si>
    <t>Surplus/Defict</t>
  </si>
  <si>
    <t>Financial year</t>
  </si>
  <si>
    <t>PART D Graphs</t>
  </si>
  <si>
    <t>PART D Graphs'!A1</t>
  </si>
  <si>
    <t>Step2</t>
  </si>
  <si>
    <t>Step3</t>
  </si>
  <si>
    <t>Step4</t>
  </si>
  <si>
    <t>Step5</t>
  </si>
  <si>
    <t>Created By Ngculu Lubabalo Xavier</t>
  </si>
  <si>
    <t>Sep 6 - (Sort The Data As Follows)</t>
  </si>
  <si>
    <r>
      <t xml:space="preserve">Save the file to your computer as </t>
    </r>
    <r>
      <rPr>
        <b/>
        <u/>
        <sz val="9"/>
        <color indexed="9"/>
        <rFont val="Arial Narrow"/>
        <family val="2"/>
      </rPr>
      <t>Excell Workbook</t>
    </r>
  </si>
  <si>
    <t>For A Detailed Guide - Scroll Below</t>
  </si>
  <si>
    <t>2.1 Populating the tool</t>
  </si>
  <si>
    <t xml:space="preserve">Save As </t>
  </si>
  <si>
    <t>Tariff Tool Sources</t>
  </si>
  <si>
    <t>Close and Open after replacing</t>
  </si>
  <si>
    <t>By Saving /Replacing the Tariff Tool sources ,the Tariff tool gets updated with  the Downloaded information</t>
  </si>
  <si>
    <t>NB- Please ensure you refresh the Tariff Tool Sources  by simply opening and closing them.This should update your excel and the Tariff Tool</t>
  </si>
  <si>
    <t>The user Must Then Open The Tariff Tool and complete Only the Municipal Details Tab !!!</t>
  </si>
  <si>
    <t>Shortfal/Excess</t>
  </si>
  <si>
    <t>NB - Ensure that all the fields are completed and that they are not blank - IF Part B has Blanks this will cause errors on the Outcomes</t>
  </si>
  <si>
    <t>Batho Pele</t>
  </si>
  <si>
    <t>SA</t>
  </si>
  <si>
    <t>South Africa</t>
  </si>
  <si>
    <t>SA999</t>
  </si>
  <si>
    <t>Special rating levies</t>
  </si>
  <si>
    <t>Special Rating levies</t>
  </si>
  <si>
    <t>Special Rating Levies</t>
  </si>
  <si>
    <t>Special rating Levies</t>
  </si>
  <si>
    <t>1550</t>
  </si>
  <si>
    <t>A</t>
  </si>
  <si>
    <t>B</t>
  </si>
  <si>
    <t>C</t>
  </si>
  <si>
    <t>I</t>
  </si>
  <si>
    <t>N</t>
  </si>
  <si>
    <t>M</t>
  </si>
  <si>
    <t>D</t>
  </si>
  <si>
    <t>E</t>
  </si>
  <si>
    <t>F</t>
  </si>
  <si>
    <t>G</t>
  </si>
  <si>
    <t>J</t>
  </si>
  <si>
    <t>K</t>
  </si>
  <si>
    <t>L</t>
  </si>
  <si>
    <t>O</t>
  </si>
  <si>
    <t>P</t>
  </si>
  <si>
    <t>H</t>
  </si>
  <si>
    <t>AU</t>
  </si>
  <si>
    <t>AV</t>
  </si>
  <si>
    <t>AW</t>
  </si>
  <si>
    <t>AX</t>
  </si>
  <si>
    <t>AY</t>
  </si>
  <si>
    <t>AZ</t>
  </si>
  <si>
    <t>BA</t>
  </si>
  <si>
    <t>BB</t>
  </si>
  <si>
    <t>BC</t>
  </si>
  <si>
    <t>BD</t>
  </si>
  <si>
    <t>BE</t>
  </si>
  <si>
    <t>BF</t>
  </si>
  <si>
    <t>BG</t>
  </si>
  <si>
    <t>BH</t>
  </si>
  <si>
    <t>BI</t>
  </si>
  <si>
    <t>BJ</t>
  </si>
  <si>
    <t>CO</t>
  </si>
  <si>
    <t>CP</t>
  </si>
  <si>
    <t>CQ</t>
  </si>
  <si>
    <t>CR</t>
  </si>
  <si>
    <t>CS</t>
  </si>
  <si>
    <t>CT</t>
  </si>
  <si>
    <t>CU</t>
  </si>
  <si>
    <t>CV</t>
  </si>
  <si>
    <t>CW</t>
  </si>
  <si>
    <t>CX</t>
  </si>
  <si>
    <t>CY</t>
  </si>
  <si>
    <t>CZ</t>
  </si>
  <si>
    <t>DA</t>
  </si>
  <si>
    <t>DB</t>
  </si>
  <si>
    <t>DC</t>
  </si>
  <si>
    <t>DD</t>
  </si>
  <si>
    <t>Solid Wast</t>
  </si>
  <si>
    <t>Total number of customers/units</t>
  </si>
  <si>
    <t>Fixed unit cost (R per customer/unit per month)</t>
  </si>
  <si>
    <t>Average unit revenue required (R per unit per month)</t>
  </si>
  <si>
    <t>% allocation of Gov &amp; Admin costs as an Indirect Cost to Service- percentages for the municipality to be decided</t>
  </si>
  <si>
    <t>ENTER SANITATION CUSTOMER DATA PER VOLUME - See also per unit as alternative</t>
  </si>
  <si>
    <r>
      <t>ENTER SANITATION CUSTOMER DATA PER</t>
    </r>
    <r>
      <rPr>
        <b/>
        <sz val="11"/>
        <color theme="0"/>
        <rFont val="Calibri"/>
        <family val="2"/>
        <scheme val="minor"/>
      </rPr>
      <t xml:space="preserve"> VALUATION</t>
    </r>
    <r>
      <rPr>
        <b/>
        <sz val="11"/>
        <color theme="1"/>
        <rFont val="Calibri"/>
        <family val="2"/>
        <scheme val="minor"/>
      </rPr>
      <t xml:space="preserve"> - 3 rd Alternative </t>
    </r>
  </si>
  <si>
    <r>
      <t xml:space="preserve">ENTER SANITATION CUSTOMER DATA PER </t>
    </r>
    <r>
      <rPr>
        <b/>
        <sz val="12"/>
        <color theme="0"/>
        <rFont val="Calibri"/>
        <family val="2"/>
        <scheme val="minor"/>
      </rPr>
      <t>UNIT</t>
    </r>
    <r>
      <rPr>
        <b/>
        <sz val="11"/>
        <color theme="1"/>
        <rFont val="Calibri"/>
        <family val="2"/>
        <scheme val="minor"/>
      </rPr>
      <t xml:space="preserve"> - 2 nd Alternative </t>
    </r>
  </si>
  <si>
    <t xml:space="preserve">Enter data on the number of customers or number of toilets in the base year in the yellow cells below. Estimate the number of customers or number of toilets in the year for which tariffs are to be set in the grey cells. Note that the numbers entered here is the number of sanitation customers or alternatively the number of toilets. </t>
  </si>
  <si>
    <t>Total number of properties</t>
  </si>
  <si>
    <t>Property Valuation Brackets</t>
  </si>
  <si>
    <t xml:space="preserve">                                           </t>
  </si>
  <si>
    <t xml:space="preserve">                                        </t>
  </si>
  <si>
    <t xml:space="preserve">                                     </t>
  </si>
  <si>
    <t>Enter data on the number of properties in the base year in the yellow cells below. Estimate the number of properties in the year for which tariffs are to be set in the grey cells. Note that the numbers entered here is the number of properties as per the brackets of property values in the valuation roll.  ou can set your own property value brackets.</t>
  </si>
  <si>
    <r>
      <t>ENTER SANITATION CUSTOMER DATA PER</t>
    </r>
    <r>
      <rPr>
        <b/>
        <sz val="11"/>
        <color theme="0"/>
        <rFont val="Calibri"/>
        <family val="2"/>
        <scheme val="minor"/>
      </rPr>
      <t xml:space="preserve"> ERF Size</t>
    </r>
    <r>
      <rPr>
        <b/>
        <sz val="11"/>
        <color theme="1"/>
        <rFont val="Calibri"/>
        <family val="2"/>
        <scheme val="minor"/>
      </rPr>
      <t xml:space="preserve"> - 3 rd Alternative </t>
    </r>
  </si>
  <si>
    <t>Enter data on the number of properties in the base year in the yellow cells below. Estimate the number of properties in the year for which tariffs are to be set in the grey cells. Note that the numbers entered here is the number of properties as per the brackets of erven size in the valuation roll.  You can set your own property size brackets.</t>
  </si>
  <si>
    <t>Erf Size Brackets</t>
  </si>
  <si>
    <t>Total Customers</t>
  </si>
  <si>
    <t>Total number of Customers</t>
  </si>
  <si>
    <t>Variable unit cost (R per customer per month)</t>
  </si>
  <si>
    <t>Cost to # of Customers</t>
  </si>
  <si>
    <t>Average Monthly Cost per customer</t>
  </si>
  <si>
    <t>Number of Customers</t>
  </si>
  <si>
    <t>Revenue to cover Expenditure</t>
  </si>
  <si>
    <t>Tariff to be determined per customer per month</t>
  </si>
  <si>
    <t>Surplus / Shortfall - as close as possible to Zero</t>
  </si>
  <si>
    <t>CALCULATION OF REVENUE REQUIRED FOR SANITATION IF VALUATION IS USED AS CRITERIA</t>
  </si>
  <si>
    <t xml:space="preserve">Revenue </t>
  </si>
  <si>
    <t>Surplus/ Deficit as determined in PART C - Municipal Details</t>
  </si>
  <si>
    <t>CALCULATION OF REVENUE REQUIRED FOR SANITATION IF ERF/PROPERTY SIZE IS USED AS CRITERIA</t>
  </si>
  <si>
    <t>Erf / Property Size Brackets</t>
  </si>
  <si>
    <t>Domestic: Conventional</t>
  </si>
  <si>
    <t>Domestic: Prepaid</t>
  </si>
  <si>
    <t>Sport Clubs</t>
  </si>
  <si>
    <t>Schools</t>
  </si>
  <si>
    <t>Old Age Homes</t>
  </si>
  <si>
    <t>Safe Houses</t>
  </si>
  <si>
    <t>Proefplaas</t>
  </si>
  <si>
    <t>Government</t>
  </si>
  <si>
    <t>Churches</t>
  </si>
  <si>
    <t>Agricultural</t>
  </si>
  <si>
    <t>Bulk Customers LV: TOU</t>
  </si>
  <si>
    <t>Bulk Customers MV: TOU</t>
  </si>
  <si>
    <t>Small Customers: Commercial</t>
  </si>
  <si>
    <t>Small Customers: TOU</t>
  </si>
  <si>
    <t>Prepaid: Domestic</t>
  </si>
  <si>
    <t>Prepaid:  Domestic Lifeline</t>
  </si>
  <si>
    <t>Prepaid: Indigent</t>
  </si>
  <si>
    <t>Prepaid: Commercial</t>
  </si>
  <si>
    <t>Residential</t>
  </si>
  <si>
    <t>more</t>
  </si>
  <si>
    <t>Summary - Table A4 Budgeted Financial Performance ( All ) for 4th Quarter ended 30 June 2026</t>
  </si>
  <si>
    <t>2022/23</t>
  </si>
  <si>
    <t>2023/24</t>
  </si>
  <si>
    <t>2024/25</t>
  </si>
  <si>
    <t>Current year 2025/26</t>
  </si>
  <si>
    <t>2026/27 Medium Term Revenue &amp; Expenditure Framework</t>
  </si>
  <si>
    <t>Budget Year 2026/27</t>
  </si>
  <si>
    <t>Budget Year 2027/28</t>
  </si>
  <si>
    <t>Budget Year 2028/29</t>
  </si>
  <si>
    <t>2</t>
  </si>
  <si>
    <t>Interest - Deemed Interest</t>
  </si>
  <si>
    <t>Construction Contract Revenue</t>
  </si>
  <si>
    <t>Development Charges</t>
  </si>
  <si>
    <t>Interest Receivables</t>
  </si>
  <si>
    <t>Gains on Disposal of Fixed and Intangible Assets</t>
  </si>
  <si>
    <t>8</t>
  </si>
  <si>
    <t>3</t>
  </si>
  <si>
    <t>Depreciation, Amortisation and Impairment</t>
  </si>
  <si>
    <t>Interest,Dividends and Rent on Land</t>
  </si>
  <si>
    <t>Operational Cost and Other Cost</t>
  </si>
  <si>
    <t>Disposal of Fixed and Intangible Assets</t>
  </si>
  <si>
    <t>6</t>
  </si>
  <si>
    <t>Source: The approved 2026/27 Medium Term Revenue &amp; Expenditure Framework information submitted to the Local Government Database and Reporting System (LGDRS).</t>
  </si>
  <si>
    <t>Year 1 - 2026/27 Tabled Budget</t>
  </si>
  <si>
    <t>2026/27 Tabled Budget</t>
  </si>
  <si>
    <t>Year 2 - 2026/27 Indicative Tabled Budget 2027/28</t>
  </si>
  <si>
    <t>2026/27 Indicative Tabled Budget 2027/28</t>
  </si>
  <si>
    <t>Year 3 - 2026/27 Indicative Tabled Budget 2028/29</t>
  </si>
  <si>
    <t>2026/27 Indicative Tabled Budget 2028/29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</si>
</sst>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3">
    <numFmt numFmtId="43" formatCode="_-* #,##0.00_-;\-* #,##0.00_-;_-* &quot;-&quot;??_-;_-@_-"/>
    <numFmt numFmtId="164" formatCode="_-* #,##0_-;\-* #,##0_-;_-* &quot;-&quot;??_-;_-@_-"/>
    <numFmt numFmtId="165" formatCode="_-* #,##0.0_-;\-* #,##0.0_-;_-* &quot;-&quot;??_-;_-@_-"/>
    <numFmt numFmtId="166" formatCode="_(* #,##0_);_(* \(#,##0\);_(* &quot;-&quot;??_);_(@_)"/>
    <numFmt numFmtId="167" formatCode="0.0%"/>
    <numFmt numFmtId="168" formatCode="_ * #,##0.00_ ;_ * \-#,##0.00_ ;_ * &quot;-&quot;??_ ;_ @_ "/>
    <numFmt numFmtId="169" formatCode="_ * #,##0_ ;_ * \-#,##0_ ;_ * &quot;-&quot;??_ ;_ @_ "/>
    <numFmt numFmtId="170" formatCode="#,###,;\(#,###,\)"/>
    <numFmt numFmtId="171" formatCode="_(* #,##0,_);_(* \(#,##0,\);_(* &quot;- &quot;?_);_(@_)"/>
    <numFmt numFmtId="172" formatCode="_(* #,##0,_);_(* \(#,##0,\);_(* &quot;–&quot;?_);_(@_)"/>
    <numFmt numFmtId="173" formatCode="&quot;R&quot;#,##0.00"/>
    <numFmt numFmtId="174" formatCode="#,##0_ ;\-#,##0\ "/>
    <numFmt numFmtId="175" formatCode="&quot;R&quot;#,##0"/>
  </numFmts>
  <fonts count="151" x14ac:knownFonts="1">
    <font>
      <sz val="11"/>
      <color theme="1"/>
      <name val="Calibri"/>
      <family val="2"/>
      <scheme val="minor"/>
    </font>
    <font>
      <i/>
      <sz val="11"/>
      <color indexed="8"/>
      <name val="Calibri"/>
      <family val="2"/>
    </font>
    <font>
      <b/>
      <u/>
      <sz val="11"/>
      <color indexed="8"/>
      <name val="Calibri"/>
      <family val="2"/>
    </font>
    <font>
      <sz val="10"/>
      <name val="Arial"/>
      <family val="2"/>
    </font>
    <font>
      <sz val="8"/>
      <name val="Calibri"/>
      <family val="2"/>
    </font>
    <font>
      <sz val="6"/>
      <name val="Arial Narrow"/>
      <family val="2"/>
    </font>
    <font>
      <b/>
      <sz val="10"/>
      <name val="Arial Narrow"/>
      <family val="2"/>
    </font>
    <font>
      <b/>
      <sz val="8"/>
      <name val="Arial Narrow"/>
      <family val="2"/>
    </font>
    <font>
      <b/>
      <sz val="6"/>
      <name val="Arial Narrow"/>
      <family val="2"/>
    </font>
    <font>
      <i/>
      <u/>
      <sz val="6"/>
      <name val="Arial Narrow"/>
      <family val="2"/>
    </font>
    <font>
      <i/>
      <sz val="6"/>
      <name val="Arial Narrow"/>
      <family val="2"/>
    </font>
    <font>
      <sz val="8"/>
      <name val="Arial Narrow"/>
      <family val="2"/>
    </font>
    <font>
      <sz val="7"/>
      <name val="Arial Narrow"/>
      <family val="2"/>
    </font>
    <font>
      <b/>
      <sz val="7"/>
      <name val="Arial Narrow"/>
      <family val="2"/>
    </font>
    <font>
      <i/>
      <u/>
      <sz val="7"/>
      <name val="Arial Narrow"/>
      <family val="2"/>
    </font>
    <font>
      <i/>
      <sz val="7"/>
      <name val="Arial Narrow"/>
      <family val="2"/>
    </font>
    <font>
      <b/>
      <sz val="9"/>
      <name val="Arial Narrow"/>
      <family val="2"/>
    </font>
    <font>
      <sz val="3"/>
      <name val="Arial Narrow"/>
      <family val="2"/>
    </font>
    <font>
      <b/>
      <sz val="3"/>
      <name val="Arial Narrow"/>
      <family val="2"/>
    </font>
    <font>
      <b/>
      <i/>
      <sz val="7"/>
      <color indexed="8"/>
      <name val="Arial Narrow"/>
      <family val="2"/>
    </font>
    <font>
      <u/>
      <sz val="8"/>
      <name val="Arial Narrow"/>
      <family val="2"/>
    </font>
    <font>
      <i/>
      <sz val="7"/>
      <color indexed="8"/>
      <name val="Arial Narrow"/>
      <family val="2"/>
    </font>
    <font>
      <i/>
      <sz val="9"/>
      <color indexed="8"/>
      <name val="Calibri"/>
      <family val="2"/>
    </font>
    <font>
      <i/>
      <sz val="8"/>
      <color indexed="8"/>
      <name val="Arial Narrow"/>
      <family val="2"/>
    </font>
    <font>
      <b/>
      <i/>
      <sz val="9"/>
      <color indexed="8"/>
      <name val="Calibri"/>
      <family val="2"/>
    </font>
    <font>
      <sz val="8"/>
      <name val="Calibri"/>
      <family val="2"/>
    </font>
    <font>
      <b/>
      <i/>
      <sz val="8"/>
      <color indexed="8"/>
      <name val="Arial Narrow"/>
      <family val="2"/>
    </font>
    <font>
      <b/>
      <u/>
      <sz val="20"/>
      <color indexed="8"/>
      <name val="Arial Narrow"/>
      <family val="2"/>
    </font>
    <font>
      <b/>
      <u/>
      <sz val="15"/>
      <color indexed="8"/>
      <name val="Arial Narrow"/>
      <family val="2"/>
    </font>
    <font>
      <b/>
      <u/>
      <sz val="9"/>
      <color indexed="9"/>
      <name val="Arial Narrow"/>
      <family val="2"/>
    </font>
    <font>
      <sz val="11"/>
      <color theme="1"/>
      <name val="Calibri"/>
      <family val="2"/>
      <scheme val="minor"/>
    </font>
    <font>
      <sz val="11"/>
      <color theme="0"/>
      <name val="Calibri"/>
      <family val="2"/>
      <scheme val="minor"/>
    </font>
    <font>
      <u/>
      <sz val="11"/>
      <color theme="10"/>
      <name val="Calibri"/>
      <family val="2"/>
      <scheme val="minor"/>
    </font>
    <font>
      <b/>
      <sz val="11"/>
      <color theme="1"/>
      <name val="Calibri"/>
      <family val="2"/>
      <scheme val="minor"/>
    </font>
    <font>
      <sz val="11"/>
      <color rgb="FFFF0000"/>
      <name val="Calibri"/>
      <family val="2"/>
      <scheme val="minor"/>
    </font>
    <font>
      <sz val="11"/>
      <name val="Calibri"/>
      <family val="2"/>
      <scheme val="minor"/>
    </font>
    <font>
      <i/>
      <sz val="11"/>
      <color theme="1"/>
      <name val="Calibri"/>
      <family val="2"/>
      <scheme val="minor"/>
    </font>
    <font>
      <b/>
      <sz val="11"/>
      <name val="Calibri"/>
      <family val="2"/>
      <scheme val="minor"/>
    </font>
    <font>
      <b/>
      <sz val="11"/>
      <color rgb="FFFF0000"/>
      <name val="Calibri"/>
      <family val="2"/>
      <scheme val="minor"/>
    </font>
    <font>
      <b/>
      <sz val="12"/>
      <color theme="1"/>
      <name val="Calibri"/>
      <family val="2"/>
      <scheme val="minor"/>
    </font>
    <font>
      <sz val="11"/>
      <color theme="6"/>
      <name val="Calibri"/>
      <family val="2"/>
      <scheme val="minor"/>
    </font>
    <font>
      <b/>
      <sz val="14"/>
      <color theme="1"/>
      <name val="Calibri"/>
      <family val="2"/>
      <scheme val="minor"/>
    </font>
    <font>
      <u/>
      <sz val="11"/>
      <color theme="1"/>
      <name val="Calibri"/>
      <family val="2"/>
      <scheme val="minor"/>
    </font>
    <font>
      <i/>
      <sz val="11"/>
      <color theme="0"/>
      <name val="Calibri"/>
      <family val="2"/>
      <scheme val="minor"/>
    </font>
    <font>
      <i/>
      <sz val="11"/>
      <name val="Calibri"/>
      <family val="2"/>
      <scheme val="minor"/>
    </font>
    <font>
      <b/>
      <sz val="11"/>
      <color theme="6"/>
      <name val="Calibri"/>
      <family val="2"/>
      <scheme val="minor"/>
    </font>
    <font>
      <b/>
      <i/>
      <sz val="11"/>
      <color theme="1"/>
      <name val="Calibri"/>
      <family val="2"/>
      <scheme val="minor"/>
    </font>
    <font>
      <b/>
      <u/>
      <sz val="11"/>
      <color theme="1"/>
      <name val="Calibri"/>
      <family val="2"/>
      <scheme val="minor"/>
    </font>
    <font>
      <b/>
      <u/>
      <sz val="10"/>
      <color theme="1"/>
      <name val="Arial Narrow"/>
      <family val="2"/>
    </font>
    <font>
      <sz val="9"/>
      <color theme="1"/>
      <name val="Arial Narrow"/>
      <family val="2"/>
    </font>
    <font>
      <sz val="9"/>
      <color theme="1"/>
      <name val="Calibri"/>
      <family val="2"/>
      <scheme val="minor"/>
    </font>
    <font>
      <sz val="9"/>
      <color theme="0"/>
      <name val="Arial Narrow"/>
      <family val="2"/>
    </font>
    <font>
      <sz val="11"/>
      <color theme="1"/>
      <name val="Arial Narrow"/>
      <family val="2"/>
    </font>
    <font>
      <sz val="10"/>
      <color rgb="FFFF0000"/>
      <name val="Arial Narrow"/>
      <family val="2"/>
    </font>
    <font>
      <sz val="10"/>
      <color theme="1"/>
      <name val="Arial Narrow"/>
      <family val="2"/>
    </font>
    <font>
      <sz val="8"/>
      <color theme="1"/>
      <name val="Calibri"/>
      <family val="2"/>
      <scheme val="minor"/>
    </font>
    <font>
      <sz val="6"/>
      <color theme="1"/>
      <name val="Arial Narrow"/>
      <family val="2"/>
    </font>
    <font>
      <sz val="6"/>
      <color rgb="FF580000"/>
      <name val="Arial Narrow"/>
      <family val="2"/>
    </font>
    <font>
      <sz val="8"/>
      <color theme="0"/>
      <name val="Calibri"/>
      <family val="2"/>
      <scheme val="minor"/>
    </font>
    <font>
      <sz val="5"/>
      <color theme="0"/>
      <name val="Calibri"/>
      <family val="2"/>
      <scheme val="minor"/>
    </font>
    <font>
      <b/>
      <sz val="5"/>
      <color theme="1" tint="4.9989318521683403E-2"/>
      <name val="Calibri"/>
      <family val="2"/>
      <scheme val="minor"/>
    </font>
    <font>
      <b/>
      <sz val="12"/>
      <color theme="1" tint="4.9989318521683403E-2"/>
      <name val="Calibri"/>
      <family val="2"/>
      <scheme val="minor"/>
    </font>
    <font>
      <b/>
      <sz val="9"/>
      <color theme="0"/>
      <name val="Arial Narrow"/>
      <family val="2"/>
    </font>
    <font>
      <sz val="5"/>
      <color theme="1"/>
      <name val="Calibri"/>
      <family val="2"/>
      <scheme val="minor"/>
    </font>
    <font>
      <sz val="8"/>
      <color theme="1"/>
      <name val="Arial Narrow"/>
      <family val="2"/>
    </font>
    <font>
      <sz val="5"/>
      <color theme="1"/>
      <name val="Arial Narrow"/>
      <family val="2"/>
    </font>
    <font>
      <sz val="5"/>
      <color theme="0" tint="-0.499984740745262"/>
      <name val="Arial Narrow"/>
      <family val="2"/>
    </font>
    <font>
      <b/>
      <sz val="14"/>
      <color theme="1"/>
      <name val="Arial Narrow"/>
      <family val="2"/>
    </font>
    <font>
      <sz val="8"/>
      <color theme="0" tint="-0.499984740745262"/>
      <name val="Arial Narrow"/>
      <family val="2"/>
    </font>
    <font>
      <sz val="7"/>
      <color theme="0" tint="-0.499984740745262"/>
      <name val="Arial Narrow"/>
      <family val="2"/>
    </font>
    <font>
      <sz val="7"/>
      <color theme="1"/>
      <name val="Arial Narrow"/>
      <family val="2"/>
    </font>
    <font>
      <sz val="7"/>
      <color theme="4"/>
      <name val="Arial Narrow"/>
      <family val="2"/>
    </font>
    <font>
      <sz val="7"/>
      <color rgb="FFFF0000"/>
      <name val="Arial Narrow"/>
      <family val="2"/>
    </font>
    <font>
      <b/>
      <sz val="7"/>
      <color theme="1"/>
      <name val="Arial Narrow"/>
      <family val="2"/>
    </font>
    <font>
      <sz val="7"/>
      <color theme="0"/>
      <name val="Arial Narrow"/>
      <family val="2"/>
    </font>
    <font>
      <b/>
      <sz val="7"/>
      <color theme="4"/>
      <name val="Arial Narrow"/>
      <family val="2"/>
    </font>
    <font>
      <i/>
      <sz val="7"/>
      <color rgb="FF8A0000"/>
      <name val="Arial Narrow"/>
      <family val="2"/>
    </font>
    <font>
      <sz val="9"/>
      <color theme="0"/>
      <name val="Calibri"/>
      <family val="2"/>
      <scheme val="minor"/>
    </font>
    <font>
      <sz val="3"/>
      <color theme="1"/>
      <name val="Arial Narrow"/>
      <family val="2"/>
    </font>
    <font>
      <sz val="3"/>
      <color rgb="FF580000"/>
      <name val="Arial Narrow"/>
      <family val="2"/>
    </font>
    <font>
      <sz val="3"/>
      <color theme="1"/>
      <name val="Calibri"/>
      <family val="2"/>
      <scheme val="minor"/>
    </font>
    <font>
      <b/>
      <sz val="6"/>
      <color rgb="FFC00000"/>
      <name val="Arial Narrow"/>
      <family val="2"/>
    </font>
    <font>
      <b/>
      <sz val="7"/>
      <color rgb="FFC00000"/>
      <name val="Arial Narrow"/>
      <family val="2"/>
    </font>
    <font>
      <b/>
      <sz val="6"/>
      <color theme="1"/>
      <name val="Arial Narrow"/>
      <family val="2"/>
    </font>
    <font>
      <b/>
      <sz val="8"/>
      <color rgb="FF000000"/>
      <name val="Arial Narrow"/>
      <family val="2"/>
    </font>
    <font>
      <sz val="7"/>
      <color rgb="FFC00000"/>
      <name val="Arial Narrow"/>
      <family val="2"/>
    </font>
    <font>
      <i/>
      <sz val="7"/>
      <color theme="1"/>
      <name val="Arial Narrow"/>
      <family val="2"/>
    </font>
    <font>
      <b/>
      <i/>
      <sz val="7"/>
      <color theme="1"/>
      <name val="Arial Narrow"/>
      <family val="2"/>
    </font>
    <font>
      <sz val="8"/>
      <color theme="0"/>
      <name val="Arial Narrow"/>
      <family val="2"/>
    </font>
    <font>
      <b/>
      <sz val="8"/>
      <color rgb="FF8A0000"/>
      <name val="Arial Narrow"/>
      <family val="2"/>
    </font>
    <font>
      <sz val="8"/>
      <color rgb="FF000000"/>
      <name val="Arial Narrow"/>
      <family val="2"/>
    </font>
    <font>
      <sz val="14"/>
      <color theme="1"/>
      <name val="Arial Narrow"/>
      <family val="2"/>
    </font>
    <font>
      <b/>
      <sz val="8"/>
      <color theme="1"/>
      <name val="Arial Narrow"/>
      <family val="2"/>
    </font>
    <font>
      <b/>
      <sz val="5"/>
      <color theme="1"/>
      <name val="Arial Narrow"/>
      <family val="2"/>
    </font>
    <font>
      <b/>
      <sz val="5"/>
      <color theme="0" tint="-0.499984740745262"/>
      <name val="Arial Narrow"/>
      <family val="2"/>
    </font>
    <font>
      <b/>
      <sz val="11"/>
      <color theme="1"/>
      <name val="Arial Narrow"/>
      <family val="2"/>
    </font>
    <font>
      <b/>
      <sz val="8"/>
      <color theme="0"/>
      <name val="Arial Narrow"/>
      <family val="2"/>
    </font>
    <font>
      <b/>
      <sz val="8"/>
      <color theme="0" tint="-0.499984740745262"/>
      <name val="Arial Narrow"/>
      <family val="2"/>
    </font>
    <font>
      <sz val="12"/>
      <color theme="1"/>
      <name val="Arial Narrow"/>
      <family val="2"/>
    </font>
    <font>
      <sz val="12"/>
      <color theme="0" tint="-0.499984740745262"/>
      <name val="Arial Narrow"/>
      <family val="2"/>
    </font>
    <font>
      <b/>
      <sz val="12"/>
      <color theme="1"/>
      <name val="Arial Narrow"/>
      <family val="2"/>
    </font>
    <font>
      <sz val="12"/>
      <color theme="0"/>
      <name val="Arial Narrow"/>
      <family val="2"/>
    </font>
    <font>
      <sz val="7"/>
      <color rgb="FF000000"/>
      <name val="Arial Narrow"/>
      <family val="2"/>
    </font>
    <font>
      <sz val="6"/>
      <color rgb="FF000000"/>
      <name val="Arial Narrow"/>
      <family val="2"/>
    </font>
    <font>
      <i/>
      <sz val="9"/>
      <color theme="1"/>
      <name val="Calibri"/>
      <family val="2"/>
      <scheme val="minor"/>
    </font>
    <font>
      <b/>
      <sz val="9"/>
      <color theme="1"/>
      <name val="Calibri"/>
      <family val="2"/>
      <scheme val="minor"/>
    </font>
    <font>
      <sz val="9"/>
      <color rgb="FFFF0000"/>
      <name val="Calibri"/>
      <family val="2"/>
      <scheme val="minor"/>
    </font>
    <font>
      <b/>
      <sz val="9"/>
      <color theme="1"/>
      <name val="Arial Narrow"/>
      <family val="2"/>
    </font>
    <font>
      <i/>
      <sz val="8"/>
      <color theme="1"/>
      <name val="Arial Narrow"/>
      <family val="2"/>
    </font>
    <font>
      <b/>
      <u/>
      <sz val="8"/>
      <color theme="1"/>
      <name val="Arial Narrow"/>
      <family val="2"/>
    </font>
    <font>
      <sz val="8"/>
      <color rgb="FFFF0000"/>
      <name val="Arial Narrow"/>
      <family val="2"/>
    </font>
    <font>
      <i/>
      <sz val="9"/>
      <color theme="1"/>
      <name val="Arial Narrow"/>
      <family val="2"/>
    </font>
    <font>
      <sz val="8"/>
      <color theme="1" tint="4.9989318521683403E-2"/>
      <name val="Arial Narrow"/>
      <family val="2"/>
    </font>
    <font>
      <sz val="7"/>
      <color theme="1" tint="4.9989318521683403E-2"/>
      <name val="Arial Narrow"/>
      <family val="2"/>
    </font>
    <font>
      <sz val="7"/>
      <color theme="1"/>
      <name val="Calibri"/>
      <family val="2"/>
      <scheme val="minor"/>
    </font>
    <font>
      <b/>
      <sz val="11"/>
      <color rgb="FFC00000"/>
      <name val="Calibri"/>
      <family val="2"/>
      <scheme val="minor"/>
    </font>
    <font>
      <b/>
      <sz val="8"/>
      <color rgb="FF000000"/>
      <name val="Arial"/>
      <family val="2"/>
    </font>
    <font>
      <sz val="8"/>
      <color rgb="FF000000"/>
      <name val="Arial"/>
      <family val="2"/>
    </font>
    <font>
      <b/>
      <sz val="7"/>
      <color theme="0"/>
      <name val="Arial Narrow"/>
      <family val="2"/>
    </font>
    <font>
      <sz val="9"/>
      <color rgb="FF000000"/>
      <name val="Arial"/>
      <family val="2"/>
    </font>
    <font>
      <sz val="8"/>
      <color theme="1"/>
      <name val="Times New Roman"/>
      <family val="1"/>
    </font>
    <font>
      <b/>
      <sz val="9"/>
      <color rgb="FF000000"/>
      <name val="Arial"/>
      <family val="2"/>
    </font>
    <font>
      <sz val="10"/>
      <color theme="0"/>
      <name val="Arial Narrow"/>
      <family val="2"/>
    </font>
    <font>
      <b/>
      <sz val="10"/>
      <color theme="1"/>
      <name val="Arial Narrow"/>
      <family val="2"/>
    </font>
    <font>
      <b/>
      <sz val="10"/>
      <color rgb="FFC00000"/>
      <name val="Arial Narrow"/>
      <family val="2"/>
    </font>
    <font>
      <sz val="8"/>
      <color rgb="FF7A0000"/>
      <name val="Arial Narrow"/>
      <family val="2"/>
    </font>
    <font>
      <b/>
      <u/>
      <sz val="9"/>
      <color theme="1"/>
      <name val="Arial Narrow"/>
      <family val="2"/>
    </font>
    <font>
      <b/>
      <u/>
      <sz val="20"/>
      <color theme="1"/>
      <name val="Arial Narrow"/>
      <family val="2"/>
    </font>
    <font>
      <sz val="11"/>
      <color rgb="FFFF0000"/>
      <name val="Arial Narrow"/>
      <family val="2"/>
    </font>
    <font>
      <b/>
      <i/>
      <sz val="8"/>
      <color theme="3" tint="0.39997558519241921"/>
      <name val="Arial Narrow"/>
      <family val="2"/>
    </font>
    <font>
      <i/>
      <sz val="11"/>
      <color theme="1"/>
      <name val="Arial Narrow"/>
      <family val="2"/>
    </font>
    <font>
      <sz val="11"/>
      <color theme="0" tint="-0.499984740745262"/>
      <name val="Calibri"/>
      <family val="2"/>
      <scheme val="minor"/>
    </font>
    <font>
      <sz val="5"/>
      <color theme="0" tint="-0.499984740745262"/>
      <name val="Calibri"/>
      <family val="2"/>
      <scheme val="minor"/>
    </font>
    <font>
      <b/>
      <sz val="12"/>
      <color rgb="FFC00000"/>
      <name val="Arial Narrow"/>
      <family val="2"/>
    </font>
    <font>
      <b/>
      <sz val="15"/>
      <color rgb="FFFF0000"/>
      <name val="Arial Narrow"/>
      <family val="2"/>
    </font>
    <font>
      <u/>
      <sz val="9"/>
      <color theme="10"/>
      <name val="Calibri"/>
      <family val="2"/>
      <scheme val="minor"/>
    </font>
    <font>
      <b/>
      <sz val="12"/>
      <color theme="0"/>
      <name val="Arial Narrow"/>
      <family val="2"/>
    </font>
    <font>
      <b/>
      <sz val="14"/>
      <color theme="0"/>
      <name val="Arial Narrow"/>
      <family val="2"/>
    </font>
    <font>
      <sz val="11"/>
      <color theme="0"/>
      <name val="Arial Narrow"/>
      <family val="2"/>
    </font>
    <font>
      <b/>
      <sz val="18"/>
      <color theme="0"/>
      <name val="Arial Narrow"/>
      <family val="2"/>
    </font>
    <font>
      <b/>
      <sz val="14"/>
      <color rgb="FFC00000"/>
      <name val="Arial Narrow"/>
      <family val="2"/>
    </font>
    <font>
      <b/>
      <sz val="15"/>
      <color theme="1"/>
      <name val="Arial Narrow"/>
      <family val="2"/>
    </font>
    <font>
      <b/>
      <sz val="16"/>
      <color rgb="FFC00000"/>
      <name val="Arial Narrow"/>
      <family val="2"/>
    </font>
    <font>
      <b/>
      <sz val="2"/>
      <color theme="2"/>
      <name val="Arial Narrow"/>
      <family val="2"/>
    </font>
    <font>
      <b/>
      <sz val="10"/>
      <color theme="0"/>
      <name val="Arial Narrow"/>
      <family val="2"/>
    </font>
    <font>
      <i/>
      <sz val="6"/>
      <color theme="1"/>
      <name val="Arial Narrow"/>
      <family val="2"/>
    </font>
    <font>
      <b/>
      <i/>
      <sz val="10"/>
      <color theme="0"/>
      <name val="Arial Narrow"/>
      <family val="2"/>
    </font>
    <font>
      <sz val="8"/>
      <color rgb="FFC00000"/>
      <name val="Arial Narrow"/>
      <family val="2"/>
    </font>
    <font>
      <b/>
      <sz val="14"/>
      <name val="Calibri"/>
      <family val="2"/>
      <scheme val="minor"/>
    </font>
    <font>
      <b/>
      <sz val="11"/>
      <color theme="0"/>
      <name val="Calibri"/>
      <family val="2"/>
      <scheme val="minor"/>
    </font>
    <font>
      <b/>
      <sz val="12"/>
      <color theme="0"/>
      <name val="Calibri"/>
      <family val="2"/>
      <scheme val="minor"/>
    </font>
  </fonts>
  <fills count="48">
    <fill>
      <patternFill patternType="none"/>
    </fill>
    <fill>
      <patternFill patternType="gray125"/>
    </fill>
    <fill>
      <patternFill patternType="solid">
        <fgColor rgb="FFFFFFCC"/>
      </patternFill>
    </fill>
    <fill>
      <patternFill patternType="solid">
        <fgColor rgb="FFFFFF8F"/>
        <bgColor indexed="64"/>
      </patternFill>
    </fill>
    <fill>
      <patternFill patternType="solid">
        <fgColor theme="0" tint="-0.14999847407452621"/>
        <bgColor indexed="64"/>
      </patternFill>
    </fill>
    <fill>
      <patternFill patternType="solid">
        <fgColor rgb="FFA9E18E"/>
        <bgColor indexed="64"/>
      </patternFill>
    </fill>
    <fill>
      <patternFill patternType="solid">
        <fgColor theme="0"/>
        <bgColor indexed="64"/>
      </patternFill>
    </fill>
    <fill>
      <patternFill patternType="solid">
        <fgColor theme="9" tint="0.59999389629810485"/>
        <bgColor indexed="64"/>
      </patternFill>
    </fill>
    <fill>
      <patternFill patternType="solid">
        <fgColor theme="6"/>
        <bgColor indexed="64"/>
      </patternFill>
    </fill>
    <fill>
      <patternFill patternType="solid">
        <fgColor theme="6" tint="0.59999389629810485"/>
        <bgColor indexed="64"/>
      </patternFill>
    </fill>
    <fill>
      <patternFill patternType="solid">
        <fgColor theme="2" tint="-0.749992370372631"/>
        <bgColor indexed="64"/>
      </patternFill>
    </fill>
    <fill>
      <patternFill patternType="solid">
        <fgColor theme="2" tint="-9.9978637043366805E-2"/>
        <bgColor indexed="64"/>
      </patternFill>
    </fill>
    <fill>
      <patternFill patternType="solid">
        <fgColor theme="2" tint="-0.249977111117893"/>
        <bgColor indexed="64"/>
      </patternFill>
    </fill>
    <fill>
      <patternFill patternType="solid">
        <fgColor rgb="FFC00000"/>
        <bgColor indexed="64"/>
      </patternFill>
    </fill>
    <fill>
      <patternFill patternType="solid">
        <fgColor rgb="FFFFFF66"/>
        <bgColor indexed="64"/>
      </patternFill>
    </fill>
    <fill>
      <patternFill patternType="solid">
        <fgColor rgb="FFD5DB8D"/>
        <bgColor indexed="64"/>
      </patternFill>
    </fill>
    <fill>
      <patternFill patternType="solid">
        <fgColor theme="0" tint="-0.499984740745262"/>
        <bgColor indexed="64"/>
      </patternFill>
    </fill>
    <fill>
      <patternFill patternType="solid">
        <fgColor theme="2" tint="-0.499984740745262"/>
        <bgColor indexed="64"/>
      </patternFill>
    </fill>
    <fill>
      <patternFill patternType="gray125">
        <bgColor rgb="FFD5DB8D"/>
      </patternFill>
    </fill>
    <fill>
      <patternFill patternType="solid">
        <fgColor rgb="FF580000"/>
        <bgColor indexed="64"/>
      </patternFill>
    </fill>
    <fill>
      <patternFill patternType="solid">
        <fgColor rgb="FFFFFF00"/>
        <bgColor indexed="64"/>
      </patternFill>
    </fill>
    <fill>
      <patternFill patternType="solid">
        <fgColor rgb="FFFFFF99"/>
        <bgColor indexed="64"/>
      </patternFill>
    </fill>
    <fill>
      <patternFill patternType="solid">
        <fgColor rgb="FFE4E448"/>
        <bgColor indexed="64"/>
      </patternFill>
    </fill>
    <fill>
      <patternFill patternType="solid">
        <fgColor theme="9" tint="0.79998168889431442"/>
        <bgColor indexed="64"/>
      </patternFill>
    </fill>
    <fill>
      <patternFill patternType="solid">
        <fgColor rgb="FFFBFEE6"/>
        <bgColor indexed="64"/>
      </patternFill>
    </fill>
    <fill>
      <patternFill patternType="solid">
        <fgColor theme="0" tint="-0.34998626667073579"/>
        <bgColor indexed="64"/>
      </patternFill>
    </fill>
    <fill>
      <patternFill patternType="solid">
        <fgColor rgb="FFFFFFFF"/>
      </patternFill>
    </fill>
    <fill>
      <patternFill patternType="solid">
        <fgColor rgb="FFB8C13F"/>
        <bgColor indexed="64"/>
      </patternFill>
    </fill>
    <fill>
      <patternFill patternType="solid">
        <fgColor theme="0" tint="-4.9989318521683403E-2"/>
        <bgColor indexed="64"/>
      </patternFill>
    </fill>
    <fill>
      <patternFill patternType="solid">
        <fgColor rgb="FFFF0000"/>
        <bgColor indexed="64"/>
      </patternFill>
    </fill>
    <fill>
      <patternFill patternType="solid">
        <fgColor rgb="FFE3E4CE"/>
        <bgColor indexed="64"/>
      </patternFill>
    </fill>
    <fill>
      <patternFill patternType="solid">
        <fgColor theme="1" tint="0.249977111117893"/>
        <bgColor indexed="64"/>
      </patternFill>
    </fill>
    <fill>
      <patternFill patternType="solid">
        <fgColor rgb="FF92D050"/>
        <bgColor indexed="64"/>
      </patternFill>
    </fill>
    <fill>
      <gradientFill degree="90">
        <stop position="0">
          <color theme="0"/>
        </stop>
        <stop position="1">
          <color rgb="FFD1CC00"/>
        </stop>
      </gradientFill>
    </fill>
    <fill>
      <patternFill patternType="solid">
        <fgColor rgb="FFDCDA8C"/>
        <bgColor indexed="64"/>
      </patternFill>
    </fill>
    <fill>
      <patternFill patternType="solid">
        <fgColor theme="2"/>
        <bgColor indexed="64"/>
      </patternFill>
    </fill>
    <fill>
      <patternFill patternType="gray125">
        <bgColor theme="0"/>
      </patternFill>
    </fill>
    <fill>
      <patternFill patternType="solid">
        <fgColor theme="5" tint="-0.249977111117893"/>
        <bgColor indexed="64"/>
      </patternFill>
    </fill>
    <fill>
      <patternFill patternType="solid">
        <fgColor theme="6" tint="-0.499984740745262"/>
        <bgColor indexed="64"/>
      </patternFill>
    </fill>
    <fill>
      <patternFill patternType="solid">
        <fgColor theme="1" tint="0.34998626667073579"/>
        <bgColor indexed="64"/>
      </patternFill>
    </fill>
    <fill>
      <patternFill patternType="solid">
        <fgColor rgb="FFA32A1D"/>
        <bgColor indexed="64"/>
      </patternFill>
    </fill>
    <fill>
      <patternFill patternType="solid">
        <fgColor theme="1" tint="0.249977111117893"/>
        <bgColor indexed="9"/>
      </patternFill>
    </fill>
    <fill>
      <patternFill patternType="solid">
        <fgColor theme="5" tint="0.79998168889431442"/>
        <bgColor indexed="64"/>
      </patternFill>
    </fill>
    <fill>
      <patternFill patternType="solid">
        <fgColor rgb="FFC6C104"/>
        <bgColor indexed="64"/>
      </patternFill>
    </fill>
    <fill>
      <patternFill patternType="solid">
        <fgColor rgb="FF640000"/>
        <bgColor indexed="64"/>
      </patternFill>
    </fill>
    <fill>
      <patternFill patternType="solid">
        <fgColor theme="5" tint="0.39997558519241921"/>
        <bgColor indexed="64"/>
      </patternFill>
    </fill>
    <fill>
      <patternFill patternType="solid">
        <fgColor theme="7" tint="-0.249977111117893"/>
        <bgColor indexed="64"/>
      </patternFill>
    </fill>
    <fill>
      <patternFill patternType="solid">
        <fgColor theme="7" tint="0.39997558519241921"/>
        <bgColor indexed="64"/>
      </patternFill>
    </fill>
  </fills>
  <borders count="211">
    <border>
      <left/>
      <right/>
      <top/>
      <bottom/>
      <diagonal/>
    </border>
    <border>
      <left style="thin">
        <color indexed="64"/>
      </left>
      <right style="thin">
        <color indexed="64"/>
      </right>
      <top style="thin">
        <color indexed="64"/>
      </top>
      <bottom style="thin">
        <color indexed="64"/>
      </bottom>
      <diagonal/>
    </border>
    <border>
      <left/>
      <right/>
      <top style="thin">
        <color indexed="64"/>
      </top>
      <bottom style="double">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right/>
      <top/>
      <bottom style="thin">
        <color indexed="64"/>
      </bottom>
      <diagonal/>
    </border>
    <border>
      <left/>
      <right/>
      <top style="medium">
        <color indexed="64"/>
      </top>
      <bottom style="medium">
        <color indexed="64"/>
      </bottom>
      <diagonal/>
    </border>
    <border>
      <left/>
      <right style="double">
        <color indexed="64"/>
      </right>
      <top style="double">
        <color indexed="64"/>
      </top>
      <bottom/>
      <diagonal/>
    </border>
    <border>
      <left/>
      <right style="double">
        <color indexed="64"/>
      </right>
      <top/>
      <bottom/>
      <diagonal/>
    </border>
    <border>
      <left/>
      <right style="double">
        <color indexed="64"/>
      </right>
      <top/>
      <bottom style="double">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thin">
        <color indexed="64"/>
      </right>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bottom style="thin">
        <color indexed="64"/>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right/>
      <top style="thin">
        <color indexed="64"/>
      </top>
      <bottom style="thin">
        <color indexed="64"/>
      </bottom>
      <diagonal/>
    </border>
    <border>
      <left style="hair">
        <color indexed="64"/>
      </left>
      <right style="hair">
        <color indexed="64"/>
      </right>
      <top/>
      <bottom/>
      <diagonal/>
    </border>
    <border>
      <left style="hair">
        <color indexed="64"/>
      </left>
      <right/>
      <top/>
      <bottom/>
      <diagonal/>
    </border>
    <border>
      <left style="thin">
        <color indexed="64"/>
      </left>
      <right style="hair">
        <color indexed="64"/>
      </right>
      <top/>
      <bottom/>
      <diagonal/>
    </border>
    <border>
      <left style="hair">
        <color indexed="64"/>
      </left>
      <right style="thin">
        <color indexed="64"/>
      </right>
      <top/>
      <bottom/>
      <diagonal/>
    </border>
    <border>
      <left/>
      <right style="thin">
        <color indexed="64"/>
      </right>
      <top style="double">
        <color indexed="64"/>
      </top>
      <bottom style="double">
        <color indexed="64"/>
      </bottom>
      <diagonal/>
    </border>
    <border>
      <left style="thin">
        <color indexed="64"/>
      </left>
      <right style="thin">
        <color indexed="64"/>
      </right>
      <top style="double">
        <color indexed="64"/>
      </top>
      <bottom style="double">
        <color indexed="64"/>
      </bottom>
      <diagonal/>
    </border>
    <border>
      <left style="thin">
        <color indexed="64"/>
      </left>
      <right style="double">
        <color indexed="64"/>
      </right>
      <top style="double">
        <color indexed="64"/>
      </top>
      <bottom style="double">
        <color indexed="64"/>
      </bottom>
      <diagonal/>
    </border>
    <border>
      <left/>
      <right style="double">
        <color indexed="64"/>
      </right>
      <top style="double">
        <color indexed="64"/>
      </top>
      <bottom style="double">
        <color indexed="64"/>
      </bottom>
      <diagonal/>
    </border>
    <border>
      <left style="double">
        <color indexed="64"/>
      </left>
      <right/>
      <top style="double">
        <color indexed="64"/>
      </top>
      <bottom style="double">
        <color indexed="64"/>
      </bottom>
      <diagonal/>
    </border>
    <border>
      <left/>
      <right/>
      <top style="double">
        <color indexed="64"/>
      </top>
      <bottom style="double">
        <color indexed="64"/>
      </bottom>
      <diagonal/>
    </border>
    <border>
      <left style="double">
        <color indexed="64"/>
      </left>
      <right style="double">
        <color indexed="64"/>
      </right>
      <top style="double">
        <color indexed="64"/>
      </top>
      <bottom style="double">
        <color indexed="64"/>
      </bottom>
      <diagonal/>
    </border>
    <border>
      <left style="thin">
        <color indexed="64"/>
      </left>
      <right/>
      <top style="double">
        <color indexed="64"/>
      </top>
      <bottom style="double">
        <color indexed="64"/>
      </bottom>
      <diagonal/>
    </border>
    <border>
      <left style="double">
        <color indexed="64"/>
      </left>
      <right style="double">
        <color indexed="64"/>
      </right>
      <top style="double">
        <color indexed="64"/>
      </top>
      <bottom/>
      <diagonal/>
    </border>
    <border>
      <left style="double">
        <color indexed="64"/>
      </left>
      <right style="double">
        <color indexed="64"/>
      </right>
      <top/>
      <bottom/>
      <diagonal/>
    </border>
    <border>
      <left style="double">
        <color indexed="64"/>
      </left>
      <right style="double">
        <color indexed="64"/>
      </right>
      <top/>
      <bottom style="double">
        <color indexed="64"/>
      </bottom>
      <diagonal/>
    </border>
    <border>
      <left style="thin">
        <color indexed="64"/>
      </left>
      <right style="thin">
        <color indexed="64"/>
      </right>
      <top style="double">
        <color indexed="64"/>
      </top>
      <bottom style="thin">
        <color indexed="64"/>
      </bottom>
      <diagonal/>
    </border>
    <border>
      <left/>
      <right/>
      <top style="double">
        <color indexed="64"/>
      </top>
      <bottom/>
      <diagonal/>
    </border>
    <border>
      <left style="thin">
        <color indexed="64"/>
      </left>
      <right/>
      <top/>
      <bottom style="double">
        <color indexed="64"/>
      </bottom>
      <diagonal/>
    </border>
    <border>
      <left style="thin">
        <color indexed="64"/>
      </left>
      <right/>
      <top style="thin">
        <color indexed="64"/>
      </top>
      <bottom style="double">
        <color indexed="64"/>
      </bottom>
      <diagonal/>
    </border>
    <border>
      <left style="thin">
        <color indexed="64"/>
      </left>
      <right style="hair">
        <color indexed="64"/>
      </right>
      <top style="thin">
        <color indexed="64"/>
      </top>
      <bottom/>
      <diagonal/>
    </border>
    <border>
      <left style="hair">
        <color indexed="64"/>
      </left>
      <right style="hair">
        <color indexed="64"/>
      </right>
      <top style="thin">
        <color indexed="64"/>
      </top>
      <bottom style="hair">
        <color indexed="64"/>
      </bottom>
      <diagonal/>
    </border>
    <border>
      <left/>
      <right style="thin">
        <color indexed="64"/>
      </right>
      <top style="thin">
        <color indexed="64"/>
      </top>
      <bottom style="hair">
        <color indexed="64"/>
      </bottom>
      <diagonal/>
    </border>
    <border>
      <left/>
      <right/>
      <top style="thin">
        <color indexed="64"/>
      </top>
      <bottom style="hair">
        <color indexed="64"/>
      </bottom>
      <diagonal/>
    </border>
    <border>
      <left style="thin">
        <color indexed="64"/>
      </left>
      <right/>
      <top style="thin">
        <color indexed="64"/>
      </top>
      <bottom/>
      <diagonal/>
    </border>
    <border>
      <left style="thin">
        <color indexed="64"/>
      </left>
      <right/>
      <top style="thin">
        <color indexed="64"/>
      </top>
      <bottom style="hair">
        <color indexed="64"/>
      </bottom>
      <diagonal/>
    </border>
    <border>
      <left/>
      <right style="hair">
        <color indexed="64"/>
      </right>
      <top style="thin">
        <color indexed="64"/>
      </top>
      <bottom/>
      <diagonal/>
    </border>
    <border>
      <left style="hair">
        <color indexed="64"/>
      </left>
      <right style="thin">
        <color indexed="64"/>
      </right>
      <top style="thin">
        <color indexed="64"/>
      </top>
      <bottom/>
      <diagonal/>
    </border>
    <border>
      <left/>
      <right style="hair">
        <color indexed="64"/>
      </right>
      <top/>
      <bottom/>
      <diagonal/>
    </border>
    <border>
      <left style="hair">
        <color indexed="64"/>
      </left>
      <right style="thin">
        <color indexed="64"/>
      </right>
      <top/>
      <bottom style="hair">
        <color indexed="64"/>
      </bottom>
      <diagonal/>
    </border>
    <border>
      <left style="hair">
        <color indexed="64"/>
      </left>
      <right style="hair">
        <color indexed="64"/>
      </right>
      <top style="hair">
        <color indexed="64"/>
      </top>
      <bottom/>
      <diagonal/>
    </border>
    <border>
      <left style="hair">
        <color indexed="64"/>
      </left>
      <right style="thin">
        <color indexed="64"/>
      </right>
      <top style="hair">
        <color indexed="64"/>
      </top>
      <bottom/>
      <diagonal/>
    </border>
    <border>
      <left/>
      <right/>
      <top style="hair">
        <color indexed="64"/>
      </top>
      <bottom/>
      <diagonal/>
    </border>
    <border>
      <left style="thin">
        <color indexed="64"/>
      </left>
      <right style="thin">
        <color indexed="64"/>
      </right>
      <top style="hair">
        <color indexed="64"/>
      </top>
      <bottom/>
      <diagonal/>
    </border>
    <border>
      <left style="thin">
        <color indexed="64"/>
      </left>
      <right style="thin">
        <color indexed="64"/>
      </right>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top style="hair">
        <color indexed="64"/>
      </top>
      <bottom style="thin">
        <color indexed="64"/>
      </bottom>
      <diagonal/>
    </border>
    <border>
      <left style="double">
        <color indexed="64"/>
      </left>
      <right style="thin">
        <color indexed="64"/>
      </right>
      <top style="thin">
        <color indexed="64"/>
      </top>
      <bottom/>
      <diagonal/>
    </border>
    <border>
      <left style="double">
        <color indexed="64"/>
      </left>
      <right style="thin">
        <color indexed="64"/>
      </right>
      <top/>
      <bottom/>
      <diagonal/>
    </border>
    <border>
      <left/>
      <right/>
      <top style="double">
        <color indexed="64"/>
      </top>
      <bottom style="thin">
        <color indexed="64"/>
      </bottom>
      <diagonal/>
    </border>
    <border>
      <left style="double">
        <color indexed="64"/>
      </left>
      <right style="thin">
        <color indexed="64"/>
      </right>
      <top style="double">
        <color indexed="64"/>
      </top>
      <bottom style="thin">
        <color indexed="64"/>
      </bottom>
      <diagonal/>
    </border>
    <border>
      <left/>
      <right style="thin">
        <color indexed="64"/>
      </right>
      <top style="thin">
        <color indexed="64"/>
      </top>
      <bottom style="double">
        <color indexed="64"/>
      </bottom>
      <diagonal/>
    </border>
    <border>
      <left style="thin">
        <color indexed="64"/>
      </left>
      <right/>
      <top style="double">
        <color indexed="64"/>
      </top>
      <bottom style="thin">
        <color indexed="64"/>
      </bottom>
      <diagonal/>
    </border>
    <border>
      <left/>
      <right style="thin">
        <color indexed="64"/>
      </right>
      <top style="double">
        <color indexed="64"/>
      </top>
      <bottom style="thin">
        <color indexed="64"/>
      </bottom>
      <diagonal/>
    </border>
    <border>
      <left/>
      <right style="hair">
        <color indexed="64"/>
      </right>
      <top style="hair">
        <color indexed="64"/>
      </top>
      <bottom/>
      <diagonal/>
    </border>
    <border>
      <left style="thin">
        <color indexed="64"/>
      </left>
      <right style="hair">
        <color indexed="64"/>
      </right>
      <top style="hair">
        <color indexed="64"/>
      </top>
      <bottom style="thin">
        <color indexed="64"/>
      </bottom>
      <diagonal/>
    </border>
    <border>
      <left style="double">
        <color indexed="64"/>
      </left>
      <right/>
      <top style="double">
        <color indexed="64"/>
      </top>
      <bottom/>
      <diagonal/>
    </border>
    <border>
      <left style="double">
        <color indexed="64"/>
      </left>
      <right/>
      <top/>
      <bottom/>
      <diagonal/>
    </border>
    <border>
      <left style="double">
        <color indexed="64"/>
      </left>
      <right/>
      <top/>
      <bottom style="double">
        <color indexed="64"/>
      </bottom>
      <diagonal/>
    </border>
    <border>
      <left/>
      <right style="thin">
        <color indexed="64"/>
      </right>
      <top style="double">
        <color indexed="64"/>
      </top>
      <bottom/>
      <diagonal/>
    </border>
    <border>
      <left/>
      <right style="thin">
        <color indexed="64"/>
      </right>
      <top/>
      <bottom style="double">
        <color indexed="64"/>
      </bottom>
      <diagonal/>
    </border>
    <border>
      <left/>
      <right/>
      <top/>
      <bottom style="double">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rgb="FFB2B2B2"/>
      </left>
      <right style="thin">
        <color rgb="FFB2B2B2"/>
      </right>
      <top style="thin">
        <color rgb="FFB2B2B2"/>
      </top>
      <bottom style="thin">
        <color rgb="FFB2B2B2"/>
      </bottom>
      <diagonal/>
    </border>
    <border>
      <left style="thin">
        <color theme="6"/>
      </left>
      <right style="thin">
        <color theme="6"/>
      </right>
      <top style="thin">
        <color theme="6"/>
      </top>
      <bottom style="thin">
        <color theme="6"/>
      </bottom>
      <diagonal/>
    </border>
    <border>
      <left style="thin">
        <color theme="6"/>
      </left>
      <right/>
      <top/>
      <bottom style="thin">
        <color theme="6"/>
      </bottom>
      <diagonal/>
    </border>
    <border>
      <left/>
      <right/>
      <top/>
      <bottom style="thin">
        <color theme="6"/>
      </bottom>
      <diagonal/>
    </border>
    <border>
      <left/>
      <right style="thin">
        <color theme="6"/>
      </right>
      <top/>
      <bottom style="thin">
        <color theme="6"/>
      </bottom>
      <diagonal/>
    </border>
    <border>
      <left style="thin">
        <color rgb="FFB2B2B2"/>
      </left>
      <right/>
      <top style="thin">
        <color rgb="FFB2B2B2"/>
      </top>
      <bottom style="thin">
        <color rgb="FFB2B2B2"/>
      </bottom>
      <diagonal/>
    </border>
    <border>
      <left style="double">
        <color indexed="64"/>
      </left>
      <right style="double">
        <color indexed="64"/>
      </right>
      <top style="double">
        <color indexed="64"/>
      </top>
      <bottom style="thin">
        <color rgb="FFB2B2B2"/>
      </bottom>
      <diagonal/>
    </border>
    <border>
      <left style="double">
        <color indexed="64"/>
      </left>
      <right style="double">
        <color indexed="64"/>
      </right>
      <top style="thin">
        <color rgb="FFB2B2B2"/>
      </top>
      <bottom style="thin">
        <color rgb="FFB2B2B2"/>
      </bottom>
      <diagonal/>
    </border>
    <border>
      <left style="thin">
        <color rgb="FFB2B2B2"/>
      </left>
      <right style="thin">
        <color rgb="FFB2B2B2"/>
      </right>
      <top style="thin">
        <color rgb="FFB2B2B2"/>
      </top>
      <bottom/>
      <diagonal/>
    </border>
    <border>
      <left style="thin">
        <color rgb="FFB2B2B2"/>
      </left>
      <right style="thin">
        <color rgb="FFB2B2B2"/>
      </right>
      <top style="double">
        <color indexed="64"/>
      </top>
      <bottom style="thin">
        <color rgb="FFB2B2B2"/>
      </bottom>
      <diagonal/>
    </border>
    <border>
      <left style="thin">
        <color rgb="FFB2B2B2"/>
      </left>
      <right style="thin">
        <color rgb="FFB2B2B2"/>
      </right>
      <top style="thin">
        <color rgb="FFB2B2B2"/>
      </top>
      <bottom style="double">
        <color indexed="64"/>
      </bottom>
      <diagonal/>
    </border>
    <border>
      <left style="thin">
        <color rgb="FFB2B2B2"/>
      </left>
      <right style="thin">
        <color rgb="FFB2B2B2"/>
      </right>
      <top/>
      <bottom style="thin">
        <color rgb="FFB2B2B2"/>
      </bottom>
      <diagonal/>
    </border>
    <border>
      <left style="thin">
        <color indexed="64"/>
      </left>
      <right/>
      <top style="medium">
        <color rgb="FFFFFFFF"/>
      </top>
      <bottom/>
      <diagonal/>
    </border>
    <border>
      <left/>
      <right style="thin">
        <color rgb="FFB2B2B2"/>
      </right>
      <top style="thin">
        <color indexed="64"/>
      </top>
      <bottom style="thin">
        <color indexed="64"/>
      </bottom>
      <diagonal/>
    </border>
    <border>
      <left style="thin">
        <color rgb="FFB2B2B2"/>
      </left>
      <right style="thin">
        <color rgb="FFB2B2B2"/>
      </right>
      <top style="thin">
        <color indexed="64"/>
      </top>
      <bottom style="thin">
        <color indexed="64"/>
      </bottom>
      <diagonal/>
    </border>
    <border>
      <left style="thin">
        <color rgb="FFB2B2B2"/>
      </left>
      <right style="thin">
        <color indexed="64"/>
      </right>
      <top style="thin">
        <color indexed="64"/>
      </top>
      <bottom style="thin">
        <color indexed="64"/>
      </bottom>
      <diagonal/>
    </border>
    <border>
      <left style="thin">
        <color rgb="FFB2B2B2"/>
      </left>
      <right style="thin">
        <color indexed="64"/>
      </right>
      <top/>
      <bottom style="thin">
        <color rgb="FFB2B2B2"/>
      </bottom>
      <diagonal/>
    </border>
    <border>
      <left/>
      <right/>
      <top style="medium">
        <color rgb="FFFFFFFF"/>
      </top>
      <bottom/>
      <diagonal/>
    </border>
    <border>
      <left style="thin">
        <color theme="9" tint="-0.249977111117893"/>
      </left>
      <right/>
      <top/>
      <bottom style="thin">
        <color theme="9" tint="-0.249977111117893"/>
      </bottom>
      <diagonal/>
    </border>
    <border>
      <left/>
      <right style="thin">
        <color theme="9" tint="-0.249977111117893"/>
      </right>
      <top/>
      <bottom style="thin">
        <color theme="9" tint="-0.249977111117893"/>
      </bottom>
      <diagonal/>
    </border>
    <border>
      <left style="thin">
        <color theme="9" tint="-0.249977111117893"/>
      </left>
      <right/>
      <top style="thin">
        <color theme="9" tint="-0.249977111117893"/>
      </top>
      <bottom/>
      <diagonal/>
    </border>
    <border>
      <left/>
      <right style="thin">
        <color theme="9" tint="-0.249977111117893"/>
      </right>
      <top style="thin">
        <color theme="9" tint="-0.249977111117893"/>
      </top>
      <bottom/>
      <diagonal/>
    </border>
    <border>
      <left/>
      <right/>
      <top style="thin">
        <color theme="9" tint="-0.249977111117893"/>
      </top>
      <bottom/>
      <diagonal/>
    </border>
    <border>
      <left style="thin">
        <color theme="9" tint="-0.249977111117893"/>
      </left>
      <right/>
      <top/>
      <bottom/>
      <diagonal/>
    </border>
    <border>
      <left/>
      <right style="thin">
        <color theme="9" tint="-0.249977111117893"/>
      </right>
      <top/>
      <bottom/>
      <diagonal/>
    </border>
    <border>
      <left/>
      <right/>
      <top/>
      <bottom style="thin">
        <color theme="9" tint="-0.249977111117893"/>
      </bottom>
      <diagonal/>
    </border>
    <border>
      <left style="thin">
        <color theme="2" tint="-0.89999084444715716"/>
      </left>
      <right/>
      <top/>
      <bottom/>
      <diagonal/>
    </border>
    <border>
      <left/>
      <right style="thin">
        <color theme="2" tint="-0.89999084444715716"/>
      </right>
      <top/>
      <bottom/>
      <diagonal/>
    </border>
    <border>
      <left style="thin">
        <color theme="2" tint="-0.89999084444715716"/>
      </left>
      <right/>
      <top style="thin">
        <color theme="2" tint="-0.89999084444715716"/>
      </top>
      <bottom/>
      <diagonal/>
    </border>
    <border>
      <left/>
      <right/>
      <top style="thin">
        <color theme="2" tint="-0.89999084444715716"/>
      </top>
      <bottom/>
      <diagonal/>
    </border>
    <border>
      <left/>
      <right style="thin">
        <color theme="2" tint="-0.89999084444715716"/>
      </right>
      <top style="thin">
        <color theme="2" tint="-0.89999084444715716"/>
      </top>
      <bottom/>
      <diagonal/>
    </border>
    <border>
      <left style="thin">
        <color theme="2" tint="-0.89999084444715716"/>
      </left>
      <right/>
      <top/>
      <bottom style="thin">
        <color theme="2" tint="-0.89999084444715716"/>
      </bottom>
      <diagonal/>
    </border>
    <border>
      <left/>
      <right/>
      <top/>
      <bottom style="thin">
        <color theme="2" tint="-0.89999084444715716"/>
      </bottom>
      <diagonal/>
    </border>
    <border>
      <left/>
      <right style="thin">
        <color theme="2" tint="-0.89999084444715716"/>
      </right>
      <top/>
      <bottom style="thin">
        <color theme="2" tint="-0.89999084444715716"/>
      </bottom>
      <diagonal/>
    </border>
    <border>
      <left style="thin">
        <color rgb="FFABABAB"/>
      </left>
      <right/>
      <top style="thin">
        <color rgb="FFABABAB"/>
      </top>
      <bottom/>
      <diagonal/>
    </border>
    <border>
      <left style="thin">
        <color indexed="65"/>
      </left>
      <right/>
      <top style="thin">
        <color rgb="FFABABAB"/>
      </top>
      <bottom/>
      <diagonal/>
    </border>
    <border>
      <left style="thin">
        <color rgb="FFABABAB"/>
      </left>
      <right/>
      <top style="thin">
        <color rgb="FFABABAB"/>
      </top>
      <bottom style="thin">
        <color rgb="FFABABAB"/>
      </bottom>
      <diagonal/>
    </border>
    <border>
      <left style="thin">
        <color rgb="FFABABAB"/>
      </left>
      <right style="thin">
        <color rgb="FFABABAB"/>
      </right>
      <top style="thin">
        <color rgb="FFABABAB"/>
      </top>
      <bottom/>
      <diagonal/>
    </border>
    <border>
      <left style="thin">
        <color rgb="FFABABAB"/>
      </left>
      <right style="thin">
        <color rgb="FFABABAB"/>
      </right>
      <top style="thin">
        <color rgb="FFABABAB"/>
      </top>
      <bottom style="thin">
        <color rgb="FFABABAB"/>
      </bottom>
      <diagonal/>
    </border>
    <border>
      <left style="thin">
        <color indexed="9"/>
      </left>
      <right/>
      <top style="thin">
        <color rgb="FFABABAB"/>
      </top>
      <bottom style="thin">
        <color rgb="FFABABAB"/>
      </bottom>
      <diagonal/>
    </border>
    <border>
      <left/>
      <right/>
      <top style="thin">
        <color theme="0" tint="-0.499984740745262"/>
      </top>
      <bottom/>
      <diagonal/>
    </border>
    <border>
      <left style="thin">
        <color theme="0" tint="-0.499984740745262"/>
      </left>
      <right style="hair">
        <color indexed="64"/>
      </right>
      <top style="thin">
        <color theme="0" tint="-0.499984740745262"/>
      </top>
      <bottom/>
      <diagonal/>
    </border>
    <border>
      <left style="hair">
        <color indexed="64"/>
      </left>
      <right style="hair">
        <color indexed="64"/>
      </right>
      <top style="thin">
        <color theme="0" tint="-0.499984740745262"/>
      </top>
      <bottom/>
      <diagonal/>
    </border>
    <border>
      <left style="hair">
        <color indexed="64"/>
      </left>
      <right style="hair">
        <color indexed="64"/>
      </right>
      <top style="thin">
        <color theme="0" tint="-0.499984740745262"/>
      </top>
      <bottom style="hair">
        <color indexed="64"/>
      </bottom>
      <diagonal/>
    </border>
    <border>
      <left style="thin">
        <color theme="0" tint="-0.499984740745262"/>
      </left>
      <right/>
      <top/>
      <bottom style="thin">
        <color indexed="64"/>
      </bottom>
      <diagonal/>
    </border>
    <border>
      <left/>
      <right style="thin">
        <color theme="0" tint="-0.499984740745262"/>
      </right>
      <top/>
      <bottom style="thin">
        <color indexed="64"/>
      </bottom>
      <diagonal/>
    </border>
    <border>
      <left style="thin">
        <color theme="0" tint="-0.499984740745262"/>
      </left>
      <right style="hair">
        <color indexed="64"/>
      </right>
      <top style="thin">
        <color indexed="64"/>
      </top>
      <bottom/>
      <diagonal/>
    </border>
    <border>
      <left style="hair">
        <color indexed="64"/>
      </left>
      <right style="thin">
        <color theme="0" tint="-0.499984740745262"/>
      </right>
      <top style="thin">
        <color indexed="64"/>
      </top>
      <bottom/>
      <diagonal/>
    </border>
    <border>
      <left style="hair">
        <color indexed="64"/>
      </left>
      <right style="thin">
        <color theme="0" tint="-0.499984740745262"/>
      </right>
      <top/>
      <bottom/>
      <diagonal/>
    </border>
    <border>
      <left style="hair">
        <color indexed="64"/>
      </left>
      <right style="thin">
        <color theme="0" tint="-0.499984740745262"/>
      </right>
      <top style="hair">
        <color indexed="64"/>
      </top>
      <bottom/>
      <diagonal/>
    </border>
    <border>
      <left style="hair">
        <color indexed="64"/>
      </left>
      <right style="thin">
        <color theme="0" tint="-0.499984740745262"/>
      </right>
      <top style="hair">
        <color indexed="64"/>
      </top>
      <bottom style="thin">
        <color indexed="64"/>
      </bottom>
      <diagonal/>
    </border>
    <border>
      <left/>
      <right style="thin">
        <color theme="0" tint="-0.499984740745262"/>
      </right>
      <top/>
      <bottom/>
      <diagonal/>
    </border>
    <border>
      <left style="thin">
        <color theme="0" tint="-0.499984740745262"/>
      </left>
      <right style="hair">
        <color indexed="64"/>
      </right>
      <top style="thin">
        <color indexed="64"/>
      </top>
      <bottom style="thin">
        <color theme="0" tint="-0.499984740745262"/>
      </bottom>
      <diagonal/>
    </border>
    <border>
      <left/>
      <right/>
      <top/>
      <bottom style="thin">
        <color theme="0" tint="-0.499984740745262"/>
      </bottom>
      <diagonal/>
    </border>
    <border>
      <left/>
      <right style="thin">
        <color theme="0" tint="-0.499984740745262"/>
      </right>
      <top/>
      <bottom style="thin">
        <color theme="0" tint="-0.499984740745262"/>
      </bottom>
      <diagonal/>
    </border>
    <border>
      <left style="hair">
        <color indexed="64"/>
      </left>
      <right style="thin">
        <color theme="0" tint="-0.499984740745262"/>
      </right>
      <top style="thin">
        <color theme="0" tint="-0.499984740745262"/>
      </top>
      <bottom/>
      <diagonal/>
    </border>
    <border>
      <left/>
      <right style="hair">
        <color indexed="64"/>
      </right>
      <top/>
      <bottom style="thin">
        <color theme="0" tint="-0.499984740745262"/>
      </bottom>
      <diagonal/>
    </border>
    <border>
      <left/>
      <right style="thin">
        <color indexed="64"/>
      </right>
      <top style="thin">
        <color theme="0" tint="-0.499984740745262"/>
      </top>
      <bottom/>
      <diagonal/>
    </border>
    <border>
      <left style="thin">
        <color theme="0" tint="-0.499984740745262"/>
      </left>
      <right style="thin">
        <color indexed="64"/>
      </right>
      <top style="thin">
        <color theme="0" tint="-0.499984740745262"/>
      </top>
      <bottom/>
      <diagonal/>
    </border>
    <border>
      <left style="thin">
        <color indexed="64"/>
      </left>
      <right style="thin">
        <color theme="0" tint="-0.499984740745262"/>
      </right>
      <top style="thin">
        <color theme="0" tint="-0.499984740745262"/>
      </top>
      <bottom/>
      <diagonal/>
    </border>
    <border>
      <left style="thin">
        <color theme="0" tint="-0.499984740745262"/>
      </left>
      <right style="thin">
        <color indexed="64"/>
      </right>
      <top/>
      <bottom/>
      <diagonal/>
    </border>
    <border>
      <left style="thin">
        <color indexed="64"/>
      </left>
      <right style="thin">
        <color theme="0" tint="-0.499984740745262"/>
      </right>
      <top/>
      <bottom/>
      <diagonal/>
    </border>
    <border>
      <left style="thin">
        <color theme="0" tint="-0.499984740745262"/>
      </left>
      <right style="thin">
        <color indexed="64"/>
      </right>
      <top/>
      <bottom style="thin">
        <color theme="0" tint="-0.499984740745262"/>
      </bottom>
      <diagonal/>
    </border>
    <border>
      <left style="thin">
        <color indexed="64"/>
      </left>
      <right style="thin">
        <color theme="0" tint="-0.499984740745262"/>
      </right>
      <top/>
      <bottom style="thin">
        <color theme="0" tint="-0.499984740745262"/>
      </bottom>
      <diagonal/>
    </border>
    <border>
      <left style="thin">
        <color theme="0" tint="-0.499984740745262"/>
      </left>
      <right/>
      <top style="thin">
        <color theme="0" tint="-0.499984740745262"/>
      </top>
      <bottom/>
      <diagonal/>
    </border>
    <border>
      <left style="thin">
        <color theme="0" tint="-0.499984740745262"/>
      </left>
      <right style="thin">
        <color theme="0" tint="-0.499984740745262"/>
      </right>
      <top style="thin">
        <color theme="0" tint="-0.499984740745262"/>
      </top>
      <bottom/>
      <diagonal/>
    </border>
    <border>
      <left style="thin">
        <color theme="0" tint="-0.499984740745262"/>
      </left>
      <right/>
      <top/>
      <bottom/>
      <diagonal/>
    </border>
    <border>
      <left style="thin">
        <color theme="0" tint="-0.499984740745262"/>
      </left>
      <right style="thin">
        <color theme="0" tint="-0.499984740745262"/>
      </right>
      <top/>
      <bottom/>
      <diagonal/>
    </border>
    <border>
      <left style="thin">
        <color theme="0" tint="-0.499984740745262"/>
      </left>
      <right/>
      <top/>
      <bottom style="thin">
        <color theme="0" tint="-0.499984740745262"/>
      </bottom>
      <diagonal/>
    </border>
    <border>
      <left style="thin">
        <color theme="0" tint="-0.499984740745262"/>
      </left>
      <right style="thin">
        <color theme="0" tint="-0.499984740745262"/>
      </right>
      <top/>
      <bottom style="thin">
        <color theme="0" tint="-0.499984740745262"/>
      </bottom>
      <diagonal/>
    </border>
    <border>
      <left style="thin">
        <color theme="9" tint="-0.249977111117893"/>
      </left>
      <right style="thin">
        <color theme="9" tint="-0.249977111117893"/>
      </right>
      <top style="thin">
        <color theme="9" tint="-0.249977111117893"/>
      </top>
      <bottom/>
      <diagonal/>
    </border>
    <border>
      <left style="thin">
        <color theme="9" tint="-0.249977111117893"/>
      </left>
      <right style="thin">
        <color theme="9" tint="-0.249977111117893"/>
      </right>
      <top/>
      <bottom/>
      <diagonal/>
    </border>
    <border>
      <left style="thin">
        <color theme="9" tint="-0.249977111117893"/>
      </left>
      <right style="thin">
        <color theme="9" tint="-0.249977111117893"/>
      </right>
      <top/>
      <bottom style="thin">
        <color theme="9" tint="-0.249977111117893"/>
      </bottom>
      <diagonal/>
    </border>
    <border>
      <left style="thin">
        <color theme="9" tint="-0.249977111117893"/>
      </left>
      <right style="thin">
        <color theme="9" tint="-0.249977111117893"/>
      </right>
      <top style="thin">
        <color theme="9" tint="-0.249977111117893"/>
      </top>
      <bottom style="thin">
        <color theme="9" tint="-0.249977111117893"/>
      </bottom>
      <diagonal/>
    </border>
    <border>
      <left style="thin">
        <color theme="9" tint="-0.249977111117893"/>
      </left>
      <right style="thin">
        <color theme="0" tint="-0.499984740745262"/>
      </right>
      <top style="thin">
        <color theme="0" tint="-0.499984740745262"/>
      </top>
      <bottom/>
      <diagonal/>
    </border>
    <border>
      <left/>
      <right style="thin">
        <color theme="9" tint="-0.249977111117893"/>
      </right>
      <top style="thin">
        <color theme="0" tint="-0.499984740745262"/>
      </top>
      <bottom/>
      <diagonal/>
    </border>
    <border>
      <left style="thin">
        <color theme="9" tint="-0.249977111117893"/>
      </left>
      <right style="thin">
        <color theme="0" tint="-0.499984740745262"/>
      </right>
      <top/>
      <bottom/>
      <diagonal/>
    </border>
    <border>
      <left style="thin">
        <color theme="9" tint="-0.249977111117893"/>
      </left>
      <right style="thin">
        <color theme="0" tint="-0.499984740745262"/>
      </right>
      <top/>
      <bottom style="thin">
        <color theme="9" tint="-0.249977111117893"/>
      </bottom>
      <diagonal/>
    </border>
    <border>
      <left/>
      <right/>
      <top style="thin">
        <color theme="9" tint="-0.249977111117893"/>
      </top>
      <bottom style="thin">
        <color theme="9" tint="-0.249977111117893"/>
      </bottom>
      <diagonal/>
    </border>
    <border>
      <left style="thin">
        <color theme="9" tint="-0.249977111117893"/>
      </left>
      <right style="thin">
        <color theme="0" tint="-0.499984740745262"/>
      </right>
      <top style="thin">
        <color theme="0" tint="-0.499984740745262"/>
      </top>
      <bottom style="thin">
        <color theme="0" tint="-0.499984740745262"/>
      </bottom>
      <diagonal/>
    </border>
    <border>
      <left style="thin">
        <color theme="9" tint="-0.249977111117893"/>
      </left>
      <right/>
      <top style="thin">
        <color theme="9" tint="-0.249977111117893"/>
      </top>
      <bottom style="thin">
        <color theme="9" tint="-0.249977111117893"/>
      </bottom>
      <diagonal/>
    </border>
    <border>
      <left style="thin">
        <color theme="9" tint="-0.249977111117893"/>
      </left>
      <right/>
      <top style="thin">
        <color indexed="64"/>
      </top>
      <bottom/>
      <diagonal/>
    </border>
    <border>
      <left/>
      <right style="thin">
        <color theme="9" tint="-0.249977111117893"/>
      </right>
      <top style="thin">
        <color theme="9" tint="-0.249977111117893"/>
      </top>
      <bottom style="thin">
        <color theme="9" tint="-0.249977111117893"/>
      </bottom>
      <diagonal/>
    </border>
    <border>
      <left style="thin">
        <color theme="0" tint="-0.499984740745262"/>
      </left>
      <right/>
      <top style="thin">
        <color theme="9" tint="-0.249977111117893"/>
      </top>
      <bottom style="thin">
        <color theme="9" tint="-0.249977111117893"/>
      </bottom>
      <diagonal/>
    </border>
    <border>
      <left style="thin">
        <color theme="9" tint="-0.249977111117893"/>
      </left>
      <right/>
      <top style="thin">
        <color theme="0" tint="-0.499984740745262"/>
      </top>
      <bottom/>
      <diagonal/>
    </border>
    <border>
      <left/>
      <right style="thin">
        <color theme="0" tint="-0.499984740745262"/>
      </right>
      <top style="thin">
        <color theme="0" tint="-0.499984740745262"/>
      </top>
      <bottom/>
      <diagonal/>
    </border>
    <border>
      <left/>
      <right style="thin">
        <color theme="0" tint="-0.499984740745262"/>
      </right>
      <top style="thin">
        <color theme="9" tint="-0.249977111117893"/>
      </top>
      <bottom style="thin">
        <color theme="9" tint="-0.249977111117893"/>
      </bottom>
      <diagonal/>
    </border>
    <border>
      <left style="thin">
        <color theme="9" tint="-0.249977111117893"/>
      </left>
      <right/>
      <top style="thin">
        <color theme="9" tint="-0.249977111117893"/>
      </top>
      <bottom style="thin">
        <color theme="0" tint="-0.499984740745262"/>
      </bottom>
      <diagonal/>
    </border>
    <border>
      <left/>
      <right/>
      <top style="thin">
        <color theme="9" tint="-0.249977111117893"/>
      </top>
      <bottom style="thin">
        <color theme="0" tint="-0.499984740745262"/>
      </bottom>
      <diagonal/>
    </border>
    <border>
      <left/>
      <right style="thin">
        <color theme="9" tint="-0.249977111117893"/>
      </right>
      <top style="thin">
        <color theme="9" tint="-0.249977111117893"/>
      </top>
      <bottom style="thin">
        <color theme="0" tint="-0.499984740745262"/>
      </bottom>
      <diagonal/>
    </border>
    <border>
      <left style="medium">
        <color theme="9" tint="-0.249977111117893"/>
      </left>
      <right/>
      <top style="medium">
        <color theme="9" tint="-0.249977111117893"/>
      </top>
      <bottom/>
      <diagonal/>
    </border>
    <border>
      <left/>
      <right style="medium">
        <color theme="9" tint="-0.249977111117893"/>
      </right>
      <top style="medium">
        <color theme="9" tint="-0.249977111117893"/>
      </top>
      <bottom/>
      <diagonal/>
    </border>
    <border>
      <left style="medium">
        <color theme="9" tint="-0.249977111117893"/>
      </left>
      <right/>
      <top/>
      <bottom/>
      <diagonal/>
    </border>
    <border>
      <left/>
      <right style="medium">
        <color theme="9" tint="-0.249977111117893"/>
      </right>
      <top/>
      <bottom/>
      <diagonal/>
    </border>
    <border>
      <left style="medium">
        <color theme="9" tint="-0.249977111117893"/>
      </left>
      <right/>
      <top/>
      <bottom style="medium">
        <color theme="9" tint="-0.249977111117893"/>
      </bottom>
      <diagonal/>
    </border>
    <border>
      <left/>
      <right style="medium">
        <color theme="9" tint="-0.249977111117893"/>
      </right>
      <top/>
      <bottom style="medium">
        <color theme="9" tint="-0.249977111117893"/>
      </bottom>
      <diagonal/>
    </border>
    <border>
      <left style="thin">
        <color theme="9" tint="-0.249977111117893"/>
      </left>
      <right/>
      <top/>
      <bottom style="thin">
        <color indexed="64"/>
      </bottom>
      <diagonal/>
    </border>
    <border>
      <left/>
      <right style="thin">
        <color theme="9" tint="-0.249977111117893"/>
      </right>
      <top/>
      <bottom style="thin">
        <color indexed="64"/>
      </bottom>
      <diagonal/>
    </border>
    <border>
      <left/>
      <right style="thin">
        <color theme="9" tint="-0.249977111117893"/>
      </right>
      <top style="thin">
        <color indexed="64"/>
      </top>
      <bottom/>
      <diagonal/>
    </border>
    <border>
      <left style="thin">
        <color theme="0" tint="-0.499984740745262"/>
      </left>
      <right/>
      <top style="thin">
        <color theme="0" tint="-0.499984740745262"/>
      </top>
      <bottom style="thin">
        <color theme="0" tint="-0.499984740745262"/>
      </bottom>
      <diagonal/>
    </border>
    <border>
      <left/>
      <right/>
      <top style="thin">
        <color theme="0" tint="-0.499984740745262"/>
      </top>
      <bottom style="thin">
        <color theme="0" tint="-0.499984740745262"/>
      </bottom>
      <diagonal/>
    </border>
    <border>
      <left/>
      <right style="thin">
        <color theme="0" tint="-0.499984740745262"/>
      </right>
      <top style="thin">
        <color theme="0" tint="-0.499984740745262"/>
      </top>
      <bottom style="thin">
        <color theme="0" tint="-0.499984740745262"/>
      </bottom>
      <diagonal/>
    </border>
    <border>
      <left style="thin">
        <color indexed="64"/>
      </left>
      <right/>
      <top style="thin">
        <color theme="0" tint="-0.499984740745262"/>
      </top>
      <bottom style="hair">
        <color indexed="64"/>
      </bottom>
      <diagonal/>
    </border>
    <border>
      <left/>
      <right/>
      <top style="thin">
        <color theme="0" tint="-0.499984740745262"/>
      </top>
      <bottom style="hair">
        <color indexed="64"/>
      </bottom>
      <diagonal/>
    </border>
    <border>
      <left/>
      <right style="thin">
        <color indexed="64"/>
      </right>
      <top style="thin">
        <color theme="0" tint="-0.499984740745262"/>
      </top>
      <bottom style="hair">
        <color indexed="64"/>
      </bottom>
      <diagonal/>
    </border>
    <border>
      <left/>
      <right style="thin">
        <color theme="0" tint="-0.499984740745262"/>
      </right>
      <top style="thin">
        <color theme="0" tint="-0.499984740745262"/>
      </top>
      <bottom style="hair">
        <color indexed="64"/>
      </bottom>
      <diagonal/>
    </border>
    <border>
      <left style="thin">
        <color theme="0" tint="-0.499984740745262"/>
      </left>
      <right/>
      <top style="thin">
        <color indexed="64"/>
      </top>
      <bottom/>
      <diagonal/>
    </border>
    <border>
      <left style="double">
        <color theme="1"/>
      </left>
      <right/>
      <top style="double">
        <color theme="1"/>
      </top>
      <bottom/>
      <diagonal/>
    </border>
    <border>
      <left/>
      <right/>
      <top style="double">
        <color theme="1"/>
      </top>
      <bottom/>
      <diagonal/>
    </border>
    <border>
      <left style="thin">
        <color rgb="FFB2B2B2"/>
      </left>
      <right style="thin">
        <color rgb="FFB2B2B2"/>
      </right>
      <top style="double">
        <color theme="1"/>
      </top>
      <bottom style="thin">
        <color rgb="FFB2B2B2"/>
      </bottom>
      <diagonal/>
    </border>
    <border>
      <left style="thin">
        <color rgb="FFB2B2B2"/>
      </left>
      <right style="double">
        <color theme="1"/>
      </right>
      <top style="double">
        <color theme="1"/>
      </top>
      <bottom style="thin">
        <color rgb="FFB2B2B2"/>
      </bottom>
      <diagonal/>
    </border>
    <border>
      <left style="double">
        <color theme="1"/>
      </left>
      <right/>
      <top/>
      <bottom style="double">
        <color theme="1"/>
      </bottom>
      <diagonal/>
    </border>
    <border>
      <left/>
      <right/>
      <top/>
      <bottom style="double">
        <color theme="1"/>
      </bottom>
      <diagonal/>
    </border>
    <border>
      <left style="thin">
        <color rgb="FFB2B2B2"/>
      </left>
      <right style="thin">
        <color rgb="FFB2B2B2"/>
      </right>
      <top style="double">
        <color theme="1"/>
      </top>
      <bottom style="double">
        <color theme="1"/>
      </bottom>
      <diagonal/>
    </border>
    <border>
      <left style="thin">
        <color rgb="FFB2B2B2"/>
      </left>
      <right style="double">
        <color theme="1"/>
      </right>
      <top style="double">
        <color theme="1"/>
      </top>
      <bottom style="double">
        <color theme="1"/>
      </bottom>
      <diagonal/>
    </border>
    <border>
      <left style="double">
        <color indexed="64"/>
      </left>
      <right style="thin">
        <color rgb="FFB2B2B2"/>
      </right>
      <top style="double">
        <color theme="1"/>
      </top>
      <bottom style="thin">
        <color rgb="FFB2B2B2"/>
      </bottom>
      <diagonal/>
    </border>
    <border>
      <left style="double">
        <color indexed="64"/>
      </left>
      <right style="thin">
        <color rgb="FFB2B2B2"/>
      </right>
      <top style="double">
        <color theme="1"/>
      </top>
      <bottom style="double">
        <color theme="1"/>
      </bottom>
      <diagonal/>
    </border>
    <border>
      <left/>
      <right style="double">
        <color indexed="64"/>
      </right>
      <top style="double">
        <color theme="1"/>
      </top>
      <bottom/>
      <diagonal/>
    </border>
    <border>
      <left/>
      <right style="double">
        <color indexed="64"/>
      </right>
      <top/>
      <bottom style="double">
        <color theme="1"/>
      </bottom>
      <diagonal/>
    </border>
    <border>
      <left style="double">
        <color theme="1"/>
      </left>
      <right/>
      <top/>
      <bottom/>
      <diagonal/>
    </border>
    <border>
      <left/>
      <right style="double">
        <color theme="1"/>
      </right>
      <top/>
      <bottom/>
      <diagonal/>
    </border>
    <border>
      <left style="thin">
        <color indexed="64"/>
      </left>
      <right style="medium">
        <color auto="1"/>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diagonal/>
    </border>
    <border>
      <left/>
      <right style="medium">
        <color indexed="64"/>
      </right>
      <top style="thin">
        <color indexed="64"/>
      </top>
      <bottom style="thin">
        <color indexed="64"/>
      </bottom>
      <diagonal/>
    </border>
  </borders>
  <cellStyleXfs count="7">
    <xf numFmtId="0" fontId="0" fillId="0" borderId="0"/>
    <xf numFmtId="43" fontId="30" fillId="0" borderId="0" applyFont="0" applyFill="0" applyBorder="0" applyAlignment="0" applyProtection="0"/>
    <xf numFmtId="168" fontId="3" fillId="0" borderId="0" applyFont="0" applyFill="0" applyBorder="0" applyAlignment="0" applyProtection="0"/>
    <xf numFmtId="0" fontId="32" fillId="0" borderId="0" applyNumberFormat="0" applyFill="0" applyBorder="0" applyAlignment="0" applyProtection="0"/>
    <xf numFmtId="0" fontId="3" fillId="0" borderId="0"/>
    <xf numFmtId="0" fontId="30" fillId="2" borderId="86" applyNumberFormat="0" applyFont="0" applyAlignment="0" applyProtection="0"/>
    <xf numFmtId="9" fontId="30" fillId="0" borderId="0" applyFont="0" applyFill="0" applyBorder="0" applyAlignment="0" applyProtection="0"/>
  </cellStyleXfs>
  <cellXfs count="1829">
    <xf numFmtId="0" fontId="0" fillId="0" borderId="0" xfId="0"/>
    <xf numFmtId="0" fontId="33" fillId="0" borderId="0" xfId="0" applyFont="1"/>
    <xf numFmtId="43" fontId="30" fillId="0" borderId="0" xfId="1" applyFont="1"/>
    <xf numFmtId="9" fontId="30" fillId="0" borderId="0" xfId="6" applyFont="1"/>
    <xf numFmtId="164" fontId="30" fillId="0" borderId="0" xfId="1" applyNumberFormat="1" applyFont="1"/>
    <xf numFmtId="43" fontId="0" fillId="0" borderId="0" xfId="0" applyNumberFormat="1"/>
    <xf numFmtId="43" fontId="30" fillId="0" borderId="0" xfId="1" applyFont="1" applyFill="1"/>
    <xf numFmtId="164" fontId="30" fillId="0" borderId="0" xfId="1" applyNumberFormat="1" applyFont="1" applyFill="1"/>
    <xf numFmtId="0" fontId="0" fillId="0" borderId="0" xfId="0" applyAlignment="1">
      <alignment horizontal="center" wrapText="1"/>
    </xf>
    <xf numFmtId="0" fontId="0" fillId="0" borderId="0" xfId="0" applyAlignment="1">
      <alignment horizontal="center"/>
    </xf>
    <xf numFmtId="0" fontId="35" fillId="0" borderId="0" xfId="0" applyFont="1"/>
    <xf numFmtId="0" fontId="35" fillId="0" borderId="0" xfId="0" applyFont="1" applyAlignment="1">
      <alignment horizontal="center" wrapText="1"/>
    </xf>
    <xf numFmtId="43" fontId="35" fillId="0" borderId="0" xfId="1" applyFont="1"/>
    <xf numFmtId="164" fontId="30" fillId="3" borderId="1" xfId="1" applyNumberFormat="1" applyFont="1" applyFill="1" applyBorder="1" applyProtection="1">
      <protection locked="0"/>
    </xf>
    <xf numFmtId="0" fontId="0" fillId="3" borderId="1" xfId="0" applyFill="1" applyBorder="1" applyProtection="1">
      <protection locked="0"/>
    </xf>
    <xf numFmtId="164" fontId="33" fillId="0" borderId="0" xfId="1" applyNumberFormat="1" applyFont="1" applyBorder="1" applyProtection="1"/>
    <xf numFmtId="164" fontId="34" fillId="0" borderId="0" xfId="0" applyNumberFormat="1" applyFont="1"/>
    <xf numFmtId="164" fontId="33" fillId="0" borderId="0" xfId="0" applyNumberFormat="1" applyFont="1"/>
    <xf numFmtId="43" fontId="33" fillId="0" borderId="1" xfId="1" applyFont="1" applyFill="1" applyBorder="1" applyProtection="1"/>
    <xf numFmtId="43" fontId="33" fillId="0" borderId="0" xfId="1" applyFont="1" applyBorder="1" applyProtection="1"/>
    <xf numFmtId="164" fontId="33" fillId="0" borderId="1" xfId="0" applyNumberFormat="1" applyFont="1" applyBorder="1"/>
    <xf numFmtId="164" fontId="0" fillId="0" borderId="1" xfId="0" applyNumberFormat="1" applyBorder="1"/>
    <xf numFmtId="9" fontId="30" fillId="0" borderId="1" xfId="6" applyFont="1" applyBorder="1" applyAlignment="1" applyProtection="1">
      <alignment horizontal="center"/>
    </xf>
    <xf numFmtId="9" fontId="30" fillId="4" borderId="1" xfId="6" applyFont="1" applyFill="1" applyBorder="1" applyAlignment="1" applyProtection="1">
      <alignment horizontal="center"/>
      <protection locked="0"/>
    </xf>
    <xf numFmtId="0" fontId="0" fillId="5" borderId="1" xfId="0" applyFill="1" applyBorder="1" applyAlignment="1" applyProtection="1">
      <alignment horizontal="center"/>
      <protection locked="0"/>
    </xf>
    <xf numFmtId="164" fontId="30" fillId="4" borderId="1" xfId="1" applyNumberFormat="1" applyFont="1" applyFill="1" applyBorder="1" applyProtection="1">
      <protection locked="0"/>
    </xf>
    <xf numFmtId="164" fontId="30" fillId="0" borderId="1" xfId="1" applyNumberFormat="1" applyFont="1" applyBorder="1" applyProtection="1"/>
    <xf numFmtId="164" fontId="36" fillId="0" borderId="0" xfId="0" applyNumberFormat="1" applyFont="1"/>
    <xf numFmtId="167" fontId="33" fillId="0" borderId="1" xfId="6" applyNumberFormat="1" applyFont="1" applyBorder="1" applyProtection="1"/>
    <xf numFmtId="167" fontId="30" fillId="0" borderId="1" xfId="6" applyNumberFormat="1" applyFont="1" applyFill="1" applyBorder="1" applyProtection="1"/>
    <xf numFmtId="164" fontId="30" fillId="6" borderId="1" xfId="1" applyNumberFormat="1" applyFont="1" applyFill="1" applyBorder="1" applyProtection="1"/>
    <xf numFmtId="164" fontId="30" fillId="0" borderId="1" xfId="1" applyNumberFormat="1" applyFont="1" applyFill="1" applyBorder="1" applyProtection="1"/>
    <xf numFmtId="9" fontId="0" fillId="0" borderId="1" xfId="0" applyNumberFormat="1" applyBorder="1" applyAlignment="1">
      <alignment horizontal="center"/>
    </xf>
    <xf numFmtId="164" fontId="33" fillId="0" borderId="2" xfId="1" applyNumberFormat="1" applyFont="1" applyFill="1" applyBorder="1" applyProtection="1"/>
    <xf numFmtId="9" fontId="33" fillId="0" borderId="0" xfId="0" applyNumberFormat="1" applyFont="1" applyAlignment="1">
      <alignment horizontal="center"/>
    </xf>
    <xf numFmtId="164" fontId="33" fillId="0" borderId="0" xfId="1" applyNumberFormat="1" applyFont="1" applyFill="1" applyBorder="1" applyProtection="1"/>
    <xf numFmtId="43" fontId="30" fillId="0" borderId="1" xfId="1" applyFont="1" applyFill="1" applyBorder="1" applyProtection="1"/>
    <xf numFmtId="164" fontId="33" fillId="0" borderId="2" xfId="1" applyNumberFormat="1" applyFont="1" applyBorder="1" applyProtection="1"/>
    <xf numFmtId="164" fontId="33" fillId="0" borderId="2" xfId="0" applyNumberFormat="1" applyFont="1" applyBorder="1"/>
    <xf numFmtId="43" fontId="33" fillId="0" borderId="2" xfId="1" applyFont="1" applyBorder="1" applyProtection="1"/>
    <xf numFmtId="43" fontId="0" fillId="0" borderId="1" xfId="0" applyNumberFormat="1" applyBorder="1"/>
    <xf numFmtId="9" fontId="30" fillId="0" borderId="0" xfId="6" applyFont="1" applyBorder="1" applyProtection="1"/>
    <xf numFmtId="164" fontId="30" fillId="0" borderId="3" xfId="1" applyNumberFormat="1" applyFont="1" applyFill="1" applyBorder="1" applyProtection="1"/>
    <xf numFmtId="9" fontId="33" fillId="0" borderId="0" xfId="6" applyFont="1" applyFill="1" applyBorder="1" applyAlignment="1" applyProtection="1">
      <alignment horizontal="center"/>
    </xf>
    <xf numFmtId="43" fontId="35" fillId="0" borderId="1" xfId="1" applyFont="1" applyFill="1" applyBorder="1" applyProtection="1"/>
    <xf numFmtId="43" fontId="37" fillId="0" borderId="1" xfId="1" applyFont="1" applyFill="1" applyBorder="1" applyProtection="1"/>
    <xf numFmtId="43" fontId="37" fillId="0" borderId="2" xfId="1" applyFont="1" applyBorder="1" applyProtection="1"/>
    <xf numFmtId="9" fontId="0" fillId="4" borderId="1" xfId="0" applyNumberFormat="1" applyFill="1" applyBorder="1" applyAlignment="1" applyProtection="1">
      <alignment horizontal="center"/>
      <protection locked="0"/>
    </xf>
    <xf numFmtId="9" fontId="30" fillId="0" borderId="1" xfId="6" applyFont="1" applyFill="1" applyBorder="1" applyAlignment="1" applyProtection="1">
      <alignment horizontal="center"/>
    </xf>
    <xf numFmtId="43" fontId="33" fillId="0" borderId="2" xfId="1" applyFont="1" applyFill="1" applyBorder="1" applyProtection="1"/>
    <xf numFmtId="0" fontId="0" fillId="4" borderId="1" xfId="0" applyFill="1" applyBorder="1" applyProtection="1">
      <protection locked="0"/>
    </xf>
    <xf numFmtId="0" fontId="0" fillId="7" borderId="1" xfId="0" applyFill="1" applyBorder="1" applyProtection="1">
      <protection locked="0"/>
    </xf>
    <xf numFmtId="9" fontId="30" fillId="3" borderId="1" xfId="6" applyFont="1" applyFill="1" applyBorder="1" applyProtection="1">
      <protection locked="0"/>
    </xf>
    <xf numFmtId="165" fontId="30" fillId="0" borderId="1" xfId="1" applyNumberFormat="1" applyFont="1" applyFill="1" applyBorder="1" applyProtection="1"/>
    <xf numFmtId="164" fontId="38" fillId="0" borderId="0" xfId="0" applyNumberFormat="1" applyFont="1"/>
    <xf numFmtId="0" fontId="38" fillId="0" borderId="0" xfId="0" applyFont="1"/>
    <xf numFmtId="0" fontId="0" fillId="0" borderId="1" xfId="0" applyBorder="1" applyAlignment="1">
      <alignment horizontal="center" vertical="center" wrapText="1"/>
    </xf>
    <xf numFmtId="43" fontId="34" fillId="0" borderId="0" xfId="1" applyFont="1" applyBorder="1" applyProtection="1"/>
    <xf numFmtId="164" fontId="34" fillId="0" borderId="0" xfId="1" applyNumberFormat="1" applyFont="1" applyBorder="1" applyProtection="1"/>
    <xf numFmtId="164" fontId="30" fillId="7" borderId="4" xfId="1" applyNumberFormat="1" applyFont="1" applyFill="1" applyBorder="1" applyProtection="1">
      <protection locked="0"/>
    </xf>
    <xf numFmtId="0" fontId="0" fillId="7" borderId="4" xfId="0" applyFill="1" applyBorder="1" applyProtection="1">
      <protection locked="0"/>
    </xf>
    <xf numFmtId="9" fontId="30" fillId="4" borderId="1" xfId="6" applyFont="1" applyFill="1" applyBorder="1" applyProtection="1">
      <protection locked="0"/>
    </xf>
    <xf numFmtId="0" fontId="0" fillId="0" borderId="0" xfId="0" applyAlignment="1">
      <alignment vertical="center"/>
    </xf>
    <xf numFmtId="0" fontId="0" fillId="0" borderId="1" xfId="0" applyBorder="1"/>
    <xf numFmtId="43" fontId="30" fillId="0" borderId="1" xfId="1" applyFont="1" applyBorder="1" applyProtection="1"/>
    <xf numFmtId="9" fontId="33" fillId="0" borderId="0" xfId="6" applyFont="1" applyBorder="1" applyAlignment="1" applyProtection="1">
      <alignment horizontal="center"/>
    </xf>
    <xf numFmtId="43" fontId="33" fillId="0" borderId="1" xfId="0" applyNumberFormat="1" applyFont="1" applyBorder="1"/>
    <xf numFmtId="164" fontId="33" fillId="0" borderId="1" xfId="1" applyNumberFormat="1" applyFont="1" applyBorder="1" applyProtection="1"/>
    <xf numFmtId="164" fontId="0" fillId="0" borderId="5" xfId="0" applyNumberFormat="1" applyBorder="1"/>
    <xf numFmtId="164" fontId="38" fillId="0" borderId="0" xfId="1" applyNumberFormat="1" applyFont="1" applyBorder="1" applyProtection="1"/>
    <xf numFmtId="164" fontId="35" fillId="0" borderId="1" xfId="0" applyNumberFormat="1" applyFont="1" applyBorder="1"/>
    <xf numFmtId="164" fontId="33" fillId="0" borderId="1" xfId="0" applyNumberFormat="1" applyFont="1" applyBorder="1" applyAlignment="1">
      <alignment horizontal="center" vertical="center" wrapText="1"/>
    </xf>
    <xf numFmtId="43" fontId="33" fillId="0" borderId="1" xfId="1" applyFont="1" applyBorder="1" applyProtection="1"/>
    <xf numFmtId="164" fontId="33" fillId="0" borderId="1" xfId="1" applyNumberFormat="1" applyFont="1" applyBorder="1" applyAlignment="1" applyProtection="1">
      <alignment horizontal="center" vertical="center" wrapText="1"/>
    </xf>
    <xf numFmtId="9" fontId="33" fillId="0" borderId="1" xfId="0" applyNumberFormat="1" applyFont="1" applyBorder="1" applyAlignment="1">
      <alignment horizontal="center"/>
    </xf>
    <xf numFmtId="43" fontId="38" fillId="0" borderId="0" xfId="1" applyFont="1" applyBorder="1" applyAlignment="1" applyProtection="1">
      <alignment horizontal="center"/>
    </xf>
    <xf numFmtId="164" fontId="30" fillId="7" borderId="1" xfId="1" applyNumberFormat="1" applyFont="1" applyFill="1" applyBorder="1" applyProtection="1">
      <protection locked="0"/>
    </xf>
    <xf numFmtId="9" fontId="30" fillId="7" borderId="1" xfId="6" applyFont="1" applyFill="1" applyBorder="1" applyAlignment="1" applyProtection="1">
      <alignment horizontal="center"/>
      <protection locked="0"/>
    </xf>
    <xf numFmtId="0" fontId="0" fillId="7" borderId="1" xfId="0" applyFill="1" applyBorder="1" applyAlignment="1" applyProtection="1">
      <alignment horizontal="center"/>
      <protection locked="0"/>
    </xf>
    <xf numFmtId="43" fontId="30" fillId="7" borderId="1" xfId="1" applyFont="1" applyFill="1" applyBorder="1" applyProtection="1">
      <protection locked="0"/>
    </xf>
    <xf numFmtId="0" fontId="0" fillId="4" borderId="1" xfId="0" applyFill="1" applyBorder="1" applyAlignment="1" applyProtection="1">
      <alignment horizontal="center"/>
      <protection locked="0"/>
    </xf>
    <xf numFmtId="164" fontId="33" fillId="0" borderId="3" xfId="0" applyNumberFormat="1" applyFont="1" applyBorder="1"/>
    <xf numFmtId="164" fontId="38" fillId="0" borderId="0" xfId="1" applyNumberFormat="1" applyFont="1" applyBorder="1" applyAlignment="1" applyProtection="1">
      <alignment horizontal="center"/>
    </xf>
    <xf numFmtId="164" fontId="38" fillId="0" borderId="0" xfId="1" applyNumberFormat="1" applyFont="1" applyBorder="1" applyAlignment="1" applyProtection="1"/>
    <xf numFmtId="43" fontId="30" fillId="4" borderId="1" xfId="1" applyFont="1" applyFill="1" applyBorder="1" applyProtection="1">
      <protection locked="0"/>
    </xf>
    <xf numFmtId="2" fontId="0" fillId="4" borderId="4" xfId="0" applyNumberFormat="1" applyFill="1" applyBorder="1" applyAlignment="1" applyProtection="1">
      <alignment horizontal="right"/>
      <protection locked="0"/>
    </xf>
    <xf numFmtId="0" fontId="0" fillId="4" borderId="0" xfId="0" applyFill="1" applyProtection="1">
      <protection locked="0"/>
    </xf>
    <xf numFmtId="0" fontId="0" fillId="4" borderId="4" xfId="0" applyFill="1" applyBorder="1" applyAlignment="1" applyProtection="1">
      <alignment horizontal="right"/>
      <protection locked="0"/>
    </xf>
    <xf numFmtId="164" fontId="0" fillId="3" borderId="1" xfId="0" applyNumberFormat="1" applyFill="1" applyBorder="1" applyProtection="1">
      <protection locked="0"/>
    </xf>
    <xf numFmtId="0" fontId="0" fillId="0" borderId="1" xfId="0" applyBorder="1" applyAlignment="1">
      <alignment horizontal="right"/>
    </xf>
    <xf numFmtId="165" fontId="30" fillId="0" borderId="1" xfId="1" applyNumberFormat="1" applyFont="1" applyFill="1" applyBorder="1" applyAlignment="1" applyProtection="1"/>
    <xf numFmtId="2" fontId="0" fillId="0" borderId="1" xfId="0" applyNumberFormat="1" applyBorder="1" applyAlignment="1">
      <alignment horizontal="right"/>
    </xf>
    <xf numFmtId="43" fontId="31" fillId="0" borderId="0" xfId="1" applyFont="1" applyProtection="1"/>
    <xf numFmtId="9" fontId="30" fillId="4" borderId="1" xfId="6" applyFont="1" applyFill="1" applyBorder="1" applyAlignment="1" applyProtection="1">
      <alignment vertical="center"/>
      <protection locked="0"/>
    </xf>
    <xf numFmtId="1" fontId="0" fillId="0" borderId="1" xfId="0" applyNumberFormat="1" applyBorder="1"/>
    <xf numFmtId="43" fontId="30" fillId="0" borderId="4" xfId="1" applyFont="1" applyFill="1" applyBorder="1" applyProtection="1"/>
    <xf numFmtId="43" fontId="31" fillId="0" borderId="0" xfId="1" applyFont="1" applyBorder="1" applyProtection="1"/>
    <xf numFmtId="9" fontId="30" fillId="0" borderId="1" xfId="6" applyFont="1" applyBorder="1" applyProtection="1"/>
    <xf numFmtId="0" fontId="39" fillId="0" borderId="0" xfId="0" applyFont="1"/>
    <xf numFmtId="164" fontId="30" fillId="0" borderId="3" xfId="1" applyNumberFormat="1" applyFont="1" applyBorder="1" applyProtection="1"/>
    <xf numFmtId="164" fontId="40" fillId="8" borderId="87" xfId="0" applyNumberFormat="1" applyFont="1" applyFill="1" applyBorder="1" applyAlignment="1">
      <alignment horizontal="center"/>
    </xf>
    <xf numFmtId="164" fontId="40" fillId="8" borderId="87" xfId="0" applyNumberFormat="1" applyFont="1" applyFill="1" applyBorder="1"/>
    <xf numFmtId="0" fontId="40" fillId="8" borderId="87" xfId="0" applyFont="1" applyFill="1" applyBorder="1" applyAlignment="1">
      <alignment horizontal="center"/>
    </xf>
    <xf numFmtId="43" fontId="40" fillId="8" borderId="87" xfId="1" applyFont="1" applyFill="1" applyBorder="1" applyAlignment="1" applyProtection="1">
      <alignment horizontal="center"/>
    </xf>
    <xf numFmtId="43" fontId="40" fillId="8" borderId="0" xfId="0" applyNumberFormat="1" applyFont="1" applyFill="1"/>
    <xf numFmtId="43" fontId="40" fillId="8" borderId="87" xfId="1" applyFont="1" applyFill="1" applyBorder="1" applyProtection="1"/>
    <xf numFmtId="164" fontId="40" fillId="8" borderId="87" xfId="1" applyNumberFormat="1" applyFont="1" applyFill="1" applyBorder="1" applyProtection="1"/>
    <xf numFmtId="43" fontId="40" fillId="8" borderId="87" xfId="0" applyNumberFormat="1" applyFont="1" applyFill="1" applyBorder="1"/>
    <xf numFmtId="0" fontId="40" fillId="8" borderId="87" xfId="0" applyFont="1" applyFill="1" applyBorder="1" applyAlignment="1">
      <alignment horizontal="center" vertical="center" wrapText="1"/>
    </xf>
    <xf numFmtId="0" fontId="40" fillId="8" borderId="87" xfId="0" applyFont="1" applyFill="1" applyBorder="1" applyAlignment="1">
      <alignment horizontal="center" wrapText="1"/>
    </xf>
    <xf numFmtId="0" fontId="40" fillId="8" borderId="87" xfId="0" applyFont="1" applyFill="1" applyBorder="1"/>
    <xf numFmtId="0" fontId="0" fillId="3" borderId="1" xfId="0" applyFill="1" applyBorder="1" applyAlignment="1" applyProtection="1">
      <alignment horizontal="center"/>
      <protection locked="0"/>
    </xf>
    <xf numFmtId="0" fontId="0" fillId="0" borderId="1" xfId="0" applyBorder="1" applyAlignment="1">
      <alignment horizontal="center"/>
    </xf>
    <xf numFmtId="164" fontId="35" fillId="0" borderId="1" xfId="1" applyNumberFormat="1" applyFont="1" applyBorder="1" applyProtection="1"/>
    <xf numFmtId="165" fontId="35" fillId="0" borderId="1" xfId="1" applyNumberFormat="1" applyFont="1" applyFill="1" applyBorder="1" applyAlignment="1" applyProtection="1"/>
    <xf numFmtId="0" fontId="33" fillId="0" borderId="0" xfId="0" applyFont="1" applyAlignment="1">
      <alignment vertical="center"/>
    </xf>
    <xf numFmtId="0" fontId="0" fillId="6" borderId="6" xfId="0" applyFill="1" applyBorder="1"/>
    <xf numFmtId="0" fontId="0" fillId="8" borderId="0" xfId="0" applyFill="1"/>
    <xf numFmtId="0" fontId="41" fillId="0" borderId="0" xfId="0" applyFont="1" applyAlignment="1">
      <alignment horizontal="left"/>
    </xf>
    <xf numFmtId="0" fontId="36" fillId="0" borderId="0" xfId="0" applyFont="1" applyAlignment="1">
      <alignment horizontal="left" wrapText="1"/>
    </xf>
    <xf numFmtId="0" fontId="36" fillId="0" borderId="0" xfId="0" applyFont="1"/>
    <xf numFmtId="0" fontId="0" fillId="0" borderId="7" xfId="0" applyBorder="1"/>
    <xf numFmtId="0" fontId="0" fillId="0" borderId="8" xfId="0" applyBorder="1"/>
    <xf numFmtId="0" fontId="0" fillId="0" borderId="9" xfId="0" applyBorder="1"/>
    <xf numFmtId="0" fontId="0" fillId="0" borderId="10" xfId="0" applyBorder="1"/>
    <xf numFmtId="0" fontId="0" fillId="0" borderId="11" xfId="0" applyBorder="1"/>
    <xf numFmtId="0" fontId="31" fillId="0" borderId="0" xfId="0" applyFont="1"/>
    <xf numFmtId="0" fontId="42" fillId="0" borderId="0" xfId="0" applyFont="1"/>
    <xf numFmtId="0" fontId="0" fillId="0" borderId="0" xfId="0" applyAlignment="1">
      <alignment horizontal="left" vertical="center"/>
    </xf>
    <xf numFmtId="0" fontId="0" fillId="0" borderId="1" xfId="0" applyBorder="1" applyAlignment="1">
      <alignment horizontal="center" vertical="center"/>
    </xf>
    <xf numFmtId="0" fontId="0" fillId="0" borderId="12" xfId="0" applyBorder="1"/>
    <xf numFmtId="0" fontId="0" fillId="0" borderId="6" xfId="0" applyBorder="1"/>
    <xf numFmtId="0" fontId="0" fillId="0" borderId="13" xfId="0" applyBorder="1"/>
    <xf numFmtId="0" fontId="34" fillId="0" borderId="0" xfId="0" applyFont="1"/>
    <xf numFmtId="164" fontId="30" fillId="0" borderId="0" xfId="1" applyNumberFormat="1" applyFont="1" applyBorder="1" applyProtection="1"/>
    <xf numFmtId="164" fontId="0" fillId="0" borderId="0" xfId="0" applyNumberFormat="1"/>
    <xf numFmtId="0" fontId="36" fillId="0" borderId="11" xfId="0" applyFont="1" applyBorder="1" applyAlignment="1">
      <alignment wrapText="1"/>
    </xf>
    <xf numFmtId="0" fontId="43" fillId="0" borderId="0" xfId="0" applyFont="1" applyAlignment="1">
      <alignment wrapText="1"/>
    </xf>
    <xf numFmtId="0" fontId="37" fillId="0" borderId="0" xfId="0" applyFont="1"/>
    <xf numFmtId="0" fontId="0" fillId="0" borderId="4" xfId="0" applyBorder="1" applyAlignment="1">
      <alignment horizontal="center" vertical="center"/>
    </xf>
    <xf numFmtId="0" fontId="35" fillId="0" borderId="0" xfId="0" applyFont="1" applyAlignment="1">
      <alignment vertical="center" wrapText="1"/>
    </xf>
    <xf numFmtId="0" fontId="31" fillId="0" borderId="0" xfId="0" applyFont="1" applyAlignment="1">
      <alignment vertical="center" wrapText="1"/>
    </xf>
    <xf numFmtId="0" fontId="31" fillId="0" borderId="0" xfId="0" applyFont="1" applyAlignment="1">
      <alignment vertical="center"/>
    </xf>
    <xf numFmtId="9" fontId="35" fillId="0" borderId="0" xfId="6" applyFont="1" applyFill="1" applyProtection="1"/>
    <xf numFmtId="164" fontId="31" fillId="0" borderId="0" xfId="1" applyNumberFormat="1" applyFont="1" applyFill="1" applyProtection="1"/>
    <xf numFmtId="43" fontId="31" fillId="0" borderId="0" xfId="1" applyFont="1" applyFill="1" applyProtection="1"/>
    <xf numFmtId="43" fontId="31" fillId="0" borderId="0" xfId="0" applyNumberFormat="1" applyFont="1"/>
    <xf numFmtId="164" fontId="31" fillId="0" borderId="0" xfId="0" applyNumberFormat="1" applyFont="1"/>
    <xf numFmtId="0" fontId="0" fillId="0" borderId="4" xfId="0" applyBorder="1" applyAlignment="1">
      <alignment horizontal="right"/>
    </xf>
    <xf numFmtId="0" fontId="0" fillId="0" borderId="6" xfId="0" applyBorder="1" applyAlignment="1">
      <alignment horizontal="right"/>
    </xf>
    <xf numFmtId="2" fontId="0" fillId="0" borderId="6" xfId="0" applyNumberFormat="1" applyBorder="1" applyAlignment="1">
      <alignment horizontal="right"/>
    </xf>
    <xf numFmtId="43" fontId="0" fillId="0" borderId="6" xfId="0" applyNumberFormat="1" applyBorder="1"/>
    <xf numFmtId="164" fontId="0" fillId="0" borderId="6" xfId="0" applyNumberFormat="1" applyBorder="1"/>
    <xf numFmtId="164" fontId="30" fillId="0" borderId="6" xfId="1" applyNumberFormat="1" applyFont="1" applyBorder="1" applyProtection="1"/>
    <xf numFmtId="164" fontId="30" fillId="0" borderId="13" xfId="1" applyNumberFormat="1" applyFont="1" applyBorder="1" applyProtection="1"/>
    <xf numFmtId="0" fontId="35" fillId="0" borderId="0" xfId="0" applyFont="1" applyAlignment="1">
      <alignment horizontal="center" vertical="center" wrapText="1"/>
    </xf>
    <xf numFmtId="164" fontId="35" fillId="0" borderId="0" xfId="1" applyNumberFormat="1" applyFont="1" applyBorder="1" applyProtection="1"/>
    <xf numFmtId="43" fontId="35" fillId="0" borderId="0" xfId="1" applyFont="1" applyFill="1" applyBorder="1" applyProtection="1"/>
    <xf numFmtId="164" fontId="35" fillId="0" borderId="0" xfId="0" applyNumberFormat="1" applyFont="1"/>
    <xf numFmtId="0" fontId="35" fillId="9" borderId="1" xfId="0" applyFont="1" applyFill="1" applyBorder="1" applyAlignment="1" applyProtection="1">
      <alignment horizontal="center"/>
      <protection locked="0"/>
    </xf>
    <xf numFmtId="43" fontId="35" fillId="0" borderId="4" xfId="1" applyFont="1" applyFill="1" applyBorder="1" applyProtection="1"/>
    <xf numFmtId="0" fontId="41" fillId="0" borderId="0" xfId="0" applyFont="1"/>
    <xf numFmtId="0" fontId="0" fillId="0" borderId="0" xfId="0" applyAlignment="1">
      <alignment horizontal="center" vertical="center" wrapText="1"/>
    </xf>
    <xf numFmtId="0" fontId="0" fillId="0" borderId="0" xfId="0" applyAlignment="1">
      <alignment horizontal="right"/>
    </xf>
    <xf numFmtId="0" fontId="0" fillId="0" borderId="0" xfId="0" applyAlignment="1">
      <alignment wrapText="1"/>
    </xf>
    <xf numFmtId="0" fontId="0" fillId="0" borderId="4" xfId="0" applyBorder="1" applyAlignment="1">
      <alignment horizontal="center" vertical="center" wrapText="1"/>
    </xf>
    <xf numFmtId="0" fontId="35" fillId="0" borderId="1" xfId="0" applyFont="1" applyBorder="1" applyAlignment="1">
      <alignment horizontal="center" vertical="center" wrapText="1"/>
    </xf>
    <xf numFmtId="0" fontId="0" fillId="0" borderId="11" xfId="0" applyBorder="1" applyAlignment="1">
      <alignment horizontal="center" vertical="center" wrapText="1"/>
    </xf>
    <xf numFmtId="0" fontId="31" fillId="0" borderId="0" xfId="0" applyFont="1" applyAlignment="1">
      <alignment horizontal="center" wrapText="1"/>
    </xf>
    <xf numFmtId="2" fontId="0" fillId="0" borderId="1" xfId="0" applyNumberFormat="1" applyBorder="1"/>
    <xf numFmtId="165" fontId="30" fillId="0" borderId="0" xfId="1" applyNumberFormat="1" applyFont="1" applyFill="1" applyBorder="1" applyProtection="1"/>
    <xf numFmtId="43" fontId="30" fillId="0" borderId="0" xfId="1" applyFont="1" applyFill="1" applyBorder="1" applyProtection="1"/>
    <xf numFmtId="9" fontId="30" fillId="0" borderId="6" xfId="6" applyFont="1" applyFill="1" applyBorder="1" applyProtection="1"/>
    <xf numFmtId="164" fontId="30" fillId="0" borderId="6" xfId="1" applyNumberFormat="1" applyFont="1" applyFill="1" applyBorder="1" applyProtection="1"/>
    <xf numFmtId="165" fontId="30" fillId="0" borderId="6" xfId="1" applyNumberFormat="1" applyFont="1" applyFill="1" applyBorder="1" applyProtection="1"/>
    <xf numFmtId="43" fontId="30" fillId="0" borderId="6" xfId="1" applyFont="1" applyFill="1" applyBorder="1" applyProtection="1"/>
    <xf numFmtId="2" fontId="0" fillId="0" borderId="0" xfId="0" applyNumberFormat="1" applyAlignment="1">
      <alignment horizontal="right"/>
    </xf>
    <xf numFmtId="9" fontId="30" fillId="0" borderId="0" xfId="6" applyFont="1" applyFill="1" applyBorder="1" applyProtection="1"/>
    <xf numFmtId="164" fontId="30" fillId="0" borderId="0" xfId="1" applyNumberFormat="1" applyFont="1" applyFill="1" applyBorder="1" applyProtection="1"/>
    <xf numFmtId="0" fontId="0" fillId="0" borderId="8" xfId="0" applyBorder="1" applyAlignment="1">
      <alignment horizontal="right"/>
    </xf>
    <xf numFmtId="2" fontId="0" fillId="0" borderId="8" xfId="0" applyNumberFormat="1" applyBorder="1" applyAlignment="1">
      <alignment horizontal="right"/>
    </xf>
    <xf numFmtId="9" fontId="30" fillId="0" borderId="8" xfId="6" applyFont="1" applyFill="1" applyBorder="1" applyProtection="1"/>
    <xf numFmtId="164" fontId="30" fillId="0" borderId="8" xfId="1" applyNumberFormat="1" applyFont="1" applyFill="1" applyBorder="1" applyProtection="1"/>
    <xf numFmtId="165" fontId="30" fillId="0" borderId="8" xfId="1" applyNumberFormat="1" applyFont="1" applyFill="1" applyBorder="1" applyProtection="1"/>
    <xf numFmtId="164" fontId="0" fillId="0" borderId="8" xfId="0" applyNumberFormat="1" applyBorder="1"/>
    <xf numFmtId="43" fontId="30" fillId="0" borderId="8" xfId="1" applyFont="1" applyFill="1" applyBorder="1" applyProtection="1"/>
    <xf numFmtId="0" fontId="33" fillId="0" borderId="0" xfId="0" applyFont="1" applyAlignment="1">
      <alignment horizontal="left"/>
    </xf>
    <xf numFmtId="43" fontId="30" fillId="0" borderId="0" xfId="1" applyFont="1" applyBorder="1" applyProtection="1"/>
    <xf numFmtId="9" fontId="30" fillId="0" borderId="0" xfId="6" applyFont="1" applyFill="1" applyBorder="1" applyAlignment="1" applyProtection="1">
      <alignment vertical="center"/>
    </xf>
    <xf numFmtId="0" fontId="31" fillId="0" borderId="0" xfId="0" applyFont="1" applyAlignment="1">
      <alignment wrapText="1"/>
    </xf>
    <xf numFmtId="0" fontId="0" fillId="0" borderId="1" xfId="0" applyBorder="1" applyAlignment="1">
      <alignment horizontal="center" wrapText="1"/>
    </xf>
    <xf numFmtId="0" fontId="36" fillId="0" borderId="11" xfId="0" applyFont="1" applyBorder="1" applyAlignment="1">
      <alignment horizontal="left" wrapText="1"/>
    </xf>
    <xf numFmtId="0" fontId="35" fillId="0" borderId="7" xfId="0" applyFont="1" applyBorder="1"/>
    <xf numFmtId="0" fontId="35" fillId="0" borderId="8" xfId="0" applyFont="1" applyBorder="1"/>
    <xf numFmtId="0" fontId="35" fillId="0" borderId="10" xfId="0" applyFont="1" applyBorder="1"/>
    <xf numFmtId="0" fontId="35" fillId="0" borderId="9" xfId="0" applyFont="1" applyBorder="1"/>
    <xf numFmtId="0" fontId="35" fillId="0" borderId="11" xfId="0" applyFont="1" applyBorder="1"/>
    <xf numFmtId="0" fontId="35" fillId="0" borderId="1" xfId="0" applyFont="1" applyBorder="1" applyAlignment="1">
      <alignment horizontal="center" vertical="center"/>
    </xf>
    <xf numFmtId="0" fontId="35" fillId="0" borderId="1" xfId="0" applyFont="1" applyBorder="1" applyAlignment="1">
      <alignment horizontal="center" wrapText="1"/>
    </xf>
    <xf numFmtId="164" fontId="35" fillId="0" borderId="1" xfId="1" applyNumberFormat="1" applyFont="1" applyFill="1" applyBorder="1" applyProtection="1"/>
    <xf numFmtId="0" fontId="35" fillId="0" borderId="12" xfId="0" applyFont="1" applyBorder="1"/>
    <xf numFmtId="0" fontId="35" fillId="0" borderId="6" xfId="0" applyFont="1" applyBorder="1"/>
    <xf numFmtId="0" fontId="35" fillId="0" borderId="13" xfId="0" applyFont="1" applyBorder="1"/>
    <xf numFmtId="0" fontId="44" fillId="0" borderId="0" xfId="0" applyFont="1"/>
    <xf numFmtId="43" fontId="35" fillId="0" borderId="1" xfId="1" applyFont="1" applyBorder="1" applyProtection="1"/>
    <xf numFmtId="43" fontId="35" fillId="4" borderId="1" xfId="1" applyFont="1" applyFill="1" applyBorder="1" applyProtection="1">
      <protection locked="0"/>
    </xf>
    <xf numFmtId="0" fontId="35" fillId="0" borderId="0" xfId="0" applyFont="1" applyAlignment="1">
      <alignment wrapText="1"/>
    </xf>
    <xf numFmtId="0" fontId="35" fillId="4" borderId="1" xfId="0" applyFont="1" applyFill="1" applyBorder="1" applyProtection="1">
      <protection locked="0"/>
    </xf>
    <xf numFmtId="0" fontId="35" fillId="0" borderId="11" xfId="0" applyFont="1" applyBorder="1" applyAlignment="1">
      <alignment horizontal="center" vertical="center" wrapText="1"/>
    </xf>
    <xf numFmtId="0" fontId="35" fillId="0" borderId="1" xfId="0" applyFont="1" applyBorder="1" applyAlignment="1">
      <alignment horizontal="right"/>
    </xf>
    <xf numFmtId="9" fontId="35" fillId="4" borderId="1" xfId="0" applyNumberFormat="1" applyFont="1" applyFill="1" applyBorder="1" applyProtection="1">
      <protection locked="0"/>
    </xf>
    <xf numFmtId="2" fontId="35" fillId="0" borderId="1" xfId="0" applyNumberFormat="1" applyFont="1" applyBorder="1" applyAlignment="1">
      <alignment horizontal="right"/>
    </xf>
    <xf numFmtId="2" fontId="35" fillId="4" borderId="1" xfId="0" applyNumberFormat="1" applyFont="1" applyFill="1" applyBorder="1" applyProtection="1">
      <protection locked="0"/>
    </xf>
    <xf numFmtId="0" fontId="35" fillId="0" borderId="1" xfId="0" applyFont="1" applyBorder="1"/>
    <xf numFmtId="164" fontId="35" fillId="0" borderId="11" xfId="1" applyNumberFormat="1" applyFont="1" applyFill="1" applyBorder="1" applyProtection="1"/>
    <xf numFmtId="9" fontId="35" fillId="4" borderId="1" xfId="6" applyFont="1" applyFill="1" applyBorder="1" applyProtection="1">
      <protection locked="0"/>
    </xf>
    <xf numFmtId="164" fontId="35" fillId="3" borderId="1" xfId="1" applyNumberFormat="1" applyFont="1" applyFill="1" applyBorder="1" applyProtection="1">
      <protection locked="0"/>
    </xf>
    <xf numFmtId="9" fontId="35" fillId="0" borderId="1" xfId="6" applyFont="1" applyFill="1" applyBorder="1" applyProtection="1"/>
    <xf numFmtId="164" fontId="35" fillId="0" borderId="1" xfId="1" applyNumberFormat="1" applyFont="1" applyFill="1" applyBorder="1" applyAlignment="1" applyProtection="1">
      <alignment horizontal="center"/>
    </xf>
    <xf numFmtId="0" fontId="0" fillId="0" borderId="14" xfId="0" applyBorder="1"/>
    <xf numFmtId="0" fontId="33" fillId="0" borderId="0" xfId="0" applyFont="1" applyAlignment="1">
      <alignment horizontal="center"/>
    </xf>
    <xf numFmtId="43" fontId="0" fillId="8" borderId="0" xfId="0" applyNumberFormat="1" applyFill="1"/>
    <xf numFmtId="164" fontId="0" fillId="8" borderId="0" xfId="0" applyNumberFormat="1" applyFill="1"/>
    <xf numFmtId="0" fontId="35" fillId="8" borderId="0" xfId="0" applyFont="1" applyFill="1"/>
    <xf numFmtId="0" fontId="40" fillId="8" borderId="0" xfId="0" applyFont="1" applyFill="1"/>
    <xf numFmtId="0" fontId="45" fillId="8" borderId="87" xfId="0" applyFont="1" applyFill="1" applyBorder="1"/>
    <xf numFmtId="0" fontId="0" fillId="0" borderId="0" xfId="0" applyAlignment="1">
      <alignment vertical="top" wrapText="1"/>
    </xf>
    <xf numFmtId="0" fontId="0" fillId="0" borderId="0" xfId="0" applyAlignment="1">
      <alignment vertical="top"/>
    </xf>
    <xf numFmtId="0" fontId="0" fillId="0" borderId="11" xfId="0" applyBorder="1" applyAlignment="1">
      <alignment vertical="top"/>
    </xf>
    <xf numFmtId="0" fontId="40" fillId="8" borderId="87" xfId="0" applyFont="1" applyFill="1" applyBorder="1" applyAlignment="1">
      <alignment horizontal="center" vertical="center"/>
    </xf>
    <xf numFmtId="0" fontId="40" fillId="8" borderId="0" xfId="0" applyFont="1" applyFill="1" applyAlignment="1">
      <alignment horizontal="center" vertical="center" wrapText="1"/>
    </xf>
    <xf numFmtId="0" fontId="40" fillId="8" borderId="0" xfId="0" applyFont="1" applyFill="1" applyAlignment="1">
      <alignment horizontal="center" vertical="center"/>
    </xf>
    <xf numFmtId="0" fontId="45" fillId="8" borderId="0" xfId="0" applyFont="1" applyFill="1"/>
    <xf numFmtId="0" fontId="40" fillId="8" borderId="0" xfId="0" applyFont="1" applyFill="1" applyAlignment="1">
      <alignment horizontal="left" vertical="center"/>
    </xf>
    <xf numFmtId="0" fontId="40" fillId="8" borderId="87" xfId="0" applyFont="1" applyFill="1" applyBorder="1" applyAlignment="1">
      <alignment horizontal="left" vertical="center"/>
    </xf>
    <xf numFmtId="0" fontId="40" fillId="8" borderId="88" xfId="0" applyFont="1" applyFill="1" applyBorder="1"/>
    <xf numFmtId="0" fontId="40" fillId="8" borderId="89" xfId="0" applyFont="1" applyFill="1" applyBorder="1"/>
    <xf numFmtId="0" fontId="40" fillId="8" borderId="90" xfId="0" applyFont="1" applyFill="1" applyBorder="1"/>
    <xf numFmtId="0" fontId="0" fillId="0" borderId="0" xfId="0" applyAlignment="1">
      <alignment horizontal="center" vertical="center"/>
    </xf>
    <xf numFmtId="0" fontId="0" fillId="0" borderId="0" xfId="0" applyAlignment="1">
      <alignment horizontal="left" vertical="center" wrapText="1"/>
    </xf>
    <xf numFmtId="0" fontId="0" fillId="6" borderId="1" xfId="0" applyFill="1" applyBorder="1"/>
    <xf numFmtId="0" fontId="33" fillId="0" borderId="6" xfId="0" applyFont="1" applyBorder="1"/>
    <xf numFmtId="43" fontId="33" fillId="0" borderId="6" xfId="1" applyFont="1" applyBorder="1" applyProtection="1"/>
    <xf numFmtId="164" fontId="33" fillId="0" borderId="6" xfId="1" applyNumberFormat="1" applyFont="1" applyBorder="1" applyProtection="1"/>
    <xf numFmtId="0" fontId="33" fillId="0" borderId="8" xfId="0" applyFont="1" applyBorder="1"/>
    <xf numFmtId="43" fontId="33" fillId="0" borderId="8" xfId="1" applyFont="1" applyBorder="1" applyProtection="1"/>
    <xf numFmtId="164" fontId="33" fillId="0" borderId="8" xfId="1" applyNumberFormat="1" applyFont="1" applyBorder="1" applyProtection="1"/>
    <xf numFmtId="0" fontId="36" fillId="0" borderId="11" xfId="0" applyFont="1" applyBorder="1"/>
    <xf numFmtId="0" fontId="33" fillId="0" borderId="0" xfId="0" applyFont="1" applyAlignment="1">
      <alignment vertical="top"/>
    </xf>
    <xf numFmtId="0" fontId="0" fillId="0" borderId="11" xfId="0" applyBorder="1" applyAlignment="1">
      <alignment wrapText="1"/>
    </xf>
    <xf numFmtId="0" fontId="44" fillId="0" borderId="0" xfId="0" applyFont="1" applyAlignment="1">
      <alignment wrapText="1"/>
    </xf>
    <xf numFmtId="0" fontId="44" fillId="0" borderId="11" xfId="0" applyFont="1" applyBorder="1" applyAlignment="1">
      <alignment wrapText="1"/>
    </xf>
    <xf numFmtId="0" fontId="0" fillId="0" borderId="4" xfId="0" applyBorder="1" applyAlignment="1">
      <alignment horizontal="center" wrapText="1"/>
    </xf>
    <xf numFmtId="0" fontId="33" fillId="0" borderId="0" xfId="0" applyFont="1" applyAlignment="1">
      <alignment horizontal="left" vertical="center"/>
    </xf>
    <xf numFmtId="0" fontId="36" fillId="0" borderId="11" xfId="0" applyFont="1" applyBorder="1" applyAlignment="1">
      <alignment vertical="top" wrapText="1"/>
    </xf>
    <xf numFmtId="0" fontId="33" fillId="0" borderId="0" xfId="0" applyFont="1" applyAlignment="1">
      <alignment wrapText="1"/>
    </xf>
    <xf numFmtId="9" fontId="33" fillId="0" borderId="1" xfId="6" applyFont="1" applyBorder="1" applyProtection="1"/>
    <xf numFmtId="0" fontId="34" fillId="0" borderId="0" xfId="0" applyFont="1" applyAlignment="1">
      <alignment horizontal="center"/>
    </xf>
    <xf numFmtId="43" fontId="33" fillId="0" borderId="0" xfId="0" applyNumberFormat="1" applyFont="1"/>
    <xf numFmtId="9" fontId="30" fillId="0" borderId="6" xfId="6" applyFont="1" applyBorder="1" applyProtection="1"/>
    <xf numFmtId="9" fontId="30" fillId="0" borderId="0" xfId="6" applyFont="1" applyProtection="1"/>
    <xf numFmtId="0" fontId="36" fillId="0" borderId="0" xfId="0" applyFont="1" applyAlignment="1">
      <alignment vertical="top" wrapText="1"/>
    </xf>
    <xf numFmtId="164" fontId="33" fillId="0" borderId="6" xfId="0" applyNumberFormat="1" applyFont="1" applyBorder="1"/>
    <xf numFmtId="43" fontId="33" fillId="0" borderId="6" xfId="0" applyNumberFormat="1" applyFont="1" applyBorder="1"/>
    <xf numFmtId="0" fontId="36" fillId="0" borderId="0" xfId="0" applyFont="1" applyAlignment="1">
      <alignment horizontal="left" vertical="top" wrapText="1"/>
    </xf>
    <xf numFmtId="0" fontId="44" fillId="0" borderId="11" xfId="0" applyFont="1" applyBorder="1"/>
    <xf numFmtId="0" fontId="36" fillId="0" borderId="11" xfId="0" applyFont="1" applyBorder="1" applyAlignment="1">
      <alignment vertical="top"/>
    </xf>
    <xf numFmtId="0" fontId="36" fillId="0" borderId="11" xfId="0" applyFont="1" applyBorder="1" applyAlignment="1">
      <alignment horizontal="left" vertical="top" wrapText="1"/>
    </xf>
    <xf numFmtId="0" fontId="44" fillId="0" borderId="0" xfId="0" applyFont="1" applyAlignment="1">
      <alignment horizontal="left" vertical="top" wrapText="1"/>
    </xf>
    <xf numFmtId="0" fontId="36" fillId="6" borderId="6" xfId="0" applyFont="1" applyFill="1" applyBorder="1"/>
    <xf numFmtId="0" fontId="41" fillId="0" borderId="8" xfId="0" applyFont="1" applyBorder="1"/>
    <xf numFmtId="0" fontId="0" fillId="0" borderId="3" xfId="0" applyBorder="1" applyAlignment="1">
      <alignment vertical="center"/>
    </xf>
    <xf numFmtId="0" fontId="0" fillId="0" borderId="1" xfId="0" applyBorder="1" applyAlignment="1">
      <alignment vertical="center" wrapText="1"/>
    </xf>
    <xf numFmtId="0" fontId="0" fillId="0" borderId="1" xfId="0" applyBorder="1" applyAlignment="1">
      <alignment vertical="center"/>
    </xf>
    <xf numFmtId="164" fontId="33" fillId="0" borderId="8" xfId="0" applyNumberFormat="1" applyFont="1" applyBorder="1"/>
    <xf numFmtId="0" fontId="33" fillId="0" borderId="0" xfId="0" applyFont="1" applyAlignment="1">
      <alignment horizontal="center" wrapText="1"/>
    </xf>
    <xf numFmtId="0" fontId="36" fillId="0" borderId="0" xfId="0" applyFont="1" applyAlignment="1">
      <alignment vertical="top"/>
    </xf>
    <xf numFmtId="0" fontId="33" fillId="0" borderId="1" xfId="0" applyFont="1" applyBorder="1" applyAlignment="1">
      <alignment horizontal="center" vertical="top" wrapText="1"/>
    </xf>
    <xf numFmtId="9" fontId="30" fillId="0" borderId="0" xfId="6" applyFont="1" applyFill="1" applyBorder="1" applyAlignment="1" applyProtection="1">
      <alignment horizontal="center"/>
    </xf>
    <xf numFmtId="9" fontId="0" fillId="0" borderId="0" xfId="0" applyNumberFormat="1" applyAlignment="1">
      <alignment horizontal="center"/>
    </xf>
    <xf numFmtId="0" fontId="0" fillId="0" borderId="0" xfId="0" applyAlignment="1">
      <alignment vertical="center" wrapText="1"/>
    </xf>
    <xf numFmtId="0" fontId="33" fillId="0" borderId="0" xfId="0" applyFont="1" applyAlignment="1">
      <alignment vertical="center" wrapText="1"/>
    </xf>
    <xf numFmtId="0" fontId="33" fillId="0" borderId="1" xfId="0" applyFont="1" applyBorder="1" applyAlignment="1">
      <alignment horizontal="center" vertical="top"/>
    </xf>
    <xf numFmtId="0" fontId="33" fillId="0" borderId="1" xfId="0" applyFont="1" applyBorder="1" applyAlignment="1">
      <alignment horizontal="center" vertical="center" wrapText="1"/>
    </xf>
    <xf numFmtId="9" fontId="0" fillId="0" borderId="0" xfId="0" applyNumberFormat="1"/>
    <xf numFmtId="164" fontId="0" fillId="4" borderId="1" xfId="0" applyNumberFormat="1" applyFill="1" applyBorder="1" applyProtection="1">
      <protection locked="0"/>
    </xf>
    <xf numFmtId="0" fontId="33" fillId="0" borderId="9" xfId="0" applyFont="1" applyBorder="1"/>
    <xf numFmtId="0" fontId="33" fillId="0" borderId="11" xfId="0" applyFont="1" applyBorder="1"/>
    <xf numFmtId="0" fontId="33" fillId="0" borderId="13" xfId="0" applyFont="1" applyBorder="1"/>
    <xf numFmtId="9" fontId="36" fillId="0" borderId="11" xfId="6" applyFont="1" applyFill="1" applyBorder="1" applyAlignment="1" applyProtection="1"/>
    <xf numFmtId="9" fontId="36" fillId="0" borderId="0" xfId="6" applyFont="1" applyFill="1" applyBorder="1" applyAlignment="1" applyProtection="1"/>
    <xf numFmtId="0" fontId="0" fillId="0" borderId="0" xfId="0" applyAlignment="1">
      <alignment horizontal="left" vertical="top" wrapText="1"/>
    </xf>
    <xf numFmtId="43" fontId="33" fillId="0" borderId="0" xfId="1" applyFont="1" applyFill="1" applyBorder="1" applyProtection="1"/>
    <xf numFmtId="0" fontId="36" fillId="8" borderId="0" xfId="0" applyFont="1" applyFill="1"/>
    <xf numFmtId="0" fontId="33" fillId="6" borderId="0" xfId="0" applyFont="1" applyFill="1" applyAlignment="1">
      <alignment vertical="center"/>
    </xf>
    <xf numFmtId="0" fontId="36" fillId="0" borderId="7" xfId="0" applyFont="1" applyBorder="1" applyAlignment="1">
      <alignment horizontal="left" wrapText="1"/>
    </xf>
    <xf numFmtId="0" fontId="36" fillId="0" borderId="8" xfId="0" applyFont="1" applyBorder="1" applyAlignment="1">
      <alignment horizontal="left" wrapText="1"/>
    </xf>
    <xf numFmtId="0" fontId="36" fillId="0" borderId="9" xfId="0" applyFont="1" applyBorder="1" applyAlignment="1">
      <alignment horizontal="left" wrapText="1"/>
    </xf>
    <xf numFmtId="0" fontId="36" fillId="0" borderId="10" xfId="0" applyFont="1" applyBorder="1" applyAlignment="1">
      <alignment horizontal="left" wrapText="1"/>
    </xf>
    <xf numFmtId="0" fontId="0" fillId="0" borderId="0" xfId="0" applyAlignment="1">
      <alignment horizontal="left" wrapText="1"/>
    </xf>
    <xf numFmtId="0" fontId="33" fillId="0" borderId="0" xfId="0" applyFont="1" applyAlignment="1">
      <alignment horizontal="left" wrapText="1"/>
    </xf>
    <xf numFmtId="0" fontId="46" fillId="0" borderId="0" xfId="0" applyFont="1" applyAlignment="1">
      <alignment horizontal="left" wrapText="1"/>
    </xf>
    <xf numFmtId="0" fontId="36" fillId="0" borderId="12" xfId="0" applyFont="1" applyBorder="1" applyAlignment="1">
      <alignment horizontal="left" wrapText="1"/>
    </xf>
    <xf numFmtId="0" fontId="0" fillId="0" borderId="6" xfId="0" applyBorder="1" applyAlignment="1">
      <alignment horizontal="left" wrapText="1"/>
    </xf>
    <xf numFmtId="0" fontId="36" fillId="0" borderId="6" xfId="0" applyFont="1" applyBorder="1" applyAlignment="1">
      <alignment horizontal="left" wrapText="1"/>
    </xf>
    <xf numFmtId="0" fontId="36" fillId="0" borderId="13" xfId="0" applyFont="1" applyBorder="1" applyAlignment="1">
      <alignment horizontal="left" wrapText="1"/>
    </xf>
    <xf numFmtId="0" fontId="0" fillId="0" borderId="8" xfId="0" applyBorder="1" applyAlignment="1">
      <alignment horizontal="left" wrapText="1"/>
    </xf>
    <xf numFmtId="0" fontId="33" fillId="0" borderId="1" xfId="0" applyFont="1" applyBorder="1"/>
    <xf numFmtId="0" fontId="0" fillId="6" borderId="0" xfId="0" applyFill="1"/>
    <xf numFmtId="0" fontId="0" fillId="8" borderId="15" xfId="0" applyFill="1" applyBorder="1"/>
    <xf numFmtId="0" fontId="0" fillId="6" borderId="7" xfId="0" applyFill="1" applyBorder="1"/>
    <xf numFmtId="0" fontId="0" fillId="6" borderId="8" xfId="0" applyFill="1" applyBorder="1"/>
    <xf numFmtId="0" fontId="0" fillId="6" borderId="9" xfId="0" applyFill="1" applyBorder="1"/>
    <xf numFmtId="0" fontId="0" fillId="6" borderId="10" xfId="0" applyFill="1" applyBorder="1"/>
    <xf numFmtId="0" fontId="0" fillId="6" borderId="16" xfId="0" applyFill="1" applyBorder="1"/>
    <xf numFmtId="0" fontId="0" fillId="6" borderId="11" xfId="0" applyFill="1" applyBorder="1"/>
    <xf numFmtId="0" fontId="0" fillId="6" borderId="17" xfId="0" applyFill="1" applyBorder="1"/>
    <xf numFmtId="0" fontId="0" fillId="6" borderId="18" xfId="0" applyFill="1" applyBorder="1"/>
    <xf numFmtId="0" fontId="47" fillId="6" borderId="0" xfId="0" applyFont="1" applyFill="1"/>
    <xf numFmtId="0" fontId="0" fillId="6" borderId="0" xfId="0" applyFill="1" applyAlignment="1">
      <alignment horizontal="left" wrapText="1"/>
    </xf>
    <xf numFmtId="0" fontId="0" fillId="6" borderId="0" xfId="0" applyFill="1" applyAlignment="1">
      <alignment horizontal="left"/>
    </xf>
    <xf numFmtId="0" fontId="0" fillId="3" borderId="1" xfId="0" applyFill="1" applyBorder="1"/>
    <xf numFmtId="0" fontId="35" fillId="0" borderId="0" xfId="0" applyFont="1" applyAlignment="1">
      <alignment horizontal="left" vertical="center"/>
    </xf>
    <xf numFmtId="0" fontId="0" fillId="7" borderId="19" xfId="0" applyFill="1" applyBorder="1"/>
    <xf numFmtId="0" fontId="0" fillId="4" borderId="1" xfId="0" applyFill="1" applyBorder="1"/>
    <xf numFmtId="0" fontId="0" fillId="0" borderId="20" xfId="0" applyBorder="1"/>
    <xf numFmtId="0" fontId="35" fillId="6" borderId="0" xfId="3" applyFont="1" applyFill="1" applyBorder="1" applyProtection="1"/>
    <xf numFmtId="0" fontId="0" fillId="6" borderId="0" xfId="0" applyFill="1" applyAlignment="1">
      <alignment horizontal="left" vertical="center"/>
    </xf>
    <xf numFmtId="0" fontId="42" fillId="6" borderId="0" xfId="0" applyFont="1" applyFill="1"/>
    <xf numFmtId="0" fontId="0" fillId="6" borderId="12" xfId="0" applyFill="1" applyBorder="1"/>
    <xf numFmtId="0" fontId="0" fillId="6" borderId="13" xfId="0" applyFill="1" applyBorder="1"/>
    <xf numFmtId="0" fontId="0" fillId="8" borderId="0" xfId="0" applyFill="1" applyAlignment="1">
      <alignment vertical="center"/>
    </xf>
    <xf numFmtId="43" fontId="30" fillId="0" borderId="0" xfId="1" applyFont="1" applyProtection="1"/>
    <xf numFmtId="164" fontId="30" fillId="0" borderId="0" xfId="1" applyNumberFormat="1" applyFont="1" applyProtection="1"/>
    <xf numFmtId="0" fontId="0" fillId="10" borderId="0" xfId="0" applyFill="1"/>
    <xf numFmtId="0" fontId="48" fillId="6" borderId="21" xfId="0" applyFont="1" applyFill="1" applyBorder="1" applyAlignment="1">
      <alignment horizontal="center" vertical="center"/>
    </xf>
    <xf numFmtId="0" fontId="49" fillId="11" borderId="1" xfId="0" applyFont="1" applyFill="1" applyBorder="1" applyAlignment="1">
      <alignment horizontal="center" vertical="center" wrapText="1"/>
    </xf>
    <xf numFmtId="0" fontId="49" fillId="6" borderId="22" xfId="0" applyFont="1" applyFill="1" applyBorder="1"/>
    <xf numFmtId="0" fontId="49" fillId="6" borderId="23" xfId="0" applyFont="1" applyFill="1" applyBorder="1"/>
    <xf numFmtId="0" fontId="49" fillId="11" borderId="21" xfId="0" applyFont="1" applyFill="1" applyBorder="1"/>
    <xf numFmtId="164" fontId="49" fillId="6" borderId="4" xfId="1" applyNumberFormat="1" applyFont="1" applyFill="1" applyBorder="1" applyAlignment="1">
      <alignment horizontal="center" vertical="center"/>
    </xf>
    <xf numFmtId="0" fontId="49" fillId="6" borderId="20" xfId="0" applyFont="1" applyFill="1" applyBorder="1" applyAlignment="1">
      <alignment horizontal="center" vertical="center"/>
    </xf>
    <xf numFmtId="0" fontId="49" fillId="6" borderId="0" xfId="0" applyFont="1" applyFill="1"/>
    <xf numFmtId="0" fontId="49" fillId="6" borderId="21" xfId="0" applyFont="1" applyFill="1" applyBorder="1"/>
    <xf numFmtId="0" fontId="49" fillId="6" borderId="24" xfId="0" applyFont="1" applyFill="1" applyBorder="1"/>
    <xf numFmtId="0" fontId="49" fillId="12" borderId="1" xfId="0" applyFont="1" applyFill="1" applyBorder="1" applyAlignment="1">
      <alignment horizontal="center" vertical="center" wrapText="1"/>
    </xf>
    <xf numFmtId="0" fontId="50" fillId="6" borderId="0" xfId="0" applyFont="1" applyFill="1"/>
    <xf numFmtId="0" fontId="51" fillId="13" borderId="1" xfId="0" applyFont="1" applyFill="1" applyBorder="1" applyAlignment="1">
      <alignment horizontal="center" vertical="center" wrapText="1"/>
    </xf>
    <xf numFmtId="164" fontId="51" fillId="13" borderId="1" xfId="1" applyNumberFormat="1" applyFont="1" applyFill="1" applyBorder="1" applyAlignment="1">
      <alignment horizontal="center" vertical="center" wrapText="1"/>
    </xf>
    <xf numFmtId="0" fontId="49" fillId="7" borderId="1" xfId="0" applyFont="1" applyFill="1" applyBorder="1" applyAlignment="1">
      <alignment horizontal="center" vertical="center" wrapText="1"/>
    </xf>
    <xf numFmtId="164" fontId="49" fillId="7" borderId="1" xfId="1" applyNumberFormat="1" applyFont="1" applyFill="1" applyBorder="1" applyAlignment="1">
      <alignment horizontal="center" vertical="center" wrapText="1"/>
    </xf>
    <xf numFmtId="0" fontId="49" fillId="14" borderId="1" xfId="0" applyFont="1" applyFill="1" applyBorder="1" applyAlignment="1">
      <alignment horizontal="center" vertical="center" wrapText="1"/>
    </xf>
    <xf numFmtId="164" fontId="49" fillId="6" borderId="1" xfId="1" applyNumberFormat="1" applyFont="1" applyFill="1" applyBorder="1" applyAlignment="1">
      <alignment horizontal="right" vertical="center" wrapText="1"/>
    </xf>
    <xf numFmtId="0" fontId="49" fillId="11" borderId="24" xfId="0" applyFont="1" applyFill="1" applyBorder="1"/>
    <xf numFmtId="0" fontId="52" fillId="11" borderId="25" xfId="0" applyFont="1" applyFill="1" applyBorder="1"/>
    <xf numFmtId="0" fontId="53" fillId="11" borderId="14" xfId="0" applyFont="1" applyFill="1" applyBorder="1"/>
    <xf numFmtId="0" fontId="54" fillId="11" borderId="14" xfId="0" applyFont="1" applyFill="1" applyBorder="1"/>
    <xf numFmtId="0" fontId="54" fillId="11" borderId="26" xfId="0" applyFont="1" applyFill="1" applyBorder="1"/>
    <xf numFmtId="164" fontId="55" fillId="6" borderId="0" xfId="0" applyNumberFormat="1" applyFont="1" applyFill="1"/>
    <xf numFmtId="0" fontId="52" fillId="10" borderId="0" xfId="0" applyFont="1" applyFill="1"/>
    <xf numFmtId="169" fontId="5" fillId="4" borderId="24" xfId="2" applyNumberFormat="1" applyFont="1" applyFill="1" applyBorder="1" applyAlignment="1" applyProtection="1">
      <alignment horizontal="left" vertical="center"/>
    </xf>
    <xf numFmtId="169" fontId="5" fillId="6" borderId="24" xfId="2" applyNumberFormat="1" applyFont="1" applyFill="1" applyBorder="1" applyAlignment="1" applyProtection="1">
      <alignment horizontal="left" vertical="center"/>
    </xf>
    <xf numFmtId="0" fontId="7" fillId="6" borderId="27" xfId="0" applyFont="1" applyFill="1" applyBorder="1" applyAlignment="1">
      <alignment vertical="center" wrapText="1"/>
    </xf>
    <xf numFmtId="169" fontId="5" fillId="6" borderId="19" xfId="2" applyNumberFormat="1" applyFont="1" applyFill="1" applyBorder="1" applyAlignment="1" applyProtection="1">
      <alignment horizontal="left" vertical="center"/>
    </xf>
    <xf numFmtId="0" fontId="7" fillId="6" borderId="28" xfId="0" applyFont="1" applyFill="1" applyBorder="1" applyAlignment="1">
      <alignment vertical="center" wrapText="1"/>
    </xf>
    <xf numFmtId="0" fontId="7" fillId="6" borderId="25" xfId="0" applyFont="1" applyFill="1" applyBorder="1" applyAlignment="1">
      <alignment vertical="center" wrapText="1"/>
    </xf>
    <xf numFmtId="169" fontId="5" fillId="4" borderId="19" xfId="2" applyNumberFormat="1" applyFont="1" applyFill="1" applyBorder="1" applyAlignment="1" applyProtection="1">
      <alignment horizontal="left" vertical="center"/>
    </xf>
    <xf numFmtId="0" fontId="56" fillId="15" borderId="4" xfId="0" applyFont="1" applyFill="1" applyBorder="1"/>
    <xf numFmtId="164" fontId="56" fillId="15" borderId="29" xfId="1" applyNumberFormat="1" applyFont="1" applyFill="1" applyBorder="1" applyAlignment="1">
      <alignment horizontal="left"/>
    </xf>
    <xf numFmtId="164" fontId="56" fillId="15" borderId="29" xfId="1" applyNumberFormat="1" applyFont="1" applyFill="1" applyBorder="1" applyAlignment="1">
      <alignment vertical="center"/>
    </xf>
    <xf numFmtId="0" fontId="56" fillId="6" borderId="0" xfId="0" applyFont="1" applyFill="1"/>
    <xf numFmtId="0" fontId="57" fillId="6" borderId="0" xfId="0" applyFont="1" applyFill="1"/>
    <xf numFmtId="164" fontId="56" fillId="6" borderId="0" xfId="1" applyNumberFormat="1" applyFont="1" applyFill="1" applyAlignment="1">
      <alignment horizontal="center"/>
    </xf>
    <xf numFmtId="164" fontId="56" fillId="6" borderId="0" xfId="1" applyNumberFormat="1" applyFont="1" applyFill="1" applyAlignment="1">
      <alignment vertical="center"/>
    </xf>
    <xf numFmtId="0" fontId="0" fillId="16" borderId="0" xfId="0" applyFill="1"/>
    <xf numFmtId="0" fontId="7" fillId="0" borderId="28" xfId="0" applyFont="1" applyBorder="1" applyAlignment="1">
      <alignment horizontal="center" vertical="center"/>
    </xf>
    <xf numFmtId="0" fontId="7" fillId="0" borderId="28" xfId="0" applyFont="1" applyBorder="1" applyAlignment="1">
      <alignment horizontal="center" vertical="center" wrapText="1"/>
    </xf>
    <xf numFmtId="0" fontId="7" fillId="0" borderId="26" xfId="0" applyFont="1" applyBorder="1" applyAlignment="1">
      <alignment horizontal="center" vertical="center" wrapText="1"/>
    </xf>
    <xf numFmtId="0" fontId="7" fillId="0" borderId="25" xfId="0" applyFont="1" applyBorder="1" applyAlignment="1">
      <alignment horizontal="center" vertical="center" wrapText="1"/>
    </xf>
    <xf numFmtId="0" fontId="11" fillId="0" borderId="30" xfId="0" applyFont="1" applyBorder="1" applyAlignment="1">
      <alignment horizontal="center"/>
    </xf>
    <xf numFmtId="171" fontId="11" fillId="0" borderId="30" xfId="0" applyNumberFormat="1" applyFont="1" applyBorder="1"/>
    <xf numFmtId="171" fontId="11" fillId="0" borderId="31" xfId="0" applyNumberFormat="1" applyFont="1" applyBorder="1"/>
    <xf numFmtId="171" fontId="11" fillId="0" borderId="32" xfId="0" applyNumberFormat="1" applyFont="1" applyBorder="1"/>
    <xf numFmtId="171" fontId="11" fillId="0" borderId="33" xfId="0" applyNumberFormat="1" applyFont="1" applyBorder="1"/>
    <xf numFmtId="0" fontId="0" fillId="17" borderId="0" xfId="0" applyFill="1"/>
    <xf numFmtId="0" fontId="55" fillId="6" borderId="0" xfId="0" applyFont="1" applyFill="1"/>
    <xf numFmtId="0" fontId="58" fillId="18" borderId="0" xfId="0" applyFont="1" applyFill="1"/>
    <xf numFmtId="0" fontId="59" fillId="18" borderId="0" xfId="0" applyFont="1" applyFill="1"/>
    <xf numFmtId="43" fontId="60" fillId="18" borderId="0" xfId="1" applyFont="1" applyFill="1" applyBorder="1" applyAlignment="1">
      <alignment horizontal="center" vertical="center"/>
    </xf>
    <xf numFmtId="0" fontId="61" fillId="18" borderId="0" xfId="0" applyFont="1" applyFill="1" applyAlignment="1">
      <alignment horizontal="center" vertical="center"/>
    </xf>
    <xf numFmtId="0" fontId="62" fillId="19" borderId="22" xfId="0" applyFont="1" applyFill="1" applyBorder="1" applyAlignment="1">
      <alignment horizontal="center" vertical="center"/>
    </xf>
    <xf numFmtId="43" fontId="62" fillId="19" borderId="22" xfId="1" applyFont="1" applyFill="1" applyBorder="1" applyAlignment="1">
      <alignment horizontal="center" vertical="center" wrapText="1"/>
    </xf>
    <xf numFmtId="0" fontId="62" fillId="19" borderId="22" xfId="0" applyFont="1" applyFill="1" applyBorder="1" applyAlignment="1">
      <alignment horizontal="center" vertical="center" wrapText="1"/>
    </xf>
    <xf numFmtId="0" fontId="62" fillId="19" borderId="22" xfId="0" applyFont="1" applyFill="1" applyBorder="1" applyAlignment="1">
      <alignment horizontal="center" wrapText="1"/>
    </xf>
    <xf numFmtId="0" fontId="63" fillId="18" borderId="3" xfId="0" applyFont="1" applyFill="1" applyBorder="1"/>
    <xf numFmtId="164" fontId="11" fillId="0" borderId="4" xfId="1" applyNumberFormat="1" applyFont="1" applyBorder="1" applyAlignment="1">
      <alignment vertical="center"/>
    </xf>
    <xf numFmtId="169" fontId="12" fillId="6" borderId="19" xfId="2" applyNumberFormat="1" applyFont="1" applyFill="1" applyBorder="1" applyAlignment="1" applyProtection="1">
      <alignment horizontal="left" vertical="center"/>
    </xf>
    <xf numFmtId="0" fontId="7" fillId="6" borderId="14" xfId="0" applyFont="1" applyFill="1" applyBorder="1" applyAlignment="1">
      <alignment horizontal="center" vertical="center" wrapText="1"/>
    </xf>
    <xf numFmtId="0" fontId="64" fillId="0" borderId="0" xfId="0" applyFont="1"/>
    <xf numFmtId="0" fontId="65" fillId="0" borderId="0" xfId="0" applyFont="1"/>
    <xf numFmtId="0" fontId="66" fillId="20" borderId="0" xfId="0" applyFont="1" applyFill="1"/>
    <xf numFmtId="0" fontId="65" fillId="16" borderId="0" xfId="0" applyFont="1" applyFill="1"/>
    <xf numFmtId="0" fontId="64" fillId="16" borderId="0" xfId="0" applyFont="1" applyFill="1"/>
    <xf numFmtId="0" fontId="67" fillId="6" borderId="0" xfId="0" applyFont="1" applyFill="1" applyAlignment="1">
      <alignment horizontal="center" vertical="center"/>
    </xf>
    <xf numFmtId="0" fontId="68" fillId="16" borderId="0" xfId="0" applyFont="1" applyFill="1" applyAlignment="1">
      <alignment horizontal="left" indent="1"/>
    </xf>
    <xf numFmtId="0" fontId="64" fillId="6" borderId="0" xfId="0" applyFont="1" applyFill="1"/>
    <xf numFmtId="0" fontId="65" fillId="6" borderId="0" xfId="0" applyFont="1" applyFill="1"/>
    <xf numFmtId="0" fontId="52" fillId="6" borderId="0" xfId="0" applyFont="1" applyFill="1" applyAlignment="1">
      <alignment horizontal="center" vertical="center"/>
    </xf>
    <xf numFmtId="0" fontId="69" fillId="16" borderId="0" xfId="0" applyFont="1" applyFill="1"/>
    <xf numFmtId="0" fontId="70" fillId="16" borderId="0" xfId="0" applyFont="1" applyFill="1"/>
    <xf numFmtId="0" fontId="70" fillId="0" borderId="0" xfId="0" applyFont="1"/>
    <xf numFmtId="164" fontId="71" fillId="6" borderId="3" xfId="1" applyNumberFormat="1" applyFont="1" applyFill="1" applyBorder="1"/>
    <xf numFmtId="164" fontId="72" fillId="6" borderId="23" xfId="1" applyNumberFormat="1" applyFont="1" applyFill="1" applyBorder="1"/>
    <xf numFmtId="164" fontId="73" fillId="21" borderId="19" xfId="1" applyNumberFormat="1" applyFont="1" applyFill="1" applyBorder="1"/>
    <xf numFmtId="164" fontId="71" fillId="6" borderId="19" xfId="1" applyNumberFormat="1" applyFont="1" applyFill="1" applyBorder="1"/>
    <xf numFmtId="164" fontId="72" fillId="6" borderId="21" xfId="1" applyNumberFormat="1" applyFont="1" applyFill="1" applyBorder="1"/>
    <xf numFmtId="164" fontId="73" fillId="21" borderId="1" xfId="1" applyNumberFormat="1" applyFont="1" applyFill="1" applyBorder="1"/>
    <xf numFmtId="0" fontId="70" fillId="6" borderId="0" xfId="0" applyFont="1" applyFill="1"/>
    <xf numFmtId="0" fontId="68" fillId="16" borderId="0" xfId="0" applyFont="1" applyFill="1"/>
    <xf numFmtId="0" fontId="70" fillId="17" borderId="0" xfId="0" applyFont="1" applyFill="1"/>
    <xf numFmtId="0" fontId="74" fillId="6" borderId="0" xfId="0" applyFont="1" applyFill="1"/>
    <xf numFmtId="0" fontId="70" fillId="17" borderId="0" xfId="0" applyFont="1" applyFill="1" applyAlignment="1">
      <alignment wrapText="1"/>
    </xf>
    <xf numFmtId="0" fontId="70" fillId="6" borderId="0" xfId="0" applyFont="1" applyFill="1" applyAlignment="1">
      <alignment wrapText="1"/>
    </xf>
    <xf numFmtId="0" fontId="73" fillId="11" borderId="34" xfId="0" applyFont="1" applyFill="1" applyBorder="1" applyAlignment="1">
      <alignment horizontal="center" vertical="center" wrapText="1"/>
    </xf>
    <xf numFmtId="0" fontId="73" fillId="11" borderId="35" xfId="0" applyFont="1" applyFill="1" applyBorder="1" applyAlignment="1">
      <alignment horizontal="center" wrapText="1"/>
    </xf>
    <xf numFmtId="0" fontId="73" fillId="11" borderId="36" xfId="0" applyFont="1" applyFill="1" applyBorder="1" applyAlignment="1">
      <alignment horizontal="center" wrapText="1"/>
    </xf>
    <xf numFmtId="0" fontId="75" fillId="6" borderId="37" xfId="0" applyFont="1" applyFill="1" applyBorder="1" applyAlignment="1">
      <alignment horizontal="center" vertical="center" wrapText="1"/>
    </xf>
    <xf numFmtId="0" fontId="70" fillId="6" borderId="86" xfId="5" applyFont="1" applyFill="1" applyAlignment="1" applyProtection="1">
      <alignment wrapText="1"/>
      <protection locked="0"/>
    </xf>
    <xf numFmtId="164" fontId="70" fillId="22" borderId="86" xfId="5" applyNumberFormat="1" applyFont="1" applyFill="1" applyAlignment="1" applyProtection="1">
      <alignment wrapText="1"/>
      <protection locked="0"/>
    </xf>
    <xf numFmtId="164" fontId="70" fillId="22" borderId="91" xfId="5" applyNumberFormat="1" applyFont="1" applyFill="1" applyBorder="1" applyAlignment="1" applyProtection="1">
      <alignment wrapText="1"/>
      <protection locked="0"/>
    </xf>
    <xf numFmtId="164" fontId="70" fillId="6" borderId="92" xfId="5" applyNumberFormat="1" applyFont="1" applyFill="1" applyBorder="1" applyAlignment="1" applyProtection="1">
      <alignment wrapText="1"/>
    </xf>
    <xf numFmtId="164" fontId="70" fillId="6" borderId="93" xfId="5" applyNumberFormat="1" applyFont="1" applyFill="1" applyBorder="1" applyAlignment="1" applyProtection="1">
      <alignment wrapText="1"/>
    </xf>
    <xf numFmtId="0" fontId="73" fillId="23" borderId="38" xfId="0" applyFont="1" applyFill="1" applyBorder="1"/>
    <xf numFmtId="164" fontId="73" fillId="23" borderId="39" xfId="1" applyNumberFormat="1" applyFont="1" applyFill="1" applyBorder="1" applyProtection="1"/>
    <xf numFmtId="0" fontId="70" fillId="23" borderId="40" xfId="0" applyFont="1" applyFill="1" applyBorder="1"/>
    <xf numFmtId="0" fontId="74" fillId="17" borderId="0" xfId="0" applyFont="1" applyFill="1"/>
    <xf numFmtId="0" fontId="70" fillId="22" borderId="0" xfId="0" applyFont="1" applyFill="1"/>
    <xf numFmtId="164" fontId="70" fillId="0" borderId="21" xfId="0" applyNumberFormat="1" applyFont="1" applyBorder="1"/>
    <xf numFmtId="164" fontId="73" fillId="23" borderId="39" xfId="0" applyNumberFormat="1" applyFont="1" applyFill="1" applyBorder="1"/>
    <xf numFmtId="164" fontId="73" fillId="23" borderId="34" xfId="1" applyNumberFormat="1" applyFont="1" applyFill="1" applyBorder="1" applyProtection="1"/>
    <xf numFmtId="0" fontId="70" fillId="23" borderId="39" xfId="0" applyFont="1" applyFill="1" applyBorder="1"/>
    <xf numFmtId="0" fontId="70" fillId="23" borderId="37" xfId="0" applyFont="1" applyFill="1" applyBorder="1"/>
    <xf numFmtId="0" fontId="73" fillId="11" borderId="41" xfId="0" applyFont="1" applyFill="1" applyBorder="1" applyAlignment="1">
      <alignment horizontal="center" wrapText="1"/>
    </xf>
    <xf numFmtId="164" fontId="70" fillId="22" borderId="94" xfId="5" applyNumberFormat="1" applyFont="1" applyFill="1" applyBorder="1" applyProtection="1">
      <protection locked="0"/>
    </xf>
    <xf numFmtId="0" fontId="75" fillId="0" borderId="42" xfId="0" applyFont="1" applyBorder="1" applyAlignment="1">
      <alignment horizontal="center" vertical="center" wrapText="1"/>
    </xf>
    <xf numFmtId="164" fontId="72" fillId="0" borderId="43" xfId="1" applyNumberFormat="1" applyFont="1" applyFill="1" applyBorder="1" applyProtection="1"/>
    <xf numFmtId="164" fontId="72" fillId="0" borderId="44" xfId="1" applyNumberFormat="1" applyFont="1" applyFill="1" applyBorder="1" applyProtection="1"/>
    <xf numFmtId="164" fontId="70" fillId="6" borderId="0" xfId="0" applyNumberFormat="1" applyFont="1" applyFill="1"/>
    <xf numFmtId="3" fontId="73" fillId="0" borderId="45" xfId="0" applyNumberFormat="1" applyFont="1" applyBorder="1"/>
    <xf numFmtId="9" fontId="70" fillId="22" borderId="95" xfId="5" applyNumberFormat="1" applyFont="1" applyFill="1" applyBorder="1"/>
    <xf numFmtId="9" fontId="70" fillId="23" borderId="46" xfId="6" applyFont="1" applyFill="1" applyBorder="1" applyAlignment="1">
      <alignment horizontal="center" vertical="center"/>
    </xf>
    <xf numFmtId="9" fontId="70" fillId="0" borderId="42" xfId="0" applyNumberFormat="1" applyFont="1" applyBorder="1"/>
    <xf numFmtId="3" fontId="73" fillId="0" borderId="47" xfId="0" applyNumberFormat="1" applyFont="1" applyBorder="1"/>
    <xf numFmtId="3" fontId="70" fillId="22" borderId="96" xfId="5" applyNumberFormat="1" applyFont="1" applyFill="1" applyBorder="1"/>
    <xf numFmtId="3" fontId="70" fillId="23" borderId="48" xfId="0" applyNumberFormat="1" applyFont="1" applyFill="1" applyBorder="1" applyAlignment="1">
      <alignment horizontal="center" vertical="center"/>
    </xf>
    <xf numFmtId="43" fontId="70" fillId="0" borderId="44" xfId="1" applyFont="1" applyBorder="1"/>
    <xf numFmtId="0" fontId="76" fillId="6" borderId="0" xfId="0" applyFont="1" applyFill="1"/>
    <xf numFmtId="0" fontId="73" fillId="6" borderId="0" xfId="0" applyFont="1" applyFill="1"/>
    <xf numFmtId="164" fontId="70" fillId="0" borderId="0" xfId="0" applyNumberFormat="1" applyFont="1"/>
    <xf numFmtId="0" fontId="5" fillId="4" borderId="30" xfId="0" applyFont="1" applyFill="1" applyBorder="1" applyAlignment="1">
      <alignment horizontal="center"/>
    </xf>
    <xf numFmtId="0" fontId="8" fillId="4" borderId="30" xfId="0" applyFont="1" applyFill="1" applyBorder="1" applyAlignment="1">
      <alignment vertical="center"/>
    </xf>
    <xf numFmtId="171" fontId="5" fillId="4" borderId="30" xfId="0" applyNumberFormat="1" applyFont="1" applyFill="1" applyBorder="1" applyAlignment="1">
      <alignment vertical="center"/>
    </xf>
    <xf numFmtId="0" fontId="7" fillId="6" borderId="49" xfId="0" applyFont="1" applyFill="1" applyBorder="1" applyAlignment="1">
      <alignment vertical="center" wrapText="1"/>
    </xf>
    <xf numFmtId="0" fontId="5" fillId="4" borderId="24" xfId="0" applyFont="1" applyFill="1" applyBorder="1" applyAlignment="1">
      <alignment horizontal="left" indent="1"/>
    </xf>
    <xf numFmtId="0" fontId="5" fillId="4" borderId="24" xfId="0" applyFont="1" applyFill="1" applyBorder="1" applyAlignment="1">
      <alignment horizontal="left"/>
    </xf>
    <xf numFmtId="0" fontId="10" fillId="6" borderId="24" xfId="0" applyFont="1" applyFill="1" applyBorder="1"/>
    <xf numFmtId="0" fontId="12" fillId="6" borderId="50" xfId="0" applyFont="1" applyFill="1" applyBorder="1" applyAlignment="1">
      <alignment vertical="center" wrapText="1"/>
    </xf>
    <xf numFmtId="0" fontId="12" fillId="6" borderId="51" xfId="0" applyFont="1" applyFill="1" applyBorder="1" applyAlignment="1">
      <alignment vertical="center" wrapText="1"/>
    </xf>
    <xf numFmtId="0" fontId="12" fillId="6" borderId="52" xfId="0" applyFont="1" applyFill="1" applyBorder="1" applyAlignment="1">
      <alignment vertical="center" wrapText="1"/>
    </xf>
    <xf numFmtId="0" fontId="12" fillId="6" borderId="28" xfId="0" applyFont="1" applyFill="1" applyBorder="1" applyAlignment="1">
      <alignment vertical="center" wrapText="1"/>
    </xf>
    <xf numFmtId="0" fontId="12" fillId="6" borderId="26" xfId="0" applyFont="1" applyFill="1" applyBorder="1" applyAlignment="1">
      <alignment vertical="center" wrapText="1"/>
    </xf>
    <xf numFmtId="0" fontId="12" fillId="6" borderId="25" xfId="0" applyFont="1" applyFill="1" applyBorder="1" applyAlignment="1">
      <alignment vertical="center" wrapText="1"/>
    </xf>
    <xf numFmtId="0" fontId="5" fillId="6" borderId="0" xfId="0" applyFont="1" applyFill="1"/>
    <xf numFmtId="0" fontId="5" fillId="6" borderId="0" xfId="0" applyFont="1" applyFill="1" applyAlignment="1">
      <alignment vertical="center"/>
    </xf>
    <xf numFmtId="0" fontId="9" fillId="6" borderId="53" xfId="0" applyFont="1" applyFill="1" applyBorder="1"/>
    <xf numFmtId="0" fontId="5" fillId="6" borderId="22" xfId="0" applyFont="1" applyFill="1" applyBorder="1"/>
    <xf numFmtId="0" fontId="5" fillId="6" borderId="22" xfId="0" applyFont="1" applyFill="1" applyBorder="1" applyAlignment="1">
      <alignment vertical="center"/>
    </xf>
    <xf numFmtId="0" fontId="5" fillId="6" borderId="23" xfId="0" applyFont="1" applyFill="1" applyBorder="1" applyAlignment="1">
      <alignment vertical="center"/>
    </xf>
    <xf numFmtId="0" fontId="5" fillId="6" borderId="21" xfId="0" applyFont="1" applyFill="1" applyBorder="1" applyAlignment="1">
      <alignment vertical="center"/>
    </xf>
    <xf numFmtId="0" fontId="10" fillId="6" borderId="25" xfId="0" applyFont="1" applyFill="1" applyBorder="1"/>
    <xf numFmtId="0" fontId="5" fillId="6" borderId="14" xfId="0" applyFont="1" applyFill="1" applyBorder="1"/>
    <xf numFmtId="0" fontId="5" fillId="6" borderId="14" xfId="0" applyFont="1" applyFill="1" applyBorder="1" applyAlignment="1">
      <alignment vertical="center"/>
    </xf>
    <xf numFmtId="0" fontId="5" fillId="6" borderId="26" xfId="0" applyFont="1" applyFill="1" applyBorder="1" applyAlignment="1">
      <alignment vertical="center"/>
    </xf>
    <xf numFmtId="0" fontId="12" fillId="6" borderId="54" xfId="0" applyFont="1" applyFill="1" applyBorder="1" applyAlignment="1">
      <alignment vertical="center" wrapText="1"/>
    </xf>
    <xf numFmtId="164" fontId="12" fillId="6" borderId="52" xfId="1" applyNumberFormat="1" applyFont="1" applyFill="1" applyBorder="1" applyAlignment="1">
      <alignment vertical="center" wrapText="1"/>
    </xf>
    <xf numFmtId="164" fontId="12" fillId="6" borderId="51" xfId="1" applyNumberFormat="1" applyFont="1" applyFill="1" applyBorder="1" applyAlignment="1">
      <alignment vertical="center" wrapText="1"/>
    </xf>
    <xf numFmtId="0" fontId="77" fillId="18" borderId="0" xfId="0" applyFont="1" applyFill="1"/>
    <xf numFmtId="0" fontId="77" fillId="18" borderId="19" xfId="0" applyFont="1" applyFill="1" applyBorder="1"/>
    <xf numFmtId="0" fontId="50" fillId="18" borderId="3" xfId="0" applyFont="1" applyFill="1" applyBorder="1"/>
    <xf numFmtId="0" fontId="16" fillId="6" borderId="14" xfId="0" applyFont="1" applyFill="1" applyBorder="1" applyAlignment="1">
      <alignment horizontal="center" vertical="center" wrapText="1"/>
    </xf>
    <xf numFmtId="0" fontId="6" fillId="6" borderId="21" xfId="0" applyFont="1" applyFill="1" applyBorder="1"/>
    <xf numFmtId="0" fontId="6" fillId="6" borderId="0" xfId="0" applyFont="1" applyFill="1"/>
    <xf numFmtId="0" fontId="78" fillId="6" borderId="0" xfId="0" applyFont="1" applyFill="1"/>
    <xf numFmtId="0" fontId="79" fillId="6" borderId="0" xfId="0" applyFont="1" applyFill="1"/>
    <xf numFmtId="169" fontId="17" fillId="6" borderId="22" xfId="2" applyNumberFormat="1" applyFont="1" applyFill="1" applyBorder="1" applyAlignment="1" applyProtection="1">
      <alignment vertical="center"/>
    </xf>
    <xf numFmtId="169" fontId="79" fillId="6" borderId="22" xfId="2" applyNumberFormat="1" applyFont="1" applyFill="1" applyBorder="1" applyAlignment="1" applyProtection="1">
      <alignment vertical="center"/>
    </xf>
    <xf numFmtId="169" fontId="17" fillId="6" borderId="0" xfId="2" applyNumberFormat="1" applyFont="1" applyFill="1" applyBorder="1" applyAlignment="1" applyProtection="1">
      <alignment vertical="center"/>
    </xf>
    <xf numFmtId="169" fontId="79" fillId="6" borderId="0" xfId="2" applyNumberFormat="1" applyFont="1" applyFill="1" applyBorder="1" applyAlignment="1" applyProtection="1">
      <alignment vertical="center"/>
    </xf>
    <xf numFmtId="0" fontId="80" fillId="6" borderId="0" xfId="0" applyFont="1" applyFill="1"/>
    <xf numFmtId="0" fontId="81" fillId="6" borderId="0" xfId="0" applyFont="1" applyFill="1" applyAlignment="1">
      <alignment horizontal="center" vertical="center"/>
    </xf>
    <xf numFmtId="0" fontId="82" fillId="6" borderId="0" xfId="0" applyFont="1" applyFill="1" applyAlignment="1">
      <alignment horizontal="center" vertical="center"/>
    </xf>
    <xf numFmtId="0" fontId="56" fillId="24" borderId="25" xfId="0" applyFont="1" applyFill="1" applyBorder="1"/>
    <xf numFmtId="164" fontId="56" fillId="24" borderId="14" xfId="1" applyNumberFormat="1" applyFont="1" applyFill="1" applyBorder="1" applyAlignment="1">
      <alignment horizontal="left"/>
    </xf>
    <xf numFmtId="164" fontId="56" fillId="24" borderId="14" xfId="1" applyNumberFormat="1" applyFont="1" applyFill="1" applyBorder="1" applyAlignment="1">
      <alignment vertical="center"/>
    </xf>
    <xf numFmtId="164" fontId="56" fillId="24" borderId="29" xfId="1" applyNumberFormat="1" applyFont="1" applyFill="1" applyBorder="1" applyAlignment="1">
      <alignment vertical="center"/>
    </xf>
    <xf numFmtId="0" fontId="8" fillId="6" borderId="24" xfId="0" applyFont="1" applyFill="1" applyBorder="1" applyAlignment="1">
      <alignment horizontal="left" indent="1"/>
    </xf>
    <xf numFmtId="0" fontId="5" fillId="6" borderId="27" xfId="0" applyFont="1" applyFill="1" applyBorder="1" applyAlignment="1">
      <alignment horizontal="center"/>
    </xf>
    <xf numFmtId="0" fontId="8" fillId="6" borderId="27" xfId="0" applyFont="1" applyFill="1" applyBorder="1" applyAlignment="1">
      <alignment vertical="center"/>
    </xf>
    <xf numFmtId="0" fontId="8" fillId="6" borderId="4" xfId="0" applyFont="1" applyFill="1" applyBorder="1" applyAlignment="1">
      <alignment horizontal="left" indent="1"/>
    </xf>
    <xf numFmtId="0" fontId="5" fillId="6" borderId="29" xfId="0" applyFont="1" applyFill="1" applyBorder="1" applyAlignment="1">
      <alignment horizontal="center"/>
    </xf>
    <xf numFmtId="0" fontId="8" fillId="6" borderId="29" xfId="0" applyFont="1" applyFill="1" applyBorder="1" applyAlignment="1">
      <alignment vertical="center"/>
    </xf>
    <xf numFmtId="0" fontId="8" fillId="6" borderId="5" xfId="0" applyFont="1" applyFill="1" applyBorder="1" applyAlignment="1">
      <alignment vertical="center"/>
    </xf>
    <xf numFmtId="0" fontId="56" fillId="6" borderId="25" xfId="0" applyFont="1" applyFill="1" applyBorder="1"/>
    <xf numFmtId="164" fontId="56" fillId="6" borderId="14" xfId="1" applyNumberFormat="1" applyFont="1" applyFill="1" applyBorder="1" applyAlignment="1">
      <alignment horizontal="left"/>
    </xf>
    <xf numFmtId="164" fontId="56" fillId="6" borderId="14" xfId="1" applyNumberFormat="1" applyFont="1" applyFill="1" applyBorder="1" applyAlignment="1">
      <alignment vertical="center"/>
    </xf>
    <xf numFmtId="164" fontId="56" fillId="6" borderId="29" xfId="1" applyNumberFormat="1" applyFont="1" applyFill="1" applyBorder="1" applyAlignment="1">
      <alignment vertical="center"/>
    </xf>
    <xf numFmtId="0" fontId="56" fillId="6" borderId="4" xfId="0" applyFont="1" applyFill="1" applyBorder="1"/>
    <xf numFmtId="164" fontId="56" fillId="6" borderId="29" xfId="1" applyNumberFormat="1" applyFont="1" applyFill="1" applyBorder="1" applyAlignment="1">
      <alignment horizontal="left"/>
    </xf>
    <xf numFmtId="164" fontId="5" fillId="6" borderId="5" xfId="1" applyNumberFormat="1" applyFont="1" applyFill="1" applyBorder="1" applyAlignment="1">
      <alignment horizontal="center" wrapText="1"/>
    </xf>
    <xf numFmtId="0" fontId="56" fillId="24" borderId="24" xfId="0" applyFont="1" applyFill="1" applyBorder="1"/>
    <xf numFmtId="164" fontId="56" fillId="24" borderId="0" xfId="1" applyNumberFormat="1" applyFont="1" applyFill="1" applyBorder="1" applyAlignment="1">
      <alignment horizontal="left"/>
    </xf>
    <xf numFmtId="164" fontId="56" fillId="24" borderId="0" xfId="1" applyNumberFormat="1" applyFont="1" applyFill="1" applyBorder="1" applyAlignment="1">
      <alignment vertical="center"/>
    </xf>
    <xf numFmtId="164" fontId="56" fillId="24" borderId="22" xfId="1" applyNumberFormat="1" applyFont="1" applyFill="1" applyBorder="1" applyAlignment="1">
      <alignment vertical="center"/>
    </xf>
    <xf numFmtId="0" fontId="6" fillId="6" borderId="29" xfId="0" applyFont="1" applyFill="1" applyBorder="1"/>
    <xf numFmtId="0" fontId="18" fillId="6" borderId="29" xfId="0" applyFont="1" applyFill="1" applyBorder="1"/>
    <xf numFmtId="0" fontId="6" fillId="6" borderId="5" xfId="0" applyFont="1" applyFill="1" applyBorder="1"/>
    <xf numFmtId="0" fontId="73" fillId="6" borderId="0" xfId="0" applyFont="1" applyFill="1" applyAlignment="1">
      <alignment horizontal="center" vertical="center"/>
    </xf>
    <xf numFmtId="164" fontId="70" fillId="6" borderId="54" xfId="1" applyNumberFormat="1" applyFont="1" applyFill="1" applyBorder="1" applyAlignment="1">
      <alignment vertical="center" wrapText="1"/>
    </xf>
    <xf numFmtId="164" fontId="70" fillId="6" borderId="25" xfId="1" applyNumberFormat="1" applyFont="1" applyFill="1" applyBorder="1" applyAlignment="1">
      <alignment vertical="center" wrapText="1"/>
    </xf>
    <xf numFmtId="164" fontId="83" fillId="6" borderId="49" xfId="1" applyNumberFormat="1" applyFont="1" applyFill="1" applyBorder="1" applyAlignment="1">
      <alignment horizontal="center" vertical="center"/>
    </xf>
    <xf numFmtId="164" fontId="83" fillId="24" borderId="49" xfId="1" applyNumberFormat="1" applyFont="1" applyFill="1" applyBorder="1" applyAlignment="1">
      <alignment horizontal="center" vertical="center"/>
    </xf>
    <xf numFmtId="164" fontId="83" fillId="6" borderId="55" xfId="1" applyNumberFormat="1" applyFont="1" applyFill="1" applyBorder="1" applyAlignment="1">
      <alignment horizontal="center" vertical="center"/>
    </xf>
    <xf numFmtId="0" fontId="55" fillId="18" borderId="3" xfId="0" applyFont="1" applyFill="1" applyBorder="1"/>
    <xf numFmtId="164" fontId="70" fillId="6" borderId="0" xfId="5" applyNumberFormat="1" applyFont="1" applyFill="1" applyBorder="1"/>
    <xf numFmtId="164" fontId="70" fillId="6" borderId="22" xfId="5" applyNumberFormat="1" applyFont="1" applyFill="1" applyBorder="1"/>
    <xf numFmtId="164" fontId="70" fillId="6" borderId="14" xfId="5" applyNumberFormat="1" applyFont="1" applyFill="1" applyBorder="1"/>
    <xf numFmtId="164" fontId="70" fillId="6" borderId="23" xfId="5" applyNumberFormat="1" applyFont="1" applyFill="1" applyBorder="1"/>
    <xf numFmtId="164" fontId="70" fillId="6" borderId="21" xfId="5" applyNumberFormat="1" applyFont="1" applyFill="1" applyBorder="1"/>
    <xf numFmtId="164" fontId="70" fillId="6" borderId="26" xfId="5" applyNumberFormat="1" applyFont="1" applyFill="1" applyBorder="1"/>
    <xf numFmtId="164" fontId="70" fillId="14" borderId="24" xfId="1" applyNumberFormat="1" applyFont="1" applyFill="1" applyBorder="1"/>
    <xf numFmtId="164" fontId="70" fillId="6" borderId="53" xfId="1" applyNumberFormat="1" applyFont="1" applyFill="1" applyBorder="1"/>
    <xf numFmtId="164" fontId="70" fillId="6" borderId="22" xfId="1" applyNumberFormat="1" applyFont="1" applyFill="1" applyBorder="1"/>
    <xf numFmtId="164" fontId="70" fillId="6" borderId="24" xfId="1" applyNumberFormat="1" applyFont="1" applyFill="1" applyBorder="1"/>
    <xf numFmtId="164" fontId="70" fillId="6" borderId="0" xfId="1" applyNumberFormat="1" applyFont="1" applyFill="1" applyBorder="1"/>
    <xf numFmtId="164" fontId="70" fillId="6" borderId="25" xfId="1" applyNumberFormat="1" applyFont="1" applyFill="1" applyBorder="1"/>
    <xf numFmtId="164" fontId="70" fillId="6" borderId="14" xfId="1" applyNumberFormat="1" applyFont="1" applyFill="1" applyBorder="1"/>
    <xf numFmtId="169" fontId="12" fillId="25" borderId="3" xfId="2" applyNumberFormat="1" applyFont="1" applyFill="1" applyBorder="1" applyAlignment="1" applyProtection="1">
      <alignment horizontal="left" vertical="center"/>
    </xf>
    <xf numFmtId="169" fontId="12" fillId="25" borderId="19" xfId="2" applyNumberFormat="1" applyFont="1" applyFill="1" applyBorder="1" applyAlignment="1" applyProtection="1">
      <alignment horizontal="left" vertical="center"/>
    </xf>
    <xf numFmtId="0" fontId="84" fillId="26" borderId="0" xfId="0" applyFont="1" applyFill="1" applyAlignment="1">
      <alignment horizontal="center" vertical="center" wrapText="1"/>
    </xf>
    <xf numFmtId="0" fontId="11" fillId="0" borderId="27" xfId="0" applyFont="1" applyBorder="1" applyAlignment="1">
      <alignment horizontal="center"/>
    </xf>
    <xf numFmtId="0" fontId="7" fillId="0" borderId="27" xfId="0" applyFont="1" applyBorder="1" applyAlignment="1">
      <alignment horizontal="center"/>
    </xf>
    <xf numFmtId="170" fontId="7" fillId="0" borderId="23" xfId="0" applyNumberFormat="1" applyFont="1" applyBorder="1" applyAlignment="1">
      <alignment horizontal="center"/>
    </xf>
    <xf numFmtId="0" fontId="7" fillId="0" borderId="53" xfId="0" applyFont="1" applyBorder="1" applyAlignment="1">
      <alignment horizontal="center"/>
    </xf>
    <xf numFmtId="0" fontId="7" fillId="0" borderId="56" xfId="0" applyFont="1" applyBorder="1" applyAlignment="1">
      <alignment horizontal="center"/>
    </xf>
    <xf numFmtId="0" fontId="7" fillId="0" borderId="22" xfId="0" applyFont="1" applyBorder="1" applyAlignment="1">
      <alignment horizontal="center"/>
    </xf>
    <xf numFmtId="0" fontId="7" fillId="0" borderId="30" xfId="0" applyFont="1" applyBorder="1" applyAlignment="1">
      <alignment horizontal="center"/>
    </xf>
    <xf numFmtId="0" fontId="7" fillId="0" borderId="24" xfId="0" applyFont="1" applyBorder="1" applyAlignment="1">
      <alignment horizontal="center"/>
    </xf>
    <xf numFmtId="0" fontId="7" fillId="0" borderId="33" xfId="0" applyFont="1" applyBorder="1" applyAlignment="1">
      <alignment horizontal="center"/>
    </xf>
    <xf numFmtId="171" fontId="11" fillId="0" borderId="30" xfId="0" applyNumberFormat="1" applyFont="1" applyBorder="1" applyAlignment="1">
      <alignment horizontal="center"/>
    </xf>
    <xf numFmtId="171" fontId="11" fillId="0" borderId="24" xfId="0" applyNumberFormat="1" applyFont="1" applyBorder="1" applyAlignment="1">
      <alignment horizontal="center"/>
    </xf>
    <xf numFmtId="171" fontId="11" fillId="0" borderId="33" xfId="0" applyNumberFormat="1" applyFont="1" applyBorder="1" applyAlignment="1">
      <alignment horizontal="center"/>
    </xf>
    <xf numFmtId="171" fontId="11" fillId="0" borderId="57" xfId="0" applyNumberFormat="1" applyFont="1" applyBorder="1"/>
    <xf numFmtId="171" fontId="11" fillId="0" borderId="21" xfId="0" applyNumberFormat="1" applyFont="1" applyBorder="1"/>
    <xf numFmtId="171" fontId="11" fillId="0" borderId="19" xfId="0" applyNumberFormat="1" applyFont="1" applyBorder="1"/>
    <xf numFmtId="172" fontId="11" fillId="0" borderId="30" xfId="0" applyNumberFormat="1" applyFont="1" applyBorder="1"/>
    <xf numFmtId="172" fontId="11" fillId="0" borderId="33" xfId="0" applyNumberFormat="1" applyFont="1" applyBorder="1"/>
    <xf numFmtId="172" fontId="11" fillId="0" borderId="19" xfId="0" applyNumberFormat="1" applyFont="1" applyBorder="1"/>
    <xf numFmtId="171" fontId="11" fillId="0" borderId="58" xfId="0" applyNumberFormat="1" applyFont="1" applyBorder="1"/>
    <xf numFmtId="0" fontId="20" fillId="0" borderId="30" xfId="0" applyFont="1" applyBorder="1" applyAlignment="1">
      <alignment horizontal="center"/>
    </xf>
    <xf numFmtId="171" fontId="7" fillId="0" borderId="59" xfId="0" applyNumberFormat="1" applyFont="1" applyBorder="1" applyAlignment="1">
      <alignment vertical="top"/>
    </xf>
    <xf numFmtId="171" fontId="7" fillId="0" borderId="60" xfId="0" applyNumberFormat="1" applyFont="1" applyBorder="1" applyAlignment="1">
      <alignment vertical="top"/>
    </xf>
    <xf numFmtId="171" fontId="7" fillId="0" borderId="61" xfId="0" applyNumberFormat="1" applyFont="1" applyBorder="1" applyAlignment="1">
      <alignment vertical="top"/>
    </xf>
    <xf numFmtId="171" fontId="7" fillId="0" borderId="62" xfId="0" applyNumberFormat="1" applyFont="1" applyBorder="1" applyAlignment="1">
      <alignment vertical="top"/>
    </xf>
    <xf numFmtId="171" fontId="11" fillId="0" borderId="30" xfId="1" applyNumberFormat="1" applyFont="1" applyFill="1" applyBorder="1" applyProtection="1"/>
    <xf numFmtId="171" fontId="11" fillId="0" borderId="33" xfId="1" applyNumberFormat="1" applyFont="1" applyFill="1" applyBorder="1" applyProtection="1"/>
    <xf numFmtId="171" fontId="11" fillId="0" borderId="0" xfId="1" applyNumberFormat="1" applyFont="1" applyFill="1" applyBorder="1" applyProtection="1"/>
    <xf numFmtId="171" fontId="11" fillId="0" borderId="19" xfId="1" applyNumberFormat="1" applyFont="1" applyFill="1" applyBorder="1" applyProtection="1"/>
    <xf numFmtId="171" fontId="7" fillId="0" borderId="59" xfId="0" applyNumberFormat="1" applyFont="1" applyBorder="1"/>
    <xf numFmtId="171" fontId="7" fillId="0" borderId="60" xfId="0" applyNumberFormat="1" applyFont="1" applyBorder="1"/>
    <xf numFmtId="171" fontId="7" fillId="0" borderId="61" xfId="0" applyNumberFormat="1" applyFont="1" applyBorder="1"/>
    <xf numFmtId="171" fontId="7" fillId="0" borderId="62" xfId="0" applyNumberFormat="1" applyFont="1" applyBorder="1"/>
    <xf numFmtId="171" fontId="11" fillId="0" borderId="63" xfId="1" applyNumberFormat="1" applyFont="1" applyFill="1" applyBorder="1" applyProtection="1"/>
    <xf numFmtId="0" fontId="11" fillId="0" borderId="64" xfId="0" applyFont="1" applyBorder="1" applyAlignment="1">
      <alignment horizontal="center"/>
    </xf>
    <xf numFmtId="171" fontId="7" fillId="0" borderId="64" xfId="0" applyNumberFormat="1" applyFont="1" applyBorder="1"/>
    <xf numFmtId="171" fontId="7" fillId="0" borderId="65" xfId="0" applyNumberFormat="1" applyFont="1" applyBorder="1"/>
    <xf numFmtId="171" fontId="7" fillId="0" borderId="66" xfId="0" applyNumberFormat="1" applyFont="1" applyBorder="1"/>
    <xf numFmtId="171" fontId="7" fillId="0" borderId="67" xfId="0" applyNumberFormat="1" applyFont="1" applyBorder="1"/>
    <xf numFmtId="171" fontId="7" fillId="0" borderId="68" xfId="0" applyNumberFormat="1" applyFont="1" applyBorder="1"/>
    <xf numFmtId="0" fontId="82" fillId="6" borderId="14" xfId="0" applyFont="1" applyFill="1" applyBorder="1"/>
    <xf numFmtId="164" fontId="82" fillId="6" borderId="14" xfId="1" applyNumberFormat="1" applyFont="1" applyFill="1" applyBorder="1" applyAlignment="1"/>
    <xf numFmtId="164" fontId="85" fillId="6" borderId="14" xfId="1" applyNumberFormat="1" applyFont="1" applyFill="1" applyBorder="1" applyAlignment="1"/>
    <xf numFmtId="43" fontId="70" fillId="0" borderId="11" xfId="1" applyFont="1" applyBorder="1" applyProtection="1"/>
    <xf numFmtId="0" fontId="82" fillId="6" borderId="0" xfId="0" applyFont="1" applyFill="1"/>
    <xf numFmtId="0" fontId="73" fillId="0" borderId="0" xfId="0" applyFont="1"/>
    <xf numFmtId="0" fontId="73" fillId="6" borderId="26" xfId="0" applyFont="1" applyFill="1" applyBorder="1" applyAlignment="1">
      <alignment horizontal="center" vertical="center" wrapText="1"/>
    </xf>
    <xf numFmtId="164" fontId="73" fillId="6" borderId="20" xfId="1" applyNumberFormat="1" applyFont="1" applyFill="1" applyBorder="1" applyAlignment="1">
      <alignment horizontal="center" vertical="center" wrapText="1"/>
    </xf>
    <xf numFmtId="0" fontId="74" fillId="13" borderId="5" xfId="0" applyFont="1" applyFill="1" applyBorder="1" applyAlignment="1">
      <alignment horizontal="justify" vertical="center" wrapText="1"/>
    </xf>
    <xf numFmtId="164" fontId="74" fillId="13" borderId="1" xfId="1" applyNumberFormat="1" applyFont="1" applyFill="1" applyBorder="1" applyAlignment="1">
      <alignment horizontal="right" vertical="center" wrapText="1"/>
    </xf>
    <xf numFmtId="0" fontId="70" fillId="27" borderId="5" xfId="0" applyFont="1" applyFill="1" applyBorder="1" applyAlignment="1">
      <alignment horizontal="justify" vertical="center" wrapText="1"/>
    </xf>
    <xf numFmtId="164" fontId="70" fillId="27" borderId="1" xfId="1" applyNumberFormat="1" applyFont="1" applyFill="1" applyBorder="1" applyAlignment="1">
      <alignment horizontal="right" vertical="center" wrapText="1"/>
    </xf>
    <xf numFmtId="164" fontId="73" fillId="27" borderId="1" xfId="1" applyNumberFormat="1" applyFont="1" applyFill="1" applyBorder="1" applyAlignment="1">
      <alignment vertical="center" wrapText="1"/>
    </xf>
    <xf numFmtId="0" fontId="73" fillId="6" borderId="23" xfId="0" applyFont="1" applyFill="1" applyBorder="1" applyAlignment="1">
      <alignment horizontal="justify" vertical="center" wrapText="1"/>
    </xf>
    <xf numFmtId="164" fontId="73" fillId="6" borderId="3" xfId="1" applyNumberFormat="1" applyFont="1" applyFill="1" applyBorder="1" applyAlignment="1">
      <alignment horizontal="right" vertical="center" wrapText="1"/>
    </xf>
    <xf numFmtId="0" fontId="70" fillId="6" borderId="53" xfId="0" applyFont="1" applyFill="1" applyBorder="1"/>
    <xf numFmtId="0" fontId="70" fillId="6" borderId="22" xfId="0" applyFont="1" applyFill="1" applyBorder="1"/>
    <xf numFmtId="0" fontId="70" fillId="6" borderId="24" xfId="0" applyFont="1" applyFill="1" applyBorder="1"/>
    <xf numFmtId="0" fontId="73" fillId="6" borderId="1" xfId="0" applyFont="1" applyFill="1" applyBorder="1" applyAlignment="1">
      <alignment horizontal="center" wrapText="1"/>
    </xf>
    <xf numFmtId="0" fontId="72" fillId="6" borderId="0" xfId="0" applyFont="1" applyFill="1" applyAlignment="1">
      <alignment horizontal="center" vertical="center" wrapText="1"/>
    </xf>
    <xf numFmtId="164" fontId="70" fillId="6" borderId="1" xfId="1" applyNumberFormat="1" applyFont="1" applyFill="1" applyBorder="1" applyProtection="1"/>
    <xf numFmtId="166" fontId="72" fillId="6" borderId="0" xfId="0" applyNumberFormat="1" applyFont="1" applyFill="1"/>
    <xf numFmtId="164" fontId="73" fillId="6" borderId="1" xfId="1" applyNumberFormat="1" applyFont="1" applyFill="1" applyBorder="1" applyProtection="1"/>
    <xf numFmtId="0" fontId="70" fillId="6" borderId="25" xfId="0" applyFont="1" applyFill="1" applyBorder="1"/>
    <xf numFmtId="0" fontId="70" fillId="6" borderId="14" xfId="0" applyFont="1" applyFill="1" applyBorder="1"/>
    <xf numFmtId="164" fontId="70" fillId="6" borderId="14" xfId="0" applyNumberFormat="1" applyFont="1" applyFill="1" applyBorder="1"/>
    <xf numFmtId="0" fontId="70" fillId="6" borderId="26" xfId="0" applyFont="1" applyFill="1" applyBorder="1"/>
    <xf numFmtId="164" fontId="73" fillId="0" borderId="20" xfId="0" applyNumberFormat="1" applyFont="1" applyBorder="1"/>
    <xf numFmtId="164" fontId="70" fillId="0" borderId="1" xfId="0" applyNumberFormat="1" applyFont="1" applyBorder="1"/>
    <xf numFmtId="164" fontId="73" fillId="0" borderId="1" xfId="0" applyNumberFormat="1" applyFont="1" applyBorder="1"/>
    <xf numFmtId="0" fontId="70" fillId="0" borderId="21" xfId="0" applyFont="1" applyBorder="1"/>
    <xf numFmtId="0" fontId="70" fillId="0" borderId="1" xfId="0" applyFont="1" applyBorder="1"/>
    <xf numFmtId="9" fontId="70" fillId="0" borderId="1" xfId="6" applyFont="1" applyBorder="1" applyAlignment="1" applyProtection="1">
      <alignment horizontal="center"/>
    </xf>
    <xf numFmtId="0" fontId="86" fillId="0" borderId="7" xfId="0" applyFont="1" applyBorder="1" applyAlignment="1">
      <alignment horizontal="left" wrapText="1"/>
    </xf>
    <xf numFmtId="0" fontId="86" fillId="0" borderId="8" xfId="0" applyFont="1" applyBorder="1" applyAlignment="1">
      <alignment horizontal="left" wrapText="1"/>
    </xf>
    <xf numFmtId="0" fontId="86" fillId="0" borderId="9" xfId="0" applyFont="1" applyBorder="1" applyAlignment="1">
      <alignment horizontal="left" wrapText="1"/>
    </xf>
    <xf numFmtId="0" fontId="86" fillId="0" borderId="10" xfId="0" applyFont="1" applyBorder="1" applyAlignment="1">
      <alignment horizontal="left" wrapText="1"/>
    </xf>
    <xf numFmtId="0" fontId="73" fillId="0" borderId="0" xfId="0" applyFont="1" applyAlignment="1">
      <alignment horizontal="left"/>
    </xf>
    <xf numFmtId="0" fontId="86" fillId="0" borderId="0" xfId="0" applyFont="1" applyAlignment="1">
      <alignment horizontal="left" wrapText="1"/>
    </xf>
    <xf numFmtId="0" fontId="86" fillId="0" borderId="11" xfId="0" applyFont="1" applyBorder="1" applyAlignment="1">
      <alignment horizontal="left" wrapText="1"/>
    </xf>
    <xf numFmtId="0" fontId="70" fillId="0" borderId="0" xfId="0" applyFont="1" applyAlignment="1">
      <alignment horizontal="left" wrapText="1"/>
    </xf>
    <xf numFmtId="0" fontId="73" fillId="0" borderId="1" xfId="0" applyFont="1" applyBorder="1" applyAlignment="1">
      <alignment horizontal="center" vertical="center" wrapText="1"/>
    </xf>
    <xf numFmtId="0" fontId="73" fillId="0" borderId="0" xfId="0" applyFont="1" applyAlignment="1">
      <alignment horizontal="left" wrapText="1"/>
    </xf>
    <xf numFmtId="164" fontId="73" fillId="0" borderId="0" xfId="0" applyNumberFormat="1" applyFont="1"/>
    <xf numFmtId="0" fontId="87" fillId="0" borderId="0" xfId="0" applyFont="1" applyAlignment="1">
      <alignment horizontal="left" wrapText="1"/>
    </xf>
    <xf numFmtId="0" fontId="86" fillId="0" borderId="10" xfId="0" applyFont="1" applyBorder="1" applyAlignment="1">
      <alignment horizontal="left"/>
    </xf>
    <xf numFmtId="0" fontId="70" fillId="0" borderId="0" xfId="0" applyFont="1" applyAlignment="1">
      <alignment horizontal="left"/>
    </xf>
    <xf numFmtId="0" fontId="86" fillId="0" borderId="11" xfId="0" applyFont="1" applyBorder="1" applyAlignment="1">
      <alignment horizontal="left"/>
    </xf>
    <xf numFmtId="0" fontId="86" fillId="0" borderId="0" xfId="0" applyFont="1" applyAlignment="1">
      <alignment horizontal="left"/>
    </xf>
    <xf numFmtId="0" fontId="86" fillId="0" borderId="12" xfId="0" applyFont="1" applyBorder="1" applyAlignment="1">
      <alignment horizontal="left" wrapText="1"/>
    </xf>
    <xf numFmtId="0" fontId="70" fillId="0" borderId="6" xfId="0" applyFont="1" applyBorder="1" applyAlignment="1">
      <alignment horizontal="left" wrapText="1"/>
    </xf>
    <xf numFmtId="0" fontId="86" fillId="0" borderId="6" xfId="0" applyFont="1" applyBorder="1" applyAlignment="1">
      <alignment horizontal="left" wrapText="1"/>
    </xf>
    <xf numFmtId="0" fontId="86" fillId="0" borderId="13" xfId="0" applyFont="1" applyBorder="1" applyAlignment="1">
      <alignment horizontal="left" wrapText="1"/>
    </xf>
    <xf numFmtId="0" fontId="70" fillId="0" borderId="8" xfId="0" applyFont="1" applyBorder="1" applyAlignment="1">
      <alignment horizontal="left" wrapText="1"/>
    </xf>
    <xf numFmtId="0" fontId="86" fillId="0" borderId="11" xfId="0" applyFont="1" applyBorder="1" applyAlignment="1">
      <alignment wrapText="1"/>
    </xf>
    <xf numFmtId="0" fontId="73" fillId="0" borderId="1" xfId="0" applyFont="1" applyBorder="1"/>
    <xf numFmtId="9" fontId="70" fillId="4" borderId="1" xfId="6" applyFont="1" applyFill="1" applyBorder="1" applyAlignment="1" applyProtection="1">
      <alignment horizontal="center"/>
      <protection locked="0"/>
    </xf>
    <xf numFmtId="164" fontId="70" fillId="0" borderId="6" xfId="0" applyNumberFormat="1" applyFont="1" applyBorder="1"/>
    <xf numFmtId="0" fontId="70" fillId="0" borderId="7" xfId="0" applyFont="1" applyBorder="1"/>
    <xf numFmtId="0" fontId="70" fillId="0" borderId="8" xfId="0" applyFont="1" applyBorder="1"/>
    <xf numFmtId="0" fontId="70" fillId="0" borderId="9" xfId="0" applyFont="1" applyBorder="1"/>
    <xf numFmtId="0" fontId="70" fillId="0" borderId="10" xfId="0" applyFont="1" applyBorder="1"/>
    <xf numFmtId="0" fontId="70" fillId="0" borderId="11" xfId="0" applyFont="1" applyBorder="1"/>
    <xf numFmtId="164" fontId="70" fillId="0" borderId="1" xfId="1" applyNumberFormat="1" applyFont="1" applyBorder="1" applyProtection="1"/>
    <xf numFmtId="164" fontId="86" fillId="0" borderId="0" xfId="0" applyNumberFormat="1" applyFont="1"/>
    <xf numFmtId="167" fontId="73" fillId="0" borderId="1" xfId="6" applyNumberFormat="1" applyFont="1" applyBorder="1" applyProtection="1"/>
    <xf numFmtId="0" fontId="70" fillId="0" borderId="12" xfId="0" applyFont="1" applyBorder="1"/>
    <xf numFmtId="0" fontId="70" fillId="0" borderId="6" xfId="0" applyFont="1" applyBorder="1"/>
    <xf numFmtId="0" fontId="70" fillId="0" borderId="13" xfId="0" applyFont="1" applyBorder="1"/>
    <xf numFmtId="0" fontId="70" fillId="5" borderId="1" xfId="0" applyFont="1" applyFill="1" applyBorder="1" applyAlignment="1" applyProtection="1">
      <alignment horizontal="center"/>
      <protection locked="0"/>
    </xf>
    <xf numFmtId="164" fontId="70" fillId="3" borderId="1" xfId="1" applyNumberFormat="1" applyFont="1" applyFill="1" applyBorder="1" applyProtection="1">
      <protection locked="0"/>
    </xf>
    <xf numFmtId="164" fontId="70" fillId="4" borderId="1" xfId="1" applyNumberFormat="1" applyFont="1" applyFill="1" applyBorder="1" applyProtection="1">
      <protection locked="0"/>
    </xf>
    <xf numFmtId="0" fontId="70" fillId="11" borderId="7" xfId="0" applyFont="1" applyFill="1" applyBorder="1"/>
    <xf numFmtId="0" fontId="70" fillId="11" borderId="8" xfId="0" applyFont="1" applyFill="1" applyBorder="1"/>
    <xf numFmtId="0" fontId="70" fillId="11" borderId="9" xfId="0" applyFont="1" applyFill="1" applyBorder="1"/>
    <xf numFmtId="0" fontId="70" fillId="11" borderId="10" xfId="0" applyFont="1" applyFill="1" applyBorder="1"/>
    <xf numFmtId="0" fontId="73" fillId="11" borderId="0" xfId="0" applyFont="1" applyFill="1"/>
    <xf numFmtId="0" fontId="70" fillId="11" borderId="0" xfId="0" applyFont="1" applyFill="1"/>
    <xf numFmtId="0" fontId="70" fillId="11" borderId="11" xfId="0" applyFont="1" applyFill="1" applyBorder="1"/>
    <xf numFmtId="0" fontId="73" fillId="11" borderId="1" xfId="0" applyFont="1" applyFill="1" applyBorder="1" applyAlignment="1">
      <alignment horizontal="center" vertical="center" wrapText="1"/>
    </xf>
    <xf numFmtId="164" fontId="70" fillId="11" borderId="1" xfId="0" applyNumberFormat="1" applyFont="1" applyFill="1" applyBorder="1"/>
    <xf numFmtId="164" fontId="73" fillId="11" borderId="0" xfId="0" applyNumberFormat="1" applyFont="1" applyFill="1"/>
    <xf numFmtId="164" fontId="70" fillId="11" borderId="1" xfId="1" applyNumberFormat="1" applyFont="1" applyFill="1" applyBorder="1" applyProtection="1"/>
    <xf numFmtId="43" fontId="70" fillId="11" borderId="1" xfId="0" applyNumberFormat="1" applyFont="1" applyFill="1" applyBorder="1"/>
    <xf numFmtId="164" fontId="73" fillId="11" borderId="1" xfId="0" applyNumberFormat="1" applyFont="1" applyFill="1" applyBorder="1"/>
    <xf numFmtId="0" fontId="70" fillId="11" borderId="12" xfId="0" applyFont="1" applyFill="1" applyBorder="1"/>
    <xf numFmtId="0" fontId="70" fillId="11" borderId="6" xfId="0" applyFont="1" applyFill="1" applyBorder="1"/>
    <xf numFmtId="0" fontId="70" fillId="11" borderId="13" xfId="0" applyFont="1" applyFill="1" applyBorder="1"/>
    <xf numFmtId="0" fontId="73" fillId="12" borderId="26" xfId="0" applyFont="1" applyFill="1" applyBorder="1" applyAlignment="1">
      <alignment horizontal="center" vertical="center" wrapText="1"/>
    </xf>
    <xf numFmtId="164" fontId="73" fillId="12" borderId="20" xfId="1" applyNumberFormat="1" applyFont="1" applyFill="1" applyBorder="1" applyAlignment="1">
      <alignment horizontal="center" vertical="center" wrapText="1"/>
    </xf>
    <xf numFmtId="0" fontId="70" fillId="14" borderId="5" xfId="0" applyFont="1" applyFill="1" applyBorder="1" applyAlignment="1">
      <alignment horizontal="justify" vertical="center" wrapText="1"/>
    </xf>
    <xf numFmtId="164" fontId="70" fillId="14" borderId="1" xfId="1" applyNumberFormat="1" applyFont="1" applyFill="1" applyBorder="1" applyAlignment="1">
      <alignment horizontal="right" vertical="center" wrapText="1"/>
    </xf>
    <xf numFmtId="0" fontId="82" fillId="6" borderId="23" xfId="0" applyFont="1" applyFill="1" applyBorder="1" applyAlignment="1">
      <alignment horizontal="justify" vertical="center" wrapText="1"/>
    </xf>
    <xf numFmtId="164" fontId="82" fillId="6" borderId="3" xfId="1" applyNumberFormat="1" applyFont="1" applyFill="1" applyBorder="1" applyAlignment="1">
      <alignment horizontal="right" vertical="center" wrapText="1"/>
    </xf>
    <xf numFmtId="0" fontId="73" fillId="0" borderId="8" xfId="0" applyFont="1" applyBorder="1"/>
    <xf numFmtId="43" fontId="73" fillId="0" borderId="8" xfId="1" applyFont="1" applyBorder="1" applyProtection="1"/>
    <xf numFmtId="164" fontId="73" fillId="0" borderId="8" xfId="1" applyNumberFormat="1" applyFont="1" applyBorder="1" applyProtection="1"/>
    <xf numFmtId="43" fontId="73" fillId="0" borderId="0" xfId="1" applyFont="1" applyBorder="1" applyProtection="1"/>
    <xf numFmtId="164" fontId="73" fillId="0" borderId="0" xfId="1" applyNumberFormat="1" applyFont="1" applyBorder="1" applyProtection="1"/>
    <xf numFmtId="0" fontId="86" fillId="0" borderId="0" xfId="0" applyFont="1" applyAlignment="1">
      <alignment horizontal="left" vertical="top" wrapText="1"/>
    </xf>
    <xf numFmtId="0" fontId="73" fillId="0" borderId="1" xfId="0" applyFont="1" applyBorder="1" applyAlignment="1">
      <alignment horizontal="center" vertical="center"/>
    </xf>
    <xf numFmtId="43" fontId="73" fillId="0" borderId="1" xfId="1" applyFont="1" applyBorder="1" applyAlignment="1" applyProtection="1">
      <alignment horizontal="center" vertical="center" wrapText="1"/>
    </xf>
    <xf numFmtId="164" fontId="72" fillId="0" borderId="0" xfId="1" applyNumberFormat="1" applyFont="1" applyBorder="1" applyAlignment="1" applyProtection="1">
      <alignment horizontal="center"/>
    </xf>
    <xf numFmtId="0" fontId="70" fillId="0" borderId="3" xfId="0" applyFont="1" applyBorder="1"/>
    <xf numFmtId="43" fontId="73" fillId="0" borderId="1" xfId="1" applyFont="1" applyFill="1" applyBorder="1" applyAlignment="1" applyProtection="1">
      <alignment horizontal="center" vertical="center"/>
    </xf>
    <xf numFmtId="0" fontId="12" fillId="0" borderId="1" xfId="0" applyFont="1" applyBorder="1" applyAlignment="1">
      <alignment horizontal="left" vertical="center" wrapText="1" indent="2"/>
    </xf>
    <xf numFmtId="43" fontId="73" fillId="0" borderId="1" xfId="1" applyFont="1" applyFill="1" applyBorder="1" applyProtection="1"/>
    <xf numFmtId="164" fontId="73" fillId="3" borderId="1" xfId="1" applyNumberFormat="1" applyFont="1" applyFill="1" applyBorder="1" applyProtection="1">
      <protection locked="0"/>
    </xf>
    <xf numFmtId="164" fontId="73" fillId="0" borderId="1" xfId="1" applyNumberFormat="1" applyFont="1" applyFill="1" applyBorder="1" applyProtection="1"/>
    <xf numFmtId="0" fontId="12" fillId="0" borderId="3" xfId="0" applyFont="1" applyBorder="1" applyAlignment="1">
      <alignment horizontal="left" vertical="center" wrapText="1" indent="2"/>
    </xf>
    <xf numFmtId="0" fontId="70" fillId="0" borderId="19" xfId="0" applyFont="1" applyBorder="1"/>
    <xf numFmtId="0" fontId="73" fillId="0" borderId="20" xfId="0" applyFont="1" applyBorder="1"/>
    <xf numFmtId="0" fontId="70" fillId="0" borderId="1" xfId="0" applyFont="1" applyBorder="1" applyAlignment="1">
      <alignment horizontal="left" vertical="center"/>
    </xf>
    <xf numFmtId="0" fontId="70" fillId="0" borderId="1" xfId="0" applyFont="1" applyBorder="1" applyAlignment="1">
      <alignment horizontal="left" indent="2"/>
    </xf>
    <xf numFmtId="0" fontId="70" fillId="0" borderId="3" xfId="0" applyFont="1" applyBorder="1" applyAlignment="1">
      <alignment horizontal="left" indent="2"/>
    </xf>
    <xf numFmtId="0" fontId="12" fillId="0" borderId="1" xfId="0" applyFont="1" applyBorder="1" applyAlignment="1">
      <alignment horizontal="left" indent="2"/>
    </xf>
    <xf numFmtId="0" fontId="12" fillId="0" borderId="3" xfId="0" applyFont="1" applyBorder="1" applyAlignment="1">
      <alignment horizontal="left"/>
    </xf>
    <xf numFmtId="0" fontId="73" fillId="0" borderId="6" xfId="0" applyFont="1" applyBorder="1"/>
    <xf numFmtId="43" fontId="73" fillId="0" borderId="6" xfId="1" applyFont="1" applyBorder="1" applyProtection="1"/>
    <xf numFmtId="164" fontId="73" fillId="0" borderId="6" xfId="1" applyNumberFormat="1" applyFont="1" applyBorder="1" applyProtection="1"/>
    <xf numFmtId="164" fontId="72" fillId="0" borderId="69" xfId="0" applyNumberFormat="1" applyFont="1" applyBorder="1"/>
    <xf numFmtId="164" fontId="72" fillId="0" borderId="70" xfId="0" applyNumberFormat="1" applyFont="1" applyBorder="1"/>
    <xf numFmtId="164" fontId="73" fillId="23" borderId="71" xfId="0" applyNumberFormat="1" applyFont="1" applyFill="1" applyBorder="1"/>
    <xf numFmtId="0" fontId="73" fillId="23" borderId="72" xfId="0" applyFont="1" applyFill="1" applyBorder="1"/>
    <xf numFmtId="0" fontId="70" fillId="6" borderId="5" xfId="0" applyFont="1" applyFill="1" applyBorder="1"/>
    <xf numFmtId="0" fontId="73" fillId="23" borderId="71" xfId="0" applyFont="1" applyFill="1" applyBorder="1"/>
    <xf numFmtId="0" fontId="75" fillId="6" borderId="73" xfId="0" applyFont="1" applyFill="1" applyBorder="1" applyAlignment="1">
      <alignment horizontal="center" vertical="center" wrapText="1"/>
    </xf>
    <xf numFmtId="164" fontId="70" fillId="22" borderId="97" xfId="5" applyNumberFormat="1" applyFont="1" applyFill="1" applyBorder="1" applyProtection="1">
      <protection locked="0"/>
    </xf>
    <xf numFmtId="0" fontId="73" fillId="11" borderId="1" xfId="0" applyFont="1" applyFill="1" applyBorder="1" applyAlignment="1">
      <alignment horizontal="center" wrapText="1"/>
    </xf>
    <xf numFmtId="0" fontId="73" fillId="4" borderId="0" xfId="0" applyFont="1" applyFill="1"/>
    <xf numFmtId="0" fontId="73" fillId="4" borderId="4" xfId="0" applyFont="1" applyFill="1" applyBorder="1"/>
    <xf numFmtId="0" fontId="70" fillId="17" borderId="0" xfId="0" applyFont="1" applyFill="1" applyAlignment="1">
      <alignment horizontal="center" vertical="center"/>
    </xf>
    <xf numFmtId="0" fontId="70" fillId="6" borderId="0" xfId="0" applyFont="1" applyFill="1" applyAlignment="1">
      <alignment horizontal="center" vertical="center"/>
    </xf>
    <xf numFmtId="0" fontId="70" fillId="6" borderId="0" xfId="0" applyFont="1" applyFill="1" applyAlignment="1">
      <alignment horizontal="center" vertical="center" wrapText="1"/>
    </xf>
    <xf numFmtId="0" fontId="70" fillId="6" borderId="23" xfId="0" applyFont="1" applyFill="1" applyBorder="1" applyAlignment="1">
      <alignment horizontal="center" vertical="center"/>
    </xf>
    <xf numFmtId="0" fontId="70" fillId="6" borderId="21" xfId="0" applyFont="1" applyFill="1" applyBorder="1" applyAlignment="1">
      <alignment horizontal="center" vertical="center"/>
    </xf>
    <xf numFmtId="0" fontId="70" fillId="6" borderId="26" xfId="0" applyFont="1" applyFill="1" applyBorder="1" applyAlignment="1">
      <alignment horizontal="center" vertical="center"/>
    </xf>
    <xf numFmtId="0" fontId="70" fillId="0" borderId="9" xfId="0" applyFont="1" applyBorder="1" applyAlignment="1">
      <alignment horizontal="center" vertical="center"/>
    </xf>
    <xf numFmtId="0" fontId="70" fillId="0" borderId="0" xfId="0" applyFont="1" applyAlignment="1">
      <alignment horizontal="center" vertical="center"/>
    </xf>
    <xf numFmtId="0" fontId="70" fillId="0" borderId="11" xfId="0" applyFont="1" applyBorder="1" applyAlignment="1">
      <alignment horizontal="center" vertical="center"/>
    </xf>
    <xf numFmtId="0" fontId="70" fillId="0" borderId="13" xfId="0" applyFont="1" applyBorder="1" applyAlignment="1">
      <alignment horizontal="center" vertical="center"/>
    </xf>
    <xf numFmtId="0" fontId="70" fillId="16" borderId="0" xfId="0" applyFont="1" applyFill="1" applyAlignment="1">
      <alignment wrapText="1"/>
    </xf>
    <xf numFmtId="0" fontId="74" fillId="16" borderId="0" xfId="0" applyFont="1" applyFill="1"/>
    <xf numFmtId="0" fontId="64" fillId="6" borderId="19" xfId="0" applyFont="1" applyFill="1" applyBorder="1"/>
    <xf numFmtId="0" fontId="64" fillId="6" borderId="20" xfId="0" applyFont="1" applyFill="1" applyBorder="1"/>
    <xf numFmtId="0" fontId="88" fillId="16" borderId="0" xfId="0" applyFont="1" applyFill="1" applyAlignment="1">
      <alignment horizontal="left" indent="1"/>
    </xf>
    <xf numFmtId="0" fontId="88" fillId="16" borderId="0" xfId="0" applyFont="1" applyFill="1"/>
    <xf numFmtId="0" fontId="67" fillId="6" borderId="0" xfId="0" applyFont="1" applyFill="1" applyAlignment="1">
      <alignment horizontal="center"/>
    </xf>
    <xf numFmtId="164" fontId="71" fillId="6" borderId="1" xfId="1" applyNumberFormat="1" applyFont="1" applyFill="1" applyBorder="1"/>
    <xf numFmtId="0" fontId="14" fillId="28" borderId="53" xfId="0" applyFont="1" applyFill="1" applyBorder="1"/>
    <xf numFmtId="0" fontId="15" fillId="28" borderId="24" xfId="0" applyFont="1" applyFill="1" applyBorder="1"/>
    <xf numFmtId="0" fontId="15" fillId="28" borderId="25" xfId="0" applyFont="1" applyFill="1" applyBorder="1"/>
    <xf numFmtId="164" fontId="73" fillId="21" borderId="24" xfId="1" applyNumberFormat="1" applyFont="1" applyFill="1" applyBorder="1"/>
    <xf numFmtId="0" fontId="84" fillId="6" borderId="98" xfId="0" applyFont="1" applyFill="1" applyBorder="1"/>
    <xf numFmtId="0" fontId="89" fillId="6" borderId="0" xfId="0" applyFont="1" applyFill="1" applyAlignment="1">
      <alignment horizontal="center" vertical="center"/>
    </xf>
    <xf numFmtId="0" fontId="84" fillId="6" borderId="24" xfId="0" applyFont="1" applyFill="1" applyBorder="1"/>
    <xf numFmtId="164" fontId="70" fillId="6" borderId="0" xfId="0" applyNumberFormat="1" applyFont="1" applyFill="1" applyAlignment="1">
      <alignment horizontal="center" vertical="center"/>
    </xf>
    <xf numFmtId="0" fontId="90" fillId="6" borderId="24" xfId="0" applyFont="1" applyFill="1" applyBorder="1"/>
    <xf numFmtId="0" fontId="84" fillId="29" borderId="24" xfId="0" applyFont="1" applyFill="1" applyBorder="1"/>
    <xf numFmtId="0" fontId="13" fillId="21" borderId="3" xfId="0" applyFont="1" applyFill="1" applyBorder="1" applyAlignment="1">
      <alignment vertical="center"/>
    </xf>
    <xf numFmtId="164" fontId="70" fillId="21" borderId="24" xfId="1" applyNumberFormat="1" applyFont="1" applyFill="1" applyBorder="1"/>
    <xf numFmtId="164" fontId="73" fillId="21" borderId="1" xfId="1" applyNumberFormat="1" applyFont="1" applyFill="1" applyBorder="1" applyAlignment="1">
      <alignment horizontal="center" vertical="center" wrapText="1"/>
    </xf>
    <xf numFmtId="164" fontId="70" fillId="6" borderId="3" xfId="1" applyNumberFormat="1" applyFont="1" applyFill="1" applyBorder="1"/>
    <xf numFmtId="164" fontId="12" fillId="6" borderId="19" xfId="5" applyNumberFormat="1" applyFont="1" applyFill="1" applyBorder="1" applyAlignment="1">
      <alignment horizontal="center"/>
    </xf>
    <xf numFmtId="164" fontId="70" fillId="6" borderId="23" xfId="1" applyNumberFormat="1" applyFont="1" applyFill="1" applyBorder="1"/>
    <xf numFmtId="0" fontId="90" fillId="26" borderId="0" xfId="0" applyFont="1" applyFill="1" applyAlignment="1">
      <alignment horizontal="center" vertical="center" wrapText="1"/>
    </xf>
    <xf numFmtId="0" fontId="91" fillId="6" borderId="0" xfId="0" applyFont="1" applyFill="1" applyAlignment="1">
      <alignment horizontal="center"/>
    </xf>
    <xf numFmtId="0" fontId="69" fillId="20" borderId="0" xfId="0" applyFont="1" applyFill="1" applyAlignment="1">
      <alignment vertical="center"/>
    </xf>
    <xf numFmtId="0" fontId="12" fillId="21" borderId="20" xfId="0" applyFont="1" applyFill="1" applyBorder="1" applyAlignment="1">
      <alignment vertical="center"/>
    </xf>
    <xf numFmtId="164" fontId="70" fillId="21" borderId="1" xfId="1" applyNumberFormat="1" applyFont="1" applyFill="1" applyBorder="1" applyAlignment="1">
      <alignment horizontal="center" vertical="center" wrapText="1"/>
    </xf>
    <xf numFmtId="0" fontId="92" fillId="0" borderId="0" xfId="0" applyFont="1" applyAlignment="1">
      <alignment horizontal="center" vertical="center"/>
    </xf>
    <xf numFmtId="0" fontId="93" fillId="0" borderId="0" xfId="0" applyFont="1" applyAlignment="1">
      <alignment horizontal="center" vertical="center"/>
    </xf>
    <xf numFmtId="0" fontId="94" fillId="20" borderId="0" xfId="0" applyFont="1" applyFill="1" applyAlignment="1">
      <alignment horizontal="center" vertical="center"/>
    </xf>
    <xf numFmtId="0" fontId="93" fillId="16" borderId="0" xfId="0" applyFont="1" applyFill="1"/>
    <xf numFmtId="0" fontId="95" fillId="6" borderId="0" xfId="0" applyFont="1" applyFill="1" applyAlignment="1">
      <alignment horizontal="center" vertical="center"/>
    </xf>
    <xf numFmtId="0" fontId="96" fillId="16" borderId="0" xfId="0" applyFont="1" applyFill="1" applyAlignment="1">
      <alignment horizontal="center" vertical="center"/>
    </xf>
    <xf numFmtId="0" fontId="97" fillId="16" borderId="0" xfId="0" applyFont="1" applyFill="1" applyAlignment="1">
      <alignment horizontal="center" vertical="center"/>
    </xf>
    <xf numFmtId="0" fontId="92" fillId="16" borderId="0" xfId="0" applyFont="1" applyFill="1" applyAlignment="1">
      <alignment horizontal="center" vertical="center"/>
    </xf>
    <xf numFmtId="164" fontId="73" fillId="6" borderId="22" xfId="5" applyNumberFormat="1" applyFont="1" applyFill="1" applyBorder="1"/>
    <xf numFmtId="164" fontId="73" fillId="6" borderId="0" xfId="5" applyNumberFormat="1" applyFont="1" applyFill="1" applyBorder="1"/>
    <xf numFmtId="164" fontId="73" fillId="6" borderId="14" xfId="5" applyNumberFormat="1" applyFont="1" applyFill="1" applyBorder="1"/>
    <xf numFmtId="0" fontId="98" fillId="0" borderId="0" xfId="0" applyFont="1"/>
    <xf numFmtId="0" fontId="99" fillId="20" borderId="0" xfId="0" applyFont="1" applyFill="1"/>
    <xf numFmtId="0" fontId="98" fillId="16" borderId="0" xfId="0" applyFont="1" applyFill="1"/>
    <xf numFmtId="0" fontId="100" fillId="6" borderId="0" xfId="0" applyFont="1" applyFill="1" applyAlignment="1">
      <alignment horizontal="center" vertical="center"/>
    </xf>
    <xf numFmtId="0" fontId="101" fillId="16" borderId="0" xfId="0" applyFont="1" applyFill="1" applyAlignment="1">
      <alignment horizontal="left" indent="1"/>
    </xf>
    <xf numFmtId="0" fontId="99" fillId="16" borderId="0" xfId="0" applyFont="1" applyFill="1" applyAlignment="1">
      <alignment horizontal="left" indent="1"/>
    </xf>
    <xf numFmtId="0" fontId="100" fillId="6" borderId="0" xfId="0" applyFont="1" applyFill="1" applyAlignment="1">
      <alignment horizontal="center"/>
    </xf>
    <xf numFmtId="164" fontId="70" fillId="21" borderId="4" xfId="1" applyNumberFormat="1" applyFont="1" applyFill="1" applyBorder="1"/>
    <xf numFmtId="164" fontId="12" fillId="6" borderId="1" xfId="5" applyNumberFormat="1" applyFont="1" applyFill="1" applyBorder="1" applyAlignment="1">
      <alignment horizontal="center"/>
    </xf>
    <xf numFmtId="164" fontId="73" fillId="21" borderId="4" xfId="1" applyNumberFormat="1" applyFont="1" applyFill="1" applyBorder="1"/>
    <xf numFmtId="164" fontId="75" fillId="6" borderId="1" xfId="1" applyNumberFormat="1" applyFont="1" applyFill="1" applyBorder="1"/>
    <xf numFmtId="164" fontId="70" fillId="30" borderId="99" xfId="1" applyNumberFormat="1" applyFont="1" applyFill="1" applyBorder="1" applyAlignment="1">
      <alignment horizontal="center" vertical="center" wrapText="1"/>
    </xf>
    <xf numFmtId="164" fontId="70" fillId="30" borderId="100" xfId="1" applyNumberFormat="1" applyFont="1" applyFill="1" applyBorder="1" applyAlignment="1">
      <alignment horizontal="center" vertical="center" wrapText="1"/>
    </xf>
    <xf numFmtId="164" fontId="73" fillId="30" borderId="29" xfId="1" applyNumberFormat="1" applyFont="1" applyFill="1" applyBorder="1" applyAlignment="1">
      <alignment wrapText="1"/>
    </xf>
    <xf numFmtId="0" fontId="73" fillId="30" borderId="29" xfId="0" applyFont="1" applyFill="1" applyBorder="1" applyAlignment="1">
      <alignment wrapText="1"/>
    </xf>
    <xf numFmtId="0" fontId="70" fillId="30" borderId="29" xfId="0" applyFont="1" applyFill="1" applyBorder="1" applyAlignment="1">
      <alignment wrapText="1"/>
    </xf>
    <xf numFmtId="0" fontId="102" fillId="30" borderId="4" xfId="0" applyFont="1" applyFill="1" applyBorder="1" applyAlignment="1">
      <alignment horizontal="center" vertical="center" wrapText="1"/>
    </xf>
    <xf numFmtId="0" fontId="102" fillId="30" borderId="29" xfId="0" applyFont="1" applyFill="1" applyBorder="1" applyAlignment="1">
      <alignment horizontal="center" vertical="center" wrapText="1"/>
    </xf>
    <xf numFmtId="0" fontId="102" fillId="30" borderId="5" xfId="0" applyFont="1" applyFill="1" applyBorder="1" applyAlignment="1">
      <alignment horizontal="center" vertical="center" wrapText="1"/>
    </xf>
    <xf numFmtId="0" fontId="70" fillId="30" borderId="29" xfId="0" applyFont="1" applyFill="1" applyBorder="1" applyAlignment="1">
      <alignment horizontal="center" vertical="center" wrapText="1"/>
    </xf>
    <xf numFmtId="43" fontId="70" fillId="21" borderId="4" xfId="1" applyFont="1" applyFill="1" applyBorder="1" applyAlignment="1">
      <alignment horizontal="center" vertical="center" wrapText="1"/>
    </xf>
    <xf numFmtId="164" fontId="71" fillId="6" borderId="22" xfId="1" applyNumberFormat="1" applyFont="1" applyFill="1" applyBorder="1"/>
    <xf numFmtId="164" fontId="71" fillId="6" borderId="0" xfId="1" applyNumberFormat="1" applyFont="1" applyFill="1" applyBorder="1"/>
    <xf numFmtId="164" fontId="71" fillId="6" borderId="29" xfId="1" applyNumberFormat="1" applyFont="1" applyFill="1" applyBorder="1"/>
    <xf numFmtId="164" fontId="82" fillId="6" borderId="3" xfId="1" applyNumberFormat="1" applyFont="1" applyFill="1" applyBorder="1" applyAlignment="1"/>
    <xf numFmtId="164" fontId="82" fillId="6" borderId="19" xfId="1" applyNumberFormat="1" applyFont="1" applyFill="1" applyBorder="1" applyAlignment="1"/>
    <xf numFmtId="164" fontId="82" fillId="6" borderId="20" xfId="1" applyNumberFormat="1" applyFont="1" applyFill="1" applyBorder="1" applyAlignment="1"/>
    <xf numFmtId="164" fontId="73" fillId="30" borderId="4" xfId="1" applyNumberFormat="1" applyFont="1" applyFill="1" applyBorder="1" applyAlignment="1"/>
    <xf numFmtId="0" fontId="70" fillId="30" borderId="99" xfId="5" applyFont="1" applyFill="1" applyBorder="1" applyAlignment="1">
      <alignment horizontal="center" vertical="center" wrapText="1"/>
    </xf>
    <xf numFmtId="0" fontId="70" fillId="30" borderId="100" xfId="5" applyFont="1" applyFill="1" applyBorder="1" applyAlignment="1">
      <alignment horizontal="center" vertical="center" wrapText="1"/>
    </xf>
    <xf numFmtId="43" fontId="70" fillId="30" borderId="101" xfId="1" applyFont="1" applyFill="1" applyBorder="1" applyAlignment="1">
      <alignment horizontal="center" vertical="center" wrapText="1"/>
    </xf>
    <xf numFmtId="0" fontId="70" fillId="30" borderId="5" xfId="0" applyFont="1" applyFill="1" applyBorder="1" applyAlignment="1">
      <alignment wrapText="1"/>
    </xf>
    <xf numFmtId="0" fontId="103" fillId="30" borderId="4" xfId="0" applyFont="1" applyFill="1" applyBorder="1" applyAlignment="1">
      <alignment horizontal="center" vertical="center" wrapText="1"/>
    </xf>
    <xf numFmtId="0" fontId="103" fillId="30" borderId="29" xfId="0" applyFont="1" applyFill="1" applyBorder="1" applyAlignment="1">
      <alignment horizontal="center" vertical="center" wrapText="1"/>
    </xf>
    <xf numFmtId="0" fontId="103" fillId="30" borderId="5" xfId="0" applyFont="1" applyFill="1" applyBorder="1" applyAlignment="1">
      <alignment horizontal="center" vertical="center" wrapText="1"/>
    </xf>
    <xf numFmtId="164" fontId="5" fillId="6" borderId="19" xfId="5" applyNumberFormat="1" applyFont="1" applyFill="1" applyBorder="1" applyAlignment="1">
      <alignment horizontal="center"/>
    </xf>
    <xf numFmtId="164" fontId="5" fillId="6" borderId="1" xfId="5" applyNumberFormat="1" applyFont="1" applyFill="1" applyBorder="1" applyAlignment="1">
      <alignment horizontal="center"/>
    </xf>
    <xf numFmtId="164" fontId="56" fillId="30" borderId="99" xfId="1" applyNumberFormat="1" applyFont="1" applyFill="1" applyBorder="1" applyAlignment="1">
      <alignment horizontal="center" vertical="center" wrapText="1"/>
    </xf>
    <xf numFmtId="164" fontId="56" fillId="30" borderId="100" xfId="1" applyNumberFormat="1" applyFont="1" applyFill="1" applyBorder="1" applyAlignment="1">
      <alignment horizontal="center" vertical="center" wrapText="1"/>
    </xf>
    <xf numFmtId="164" fontId="56" fillId="6" borderId="3" xfId="1" applyNumberFormat="1" applyFont="1" applyFill="1" applyBorder="1"/>
    <xf numFmtId="164" fontId="73" fillId="28" borderId="5" xfId="1" applyNumberFormat="1" applyFont="1" applyFill="1" applyBorder="1"/>
    <xf numFmtId="164" fontId="73" fillId="23" borderId="71" xfId="1" applyNumberFormat="1" applyFont="1" applyFill="1" applyBorder="1" applyProtection="1"/>
    <xf numFmtId="0" fontId="75" fillId="0" borderId="23" xfId="0" applyFont="1" applyBorder="1" applyAlignment="1">
      <alignment horizontal="center" vertical="center" wrapText="1"/>
    </xf>
    <xf numFmtId="164" fontId="72" fillId="0" borderId="21" xfId="1" applyNumberFormat="1" applyFont="1" applyFill="1" applyBorder="1" applyProtection="1"/>
    <xf numFmtId="164" fontId="72" fillId="0" borderId="26" xfId="1" applyNumberFormat="1" applyFont="1" applyFill="1" applyBorder="1" applyProtection="1"/>
    <xf numFmtId="0" fontId="73" fillId="23" borderId="74" xfId="0" applyFont="1" applyFill="1" applyBorder="1"/>
    <xf numFmtId="164" fontId="73" fillId="23" borderId="75" xfId="1" applyNumberFormat="1" applyFont="1" applyFill="1" applyBorder="1" applyProtection="1"/>
    <xf numFmtId="164" fontId="70" fillId="22" borderId="102" xfId="5" applyNumberFormat="1" applyFont="1" applyFill="1" applyBorder="1" applyProtection="1">
      <protection locked="0"/>
    </xf>
    <xf numFmtId="0" fontId="73" fillId="11" borderId="5" xfId="0" applyFont="1" applyFill="1" applyBorder="1" applyAlignment="1">
      <alignment horizontal="center" vertical="center" wrapText="1"/>
    </xf>
    <xf numFmtId="0" fontId="70" fillId="6" borderId="0" xfId="0" applyFont="1" applyFill="1" applyAlignment="1">
      <alignment horizontal="left"/>
    </xf>
    <xf numFmtId="0" fontId="50" fillId="0" borderId="0" xfId="0" applyFont="1"/>
    <xf numFmtId="0" fontId="104" fillId="0" borderId="0" xfId="0" applyFont="1"/>
    <xf numFmtId="0" fontId="50" fillId="6" borderId="6" xfId="0" applyFont="1" applyFill="1" applyBorder="1"/>
    <xf numFmtId="0" fontId="104" fillId="6" borderId="6" xfId="0" applyFont="1" applyFill="1" applyBorder="1"/>
    <xf numFmtId="0" fontId="50" fillId="8" borderId="0" xfId="0" applyFont="1" applyFill="1"/>
    <xf numFmtId="0" fontId="50" fillId="0" borderId="7" xfId="0" applyFont="1" applyBorder="1"/>
    <xf numFmtId="0" fontId="50" fillId="0" borderId="8" xfId="0" applyFont="1" applyBorder="1"/>
    <xf numFmtId="0" fontId="50" fillId="0" borderId="9" xfId="0" applyFont="1" applyBorder="1"/>
    <xf numFmtId="0" fontId="50" fillId="0" borderId="10" xfId="0" applyFont="1" applyBorder="1"/>
    <xf numFmtId="0" fontId="105" fillId="0" borderId="0" xfId="0" applyFont="1"/>
    <xf numFmtId="0" fontId="50" fillId="0" borderId="11" xfId="0" applyFont="1" applyBorder="1"/>
    <xf numFmtId="0" fontId="105" fillId="0" borderId="1" xfId="0" applyFont="1" applyBorder="1" applyAlignment="1">
      <alignment horizontal="center" vertical="center"/>
    </xf>
    <xf numFmtId="0" fontId="105" fillId="0" borderId="1" xfId="0" applyFont="1" applyBorder="1" applyAlignment="1">
      <alignment horizontal="center" wrapText="1"/>
    </xf>
    <xf numFmtId="0" fontId="106" fillId="0" borderId="0" xfId="0" applyFont="1" applyAlignment="1">
      <alignment horizontal="center" vertical="center" wrapText="1"/>
    </xf>
    <xf numFmtId="164" fontId="50" fillId="3" borderId="1" xfId="1" applyNumberFormat="1" applyFont="1" applyFill="1" applyBorder="1" applyProtection="1">
      <protection locked="0"/>
    </xf>
    <xf numFmtId="164" fontId="106" fillId="0" borderId="0" xfId="1" applyNumberFormat="1" applyFont="1" applyFill="1" applyBorder="1" applyProtection="1"/>
    <xf numFmtId="0" fontId="50" fillId="3" borderId="1" xfId="0" applyFont="1" applyFill="1" applyBorder="1" applyProtection="1">
      <protection locked="0"/>
    </xf>
    <xf numFmtId="0" fontId="50" fillId="0" borderId="12" xfId="0" applyFont="1" applyBorder="1"/>
    <xf numFmtId="0" fontId="105" fillId="0" borderId="6" xfId="0" applyFont="1" applyBorder="1"/>
    <xf numFmtId="0" fontId="50" fillId="0" borderId="13" xfId="0" applyFont="1" applyBorder="1"/>
    <xf numFmtId="0" fontId="105" fillId="0" borderId="1" xfId="0" applyFont="1" applyBorder="1" applyAlignment="1">
      <alignment horizontal="center" vertical="center" wrapText="1"/>
    </xf>
    <xf numFmtId="0" fontId="50" fillId="0" borderId="6" xfId="0" applyFont="1" applyBorder="1"/>
    <xf numFmtId="164" fontId="106" fillId="0" borderId="0" xfId="0" applyNumberFormat="1" applyFont="1"/>
    <xf numFmtId="164" fontId="105" fillId="0" borderId="4" xfId="1" applyNumberFormat="1" applyFont="1" applyBorder="1" applyProtection="1"/>
    <xf numFmtId="164" fontId="105" fillId="0" borderId="29" xfId="1" applyNumberFormat="1" applyFont="1" applyBorder="1" applyProtection="1"/>
    <xf numFmtId="164" fontId="105" fillId="0" borderId="5" xfId="1" applyNumberFormat="1" applyFont="1" applyBorder="1" applyProtection="1"/>
    <xf numFmtId="43" fontId="105" fillId="0" borderId="6" xfId="1" applyFont="1" applyBorder="1" applyProtection="1"/>
    <xf numFmtId="43" fontId="105" fillId="0" borderId="0" xfId="1" applyFont="1" applyBorder="1" applyProtection="1"/>
    <xf numFmtId="0" fontId="50" fillId="0" borderId="1" xfId="0" applyFont="1" applyBorder="1"/>
    <xf numFmtId="43" fontId="50" fillId="3" borderId="1" xfId="1" applyFont="1" applyFill="1" applyBorder="1" applyProtection="1">
      <protection locked="0"/>
    </xf>
    <xf numFmtId="0" fontId="104" fillId="0" borderId="0" xfId="0" applyFont="1" applyAlignment="1">
      <alignment vertical="top"/>
    </xf>
    <xf numFmtId="0" fontId="105" fillId="0" borderId="0" xfId="0" applyFont="1" applyAlignment="1">
      <alignment horizontal="center" vertical="center" wrapText="1"/>
    </xf>
    <xf numFmtId="9" fontId="50" fillId="4" borderId="1" xfId="6" applyFont="1" applyFill="1" applyBorder="1" applyAlignment="1" applyProtection="1">
      <alignment horizontal="center" vertical="center"/>
      <protection locked="0"/>
    </xf>
    <xf numFmtId="9" fontId="50" fillId="6" borderId="1" xfId="6" applyFont="1" applyFill="1" applyBorder="1" applyAlignment="1" applyProtection="1">
      <alignment horizontal="center" vertical="center"/>
    </xf>
    <xf numFmtId="164" fontId="105" fillId="0" borderId="1" xfId="0" applyNumberFormat="1" applyFont="1" applyBorder="1"/>
    <xf numFmtId="164" fontId="50" fillId="0" borderId="1" xfId="0" applyNumberFormat="1" applyFont="1" applyBorder="1"/>
    <xf numFmtId="0" fontId="105" fillId="0" borderId="3" xfId="0" applyFont="1" applyBorder="1" applyAlignment="1">
      <alignment horizontal="center" vertical="center" wrapText="1"/>
    </xf>
    <xf numFmtId="0" fontId="105" fillId="0" borderId="20" xfId="0" applyFont="1" applyBorder="1" applyAlignment="1">
      <alignment horizontal="center" vertical="center" wrapText="1"/>
    </xf>
    <xf numFmtId="164" fontId="105" fillId="0" borderId="20" xfId="0" applyNumberFormat="1" applyFont="1" applyBorder="1"/>
    <xf numFmtId="9" fontId="50" fillId="0" borderId="1" xfId="6" applyFont="1" applyBorder="1" applyAlignment="1" applyProtection="1">
      <alignment horizontal="center"/>
    </xf>
    <xf numFmtId="0" fontId="105" fillId="0" borderId="4" xfId="0" applyFont="1" applyBorder="1"/>
    <xf numFmtId="0" fontId="0" fillId="0" borderId="0" xfId="0" applyAlignment="1">
      <alignment horizontal="left"/>
    </xf>
    <xf numFmtId="0" fontId="49" fillId="0" borderId="0" xfId="0" applyFont="1"/>
    <xf numFmtId="0" fontId="49" fillId="6" borderId="6" xfId="0" applyFont="1" applyFill="1" applyBorder="1"/>
    <xf numFmtId="0" fontId="49" fillId="8" borderId="0" xfId="0" applyFont="1" applyFill="1"/>
    <xf numFmtId="0" fontId="49" fillId="0" borderId="7" xfId="0" applyFont="1" applyBorder="1"/>
    <xf numFmtId="0" fontId="49" fillId="0" borderId="8" xfId="0" applyFont="1" applyBorder="1"/>
    <xf numFmtId="0" fontId="49" fillId="0" borderId="9" xfId="0" applyFont="1" applyBorder="1"/>
    <xf numFmtId="0" fontId="49" fillId="0" borderId="10" xfId="0" applyFont="1" applyBorder="1"/>
    <xf numFmtId="0" fontId="107" fillId="0" borderId="0" xfId="0" applyFont="1"/>
    <xf numFmtId="0" fontId="49" fillId="0" borderId="11" xfId="0" applyFont="1" applyBorder="1"/>
    <xf numFmtId="0" fontId="49" fillId="0" borderId="12" xfId="0" applyFont="1" applyBorder="1"/>
    <xf numFmtId="0" fontId="49" fillId="0" borderId="13" xfId="0" applyFont="1" applyBorder="1"/>
    <xf numFmtId="0" fontId="107" fillId="0" borderId="1" xfId="0" applyFont="1" applyBorder="1" applyAlignment="1">
      <alignment horizontal="center" vertical="center" wrapText="1"/>
    </xf>
    <xf numFmtId="164" fontId="107" fillId="0" borderId="0" xfId="0" applyNumberFormat="1" applyFont="1"/>
    <xf numFmtId="0" fontId="49" fillId="0" borderId="6" xfId="0" applyFont="1" applyBorder="1"/>
    <xf numFmtId="0" fontId="49" fillId="0" borderId="1" xfId="0" applyFont="1" applyBorder="1"/>
    <xf numFmtId="0" fontId="92" fillId="6" borderId="0" xfId="0" applyFont="1" applyFill="1"/>
    <xf numFmtId="0" fontId="108" fillId="0" borderId="0" xfId="0" applyFont="1"/>
    <xf numFmtId="0" fontId="64" fillId="6" borderId="6" xfId="0" applyFont="1" applyFill="1" applyBorder="1"/>
    <xf numFmtId="0" fontId="108" fillId="6" borderId="6" xfId="0" applyFont="1" applyFill="1" applyBorder="1"/>
    <xf numFmtId="0" fontId="64" fillId="8" borderId="0" xfId="0" applyFont="1" applyFill="1"/>
    <xf numFmtId="0" fontId="109" fillId="0" borderId="0" xfId="0" applyFont="1"/>
    <xf numFmtId="0" fontId="64" fillId="0" borderId="7" xfId="0" applyFont="1" applyBorder="1"/>
    <xf numFmtId="0" fontId="64" fillId="0" borderId="8" xfId="0" applyFont="1" applyBorder="1"/>
    <xf numFmtId="0" fontId="64" fillId="0" borderId="9" xfId="0" applyFont="1" applyBorder="1"/>
    <xf numFmtId="0" fontId="64" fillId="0" borderId="10" xfId="0" applyFont="1" applyBorder="1"/>
    <xf numFmtId="0" fontId="92" fillId="0" borderId="0" xfId="0" applyFont="1"/>
    <xf numFmtId="0" fontId="64" fillId="0" borderId="11" xfId="0" applyFont="1" applyBorder="1"/>
    <xf numFmtId="0" fontId="92" fillId="0" borderId="1" xfId="0" applyFont="1" applyBorder="1" applyAlignment="1">
      <alignment horizontal="center" vertical="center"/>
    </xf>
    <xf numFmtId="0" fontId="92" fillId="0" borderId="1" xfId="0" applyFont="1" applyBorder="1" applyAlignment="1">
      <alignment horizontal="center" wrapText="1"/>
    </xf>
    <xf numFmtId="0" fontId="110" fillId="0" borderId="0" xfId="0" applyFont="1" applyAlignment="1">
      <alignment horizontal="center" vertical="center" wrapText="1"/>
    </xf>
    <xf numFmtId="0" fontId="64" fillId="6" borderId="1" xfId="0" applyFont="1" applyFill="1" applyBorder="1"/>
    <xf numFmtId="164" fontId="64" fillId="3" borderId="1" xfId="1" applyNumberFormat="1" applyFont="1" applyFill="1" applyBorder="1" applyProtection="1">
      <protection locked="0"/>
    </xf>
    <xf numFmtId="164" fontId="110" fillId="0" borderId="0" xfId="1" applyNumberFormat="1" applyFont="1" applyFill="1" applyBorder="1" applyProtection="1"/>
    <xf numFmtId="0" fontId="64" fillId="3" borderId="1" xfId="0" applyFont="1" applyFill="1" applyBorder="1" applyProtection="1">
      <protection locked="0"/>
    </xf>
    <xf numFmtId="164" fontId="92" fillId="0" borderId="0" xfId="1" applyNumberFormat="1" applyFont="1" applyBorder="1" applyProtection="1"/>
    <xf numFmtId="0" fontId="64" fillId="0" borderId="12" xfId="0" applyFont="1" applyBorder="1"/>
    <xf numFmtId="0" fontId="92" fillId="0" borderId="6" xfId="0" applyFont="1" applyBorder="1"/>
    <xf numFmtId="164" fontId="92" fillId="0" borderId="6" xfId="1" applyNumberFormat="1" applyFont="1" applyBorder="1" applyProtection="1"/>
    <xf numFmtId="0" fontId="64" fillId="0" borderId="13" xfId="0" applyFont="1" applyBorder="1"/>
    <xf numFmtId="0" fontId="92" fillId="0" borderId="8" xfId="0" applyFont="1" applyBorder="1"/>
    <xf numFmtId="43" fontId="64" fillId="0" borderId="8" xfId="1" applyFont="1" applyBorder="1" applyProtection="1"/>
    <xf numFmtId="0" fontId="108" fillId="0" borderId="0" xfId="0" applyFont="1" applyAlignment="1">
      <alignment wrapText="1"/>
    </xf>
    <xf numFmtId="0" fontId="92" fillId="0" borderId="1" xfId="0" applyFont="1" applyBorder="1" applyAlignment="1">
      <alignment horizontal="center" vertical="center" wrapText="1"/>
    </xf>
    <xf numFmtId="0" fontId="110" fillId="0" borderId="0" xfId="0" applyFont="1" applyAlignment="1">
      <alignment horizontal="center" vertical="center"/>
    </xf>
    <xf numFmtId="164" fontId="110" fillId="0" borderId="0" xfId="0" applyNumberFormat="1" applyFont="1"/>
    <xf numFmtId="164" fontId="92" fillId="0" borderId="0" xfId="0" applyNumberFormat="1" applyFont="1"/>
    <xf numFmtId="0" fontId="64" fillId="0" borderId="6" xfId="0" applyFont="1" applyBorder="1"/>
    <xf numFmtId="0" fontId="64" fillId="0" borderId="0" xfId="0" applyFont="1" applyAlignment="1">
      <alignment wrapText="1"/>
    </xf>
    <xf numFmtId="164" fontId="92" fillId="0" borderId="4" xfId="1" applyNumberFormat="1" applyFont="1" applyBorder="1" applyProtection="1"/>
    <xf numFmtId="164" fontId="92" fillId="0" borderId="29" xfId="1" applyNumberFormat="1" applyFont="1" applyBorder="1" applyProtection="1"/>
    <xf numFmtId="164" fontId="92" fillId="0" borderId="5" xfId="1" applyNumberFormat="1" applyFont="1" applyBorder="1" applyProtection="1"/>
    <xf numFmtId="43" fontId="92" fillId="0" borderId="6" xfId="1" applyFont="1" applyBorder="1" applyProtection="1"/>
    <xf numFmtId="43" fontId="92" fillId="0" borderId="0" xfId="1" applyFont="1" applyBorder="1" applyProtection="1"/>
    <xf numFmtId="43" fontId="92" fillId="0" borderId="8" xfId="1" applyFont="1" applyBorder="1" applyProtection="1"/>
    <xf numFmtId="164" fontId="92" fillId="0" borderId="8" xfId="1" applyNumberFormat="1" applyFont="1" applyBorder="1" applyProtection="1"/>
    <xf numFmtId="0" fontId="108" fillId="0" borderId="0" xfId="0" applyFont="1" applyAlignment="1">
      <alignment horizontal="left" vertical="top" wrapText="1"/>
    </xf>
    <xf numFmtId="43" fontId="92" fillId="0" borderId="1" xfId="1" applyFont="1" applyBorder="1" applyAlignment="1" applyProtection="1">
      <alignment horizontal="center" vertical="center" wrapText="1"/>
    </xf>
    <xf numFmtId="164" fontId="110" fillId="0" borderId="0" xfId="1" applyNumberFormat="1" applyFont="1" applyBorder="1" applyAlignment="1" applyProtection="1">
      <alignment horizontal="center"/>
    </xf>
    <xf numFmtId="0" fontId="64" fillId="0" borderId="3" xfId="0" applyFont="1" applyBorder="1"/>
    <xf numFmtId="43" fontId="92" fillId="0" borderId="1" xfId="1" applyFont="1" applyFill="1" applyBorder="1" applyAlignment="1" applyProtection="1">
      <alignment horizontal="center" vertical="center"/>
    </xf>
    <xf numFmtId="0" fontId="92" fillId="16" borderId="1" xfId="0" applyFont="1" applyFill="1" applyBorder="1" applyAlignment="1">
      <alignment horizontal="center" vertical="center"/>
    </xf>
    <xf numFmtId="0" fontId="11" fillId="0" borderId="1" xfId="0" applyFont="1" applyBorder="1" applyAlignment="1">
      <alignment horizontal="left" vertical="center" wrapText="1" indent="2"/>
    </xf>
    <xf numFmtId="43" fontId="92" fillId="0" borderId="1" xfId="1" applyFont="1" applyFill="1" applyBorder="1" applyProtection="1"/>
    <xf numFmtId="164" fontId="92" fillId="3" borderId="1" xfId="1" applyNumberFormat="1" applyFont="1" applyFill="1" applyBorder="1" applyProtection="1">
      <protection locked="0"/>
    </xf>
    <xf numFmtId="164" fontId="92" fillId="0" borderId="1" xfId="1" applyNumberFormat="1" applyFont="1" applyFill="1" applyBorder="1" applyProtection="1"/>
    <xf numFmtId="0" fontId="11" fillId="0" borderId="3" xfId="0" applyFont="1" applyBorder="1" applyAlignment="1">
      <alignment horizontal="left" vertical="center" wrapText="1" indent="2"/>
    </xf>
    <xf numFmtId="0" fontId="64" fillId="0" borderId="1" xfId="0" applyFont="1" applyBorder="1"/>
    <xf numFmtId="0" fontId="64" fillId="0" borderId="19" xfId="0" applyFont="1" applyBorder="1"/>
    <xf numFmtId="0" fontId="92" fillId="0" borderId="20" xfId="0" applyFont="1" applyBorder="1"/>
    <xf numFmtId="0" fontId="64" fillId="0" borderId="1" xfId="0" applyFont="1" applyBorder="1" applyAlignment="1">
      <alignment horizontal="left" vertical="center"/>
    </xf>
    <xf numFmtId="0" fontId="64" fillId="0" borderId="1" xfId="0" applyFont="1" applyBorder="1" applyAlignment="1">
      <alignment horizontal="left" indent="2"/>
    </xf>
    <xf numFmtId="0" fontId="64" fillId="0" borderId="3" xfId="0" applyFont="1" applyBorder="1" applyAlignment="1">
      <alignment horizontal="left" indent="2"/>
    </xf>
    <xf numFmtId="0" fontId="11" fillId="0" borderId="1" xfId="0" applyFont="1" applyBorder="1" applyAlignment="1">
      <alignment horizontal="left" indent="2"/>
    </xf>
    <xf numFmtId="0" fontId="11" fillId="0" borderId="3" xfId="0" applyFont="1" applyBorder="1" applyAlignment="1">
      <alignment horizontal="left"/>
    </xf>
    <xf numFmtId="164" fontId="64" fillId="6" borderId="1" xfId="1" applyNumberFormat="1" applyFont="1" applyFill="1" applyBorder="1" applyProtection="1"/>
    <xf numFmtId="166" fontId="110" fillId="0" borderId="0" xfId="0" applyNumberFormat="1" applyFont="1"/>
    <xf numFmtId="164" fontId="92" fillId="6" borderId="1" xfId="1" applyNumberFormat="1" applyFont="1" applyFill="1" applyBorder="1" applyProtection="1"/>
    <xf numFmtId="164" fontId="49" fillId="0" borderId="1" xfId="0" applyNumberFormat="1" applyFont="1" applyBorder="1"/>
    <xf numFmtId="164" fontId="49" fillId="0" borderId="1" xfId="1" applyNumberFormat="1" applyFont="1" applyBorder="1" applyProtection="1"/>
    <xf numFmtId="43" fontId="49" fillId="0" borderId="1" xfId="0" applyNumberFormat="1" applyFont="1" applyBorder="1"/>
    <xf numFmtId="164" fontId="107" fillId="0" borderId="1" xfId="0" applyNumberFormat="1" applyFont="1" applyBorder="1"/>
    <xf numFmtId="0" fontId="107" fillId="8" borderId="0" xfId="0" applyFont="1" applyFill="1"/>
    <xf numFmtId="0" fontId="111" fillId="8" borderId="0" xfId="0" applyFont="1" applyFill="1"/>
    <xf numFmtId="0" fontId="107" fillId="8" borderId="1" xfId="0" applyFont="1" applyFill="1" applyBorder="1"/>
    <xf numFmtId="0" fontId="49" fillId="8" borderId="1" xfId="0" applyFont="1" applyFill="1" applyBorder="1" applyAlignment="1">
      <alignment horizontal="center"/>
    </xf>
    <xf numFmtId="0" fontId="49" fillId="8" borderId="1" xfId="0" applyFont="1" applyFill="1" applyBorder="1"/>
    <xf numFmtId="164" fontId="49" fillId="8" borderId="1" xfId="0" applyNumberFormat="1" applyFont="1" applyFill="1" applyBorder="1"/>
    <xf numFmtId="9" fontId="49" fillId="8" borderId="1" xfId="6" applyFont="1" applyFill="1" applyBorder="1" applyProtection="1"/>
    <xf numFmtId="167" fontId="49" fillId="8" borderId="1" xfId="6" applyNumberFormat="1" applyFont="1" applyFill="1" applyBorder="1" applyProtection="1"/>
    <xf numFmtId="0" fontId="64" fillId="6" borderId="0" xfId="0" applyFont="1" applyFill="1" applyAlignment="1">
      <alignment horizontal="center"/>
    </xf>
    <xf numFmtId="0" fontId="92" fillId="4" borderId="1" xfId="0" applyFont="1" applyFill="1" applyBorder="1" applyAlignment="1">
      <alignment horizontal="center" vertical="center" wrapText="1"/>
    </xf>
    <xf numFmtId="0" fontId="92" fillId="16" borderId="0" xfId="0" applyFont="1" applyFill="1"/>
    <xf numFmtId="0" fontId="64" fillId="16" borderId="0" xfId="0" applyFont="1" applyFill="1" applyAlignment="1">
      <alignment horizontal="center"/>
    </xf>
    <xf numFmtId="164" fontId="73" fillId="6" borderId="1" xfId="1" applyNumberFormat="1" applyFont="1" applyFill="1" applyBorder="1" applyAlignment="1">
      <alignment vertical="center" wrapText="1"/>
    </xf>
    <xf numFmtId="0" fontId="92" fillId="6" borderId="3" xfId="0" applyFont="1" applyFill="1" applyBorder="1" applyAlignment="1">
      <alignment horizontal="center" vertical="center" wrapText="1"/>
    </xf>
    <xf numFmtId="164" fontId="112" fillId="6" borderId="5" xfId="5" applyNumberFormat="1" applyFont="1" applyFill="1" applyBorder="1" applyAlignment="1">
      <alignment horizontal="center" vertical="center" wrapText="1"/>
    </xf>
    <xf numFmtId="164" fontId="113" fillId="6" borderId="23" xfId="1" applyNumberFormat="1" applyFont="1" applyFill="1" applyBorder="1" applyAlignment="1">
      <alignment horizontal="right" vertical="center" wrapText="1"/>
    </xf>
    <xf numFmtId="0" fontId="0" fillId="31" borderId="0" xfId="0" applyFill="1"/>
    <xf numFmtId="0" fontId="98" fillId="31" borderId="0" xfId="0" applyFont="1" applyFill="1"/>
    <xf numFmtId="0" fontId="55" fillId="31" borderId="0" xfId="0" applyFont="1" applyFill="1"/>
    <xf numFmtId="0" fontId="49" fillId="31" borderId="0" xfId="0" applyFont="1" applyFill="1"/>
    <xf numFmtId="0" fontId="65" fillId="31" borderId="0" xfId="0" applyFont="1" applyFill="1"/>
    <xf numFmtId="164" fontId="114" fillId="31" borderId="0" xfId="1" applyNumberFormat="1" applyFont="1" applyFill="1" applyAlignment="1">
      <alignment horizontal="center"/>
    </xf>
    <xf numFmtId="0" fontId="58" fillId="31" borderId="0" xfId="0" applyFont="1" applyFill="1"/>
    <xf numFmtId="43" fontId="55" fillId="31" borderId="0" xfId="1" applyFont="1" applyFill="1" applyAlignment="1">
      <alignment horizontal="center" vertical="center"/>
    </xf>
    <xf numFmtId="164" fontId="55" fillId="31" borderId="0" xfId="1" applyNumberFormat="1" applyFont="1" applyFill="1" applyAlignment="1">
      <alignment horizontal="center"/>
    </xf>
    <xf numFmtId="0" fontId="50" fillId="31" borderId="0" xfId="0" applyFont="1" applyFill="1"/>
    <xf numFmtId="164" fontId="55" fillId="31" borderId="0" xfId="0" applyNumberFormat="1" applyFont="1" applyFill="1"/>
    <xf numFmtId="0" fontId="56" fillId="31" borderId="0" xfId="0" applyFont="1" applyFill="1"/>
    <xf numFmtId="0" fontId="78" fillId="31" borderId="0" xfId="0" applyFont="1" applyFill="1"/>
    <xf numFmtId="164" fontId="56" fillId="31" borderId="0" xfId="1" applyNumberFormat="1" applyFont="1" applyFill="1" applyAlignment="1">
      <alignment horizontal="center"/>
    </xf>
    <xf numFmtId="164" fontId="56" fillId="31" borderId="0" xfId="1" applyNumberFormat="1" applyFont="1" applyFill="1" applyAlignment="1">
      <alignment vertical="center"/>
    </xf>
    <xf numFmtId="0" fontId="115" fillId="31" borderId="0" xfId="0" applyFont="1" applyFill="1" applyAlignment="1">
      <alignment horizontal="center" vertical="center"/>
    </xf>
    <xf numFmtId="0" fontId="81" fillId="31" borderId="0" xfId="0" applyFont="1" applyFill="1" applyAlignment="1">
      <alignment horizontal="center" vertical="center"/>
    </xf>
    <xf numFmtId="164" fontId="5" fillId="31" borderId="56" xfId="1" applyNumberFormat="1" applyFont="1" applyFill="1" applyBorder="1" applyAlignment="1">
      <alignment horizontal="center" wrapText="1"/>
    </xf>
    <xf numFmtId="164" fontId="5" fillId="31" borderId="27" xfId="1" applyNumberFormat="1" applyFont="1" applyFill="1" applyBorder="1" applyAlignment="1">
      <alignment horizontal="center" wrapText="1"/>
    </xf>
    <xf numFmtId="0" fontId="80" fillId="31" borderId="0" xfId="0" applyFont="1" applyFill="1"/>
    <xf numFmtId="0" fontId="64" fillId="31" borderId="0" xfId="0" applyFont="1" applyFill="1"/>
    <xf numFmtId="0" fontId="66" fillId="31" borderId="0" xfId="0" applyFont="1" applyFill="1"/>
    <xf numFmtId="0" fontId="70" fillId="31" borderId="0" xfId="0" applyFont="1" applyFill="1"/>
    <xf numFmtId="164" fontId="70" fillId="31" borderId="0" xfId="1" applyNumberFormat="1" applyFont="1" applyFill="1"/>
    <xf numFmtId="0" fontId="73" fillId="31" borderId="0" xfId="0" applyFont="1" applyFill="1"/>
    <xf numFmtId="0" fontId="65" fillId="31" borderId="0" xfId="0" applyFont="1" applyFill="1" applyAlignment="1">
      <alignment horizontal="center" vertical="center"/>
    </xf>
    <xf numFmtId="0" fontId="88" fillId="31" borderId="0" xfId="0" applyFont="1" applyFill="1" applyAlignment="1">
      <alignment horizontal="left" indent="1"/>
    </xf>
    <xf numFmtId="0" fontId="68" fillId="31" borderId="0" xfId="0" applyFont="1" applyFill="1" applyAlignment="1">
      <alignment horizontal="left" indent="1"/>
    </xf>
    <xf numFmtId="0" fontId="92" fillId="31" borderId="0" xfId="0" applyFont="1" applyFill="1" applyAlignment="1">
      <alignment horizontal="center" vertical="center"/>
    </xf>
    <xf numFmtId="0" fontId="73" fillId="31" borderId="53" xfId="0" applyFont="1" applyFill="1" applyBorder="1"/>
    <xf numFmtId="164" fontId="73" fillId="31" borderId="22" xfId="1" applyNumberFormat="1" applyFont="1" applyFill="1" applyBorder="1" applyAlignment="1"/>
    <xf numFmtId="0" fontId="73" fillId="31" borderId="22" xfId="0" applyFont="1" applyFill="1" applyBorder="1"/>
    <xf numFmtId="0" fontId="70" fillId="31" borderId="22" xfId="0" applyFont="1" applyFill="1" applyBorder="1"/>
    <xf numFmtId="0" fontId="73" fillId="31" borderId="0" xfId="0" applyFont="1" applyFill="1" applyAlignment="1">
      <alignment horizontal="center"/>
    </xf>
    <xf numFmtId="43" fontId="73" fillId="31" borderId="0" xfId="1" applyFont="1" applyFill="1" applyBorder="1" applyAlignment="1">
      <alignment horizontal="center"/>
    </xf>
    <xf numFmtId="0" fontId="52" fillId="31" borderId="0" xfId="0" applyFont="1" applyFill="1" applyAlignment="1">
      <alignment horizontal="center" vertical="center"/>
    </xf>
    <xf numFmtId="0" fontId="67" fillId="31" borderId="0" xfId="0" applyFont="1" applyFill="1" applyAlignment="1">
      <alignment horizontal="center"/>
    </xf>
    <xf numFmtId="0" fontId="91" fillId="31" borderId="0" xfId="0" applyFont="1" applyFill="1" applyAlignment="1">
      <alignment horizontal="center"/>
    </xf>
    <xf numFmtId="0" fontId="70" fillId="31" borderId="25" xfId="0" applyFont="1" applyFill="1" applyBorder="1"/>
    <xf numFmtId="43" fontId="70" fillId="31" borderId="0" xfId="1" applyFont="1" applyFill="1"/>
    <xf numFmtId="0" fontId="88" fillId="31" borderId="0" xfId="0" applyFont="1" applyFill="1"/>
    <xf numFmtId="164" fontId="70" fillId="31" borderId="25" xfId="1" applyNumberFormat="1" applyFont="1" applyFill="1" applyBorder="1"/>
    <xf numFmtId="0" fontId="73" fillId="31" borderId="25" xfId="0" applyFont="1" applyFill="1" applyBorder="1"/>
    <xf numFmtId="0" fontId="56" fillId="31" borderId="25" xfId="0" applyFont="1" applyFill="1" applyBorder="1"/>
    <xf numFmtId="0" fontId="68" fillId="31" borderId="0" xfId="0" applyFont="1" applyFill="1"/>
    <xf numFmtId="164" fontId="73" fillId="31" borderId="0" xfId="1" applyNumberFormat="1" applyFont="1" applyFill="1"/>
    <xf numFmtId="164" fontId="70" fillId="31" borderId="0" xfId="1" applyNumberFormat="1" applyFont="1" applyFill="1" applyAlignment="1">
      <alignment vertical="center"/>
    </xf>
    <xf numFmtId="0" fontId="64" fillId="31" borderId="0" xfId="0" applyFont="1" applyFill="1" applyAlignment="1">
      <alignment horizontal="center" vertical="center"/>
    </xf>
    <xf numFmtId="0" fontId="56" fillId="20" borderId="0" xfId="0" applyFont="1" applyFill="1"/>
    <xf numFmtId="0" fontId="82" fillId="20" borderId="0" xfId="0" applyFont="1" applyFill="1" applyAlignment="1">
      <alignment horizontal="center" vertical="center"/>
    </xf>
    <xf numFmtId="0" fontId="116" fillId="20" borderId="98" xfId="0" applyFont="1" applyFill="1" applyBorder="1"/>
    <xf numFmtId="0" fontId="116" fillId="20" borderId="24" xfId="0" applyFont="1" applyFill="1" applyBorder="1"/>
    <xf numFmtId="0" fontId="117" fillId="20" borderId="24" xfId="0" applyFont="1" applyFill="1" applyBorder="1"/>
    <xf numFmtId="0" fontId="6" fillId="20" borderId="24" xfId="0" applyFont="1" applyFill="1" applyBorder="1"/>
    <xf numFmtId="0" fontId="6" fillId="20" borderId="4" xfId="0" applyFont="1" applyFill="1" applyBorder="1"/>
    <xf numFmtId="0" fontId="117" fillId="20" borderId="0" xfId="0" applyFont="1" applyFill="1"/>
    <xf numFmtId="0" fontId="116" fillId="20" borderId="103" xfId="0" applyFont="1" applyFill="1" applyBorder="1"/>
    <xf numFmtId="0" fontId="116" fillId="20" borderId="0" xfId="0" applyFont="1" applyFill="1"/>
    <xf numFmtId="0" fontId="0" fillId="20" borderId="0" xfId="0" applyFill="1"/>
    <xf numFmtId="0" fontId="70" fillId="32" borderId="0" xfId="0" applyFont="1" applyFill="1"/>
    <xf numFmtId="0" fontId="70" fillId="32" borderId="0" xfId="0" applyFont="1" applyFill="1" applyAlignment="1">
      <alignment wrapText="1"/>
    </xf>
    <xf numFmtId="0" fontId="90" fillId="32" borderId="24" xfId="0" applyFont="1" applyFill="1" applyBorder="1"/>
    <xf numFmtId="0" fontId="74" fillId="32" borderId="0" xfId="0" applyFont="1" applyFill="1"/>
    <xf numFmtId="0" fontId="70" fillId="32" borderId="0" xfId="0" applyFont="1" applyFill="1" applyAlignment="1">
      <alignment horizontal="left"/>
    </xf>
    <xf numFmtId="0" fontId="73" fillId="32" borderId="0" xfId="0" applyFont="1" applyFill="1"/>
    <xf numFmtId="0" fontId="49" fillId="33" borderId="1" xfId="0" applyFont="1" applyFill="1" applyBorder="1" applyAlignment="1">
      <alignment vertical="center" wrapText="1"/>
    </xf>
    <xf numFmtId="0" fontId="64" fillId="6" borderId="3" xfId="0" applyFont="1" applyFill="1" applyBorder="1"/>
    <xf numFmtId="0" fontId="119" fillId="26" borderId="29" xfId="0" applyFont="1" applyFill="1" applyBorder="1" applyAlignment="1">
      <alignment horizontal="left"/>
    </xf>
    <xf numFmtId="0" fontId="119" fillId="26" borderId="1" xfId="0" applyFont="1" applyFill="1" applyBorder="1" applyAlignment="1">
      <alignment horizontal="left"/>
    </xf>
    <xf numFmtId="0" fontId="64" fillId="34" borderId="19" xfId="0" applyFont="1" applyFill="1" applyBorder="1"/>
    <xf numFmtId="0" fontId="120" fillId="34" borderId="1" xfId="5" applyFont="1" applyFill="1" applyBorder="1" applyAlignment="1">
      <alignment horizontal="left" vertical="center" wrapText="1"/>
    </xf>
    <xf numFmtId="0" fontId="119" fillId="34" borderId="29" xfId="0" applyFont="1" applyFill="1" applyBorder="1" applyAlignment="1">
      <alignment horizontal="left" vertical="top"/>
    </xf>
    <xf numFmtId="0" fontId="119" fillId="34" borderId="1" xfId="0" applyFont="1" applyFill="1" applyBorder="1" applyAlignment="1">
      <alignment horizontal="left" vertical="top"/>
    </xf>
    <xf numFmtId="0" fontId="64" fillId="6" borderId="5" xfId="0" applyFont="1" applyFill="1" applyBorder="1"/>
    <xf numFmtId="0" fontId="121" fillId="26" borderId="5" xfId="0" applyFont="1" applyFill="1" applyBorder="1" applyAlignment="1">
      <alignment horizontal="left"/>
    </xf>
    <xf numFmtId="0" fontId="121" fillId="34" borderId="5" xfId="0" applyFont="1" applyFill="1" applyBorder="1" applyAlignment="1">
      <alignment horizontal="left" vertical="top"/>
    </xf>
    <xf numFmtId="0" fontId="54" fillId="35" borderId="0" xfId="0" applyFont="1" applyFill="1"/>
    <xf numFmtId="0" fontId="54" fillId="35" borderId="1" xfId="0" applyFont="1" applyFill="1" applyBorder="1"/>
    <xf numFmtId="0" fontId="122" fillId="35" borderId="0" xfId="0" applyFont="1" applyFill="1"/>
    <xf numFmtId="0" fontId="54" fillId="35" borderId="0" xfId="0" applyFont="1" applyFill="1" applyAlignment="1">
      <alignment horizontal="center"/>
    </xf>
    <xf numFmtId="0" fontId="95" fillId="35" borderId="0" xfId="0" applyFont="1" applyFill="1" applyAlignment="1">
      <alignment horizontal="center" vertical="center" textRotation="90"/>
    </xf>
    <xf numFmtId="167" fontId="30" fillId="6" borderId="0" xfId="6" applyNumberFormat="1" applyFont="1" applyFill="1" applyAlignment="1">
      <alignment horizontal="center" vertical="center"/>
    </xf>
    <xf numFmtId="0" fontId="123" fillId="6" borderId="24" xfId="0" applyFont="1" applyFill="1" applyBorder="1" applyAlignment="1">
      <alignment horizontal="left"/>
    </xf>
    <xf numFmtId="0" fontId="123" fillId="6" borderId="0" xfId="0" applyFont="1" applyFill="1" applyAlignment="1">
      <alignment horizontal="left"/>
    </xf>
    <xf numFmtId="0" fontId="123" fillId="6" borderId="21" xfId="0" applyFont="1" applyFill="1" applyBorder="1" applyAlignment="1">
      <alignment horizontal="left"/>
    </xf>
    <xf numFmtId="0" fontId="52" fillId="11" borderId="0" xfId="0" applyFont="1" applyFill="1"/>
    <xf numFmtId="0" fontId="54" fillId="11" borderId="0" xfId="0" applyFont="1" applyFill="1"/>
    <xf numFmtId="0" fontId="52" fillId="11" borderId="53" xfId="0" applyFont="1" applyFill="1" applyBorder="1"/>
    <xf numFmtId="0" fontId="52" fillId="11" borderId="22" xfId="0" applyFont="1" applyFill="1" applyBorder="1"/>
    <xf numFmtId="0" fontId="54" fillId="11" borderId="22" xfId="0" applyFont="1" applyFill="1" applyBorder="1"/>
    <xf numFmtId="0" fontId="52" fillId="11" borderId="24" xfId="0" applyFont="1" applyFill="1" applyBorder="1"/>
    <xf numFmtId="0" fontId="52" fillId="11" borderId="14" xfId="0" applyFont="1" applyFill="1" applyBorder="1"/>
    <xf numFmtId="0" fontId="52" fillId="6" borderId="0" xfId="0" applyFont="1" applyFill="1"/>
    <xf numFmtId="0" fontId="95" fillId="35" borderId="104" xfId="0" applyFont="1" applyFill="1" applyBorder="1" applyAlignment="1">
      <alignment horizontal="center" vertical="center" textRotation="90"/>
    </xf>
    <xf numFmtId="0" fontId="95" fillId="35" borderId="105" xfId="0" applyFont="1" applyFill="1" applyBorder="1" applyAlignment="1">
      <alignment horizontal="center" vertical="center" textRotation="90"/>
    </xf>
    <xf numFmtId="0" fontId="123" fillId="35" borderId="106" xfId="0" applyFont="1" applyFill="1" applyBorder="1"/>
    <xf numFmtId="0" fontId="54" fillId="35" borderId="107" xfId="0" applyFont="1" applyFill="1" applyBorder="1"/>
    <xf numFmtId="0" fontId="48" fillId="35" borderId="106" xfId="0" applyFont="1" applyFill="1" applyBorder="1"/>
    <xf numFmtId="0" fontId="6" fillId="35" borderId="108" xfId="0" applyFont="1" applyFill="1" applyBorder="1"/>
    <xf numFmtId="0" fontId="54" fillId="35" borderId="108" xfId="0" applyFont="1" applyFill="1" applyBorder="1"/>
    <xf numFmtId="0" fontId="123" fillId="35" borderId="108" xfId="0" applyFont="1" applyFill="1" applyBorder="1"/>
    <xf numFmtId="0" fontId="123" fillId="35" borderId="107" xfId="0" applyFont="1" applyFill="1" applyBorder="1" applyAlignment="1">
      <alignment horizontal="center" vertical="center"/>
    </xf>
    <xf numFmtId="0" fontId="95" fillId="35" borderId="109" xfId="0" applyFont="1" applyFill="1" applyBorder="1" applyAlignment="1">
      <alignment horizontal="center" vertical="center" textRotation="90"/>
    </xf>
    <xf numFmtId="0" fontId="54" fillId="35" borderId="110" xfId="0" applyFont="1" applyFill="1" applyBorder="1" applyAlignment="1">
      <alignment horizontal="center"/>
    </xf>
    <xf numFmtId="0" fontId="54" fillId="35" borderId="111" xfId="0" applyFont="1" applyFill="1" applyBorder="1"/>
    <xf numFmtId="0" fontId="54" fillId="35" borderId="105" xfId="0" applyFont="1" applyFill="1" applyBorder="1"/>
    <xf numFmtId="0" fontId="0" fillId="6" borderId="110" xfId="0" applyFill="1" applyBorder="1"/>
    <xf numFmtId="0" fontId="0" fillId="6" borderId="104" xfId="0" applyFill="1" applyBorder="1"/>
    <xf numFmtId="0" fontId="0" fillId="6" borderId="111" xfId="0" applyFill="1" applyBorder="1"/>
    <xf numFmtId="0" fontId="0" fillId="6" borderId="105" xfId="0" applyFill="1" applyBorder="1"/>
    <xf numFmtId="9" fontId="30" fillId="6" borderId="0" xfId="6" applyFont="1" applyFill="1" applyAlignment="1">
      <alignment horizontal="center" vertical="center"/>
    </xf>
    <xf numFmtId="0" fontId="123" fillId="6" borderId="0" xfId="0" applyFont="1" applyFill="1"/>
    <xf numFmtId="0" fontId="123" fillId="6" borderId="112" xfId="0" applyFont="1" applyFill="1" applyBorder="1"/>
    <xf numFmtId="0" fontId="123" fillId="6" borderId="113" xfId="0" applyFont="1" applyFill="1" applyBorder="1"/>
    <xf numFmtId="0" fontId="52" fillId="6" borderId="114" xfId="0" applyFont="1" applyFill="1" applyBorder="1"/>
    <xf numFmtId="0" fontId="52" fillId="6" borderId="115" xfId="0" applyFont="1" applyFill="1" applyBorder="1"/>
    <xf numFmtId="0" fontId="52" fillId="6" borderId="116" xfId="0" applyFont="1" applyFill="1" applyBorder="1"/>
    <xf numFmtId="0" fontId="67" fillId="6" borderId="112" xfId="0" applyFont="1" applyFill="1" applyBorder="1"/>
    <xf numFmtId="0" fontId="67" fillId="6" borderId="113" xfId="0" applyFont="1" applyFill="1" applyBorder="1"/>
    <xf numFmtId="0" fontId="52" fillId="6" borderId="117" xfId="0" applyFont="1" applyFill="1" applyBorder="1"/>
    <xf numFmtId="0" fontId="52" fillId="6" borderId="118" xfId="0" applyFont="1" applyFill="1" applyBorder="1"/>
    <xf numFmtId="0" fontId="52" fillId="6" borderId="119" xfId="0" applyFont="1" applyFill="1" applyBorder="1"/>
    <xf numFmtId="164" fontId="64" fillId="6" borderId="0" xfId="0" applyNumberFormat="1" applyFont="1" applyFill="1" applyAlignment="1">
      <alignment horizontal="center"/>
    </xf>
    <xf numFmtId="0" fontId="92" fillId="6" borderId="1" xfId="0" applyFont="1" applyFill="1" applyBorder="1" applyAlignment="1">
      <alignment horizontal="center" vertical="center" wrapText="1"/>
    </xf>
    <xf numFmtId="164" fontId="64" fillId="6" borderId="0" xfId="0" applyNumberFormat="1" applyFont="1" applyFill="1"/>
    <xf numFmtId="0" fontId="0" fillId="0" borderId="120" xfId="0" applyBorder="1"/>
    <xf numFmtId="0" fontId="0" fillId="0" borderId="121" xfId="0" applyBorder="1"/>
    <xf numFmtId="0" fontId="0" fillId="0" borderId="120" xfId="0" pivotButton="1" applyBorder="1"/>
    <xf numFmtId="0" fontId="0" fillId="0" borderId="122" xfId="0" applyBorder="1"/>
    <xf numFmtId="0" fontId="0" fillId="0" borderId="123" xfId="0" applyBorder="1"/>
    <xf numFmtId="0" fontId="0" fillId="0" borderId="124" xfId="0" applyBorder="1"/>
    <xf numFmtId="0" fontId="0" fillId="0" borderId="125" xfId="0" applyBorder="1"/>
    <xf numFmtId="0" fontId="107" fillId="6" borderId="0" xfId="0" applyFont="1" applyFill="1"/>
    <xf numFmtId="0" fontId="67" fillId="6" borderId="0" xfId="0" applyFont="1" applyFill="1"/>
    <xf numFmtId="0" fontId="123" fillId="4" borderId="0" xfId="0" applyFont="1" applyFill="1"/>
    <xf numFmtId="0" fontId="123" fillId="6" borderId="126" xfId="0" applyFont="1" applyFill="1" applyBorder="1"/>
    <xf numFmtId="0" fontId="49" fillId="10" borderId="0" xfId="0" applyFont="1" applyFill="1"/>
    <xf numFmtId="0" fontId="107" fillId="10" borderId="0" xfId="0" applyFont="1" applyFill="1"/>
    <xf numFmtId="0" fontId="124" fillId="6" borderId="0" xfId="0" applyFont="1" applyFill="1"/>
    <xf numFmtId="0" fontId="49" fillId="11" borderId="24" xfId="0" applyFont="1" applyFill="1" applyBorder="1" applyAlignment="1">
      <alignment horizontal="center" vertical="center" textRotation="90"/>
    </xf>
    <xf numFmtId="0" fontId="52" fillId="31" borderId="0" xfId="0" applyFont="1" applyFill="1"/>
    <xf numFmtId="0" fontId="7" fillId="6" borderId="25" xfId="0" applyFont="1" applyFill="1" applyBorder="1" applyAlignment="1">
      <alignment horizontal="center" vertical="center" wrapText="1"/>
    </xf>
    <xf numFmtId="0" fontId="7" fillId="6" borderId="28" xfId="0" applyFont="1" applyFill="1" applyBorder="1" applyAlignment="1">
      <alignment horizontal="center" vertical="center" wrapText="1"/>
    </xf>
    <xf numFmtId="0" fontId="7" fillId="6" borderId="49" xfId="0" applyFont="1" applyFill="1" applyBorder="1" applyAlignment="1">
      <alignment horizontal="center"/>
    </xf>
    <xf numFmtId="0" fontId="7" fillId="6" borderId="27" xfId="0" applyFont="1" applyFill="1" applyBorder="1" applyAlignment="1">
      <alignment horizontal="center"/>
    </xf>
    <xf numFmtId="0" fontId="7" fillId="6" borderId="32" xfId="0" applyFont="1" applyFill="1" applyBorder="1" applyAlignment="1">
      <alignment horizontal="center"/>
    </xf>
    <xf numFmtId="0" fontId="7" fillId="6" borderId="30" xfId="0" applyFont="1" applyFill="1" applyBorder="1" applyAlignment="1">
      <alignment horizontal="center"/>
    </xf>
    <xf numFmtId="171" fontId="11" fillId="6" borderId="32" xfId="0" applyNumberFormat="1" applyFont="1" applyFill="1" applyBorder="1" applyAlignment="1">
      <alignment horizontal="center"/>
    </xf>
    <xf numFmtId="171" fontId="11" fillId="6" borderId="30" xfId="0" applyNumberFormat="1" applyFont="1" applyFill="1" applyBorder="1" applyAlignment="1">
      <alignment horizontal="center"/>
    </xf>
    <xf numFmtId="171" fontId="11" fillId="6" borderId="32" xfId="0" applyNumberFormat="1" applyFont="1" applyFill="1" applyBorder="1"/>
    <xf numFmtId="171" fontId="11" fillId="6" borderId="30" xfId="0" applyNumberFormat="1" applyFont="1" applyFill="1" applyBorder="1"/>
    <xf numFmtId="171" fontId="11" fillId="6" borderId="57" xfId="0" applyNumberFormat="1" applyFont="1" applyFill="1" applyBorder="1"/>
    <xf numFmtId="172" fontId="11" fillId="6" borderId="57" xfId="0" applyNumberFormat="1" applyFont="1" applyFill="1" applyBorder="1"/>
    <xf numFmtId="172" fontId="11" fillId="6" borderId="30" xfId="0" applyNumberFormat="1" applyFont="1" applyFill="1" applyBorder="1"/>
    <xf numFmtId="171" fontId="7" fillId="6" borderId="76" xfId="0" applyNumberFormat="1" applyFont="1" applyFill="1" applyBorder="1" applyAlignment="1">
      <alignment vertical="top"/>
    </xf>
    <xf numFmtId="171" fontId="7" fillId="6" borderId="59" xfId="0" applyNumberFormat="1" applyFont="1" applyFill="1" applyBorder="1" applyAlignment="1">
      <alignment vertical="top"/>
    </xf>
    <xf numFmtId="171" fontId="11" fillId="6" borderId="57" xfId="1" applyNumberFormat="1" applyFont="1" applyFill="1" applyBorder="1" applyProtection="1"/>
    <xf numFmtId="171" fontId="11" fillId="6" borderId="30" xfId="1" applyNumberFormat="1" applyFont="1" applyFill="1" applyBorder="1" applyProtection="1"/>
    <xf numFmtId="171" fontId="7" fillId="6" borderId="76" xfId="0" applyNumberFormat="1" applyFont="1" applyFill="1" applyBorder="1"/>
    <xf numFmtId="171" fontId="7" fillId="6" borderId="59" xfId="0" applyNumberFormat="1" applyFont="1" applyFill="1" applyBorder="1"/>
    <xf numFmtId="171" fontId="7" fillId="6" borderId="77" xfId="0" applyNumberFormat="1" applyFont="1" applyFill="1" applyBorder="1"/>
    <xf numFmtId="171" fontId="7" fillId="6" borderId="64" xfId="0" applyNumberFormat="1" applyFont="1" applyFill="1" applyBorder="1"/>
    <xf numFmtId="0" fontId="7" fillId="0" borderId="127" xfId="0" applyFont="1" applyBorder="1" applyAlignment="1">
      <alignment horizontal="center" vertical="center"/>
    </xf>
    <xf numFmtId="0" fontId="7" fillId="0" borderId="128" xfId="0" applyFont="1" applyBorder="1" applyAlignment="1">
      <alignment vertical="center"/>
    </xf>
    <xf numFmtId="0" fontId="7" fillId="0" borderId="129" xfId="0" applyFont="1" applyBorder="1" applyAlignment="1">
      <alignment horizontal="center" vertical="center" wrapText="1"/>
    </xf>
    <xf numFmtId="0" fontId="7" fillId="0" borderId="130" xfId="0" applyFont="1" applyBorder="1" applyAlignment="1">
      <alignment horizontal="left" vertical="center"/>
    </xf>
    <xf numFmtId="0" fontId="7" fillId="6" borderId="131" xfId="0" applyFont="1" applyFill="1" applyBorder="1" applyAlignment="1">
      <alignment horizontal="center" vertical="center" wrapText="1"/>
    </xf>
    <xf numFmtId="0" fontId="11" fillId="0" borderId="132" xfId="0" applyFont="1" applyBorder="1" applyAlignment="1">
      <alignment horizontal="left"/>
    </xf>
    <xf numFmtId="0" fontId="7" fillId="6" borderId="133" xfId="0" applyFont="1" applyFill="1" applyBorder="1" applyAlignment="1">
      <alignment horizontal="center"/>
    </xf>
    <xf numFmtId="170" fontId="7" fillId="0" borderId="0" xfId="0" applyNumberFormat="1" applyFont="1" applyAlignment="1">
      <alignment horizontal="center"/>
    </xf>
    <xf numFmtId="0" fontId="7" fillId="0" borderId="0" xfId="0" applyFont="1" applyAlignment="1">
      <alignment horizontal="center"/>
    </xf>
    <xf numFmtId="0" fontId="7" fillId="6" borderId="134" xfId="0" applyFont="1" applyFill="1" applyBorder="1" applyAlignment="1">
      <alignment horizontal="center"/>
    </xf>
    <xf numFmtId="171" fontId="11" fillId="0" borderId="0" xfId="0" applyNumberFormat="1" applyFont="1" applyAlignment="1">
      <alignment horizontal="center"/>
    </xf>
    <xf numFmtId="171" fontId="11" fillId="6" borderId="134" xfId="0" applyNumberFormat="1" applyFont="1" applyFill="1" applyBorder="1" applyAlignment="1">
      <alignment horizontal="center"/>
    </xf>
    <xf numFmtId="171" fontId="11" fillId="0" borderId="0" xfId="0" applyNumberFormat="1" applyFont="1"/>
    <xf numFmtId="171" fontId="11" fillId="6" borderId="134" xfId="0" applyNumberFormat="1" applyFont="1" applyFill="1" applyBorder="1"/>
    <xf numFmtId="172" fontId="11" fillId="0" borderId="0" xfId="0" applyNumberFormat="1" applyFont="1"/>
    <xf numFmtId="172" fontId="11" fillId="6" borderId="134" xfId="0" applyNumberFormat="1" applyFont="1" applyFill="1" applyBorder="1"/>
    <xf numFmtId="171" fontId="7" fillId="6" borderId="135" xfId="0" applyNumberFormat="1" applyFont="1" applyFill="1" applyBorder="1" applyAlignment="1">
      <alignment vertical="top"/>
    </xf>
    <xf numFmtId="171" fontId="11" fillId="6" borderId="134" xfId="1" applyNumberFormat="1" applyFont="1" applyFill="1" applyBorder="1" applyProtection="1"/>
    <xf numFmtId="171" fontId="7" fillId="6" borderId="135" xfId="0" applyNumberFormat="1" applyFont="1" applyFill="1" applyBorder="1"/>
    <xf numFmtId="171" fontId="7" fillId="6" borderId="136" xfId="0" applyNumberFormat="1" applyFont="1" applyFill="1" applyBorder="1"/>
    <xf numFmtId="0" fontId="11" fillId="0" borderId="0" xfId="0" applyFont="1"/>
    <xf numFmtId="0" fontId="11" fillId="6" borderId="0" xfId="0" applyFont="1" applyFill="1"/>
    <xf numFmtId="0" fontId="11" fillId="6" borderId="137" xfId="0" applyFont="1" applyFill="1" applyBorder="1"/>
    <xf numFmtId="0" fontId="11" fillId="0" borderId="138" xfId="0" applyFont="1" applyBorder="1" applyAlignment="1">
      <alignment horizontal="left"/>
    </xf>
    <xf numFmtId="0" fontId="11" fillId="0" borderId="139" xfId="0" applyFont="1" applyBorder="1"/>
    <xf numFmtId="0" fontId="11" fillId="6" borderId="139" xfId="0" applyFont="1" applyFill="1" applyBorder="1"/>
    <xf numFmtId="0" fontId="11" fillId="6" borderId="140" xfId="0" applyFont="1" applyFill="1" applyBorder="1"/>
    <xf numFmtId="0" fontId="59" fillId="36" borderId="126" xfId="0" applyFont="1" applyFill="1" applyBorder="1"/>
    <xf numFmtId="164" fontId="11" fillId="6" borderId="128" xfId="1" applyNumberFormat="1" applyFont="1" applyFill="1" applyBorder="1" applyAlignment="1">
      <alignment horizontal="center"/>
    </xf>
    <xf numFmtId="164" fontId="11" fillId="6" borderId="141" xfId="1" applyNumberFormat="1" applyFont="1" applyFill="1" applyBorder="1"/>
    <xf numFmtId="0" fontId="59" fillId="36" borderId="0" xfId="0" applyFont="1" applyFill="1"/>
    <xf numFmtId="0" fontId="16" fillId="6" borderId="139" xfId="0" applyFont="1" applyFill="1" applyBorder="1" applyAlignment="1">
      <alignment horizontal="center" vertical="center" wrapText="1"/>
    </xf>
    <xf numFmtId="0" fontId="7" fillId="6" borderId="139" xfId="0" applyFont="1" applyFill="1" applyBorder="1" applyAlignment="1">
      <alignment horizontal="center" vertical="center" wrapText="1"/>
    </xf>
    <xf numFmtId="0" fontId="7" fillId="6" borderId="139" xfId="0" applyFont="1" applyFill="1" applyBorder="1" applyAlignment="1">
      <alignment horizontal="left" vertical="center"/>
    </xf>
    <xf numFmtId="171" fontId="11" fillId="28" borderId="142" xfId="0" applyNumberFormat="1" applyFont="1" applyFill="1" applyBorder="1"/>
    <xf numFmtId="0" fontId="77" fillId="36" borderId="143" xfId="0" applyFont="1" applyFill="1" applyBorder="1"/>
    <xf numFmtId="0" fontId="50" fillId="18" borderId="23" xfId="0" applyFont="1" applyFill="1" applyBorder="1"/>
    <xf numFmtId="169" fontId="12" fillId="11" borderId="144" xfId="2" applyNumberFormat="1" applyFont="1" applyFill="1" applyBorder="1" applyAlignment="1" applyProtection="1">
      <alignment horizontal="left" vertical="center"/>
    </xf>
    <xf numFmtId="169" fontId="12" fillId="11" borderId="145" xfId="2" applyNumberFormat="1" applyFont="1" applyFill="1" applyBorder="1" applyAlignment="1" applyProtection="1">
      <alignment horizontal="left" vertical="center"/>
    </xf>
    <xf numFmtId="169" fontId="12" fillId="11" borderId="146" xfId="2" applyNumberFormat="1" applyFont="1" applyFill="1" applyBorder="1" applyAlignment="1" applyProtection="1">
      <alignment horizontal="left" vertical="center"/>
    </xf>
    <xf numFmtId="169" fontId="12" fillId="11" borderId="147" xfId="2" applyNumberFormat="1" applyFont="1" applyFill="1" applyBorder="1" applyAlignment="1" applyProtection="1">
      <alignment horizontal="left" vertical="center"/>
    </xf>
    <xf numFmtId="169" fontId="12" fillId="11" borderId="148" xfId="2" applyNumberFormat="1" applyFont="1" applyFill="1" applyBorder="1" applyAlignment="1" applyProtection="1">
      <alignment horizontal="left" vertical="center"/>
    </xf>
    <xf numFmtId="169" fontId="12" fillId="11" borderId="149" xfId="2" applyNumberFormat="1" applyFont="1" applyFill="1" applyBorder="1" applyAlignment="1" applyProtection="1">
      <alignment horizontal="left" vertical="center"/>
    </xf>
    <xf numFmtId="169" fontId="12" fillId="4" borderId="144" xfId="2" applyNumberFormat="1" applyFont="1" applyFill="1" applyBorder="1" applyAlignment="1" applyProtection="1">
      <alignment horizontal="left" vertical="center"/>
    </xf>
    <xf numFmtId="169" fontId="12" fillId="4" borderId="145" xfId="2" applyNumberFormat="1" applyFont="1" applyFill="1" applyBorder="1" applyAlignment="1" applyProtection="1">
      <alignment horizontal="left" vertical="center"/>
    </xf>
    <xf numFmtId="169" fontId="12" fillId="4" borderId="146" xfId="2" applyNumberFormat="1" applyFont="1" applyFill="1" applyBorder="1" applyAlignment="1" applyProtection="1">
      <alignment horizontal="left" vertical="center"/>
    </xf>
    <xf numFmtId="169" fontId="12" fillId="4" borderId="147" xfId="2" applyNumberFormat="1" applyFont="1" applyFill="1" applyBorder="1" applyAlignment="1" applyProtection="1">
      <alignment horizontal="left" vertical="center"/>
    </xf>
    <xf numFmtId="169" fontId="12" fillId="4" borderId="148" xfId="2" applyNumberFormat="1" applyFont="1" applyFill="1" applyBorder="1" applyAlignment="1" applyProtection="1">
      <alignment horizontal="left" vertical="center"/>
    </xf>
    <xf numFmtId="169" fontId="12" fillId="4" borderId="149" xfId="2" applyNumberFormat="1" applyFont="1" applyFill="1" applyBorder="1" applyAlignment="1" applyProtection="1">
      <alignment horizontal="left" vertical="center"/>
    </xf>
    <xf numFmtId="169" fontId="89" fillId="4" borderId="150" xfId="2" applyNumberFormat="1" applyFont="1" applyFill="1" applyBorder="1" applyAlignment="1" applyProtection="1">
      <alignment horizontal="left" vertical="center"/>
    </xf>
    <xf numFmtId="0" fontId="7" fillId="4" borderId="151" xfId="0" applyFont="1" applyFill="1" applyBorder="1" applyAlignment="1">
      <alignment horizontal="center" vertical="center" wrapText="1"/>
    </xf>
    <xf numFmtId="169" fontId="89" fillId="4" borderId="152" xfId="2" applyNumberFormat="1" applyFont="1" applyFill="1" applyBorder="1" applyAlignment="1" applyProtection="1">
      <alignment horizontal="left" vertical="center"/>
    </xf>
    <xf numFmtId="0" fontId="7" fillId="4" borderId="153" xfId="0" applyFont="1" applyFill="1" applyBorder="1" applyAlignment="1">
      <alignment horizontal="center" vertical="center" wrapText="1"/>
    </xf>
    <xf numFmtId="0" fontId="89" fillId="4" borderId="154" xfId="0" applyFont="1" applyFill="1" applyBorder="1" applyAlignment="1">
      <alignment horizontal="left" vertical="center"/>
    </xf>
    <xf numFmtId="0" fontId="7" fillId="4" borderId="155" xfId="0" applyFont="1" applyFill="1" applyBorder="1" applyAlignment="1">
      <alignment horizontal="center" vertical="center" wrapText="1"/>
    </xf>
    <xf numFmtId="164" fontId="11" fillId="4" borderId="4" xfId="1" applyNumberFormat="1" applyFont="1" applyFill="1" applyBorder="1" applyAlignment="1">
      <alignment vertical="center"/>
    </xf>
    <xf numFmtId="164" fontId="112" fillId="6" borderId="0" xfId="5" applyNumberFormat="1" applyFont="1" applyFill="1" applyBorder="1" applyAlignment="1">
      <alignment horizontal="center" vertical="center" wrapText="1"/>
    </xf>
    <xf numFmtId="164" fontId="113" fillId="6" borderId="0" xfId="1" applyNumberFormat="1" applyFont="1" applyFill="1" applyBorder="1" applyAlignment="1">
      <alignment horizontal="right" vertical="center" wrapText="1"/>
    </xf>
    <xf numFmtId="0" fontId="88" fillId="6" borderId="0" xfId="0" applyFont="1" applyFill="1" applyAlignment="1">
      <alignment horizontal="center" vertical="center"/>
    </xf>
    <xf numFmtId="164" fontId="112" fillId="6" borderId="153" xfId="5" applyNumberFormat="1" applyFont="1" applyFill="1" applyBorder="1" applyAlignment="1">
      <alignment horizontal="center" vertical="center" wrapText="1"/>
    </xf>
    <xf numFmtId="164" fontId="113" fillId="6" borderId="153" xfId="1" applyNumberFormat="1" applyFont="1" applyFill="1" applyBorder="1" applyAlignment="1">
      <alignment horizontal="right" vertical="center" wrapText="1"/>
    </xf>
    <xf numFmtId="0" fontId="88" fillId="6" borderId="153" xfId="0" applyFont="1" applyFill="1" applyBorder="1" applyAlignment="1">
      <alignment horizontal="center" vertical="center"/>
    </xf>
    <xf numFmtId="0" fontId="88" fillId="6" borderId="155" xfId="0" applyFont="1" applyFill="1" applyBorder="1" applyAlignment="1">
      <alignment horizontal="center" vertical="center"/>
    </xf>
    <xf numFmtId="164" fontId="125" fillId="6" borderId="153" xfId="5" applyNumberFormat="1" applyFont="1" applyFill="1" applyBorder="1" applyAlignment="1">
      <alignment horizontal="center" vertical="center" wrapText="1"/>
    </xf>
    <xf numFmtId="164" fontId="125" fillId="6" borderId="155" xfId="5" applyNumberFormat="1" applyFont="1" applyFill="1" applyBorder="1" applyAlignment="1">
      <alignment horizontal="center" vertical="center" wrapText="1"/>
    </xf>
    <xf numFmtId="0" fontId="88" fillId="6" borderId="139" xfId="0" applyFont="1" applyFill="1" applyBorder="1" applyAlignment="1">
      <alignment horizontal="center" vertical="center"/>
    </xf>
    <xf numFmtId="0" fontId="88" fillId="6" borderId="140" xfId="0" applyFont="1" applyFill="1" applyBorder="1" applyAlignment="1">
      <alignment horizontal="center" vertical="center"/>
    </xf>
    <xf numFmtId="0" fontId="88" fillId="6" borderId="152" xfId="0" applyFont="1" applyFill="1" applyBorder="1" applyAlignment="1">
      <alignment horizontal="center" vertical="center"/>
    </xf>
    <xf numFmtId="164" fontId="112" fillId="6" borderId="137" xfId="5" applyNumberFormat="1" applyFont="1" applyFill="1" applyBorder="1" applyAlignment="1">
      <alignment horizontal="center" vertical="center" wrapText="1"/>
    </xf>
    <xf numFmtId="164" fontId="113" fillId="6" borderId="137" xfId="1" applyNumberFormat="1" applyFont="1" applyFill="1" applyBorder="1" applyAlignment="1">
      <alignment horizontal="right" vertical="center" wrapText="1"/>
    </xf>
    <xf numFmtId="0" fontId="92" fillId="6" borderId="156" xfId="0" applyFont="1" applyFill="1" applyBorder="1" applyAlignment="1">
      <alignment horizontal="center" vertical="center" wrapText="1"/>
    </xf>
    <xf numFmtId="0" fontId="92" fillId="6" borderId="157" xfId="0" applyFont="1" applyFill="1" applyBorder="1" applyAlignment="1">
      <alignment horizontal="center" vertical="center" wrapText="1"/>
    </xf>
    <xf numFmtId="0" fontId="92" fillId="6" borderId="158" xfId="0" applyFont="1" applyFill="1" applyBorder="1" applyAlignment="1">
      <alignment horizontal="center" vertical="center" wrapText="1"/>
    </xf>
    <xf numFmtId="0" fontId="92" fillId="6" borderId="107" xfId="0" applyFont="1" applyFill="1" applyBorder="1" applyAlignment="1">
      <alignment horizontal="center" vertical="center" wrapText="1"/>
    </xf>
    <xf numFmtId="0" fontId="92" fillId="6" borderId="110" xfId="0" applyFont="1" applyFill="1" applyBorder="1" applyAlignment="1">
      <alignment horizontal="center" vertical="center" wrapText="1"/>
    </xf>
    <xf numFmtId="0" fontId="92" fillId="6" borderId="105" xfId="0" applyFont="1" applyFill="1" applyBorder="1" applyAlignment="1">
      <alignment horizontal="center" vertical="center" wrapText="1"/>
    </xf>
    <xf numFmtId="0" fontId="97" fillId="16" borderId="0" xfId="0" applyFont="1" applyFill="1"/>
    <xf numFmtId="164" fontId="68" fillId="16" borderId="0" xfId="0" applyNumberFormat="1" applyFont="1" applyFill="1"/>
    <xf numFmtId="0" fontId="92" fillId="4" borderId="159" xfId="0" applyFont="1" applyFill="1" applyBorder="1" applyAlignment="1">
      <alignment horizontal="center" vertical="center" wrapText="1"/>
    </xf>
    <xf numFmtId="0" fontId="52" fillId="6" borderId="137" xfId="0" applyFont="1" applyFill="1" applyBorder="1"/>
    <xf numFmtId="0" fontId="52" fillId="6" borderId="152" xfId="0" applyFont="1" applyFill="1" applyBorder="1"/>
    <xf numFmtId="0" fontId="67" fillId="6" borderId="152" xfId="0" applyFont="1" applyFill="1" applyBorder="1"/>
    <xf numFmtId="0" fontId="123" fillId="6" borderId="152" xfId="0" applyFont="1" applyFill="1" applyBorder="1"/>
    <xf numFmtId="0" fontId="52" fillId="6" borderId="154" xfId="0" applyFont="1" applyFill="1" applyBorder="1"/>
    <xf numFmtId="0" fontId="52" fillId="6" borderId="139" xfId="0" applyFont="1" applyFill="1" applyBorder="1"/>
    <xf numFmtId="0" fontId="52" fillId="6" borderId="140" xfId="0" applyFont="1" applyFill="1" applyBorder="1"/>
    <xf numFmtId="0" fontId="67" fillId="10" borderId="0" xfId="0" applyFont="1" applyFill="1"/>
    <xf numFmtId="0" fontId="123" fillId="10" borderId="0" xfId="0" applyFont="1" applyFill="1"/>
    <xf numFmtId="0" fontId="52" fillId="6" borderId="106" xfId="0" applyFont="1" applyFill="1" applyBorder="1"/>
    <xf numFmtId="0" fontId="52" fillId="6" borderId="108" xfId="0" applyFont="1" applyFill="1" applyBorder="1"/>
    <xf numFmtId="0" fontId="52" fillId="6" borderId="107" xfId="0" applyFont="1" applyFill="1" applyBorder="1"/>
    <xf numFmtId="0" fontId="52" fillId="6" borderId="109" xfId="0" applyFont="1" applyFill="1" applyBorder="1"/>
    <xf numFmtId="0" fontId="52" fillId="6" borderId="110" xfId="0" applyFont="1" applyFill="1" applyBorder="1"/>
    <xf numFmtId="0" fontId="67" fillId="6" borderId="109" xfId="0" applyFont="1" applyFill="1" applyBorder="1"/>
    <xf numFmtId="0" fontId="67" fillId="6" borderId="110" xfId="0" applyFont="1" applyFill="1" applyBorder="1"/>
    <xf numFmtId="0" fontId="123" fillId="6" borderId="109" xfId="0" applyFont="1" applyFill="1" applyBorder="1"/>
    <xf numFmtId="0" fontId="123" fillId="6" borderId="110" xfId="0" applyFont="1" applyFill="1" applyBorder="1"/>
    <xf numFmtId="0" fontId="52" fillId="6" borderId="104" xfId="0" applyFont="1" applyFill="1" applyBorder="1"/>
    <xf numFmtId="0" fontId="52" fillId="6" borderId="111" xfId="0" applyFont="1" applyFill="1" applyBorder="1"/>
    <xf numFmtId="0" fontId="52" fillId="6" borderId="105" xfId="0" applyFont="1" applyFill="1" applyBorder="1"/>
    <xf numFmtId="0" fontId="49" fillId="6" borderId="110" xfId="0" applyFont="1" applyFill="1" applyBorder="1"/>
    <xf numFmtId="0" fontId="49" fillId="6" borderId="109" xfId="0" applyFont="1" applyFill="1" applyBorder="1"/>
    <xf numFmtId="0" fontId="107" fillId="6" borderId="110" xfId="0" applyFont="1" applyFill="1" applyBorder="1"/>
    <xf numFmtId="0" fontId="49" fillId="6" borderId="111" xfId="0" applyFont="1" applyFill="1" applyBorder="1"/>
    <xf numFmtId="0" fontId="0" fillId="6" borderId="106" xfId="0" applyFill="1" applyBorder="1"/>
    <xf numFmtId="0" fontId="0" fillId="6" borderId="108" xfId="0" applyFill="1" applyBorder="1"/>
    <xf numFmtId="0" fontId="0" fillId="6" borderId="107" xfId="0" applyFill="1" applyBorder="1"/>
    <xf numFmtId="0" fontId="0" fillId="6" borderId="109" xfId="0" applyFill="1" applyBorder="1"/>
    <xf numFmtId="169" fontId="89" fillId="6" borderId="152" xfId="2" applyNumberFormat="1" applyFont="1" applyFill="1" applyBorder="1" applyAlignment="1" applyProtection="1">
      <alignment horizontal="left" vertical="center"/>
    </xf>
    <xf numFmtId="0" fontId="7" fillId="6" borderId="153" xfId="0" applyFont="1" applyFill="1" applyBorder="1" applyAlignment="1">
      <alignment horizontal="center" vertical="center" wrapText="1"/>
    </xf>
    <xf numFmtId="0" fontId="52" fillId="10" borderId="0" xfId="0" applyFont="1" applyFill="1" applyAlignment="1">
      <alignment horizontal="center"/>
    </xf>
    <xf numFmtId="0" fontId="62" fillId="37" borderId="137" xfId="0" applyFont="1" applyFill="1" applyBorder="1" applyAlignment="1">
      <alignment vertical="center" wrapText="1"/>
    </xf>
    <xf numFmtId="0" fontId="124" fillId="6" borderId="160" xfId="0" applyFont="1" applyFill="1" applyBorder="1"/>
    <xf numFmtId="0" fontId="123" fillId="6" borderId="161" xfId="0" applyFont="1" applyFill="1" applyBorder="1"/>
    <xf numFmtId="0" fontId="124" fillId="6" borderId="162" xfId="0" applyFont="1" applyFill="1" applyBorder="1"/>
    <xf numFmtId="0" fontId="123" fillId="4" borderId="110" xfId="0" applyFont="1" applyFill="1" applyBorder="1"/>
    <xf numFmtId="0" fontId="124" fillId="6" borderId="163" xfId="0" applyFont="1" applyFill="1" applyBorder="1"/>
    <xf numFmtId="0" fontId="123" fillId="4" borderId="111" xfId="0" applyFont="1" applyFill="1" applyBorder="1"/>
    <xf numFmtId="0" fontId="123" fillId="4" borderId="105" xfId="0" applyFont="1" applyFill="1" applyBorder="1"/>
    <xf numFmtId="0" fontId="49" fillId="28" borderId="164" xfId="0" applyFont="1" applyFill="1" applyBorder="1" applyAlignment="1">
      <alignment vertical="center" wrapText="1"/>
    </xf>
    <xf numFmtId="0" fontId="126" fillId="0" borderId="0" xfId="0" applyFont="1"/>
    <xf numFmtId="0" fontId="107" fillId="6" borderId="111" xfId="0" applyFont="1" applyFill="1" applyBorder="1"/>
    <xf numFmtId="0" fontId="49" fillId="6" borderId="109" xfId="0" applyFont="1" applyFill="1" applyBorder="1" applyAlignment="1">
      <alignment horizontal="left"/>
    </xf>
    <xf numFmtId="0" fontId="127" fillId="0" borderId="109" xfId="0" applyFont="1" applyBorder="1" applyAlignment="1">
      <alignment horizontal="left"/>
    </xf>
    <xf numFmtId="0" fontId="49" fillId="6" borderId="104" xfId="0" applyFont="1" applyFill="1" applyBorder="1" applyAlignment="1">
      <alignment horizontal="left"/>
    </xf>
    <xf numFmtId="0" fontId="49" fillId="6" borderId="0" xfId="0" applyFont="1" applyFill="1" applyAlignment="1">
      <alignment horizontal="left"/>
    </xf>
    <xf numFmtId="0" fontId="124" fillId="6" borderId="106" xfId="0" applyFont="1" applyFill="1" applyBorder="1"/>
    <xf numFmtId="0" fontId="124" fillId="6" borderId="108" xfId="0" applyFont="1" applyFill="1" applyBorder="1"/>
    <xf numFmtId="0" fontId="124" fillId="6" borderId="107" xfId="0" applyFont="1" applyFill="1" applyBorder="1"/>
    <xf numFmtId="0" fontId="32" fillId="6" borderId="108" xfId="3" quotePrefix="1" applyFill="1" applyBorder="1" applyAlignment="1">
      <alignment horizontal="left"/>
    </xf>
    <xf numFmtId="0" fontId="52" fillId="6" borderId="107" xfId="0" applyFont="1" applyFill="1" applyBorder="1" applyAlignment="1">
      <alignment horizontal="left"/>
    </xf>
    <xf numFmtId="0" fontId="123" fillId="6" borderId="104" xfId="0" applyFont="1" applyFill="1" applyBorder="1" applyAlignment="1">
      <alignment horizontal="left"/>
    </xf>
    <xf numFmtId="0" fontId="62" fillId="38" borderId="165" xfId="0" applyFont="1" applyFill="1" applyBorder="1" applyAlignment="1">
      <alignment horizontal="center" vertical="center" wrapText="1"/>
    </xf>
    <xf numFmtId="0" fontId="54" fillId="6" borderId="108" xfId="0" applyFont="1" applyFill="1" applyBorder="1"/>
    <xf numFmtId="0" fontId="52" fillId="6" borderId="22" xfId="0" applyFont="1" applyFill="1" applyBorder="1"/>
    <xf numFmtId="0" fontId="52" fillId="39" borderId="0" xfId="0" applyFont="1" applyFill="1"/>
    <xf numFmtId="0" fontId="52" fillId="6" borderId="21" xfId="0" applyFont="1" applyFill="1" applyBorder="1"/>
    <xf numFmtId="0" fontId="92" fillId="35" borderId="108" xfId="0" applyFont="1" applyFill="1" applyBorder="1" applyAlignment="1">
      <alignment horizontal="center" vertical="center" wrapText="1"/>
    </xf>
    <xf numFmtId="0" fontId="128" fillId="10" borderId="0" xfId="0" applyFont="1" applyFill="1"/>
    <xf numFmtId="0" fontId="64" fillId="6" borderId="109" xfId="0" applyFont="1" applyFill="1" applyBorder="1"/>
    <xf numFmtId="0" fontId="64" fillId="6" borderId="110" xfId="0" applyFont="1" applyFill="1" applyBorder="1"/>
    <xf numFmtId="0" fontId="107" fillId="6" borderId="24" xfId="0" applyFont="1" applyFill="1" applyBorder="1"/>
    <xf numFmtId="0" fontId="92" fillId="11" borderId="1" xfId="0" applyFont="1" applyFill="1" applyBorder="1" applyAlignment="1">
      <alignment horizontal="center" vertical="center" wrapText="1"/>
    </xf>
    <xf numFmtId="0" fontId="64" fillId="6" borderId="24" xfId="0" applyFont="1" applyFill="1" applyBorder="1"/>
    <xf numFmtId="0" fontId="64" fillId="6" borderId="21" xfId="0" applyFont="1" applyFill="1" applyBorder="1"/>
    <xf numFmtId="164" fontId="64" fillId="6" borderId="1" xfId="0" applyNumberFormat="1" applyFont="1" applyFill="1" applyBorder="1"/>
    <xf numFmtId="0" fontId="129" fillId="6" borderId="110" xfId="0" applyFont="1" applyFill="1" applyBorder="1" applyAlignment="1">
      <alignment horizontal="center"/>
    </xf>
    <xf numFmtId="0" fontId="129" fillId="6" borderId="21" xfId="0" applyFont="1" applyFill="1" applyBorder="1" applyAlignment="1">
      <alignment horizontal="center"/>
    </xf>
    <xf numFmtId="0" fontId="64" fillId="6" borderId="109" xfId="0" applyFont="1" applyFill="1" applyBorder="1" applyAlignment="1">
      <alignment wrapText="1"/>
    </xf>
    <xf numFmtId="0" fontId="92" fillId="6" borderId="1" xfId="0" applyFont="1" applyFill="1" applyBorder="1"/>
    <xf numFmtId="0" fontId="64" fillId="12" borderId="1" xfId="0" applyFont="1" applyFill="1" applyBorder="1"/>
    <xf numFmtId="0" fontId="64" fillId="6" borderId="24" xfId="0" applyFont="1" applyFill="1" applyBorder="1" applyAlignment="1">
      <alignment wrapText="1"/>
    </xf>
    <xf numFmtId="9" fontId="64" fillId="14" borderId="1" xfId="6" applyFont="1" applyFill="1" applyBorder="1" applyAlignment="1" applyProtection="1">
      <alignment horizontal="center"/>
      <protection locked="0"/>
    </xf>
    <xf numFmtId="164" fontId="92" fillId="6" borderId="1" xfId="0" applyNumberFormat="1" applyFont="1" applyFill="1" applyBorder="1"/>
    <xf numFmtId="164" fontId="92" fillId="6" borderId="0" xfId="0" applyNumberFormat="1" applyFont="1" applyFill="1"/>
    <xf numFmtId="164" fontId="130" fillId="0" borderId="0" xfId="0" applyNumberFormat="1" applyFont="1"/>
    <xf numFmtId="164" fontId="49" fillId="6" borderId="0" xfId="0" applyNumberFormat="1" applyFont="1" applyFill="1"/>
    <xf numFmtId="167" fontId="107" fillId="6" borderId="1" xfId="6" applyNumberFormat="1" applyFont="1" applyFill="1" applyBorder="1" applyProtection="1"/>
    <xf numFmtId="0" fontId="52" fillId="6" borderId="25" xfId="0" applyFont="1" applyFill="1" applyBorder="1"/>
    <xf numFmtId="0" fontId="52" fillId="6" borderId="14" xfId="0" applyFont="1" applyFill="1" applyBorder="1"/>
    <xf numFmtId="0" fontId="52" fillId="6" borderId="26" xfId="0" applyFont="1" applyFill="1" applyBorder="1"/>
    <xf numFmtId="0" fontId="52" fillId="10" borderId="14" xfId="0" applyFont="1" applyFill="1" applyBorder="1"/>
    <xf numFmtId="0" fontId="54" fillId="10" borderId="0" xfId="0" applyFont="1" applyFill="1"/>
    <xf numFmtId="0" fontId="64" fillId="6" borderId="108" xfId="0" applyFont="1" applyFill="1" applyBorder="1"/>
    <xf numFmtId="0" fontId="92" fillId="6" borderId="0" xfId="0" applyFont="1" applyFill="1" applyAlignment="1">
      <alignment horizontal="center" vertical="center" wrapText="1"/>
    </xf>
    <xf numFmtId="0" fontId="64" fillId="4" borderId="111" xfId="0" applyFont="1" applyFill="1" applyBorder="1"/>
    <xf numFmtId="0" fontId="64" fillId="4" borderId="111" xfId="0" applyFont="1" applyFill="1" applyBorder="1" applyAlignment="1">
      <alignment horizontal="center"/>
    </xf>
    <xf numFmtId="0" fontId="64" fillId="4" borderId="105" xfId="0" applyFont="1" applyFill="1" applyBorder="1"/>
    <xf numFmtId="0" fontId="64" fillId="6" borderId="106" xfId="0" applyFont="1" applyFill="1" applyBorder="1"/>
    <xf numFmtId="0" fontId="64" fillId="6" borderId="108" xfId="0" applyFont="1" applyFill="1" applyBorder="1" applyAlignment="1">
      <alignment horizontal="center"/>
    </xf>
    <xf numFmtId="0" fontId="64" fillId="6" borderId="107" xfId="0" applyFont="1" applyFill="1" applyBorder="1"/>
    <xf numFmtId="0" fontId="64" fillId="6" borderId="110" xfId="0" applyFont="1" applyFill="1" applyBorder="1" applyAlignment="1">
      <alignment horizontal="center"/>
    </xf>
    <xf numFmtId="0" fontId="64" fillId="6" borderId="104" xfId="0" applyFont="1" applyFill="1" applyBorder="1"/>
    <xf numFmtId="0" fontId="64" fillId="6" borderId="105" xfId="0" applyFont="1" applyFill="1" applyBorder="1" applyAlignment="1">
      <alignment horizontal="center"/>
    </xf>
    <xf numFmtId="0" fontId="64" fillId="4" borderId="104" xfId="0" applyFont="1" applyFill="1" applyBorder="1"/>
    <xf numFmtId="0" fontId="64" fillId="6" borderId="111" xfId="0" applyFont="1" applyFill="1" applyBorder="1"/>
    <xf numFmtId="0" fontId="92" fillId="4" borderId="166" xfId="0" applyFont="1" applyFill="1" applyBorder="1" applyAlignment="1">
      <alignment horizontal="center" vertical="center" wrapText="1"/>
    </xf>
    <xf numFmtId="164" fontId="125" fillId="6" borderId="152" xfId="5" applyNumberFormat="1" applyFont="1" applyFill="1" applyBorder="1" applyAlignment="1">
      <alignment horizontal="center" vertical="center" wrapText="1"/>
    </xf>
    <xf numFmtId="0" fontId="92" fillId="4" borderId="164" xfId="0" applyFont="1" applyFill="1" applyBorder="1" applyAlignment="1">
      <alignment horizontal="center" vertical="center" wrapText="1"/>
    </xf>
    <xf numFmtId="0" fontId="64" fillId="6" borderId="0" xfId="0" applyFont="1" applyFill="1" applyAlignment="1">
      <alignment horizontal="center" vertical="center"/>
    </xf>
    <xf numFmtId="0" fontId="64" fillId="6" borderId="109" xfId="0" applyFont="1" applyFill="1" applyBorder="1" applyAlignment="1">
      <alignment horizontal="center" vertical="center"/>
    </xf>
    <xf numFmtId="0" fontId="64" fillId="6" borderId="110" xfId="0" applyFont="1" applyFill="1" applyBorder="1" applyAlignment="1">
      <alignment horizontal="center" vertical="center"/>
    </xf>
    <xf numFmtId="0" fontId="64" fillId="16" borderId="0" xfId="0" applyFont="1" applyFill="1" applyAlignment="1">
      <alignment horizontal="center" vertical="center"/>
    </xf>
    <xf numFmtId="0" fontId="52" fillId="6" borderId="0" xfId="0" applyFont="1" applyFill="1" applyAlignment="1">
      <alignment horizontal="center"/>
    </xf>
    <xf numFmtId="0" fontId="95" fillId="6" borderId="164" xfId="0" applyFont="1" applyFill="1" applyBorder="1" applyAlignment="1">
      <alignment vertical="center"/>
    </xf>
    <xf numFmtId="0" fontId="52" fillId="11" borderId="167" xfId="0" applyFont="1" applyFill="1" applyBorder="1"/>
    <xf numFmtId="0" fontId="52" fillId="11" borderId="109" xfId="0" applyFont="1" applyFill="1" applyBorder="1"/>
    <xf numFmtId="0" fontId="52" fillId="11" borderId="104" xfId="0" applyFont="1" applyFill="1" applyBorder="1"/>
    <xf numFmtId="0" fontId="52" fillId="11" borderId="111" xfId="0" applyFont="1" applyFill="1" applyBorder="1"/>
    <xf numFmtId="0" fontId="52" fillId="10" borderId="111" xfId="0" applyFont="1" applyFill="1" applyBorder="1"/>
    <xf numFmtId="0" fontId="6" fillId="15" borderId="108" xfId="0" applyFont="1" applyFill="1" applyBorder="1"/>
    <xf numFmtId="0" fontId="11" fillId="0" borderId="110" xfId="0" applyFont="1" applyBorder="1" applyAlignment="1">
      <alignment horizontal="center"/>
    </xf>
    <xf numFmtId="43" fontId="64" fillId="16" borderId="0" xfId="1" applyFont="1" applyFill="1"/>
    <xf numFmtId="164" fontId="73" fillId="6" borderId="25" xfId="1" applyNumberFormat="1" applyFont="1" applyFill="1" applyBorder="1" applyAlignment="1">
      <alignment horizontal="center" vertical="center" wrapText="1"/>
    </xf>
    <xf numFmtId="164" fontId="13" fillId="6" borderId="20" xfId="1" applyNumberFormat="1" applyFont="1" applyFill="1" applyBorder="1" applyAlignment="1">
      <alignment horizontal="center" vertical="center" wrapText="1"/>
    </xf>
    <xf numFmtId="164" fontId="83" fillId="29" borderId="49" xfId="1" applyNumberFormat="1" applyFont="1" applyFill="1" applyBorder="1" applyAlignment="1">
      <alignment horizontal="center" vertical="center"/>
    </xf>
    <xf numFmtId="9" fontId="62" fillId="38" borderId="165" xfId="6" applyFont="1" applyFill="1" applyBorder="1" applyAlignment="1">
      <alignment horizontal="center" vertical="center" wrapText="1"/>
    </xf>
    <xf numFmtId="9" fontId="95" fillId="35" borderId="0" xfId="6" applyFont="1" applyFill="1" applyAlignment="1">
      <alignment horizontal="center" vertical="center" textRotation="90"/>
    </xf>
    <xf numFmtId="0" fontId="0" fillId="29" borderId="1" xfId="0" applyFill="1" applyBorder="1" applyAlignment="1">
      <alignment horizontal="center" vertical="center" wrapText="1"/>
    </xf>
    <xf numFmtId="0" fontId="64" fillId="20" borderId="0" xfId="0" applyFont="1" applyFill="1"/>
    <xf numFmtId="49" fontId="90" fillId="20" borderId="24" xfId="0" applyNumberFormat="1" applyFont="1" applyFill="1" applyBorder="1"/>
    <xf numFmtId="0" fontId="131" fillId="6" borderId="0" xfId="0" applyFont="1" applyFill="1"/>
    <xf numFmtId="0" fontId="132" fillId="6" borderId="0" xfId="0" applyFont="1" applyFill="1"/>
    <xf numFmtId="0" fontId="132" fillId="6" borderId="0" xfId="0" applyFont="1" applyFill="1" applyAlignment="1">
      <alignment horizontal="left"/>
    </xf>
    <xf numFmtId="0" fontId="117" fillId="20" borderId="24" xfId="0" quotePrefix="1" applyFont="1" applyFill="1" applyBorder="1"/>
    <xf numFmtId="164" fontId="5" fillId="20" borderId="1" xfId="5" applyNumberFormat="1" applyFont="1" applyFill="1" applyBorder="1" applyAlignment="1">
      <alignment horizontal="center"/>
    </xf>
    <xf numFmtId="171" fontId="5" fillId="0" borderId="57" xfId="0" applyNumberFormat="1" applyFont="1" applyBorder="1" applyAlignment="1">
      <alignment horizontal="center"/>
    </xf>
    <xf numFmtId="164" fontId="73" fillId="28" borderId="21" xfId="1" applyNumberFormat="1" applyFont="1" applyFill="1" applyBorder="1"/>
    <xf numFmtId="164" fontId="73" fillId="21" borderId="20" xfId="1" applyNumberFormat="1" applyFont="1" applyFill="1" applyBorder="1"/>
    <xf numFmtId="164" fontId="73" fillId="21" borderId="0" xfId="1" applyNumberFormat="1" applyFont="1" applyFill="1" applyBorder="1"/>
    <xf numFmtId="164" fontId="70" fillId="21" borderId="1" xfId="1" applyNumberFormat="1" applyFont="1" applyFill="1" applyBorder="1"/>
    <xf numFmtId="164" fontId="72" fillId="6" borderId="1" xfId="1" applyNumberFormat="1" applyFont="1" applyFill="1" applyBorder="1"/>
    <xf numFmtId="164" fontId="12" fillId="6" borderId="24" xfId="5" applyNumberFormat="1" applyFont="1" applyFill="1" applyBorder="1" applyAlignment="1">
      <alignment horizontal="center"/>
    </xf>
    <xf numFmtId="164" fontId="71" fillId="6" borderId="24" xfId="1" applyNumberFormat="1" applyFont="1" applyFill="1" applyBorder="1"/>
    <xf numFmtId="164" fontId="71" fillId="6" borderId="4" xfId="1" applyNumberFormat="1" applyFont="1" applyFill="1" applyBorder="1"/>
    <xf numFmtId="164" fontId="70" fillId="6" borderId="5" xfId="5" applyNumberFormat="1" applyFont="1" applyFill="1" applyBorder="1"/>
    <xf numFmtId="164" fontId="73" fillId="6" borderId="0" xfId="5" applyNumberFormat="1" applyFont="1" applyFill="1" applyBorder="1" applyAlignment="1">
      <alignment horizontal="center" vertical="center"/>
    </xf>
    <xf numFmtId="164" fontId="73" fillId="6" borderId="24" xfId="1" applyNumberFormat="1" applyFont="1" applyFill="1" applyBorder="1" applyAlignment="1">
      <alignment horizontal="center"/>
    </xf>
    <xf numFmtId="164" fontId="73" fillId="6" borderId="0" xfId="1" applyNumberFormat="1" applyFont="1" applyFill="1" applyBorder="1" applyAlignment="1">
      <alignment horizontal="center"/>
    </xf>
    <xf numFmtId="164" fontId="73" fillId="6" borderId="0" xfId="5" applyNumberFormat="1" applyFont="1" applyFill="1" applyBorder="1" applyAlignment="1">
      <alignment horizontal="center"/>
    </xf>
    <xf numFmtId="0" fontId="70" fillId="6" borderId="1" xfId="0" applyFont="1" applyFill="1" applyBorder="1" applyAlignment="1">
      <alignment horizontal="center" vertical="center"/>
    </xf>
    <xf numFmtId="0" fontId="67" fillId="20" borderId="0" xfId="0" applyFont="1" applyFill="1" applyAlignment="1">
      <alignment horizontal="center"/>
    </xf>
    <xf numFmtId="164" fontId="70" fillId="20" borderId="24" xfId="1" applyNumberFormat="1" applyFont="1" applyFill="1" applyBorder="1"/>
    <xf numFmtId="164" fontId="5" fillId="20" borderId="19" xfId="5" applyNumberFormat="1" applyFont="1" applyFill="1" applyBorder="1" applyAlignment="1">
      <alignment horizontal="center"/>
    </xf>
    <xf numFmtId="164" fontId="73" fillId="20" borderId="19" xfId="1" applyNumberFormat="1" applyFont="1" applyFill="1" applyBorder="1"/>
    <xf numFmtId="171" fontId="5" fillId="20" borderId="57" xfId="0" applyNumberFormat="1" applyFont="1" applyFill="1" applyBorder="1" applyAlignment="1">
      <alignment horizontal="center"/>
    </xf>
    <xf numFmtId="164" fontId="82" fillId="20" borderId="19" xfId="1" applyNumberFormat="1" applyFont="1" applyFill="1" applyBorder="1" applyAlignment="1"/>
    <xf numFmtId="164" fontId="71" fillId="20" borderId="0" xfId="1" applyNumberFormat="1" applyFont="1" applyFill="1" applyBorder="1"/>
    <xf numFmtId="164" fontId="71" fillId="20" borderId="19" xfId="1" applyNumberFormat="1" applyFont="1" applyFill="1" applyBorder="1"/>
    <xf numFmtId="164" fontId="72" fillId="20" borderId="21" xfId="1" applyNumberFormat="1" applyFont="1" applyFill="1" applyBorder="1"/>
    <xf numFmtId="0" fontId="70" fillId="20" borderId="0" xfId="0" applyFont="1" applyFill="1" applyAlignment="1">
      <alignment horizontal="center" vertical="center"/>
    </xf>
    <xf numFmtId="0" fontId="74" fillId="20" borderId="0" xfId="0" applyFont="1" applyFill="1"/>
    <xf numFmtId="0" fontId="69" fillId="20" borderId="0" xfId="0" applyFont="1" applyFill="1"/>
    <xf numFmtId="164" fontId="12" fillId="20" borderId="19" xfId="5" applyNumberFormat="1" applyFont="1" applyFill="1" applyBorder="1" applyAlignment="1">
      <alignment horizontal="center"/>
    </xf>
    <xf numFmtId="164" fontId="71" fillId="20" borderId="3" xfId="1" applyNumberFormat="1" applyFont="1" applyFill="1" applyBorder="1"/>
    <xf numFmtId="0" fontId="70" fillId="20" borderId="0" xfId="0" applyFont="1" applyFill="1"/>
    <xf numFmtId="164" fontId="12" fillId="0" borderId="19" xfId="5" applyNumberFormat="1" applyFont="1" applyFill="1" applyBorder="1" applyAlignment="1">
      <alignment horizontal="center"/>
    </xf>
    <xf numFmtId="164" fontId="82" fillId="0" borderId="19" xfId="1" applyNumberFormat="1" applyFont="1" applyFill="1" applyBorder="1" applyAlignment="1"/>
    <xf numFmtId="164" fontId="71" fillId="0" borderId="0" xfId="1" applyNumberFormat="1" applyFont="1" applyFill="1" applyBorder="1"/>
    <xf numFmtId="164" fontId="71" fillId="0" borderId="19" xfId="1" applyNumberFormat="1" applyFont="1" applyFill="1" applyBorder="1"/>
    <xf numFmtId="164" fontId="72" fillId="0" borderId="21" xfId="1" applyNumberFormat="1" applyFont="1" applyFill="1" applyBorder="1"/>
    <xf numFmtId="164" fontId="82" fillId="6" borderId="1" xfId="1" applyNumberFormat="1" applyFont="1" applyFill="1" applyBorder="1" applyAlignment="1"/>
    <xf numFmtId="164" fontId="73" fillId="28" borderId="1" xfId="1" applyNumberFormat="1" applyFont="1" applyFill="1" applyBorder="1"/>
    <xf numFmtId="0" fontId="11" fillId="0" borderId="192" xfId="0" applyFont="1" applyBorder="1" applyAlignment="1">
      <alignment horizontal="left"/>
    </xf>
    <xf numFmtId="0" fontId="11" fillId="0" borderId="19" xfId="0" applyFont="1" applyBorder="1" applyAlignment="1">
      <alignment horizontal="center" vertical="top"/>
    </xf>
    <xf numFmtId="171" fontId="7" fillId="0" borderId="19" xfId="0" applyNumberFormat="1" applyFont="1" applyBorder="1" applyAlignment="1">
      <alignment vertical="top"/>
    </xf>
    <xf numFmtId="171" fontId="7" fillId="6" borderId="19" xfId="0" applyNumberFormat="1" applyFont="1" applyFill="1" applyBorder="1" applyAlignment="1">
      <alignment vertical="top"/>
    </xf>
    <xf numFmtId="0" fontId="11" fillId="0" borderId="1" xfId="0" applyFont="1" applyBorder="1" applyAlignment="1">
      <alignment horizontal="center"/>
    </xf>
    <xf numFmtId="171" fontId="7" fillId="0" borderId="1" xfId="0" applyNumberFormat="1" applyFont="1" applyBorder="1"/>
    <xf numFmtId="171" fontId="7" fillId="6" borderId="1" xfId="0" applyNumberFormat="1" applyFont="1" applyFill="1" applyBorder="1"/>
    <xf numFmtId="172" fontId="11" fillId="0" borderId="1" xfId="0" applyNumberFormat="1" applyFont="1" applyBorder="1"/>
    <xf numFmtId="172" fontId="11" fillId="6" borderId="1" xfId="0" applyNumberFormat="1" applyFont="1" applyFill="1" applyBorder="1"/>
    <xf numFmtId="164" fontId="123" fillId="6" borderId="53" xfId="1" applyNumberFormat="1" applyFont="1" applyFill="1" applyBorder="1" applyAlignment="1">
      <alignment horizontal="center"/>
    </xf>
    <xf numFmtId="164" fontId="123" fillId="6" borderId="22" xfId="1" applyNumberFormat="1" applyFont="1" applyFill="1" applyBorder="1" applyAlignment="1">
      <alignment horizontal="center"/>
    </xf>
    <xf numFmtId="164" fontId="123" fillId="6" borderId="22" xfId="5" applyNumberFormat="1" applyFont="1" applyFill="1" applyBorder="1" applyAlignment="1">
      <alignment horizontal="center"/>
    </xf>
    <xf numFmtId="2" fontId="74" fillId="17" borderId="0" xfId="0" applyNumberFormat="1" applyFont="1" applyFill="1"/>
    <xf numFmtId="2" fontId="74" fillId="6" borderId="0" xfId="0" applyNumberFormat="1" applyFont="1" applyFill="1"/>
    <xf numFmtId="2" fontId="74" fillId="6" borderId="0" xfId="0" applyNumberFormat="1" applyFont="1" applyFill="1" applyAlignment="1">
      <alignment wrapText="1"/>
    </xf>
    <xf numFmtId="2" fontId="88" fillId="6" borderId="24" xfId="0" applyNumberFormat="1" applyFont="1" applyFill="1" applyBorder="1"/>
    <xf numFmtId="2" fontId="74" fillId="6" borderId="0" xfId="0" applyNumberFormat="1" applyFont="1" applyFill="1" applyAlignment="1">
      <alignment horizontal="left"/>
    </xf>
    <xf numFmtId="2" fontId="74" fillId="0" borderId="0" xfId="0" applyNumberFormat="1" applyFont="1"/>
    <xf numFmtId="2" fontId="118" fillId="6" borderId="0" xfId="0" applyNumberFormat="1" applyFont="1" applyFill="1"/>
    <xf numFmtId="0" fontId="84" fillId="0" borderId="24" xfId="0" applyFont="1" applyBorder="1"/>
    <xf numFmtId="164" fontId="0" fillId="45" borderId="1" xfId="0" applyNumberFormat="1" applyFill="1" applyBorder="1"/>
    <xf numFmtId="164" fontId="36" fillId="0" borderId="11" xfId="0" applyNumberFormat="1" applyFont="1" applyBorder="1" applyAlignment="1">
      <alignment horizontal="left" wrapText="1"/>
    </xf>
    <xf numFmtId="0" fontId="48" fillId="7" borderId="24" xfId="0" applyFont="1" applyFill="1" applyBorder="1" applyAlignment="1">
      <alignment horizontal="center" vertical="center"/>
    </xf>
    <xf numFmtId="0" fontId="48" fillId="7" borderId="0" xfId="0" applyFont="1" applyFill="1" applyAlignment="1">
      <alignment horizontal="center" vertical="center"/>
    </xf>
    <xf numFmtId="9" fontId="73" fillId="22" borderId="195" xfId="5" applyNumberFormat="1" applyFont="1" applyFill="1" applyBorder="1"/>
    <xf numFmtId="9" fontId="73" fillId="22" borderId="196" xfId="5" applyNumberFormat="1" applyFont="1" applyFill="1" applyBorder="1"/>
    <xf numFmtId="9" fontId="70" fillId="22" borderId="95" xfId="5" applyNumberFormat="1" applyFont="1" applyFill="1" applyBorder="1" applyAlignment="1">
      <alignment horizontal="center"/>
    </xf>
    <xf numFmtId="9" fontId="70" fillId="22" borderId="200" xfId="5" applyNumberFormat="1" applyFont="1" applyFill="1" applyBorder="1"/>
    <xf numFmtId="9" fontId="73" fillId="22" borderId="201" xfId="5" applyNumberFormat="1" applyFont="1" applyFill="1" applyBorder="1"/>
    <xf numFmtId="173" fontId="0" fillId="0" borderId="1" xfId="0" applyNumberFormat="1" applyBorder="1"/>
    <xf numFmtId="173" fontId="37" fillId="0" borderId="2" xfId="1" applyNumberFormat="1" applyFont="1" applyBorder="1" applyProtection="1"/>
    <xf numFmtId="173" fontId="33" fillId="0" borderId="2" xfId="1" applyNumberFormat="1" applyFont="1" applyBorder="1" applyProtection="1"/>
    <xf numFmtId="173" fontId="33" fillId="0" borderId="2" xfId="0" applyNumberFormat="1" applyFont="1" applyBorder="1"/>
    <xf numFmtId="173" fontId="30" fillId="0" borderId="1" xfId="1" applyNumberFormat="1" applyFont="1" applyFill="1" applyBorder="1" applyProtection="1"/>
    <xf numFmtId="9" fontId="73" fillId="22" borderId="201" xfId="5" applyNumberFormat="1" applyFont="1" applyFill="1" applyBorder="1" applyAlignment="1">
      <alignment horizontal="center"/>
    </xf>
    <xf numFmtId="9" fontId="73" fillId="22" borderId="195" xfId="5" applyNumberFormat="1" applyFont="1" applyFill="1" applyBorder="1" applyAlignment="1">
      <alignment horizontal="center"/>
    </xf>
    <xf numFmtId="9" fontId="73" fillId="22" borderId="196" xfId="5" applyNumberFormat="1" applyFont="1" applyFill="1" applyBorder="1" applyAlignment="1">
      <alignment horizontal="center"/>
    </xf>
    <xf numFmtId="0" fontId="52" fillId="6" borderId="105" xfId="0" applyFont="1" applyFill="1" applyBorder="1" applyAlignment="1">
      <alignment horizontal="center"/>
    </xf>
    <xf numFmtId="0" fontId="52" fillId="6" borderId="104" xfId="0" applyFont="1" applyFill="1" applyBorder="1" applyAlignment="1">
      <alignment horizontal="center"/>
    </xf>
    <xf numFmtId="9" fontId="70" fillId="22" borderId="202" xfId="5" applyNumberFormat="1" applyFont="1" applyFill="1" applyBorder="1" applyAlignment="1">
      <alignment horizontal="center"/>
    </xf>
    <xf numFmtId="9" fontId="70" fillId="22" borderId="199" xfId="5" applyNumberFormat="1" applyFont="1" applyFill="1" applyBorder="1" applyAlignment="1">
      <alignment horizontal="center"/>
    </xf>
    <xf numFmtId="9" fontId="70" fillId="22" borderId="200" xfId="5" applyNumberFormat="1" applyFont="1" applyFill="1" applyBorder="1" applyAlignment="1">
      <alignment horizontal="center"/>
    </xf>
    <xf numFmtId="0" fontId="50" fillId="0" borderId="21" xfId="0" applyFont="1" applyBorder="1"/>
    <xf numFmtId="164" fontId="49" fillId="0" borderId="1" xfId="1" applyNumberFormat="1" applyFont="1" applyFill="1" applyBorder="1" applyProtection="1"/>
    <xf numFmtId="0" fontId="52" fillId="11" borderId="205" xfId="0" applyFont="1" applyFill="1" applyBorder="1"/>
    <xf numFmtId="0" fontId="52" fillId="6" borderId="206" xfId="0" applyFont="1" applyFill="1" applyBorder="1"/>
    <xf numFmtId="0" fontId="52" fillId="0" borderId="206" xfId="0" applyFont="1" applyBorder="1"/>
    <xf numFmtId="3" fontId="0" fillId="0" borderId="0" xfId="0" applyNumberFormat="1"/>
    <xf numFmtId="0" fontId="0" fillId="0" borderId="11" xfId="0" applyBorder="1" applyAlignment="1">
      <alignment horizontal="center"/>
    </xf>
    <xf numFmtId="167" fontId="30" fillId="0" borderId="207" xfId="6" applyNumberFormat="1" applyFont="1" applyFill="1" applyBorder="1" applyProtection="1"/>
    <xf numFmtId="0" fontId="0" fillId="0" borderId="207" xfId="0" applyBorder="1" applyAlignment="1">
      <alignment horizontal="center" vertical="center"/>
    </xf>
    <xf numFmtId="164" fontId="30" fillId="0" borderId="1" xfId="1" applyNumberFormat="1" applyFont="1" applyFill="1" applyBorder="1" applyAlignment="1" applyProtection="1">
      <alignment horizontal="center" vertical="center"/>
      <protection locked="0"/>
    </xf>
    <xf numFmtId="174" fontId="30" fillId="3" borderId="1" xfId="1" applyNumberFormat="1" applyFont="1" applyFill="1" applyBorder="1" applyProtection="1">
      <protection locked="0"/>
    </xf>
    <xf numFmtId="164" fontId="30" fillId="3" borderId="1" xfId="1" applyNumberFormat="1" applyFont="1" applyFill="1" applyBorder="1" applyAlignment="1" applyProtection="1">
      <alignment horizontal="right"/>
      <protection locked="0"/>
    </xf>
    <xf numFmtId="164" fontId="0" fillId="4" borderId="208" xfId="0" applyNumberFormat="1" applyFill="1" applyBorder="1"/>
    <xf numFmtId="164" fontId="33" fillId="0" borderId="1" xfId="1" applyNumberFormat="1" applyFont="1" applyFill="1" applyBorder="1" applyAlignment="1" applyProtection="1">
      <alignment horizontal="center" vertical="center" wrapText="1"/>
      <protection locked="0"/>
    </xf>
    <xf numFmtId="43" fontId="33" fillId="0" borderId="1" xfId="1" applyFont="1" applyFill="1" applyBorder="1" applyAlignment="1" applyProtection="1">
      <alignment horizontal="center" wrapText="1"/>
    </xf>
    <xf numFmtId="1" fontId="30" fillId="4" borderId="1" xfId="6" applyNumberFormat="1" applyFont="1" applyFill="1" applyBorder="1" applyProtection="1">
      <protection locked="0"/>
    </xf>
    <xf numFmtId="0" fontId="33" fillId="0" borderId="207" xfId="0" applyFont="1" applyBorder="1" applyAlignment="1">
      <alignment horizontal="center" wrapText="1"/>
    </xf>
    <xf numFmtId="0" fontId="33" fillId="0" borderId="4" xfId="0" applyFont="1" applyBorder="1" applyAlignment="1">
      <alignment horizontal="center" wrapText="1"/>
    </xf>
    <xf numFmtId="173" fontId="0" fillId="0" borderId="4" xfId="0" applyNumberFormat="1" applyBorder="1"/>
    <xf numFmtId="0" fontId="33" fillId="0" borderId="1" xfId="0" applyFont="1" applyBorder="1" applyAlignment="1">
      <alignment horizontal="center" wrapText="1"/>
    </xf>
    <xf numFmtId="164" fontId="0" fillId="0" borderId="207" xfId="0" applyNumberFormat="1" applyBorder="1"/>
    <xf numFmtId="0" fontId="0" fillId="0" borderId="3" xfId="0" applyBorder="1"/>
    <xf numFmtId="164" fontId="0" fillId="0" borderId="209" xfId="0" applyNumberFormat="1" applyBorder="1"/>
    <xf numFmtId="175" fontId="0" fillId="0" borderId="210" xfId="0" applyNumberFormat="1" applyBorder="1"/>
    <xf numFmtId="164" fontId="0" fillId="47" borderId="207" xfId="0" applyNumberFormat="1" applyFill="1" applyBorder="1"/>
    <xf numFmtId="0" fontId="33" fillId="47" borderId="0" xfId="0" applyFont="1" applyFill="1"/>
    <xf numFmtId="0" fontId="0" fillId="47" borderId="0" xfId="0" applyFill="1"/>
    <xf numFmtId="0" fontId="33" fillId="45" borderId="0" xfId="0" applyFont="1" applyFill="1"/>
    <xf numFmtId="0" fontId="0" fillId="45" borderId="0" xfId="0" applyFill="1"/>
    <xf numFmtId="164" fontId="0" fillId="7" borderId="1" xfId="0" applyNumberFormat="1" applyFill="1" applyBorder="1" applyProtection="1">
      <protection locked="0"/>
    </xf>
    <xf numFmtId="43" fontId="0" fillId="7" borderId="1" xfId="0" applyNumberFormat="1" applyFill="1" applyBorder="1" applyProtection="1">
      <protection locked="0"/>
    </xf>
    <xf numFmtId="3" fontId="0" fillId="7" borderId="1" xfId="0" applyNumberFormat="1" applyFill="1" applyBorder="1" applyProtection="1">
      <protection locked="0"/>
    </xf>
    <xf numFmtId="0" fontId="86" fillId="0" borderId="0" xfId="0" applyFont="1" applyAlignment="1">
      <alignment horizontal="left" vertical="top" wrapText="1"/>
    </xf>
    <xf numFmtId="0" fontId="86" fillId="0" borderId="0" xfId="0" applyFont="1" applyAlignment="1">
      <alignment horizontal="left" wrapText="1"/>
    </xf>
    <xf numFmtId="0" fontId="82" fillId="6" borderId="78" xfId="0" applyFont="1" applyFill="1" applyBorder="1" applyAlignment="1">
      <alignment horizontal="left" vertical="center"/>
    </xf>
    <xf numFmtId="0" fontId="82" fillId="6" borderId="16" xfId="0" applyFont="1" applyFill="1" applyBorder="1" applyAlignment="1">
      <alignment horizontal="left" vertical="center"/>
    </xf>
    <xf numFmtId="0" fontId="82" fillId="6" borderId="79" xfId="0" applyFont="1" applyFill="1" applyBorder="1" applyAlignment="1">
      <alignment horizontal="left" vertical="center"/>
    </xf>
    <xf numFmtId="0" fontId="82" fillId="6" borderId="17" xfId="0" applyFont="1" applyFill="1" applyBorder="1" applyAlignment="1">
      <alignment horizontal="left" vertical="center"/>
    </xf>
    <xf numFmtId="0" fontId="82" fillId="6" borderId="80" xfId="0" applyFont="1" applyFill="1" applyBorder="1" applyAlignment="1">
      <alignment horizontal="left" vertical="center"/>
    </xf>
    <xf numFmtId="0" fontId="82" fillId="6" borderId="18" xfId="0" applyFont="1" applyFill="1" applyBorder="1" applyAlignment="1">
      <alignment horizontal="left" vertical="center"/>
    </xf>
    <xf numFmtId="0" fontId="82" fillId="6" borderId="38" xfId="0" applyFont="1" applyFill="1" applyBorder="1" applyAlignment="1">
      <alignment horizontal="left" vertical="center" wrapText="1"/>
    </xf>
    <xf numFmtId="0" fontId="82" fillId="6" borderId="39" xfId="0" applyFont="1" applyFill="1" applyBorder="1" applyAlignment="1">
      <alignment horizontal="left" vertical="center" wrapText="1"/>
    </xf>
    <xf numFmtId="0" fontId="82" fillId="6" borderId="37" xfId="0" applyFont="1" applyFill="1" applyBorder="1" applyAlignment="1">
      <alignment horizontal="left" vertical="center" wrapText="1"/>
    </xf>
    <xf numFmtId="0" fontId="87" fillId="12" borderId="38" xfId="0" applyFont="1" applyFill="1" applyBorder="1" applyAlignment="1">
      <alignment horizontal="left" vertical="center" wrapText="1"/>
    </xf>
    <xf numFmtId="0" fontId="87" fillId="12" borderId="39" xfId="0" applyFont="1" applyFill="1" applyBorder="1" applyAlignment="1">
      <alignment horizontal="left" vertical="center" wrapText="1"/>
    </xf>
    <xf numFmtId="0" fontId="87" fillId="12" borderId="37" xfId="0" applyFont="1" applyFill="1" applyBorder="1" applyAlignment="1">
      <alignment horizontal="left" vertical="center" wrapText="1"/>
    </xf>
    <xf numFmtId="0" fontId="82" fillId="14" borderId="42" xfId="0" applyFont="1" applyFill="1" applyBorder="1" applyAlignment="1">
      <alignment horizontal="center" vertical="center" textRotation="90" wrapText="1"/>
    </xf>
    <xf numFmtId="0" fontId="82" fillId="14" borderId="43" xfId="0" applyFont="1" applyFill="1" applyBorder="1" applyAlignment="1">
      <alignment horizontal="center" vertical="center" textRotation="90" wrapText="1"/>
    </xf>
    <xf numFmtId="0" fontId="82" fillId="14" borderId="44" xfId="0" applyFont="1" applyFill="1" applyBorder="1" applyAlignment="1">
      <alignment horizontal="center" vertical="center" textRotation="90" wrapText="1"/>
    </xf>
    <xf numFmtId="0" fontId="75" fillId="6" borderId="41" xfId="0" applyFont="1" applyFill="1" applyBorder="1" applyAlignment="1">
      <alignment horizontal="center" vertical="center" wrapText="1"/>
    </xf>
    <xf numFmtId="0" fontId="75" fillId="6" borderId="37" xfId="0" applyFont="1" applyFill="1" applyBorder="1" applyAlignment="1">
      <alignment horizontal="center" vertical="center" wrapText="1"/>
    </xf>
    <xf numFmtId="0" fontId="82" fillId="14" borderId="3" xfId="0" applyFont="1" applyFill="1" applyBorder="1" applyAlignment="1">
      <alignment horizontal="center" vertical="center" textRotation="90" wrapText="1"/>
    </xf>
    <xf numFmtId="0" fontId="82" fillId="14" borderId="19" xfId="0" applyFont="1" applyFill="1" applyBorder="1" applyAlignment="1">
      <alignment horizontal="center" vertical="center" textRotation="90" wrapText="1"/>
    </xf>
    <xf numFmtId="0" fontId="82" fillId="14" borderId="20" xfId="0" applyFont="1" applyFill="1" applyBorder="1" applyAlignment="1">
      <alignment horizontal="center" vertical="center" textRotation="90" wrapText="1"/>
    </xf>
    <xf numFmtId="0" fontId="82" fillId="14" borderId="42" xfId="0" applyFont="1" applyFill="1" applyBorder="1" applyAlignment="1">
      <alignment horizontal="center" vertical="center" textRotation="90"/>
    </xf>
    <xf numFmtId="0" fontId="82" fillId="14" borderId="43" xfId="0" applyFont="1" applyFill="1" applyBorder="1" applyAlignment="1">
      <alignment horizontal="center" vertical="center" textRotation="90"/>
    </xf>
    <xf numFmtId="0" fontId="82" fillId="14" borderId="44" xfId="0" applyFont="1" applyFill="1" applyBorder="1" applyAlignment="1">
      <alignment horizontal="center" vertical="center" textRotation="90"/>
    </xf>
    <xf numFmtId="0" fontId="82" fillId="14" borderId="78" xfId="0" applyFont="1" applyFill="1" applyBorder="1" applyAlignment="1">
      <alignment horizontal="center" vertical="center"/>
    </xf>
    <xf numFmtId="0" fontId="82" fillId="14" borderId="81" xfId="0" applyFont="1" applyFill="1" applyBorder="1" applyAlignment="1">
      <alignment horizontal="center" vertical="center"/>
    </xf>
    <xf numFmtId="0" fontId="82" fillId="14" borderId="80" xfId="0" applyFont="1" applyFill="1" applyBorder="1" applyAlignment="1">
      <alignment horizontal="center" vertical="center"/>
    </xf>
    <xf numFmtId="0" fontId="82" fillId="14" borderId="82" xfId="0" applyFont="1" applyFill="1" applyBorder="1" applyAlignment="1">
      <alignment horizontal="center" vertical="center"/>
    </xf>
    <xf numFmtId="0" fontId="82" fillId="11" borderId="39" xfId="0" applyFont="1" applyFill="1" applyBorder="1" applyAlignment="1">
      <alignment horizontal="left" vertical="center" wrapText="1"/>
    </xf>
    <xf numFmtId="0" fontId="82" fillId="11" borderId="37" xfId="0" applyFont="1" applyFill="1" applyBorder="1" applyAlignment="1">
      <alignment horizontal="left" vertical="center" wrapText="1"/>
    </xf>
    <xf numFmtId="0" fontId="87" fillId="14" borderId="38" xfId="0" applyFont="1" applyFill="1" applyBorder="1" applyAlignment="1">
      <alignment horizontal="left" vertical="center" wrapText="1"/>
    </xf>
    <xf numFmtId="0" fontId="87" fillId="14" borderId="39" xfId="0" applyFont="1" applyFill="1" applyBorder="1" applyAlignment="1">
      <alignment horizontal="left" vertical="center" wrapText="1"/>
    </xf>
    <xf numFmtId="0" fontId="87" fillId="14" borderId="37" xfId="0" applyFont="1" applyFill="1" applyBorder="1" applyAlignment="1">
      <alignment horizontal="left" vertical="center" wrapText="1"/>
    </xf>
    <xf numFmtId="0" fontId="82" fillId="14" borderId="53" xfId="0" applyFont="1" applyFill="1" applyBorder="1" applyAlignment="1">
      <alignment horizontal="center" vertical="center" textRotation="90"/>
    </xf>
    <xf numFmtId="0" fontId="82" fillId="14" borderId="24" xfId="0" applyFont="1" applyFill="1" applyBorder="1" applyAlignment="1">
      <alignment horizontal="center" vertical="center" textRotation="90"/>
    </xf>
    <xf numFmtId="0" fontId="82" fillId="14" borderId="25" xfId="0" applyFont="1" applyFill="1" applyBorder="1" applyAlignment="1">
      <alignment horizontal="center" vertical="center" textRotation="90"/>
    </xf>
    <xf numFmtId="0" fontId="124" fillId="6" borderId="83" xfId="0" applyFont="1" applyFill="1" applyBorder="1" applyAlignment="1">
      <alignment horizontal="center"/>
    </xf>
    <xf numFmtId="0" fontId="0" fillId="0" borderId="84" xfId="0" applyBorder="1" applyAlignment="1" applyProtection="1">
      <alignment horizontal="center" wrapText="1"/>
      <protection locked="0"/>
    </xf>
    <xf numFmtId="0" fontId="0" fillId="0" borderId="15" xfId="0" applyBorder="1" applyAlignment="1" applyProtection="1">
      <alignment horizontal="center" wrapText="1"/>
      <protection locked="0"/>
    </xf>
    <xf numFmtId="0" fontId="0" fillId="0" borderId="85" xfId="0" applyBorder="1" applyAlignment="1" applyProtection="1">
      <alignment horizontal="center" wrapText="1"/>
      <protection locked="0"/>
    </xf>
    <xf numFmtId="0" fontId="0" fillId="6" borderId="0" xfId="0" applyFill="1" applyAlignment="1">
      <alignment horizontal="left" wrapText="1"/>
    </xf>
    <xf numFmtId="0" fontId="0" fillId="6" borderId="24" xfId="0" applyFill="1" applyBorder="1" applyAlignment="1">
      <alignment horizontal="left" wrapText="1"/>
    </xf>
    <xf numFmtId="0" fontId="0" fillId="6" borderId="0" xfId="0" applyFill="1" applyAlignment="1">
      <alignment horizontal="left" vertical="center"/>
    </xf>
    <xf numFmtId="0" fontId="33" fillId="6" borderId="0" xfId="0" applyFont="1" applyFill="1" applyAlignment="1">
      <alignment horizontal="center" vertical="center"/>
    </xf>
    <xf numFmtId="0" fontId="0" fillId="6" borderId="0" xfId="0" applyFill="1" applyAlignment="1">
      <alignment horizontal="center" vertical="center" wrapText="1"/>
    </xf>
    <xf numFmtId="0" fontId="33" fillId="6" borderId="78" xfId="0" applyFont="1" applyFill="1" applyBorder="1" applyAlignment="1">
      <alignment horizontal="center" vertical="center" wrapText="1"/>
    </xf>
    <xf numFmtId="0" fontId="33" fillId="6" borderId="46" xfId="0" applyFont="1" applyFill="1" applyBorder="1" applyAlignment="1">
      <alignment horizontal="center" vertical="center" wrapText="1"/>
    </xf>
    <xf numFmtId="0" fontId="33" fillId="6" borderId="79" xfId="0" applyFont="1" applyFill="1" applyBorder="1" applyAlignment="1">
      <alignment horizontal="center" vertical="center" wrapText="1"/>
    </xf>
    <xf numFmtId="0" fontId="33" fillId="6" borderId="0" xfId="0" applyFont="1" applyFill="1" applyAlignment="1">
      <alignment horizontal="center" vertical="center" wrapText="1"/>
    </xf>
    <xf numFmtId="0" fontId="33" fillId="6" borderId="80" xfId="0" applyFont="1" applyFill="1" applyBorder="1" applyAlignment="1">
      <alignment horizontal="center" vertical="center" wrapText="1"/>
    </xf>
    <xf numFmtId="0" fontId="33" fillId="6" borderId="83" xfId="0" applyFont="1" applyFill="1" applyBorder="1" applyAlignment="1">
      <alignment horizontal="center" vertical="center" wrapText="1"/>
    </xf>
    <xf numFmtId="0" fontId="127" fillId="0" borderId="109" xfId="0" applyFont="1" applyBorder="1" applyAlignment="1">
      <alignment horizontal="left"/>
    </xf>
    <xf numFmtId="0" fontId="127" fillId="0" borderId="0" xfId="0" applyFont="1" applyAlignment="1">
      <alignment horizontal="left"/>
    </xf>
    <xf numFmtId="0" fontId="127" fillId="0" borderId="110" xfId="0" applyFont="1" applyBorder="1" applyAlignment="1">
      <alignment horizontal="left"/>
    </xf>
    <xf numFmtId="0" fontId="54" fillId="6" borderId="109" xfId="0" applyFont="1" applyFill="1" applyBorder="1"/>
    <xf numFmtId="0" fontId="54" fillId="6" borderId="0" xfId="0" applyFont="1" applyFill="1"/>
    <xf numFmtId="0" fontId="54" fillId="6" borderId="110" xfId="0" applyFont="1" applyFill="1" applyBorder="1"/>
    <xf numFmtId="0" fontId="54" fillId="6" borderId="104" xfId="0" applyFont="1" applyFill="1" applyBorder="1"/>
    <xf numFmtId="0" fontId="54" fillId="6" borderId="111" xfId="0" applyFont="1" applyFill="1" applyBorder="1"/>
    <xf numFmtId="0" fontId="54" fillId="6" borderId="105" xfId="0" applyFont="1" applyFill="1" applyBorder="1"/>
    <xf numFmtId="0" fontId="107" fillId="6" borderId="166" xfId="0" applyFont="1" applyFill="1" applyBorder="1" applyAlignment="1">
      <alignment horizontal="center"/>
    </xf>
    <xf numFmtId="0" fontId="107" fillId="6" borderId="164" xfId="0" applyFont="1" applyFill="1" applyBorder="1" applyAlignment="1">
      <alignment horizontal="center"/>
    </xf>
    <xf numFmtId="0" fontId="107" fillId="6" borderId="168" xfId="0" applyFont="1" applyFill="1" applyBorder="1" applyAlignment="1">
      <alignment horizontal="center"/>
    </xf>
    <xf numFmtId="0" fontId="62" fillId="13" borderId="166" xfId="0" applyFont="1" applyFill="1" applyBorder="1" applyAlignment="1">
      <alignment horizontal="center"/>
    </xf>
    <xf numFmtId="0" fontId="62" fillId="13" borderId="164" xfId="0" applyFont="1" applyFill="1" applyBorder="1" applyAlignment="1">
      <alignment horizontal="center"/>
    </xf>
    <xf numFmtId="0" fontId="62" fillId="13" borderId="168" xfId="0" applyFont="1" applyFill="1" applyBorder="1" applyAlignment="1">
      <alignment horizontal="center"/>
    </xf>
    <xf numFmtId="0" fontId="135" fillId="6" borderId="106" xfId="3" quotePrefix="1" applyFont="1" applyFill="1" applyBorder="1" applyAlignment="1">
      <alignment horizontal="center"/>
    </xf>
    <xf numFmtId="0" fontId="135" fillId="6" borderId="108" xfId="3" quotePrefix="1" applyFont="1" applyFill="1" applyBorder="1" applyAlignment="1">
      <alignment horizontal="center"/>
    </xf>
    <xf numFmtId="0" fontId="135" fillId="6" borderId="107" xfId="3" quotePrefix="1" applyFont="1" applyFill="1" applyBorder="1" applyAlignment="1">
      <alignment horizontal="center"/>
    </xf>
    <xf numFmtId="0" fontId="135" fillId="6" borderId="109" xfId="3" quotePrefix="1" applyFont="1" applyFill="1" applyBorder="1" applyAlignment="1">
      <alignment horizontal="center"/>
    </xf>
    <xf numFmtId="0" fontId="135" fillId="6" borderId="0" xfId="3" quotePrefix="1" applyFont="1" applyFill="1" applyBorder="1" applyAlignment="1">
      <alignment horizontal="center"/>
    </xf>
    <xf numFmtId="0" fontId="135" fillId="6" borderId="110" xfId="3" quotePrefix="1" applyFont="1" applyFill="1" applyBorder="1" applyAlignment="1">
      <alignment horizontal="center"/>
    </xf>
    <xf numFmtId="0" fontId="133" fillId="6" borderId="106" xfId="0" applyFont="1" applyFill="1" applyBorder="1" applyAlignment="1">
      <alignment horizontal="center"/>
    </xf>
    <xf numFmtId="0" fontId="133" fillId="6" borderId="108" xfId="0" applyFont="1" applyFill="1" applyBorder="1" applyAlignment="1">
      <alignment horizontal="center"/>
    </xf>
    <xf numFmtId="0" fontId="134" fillId="6" borderId="111" xfId="0" applyFont="1" applyFill="1" applyBorder="1" applyAlignment="1">
      <alignment horizontal="center" vertical="center" wrapText="1"/>
    </xf>
    <xf numFmtId="0" fontId="134" fillId="6" borderId="105" xfId="0" applyFont="1" applyFill="1" applyBorder="1" applyAlignment="1">
      <alignment horizontal="center" vertical="center" wrapText="1"/>
    </xf>
    <xf numFmtId="0" fontId="138" fillId="13" borderId="166" xfId="0" applyFont="1" applyFill="1" applyBorder="1" applyAlignment="1">
      <alignment horizontal="center" vertical="center"/>
    </xf>
    <xf numFmtId="0" fontId="138" fillId="13" borderId="164" xfId="0" applyFont="1" applyFill="1" applyBorder="1" applyAlignment="1">
      <alignment horizontal="center" vertical="center"/>
    </xf>
    <xf numFmtId="0" fontId="138" fillId="13" borderId="168" xfId="0" applyFont="1" applyFill="1" applyBorder="1" applyAlignment="1">
      <alignment horizontal="center" vertical="center"/>
    </xf>
    <xf numFmtId="0" fontId="135" fillId="6" borderId="104" xfId="3" quotePrefix="1" applyFont="1" applyFill="1" applyBorder="1" applyAlignment="1">
      <alignment horizontal="center"/>
    </xf>
    <xf numFmtId="0" fontId="135" fillId="6" borderId="111" xfId="3" quotePrefix="1" applyFont="1" applyFill="1" applyBorder="1" applyAlignment="1">
      <alignment horizontal="center"/>
    </xf>
    <xf numFmtId="0" fontId="135" fillId="6" borderId="105" xfId="3" quotePrefix="1" applyFont="1" applyFill="1" applyBorder="1" applyAlignment="1">
      <alignment horizontal="center"/>
    </xf>
    <xf numFmtId="0" fontId="51" fillId="37" borderId="104" xfId="0" applyFont="1" applyFill="1" applyBorder="1" applyAlignment="1">
      <alignment horizontal="center"/>
    </xf>
    <xf numFmtId="0" fontId="51" fillId="37" borderId="111" xfId="0" applyFont="1" applyFill="1" applyBorder="1" applyAlignment="1">
      <alignment horizontal="center"/>
    </xf>
    <xf numFmtId="0" fontId="51" fillId="37" borderId="105" xfId="0" applyFont="1" applyFill="1" applyBorder="1" applyAlignment="1">
      <alignment horizontal="center"/>
    </xf>
    <xf numFmtId="0" fontId="51" fillId="37" borderId="166" xfId="0" applyFont="1" applyFill="1" applyBorder="1" applyAlignment="1">
      <alignment horizontal="center"/>
    </xf>
    <xf numFmtId="0" fontId="51" fillId="37" borderId="164" xfId="0" applyFont="1" applyFill="1" applyBorder="1" applyAlignment="1">
      <alignment horizontal="center"/>
    </xf>
    <xf numFmtId="0" fontId="51" fillId="37" borderId="168" xfId="0" applyFont="1" applyFill="1" applyBorder="1" applyAlignment="1">
      <alignment horizontal="center"/>
    </xf>
    <xf numFmtId="0" fontId="140" fillId="4" borderId="108" xfId="0" applyFont="1" applyFill="1" applyBorder="1" applyAlignment="1">
      <alignment horizontal="center" vertical="center"/>
    </xf>
    <xf numFmtId="0" fontId="140" fillId="4" borderId="107" xfId="0" applyFont="1" applyFill="1" applyBorder="1" applyAlignment="1">
      <alignment horizontal="center" vertical="center"/>
    </xf>
    <xf numFmtId="0" fontId="54" fillId="6" borderId="106" xfId="0" applyFont="1" applyFill="1" applyBorder="1" applyAlignment="1">
      <alignment horizontal="center"/>
    </xf>
    <xf numFmtId="0" fontId="54" fillId="6" borderId="108" xfId="0" applyFont="1" applyFill="1" applyBorder="1" applyAlignment="1">
      <alignment horizontal="center"/>
    </xf>
    <xf numFmtId="0" fontId="54" fillId="6" borderId="107" xfId="0" applyFont="1" applyFill="1" applyBorder="1" applyAlignment="1">
      <alignment horizontal="center"/>
    </xf>
    <xf numFmtId="0" fontId="54" fillId="6" borderId="109" xfId="0" applyFont="1" applyFill="1" applyBorder="1" applyAlignment="1">
      <alignment horizontal="center"/>
    </xf>
    <xf numFmtId="0" fontId="54" fillId="6" borderId="0" xfId="0" applyFont="1" applyFill="1" applyAlignment="1">
      <alignment horizontal="center"/>
    </xf>
    <xf numFmtId="0" fontId="54" fillId="6" borderId="110" xfId="0" applyFont="1" applyFill="1" applyBorder="1" applyAlignment="1">
      <alignment horizontal="center"/>
    </xf>
    <xf numFmtId="0" fontId="54" fillId="6" borderId="104" xfId="0" applyFont="1" applyFill="1" applyBorder="1" applyAlignment="1">
      <alignment horizontal="center"/>
    </xf>
    <xf numFmtId="0" fontId="54" fillId="6" borderId="111" xfId="0" applyFont="1" applyFill="1" applyBorder="1" applyAlignment="1">
      <alignment horizontal="center"/>
    </xf>
    <xf numFmtId="0" fontId="136" fillId="13" borderId="106" xfId="0" applyFont="1" applyFill="1" applyBorder="1" applyAlignment="1">
      <alignment horizontal="center" vertical="center" wrapText="1"/>
    </xf>
    <xf numFmtId="0" fontId="136" fillId="13" borderId="108" xfId="0" applyFont="1" applyFill="1" applyBorder="1" applyAlignment="1">
      <alignment horizontal="center" vertical="center" wrapText="1"/>
    </xf>
    <xf numFmtId="0" fontId="136" fillId="13" borderId="107" xfId="0" applyFont="1" applyFill="1" applyBorder="1" applyAlignment="1">
      <alignment horizontal="center" vertical="center" wrapText="1"/>
    </xf>
    <xf numFmtId="0" fontId="137" fillId="37" borderId="108" xfId="0" applyFont="1" applyFill="1" applyBorder="1" applyAlignment="1">
      <alignment horizontal="center" vertical="center"/>
    </xf>
    <xf numFmtId="0" fontId="137" fillId="37" borderId="0" xfId="0" applyFont="1" applyFill="1" applyAlignment="1">
      <alignment horizontal="center" vertical="center"/>
    </xf>
    <xf numFmtId="0" fontId="54" fillId="6" borderId="105" xfId="0" applyFont="1" applyFill="1" applyBorder="1" applyAlignment="1">
      <alignment horizontal="center"/>
    </xf>
    <xf numFmtId="0" fontId="137" fillId="37" borderId="109" xfId="0" applyFont="1" applyFill="1" applyBorder="1" applyAlignment="1">
      <alignment horizontal="center" vertical="center"/>
    </xf>
    <xf numFmtId="0" fontId="137" fillId="37" borderId="110" xfId="0" applyFont="1" applyFill="1" applyBorder="1" applyAlignment="1">
      <alignment horizontal="center" vertical="center"/>
    </xf>
    <xf numFmtId="0" fontId="49" fillId="0" borderId="109" xfId="0" applyFont="1" applyBorder="1" applyAlignment="1">
      <alignment horizontal="center"/>
    </xf>
    <xf numFmtId="0" fontId="49" fillId="0" borderId="0" xfId="0" applyFont="1" applyAlignment="1">
      <alignment horizontal="center"/>
    </xf>
    <xf numFmtId="0" fontId="49" fillId="0" borderId="110" xfId="0" applyFont="1" applyBorder="1" applyAlignment="1">
      <alignment horizontal="center"/>
    </xf>
    <xf numFmtId="0" fontId="49" fillId="4" borderId="109" xfId="0" applyFont="1" applyFill="1" applyBorder="1" applyAlignment="1">
      <alignment horizontal="center"/>
    </xf>
    <xf numFmtId="0" fontId="49" fillId="4" borderId="0" xfId="0" applyFont="1" applyFill="1" applyAlignment="1">
      <alignment horizontal="center"/>
    </xf>
    <xf numFmtId="0" fontId="49" fillId="4" borderId="110" xfId="0" applyFont="1" applyFill="1" applyBorder="1" applyAlignment="1">
      <alignment horizontal="center"/>
    </xf>
    <xf numFmtId="0" fontId="54" fillId="6" borderId="106" xfId="0" applyFont="1" applyFill="1" applyBorder="1"/>
    <xf numFmtId="0" fontId="54" fillId="6" borderId="108" xfId="0" applyFont="1" applyFill="1" applyBorder="1"/>
    <xf numFmtId="0" fontId="54" fillId="6" borderId="107" xfId="0" applyFont="1" applyFill="1" applyBorder="1"/>
    <xf numFmtId="0" fontId="140" fillId="4" borderId="106" xfId="0" applyFont="1" applyFill="1" applyBorder="1" applyAlignment="1">
      <alignment horizontal="center" vertical="center"/>
    </xf>
    <xf numFmtId="0" fontId="62" fillId="37" borderId="170" xfId="0" applyFont="1" applyFill="1" applyBorder="1" applyAlignment="1">
      <alignment horizontal="center" vertical="center" wrapText="1"/>
    </xf>
    <xf numFmtId="0" fontId="62" fillId="37" borderId="126" xfId="0" applyFont="1" applyFill="1" applyBorder="1" applyAlignment="1">
      <alignment horizontal="center" vertical="center" wrapText="1"/>
    </xf>
    <xf numFmtId="0" fontId="62" fillId="37" borderId="171" xfId="0" applyFont="1" applyFill="1" applyBorder="1" applyAlignment="1">
      <alignment horizontal="center" vertical="center" wrapText="1"/>
    </xf>
    <xf numFmtId="0" fontId="49" fillId="28" borderId="166" xfId="0" applyFont="1" applyFill="1" applyBorder="1" applyAlignment="1">
      <alignment horizontal="center" vertical="center" wrapText="1"/>
    </xf>
    <xf numFmtId="0" fontId="49" fillId="28" borderId="164" xfId="0" applyFont="1" applyFill="1" applyBorder="1" applyAlignment="1">
      <alignment horizontal="center" vertical="center" wrapText="1"/>
    </xf>
    <xf numFmtId="0" fontId="49" fillId="28" borderId="172" xfId="0" applyFont="1" applyFill="1" applyBorder="1" applyAlignment="1">
      <alignment horizontal="center" vertical="center" wrapText="1"/>
    </xf>
    <xf numFmtId="0" fontId="49" fillId="28" borderId="169" xfId="0" applyFont="1" applyFill="1" applyBorder="1" applyAlignment="1">
      <alignment horizontal="center" vertical="center" wrapText="1"/>
    </xf>
    <xf numFmtId="0" fontId="62" fillId="37" borderId="150" xfId="0" applyFont="1" applyFill="1" applyBorder="1" applyAlignment="1">
      <alignment horizontal="center" vertical="center" wrapText="1"/>
    </xf>
    <xf numFmtId="0" fontId="62" fillId="37" borderId="152" xfId="0" applyFont="1" applyFill="1" applyBorder="1" applyAlignment="1">
      <alignment horizontal="center" vertical="center" wrapText="1"/>
    </xf>
    <xf numFmtId="0" fontId="62" fillId="37" borderId="0" xfId="0" applyFont="1" applyFill="1" applyAlignment="1">
      <alignment horizontal="center" vertical="center" wrapText="1"/>
    </xf>
    <xf numFmtId="0" fontId="100" fillId="6" borderId="152" xfId="0" applyFont="1" applyFill="1" applyBorder="1" applyAlignment="1">
      <alignment horizontal="center" vertical="center"/>
    </xf>
    <xf numFmtId="0" fontId="100" fillId="6" borderId="0" xfId="0" applyFont="1" applyFill="1" applyAlignment="1">
      <alignment horizontal="center" vertical="center"/>
    </xf>
    <xf numFmtId="0" fontId="141" fillId="6" borderId="0" xfId="0" applyFont="1" applyFill="1" applyAlignment="1">
      <alignment horizontal="center"/>
    </xf>
    <xf numFmtId="0" fontId="142" fillId="6" borderId="0" xfId="0" applyFont="1" applyFill="1" applyAlignment="1">
      <alignment horizontal="center" vertical="center"/>
    </xf>
    <xf numFmtId="0" fontId="139" fillId="40" borderId="106" xfId="0" applyFont="1" applyFill="1" applyBorder="1" applyAlignment="1">
      <alignment horizontal="center"/>
    </xf>
    <xf numFmtId="0" fontId="139" fillId="40" borderId="108" xfId="0" applyFont="1" applyFill="1" applyBorder="1" applyAlignment="1">
      <alignment horizontal="center"/>
    </xf>
    <xf numFmtId="0" fontId="139" fillId="40" borderId="107" xfId="0" applyFont="1" applyFill="1" applyBorder="1" applyAlignment="1">
      <alignment horizontal="center"/>
    </xf>
    <xf numFmtId="0" fontId="126" fillId="0" borderId="109" xfId="0" applyFont="1" applyBorder="1" applyAlignment="1">
      <alignment horizontal="left"/>
    </xf>
    <xf numFmtId="0" fontId="126" fillId="0" borderId="0" xfId="0" applyFont="1" applyAlignment="1">
      <alignment horizontal="left"/>
    </xf>
    <xf numFmtId="0" fontId="126" fillId="0" borderId="110" xfId="0" applyFont="1" applyBorder="1" applyAlignment="1">
      <alignment horizontal="left"/>
    </xf>
    <xf numFmtId="0" fontId="62" fillId="37" borderId="108" xfId="0" applyFont="1" applyFill="1" applyBorder="1" applyAlignment="1">
      <alignment horizontal="center" vertical="center"/>
    </xf>
    <xf numFmtId="0" fontId="62" fillId="37" borderId="107" xfId="0" applyFont="1" applyFill="1" applyBorder="1" applyAlignment="1">
      <alignment horizontal="center" vertical="center"/>
    </xf>
    <xf numFmtId="0" fontId="123" fillId="4" borderId="109" xfId="0" applyFont="1" applyFill="1" applyBorder="1" applyAlignment="1">
      <alignment horizontal="center"/>
    </xf>
    <xf numFmtId="0" fontId="123" fillId="4" borderId="0" xfId="0" applyFont="1" applyFill="1" applyAlignment="1">
      <alignment horizontal="center"/>
    </xf>
    <xf numFmtId="0" fontId="123" fillId="4" borderId="110" xfId="0" applyFont="1" applyFill="1" applyBorder="1" applyAlignment="1">
      <alignment horizontal="center"/>
    </xf>
    <xf numFmtId="0" fontId="123" fillId="6" borderId="109" xfId="0" applyFont="1" applyFill="1" applyBorder="1" applyAlignment="1">
      <alignment horizontal="center"/>
    </xf>
    <xf numFmtId="0" fontId="123" fillId="6" borderId="0" xfId="0" applyFont="1" applyFill="1" applyAlignment="1">
      <alignment horizontal="center"/>
    </xf>
    <xf numFmtId="0" fontId="123" fillId="6" borderId="110" xfId="0" applyFont="1" applyFill="1" applyBorder="1" applyAlignment="1">
      <alignment horizontal="center"/>
    </xf>
    <xf numFmtId="0" fontId="123" fillId="4" borderId="104" xfId="0" applyFont="1" applyFill="1" applyBorder="1" applyAlignment="1">
      <alignment horizontal="center"/>
    </xf>
    <xf numFmtId="0" fontId="123" fillId="4" borderId="111" xfId="0" applyFont="1" applyFill="1" applyBorder="1" applyAlignment="1">
      <alignment horizontal="center"/>
    </xf>
    <xf numFmtId="0" fontId="123" fillId="4" borderId="105" xfId="0" applyFont="1" applyFill="1" applyBorder="1" applyAlignment="1">
      <alignment horizontal="center"/>
    </xf>
    <xf numFmtId="0" fontId="62" fillId="37" borderId="137" xfId="0" applyFont="1" applyFill="1" applyBorder="1" applyAlignment="1">
      <alignment horizontal="center" vertical="center" wrapText="1"/>
    </xf>
    <xf numFmtId="0" fontId="62" fillId="37" borderId="110" xfId="0" applyFont="1" applyFill="1" applyBorder="1" applyAlignment="1">
      <alignment horizontal="center" vertical="center" wrapText="1"/>
    </xf>
    <xf numFmtId="0" fontId="123" fillId="4" borderId="154" xfId="0" applyFont="1" applyFill="1" applyBorder="1" applyAlignment="1">
      <alignment horizontal="center"/>
    </xf>
    <xf numFmtId="0" fontId="123" fillId="4" borderId="139" xfId="0" applyFont="1" applyFill="1" applyBorder="1" applyAlignment="1">
      <alignment horizontal="center"/>
    </xf>
    <xf numFmtId="0" fontId="123" fillId="4" borderId="140" xfId="0" applyFont="1" applyFill="1" applyBorder="1" applyAlignment="1">
      <alignment horizontal="center"/>
    </xf>
    <xf numFmtId="0" fontId="137" fillId="40" borderId="173" xfId="0" applyFont="1" applyFill="1" applyBorder="1" applyAlignment="1">
      <alignment horizontal="center" vertical="center"/>
    </xf>
    <xf numFmtId="0" fontId="137" fillId="40" borderId="174" xfId="0" applyFont="1" applyFill="1" applyBorder="1" applyAlignment="1">
      <alignment horizontal="center" vertical="center"/>
    </xf>
    <xf numFmtId="0" fontId="137" fillId="40" borderId="175" xfId="0" applyFont="1" applyFill="1" applyBorder="1" applyAlignment="1">
      <alignment horizontal="center" vertical="center"/>
    </xf>
    <xf numFmtId="0" fontId="49" fillId="28" borderId="168" xfId="0" applyFont="1" applyFill="1" applyBorder="1" applyAlignment="1">
      <alignment horizontal="center" vertical="center" wrapText="1"/>
    </xf>
    <xf numFmtId="0" fontId="100" fillId="6" borderId="156" xfId="0" applyFont="1" applyFill="1" applyBorder="1" applyAlignment="1">
      <alignment horizontal="center" vertical="center" textRotation="90"/>
    </xf>
    <xf numFmtId="0" fontId="100" fillId="6" borderId="157" xfId="0" applyFont="1" applyFill="1" applyBorder="1" applyAlignment="1">
      <alignment horizontal="center" vertical="center" textRotation="90"/>
    </xf>
    <xf numFmtId="0" fontId="51" fillId="37" borderId="106" xfId="0" applyFont="1" applyFill="1" applyBorder="1" applyAlignment="1">
      <alignment horizontal="center" vertical="center"/>
    </xf>
    <xf numFmtId="0" fontId="51" fillId="37" borderId="108" xfId="0" applyFont="1" applyFill="1" applyBorder="1" applyAlignment="1">
      <alignment horizontal="center" vertical="center"/>
    </xf>
    <xf numFmtId="0" fontId="51" fillId="37" borderId="107" xfId="0" applyFont="1" applyFill="1" applyBorder="1" applyAlignment="1">
      <alignment horizontal="center" vertical="center"/>
    </xf>
    <xf numFmtId="0" fontId="123" fillId="6" borderId="152" xfId="0" applyFont="1" applyFill="1" applyBorder="1" applyAlignment="1">
      <alignment horizontal="center"/>
    </xf>
    <xf numFmtId="0" fontId="123" fillId="6" borderId="137" xfId="0" applyFont="1" applyFill="1" applyBorder="1" applyAlignment="1">
      <alignment horizontal="center"/>
    </xf>
    <xf numFmtId="0" fontId="123" fillId="4" borderId="152" xfId="0" applyFont="1" applyFill="1" applyBorder="1" applyAlignment="1">
      <alignment horizontal="center"/>
    </xf>
    <xf numFmtId="0" fontId="123" fillId="4" borderId="137" xfId="0" applyFont="1" applyFill="1" applyBorder="1" applyAlignment="1">
      <alignment horizontal="center"/>
    </xf>
    <xf numFmtId="0" fontId="139" fillId="40" borderId="166" xfId="0" applyFont="1" applyFill="1" applyBorder="1" applyAlignment="1">
      <alignment horizontal="center"/>
    </xf>
    <xf numFmtId="0" fontId="139" fillId="40" borderId="164" xfId="0" applyFont="1" applyFill="1" applyBorder="1" applyAlignment="1">
      <alignment horizontal="center"/>
    </xf>
    <xf numFmtId="0" fontId="139" fillId="40" borderId="168" xfId="0" applyFont="1" applyFill="1" applyBorder="1" applyAlignment="1">
      <alignment horizontal="center"/>
    </xf>
    <xf numFmtId="0" fontId="137" fillId="40" borderId="166" xfId="0" applyFont="1" applyFill="1" applyBorder="1" applyAlignment="1">
      <alignment horizontal="center"/>
    </xf>
    <xf numFmtId="0" fontId="137" fillId="40" borderId="164" xfId="0" applyFont="1" applyFill="1" applyBorder="1" applyAlignment="1">
      <alignment horizontal="center"/>
    </xf>
    <xf numFmtId="0" fontId="137" fillId="40" borderId="168" xfId="0" applyFont="1" applyFill="1" applyBorder="1" applyAlignment="1">
      <alignment horizontal="center"/>
    </xf>
    <xf numFmtId="0" fontId="137" fillId="40" borderId="106" xfId="0" applyFont="1" applyFill="1" applyBorder="1" applyAlignment="1">
      <alignment horizontal="center" vertical="center"/>
    </xf>
    <xf numFmtId="0" fontId="137" fillId="40" borderId="108" xfId="0" applyFont="1" applyFill="1" applyBorder="1" applyAlignment="1">
      <alignment horizontal="center" vertical="center"/>
    </xf>
    <xf numFmtId="0" fontId="137" fillId="40" borderId="107" xfId="0" applyFont="1" applyFill="1" applyBorder="1" applyAlignment="1">
      <alignment horizontal="center" vertical="center"/>
    </xf>
    <xf numFmtId="0" fontId="123" fillId="6" borderId="106" xfId="0" applyFont="1" applyFill="1" applyBorder="1" applyAlignment="1">
      <alignment horizontal="center"/>
    </xf>
    <xf numFmtId="0" fontId="123" fillId="6" borderId="108" xfId="0" applyFont="1" applyFill="1" applyBorder="1" applyAlignment="1">
      <alignment horizontal="center"/>
    </xf>
    <xf numFmtId="0" fontId="123" fillId="6" borderId="107" xfId="0" applyFont="1" applyFill="1" applyBorder="1" applyAlignment="1">
      <alignment horizontal="center"/>
    </xf>
    <xf numFmtId="0" fontId="141" fillId="6" borderId="166" xfId="0" applyFont="1" applyFill="1" applyBorder="1" applyAlignment="1">
      <alignment horizontal="center" vertical="center"/>
    </xf>
    <xf numFmtId="0" fontId="141" fillId="6" borderId="164" xfId="0" applyFont="1" applyFill="1" applyBorder="1" applyAlignment="1">
      <alignment horizontal="center" vertical="center"/>
    </xf>
    <xf numFmtId="0" fontId="141" fillId="6" borderId="168" xfId="0" applyFont="1" applyFill="1" applyBorder="1" applyAlignment="1">
      <alignment horizontal="center" vertical="center"/>
    </xf>
    <xf numFmtId="0" fontId="51" fillId="41" borderId="176" xfId="0" applyFont="1" applyFill="1" applyBorder="1" applyAlignment="1">
      <alignment horizontal="center" vertical="center" wrapText="1"/>
    </xf>
    <xf numFmtId="0" fontId="51" fillId="41" borderId="177" xfId="0" applyFont="1" applyFill="1" applyBorder="1" applyAlignment="1">
      <alignment horizontal="center" vertical="center" wrapText="1"/>
    </xf>
    <xf numFmtId="0" fontId="51" fillId="41" borderId="178" xfId="0" applyFont="1" applyFill="1" applyBorder="1" applyAlignment="1">
      <alignment horizontal="center" vertical="center" wrapText="1"/>
    </xf>
    <xf numFmtId="0" fontId="51" fillId="41" borderId="179" xfId="0" applyFont="1" applyFill="1" applyBorder="1" applyAlignment="1">
      <alignment horizontal="center" vertical="center" wrapText="1"/>
    </xf>
    <xf numFmtId="0" fontId="51" fillId="41" borderId="180" xfId="0" applyFont="1" applyFill="1" applyBorder="1" applyAlignment="1">
      <alignment horizontal="center" vertical="center" wrapText="1"/>
    </xf>
    <xf numFmtId="0" fontId="51" fillId="41" borderId="181" xfId="0" applyFont="1" applyFill="1" applyBorder="1" applyAlignment="1">
      <alignment horizontal="center" vertical="center" wrapText="1"/>
    </xf>
    <xf numFmtId="0" fontId="108" fillId="6" borderId="53" xfId="0" applyFont="1" applyFill="1" applyBorder="1" applyAlignment="1">
      <alignment horizontal="center" wrapText="1"/>
    </xf>
    <xf numFmtId="0" fontId="108" fillId="6" borderId="22" xfId="0" applyFont="1" applyFill="1" applyBorder="1" applyAlignment="1">
      <alignment horizontal="center" wrapText="1"/>
    </xf>
    <xf numFmtId="0" fontId="108" fillId="6" borderId="23" xfId="0" applyFont="1" applyFill="1" applyBorder="1" applyAlignment="1">
      <alignment horizontal="center" wrapText="1"/>
    </xf>
    <xf numFmtId="0" fontId="108" fillId="6" borderId="24" xfId="0" applyFont="1" applyFill="1" applyBorder="1" applyAlignment="1">
      <alignment horizontal="center" wrapText="1"/>
    </xf>
    <xf numFmtId="0" fontId="108" fillId="6" borderId="0" xfId="0" applyFont="1" applyFill="1" applyAlignment="1">
      <alignment horizontal="center" wrapText="1"/>
    </xf>
    <xf numFmtId="0" fontId="108" fillId="6" borderId="21" xfId="0" applyFont="1" applyFill="1" applyBorder="1" applyAlignment="1">
      <alignment horizontal="center" wrapText="1"/>
    </xf>
    <xf numFmtId="0" fontId="108" fillId="6" borderId="25" xfId="0" applyFont="1" applyFill="1" applyBorder="1" applyAlignment="1">
      <alignment horizontal="center" wrapText="1"/>
    </xf>
    <xf numFmtId="0" fontId="108" fillId="6" borderId="14" xfId="0" applyFont="1" applyFill="1" applyBorder="1" applyAlignment="1">
      <alignment horizontal="center" wrapText="1"/>
    </xf>
    <xf numFmtId="0" fontId="108" fillId="6" borderId="26" xfId="0" applyFont="1" applyFill="1" applyBorder="1" applyAlignment="1">
      <alignment horizontal="center" wrapText="1"/>
    </xf>
    <xf numFmtId="0" fontId="122" fillId="31" borderId="106" xfId="0" applyFont="1" applyFill="1" applyBorder="1" applyAlignment="1">
      <alignment horizontal="center" vertical="center" wrapText="1"/>
    </xf>
    <xf numFmtId="0" fontId="122" fillId="31" borderId="107" xfId="0" applyFont="1" applyFill="1" applyBorder="1" applyAlignment="1">
      <alignment horizontal="center" vertical="center" wrapText="1"/>
    </xf>
    <xf numFmtId="0" fontId="122" fillId="31" borderId="109" xfId="0" applyFont="1" applyFill="1" applyBorder="1" applyAlignment="1">
      <alignment horizontal="center" vertical="center" wrapText="1"/>
    </xf>
    <xf numFmtId="0" fontId="122" fillId="31" borderId="110" xfId="0" applyFont="1" applyFill="1" applyBorder="1" applyAlignment="1">
      <alignment horizontal="center" vertical="center" wrapText="1"/>
    </xf>
    <xf numFmtId="0" fontId="122" fillId="31" borderId="104" xfId="0" applyFont="1" applyFill="1" applyBorder="1" applyAlignment="1">
      <alignment horizontal="center" vertical="center" wrapText="1"/>
    </xf>
    <xf numFmtId="0" fontId="122" fillId="31" borderId="105" xfId="0" applyFont="1" applyFill="1" applyBorder="1" applyAlignment="1">
      <alignment horizontal="center" vertical="center" wrapText="1"/>
    </xf>
    <xf numFmtId="0" fontId="122" fillId="31" borderId="176" xfId="0" applyFont="1" applyFill="1" applyBorder="1" applyAlignment="1">
      <alignment horizontal="center" vertical="center" wrapText="1"/>
    </xf>
    <xf numFmtId="0" fontId="122" fillId="31" borderId="177" xfId="0" applyFont="1" applyFill="1" applyBorder="1" applyAlignment="1">
      <alignment horizontal="center" vertical="center" wrapText="1"/>
    </xf>
    <xf numFmtId="0" fontId="122" fillId="31" borderId="178" xfId="0" applyFont="1" applyFill="1" applyBorder="1" applyAlignment="1">
      <alignment horizontal="center" vertical="center" wrapText="1"/>
    </xf>
    <xf numFmtId="0" fontId="122" fillId="31" borderId="179" xfId="0" applyFont="1" applyFill="1" applyBorder="1" applyAlignment="1">
      <alignment horizontal="center" vertical="center" wrapText="1"/>
    </xf>
    <xf numFmtId="0" fontId="122" fillId="31" borderId="180" xfId="0" applyFont="1" applyFill="1" applyBorder="1" applyAlignment="1">
      <alignment horizontal="center" vertical="center" wrapText="1"/>
    </xf>
    <xf numFmtId="0" fontId="122" fillId="31" borderId="181" xfId="0" applyFont="1" applyFill="1" applyBorder="1" applyAlignment="1">
      <alignment horizontal="center" vertical="center" wrapText="1"/>
    </xf>
    <xf numFmtId="0" fontId="123" fillId="6" borderId="53" xfId="0" applyFont="1" applyFill="1" applyBorder="1" applyAlignment="1">
      <alignment horizontal="left"/>
    </xf>
    <xf numFmtId="0" fontId="123" fillId="6" borderId="22" xfId="0" applyFont="1" applyFill="1" applyBorder="1" applyAlignment="1">
      <alignment horizontal="left"/>
    </xf>
    <xf numFmtId="0" fontId="123" fillId="6" borderId="23" xfId="0" applyFont="1" applyFill="1" applyBorder="1" applyAlignment="1">
      <alignment horizontal="left"/>
    </xf>
    <xf numFmtId="0" fontId="111" fillId="6" borderId="53" xfId="0" applyFont="1" applyFill="1" applyBorder="1" applyAlignment="1">
      <alignment horizontal="center" wrapText="1"/>
    </xf>
    <xf numFmtId="0" fontId="111" fillId="6" borderId="22" xfId="0" applyFont="1" applyFill="1" applyBorder="1" applyAlignment="1">
      <alignment horizontal="center" wrapText="1"/>
    </xf>
    <xf numFmtId="0" fontId="111" fillId="6" borderId="23" xfId="0" applyFont="1" applyFill="1" applyBorder="1" applyAlignment="1">
      <alignment horizontal="center" wrapText="1"/>
    </xf>
    <xf numFmtId="0" fontId="111" fillId="6" borderId="25" xfId="0" applyFont="1" applyFill="1" applyBorder="1" applyAlignment="1">
      <alignment horizontal="center" wrapText="1"/>
    </xf>
    <xf numFmtId="0" fontId="111" fillId="6" borderId="14" xfId="0" applyFont="1" applyFill="1" applyBorder="1" applyAlignment="1">
      <alignment horizontal="center" wrapText="1"/>
    </xf>
    <xf numFmtId="0" fontId="111" fillId="6" borderId="26" xfId="0" applyFont="1" applyFill="1" applyBorder="1" applyAlignment="1">
      <alignment horizontal="center" wrapText="1"/>
    </xf>
    <xf numFmtId="164" fontId="143" fillId="35" borderId="110" xfId="0" applyNumberFormat="1" applyFont="1" applyFill="1" applyBorder="1" applyAlignment="1">
      <alignment horizontal="center" vertical="center" textRotation="90" wrapText="1"/>
    </xf>
    <xf numFmtId="0" fontId="123" fillId="35" borderId="109" xfId="0" applyFont="1" applyFill="1" applyBorder="1" applyAlignment="1">
      <alignment horizontal="center" vertical="center"/>
    </xf>
    <xf numFmtId="0" fontId="123" fillId="35" borderId="0" xfId="0" applyFont="1" applyFill="1" applyAlignment="1">
      <alignment horizontal="center" vertical="center"/>
    </xf>
    <xf numFmtId="0" fontId="95" fillId="35" borderId="166" xfId="0" applyFont="1" applyFill="1" applyBorder="1" applyAlignment="1">
      <alignment horizontal="center" vertical="center" textRotation="90"/>
    </xf>
    <xf numFmtId="0" fontId="95" fillId="35" borderId="164" xfId="0" applyFont="1" applyFill="1" applyBorder="1" applyAlignment="1">
      <alignment horizontal="center" vertical="center" textRotation="90"/>
    </xf>
    <xf numFmtId="0" fontId="95" fillId="35" borderId="168" xfId="0" applyFont="1" applyFill="1" applyBorder="1" applyAlignment="1">
      <alignment horizontal="center" vertical="center" textRotation="90"/>
    </xf>
    <xf numFmtId="0" fontId="111" fillId="6" borderId="109" xfId="0" applyFont="1" applyFill="1" applyBorder="1" applyAlignment="1">
      <alignment horizontal="center" wrapText="1"/>
    </xf>
    <xf numFmtId="0" fontId="111" fillId="6" borderId="0" xfId="0" applyFont="1" applyFill="1" applyAlignment="1">
      <alignment horizontal="center" wrapText="1"/>
    </xf>
    <xf numFmtId="0" fontId="111" fillId="6" borderId="110" xfId="0" applyFont="1" applyFill="1" applyBorder="1" applyAlignment="1">
      <alignment horizontal="center" wrapText="1"/>
    </xf>
    <xf numFmtId="0" fontId="111" fillId="6" borderId="182" xfId="0" applyFont="1" applyFill="1" applyBorder="1" applyAlignment="1">
      <alignment horizontal="center" wrapText="1"/>
    </xf>
    <xf numFmtId="0" fontId="111" fillId="6" borderId="183" xfId="0" applyFont="1" applyFill="1" applyBorder="1" applyAlignment="1">
      <alignment horizontal="center" wrapText="1"/>
    </xf>
    <xf numFmtId="0" fontId="145" fillId="6" borderId="167" xfId="0" applyFont="1" applyFill="1" applyBorder="1" applyAlignment="1">
      <alignment horizontal="center" wrapText="1"/>
    </xf>
    <xf numFmtId="0" fontId="145" fillId="6" borderId="22" xfId="0" applyFont="1" applyFill="1" applyBorder="1" applyAlignment="1">
      <alignment horizontal="center" wrapText="1"/>
    </xf>
    <xf numFmtId="0" fontId="145" fillId="6" borderId="184" xfId="0" applyFont="1" applyFill="1" applyBorder="1" applyAlignment="1">
      <alignment horizontal="center" wrapText="1"/>
    </xf>
    <xf numFmtId="0" fontId="145" fillId="6" borderId="109" xfId="0" applyFont="1" applyFill="1" applyBorder="1" applyAlignment="1">
      <alignment horizontal="center" wrapText="1"/>
    </xf>
    <xf numFmtId="0" fontId="145" fillId="6" borderId="0" xfId="0" applyFont="1" applyFill="1" applyAlignment="1">
      <alignment horizontal="center" wrapText="1"/>
    </xf>
    <xf numFmtId="0" fontId="145" fillId="6" borderId="110" xfId="0" applyFont="1" applyFill="1" applyBorder="1" applyAlignment="1">
      <alignment horizontal="center" wrapText="1"/>
    </xf>
    <xf numFmtId="0" fontId="145" fillId="6" borderId="182" xfId="0" applyFont="1" applyFill="1" applyBorder="1" applyAlignment="1">
      <alignment horizontal="center" wrapText="1"/>
    </xf>
    <xf numFmtId="0" fontId="145" fillId="6" borderId="14" xfId="0" applyFont="1" applyFill="1" applyBorder="1" applyAlignment="1">
      <alignment horizontal="center" wrapText="1"/>
    </xf>
    <xf numFmtId="0" fontId="145" fillId="6" borderId="183" xfId="0" applyFont="1" applyFill="1" applyBorder="1" applyAlignment="1">
      <alignment horizontal="center" wrapText="1"/>
    </xf>
    <xf numFmtId="164" fontId="146" fillId="0" borderId="53" xfId="0" applyNumberFormat="1" applyFont="1" applyBorder="1" applyAlignment="1">
      <alignment horizontal="center" vertical="center" wrapText="1"/>
    </xf>
    <xf numFmtId="164" fontId="146" fillId="0" borderId="22" xfId="0" applyNumberFormat="1" applyFont="1" applyBorder="1" applyAlignment="1">
      <alignment horizontal="center" vertical="center" wrapText="1"/>
    </xf>
    <xf numFmtId="164" fontId="146" fillId="0" borderId="184" xfId="0" applyNumberFormat="1" applyFont="1" applyBorder="1" applyAlignment="1">
      <alignment horizontal="center" vertical="center" wrapText="1"/>
    </xf>
    <xf numFmtId="164" fontId="146" fillId="0" borderId="25" xfId="0" applyNumberFormat="1" applyFont="1" applyBorder="1" applyAlignment="1">
      <alignment horizontal="center" vertical="center" wrapText="1"/>
    </xf>
    <xf numFmtId="164" fontId="146" fillId="0" borderId="14" xfId="0" applyNumberFormat="1" applyFont="1" applyBorder="1" applyAlignment="1">
      <alignment horizontal="center" vertical="center" wrapText="1"/>
    </xf>
    <xf numFmtId="164" fontId="146" fillId="0" borderId="183" xfId="0" applyNumberFormat="1" applyFont="1" applyBorder="1" applyAlignment="1">
      <alignment horizontal="center" vertical="center" wrapText="1"/>
    </xf>
    <xf numFmtId="0" fontId="144" fillId="10" borderId="106" xfId="0" applyFont="1" applyFill="1" applyBorder="1" applyAlignment="1">
      <alignment horizontal="center" vertical="center" wrapText="1"/>
    </xf>
    <xf numFmtId="0" fontId="144" fillId="10" borderId="107" xfId="0" applyFont="1" applyFill="1" applyBorder="1" applyAlignment="1">
      <alignment horizontal="center" vertical="center" wrapText="1"/>
    </xf>
    <xf numFmtId="0" fontId="144" fillId="10" borderId="109" xfId="0" applyFont="1" applyFill="1" applyBorder="1" applyAlignment="1">
      <alignment horizontal="center" vertical="center" wrapText="1"/>
    </xf>
    <xf numFmtId="0" fontId="144" fillId="10" borderId="110" xfId="0" applyFont="1" applyFill="1" applyBorder="1" applyAlignment="1">
      <alignment horizontal="center" vertical="center" wrapText="1"/>
    </xf>
    <xf numFmtId="0" fontId="144" fillId="10" borderId="104" xfId="0" applyFont="1" applyFill="1" applyBorder="1" applyAlignment="1">
      <alignment horizontal="center" vertical="center" wrapText="1"/>
    </xf>
    <xf numFmtId="0" fontId="144" fillId="10" borderId="105" xfId="0" applyFont="1" applyFill="1" applyBorder="1" applyAlignment="1">
      <alignment horizontal="center" vertical="center" wrapText="1"/>
    </xf>
    <xf numFmtId="0" fontId="143" fillId="35" borderId="110" xfId="0" applyFont="1" applyFill="1" applyBorder="1" applyAlignment="1">
      <alignment horizontal="center" vertical="center" textRotation="90" wrapText="1"/>
    </xf>
    <xf numFmtId="0" fontId="82" fillId="14" borderId="193" xfId="0" applyFont="1" applyFill="1" applyBorder="1" applyAlignment="1">
      <alignment horizontal="center" vertical="center" wrapText="1"/>
    </xf>
    <xf numFmtId="0" fontId="82" fillId="14" borderId="194" xfId="0" applyFont="1" applyFill="1" applyBorder="1" applyAlignment="1">
      <alignment horizontal="center" vertical="center" wrapText="1"/>
    </xf>
    <xf numFmtId="0" fontId="82" fillId="14" borderId="203" xfId="0" applyFont="1" applyFill="1" applyBorder="1" applyAlignment="1">
      <alignment horizontal="center" vertical="center" wrapText="1"/>
    </xf>
    <xf numFmtId="0" fontId="82" fillId="14" borderId="197" xfId="0" applyFont="1" applyFill="1" applyBorder="1" applyAlignment="1">
      <alignment horizontal="center" vertical="center" wrapText="1"/>
    </xf>
    <xf numFmtId="0" fontId="82" fillId="14" borderId="198" xfId="0" applyFont="1" applyFill="1" applyBorder="1" applyAlignment="1">
      <alignment horizontal="center" vertical="center" wrapText="1"/>
    </xf>
    <xf numFmtId="0" fontId="82" fillId="14" borderId="204" xfId="0" applyFont="1" applyFill="1" applyBorder="1" applyAlignment="1">
      <alignment horizontal="center" vertical="center" wrapText="1"/>
    </xf>
    <xf numFmtId="0" fontId="130" fillId="6" borderId="167" xfId="0" applyFont="1" applyFill="1" applyBorder="1" applyAlignment="1">
      <alignment horizontal="center" wrapText="1"/>
    </xf>
    <xf numFmtId="0" fontId="130" fillId="6" borderId="22" xfId="0" applyFont="1" applyFill="1" applyBorder="1" applyAlignment="1">
      <alignment horizontal="center" wrapText="1"/>
    </xf>
    <xf numFmtId="0" fontId="130" fillId="6" borderId="184" xfId="0" applyFont="1" applyFill="1" applyBorder="1" applyAlignment="1">
      <alignment horizontal="center" wrapText="1"/>
    </xf>
    <xf numFmtId="0" fontId="130" fillId="6" borderId="109" xfId="0" applyFont="1" applyFill="1" applyBorder="1" applyAlignment="1">
      <alignment horizontal="center" wrapText="1"/>
    </xf>
    <xf numFmtId="0" fontId="130" fillId="6" borderId="0" xfId="0" applyFont="1" applyFill="1" applyAlignment="1">
      <alignment horizontal="center" wrapText="1"/>
    </xf>
    <xf numFmtId="0" fontId="130" fillId="6" borderId="110" xfId="0" applyFont="1" applyFill="1" applyBorder="1" applyAlignment="1">
      <alignment horizontal="center" wrapText="1"/>
    </xf>
    <xf numFmtId="0" fontId="130" fillId="6" borderId="182" xfId="0" applyFont="1" applyFill="1" applyBorder="1" applyAlignment="1">
      <alignment horizontal="center" wrapText="1"/>
    </xf>
    <xf numFmtId="0" fontId="130" fillId="6" borderId="14" xfId="0" applyFont="1" applyFill="1" applyBorder="1" applyAlignment="1">
      <alignment horizontal="center" wrapText="1"/>
    </xf>
    <xf numFmtId="0" fontId="130" fillId="6" borderId="183" xfId="0" applyFont="1" applyFill="1" applyBorder="1" applyAlignment="1">
      <alignment horizontal="center" wrapText="1"/>
    </xf>
    <xf numFmtId="0" fontId="52" fillId="6" borderId="111" xfId="0" applyFont="1" applyFill="1" applyBorder="1" applyAlignment="1">
      <alignment horizontal="center"/>
    </xf>
    <xf numFmtId="0" fontId="52" fillId="6" borderId="105" xfId="0" applyFont="1" applyFill="1" applyBorder="1" applyAlignment="1">
      <alignment horizontal="center"/>
    </xf>
    <xf numFmtId="0" fontId="52" fillId="0" borderId="0" xfId="0" applyFont="1" applyAlignment="1">
      <alignment horizontal="center"/>
    </xf>
    <xf numFmtId="0" fontId="49" fillId="11" borderId="24" xfId="0" applyFont="1" applyFill="1" applyBorder="1" applyAlignment="1">
      <alignment horizontal="center" vertical="center" textRotation="90"/>
    </xf>
    <xf numFmtId="0" fontId="111" fillId="28" borderId="53" xfId="0" applyFont="1" applyFill="1" applyBorder="1" applyAlignment="1">
      <alignment horizontal="center" vertical="center" wrapText="1"/>
    </xf>
    <xf numFmtId="0" fontId="111" fillId="28" borderId="22" xfId="0" applyFont="1" applyFill="1" applyBorder="1" applyAlignment="1">
      <alignment horizontal="center" vertical="center" wrapText="1"/>
    </xf>
    <xf numFmtId="0" fontId="111" fillId="28" borderId="23" xfId="0" applyFont="1" applyFill="1" applyBorder="1" applyAlignment="1">
      <alignment horizontal="center" vertical="center" wrapText="1"/>
    </xf>
    <xf numFmtId="0" fontId="111" fillId="28" borderId="25" xfId="0" applyFont="1" applyFill="1" applyBorder="1" applyAlignment="1">
      <alignment horizontal="center" vertical="center" wrapText="1"/>
    </xf>
    <xf numFmtId="0" fontId="111" fillId="28" borderId="14" xfId="0" applyFont="1" applyFill="1" applyBorder="1" applyAlignment="1">
      <alignment horizontal="center" vertical="center" wrapText="1"/>
    </xf>
    <xf numFmtId="0" fontId="111" fillId="28" borderId="26" xfId="0" applyFont="1" applyFill="1" applyBorder="1" applyAlignment="1">
      <alignment horizontal="center" vertical="center" wrapText="1"/>
    </xf>
    <xf numFmtId="0" fontId="48" fillId="42" borderId="53" xfId="0" applyFont="1" applyFill="1" applyBorder="1" applyAlignment="1">
      <alignment horizontal="center" vertical="center"/>
    </xf>
    <xf numFmtId="0" fontId="48" fillId="42" borderId="22" xfId="0" applyFont="1" applyFill="1" applyBorder="1" applyAlignment="1">
      <alignment horizontal="center" vertical="center"/>
    </xf>
    <xf numFmtId="0" fontId="48" fillId="42" borderId="23" xfId="0" applyFont="1" applyFill="1" applyBorder="1" applyAlignment="1">
      <alignment horizontal="center" vertical="center"/>
    </xf>
    <xf numFmtId="0" fontId="48" fillId="42" borderId="24" xfId="0" applyFont="1" applyFill="1" applyBorder="1" applyAlignment="1">
      <alignment horizontal="center" vertical="center"/>
    </xf>
    <xf numFmtId="0" fontId="48" fillId="42" borderId="0" xfId="0" applyFont="1" applyFill="1" applyAlignment="1">
      <alignment horizontal="center" vertical="center"/>
    </xf>
    <xf numFmtId="0" fontId="48" fillId="42" borderId="21" xfId="0" applyFont="1" applyFill="1" applyBorder="1" applyAlignment="1">
      <alignment horizontal="center" vertical="center"/>
    </xf>
    <xf numFmtId="0" fontId="49" fillId="11" borderId="19" xfId="0" applyFont="1" applyFill="1" applyBorder="1" applyAlignment="1">
      <alignment horizontal="center" vertical="center" textRotation="90"/>
    </xf>
    <xf numFmtId="0" fontId="92" fillId="43" borderId="166" xfId="0" applyFont="1" applyFill="1" applyBorder="1" applyAlignment="1">
      <alignment horizontal="center" vertical="center" wrapText="1"/>
    </xf>
    <xf numFmtId="0" fontId="92" fillId="43" borderId="168" xfId="0" applyFont="1" applyFill="1" applyBorder="1" applyAlignment="1">
      <alignment horizontal="center" vertical="center" wrapText="1"/>
    </xf>
    <xf numFmtId="0" fontId="92" fillId="43" borderId="166" xfId="0" applyFont="1" applyFill="1" applyBorder="1" applyAlignment="1">
      <alignment horizontal="center" vertical="center"/>
    </xf>
    <xf numFmtId="0" fontId="92" fillId="43" borderId="168" xfId="0" applyFont="1" applyFill="1" applyBorder="1" applyAlignment="1">
      <alignment horizontal="center" vertical="center"/>
    </xf>
    <xf numFmtId="0" fontId="92" fillId="43" borderId="164" xfId="0" applyFont="1" applyFill="1" applyBorder="1" applyAlignment="1">
      <alignment horizontal="center" vertical="center"/>
    </xf>
    <xf numFmtId="0" fontId="123" fillId="43" borderId="166" xfId="0" applyFont="1" applyFill="1" applyBorder="1" applyAlignment="1">
      <alignment horizontal="center"/>
    </xf>
    <xf numFmtId="0" fontId="123" fillId="43" borderId="164" xfId="0" applyFont="1" applyFill="1" applyBorder="1" applyAlignment="1">
      <alignment horizontal="center"/>
    </xf>
    <xf numFmtId="0" fontId="123" fillId="43" borderId="168" xfId="0" applyFont="1" applyFill="1" applyBorder="1" applyAlignment="1">
      <alignment horizontal="center"/>
    </xf>
    <xf numFmtId="0" fontId="88" fillId="6" borderId="0" xfId="0" applyFont="1" applyFill="1" applyAlignment="1">
      <alignment horizontal="center" vertical="center"/>
    </xf>
    <xf numFmtId="0" fontId="92" fillId="4" borderId="0" xfId="0" applyFont="1" applyFill="1" applyAlignment="1">
      <alignment horizontal="center" vertical="center" wrapText="1"/>
    </xf>
    <xf numFmtId="0" fontId="92" fillId="4" borderId="137" xfId="0" applyFont="1" applyFill="1" applyBorder="1" applyAlignment="1">
      <alignment horizontal="center" vertical="center" wrapText="1"/>
    </xf>
    <xf numFmtId="0" fontId="92" fillId="6" borderId="157" xfId="0" applyFont="1" applyFill="1" applyBorder="1" applyAlignment="1">
      <alignment horizontal="center" vertical="center" textRotation="90"/>
    </xf>
    <xf numFmtId="0" fontId="92" fillId="6" borderId="158" xfId="0" applyFont="1" applyFill="1" applyBorder="1" applyAlignment="1">
      <alignment horizontal="center" vertical="center" textRotation="90"/>
    </xf>
    <xf numFmtId="0" fontId="147" fillId="6" borderId="157" xfId="0" applyFont="1" applyFill="1" applyBorder="1" applyAlignment="1">
      <alignment horizontal="center" vertical="center" wrapText="1"/>
    </xf>
    <xf numFmtId="0" fontId="147" fillId="6" borderId="158" xfId="0" applyFont="1" applyFill="1" applyBorder="1" applyAlignment="1">
      <alignment horizontal="center" vertical="center" wrapText="1"/>
    </xf>
    <xf numFmtId="0" fontId="92" fillId="6" borderId="156" xfId="0" applyFont="1" applyFill="1" applyBorder="1" applyAlignment="1">
      <alignment horizontal="center" vertical="center" textRotation="90"/>
    </xf>
    <xf numFmtId="0" fontId="64" fillId="16" borderId="0" xfId="0" applyFont="1" applyFill="1" applyAlignment="1">
      <alignment horizontal="center"/>
    </xf>
    <xf numFmtId="0" fontId="92" fillId="4" borderId="156" xfId="0" applyFont="1" applyFill="1" applyBorder="1" applyAlignment="1">
      <alignment horizontal="center" vertical="center" textRotation="90"/>
    </xf>
    <xf numFmtId="0" fontId="92" fillId="4" borderId="157" xfId="0" applyFont="1" applyFill="1" applyBorder="1" applyAlignment="1">
      <alignment horizontal="center" vertical="center" textRotation="90"/>
    </xf>
    <xf numFmtId="0" fontId="92" fillId="4" borderId="158" xfId="0" applyFont="1" applyFill="1" applyBorder="1" applyAlignment="1">
      <alignment horizontal="center" vertical="center" textRotation="90"/>
    </xf>
    <xf numFmtId="0" fontId="92" fillId="4" borderId="109" xfId="0" applyFont="1" applyFill="1" applyBorder="1" applyAlignment="1">
      <alignment horizontal="center" vertical="center" textRotation="90"/>
    </xf>
    <xf numFmtId="0" fontId="92" fillId="4" borderId="110" xfId="0" applyFont="1" applyFill="1" applyBorder="1" applyAlignment="1">
      <alignment horizontal="center" vertical="center" textRotation="90"/>
    </xf>
    <xf numFmtId="0" fontId="88" fillId="6" borderId="152" xfId="0" applyFont="1" applyFill="1" applyBorder="1" applyAlignment="1">
      <alignment horizontal="center" vertical="center"/>
    </xf>
    <xf numFmtId="0" fontId="88" fillId="6" borderId="154" xfId="0" applyFont="1" applyFill="1" applyBorder="1" applyAlignment="1">
      <alignment horizontal="center" vertical="center"/>
    </xf>
    <xf numFmtId="0" fontId="144" fillId="44" borderId="185" xfId="0" applyFont="1" applyFill="1" applyBorder="1" applyAlignment="1">
      <alignment horizontal="center"/>
    </xf>
    <xf numFmtId="0" fontId="144" fillId="44" borderId="186" xfId="0" applyFont="1" applyFill="1" applyBorder="1" applyAlignment="1">
      <alignment horizontal="center"/>
    </xf>
    <xf numFmtId="0" fontId="144" fillId="44" borderId="187" xfId="0" applyFont="1" applyFill="1" applyBorder="1" applyAlignment="1">
      <alignment horizontal="center"/>
    </xf>
    <xf numFmtId="0" fontId="56" fillId="31" borderId="24" xfId="0" applyFont="1" applyFill="1" applyBorder="1" applyAlignment="1">
      <alignment horizontal="center"/>
    </xf>
    <xf numFmtId="0" fontId="56" fillId="31" borderId="0" xfId="0" applyFont="1" applyFill="1" applyAlignment="1">
      <alignment horizontal="center"/>
    </xf>
    <xf numFmtId="0" fontId="100" fillId="35" borderId="53" xfId="0" applyFont="1" applyFill="1" applyBorder="1" applyAlignment="1">
      <alignment horizontal="center" vertical="center"/>
    </xf>
    <xf numFmtId="0" fontId="100" fillId="35" borderId="22" xfId="0" applyFont="1" applyFill="1" applyBorder="1" applyAlignment="1">
      <alignment horizontal="center" vertical="center"/>
    </xf>
    <xf numFmtId="0" fontId="100" fillId="35" borderId="23" xfId="0" applyFont="1" applyFill="1" applyBorder="1" applyAlignment="1">
      <alignment horizontal="center" vertical="center"/>
    </xf>
    <xf numFmtId="0" fontId="100" fillId="35" borderId="24" xfId="0" applyFont="1" applyFill="1" applyBorder="1" applyAlignment="1">
      <alignment horizontal="center" vertical="center"/>
    </xf>
    <xf numFmtId="0" fontId="100" fillId="35" borderId="0" xfId="0" applyFont="1" applyFill="1" applyAlignment="1">
      <alignment horizontal="center" vertical="center"/>
    </xf>
    <xf numFmtId="0" fontId="100" fillId="35" borderId="21" xfId="0" applyFont="1" applyFill="1" applyBorder="1" applyAlignment="1">
      <alignment horizontal="center" vertical="center"/>
    </xf>
    <xf numFmtId="0" fontId="100" fillId="35" borderId="25" xfId="0" applyFont="1" applyFill="1" applyBorder="1" applyAlignment="1">
      <alignment horizontal="center" vertical="center"/>
    </xf>
    <xf numFmtId="0" fontId="100" fillId="35" borderId="14" xfId="0" applyFont="1" applyFill="1" applyBorder="1" applyAlignment="1">
      <alignment horizontal="center" vertical="center"/>
    </xf>
    <xf numFmtId="0" fontId="100" fillId="35" borderId="26" xfId="0" applyFont="1" applyFill="1" applyBorder="1" applyAlignment="1">
      <alignment horizontal="center" vertical="center"/>
    </xf>
    <xf numFmtId="0" fontId="100" fillId="24" borderId="4" xfId="0" applyFont="1" applyFill="1" applyBorder="1" applyAlignment="1">
      <alignment horizontal="center" wrapText="1"/>
    </xf>
    <xf numFmtId="0" fontId="100" fillId="24" borderId="29" xfId="0" applyFont="1" applyFill="1" applyBorder="1" applyAlignment="1">
      <alignment horizontal="center" wrapText="1"/>
    </xf>
    <xf numFmtId="0" fontId="100" fillId="24" borderId="5" xfId="0" applyFont="1" applyFill="1" applyBorder="1" applyAlignment="1">
      <alignment horizontal="center" wrapText="1"/>
    </xf>
    <xf numFmtId="0" fontId="7" fillId="6" borderId="53" xfId="0" applyFont="1" applyFill="1" applyBorder="1" applyAlignment="1">
      <alignment horizontal="center" vertical="center"/>
    </xf>
    <xf numFmtId="0" fontId="7" fillId="6" borderId="22" xfId="0" applyFont="1" applyFill="1" applyBorder="1" applyAlignment="1">
      <alignment horizontal="center" vertical="center"/>
    </xf>
    <xf numFmtId="0" fontId="7" fillId="6" borderId="23" xfId="0" applyFont="1" applyFill="1" applyBorder="1" applyAlignment="1">
      <alignment horizontal="center" vertical="center"/>
    </xf>
    <xf numFmtId="0" fontId="7" fillId="6" borderId="25" xfId="0" applyFont="1" applyFill="1" applyBorder="1" applyAlignment="1">
      <alignment horizontal="center" vertical="center"/>
    </xf>
    <xf numFmtId="0" fontId="7" fillId="6" borderId="14" xfId="0" applyFont="1" applyFill="1" applyBorder="1" applyAlignment="1">
      <alignment horizontal="center" vertical="center"/>
    </xf>
    <xf numFmtId="0" fontId="7" fillId="6" borderId="26" xfId="0" applyFont="1" applyFill="1" applyBorder="1" applyAlignment="1">
      <alignment horizontal="center" vertical="center"/>
    </xf>
    <xf numFmtId="0" fontId="83" fillId="6" borderId="22" xfId="0" applyFont="1" applyFill="1" applyBorder="1" applyAlignment="1">
      <alignment horizontal="center" vertical="center"/>
    </xf>
    <xf numFmtId="0" fontId="83" fillId="6" borderId="14" xfId="0" applyFont="1" applyFill="1" applyBorder="1" applyAlignment="1">
      <alignment horizontal="center" vertical="center"/>
    </xf>
    <xf numFmtId="0" fontId="83" fillId="6" borderId="23" xfId="0" applyFont="1" applyFill="1" applyBorder="1" applyAlignment="1">
      <alignment horizontal="center" vertical="center"/>
    </xf>
    <xf numFmtId="0" fontId="83" fillId="6" borderId="26" xfId="0" applyFont="1" applyFill="1" applyBorder="1" applyAlignment="1">
      <alignment horizontal="center" vertical="center"/>
    </xf>
    <xf numFmtId="0" fontId="83" fillId="20" borderId="53" xfId="0" applyFont="1" applyFill="1" applyBorder="1" applyAlignment="1">
      <alignment horizontal="center" vertical="center"/>
    </xf>
    <xf numFmtId="0" fontId="83" fillId="20" borderId="25" xfId="0" applyFont="1" applyFill="1" applyBorder="1" applyAlignment="1">
      <alignment horizontal="center" vertical="center"/>
    </xf>
    <xf numFmtId="0" fontId="7" fillId="0" borderId="188" xfId="0" applyFont="1" applyBorder="1" applyAlignment="1">
      <alignment horizontal="center" vertical="center"/>
    </xf>
    <xf numFmtId="0" fontId="7" fillId="0" borderId="189" xfId="0" applyFont="1" applyBorder="1" applyAlignment="1">
      <alignment horizontal="center" vertical="center"/>
    </xf>
    <xf numFmtId="0" fontId="7" fillId="0" borderId="190" xfId="0" applyFont="1" applyBorder="1" applyAlignment="1">
      <alignment horizontal="center" vertical="center"/>
    </xf>
    <xf numFmtId="0" fontId="7" fillId="0" borderId="188" xfId="0" applyFont="1" applyBorder="1" applyAlignment="1">
      <alignment horizontal="center" vertical="center" wrapText="1"/>
    </xf>
    <xf numFmtId="0" fontId="7" fillId="0" borderId="189" xfId="0" applyFont="1" applyBorder="1" applyAlignment="1">
      <alignment horizontal="center" vertical="center" wrapText="1"/>
    </xf>
    <xf numFmtId="0" fontId="7" fillId="0" borderId="191" xfId="0" applyFont="1" applyBorder="1" applyAlignment="1">
      <alignment horizontal="center" vertical="center" wrapText="1"/>
    </xf>
    <xf numFmtId="164" fontId="73" fillId="21" borderId="4" xfId="1" applyNumberFormat="1" applyFont="1" applyFill="1" applyBorder="1" applyAlignment="1">
      <alignment horizontal="center" vertical="center" wrapText="1"/>
    </xf>
    <xf numFmtId="164" fontId="73" fillId="21" borderId="29" xfId="1" applyNumberFormat="1" applyFont="1" applyFill="1" applyBorder="1" applyAlignment="1">
      <alignment horizontal="center" vertical="center" wrapText="1"/>
    </xf>
    <xf numFmtId="164" fontId="73" fillId="21" borderId="5" xfId="1" applyNumberFormat="1" applyFont="1" applyFill="1" applyBorder="1" applyAlignment="1">
      <alignment horizontal="center" vertical="center" wrapText="1"/>
    </xf>
    <xf numFmtId="0" fontId="73" fillId="21" borderId="4" xfId="0" applyFont="1" applyFill="1" applyBorder="1" applyAlignment="1">
      <alignment horizontal="center" vertical="center" wrapText="1"/>
    </xf>
    <xf numFmtId="0" fontId="73" fillId="21" borderId="29" xfId="0" applyFont="1" applyFill="1" applyBorder="1" applyAlignment="1">
      <alignment horizontal="center" vertical="center" wrapText="1"/>
    </xf>
    <xf numFmtId="0" fontId="73" fillId="21" borderId="5" xfId="0" applyFont="1" applyFill="1" applyBorder="1" applyAlignment="1">
      <alignment horizontal="center" vertical="center" wrapText="1"/>
    </xf>
    <xf numFmtId="0" fontId="133" fillId="6" borderId="4" xfId="0" applyFont="1" applyFill="1" applyBorder="1" applyAlignment="1">
      <alignment horizontal="center" vertical="center"/>
    </xf>
    <xf numFmtId="0" fontId="133" fillId="6" borderId="29" xfId="0" applyFont="1" applyFill="1" applyBorder="1" applyAlignment="1">
      <alignment horizontal="center" vertical="center"/>
    </xf>
    <xf numFmtId="0" fontId="133" fillId="6" borderId="5" xfId="0" applyFont="1" applyFill="1" applyBorder="1" applyAlignment="1">
      <alignment horizontal="center" vertical="center"/>
    </xf>
    <xf numFmtId="0" fontId="133" fillId="6" borderId="4" xfId="0" applyFont="1" applyFill="1" applyBorder="1" applyAlignment="1">
      <alignment horizontal="center"/>
    </xf>
    <xf numFmtId="0" fontId="133" fillId="6" borderId="29" xfId="0" applyFont="1" applyFill="1" applyBorder="1" applyAlignment="1">
      <alignment horizontal="center"/>
    </xf>
    <xf numFmtId="0" fontId="133" fillId="6" borderId="5" xfId="0" applyFont="1" applyFill="1" applyBorder="1" applyAlignment="1">
      <alignment horizontal="center"/>
    </xf>
    <xf numFmtId="0" fontId="73" fillId="30" borderId="4" xfId="0" applyFont="1" applyFill="1" applyBorder="1" applyAlignment="1">
      <alignment horizontal="center" vertical="center"/>
    </xf>
    <xf numFmtId="0" fontId="73" fillId="30" borderId="29" xfId="0" applyFont="1" applyFill="1" applyBorder="1" applyAlignment="1">
      <alignment horizontal="center" vertical="center"/>
    </xf>
    <xf numFmtId="0" fontId="73" fillId="30" borderId="5" xfId="0" applyFont="1" applyFill="1" applyBorder="1" applyAlignment="1">
      <alignment horizontal="center" vertical="center"/>
    </xf>
    <xf numFmtId="0" fontId="108" fillId="0" borderId="0" xfId="0" applyFont="1" applyAlignment="1">
      <alignment horizontal="left" vertical="top" wrapText="1"/>
    </xf>
    <xf numFmtId="0" fontId="108" fillId="0" borderId="0" xfId="0" applyFont="1" applyAlignment="1">
      <alignment horizontal="left"/>
    </xf>
    <xf numFmtId="0" fontId="92" fillId="6" borderId="0" xfId="0" applyFont="1" applyFill="1" applyAlignment="1">
      <alignment horizontal="left" vertical="center"/>
    </xf>
    <xf numFmtId="0" fontId="108" fillId="0" borderId="0" xfId="0" applyFont="1" applyAlignment="1">
      <alignment horizontal="left" wrapText="1"/>
    </xf>
    <xf numFmtId="0" fontId="105" fillId="6" borderId="0" xfId="0" applyFont="1" applyFill="1" applyAlignment="1">
      <alignment horizontal="center" vertical="center"/>
    </xf>
    <xf numFmtId="0" fontId="104" fillId="0" borderId="0" xfId="0" applyFont="1" applyAlignment="1">
      <alignment horizontal="left"/>
    </xf>
    <xf numFmtId="0" fontId="104" fillId="0" borderId="0" xfId="0" applyFont="1" applyAlignment="1">
      <alignment horizontal="left" wrapText="1"/>
    </xf>
    <xf numFmtId="0" fontId="104" fillId="0" borderId="0" xfId="0" applyFont="1" applyAlignment="1">
      <alignment horizontal="left" vertical="top" wrapText="1"/>
    </xf>
    <xf numFmtId="0" fontId="107" fillId="0" borderId="0" xfId="0" applyFont="1" applyAlignment="1">
      <alignment horizontal="center" vertical="center"/>
    </xf>
    <xf numFmtId="0" fontId="111" fillId="0" borderId="0" xfId="0" applyFont="1" applyAlignment="1">
      <alignment horizontal="left"/>
    </xf>
    <xf numFmtId="0" fontId="36" fillId="0" borderId="0" xfId="0" applyFont="1" applyAlignment="1">
      <alignment horizontal="left" vertical="top" wrapText="1"/>
    </xf>
    <xf numFmtId="0" fontId="36" fillId="0" borderId="0" xfId="0" applyFont="1" applyAlignment="1">
      <alignment horizontal="left" wrapText="1"/>
    </xf>
    <xf numFmtId="0" fontId="36" fillId="0" borderId="0" xfId="0" applyFont="1" applyAlignment="1">
      <alignment horizontal="center" wrapText="1"/>
    </xf>
    <xf numFmtId="0" fontId="36" fillId="0" borderId="0" xfId="0" applyFont="1" applyAlignment="1">
      <alignment horizontal="center" vertical="top" wrapText="1"/>
    </xf>
    <xf numFmtId="0" fontId="33" fillId="0" borderId="0" xfId="0" applyFont="1" applyAlignment="1">
      <alignment horizontal="center" vertical="center"/>
    </xf>
    <xf numFmtId="0" fontId="0" fillId="0" borderId="0" xfId="0" applyAlignment="1">
      <alignment horizontal="left" vertical="top" wrapText="1"/>
    </xf>
    <xf numFmtId="0" fontId="33" fillId="46" borderId="0" xfId="0" applyFont="1" applyFill="1" applyAlignment="1">
      <alignment horizontal="center"/>
    </xf>
    <xf numFmtId="164" fontId="30" fillId="0" borderId="4" xfId="1" applyNumberFormat="1" applyFont="1" applyFill="1" applyBorder="1" applyAlignment="1" applyProtection="1">
      <alignment horizontal="center" vertical="center" wrapText="1"/>
      <protection locked="0"/>
    </xf>
    <xf numFmtId="164" fontId="30" fillId="0" borderId="5" xfId="1" applyNumberFormat="1" applyFont="1" applyFill="1" applyBorder="1" applyAlignment="1" applyProtection="1">
      <alignment horizontal="center" vertical="center" wrapText="1"/>
      <protection locked="0"/>
    </xf>
    <xf numFmtId="164" fontId="33" fillId="0" borderId="4" xfId="1" applyNumberFormat="1" applyFont="1" applyFill="1" applyBorder="1" applyAlignment="1" applyProtection="1">
      <alignment horizontal="center" vertical="center" wrapText="1"/>
      <protection locked="0"/>
    </xf>
    <xf numFmtId="164" fontId="33" fillId="0" borderId="5" xfId="1" applyNumberFormat="1" applyFont="1" applyFill="1" applyBorder="1" applyAlignment="1" applyProtection="1">
      <alignment horizontal="center" vertical="center" wrapText="1"/>
      <protection locked="0"/>
    </xf>
    <xf numFmtId="0" fontId="33" fillId="0" borderId="0" xfId="0" applyFont="1" applyAlignment="1">
      <alignment horizontal="left" vertical="center"/>
    </xf>
    <xf numFmtId="0" fontId="33" fillId="0" borderId="0" xfId="0" applyFont="1" applyAlignment="1">
      <alignment horizontal="right" vertical="center"/>
    </xf>
    <xf numFmtId="0" fontId="44" fillId="0" borderId="0" xfId="0" applyFont="1" applyAlignment="1">
      <alignment horizontal="left" vertical="top" wrapText="1"/>
    </xf>
    <xf numFmtId="0" fontId="0" fillId="0" borderId="4" xfId="0" applyBorder="1" applyAlignment="1">
      <alignment horizontal="center" vertical="center" wrapText="1"/>
    </xf>
    <xf numFmtId="0" fontId="0" fillId="0" borderId="5" xfId="0" applyBorder="1" applyAlignment="1">
      <alignment horizontal="center" vertical="center" wrapText="1"/>
    </xf>
    <xf numFmtId="0" fontId="36" fillId="0" borderId="0" xfId="0" applyFont="1" applyAlignment="1">
      <alignment horizontal="left" vertical="center"/>
    </xf>
    <xf numFmtId="0" fontId="36" fillId="0" borderId="0" xfId="0" applyFont="1" applyAlignment="1">
      <alignment horizontal="left"/>
    </xf>
    <xf numFmtId="0" fontId="33" fillId="0" borderId="0" xfId="0" applyFont="1" applyAlignment="1">
      <alignment horizontal="center" vertical="center" wrapText="1"/>
    </xf>
    <xf numFmtId="0" fontId="41" fillId="0" borderId="0" xfId="0" applyFont="1" applyAlignment="1">
      <alignment horizontal="center"/>
    </xf>
    <xf numFmtId="0" fontId="33" fillId="0" borderId="0" xfId="0" applyFont="1" applyAlignment="1">
      <alignment horizontal="center" wrapText="1"/>
    </xf>
    <xf numFmtId="0" fontId="148" fillId="0" borderId="0" xfId="0" applyFont="1" applyAlignment="1">
      <alignment horizontal="center"/>
    </xf>
    <xf numFmtId="0" fontId="44" fillId="0" borderId="0" xfId="0" applyFont="1" applyAlignment="1">
      <alignment horizontal="left" wrapText="1"/>
    </xf>
    <xf numFmtId="0" fontId="44" fillId="0" borderId="11" xfId="0" applyFont="1" applyBorder="1" applyAlignment="1">
      <alignment horizontal="left" wrapText="1"/>
    </xf>
    <xf numFmtId="0" fontId="0" fillId="0" borderId="0" xfId="0" applyAlignment="1">
      <alignment horizontal="center"/>
    </xf>
    <xf numFmtId="0" fontId="35" fillId="0" borderId="0" xfId="0" applyFont="1" applyAlignment="1">
      <alignment horizontal="center"/>
    </xf>
  </cellXfs>
  <cellStyles count="7">
    <cellStyle name="Comma" xfId="1" builtinId="3"/>
    <cellStyle name="Comma 2" xfId="2" xr:uid="{73826028-30AD-45D2-915D-170B7FA67901}"/>
    <cellStyle name="Hyperlink" xfId="3" builtinId="8"/>
    <cellStyle name="Normal" xfId="0" builtinId="0"/>
    <cellStyle name="Normal 2" xfId="4" xr:uid="{82E9DA40-F897-46A6-8F23-C2C50DA0C539}"/>
    <cellStyle name="Note" xfId="5" builtinId="10"/>
    <cellStyle name="Percent" xfId="6" builtinId="5"/>
  </cellStyles>
  <dxfs count="99">
    <dxf>
      <font>
        <color theme="0"/>
      </font>
      <fill>
        <patternFill>
          <bgColor theme="0"/>
        </patternFill>
      </fill>
      <border>
        <left/>
        <right/>
        <top/>
        <bottom/>
      </border>
    </dxf>
    <dxf>
      <font>
        <color rgb="FF9C0006"/>
      </font>
      <fill>
        <patternFill>
          <bgColor rgb="FFFFC7CE"/>
        </patternFill>
      </fill>
    </dxf>
    <dxf>
      <font>
        <b/>
        <i val="0"/>
        <color rgb="FFFF0000"/>
      </font>
      <fill>
        <patternFill>
          <bgColor theme="0"/>
        </patternFill>
      </fill>
    </dxf>
    <dxf>
      <font>
        <b/>
        <i val="0"/>
        <color rgb="FFFF0000"/>
      </font>
      <fill>
        <patternFill>
          <bgColor theme="0"/>
        </patternFill>
      </fill>
    </dxf>
    <dxf>
      <font>
        <b/>
        <i val="0"/>
        <color rgb="FFFF0000"/>
      </font>
      <fill>
        <patternFill patternType="none">
          <bgColor indexed="65"/>
        </patternFill>
      </fill>
    </dxf>
    <dxf>
      <fill>
        <patternFill>
          <bgColor theme="9" tint="0.39994506668294322"/>
        </patternFill>
      </fill>
    </dxf>
    <dxf>
      <fill>
        <patternFill>
          <bgColor theme="9" tint="0.39994506668294322"/>
        </patternFill>
      </fill>
    </dxf>
    <dxf>
      <font>
        <b/>
        <i val="0"/>
        <color rgb="FFFF0000"/>
      </font>
      <fill>
        <patternFill patternType="none">
          <bgColor indexed="65"/>
        </patternFill>
      </fill>
    </dxf>
    <dxf>
      <fill>
        <patternFill>
          <bgColor theme="9" tint="0.39994506668294322"/>
        </patternFill>
      </fill>
    </dxf>
    <dxf>
      <fill>
        <patternFill>
          <bgColor theme="9" tint="0.39994506668294322"/>
        </patternFill>
      </fill>
    </dxf>
    <dxf>
      <font>
        <b/>
        <i val="0"/>
        <color rgb="FFFF0000"/>
      </font>
      <fill>
        <patternFill patternType="none">
          <bgColor indexed="65"/>
        </patternFill>
      </fill>
    </dxf>
    <dxf>
      <fill>
        <patternFill>
          <bgColor theme="9" tint="0.39994506668294322"/>
        </patternFill>
      </fill>
    </dxf>
    <dxf>
      <fill>
        <patternFill>
          <bgColor theme="9" tint="0.39994506668294322"/>
        </patternFill>
      </fill>
    </dxf>
    <dxf>
      <font>
        <b/>
        <i val="0"/>
        <color rgb="FFFF0000"/>
      </font>
      <fill>
        <patternFill patternType="none">
          <bgColor indexed="65"/>
        </patternFill>
      </fill>
    </dxf>
    <dxf>
      <fill>
        <patternFill>
          <bgColor theme="9" tint="0.39994506668294322"/>
        </patternFill>
      </fill>
    </dxf>
    <dxf>
      <fill>
        <patternFill>
          <bgColor theme="9" tint="0.39994506668294322"/>
        </patternFill>
      </fill>
    </dxf>
    <dxf>
      <font>
        <b/>
        <i val="0"/>
        <color rgb="FFFF0000"/>
      </font>
      <fill>
        <patternFill>
          <bgColor theme="0"/>
        </patternFill>
      </fill>
    </dxf>
    <dxf>
      <font>
        <b/>
        <i val="0"/>
        <color rgb="FFFF0000"/>
      </font>
      <fill>
        <patternFill>
          <bgColor theme="0"/>
        </patternFill>
      </fill>
    </dxf>
    <dxf>
      <font>
        <b/>
        <i val="0"/>
        <color rgb="FFFF0000"/>
      </font>
      <fill>
        <patternFill>
          <bgColor theme="0"/>
        </patternFill>
      </fill>
    </dxf>
    <dxf>
      <font>
        <b/>
        <i val="0"/>
        <color rgb="FFFF0000"/>
      </font>
      <fill>
        <patternFill>
          <bgColor theme="0"/>
        </patternFill>
      </fill>
    </dxf>
    <dxf>
      <font>
        <b/>
        <i val="0"/>
        <color rgb="FFFF0000"/>
      </font>
      <fill>
        <patternFill>
          <bgColor theme="0"/>
        </patternFill>
      </fill>
    </dxf>
    <dxf>
      <font>
        <b/>
        <i val="0"/>
        <color rgb="FFFF0000"/>
      </font>
      <fill>
        <patternFill patternType="none">
          <bgColor indexed="65"/>
        </patternFill>
      </fill>
    </dxf>
    <dxf>
      <font>
        <b/>
        <i val="0"/>
        <color rgb="FFFF0000"/>
      </font>
      <fill>
        <patternFill>
          <bgColor theme="0"/>
        </patternFill>
      </fill>
    </dxf>
    <dxf>
      <font>
        <b/>
        <i val="0"/>
        <color rgb="FFFF0000"/>
      </font>
      <fill>
        <patternFill>
          <bgColor theme="0"/>
        </patternFill>
      </fill>
    </dxf>
    <dxf>
      <font>
        <b/>
        <i val="0"/>
        <color rgb="FFFF0000"/>
      </font>
      <fill>
        <patternFill>
          <bgColor theme="0"/>
        </patternFill>
      </fill>
    </dxf>
    <dxf>
      <font>
        <b/>
        <i val="0"/>
        <color rgb="FFFF0000"/>
      </font>
      <fill>
        <patternFill>
          <bgColor theme="0"/>
        </patternFill>
      </fill>
    </dxf>
    <dxf>
      <font>
        <b/>
        <i val="0"/>
        <color rgb="FFFF0000"/>
      </font>
      <fill>
        <patternFill>
          <bgColor theme="0"/>
        </patternFill>
      </fill>
    </dxf>
    <dxf>
      <font>
        <b/>
        <i val="0"/>
        <color rgb="FFFF0000"/>
      </font>
      <fill>
        <patternFill>
          <bgColor theme="0"/>
        </patternFill>
      </fill>
    </dxf>
    <dxf>
      <font>
        <b/>
        <i val="0"/>
        <color rgb="FFFF0000"/>
      </font>
      <fill>
        <patternFill>
          <bgColor theme="0"/>
        </patternFill>
      </fill>
    </dxf>
    <dxf>
      <font>
        <b/>
        <i val="0"/>
        <color rgb="FFFF0000"/>
      </font>
      <fill>
        <patternFill>
          <bgColor theme="0"/>
        </patternFill>
      </fill>
    </dxf>
    <dxf>
      <font>
        <b/>
        <i val="0"/>
        <color rgb="FFFF0000"/>
      </font>
      <fill>
        <patternFill>
          <bgColor theme="0"/>
        </patternFill>
      </fill>
    </dxf>
    <dxf>
      <fill>
        <patternFill>
          <bgColor rgb="FFFF0000"/>
        </patternFill>
      </fill>
    </dxf>
    <dxf>
      <fill>
        <patternFill>
          <bgColor theme="9" tint="-0.499984740745262"/>
        </patternFill>
      </fill>
    </dxf>
    <dxf>
      <fill>
        <patternFill>
          <bgColor theme="9" tint="-0.499984740745262"/>
        </patternFill>
      </fill>
    </dxf>
    <dxf>
      <fill>
        <patternFill>
          <bgColor rgb="FF00B050"/>
        </patternFill>
      </fill>
    </dxf>
    <dxf>
      <fill>
        <patternFill>
          <bgColor rgb="FFFF0000"/>
        </patternFill>
      </fill>
    </dxf>
    <dxf>
      <fill>
        <patternFill>
          <bgColor rgb="FFFF0000"/>
        </patternFill>
      </fill>
    </dxf>
    <dxf>
      <fill>
        <patternFill>
          <bgColor theme="9" tint="-0.499984740745262"/>
        </patternFill>
      </fill>
    </dxf>
    <dxf>
      <fill>
        <patternFill>
          <bgColor theme="9" tint="-0.499984740745262"/>
        </patternFill>
      </fill>
    </dxf>
    <dxf>
      <fill>
        <patternFill>
          <bgColor rgb="FF00B050"/>
        </patternFill>
      </fill>
    </dxf>
    <dxf>
      <fill>
        <patternFill>
          <bgColor rgb="FFFF0000"/>
        </patternFill>
      </fill>
    </dxf>
    <dxf>
      <fill>
        <patternFill>
          <bgColor rgb="FFFF0000"/>
        </patternFill>
      </fill>
    </dxf>
    <dxf>
      <fill>
        <patternFill>
          <bgColor theme="9" tint="-0.499984740745262"/>
        </patternFill>
      </fill>
    </dxf>
    <dxf>
      <fill>
        <patternFill>
          <bgColor theme="9" tint="-0.499984740745262"/>
        </patternFill>
      </fill>
    </dxf>
    <dxf>
      <fill>
        <patternFill>
          <bgColor rgb="FF00B050"/>
        </patternFill>
      </fill>
    </dxf>
    <dxf>
      <fill>
        <patternFill>
          <bgColor rgb="FFFF0000"/>
        </patternFill>
      </fill>
    </dxf>
    <dxf>
      <fill>
        <patternFill>
          <bgColor theme="9" tint="-0.499984740745262"/>
        </patternFill>
      </fill>
    </dxf>
    <dxf>
      <fill>
        <patternFill>
          <bgColor rgb="FF9E0000"/>
        </patternFill>
      </fill>
    </dxf>
    <dxf>
      <fill>
        <patternFill>
          <bgColor theme="9" tint="-0.499984740745262"/>
        </patternFill>
      </fill>
    </dxf>
    <dxf>
      <fill>
        <patternFill>
          <bgColor rgb="FF9E0000"/>
        </patternFill>
      </fill>
    </dxf>
    <dxf>
      <fill>
        <patternFill>
          <bgColor theme="9" tint="-0.499984740745262"/>
        </patternFill>
      </fill>
    </dxf>
    <dxf>
      <fill>
        <patternFill>
          <bgColor rgb="FF9E0000"/>
        </patternFill>
      </fill>
    </dxf>
    <dxf>
      <fill>
        <patternFill>
          <bgColor theme="9" tint="-0.499984740745262"/>
        </patternFill>
      </fill>
    </dxf>
    <dxf>
      <fill>
        <patternFill>
          <bgColor rgb="FF9E0000"/>
        </patternFill>
      </fill>
    </dxf>
    <dxf>
      <fill>
        <patternFill>
          <bgColor theme="9" tint="-0.499984740745262"/>
        </patternFill>
      </fill>
    </dxf>
    <dxf>
      <fill>
        <patternFill>
          <bgColor rgb="FF9E0000"/>
        </patternFill>
      </fill>
    </dxf>
    <dxf>
      <fill>
        <patternFill>
          <bgColor theme="9" tint="-0.499984740745262"/>
        </patternFill>
      </fill>
    </dxf>
    <dxf>
      <fill>
        <patternFill>
          <bgColor rgb="FF9E0000"/>
        </patternFill>
      </fill>
    </dxf>
    <dxf>
      <font>
        <b/>
        <i val="0"/>
        <color rgb="FFFF0000"/>
      </font>
      <fill>
        <patternFill patternType="none">
          <bgColor indexed="65"/>
        </patternFill>
      </fill>
    </dxf>
    <dxf>
      <fill>
        <patternFill>
          <bgColor rgb="FFC00000"/>
        </patternFill>
      </fill>
    </dxf>
    <dxf>
      <fill>
        <patternFill>
          <bgColor theme="9" tint="-0.499984740745262"/>
        </patternFill>
      </fill>
    </dxf>
    <dxf>
      <fill>
        <patternFill>
          <bgColor rgb="FF9A0000"/>
        </patternFill>
      </fill>
    </dxf>
    <dxf>
      <fill>
        <patternFill>
          <bgColor rgb="FFA20000"/>
        </patternFill>
      </fill>
    </dxf>
    <dxf>
      <font>
        <b/>
        <i val="0"/>
        <color rgb="FFFF0000"/>
      </font>
      <fill>
        <patternFill>
          <bgColor theme="0"/>
        </patternFill>
      </fill>
    </dxf>
    <dxf>
      <font>
        <color rgb="FF9C0006"/>
      </font>
    </dxf>
    <dxf>
      <fill>
        <patternFill>
          <bgColor rgb="FF9A0000"/>
        </patternFill>
      </fill>
    </dxf>
    <dxf>
      <fill>
        <patternFill>
          <bgColor rgb="FFA20000"/>
        </patternFill>
      </fill>
    </dxf>
    <dxf>
      <fill>
        <patternFill>
          <bgColor rgb="FF820000"/>
        </patternFill>
      </fill>
    </dxf>
    <dxf>
      <font>
        <b/>
        <i val="0"/>
        <color rgb="FFFF0000"/>
      </font>
      <fill>
        <patternFill>
          <bgColor theme="0"/>
        </patternFill>
      </fill>
    </dxf>
    <dxf>
      <fill>
        <patternFill>
          <bgColor rgb="FF820000"/>
        </patternFill>
      </fill>
    </dxf>
    <dxf>
      <font>
        <b/>
        <i val="0"/>
        <color rgb="FFFF0000"/>
      </font>
      <fill>
        <patternFill>
          <bgColor theme="0"/>
        </patternFill>
      </fill>
    </dxf>
    <dxf>
      <font>
        <color rgb="FF9C0006"/>
      </font>
    </dxf>
    <dxf>
      <font>
        <b/>
        <i val="0"/>
        <color rgb="FFFF0000"/>
      </font>
      <fill>
        <patternFill>
          <bgColor theme="0"/>
        </patternFill>
      </fill>
    </dxf>
    <dxf>
      <fill>
        <patternFill>
          <bgColor rgb="FF9A0000"/>
        </patternFill>
      </fill>
    </dxf>
    <dxf>
      <fill>
        <patternFill>
          <bgColor rgb="FFA20000"/>
        </patternFill>
      </fill>
    </dxf>
    <dxf>
      <fill>
        <patternFill>
          <bgColor rgb="FF820000"/>
        </patternFill>
      </fill>
    </dxf>
    <dxf>
      <font>
        <color rgb="FF9C0006"/>
      </font>
    </dxf>
    <dxf>
      <font>
        <b/>
        <i val="0"/>
        <color rgb="FFFF0000"/>
      </font>
      <fill>
        <patternFill>
          <bgColor theme="0"/>
        </patternFill>
      </fill>
    </dxf>
    <dxf>
      <font>
        <b/>
        <i val="0"/>
        <color rgb="FFFF0000"/>
      </font>
      <fill>
        <patternFill>
          <bgColor theme="0"/>
        </patternFill>
      </fill>
    </dxf>
    <dxf>
      <font>
        <b/>
        <i val="0"/>
        <color rgb="FFFF0000"/>
      </font>
      <fill>
        <patternFill>
          <bgColor theme="0"/>
        </patternFill>
      </fill>
    </dxf>
    <dxf>
      <font>
        <b/>
        <i val="0"/>
        <color rgb="FFFF0000"/>
      </font>
      <fill>
        <patternFill>
          <bgColor theme="0"/>
        </patternFill>
      </fill>
    </dxf>
    <dxf>
      <font>
        <b/>
        <i val="0"/>
        <color rgb="FFFF0000"/>
      </font>
      <fill>
        <patternFill>
          <bgColor theme="0"/>
        </patternFill>
      </fill>
    </dxf>
    <dxf>
      <font>
        <b/>
        <i val="0"/>
        <color rgb="FFFF0000"/>
      </font>
      <fill>
        <patternFill patternType="none">
          <bgColor indexed="65"/>
        </patternFill>
      </fill>
    </dxf>
    <dxf>
      <font>
        <b/>
        <i val="0"/>
        <color rgb="FFFF0000"/>
      </font>
      <fill>
        <patternFill>
          <bgColor theme="0"/>
        </patternFill>
      </fill>
    </dxf>
    <dxf>
      <font>
        <b/>
        <i val="0"/>
        <color rgb="FFFF0000"/>
      </font>
      <fill>
        <patternFill>
          <bgColor theme="0"/>
        </patternFill>
      </fill>
    </dxf>
    <dxf>
      <font>
        <b/>
        <i val="0"/>
        <color rgb="FFFF0000"/>
      </font>
      <fill>
        <patternFill>
          <bgColor theme="0"/>
        </patternFill>
      </fill>
    </dxf>
    <dxf>
      <font>
        <b/>
        <i val="0"/>
        <color rgb="FFFF0000"/>
      </font>
      <fill>
        <patternFill>
          <bgColor theme="0"/>
        </patternFill>
      </fill>
    </dxf>
    <dxf>
      <font>
        <b/>
        <i val="0"/>
        <color rgb="FFFF0000"/>
      </font>
      <fill>
        <patternFill>
          <bgColor theme="0"/>
        </patternFill>
      </fill>
    </dxf>
    <dxf>
      <font>
        <b/>
        <i val="0"/>
        <color rgb="FFFF0000"/>
      </font>
      <fill>
        <patternFill>
          <bgColor theme="0"/>
        </patternFill>
      </fill>
    </dxf>
    <dxf>
      <font>
        <b/>
        <i val="0"/>
        <color rgb="FFFF0000"/>
      </font>
      <fill>
        <patternFill patternType="none">
          <bgColor indexed="65"/>
        </patternFill>
      </fill>
    </dxf>
    <dxf>
      <font>
        <b/>
        <i val="0"/>
        <color rgb="FFFF0000"/>
      </font>
      <fill>
        <patternFill>
          <bgColor theme="0"/>
        </patternFill>
      </fill>
    </dxf>
    <dxf>
      <font>
        <b/>
        <i val="0"/>
        <color rgb="FFFF0000"/>
      </font>
      <fill>
        <patternFill>
          <bgColor theme="0"/>
        </patternFill>
      </fill>
    </dxf>
    <dxf>
      <font>
        <b/>
        <i val="0"/>
        <color rgb="FFFF0000"/>
      </font>
      <fill>
        <patternFill>
          <bgColor theme="0"/>
        </patternFill>
      </fill>
    </dxf>
    <dxf>
      <font>
        <b/>
        <i val="0"/>
        <color rgb="FFFF0000"/>
      </font>
      <fill>
        <patternFill>
          <bgColor theme="0"/>
        </patternFill>
      </fill>
    </dxf>
    <dxf>
      <font>
        <b/>
        <i val="0"/>
        <color rgb="FFFF0000"/>
      </font>
      <fill>
        <patternFill>
          <bgColor theme="0"/>
        </patternFill>
      </fill>
    </dxf>
    <dxf>
      <font>
        <b/>
        <i val="0"/>
        <color rgb="FFFF0000"/>
      </font>
      <fill>
        <patternFill>
          <bgColor theme="0"/>
        </patternFill>
      </fill>
    </dxf>
    <dxf>
      <font>
        <b/>
        <i val="0"/>
        <color rgb="FFFF0000"/>
      </font>
      <fill>
        <patternFill patternType="none">
          <bgColor indexed="65"/>
        </patternFill>
      </fill>
    </dxf>
    <dxf>
      <font>
        <b/>
        <i val="0"/>
        <color rgb="FFFF0000"/>
      </font>
      <fill>
        <patternFill>
          <bgColor theme="0"/>
        </patternFill>
      </fill>
    </dxf>
    <dxf>
      <font>
        <b/>
        <i val="0"/>
        <color rgb="FFFF0000"/>
      </font>
      <fill>
        <patternFill>
          <bgColor theme="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worksheet" Target="worksheets/sheet47.xml"/><Relationship Id="rId50" Type="http://schemas.openxmlformats.org/officeDocument/2006/relationships/styles" Target="styles.xml"/><Relationship Id="rId55" Type="http://schemas.openxmlformats.org/officeDocument/2006/relationships/customXml" Target="../customXml/item2.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calcChain" Target="calcChain.xml"/><Relationship Id="rId5" Type="http://schemas.openxmlformats.org/officeDocument/2006/relationships/worksheet" Target="worksheets/sheet5.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pivotCacheDefinition" Target="pivotCache/pivotCacheDefinition1.xml"/><Relationship Id="rId56" Type="http://schemas.openxmlformats.org/officeDocument/2006/relationships/customXml" Target="../customXml/item3.xml"/><Relationship Id="rId8" Type="http://schemas.openxmlformats.org/officeDocument/2006/relationships/worksheet" Target="worksheets/sheet8.xml"/><Relationship Id="rId51" Type="http://schemas.openxmlformats.org/officeDocument/2006/relationships/sharedStrings" Target="sharedStrings.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theme" Target="theme/theme1.xml"/><Relationship Id="rId57" Type="http://schemas.microsoft.com/office/2006/relationships/vbaProject" Target="vbaProject.bin"/><Relationship Id="rId10" Type="http://schemas.openxmlformats.org/officeDocument/2006/relationships/worksheet" Target="worksheets/sheet10.xml"/><Relationship Id="rId31" Type="http://schemas.openxmlformats.org/officeDocument/2006/relationships/worksheet" Target="worksheets/sheet31.xml"/><Relationship Id="rId44" Type="http://schemas.openxmlformats.org/officeDocument/2006/relationships/worksheet" Target="worksheets/sheet44.xml"/><Relationship Id="rId52" Type="http://schemas.microsoft.com/office/2017/10/relationships/person" Target="persons/person.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_rels/activeX3.xml.rels><?xml version="1.0" encoding="UTF-8" standalone="yes"?>
<Relationships xmlns="http://schemas.openxmlformats.org/package/2006/relationships"><Relationship Id="rId1" Type="http://schemas.microsoft.com/office/2006/relationships/activeXControlBinary" Target="activeX3.bin"/></Relationships>
</file>

<file path=xl/activeX/_rels/activeX4.xml.rels><?xml version="1.0" encoding="UTF-8" standalone="yes"?>
<Relationships xmlns="http://schemas.openxmlformats.org/package/2006/relationships"><Relationship Id="rId1" Type="http://schemas.microsoft.com/office/2006/relationships/activeXControlBinary" Target="activeX4.bin"/></Relationships>
</file>

<file path=xl/activeX/_rels/activeX5.xml.rels><?xml version="1.0" encoding="UTF-8" standalone="yes"?>
<Relationships xmlns="http://schemas.openxmlformats.org/package/2006/relationships"><Relationship Id="rId1" Type="http://schemas.microsoft.com/office/2006/relationships/activeXControlBinary" Target="activeX5.bin"/></Relationships>
</file>

<file path=xl/activeX/_rels/activeX6.xml.rels><?xml version="1.0" encoding="UTF-8" standalone="yes"?>
<Relationships xmlns="http://schemas.openxmlformats.org/package/2006/relationships"><Relationship Id="rId1" Type="http://schemas.microsoft.com/office/2006/relationships/activeXControlBinary" Target="activeX6.bin"/></Relationships>
</file>

<file path=xl/activeX/_rels/activeX7.xml.rels><?xml version="1.0" encoding="UTF-8" standalone="yes"?>
<Relationships xmlns="http://schemas.openxmlformats.org/package/2006/relationships"><Relationship Id="rId1" Type="http://schemas.microsoft.com/office/2006/relationships/activeXControlBinary" Target="activeX7.bin"/></Relationships>
</file>

<file path=xl/activeX/_rels/activeX8.xml.rels><?xml version="1.0" encoding="UTF-8" standalone="yes"?>
<Relationships xmlns="http://schemas.openxmlformats.org/package/2006/relationships"><Relationship Id="rId1" Type="http://schemas.microsoft.com/office/2006/relationships/activeXControlBinary" Target="activeX8.bin"/></Relationships>
</file>

<file path=xl/activeX/_rels/activeX9.xml.rels><?xml version="1.0" encoding="UTF-8" standalone="yes"?>
<Relationships xmlns="http://schemas.openxmlformats.org/package/2006/relationships"><Relationship Id="rId1" Type="http://schemas.microsoft.com/office/2006/relationships/activeXControlBinary" Target="activeX9.bin"/></Relationships>
</file>

<file path=xl/activeX/_rels/activeX10.xml.rels><?xml version="1.0" encoding="UTF-8" standalone="yes"?>
<Relationships xmlns="http://schemas.openxmlformats.org/package/2006/relationships"><Relationship Id="rId1" Type="http://schemas.microsoft.com/office/2006/relationships/activeXControlBinary" Target="activeX10.bin"/></Relationships>
</file>

<file path=xl/activeX/_rels/activeX11.xml.rels><?xml version="1.0" encoding="UTF-8" standalone="yes"?>
<Relationships xmlns="http://schemas.openxmlformats.org/package/2006/relationships"><Relationship Id="rId1" Type="http://schemas.microsoft.com/office/2006/relationships/activeXControlBinary" Target="activeX11.bin"/></Relationships>
</file>

<file path=xl/activeX/_rels/activeX12.xml.rels><?xml version="1.0" encoding="UTF-8" standalone="yes"?>
<Relationships xmlns="http://schemas.openxmlformats.org/package/2006/relationships"><Relationship Id="rId1" Type="http://schemas.microsoft.com/office/2006/relationships/activeXControlBinary" Target="activeX12.bin"/></Relationships>
</file>

<file path=xl/activeX/_rels/activeX13.xml.rels><?xml version="1.0" encoding="UTF-8" standalone="yes"?>
<Relationships xmlns="http://schemas.openxmlformats.org/package/2006/relationships"><Relationship Id="rId1" Type="http://schemas.microsoft.com/office/2006/relationships/activeXControlBinary" Target="activeX13.bin"/></Relationships>
</file>

<file path=xl/activeX/_rels/activeX14.xml.rels><?xml version="1.0" encoding="UTF-8" standalone="yes"?>
<Relationships xmlns="http://schemas.openxmlformats.org/package/2006/relationships"><Relationship Id="rId1" Type="http://schemas.microsoft.com/office/2006/relationships/activeXControlBinary" Target="activeX14.bin"/></Relationships>
</file>

<file path=xl/activeX/_rels/activeX15.xml.rels><?xml version="1.0" encoding="UTF-8" standalone="yes"?>
<Relationships xmlns="http://schemas.openxmlformats.org/package/2006/relationships"><Relationship Id="rId1" Type="http://schemas.microsoft.com/office/2006/relationships/activeXControlBinary" Target="activeX15.bin"/></Relationships>
</file>

<file path=xl/activeX/_rels/activeX16.xml.rels><?xml version="1.0" encoding="UTF-8" standalone="yes"?>
<Relationships xmlns="http://schemas.openxmlformats.org/package/2006/relationships"><Relationship Id="rId1" Type="http://schemas.microsoft.com/office/2006/relationships/activeXControlBinary" Target="activeX16.bin"/></Relationships>
</file>

<file path=xl/activeX/_rels/activeX17.xml.rels><?xml version="1.0" encoding="UTF-8" standalone="yes"?>
<Relationships xmlns="http://schemas.openxmlformats.org/package/2006/relationships"><Relationship Id="rId1" Type="http://schemas.microsoft.com/office/2006/relationships/activeXControlBinary" Target="activeX17.bin"/></Relationships>
</file>

<file path=xl/activeX/_rels/activeX18.xml.rels><?xml version="1.0" encoding="UTF-8" standalone="yes"?>
<Relationships xmlns="http://schemas.openxmlformats.org/package/2006/relationships"><Relationship Id="rId1" Type="http://schemas.microsoft.com/office/2006/relationships/activeXControlBinary" Target="activeX18.bin"/></Relationships>
</file>

<file path=xl/activeX/_rels/activeX19.xml.rels><?xml version="1.0" encoding="UTF-8" standalone="yes"?>
<Relationships xmlns="http://schemas.openxmlformats.org/package/2006/relationships"><Relationship Id="rId1" Type="http://schemas.microsoft.com/office/2006/relationships/activeXControlBinary" Target="activeX19.bin"/></Relationships>
</file>

<file path=xl/activeX/_rels/activeX20.xml.rels><?xml version="1.0" encoding="UTF-8" standalone="yes"?>
<Relationships xmlns="http://schemas.openxmlformats.org/package/2006/relationships"><Relationship Id="rId1" Type="http://schemas.microsoft.com/office/2006/relationships/activeXControlBinary" Target="activeX20.bin"/></Relationships>
</file>

<file path=xl/activeX/_rels/activeX21.xml.rels><?xml version="1.0" encoding="UTF-8" standalone="yes"?>
<Relationships xmlns="http://schemas.openxmlformats.org/package/2006/relationships"><Relationship Id="rId1" Type="http://schemas.microsoft.com/office/2006/relationships/activeXControlBinary" Target="activeX21.bin"/></Relationships>
</file>

<file path=xl/activeX/_rels/activeX22.xml.rels><?xml version="1.0" encoding="UTF-8" standalone="yes"?>
<Relationships xmlns="http://schemas.openxmlformats.org/package/2006/relationships"><Relationship Id="rId1" Type="http://schemas.microsoft.com/office/2006/relationships/activeXControlBinary" Target="activeX22.bin"/></Relationships>
</file>

<file path=xl/activeX/_rels/activeX23.xml.rels><?xml version="1.0" encoding="UTF-8" standalone="yes"?>
<Relationships xmlns="http://schemas.openxmlformats.org/package/2006/relationships"><Relationship Id="rId1" Type="http://schemas.microsoft.com/office/2006/relationships/activeXControlBinary" Target="activeX23.bin"/></Relationships>
</file>

<file path=xl/activeX/_rels/activeX24.xml.rels><?xml version="1.0" encoding="UTF-8" standalone="yes"?>
<Relationships xmlns="http://schemas.openxmlformats.org/package/2006/relationships"><Relationship Id="rId1" Type="http://schemas.microsoft.com/office/2006/relationships/activeXControlBinary" Target="activeX24.bin"/></Relationships>
</file>

<file path=xl/activeX/_rels/activeX25.xml.rels><?xml version="1.0" encoding="UTF-8" standalone="yes"?>
<Relationships xmlns="http://schemas.openxmlformats.org/package/2006/relationships"><Relationship Id="rId1" Type="http://schemas.microsoft.com/office/2006/relationships/activeXControlBinary" Target="activeX25.bin"/></Relationships>
</file>

<file path=xl/activeX/_rels/activeX26.xml.rels><?xml version="1.0" encoding="UTF-8" standalone="yes"?>
<Relationships xmlns="http://schemas.openxmlformats.org/package/2006/relationships"><Relationship Id="rId1" Type="http://schemas.microsoft.com/office/2006/relationships/activeXControlBinary" Target="activeX26.bin"/></Relationships>
</file>

<file path=xl/activeX/_rels/activeX27.xml.rels><?xml version="1.0" encoding="UTF-8" standalone="yes"?>
<Relationships xmlns="http://schemas.openxmlformats.org/package/2006/relationships"><Relationship Id="rId1" Type="http://schemas.microsoft.com/office/2006/relationships/activeXControlBinary" Target="activeX27.bin"/></Relationships>
</file>

<file path=xl/activeX/_rels/activeX28.xml.rels><?xml version="1.0" encoding="UTF-8" standalone="yes"?>
<Relationships xmlns="http://schemas.openxmlformats.org/package/2006/relationships"><Relationship Id="rId1" Type="http://schemas.microsoft.com/office/2006/relationships/activeXControlBinary" Target="activeX28.bin"/></Relationships>
</file>

<file path=xl/activeX/_rels/activeX29.xml.rels><?xml version="1.0" encoding="UTF-8" standalone="yes"?>
<Relationships xmlns="http://schemas.openxmlformats.org/package/2006/relationships"><Relationship Id="rId1" Type="http://schemas.microsoft.com/office/2006/relationships/activeXControlBinary" Target="activeX29.bin"/></Relationships>
</file>

<file path=xl/activeX/_rels/activeX30.xml.rels><?xml version="1.0" encoding="UTF-8" standalone="yes"?>
<Relationships xmlns="http://schemas.openxmlformats.org/package/2006/relationships"><Relationship Id="rId1" Type="http://schemas.microsoft.com/office/2006/relationships/activeXControlBinary" Target="activeX30.bin"/></Relationships>
</file>

<file path=xl/activeX/_rels/activeX31.xml.rels><?xml version="1.0" encoding="UTF-8" standalone="yes"?>
<Relationships xmlns="http://schemas.openxmlformats.org/package/2006/relationships"><Relationship Id="rId1" Type="http://schemas.microsoft.com/office/2006/relationships/activeXControlBinary" Target="activeX31.bin"/></Relationships>
</file>

<file path=xl/activeX/_rels/activeX32.xml.rels><?xml version="1.0" encoding="UTF-8" standalone="yes"?>
<Relationships xmlns="http://schemas.openxmlformats.org/package/2006/relationships"><Relationship Id="rId1" Type="http://schemas.microsoft.com/office/2006/relationships/activeXControlBinary" Target="activeX32.bin"/></Relationships>
</file>

<file path=xl/activeX/_rels/activeX33.xml.rels><?xml version="1.0" encoding="UTF-8" standalone="yes"?>
<Relationships xmlns="http://schemas.openxmlformats.org/package/2006/relationships"><Relationship Id="rId1" Type="http://schemas.microsoft.com/office/2006/relationships/activeXControlBinary" Target="activeX33.bin"/></Relationships>
</file>

<file path=xl/activeX/_rels/activeX34.xml.rels><?xml version="1.0" encoding="UTF-8" standalone="yes"?>
<Relationships xmlns="http://schemas.openxmlformats.org/package/2006/relationships"><Relationship Id="rId1" Type="http://schemas.microsoft.com/office/2006/relationships/activeXControlBinary" Target="activeX34.bin"/></Relationships>
</file>

<file path=xl/activeX/_rels/activeX35.xml.rels><?xml version="1.0" encoding="UTF-8" standalone="yes"?>
<Relationships xmlns="http://schemas.openxmlformats.org/package/2006/relationships"><Relationship Id="rId1" Type="http://schemas.microsoft.com/office/2006/relationships/activeXControlBinary" Target="activeX35.bin"/></Relationships>
</file>

<file path=xl/activeX/_rels/activeX36.xml.rels><?xml version="1.0" encoding="UTF-8" standalone="yes"?>
<Relationships xmlns="http://schemas.openxmlformats.org/package/2006/relationships"><Relationship Id="rId1" Type="http://schemas.microsoft.com/office/2006/relationships/activeXControlBinary" Target="activeX36.bin"/></Relationships>
</file>

<file path=xl/activeX/_rels/activeX37.xml.rels><?xml version="1.0" encoding="UTF-8" standalone="yes"?>
<Relationships xmlns="http://schemas.openxmlformats.org/package/2006/relationships"><Relationship Id="rId1" Type="http://schemas.microsoft.com/office/2006/relationships/activeXControlBinary" Target="activeX37.bin"/></Relationships>
</file>

<file path=xl/activeX/_rels/activeX38.xml.rels><?xml version="1.0" encoding="UTF-8" standalone="yes"?>
<Relationships xmlns="http://schemas.openxmlformats.org/package/2006/relationships"><Relationship Id="rId1" Type="http://schemas.microsoft.com/office/2006/relationships/activeXControlBinary" Target="activeX38.bin"/></Relationships>
</file>

<file path=xl/activeX/_rels/activeX39.xml.rels><?xml version="1.0" encoding="UTF-8" standalone="yes"?>
<Relationships xmlns="http://schemas.openxmlformats.org/package/2006/relationships"><Relationship Id="rId1" Type="http://schemas.microsoft.com/office/2006/relationships/activeXControlBinary" Target="activeX39.bin"/></Relationships>
</file>

<file path=xl/activeX/_rels/activeX40.xml.rels><?xml version="1.0" encoding="UTF-8" standalone="yes"?>
<Relationships xmlns="http://schemas.openxmlformats.org/package/2006/relationships"><Relationship Id="rId1" Type="http://schemas.microsoft.com/office/2006/relationships/activeXControlBinary" Target="activeX40.bin"/></Relationships>
</file>

<file path=xl/activeX/_rels/activeX41.xml.rels><?xml version="1.0" encoding="UTF-8" standalone="yes"?>
<Relationships xmlns="http://schemas.openxmlformats.org/package/2006/relationships"><Relationship Id="rId1" Type="http://schemas.microsoft.com/office/2006/relationships/activeXControlBinary" Target="activeX41.bin"/></Relationships>
</file>

<file path=xl/activeX/_rels/activeX42.xml.rels><?xml version="1.0" encoding="UTF-8" standalone="yes"?>
<Relationships xmlns="http://schemas.openxmlformats.org/package/2006/relationships"><Relationship Id="rId1" Type="http://schemas.microsoft.com/office/2006/relationships/activeXControlBinary" Target="activeX42.bin"/></Relationships>
</file>

<file path=xl/activeX/_rels/activeX43.xml.rels><?xml version="1.0" encoding="UTF-8" standalone="yes"?>
<Relationships xmlns="http://schemas.openxmlformats.org/package/2006/relationships"><Relationship Id="rId1" Type="http://schemas.microsoft.com/office/2006/relationships/activeXControlBinary" Target="activeX43.bin"/></Relationships>
</file>

<file path=xl/activeX/_rels/activeX44.xml.rels><?xml version="1.0" encoding="UTF-8" standalone="yes"?>
<Relationships xmlns="http://schemas.openxmlformats.org/package/2006/relationships"><Relationship Id="rId1" Type="http://schemas.microsoft.com/office/2006/relationships/activeXControlBinary" Target="activeX44.bin"/></Relationships>
</file>

<file path=xl/activeX/_rels/activeX45.xml.rels><?xml version="1.0" encoding="UTF-8" standalone="yes"?>
<Relationships xmlns="http://schemas.openxmlformats.org/package/2006/relationships"><Relationship Id="rId1" Type="http://schemas.microsoft.com/office/2006/relationships/activeXControlBinary" Target="activeX45.bin"/></Relationships>
</file>

<file path=xl/activeX/_rels/activeX46.xml.rels><?xml version="1.0" encoding="UTF-8" standalone="yes"?>
<Relationships xmlns="http://schemas.openxmlformats.org/package/2006/relationships"><Relationship Id="rId1" Type="http://schemas.microsoft.com/office/2006/relationships/activeXControlBinary" Target="activeX46.bin"/></Relationships>
</file>

<file path=xl/activeX/_rels/activeX47.xml.rels><?xml version="1.0" encoding="UTF-8" standalone="yes"?>
<Relationships xmlns="http://schemas.openxmlformats.org/package/2006/relationships"><Relationship Id="rId1" Type="http://schemas.microsoft.com/office/2006/relationships/activeXControlBinary" Target="activeX47.bin"/></Relationships>
</file>

<file path=xl/activeX/_rels/activeX48.xml.rels><?xml version="1.0" encoding="UTF-8" standalone="yes"?>
<Relationships xmlns="http://schemas.openxmlformats.org/package/2006/relationships"><Relationship Id="rId1" Type="http://schemas.microsoft.com/office/2006/relationships/activeXControlBinary" Target="activeX48.bin"/></Relationships>
</file>

<file path=xl/activeX/_rels/activeX49.xml.rels><?xml version="1.0" encoding="UTF-8" standalone="yes"?>
<Relationships xmlns="http://schemas.openxmlformats.org/package/2006/relationships"><Relationship Id="rId1" Type="http://schemas.microsoft.com/office/2006/relationships/activeXControlBinary" Target="activeX49.bin"/></Relationships>
</file>

<file path=xl/activeX/_rels/activeX50.xml.rels><?xml version="1.0" encoding="UTF-8" standalone="yes"?>
<Relationships xmlns="http://schemas.openxmlformats.org/package/2006/relationships"><Relationship Id="rId1" Type="http://schemas.microsoft.com/office/2006/relationships/activeXControlBinary" Target="activeX50.bin"/></Relationships>
</file>

<file path=xl/activeX/_rels/activeX51.xml.rels><?xml version="1.0" encoding="UTF-8" standalone="yes"?>
<Relationships xmlns="http://schemas.openxmlformats.org/package/2006/relationships"><Relationship Id="rId1" Type="http://schemas.microsoft.com/office/2006/relationships/activeXControlBinary" Target="activeX51.bin"/></Relationships>
</file>

<file path=xl/activeX/_rels/activeX52.xml.rels><?xml version="1.0" encoding="UTF-8" standalone="yes"?>
<Relationships xmlns="http://schemas.openxmlformats.org/package/2006/relationships"><Relationship Id="rId1" Type="http://schemas.microsoft.com/office/2006/relationships/activeXControlBinary" Target="activeX52.bin"/></Relationships>
</file>

<file path=xl/activeX/_rels/activeX53.xml.rels><?xml version="1.0" encoding="UTF-8" standalone="yes"?>
<Relationships xmlns="http://schemas.openxmlformats.org/package/2006/relationships"><Relationship Id="rId1" Type="http://schemas.microsoft.com/office/2006/relationships/activeXControlBinary" Target="activeX53.bin"/></Relationships>
</file>

<file path=xl/activeX/activeX1.xml><?xml version="1.0" encoding="utf-8"?>
<ax:ocx xmlns:ax="http://schemas.microsoft.com/office/2006/activeX" xmlns:r="http://schemas.openxmlformats.org/officeDocument/2006/relationships" ax:classid="{8BD21D30-EC42-11CE-9E0D-00AA006002F3}" r:id="rId1"/>
</file>

<file path=xl/activeX/activeX2.xml><?xml version="1.0" encoding="utf-8"?>
<ax:ocx xmlns:ax="http://schemas.microsoft.com/office/2006/activeX" xmlns:r="http://schemas.openxmlformats.org/officeDocument/2006/relationships" ax:classid="{8BD21D30-EC42-11CE-9E0D-00AA006002F3}" r:id="rId1"/>
</file>

<file path=xl/activeX/activeX3.xml><?xml version="1.0" encoding="utf-8"?>
<ax:ocx xmlns:ax="http://schemas.microsoft.com/office/2006/activeX" xmlns:r="http://schemas.openxmlformats.org/officeDocument/2006/relationships" ax:classid="{8BD21D30-EC42-11CE-9E0D-00AA006002F3}" r:id="rId1"/>
</file>

<file path=xl/activeX/activeX4.xml><?xml version="1.0" encoding="utf-8"?>
<ax:ocx xmlns:ax="http://schemas.microsoft.com/office/2006/activeX" xmlns:r="http://schemas.openxmlformats.org/officeDocument/2006/relationships" ax:classid="{8BD21D30-EC42-11CE-9E0D-00AA006002F3}" r:id="rId1"/>
</file>

<file path=xl/activeX/activeX5.xml><?xml version="1.0" encoding="utf-8"?>
<ax:ocx xmlns:ax="http://schemas.microsoft.com/office/2006/activeX" xmlns:r="http://schemas.openxmlformats.org/officeDocument/2006/relationships" ax:classid="{8BD21D30-EC42-11CE-9E0D-00AA006002F3}" r:id="rId1"/>
</file>

<file path=xl/activeX/activeX6.xml><?xml version="1.0" encoding="utf-8"?>
<ax:ocx xmlns:ax="http://schemas.microsoft.com/office/2006/activeX" xmlns:r="http://schemas.openxmlformats.org/officeDocument/2006/relationships" ax:classid="{8BD21D30-EC42-11CE-9E0D-00AA006002F3}" r:id="rId1"/>
</file>

<file path=xl/activeX/activeX7.xml><?xml version="1.0" encoding="utf-8"?>
<ax:ocx xmlns:ax="http://schemas.microsoft.com/office/2006/activeX" xmlns:r="http://schemas.openxmlformats.org/officeDocument/2006/relationships" ax:classid="{8BD21D30-EC42-11CE-9E0D-00AA006002F3}" r:id="rId1"/>
</file>

<file path=xl/activeX/activeX8.xml><?xml version="1.0" encoding="utf-8"?>
<ax:ocx xmlns:ax="http://schemas.microsoft.com/office/2006/activeX" xmlns:r="http://schemas.openxmlformats.org/officeDocument/2006/relationships" ax:classid="{8BD21D30-EC42-11CE-9E0D-00AA006002F3}" r:id="rId1"/>
</file>

<file path=xl/activeX/activeX9.xml><?xml version="1.0" encoding="utf-8"?>
<ax:ocx xmlns:ax="http://schemas.microsoft.com/office/2006/activeX" xmlns:r="http://schemas.openxmlformats.org/officeDocument/2006/relationships" ax:classid="{8BD21D30-EC42-11CE-9E0D-00AA006002F3}" r:id="rId1"/>
</file>

<file path=xl/activeX/activeX10.xml><?xml version="1.0" encoding="utf-8"?>
<ax:ocx xmlns:ax="http://schemas.microsoft.com/office/2006/activeX" xmlns:r="http://schemas.openxmlformats.org/officeDocument/2006/relationships" ax:classid="{8BD21D30-EC42-11CE-9E0D-00AA006002F3}" r:id="rId1"/>
</file>

<file path=xl/activeX/activeX11.xml><?xml version="1.0" encoding="utf-8"?>
<ax:ocx xmlns:ax="http://schemas.microsoft.com/office/2006/activeX" xmlns:r="http://schemas.openxmlformats.org/officeDocument/2006/relationships" ax:classid="{8BD21D30-EC42-11CE-9E0D-00AA006002F3}" r:id="rId1"/>
</file>

<file path=xl/activeX/activeX12.xml><?xml version="1.0" encoding="utf-8"?>
<ax:ocx xmlns:ax="http://schemas.microsoft.com/office/2006/activeX" xmlns:r="http://schemas.openxmlformats.org/officeDocument/2006/relationships" ax:classid="{8BD21D30-EC42-11CE-9E0D-00AA006002F3}" r:id="rId1"/>
</file>

<file path=xl/activeX/activeX13.xml><?xml version="1.0" encoding="utf-8"?>
<ax:ocx xmlns:ax="http://schemas.microsoft.com/office/2006/activeX" xmlns:r="http://schemas.openxmlformats.org/officeDocument/2006/relationships" ax:classid="{8BD21D30-EC42-11CE-9E0D-00AA006002F3}" r:id="rId1"/>
</file>

<file path=xl/activeX/activeX14.xml><?xml version="1.0" encoding="utf-8"?>
<ax:ocx xmlns:ax="http://schemas.microsoft.com/office/2006/activeX" xmlns:r="http://schemas.openxmlformats.org/officeDocument/2006/relationships" ax:classid="{8BD21D30-EC42-11CE-9E0D-00AA006002F3}" r:id="rId1"/>
</file>

<file path=xl/activeX/activeX15.xml><?xml version="1.0" encoding="utf-8"?>
<ax:ocx xmlns:ax="http://schemas.microsoft.com/office/2006/activeX" xmlns:r="http://schemas.openxmlformats.org/officeDocument/2006/relationships" ax:classid="{8BD21D30-EC42-11CE-9E0D-00AA006002F3}" r:id="rId1"/>
</file>

<file path=xl/activeX/activeX16.xml><?xml version="1.0" encoding="utf-8"?>
<ax:ocx xmlns:ax="http://schemas.microsoft.com/office/2006/activeX" xmlns:r="http://schemas.openxmlformats.org/officeDocument/2006/relationships" ax:classid="{8BD21D30-EC42-11CE-9E0D-00AA006002F3}" r:id="rId1"/>
</file>

<file path=xl/activeX/activeX17.xml><?xml version="1.0" encoding="utf-8"?>
<ax:ocx xmlns:ax="http://schemas.microsoft.com/office/2006/activeX" xmlns:r="http://schemas.openxmlformats.org/officeDocument/2006/relationships" ax:classid="{8BD21D30-EC42-11CE-9E0D-00AA006002F3}" r:id="rId1"/>
</file>

<file path=xl/activeX/activeX18.xml><?xml version="1.0" encoding="utf-8"?>
<ax:ocx xmlns:ax="http://schemas.microsoft.com/office/2006/activeX" xmlns:r="http://schemas.openxmlformats.org/officeDocument/2006/relationships" ax:classid="{8BD21D30-EC42-11CE-9E0D-00AA006002F3}" r:id="rId1"/>
</file>

<file path=xl/activeX/activeX19.xml><?xml version="1.0" encoding="utf-8"?>
<ax:ocx xmlns:ax="http://schemas.microsoft.com/office/2006/activeX" xmlns:r="http://schemas.openxmlformats.org/officeDocument/2006/relationships" ax:classid="{8BD21D30-EC42-11CE-9E0D-00AA006002F3}" r:id="rId1"/>
</file>

<file path=xl/activeX/activeX20.xml><?xml version="1.0" encoding="utf-8"?>
<ax:ocx xmlns:ax="http://schemas.microsoft.com/office/2006/activeX" xmlns:r="http://schemas.openxmlformats.org/officeDocument/2006/relationships" ax:classid="{8BD21D30-EC42-11CE-9E0D-00AA006002F3}" r:id="rId1"/>
</file>

<file path=xl/activeX/activeX21.xml><?xml version="1.0" encoding="utf-8"?>
<ax:ocx xmlns:ax="http://schemas.microsoft.com/office/2006/activeX" xmlns:r="http://schemas.openxmlformats.org/officeDocument/2006/relationships" ax:classid="{8BD21D30-EC42-11CE-9E0D-00AA006002F3}" r:id="rId1"/>
</file>

<file path=xl/activeX/activeX22.xml><?xml version="1.0" encoding="utf-8"?>
<ax:ocx xmlns:ax="http://schemas.microsoft.com/office/2006/activeX" xmlns:r="http://schemas.openxmlformats.org/officeDocument/2006/relationships" ax:classid="{8BD21D30-EC42-11CE-9E0D-00AA006002F3}" r:id="rId1"/>
</file>

<file path=xl/activeX/activeX23.xml><?xml version="1.0" encoding="utf-8"?>
<ax:ocx xmlns:ax="http://schemas.microsoft.com/office/2006/activeX" xmlns:r="http://schemas.openxmlformats.org/officeDocument/2006/relationships" ax:classid="{8BD21D30-EC42-11CE-9E0D-00AA006002F3}" r:id="rId1"/>
</file>

<file path=xl/activeX/activeX24.xml><?xml version="1.0" encoding="utf-8"?>
<ax:ocx xmlns:ax="http://schemas.microsoft.com/office/2006/activeX" xmlns:r="http://schemas.openxmlformats.org/officeDocument/2006/relationships" ax:classid="{8BD21D30-EC42-11CE-9E0D-00AA006002F3}" r:id="rId1"/>
</file>

<file path=xl/activeX/activeX25.xml><?xml version="1.0" encoding="utf-8"?>
<ax:ocx xmlns:ax="http://schemas.microsoft.com/office/2006/activeX" xmlns:r="http://schemas.openxmlformats.org/officeDocument/2006/relationships" ax:classid="{8BD21D30-EC42-11CE-9E0D-00AA006002F3}" r:id="rId1"/>
</file>

<file path=xl/activeX/activeX26.xml><?xml version="1.0" encoding="utf-8"?>
<ax:ocx xmlns:ax="http://schemas.microsoft.com/office/2006/activeX" xmlns:r="http://schemas.openxmlformats.org/officeDocument/2006/relationships" ax:classid="{8BD21D30-EC42-11CE-9E0D-00AA006002F3}" r:id="rId1"/>
</file>

<file path=xl/activeX/activeX27.xml><?xml version="1.0" encoding="utf-8"?>
<ax:ocx xmlns:ax="http://schemas.microsoft.com/office/2006/activeX" xmlns:r="http://schemas.openxmlformats.org/officeDocument/2006/relationships" ax:classid="{8BD21D30-EC42-11CE-9E0D-00AA006002F3}" r:id="rId1"/>
</file>

<file path=xl/activeX/activeX28.xml><?xml version="1.0" encoding="utf-8"?>
<ax:ocx xmlns:ax="http://schemas.microsoft.com/office/2006/activeX" xmlns:r="http://schemas.openxmlformats.org/officeDocument/2006/relationships" ax:classid="{8BD21D30-EC42-11CE-9E0D-00AA006002F3}" r:id="rId1"/>
</file>

<file path=xl/activeX/activeX29.xml><?xml version="1.0" encoding="utf-8"?>
<ax:ocx xmlns:ax="http://schemas.microsoft.com/office/2006/activeX" xmlns:r="http://schemas.openxmlformats.org/officeDocument/2006/relationships" ax:classid="{8BD21D30-EC42-11CE-9E0D-00AA006002F3}" r:id="rId1"/>
</file>

<file path=xl/activeX/activeX30.xml><?xml version="1.0" encoding="utf-8"?>
<ax:ocx xmlns:ax="http://schemas.microsoft.com/office/2006/activeX" xmlns:r="http://schemas.openxmlformats.org/officeDocument/2006/relationships" ax:classid="{8BD21D30-EC42-11CE-9E0D-00AA006002F3}" r:id="rId1"/>
</file>

<file path=xl/activeX/activeX31.xml><?xml version="1.0" encoding="utf-8"?>
<ax:ocx xmlns:ax="http://schemas.microsoft.com/office/2006/activeX" xmlns:r="http://schemas.openxmlformats.org/officeDocument/2006/relationships" ax:classid="{8BD21D30-EC42-11CE-9E0D-00AA006002F3}" r:id="rId1"/>
</file>

<file path=xl/activeX/activeX32.xml><?xml version="1.0" encoding="utf-8"?>
<ax:ocx xmlns:ax="http://schemas.microsoft.com/office/2006/activeX" xmlns:r="http://schemas.openxmlformats.org/officeDocument/2006/relationships" ax:classid="{8BD21D30-EC42-11CE-9E0D-00AA006002F3}" r:id="rId1"/>
</file>

<file path=xl/activeX/activeX33.xml><?xml version="1.0" encoding="utf-8"?>
<ax:ocx xmlns:ax="http://schemas.microsoft.com/office/2006/activeX" xmlns:r="http://schemas.openxmlformats.org/officeDocument/2006/relationships" ax:classid="{8BD21D30-EC42-11CE-9E0D-00AA006002F3}" r:id="rId1"/>
</file>

<file path=xl/activeX/activeX34.xml><?xml version="1.0" encoding="utf-8"?>
<ax:ocx xmlns:ax="http://schemas.microsoft.com/office/2006/activeX" xmlns:r="http://schemas.openxmlformats.org/officeDocument/2006/relationships" ax:classid="{8BD21D30-EC42-11CE-9E0D-00AA006002F3}" r:id="rId1"/>
</file>

<file path=xl/activeX/activeX35.xml><?xml version="1.0" encoding="utf-8"?>
<ax:ocx xmlns:ax="http://schemas.microsoft.com/office/2006/activeX" xmlns:r="http://schemas.openxmlformats.org/officeDocument/2006/relationships" ax:classid="{8BD21D30-EC42-11CE-9E0D-00AA006002F3}" r:id="rId1"/>
</file>

<file path=xl/activeX/activeX36.xml><?xml version="1.0" encoding="utf-8"?>
<ax:ocx xmlns:ax="http://schemas.microsoft.com/office/2006/activeX" xmlns:r="http://schemas.openxmlformats.org/officeDocument/2006/relationships" ax:classid="{8BD21D30-EC42-11CE-9E0D-00AA006002F3}" r:id="rId1"/>
</file>

<file path=xl/activeX/activeX37.xml><?xml version="1.0" encoding="utf-8"?>
<ax:ocx xmlns:ax="http://schemas.microsoft.com/office/2006/activeX" xmlns:r="http://schemas.openxmlformats.org/officeDocument/2006/relationships" ax:classid="{8BD21D30-EC42-11CE-9E0D-00AA006002F3}" r:id="rId1"/>
</file>

<file path=xl/activeX/activeX38.xml><?xml version="1.0" encoding="utf-8"?>
<ax:ocx xmlns:ax="http://schemas.microsoft.com/office/2006/activeX" xmlns:r="http://schemas.openxmlformats.org/officeDocument/2006/relationships" ax:classid="{8BD21D30-EC42-11CE-9E0D-00AA006002F3}" r:id="rId1"/>
</file>

<file path=xl/activeX/activeX39.xml><?xml version="1.0" encoding="utf-8"?>
<ax:ocx xmlns:ax="http://schemas.microsoft.com/office/2006/activeX" xmlns:r="http://schemas.openxmlformats.org/officeDocument/2006/relationships" ax:classid="{8BD21D30-EC42-11CE-9E0D-00AA006002F3}" r:id="rId1"/>
</file>

<file path=xl/activeX/activeX40.xml><?xml version="1.0" encoding="utf-8"?>
<ax:ocx xmlns:ax="http://schemas.microsoft.com/office/2006/activeX" xmlns:r="http://schemas.openxmlformats.org/officeDocument/2006/relationships" ax:classid="{8BD21D30-EC42-11CE-9E0D-00AA006002F3}" r:id="rId1"/>
</file>

<file path=xl/activeX/activeX41.xml><?xml version="1.0" encoding="utf-8"?>
<ax:ocx xmlns:ax="http://schemas.microsoft.com/office/2006/activeX" xmlns:r="http://schemas.openxmlformats.org/officeDocument/2006/relationships" ax:classid="{8BD21D30-EC42-11CE-9E0D-00AA006002F3}" r:id="rId1"/>
</file>

<file path=xl/activeX/activeX42.xml><?xml version="1.0" encoding="utf-8"?>
<ax:ocx xmlns:ax="http://schemas.microsoft.com/office/2006/activeX" xmlns:r="http://schemas.openxmlformats.org/officeDocument/2006/relationships" ax:classid="{8BD21D30-EC42-11CE-9E0D-00AA006002F3}" r:id="rId1"/>
</file>

<file path=xl/activeX/activeX43.xml><?xml version="1.0" encoding="utf-8"?>
<ax:ocx xmlns:ax="http://schemas.microsoft.com/office/2006/activeX" xmlns:r="http://schemas.openxmlformats.org/officeDocument/2006/relationships" ax:classid="{8BD21D30-EC42-11CE-9E0D-00AA006002F3}" r:id="rId1"/>
</file>

<file path=xl/activeX/activeX44.xml><?xml version="1.0" encoding="utf-8"?>
<ax:ocx xmlns:ax="http://schemas.microsoft.com/office/2006/activeX" xmlns:r="http://schemas.openxmlformats.org/officeDocument/2006/relationships" ax:classid="{8BD21D30-EC42-11CE-9E0D-00AA006002F3}" r:id="rId1"/>
</file>

<file path=xl/activeX/activeX45.xml><?xml version="1.0" encoding="utf-8"?>
<ax:ocx xmlns:ax="http://schemas.microsoft.com/office/2006/activeX" xmlns:r="http://schemas.openxmlformats.org/officeDocument/2006/relationships" ax:classid="{8BD21D30-EC42-11CE-9E0D-00AA006002F3}" r:id="rId1"/>
</file>

<file path=xl/activeX/activeX46.xml><?xml version="1.0" encoding="utf-8"?>
<ax:ocx xmlns:ax="http://schemas.microsoft.com/office/2006/activeX" xmlns:r="http://schemas.openxmlformats.org/officeDocument/2006/relationships" ax:classid="{8BD21D30-EC42-11CE-9E0D-00AA006002F3}" r:id="rId1"/>
</file>

<file path=xl/activeX/activeX47.xml><?xml version="1.0" encoding="utf-8"?>
<ax:ocx xmlns:ax="http://schemas.microsoft.com/office/2006/activeX" xmlns:r="http://schemas.openxmlformats.org/officeDocument/2006/relationships" ax:classid="{8BD21D30-EC42-11CE-9E0D-00AA006002F3}" r:id="rId1"/>
</file>

<file path=xl/activeX/activeX48.xml><?xml version="1.0" encoding="utf-8"?>
<ax:ocx xmlns:ax="http://schemas.microsoft.com/office/2006/activeX" xmlns:r="http://schemas.openxmlformats.org/officeDocument/2006/relationships" ax:classid="{8BD21D30-EC42-11CE-9E0D-00AA006002F3}" r:id="rId1"/>
</file>

<file path=xl/activeX/activeX49.xml><?xml version="1.0" encoding="utf-8"?>
<ax:ocx xmlns:ax="http://schemas.microsoft.com/office/2006/activeX" xmlns:r="http://schemas.openxmlformats.org/officeDocument/2006/relationships" ax:classid="{8BD21D30-EC42-11CE-9E0D-00AA006002F3}" r:id="rId1"/>
</file>

<file path=xl/activeX/activeX50.xml><?xml version="1.0" encoding="utf-8"?>
<ax:ocx xmlns:ax="http://schemas.microsoft.com/office/2006/activeX" xmlns:r="http://schemas.openxmlformats.org/officeDocument/2006/relationships" ax:classid="{8BD21D30-EC42-11CE-9E0D-00AA006002F3}" r:id="rId1"/>
</file>

<file path=xl/activeX/activeX51.xml><?xml version="1.0" encoding="utf-8"?>
<ax:ocx xmlns:ax="http://schemas.microsoft.com/office/2006/activeX" xmlns:r="http://schemas.openxmlformats.org/officeDocument/2006/relationships" ax:classid="{8BD21D30-EC42-11CE-9E0D-00AA006002F3}" r:id="rId1"/>
</file>

<file path=xl/activeX/activeX52.xml><?xml version="1.0" encoding="utf-8"?>
<ax:ocx xmlns:ax="http://schemas.microsoft.com/office/2006/activeX" xmlns:r="http://schemas.openxmlformats.org/officeDocument/2006/relationships" ax:classid="{8BD21D30-EC42-11CE-9E0D-00AA006002F3}" r:id="rId1"/>
</file>

<file path=xl/activeX/activeX53.xml><?xml version="1.0" encoding="utf-8"?>
<ax:ocx xmlns:ax="http://schemas.microsoft.com/office/2006/activeX" xmlns:r="http://schemas.openxmlformats.org/officeDocument/2006/relationships" ax:classid="{8BD21D30-EC42-11CE-9E0D-00AA006002F3}" r:id="rId1"/>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800" b="1" i="0" u="none" strike="noStrike" baseline="0">
                <a:solidFill>
                  <a:srgbClr val="000000"/>
                </a:solidFill>
                <a:latin typeface="Calibri"/>
                <a:ea typeface="Calibri"/>
                <a:cs typeface="Calibri"/>
              </a:defRPr>
            </a:pPr>
            <a:r>
              <a:rPr lang="en-ZA"/>
              <a:t>MTREF Assessment</a:t>
            </a:r>
          </a:p>
        </c:rich>
      </c:tx>
      <c:overlay val="0"/>
      <c:spPr>
        <a:noFill/>
        <a:ln w="25400">
          <a:noFill/>
        </a:ln>
      </c:spPr>
    </c:title>
    <c:autoTitleDeleted val="0"/>
    <c:plotArea>
      <c:layout>
        <c:manualLayout>
          <c:layoutTarget val="inner"/>
          <c:xMode val="edge"/>
          <c:yMode val="edge"/>
          <c:x val="8.0905662308266513E-2"/>
          <c:y val="0.15341754155730533"/>
          <c:w val="0.90858210527583139"/>
          <c:h val="0.43620982410093473"/>
        </c:manualLayout>
      </c:layout>
      <c:barChart>
        <c:barDir val="col"/>
        <c:grouping val="clustered"/>
        <c:varyColors val="0"/>
        <c:ser>
          <c:idx val="0"/>
          <c:order val="0"/>
          <c:tx>
            <c:strRef>
              <c:f>'1.Outcomes'!$J$29</c:f>
              <c:strCache>
                <c:ptCount val="1"/>
                <c:pt idx="0">
                  <c:v>Total</c:v>
                </c:pt>
              </c:strCache>
            </c:strRef>
          </c:tx>
          <c:spPr>
            <a:solidFill>
              <a:srgbClr val="4472C4"/>
            </a:solidFill>
            <a:ln w="25400">
              <a:noFill/>
            </a:ln>
            <a:scene3d>
              <a:camera prst="orthographicFront"/>
              <a:lightRig rig="threePt" dir="t"/>
            </a:scene3d>
            <a:sp3d>
              <a:bevelT prst="angle"/>
            </a:sp3d>
          </c:spPr>
          <c:invertIfNegative val="0"/>
          <c:cat>
            <c:strRef>
              <c:f>'1.Outcomes'!$I$30:$I$38</c:f>
              <c:strCache>
                <c:ptCount val="9"/>
                <c:pt idx="0">
                  <c:v>Rev required Yr1</c:v>
                </c:pt>
                <c:pt idx="1">
                  <c:v>Rev Budgeted Yr1</c:v>
                </c:pt>
                <c:pt idx="2">
                  <c:v>Deficit/Surplus Yr1</c:v>
                </c:pt>
                <c:pt idx="3">
                  <c:v>Rev required Yr2</c:v>
                </c:pt>
                <c:pt idx="4">
                  <c:v>Rev Budgeted Yr2</c:v>
                </c:pt>
                <c:pt idx="5">
                  <c:v>Defict Yr2</c:v>
                </c:pt>
                <c:pt idx="6">
                  <c:v>Rev required Yr3</c:v>
                </c:pt>
                <c:pt idx="7">
                  <c:v>Rev Budgeted Yr3</c:v>
                </c:pt>
                <c:pt idx="8">
                  <c:v>Defict Yr3</c:v>
                </c:pt>
              </c:strCache>
            </c:strRef>
          </c:cat>
          <c:val>
            <c:numRef>
              <c:f>'1.Outcomes'!$J$30:$J$38</c:f>
              <c:numCache>
                <c:formatCode>_-* #\ ##0_-;\-* #\ ##0_-;_-* "-"??_-;_-@_-</c:formatCode>
                <c:ptCount val="9"/>
                <c:pt idx="0">
                  <c:v>408426622.5</c:v>
                </c:pt>
                <c:pt idx="1">
                  <c:v>408933937</c:v>
                </c:pt>
                <c:pt idx="2">
                  <c:v>507314.5</c:v>
                </c:pt>
                <c:pt idx="3">
                  <c:v>420970597</c:v>
                </c:pt>
                <c:pt idx="4">
                  <c:v>422837689</c:v>
                </c:pt>
                <c:pt idx="5">
                  <c:v>1867092</c:v>
                </c:pt>
                <c:pt idx="6">
                  <c:v>436268957</c:v>
                </c:pt>
                <c:pt idx="7">
                  <c:v>436368495.04799998</c:v>
                </c:pt>
                <c:pt idx="8">
                  <c:v>99538.047999992967</c:v>
                </c:pt>
              </c:numCache>
            </c:numRef>
          </c:val>
          <c:extLst>
            <c:ext xmlns:c16="http://schemas.microsoft.com/office/drawing/2014/chart" uri="{C3380CC4-5D6E-409C-BE32-E72D297353CC}">
              <c16:uniqueId val="{00000000-D65B-4949-81AB-EBD96A3098DB}"/>
            </c:ext>
          </c:extLst>
        </c:ser>
        <c:ser>
          <c:idx val="1"/>
          <c:order val="1"/>
          <c:tx>
            <c:strRef>
              <c:f>'1.Outcomes'!$K$29</c:f>
              <c:strCache>
                <c:ptCount val="1"/>
                <c:pt idx="0">
                  <c:v>Water</c:v>
                </c:pt>
              </c:strCache>
            </c:strRef>
          </c:tx>
          <c:spPr>
            <a:solidFill>
              <a:srgbClr val="ED7D31"/>
            </a:solidFill>
            <a:ln w="25400">
              <a:noFill/>
            </a:ln>
            <a:scene3d>
              <a:camera prst="orthographicFront"/>
              <a:lightRig rig="threePt" dir="t"/>
            </a:scene3d>
            <a:sp3d>
              <a:bevelT prst="angle"/>
            </a:sp3d>
          </c:spPr>
          <c:invertIfNegative val="0"/>
          <c:cat>
            <c:strRef>
              <c:f>'1.Outcomes'!$I$30:$I$38</c:f>
              <c:strCache>
                <c:ptCount val="9"/>
                <c:pt idx="0">
                  <c:v>Rev required Yr1</c:v>
                </c:pt>
                <c:pt idx="1">
                  <c:v>Rev Budgeted Yr1</c:v>
                </c:pt>
                <c:pt idx="2">
                  <c:v>Deficit/Surplus Yr1</c:v>
                </c:pt>
                <c:pt idx="3">
                  <c:v>Rev required Yr2</c:v>
                </c:pt>
                <c:pt idx="4">
                  <c:v>Rev Budgeted Yr2</c:v>
                </c:pt>
                <c:pt idx="5">
                  <c:v>Defict Yr2</c:v>
                </c:pt>
                <c:pt idx="6">
                  <c:v>Rev required Yr3</c:v>
                </c:pt>
                <c:pt idx="7">
                  <c:v>Rev Budgeted Yr3</c:v>
                </c:pt>
                <c:pt idx="8">
                  <c:v>Defict Yr3</c:v>
                </c:pt>
              </c:strCache>
            </c:strRef>
          </c:cat>
          <c:val>
            <c:numRef>
              <c:f>'1.Outcomes'!$K$30:$K$38</c:f>
              <c:numCache>
                <c:formatCode>_-* #\ ##0_-;\-* #\ ##0_-;_-* "-"??_-;_-@_-</c:formatCode>
                <c:ptCount val="9"/>
                <c:pt idx="0">
                  <c:v>108238120.75</c:v>
                </c:pt>
                <c:pt idx="1">
                  <c:v>125278920</c:v>
                </c:pt>
                <c:pt idx="2">
                  <c:v>17040799.25</c:v>
                </c:pt>
                <c:pt idx="3">
                  <c:v>111765805.5</c:v>
                </c:pt>
                <c:pt idx="4">
                  <c:v>129538403</c:v>
                </c:pt>
                <c:pt idx="5">
                  <c:v>17772597.5</c:v>
                </c:pt>
                <c:pt idx="6">
                  <c:v>115931215</c:v>
                </c:pt>
                <c:pt idx="7">
                  <c:v>133683631.896</c:v>
                </c:pt>
                <c:pt idx="8">
                  <c:v>17752416.895999998</c:v>
                </c:pt>
              </c:numCache>
            </c:numRef>
          </c:val>
          <c:extLst>
            <c:ext xmlns:c16="http://schemas.microsoft.com/office/drawing/2014/chart" uri="{C3380CC4-5D6E-409C-BE32-E72D297353CC}">
              <c16:uniqueId val="{00000001-D65B-4949-81AB-EBD96A3098DB}"/>
            </c:ext>
          </c:extLst>
        </c:ser>
        <c:ser>
          <c:idx val="2"/>
          <c:order val="2"/>
          <c:tx>
            <c:strRef>
              <c:f>'1.Outcomes'!$L$29</c:f>
              <c:strCache>
                <c:ptCount val="1"/>
                <c:pt idx="0">
                  <c:v>Waste Water</c:v>
                </c:pt>
              </c:strCache>
            </c:strRef>
          </c:tx>
          <c:spPr>
            <a:solidFill>
              <a:srgbClr val="A5A5A5"/>
            </a:solidFill>
            <a:ln w="25400">
              <a:noFill/>
            </a:ln>
            <a:scene3d>
              <a:camera prst="orthographicFront"/>
              <a:lightRig rig="threePt" dir="t"/>
            </a:scene3d>
            <a:sp3d>
              <a:bevelT prst="angle"/>
            </a:sp3d>
          </c:spPr>
          <c:invertIfNegative val="0"/>
          <c:cat>
            <c:strRef>
              <c:f>'1.Outcomes'!$I$30:$I$38</c:f>
              <c:strCache>
                <c:ptCount val="9"/>
                <c:pt idx="0">
                  <c:v>Rev required Yr1</c:v>
                </c:pt>
                <c:pt idx="1">
                  <c:v>Rev Budgeted Yr1</c:v>
                </c:pt>
                <c:pt idx="2">
                  <c:v>Deficit/Surplus Yr1</c:v>
                </c:pt>
                <c:pt idx="3">
                  <c:v>Rev required Yr2</c:v>
                </c:pt>
                <c:pt idx="4">
                  <c:v>Rev Budgeted Yr2</c:v>
                </c:pt>
                <c:pt idx="5">
                  <c:v>Defict Yr2</c:v>
                </c:pt>
                <c:pt idx="6">
                  <c:v>Rev required Yr3</c:v>
                </c:pt>
                <c:pt idx="7">
                  <c:v>Rev Budgeted Yr3</c:v>
                </c:pt>
                <c:pt idx="8">
                  <c:v>Defict Yr3</c:v>
                </c:pt>
              </c:strCache>
            </c:strRef>
          </c:cat>
          <c:val>
            <c:numRef>
              <c:f>'1.Outcomes'!$L$30:$L$38</c:f>
              <c:numCache>
                <c:formatCode>_-* #\ ##0_-;\-* #\ ##0_-;_-* "-"??_-;_-@_-</c:formatCode>
                <c:ptCount val="9"/>
                <c:pt idx="0">
                  <c:v>50470341.25</c:v>
                </c:pt>
                <c:pt idx="1">
                  <c:v>52237460</c:v>
                </c:pt>
                <c:pt idx="2">
                  <c:v>1767118.75</c:v>
                </c:pt>
                <c:pt idx="3">
                  <c:v>52076405.5</c:v>
                </c:pt>
                <c:pt idx="4">
                  <c:v>54013533</c:v>
                </c:pt>
                <c:pt idx="5">
                  <c:v>1937127.5</c:v>
                </c:pt>
                <c:pt idx="6">
                  <c:v>54188525</c:v>
                </c:pt>
                <c:pt idx="7">
                  <c:v>55741966.055999994</c:v>
                </c:pt>
                <c:pt idx="8">
                  <c:v>1553441.0559999943</c:v>
                </c:pt>
              </c:numCache>
            </c:numRef>
          </c:val>
          <c:extLst>
            <c:ext xmlns:c16="http://schemas.microsoft.com/office/drawing/2014/chart" uri="{C3380CC4-5D6E-409C-BE32-E72D297353CC}">
              <c16:uniqueId val="{00000002-D65B-4949-81AB-EBD96A3098DB}"/>
            </c:ext>
          </c:extLst>
        </c:ser>
        <c:ser>
          <c:idx val="3"/>
          <c:order val="3"/>
          <c:tx>
            <c:strRef>
              <c:f>'1.Outcomes'!$M$29</c:f>
              <c:strCache>
                <c:ptCount val="1"/>
                <c:pt idx="0">
                  <c:v>Electricity</c:v>
                </c:pt>
              </c:strCache>
            </c:strRef>
          </c:tx>
          <c:spPr>
            <a:solidFill>
              <a:srgbClr val="FFC000"/>
            </a:solidFill>
            <a:ln w="25400">
              <a:noFill/>
            </a:ln>
            <a:scene3d>
              <a:camera prst="orthographicFront"/>
              <a:lightRig rig="threePt" dir="t"/>
            </a:scene3d>
            <a:sp3d>
              <a:bevelT prst="angle"/>
            </a:sp3d>
          </c:spPr>
          <c:invertIfNegative val="0"/>
          <c:cat>
            <c:strRef>
              <c:f>'1.Outcomes'!$I$30:$I$38</c:f>
              <c:strCache>
                <c:ptCount val="9"/>
                <c:pt idx="0">
                  <c:v>Rev required Yr1</c:v>
                </c:pt>
                <c:pt idx="1">
                  <c:v>Rev Budgeted Yr1</c:v>
                </c:pt>
                <c:pt idx="2">
                  <c:v>Deficit/Surplus Yr1</c:v>
                </c:pt>
                <c:pt idx="3">
                  <c:v>Rev required Yr2</c:v>
                </c:pt>
                <c:pt idx="4">
                  <c:v>Rev Budgeted Yr2</c:v>
                </c:pt>
                <c:pt idx="5">
                  <c:v>Defict Yr2</c:v>
                </c:pt>
                <c:pt idx="6">
                  <c:v>Rev required Yr3</c:v>
                </c:pt>
                <c:pt idx="7">
                  <c:v>Rev Budgeted Yr3</c:v>
                </c:pt>
                <c:pt idx="8">
                  <c:v>Defict Yr3</c:v>
                </c:pt>
              </c:strCache>
            </c:strRef>
          </c:cat>
          <c:val>
            <c:numRef>
              <c:f>'1.Outcomes'!$M$30:$M$38</c:f>
              <c:numCache>
                <c:formatCode>_-* #\ ##0_-;\-* #\ ##0_-;_-* "-"??_-;_-@_-</c:formatCode>
                <c:ptCount val="9"/>
                <c:pt idx="0">
                  <c:v>176705441.25</c:v>
                </c:pt>
                <c:pt idx="1">
                  <c:v>179259480</c:v>
                </c:pt>
                <c:pt idx="2">
                  <c:v>2554038.75</c:v>
                </c:pt>
                <c:pt idx="3">
                  <c:v>181804712.5</c:v>
                </c:pt>
                <c:pt idx="4">
                  <c:v>185354301</c:v>
                </c:pt>
                <c:pt idx="5">
                  <c:v>3549588.5</c:v>
                </c:pt>
                <c:pt idx="6">
                  <c:v>187941346</c:v>
                </c:pt>
                <c:pt idx="7">
                  <c:v>191285638.632</c:v>
                </c:pt>
                <c:pt idx="8">
                  <c:v>3344292.6319999993</c:v>
                </c:pt>
              </c:numCache>
            </c:numRef>
          </c:val>
          <c:extLst>
            <c:ext xmlns:c16="http://schemas.microsoft.com/office/drawing/2014/chart" uri="{C3380CC4-5D6E-409C-BE32-E72D297353CC}">
              <c16:uniqueId val="{00000003-D65B-4949-81AB-EBD96A3098DB}"/>
            </c:ext>
          </c:extLst>
        </c:ser>
        <c:ser>
          <c:idx val="4"/>
          <c:order val="4"/>
          <c:tx>
            <c:strRef>
              <c:f>'1.Outcomes'!$N$29</c:f>
              <c:strCache>
                <c:ptCount val="1"/>
                <c:pt idx="0">
                  <c:v>Solid Waste</c:v>
                </c:pt>
              </c:strCache>
            </c:strRef>
          </c:tx>
          <c:spPr>
            <a:solidFill>
              <a:srgbClr val="5B9BD5"/>
            </a:solidFill>
            <a:ln w="25400">
              <a:noFill/>
            </a:ln>
            <a:scene3d>
              <a:camera prst="orthographicFront"/>
              <a:lightRig rig="threePt" dir="t"/>
            </a:scene3d>
            <a:sp3d>
              <a:bevelT prst="angle"/>
            </a:sp3d>
          </c:spPr>
          <c:invertIfNegative val="0"/>
          <c:cat>
            <c:strRef>
              <c:f>'1.Outcomes'!$I$30:$I$38</c:f>
              <c:strCache>
                <c:ptCount val="9"/>
                <c:pt idx="0">
                  <c:v>Rev required Yr1</c:v>
                </c:pt>
                <c:pt idx="1">
                  <c:v>Rev Budgeted Yr1</c:v>
                </c:pt>
                <c:pt idx="2">
                  <c:v>Deficit/Surplus Yr1</c:v>
                </c:pt>
                <c:pt idx="3">
                  <c:v>Rev required Yr2</c:v>
                </c:pt>
                <c:pt idx="4">
                  <c:v>Rev Budgeted Yr2</c:v>
                </c:pt>
                <c:pt idx="5">
                  <c:v>Defict Yr2</c:v>
                </c:pt>
                <c:pt idx="6">
                  <c:v>Rev required Yr3</c:v>
                </c:pt>
                <c:pt idx="7">
                  <c:v>Rev Budgeted Yr3</c:v>
                </c:pt>
                <c:pt idx="8">
                  <c:v>Defict Yr3</c:v>
                </c:pt>
              </c:strCache>
            </c:strRef>
          </c:cat>
          <c:val>
            <c:numRef>
              <c:f>'1.Outcomes'!$N$30:$N$38</c:f>
              <c:numCache>
                <c:formatCode>_-* #\ ##0_-;\-* #\ ##0_-;_-* "-"??_-;_-@_-</c:formatCode>
                <c:ptCount val="9"/>
                <c:pt idx="0">
                  <c:v>73012719.25</c:v>
                </c:pt>
                <c:pt idx="1">
                  <c:v>52158077</c:v>
                </c:pt>
                <c:pt idx="2">
                  <c:v>-20854642.25</c:v>
                </c:pt>
                <c:pt idx="3">
                  <c:v>75323673.5</c:v>
                </c:pt>
                <c:pt idx="4">
                  <c:v>53931452</c:v>
                </c:pt>
                <c:pt idx="5">
                  <c:v>-21392221.5</c:v>
                </c:pt>
                <c:pt idx="6">
                  <c:v>78207871</c:v>
                </c:pt>
                <c:pt idx="7">
                  <c:v>55657258.464000002</c:v>
                </c:pt>
                <c:pt idx="8">
                  <c:v>-22550612.535999998</c:v>
                </c:pt>
              </c:numCache>
            </c:numRef>
          </c:val>
          <c:extLst>
            <c:ext xmlns:c16="http://schemas.microsoft.com/office/drawing/2014/chart" uri="{C3380CC4-5D6E-409C-BE32-E72D297353CC}">
              <c16:uniqueId val="{00000004-D65B-4949-81AB-EBD96A3098DB}"/>
            </c:ext>
          </c:extLst>
        </c:ser>
        <c:dLbls>
          <c:showLegendKey val="0"/>
          <c:showVal val="0"/>
          <c:showCatName val="0"/>
          <c:showSerName val="0"/>
          <c:showPercent val="0"/>
          <c:showBubbleSize val="0"/>
        </c:dLbls>
        <c:gapWidth val="150"/>
        <c:axId val="1350420719"/>
        <c:axId val="1"/>
      </c:barChart>
      <c:catAx>
        <c:axId val="1350420719"/>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5400000" vert="horz"/>
          <a:lstStyle/>
          <a:p>
            <a:pPr>
              <a:defRPr sz="1000" b="0" i="0" u="none" strike="noStrike" baseline="0">
                <a:solidFill>
                  <a:srgbClr val="000000"/>
                </a:solidFill>
                <a:latin typeface="Calibri"/>
                <a:ea typeface="Calibri"/>
                <a:cs typeface="Calibri"/>
              </a:defRPr>
            </a:pPr>
            <a:endParaRPr lang="en-US"/>
          </a:p>
        </c:txPr>
        <c:crossAx val="1"/>
        <c:crosses val="autoZero"/>
        <c:auto val="1"/>
        <c:lblAlgn val="ctr"/>
        <c:lblOffset val="100"/>
        <c:noMultiLvlLbl val="0"/>
      </c:catAx>
      <c:valAx>
        <c:axId val="1"/>
        <c:scaling>
          <c:orientation val="minMax"/>
        </c:scaling>
        <c:delete val="1"/>
        <c:axPos val="l"/>
        <c:majorGridlines>
          <c:spPr>
            <a:ln w="12700" cap="flat" cmpd="sng" algn="ctr">
              <a:solidFill>
                <a:schemeClr val="accent3"/>
              </a:solidFill>
              <a:prstDash val="solid"/>
              <a:miter lim="800000"/>
            </a:ln>
            <a:effectLst/>
          </c:spPr>
        </c:majorGridlines>
        <c:numFmt formatCode="_-* #\ ##0_-;\-* #\ ##0_-;_-* &quot;-&quot;??_-;_-@_-" sourceLinked="1"/>
        <c:majorTickMark val="out"/>
        <c:minorTickMark val="none"/>
        <c:tickLblPos val="nextTo"/>
        <c:crossAx val="1350420719"/>
        <c:crosses val="autoZero"/>
        <c:crossBetween val="between"/>
      </c:valAx>
      <c:dTable>
        <c:showHorzBorder val="1"/>
        <c:showVertBorder val="1"/>
        <c:showOutline val="1"/>
        <c:showKeys val="1"/>
        <c:spPr>
          <a:pattFill prst="dashDnDiag">
            <a:fgClr>
              <a:schemeClr val="bg2">
                <a:lumMod val="90000"/>
              </a:schemeClr>
            </a:fgClr>
            <a:bgClr>
              <a:schemeClr val="bg1"/>
            </a:bgClr>
          </a:pattFill>
        </c:spPr>
        <c:txPr>
          <a:bodyPr/>
          <a:lstStyle/>
          <a:p>
            <a:pPr rtl="0">
              <a:defRPr sz="1000" b="0" i="0" u="none" strike="noStrike" baseline="0">
                <a:solidFill>
                  <a:srgbClr val="000000"/>
                </a:solidFill>
                <a:latin typeface="Calibri"/>
                <a:ea typeface="Calibri"/>
                <a:cs typeface="Calibri"/>
              </a:defRPr>
            </a:pPr>
            <a:endParaRPr lang="en-US"/>
          </a:p>
        </c:txPr>
      </c:dTable>
      <c:spPr>
        <a:noFill/>
        <a:ln w="25400">
          <a:noFill/>
        </a:ln>
      </c:spPr>
    </c:plotArea>
    <c:plotVisOnly val="1"/>
    <c:dispBlanksAs val="gap"/>
    <c:showDLblsOverMax val="0"/>
  </c:chart>
  <c:spPr>
    <a:solidFill>
      <a:schemeClr val="bg1"/>
    </a:solidFill>
    <a:ln w="9525" cap="flat" cmpd="sng" algn="ctr">
      <a:solidFill>
        <a:schemeClr val="tx1">
          <a:lumMod val="50000"/>
          <a:lumOff val="50000"/>
        </a:schemeClr>
      </a:solidFill>
      <a:round/>
    </a:ln>
    <a:effectLst/>
    <a:scene3d>
      <a:camera prst="orthographicFront"/>
      <a:lightRig rig="threePt" dir="t"/>
    </a:scene3d>
    <a:sp3d>
      <a:bevelT prst="angle"/>
    </a:sp3d>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500" b="1" i="0" u="none" strike="noStrike" baseline="0">
                <a:solidFill>
                  <a:srgbClr val="000000"/>
                </a:solidFill>
                <a:latin typeface="Arial Narrow"/>
                <a:ea typeface="Arial Narrow"/>
                <a:cs typeface="Arial Narrow"/>
              </a:defRPr>
            </a:pPr>
            <a:r>
              <a:rPr lang="en-ZA"/>
              <a:t>TAB Assessment</a:t>
            </a:r>
          </a:p>
        </c:rich>
      </c:tx>
      <c:overlay val="0"/>
      <c:spPr>
        <a:solidFill>
          <a:schemeClr val="bg1"/>
        </a:solidFill>
        <a:ln>
          <a:solidFill>
            <a:schemeClr val="bg1">
              <a:lumMod val="50000"/>
            </a:schemeClr>
          </a:solidFill>
        </a:ln>
        <a:effectLst/>
        <a:scene3d>
          <a:camera prst="orthographicFront"/>
          <a:lightRig rig="threePt" dir="t"/>
        </a:scene3d>
        <a:sp3d/>
      </c:spPr>
    </c:title>
    <c:autoTitleDeleted val="0"/>
    <c:plotArea>
      <c:layout/>
      <c:barChart>
        <c:barDir val="col"/>
        <c:grouping val="clustered"/>
        <c:varyColors val="0"/>
        <c:ser>
          <c:idx val="0"/>
          <c:order val="0"/>
          <c:tx>
            <c:strRef>
              <c:f>'1.Outcomes'!$S$30</c:f>
              <c:strCache>
                <c:ptCount val="1"/>
                <c:pt idx="0">
                  <c:v>Revenue required</c:v>
                </c:pt>
              </c:strCache>
            </c:strRef>
          </c:tx>
          <c:spPr>
            <a:solidFill>
              <a:schemeClr val="accent6">
                <a:lumMod val="20000"/>
                <a:lumOff val="80000"/>
              </a:schemeClr>
            </a:solidFill>
            <a:ln>
              <a:noFill/>
            </a:ln>
            <a:effectLst/>
            <a:scene3d>
              <a:camera prst="orthographicFront"/>
              <a:lightRig rig="threePt" dir="t"/>
            </a:scene3d>
            <a:sp3d>
              <a:bevelT prst="angle"/>
            </a:sp3d>
          </c:spPr>
          <c:invertIfNegative val="0"/>
          <c:cat>
            <c:strRef>
              <c:f>'1.Outcomes'!$T$29:$X$29</c:f>
              <c:strCache>
                <c:ptCount val="5"/>
                <c:pt idx="0">
                  <c:v>Total</c:v>
                </c:pt>
                <c:pt idx="1">
                  <c:v>Water</c:v>
                </c:pt>
                <c:pt idx="2">
                  <c:v>Waste Water</c:v>
                </c:pt>
                <c:pt idx="3">
                  <c:v>Electricity</c:v>
                </c:pt>
                <c:pt idx="4">
                  <c:v>Solid Waste</c:v>
                </c:pt>
              </c:strCache>
            </c:strRef>
          </c:cat>
          <c:val>
            <c:numRef>
              <c:f>'1.Outcomes'!$T$30:$X$30</c:f>
              <c:numCache>
                <c:formatCode>_-* #\ ##0_-;\-* #\ ##0_-;_-* "-"??_-;_-@_-</c:formatCode>
                <c:ptCount val="5"/>
                <c:pt idx="0">
                  <c:v>408426622.5</c:v>
                </c:pt>
                <c:pt idx="1">
                  <c:v>108238120.75</c:v>
                </c:pt>
                <c:pt idx="2">
                  <c:v>50470341.25</c:v>
                </c:pt>
                <c:pt idx="3">
                  <c:v>176705441.25</c:v>
                </c:pt>
                <c:pt idx="4">
                  <c:v>73012719.25</c:v>
                </c:pt>
              </c:numCache>
            </c:numRef>
          </c:val>
          <c:extLst>
            <c:ext xmlns:c16="http://schemas.microsoft.com/office/drawing/2014/chart" uri="{C3380CC4-5D6E-409C-BE32-E72D297353CC}">
              <c16:uniqueId val="{00000000-B07D-4A2C-8D57-8CE31D290065}"/>
            </c:ext>
          </c:extLst>
        </c:ser>
        <c:ser>
          <c:idx val="1"/>
          <c:order val="1"/>
          <c:tx>
            <c:strRef>
              <c:f>'1.Outcomes'!$S$31</c:f>
              <c:strCache>
                <c:ptCount val="1"/>
                <c:pt idx="0">
                  <c:v>Revenue Budgeted</c:v>
                </c:pt>
              </c:strCache>
            </c:strRef>
          </c:tx>
          <c:spPr>
            <a:solidFill>
              <a:schemeClr val="accent2"/>
            </a:solidFill>
            <a:ln>
              <a:noFill/>
            </a:ln>
            <a:effectLst/>
            <a:scene3d>
              <a:camera prst="orthographicFront"/>
              <a:lightRig rig="threePt" dir="t"/>
            </a:scene3d>
            <a:sp3d>
              <a:bevelT prst="angle"/>
            </a:sp3d>
          </c:spPr>
          <c:invertIfNegative val="0"/>
          <c:cat>
            <c:strRef>
              <c:f>'1.Outcomes'!$T$29:$X$29</c:f>
              <c:strCache>
                <c:ptCount val="5"/>
                <c:pt idx="0">
                  <c:v>Total</c:v>
                </c:pt>
                <c:pt idx="1">
                  <c:v>Water</c:v>
                </c:pt>
                <c:pt idx="2">
                  <c:v>Waste Water</c:v>
                </c:pt>
                <c:pt idx="3">
                  <c:v>Electricity</c:v>
                </c:pt>
                <c:pt idx="4">
                  <c:v>Solid Waste</c:v>
                </c:pt>
              </c:strCache>
            </c:strRef>
          </c:cat>
          <c:val>
            <c:numRef>
              <c:f>'1.Outcomes'!$T$31:$X$31</c:f>
              <c:numCache>
                <c:formatCode>_-* #\ ##0_-;\-* #\ ##0_-;_-* "-"??_-;_-@_-</c:formatCode>
                <c:ptCount val="5"/>
                <c:pt idx="0">
                  <c:v>408933937</c:v>
                </c:pt>
                <c:pt idx="1">
                  <c:v>125278920</c:v>
                </c:pt>
                <c:pt idx="2">
                  <c:v>52237460</c:v>
                </c:pt>
                <c:pt idx="3">
                  <c:v>179259480</c:v>
                </c:pt>
                <c:pt idx="4">
                  <c:v>52158077</c:v>
                </c:pt>
              </c:numCache>
            </c:numRef>
          </c:val>
          <c:extLst>
            <c:ext xmlns:c16="http://schemas.microsoft.com/office/drawing/2014/chart" uri="{C3380CC4-5D6E-409C-BE32-E72D297353CC}">
              <c16:uniqueId val="{00000001-B07D-4A2C-8D57-8CE31D290065}"/>
            </c:ext>
          </c:extLst>
        </c:ser>
        <c:ser>
          <c:idx val="2"/>
          <c:order val="2"/>
          <c:tx>
            <c:strRef>
              <c:f>'1.Outcomes'!$S$32</c:f>
              <c:strCache>
                <c:ptCount val="1"/>
                <c:pt idx="0">
                  <c:v>Deficit/Surplus </c:v>
                </c:pt>
              </c:strCache>
            </c:strRef>
          </c:tx>
          <c:spPr>
            <a:solidFill>
              <a:schemeClr val="accent3"/>
            </a:solidFill>
            <a:ln>
              <a:noFill/>
            </a:ln>
            <a:effectLst/>
            <a:scene3d>
              <a:camera prst="orthographicFront"/>
              <a:lightRig rig="threePt" dir="t"/>
            </a:scene3d>
            <a:sp3d>
              <a:bevelT prst="angle"/>
            </a:sp3d>
          </c:spPr>
          <c:invertIfNegative val="0"/>
          <c:cat>
            <c:strRef>
              <c:f>'1.Outcomes'!$T$29:$X$29</c:f>
              <c:strCache>
                <c:ptCount val="5"/>
                <c:pt idx="0">
                  <c:v>Total</c:v>
                </c:pt>
                <c:pt idx="1">
                  <c:v>Water</c:v>
                </c:pt>
                <c:pt idx="2">
                  <c:v>Waste Water</c:v>
                </c:pt>
                <c:pt idx="3">
                  <c:v>Electricity</c:v>
                </c:pt>
                <c:pt idx="4">
                  <c:v>Solid Waste</c:v>
                </c:pt>
              </c:strCache>
            </c:strRef>
          </c:cat>
          <c:val>
            <c:numRef>
              <c:f>'1.Outcomes'!$T$32:$X$32</c:f>
              <c:numCache>
                <c:formatCode>_-* #\ ##0_-;\-* #\ ##0_-;_-* "-"??_-;_-@_-</c:formatCode>
                <c:ptCount val="5"/>
                <c:pt idx="0">
                  <c:v>507314.5</c:v>
                </c:pt>
                <c:pt idx="1">
                  <c:v>17040799.25</c:v>
                </c:pt>
                <c:pt idx="2">
                  <c:v>1767118.75</c:v>
                </c:pt>
                <c:pt idx="3">
                  <c:v>2554038.75</c:v>
                </c:pt>
                <c:pt idx="4">
                  <c:v>-20854642.25</c:v>
                </c:pt>
              </c:numCache>
            </c:numRef>
          </c:val>
          <c:extLst>
            <c:ext xmlns:c16="http://schemas.microsoft.com/office/drawing/2014/chart" uri="{C3380CC4-5D6E-409C-BE32-E72D297353CC}">
              <c16:uniqueId val="{00000002-B07D-4A2C-8D57-8CE31D290065}"/>
            </c:ext>
          </c:extLst>
        </c:ser>
        <c:dLbls>
          <c:showLegendKey val="0"/>
          <c:showVal val="0"/>
          <c:showCatName val="0"/>
          <c:showSerName val="0"/>
          <c:showPercent val="0"/>
          <c:showBubbleSize val="0"/>
        </c:dLbls>
        <c:gapWidth val="150"/>
        <c:axId val="1350417359"/>
        <c:axId val="1"/>
      </c:barChart>
      <c:catAx>
        <c:axId val="1350417359"/>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0" vert="horz"/>
          <a:lstStyle/>
          <a:p>
            <a:pPr>
              <a:defRPr sz="900" b="0" i="0" u="none" strike="noStrike" baseline="0">
                <a:solidFill>
                  <a:srgbClr val="000000"/>
                </a:solidFill>
                <a:latin typeface="Calibri"/>
                <a:ea typeface="Calibri"/>
                <a:cs typeface="Calibri"/>
              </a:defRPr>
            </a:pPr>
            <a:endParaRPr lang="en-US"/>
          </a:p>
        </c:txPr>
        <c:crossAx val="1"/>
        <c:crosses val="autoZero"/>
        <c:auto val="1"/>
        <c:lblAlgn val="ctr"/>
        <c:lblOffset val="100"/>
        <c:noMultiLvlLbl val="0"/>
      </c:catAx>
      <c:valAx>
        <c:axId val="1"/>
        <c:scaling>
          <c:orientation val="minMax"/>
        </c:scaling>
        <c:delete val="1"/>
        <c:axPos val="l"/>
        <c:majorGridlines>
          <c:spPr>
            <a:ln w="9525" cap="flat" cmpd="sng" algn="ctr">
              <a:solidFill>
                <a:schemeClr val="tx1">
                  <a:lumMod val="15000"/>
                  <a:lumOff val="85000"/>
                </a:schemeClr>
              </a:solidFill>
              <a:round/>
            </a:ln>
            <a:effectLst/>
          </c:spPr>
        </c:majorGridlines>
        <c:numFmt formatCode="_-* #\ ##0_-;\-* #\ ##0_-;_-* &quot;-&quot;??_-;_-@_-" sourceLinked="1"/>
        <c:majorTickMark val="out"/>
        <c:minorTickMark val="none"/>
        <c:tickLblPos val="nextTo"/>
        <c:crossAx val="1350417359"/>
        <c:crosses val="autoZero"/>
        <c:crossBetween val="between"/>
      </c:valAx>
      <c:dTable>
        <c:showHorzBorder val="1"/>
        <c:showVertBorder val="1"/>
        <c:showOutline val="1"/>
        <c:showKeys val="1"/>
        <c:txPr>
          <a:bodyPr/>
          <a:lstStyle/>
          <a:p>
            <a:pPr rtl="0">
              <a:defRPr sz="900" b="0" i="0" u="none" strike="noStrike" baseline="0">
                <a:solidFill>
                  <a:srgbClr val="000000"/>
                </a:solidFill>
                <a:latin typeface="Arial Narrow"/>
                <a:ea typeface="Arial Narrow"/>
                <a:cs typeface="Arial Narrow"/>
              </a:defRPr>
            </a:pPr>
            <a:endParaRPr lang="en-US"/>
          </a:p>
        </c:txPr>
      </c:dTable>
      <c:spPr>
        <a:noFill/>
        <a:ln w="25400">
          <a:noFill/>
        </a:ln>
      </c:spPr>
    </c:plotArea>
    <c:plotVisOnly val="1"/>
    <c:dispBlanksAs val="gap"/>
    <c:showDLblsOverMax val="0"/>
  </c:chart>
  <c:spPr>
    <a:solidFill>
      <a:schemeClr val="bg1"/>
    </a:solidFill>
    <a:ln w="9525" cap="flat" cmpd="sng" algn="ctr">
      <a:solidFill>
        <a:schemeClr val="tx1">
          <a:lumMod val="50000"/>
          <a:lumOff val="50000"/>
        </a:schemeClr>
      </a:solidFill>
      <a:round/>
    </a:ln>
    <a:effectLst/>
    <a:scene3d>
      <a:camera prst="orthographicFront"/>
      <a:lightRig rig="threePt" dir="t"/>
    </a:scene3d>
    <a:sp3d>
      <a:bevelT prst="angle"/>
    </a:sp3d>
  </c:spPr>
  <c:txPr>
    <a:bodyPr/>
    <a:lstStyle/>
    <a:p>
      <a:pPr>
        <a:defRPr sz="9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080" b="1" i="0" u="none" strike="noStrike" baseline="0">
                <a:solidFill>
                  <a:srgbClr val="000000"/>
                </a:solidFill>
                <a:latin typeface="Arial Narrow"/>
                <a:ea typeface="Arial Narrow"/>
                <a:cs typeface="Arial Narrow"/>
              </a:defRPr>
            </a:pPr>
            <a:r>
              <a:rPr lang="en-ZA"/>
              <a:t>Surplus/Defict Over MTREF</a:t>
            </a:r>
          </a:p>
        </c:rich>
      </c:tx>
      <c:overlay val="0"/>
      <c:spPr>
        <a:noFill/>
        <a:ln w="25400">
          <a:noFill/>
        </a:ln>
      </c:spPr>
    </c:title>
    <c:autoTitleDeleted val="0"/>
    <c:plotArea>
      <c:layout/>
      <c:lineChart>
        <c:grouping val="standard"/>
        <c:varyColors val="0"/>
        <c:ser>
          <c:idx val="0"/>
          <c:order val="0"/>
          <c:tx>
            <c:strRef>
              <c:f>'1.Outcomes'!$T$10</c:f>
              <c:strCache>
                <c:ptCount val="1"/>
                <c:pt idx="0">
                  <c:v>Surplus/Defict</c:v>
                </c:pt>
              </c:strCache>
            </c:strRef>
          </c:tx>
          <c:spPr>
            <a:ln w="28575" cap="rnd">
              <a:solidFill>
                <a:schemeClr val="accent6">
                  <a:lumMod val="75000"/>
                </a:schemeClr>
              </a:solidFill>
              <a:round/>
            </a:ln>
            <a:effectLst/>
          </c:spPr>
          <c:marker>
            <c:symbol val="none"/>
          </c:marker>
          <c:dLbls>
            <c:dLbl>
              <c:idx val="0"/>
              <c:layout>
                <c:manualLayout>
                  <c:x val="-5.5555555555555558E-3"/>
                  <c:y val="5.5555555555555469E-2"/>
                </c:manualLayout>
              </c:layout>
              <c:numFmt formatCode="_(* #,##0_);_(* \(#,##0\);_(* &quot;-&quot;_);_(@_)" sourceLinked="0"/>
              <c:spPr>
                <a:solidFill>
                  <a:schemeClr val="accent6">
                    <a:lumMod val="20000"/>
                    <a:lumOff val="80000"/>
                  </a:schemeClr>
                </a:solidFill>
                <a:ln>
                  <a:solidFill>
                    <a:schemeClr val="tx1">
                      <a:lumMod val="50000"/>
                      <a:lumOff val="50000"/>
                    </a:schemeClr>
                  </a:solidFill>
                </a:ln>
                <a:effectLst/>
                <a:scene3d>
                  <a:camera prst="orthographicFront"/>
                  <a:lightRig rig="threePt" dir="t"/>
                </a:scene3d>
                <a:sp3d/>
              </c:spPr>
              <c:txPr>
                <a:bodyPr/>
                <a:lstStyle/>
                <a:p>
                  <a:pPr>
                    <a:defRPr sz="900" b="0" i="0" u="none" strike="noStrike" baseline="0">
                      <a:solidFill>
                        <a:srgbClr val="000000"/>
                      </a:solidFill>
                      <a:latin typeface="Arial Narrow"/>
                      <a:ea typeface="Arial Narrow"/>
                      <a:cs typeface="Arial Narrow"/>
                    </a:defRPr>
                  </a:pPr>
                  <a:endParaRPr lang="en-US"/>
                </a:p>
              </c:txPr>
              <c:dLblPos val="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0-532A-42C1-80F8-7BBC70A0B0C9}"/>
                </c:ext>
              </c:extLst>
            </c:dLbl>
            <c:dLbl>
              <c:idx val="2"/>
              <c:numFmt formatCode="_(* #,##0_);_(* \(#,##0\);_(* &quot;-&quot;_);_(@_)" sourceLinked="0"/>
              <c:spPr>
                <a:solidFill>
                  <a:schemeClr val="accent6">
                    <a:lumMod val="20000"/>
                    <a:lumOff val="80000"/>
                  </a:schemeClr>
                </a:solidFill>
                <a:ln>
                  <a:solidFill>
                    <a:schemeClr val="tx1">
                      <a:lumMod val="50000"/>
                      <a:lumOff val="50000"/>
                    </a:schemeClr>
                  </a:solidFill>
                </a:ln>
                <a:effectLst/>
                <a:scene3d>
                  <a:camera prst="orthographicFront"/>
                  <a:lightRig rig="threePt" dir="t"/>
                </a:scene3d>
                <a:sp3d/>
              </c:spPr>
              <c:txPr>
                <a:bodyPr/>
                <a:lstStyle/>
                <a:p>
                  <a:pPr>
                    <a:defRPr sz="900" b="0" i="0" u="none" strike="noStrike" baseline="0">
                      <a:solidFill>
                        <a:srgbClr val="000000"/>
                      </a:solidFill>
                      <a:latin typeface="Arial Narrow"/>
                      <a:ea typeface="Arial Narrow"/>
                      <a:cs typeface="Arial Narrow"/>
                    </a:defRPr>
                  </a:pPr>
                  <a:endParaRPr lang="en-US"/>
                </a:p>
              </c:txPr>
              <c:showLegendKey val="0"/>
              <c:showVal val="1"/>
              <c:showCatName val="0"/>
              <c:showSerName val="0"/>
              <c:showPercent val="0"/>
              <c:showBubbleSize val="0"/>
              <c:extLst>
                <c:ext xmlns:c16="http://schemas.microsoft.com/office/drawing/2014/chart" uri="{C3380CC4-5D6E-409C-BE32-E72D297353CC}">
                  <c16:uniqueId val="{00000001-532A-42C1-80F8-7BBC70A0B0C9}"/>
                </c:ext>
              </c:extLst>
            </c:dLbl>
            <c:numFmt formatCode="_(* #,##0_);_(* \(#,##0\);_(* &quot;-&quot;_);_(@_)" sourceLinked="0"/>
            <c:spPr>
              <a:solidFill>
                <a:schemeClr val="accent6">
                  <a:lumMod val="20000"/>
                  <a:lumOff val="80000"/>
                </a:schemeClr>
              </a:solidFill>
              <a:ln>
                <a:solidFill>
                  <a:schemeClr val="tx1">
                    <a:lumMod val="50000"/>
                    <a:lumOff val="50000"/>
                  </a:schemeClr>
                </a:solidFill>
              </a:ln>
              <a:effectLst/>
              <a:scene3d>
                <a:camera prst="orthographicFront"/>
                <a:lightRig rig="threePt" dir="t"/>
              </a:scene3d>
              <a:sp3d/>
            </c:spPr>
            <c:txPr>
              <a:bodyPr wrap="square" lIns="38100" tIns="19050" rIns="38100" bIns="19050" anchor="ctr">
                <a:spAutoFit/>
              </a:bodyPr>
              <a:lstStyle/>
              <a:p>
                <a:pPr>
                  <a:defRPr sz="900" b="0" i="0" u="none" strike="noStrike" baseline="0">
                    <a:solidFill>
                      <a:srgbClr val="000000"/>
                    </a:solidFill>
                    <a:latin typeface="Arial Narrow"/>
                    <a:ea typeface="Arial Narrow"/>
                    <a:cs typeface="Arial Narrow"/>
                  </a:defRPr>
                </a:pPr>
                <a:endParaRPr lang="en-US"/>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'1.Outcomes'!$S$11:$S$13</c:f>
              <c:strCache>
                <c:ptCount val="3"/>
                <c:pt idx="0">
                  <c:v>Year 1</c:v>
                </c:pt>
                <c:pt idx="1">
                  <c:v>Year 2</c:v>
                </c:pt>
                <c:pt idx="2">
                  <c:v>Year 3</c:v>
                </c:pt>
              </c:strCache>
            </c:strRef>
          </c:cat>
          <c:val>
            <c:numRef>
              <c:f>'1.Outcomes'!$T$11:$T$13</c:f>
              <c:numCache>
                <c:formatCode>_-* #\ ##0_-;\-* #\ ##0_-;_-* "-"??_-;_-@_-</c:formatCode>
                <c:ptCount val="3"/>
                <c:pt idx="0">
                  <c:v>507314.5</c:v>
                </c:pt>
                <c:pt idx="1">
                  <c:v>1867092</c:v>
                </c:pt>
                <c:pt idx="2">
                  <c:v>99538.047999992967</c:v>
                </c:pt>
              </c:numCache>
            </c:numRef>
          </c:val>
          <c:smooth val="0"/>
          <c:extLst>
            <c:ext xmlns:c16="http://schemas.microsoft.com/office/drawing/2014/chart" uri="{C3380CC4-5D6E-409C-BE32-E72D297353CC}">
              <c16:uniqueId val="{00000002-532A-42C1-80F8-7BBC70A0B0C9}"/>
            </c:ext>
          </c:extLst>
        </c:ser>
        <c:dLbls>
          <c:showLegendKey val="0"/>
          <c:showVal val="0"/>
          <c:showCatName val="0"/>
          <c:showSerName val="0"/>
          <c:showPercent val="0"/>
          <c:showBubbleSize val="0"/>
        </c:dLbls>
        <c:smooth val="0"/>
        <c:axId val="1350407759"/>
        <c:axId val="1"/>
      </c:lineChart>
      <c:catAx>
        <c:axId val="1350407759"/>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0" vert="horz"/>
          <a:lstStyle/>
          <a:p>
            <a:pPr>
              <a:defRPr sz="900" b="0" i="0" u="none" strike="noStrike" baseline="0">
                <a:solidFill>
                  <a:srgbClr val="000000"/>
                </a:solidFill>
                <a:latin typeface="Arial Narrow"/>
                <a:ea typeface="Arial Narrow"/>
                <a:cs typeface="Arial Narrow"/>
              </a:defRPr>
            </a:pPr>
            <a:endParaRPr lang="en-US"/>
          </a:p>
        </c:txPr>
        <c:crossAx val="1"/>
        <c:crosses val="autoZero"/>
        <c:auto val="1"/>
        <c:lblAlgn val="ctr"/>
        <c:lblOffset val="100"/>
        <c:noMultiLvlLbl val="0"/>
      </c:catAx>
      <c:valAx>
        <c:axId val="1"/>
        <c:scaling>
          <c:orientation val="minMax"/>
        </c:scaling>
        <c:delete val="0"/>
        <c:axPos val="l"/>
        <c:majorGridlines>
          <c:spPr>
            <a:ln w="9525" cap="flat" cmpd="sng" algn="ctr">
              <a:solidFill>
                <a:schemeClr val="tx1">
                  <a:lumMod val="15000"/>
                  <a:lumOff val="85000"/>
                </a:schemeClr>
              </a:solidFill>
              <a:round/>
            </a:ln>
            <a:effectLst/>
          </c:spPr>
        </c:majorGridlines>
        <c:numFmt formatCode="_(* #,##0_);_(* \(#,##0\);_(* &quot;-&quot;_);_(@_)" sourceLinked="0"/>
        <c:majorTickMark val="none"/>
        <c:minorTickMark val="none"/>
        <c:tickLblPos val="nextTo"/>
        <c:spPr>
          <a:ln w="6350">
            <a:noFill/>
          </a:ln>
        </c:spPr>
        <c:txPr>
          <a:bodyPr rot="0" vert="horz"/>
          <a:lstStyle/>
          <a:p>
            <a:pPr>
              <a:defRPr sz="900" b="0" i="0" u="none" strike="noStrike" baseline="0">
                <a:solidFill>
                  <a:srgbClr val="000000"/>
                </a:solidFill>
                <a:latin typeface="Arial Narrow"/>
                <a:ea typeface="Arial Narrow"/>
                <a:cs typeface="Arial Narrow"/>
              </a:defRPr>
            </a:pPr>
            <a:endParaRPr lang="en-US"/>
          </a:p>
        </c:txPr>
        <c:crossAx val="1350407759"/>
        <c:crosses val="autoZero"/>
        <c:crossBetween val="between"/>
      </c:valAx>
      <c:spPr>
        <a:noFill/>
        <a:ln w="25400">
          <a:noFill/>
        </a:ln>
      </c:spPr>
    </c:plotArea>
    <c:legend>
      <c:legendPos val="r"/>
      <c:layout>
        <c:manualLayout>
          <c:xMode val="edge"/>
          <c:yMode val="edge"/>
          <c:x val="0.76991798605819428"/>
          <c:y val="0.50668346456692914"/>
          <c:w val="0.21721152597860749"/>
          <c:h val="7.0002449693788327E-2"/>
        </c:manualLayout>
      </c:layout>
      <c:overlay val="0"/>
      <c:spPr>
        <a:noFill/>
        <a:ln w="25400">
          <a:noFill/>
        </a:ln>
      </c:spPr>
      <c:txPr>
        <a:bodyPr/>
        <a:lstStyle/>
        <a:p>
          <a:pPr>
            <a:defRPr sz="825" b="0" i="0" u="none" strike="noStrike" baseline="0">
              <a:solidFill>
                <a:srgbClr val="000000"/>
              </a:solidFill>
              <a:latin typeface="Arial Narrow"/>
              <a:ea typeface="Arial Narrow"/>
              <a:cs typeface="Arial Narrow"/>
            </a:defRPr>
          </a:pPr>
          <a:endParaRPr lang="en-US"/>
        </a:p>
      </c:txPr>
    </c:legend>
    <c:plotVisOnly val="1"/>
    <c:dispBlanksAs val="gap"/>
    <c:showDLblsOverMax val="0"/>
  </c:chart>
  <c:spPr>
    <a:solidFill>
      <a:schemeClr val="bg1"/>
    </a:solidFill>
    <a:ln w="9525" cap="flat" cmpd="sng" algn="ctr">
      <a:solidFill>
        <a:schemeClr val="tx1">
          <a:lumMod val="50000"/>
          <a:lumOff val="50000"/>
        </a:schemeClr>
      </a:solidFill>
      <a:round/>
    </a:ln>
    <a:effectLst/>
    <a:scene3d>
      <a:camera prst="orthographicFront"/>
      <a:lightRig rig="threePt" dir="t"/>
    </a:scene3d>
    <a:sp3d>
      <a:bevelT prst="angle"/>
    </a:sp3d>
  </c:spPr>
  <c:txPr>
    <a:bodyPr/>
    <a:lstStyle/>
    <a:p>
      <a:pPr>
        <a:defRPr sz="900" b="0" i="0" u="none" strike="noStrike" baseline="0">
          <a:solidFill>
            <a:srgbClr val="000000"/>
          </a:solidFill>
          <a:latin typeface="Arial Narrow"/>
          <a:ea typeface="Arial Narrow"/>
          <a:cs typeface="Arial Narrow"/>
        </a:defRPr>
      </a:pPr>
      <a:endParaRPr lang="en-US"/>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pivotSource>
    <c:name>[WC031_Final Budget_Cost Reflective Tariff Tool_2027_28 May 2026.xlsm]1.Outcomes!PivotTable11</c:name>
    <c:fmtId val="0"/>
  </c:pivotSource>
  <c:chart>
    <c:title>
      <c:overlay val="0"/>
      <c:spPr>
        <a:noFill/>
        <a:ln w="25400">
          <a:noFill/>
        </a:ln>
      </c:spPr>
      <c:txPr>
        <a:bodyPr/>
        <a:lstStyle/>
        <a:p>
          <a:pPr>
            <a:defRPr sz="1400" b="0" i="0" u="none" strike="noStrike" baseline="0">
              <a:solidFill>
                <a:srgbClr val="333333"/>
              </a:solidFill>
              <a:latin typeface="Calibri"/>
              <a:ea typeface="Calibri"/>
              <a:cs typeface="Calibri"/>
            </a:defRPr>
          </a:pPr>
          <a:endParaRPr lang="en-US"/>
        </a:p>
      </c:txPr>
    </c:title>
    <c:autoTitleDeleted val="0"/>
    <c:pivotFmts>
      <c:pivotFmt>
        <c:idx val="0"/>
        <c:spPr>
          <a:solidFill>
            <a:srgbClr val="4472C4"/>
          </a:solidFill>
          <a:ln w="25400">
            <a:noFill/>
          </a:ln>
        </c:spPr>
        <c:marker>
          <c:symbol val="none"/>
        </c:marker>
        <c:dLbl>
          <c:idx val="0"/>
          <c:spPr>
            <a:noFill/>
            <a:ln w="25400">
              <a:noFill/>
            </a:ln>
          </c:spPr>
          <c:txPr>
            <a:bodyPr wrap="square" lIns="38100" tIns="19050" rIns="38100" bIns="19050" anchor="ctr">
              <a:spAutoFit/>
            </a:bodyPr>
            <a:lstStyle/>
            <a:p>
              <a:pPr>
                <a:defRPr sz="900" b="0" i="0" u="none" strike="noStrike" baseline="0">
                  <a:solidFill>
                    <a:srgbClr val="333333"/>
                  </a:solidFill>
                  <a:latin typeface="Calibri"/>
                  <a:ea typeface="Calibri"/>
                  <a:cs typeface="Calibri"/>
                </a:defRPr>
              </a:pPr>
              <a:endParaRPr lang="en-US"/>
            </a:p>
          </c:txPr>
          <c:showLegendKey val="0"/>
          <c:showVal val="1"/>
          <c:showCatName val="0"/>
          <c:showSerName val="0"/>
          <c:showPercent val="0"/>
          <c:showBubbleSize val="0"/>
          <c:extLst>
            <c:ext xmlns:c15="http://schemas.microsoft.com/office/drawing/2012/chart" uri="{CE6537A1-D6FC-4f65-9D91-7224C49458BB}"/>
          </c:extLst>
        </c:dLbl>
      </c:pivotFmt>
      <c:pivotFmt>
        <c:idx val="1"/>
        <c:dLbl>
          <c:idx val="0"/>
          <c:spPr>
            <a:noFill/>
            <a:ln w="25400">
              <a:noFill/>
            </a:ln>
          </c:spPr>
          <c:txPr>
            <a:bodyPr/>
            <a:lstStyle/>
            <a:p>
              <a:pPr>
                <a:defRPr sz="900" b="0" i="0" u="none" strike="noStrike" baseline="0">
                  <a:solidFill>
                    <a:srgbClr val="333333"/>
                  </a:solidFill>
                  <a:latin typeface="Calibri"/>
                  <a:ea typeface="Calibri"/>
                  <a:cs typeface="Calibri"/>
                </a:defRPr>
              </a:pPr>
              <a:endParaRPr lang="en-US"/>
            </a:p>
          </c:txPr>
          <c:dLblPos val="outEnd"/>
          <c:showLegendKey val="0"/>
          <c:showVal val="1"/>
          <c:showCatName val="0"/>
          <c:showSerName val="0"/>
          <c:showPercent val="0"/>
          <c:showBubbleSize val="0"/>
          <c:extLst>
            <c:ext xmlns:c15="http://schemas.microsoft.com/office/drawing/2012/chart" uri="{CE6537A1-D6FC-4f65-9D91-7224C49458BB}"/>
          </c:extLst>
        </c:dLbl>
      </c:pivotFmt>
    </c:pivotFmts>
    <c:plotArea>
      <c:layout/>
      <c:barChart>
        <c:barDir val="col"/>
        <c:grouping val="clustered"/>
        <c:varyColors val="0"/>
        <c:ser>
          <c:idx val="0"/>
          <c:order val="0"/>
          <c:tx>
            <c:strRef>
              <c:f>'1.Outcomes'!$U$42:$U$43</c:f>
              <c:strCache>
                <c:ptCount val="1"/>
                <c:pt idx="0">
                  <c:v>Total</c:v>
                </c:pt>
              </c:strCache>
            </c:strRef>
          </c:tx>
          <c:spPr>
            <a:solidFill>
              <a:srgbClr val="4472C4"/>
            </a:solidFill>
            <a:ln w="25400">
              <a:noFill/>
            </a:ln>
          </c:spPr>
          <c:invertIfNegative val="0"/>
          <c:dLbls>
            <c:dLbl>
              <c:idx val="2"/>
              <c:spPr>
                <a:noFill/>
                <a:ln w="25400">
                  <a:noFill/>
                </a:ln>
              </c:spPr>
              <c:txPr>
                <a:bodyPr/>
                <a:lstStyle/>
                <a:p>
                  <a:pPr>
                    <a:defRPr sz="900" b="0" i="0" u="none" strike="noStrike" baseline="0">
                      <a:solidFill>
                        <a:srgbClr val="333333"/>
                      </a:solidFill>
                      <a:latin typeface="Calibri"/>
                      <a:ea typeface="Calibri"/>
                      <a:cs typeface="Calibri"/>
                    </a:defRPr>
                  </a:pPr>
                  <a:endParaRPr lang="en-US"/>
                </a:p>
              </c:txPr>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0-528B-4C60-98E5-0F2B4FD02807}"/>
                </c:ext>
              </c:extLst>
            </c:dLbl>
            <c:spPr>
              <a:noFill/>
              <a:ln w="25400">
                <a:noFill/>
              </a:ln>
            </c:spPr>
            <c:txPr>
              <a:bodyPr wrap="square" lIns="38100" tIns="19050" rIns="38100" bIns="19050" anchor="ctr">
                <a:spAutoFit/>
              </a:bodyPr>
              <a:lstStyle/>
              <a:p>
                <a:pPr>
                  <a:defRPr sz="900" b="0" i="0" u="none" strike="noStrike" baseline="0">
                    <a:solidFill>
                      <a:srgbClr val="333333"/>
                    </a:solidFill>
                    <a:latin typeface="Calibri"/>
                    <a:ea typeface="Calibri"/>
                    <a:cs typeface="Calibri"/>
                  </a:defRPr>
                </a:pPr>
                <a:endParaRPr lang="en-US"/>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multiLvlStrRef>
              <c:f>'1.Outcomes'!$S$44:$T$50</c:f>
              <c:multiLvlStrCache>
                <c:ptCount val="3"/>
                <c:lvl>
                  <c:pt idx="0">
                    <c:v>Cost Reflective</c:v>
                  </c:pt>
                  <c:pt idx="1">
                    <c:v>Cost Reflective</c:v>
                  </c:pt>
                  <c:pt idx="2">
                    <c:v>Cost Reflective</c:v>
                  </c:pt>
                </c:lvl>
                <c:lvl>
                  <c:pt idx="0">
                    <c:v>Rev required Yr1</c:v>
                  </c:pt>
                  <c:pt idx="1">
                    <c:v>Rev required Yr2</c:v>
                  </c:pt>
                  <c:pt idx="2">
                    <c:v>Rev required Yr3</c:v>
                  </c:pt>
                </c:lvl>
              </c:multiLvlStrCache>
            </c:multiLvlStrRef>
          </c:cat>
          <c:val>
            <c:numRef>
              <c:f>'1.Outcomes'!$U$44:$U$50</c:f>
              <c:numCache>
                <c:formatCode>General</c:formatCode>
                <c:ptCount val="3"/>
                <c:pt idx="0">
                  <c:v>395788300.64317369</c:v>
                </c:pt>
                <c:pt idx="1">
                  <c:v>414705628.05655426</c:v>
                </c:pt>
                <c:pt idx="2">
                  <c:v>340994373.08744526</c:v>
                </c:pt>
              </c:numCache>
            </c:numRef>
          </c:val>
          <c:extLst>
            <c:ext xmlns:c16="http://schemas.microsoft.com/office/drawing/2014/chart" uri="{C3380CC4-5D6E-409C-BE32-E72D297353CC}">
              <c16:uniqueId val="{00000001-528B-4C60-98E5-0F2B4FD02807}"/>
            </c:ext>
          </c:extLst>
        </c:ser>
        <c:dLbls>
          <c:showLegendKey val="0"/>
          <c:showVal val="0"/>
          <c:showCatName val="0"/>
          <c:showSerName val="0"/>
          <c:showPercent val="0"/>
          <c:showBubbleSize val="0"/>
        </c:dLbls>
        <c:gapWidth val="219"/>
        <c:overlap val="-27"/>
        <c:axId val="1533530368"/>
        <c:axId val="1"/>
      </c:barChart>
      <c:catAx>
        <c:axId val="1533530368"/>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0" vert="horz"/>
          <a:lstStyle/>
          <a:p>
            <a:pPr>
              <a:defRPr sz="900" b="0" i="0" u="none" strike="noStrike" baseline="0">
                <a:solidFill>
                  <a:srgbClr val="333333"/>
                </a:solidFill>
                <a:latin typeface="Calibri"/>
                <a:ea typeface="Calibri"/>
                <a:cs typeface="Calibri"/>
              </a:defRPr>
            </a:pPr>
            <a:endParaRPr lang="en-US"/>
          </a:p>
        </c:txPr>
        <c:crossAx val="1"/>
        <c:crosses val="autoZero"/>
        <c:auto val="0"/>
        <c:lblAlgn val="ctr"/>
        <c:lblOffset val="100"/>
        <c:noMultiLvlLbl val="0"/>
      </c:catAx>
      <c:valAx>
        <c:axId val="1"/>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ln w="6350">
            <a:noFill/>
          </a:ln>
        </c:spPr>
        <c:txPr>
          <a:bodyPr rot="0" vert="horz"/>
          <a:lstStyle/>
          <a:p>
            <a:pPr>
              <a:defRPr sz="900" b="0" i="0" u="none" strike="noStrike" baseline="0">
                <a:solidFill>
                  <a:srgbClr val="333333"/>
                </a:solidFill>
                <a:latin typeface="Calibri"/>
                <a:ea typeface="Calibri"/>
                <a:cs typeface="Calibri"/>
              </a:defRPr>
            </a:pPr>
            <a:endParaRPr lang="en-US"/>
          </a:p>
        </c:txPr>
        <c:crossAx val="1533530368"/>
        <c:crosses val="autoZero"/>
        <c:crossBetween val="between"/>
      </c:valAx>
      <c:spPr>
        <a:noFill/>
        <a:ln w="25400">
          <a:noFill/>
        </a:ln>
      </c:spPr>
    </c:plotArea>
    <c:legend>
      <c:legendPos val="r"/>
      <c:overlay val="0"/>
      <c:spPr>
        <a:noFill/>
        <a:ln w="25400">
          <a:noFill/>
        </a:ln>
      </c:spPr>
      <c:txPr>
        <a:bodyPr/>
        <a:lstStyle/>
        <a:p>
          <a:pPr>
            <a:defRPr sz="825" b="0" i="0" u="none" strike="noStrike" baseline="0">
              <a:solidFill>
                <a:srgbClr val="333333"/>
              </a:solidFill>
              <a:latin typeface="Calibri"/>
              <a:ea typeface="Calibri"/>
              <a:cs typeface="Calibri"/>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extLst>
    <c:ext xmlns:c14="http://schemas.microsoft.com/office/drawing/2007/8/2/chart" uri="{781A3756-C4B2-4CAC-9D66-4F8BD8637D16}">
      <c14:pivotOptions>
        <c14:dropZoneFilter val="1"/>
        <c14:dropZoneCategories val="1"/>
        <c14:dropZoneData val="1"/>
        <c14:dropZoneSeries val="1"/>
        <c14:dropZonesVisible val="1"/>
      </c14:pivotOptions>
    </c:ext>
  </c:extLst>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stacked"/>
        <c:varyColors val="0"/>
        <c:ser>
          <c:idx val="0"/>
          <c:order val="0"/>
          <c:tx>
            <c:v>Direct costs</c:v>
          </c:tx>
          <c:spPr>
            <a:solidFill>
              <a:srgbClr val="5B9BD5"/>
            </a:solidFill>
            <a:ln w="25400">
              <a:noFill/>
            </a:ln>
          </c:spPr>
          <c:invertIfNegative val="0"/>
          <c:dLbls>
            <c:spPr>
              <a:noFill/>
              <a:ln w="25400">
                <a:noFill/>
              </a:ln>
            </c:spPr>
            <c:txPr>
              <a:bodyPr wrap="square" lIns="38100" tIns="19050" rIns="38100" bIns="19050" anchor="ctr">
                <a:spAutoFit/>
              </a:bodyPr>
              <a:lstStyle/>
              <a:p>
                <a:pPr>
                  <a:defRPr sz="1100" b="0" i="0" u="none" strike="noStrike" baseline="0">
                    <a:solidFill>
                      <a:srgbClr val="333333"/>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Expenditure!$F$50:$J$50</c:f>
              <c:strCache>
                <c:ptCount val="5"/>
                <c:pt idx="0">
                  <c:v>Water</c:v>
                </c:pt>
                <c:pt idx="1">
                  <c:v>Sanitation </c:v>
                </c:pt>
                <c:pt idx="2">
                  <c:v>Electricity</c:v>
                </c:pt>
                <c:pt idx="3">
                  <c:v>Solid waste</c:v>
                </c:pt>
                <c:pt idx="4">
                  <c:v>Other services </c:v>
                </c:pt>
              </c:strCache>
            </c:strRef>
          </c:cat>
          <c:val>
            <c:numRef>
              <c:f>Expenditure!$F$56:$J$56</c:f>
              <c:numCache>
                <c:formatCode>0%</c:formatCode>
                <c:ptCount val="5"/>
                <c:pt idx="0">
                  <c:v>0.72240546498116953</c:v>
                </c:pt>
                <c:pt idx="1">
                  <c:v>0.83886525996387606</c:v>
                </c:pt>
                <c:pt idx="2">
                  <c:v>0.94100458410377075</c:v>
                </c:pt>
                <c:pt idx="3">
                  <c:v>0.8687657173982436</c:v>
                </c:pt>
                <c:pt idx="4">
                  <c:v>0.53767764131253648</c:v>
                </c:pt>
              </c:numCache>
            </c:numRef>
          </c:val>
          <c:extLst>
            <c:ext xmlns:c16="http://schemas.microsoft.com/office/drawing/2014/chart" uri="{C3380CC4-5D6E-409C-BE32-E72D297353CC}">
              <c16:uniqueId val="{00000000-D6D5-427E-9E77-EE7073225BE7}"/>
            </c:ext>
          </c:extLst>
        </c:ser>
        <c:ser>
          <c:idx val="1"/>
          <c:order val="1"/>
          <c:tx>
            <c:v>Indirect costs</c:v>
          </c:tx>
          <c:spPr>
            <a:solidFill>
              <a:schemeClr val="accent5">
                <a:lumMod val="60000"/>
                <a:lumOff val="40000"/>
              </a:schemeClr>
            </a:solidFill>
            <a:ln>
              <a:noFill/>
            </a:ln>
            <a:effectLst/>
          </c:spPr>
          <c:invertIfNegative val="0"/>
          <c:dLbls>
            <c:spPr>
              <a:noFill/>
              <a:ln w="25400">
                <a:noFill/>
              </a:ln>
            </c:spPr>
            <c:txPr>
              <a:bodyPr wrap="square" lIns="38100" tIns="19050" rIns="38100" bIns="19050" anchor="ctr">
                <a:spAutoFit/>
              </a:bodyPr>
              <a:lstStyle/>
              <a:p>
                <a:pPr>
                  <a:defRPr sz="1100" b="0" i="0" u="none" strike="noStrike" baseline="0">
                    <a:solidFill>
                      <a:srgbClr val="333333"/>
                    </a:solidFill>
                    <a:latin typeface="Calibri"/>
                    <a:ea typeface="Calibri"/>
                    <a:cs typeface="Calibri"/>
                  </a:defRPr>
                </a:pPr>
                <a:endParaRPr lang="en-US"/>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Expenditure!$F$50:$J$50</c:f>
              <c:strCache>
                <c:ptCount val="5"/>
                <c:pt idx="0">
                  <c:v>Water</c:v>
                </c:pt>
                <c:pt idx="1">
                  <c:v>Sanitation </c:v>
                </c:pt>
                <c:pt idx="2">
                  <c:v>Electricity</c:v>
                </c:pt>
                <c:pt idx="3">
                  <c:v>Solid waste</c:v>
                </c:pt>
                <c:pt idx="4">
                  <c:v>Other services </c:v>
                </c:pt>
              </c:strCache>
            </c:strRef>
          </c:cat>
          <c:val>
            <c:numRef>
              <c:f>Expenditure!$F$57:$J$57</c:f>
              <c:numCache>
                <c:formatCode>0%</c:formatCode>
                <c:ptCount val="5"/>
                <c:pt idx="0">
                  <c:v>0.27759453501883036</c:v>
                </c:pt>
                <c:pt idx="1">
                  <c:v>0.16113474003612394</c:v>
                </c:pt>
                <c:pt idx="2">
                  <c:v>5.8995415896229156E-2</c:v>
                </c:pt>
                <c:pt idx="3">
                  <c:v>0.13123428260175643</c:v>
                </c:pt>
                <c:pt idx="4">
                  <c:v>0.46232235868746352</c:v>
                </c:pt>
              </c:numCache>
            </c:numRef>
          </c:val>
          <c:extLst>
            <c:ext xmlns:c16="http://schemas.microsoft.com/office/drawing/2014/chart" uri="{C3380CC4-5D6E-409C-BE32-E72D297353CC}">
              <c16:uniqueId val="{00000001-D6D5-427E-9E77-EE7073225BE7}"/>
            </c:ext>
          </c:extLst>
        </c:ser>
        <c:dLbls>
          <c:showLegendKey val="0"/>
          <c:showVal val="0"/>
          <c:showCatName val="0"/>
          <c:showSerName val="0"/>
          <c:showPercent val="0"/>
          <c:showBubbleSize val="0"/>
        </c:dLbls>
        <c:gapWidth val="50"/>
        <c:overlap val="100"/>
        <c:axId val="1364761551"/>
        <c:axId val="1"/>
      </c:barChart>
      <c:catAx>
        <c:axId val="1364761551"/>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0" vert="horz"/>
          <a:lstStyle/>
          <a:p>
            <a:pPr>
              <a:defRPr sz="1100" b="0" i="0" u="none" strike="noStrike" baseline="0">
                <a:solidFill>
                  <a:srgbClr val="333333"/>
                </a:solidFill>
                <a:latin typeface="Calibri"/>
                <a:ea typeface="Calibri"/>
                <a:cs typeface="Calibri"/>
              </a:defRPr>
            </a:pPr>
            <a:endParaRPr lang="en-US"/>
          </a:p>
        </c:txPr>
        <c:crossAx val="1"/>
        <c:crosses val="autoZero"/>
        <c:auto val="1"/>
        <c:lblAlgn val="ctr"/>
        <c:lblOffset val="100"/>
        <c:noMultiLvlLbl val="0"/>
      </c:catAx>
      <c:valAx>
        <c:axId val="1"/>
        <c:scaling>
          <c:orientation val="minMax"/>
          <c:max val="1"/>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ln w="6350">
            <a:noFill/>
          </a:ln>
        </c:spPr>
        <c:txPr>
          <a:bodyPr rot="0" vert="horz"/>
          <a:lstStyle/>
          <a:p>
            <a:pPr>
              <a:defRPr sz="1100" b="0" i="0" u="none" strike="noStrike" baseline="0">
                <a:solidFill>
                  <a:srgbClr val="333333"/>
                </a:solidFill>
                <a:latin typeface="Calibri"/>
                <a:ea typeface="Calibri"/>
                <a:cs typeface="Calibri"/>
              </a:defRPr>
            </a:pPr>
            <a:endParaRPr lang="en-US"/>
          </a:p>
        </c:txPr>
        <c:crossAx val="1364761551"/>
        <c:crosses val="autoZero"/>
        <c:crossBetween val="between"/>
      </c:valAx>
      <c:spPr>
        <a:noFill/>
        <a:ln w="25400">
          <a:noFill/>
        </a:ln>
      </c:spPr>
    </c:plotArea>
    <c:legend>
      <c:legendPos val="r"/>
      <c:layout>
        <c:manualLayout>
          <c:xMode val="edge"/>
          <c:yMode val="edge"/>
          <c:x val="0.84357779657708087"/>
          <c:y val="0.42188935367454067"/>
          <c:w val="0.14165354330708657"/>
          <c:h val="0.1640682414698163"/>
        </c:manualLayout>
      </c:layout>
      <c:overlay val="0"/>
      <c:spPr>
        <a:noFill/>
        <a:ln w="25400">
          <a:noFill/>
        </a:ln>
      </c:spPr>
      <c:txPr>
        <a:bodyPr/>
        <a:lstStyle/>
        <a:p>
          <a:pPr>
            <a:defRPr sz="850" b="0" i="0" u="none" strike="noStrike" baseline="0">
              <a:solidFill>
                <a:srgbClr val="333333"/>
              </a:solidFill>
              <a:latin typeface="Calibri"/>
              <a:ea typeface="Calibri"/>
              <a:cs typeface="Calibri"/>
            </a:defRPr>
          </a:pPr>
          <a:endParaRPr lang="en-US"/>
        </a:p>
      </c:txPr>
    </c:legend>
    <c:plotVisOnly val="1"/>
    <c:dispBlanksAs val="gap"/>
    <c:showDLblsOverMax val="0"/>
  </c:chart>
  <c:spPr>
    <a:solidFill>
      <a:schemeClr val="bg1"/>
    </a:solidFill>
    <a:ln w="9525" cap="flat" cmpd="sng" algn="ctr">
      <a:noFill/>
      <a:round/>
    </a:ln>
    <a:effectLst/>
  </c:spPr>
  <c:txPr>
    <a:bodyPr/>
    <a:lstStyle/>
    <a:p>
      <a:pPr>
        <a:defRPr sz="1100" b="0" i="0" u="none" strike="noStrike" baseline="0">
          <a:solidFill>
            <a:srgbClr val="333333"/>
          </a:solidFill>
          <a:latin typeface="Calibri"/>
          <a:ea typeface="Calibri"/>
          <a:cs typeface="Calibri"/>
        </a:defRPr>
      </a:pPr>
      <a:endParaRPr lang="en-US"/>
    </a:p>
  </c:txPr>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stacked"/>
        <c:varyColors val="0"/>
        <c:ser>
          <c:idx val="0"/>
          <c:order val="0"/>
          <c:tx>
            <c:v>Direct costs</c:v>
          </c:tx>
          <c:spPr>
            <a:solidFill>
              <a:srgbClr val="5B9BD5"/>
            </a:solidFill>
            <a:ln w="25400">
              <a:noFill/>
            </a:ln>
          </c:spPr>
          <c:invertIfNegative val="0"/>
          <c:dLbls>
            <c:spPr>
              <a:noFill/>
              <a:ln w="25400">
                <a:noFill/>
              </a:ln>
            </c:spPr>
            <c:txPr>
              <a:bodyPr wrap="square" lIns="38100" tIns="19050" rIns="38100" bIns="19050" anchor="ctr">
                <a:spAutoFit/>
              </a:bodyPr>
              <a:lstStyle/>
              <a:p>
                <a:pPr>
                  <a:defRPr sz="1100" b="0" i="0" u="none" strike="noStrike" baseline="0">
                    <a:solidFill>
                      <a:srgbClr val="333333"/>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Expenditure!$F$50:$J$50</c:f>
              <c:strCache>
                <c:ptCount val="5"/>
                <c:pt idx="0">
                  <c:v>Water</c:v>
                </c:pt>
                <c:pt idx="1">
                  <c:v>Sanitation </c:v>
                </c:pt>
                <c:pt idx="2">
                  <c:v>Electricity</c:v>
                </c:pt>
                <c:pt idx="3">
                  <c:v>Solid waste</c:v>
                </c:pt>
                <c:pt idx="4">
                  <c:v>Other services </c:v>
                </c:pt>
              </c:strCache>
            </c:strRef>
          </c:cat>
          <c:val>
            <c:numRef>
              <c:f>Expenditure!$F$56:$J$56</c:f>
              <c:numCache>
                <c:formatCode>0%</c:formatCode>
                <c:ptCount val="5"/>
                <c:pt idx="0">
                  <c:v>0.72240546498116953</c:v>
                </c:pt>
                <c:pt idx="1">
                  <c:v>0.83886525996387606</c:v>
                </c:pt>
                <c:pt idx="2">
                  <c:v>0.94100458410377075</c:v>
                </c:pt>
                <c:pt idx="3">
                  <c:v>0.8687657173982436</c:v>
                </c:pt>
                <c:pt idx="4">
                  <c:v>0.53767764131253648</c:v>
                </c:pt>
              </c:numCache>
            </c:numRef>
          </c:val>
          <c:extLst>
            <c:ext xmlns:c16="http://schemas.microsoft.com/office/drawing/2014/chart" uri="{C3380CC4-5D6E-409C-BE32-E72D297353CC}">
              <c16:uniqueId val="{00000000-D399-4FD6-BDF4-23606755CBF0}"/>
            </c:ext>
          </c:extLst>
        </c:ser>
        <c:ser>
          <c:idx val="1"/>
          <c:order val="1"/>
          <c:tx>
            <c:v>Indirect costs</c:v>
          </c:tx>
          <c:spPr>
            <a:solidFill>
              <a:schemeClr val="accent5">
                <a:lumMod val="60000"/>
                <a:lumOff val="40000"/>
              </a:schemeClr>
            </a:solidFill>
            <a:ln>
              <a:noFill/>
            </a:ln>
            <a:effectLst/>
          </c:spPr>
          <c:invertIfNegative val="0"/>
          <c:dLbls>
            <c:spPr>
              <a:noFill/>
              <a:ln w="25400">
                <a:noFill/>
              </a:ln>
            </c:spPr>
            <c:txPr>
              <a:bodyPr wrap="square" lIns="38100" tIns="19050" rIns="38100" bIns="19050" anchor="ctr">
                <a:spAutoFit/>
              </a:bodyPr>
              <a:lstStyle/>
              <a:p>
                <a:pPr>
                  <a:defRPr sz="1100" b="0" i="0" u="none" strike="noStrike" baseline="0">
                    <a:solidFill>
                      <a:srgbClr val="333333"/>
                    </a:solidFill>
                    <a:latin typeface="Calibri"/>
                    <a:ea typeface="Calibri"/>
                    <a:cs typeface="Calibri"/>
                  </a:defRPr>
                </a:pPr>
                <a:endParaRPr lang="en-US"/>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Expenditure!$F$50:$J$50</c:f>
              <c:strCache>
                <c:ptCount val="5"/>
                <c:pt idx="0">
                  <c:v>Water</c:v>
                </c:pt>
                <c:pt idx="1">
                  <c:v>Sanitation </c:v>
                </c:pt>
                <c:pt idx="2">
                  <c:v>Electricity</c:v>
                </c:pt>
                <c:pt idx="3">
                  <c:v>Solid waste</c:v>
                </c:pt>
                <c:pt idx="4">
                  <c:v>Other services </c:v>
                </c:pt>
              </c:strCache>
            </c:strRef>
          </c:cat>
          <c:val>
            <c:numRef>
              <c:f>Expenditure!$F$57:$J$57</c:f>
              <c:numCache>
                <c:formatCode>0%</c:formatCode>
                <c:ptCount val="5"/>
                <c:pt idx="0">
                  <c:v>0.27759453501883036</c:v>
                </c:pt>
                <c:pt idx="1">
                  <c:v>0.16113474003612394</c:v>
                </c:pt>
                <c:pt idx="2">
                  <c:v>5.8995415896229156E-2</c:v>
                </c:pt>
                <c:pt idx="3">
                  <c:v>0.13123428260175643</c:v>
                </c:pt>
                <c:pt idx="4">
                  <c:v>0.46232235868746352</c:v>
                </c:pt>
              </c:numCache>
            </c:numRef>
          </c:val>
          <c:extLst>
            <c:ext xmlns:c16="http://schemas.microsoft.com/office/drawing/2014/chart" uri="{C3380CC4-5D6E-409C-BE32-E72D297353CC}">
              <c16:uniqueId val="{00000001-D399-4FD6-BDF4-23606755CBF0}"/>
            </c:ext>
          </c:extLst>
        </c:ser>
        <c:dLbls>
          <c:showLegendKey val="0"/>
          <c:showVal val="0"/>
          <c:showCatName val="0"/>
          <c:showSerName val="0"/>
          <c:showPercent val="0"/>
          <c:showBubbleSize val="0"/>
        </c:dLbls>
        <c:gapWidth val="50"/>
        <c:overlap val="100"/>
        <c:axId val="1350421679"/>
        <c:axId val="1"/>
      </c:barChart>
      <c:catAx>
        <c:axId val="1350421679"/>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0" vert="horz"/>
          <a:lstStyle/>
          <a:p>
            <a:pPr>
              <a:defRPr sz="1100" b="0" i="0" u="none" strike="noStrike" baseline="0">
                <a:solidFill>
                  <a:srgbClr val="333333"/>
                </a:solidFill>
                <a:latin typeface="Calibri"/>
                <a:ea typeface="Calibri"/>
                <a:cs typeface="Calibri"/>
              </a:defRPr>
            </a:pPr>
            <a:endParaRPr lang="en-US"/>
          </a:p>
        </c:txPr>
        <c:crossAx val="1"/>
        <c:crosses val="autoZero"/>
        <c:auto val="1"/>
        <c:lblAlgn val="ctr"/>
        <c:lblOffset val="100"/>
        <c:noMultiLvlLbl val="0"/>
      </c:catAx>
      <c:valAx>
        <c:axId val="1"/>
        <c:scaling>
          <c:orientation val="minMax"/>
          <c:max val="1"/>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ln w="6350">
            <a:noFill/>
          </a:ln>
        </c:spPr>
        <c:txPr>
          <a:bodyPr rot="0" vert="horz"/>
          <a:lstStyle/>
          <a:p>
            <a:pPr>
              <a:defRPr sz="1100" b="0" i="0" u="none" strike="noStrike" baseline="0">
                <a:solidFill>
                  <a:srgbClr val="333333"/>
                </a:solidFill>
                <a:latin typeface="Calibri"/>
                <a:ea typeface="Calibri"/>
                <a:cs typeface="Calibri"/>
              </a:defRPr>
            </a:pPr>
            <a:endParaRPr lang="en-US"/>
          </a:p>
        </c:txPr>
        <c:crossAx val="1350421679"/>
        <c:crosses val="autoZero"/>
        <c:crossBetween val="between"/>
      </c:valAx>
      <c:spPr>
        <a:noFill/>
        <a:ln w="25400">
          <a:noFill/>
        </a:ln>
      </c:spPr>
    </c:plotArea>
    <c:legend>
      <c:legendPos val="r"/>
      <c:layout>
        <c:manualLayout>
          <c:xMode val="edge"/>
          <c:yMode val="edge"/>
          <c:x val="0.83967030847202007"/>
          <c:y val="0.42188935367454067"/>
          <c:w val="0.14031624666070419"/>
          <c:h val="0.1640682414698163"/>
        </c:manualLayout>
      </c:layout>
      <c:overlay val="0"/>
      <c:spPr>
        <a:noFill/>
        <a:ln w="25400">
          <a:noFill/>
        </a:ln>
      </c:spPr>
      <c:txPr>
        <a:bodyPr/>
        <a:lstStyle/>
        <a:p>
          <a:pPr>
            <a:defRPr sz="850" b="0" i="0" u="none" strike="noStrike" baseline="0">
              <a:solidFill>
                <a:srgbClr val="333333"/>
              </a:solidFill>
              <a:latin typeface="Calibri"/>
              <a:ea typeface="Calibri"/>
              <a:cs typeface="Calibri"/>
            </a:defRPr>
          </a:pPr>
          <a:endParaRPr lang="en-US"/>
        </a:p>
      </c:txPr>
    </c:legend>
    <c:plotVisOnly val="1"/>
    <c:dispBlanksAs val="gap"/>
    <c:showDLblsOverMax val="0"/>
  </c:chart>
  <c:spPr>
    <a:solidFill>
      <a:schemeClr val="bg1"/>
    </a:solidFill>
    <a:ln w="9525" cap="flat" cmpd="sng" algn="ctr">
      <a:noFill/>
      <a:round/>
    </a:ln>
    <a:effectLst/>
  </c:spPr>
  <c:txPr>
    <a:bodyPr/>
    <a:lstStyle/>
    <a:p>
      <a:pPr>
        <a:defRPr sz="1100" b="0" i="0" u="none" strike="noStrike" baseline="0">
          <a:solidFill>
            <a:srgbClr val="333333"/>
          </a:solidFill>
          <a:latin typeface="Calibri"/>
          <a:ea typeface="Calibri"/>
          <a:cs typeface="Calibri"/>
        </a:defRPr>
      </a:pPr>
      <a:endParaRPr lang="en-US"/>
    </a:p>
  </c:txPr>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stacked"/>
        <c:varyColors val="0"/>
        <c:ser>
          <c:idx val="0"/>
          <c:order val="0"/>
          <c:tx>
            <c:v>Direct costs</c:v>
          </c:tx>
          <c:spPr>
            <a:solidFill>
              <a:srgbClr val="5B9BD5"/>
            </a:solidFill>
            <a:ln w="25400">
              <a:noFill/>
            </a:ln>
          </c:spPr>
          <c:invertIfNegative val="0"/>
          <c:dLbls>
            <c:spPr>
              <a:noFill/>
              <a:ln w="25400">
                <a:noFill/>
              </a:ln>
            </c:spPr>
            <c:txPr>
              <a:bodyPr wrap="square" lIns="38100" tIns="19050" rIns="38100" bIns="19050" anchor="ctr">
                <a:spAutoFit/>
              </a:bodyPr>
              <a:lstStyle/>
              <a:p>
                <a:pPr>
                  <a:defRPr sz="1100" b="0" i="0" u="none" strike="noStrike" baseline="0">
                    <a:solidFill>
                      <a:srgbClr val="333333"/>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Expenditure!$F$50:$J$50</c:f>
              <c:strCache>
                <c:ptCount val="5"/>
                <c:pt idx="0">
                  <c:v>Water</c:v>
                </c:pt>
                <c:pt idx="1">
                  <c:v>Sanitation </c:v>
                </c:pt>
                <c:pt idx="2">
                  <c:v>Electricity</c:v>
                </c:pt>
                <c:pt idx="3">
                  <c:v>Solid waste</c:v>
                </c:pt>
                <c:pt idx="4">
                  <c:v>Other services </c:v>
                </c:pt>
              </c:strCache>
            </c:strRef>
          </c:cat>
          <c:val>
            <c:numRef>
              <c:f>Expenditure!$F$56:$J$56</c:f>
              <c:numCache>
                <c:formatCode>0%</c:formatCode>
                <c:ptCount val="5"/>
                <c:pt idx="0">
                  <c:v>0.72240546498116953</c:v>
                </c:pt>
                <c:pt idx="1">
                  <c:v>0.83886525996387606</c:v>
                </c:pt>
                <c:pt idx="2">
                  <c:v>0.94100458410377075</c:v>
                </c:pt>
                <c:pt idx="3">
                  <c:v>0.8687657173982436</c:v>
                </c:pt>
                <c:pt idx="4">
                  <c:v>0.53767764131253648</c:v>
                </c:pt>
              </c:numCache>
            </c:numRef>
          </c:val>
          <c:extLst>
            <c:ext xmlns:c16="http://schemas.microsoft.com/office/drawing/2014/chart" uri="{C3380CC4-5D6E-409C-BE32-E72D297353CC}">
              <c16:uniqueId val="{00000000-356B-4513-91DF-8D015551CF34}"/>
            </c:ext>
          </c:extLst>
        </c:ser>
        <c:ser>
          <c:idx val="1"/>
          <c:order val="1"/>
          <c:tx>
            <c:v>Indirect costs</c:v>
          </c:tx>
          <c:spPr>
            <a:solidFill>
              <a:schemeClr val="accent5">
                <a:lumMod val="60000"/>
                <a:lumOff val="40000"/>
              </a:schemeClr>
            </a:solidFill>
            <a:ln>
              <a:noFill/>
            </a:ln>
            <a:effectLst/>
          </c:spPr>
          <c:invertIfNegative val="0"/>
          <c:dLbls>
            <c:spPr>
              <a:noFill/>
              <a:ln w="25400">
                <a:noFill/>
              </a:ln>
            </c:spPr>
            <c:txPr>
              <a:bodyPr wrap="square" lIns="38100" tIns="19050" rIns="38100" bIns="19050" anchor="ctr">
                <a:spAutoFit/>
              </a:bodyPr>
              <a:lstStyle/>
              <a:p>
                <a:pPr>
                  <a:defRPr sz="1100" b="0" i="0" u="none" strike="noStrike" baseline="0">
                    <a:solidFill>
                      <a:srgbClr val="333333"/>
                    </a:solidFill>
                    <a:latin typeface="Calibri"/>
                    <a:ea typeface="Calibri"/>
                    <a:cs typeface="Calibri"/>
                  </a:defRPr>
                </a:pPr>
                <a:endParaRPr lang="en-US"/>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Expenditure!$F$50:$J$50</c:f>
              <c:strCache>
                <c:ptCount val="5"/>
                <c:pt idx="0">
                  <c:v>Water</c:v>
                </c:pt>
                <c:pt idx="1">
                  <c:v>Sanitation </c:v>
                </c:pt>
                <c:pt idx="2">
                  <c:v>Electricity</c:v>
                </c:pt>
                <c:pt idx="3">
                  <c:v>Solid waste</c:v>
                </c:pt>
                <c:pt idx="4">
                  <c:v>Other services </c:v>
                </c:pt>
              </c:strCache>
            </c:strRef>
          </c:cat>
          <c:val>
            <c:numRef>
              <c:f>Expenditure!$F$57:$J$57</c:f>
              <c:numCache>
                <c:formatCode>0%</c:formatCode>
                <c:ptCount val="5"/>
                <c:pt idx="0">
                  <c:v>0.27759453501883036</c:v>
                </c:pt>
                <c:pt idx="1">
                  <c:v>0.16113474003612394</c:v>
                </c:pt>
                <c:pt idx="2">
                  <c:v>5.8995415896229156E-2</c:v>
                </c:pt>
                <c:pt idx="3">
                  <c:v>0.13123428260175643</c:v>
                </c:pt>
                <c:pt idx="4">
                  <c:v>0.46232235868746352</c:v>
                </c:pt>
              </c:numCache>
            </c:numRef>
          </c:val>
          <c:extLst>
            <c:ext xmlns:c16="http://schemas.microsoft.com/office/drawing/2014/chart" uri="{C3380CC4-5D6E-409C-BE32-E72D297353CC}">
              <c16:uniqueId val="{00000001-356B-4513-91DF-8D015551CF34}"/>
            </c:ext>
          </c:extLst>
        </c:ser>
        <c:dLbls>
          <c:showLegendKey val="0"/>
          <c:showVal val="0"/>
          <c:showCatName val="0"/>
          <c:showSerName val="0"/>
          <c:showPercent val="0"/>
          <c:showBubbleSize val="0"/>
        </c:dLbls>
        <c:gapWidth val="50"/>
        <c:overlap val="100"/>
        <c:axId val="1350413999"/>
        <c:axId val="1"/>
      </c:barChart>
      <c:catAx>
        <c:axId val="1350413999"/>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0" vert="horz"/>
          <a:lstStyle/>
          <a:p>
            <a:pPr>
              <a:defRPr sz="1100" b="0" i="0" u="none" strike="noStrike" baseline="0">
                <a:solidFill>
                  <a:srgbClr val="333333"/>
                </a:solidFill>
                <a:latin typeface="Calibri"/>
                <a:ea typeface="Calibri"/>
                <a:cs typeface="Calibri"/>
              </a:defRPr>
            </a:pPr>
            <a:endParaRPr lang="en-US"/>
          </a:p>
        </c:txPr>
        <c:crossAx val="1"/>
        <c:crosses val="autoZero"/>
        <c:auto val="1"/>
        <c:lblAlgn val="ctr"/>
        <c:lblOffset val="100"/>
        <c:noMultiLvlLbl val="0"/>
      </c:catAx>
      <c:valAx>
        <c:axId val="1"/>
        <c:scaling>
          <c:orientation val="minMax"/>
          <c:max val="1"/>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ln w="6350">
            <a:noFill/>
          </a:ln>
        </c:spPr>
        <c:txPr>
          <a:bodyPr rot="0" vert="horz"/>
          <a:lstStyle/>
          <a:p>
            <a:pPr>
              <a:defRPr sz="1100" b="0" i="0" u="none" strike="noStrike" baseline="0">
                <a:solidFill>
                  <a:srgbClr val="333333"/>
                </a:solidFill>
                <a:latin typeface="Calibri"/>
                <a:ea typeface="Calibri"/>
                <a:cs typeface="Calibri"/>
              </a:defRPr>
            </a:pPr>
            <a:endParaRPr lang="en-US"/>
          </a:p>
        </c:txPr>
        <c:crossAx val="1350413999"/>
        <c:crosses val="autoZero"/>
        <c:crossBetween val="between"/>
      </c:valAx>
      <c:spPr>
        <a:noFill/>
        <a:ln w="25400">
          <a:noFill/>
        </a:ln>
      </c:spPr>
    </c:plotArea>
    <c:legend>
      <c:legendPos val="r"/>
      <c:layout>
        <c:manualLayout>
          <c:xMode val="edge"/>
          <c:yMode val="edge"/>
          <c:x val="0.84357776630986669"/>
          <c:y val="0.42188935367454067"/>
          <c:w val="0.14165348781719411"/>
          <c:h val="0.1640682414698163"/>
        </c:manualLayout>
      </c:layout>
      <c:overlay val="0"/>
      <c:spPr>
        <a:noFill/>
        <a:ln w="25400">
          <a:noFill/>
        </a:ln>
      </c:spPr>
      <c:txPr>
        <a:bodyPr/>
        <a:lstStyle/>
        <a:p>
          <a:pPr>
            <a:defRPr sz="850" b="0" i="0" u="none" strike="noStrike" baseline="0">
              <a:solidFill>
                <a:srgbClr val="333333"/>
              </a:solidFill>
              <a:latin typeface="Calibri"/>
              <a:ea typeface="Calibri"/>
              <a:cs typeface="Calibri"/>
            </a:defRPr>
          </a:pPr>
          <a:endParaRPr lang="en-US"/>
        </a:p>
      </c:txPr>
    </c:legend>
    <c:plotVisOnly val="1"/>
    <c:dispBlanksAs val="gap"/>
    <c:showDLblsOverMax val="0"/>
  </c:chart>
  <c:spPr>
    <a:solidFill>
      <a:schemeClr val="bg1"/>
    </a:solidFill>
    <a:ln w="9525" cap="flat" cmpd="sng" algn="ctr">
      <a:noFill/>
      <a:round/>
    </a:ln>
    <a:effectLst/>
  </c:spPr>
  <c:txPr>
    <a:bodyPr/>
    <a:lstStyle/>
    <a:p>
      <a:pPr>
        <a:defRPr sz="1100" b="0" i="0" u="none" strike="noStrike" baseline="0">
          <a:solidFill>
            <a:srgbClr val="333333"/>
          </a:solidFill>
          <a:latin typeface="Calibri"/>
          <a:ea typeface="Calibri"/>
          <a:cs typeface="Calibri"/>
        </a:defRPr>
      </a:pPr>
      <a:endParaRPr lang="en-US"/>
    </a:p>
  </c:txPr>
  <c:printSettings>
    <c:headerFooter/>
    <c:pageMargins b="0.75" l="0.7" r="0.7" t="0.75" header="0.3" footer="0.3"/>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320" b="0" i="0" u="none" strike="noStrike" baseline="0">
                <a:solidFill>
                  <a:srgbClr val="333333"/>
                </a:solidFill>
                <a:latin typeface="Calibri"/>
                <a:ea typeface="Calibri"/>
                <a:cs typeface="Calibri"/>
              </a:defRPr>
            </a:pPr>
            <a:r>
              <a:rPr lang="en-ZA"/>
              <a:t>Budget funding: full budget: categories</a:t>
            </a:r>
          </a:p>
        </c:rich>
      </c:tx>
      <c:layout>
        <c:manualLayout>
          <c:xMode val="edge"/>
          <c:yMode val="edge"/>
          <c:x val="4.2643813169762623E-2"/>
          <c:y val="4.1608904726325266E-2"/>
        </c:manualLayout>
      </c:layout>
      <c:overlay val="0"/>
      <c:spPr>
        <a:noFill/>
        <a:ln w="25400">
          <a:noFill/>
        </a:ln>
      </c:spPr>
    </c:title>
    <c:autoTitleDeleted val="0"/>
    <c:plotArea>
      <c:layout/>
      <c:barChart>
        <c:barDir val="col"/>
        <c:grouping val="stacked"/>
        <c:varyColors val="0"/>
        <c:ser>
          <c:idx val="0"/>
          <c:order val="0"/>
          <c:tx>
            <c:strRef>
              <c:f>'Revenue required'!$D$134</c:f>
              <c:strCache>
                <c:ptCount val="1"/>
                <c:pt idx="0">
                  <c:v>Direct cost</c:v>
                </c:pt>
              </c:strCache>
            </c:strRef>
          </c:tx>
          <c:spPr>
            <a:solidFill>
              <a:schemeClr val="accent5"/>
            </a:solidFill>
            <a:ln>
              <a:solidFill>
                <a:schemeClr val="accent5"/>
              </a:solidFill>
            </a:ln>
            <a:effectLst/>
          </c:spPr>
          <c:invertIfNegative val="0"/>
          <c:dLbls>
            <c:spPr>
              <a:noFill/>
              <a:ln w="25400">
                <a:noFill/>
              </a:ln>
            </c:spPr>
            <c:txPr>
              <a:bodyPr wrap="square" lIns="38100" tIns="19050" rIns="38100" bIns="19050" anchor="ctr">
                <a:spAutoFit/>
              </a:bodyPr>
              <a:lstStyle/>
              <a:p>
                <a:pPr>
                  <a:defRPr sz="1100" b="0" i="0" u="none" strike="noStrike" baseline="0">
                    <a:solidFill>
                      <a:srgbClr val="333333"/>
                    </a:solidFill>
                    <a:latin typeface="Calibri"/>
                    <a:ea typeface="Calibri"/>
                    <a:cs typeface="Calibri"/>
                  </a:defRPr>
                </a:pPr>
                <a:endParaRPr lang="en-US"/>
              </a:p>
            </c:txPr>
            <c:dLblPos val="ct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val>
            <c:numRef>
              <c:f>'Revenue required'!$E$134:$F$134</c:f>
            </c:numRef>
          </c:val>
          <c:extLst>
            <c:ext xmlns:c15="http://schemas.microsoft.com/office/drawing/2012/chart" uri="{02D57815-91ED-43cb-92C2-25804820EDAC}">
              <c15:filteredCategoryTitle>
                <c15:cat>
                  <c:multiLvlStrRef>
                    <c:extLst>
                      <c:ext uri="{02D57815-91ED-43cb-92C2-25804820EDAC}">
                        <c15:formulaRef>
                          <c15:sqref>'Revenue required'!$E$133:$F$133</c15:sqref>
                        </c15:formulaRef>
                      </c:ext>
                    </c:extLst>
                  </c:multiLvlStrRef>
                </c15:cat>
              </c15:filteredCategoryTitle>
            </c:ext>
            <c:ext xmlns:c16="http://schemas.microsoft.com/office/drawing/2014/chart" uri="{C3380CC4-5D6E-409C-BE32-E72D297353CC}">
              <c16:uniqueId val="{00000000-C2A0-4A32-8F9F-95122168ACE4}"/>
            </c:ext>
          </c:extLst>
        </c:ser>
        <c:ser>
          <c:idx val="1"/>
          <c:order val="1"/>
          <c:tx>
            <c:strRef>
              <c:f>'Revenue required'!$D$135</c:f>
              <c:strCache>
                <c:ptCount val="1"/>
                <c:pt idx="0">
                  <c:v>Indirect cost</c:v>
                </c:pt>
              </c:strCache>
            </c:strRef>
          </c:tx>
          <c:spPr>
            <a:solidFill>
              <a:schemeClr val="accent5">
                <a:lumMod val="60000"/>
                <a:lumOff val="40000"/>
              </a:schemeClr>
            </a:solidFill>
            <a:ln>
              <a:solidFill>
                <a:schemeClr val="accent5">
                  <a:lumMod val="60000"/>
                  <a:lumOff val="40000"/>
                </a:schemeClr>
              </a:solidFill>
            </a:ln>
            <a:effectLst/>
          </c:spPr>
          <c:invertIfNegative val="0"/>
          <c:dLbls>
            <c:spPr>
              <a:noFill/>
              <a:ln w="25400">
                <a:noFill/>
              </a:ln>
            </c:spPr>
            <c:txPr>
              <a:bodyPr wrap="square" lIns="38100" tIns="19050" rIns="38100" bIns="19050" anchor="ctr">
                <a:spAutoFit/>
              </a:bodyPr>
              <a:lstStyle/>
              <a:p>
                <a:pPr>
                  <a:defRPr sz="1100" b="0" i="0" u="none" strike="noStrike" baseline="0">
                    <a:solidFill>
                      <a:srgbClr val="333333"/>
                    </a:solidFill>
                    <a:latin typeface="Calibri"/>
                    <a:ea typeface="Calibri"/>
                    <a:cs typeface="Calibri"/>
                  </a:defRPr>
                </a:pPr>
                <a:endParaRPr lang="en-US"/>
              </a:p>
            </c:txPr>
            <c:dLblPos val="ct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val>
            <c:numRef>
              <c:f>'Revenue required'!$E$135:$F$135</c:f>
            </c:numRef>
          </c:val>
          <c:extLst>
            <c:ext xmlns:c15="http://schemas.microsoft.com/office/drawing/2012/chart" uri="{02D57815-91ED-43cb-92C2-25804820EDAC}">
              <c15:filteredCategoryTitle>
                <c15:cat>
                  <c:multiLvlStrRef>
                    <c:extLst>
                      <c:ext uri="{02D57815-91ED-43cb-92C2-25804820EDAC}">
                        <c15:formulaRef>
                          <c15:sqref>'Revenue required'!$E$133:$F$133</c15:sqref>
                        </c15:formulaRef>
                      </c:ext>
                    </c:extLst>
                  </c:multiLvlStrRef>
                </c15:cat>
              </c15:filteredCategoryTitle>
            </c:ext>
            <c:ext xmlns:c16="http://schemas.microsoft.com/office/drawing/2014/chart" uri="{C3380CC4-5D6E-409C-BE32-E72D297353CC}">
              <c16:uniqueId val="{00000001-C2A0-4A32-8F9F-95122168ACE4}"/>
            </c:ext>
          </c:extLst>
        </c:ser>
        <c:ser>
          <c:idx val="2"/>
          <c:order val="2"/>
          <c:tx>
            <c:strRef>
              <c:f>'Revenue required'!$D$136</c:f>
              <c:strCache>
                <c:ptCount val="1"/>
              </c:strCache>
            </c:strRef>
          </c:tx>
          <c:spPr>
            <a:solidFill>
              <a:schemeClr val="accent6"/>
            </a:solidFill>
            <a:ln>
              <a:solidFill>
                <a:schemeClr val="accent6"/>
              </a:solidFill>
            </a:ln>
            <a:effectLst/>
          </c:spPr>
          <c:invertIfNegative val="0"/>
          <c:dLbls>
            <c:spPr>
              <a:noFill/>
              <a:ln w="25400">
                <a:noFill/>
              </a:ln>
            </c:spPr>
            <c:txPr>
              <a:bodyPr wrap="square" lIns="38100" tIns="19050" rIns="38100" bIns="19050" anchor="ctr">
                <a:spAutoFit/>
              </a:bodyPr>
              <a:lstStyle/>
              <a:p>
                <a:pPr>
                  <a:defRPr sz="1100" b="0" i="0" u="none" strike="noStrike" baseline="0">
                    <a:solidFill>
                      <a:srgbClr val="333333"/>
                    </a:solidFill>
                    <a:latin typeface="Calibri"/>
                    <a:ea typeface="Calibri"/>
                    <a:cs typeface="Calibri"/>
                  </a:defRPr>
                </a:pPr>
                <a:endParaRPr lang="en-US"/>
              </a:p>
            </c:txPr>
            <c:dLblPos val="ct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val>
            <c:numRef>
              <c:f>'Revenue required'!$E$136:$F$136</c:f>
            </c:numRef>
          </c:val>
          <c:extLst>
            <c:ext xmlns:c15="http://schemas.microsoft.com/office/drawing/2012/chart" uri="{02D57815-91ED-43cb-92C2-25804820EDAC}">
              <c15:filteredCategoryTitle>
                <c15:cat>
                  <c:multiLvlStrRef>
                    <c:extLst>
                      <c:ext uri="{02D57815-91ED-43cb-92C2-25804820EDAC}">
                        <c15:formulaRef>
                          <c15:sqref>'Revenue required'!$E$133:$F$133</c15:sqref>
                        </c15:formulaRef>
                      </c:ext>
                    </c:extLst>
                  </c:multiLvlStrRef>
                </c15:cat>
              </c15:filteredCategoryTitle>
            </c:ext>
            <c:ext xmlns:c16="http://schemas.microsoft.com/office/drawing/2014/chart" uri="{C3380CC4-5D6E-409C-BE32-E72D297353CC}">
              <c16:uniqueId val="{00000002-C2A0-4A32-8F9F-95122168ACE4}"/>
            </c:ext>
          </c:extLst>
        </c:ser>
        <c:ser>
          <c:idx val="4"/>
          <c:order val="3"/>
          <c:tx>
            <c:strRef>
              <c:f>'Revenue required'!$D$137</c:f>
              <c:strCache>
                <c:ptCount val="1"/>
                <c:pt idx="0">
                  <c:v>Tariff revenue</c:v>
                </c:pt>
              </c:strCache>
            </c:strRef>
          </c:tx>
          <c:spPr>
            <a:solidFill>
              <a:schemeClr val="accent3">
                <a:lumMod val="75000"/>
              </a:schemeClr>
            </a:solidFill>
            <a:ln>
              <a:solidFill>
                <a:schemeClr val="accent3">
                  <a:lumMod val="75000"/>
                </a:schemeClr>
              </a:solidFill>
            </a:ln>
            <a:effectLst/>
          </c:spPr>
          <c:invertIfNegative val="0"/>
          <c:dLbls>
            <c:spPr>
              <a:noFill/>
              <a:ln w="25400">
                <a:noFill/>
              </a:ln>
            </c:spPr>
            <c:txPr>
              <a:bodyPr wrap="square" lIns="38100" tIns="19050" rIns="38100" bIns="19050" anchor="ctr">
                <a:spAutoFit/>
              </a:bodyPr>
              <a:lstStyle/>
              <a:p>
                <a:pPr>
                  <a:defRPr sz="1100" b="0" i="0" u="none" strike="noStrike" baseline="0">
                    <a:solidFill>
                      <a:srgbClr val="333333"/>
                    </a:solidFill>
                    <a:latin typeface="Calibri"/>
                    <a:ea typeface="Calibri"/>
                    <a:cs typeface="Calibri"/>
                  </a:defRPr>
                </a:pPr>
                <a:endParaRPr lang="en-US"/>
              </a:p>
            </c:txPr>
            <c:dLblPos val="ct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val>
            <c:numRef>
              <c:f>'Revenue required'!$E$137:$F$137</c:f>
            </c:numRef>
          </c:val>
          <c:extLst>
            <c:ext xmlns:c15="http://schemas.microsoft.com/office/drawing/2012/chart" uri="{02D57815-91ED-43cb-92C2-25804820EDAC}">
              <c15:filteredCategoryTitle>
                <c15:cat>
                  <c:multiLvlStrRef>
                    <c:extLst>
                      <c:ext uri="{02D57815-91ED-43cb-92C2-25804820EDAC}">
                        <c15:formulaRef>
                          <c15:sqref>'Revenue required'!$E$133:$F$133</c15:sqref>
                        </c15:formulaRef>
                      </c:ext>
                    </c:extLst>
                  </c:multiLvlStrRef>
                </c15:cat>
              </c15:filteredCategoryTitle>
            </c:ext>
            <c:ext xmlns:c16="http://schemas.microsoft.com/office/drawing/2014/chart" uri="{C3380CC4-5D6E-409C-BE32-E72D297353CC}">
              <c16:uniqueId val="{00000003-C2A0-4A32-8F9F-95122168ACE4}"/>
            </c:ext>
          </c:extLst>
        </c:ser>
        <c:ser>
          <c:idx val="5"/>
          <c:order val="4"/>
          <c:tx>
            <c:strRef>
              <c:f>'Revenue required'!$D$138</c:f>
              <c:strCache>
                <c:ptCount val="1"/>
                <c:pt idx="0">
                  <c:v>Non-tariff revenue</c:v>
                </c:pt>
              </c:strCache>
            </c:strRef>
          </c:tx>
          <c:spPr>
            <a:solidFill>
              <a:schemeClr val="accent3"/>
            </a:solidFill>
            <a:ln>
              <a:solidFill>
                <a:schemeClr val="accent3"/>
              </a:solidFill>
            </a:ln>
            <a:effectLst/>
          </c:spPr>
          <c:invertIfNegative val="0"/>
          <c:dLbls>
            <c:spPr>
              <a:noFill/>
              <a:ln w="25400">
                <a:noFill/>
              </a:ln>
            </c:spPr>
            <c:txPr>
              <a:bodyPr wrap="square" lIns="38100" tIns="19050" rIns="38100" bIns="19050" anchor="ctr">
                <a:spAutoFit/>
              </a:bodyPr>
              <a:lstStyle/>
              <a:p>
                <a:pPr>
                  <a:defRPr sz="1100" b="0" i="0" u="none" strike="noStrike" baseline="0">
                    <a:solidFill>
                      <a:srgbClr val="333333"/>
                    </a:solidFill>
                    <a:latin typeface="Calibri"/>
                    <a:ea typeface="Calibri"/>
                    <a:cs typeface="Calibri"/>
                  </a:defRPr>
                </a:pPr>
                <a:endParaRPr lang="en-US"/>
              </a:p>
            </c:txPr>
            <c:dLblPos val="ct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val>
            <c:numRef>
              <c:f>'Revenue required'!$E$138:$F$138</c:f>
            </c:numRef>
          </c:val>
          <c:extLst>
            <c:ext xmlns:c15="http://schemas.microsoft.com/office/drawing/2012/chart" uri="{02D57815-91ED-43cb-92C2-25804820EDAC}">
              <c15:filteredCategoryTitle>
                <c15:cat>
                  <c:multiLvlStrRef>
                    <c:extLst>
                      <c:ext uri="{02D57815-91ED-43cb-92C2-25804820EDAC}">
                        <c15:formulaRef>
                          <c15:sqref>'Revenue required'!$E$133:$F$133</c15:sqref>
                        </c15:formulaRef>
                      </c:ext>
                    </c:extLst>
                  </c:multiLvlStrRef>
                </c15:cat>
              </c15:filteredCategoryTitle>
            </c:ext>
            <c:ext xmlns:c16="http://schemas.microsoft.com/office/drawing/2014/chart" uri="{C3380CC4-5D6E-409C-BE32-E72D297353CC}">
              <c16:uniqueId val="{00000004-C2A0-4A32-8F9F-95122168ACE4}"/>
            </c:ext>
          </c:extLst>
        </c:ser>
        <c:ser>
          <c:idx val="3"/>
          <c:order val="5"/>
          <c:tx>
            <c:strRef>
              <c:f>'Revenue required'!$D$139</c:f>
              <c:strCache>
                <c:ptCount val="1"/>
                <c:pt idx="0">
                  <c:v>Deficit</c:v>
                </c:pt>
              </c:strCache>
            </c:strRef>
          </c:tx>
          <c:spPr>
            <a:solidFill>
              <a:schemeClr val="accent2"/>
            </a:solidFill>
            <a:ln>
              <a:solidFill>
                <a:schemeClr val="accent2"/>
              </a:solidFill>
            </a:ln>
            <a:effectLst/>
          </c:spPr>
          <c:invertIfNegative val="0"/>
          <c:dLbls>
            <c:spPr>
              <a:noFill/>
              <a:ln w="25400">
                <a:noFill/>
              </a:ln>
            </c:spPr>
            <c:txPr>
              <a:bodyPr wrap="square" lIns="38100" tIns="19050" rIns="38100" bIns="19050" anchor="ctr">
                <a:spAutoFit/>
              </a:bodyPr>
              <a:lstStyle/>
              <a:p>
                <a:pPr>
                  <a:defRPr sz="1100" b="0" i="0" u="none" strike="noStrike" baseline="0">
                    <a:solidFill>
                      <a:srgbClr val="333333"/>
                    </a:solidFill>
                    <a:latin typeface="Calibri"/>
                    <a:ea typeface="Calibri"/>
                    <a:cs typeface="Calibri"/>
                  </a:defRPr>
                </a:pPr>
                <a:endParaRPr lang="en-US"/>
              </a:p>
            </c:txPr>
            <c:dLblPos val="ct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val>
            <c:numRef>
              <c:f>'Revenue required'!$E$139:$F$139</c:f>
            </c:numRef>
          </c:val>
          <c:extLst>
            <c:ext xmlns:c15="http://schemas.microsoft.com/office/drawing/2012/chart" uri="{02D57815-91ED-43cb-92C2-25804820EDAC}">
              <c15:filteredCategoryTitle>
                <c15:cat>
                  <c:multiLvlStrRef>
                    <c:extLst>
                      <c:ext uri="{02D57815-91ED-43cb-92C2-25804820EDAC}">
                        <c15:formulaRef>
                          <c15:sqref>'Revenue required'!$E$133:$F$133</c15:sqref>
                        </c15:formulaRef>
                      </c:ext>
                    </c:extLst>
                  </c:multiLvlStrRef>
                </c15:cat>
              </c15:filteredCategoryTitle>
            </c:ext>
            <c:ext xmlns:c16="http://schemas.microsoft.com/office/drawing/2014/chart" uri="{C3380CC4-5D6E-409C-BE32-E72D297353CC}">
              <c16:uniqueId val="{00000005-C2A0-4A32-8F9F-95122168ACE4}"/>
            </c:ext>
          </c:extLst>
        </c:ser>
        <c:dLbls>
          <c:showLegendKey val="0"/>
          <c:showVal val="0"/>
          <c:showCatName val="0"/>
          <c:showSerName val="0"/>
          <c:showPercent val="0"/>
          <c:showBubbleSize val="0"/>
        </c:dLbls>
        <c:gapWidth val="25"/>
        <c:overlap val="100"/>
        <c:axId val="1350442319"/>
        <c:axId val="1"/>
      </c:barChart>
      <c:catAx>
        <c:axId val="1350442319"/>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0" vert="horz"/>
          <a:lstStyle/>
          <a:p>
            <a:pPr>
              <a:defRPr sz="1100" b="0" i="0" u="none" strike="noStrike" baseline="0">
                <a:solidFill>
                  <a:srgbClr val="333333"/>
                </a:solidFill>
                <a:latin typeface="Calibri"/>
                <a:ea typeface="Calibri"/>
                <a:cs typeface="Calibri"/>
              </a:defRPr>
            </a:pPr>
            <a:endParaRPr lang="en-US"/>
          </a:p>
        </c:txPr>
        <c:crossAx val="1"/>
        <c:crosses val="autoZero"/>
        <c:auto val="1"/>
        <c:lblAlgn val="ctr"/>
        <c:lblOffset val="100"/>
        <c:noMultiLvlLbl val="0"/>
      </c:catAx>
      <c:valAx>
        <c:axId val="1"/>
        <c:scaling>
          <c:orientation val="minMax"/>
        </c:scaling>
        <c:delete val="1"/>
        <c:axPos val="l"/>
        <c:majorGridlines>
          <c:spPr>
            <a:ln w="9525" cap="flat" cmpd="sng" algn="ctr">
              <a:solidFill>
                <a:schemeClr val="tx1">
                  <a:lumMod val="15000"/>
                  <a:lumOff val="85000"/>
                </a:schemeClr>
              </a:solidFill>
              <a:round/>
            </a:ln>
            <a:effectLst/>
          </c:spPr>
        </c:majorGridlines>
        <c:numFmt formatCode="_-* #\ ##0_-;\-* #\ ##0_-;_-* &quot;-&quot;??_-;_-@_-" sourceLinked="1"/>
        <c:majorTickMark val="out"/>
        <c:minorTickMark val="none"/>
        <c:tickLblPos val="nextTo"/>
        <c:crossAx val="1350442319"/>
        <c:crosses val="autoZero"/>
        <c:crossBetween val="between"/>
      </c:valAx>
      <c:spPr>
        <a:noFill/>
        <a:ln w="25400">
          <a:noFill/>
        </a:ln>
      </c:spPr>
    </c:plotArea>
    <c:plotVisOnly val="1"/>
    <c:dispBlanksAs val="gap"/>
    <c:showDLblsOverMax val="0"/>
  </c:chart>
  <c:spPr>
    <a:solidFill>
      <a:schemeClr val="bg1"/>
    </a:solidFill>
    <a:ln w="9525" cap="flat" cmpd="sng" algn="ctr">
      <a:noFill/>
      <a:round/>
    </a:ln>
    <a:effectLst/>
  </c:spPr>
  <c:txPr>
    <a:bodyPr/>
    <a:lstStyle/>
    <a:p>
      <a:pPr>
        <a:defRPr sz="11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charts/chart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320" b="0" i="0" u="none" strike="noStrike" baseline="0">
                <a:solidFill>
                  <a:srgbClr val="333333"/>
                </a:solidFill>
                <a:latin typeface="Calibri"/>
                <a:ea typeface="Calibri"/>
                <a:cs typeface="Calibri"/>
              </a:defRPr>
            </a:pPr>
            <a:r>
              <a:rPr lang="en-ZA"/>
              <a:t>Budget funding: full budget: R'000</a:t>
            </a:r>
          </a:p>
        </c:rich>
      </c:tx>
      <c:layout>
        <c:manualLayout>
          <c:xMode val="edge"/>
          <c:yMode val="edge"/>
          <c:x val="5.1654298608357407E-2"/>
          <c:y val="3.2407750501775516E-2"/>
        </c:manualLayout>
      </c:layout>
      <c:overlay val="0"/>
      <c:spPr>
        <a:noFill/>
        <a:ln w="25400">
          <a:noFill/>
        </a:ln>
      </c:spPr>
    </c:title>
    <c:autoTitleDeleted val="0"/>
    <c:plotArea>
      <c:layout/>
      <c:barChart>
        <c:barDir val="col"/>
        <c:grouping val="stacked"/>
        <c:varyColors val="0"/>
        <c:ser>
          <c:idx val="0"/>
          <c:order val="0"/>
          <c:tx>
            <c:strRef>
              <c:f>'Revenue required'!$D$134</c:f>
              <c:strCache>
                <c:ptCount val="1"/>
                <c:pt idx="0">
                  <c:v>Direct cost</c:v>
                </c:pt>
              </c:strCache>
            </c:strRef>
          </c:tx>
          <c:spPr>
            <a:solidFill>
              <a:schemeClr val="accent5"/>
            </a:solidFill>
            <a:ln>
              <a:solidFill>
                <a:schemeClr val="accent5"/>
              </a:solidFill>
            </a:ln>
            <a:effectLst/>
          </c:spPr>
          <c:invertIfNegative val="0"/>
          <c:dLbls>
            <c:spPr>
              <a:noFill/>
              <a:ln w="25400">
                <a:noFill/>
              </a:ln>
            </c:spPr>
            <c:txPr>
              <a:bodyPr wrap="square" lIns="38100" tIns="19050" rIns="38100" bIns="19050" anchor="ctr">
                <a:spAutoFit/>
              </a:bodyPr>
              <a:lstStyle/>
              <a:p>
                <a:pPr>
                  <a:defRPr sz="1100" b="0" i="0" u="none" strike="noStrike" baseline="0">
                    <a:solidFill>
                      <a:srgbClr val="333333"/>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'Revenue required'!$E$134:$F$134</c:f>
            </c:numRef>
          </c:val>
          <c:extLst>
            <c:ext xmlns:c15="http://schemas.microsoft.com/office/drawing/2012/chart" uri="{02D57815-91ED-43cb-92C2-25804820EDAC}">
              <c15:filteredCategoryTitle>
                <c15:cat>
                  <c:multiLvlStrRef>
                    <c:extLst>
                      <c:ext uri="{02D57815-91ED-43cb-92C2-25804820EDAC}">
                        <c15:formulaRef>
                          <c15:sqref>'Revenue required'!$E$133:$F$133</c15:sqref>
                        </c15:formulaRef>
                      </c:ext>
                    </c:extLst>
                  </c:multiLvlStrRef>
                </c15:cat>
              </c15:filteredCategoryTitle>
            </c:ext>
            <c:ext xmlns:c16="http://schemas.microsoft.com/office/drawing/2014/chart" uri="{C3380CC4-5D6E-409C-BE32-E72D297353CC}">
              <c16:uniqueId val="{00000000-93EC-44AF-AB8A-DF93D69CE023}"/>
            </c:ext>
          </c:extLst>
        </c:ser>
        <c:ser>
          <c:idx val="1"/>
          <c:order val="1"/>
          <c:tx>
            <c:strRef>
              <c:f>'Revenue required'!$D$135</c:f>
              <c:strCache>
                <c:ptCount val="1"/>
                <c:pt idx="0">
                  <c:v>Indirect cost</c:v>
                </c:pt>
              </c:strCache>
            </c:strRef>
          </c:tx>
          <c:spPr>
            <a:solidFill>
              <a:schemeClr val="accent5">
                <a:lumMod val="60000"/>
                <a:lumOff val="40000"/>
              </a:schemeClr>
            </a:solidFill>
            <a:ln>
              <a:solidFill>
                <a:schemeClr val="accent5">
                  <a:lumMod val="60000"/>
                  <a:lumOff val="40000"/>
                </a:schemeClr>
              </a:solidFill>
            </a:ln>
            <a:effectLst/>
          </c:spPr>
          <c:invertIfNegative val="0"/>
          <c:dLbls>
            <c:spPr>
              <a:noFill/>
              <a:ln w="25400">
                <a:noFill/>
              </a:ln>
            </c:spPr>
            <c:txPr>
              <a:bodyPr wrap="square" lIns="38100" tIns="19050" rIns="38100" bIns="19050" anchor="ctr">
                <a:spAutoFit/>
              </a:bodyPr>
              <a:lstStyle/>
              <a:p>
                <a:pPr>
                  <a:defRPr sz="1100" b="0" i="0" u="none" strike="noStrike" baseline="0">
                    <a:solidFill>
                      <a:srgbClr val="333333"/>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'Revenue required'!$E$135:$F$135</c:f>
            </c:numRef>
          </c:val>
          <c:extLst>
            <c:ext xmlns:c15="http://schemas.microsoft.com/office/drawing/2012/chart" uri="{02D57815-91ED-43cb-92C2-25804820EDAC}">
              <c15:filteredCategoryTitle>
                <c15:cat>
                  <c:multiLvlStrRef>
                    <c:extLst>
                      <c:ext uri="{02D57815-91ED-43cb-92C2-25804820EDAC}">
                        <c15:formulaRef>
                          <c15:sqref>'Revenue required'!$E$133:$F$133</c15:sqref>
                        </c15:formulaRef>
                      </c:ext>
                    </c:extLst>
                  </c:multiLvlStrRef>
                </c15:cat>
              </c15:filteredCategoryTitle>
            </c:ext>
            <c:ext xmlns:c16="http://schemas.microsoft.com/office/drawing/2014/chart" uri="{C3380CC4-5D6E-409C-BE32-E72D297353CC}">
              <c16:uniqueId val="{00000001-93EC-44AF-AB8A-DF93D69CE023}"/>
            </c:ext>
          </c:extLst>
        </c:ser>
        <c:ser>
          <c:idx val="2"/>
          <c:order val="2"/>
          <c:tx>
            <c:strRef>
              <c:f>'Revenue required'!$D$136</c:f>
              <c:strCache>
                <c:ptCount val="1"/>
              </c:strCache>
            </c:strRef>
          </c:tx>
          <c:spPr>
            <a:solidFill>
              <a:schemeClr val="accent6"/>
            </a:solidFill>
            <a:ln>
              <a:solidFill>
                <a:schemeClr val="accent6"/>
              </a:solidFill>
            </a:ln>
            <a:effectLst/>
          </c:spPr>
          <c:invertIfNegative val="0"/>
          <c:dLbls>
            <c:spPr>
              <a:noFill/>
              <a:ln w="25400">
                <a:noFill/>
              </a:ln>
            </c:spPr>
            <c:txPr>
              <a:bodyPr wrap="square" lIns="38100" tIns="19050" rIns="38100" bIns="19050" anchor="ctr">
                <a:spAutoFit/>
              </a:bodyPr>
              <a:lstStyle/>
              <a:p>
                <a:pPr>
                  <a:defRPr sz="1100" b="0" i="0" u="none" strike="noStrike" baseline="0">
                    <a:solidFill>
                      <a:srgbClr val="333333"/>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'Revenue required'!$E$136:$F$136</c:f>
            </c:numRef>
          </c:val>
          <c:extLst>
            <c:ext xmlns:c15="http://schemas.microsoft.com/office/drawing/2012/chart" uri="{02D57815-91ED-43cb-92C2-25804820EDAC}">
              <c15:filteredCategoryTitle>
                <c15:cat>
                  <c:multiLvlStrRef>
                    <c:extLst>
                      <c:ext uri="{02D57815-91ED-43cb-92C2-25804820EDAC}">
                        <c15:formulaRef>
                          <c15:sqref>'Revenue required'!$E$133:$F$133</c15:sqref>
                        </c15:formulaRef>
                      </c:ext>
                    </c:extLst>
                  </c:multiLvlStrRef>
                </c15:cat>
              </c15:filteredCategoryTitle>
            </c:ext>
            <c:ext xmlns:c16="http://schemas.microsoft.com/office/drawing/2014/chart" uri="{C3380CC4-5D6E-409C-BE32-E72D297353CC}">
              <c16:uniqueId val="{00000002-93EC-44AF-AB8A-DF93D69CE023}"/>
            </c:ext>
          </c:extLst>
        </c:ser>
        <c:ser>
          <c:idx val="4"/>
          <c:order val="3"/>
          <c:tx>
            <c:strRef>
              <c:f>'Revenue required'!$D$137</c:f>
              <c:strCache>
                <c:ptCount val="1"/>
                <c:pt idx="0">
                  <c:v>Tariff revenue</c:v>
                </c:pt>
              </c:strCache>
            </c:strRef>
          </c:tx>
          <c:spPr>
            <a:solidFill>
              <a:schemeClr val="accent3">
                <a:lumMod val="75000"/>
              </a:schemeClr>
            </a:solidFill>
            <a:ln>
              <a:solidFill>
                <a:schemeClr val="accent3">
                  <a:lumMod val="75000"/>
                </a:schemeClr>
              </a:solidFill>
            </a:ln>
            <a:effectLst/>
          </c:spPr>
          <c:invertIfNegative val="0"/>
          <c:dLbls>
            <c:spPr>
              <a:noFill/>
              <a:ln w="25400">
                <a:noFill/>
              </a:ln>
            </c:spPr>
            <c:txPr>
              <a:bodyPr wrap="square" lIns="38100" tIns="19050" rIns="38100" bIns="19050" anchor="ctr">
                <a:spAutoFit/>
              </a:bodyPr>
              <a:lstStyle/>
              <a:p>
                <a:pPr>
                  <a:defRPr sz="1100" b="0" i="0" u="none" strike="noStrike" baseline="0">
                    <a:solidFill>
                      <a:srgbClr val="333333"/>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'Revenue required'!$E$137:$F$137</c:f>
            </c:numRef>
          </c:val>
          <c:extLst>
            <c:ext xmlns:c15="http://schemas.microsoft.com/office/drawing/2012/chart" uri="{02D57815-91ED-43cb-92C2-25804820EDAC}">
              <c15:filteredCategoryTitle>
                <c15:cat>
                  <c:multiLvlStrRef>
                    <c:extLst>
                      <c:ext uri="{02D57815-91ED-43cb-92C2-25804820EDAC}">
                        <c15:formulaRef>
                          <c15:sqref>'Revenue required'!$E$133:$F$133</c15:sqref>
                        </c15:formulaRef>
                      </c:ext>
                    </c:extLst>
                  </c:multiLvlStrRef>
                </c15:cat>
              </c15:filteredCategoryTitle>
            </c:ext>
            <c:ext xmlns:c16="http://schemas.microsoft.com/office/drawing/2014/chart" uri="{C3380CC4-5D6E-409C-BE32-E72D297353CC}">
              <c16:uniqueId val="{00000003-93EC-44AF-AB8A-DF93D69CE023}"/>
            </c:ext>
          </c:extLst>
        </c:ser>
        <c:ser>
          <c:idx val="5"/>
          <c:order val="4"/>
          <c:tx>
            <c:strRef>
              <c:f>'Revenue required'!$D$138</c:f>
              <c:strCache>
                <c:ptCount val="1"/>
                <c:pt idx="0">
                  <c:v>Non-tariff revenue</c:v>
                </c:pt>
              </c:strCache>
            </c:strRef>
          </c:tx>
          <c:spPr>
            <a:solidFill>
              <a:schemeClr val="accent3"/>
            </a:solidFill>
            <a:ln>
              <a:solidFill>
                <a:schemeClr val="accent3"/>
              </a:solidFill>
            </a:ln>
            <a:effectLst/>
          </c:spPr>
          <c:invertIfNegative val="0"/>
          <c:dLbls>
            <c:spPr>
              <a:noFill/>
              <a:ln w="25400">
                <a:noFill/>
              </a:ln>
            </c:spPr>
            <c:txPr>
              <a:bodyPr wrap="square" lIns="38100" tIns="19050" rIns="38100" bIns="19050" anchor="ctr">
                <a:spAutoFit/>
              </a:bodyPr>
              <a:lstStyle/>
              <a:p>
                <a:pPr>
                  <a:defRPr sz="1100" b="0" i="0" u="none" strike="noStrike" baseline="0">
                    <a:solidFill>
                      <a:srgbClr val="333333"/>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'Revenue required'!$E$138:$F$138</c:f>
            </c:numRef>
          </c:val>
          <c:extLst>
            <c:ext xmlns:c15="http://schemas.microsoft.com/office/drawing/2012/chart" uri="{02D57815-91ED-43cb-92C2-25804820EDAC}">
              <c15:filteredCategoryTitle>
                <c15:cat>
                  <c:multiLvlStrRef>
                    <c:extLst>
                      <c:ext uri="{02D57815-91ED-43cb-92C2-25804820EDAC}">
                        <c15:formulaRef>
                          <c15:sqref>'Revenue required'!$E$133:$F$133</c15:sqref>
                        </c15:formulaRef>
                      </c:ext>
                    </c:extLst>
                  </c:multiLvlStrRef>
                </c15:cat>
              </c15:filteredCategoryTitle>
            </c:ext>
            <c:ext xmlns:c16="http://schemas.microsoft.com/office/drawing/2014/chart" uri="{C3380CC4-5D6E-409C-BE32-E72D297353CC}">
              <c16:uniqueId val="{00000004-93EC-44AF-AB8A-DF93D69CE023}"/>
            </c:ext>
          </c:extLst>
        </c:ser>
        <c:ser>
          <c:idx val="3"/>
          <c:order val="5"/>
          <c:tx>
            <c:strRef>
              <c:f>'Revenue required'!$D$139</c:f>
              <c:strCache>
                <c:ptCount val="1"/>
                <c:pt idx="0">
                  <c:v>Deficit</c:v>
                </c:pt>
              </c:strCache>
            </c:strRef>
          </c:tx>
          <c:spPr>
            <a:solidFill>
              <a:schemeClr val="accent2"/>
            </a:solidFill>
            <a:ln>
              <a:solidFill>
                <a:schemeClr val="accent2"/>
              </a:solidFill>
            </a:ln>
            <a:effectLst/>
          </c:spPr>
          <c:invertIfNegative val="0"/>
          <c:dLbls>
            <c:spPr>
              <a:noFill/>
              <a:ln w="25400">
                <a:noFill/>
              </a:ln>
            </c:spPr>
            <c:txPr>
              <a:bodyPr wrap="square" lIns="38100" tIns="19050" rIns="38100" bIns="19050" anchor="ctr">
                <a:spAutoFit/>
              </a:bodyPr>
              <a:lstStyle/>
              <a:p>
                <a:pPr>
                  <a:defRPr sz="1100" b="0" i="0" u="none" strike="noStrike" baseline="0">
                    <a:solidFill>
                      <a:srgbClr val="333333"/>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'Revenue required'!$E$139:$F$139</c:f>
            </c:numRef>
          </c:val>
          <c:extLst>
            <c:ext xmlns:c15="http://schemas.microsoft.com/office/drawing/2012/chart" uri="{02D57815-91ED-43cb-92C2-25804820EDAC}">
              <c15:filteredCategoryTitle>
                <c15:cat>
                  <c:multiLvlStrRef>
                    <c:extLst>
                      <c:ext uri="{02D57815-91ED-43cb-92C2-25804820EDAC}">
                        <c15:formulaRef>
                          <c15:sqref>'Revenue required'!$E$133:$F$133</c15:sqref>
                        </c15:formulaRef>
                      </c:ext>
                    </c:extLst>
                  </c:multiLvlStrRef>
                </c15:cat>
              </c15:filteredCategoryTitle>
            </c:ext>
            <c:ext xmlns:c16="http://schemas.microsoft.com/office/drawing/2014/chart" uri="{C3380CC4-5D6E-409C-BE32-E72D297353CC}">
              <c16:uniqueId val="{00000005-93EC-44AF-AB8A-DF93D69CE023}"/>
            </c:ext>
          </c:extLst>
        </c:ser>
        <c:dLbls>
          <c:showLegendKey val="0"/>
          <c:showVal val="0"/>
          <c:showCatName val="0"/>
          <c:showSerName val="0"/>
          <c:showPercent val="0"/>
          <c:showBubbleSize val="0"/>
        </c:dLbls>
        <c:gapWidth val="25"/>
        <c:overlap val="100"/>
        <c:axId val="1350463439"/>
        <c:axId val="1"/>
      </c:barChart>
      <c:catAx>
        <c:axId val="1350463439"/>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0" vert="horz"/>
          <a:lstStyle/>
          <a:p>
            <a:pPr>
              <a:defRPr sz="1100" b="0" i="0" u="none" strike="noStrike" baseline="0">
                <a:solidFill>
                  <a:srgbClr val="333333"/>
                </a:solidFill>
                <a:latin typeface="Calibri"/>
                <a:ea typeface="Calibri"/>
                <a:cs typeface="Calibri"/>
              </a:defRPr>
            </a:pPr>
            <a:endParaRPr lang="en-US"/>
          </a:p>
        </c:txPr>
        <c:crossAx val="1"/>
        <c:crosses val="autoZero"/>
        <c:auto val="1"/>
        <c:lblAlgn val="ctr"/>
        <c:lblOffset val="100"/>
        <c:noMultiLvlLbl val="0"/>
      </c:catAx>
      <c:valAx>
        <c:axId val="1"/>
        <c:scaling>
          <c:orientation val="minMax"/>
        </c:scaling>
        <c:delete val="1"/>
        <c:axPos val="l"/>
        <c:majorGridlines>
          <c:spPr>
            <a:ln w="9525" cap="flat" cmpd="sng" algn="ctr">
              <a:solidFill>
                <a:schemeClr val="tx1">
                  <a:lumMod val="15000"/>
                  <a:lumOff val="85000"/>
                </a:schemeClr>
              </a:solidFill>
              <a:round/>
            </a:ln>
            <a:effectLst/>
          </c:spPr>
        </c:majorGridlines>
        <c:numFmt formatCode="_-* #\ ##0_-;\-* #\ ##0_-;_-* &quot;-&quot;??_-;_-@_-" sourceLinked="1"/>
        <c:majorTickMark val="out"/>
        <c:minorTickMark val="none"/>
        <c:tickLblPos val="nextTo"/>
        <c:crossAx val="1350463439"/>
        <c:crosses val="autoZero"/>
        <c:crossBetween val="between"/>
      </c:valAx>
      <c:spPr>
        <a:noFill/>
        <a:ln w="25400">
          <a:noFill/>
        </a:ln>
      </c:spPr>
    </c:plotArea>
    <c:plotVisOnly val="1"/>
    <c:dispBlanksAs val="gap"/>
    <c:showDLblsOverMax val="0"/>
  </c:chart>
  <c:spPr>
    <a:solidFill>
      <a:schemeClr val="bg1"/>
    </a:solidFill>
    <a:ln w="9525" cap="flat" cmpd="sng" algn="ctr">
      <a:noFill/>
      <a:round/>
    </a:ln>
    <a:effectLst/>
  </c:spPr>
  <c:txPr>
    <a:bodyPr/>
    <a:lstStyle/>
    <a:p>
      <a:pPr>
        <a:defRPr sz="11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charts/chart1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320" b="0" i="0" u="none" strike="noStrike" baseline="0">
                <a:solidFill>
                  <a:srgbClr val="333333"/>
                </a:solidFill>
                <a:latin typeface="Calibri"/>
                <a:ea typeface="Calibri"/>
                <a:cs typeface="Calibri"/>
              </a:defRPr>
            </a:pPr>
            <a:r>
              <a:rPr lang="en-ZA"/>
              <a:t>Budget funding: full budget: %s</a:t>
            </a:r>
          </a:p>
        </c:rich>
      </c:tx>
      <c:layout>
        <c:manualLayout>
          <c:xMode val="edge"/>
          <c:yMode val="edge"/>
          <c:x val="0"/>
          <c:y val="4.6276439709742163E-2"/>
        </c:manualLayout>
      </c:layout>
      <c:overlay val="0"/>
      <c:spPr>
        <a:noFill/>
        <a:ln w="25400">
          <a:noFill/>
        </a:ln>
      </c:spPr>
    </c:title>
    <c:autoTitleDeleted val="0"/>
    <c:plotArea>
      <c:layout/>
      <c:barChart>
        <c:barDir val="col"/>
        <c:grouping val="percentStacked"/>
        <c:varyColors val="0"/>
        <c:ser>
          <c:idx val="0"/>
          <c:order val="0"/>
          <c:tx>
            <c:strRef>
              <c:f>'Revenue required'!$G$134</c:f>
              <c:strCache>
                <c:ptCount val="1"/>
                <c:pt idx="0">
                  <c:v>Direct cost</c:v>
                </c:pt>
              </c:strCache>
            </c:strRef>
          </c:tx>
          <c:spPr>
            <a:solidFill>
              <a:schemeClr val="accent5"/>
            </a:solidFill>
            <a:ln>
              <a:solidFill>
                <a:schemeClr val="accent5"/>
              </a:solidFill>
            </a:ln>
            <a:effectLst/>
          </c:spPr>
          <c:invertIfNegative val="0"/>
          <c:dLbls>
            <c:spPr>
              <a:noFill/>
              <a:ln w="25400">
                <a:noFill/>
              </a:ln>
            </c:spPr>
            <c:txPr>
              <a:bodyPr wrap="square" lIns="38100" tIns="19050" rIns="38100" bIns="19050" anchor="ctr">
                <a:spAutoFit/>
              </a:bodyPr>
              <a:lstStyle/>
              <a:p>
                <a:pPr>
                  <a:defRPr sz="1100" b="0" i="0" u="none" strike="noStrike" baseline="0">
                    <a:solidFill>
                      <a:srgbClr val="333333"/>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'Revenue required'!$H$134:$I$134</c:f>
            </c:numRef>
          </c:val>
          <c:extLst>
            <c:ext xmlns:c15="http://schemas.microsoft.com/office/drawing/2012/chart" uri="{02D57815-91ED-43cb-92C2-25804820EDAC}">
              <c15:filteredCategoryTitle>
                <c15:cat>
                  <c:multiLvlStrRef>
                    <c:extLst>
                      <c:ext uri="{02D57815-91ED-43cb-92C2-25804820EDAC}">
                        <c15:formulaRef>
                          <c15:sqref>'Revenue required'!$H$133:$I$133</c15:sqref>
                        </c15:formulaRef>
                      </c:ext>
                    </c:extLst>
                  </c:multiLvlStrRef>
                </c15:cat>
              </c15:filteredCategoryTitle>
            </c:ext>
            <c:ext xmlns:c16="http://schemas.microsoft.com/office/drawing/2014/chart" uri="{C3380CC4-5D6E-409C-BE32-E72D297353CC}">
              <c16:uniqueId val="{00000000-B6D8-47DA-9124-D26E16FD79CC}"/>
            </c:ext>
          </c:extLst>
        </c:ser>
        <c:ser>
          <c:idx val="1"/>
          <c:order val="1"/>
          <c:tx>
            <c:strRef>
              <c:f>'Revenue required'!$G$135</c:f>
              <c:strCache>
                <c:ptCount val="1"/>
                <c:pt idx="0">
                  <c:v>Indirect cost</c:v>
                </c:pt>
              </c:strCache>
            </c:strRef>
          </c:tx>
          <c:spPr>
            <a:solidFill>
              <a:schemeClr val="accent5">
                <a:lumMod val="60000"/>
                <a:lumOff val="40000"/>
              </a:schemeClr>
            </a:solidFill>
            <a:ln>
              <a:solidFill>
                <a:schemeClr val="accent5">
                  <a:lumMod val="60000"/>
                  <a:lumOff val="40000"/>
                </a:schemeClr>
              </a:solidFill>
            </a:ln>
            <a:effectLst/>
          </c:spPr>
          <c:invertIfNegative val="0"/>
          <c:dLbls>
            <c:spPr>
              <a:noFill/>
              <a:ln w="25400">
                <a:noFill/>
              </a:ln>
            </c:spPr>
            <c:txPr>
              <a:bodyPr wrap="square" lIns="38100" tIns="19050" rIns="38100" bIns="19050" anchor="ctr">
                <a:spAutoFit/>
              </a:bodyPr>
              <a:lstStyle/>
              <a:p>
                <a:pPr>
                  <a:defRPr sz="1100" b="0" i="0" u="none" strike="noStrike" baseline="0">
                    <a:solidFill>
                      <a:srgbClr val="333333"/>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'Revenue required'!$H$135:$I$135</c:f>
            </c:numRef>
          </c:val>
          <c:extLst>
            <c:ext xmlns:c15="http://schemas.microsoft.com/office/drawing/2012/chart" uri="{02D57815-91ED-43cb-92C2-25804820EDAC}">
              <c15:filteredCategoryTitle>
                <c15:cat>
                  <c:multiLvlStrRef>
                    <c:extLst>
                      <c:ext uri="{02D57815-91ED-43cb-92C2-25804820EDAC}">
                        <c15:formulaRef>
                          <c15:sqref>'Revenue required'!$H$133:$I$133</c15:sqref>
                        </c15:formulaRef>
                      </c:ext>
                    </c:extLst>
                  </c:multiLvlStrRef>
                </c15:cat>
              </c15:filteredCategoryTitle>
            </c:ext>
            <c:ext xmlns:c16="http://schemas.microsoft.com/office/drawing/2014/chart" uri="{C3380CC4-5D6E-409C-BE32-E72D297353CC}">
              <c16:uniqueId val="{00000001-B6D8-47DA-9124-D26E16FD79CC}"/>
            </c:ext>
          </c:extLst>
        </c:ser>
        <c:ser>
          <c:idx val="2"/>
          <c:order val="2"/>
          <c:tx>
            <c:strRef>
              <c:f>'Revenue required'!$G$136</c:f>
              <c:strCache>
                <c:ptCount val="1"/>
              </c:strCache>
            </c:strRef>
          </c:tx>
          <c:spPr>
            <a:solidFill>
              <a:schemeClr val="accent6"/>
            </a:solidFill>
            <a:ln>
              <a:solidFill>
                <a:schemeClr val="accent6"/>
              </a:solidFill>
            </a:ln>
            <a:effectLst/>
          </c:spPr>
          <c:invertIfNegative val="0"/>
          <c:dLbls>
            <c:spPr>
              <a:noFill/>
              <a:ln w="25400">
                <a:noFill/>
              </a:ln>
            </c:spPr>
            <c:txPr>
              <a:bodyPr wrap="square" lIns="38100" tIns="19050" rIns="38100" bIns="19050" anchor="ctr">
                <a:spAutoFit/>
              </a:bodyPr>
              <a:lstStyle/>
              <a:p>
                <a:pPr>
                  <a:defRPr sz="1100" b="0" i="0" u="none" strike="noStrike" baseline="0">
                    <a:solidFill>
                      <a:srgbClr val="333333"/>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'Revenue required'!$H$136:$I$136</c:f>
            </c:numRef>
          </c:val>
          <c:extLst>
            <c:ext xmlns:c15="http://schemas.microsoft.com/office/drawing/2012/chart" uri="{02D57815-91ED-43cb-92C2-25804820EDAC}">
              <c15:filteredCategoryTitle>
                <c15:cat>
                  <c:multiLvlStrRef>
                    <c:extLst>
                      <c:ext uri="{02D57815-91ED-43cb-92C2-25804820EDAC}">
                        <c15:formulaRef>
                          <c15:sqref>'Revenue required'!$H$133:$I$133</c15:sqref>
                        </c15:formulaRef>
                      </c:ext>
                    </c:extLst>
                  </c:multiLvlStrRef>
                </c15:cat>
              </c15:filteredCategoryTitle>
            </c:ext>
            <c:ext xmlns:c16="http://schemas.microsoft.com/office/drawing/2014/chart" uri="{C3380CC4-5D6E-409C-BE32-E72D297353CC}">
              <c16:uniqueId val="{00000002-B6D8-47DA-9124-D26E16FD79CC}"/>
            </c:ext>
          </c:extLst>
        </c:ser>
        <c:ser>
          <c:idx val="4"/>
          <c:order val="3"/>
          <c:tx>
            <c:strRef>
              <c:f>'Revenue required'!$G$137</c:f>
              <c:strCache>
                <c:ptCount val="1"/>
                <c:pt idx="0">
                  <c:v>Tariff revenue</c:v>
                </c:pt>
              </c:strCache>
            </c:strRef>
          </c:tx>
          <c:spPr>
            <a:solidFill>
              <a:schemeClr val="accent3">
                <a:lumMod val="75000"/>
              </a:schemeClr>
            </a:solidFill>
            <a:ln>
              <a:solidFill>
                <a:schemeClr val="accent3">
                  <a:lumMod val="75000"/>
                </a:schemeClr>
              </a:solidFill>
            </a:ln>
            <a:effectLst/>
          </c:spPr>
          <c:invertIfNegative val="0"/>
          <c:dLbls>
            <c:spPr>
              <a:noFill/>
              <a:ln w="25400">
                <a:noFill/>
              </a:ln>
            </c:spPr>
            <c:txPr>
              <a:bodyPr wrap="square" lIns="38100" tIns="19050" rIns="38100" bIns="19050" anchor="ctr">
                <a:spAutoFit/>
              </a:bodyPr>
              <a:lstStyle/>
              <a:p>
                <a:pPr>
                  <a:defRPr sz="1100" b="0" i="0" u="none" strike="noStrike" baseline="0">
                    <a:solidFill>
                      <a:srgbClr val="333333"/>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'Revenue required'!$H$137:$I$137</c:f>
            </c:numRef>
          </c:val>
          <c:extLst>
            <c:ext xmlns:c15="http://schemas.microsoft.com/office/drawing/2012/chart" uri="{02D57815-91ED-43cb-92C2-25804820EDAC}">
              <c15:filteredCategoryTitle>
                <c15:cat>
                  <c:multiLvlStrRef>
                    <c:extLst>
                      <c:ext uri="{02D57815-91ED-43cb-92C2-25804820EDAC}">
                        <c15:formulaRef>
                          <c15:sqref>'Revenue required'!$H$133:$I$133</c15:sqref>
                        </c15:formulaRef>
                      </c:ext>
                    </c:extLst>
                  </c:multiLvlStrRef>
                </c15:cat>
              </c15:filteredCategoryTitle>
            </c:ext>
            <c:ext xmlns:c16="http://schemas.microsoft.com/office/drawing/2014/chart" uri="{C3380CC4-5D6E-409C-BE32-E72D297353CC}">
              <c16:uniqueId val="{00000003-B6D8-47DA-9124-D26E16FD79CC}"/>
            </c:ext>
          </c:extLst>
        </c:ser>
        <c:ser>
          <c:idx val="5"/>
          <c:order val="4"/>
          <c:tx>
            <c:strRef>
              <c:f>'Revenue required'!$G$138</c:f>
              <c:strCache>
                <c:ptCount val="1"/>
                <c:pt idx="0">
                  <c:v>Non-tariff revenue</c:v>
                </c:pt>
              </c:strCache>
            </c:strRef>
          </c:tx>
          <c:spPr>
            <a:solidFill>
              <a:schemeClr val="accent3"/>
            </a:solidFill>
            <a:ln>
              <a:solidFill>
                <a:schemeClr val="accent3"/>
              </a:solidFill>
            </a:ln>
            <a:effectLst/>
          </c:spPr>
          <c:invertIfNegative val="0"/>
          <c:dLbls>
            <c:spPr>
              <a:noFill/>
              <a:ln w="25400">
                <a:noFill/>
              </a:ln>
            </c:spPr>
            <c:txPr>
              <a:bodyPr wrap="square" lIns="38100" tIns="19050" rIns="38100" bIns="19050" anchor="ctr">
                <a:spAutoFit/>
              </a:bodyPr>
              <a:lstStyle/>
              <a:p>
                <a:pPr>
                  <a:defRPr sz="1100" b="0" i="0" u="none" strike="noStrike" baseline="0">
                    <a:solidFill>
                      <a:srgbClr val="333333"/>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'Revenue required'!$H$138:$I$138</c:f>
            </c:numRef>
          </c:val>
          <c:extLst>
            <c:ext xmlns:c15="http://schemas.microsoft.com/office/drawing/2012/chart" uri="{02D57815-91ED-43cb-92C2-25804820EDAC}">
              <c15:filteredCategoryTitle>
                <c15:cat>
                  <c:multiLvlStrRef>
                    <c:extLst>
                      <c:ext uri="{02D57815-91ED-43cb-92C2-25804820EDAC}">
                        <c15:formulaRef>
                          <c15:sqref>'Revenue required'!$H$133:$I$133</c15:sqref>
                        </c15:formulaRef>
                      </c:ext>
                    </c:extLst>
                  </c:multiLvlStrRef>
                </c15:cat>
              </c15:filteredCategoryTitle>
            </c:ext>
            <c:ext xmlns:c16="http://schemas.microsoft.com/office/drawing/2014/chart" uri="{C3380CC4-5D6E-409C-BE32-E72D297353CC}">
              <c16:uniqueId val="{00000004-B6D8-47DA-9124-D26E16FD79CC}"/>
            </c:ext>
          </c:extLst>
        </c:ser>
        <c:ser>
          <c:idx val="3"/>
          <c:order val="5"/>
          <c:tx>
            <c:strRef>
              <c:f>'Revenue required'!$G$139</c:f>
              <c:strCache>
                <c:ptCount val="1"/>
                <c:pt idx="0">
                  <c:v>Deficit</c:v>
                </c:pt>
              </c:strCache>
            </c:strRef>
          </c:tx>
          <c:spPr>
            <a:solidFill>
              <a:schemeClr val="accent2"/>
            </a:solidFill>
            <a:ln>
              <a:solidFill>
                <a:schemeClr val="accent2"/>
              </a:solidFill>
            </a:ln>
            <a:effectLst/>
          </c:spPr>
          <c:invertIfNegative val="0"/>
          <c:dLbls>
            <c:spPr>
              <a:noFill/>
              <a:ln w="25400">
                <a:noFill/>
              </a:ln>
            </c:spPr>
            <c:txPr>
              <a:bodyPr wrap="square" lIns="38100" tIns="19050" rIns="38100" bIns="19050" anchor="ctr">
                <a:spAutoFit/>
              </a:bodyPr>
              <a:lstStyle/>
              <a:p>
                <a:pPr>
                  <a:defRPr sz="1100" b="0" i="0" u="none" strike="noStrike" baseline="0">
                    <a:solidFill>
                      <a:srgbClr val="333333"/>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'Revenue required'!$H$139:$I$139</c:f>
            </c:numRef>
          </c:val>
          <c:extLst>
            <c:ext xmlns:c15="http://schemas.microsoft.com/office/drawing/2012/chart" uri="{02D57815-91ED-43cb-92C2-25804820EDAC}">
              <c15:filteredCategoryTitle>
                <c15:cat>
                  <c:multiLvlStrRef>
                    <c:extLst>
                      <c:ext uri="{02D57815-91ED-43cb-92C2-25804820EDAC}">
                        <c15:formulaRef>
                          <c15:sqref>'Revenue required'!$H$133:$I$133</c15:sqref>
                        </c15:formulaRef>
                      </c:ext>
                    </c:extLst>
                  </c:multiLvlStrRef>
                </c15:cat>
              </c15:filteredCategoryTitle>
            </c:ext>
            <c:ext xmlns:c16="http://schemas.microsoft.com/office/drawing/2014/chart" uri="{C3380CC4-5D6E-409C-BE32-E72D297353CC}">
              <c16:uniqueId val="{00000005-B6D8-47DA-9124-D26E16FD79CC}"/>
            </c:ext>
          </c:extLst>
        </c:ser>
        <c:dLbls>
          <c:showLegendKey val="0"/>
          <c:showVal val="0"/>
          <c:showCatName val="0"/>
          <c:showSerName val="0"/>
          <c:showPercent val="0"/>
          <c:showBubbleSize val="0"/>
        </c:dLbls>
        <c:gapWidth val="25"/>
        <c:overlap val="100"/>
        <c:axId val="1350464879"/>
        <c:axId val="1"/>
      </c:barChart>
      <c:catAx>
        <c:axId val="1350464879"/>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0" vert="horz"/>
          <a:lstStyle/>
          <a:p>
            <a:pPr>
              <a:defRPr sz="1100" b="0" i="0" u="none" strike="noStrike" baseline="0">
                <a:solidFill>
                  <a:srgbClr val="333333"/>
                </a:solidFill>
                <a:latin typeface="Calibri"/>
                <a:ea typeface="Calibri"/>
                <a:cs typeface="Calibri"/>
              </a:defRPr>
            </a:pPr>
            <a:endParaRPr lang="en-US"/>
          </a:p>
        </c:txPr>
        <c:crossAx val="1"/>
        <c:crosses val="autoZero"/>
        <c:auto val="1"/>
        <c:lblAlgn val="ctr"/>
        <c:lblOffset val="100"/>
        <c:noMultiLvlLbl val="0"/>
      </c:catAx>
      <c:valAx>
        <c:axId val="1"/>
        <c:scaling>
          <c:orientation val="minMax"/>
        </c:scaling>
        <c:delete val="1"/>
        <c:axPos val="l"/>
        <c:majorGridlines>
          <c:spPr>
            <a:ln w="9525" cap="flat" cmpd="sng" algn="ctr">
              <a:solidFill>
                <a:schemeClr val="tx1">
                  <a:lumMod val="15000"/>
                  <a:lumOff val="85000"/>
                </a:schemeClr>
              </a:solidFill>
              <a:round/>
            </a:ln>
            <a:effectLst/>
          </c:spPr>
        </c:majorGridlines>
        <c:numFmt formatCode="0%" sourceLinked="1"/>
        <c:majorTickMark val="out"/>
        <c:minorTickMark val="none"/>
        <c:tickLblPos val="nextTo"/>
        <c:crossAx val="1350464879"/>
        <c:crosses val="autoZero"/>
        <c:crossBetween val="between"/>
      </c:valAx>
      <c:spPr>
        <a:noFill/>
        <a:ln w="25400">
          <a:noFill/>
        </a:ln>
      </c:spPr>
    </c:plotArea>
    <c:plotVisOnly val="1"/>
    <c:dispBlanksAs val="gap"/>
    <c:showDLblsOverMax val="0"/>
  </c:chart>
  <c:spPr>
    <a:solidFill>
      <a:schemeClr val="bg1"/>
    </a:solidFill>
    <a:ln w="9525" cap="flat" cmpd="sng" algn="ctr">
      <a:noFill/>
      <a:round/>
    </a:ln>
    <a:effectLst/>
  </c:spPr>
  <c:txPr>
    <a:bodyPr/>
    <a:lstStyle/>
    <a:p>
      <a:pPr>
        <a:defRPr sz="11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charts/chart1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320" b="0" i="0" u="none" strike="noStrike" baseline="0">
                <a:solidFill>
                  <a:srgbClr val="333333"/>
                </a:solidFill>
                <a:latin typeface="Calibri"/>
                <a:ea typeface="Calibri"/>
                <a:cs typeface="Calibri"/>
              </a:defRPr>
            </a:pPr>
            <a:r>
              <a:rPr lang="en-ZA"/>
              <a:t>Budget funding: 'other' services: categories</a:t>
            </a:r>
          </a:p>
        </c:rich>
      </c:tx>
      <c:layout>
        <c:manualLayout>
          <c:xMode val="edge"/>
          <c:yMode val="edge"/>
          <c:x val="6.8345876654920895E-2"/>
          <c:y val="4.1609029640525708E-2"/>
        </c:manualLayout>
      </c:layout>
      <c:overlay val="0"/>
      <c:spPr>
        <a:noFill/>
        <a:ln w="25400">
          <a:noFill/>
        </a:ln>
      </c:spPr>
    </c:title>
    <c:autoTitleDeleted val="0"/>
    <c:plotArea>
      <c:layout/>
      <c:barChart>
        <c:barDir val="col"/>
        <c:grouping val="stacked"/>
        <c:varyColors val="0"/>
        <c:ser>
          <c:idx val="0"/>
          <c:order val="0"/>
          <c:tx>
            <c:strRef>
              <c:f>'Revenue required'!$D$144</c:f>
              <c:strCache>
                <c:ptCount val="1"/>
                <c:pt idx="0">
                  <c:v>Direct cost</c:v>
                </c:pt>
              </c:strCache>
            </c:strRef>
          </c:tx>
          <c:spPr>
            <a:solidFill>
              <a:schemeClr val="accent5"/>
            </a:solidFill>
            <a:ln>
              <a:solidFill>
                <a:schemeClr val="accent5"/>
              </a:solidFill>
            </a:ln>
            <a:effectLst/>
          </c:spPr>
          <c:invertIfNegative val="0"/>
          <c:dLbls>
            <c:spPr>
              <a:noFill/>
              <a:ln w="25400">
                <a:noFill/>
              </a:ln>
            </c:spPr>
            <c:txPr>
              <a:bodyPr wrap="square" lIns="38100" tIns="19050" rIns="38100" bIns="19050" anchor="ctr">
                <a:spAutoFit/>
              </a:bodyPr>
              <a:lstStyle/>
              <a:p>
                <a:pPr>
                  <a:defRPr sz="1100" b="0" i="0" u="none" strike="noStrike" baseline="0">
                    <a:solidFill>
                      <a:srgbClr val="333333"/>
                    </a:solidFill>
                    <a:latin typeface="Calibri"/>
                    <a:ea typeface="Calibri"/>
                    <a:cs typeface="Calibri"/>
                  </a:defRPr>
                </a:pPr>
                <a:endParaRPr lang="en-US"/>
              </a:p>
            </c:txPr>
            <c:dLblPos val="ct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val>
            <c:numRef>
              <c:f>'Revenue required'!$E$144:$F$144</c:f>
            </c:numRef>
          </c:val>
          <c:extLst>
            <c:ext xmlns:c15="http://schemas.microsoft.com/office/drawing/2012/chart" uri="{02D57815-91ED-43cb-92C2-25804820EDAC}">
              <c15:filteredCategoryTitle>
                <c15:cat>
                  <c:multiLvlStrRef>
                    <c:extLst>
                      <c:ext uri="{02D57815-91ED-43cb-92C2-25804820EDAC}">
                        <c15:formulaRef>
                          <c15:sqref>'Revenue required'!$E$143:$F$143</c15:sqref>
                        </c15:formulaRef>
                      </c:ext>
                    </c:extLst>
                  </c:multiLvlStrRef>
                </c15:cat>
              </c15:filteredCategoryTitle>
            </c:ext>
            <c:ext xmlns:c16="http://schemas.microsoft.com/office/drawing/2014/chart" uri="{C3380CC4-5D6E-409C-BE32-E72D297353CC}">
              <c16:uniqueId val="{00000000-3F2E-427F-9CC6-5A77AA97B4C9}"/>
            </c:ext>
          </c:extLst>
        </c:ser>
        <c:ser>
          <c:idx val="1"/>
          <c:order val="1"/>
          <c:tx>
            <c:strRef>
              <c:f>'Revenue required'!$D$145</c:f>
              <c:strCache>
                <c:ptCount val="1"/>
                <c:pt idx="0">
                  <c:v>Indirect cost</c:v>
                </c:pt>
              </c:strCache>
            </c:strRef>
          </c:tx>
          <c:spPr>
            <a:solidFill>
              <a:schemeClr val="accent5">
                <a:lumMod val="60000"/>
                <a:lumOff val="40000"/>
              </a:schemeClr>
            </a:solidFill>
            <a:ln>
              <a:solidFill>
                <a:schemeClr val="accent5">
                  <a:lumMod val="60000"/>
                  <a:lumOff val="40000"/>
                </a:schemeClr>
              </a:solidFill>
            </a:ln>
            <a:effectLst/>
          </c:spPr>
          <c:invertIfNegative val="0"/>
          <c:dLbls>
            <c:spPr>
              <a:noFill/>
              <a:ln w="25400">
                <a:noFill/>
              </a:ln>
            </c:spPr>
            <c:txPr>
              <a:bodyPr wrap="square" lIns="38100" tIns="19050" rIns="38100" bIns="19050" anchor="ctr">
                <a:spAutoFit/>
              </a:bodyPr>
              <a:lstStyle/>
              <a:p>
                <a:pPr>
                  <a:defRPr sz="1100" b="0" i="0" u="none" strike="noStrike" baseline="0">
                    <a:solidFill>
                      <a:srgbClr val="333333"/>
                    </a:solidFill>
                    <a:latin typeface="Calibri"/>
                    <a:ea typeface="Calibri"/>
                    <a:cs typeface="Calibri"/>
                  </a:defRPr>
                </a:pPr>
                <a:endParaRPr lang="en-US"/>
              </a:p>
            </c:txPr>
            <c:dLblPos val="ct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val>
            <c:numRef>
              <c:f>'Revenue required'!$E$145:$F$145</c:f>
            </c:numRef>
          </c:val>
          <c:extLst>
            <c:ext xmlns:c15="http://schemas.microsoft.com/office/drawing/2012/chart" uri="{02D57815-91ED-43cb-92C2-25804820EDAC}">
              <c15:filteredCategoryTitle>
                <c15:cat>
                  <c:multiLvlStrRef>
                    <c:extLst>
                      <c:ext uri="{02D57815-91ED-43cb-92C2-25804820EDAC}">
                        <c15:formulaRef>
                          <c15:sqref>'Revenue required'!$E$143:$F$143</c15:sqref>
                        </c15:formulaRef>
                      </c:ext>
                    </c:extLst>
                  </c:multiLvlStrRef>
                </c15:cat>
              </c15:filteredCategoryTitle>
            </c:ext>
            <c:ext xmlns:c16="http://schemas.microsoft.com/office/drawing/2014/chart" uri="{C3380CC4-5D6E-409C-BE32-E72D297353CC}">
              <c16:uniqueId val="{00000001-3F2E-427F-9CC6-5A77AA97B4C9}"/>
            </c:ext>
          </c:extLst>
        </c:ser>
        <c:ser>
          <c:idx val="2"/>
          <c:order val="2"/>
          <c:tx>
            <c:strRef>
              <c:f>'Revenue required'!$D$146</c:f>
              <c:strCache>
                <c:ptCount val="1"/>
              </c:strCache>
            </c:strRef>
          </c:tx>
          <c:spPr>
            <a:solidFill>
              <a:schemeClr val="accent6"/>
            </a:solidFill>
            <a:ln>
              <a:solidFill>
                <a:schemeClr val="accent6"/>
              </a:solidFill>
            </a:ln>
            <a:effectLst/>
          </c:spPr>
          <c:invertIfNegative val="0"/>
          <c:dLbls>
            <c:spPr>
              <a:noFill/>
              <a:ln w="25400">
                <a:noFill/>
              </a:ln>
            </c:spPr>
            <c:txPr>
              <a:bodyPr wrap="square" lIns="38100" tIns="19050" rIns="38100" bIns="19050" anchor="ctr">
                <a:spAutoFit/>
              </a:bodyPr>
              <a:lstStyle/>
              <a:p>
                <a:pPr>
                  <a:defRPr sz="1100" b="0" i="0" u="none" strike="noStrike" baseline="0">
                    <a:solidFill>
                      <a:srgbClr val="333333"/>
                    </a:solidFill>
                    <a:latin typeface="Calibri"/>
                    <a:ea typeface="Calibri"/>
                    <a:cs typeface="Calibri"/>
                  </a:defRPr>
                </a:pPr>
                <a:endParaRPr lang="en-US"/>
              </a:p>
            </c:txPr>
            <c:dLblPos val="ct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val>
            <c:numRef>
              <c:f>'Revenue required'!$E$146:$F$146</c:f>
            </c:numRef>
          </c:val>
          <c:extLst>
            <c:ext xmlns:c15="http://schemas.microsoft.com/office/drawing/2012/chart" uri="{02D57815-91ED-43cb-92C2-25804820EDAC}">
              <c15:filteredCategoryTitle>
                <c15:cat>
                  <c:multiLvlStrRef>
                    <c:extLst>
                      <c:ext uri="{02D57815-91ED-43cb-92C2-25804820EDAC}">
                        <c15:formulaRef>
                          <c15:sqref>'Revenue required'!$E$143:$F$143</c15:sqref>
                        </c15:formulaRef>
                      </c:ext>
                    </c:extLst>
                  </c:multiLvlStrRef>
                </c15:cat>
              </c15:filteredCategoryTitle>
            </c:ext>
            <c:ext xmlns:c16="http://schemas.microsoft.com/office/drawing/2014/chart" uri="{C3380CC4-5D6E-409C-BE32-E72D297353CC}">
              <c16:uniqueId val="{00000002-3F2E-427F-9CC6-5A77AA97B4C9}"/>
            </c:ext>
          </c:extLst>
        </c:ser>
        <c:ser>
          <c:idx val="4"/>
          <c:order val="3"/>
          <c:tx>
            <c:strRef>
              <c:f>'Revenue required'!$D$147</c:f>
              <c:strCache>
                <c:ptCount val="1"/>
              </c:strCache>
            </c:strRef>
          </c:tx>
          <c:spPr>
            <a:solidFill>
              <a:schemeClr val="accent3">
                <a:lumMod val="75000"/>
              </a:schemeClr>
            </a:solidFill>
            <a:ln>
              <a:solidFill>
                <a:schemeClr val="accent3">
                  <a:lumMod val="75000"/>
                </a:schemeClr>
              </a:solidFill>
            </a:ln>
            <a:effectLst/>
          </c:spPr>
          <c:invertIfNegative val="0"/>
          <c:dLbls>
            <c:spPr>
              <a:noFill/>
              <a:ln w="25400">
                <a:noFill/>
              </a:ln>
            </c:spPr>
            <c:txPr>
              <a:bodyPr wrap="square" lIns="38100" tIns="19050" rIns="38100" bIns="19050" anchor="ctr">
                <a:spAutoFit/>
              </a:bodyPr>
              <a:lstStyle/>
              <a:p>
                <a:pPr>
                  <a:defRPr sz="1100" b="0" i="0" u="none" strike="noStrike" baseline="0">
                    <a:solidFill>
                      <a:srgbClr val="333333"/>
                    </a:solidFill>
                    <a:latin typeface="Calibri"/>
                    <a:ea typeface="Calibri"/>
                    <a:cs typeface="Calibri"/>
                  </a:defRPr>
                </a:pPr>
                <a:endParaRPr lang="en-US"/>
              </a:p>
            </c:txPr>
            <c:dLblPos val="ct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val>
            <c:numRef>
              <c:f>'Revenue required'!$E$147:$F$147</c:f>
            </c:numRef>
          </c:val>
          <c:extLst>
            <c:ext xmlns:c15="http://schemas.microsoft.com/office/drawing/2012/chart" uri="{02D57815-91ED-43cb-92C2-25804820EDAC}">
              <c15:filteredCategoryTitle>
                <c15:cat>
                  <c:multiLvlStrRef>
                    <c:extLst>
                      <c:ext uri="{02D57815-91ED-43cb-92C2-25804820EDAC}">
                        <c15:formulaRef>
                          <c15:sqref>'Revenue required'!$E$143:$F$143</c15:sqref>
                        </c15:formulaRef>
                      </c:ext>
                    </c:extLst>
                  </c:multiLvlStrRef>
                </c15:cat>
              </c15:filteredCategoryTitle>
            </c:ext>
            <c:ext xmlns:c16="http://schemas.microsoft.com/office/drawing/2014/chart" uri="{C3380CC4-5D6E-409C-BE32-E72D297353CC}">
              <c16:uniqueId val="{00000003-3F2E-427F-9CC6-5A77AA97B4C9}"/>
            </c:ext>
          </c:extLst>
        </c:ser>
        <c:ser>
          <c:idx val="5"/>
          <c:order val="4"/>
          <c:tx>
            <c:strRef>
              <c:f>'Revenue required'!$D$148</c:f>
              <c:strCache>
                <c:ptCount val="1"/>
                <c:pt idx="0">
                  <c:v>Non-tariff revenue</c:v>
                </c:pt>
              </c:strCache>
            </c:strRef>
          </c:tx>
          <c:spPr>
            <a:solidFill>
              <a:schemeClr val="accent3"/>
            </a:solidFill>
            <a:ln>
              <a:solidFill>
                <a:schemeClr val="accent3"/>
              </a:solidFill>
            </a:ln>
            <a:effectLst/>
          </c:spPr>
          <c:invertIfNegative val="0"/>
          <c:dLbls>
            <c:spPr>
              <a:noFill/>
              <a:ln w="25400">
                <a:noFill/>
              </a:ln>
            </c:spPr>
            <c:txPr>
              <a:bodyPr wrap="square" lIns="38100" tIns="19050" rIns="38100" bIns="19050" anchor="ctr">
                <a:spAutoFit/>
              </a:bodyPr>
              <a:lstStyle/>
              <a:p>
                <a:pPr>
                  <a:defRPr sz="1100" b="0" i="0" u="none" strike="noStrike" baseline="0">
                    <a:solidFill>
                      <a:srgbClr val="333333"/>
                    </a:solidFill>
                    <a:latin typeface="Calibri"/>
                    <a:ea typeface="Calibri"/>
                    <a:cs typeface="Calibri"/>
                  </a:defRPr>
                </a:pPr>
                <a:endParaRPr lang="en-US"/>
              </a:p>
            </c:txPr>
            <c:dLblPos val="ct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val>
            <c:numRef>
              <c:f>'Revenue required'!$E$148:$F$148</c:f>
            </c:numRef>
          </c:val>
          <c:extLst>
            <c:ext xmlns:c15="http://schemas.microsoft.com/office/drawing/2012/chart" uri="{02D57815-91ED-43cb-92C2-25804820EDAC}">
              <c15:filteredCategoryTitle>
                <c15:cat>
                  <c:multiLvlStrRef>
                    <c:extLst>
                      <c:ext uri="{02D57815-91ED-43cb-92C2-25804820EDAC}">
                        <c15:formulaRef>
                          <c15:sqref>'Revenue required'!$E$143:$F$143</c15:sqref>
                        </c15:formulaRef>
                      </c:ext>
                    </c:extLst>
                  </c:multiLvlStrRef>
                </c15:cat>
              </c15:filteredCategoryTitle>
            </c:ext>
            <c:ext xmlns:c16="http://schemas.microsoft.com/office/drawing/2014/chart" uri="{C3380CC4-5D6E-409C-BE32-E72D297353CC}">
              <c16:uniqueId val="{00000004-3F2E-427F-9CC6-5A77AA97B4C9}"/>
            </c:ext>
          </c:extLst>
        </c:ser>
        <c:ser>
          <c:idx val="3"/>
          <c:order val="5"/>
          <c:tx>
            <c:strRef>
              <c:f>'Revenue required'!$D$149</c:f>
              <c:strCache>
                <c:ptCount val="1"/>
                <c:pt idx="0">
                  <c:v>Deficit</c:v>
                </c:pt>
              </c:strCache>
            </c:strRef>
          </c:tx>
          <c:spPr>
            <a:solidFill>
              <a:schemeClr val="accent2"/>
            </a:solidFill>
            <a:ln>
              <a:solidFill>
                <a:schemeClr val="accent2"/>
              </a:solidFill>
            </a:ln>
            <a:effectLst/>
          </c:spPr>
          <c:invertIfNegative val="0"/>
          <c:dLbls>
            <c:spPr>
              <a:noFill/>
              <a:ln w="25400">
                <a:noFill/>
              </a:ln>
            </c:spPr>
            <c:txPr>
              <a:bodyPr wrap="square" lIns="38100" tIns="19050" rIns="38100" bIns="19050" anchor="ctr">
                <a:spAutoFit/>
              </a:bodyPr>
              <a:lstStyle/>
              <a:p>
                <a:pPr>
                  <a:defRPr sz="1100" b="0" i="0" u="none" strike="noStrike" baseline="0">
                    <a:solidFill>
                      <a:srgbClr val="333333"/>
                    </a:solidFill>
                    <a:latin typeface="Calibri"/>
                    <a:ea typeface="Calibri"/>
                    <a:cs typeface="Calibri"/>
                  </a:defRPr>
                </a:pPr>
                <a:endParaRPr lang="en-US"/>
              </a:p>
            </c:txPr>
            <c:dLblPos val="ct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val>
            <c:numRef>
              <c:f>'Revenue required'!$E$149:$F$149</c:f>
            </c:numRef>
          </c:val>
          <c:extLst>
            <c:ext xmlns:c15="http://schemas.microsoft.com/office/drawing/2012/chart" uri="{02D57815-91ED-43cb-92C2-25804820EDAC}">
              <c15:filteredCategoryTitle>
                <c15:cat>
                  <c:multiLvlStrRef>
                    <c:extLst>
                      <c:ext uri="{02D57815-91ED-43cb-92C2-25804820EDAC}">
                        <c15:formulaRef>
                          <c15:sqref>'Revenue required'!$E$143:$F$143</c15:sqref>
                        </c15:formulaRef>
                      </c:ext>
                    </c:extLst>
                  </c:multiLvlStrRef>
                </c15:cat>
              </c15:filteredCategoryTitle>
            </c:ext>
            <c:ext xmlns:c16="http://schemas.microsoft.com/office/drawing/2014/chart" uri="{C3380CC4-5D6E-409C-BE32-E72D297353CC}">
              <c16:uniqueId val="{00000005-3F2E-427F-9CC6-5A77AA97B4C9}"/>
            </c:ext>
          </c:extLst>
        </c:ser>
        <c:dLbls>
          <c:showLegendKey val="0"/>
          <c:showVal val="0"/>
          <c:showCatName val="0"/>
          <c:showSerName val="0"/>
          <c:showPercent val="0"/>
          <c:showBubbleSize val="0"/>
        </c:dLbls>
        <c:gapWidth val="25"/>
        <c:overlap val="100"/>
        <c:axId val="1350439919"/>
        <c:axId val="1"/>
      </c:barChart>
      <c:catAx>
        <c:axId val="1350439919"/>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0" vert="horz"/>
          <a:lstStyle/>
          <a:p>
            <a:pPr>
              <a:defRPr sz="1100" b="0" i="0" u="none" strike="noStrike" baseline="0">
                <a:solidFill>
                  <a:srgbClr val="333333"/>
                </a:solidFill>
                <a:latin typeface="Calibri"/>
                <a:ea typeface="Calibri"/>
                <a:cs typeface="Calibri"/>
              </a:defRPr>
            </a:pPr>
            <a:endParaRPr lang="en-US"/>
          </a:p>
        </c:txPr>
        <c:crossAx val="1"/>
        <c:crosses val="autoZero"/>
        <c:auto val="1"/>
        <c:lblAlgn val="ctr"/>
        <c:lblOffset val="100"/>
        <c:noMultiLvlLbl val="0"/>
      </c:catAx>
      <c:valAx>
        <c:axId val="1"/>
        <c:scaling>
          <c:orientation val="minMax"/>
        </c:scaling>
        <c:delete val="1"/>
        <c:axPos val="l"/>
        <c:majorGridlines>
          <c:spPr>
            <a:ln w="9525" cap="flat" cmpd="sng" algn="ctr">
              <a:solidFill>
                <a:schemeClr val="tx1">
                  <a:lumMod val="15000"/>
                  <a:lumOff val="85000"/>
                </a:schemeClr>
              </a:solidFill>
              <a:round/>
            </a:ln>
            <a:effectLst/>
          </c:spPr>
        </c:majorGridlines>
        <c:numFmt formatCode="_-* #\ ##0_-;\-* #\ ##0_-;_-* &quot;-&quot;??_-;_-@_-" sourceLinked="1"/>
        <c:majorTickMark val="out"/>
        <c:minorTickMark val="none"/>
        <c:tickLblPos val="nextTo"/>
        <c:crossAx val="1350439919"/>
        <c:crosses val="autoZero"/>
        <c:crossBetween val="between"/>
      </c:valAx>
    </c:plotArea>
    <c:plotVisOnly val="1"/>
    <c:dispBlanksAs val="gap"/>
    <c:showDLblsOverMax val="0"/>
  </c:chart>
  <c:spPr>
    <a:solidFill>
      <a:schemeClr val="bg1"/>
    </a:solidFill>
    <a:ln w="9525" cap="flat" cmpd="sng" algn="ctr">
      <a:noFill/>
      <a:round/>
    </a:ln>
    <a:effectLst/>
  </c:spPr>
  <c:txPr>
    <a:bodyPr/>
    <a:lstStyle/>
    <a:p>
      <a:pPr>
        <a:defRPr sz="11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charts/chart1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320" b="0" i="0" u="none" strike="noStrike" baseline="0">
                <a:solidFill>
                  <a:srgbClr val="333333"/>
                </a:solidFill>
                <a:latin typeface="Calibri"/>
                <a:ea typeface="Calibri"/>
                <a:cs typeface="Calibri"/>
              </a:defRPr>
            </a:pPr>
            <a:r>
              <a:rPr lang="en-ZA"/>
              <a:t>Budget funding: 'other' services: R'000</a:t>
            </a:r>
          </a:p>
        </c:rich>
      </c:tx>
      <c:layout>
        <c:manualLayout>
          <c:xMode val="edge"/>
          <c:yMode val="edge"/>
          <c:x val="6.4499707320757563E-2"/>
          <c:y val="3.2407487525597758E-2"/>
        </c:manualLayout>
      </c:layout>
      <c:overlay val="0"/>
      <c:spPr>
        <a:noFill/>
        <a:ln w="25400">
          <a:noFill/>
        </a:ln>
      </c:spPr>
    </c:title>
    <c:autoTitleDeleted val="0"/>
    <c:plotArea>
      <c:layout/>
      <c:barChart>
        <c:barDir val="col"/>
        <c:grouping val="stacked"/>
        <c:varyColors val="0"/>
        <c:ser>
          <c:idx val="0"/>
          <c:order val="0"/>
          <c:tx>
            <c:strRef>
              <c:f>'Revenue required'!$D$144</c:f>
              <c:strCache>
                <c:ptCount val="1"/>
                <c:pt idx="0">
                  <c:v>Direct cost</c:v>
                </c:pt>
              </c:strCache>
            </c:strRef>
          </c:tx>
          <c:spPr>
            <a:solidFill>
              <a:schemeClr val="accent5"/>
            </a:solidFill>
            <a:ln>
              <a:solidFill>
                <a:schemeClr val="accent5"/>
              </a:solidFill>
            </a:ln>
            <a:effectLst/>
          </c:spPr>
          <c:invertIfNegative val="0"/>
          <c:dLbls>
            <c:spPr>
              <a:noFill/>
              <a:ln w="25400">
                <a:noFill/>
              </a:ln>
            </c:spPr>
            <c:txPr>
              <a:bodyPr wrap="square" lIns="38100" tIns="19050" rIns="38100" bIns="19050" anchor="ctr">
                <a:spAutoFit/>
              </a:bodyPr>
              <a:lstStyle/>
              <a:p>
                <a:pPr>
                  <a:defRPr sz="1100" b="0" i="0" u="none" strike="noStrike" baseline="0">
                    <a:solidFill>
                      <a:srgbClr val="333333"/>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'Revenue required'!$E$144:$F$144</c:f>
            </c:numRef>
          </c:val>
          <c:extLst>
            <c:ext xmlns:c15="http://schemas.microsoft.com/office/drawing/2012/chart" uri="{02D57815-91ED-43cb-92C2-25804820EDAC}">
              <c15:filteredCategoryTitle>
                <c15:cat>
                  <c:multiLvlStrRef>
                    <c:extLst>
                      <c:ext uri="{02D57815-91ED-43cb-92C2-25804820EDAC}">
                        <c15:formulaRef>
                          <c15:sqref>'Revenue required'!$E$143:$F$143</c15:sqref>
                        </c15:formulaRef>
                      </c:ext>
                    </c:extLst>
                  </c:multiLvlStrRef>
                </c15:cat>
              </c15:filteredCategoryTitle>
            </c:ext>
            <c:ext xmlns:c16="http://schemas.microsoft.com/office/drawing/2014/chart" uri="{C3380CC4-5D6E-409C-BE32-E72D297353CC}">
              <c16:uniqueId val="{00000000-B411-453D-90B4-47D8FA8207B6}"/>
            </c:ext>
          </c:extLst>
        </c:ser>
        <c:ser>
          <c:idx val="1"/>
          <c:order val="1"/>
          <c:tx>
            <c:strRef>
              <c:f>'Revenue required'!$D$145</c:f>
              <c:strCache>
                <c:ptCount val="1"/>
                <c:pt idx="0">
                  <c:v>Indirect cost</c:v>
                </c:pt>
              </c:strCache>
            </c:strRef>
          </c:tx>
          <c:spPr>
            <a:solidFill>
              <a:schemeClr val="accent5">
                <a:lumMod val="60000"/>
                <a:lumOff val="40000"/>
              </a:schemeClr>
            </a:solidFill>
            <a:ln>
              <a:solidFill>
                <a:schemeClr val="accent5">
                  <a:lumMod val="60000"/>
                  <a:lumOff val="40000"/>
                </a:schemeClr>
              </a:solidFill>
            </a:ln>
            <a:effectLst/>
          </c:spPr>
          <c:invertIfNegative val="0"/>
          <c:dLbls>
            <c:spPr>
              <a:noFill/>
              <a:ln w="25400">
                <a:noFill/>
              </a:ln>
            </c:spPr>
            <c:txPr>
              <a:bodyPr wrap="square" lIns="38100" tIns="19050" rIns="38100" bIns="19050" anchor="ctr">
                <a:spAutoFit/>
              </a:bodyPr>
              <a:lstStyle/>
              <a:p>
                <a:pPr>
                  <a:defRPr sz="1100" b="0" i="0" u="none" strike="noStrike" baseline="0">
                    <a:solidFill>
                      <a:srgbClr val="333333"/>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'Revenue required'!$E$145:$F$145</c:f>
            </c:numRef>
          </c:val>
          <c:extLst>
            <c:ext xmlns:c15="http://schemas.microsoft.com/office/drawing/2012/chart" uri="{02D57815-91ED-43cb-92C2-25804820EDAC}">
              <c15:filteredCategoryTitle>
                <c15:cat>
                  <c:multiLvlStrRef>
                    <c:extLst>
                      <c:ext uri="{02D57815-91ED-43cb-92C2-25804820EDAC}">
                        <c15:formulaRef>
                          <c15:sqref>'Revenue required'!$E$143:$F$143</c15:sqref>
                        </c15:formulaRef>
                      </c:ext>
                    </c:extLst>
                  </c:multiLvlStrRef>
                </c15:cat>
              </c15:filteredCategoryTitle>
            </c:ext>
            <c:ext xmlns:c16="http://schemas.microsoft.com/office/drawing/2014/chart" uri="{C3380CC4-5D6E-409C-BE32-E72D297353CC}">
              <c16:uniqueId val="{00000001-B411-453D-90B4-47D8FA8207B6}"/>
            </c:ext>
          </c:extLst>
        </c:ser>
        <c:ser>
          <c:idx val="2"/>
          <c:order val="2"/>
          <c:tx>
            <c:strRef>
              <c:f>'Revenue required'!$D$146</c:f>
              <c:strCache>
                <c:ptCount val="1"/>
              </c:strCache>
            </c:strRef>
          </c:tx>
          <c:spPr>
            <a:solidFill>
              <a:schemeClr val="accent6"/>
            </a:solidFill>
            <a:ln>
              <a:solidFill>
                <a:schemeClr val="accent6"/>
              </a:solidFill>
            </a:ln>
            <a:effectLst/>
          </c:spPr>
          <c:invertIfNegative val="0"/>
          <c:dLbls>
            <c:spPr>
              <a:noFill/>
              <a:ln w="25400">
                <a:noFill/>
              </a:ln>
            </c:spPr>
            <c:txPr>
              <a:bodyPr wrap="square" lIns="38100" tIns="19050" rIns="38100" bIns="19050" anchor="ctr">
                <a:spAutoFit/>
              </a:bodyPr>
              <a:lstStyle/>
              <a:p>
                <a:pPr>
                  <a:defRPr sz="1100" b="0" i="0" u="none" strike="noStrike" baseline="0">
                    <a:solidFill>
                      <a:srgbClr val="333333"/>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'Revenue required'!$E$146:$F$146</c:f>
            </c:numRef>
          </c:val>
          <c:extLst>
            <c:ext xmlns:c15="http://schemas.microsoft.com/office/drawing/2012/chart" uri="{02D57815-91ED-43cb-92C2-25804820EDAC}">
              <c15:filteredCategoryTitle>
                <c15:cat>
                  <c:multiLvlStrRef>
                    <c:extLst>
                      <c:ext uri="{02D57815-91ED-43cb-92C2-25804820EDAC}">
                        <c15:formulaRef>
                          <c15:sqref>'Revenue required'!$E$143:$F$143</c15:sqref>
                        </c15:formulaRef>
                      </c:ext>
                    </c:extLst>
                  </c:multiLvlStrRef>
                </c15:cat>
              </c15:filteredCategoryTitle>
            </c:ext>
            <c:ext xmlns:c16="http://schemas.microsoft.com/office/drawing/2014/chart" uri="{C3380CC4-5D6E-409C-BE32-E72D297353CC}">
              <c16:uniqueId val="{00000002-B411-453D-90B4-47D8FA8207B6}"/>
            </c:ext>
          </c:extLst>
        </c:ser>
        <c:ser>
          <c:idx val="4"/>
          <c:order val="3"/>
          <c:tx>
            <c:strRef>
              <c:f>'Revenue required'!$D$147</c:f>
              <c:strCache>
                <c:ptCount val="1"/>
              </c:strCache>
            </c:strRef>
          </c:tx>
          <c:spPr>
            <a:solidFill>
              <a:schemeClr val="accent3">
                <a:lumMod val="75000"/>
              </a:schemeClr>
            </a:solidFill>
            <a:ln>
              <a:solidFill>
                <a:schemeClr val="accent3">
                  <a:lumMod val="75000"/>
                </a:schemeClr>
              </a:solidFill>
            </a:ln>
            <a:effectLst/>
          </c:spPr>
          <c:invertIfNegative val="0"/>
          <c:dLbls>
            <c:spPr>
              <a:noFill/>
              <a:ln w="25400">
                <a:noFill/>
              </a:ln>
            </c:spPr>
            <c:txPr>
              <a:bodyPr wrap="square" lIns="38100" tIns="19050" rIns="38100" bIns="19050" anchor="ctr">
                <a:spAutoFit/>
              </a:bodyPr>
              <a:lstStyle/>
              <a:p>
                <a:pPr>
                  <a:defRPr sz="1100" b="0" i="0" u="none" strike="noStrike" baseline="0">
                    <a:solidFill>
                      <a:srgbClr val="333333"/>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'Revenue required'!$E$147:$F$147</c:f>
            </c:numRef>
          </c:val>
          <c:extLst>
            <c:ext xmlns:c15="http://schemas.microsoft.com/office/drawing/2012/chart" uri="{02D57815-91ED-43cb-92C2-25804820EDAC}">
              <c15:filteredCategoryTitle>
                <c15:cat>
                  <c:multiLvlStrRef>
                    <c:extLst>
                      <c:ext uri="{02D57815-91ED-43cb-92C2-25804820EDAC}">
                        <c15:formulaRef>
                          <c15:sqref>'Revenue required'!$E$143:$F$143</c15:sqref>
                        </c15:formulaRef>
                      </c:ext>
                    </c:extLst>
                  </c:multiLvlStrRef>
                </c15:cat>
              </c15:filteredCategoryTitle>
            </c:ext>
            <c:ext xmlns:c16="http://schemas.microsoft.com/office/drawing/2014/chart" uri="{C3380CC4-5D6E-409C-BE32-E72D297353CC}">
              <c16:uniqueId val="{00000003-B411-453D-90B4-47D8FA8207B6}"/>
            </c:ext>
          </c:extLst>
        </c:ser>
        <c:ser>
          <c:idx val="5"/>
          <c:order val="4"/>
          <c:tx>
            <c:strRef>
              <c:f>'Revenue required'!$D$148</c:f>
              <c:strCache>
                <c:ptCount val="1"/>
                <c:pt idx="0">
                  <c:v>Non-tariff revenue</c:v>
                </c:pt>
              </c:strCache>
            </c:strRef>
          </c:tx>
          <c:spPr>
            <a:solidFill>
              <a:schemeClr val="accent3"/>
            </a:solidFill>
            <a:ln>
              <a:solidFill>
                <a:schemeClr val="accent3"/>
              </a:solidFill>
            </a:ln>
            <a:effectLst/>
          </c:spPr>
          <c:invertIfNegative val="0"/>
          <c:dLbls>
            <c:spPr>
              <a:noFill/>
              <a:ln w="25400">
                <a:noFill/>
              </a:ln>
            </c:spPr>
            <c:txPr>
              <a:bodyPr wrap="square" lIns="38100" tIns="19050" rIns="38100" bIns="19050" anchor="ctr">
                <a:spAutoFit/>
              </a:bodyPr>
              <a:lstStyle/>
              <a:p>
                <a:pPr>
                  <a:defRPr sz="1100" b="0" i="0" u="none" strike="noStrike" baseline="0">
                    <a:solidFill>
                      <a:srgbClr val="333333"/>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'Revenue required'!$E$148:$F$148</c:f>
            </c:numRef>
          </c:val>
          <c:extLst>
            <c:ext xmlns:c15="http://schemas.microsoft.com/office/drawing/2012/chart" uri="{02D57815-91ED-43cb-92C2-25804820EDAC}">
              <c15:filteredCategoryTitle>
                <c15:cat>
                  <c:multiLvlStrRef>
                    <c:extLst>
                      <c:ext uri="{02D57815-91ED-43cb-92C2-25804820EDAC}">
                        <c15:formulaRef>
                          <c15:sqref>'Revenue required'!$E$143:$F$143</c15:sqref>
                        </c15:formulaRef>
                      </c:ext>
                    </c:extLst>
                  </c:multiLvlStrRef>
                </c15:cat>
              </c15:filteredCategoryTitle>
            </c:ext>
            <c:ext xmlns:c16="http://schemas.microsoft.com/office/drawing/2014/chart" uri="{C3380CC4-5D6E-409C-BE32-E72D297353CC}">
              <c16:uniqueId val="{00000004-B411-453D-90B4-47D8FA8207B6}"/>
            </c:ext>
          </c:extLst>
        </c:ser>
        <c:ser>
          <c:idx val="3"/>
          <c:order val="5"/>
          <c:tx>
            <c:strRef>
              <c:f>'Revenue required'!$D$149</c:f>
              <c:strCache>
                <c:ptCount val="1"/>
                <c:pt idx="0">
                  <c:v>Deficit</c:v>
                </c:pt>
              </c:strCache>
            </c:strRef>
          </c:tx>
          <c:spPr>
            <a:solidFill>
              <a:schemeClr val="accent2"/>
            </a:solidFill>
            <a:ln>
              <a:solidFill>
                <a:schemeClr val="accent2"/>
              </a:solidFill>
            </a:ln>
            <a:effectLst/>
          </c:spPr>
          <c:invertIfNegative val="0"/>
          <c:dLbls>
            <c:spPr>
              <a:noFill/>
              <a:ln w="25400">
                <a:noFill/>
              </a:ln>
            </c:spPr>
            <c:txPr>
              <a:bodyPr wrap="square" lIns="38100" tIns="19050" rIns="38100" bIns="19050" anchor="ctr">
                <a:spAutoFit/>
              </a:bodyPr>
              <a:lstStyle/>
              <a:p>
                <a:pPr>
                  <a:defRPr sz="1100" b="0" i="0" u="none" strike="noStrike" baseline="0">
                    <a:solidFill>
                      <a:srgbClr val="333333"/>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'Revenue required'!$E$149:$F$149</c:f>
            </c:numRef>
          </c:val>
          <c:extLst>
            <c:ext xmlns:c15="http://schemas.microsoft.com/office/drawing/2012/chart" uri="{02D57815-91ED-43cb-92C2-25804820EDAC}">
              <c15:filteredCategoryTitle>
                <c15:cat>
                  <c:multiLvlStrRef>
                    <c:extLst>
                      <c:ext uri="{02D57815-91ED-43cb-92C2-25804820EDAC}">
                        <c15:formulaRef>
                          <c15:sqref>'Revenue required'!$E$143:$F$143</c15:sqref>
                        </c15:formulaRef>
                      </c:ext>
                    </c:extLst>
                  </c:multiLvlStrRef>
                </c15:cat>
              </c15:filteredCategoryTitle>
            </c:ext>
            <c:ext xmlns:c16="http://schemas.microsoft.com/office/drawing/2014/chart" uri="{C3380CC4-5D6E-409C-BE32-E72D297353CC}">
              <c16:uniqueId val="{00000005-B411-453D-90B4-47D8FA8207B6}"/>
            </c:ext>
          </c:extLst>
        </c:ser>
        <c:dLbls>
          <c:showLegendKey val="0"/>
          <c:showVal val="0"/>
          <c:showCatName val="0"/>
          <c:showSerName val="0"/>
          <c:showPercent val="0"/>
          <c:showBubbleSize val="0"/>
        </c:dLbls>
        <c:gapWidth val="25"/>
        <c:overlap val="100"/>
        <c:axId val="1350465359"/>
        <c:axId val="1"/>
      </c:barChart>
      <c:catAx>
        <c:axId val="1350465359"/>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0" vert="horz"/>
          <a:lstStyle/>
          <a:p>
            <a:pPr>
              <a:defRPr sz="1100" b="0" i="0" u="none" strike="noStrike" baseline="0">
                <a:solidFill>
                  <a:srgbClr val="333333"/>
                </a:solidFill>
                <a:latin typeface="Calibri"/>
                <a:ea typeface="Calibri"/>
                <a:cs typeface="Calibri"/>
              </a:defRPr>
            </a:pPr>
            <a:endParaRPr lang="en-US"/>
          </a:p>
        </c:txPr>
        <c:crossAx val="1"/>
        <c:crosses val="autoZero"/>
        <c:auto val="1"/>
        <c:lblAlgn val="ctr"/>
        <c:lblOffset val="100"/>
        <c:noMultiLvlLbl val="0"/>
      </c:catAx>
      <c:valAx>
        <c:axId val="1"/>
        <c:scaling>
          <c:orientation val="minMax"/>
        </c:scaling>
        <c:delete val="1"/>
        <c:axPos val="l"/>
        <c:majorGridlines>
          <c:spPr>
            <a:ln w="9525" cap="flat" cmpd="sng" algn="ctr">
              <a:solidFill>
                <a:schemeClr val="tx1">
                  <a:lumMod val="15000"/>
                  <a:lumOff val="85000"/>
                </a:schemeClr>
              </a:solidFill>
              <a:round/>
            </a:ln>
            <a:effectLst/>
          </c:spPr>
        </c:majorGridlines>
        <c:numFmt formatCode="_-* #\ ##0_-;\-* #\ ##0_-;_-* &quot;-&quot;??_-;_-@_-" sourceLinked="1"/>
        <c:majorTickMark val="out"/>
        <c:minorTickMark val="none"/>
        <c:tickLblPos val="nextTo"/>
        <c:crossAx val="1350465359"/>
        <c:crosses val="autoZero"/>
        <c:crossBetween val="between"/>
      </c:valAx>
    </c:plotArea>
    <c:plotVisOnly val="1"/>
    <c:dispBlanksAs val="gap"/>
    <c:showDLblsOverMax val="0"/>
  </c:chart>
  <c:spPr>
    <a:solidFill>
      <a:schemeClr val="bg1"/>
    </a:solidFill>
    <a:ln w="9525" cap="flat" cmpd="sng" algn="ctr">
      <a:noFill/>
      <a:round/>
    </a:ln>
    <a:effectLst/>
  </c:spPr>
  <c:txPr>
    <a:bodyPr/>
    <a:lstStyle/>
    <a:p>
      <a:pPr>
        <a:defRPr sz="11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charts/chart1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320" b="0" i="0" u="none" strike="noStrike" baseline="0">
                <a:solidFill>
                  <a:srgbClr val="333333"/>
                </a:solidFill>
                <a:latin typeface="Calibri"/>
                <a:ea typeface="Calibri"/>
                <a:cs typeface="Calibri"/>
              </a:defRPr>
            </a:pPr>
            <a:r>
              <a:rPr lang="en-ZA"/>
              <a:t>Budget funding: 'other' services: %s</a:t>
            </a:r>
          </a:p>
        </c:rich>
      </c:tx>
      <c:layout>
        <c:manualLayout>
          <c:xMode val="edge"/>
          <c:yMode val="edge"/>
          <c:x val="3.5577825499085343E-2"/>
          <c:y val="5.0906329016565235E-2"/>
        </c:manualLayout>
      </c:layout>
      <c:overlay val="0"/>
      <c:spPr>
        <a:noFill/>
        <a:ln w="25400">
          <a:noFill/>
        </a:ln>
      </c:spPr>
    </c:title>
    <c:autoTitleDeleted val="0"/>
    <c:plotArea>
      <c:layout/>
      <c:barChart>
        <c:barDir val="col"/>
        <c:grouping val="percentStacked"/>
        <c:varyColors val="0"/>
        <c:ser>
          <c:idx val="0"/>
          <c:order val="0"/>
          <c:tx>
            <c:strRef>
              <c:f>'Revenue required'!$G$144</c:f>
              <c:strCache>
                <c:ptCount val="1"/>
                <c:pt idx="0">
                  <c:v>Direct cost</c:v>
                </c:pt>
              </c:strCache>
            </c:strRef>
          </c:tx>
          <c:spPr>
            <a:solidFill>
              <a:schemeClr val="accent5"/>
            </a:solidFill>
            <a:ln>
              <a:solidFill>
                <a:schemeClr val="accent5"/>
              </a:solidFill>
            </a:ln>
            <a:effectLst/>
          </c:spPr>
          <c:invertIfNegative val="0"/>
          <c:dLbls>
            <c:spPr>
              <a:noFill/>
              <a:ln w="25400">
                <a:noFill/>
              </a:ln>
            </c:spPr>
            <c:txPr>
              <a:bodyPr wrap="square" lIns="38100" tIns="19050" rIns="38100" bIns="19050" anchor="ctr">
                <a:spAutoFit/>
              </a:bodyPr>
              <a:lstStyle/>
              <a:p>
                <a:pPr>
                  <a:defRPr sz="1100" b="0" i="0" u="none" strike="noStrike" baseline="0">
                    <a:solidFill>
                      <a:srgbClr val="333333"/>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'Revenue required'!$H$144:$I$144</c:f>
            </c:numRef>
          </c:val>
          <c:extLst>
            <c:ext xmlns:c15="http://schemas.microsoft.com/office/drawing/2012/chart" uri="{02D57815-91ED-43cb-92C2-25804820EDAC}">
              <c15:filteredCategoryTitle>
                <c15:cat>
                  <c:multiLvlStrRef>
                    <c:extLst>
                      <c:ext uri="{02D57815-91ED-43cb-92C2-25804820EDAC}">
                        <c15:formulaRef>
                          <c15:sqref>'Revenue required'!$H$143:$I$143</c15:sqref>
                        </c15:formulaRef>
                      </c:ext>
                    </c:extLst>
                  </c:multiLvlStrRef>
                </c15:cat>
              </c15:filteredCategoryTitle>
            </c:ext>
            <c:ext xmlns:c16="http://schemas.microsoft.com/office/drawing/2014/chart" uri="{C3380CC4-5D6E-409C-BE32-E72D297353CC}">
              <c16:uniqueId val="{00000000-DB72-462A-BD01-B39E413ECB4C}"/>
            </c:ext>
          </c:extLst>
        </c:ser>
        <c:ser>
          <c:idx val="1"/>
          <c:order val="1"/>
          <c:tx>
            <c:strRef>
              <c:f>'Revenue required'!$G$145</c:f>
              <c:strCache>
                <c:ptCount val="1"/>
                <c:pt idx="0">
                  <c:v>Indirect cost</c:v>
                </c:pt>
              </c:strCache>
            </c:strRef>
          </c:tx>
          <c:spPr>
            <a:solidFill>
              <a:schemeClr val="accent5">
                <a:lumMod val="60000"/>
                <a:lumOff val="40000"/>
              </a:schemeClr>
            </a:solidFill>
            <a:ln>
              <a:solidFill>
                <a:schemeClr val="accent5">
                  <a:lumMod val="60000"/>
                  <a:lumOff val="40000"/>
                </a:schemeClr>
              </a:solidFill>
            </a:ln>
            <a:effectLst/>
          </c:spPr>
          <c:invertIfNegative val="0"/>
          <c:dLbls>
            <c:spPr>
              <a:noFill/>
              <a:ln w="25400">
                <a:noFill/>
              </a:ln>
            </c:spPr>
            <c:txPr>
              <a:bodyPr wrap="square" lIns="38100" tIns="19050" rIns="38100" bIns="19050" anchor="ctr">
                <a:spAutoFit/>
              </a:bodyPr>
              <a:lstStyle/>
              <a:p>
                <a:pPr>
                  <a:defRPr sz="1100" b="0" i="0" u="none" strike="noStrike" baseline="0">
                    <a:solidFill>
                      <a:srgbClr val="333333"/>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'Revenue required'!$H$145:$I$145</c:f>
            </c:numRef>
          </c:val>
          <c:extLst>
            <c:ext xmlns:c15="http://schemas.microsoft.com/office/drawing/2012/chart" uri="{02D57815-91ED-43cb-92C2-25804820EDAC}">
              <c15:filteredCategoryTitle>
                <c15:cat>
                  <c:multiLvlStrRef>
                    <c:extLst>
                      <c:ext uri="{02D57815-91ED-43cb-92C2-25804820EDAC}">
                        <c15:formulaRef>
                          <c15:sqref>'Revenue required'!$H$143:$I$143</c15:sqref>
                        </c15:formulaRef>
                      </c:ext>
                    </c:extLst>
                  </c:multiLvlStrRef>
                </c15:cat>
              </c15:filteredCategoryTitle>
            </c:ext>
            <c:ext xmlns:c16="http://schemas.microsoft.com/office/drawing/2014/chart" uri="{C3380CC4-5D6E-409C-BE32-E72D297353CC}">
              <c16:uniqueId val="{00000001-DB72-462A-BD01-B39E413ECB4C}"/>
            </c:ext>
          </c:extLst>
        </c:ser>
        <c:ser>
          <c:idx val="2"/>
          <c:order val="2"/>
          <c:tx>
            <c:strRef>
              <c:f>'Revenue required'!$G$146</c:f>
              <c:strCache>
                <c:ptCount val="1"/>
              </c:strCache>
            </c:strRef>
          </c:tx>
          <c:spPr>
            <a:solidFill>
              <a:schemeClr val="accent6"/>
            </a:solidFill>
            <a:ln>
              <a:solidFill>
                <a:schemeClr val="accent6"/>
              </a:solidFill>
            </a:ln>
            <a:effectLst/>
          </c:spPr>
          <c:invertIfNegative val="0"/>
          <c:dLbls>
            <c:spPr>
              <a:noFill/>
              <a:ln w="25400">
                <a:noFill/>
              </a:ln>
            </c:spPr>
            <c:txPr>
              <a:bodyPr wrap="square" lIns="38100" tIns="19050" rIns="38100" bIns="19050" anchor="ctr">
                <a:spAutoFit/>
              </a:bodyPr>
              <a:lstStyle/>
              <a:p>
                <a:pPr>
                  <a:defRPr sz="1100" b="0" i="0" u="none" strike="noStrike" baseline="0">
                    <a:solidFill>
                      <a:srgbClr val="333333"/>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'Revenue required'!$H$146:$I$146</c:f>
            </c:numRef>
          </c:val>
          <c:extLst>
            <c:ext xmlns:c15="http://schemas.microsoft.com/office/drawing/2012/chart" uri="{02D57815-91ED-43cb-92C2-25804820EDAC}">
              <c15:filteredCategoryTitle>
                <c15:cat>
                  <c:multiLvlStrRef>
                    <c:extLst>
                      <c:ext uri="{02D57815-91ED-43cb-92C2-25804820EDAC}">
                        <c15:formulaRef>
                          <c15:sqref>'Revenue required'!$H$143:$I$143</c15:sqref>
                        </c15:formulaRef>
                      </c:ext>
                    </c:extLst>
                  </c:multiLvlStrRef>
                </c15:cat>
              </c15:filteredCategoryTitle>
            </c:ext>
            <c:ext xmlns:c16="http://schemas.microsoft.com/office/drawing/2014/chart" uri="{C3380CC4-5D6E-409C-BE32-E72D297353CC}">
              <c16:uniqueId val="{00000002-DB72-462A-BD01-B39E413ECB4C}"/>
            </c:ext>
          </c:extLst>
        </c:ser>
        <c:ser>
          <c:idx val="4"/>
          <c:order val="3"/>
          <c:tx>
            <c:strRef>
              <c:f>'Revenue required'!$G$147</c:f>
              <c:strCache>
                <c:ptCount val="1"/>
              </c:strCache>
            </c:strRef>
          </c:tx>
          <c:spPr>
            <a:solidFill>
              <a:schemeClr val="accent3">
                <a:lumMod val="75000"/>
              </a:schemeClr>
            </a:solidFill>
            <a:ln>
              <a:solidFill>
                <a:schemeClr val="accent3">
                  <a:lumMod val="75000"/>
                </a:schemeClr>
              </a:solidFill>
            </a:ln>
            <a:effectLst/>
          </c:spPr>
          <c:invertIfNegative val="0"/>
          <c:dLbls>
            <c:spPr>
              <a:noFill/>
              <a:ln w="25400">
                <a:noFill/>
              </a:ln>
            </c:spPr>
            <c:txPr>
              <a:bodyPr wrap="square" lIns="38100" tIns="19050" rIns="38100" bIns="19050" anchor="ctr">
                <a:spAutoFit/>
              </a:bodyPr>
              <a:lstStyle/>
              <a:p>
                <a:pPr>
                  <a:defRPr sz="1100" b="0" i="0" u="none" strike="noStrike" baseline="0">
                    <a:solidFill>
                      <a:srgbClr val="333333"/>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'Revenue required'!$H$147:$I$147</c:f>
            </c:numRef>
          </c:val>
          <c:extLst>
            <c:ext xmlns:c15="http://schemas.microsoft.com/office/drawing/2012/chart" uri="{02D57815-91ED-43cb-92C2-25804820EDAC}">
              <c15:filteredCategoryTitle>
                <c15:cat>
                  <c:multiLvlStrRef>
                    <c:extLst>
                      <c:ext uri="{02D57815-91ED-43cb-92C2-25804820EDAC}">
                        <c15:formulaRef>
                          <c15:sqref>'Revenue required'!$H$143:$I$143</c15:sqref>
                        </c15:formulaRef>
                      </c:ext>
                    </c:extLst>
                  </c:multiLvlStrRef>
                </c15:cat>
              </c15:filteredCategoryTitle>
            </c:ext>
            <c:ext xmlns:c16="http://schemas.microsoft.com/office/drawing/2014/chart" uri="{C3380CC4-5D6E-409C-BE32-E72D297353CC}">
              <c16:uniqueId val="{00000003-DB72-462A-BD01-B39E413ECB4C}"/>
            </c:ext>
          </c:extLst>
        </c:ser>
        <c:ser>
          <c:idx val="5"/>
          <c:order val="4"/>
          <c:tx>
            <c:strRef>
              <c:f>'Revenue required'!$G$148</c:f>
              <c:strCache>
                <c:ptCount val="1"/>
                <c:pt idx="0">
                  <c:v>Non-tariff revenue</c:v>
                </c:pt>
              </c:strCache>
            </c:strRef>
          </c:tx>
          <c:spPr>
            <a:solidFill>
              <a:schemeClr val="accent3"/>
            </a:solidFill>
            <a:ln>
              <a:solidFill>
                <a:schemeClr val="accent3"/>
              </a:solidFill>
            </a:ln>
            <a:effectLst/>
          </c:spPr>
          <c:invertIfNegative val="0"/>
          <c:dLbls>
            <c:spPr>
              <a:noFill/>
              <a:ln w="25400">
                <a:noFill/>
              </a:ln>
            </c:spPr>
            <c:txPr>
              <a:bodyPr wrap="square" lIns="38100" tIns="19050" rIns="38100" bIns="19050" anchor="ctr">
                <a:spAutoFit/>
              </a:bodyPr>
              <a:lstStyle/>
              <a:p>
                <a:pPr>
                  <a:defRPr sz="1100" b="0" i="0" u="none" strike="noStrike" baseline="0">
                    <a:solidFill>
                      <a:srgbClr val="333333"/>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'Revenue required'!$H$148:$I$148</c:f>
            </c:numRef>
          </c:val>
          <c:extLst>
            <c:ext xmlns:c15="http://schemas.microsoft.com/office/drawing/2012/chart" uri="{02D57815-91ED-43cb-92C2-25804820EDAC}">
              <c15:filteredCategoryTitle>
                <c15:cat>
                  <c:multiLvlStrRef>
                    <c:extLst>
                      <c:ext uri="{02D57815-91ED-43cb-92C2-25804820EDAC}">
                        <c15:formulaRef>
                          <c15:sqref>'Revenue required'!$H$143:$I$143</c15:sqref>
                        </c15:formulaRef>
                      </c:ext>
                    </c:extLst>
                  </c:multiLvlStrRef>
                </c15:cat>
              </c15:filteredCategoryTitle>
            </c:ext>
            <c:ext xmlns:c16="http://schemas.microsoft.com/office/drawing/2014/chart" uri="{C3380CC4-5D6E-409C-BE32-E72D297353CC}">
              <c16:uniqueId val="{00000004-DB72-462A-BD01-B39E413ECB4C}"/>
            </c:ext>
          </c:extLst>
        </c:ser>
        <c:ser>
          <c:idx val="3"/>
          <c:order val="5"/>
          <c:tx>
            <c:strRef>
              <c:f>'Revenue required'!$G$149</c:f>
              <c:strCache>
                <c:ptCount val="1"/>
                <c:pt idx="0">
                  <c:v>Deficit</c:v>
                </c:pt>
              </c:strCache>
            </c:strRef>
          </c:tx>
          <c:spPr>
            <a:solidFill>
              <a:schemeClr val="accent2"/>
            </a:solidFill>
            <a:ln>
              <a:solidFill>
                <a:schemeClr val="accent2"/>
              </a:solidFill>
            </a:ln>
            <a:effectLst/>
          </c:spPr>
          <c:invertIfNegative val="0"/>
          <c:dLbls>
            <c:spPr>
              <a:noFill/>
              <a:ln w="25400">
                <a:noFill/>
              </a:ln>
            </c:spPr>
            <c:txPr>
              <a:bodyPr wrap="square" lIns="38100" tIns="19050" rIns="38100" bIns="19050" anchor="ctr">
                <a:spAutoFit/>
              </a:bodyPr>
              <a:lstStyle/>
              <a:p>
                <a:pPr>
                  <a:defRPr sz="1100" b="0" i="0" u="none" strike="noStrike" baseline="0">
                    <a:solidFill>
                      <a:srgbClr val="333333"/>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'Revenue required'!$H$149:$I$149</c:f>
            </c:numRef>
          </c:val>
          <c:extLst>
            <c:ext xmlns:c15="http://schemas.microsoft.com/office/drawing/2012/chart" uri="{02D57815-91ED-43cb-92C2-25804820EDAC}">
              <c15:filteredCategoryTitle>
                <c15:cat>
                  <c:multiLvlStrRef>
                    <c:extLst>
                      <c:ext uri="{02D57815-91ED-43cb-92C2-25804820EDAC}">
                        <c15:formulaRef>
                          <c15:sqref>'Revenue required'!$H$143:$I$143</c15:sqref>
                        </c15:formulaRef>
                      </c:ext>
                    </c:extLst>
                  </c:multiLvlStrRef>
                </c15:cat>
              </c15:filteredCategoryTitle>
            </c:ext>
            <c:ext xmlns:c16="http://schemas.microsoft.com/office/drawing/2014/chart" uri="{C3380CC4-5D6E-409C-BE32-E72D297353CC}">
              <c16:uniqueId val="{00000005-DB72-462A-BD01-B39E413ECB4C}"/>
            </c:ext>
          </c:extLst>
        </c:ser>
        <c:dLbls>
          <c:showLegendKey val="0"/>
          <c:showVal val="0"/>
          <c:showCatName val="0"/>
          <c:showSerName val="0"/>
          <c:showPercent val="0"/>
          <c:showBubbleSize val="0"/>
        </c:dLbls>
        <c:gapWidth val="25"/>
        <c:overlap val="100"/>
        <c:axId val="1350458159"/>
        <c:axId val="1"/>
      </c:barChart>
      <c:catAx>
        <c:axId val="1350458159"/>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0" vert="horz"/>
          <a:lstStyle/>
          <a:p>
            <a:pPr>
              <a:defRPr sz="1100" b="0" i="0" u="none" strike="noStrike" baseline="0">
                <a:solidFill>
                  <a:srgbClr val="333333"/>
                </a:solidFill>
                <a:latin typeface="Calibri"/>
                <a:ea typeface="Calibri"/>
                <a:cs typeface="Calibri"/>
              </a:defRPr>
            </a:pPr>
            <a:endParaRPr lang="en-US"/>
          </a:p>
        </c:txPr>
        <c:crossAx val="1"/>
        <c:crosses val="autoZero"/>
        <c:auto val="1"/>
        <c:lblAlgn val="ctr"/>
        <c:lblOffset val="100"/>
        <c:noMultiLvlLbl val="0"/>
      </c:catAx>
      <c:valAx>
        <c:axId val="1"/>
        <c:scaling>
          <c:orientation val="minMax"/>
        </c:scaling>
        <c:delete val="1"/>
        <c:axPos val="l"/>
        <c:majorGridlines>
          <c:spPr>
            <a:ln w="9525" cap="flat" cmpd="sng" algn="ctr">
              <a:solidFill>
                <a:schemeClr val="tx1">
                  <a:lumMod val="15000"/>
                  <a:lumOff val="85000"/>
                </a:schemeClr>
              </a:solidFill>
              <a:round/>
            </a:ln>
            <a:effectLst/>
          </c:spPr>
        </c:majorGridlines>
        <c:numFmt formatCode="0%" sourceLinked="1"/>
        <c:majorTickMark val="out"/>
        <c:minorTickMark val="none"/>
        <c:tickLblPos val="nextTo"/>
        <c:crossAx val="1350458159"/>
        <c:crosses val="autoZero"/>
        <c:crossBetween val="between"/>
      </c:valAx>
    </c:plotArea>
    <c:plotVisOnly val="1"/>
    <c:dispBlanksAs val="gap"/>
    <c:showDLblsOverMax val="0"/>
  </c:chart>
  <c:spPr>
    <a:solidFill>
      <a:schemeClr val="bg1"/>
    </a:solidFill>
    <a:ln w="9525" cap="flat" cmpd="sng" algn="ctr">
      <a:noFill/>
      <a:round/>
    </a:ln>
    <a:effectLst/>
  </c:spPr>
  <c:txPr>
    <a:bodyPr/>
    <a:lstStyle/>
    <a:p>
      <a:pPr>
        <a:defRPr sz="11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charts/chart1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320" b="0" i="0" u="none" strike="noStrike" baseline="0">
                <a:solidFill>
                  <a:srgbClr val="333333"/>
                </a:solidFill>
                <a:latin typeface="Calibri"/>
                <a:ea typeface="Calibri"/>
                <a:cs typeface="Calibri"/>
              </a:defRPr>
            </a:pPr>
            <a:r>
              <a:rPr lang="en-ZA"/>
              <a:t>Budget funding: water service: categories</a:t>
            </a:r>
          </a:p>
        </c:rich>
      </c:tx>
      <c:layout>
        <c:manualLayout>
          <c:xMode val="edge"/>
          <c:yMode val="edge"/>
          <c:x val="6.8345876654920895E-2"/>
          <c:y val="4.1609029640525708E-2"/>
        </c:manualLayout>
      </c:layout>
      <c:overlay val="0"/>
      <c:spPr>
        <a:noFill/>
        <a:ln w="25400">
          <a:noFill/>
        </a:ln>
      </c:spPr>
    </c:title>
    <c:autoTitleDeleted val="0"/>
    <c:plotArea>
      <c:layout/>
      <c:barChart>
        <c:barDir val="col"/>
        <c:grouping val="stacked"/>
        <c:varyColors val="0"/>
        <c:ser>
          <c:idx val="0"/>
          <c:order val="0"/>
          <c:tx>
            <c:strRef>
              <c:f>'Revenue required'!$D$154</c:f>
              <c:strCache>
                <c:ptCount val="1"/>
                <c:pt idx="0">
                  <c:v>Direct cost</c:v>
                </c:pt>
              </c:strCache>
            </c:strRef>
          </c:tx>
          <c:spPr>
            <a:solidFill>
              <a:schemeClr val="accent5"/>
            </a:solidFill>
          </c:spPr>
          <c:invertIfNegative val="0"/>
          <c:dLbls>
            <c:dLbl>
              <c:idx val="0"/>
              <c:tx>
                <c:strRef>
                  <c:f>'Revenue required'!$D$154</c:f>
                  <c:strCache>
                    <c:ptCount val="1"/>
                    <c:pt idx="0">
                      <c:v>Direct cost</c:v>
                    </c:pt>
                  </c:strCache>
                </c:strRef>
              </c:tx>
              <c:spPr>
                <a:noFill/>
                <a:ln w="25400">
                  <a:noFill/>
                </a:ln>
              </c:spPr>
              <c:txPr>
                <a:bodyPr/>
                <a:lstStyle/>
                <a:p>
                  <a:pPr>
                    <a:defRPr sz="1100" b="0" i="0" u="none" strike="noStrike" baseline="0">
                      <a:solidFill>
                        <a:srgbClr val="333333"/>
                      </a:solidFill>
                      <a:latin typeface="Calibri"/>
                      <a:ea typeface="Calibri"/>
                      <a:cs typeface="Calibri"/>
                    </a:defRPr>
                  </a:pPr>
                  <a:endParaRPr lang="en-US"/>
                </a:p>
              </c:txPr>
              <c:dLblPos val="ctr"/>
              <c:showLegendKey val="0"/>
              <c:showVal val="0"/>
              <c:showCatName val="0"/>
              <c:showSerName val="0"/>
              <c:showPercent val="0"/>
              <c:showBubbleSize val="0"/>
              <c:extLst>
                <c:ext xmlns:c15="http://schemas.microsoft.com/office/drawing/2012/chart" uri="{CE6537A1-D6FC-4f65-9D91-7224C49458BB}">
                  <c15:dlblFieldTable>
                    <c15:dlblFTEntry>
                      <c15:txfldGUID>{2D76880F-5211-4F8F-9E1E-C46029CF94BF}</c15:txfldGUID>
                      <c15:f>'Revenue required'!$D$154</c15:f>
                      <c15:dlblFieldTableCache>
                        <c:ptCount val="1"/>
                        <c:pt idx="0">
                          <c:v>Direct cost</c:v>
                        </c:pt>
                      </c15:dlblFieldTableCache>
                    </c15:dlblFTEntry>
                  </c15:dlblFieldTable>
                  <c15:showDataLabelsRange val="0"/>
                </c:ext>
                <c:ext xmlns:c16="http://schemas.microsoft.com/office/drawing/2014/chart" uri="{C3380CC4-5D6E-409C-BE32-E72D297353CC}">
                  <c16:uniqueId val="{00000000-F001-476F-BD00-0556FC6DAD9B}"/>
                </c:ext>
              </c:extLst>
            </c:dLbl>
            <c:spPr>
              <a:noFill/>
              <a:ln w="25400">
                <a:noFill/>
              </a:ln>
            </c:spPr>
            <c:txPr>
              <a:bodyPr wrap="square" lIns="38100" tIns="19050" rIns="38100" bIns="19050" anchor="ctr">
                <a:spAutoFit/>
              </a:bodyPr>
              <a:lstStyle/>
              <a:p>
                <a:pPr>
                  <a:defRPr sz="1100" b="0" i="0" u="none" strike="noStrike" baseline="0">
                    <a:solidFill>
                      <a:srgbClr val="333333"/>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'Revenue required'!$E$154:$F$154</c:f>
            </c:numRef>
          </c:val>
          <c:extLst>
            <c:ext xmlns:c15="http://schemas.microsoft.com/office/drawing/2012/chart" uri="{02D57815-91ED-43cb-92C2-25804820EDAC}">
              <c15:filteredCategoryTitle>
                <c15:cat>
                  <c:multiLvlStrRef>
                    <c:extLst>
                      <c:ext uri="{02D57815-91ED-43cb-92C2-25804820EDAC}">
                        <c15:formulaRef>
                          <c15:sqref>'Revenue required'!$E$153:$F$153</c15:sqref>
                        </c15:formulaRef>
                      </c:ext>
                    </c:extLst>
                  </c:multiLvlStrRef>
                </c15:cat>
              </c15:filteredCategoryTitle>
            </c:ext>
            <c:ext xmlns:c16="http://schemas.microsoft.com/office/drawing/2014/chart" uri="{C3380CC4-5D6E-409C-BE32-E72D297353CC}">
              <c16:uniqueId val="{00000001-F001-476F-BD00-0556FC6DAD9B}"/>
            </c:ext>
          </c:extLst>
        </c:ser>
        <c:ser>
          <c:idx val="1"/>
          <c:order val="1"/>
          <c:tx>
            <c:strRef>
              <c:f>'Revenue required'!$D$155</c:f>
              <c:strCache>
                <c:ptCount val="1"/>
                <c:pt idx="0">
                  <c:v>Indirect cost</c:v>
                </c:pt>
              </c:strCache>
            </c:strRef>
          </c:tx>
          <c:spPr>
            <a:solidFill>
              <a:schemeClr val="accent5">
                <a:lumMod val="60000"/>
                <a:lumOff val="40000"/>
              </a:schemeClr>
            </a:solidFill>
          </c:spPr>
          <c:invertIfNegative val="0"/>
          <c:dLbls>
            <c:dLbl>
              <c:idx val="0"/>
              <c:tx>
                <c:strRef>
                  <c:f>'Revenue required'!$D$155</c:f>
                  <c:strCache>
                    <c:ptCount val="1"/>
                    <c:pt idx="0">
                      <c:v>Indirect cost</c:v>
                    </c:pt>
                  </c:strCache>
                </c:strRef>
              </c:tx>
              <c:spPr>
                <a:noFill/>
                <a:ln w="25400">
                  <a:noFill/>
                </a:ln>
              </c:spPr>
              <c:txPr>
                <a:bodyPr/>
                <a:lstStyle/>
                <a:p>
                  <a:pPr>
                    <a:defRPr sz="1100" b="0" i="0" u="none" strike="noStrike" baseline="0">
                      <a:solidFill>
                        <a:srgbClr val="333333"/>
                      </a:solidFill>
                      <a:latin typeface="Calibri"/>
                      <a:ea typeface="Calibri"/>
                      <a:cs typeface="Calibri"/>
                    </a:defRPr>
                  </a:pPr>
                  <a:endParaRPr lang="en-US"/>
                </a:p>
              </c:txPr>
              <c:dLblPos val="ctr"/>
              <c:showLegendKey val="0"/>
              <c:showVal val="0"/>
              <c:showCatName val="0"/>
              <c:showSerName val="0"/>
              <c:showPercent val="0"/>
              <c:showBubbleSize val="0"/>
              <c:extLst>
                <c:ext xmlns:c15="http://schemas.microsoft.com/office/drawing/2012/chart" uri="{CE6537A1-D6FC-4f65-9D91-7224C49458BB}">
                  <c15:dlblFieldTable>
                    <c15:dlblFTEntry>
                      <c15:txfldGUID>{8B597DFE-16A2-4203-8441-F9427DD429B3}</c15:txfldGUID>
                      <c15:f>'Revenue required'!$D$155</c15:f>
                      <c15:dlblFieldTableCache>
                        <c:ptCount val="1"/>
                        <c:pt idx="0">
                          <c:v>Indirect cost</c:v>
                        </c:pt>
                      </c15:dlblFieldTableCache>
                    </c15:dlblFTEntry>
                  </c15:dlblFieldTable>
                  <c15:showDataLabelsRange val="0"/>
                </c:ext>
                <c:ext xmlns:c16="http://schemas.microsoft.com/office/drawing/2014/chart" uri="{C3380CC4-5D6E-409C-BE32-E72D297353CC}">
                  <c16:uniqueId val="{00000002-F001-476F-BD00-0556FC6DAD9B}"/>
                </c:ext>
              </c:extLst>
            </c:dLbl>
            <c:spPr>
              <a:noFill/>
              <a:ln w="25400">
                <a:noFill/>
              </a:ln>
            </c:spPr>
            <c:txPr>
              <a:bodyPr wrap="square" lIns="38100" tIns="19050" rIns="38100" bIns="19050" anchor="ctr">
                <a:spAutoFit/>
              </a:bodyPr>
              <a:lstStyle/>
              <a:p>
                <a:pPr>
                  <a:defRPr sz="1100" b="0" i="0" u="none" strike="noStrike" baseline="0">
                    <a:solidFill>
                      <a:srgbClr val="333333"/>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'Revenue required'!$E$155:$F$155</c:f>
            </c:numRef>
          </c:val>
          <c:extLst>
            <c:ext xmlns:c15="http://schemas.microsoft.com/office/drawing/2012/chart" uri="{02D57815-91ED-43cb-92C2-25804820EDAC}">
              <c15:filteredCategoryTitle>
                <c15:cat>
                  <c:multiLvlStrRef>
                    <c:extLst>
                      <c:ext uri="{02D57815-91ED-43cb-92C2-25804820EDAC}">
                        <c15:formulaRef>
                          <c15:sqref>'Revenue required'!$E$153:$F$153</c15:sqref>
                        </c15:formulaRef>
                      </c:ext>
                    </c:extLst>
                  </c:multiLvlStrRef>
                </c15:cat>
              </c15:filteredCategoryTitle>
            </c:ext>
            <c:ext xmlns:c16="http://schemas.microsoft.com/office/drawing/2014/chart" uri="{C3380CC4-5D6E-409C-BE32-E72D297353CC}">
              <c16:uniqueId val="{00000003-F001-476F-BD00-0556FC6DAD9B}"/>
            </c:ext>
          </c:extLst>
        </c:ser>
        <c:ser>
          <c:idx val="2"/>
          <c:order val="2"/>
          <c:tx>
            <c:strRef>
              <c:f>'Revenue required'!$D$156</c:f>
              <c:strCache>
                <c:ptCount val="1"/>
              </c:strCache>
            </c:strRef>
          </c:tx>
          <c:spPr>
            <a:solidFill>
              <a:schemeClr val="accent6"/>
            </a:solidFill>
          </c:spPr>
          <c:invertIfNegative val="0"/>
          <c:dLbls>
            <c:dLbl>
              <c:idx val="0"/>
              <c:tx>
                <c:strRef>
                  <c:f>'Revenue required'!$D$156</c:f>
                  <c:strCache>
                    <c:ptCount val="1"/>
                  </c:strCache>
                </c:strRef>
              </c:tx>
              <c:spPr>
                <a:noFill/>
                <a:ln w="25400">
                  <a:noFill/>
                </a:ln>
              </c:spPr>
              <c:txPr>
                <a:bodyPr/>
                <a:lstStyle/>
                <a:p>
                  <a:pPr>
                    <a:defRPr sz="1100" b="0" i="0" u="none" strike="noStrike" baseline="0">
                      <a:solidFill>
                        <a:srgbClr val="333333"/>
                      </a:solidFill>
                      <a:latin typeface="Calibri"/>
                      <a:ea typeface="Calibri"/>
                      <a:cs typeface="Calibri"/>
                    </a:defRPr>
                  </a:pPr>
                  <a:endParaRPr lang="en-US"/>
                </a:p>
              </c:txPr>
              <c:dLblPos val="ctr"/>
              <c:showLegendKey val="0"/>
              <c:showVal val="0"/>
              <c:showCatName val="0"/>
              <c:showSerName val="0"/>
              <c:showPercent val="0"/>
              <c:showBubbleSize val="0"/>
              <c:extLst>
                <c:ext xmlns:c15="http://schemas.microsoft.com/office/drawing/2012/chart" uri="{CE6537A1-D6FC-4f65-9D91-7224C49458BB}">
                  <c15:dlblFieldTable>
                    <c15:dlblFTEntry>
                      <c15:txfldGUID>{EEBD7021-2679-43AC-816C-FA7E051AA7D6}</c15:txfldGUID>
                      <c15:f>'Revenue required'!$D$156</c15:f>
                      <c15:dlblFieldTableCache>
                        <c:ptCount val="1"/>
                      </c15:dlblFieldTableCache>
                    </c15:dlblFTEntry>
                  </c15:dlblFieldTable>
                  <c15:showDataLabelsRange val="0"/>
                </c:ext>
                <c:ext xmlns:c16="http://schemas.microsoft.com/office/drawing/2014/chart" uri="{C3380CC4-5D6E-409C-BE32-E72D297353CC}">
                  <c16:uniqueId val="{00000004-F001-476F-BD00-0556FC6DAD9B}"/>
                </c:ext>
              </c:extLst>
            </c:dLbl>
            <c:spPr>
              <a:noFill/>
              <a:ln w="25400">
                <a:noFill/>
              </a:ln>
            </c:spPr>
            <c:txPr>
              <a:bodyPr wrap="square" lIns="38100" tIns="19050" rIns="38100" bIns="19050" anchor="ctr">
                <a:spAutoFit/>
              </a:bodyPr>
              <a:lstStyle/>
              <a:p>
                <a:pPr>
                  <a:defRPr sz="1100" b="0" i="0" u="none" strike="noStrike" baseline="0">
                    <a:solidFill>
                      <a:srgbClr val="333333"/>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'Revenue required'!$E$156:$F$156</c:f>
            </c:numRef>
          </c:val>
          <c:extLst>
            <c:ext xmlns:c15="http://schemas.microsoft.com/office/drawing/2012/chart" uri="{02D57815-91ED-43cb-92C2-25804820EDAC}">
              <c15:filteredCategoryTitle>
                <c15:cat>
                  <c:multiLvlStrRef>
                    <c:extLst>
                      <c:ext uri="{02D57815-91ED-43cb-92C2-25804820EDAC}">
                        <c15:formulaRef>
                          <c15:sqref>'Revenue required'!$E$153:$F$153</c15:sqref>
                        </c15:formulaRef>
                      </c:ext>
                    </c:extLst>
                  </c:multiLvlStrRef>
                </c15:cat>
              </c15:filteredCategoryTitle>
            </c:ext>
            <c:ext xmlns:c16="http://schemas.microsoft.com/office/drawing/2014/chart" uri="{C3380CC4-5D6E-409C-BE32-E72D297353CC}">
              <c16:uniqueId val="{00000005-F001-476F-BD00-0556FC6DAD9B}"/>
            </c:ext>
          </c:extLst>
        </c:ser>
        <c:ser>
          <c:idx val="4"/>
          <c:order val="3"/>
          <c:tx>
            <c:strRef>
              <c:f>'Revenue required'!$D$157</c:f>
              <c:strCache>
                <c:ptCount val="1"/>
                <c:pt idx="0">
                  <c:v>Tariff revenue</c:v>
                </c:pt>
              </c:strCache>
            </c:strRef>
          </c:tx>
          <c:spPr>
            <a:solidFill>
              <a:schemeClr val="accent3">
                <a:lumMod val="75000"/>
              </a:schemeClr>
            </a:solidFill>
          </c:spPr>
          <c:invertIfNegative val="0"/>
          <c:dLbls>
            <c:dLbl>
              <c:idx val="1"/>
              <c:tx>
                <c:strRef>
                  <c:f>'Revenue required'!$D$157</c:f>
                  <c:strCache>
                    <c:ptCount val="1"/>
                    <c:pt idx="0">
                      <c:v>Tariff revenue</c:v>
                    </c:pt>
                  </c:strCache>
                </c:strRef>
              </c:tx>
              <c:spPr>
                <a:noFill/>
                <a:ln w="25400">
                  <a:noFill/>
                </a:ln>
              </c:spPr>
              <c:txPr>
                <a:bodyPr/>
                <a:lstStyle/>
                <a:p>
                  <a:pPr>
                    <a:defRPr sz="1100" b="0" i="0" u="none" strike="noStrike" baseline="0">
                      <a:solidFill>
                        <a:srgbClr val="333333"/>
                      </a:solidFill>
                      <a:latin typeface="Calibri"/>
                      <a:ea typeface="Calibri"/>
                      <a:cs typeface="Calibri"/>
                    </a:defRPr>
                  </a:pPr>
                  <a:endParaRPr lang="en-US"/>
                </a:p>
              </c:txPr>
              <c:dLblPos val="ctr"/>
              <c:showLegendKey val="0"/>
              <c:showVal val="0"/>
              <c:showCatName val="0"/>
              <c:showSerName val="0"/>
              <c:showPercent val="0"/>
              <c:showBubbleSize val="0"/>
              <c:extLst>
                <c:ext xmlns:c15="http://schemas.microsoft.com/office/drawing/2012/chart" uri="{CE6537A1-D6FC-4f65-9D91-7224C49458BB}">
                  <c15:dlblFieldTable>
                    <c15:dlblFTEntry>
                      <c15:txfldGUID>{374897AE-BF1D-4A48-A04A-020413BFC336}</c15:txfldGUID>
                      <c15:f>'Revenue required'!$D$157</c15:f>
                      <c15:dlblFieldTableCache>
                        <c:ptCount val="1"/>
                        <c:pt idx="0">
                          <c:v>Tariff revenue</c:v>
                        </c:pt>
                      </c15:dlblFieldTableCache>
                    </c15:dlblFTEntry>
                  </c15:dlblFieldTable>
                  <c15:showDataLabelsRange val="0"/>
                </c:ext>
                <c:ext xmlns:c16="http://schemas.microsoft.com/office/drawing/2014/chart" uri="{C3380CC4-5D6E-409C-BE32-E72D297353CC}">
                  <c16:uniqueId val="{00000006-F001-476F-BD00-0556FC6DAD9B}"/>
                </c:ext>
              </c:extLst>
            </c:dLbl>
            <c:spPr>
              <a:noFill/>
              <a:ln w="25400">
                <a:noFill/>
              </a:ln>
            </c:spPr>
            <c:txPr>
              <a:bodyPr wrap="square" lIns="38100" tIns="19050" rIns="38100" bIns="19050" anchor="ctr">
                <a:spAutoFit/>
              </a:bodyPr>
              <a:lstStyle/>
              <a:p>
                <a:pPr>
                  <a:defRPr sz="1100" b="0" i="0" u="none" strike="noStrike" baseline="0">
                    <a:solidFill>
                      <a:srgbClr val="333333"/>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'Revenue required'!$E$157:$F$157</c:f>
            </c:numRef>
          </c:val>
          <c:extLst>
            <c:ext xmlns:c15="http://schemas.microsoft.com/office/drawing/2012/chart" uri="{02D57815-91ED-43cb-92C2-25804820EDAC}">
              <c15:filteredCategoryTitle>
                <c15:cat>
                  <c:multiLvlStrRef>
                    <c:extLst>
                      <c:ext uri="{02D57815-91ED-43cb-92C2-25804820EDAC}">
                        <c15:formulaRef>
                          <c15:sqref>'Revenue required'!$E$153:$F$153</c15:sqref>
                        </c15:formulaRef>
                      </c:ext>
                    </c:extLst>
                  </c:multiLvlStrRef>
                </c15:cat>
              </c15:filteredCategoryTitle>
            </c:ext>
            <c:ext xmlns:c16="http://schemas.microsoft.com/office/drawing/2014/chart" uri="{C3380CC4-5D6E-409C-BE32-E72D297353CC}">
              <c16:uniqueId val="{00000007-F001-476F-BD00-0556FC6DAD9B}"/>
            </c:ext>
          </c:extLst>
        </c:ser>
        <c:ser>
          <c:idx val="5"/>
          <c:order val="4"/>
          <c:tx>
            <c:strRef>
              <c:f>'Revenue required'!$D$158</c:f>
              <c:strCache>
                <c:ptCount val="1"/>
                <c:pt idx="0">
                  <c:v>Non-tariff revenue</c:v>
                </c:pt>
              </c:strCache>
            </c:strRef>
          </c:tx>
          <c:spPr>
            <a:solidFill>
              <a:schemeClr val="accent3"/>
            </a:solidFill>
          </c:spPr>
          <c:invertIfNegative val="0"/>
          <c:dLbls>
            <c:dLbl>
              <c:idx val="1"/>
              <c:tx>
                <c:strRef>
                  <c:f>'Revenue required'!$D$158</c:f>
                  <c:strCache>
                    <c:ptCount val="1"/>
                    <c:pt idx="0">
                      <c:v>Non-tariff revenue</c:v>
                    </c:pt>
                  </c:strCache>
                </c:strRef>
              </c:tx>
              <c:spPr>
                <a:noFill/>
                <a:ln w="25400">
                  <a:noFill/>
                </a:ln>
              </c:spPr>
              <c:txPr>
                <a:bodyPr/>
                <a:lstStyle/>
                <a:p>
                  <a:pPr>
                    <a:defRPr sz="1100" b="0" i="0" u="none" strike="noStrike" baseline="0">
                      <a:solidFill>
                        <a:srgbClr val="333333"/>
                      </a:solidFill>
                      <a:latin typeface="Calibri"/>
                      <a:ea typeface="Calibri"/>
                      <a:cs typeface="Calibri"/>
                    </a:defRPr>
                  </a:pPr>
                  <a:endParaRPr lang="en-US"/>
                </a:p>
              </c:txPr>
              <c:dLblPos val="ctr"/>
              <c:showLegendKey val="0"/>
              <c:showVal val="0"/>
              <c:showCatName val="0"/>
              <c:showSerName val="0"/>
              <c:showPercent val="0"/>
              <c:showBubbleSize val="0"/>
              <c:extLst>
                <c:ext xmlns:c15="http://schemas.microsoft.com/office/drawing/2012/chart" uri="{CE6537A1-D6FC-4f65-9D91-7224C49458BB}">
                  <c15:dlblFieldTable>
                    <c15:dlblFTEntry>
                      <c15:txfldGUID>{02FBCDB5-BB09-43B4-818C-B6BE5B920D16}</c15:txfldGUID>
                      <c15:f>'Revenue required'!$D$158</c15:f>
                      <c15:dlblFieldTableCache>
                        <c:ptCount val="1"/>
                        <c:pt idx="0">
                          <c:v>Non-tariff revenue</c:v>
                        </c:pt>
                      </c15:dlblFieldTableCache>
                    </c15:dlblFTEntry>
                  </c15:dlblFieldTable>
                  <c15:showDataLabelsRange val="0"/>
                </c:ext>
                <c:ext xmlns:c16="http://schemas.microsoft.com/office/drawing/2014/chart" uri="{C3380CC4-5D6E-409C-BE32-E72D297353CC}">
                  <c16:uniqueId val="{00000008-F001-476F-BD00-0556FC6DAD9B}"/>
                </c:ext>
              </c:extLst>
            </c:dLbl>
            <c:spPr>
              <a:noFill/>
              <a:ln w="25400">
                <a:noFill/>
              </a:ln>
            </c:spPr>
            <c:txPr>
              <a:bodyPr wrap="square" lIns="38100" tIns="19050" rIns="38100" bIns="19050" anchor="ctr">
                <a:spAutoFit/>
              </a:bodyPr>
              <a:lstStyle/>
              <a:p>
                <a:pPr>
                  <a:defRPr sz="1100" b="0" i="0" u="none" strike="noStrike" baseline="0">
                    <a:solidFill>
                      <a:srgbClr val="333333"/>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'Revenue required'!$E$158:$F$158</c:f>
            </c:numRef>
          </c:val>
          <c:extLst>
            <c:ext xmlns:c15="http://schemas.microsoft.com/office/drawing/2012/chart" uri="{02D57815-91ED-43cb-92C2-25804820EDAC}">
              <c15:filteredCategoryTitle>
                <c15:cat>
                  <c:multiLvlStrRef>
                    <c:extLst>
                      <c:ext uri="{02D57815-91ED-43cb-92C2-25804820EDAC}">
                        <c15:formulaRef>
                          <c15:sqref>'Revenue required'!$E$153:$F$153</c15:sqref>
                        </c15:formulaRef>
                      </c:ext>
                    </c:extLst>
                  </c:multiLvlStrRef>
                </c15:cat>
              </c15:filteredCategoryTitle>
            </c:ext>
            <c:ext xmlns:c16="http://schemas.microsoft.com/office/drawing/2014/chart" uri="{C3380CC4-5D6E-409C-BE32-E72D297353CC}">
              <c16:uniqueId val="{00000009-F001-476F-BD00-0556FC6DAD9B}"/>
            </c:ext>
          </c:extLst>
        </c:ser>
        <c:ser>
          <c:idx val="3"/>
          <c:order val="5"/>
          <c:tx>
            <c:strRef>
              <c:f>'Revenue required'!$D$159</c:f>
              <c:strCache>
                <c:ptCount val="1"/>
              </c:strCache>
            </c:strRef>
          </c:tx>
          <c:invertIfNegative val="0"/>
          <c:dLbls>
            <c:dLbl>
              <c:idx val="1"/>
              <c:tx>
                <c:strRef>
                  <c:f>'Revenue required'!$D$159</c:f>
                  <c:strCache>
                    <c:ptCount val="1"/>
                  </c:strCache>
                </c:strRef>
              </c:tx>
              <c:spPr>
                <a:noFill/>
                <a:ln w="25400">
                  <a:noFill/>
                </a:ln>
              </c:spPr>
              <c:txPr>
                <a:bodyPr/>
                <a:lstStyle/>
                <a:p>
                  <a:pPr>
                    <a:defRPr sz="1100" b="0" i="0" u="none" strike="noStrike" baseline="0">
                      <a:solidFill>
                        <a:srgbClr val="333333"/>
                      </a:solidFill>
                      <a:latin typeface="Calibri"/>
                      <a:ea typeface="Calibri"/>
                      <a:cs typeface="Calibri"/>
                    </a:defRPr>
                  </a:pPr>
                  <a:endParaRPr lang="en-US"/>
                </a:p>
              </c:txPr>
              <c:dLblPos val="ctr"/>
              <c:showLegendKey val="0"/>
              <c:showVal val="0"/>
              <c:showCatName val="0"/>
              <c:showSerName val="0"/>
              <c:showPercent val="0"/>
              <c:showBubbleSize val="0"/>
              <c:extLst>
                <c:ext xmlns:c15="http://schemas.microsoft.com/office/drawing/2012/chart" uri="{CE6537A1-D6FC-4f65-9D91-7224C49458BB}">
                  <c15:dlblFieldTable>
                    <c15:dlblFTEntry>
                      <c15:txfldGUID>{C5997A70-71D5-4DB3-916F-02F0F9F37A17}</c15:txfldGUID>
                      <c15:f>'Revenue required'!$D$159</c15:f>
                      <c15:dlblFieldTableCache>
                        <c:ptCount val="1"/>
                      </c15:dlblFieldTableCache>
                    </c15:dlblFTEntry>
                  </c15:dlblFieldTable>
                  <c15:showDataLabelsRange val="0"/>
                </c:ext>
                <c:ext xmlns:c16="http://schemas.microsoft.com/office/drawing/2014/chart" uri="{C3380CC4-5D6E-409C-BE32-E72D297353CC}">
                  <c16:uniqueId val="{0000000A-F001-476F-BD00-0556FC6DAD9B}"/>
                </c:ext>
              </c:extLst>
            </c:dLbl>
            <c:spPr>
              <a:noFill/>
              <a:ln w="25400">
                <a:noFill/>
              </a:ln>
            </c:spPr>
            <c:txPr>
              <a:bodyPr wrap="square" lIns="38100" tIns="19050" rIns="38100" bIns="19050" anchor="ctr">
                <a:spAutoFit/>
              </a:bodyPr>
              <a:lstStyle/>
              <a:p>
                <a:pPr>
                  <a:defRPr sz="1100" b="0" i="0" u="none" strike="noStrike" baseline="0">
                    <a:solidFill>
                      <a:srgbClr val="333333"/>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'Revenue required'!$E$159:$F$159</c:f>
            </c:numRef>
          </c:val>
          <c:extLst>
            <c:ext xmlns:c15="http://schemas.microsoft.com/office/drawing/2012/chart" uri="{02D57815-91ED-43cb-92C2-25804820EDAC}">
              <c15:filteredCategoryTitle>
                <c15:cat>
                  <c:multiLvlStrRef>
                    <c:extLst>
                      <c:ext uri="{02D57815-91ED-43cb-92C2-25804820EDAC}">
                        <c15:formulaRef>
                          <c15:sqref>'Revenue required'!$E$153:$F$153</c15:sqref>
                        </c15:formulaRef>
                      </c:ext>
                    </c:extLst>
                  </c:multiLvlStrRef>
                </c15:cat>
              </c15:filteredCategoryTitle>
            </c:ext>
            <c:ext xmlns:c16="http://schemas.microsoft.com/office/drawing/2014/chart" uri="{C3380CC4-5D6E-409C-BE32-E72D297353CC}">
              <c16:uniqueId val="{0000000B-F001-476F-BD00-0556FC6DAD9B}"/>
            </c:ext>
          </c:extLst>
        </c:ser>
        <c:dLbls>
          <c:showLegendKey val="0"/>
          <c:showVal val="0"/>
          <c:showCatName val="0"/>
          <c:showSerName val="0"/>
          <c:showPercent val="0"/>
          <c:showBubbleSize val="0"/>
        </c:dLbls>
        <c:gapWidth val="25"/>
        <c:overlap val="100"/>
        <c:axId val="1350471119"/>
        <c:axId val="1"/>
      </c:barChart>
      <c:catAx>
        <c:axId val="1350471119"/>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0" vert="horz"/>
          <a:lstStyle/>
          <a:p>
            <a:pPr>
              <a:defRPr sz="1100" b="0" i="0" u="none" strike="noStrike" baseline="0">
                <a:solidFill>
                  <a:srgbClr val="333333"/>
                </a:solidFill>
                <a:latin typeface="Calibri"/>
                <a:ea typeface="Calibri"/>
                <a:cs typeface="Calibri"/>
              </a:defRPr>
            </a:pPr>
            <a:endParaRPr lang="en-US"/>
          </a:p>
        </c:txPr>
        <c:crossAx val="1"/>
        <c:crosses val="autoZero"/>
        <c:auto val="1"/>
        <c:lblAlgn val="ctr"/>
        <c:lblOffset val="100"/>
        <c:noMultiLvlLbl val="0"/>
      </c:catAx>
      <c:valAx>
        <c:axId val="1"/>
        <c:scaling>
          <c:orientation val="minMax"/>
        </c:scaling>
        <c:delete val="1"/>
        <c:axPos val="l"/>
        <c:majorGridlines>
          <c:spPr>
            <a:ln w="9525" cap="flat" cmpd="sng" algn="ctr">
              <a:solidFill>
                <a:schemeClr val="tx1">
                  <a:lumMod val="15000"/>
                  <a:lumOff val="85000"/>
                </a:schemeClr>
              </a:solidFill>
              <a:round/>
            </a:ln>
            <a:effectLst/>
          </c:spPr>
        </c:majorGridlines>
        <c:numFmt formatCode="_-* #\ ##0_-;\-* #\ ##0_-;_-* &quot;-&quot;??_-;_-@_-" sourceLinked="1"/>
        <c:majorTickMark val="out"/>
        <c:minorTickMark val="none"/>
        <c:tickLblPos val="nextTo"/>
        <c:crossAx val="1350471119"/>
        <c:crosses val="autoZero"/>
        <c:crossBetween val="between"/>
      </c:valAx>
    </c:plotArea>
    <c:plotVisOnly val="1"/>
    <c:dispBlanksAs val="gap"/>
    <c:showDLblsOverMax val="0"/>
  </c:chart>
  <c:spPr>
    <a:solidFill>
      <a:schemeClr val="bg1"/>
    </a:solidFill>
    <a:ln w="9525" cap="flat" cmpd="sng" algn="ctr">
      <a:noFill/>
      <a:round/>
    </a:ln>
    <a:effectLst/>
  </c:spPr>
  <c:txPr>
    <a:bodyPr/>
    <a:lstStyle/>
    <a:p>
      <a:pPr>
        <a:defRPr sz="11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charts/chart1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320" b="0" i="0" u="none" strike="noStrike" baseline="0">
                <a:solidFill>
                  <a:srgbClr val="333333"/>
                </a:solidFill>
                <a:latin typeface="Calibri"/>
                <a:ea typeface="Calibri"/>
                <a:cs typeface="Calibri"/>
              </a:defRPr>
            </a:pPr>
            <a:r>
              <a:rPr lang="en-ZA"/>
              <a:t>Budget funding: water service R'000</a:t>
            </a:r>
          </a:p>
        </c:rich>
      </c:tx>
      <c:layout>
        <c:manualLayout>
          <c:xMode val="edge"/>
          <c:yMode val="edge"/>
          <c:x val="6.4499571962106886E-2"/>
          <c:y val="3.2407487525597758E-2"/>
        </c:manualLayout>
      </c:layout>
      <c:overlay val="0"/>
      <c:spPr>
        <a:noFill/>
        <a:ln w="25400">
          <a:noFill/>
        </a:ln>
      </c:spPr>
    </c:title>
    <c:autoTitleDeleted val="0"/>
    <c:plotArea>
      <c:layout/>
      <c:barChart>
        <c:barDir val="col"/>
        <c:grouping val="stacked"/>
        <c:varyColors val="0"/>
        <c:ser>
          <c:idx val="0"/>
          <c:order val="0"/>
          <c:tx>
            <c:strRef>
              <c:f>'Revenue required'!$D$154</c:f>
              <c:strCache>
                <c:ptCount val="1"/>
                <c:pt idx="0">
                  <c:v>Direct cost</c:v>
                </c:pt>
              </c:strCache>
            </c:strRef>
          </c:tx>
          <c:spPr>
            <a:solidFill>
              <a:schemeClr val="accent5"/>
            </a:solidFill>
          </c:spPr>
          <c:invertIfNegative val="0"/>
          <c:dLbls>
            <c:dLbl>
              <c:idx val="0"/>
              <c:tx>
                <c:strRef>
                  <c:f>'Revenue required'!$E$154</c:f>
                  <c:strCache>
                    <c:ptCount val="1"/>
                    <c:pt idx="0">
                      <c:v> 97 283 </c:v>
                    </c:pt>
                  </c:strCache>
                </c:strRef>
              </c:tx>
              <c:spPr>
                <a:noFill/>
                <a:ln w="25400">
                  <a:noFill/>
                </a:ln>
              </c:spPr>
              <c:txPr>
                <a:bodyPr/>
                <a:lstStyle/>
                <a:p>
                  <a:pPr>
                    <a:defRPr sz="1100" b="0" i="0" u="none" strike="noStrike" baseline="0">
                      <a:solidFill>
                        <a:srgbClr val="333333"/>
                      </a:solidFill>
                      <a:latin typeface="Calibri"/>
                      <a:ea typeface="Calibri"/>
                      <a:cs typeface="Calibri"/>
                    </a:defRPr>
                  </a:pPr>
                  <a:endParaRPr lang="en-US"/>
                </a:p>
              </c:txPr>
              <c:dLblPos val="ctr"/>
              <c:showLegendKey val="0"/>
              <c:showVal val="0"/>
              <c:showCatName val="0"/>
              <c:showSerName val="0"/>
              <c:showPercent val="0"/>
              <c:showBubbleSize val="0"/>
              <c:extLst>
                <c:ext xmlns:c15="http://schemas.microsoft.com/office/drawing/2012/chart" uri="{CE6537A1-D6FC-4f65-9D91-7224C49458BB}">
                  <c15:dlblFieldTable>
                    <c15:dlblFTEntry>
                      <c15:txfldGUID>{080CA00F-290A-466A-8CB1-32C383ABA0A9}</c15:txfldGUID>
                      <c15:f>'Revenue required'!$E$154</c15:f>
                      <c15:dlblFieldTableCache>
                        <c:ptCount val="1"/>
                        <c:pt idx="0">
                          <c:v> 97 283 </c:v>
                        </c:pt>
                      </c15:dlblFieldTableCache>
                    </c15:dlblFTEntry>
                  </c15:dlblFieldTable>
                  <c15:showDataLabelsRange val="0"/>
                </c:ext>
                <c:ext xmlns:c16="http://schemas.microsoft.com/office/drawing/2014/chart" uri="{C3380CC4-5D6E-409C-BE32-E72D297353CC}">
                  <c16:uniqueId val="{00000000-A596-4545-8F11-370CAD25D44E}"/>
                </c:ext>
              </c:extLst>
            </c:dLbl>
            <c:spPr>
              <a:noFill/>
              <a:ln w="25400">
                <a:noFill/>
              </a:ln>
            </c:spPr>
            <c:txPr>
              <a:bodyPr wrap="square" lIns="38100" tIns="19050" rIns="38100" bIns="19050" anchor="ctr">
                <a:spAutoFit/>
              </a:bodyPr>
              <a:lstStyle/>
              <a:p>
                <a:pPr>
                  <a:defRPr sz="1100" b="0" i="0" u="none" strike="noStrike" baseline="0">
                    <a:solidFill>
                      <a:srgbClr val="333333"/>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'Revenue required'!$E$154:$F$154</c:f>
            </c:numRef>
          </c:val>
          <c:extLst>
            <c:ext xmlns:c15="http://schemas.microsoft.com/office/drawing/2012/chart" uri="{02D57815-91ED-43cb-92C2-25804820EDAC}">
              <c15:filteredCategoryTitle>
                <c15:cat>
                  <c:multiLvlStrRef>
                    <c:extLst>
                      <c:ext uri="{02D57815-91ED-43cb-92C2-25804820EDAC}">
                        <c15:formulaRef>
                          <c15:sqref>'Revenue required'!$E$153:$F$153</c15:sqref>
                        </c15:formulaRef>
                      </c:ext>
                    </c:extLst>
                  </c:multiLvlStrRef>
                </c15:cat>
              </c15:filteredCategoryTitle>
            </c:ext>
            <c:ext xmlns:c16="http://schemas.microsoft.com/office/drawing/2014/chart" uri="{C3380CC4-5D6E-409C-BE32-E72D297353CC}">
              <c16:uniqueId val="{00000001-A596-4545-8F11-370CAD25D44E}"/>
            </c:ext>
          </c:extLst>
        </c:ser>
        <c:ser>
          <c:idx val="1"/>
          <c:order val="1"/>
          <c:tx>
            <c:strRef>
              <c:f>'Revenue required'!$D$155</c:f>
              <c:strCache>
                <c:ptCount val="1"/>
                <c:pt idx="0">
                  <c:v>Indirect cost</c:v>
                </c:pt>
              </c:strCache>
            </c:strRef>
          </c:tx>
          <c:spPr>
            <a:solidFill>
              <a:schemeClr val="accent5">
                <a:lumMod val="60000"/>
                <a:lumOff val="40000"/>
              </a:schemeClr>
            </a:solidFill>
          </c:spPr>
          <c:invertIfNegative val="0"/>
          <c:dLbls>
            <c:dLbl>
              <c:idx val="0"/>
              <c:tx>
                <c:rich>
                  <a:bodyPr/>
                  <a:lstStyle/>
                  <a:p>
                    <a:pPr>
                      <a:defRPr sz="1100" b="0" i="0" u="none" strike="noStrike" baseline="0">
                        <a:solidFill>
                          <a:srgbClr val="333333"/>
                        </a:solidFill>
                        <a:latin typeface="Calibri"/>
                        <a:ea typeface="Calibri"/>
                        <a:cs typeface="Calibri"/>
                      </a:defRPr>
                    </a:pPr>
                    <a:r>
                      <a:rPr lang="en-US"/>
                      <a:t>[VALUE]</a:t>
                    </a:r>
                  </a:p>
                </c:rich>
              </c:tx>
              <c:spPr>
                <a:noFill/>
                <a:ln w="25400">
                  <a:noFill/>
                </a:ln>
              </c:spPr>
              <c:dLblPos val="ctr"/>
              <c:showLegendKey val="0"/>
              <c:showVal val="0"/>
              <c:showCatName val="0"/>
              <c:showSerName val="0"/>
              <c:showPercent val="0"/>
              <c:showBubbleSize val="0"/>
              <c:extLst>
                <c:ext xmlns:c15="http://schemas.microsoft.com/office/drawing/2012/chart" uri="{CE6537A1-D6FC-4f65-9D91-7224C49458BB}">
                  <c15:showDataLabelsRange val="0"/>
                </c:ext>
                <c:ext xmlns:c16="http://schemas.microsoft.com/office/drawing/2014/chart" uri="{C3380CC4-5D6E-409C-BE32-E72D297353CC}">
                  <c16:uniqueId val="{00000002-A596-4545-8F11-370CAD25D44E}"/>
                </c:ext>
              </c:extLst>
            </c:dLbl>
            <c:spPr>
              <a:noFill/>
              <a:ln w="25400">
                <a:noFill/>
              </a:ln>
            </c:spPr>
            <c:txPr>
              <a:bodyPr wrap="square" lIns="38100" tIns="19050" rIns="38100" bIns="19050" anchor="ctr">
                <a:spAutoFit/>
              </a:bodyPr>
              <a:lstStyle/>
              <a:p>
                <a:pPr>
                  <a:defRPr sz="1100" b="0" i="0" u="none" strike="noStrike" baseline="0">
                    <a:solidFill>
                      <a:srgbClr val="333333"/>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'Revenue required'!$E$155:$F$155</c:f>
            </c:numRef>
          </c:val>
          <c:extLst>
            <c:ext xmlns:c15="http://schemas.microsoft.com/office/drawing/2012/chart" uri="{02D57815-91ED-43cb-92C2-25804820EDAC}">
              <c15:filteredCategoryTitle>
                <c15:cat>
                  <c:multiLvlStrRef>
                    <c:extLst>
                      <c:ext uri="{02D57815-91ED-43cb-92C2-25804820EDAC}">
                        <c15:formulaRef>
                          <c15:sqref>'Revenue required'!$E$153:$F$153</c15:sqref>
                        </c15:formulaRef>
                      </c:ext>
                    </c:extLst>
                  </c:multiLvlStrRef>
                </c15:cat>
              </c15:filteredCategoryTitle>
            </c:ext>
            <c:ext xmlns:c16="http://schemas.microsoft.com/office/drawing/2014/chart" uri="{C3380CC4-5D6E-409C-BE32-E72D297353CC}">
              <c16:uniqueId val="{00000003-A596-4545-8F11-370CAD25D44E}"/>
            </c:ext>
          </c:extLst>
        </c:ser>
        <c:ser>
          <c:idx val="2"/>
          <c:order val="2"/>
          <c:tx>
            <c:strRef>
              <c:f>'Revenue required'!$D$156</c:f>
              <c:strCache>
                <c:ptCount val="1"/>
              </c:strCache>
            </c:strRef>
          </c:tx>
          <c:spPr>
            <a:solidFill>
              <a:schemeClr val="accent6"/>
            </a:solidFill>
          </c:spPr>
          <c:invertIfNegative val="0"/>
          <c:dLbls>
            <c:dLbl>
              <c:idx val="0"/>
              <c:tx>
                <c:strRef>
                  <c:f>'Revenue required'!$E$156</c:f>
                  <c:strCache>
                    <c:ptCount val="1"/>
                    <c:pt idx="0">
                      <c:v> -   </c:v>
                    </c:pt>
                  </c:strCache>
                </c:strRef>
              </c:tx>
              <c:spPr>
                <a:noFill/>
                <a:ln w="25400">
                  <a:noFill/>
                </a:ln>
              </c:spPr>
              <c:txPr>
                <a:bodyPr/>
                <a:lstStyle/>
                <a:p>
                  <a:pPr>
                    <a:defRPr sz="1100" b="0" i="0" u="none" strike="noStrike" baseline="0">
                      <a:solidFill>
                        <a:srgbClr val="333333"/>
                      </a:solidFill>
                      <a:latin typeface="Calibri"/>
                      <a:ea typeface="Calibri"/>
                      <a:cs typeface="Calibri"/>
                    </a:defRPr>
                  </a:pPr>
                  <a:endParaRPr lang="en-US"/>
                </a:p>
              </c:txPr>
              <c:dLblPos val="ctr"/>
              <c:showLegendKey val="0"/>
              <c:showVal val="0"/>
              <c:showCatName val="0"/>
              <c:showSerName val="0"/>
              <c:showPercent val="0"/>
              <c:showBubbleSize val="0"/>
              <c:extLst>
                <c:ext xmlns:c15="http://schemas.microsoft.com/office/drawing/2012/chart" uri="{CE6537A1-D6FC-4f65-9D91-7224C49458BB}">
                  <c15:dlblFieldTable>
                    <c15:dlblFTEntry>
                      <c15:txfldGUID>{8D133AE7-0BD9-4CF0-8412-D205DE514C6F}</c15:txfldGUID>
                      <c15:f>'Revenue required'!$E$156</c15:f>
                      <c15:dlblFieldTableCache>
                        <c:ptCount val="1"/>
                        <c:pt idx="0">
                          <c:v> -   </c:v>
                        </c:pt>
                      </c15:dlblFieldTableCache>
                    </c15:dlblFTEntry>
                  </c15:dlblFieldTable>
                  <c15:showDataLabelsRange val="0"/>
                </c:ext>
                <c:ext xmlns:c16="http://schemas.microsoft.com/office/drawing/2014/chart" uri="{C3380CC4-5D6E-409C-BE32-E72D297353CC}">
                  <c16:uniqueId val="{00000004-A596-4545-8F11-370CAD25D44E}"/>
                </c:ext>
              </c:extLst>
            </c:dLbl>
            <c:spPr>
              <a:noFill/>
              <a:ln w="25400">
                <a:noFill/>
              </a:ln>
            </c:spPr>
            <c:txPr>
              <a:bodyPr wrap="square" lIns="38100" tIns="19050" rIns="38100" bIns="19050" anchor="ctr">
                <a:spAutoFit/>
              </a:bodyPr>
              <a:lstStyle/>
              <a:p>
                <a:pPr>
                  <a:defRPr sz="1100" b="0" i="0" u="none" strike="noStrike" baseline="0">
                    <a:solidFill>
                      <a:srgbClr val="333333"/>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'Revenue required'!$E$156:$F$156</c:f>
            </c:numRef>
          </c:val>
          <c:extLst>
            <c:ext xmlns:c15="http://schemas.microsoft.com/office/drawing/2012/chart" uri="{02D57815-91ED-43cb-92C2-25804820EDAC}">
              <c15:filteredCategoryTitle>
                <c15:cat>
                  <c:multiLvlStrRef>
                    <c:extLst>
                      <c:ext uri="{02D57815-91ED-43cb-92C2-25804820EDAC}">
                        <c15:formulaRef>
                          <c15:sqref>'Revenue required'!$E$153:$F$153</c15:sqref>
                        </c15:formulaRef>
                      </c:ext>
                    </c:extLst>
                  </c:multiLvlStrRef>
                </c15:cat>
              </c15:filteredCategoryTitle>
            </c:ext>
            <c:ext xmlns:c16="http://schemas.microsoft.com/office/drawing/2014/chart" uri="{C3380CC4-5D6E-409C-BE32-E72D297353CC}">
              <c16:uniqueId val="{00000005-A596-4545-8F11-370CAD25D44E}"/>
            </c:ext>
          </c:extLst>
        </c:ser>
        <c:ser>
          <c:idx val="4"/>
          <c:order val="3"/>
          <c:tx>
            <c:strRef>
              <c:f>'Revenue required'!$D$157</c:f>
              <c:strCache>
                <c:ptCount val="1"/>
                <c:pt idx="0">
                  <c:v>Tariff revenue</c:v>
                </c:pt>
              </c:strCache>
            </c:strRef>
          </c:tx>
          <c:spPr>
            <a:solidFill>
              <a:schemeClr val="accent3">
                <a:lumMod val="75000"/>
              </a:schemeClr>
            </a:solidFill>
          </c:spPr>
          <c:invertIfNegative val="0"/>
          <c:dLbls>
            <c:dLbl>
              <c:idx val="1"/>
              <c:tx>
                <c:strRef>
                  <c:f>'Revenue required'!$F$157</c:f>
                  <c:strCache>
                    <c:ptCount val="1"/>
                    <c:pt idx="0">
                      <c:v> 108 238 </c:v>
                    </c:pt>
                  </c:strCache>
                </c:strRef>
              </c:tx>
              <c:spPr>
                <a:noFill/>
                <a:ln w="25400">
                  <a:noFill/>
                </a:ln>
              </c:spPr>
              <c:txPr>
                <a:bodyPr/>
                <a:lstStyle/>
                <a:p>
                  <a:pPr>
                    <a:defRPr sz="1100" b="0" i="0" u="none" strike="noStrike" baseline="0">
                      <a:solidFill>
                        <a:srgbClr val="333333"/>
                      </a:solidFill>
                      <a:latin typeface="Calibri"/>
                      <a:ea typeface="Calibri"/>
                      <a:cs typeface="Calibri"/>
                    </a:defRPr>
                  </a:pPr>
                  <a:endParaRPr lang="en-US"/>
                </a:p>
              </c:txPr>
              <c:dLblPos val="ctr"/>
              <c:showLegendKey val="0"/>
              <c:showVal val="0"/>
              <c:showCatName val="0"/>
              <c:showSerName val="0"/>
              <c:showPercent val="0"/>
              <c:showBubbleSize val="0"/>
              <c:extLst>
                <c:ext xmlns:c15="http://schemas.microsoft.com/office/drawing/2012/chart" uri="{CE6537A1-D6FC-4f65-9D91-7224C49458BB}">
                  <c15:dlblFieldTable>
                    <c15:dlblFTEntry>
                      <c15:txfldGUID>{2642285A-AE1D-40C2-9C45-1BEC09496559}</c15:txfldGUID>
                      <c15:f>'Revenue required'!$F$157</c15:f>
                      <c15:dlblFieldTableCache>
                        <c:ptCount val="1"/>
                        <c:pt idx="0">
                          <c:v> 108 238 </c:v>
                        </c:pt>
                      </c15:dlblFieldTableCache>
                    </c15:dlblFTEntry>
                  </c15:dlblFieldTable>
                  <c15:showDataLabelsRange val="0"/>
                </c:ext>
                <c:ext xmlns:c16="http://schemas.microsoft.com/office/drawing/2014/chart" uri="{C3380CC4-5D6E-409C-BE32-E72D297353CC}">
                  <c16:uniqueId val="{00000006-A596-4545-8F11-370CAD25D44E}"/>
                </c:ext>
              </c:extLst>
            </c:dLbl>
            <c:spPr>
              <a:noFill/>
              <a:ln w="25400">
                <a:noFill/>
              </a:ln>
            </c:spPr>
            <c:txPr>
              <a:bodyPr wrap="square" lIns="38100" tIns="19050" rIns="38100" bIns="19050" anchor="ctr">
                <a:spAutoFit/>
              </a:bodyPr>
              <a:lstStyle/>
              <a:p>
                <a:pPr>
                  <a:defRPr sz="1100" b="0" i="0" u="none" strike="noStrike" baseline="0">
                    <a:solidFill>
                      <a:srgbClr val="333333"/>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'Revenue required'!$E$157:$F$157</c:f>
            </c:numRef>
          </c:val>
          <c:extLst>
            <c:ext xmlns:c15="http://schemas.microsoft.com/office/drawing/2012/chart" uri="{02D57815-91ED-43cb-92C2-25804820EDAC}">
              <c15:filteredCategoryTitle>
                <c15:cat>
                  <c:multiLvlStrRef>
                    <c:extLst>
                      <c:ext uri="{02D57815-91ED-43cb-92C2-25804820EDAC}">
                        <c15:formulaRef>
                          <c15:sqref>'Revenue required'!$E$153:$F$153</c15:sqref>
                        </c15:formulaRef>
                      </c:ext>
                    </c:extLst>
                  </c:multiLvlStrRef>
                </c15:cat>
              </c15:filteredCategoryTitle>
            </c:ext>
            <c:ext xmlns:c16="http://schemas.microsoft.com/office/drawing/2014/chart" uri="{C3380CC4-5D6E-409C-BE32-E72D297353CC}">
              <c16:uniqueId val="{00000007-A596-4545-8F11-370CAD25D44E}"/>
            </c:ext>
          </c:extLst>
        </c:ser>
        <c:ser>
          <c:idx val="5"/>
          <c:order val="4"/>
          <c:tx>
            <c:strRef>
              <c:f>'Revenue required'!$D$158</c:f>
              <c:strCache>
                <c:ptCount val="1"/>
                <c:pt idx="0">
                  <c:v>Non-tariff revenue</c:v>
                </c:pt>
              </c:strCache>
            </c:strRef>
          </c:tx>
          <c:spPr>
            <a:solidFill>
              <a:schemeClr val="accent3"/>
            </a:solidFill>
          </c:spPr>
          <c:invertIfNegative val="0"/>
          <c:dLbls>
            <c:dLbl>
              <c:idx val="1"/>
              <c:tx>
                <c:strRef>
                  <c:f>'Revenue required'!$F$158</c:f>
                  <c:strCache>
                    <c:ptCount val="1"/>
                    <c:pt idx="0">
                      <c:v> 26 427 </c:v>
                    </c:pt>
                  </c:strCache>
                </c:strRef>
              </c:tx>
              <c:spPr>
                <a:noFill/>
                <a:ln w="25400">
                  <a:noFill/>
                </a:ln>
              </c:spPr>
              <c:txPr>
                <a:bodyPr/>
                <a:lstStyle/>
                <a:p>
                  <a:pPr>
                    <a:defRPr sz="1100" b="0" i="0" u="none" strike="noStrike" baseline="0">
                      <a:solidFill>
                        <a:srgbClr val="333333"/>
                      </a:solidFill>
                      <a:latin typeface="Calibri"/>
                      <a:ea typeface="Calibri"/>
                      <a:cs typeface="Calibri"/>
                    </a:defRPr>
                  </a:pPr>
                  <a:endParaRPr lang="en-US"/>
                </a:p>
              </c:txPr>
              <c:dLblPos val="ctr"/>
              <c:showLegendKey val="0"/>
              <c:showVal val="0"/>
              <c:showCatName val="0"/>
              <c:showSerName val="0"/>
              <c:showPercent val="0"/>
              <c:showBubbleSize val="0"/>
              <c:extLst>
                <c:ext xmlns:c15="http://schemas.microsoft.com/office/drawing/2012/chart" uri="{CE6537A1-D6FC-4f65-9D91-7224C49458BB}">
                  <c15:dlblFieldTable>
                    <c15:dlblFTEntry>
                      <c15:txfldGUID>{2DB921F4-6946-426D-90B0-AA6561E27EE7}</c15:txfldGUID>
                      <c15:f>'Revenue required'!$F$158</c15:f>
                      <c15:dlblFieldTableCache>
                        <c:ptCount val="1"/>
                        <c:pt idx="0">
                          <c:v> 26 427 </c:v>
                        </c:pt>
                      </c15:dlblFieldTableCache>
                    </c15:dlblFTEntry>
                  </c15:dlblFieldTable>
                  <c15:showDataLabelsRange val="0"/>
                </c:ext>
                <c:ext xmlns:c16="http://schemas.microsoft.com/office/drawing/2014/chart" uri="{C3380CC4-5D6E-409C-BE32-E72D297353CC}">
                  <c16:uniqueId val="{00000008-A596-4545-8F11-370CAD25D44E}"/>
                </c:ext>
              </c:extLst>
            </c:dLbl>
            <c:spPr>
              <a:noFill/>
              <a:ln w="25400">
                <a:noFill/>
              </a:ln>
            </c:spPr>
            <c:txPr>
              <a:bodyPr wrap="square" lIns="38100" tIns="19050" rIns="38100" bIns="19050" anchor="ctr">
                <a:spAutoFit/>
              </a:bodyPr>
              <a:lstStyle/>
              <a:p>
                <a:pPr>
                  <a:defRPr sz="1100" b="0" i="0" u="none" strike="noStrike" baseline="0">
                    <a:solidFill>
                      <a:srgbClr val="333333"/>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'Revenue required'!$E$158:$F$158</c:f>
            </c:numRef>
          </c:val>
          <c:extLst>
            <c:ext xmlns:c15="http://schemas.microsoft.com/office/drawing/2012/chart" uri="{02D57815-91ED-43cb-92C2-25804820EDAC}">
              <c15:filteredCategoryTitle>
                <c15:cat>
                  <c:multiLvlStrRef>
                    <c:extLst>
                      <c:ext uri="{02D57815-91ED-43cb-92C2-25804820EDAC}">
                        <c15:formulaRef>
                          <c15:sqref>'Revenue required'!$E$153:$F$153</c15:sqref>
                        </c15:formulaRef>
                      </c:ext>
                    </c:extLst>
                  </c:multiLvlStrRef>
                </c15:cat>
              </c15:filteredCategoryTitle>
            </c:ext>
            <c:ext xmlns:c16="http://schemas.microsoft.com/office/drawing/2014/chart" uri="{C3380CC4-5D6E-409C-BE32-E72D297353CC}">
              <c16:uniqueId val="{00000009-A596-4545-8F11-370CAD25D44E}"/>
            </c:ext>
          </c:extLst>
        </c:ser>
        <c:ser>
          <c:idx val="3"/>
          <c:order val="5"/>
          <c:tx>
            <c:strRef>
              <c:f>'Revenue required'!$D$159</c:f>
              <c:strCache>
                <c:ptCount val="1"/>
              </c:strCache>
            </c:strRef>
          </c:tx>
          <c:invertIfNegative val="0"/>
          <c:dLbls>
            <c:dLbl>
              <c:idx val="1"/>
              <c:tx>
                <c:strRef>
                  <c:f>'Revenue required'!$F$159</c:f>
                  <c:strCache>
                    <c:ptCount val="1"/>
                    <c:pt idx="0">
                      <c:v> -   </c:v>
                    </c:pt>
                  </c:strCache>
                </c:strRef>
              </c:tx>
              <c:spPr>
                <a:noFill/>
                <a:ln w="25400">
                  <a:noFill/>
                </a:ln>
              </c:spPr>
              <c:txPr>
                <a:bodyPr/>
                <a:lstStyle/>
                <a:p>
                  <a:pPr>
                    <a:defRPr sz="1100" b="0" i="0" u="none" strike="noStrike" baseline="0">
                      <a:solidFill>
                        <a:srgbClr val="333333"/>
                      </a:solidFill>
                      <a:latin typeface="Calibri"/>
                      <a:ea typeface="Calibri"/>
                      <a:cs typeface="Calibri"/>
                    </a:defRPr>
                  </a:pPr>
                  <a:endParaRPr lang="en-US"/>
                </a:p>
              </c:txPr>
              <c:dLblPos val="ctr"/>
              <c:showLegendKey val="0"/>
              <c:showVal val="0"/>
              <c:showCatName val="0"/>
              <c:showSerName val="0"/>
              <c:showPercent val="0"/>
              <c:showBubbleSize val="0"/>
              <c:extLst>
                <c:ext xmlns:c15="http://schemas.microsoft.com/office/drawing/2012/chart" uri="{CE6537A1-D6FC-4f65-9D91-7224C49458BB}">
                  <c15:dlblFieldTable>
                    <c15:dlblFTEntry>
                      <c15:txfldGUID>{06EAFCB7-7194-4C63-B650-A6D1700F7067}</c15:txfldGUID>
                      <c15:f>'Revenue required'!$F$159</c15:f>
                      <c15:dlblFieldTableCache>
                        <c:ptCount val="1"/>
                        <c:pt idx="0">
                          <c:v> -   </c:v>
                        </c:pt>
                      </c15:dlblFieldTableCache>
                    </c15:dlblFTEntry>
                  </c15:dlblFieldTable>
                  <c15:showDataLabelsRange val="0"/>
                </c:ext>
                <c:ext xmlns:c16="http://schemas.microsoft.com/office/drawing/2014/chart" uri="{C3380CC4-5D6E-409C-BE32-E72D297353CC}">
                  <c16:uniqueId val="{0000000A-A596-4545-8F11-370CAD25D44E}"/>
                </c:ext>
              </c:extLst>
            </c:dLbl>
            <c:spPr>
              <a:noFill/>
              <a:ln w="25400">
                <a:noFill/>
              </a:ln>
            </c:spPr>
            <c:txPr>
              <a:bodyPr wrap="square" lIns="38100" tIns="19050" rIns="38100" bIns="19050" anchor="ctr">
                <a:spAutoFit/>
              </a:bodyPr>
              <a:lstStyle/>
              <a:p>
                <a:pPr>
                  <a:defRPr sz="1100" b="0" i="0" u="none" strike="noStrike" baseline="0">
                    <a:solidFill>
                      <a:srgbClr val="333333"/>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'Revenue required'!$E$159:$F$159</c:f>
            </c:numRef>
          </c:val>
          <c:extLst>
            <c:ext xmlns:c15="http://schemas.microsoft.com/office/drawing/2012/chart" uri="{02D57815-91ED-43cb-92C2-25804820EDAC}">
              <c15:filteredCategoryTitle>
                <c15:cat>
                  <c:multiLvlStrRef>
                    <c:extLst>
                      <c:ext uri="{02D57815-91ED-43cb-92C2-25804820EDAC}">
                        <c15:formulaRef>
                          <c15:sqref>'Revenue required'!$E$153:$F$153</c15:sqref>
                        </c15:formulaRef>
                      </c:ext>
                    </c:extLst>
                  </c:multiLvlStrRef>
                </c15:cat>
              </c15:filteredCategoryTitle>
            </c:ext>
            <c:ext xmlns:c16="http://schemas.microsoft.com/office/drawing/2014/chart" uri="{C3380CC4-5D6E-409C-BE32-E72D297353CC}">
              <c16:uniqueId val="{0000000B-A596-4545-8F11-370CAD25D44E}"/>
            </c:ext>
          </c:extLst>
        </c:ser>
        <c:dLbls>
          <c:showLegendKey val="0"/>
          <c:showVal val="0"/>
          <c:showCatName val="0"/>
          <c:showSerName val="0"/>
          <c:showPercent val="0"/>
          <c:showBubbleSize val="0"/>
        </c:dLbls>
        <c:gapWidth val="25"/>
        <c:overlap val="100"/>
        <c:axId val="1350478319"/>
        <c:axId val="1"/>
      </c:barChart>
      <c:catAx>
        <c:axId val="1350478319"/>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0" vert="horz"/>
          <a:lstStyle/>
          <a:p>
            <a:pPr>
              <a:defRPr sz="1100" b="0" i="0" u="none" strike="noStrike" baseline="0">
                <a:solidFill>
                  <a:srgbClr val="333333"/>
                </a:solidFill>
                <a:latin typeface="Calibri"/>
                <a:ea typeface="Calibri"/>
                <a:cs typeface="Calibri"/>
              </a:defRPr>
            </a:pPr>
            <a:endParaRPr lang="en-US"/>
          </a:p>
        </c:txPr>
        <c:crossAx val="1"/>
        <c:crosses val="autoZero"/>
        <c:auto val="1"/>
        <c:lblAlgn val="ctr"/>
        <c:lblOffset val="100"/>
        <c:noMultiLvlLbl val="0"/>
      </c:catAx>
      <c:valAx>
        <c:axId val="1"/>
        <c:scaling>
          <c:orientation val="minMax"/>
        </c:scaling>
        <c:delete val="1"/>
        <c:axPos val="l"/>
        <c:majorGridlines>
          <c:spPr>
            <a:ln w="9525" cap="flat" cmpd="sng" algn="ctr">
              <a:solidFill>
                <a:schemeClr val="tx1">
                  <a:lumMod val="15000"/>
                  <a:lumOff val="85000"/>
                </a:schemeClr>
              </a:solidFill>
              <a:round/>
            </a:ln>
            <a:effectLst/>
          </c:spPr>
        </c:majorGridlines>
        <c:numFmt formatCode="_-* #\ ##0_-;\-* #\ ##0_-;_-* &quot;-&quot;??_-;_-@_-" sourceLinked="1"/>
        <c:majorTickMark val="out"/>
        <c:minorTickMark val="none"/>
        <c:tickLblPos val="nextTo"/>
        <c:crossAx val="1350478319"/>
        <c:crosses val="autoZero"/>
        <c:crossBetween val="between"/>
      </c:valAx>
    </c:plotArea>
    <c:plotVisOnly val="1"/>
    <c:dispBlanksAs val="gap"/>
    <c:showDLblsOverMax val="0"/>
  </c:chart>
  <c:spPr>
    <a:solidFill>
      <a:schemeClr val="bg1"/>
    </a:solidFill>
    <a:ln w="9525" cap="flat" cmpd="sng" algn="ctr">
      <a:noFill/>
      <a:round/>
    </a:ln>
    <a:effectLst/>
  </c:spPr>
  <c:txPr>
    <a:bodyPr/>
    <a:lstStyle/>
    <a:p>
      <a:pPr>
        <a:defRPr sz="11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charts/chart1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320" b="0" i="0" u="none" strike="noStrike" baseline="0">
                <a:solidFill>
                  <a:srgbClr val="333333"/>
                </a:solidFill>
                <a:latin typeface="Calibri"/>
                <a:ea typeface="Calibri"/>
                <a:cs typeface="Calibri"/>
              </a:defRPr>
            </a:pPr>
            <a:r>
              <a:rPr lang="en-ZA"/>
              <a:t>Budget funding: water service: %s</a:t>
            </a:r>
          </a:p>
        </c:rich>
      </c:tx>
      <c:layout>
        <c:manualLayout>
          <c:xMode val="edge"/>
          <c:yMode val="edge"/>
          <c:x val="3.5577825499085343E-2"/>
          <c:y val="5.0906329016565235E-2"/>
        </c:manualLayout>
      </c:layout>
      <c:overlay val="0"/>
      <c:spPr>
        <a:noFill/>
        <a:ln w="25400">
          <a:noFill/>
        </a:ln>
      </c:spPr>
    </c:title>
    <c:autoTitleDeleted val="0"/>
    <c:plotArea>
      <c:layout/>
      <c:barChart>
        <c:barDir val="col"/>
        <c:grouping val="percentStacked"/>
        <c:varyColors val="0"/>
        <c:ser>
          <c:idx val="0"/>
          <c:order val="0"/>
          <c:tx>
            <c:strRef>
              <c:f>'Revenue required'!$G$154</c:f>
              <c:strCache>
                <c:ptCount val="1"/>
                <c:pt idx="0">
                  <c:v>Direct cost</c:v>
                </c:pt>
              </c:strCache>
            </c:strRef>
          </c:tx>
          <c:spPr>
            <a:solidFill>
              <a:schemeClr val="accent5"/>
            </a:solidFill>
          </c:spPr>
          <c:invertIfNegative val="0"/>
          <c:dLbls>
            <c:spPr>
              <a:noFill/>
              <a:ln w="25400">
                <a:noFill/>
              </a:ln>
            </c:spPr>
            <c:txPr>
              <a:bodyPr wrap="square" lIns="38100" tIns="19050" rIns="38100" bIns="19050" anchor="ctr">
                <a:spAutoFit/>
              </a:bodyPr>
              <a:lstStyle/>
              <a:p>
                <a:pPr>
                  <a:defRPr sz="1100" b="0" i="0" u="none" strike="noStrike" baseline="0">
                    <a:solidFill>
                      <a:srgbClr val="333333"/>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'Revenue required'!$H$154:$I$154</c:f>
            </c:numRef>
          </c:val>
          <c:extLst>
            <c:ext xmlns:c15="http://schemas.microsoft.com/office/drawing/2012/chart" uri="{02D57815-91ED-43cb-92C2-25804820EDAC}">
              <c15:filteredCategoryTitle>
                <c15:cat>
                  <c:multiLvlStrRef>
                    <c:extLst>
                      <c:ext uri="{02D57815-91ED-43cb-92C2-25804820EDAC}">
                        <c15:formulaRef>
                          <c15:sqref>'Revenue required'!$H$153:$I$153</c15:sqref>
                        </c15:formulaRef>
                      </c:ext>
                    </c:extLst>
                  </c:multiLvlStrRef>
                </c15:cat>
              </c15:filteredCategoryTitle>
            </c:ext>
            <c:ext xmlns:c16="http://schemas.microsoft.com/office/drawing/2014/chart" uri="{C3380CC4-5D6E-409C-BE32-E72D297353CC}">
              <c16:uniqueId val="{00000000-9462-4926-AD6C-C49A4735674B}"/>
            </c:ext>
          </c:extLst>
        </c:ser>
        <c:ser>
          <c:idx val="1"/>
          <c:order val="1"/>
          <c:tx>
            <c:strRef>
              <c:f>'Revenue required'!$G$155</c:f>
              <c:strCache>
                <c:ptCount val="1"/>
                <c:pt idx="0">
                  <c:v>Indirect cost</c:v>
                </c:pt>
              </c:strCache>
            </c:strRef>
          </c:tx>
          <c:spPr>
            <a:solidFill>
              <a:schemeClr val="accent5">
                <a:lumMod val="60000"/>
                <a:lumOff val="40000"/>
              </a:schemeClr>
            </a:solidFill>
          </c:spPr>
          <c:invertIfNegative val="0"/>
          <c:dLbls>
            <c:spPr>
              <a:noFill/>
              <a:ln w="25400">
                <a:noFill/>
              </a:ln>
            </c:spPr>
            <c:txPr>
              <a:bodyPr wrap="square" lIns="38100" tIns="19050" rIns="38100" bIns="19050" anchor="ctr">
                <a:spAutoFit/>
              </a:bodyPr>
              <a:lstStyle/>
              <a:p>
                <a:pPr>
                  <a:defRPr sz="1100" b="0" i="0" u="none" strike="noStrike" baseline="0">
                    <a:solidFill>
                      <a:srgbClr val="333333"/>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'Revenue required'!$H$155:$I$155</c:f>
            </c:numRef>
          </c:val>
          <c:extLst>
            <c:ext xmlns:c15="http://schemas.microsoft.com/office/drawing/2012/chart" uri="{02D57815-91ED-43cb-92C2-25804820EDAC}">
              <c15:filteredCategoryTitle>
                <c15:cat>
                  <c:multiLvlStrRef>
                    <c:extLst>
                      <c:ext uri="{02D57815-91ED-43cb-92C2-25804820EDAC}">
                        <c15:formulaRef>
                          <c15:sqref>'Revenue required'!$H$153:$I$153</c15:sqref>
                        </c15:formulaRef>
                      </c:ext>
                    </c:extLst>
                  </c:multiLvlStrRef>
                </c15:cat>
              </c15:filteredCategoryTitle>
            </c:ext>
            <c:ext xmlns:c16="http://schemas.microsoft.com/office/drawing/2014/chart" uri="{C3380CC4-5D6E-409C-BE32-E72D297353CC}">
              <c16:uniqueId val="{00000001-9462-4926-AD6C-C49A4735674B}"/>
            </c:ext>
          </c:extLst>
        </c:ser>
        <c:ser>
          <c:idx val="2"/>
          <c:order val="2"/>
          <c:tx>
            <c:strRef>
              <c:f>'Revenue required'!$G$156</c:f>
              <c:strCache>
                <c:ptCount val="1"/>
              </c:strCache>
            </c:strRef>
          </c:tx>
          <c:spPr>
            <a:solidFill>
              <a:schemeClr val="accent6"/>
            </a:solidFill>
          </c:spPr>
          <c:invertIfNegative val="0"/>
          <c:dLbls>
            <c:spPr>
              <a:noFill/>
              <a:ln w="25400">
                <a:noFill/>
              </a:ln>
            </c:spPr>
            <c:txPr>
              <a:bodyPr wrap="square" lIns="38100" tIns="19050" rIns="38100" bIns="19050" anchor="ctr">
                <a:spAutoFit/>
              </a:bodyPr>
              <a:lstStyle/>
              <a:p>
                <a:pPr>
                  <a:defRPr sz="1100" b="0" i="0" u="none" strike="noStrike" baseline="0">
                    <a:solidFill>
                      <a:srgbClr val="333333"/>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'Revenue required'!$H$156:$I$156</c:f>
            </c:numRef>
          </c:val>
          <c:extLst>
            <c:ext xmlns:c15="http://schemas.microsoft.com/office/drawing/2012/chart" uri="{02D57815-91ED-43cb-92C2-25804820EDAC}">
              <c15:filteredCategoryTitle>
                <c15:cat>
                  <c:multiLvlStrRef>
                    <c:extLst>
                      <c:ext uri="{02D57815-91ED-43cb-92C2-25804820EDAC}">
                        <c15:formulaRef>
                          <c15:sqref>'Revenue required'!$H$153:$I$153</c15:sqref>
                        </c15:formulaRef>
                      </c:ext>
                    </c:extLst>
                  </c:multiLvlStrRef>
                </c15:cat>
              </c15:filteredCategoryTitle>
            </c:ext>
            <c:ext xmlns:c16="http://schemas.microsoft.com/office/drawing/2014/chart" uri="{C3380CC4-5D6E-409C-BE32-E72D297353CC}">
              <c16:uniqueId val="{00000002-9462-4926-AD6C-C49A4735674B}"/>
            </c:ext>
          </c:extLst>
        </c:ser>
        <c:ser>
          <c:idx val="4"/>
          <c:order val="3"/>
          <c:tx>
            <c:strRef>
              <c:f>'Revenue required'!$G$157</c:f>
              <c:strCache>
                <c:ptCount val="1"/>
                <c:pt idx="0">
                  <c:v>Tariff revenue</c:v>
                </c:pt>
              </c:strCache>
            </c:strRef>
          </c:tx>
          <c:spPr>
            <a:solidFill>
              <a:schemeClr val="accent3">
                <a:lumMod val="75000"/>
              </a:schemeClr>
            </a:solidFill>
          </c:spPr>
          <c:invertIfNegative val="0"/>
          <c:dLbls>
            <c:spPr>
              <a:noFill/>
              <a:ln w="25400">
                <a:noFill/>
              </a:ln>
            </c:spPr>
            <c:txPr>
              <a:bodyPr wrap="square" lIns="38100" tIns="19050" rIns="38100" bIns="19050" anchor="ctr">
                <a:spAutoFit/>
              </a:bodyPr>
              <a:lstStyle/>
              <a:p>
                <a:pPr>
                  <a:defRPr sz="1100" b="0" i="0" u="none" strike="noStrike" baseline="0">
                    <a:solidFill>
                      <a:srgbClr val="333333"/>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'Revenue required'!$H$157:$I$157</c:f>
            </c:numRef>
          </c:val>
          <c:extLst>
            <c:ext xmlns:c15="http://schemas.microsoft.com/office/drawing/2012/chart" uri="{02D57815-91ED-43cb-92C2-25804820EDAC}">
              <c15:filteredCategoryTitle>
                <c15:cat>
                  <c:multiLvlStrRef>
                    <c:extLst>
                      <c:ext uri="{02D57815-91ED-43cb-92C2-25804820EDAC}">
                        <c15:formulaRef>
                          <c15:sqref>'Revenue required'!$H$153:$I$153</c15:sqref>
                        </c15:formulaRef>
                      </c:ext>
                    </c:extLst>
                  </c:multiLvlStrRef>
                </c15:cat>
              </c15:filteredCategoryTitle>
            </c:ext>
            <c:ext xmlns:c16="http://schemas.microsoft.com/office/drawing/2014/chart" uri="{C3380CC4-5D6E-409C-BE32-E72D297353CC}">
              <c16:uniqueId val="{00000003-9462-4926-AD6C-C49A4735674B}"/>
            </c:ext>
          </c:extLst>
        </c:ser>
        <c:ser>
          <c:idx val="5"/>
          <c:order val="4"/>
          <c:tx>
            <c:strRef>
              <c:f>'Revenue required'!$G$158</c:f>
              <c:strCache>
                <c:ptCount val="1"/>
                <c:pt idx="0">
                  <c:v>Non-tariff revenue</c:v>
                </c:pt>
              </c:strCache>
            </c:strRef>
          </c:tx>
          <c:spPr>
            <a:solidFill>
              <a:schemeClr val="accent3"/>
            </a:solidFill>
          </c:spPr>
          <c:invertIfNegative val="0"/>
          <c:dLbls>
            <c:spPr>
              <a:noFill/>
              <a:ln w="25400">
                <a:noFill/>
              </a:ln>
            </c:spPr>
            <c:txPr>
              <a:bodyPr wrap="square" lIns="38100" tIns="19050" rIns="38100" bIns="19050" anchor="ctr">
                <a:spAutoFit/>
              </a:bodyPr>
              <a:lstStyle/>
              <a:p>
                <a:pPr>
                  <a:defRPr sz="1100" b="0" i="0" u="none" strike="noStrike" baseline="0">
                    <a:solidFill>
                      <a:srgbClr val="333333"/>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'Revenue required'!$H$158:$I$158</c:f>
            </c:numRef>
          </c:val>
          <c:extLst>
            <c:ext xmlns:c15="http://schemas.microsoft.com/office/drawing/2012/chart" uri="{02D57815-91ED-43cb-92C2-25804820EDAC}">
              <c15:filteredCategoryTitle>
                <c15:cat>
                  <c:multiLvlStrRef>
                    <c:extLst>
                      <c:ext uri="{02D57815-91ED-43cb-92C2-25804820EDAC}">
                        <c15:formulaRef>
                          <c15:sqref>'Revenue required'!$H$153:$I$153</c15:sqref>
                        </c15:formulaRef>
                      </c:ext>
                    </c:extLst>
                  </c:multiLvlStrRef>
                </c15:cat>
              </c15:filteredCategoryTitle>
            </c:ext>
            <c:ext xmlns:c16="http://schemas.microsoft.com/office/drawing/2014/chart" uri="{C3380CC4-5D6E-409C-BE32-E72D297353CC}">
              <c16:uniqueId val="{00000004-9462-4926-AD6C-C49A4735674B}"/>
            </c:ext>
          </c:extLst>
        </c:ser>
        <c:ser>
          <c:idx val="3"/>
          <c:order val="5"/>
          <c:tx>
            <c:strRef>
              <c:f>'Revenue required'!$G$159</c:f>
              <c:strCache>
                <c:ptCount val="1"/>
              </c:strCache>
            </c:strRef>
          </c:tx>
          <c:invertIfNegative val="0"/>
          <c:dLbls>
            <c:spPr>
              <a:noFill/>
              <a:ln w="25400">
                <a:noFill/>
              </a:ln>
            </c:spPr>
            <c:txPr>
              <a:bodyPr wrap="square" lIns="38100" tIns="19050" rIns="38100" bIns="19050" anchor="ctr">
                <a:spAutoFit/>
              </a:bodyPr>
              <a:lstStyle/>
              <a:p>
                <a:pPr>
                  <a:defRPr sz="1100" b="0" i="0" u="none" strike="noStrike" baseline="0">
                    <a:solidFill>
                      <a:srgbClr val="333333"/>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'Revenue required'!$H$159:$I$159</c:f>
            </c:numRef>
          </c:val>
          <c:extLst>
            <c:ext xmlns:c15="http://schemas.microsoft.com/office/drawing/2012/chart" uri="{02D57815-91ED-43cb-92C2-25804820EDAC}">
              <c15:filteredCategoryTitle>
                <c15:cat>
                  <c:multiLvlStrRef>
                    <c:extLst>
                      <c:ext uri="{02D57815-91ED-43cb-92C2-25804820EDAC}">
                        <c15:formulaRef>
                          <c15:sqref>'Revenue required'!$H$153:$I$153</c15:sqref>
                        </c15:formulaRef>
                      </c:ext>
                    </c:extLst>
                  </c:multiLvlStrRef>
                </c15:cat>
              </c15:filteredCategoryTitle>
            </c:ext>
            <c:ext xmlns:c16="http://schemas.microsoft.com/office/drawing/2014/chart" uri="{C3380CC4-5D6E-409C-BE32-E72D297353CC}">
              <c16:uniqueId val="{00000005-9462-4926-AD6C-C49A4735674B}"/>
            </c:ext>
          </c:extLst>
        </c:ser>
        <c:dLbls>
          <c:showLegendKey val="0"/>
          <c:showVal val="0"/>
          <c:showCatName val="0"/>
          <c:showSerName val="0"/>
          <c:showPercent val="0"/>
          <c:showBubbleSize val="0"/>
        </c:dLbls>
        <c:gapWidth val="25"/>
        <c:overlap val="100"/>
        <c:axId val="1350483599"/>
        <c:axId val="1"/>
      </c:barChart>
      <c:catAx>
        <c:axId val="1350483599"/>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0" vert="horz"/>
          <a:lstStyle/>
          <a:p>
            <a:pPr>
              <a:defRPr sz="1100" b="0" i="0" u="none" strike="noStrike" baseline="0">
                <a:solidFill>
                  <a:srgbClr val="333333"/>
                </a:solidFill>
                <a:latin typeface="Calibri"/>
                <a:ea typeface="Calibri"/>
                <a:cs typeface="Calibri"/>
              </a:defRPr>
            </a:pPr>
            <a:endParaRPr lang="en-US"/>
          </a:p>
        </c:txPr>
        <c:crossAx val="1"/>
        <c:crosses val="autoZero"/>
        <c:auto val="1"/>
        <c:lblAlgn val="ctr"/>
        <c:lblOffset val="100"/>
        <c:noMultiLvlLbl val="0"/>
      </c:catAx>
      <c:valAx>
        <c:axId val="1"/>
        <c:scaling>
          <c:orientation val="minMax"/>
        </c:scaling>
        <c:delete val="1"/>
        <c:axPos val="l"/>
        <c:majorGridlines>
          <c:spPr>
            <a:ln w="9525" cap="flat" cmpd="sng" algn="ctr">
              <a:solidFill>
                <a:schemeClr val="tx1">
                  <a:lumMod val="15000"/>
                  <a:lumOff val="85000"/>
                </a:schemeClr>
              </a:solidFill>
              <a:round/>
            </a:ln>
            <a:effectLst/>
          </c:spPr>
        </c:majorGridlines>
        <c:numFmt formatCode="0%" sourceLinked="1"/>
        <c:majorTickMark val="out"/>
        <c:minorTickMark val="none"/>
        <c:tickLblPos val="nextTo"/>
        <c:crossAx val="1350483599"/>
        <c:crosses val="autoZero"/>
        <c:crossBetween val="between"/>
      </c:valAx>
    </c:plotArea>
    <c:plotVisOnly val="1"/>
    <c:dispBlanksAs val="gap"/>
    <c:showDLblsOverMax val="0"/>
  </c:chart>
  <c:spPr>
    <a:solidFill>
      <a:schemeClr val="bg1"/>
    </a:solidFill>
    <a:ln w="9525" cap="flat" cmpd="sng" algn="ctr">
      <a:noFill/>
      <a:round/>
    </a:ln>
    <a:effectLst/>
  </c:spPr>
  <c:txPr>
    <a:bodyPr/>
    <a:lstStyle/>
    <a:p>
      <a:pPr>
        <a:defRPr sz="11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charts/chart1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320" b="0" i="0" u="none" strike="noStrike" baseline="0">
                <a:solidFill>
                  <a:srgbClr val="333333"/>
                </a:solidFill>
                <a:latin typeface="Calibri"/>
                <a:ea typeface="Calibri"/>
                <a:cs typeface="Calibri"/>
              </a:defRPr>
            </a:pPr>
            <a:r>
              <a:rPr lang="en-ZA"/>
              <a:t>Budget funding: sanitation service: categories</a:t>
            </a:r>
          </a:p>
        </c:rich>
      </c:tx>
      <c:layout>
        <c:manualLayout>
          <c:xMode val="edge"/>
          <c:yMode val="edge"/>
          <c:x val="6.8345876654920895E-2"/>
          <c:y val="4.1609029640525708E-2"/>
        </c:manualLayout>
      </c:layout>
      <c:overlay val="0"/>
      <c:spPr>
        <a:noFill/>
        <a:ln w="25400">
          <a:noFill/>
        </a:ln>
      </c:spPr>
    </c:title>
    <c:autoTitleDeleted val="0"/>
    <c:plotArea>
      <c:layout/>
      <c:barChart>
        <c:barDir val="col"/>
        <c:grouping val="stacked"/>
        <c:varyColors val="0"/>
        <c:ser>
          <c:idx val="0"/>
          <c:order val="0"/>
          <c:tx>
            <c:strRef>
              <c:f>'Revenue required'!$D$164</c:f>
              <c:strCache>
                <c:ptCount val="1"/>
                <c:pt idx="0">
                  <c:v>Direct cost</c:v>
                </c:pt>
              </c:strCache>
            </c:strRef>
          </c:tx>
          <c:spPr>
            <a:solidFill>
              <a:schemeClr val="accent5"/>
            </a:solidFill>
          </c:spPr>
          <c:invertIfNegative val="0"/>
          <c:dLbls>
            <c:dLbl>
              <c:idx val="0"/>
              <c:tx>
                <c:strRef>
                  <c:f>'Revenue required'!$D$164</c:f>
                  <c:strCache>
                    <c:ptCount val="1"/>
                    <c:pt idx="0">
                      <c:v>Direct cost</c:v>
                    </c:pt>
                  </c:strCache>
                </c:strRef>
              </c:tx>
              <c:spPr>
                <a:noFill/>
                <a:ln w="25400">
                  <a:noFill/>
                </a:ln>
              </c:spPr>
              <c:txPr>
                <a:bodyPr/>
                <a:lstStyle/>
                <a:p>
                  <a:pPr>
                    <a:defRPr sz="1100" b="0" i="0" u="none" strike="noStrike" baseline="0">
                      <a:solidFill>
                        <a:srgbClr val="333333"/>
                      </a:solidFill>
                      <a:latin typeface="Calibri"/>
                      <a:ea typeface="Calibri"/>
                      <a:cs typeface="Calibri"/>
                    </a:defRPr>
                  </a:pPr>
                  <a:endParaRPr lang="en-US"/>
                </a:p>
              </c:txPr>
              <c:dLblPos val="ctr"/>
              <c:showLegendKey val="0"/>
              <c:showVal val="0"/>
              <c:showCatName val="0"/>
              <c:showSerName val="0"/>
              <c:showPercent val="0"/>
              <c:showBubbleSize val="0"/>
              <c:extLst>
                <c:ext xmlns:c15="http://schemas.microsoft.com/office/drawing/2012/chart" uri="{CE6537A1-D6FC-4f65-9D91-7224C49458BB}">
                  <c15:dlblFieldTable>
                    <c15:dlblFTEntry>
                      <c15:txfldGUID>{23FCBD5C-C9BC-4409-BCF2-9CA548DF2E05}</c15:txfldGUID>
                      <c15:f>'Revenue required'!$D$164</c15:f>
                      <c15:dlblFieldTableCache>
                        <c:ptCount val="1"/>
                        <c:pt idx="0">
                          <c:v>Direct cost</c:v>
                        </c:pt>
                      </c15:dlblFieldTableCache>
                    </c15:dlblFTEntry>
                  </c15:dlblFieldTable>
                  <c15:showDataLabelsRange val="0"/>
                </c:ext>
                <c:ext xmlns:c16="http://schemas.microsoft.com/office/drawing/2014/chart" uri="{C3380CC4-5D6E-409C-BE32-E72D297353CC}">
                  <c16:uniqueId val="{00000000-46BA-4F2D-83B2-3A54C8043F2D}"/>
                </c:ext>
              </c:extLst>
            </c:dLbl>
            <c:spPr>
              <a:noFill/>
              <a:ln w="25400">
                <a:noFill/>
              </a:ln>
            </c:spPr>
            <c:txPr>
              <a:bodyPr wrap="square" lIns="38100" tIns="19050" rIns="38100" bIns="19050" anchor="ctr">
                <a:spAutoFit/>
              </a:bodyPr>
              <a:lstStyle/>
              <a:p>
                <a:pPr>
                  <a:defRPr sz="1100" b="0" i="0" u="none" strike="noStrike" baseline="0">
                    <a:solidFill>
                      <a:srgbClr val="333333"/>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'Revenue required'!$E$164:$F$164</c:f>
            </c:numRef>
          </c:val>
          <c:extLst>
            <c:ext xmlns:c15="http://schemas.microsoft.com/office/drawing/2012/chart" uri="{02D57815-91ED-43cb-92C2-25804820EDAC}">
              <c15:filteredCategoryTitle>
                <c15:cat>
                  <c:multiLvlStrRef>
                    <c:extLst>
                      <c:ext uri="{02D57815-91ED-43cb-92C2-25804820EDAC}">
                        <c15:formulaRef>
                          <c15:sqref>'Revenue required'!$E$163:$F$163</c15:sqref>
                        </c15:formulaRef>
                      </c:ext>
                    </c:extLst>
                  </c:multiLvlStrRef>
                </c15:cat>
              </c15:filteredCategoryTitle>
            </c:ext>
            <c:ext xmlns:c16="http://schemas.microsoft.com/office/drawing/2014/chart" uri="{C3380CC4-5D6E-409C-BE32-E72D297353CC}">
              <c16:uniqueId val="{00000001-46BA-4F2D-83B2-3A54C8043F2D}"/>
            </c:ext>
          </c:extLst>
        </c:ser>
        <c:ser>
          <c:idx val="1"/>
          <c:order val="1"/>
          <c:tx>
            <c:strRef>
              <c:f>'Revenue required'!$D$165</c:f>
              <c:strCache>
                <c:ptCount val="1"/>
                <c:pt idx="0">
                  <c:v>Indirect cost</c:v>
                </c:pt>
              </c:strCache>
            </c:strRef>
          </c:tx>
          <c:spPr>
            <a:solidFill>
              <a:schemeClr val="accent5">
                <a:lumMod val="60000"/>
                <a:lumOff val="40000"/>
              </a:schemeClr>
            </a:solidFill>
          </c:spPr>
          <c:invertIfNegative val="0"/>
          <c:dLbls>
            <c:dLbl>
              <c:idx val="0"/>
              <c:tx>
                <c:strRef>
                  <c:f>'Revenue required'!$D$165</c:f>
                  <c:strCache>
                    <c:ptCount val="1"/>
                    <c:pt idx="0">
                      <c:v>Indirect cost</c:v>
                    </c:pt>
                  </c:strCache>
                </c:strRef>
              </c:tx>
              <c:spPr>
                <a:noFill/>
                <a:ln w="25400">
                  <a:noFill/>
                </a:ln>
              </c:spPr>
              <c:txPr>
                <a:bodyPr/>
                <a:lstStyle/>
                <a:p>
                  <a:pPr>
                    <a:defRPr sz="1100" b="0" i="0" u="none" strike="noStrike" baseline="0">
                      <a:solidFill>
                        <a:srgbClr val="333333"/>
                      </a:solidFill>
                      <a:latin typeface="Calibri"/>
                      <a:ea typeface="Calibri"/>
                      <a:cs typeface="Calibri"/>
                    </a:defRPr>
                  </a:pPr>
                  <a:endParaRPr lang="en-US"/>
                </a:p>
              </c:txPr>
              <c:dLblPos val="ctr"/>
              <c:showLegendKey val="0"/>
              <c:showVal val="0"/>
              <c:showCatName val="0"/>
              <c:showSerName val="0"/>
              <c:showPercent val="0"/>
              <c:showBubbleSize val="0"/>
              <c:extLst>
                <c:ext xmlns:c15="http://schemas.microsoft.com/office/drawing/2012/chart" uri="{CE6537A1-D6FC-4f65-9D91-7224C49458BB}">
                  <c15:dlblFieldTable>
                    <c15:dlblFTEntry>
                      <c15:txfldGUID>{2B8B6E66-9C98-47F7-A253-F2C6C123377D}</c15:txfldGUID>
                      <c15:f>'Revenue required'!$D$165</c15:f>
                      <c15:dlblFieldTableCache>
                        <c:ptCount val="1"/>
                        <c:pt idx="0">
                          <c:v>Indirect cost</c:v>
                        </c:pt>
                      </c15:dlblFieldTableCache>
                    </c15:dlblFTEntry>
                  </c15:dlblFieldTable>
                  <c15:showDataLabelsRange val="0"/>
                </c:ext>
                <c:ext xmlns:c16="http://schemas.microsoft.com/office/drawing/2014/chart" uri="{C3380CC4-5D6E-409C-BE32-E72D297353CC}">
                  <c16:uniqueId val="{00000002-46BA-4F2D-83B2-3A54C8043F2D}"/>
                </c:ext>
              </c:extLst>
            </c:dLbl>
            <c:spPr>
              <a:noFill/>
              <a:ln w="25400">
                <a:noFill/>
              </a:ln>
            </c:spPr>
            <c:txPr>
              <a:bodyPr wrap="square" lIns="38100" tIns="19050" rIns="38100" bIns="19050" anchor="ctr">
                <a:spAutoFit/>
              </a:bodyPr>
              <a:lstStyle/>
              <a:p>
                <a:pPr>
                  <a:defRPr sz="1100" b="0" i="0" u="none" strike="noStrike" baseline="0">
                    <a:solidFill>
                      <a:srgbClr val="333333"/>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'Revenue required'!$E$165:$F$165</c:f>
            </c:numRef>
          </c:val>
          <c:extLst>
            <c:ext xmlns:c15="http://schemas.microsoft.com/office/drawing/2012/chart" uri="{02D57815-91ED-43cb-92C2-25804820EDAC}">
              <c15:filteredCategoryTitle>
                <c15:cat>
                  <c:multiLvlStrRef>
                    <c:extLst>
                      <c:ext uri="{02D57815-91ED-43cb-92C2-25804820EDAC}">
                        <c15:formulaRef>
                          <c15:sqref>'Revenue required'!$E$163:$F$163</c15:sqref>
                        </c15:formulaRef>
                      </c:ext>
                    </c:extLst>
                  </c:multiLvlStrRef>
                </c15:cat>
              </c15:filteredCategoryTitle>
            </c:ext>
            <c:ext xmlns:c16="http://schemas.microsoft.com/office/drawing/2014/chart" uri="{C3380CC4-5D6E-409C-BE32-E72D297353CC}">
              <c16:uniqueId val="{00000003-46BA-4F2D-83B2-3A54C8043F2D}"/>
            </c:ext>
          </c:extLst>
        </c:ser>
        <c:ser>
          <c:idx val="2"/>
          <c:order val="2"/>
          <c:tx>
            <c:strRef>
              <c:f>'Revenue required'!$D$166</c:f>
              <c:strCache>
                <c:ptCount val="1"/>
              </c:strCache>
            </c:strRef>
          </c:tx>
          <c:spPr>
            <a:solidFill>
              <a:schemeClr val="accent6"/>
            </a:solidFill>
          </c:spPr>
          <c:invertIfNegative val="0"/>
          <c:dLbls>
            <c:dLbl>
              <c:idx val="0"/>
              <c:tx>
                <c:strRef>
                  <c:f>'Revenue required'!$D$166</c:f>
                  <c:strCache>
                    <c:ptCount val="1"/>
                  </c:strCache>
                </c:strRef>
              </c:tx>
              <c:spPr>
                <a:noFill/>
                <a:ln w="25400">
                  <a:noFill/>
                </a:ln>
              </c:spPr>
              <c:txPr>
                <a:bodyPr/>
                <a:lstStyle/>
                <a:p>
                  <a:pPr>
                    <a:defRPr sz="1100" b="0" i="0" u="none" strike="noStrike" baseline="0">
                      <a:solidFill>
                        <a:srgbClr val="333333"/>
                      </a:solidFill>
                      <a:latin typeface="Calibri"/>
                      <a:ea typeface="Calibri"/>
                      <a:cs typeface="Calibri"/>
                    </a:defRPr>
                  </a:pPr>
                  <a:endParaRPr lang="en-US"/>
                </a:p>
              </c:txPr>
              <c:dLblPos val="ctr"/>
              <c:showLegendKey val="0"/>
              <c:showVal val="0"/>
              <c:showCatName val="0"/>
              <c:showSerName val="0"/>
              <c:showPercent val="0"/>
              <c:showBubbleSize val="0"/>
              <c:extLst>
                <c:ext xmlns:c15="http://schemas.microsoft.com/office/drawing/2012/chart" uri="{CE6537A1-D6FC-4f65-9D91-7224C49458BB}">
                  <c15:dlblFieldTable>
                    <c15:dlblFTEntry>
                      <c15:txfldGUID>{D01802CD-D24B-49D1-9954-47CDA53558A1}</c15:txfldGUID>
                      <c15:f>'Revenue required'!$D$166</c15:f>
                      <c15:dlblFieldTableCache>
                        <c:ptCount val="1"/>
                      </c15:dlblFieldTableCache>
                    </c15:dlblFTEntry>
                  </c15:dlblFieldTable>
                  <c15:showDataLabelsRange val="0"/>
                </c:ext>
                <c:ext xmlns:c16="http://schemas.microsoft.com/office/drawing/2014/chart" uri="{C3380CC4-5D6E-409C-BE32-E72D297353CC}">
                  <c16:uniqueId val="{00000004-46BA-4F2D-83B2-3A54C8043F2D}"/>
                </c:ext>
              </c:extLst>
            </c:dLbl>
            <c:spPr>
              <a:noFill/>
              <a:ln w="25400">
                <a:noFill/>
              </a:ln>
            </c:spPr>
            <c:txPr>
              <a:bodyPr wrap="square" lIns="38100" tIns="19050" rIns="38100" bIns="19050" anchor="ctr">
                <a:spAutoFit/>
              </a:bodyPr>
              <a:lstStyle/>
              <a:p>
                <a:pPr>
                  <a:defRPr sz="1100" b="0" i="0" u="none" strike="noStrike" baseline="0">
                    <a:solidFill>
                      <a:srgbClr val="333333"/>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'Revenue required'!$E$166:$F$166</c:f>
            </c:numRef>
          </c:val>
          <c:extLst>
            <c:ext xmlns:c15="http://schemas.microsoft.com/office/drawing/2012/chart" uri="{02D57815-91ED-43cb-92C2-25804820EDAC}">
              <c15:filteredCategoryTitle>
                <c15:cat>
                  <c:multiLvlStrRef>
                    <c:extLst>
                      <c:ext uri="{02D57815-91ED-43cb-92C2-25804820EDAC}">
                        <c15:formulaRef>
                          <c15:sqref>'Revenue required'!$E$163:$F$163</c15:sqref>
                        </c15:formulaRef>
                      </c:ext>
                    </c:extLst>
                  </c:multiLvlStrRef>
                </c15:cat>
              </c15:filteredCategoryTitle>
            </c:ext>
            <c:ext xmlns:c16="http://schemas.microsoft.com/office/drawing/2014/chart" uri="{C3380CC4-5D6E-409C-BE32-E72D297353CC}">
              <c16:uniqueId val="{00000005-46BA-4F2D-83B2-3A54C8043F2D}"/>
            </c:ext>
          </c:extLst>
        </c:ser>
        <c:ser>
          <c:idx val="4"/>
          <c:order val="3"/>
          <c:tx>
            <c:strRef>
              <c:f>'Revenue required'!$D$167</c:f>
              <c:strCache>
                <c:ptCount val="1"/>
                <c:pt idx="0">
                  <c:v>Tariff revenue</c:v>
                </c:pt>
              </c:strCache>
            </c:strRef>
          </c:tx>
          <c:spPr>
            <a:solidFill>
              <a:schemeClr val="accent3">
                <a:lumMod val="75000"/>
              </a:schemeClr>
            </a:solidFill>
          </c:spPr>
          <c:invertIfNegative val="0"/>
          <c:dLbls>
            <c:dLbl>
              <c:idx val="1"/>
              <c:tx>
                <c:strRef>
                  <c:f>'Revenue required'!$D$167</c:f>
                  <c:strCache>
                    <c:ptCount val="1"/>
                    <c:pt idx="0">
                      <c:v>Tariff revenue</c:v>
                    </c:pt>
                  </c:strCache>
                </c:strRef>
              </c:tx>
              <c:spPr>
                <a:noFill/>
                <a:ln w="25400">
                  <a:noFill/>
                </a:ln>
              </c:spPr>
              <c:txPr>
                <a:bodyPr/>
                <a:lstStyle/>
                <a:p>
                  <a:pPr>
                    <a:defRPr sz="1100" b="0" i="0" u="none" strike="noStrike" baseline="0">
                      <a:solidFill>
                        <a:srgbClr val="333333"/>
                      </a:solidFill>
                      <a:latin typeface="Calibri"/>
                      <a:ea typeface="Calibri"/>
                      <a:cs typeface="Calibri"/>
                    </a:defRPr>
                  </a:pPr>
                  <a:endParaRPr lang="en-US"/>
                </a:p>
              </c:txPr>
              <c:dLblPos val="ctr"/>
              <c:showLegendKey val="0"/>
              <c:showVal val="0"/>
              <c:showCatName val="0"/>
              <c:showSerName val="0"/>
              <c:showPercent val="0"/>
              <c:showBubbleSize val="0"/>
              <c:extLst>
                <c:ext xmlns:c15="http://schemas.microsoft.com/office/drawing/2012/chart" uri="{CE6537A1-D6FC-4f65-9D91-7224C49458BB}">
                  <c15:dlblFieldTable>
                    <c15:dlblFTEntry>
                      <c15:txfldGUID>{2E2907B8-722E-4920-984B-FBD0AD6DFE8E}</c15:txfldGUID>
                      <c15:f>'Revenue required'!$D$167</c15:f>
                      <c15:dlblFieldTableCache>
                        <c:ptCount val="1"/>
                        <c:pt idx="0">
                          <c:v>Tariff revenue</c:v>
                        </c:pt>
                      </c15:dlblFieldTableCache>
                    </c15:dlblFTEntry>
                  </c15:dlblFieldTable>
                  <c15:showDataLabelsRange val="0"/>
                </c:ext>
                <c:ext xmlns:c16="http://schemas.microsoft.com/office/drawing/2014/chart" uri="{C3380CC4-5D6E-409C-BE32-E72D297353CC}">
                  <c16:uniqueId val="{00000006-46BA-4F2D-83B2-3A54C8043F2D}"/>
                </c:ext>
              </c:extLst>
            </c:dLbl>
            <c:spPr>
              <a:noFill/>
              <a:ln w="25400">
                <a:noFill/>
              </a:ln>
            </c:spPr>
            <c:txPr>
              <a:bodyPr wrap="square" lIns="38100" tIns="19050" rIns="38100" bIns="19050" anchor="ctr">
                <a:spAutoFit/>
              </a:bodyPr>
              <a:lstStyle/>
              <a:p>
                <a:pPr>
                  <a:defRPr sz="1100" b="0" i="0" u="none" strike="noStrike" baseline="0">
                    <a:solidFill>
                      <a:srgbClr val="333333"/>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'Revenue required'!$E$167:$F$167</c:f>
            </c:numRef>
          </c:val>
          <c:extLst>
            <c:ext xmlns:c15="http://schemas.microsoft.com/office/drawing/2012/chart" uri="{02D57815-91ED-43cb-92C2-25804820EDAC}">
              <c15:filteredCategoryTitle>
                <c15:cat>
                  <c:multiLvlStrRef>
                    <c:extLst>
                      <c:ext uri="{02D57815-91ED-43cb-92C2-25804820EDAC}">
                        <c15:formulaRef>
                          <c15:sqref>'Revenue required'!$E$163:$F$163</c15:sqref>
                        </c15:formulaRef>
                      </c:ext>
                    </c:extLst>
                  </c:multiLvlStrRef>
                </c15:cat>
              </c15:filteredCategoryTitle>
            </c:ext>
            <c:ext xmlns:c16="http://schemas.microsoft.com/office/drawing/2014/chart" uri="{C3380CC4-5D6E-409C-BE32-E72D297353CC}">
              <c16:uniqueId val="{00000007-46BA-4F2D-83B2-3A54C8043F2D}"/>
            </c:ext>
          </c:extLst>
        </c:ser>
        <c:ser>
          <c:idx val="5"/>
          <c:order val="4"/>
          <c:tx>
            <c:strRef>
              <c:f>'Revenue required'!$D$168</c:f>
              <c:strCache>
                <c:ptCount val="1"/>
                <c:pt idx="0">
                  <c:v>Non-tariff revenue</c:v>
                </c:pt>
              </c:strCache>
            </c:strRef>
          </c:tx>
          <c:spPr>
            <a:solidFill>
              <a:schemeClr val="accent3"/>
            </a:solidFill>
            <a:ln>
              <a:solidFill>
                <a:schemeClr val="accent3"/>
              </a:solidFill>
            </a:ln>
          </c:spPr>
          <c:invertIfNegative val="0"/>
          <c:dLbls>
            <c:dLbl>
              <c:idx val="1"/>
              <c:tx>
                <c:strRef>
                  <c:f>'Revenue required'!$D$168</c:f>
                  <c:strCache>
                    <c:ptCount val="1"/>
                    <c:pt idx="0">
                      <c:v>Non-tariff revenue</c:v>
                    </c:pt>
                  </c:strCache>
                </c:strRef>
              </c:tx>
              <c:spPr>
                <a:noFill/>
                <a:ln w="25400">
                  <a:noFill/>
                </a:ln>
              </c:spPr>
              <c:txPr>
                <a:bodyPr/>
                <a:lstStyle/>
                <a:p>
                  <a:pPr>
                    <a:defRPr sz="1100" b="0" i="0" u="none" strike="noStrike" baseline="0">
                      <a:solidFill>
                        <a:srgbClr val="333333"/>
                      </a:solidFill>
                      <a:latin typeface="Calibri"/>
                      <a:ea typeface="Calibri"/>
                      <a:cs typeface="Calibri"/>
                    </a:defRPr>
                  </a:pPr>
                  <a:endParaRPr lang="en-US"/>
                </a:p>
              </c:txPr>
              <c:dLblPos val="ctr"/>
              <c:showLegendKey val="0"/>
              <c:showVal val="0"/>
              <c:showCatName val="0"/>
              <c:showSerName val="0"/>
              <c:showPercent val="0"/>
              <c:showBubbleSize val="0"/>
              <c:extLst>
                <c:ext xmlns:c15="http://schemas.microsoft.com/office/drawing/2012/chart" uri="{CE6537A1-D6FC-4f65-9D91-7224C49458BB}">
                  <c15:dlblFieldTable>
                    <c15:dlblFTEntry>
                      <c15:txfldGUID>{20094409-159A-41C8-917B-69D5CA7C97E4}</c15:txfldGUID>
                      <c15:f>'Revenue required'!$D$168</c15:f>
                      <c15:dlblFieldTableCache>
                        <c:ptCount val="1"/>
                        <c:pt idx="0">
                          <c:v>Non-tariff revenue</c:v>
                        </c:pt>
                      </c15:dlblFieldTableCache>
                    </c15:dlblFTEntry>
                  </c15:dlblFieldTable>
                  <c15:showDataLabelsRange val="0"/>
                </c:ext>
                <c:ext xmlns:c16="http://schemas.microsoft.com/office/drawing/2014/chart" uri="{C3380CC4-5D6E-409C-BE32-E72D297353CC}">
                  <c16:uniqueId val="{00000008-46BA-4F2D-83B2-3A54C8043F2D}"/>
                </c:ext>
              </c:extLst>
            </c:dLbl>
            <c:spPr>
              <a:noFill/>
              <a:ln w="25400">
                <a:noFill/>
              </a:ln>
            </c:spPr>
            <c:txPr>
              <a:bodyPr wrap="square" lIns="38100" tIns="19050" rIns="38100" bIns="19050" anchor="ctr">
                <a:spAutoFit/>
              </a:bodyPr>
              <a:lstStyle/>
              <a:p>
                <a:pPr>
                  <a:defRPr sz="1100" b="0" i="0" u="none" strike="noStrike" baseline="0">
                    <a:solidFill>
                      <a:srgbClr val="333333"/>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'Revenue required'!$E$168:$F$168</c:f>
            </c:numRef>
          </c:val>
          <c:extLst>
            <c:ext xmlns:c15="http://schemas.microsoft.com/office/drawing/2012/chart" uri="{02D57815-91ED-43cb-92C2-25804820EDAC}">
              <c15:filteredCategoryTitle>
                <c15:cat>
                  <c:multiLvlStrRef>
                    <c:extLst>
                      <c:ext uri="{02D57815-91ED-43cb-92C2-25804820EDAC}">
                        <c15:formulaRef>
                          <c15:sqref>'Revenue required'!$E$163:$F$163</c15:sqref>
                        </c15:formulaRef>
                      </c:ext>
                    </c:extLst>
                  </c:multiLvlStrRef>
                </c15:cat>
              </c15:filteredCategoryTitle>
            </c:ext>
            <c:ext xmlns:c16="http://schemas.microsoft.com/office/drawing/2014/chart" uri="{C3380CC4-5D6E-409C-BE32-E72D297353CC}">
              <c16:uniqueId val="{00000009-46BA-4F2D-83B2-3A54C8043F2D}"/>
            </c:ext>
          </c:extLst>
        </c:ser>
        <c:ser>
          <c:idx val="3"/>
          <c:order val="5"/>
          <c:tx>
            <c:strRef>
              <c:f>'Revenue required'!$D$169</c:f>
              <c:strCache>
                <c:ptCount val="1"/>
              </c:strCache>
            </c:strRef>
          </c:tx>
          <c:invertIfNegative val="0"/>
          <c:dLbls>
            <c:dLbl>
              <c:idx val="1"/>
              <c:tx>
                <c:strRef>
                  <c:f>'Revenue required'!$D$169</c:f>
                  <c:strCache>
                    <c:ptCount val="1"/>
                  </c:strCache>
                </c:strRef>
              </c:tx>
              <c:spPr>
                <a:noFill/>
                <a:ln w="25400">
                  <a:noFill/>
                </a:ln>
              </c:spPr>
              <c:txPr>
                <a:bodyPr/>
                <a:lstStyle/>
                <a:p>
                  <a:pPr>
                    <a:defRPr sz="1100" b="0" i="0" u="none" strike="noStrike" baseline="0">
                      <a:solidFill>
                        <a:srgbClr val="333333"/>
                      </a:solidFill>
                      <a:latin typeface="Calibri"/>
                      <a:ea typeface="Calibri"/>
                      <a:cs typeface="Calibri"/>
                    </a:defRPr>
                  </a:pPr>
                  <a:endParaRPr lang="en-US"/>
                </a:p>
              </c:txPr>
              <c:dLblPos val="ctr"/>
              <c:showLegendKey val="0"/>
              <c:showVal val="0"/>
              <c:showCatName val="0"/>
              <c:showSerName val="0"/>
              <c:showPercent val="0"/>
              <c:showBubbleSize val="0"/>
              <c:extLst>
                <c:ext xmlns:c15="http://schemas.microsoft.com/office/drawing/2012/chart" uri="{CE6537A1-D6FC-4f65-9D91-7224C49458BB}">
                  <c15:dlblFieldTable>
                    <c15:dlblFTEntry>
                      <c15:txfldGUID>{B1FFEB1D-5470-4E97-8F1F-8D1911D5346D}</c15:txfldGUID>
                      <c15:f>'Revenue required'!$D$169</c15:f>
                      <c15:dlblFieldTableCache>
                        <c:ptCount val="1"/>
                      </c15:dlblFieldTableCache>
                    </c15:dlblFTEntry>
                  </c15:dlblFieldTable>
                  <c15:showDataLabelsRange val="0"/>
                </c:ext>
                <c:ext xmlns:c16="http://schemas.microsoft.com/office/drawing/2014/chart" uri="{C3380CC4-5D6E-409C-BE32-E72D297353CC}">
                  <c16:uniqueId val="{0000000A-46BA-4F2D-83B2-3A54C8043F2D}"/>
                </c:ext>
              </c:extLst>
            </c:dLbl>
            <c:spPr>
              <a:noFill/>
              <a:ln w="25400">
                <a:noFill/>
              </a:ln>
            </c:spPr>
            <c:txPr>
              <a:bodyPr wrap="square" lIns="38100" tIns="19050" rIns="38100" bIns="19050" anchor="ctr">
                <a:spAutoFit/>
              </a:bodyPr>
              <a:lstStyle/>
              <a:p>
                <a:pPr>
                  <a:defRPr sz="1100" b="0" i="0" u="none" strike="noStrike" baseline="0">
                    <a:solidFill>
                      <a:srgbClr val="333333"/>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'Revenue required'!$E$169:$F$169</c:f>
            </c:numRef>
          </c:val>
          <c:extLst>
            <c:ext xmlns:c15="http://schemas.microsoft.com/office/drawing/2012/chart" uri="{02D57815-91ED-43cb-92C2-25804820EDAC}">
              <c15:filteredCategoryTitle>
                <c15:cat>
                  <c:multiLvlStrRef>
                    <c:extLst>
                      <c:ext uri="{02D57815-91ED-43cb-92C2-25804820EDAC}">
                        <c15:formulaRef>
                          <c15:sqref>'Revenue required'!$E$163:$F$163</c15:sqref>
                        </c15:formulaRef>
                      </c:ext>
                    </c:extLst>
                  </c:multiLvlStrRef>
                </c15:cat>
              </c15:filteredCategoryTitle>
            </c:ext>
            <c:ext xmlns:c16="http://schemas.microsoft.com/office/drawing/2014/chart" uri="{C3380CC4-5D6E-409C-BE32-E72D297353CC}">
              <c16:uniqueId val="{0000000B-46BA-4F2D-83B2-3A54C8043F2D}"/>
            </c:ext>
          </c:extLst>
        </c:ser>
        <c:dLbls>
          <c:showLegendKey val="0"/>
          <c:showVal val="0"/>
          <c:showCatName val="0"/>
          <c:showSerName val="0"/>
          <c:showPercent val="0"/>
          <c:showBubbleSize val="0"/>
        </c:dLbls>
        <c:gapWidth val="25"/>
        <c:overlap val="100"/>
        <c:axId val="1350488879"/>
        <c:axId val="1"/>
      </c:barChart>
      <c:catAx>
        <c:axId val="1350488879"/>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0" vert="horz"/>
          <a:lstStyle/>
          <a:p>
            <a:pPr>
              <a:defRPr sz="1100" b="0" i="0" u="none" strike="noStrike" baseline="0">
                <a:solidFill>
                  <a:srgbClr val="333333"/>
                </a:solidFill>
                <a:latin typeface="Calibri"/>
                <a:ea typeface="Calibri"/>
                <a:cs typeface="Calibri"/>
              </a:defRPr>
            </a:pPr>
            <a:endParaRPr lang="en-US"/>
          </a:p>
        </c:txPr>
        <c:crossAx val="1"/>
        <c:crosses val="autoZero"/>
        <c:auto val="1"/>
        <c:lblAlgn val="ctr"/>
        <c:lblOffset val="100"/>
        <c:noMultiLvlLbl val="0"/>
      </c:catAx>
      <c:valAx>
        <c:axId val="1"/>
        <c:scaling>
          <c:orientation val="minMax"/>
        </c:scaling>
        <c:delete val="1"/>
        <c:axPos val="l"/>
        <c:majorGridlines>
          <c:spPr>
            <a:ln w="9525" cap="flat" cmpd="sng" algn="ctr">
              <a:solidFill>
                <a:schemeClr val="tx1">
                  <a:lumMod val="15000"/>
                  <a:lumOff val="85000"/>
                </a:schemeClr>
              </a:solidFill>
              <a:round/>
            </a:ln>
            <a:effectLst/>
          </c:spPr>
        </c:majorGridlines>
        <c:numFmt formatCode="_-* #\ ##0_-;\-* #\ ##0_-;_-* &quot;-&quot;??_-;_-@_-" sourceLinked="1"/>
        <c:majorTickMark val="out"/>
        <c:minorTickMark val="none"/>
        <c:tickLblPos val="nextTo"/>
        <c:crossAx val="1350488879"/>
        <c:crosses val="autoZero"/>
        <c:crossBetween val="between"/>
      </c:valAx>
    </c:plotArea>
    <c:plotVisOnly val="1"/>
    <c:dispBlanksAs val="gap"/>
    <c:showDLblsOverMax val="0"/>
  </c:chart>
  <c:spPr>
    <a:solidFill>
      <a:schemeClr val="bg1"/>
    </a:solidFill>
    <a:ln w="9525" cap="flat" cmpd="sng" algn="ctr">
      <a:noFill/>
      <a:round/>
    </a:ln>
    <a:effectLst/>
  </c:spPr>
  <c:txPr>
    <a:bodyPr/>
    <a:lstStyle/>
    <a:p>
      <a:pPr>
        <a:defRPr sz="11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charts/chart1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320" b="0" i="0" u="none" strike="noStrike" baseline="0">
                <a:solidFill>
                  <a:srgbClr val="333333"/>
                </a:solidFill>
                <a:latin typeface="Calibri"/>
                <a:ea typeface="Calibri"/>
                <a:cs typeface="Calibri"/>
              </a:defRPr>
            </a:pPr>
            <a:r>
              <a:rPr lang="en-ZA"/>
              <a:t>Budget funding: sanitation service R'000</a:t>
            </a:r>
          </a:p>
        </c:rich>
      </c:tx>
      <c:layout>
        <c:manualLayout>
          <c:xMode val="edge"/>
          <c:yMode val="edge"/>
          <c:x val="6.4499571962106886E-2"/>
          <c:y val="3.2407487525597758E-2"/>
        </c:manualLayout>
      </c:layout>
      <c:overlay val="0"/>
      <c:spPr>
        <a:noFill/>
        <a:ln w="25400">
          <a:noFill/>
        </a:ln>
      </c:spPr>
    </c:title>
    <c:autoTitleDeleted val="0"/>
    <c:plotArea>
      <c:layout/>
      <c:barChart>
        <c:barDir val="col"/>
        <c:grouping val="stacked"/>
        <c:varyColors val="0"/>
        <c:ser>
          <c:idx val="0"/>
          <c:order val="0"/>
          <c:tx>
            <c:strRef>
              <c:f>'Revenue required'!$D$164</c:f>
              <c:strCache>
                <c:ptCount val="1"/>
                <c:pt idx="0">
                  <c:v>Direct cost</c:v>
                </c:pt>
              </c:strCache>
            </c:strRef>
          </c:tx>
          <c:spPr>
            <a:solidFill>
              <a:schemeClr val="accent5"/>
            </a:solidFill>
          </c:spPr>
          <c:invertIfNegative val="0"/>
          <c:dLbls>
            <c:spPr>
              <a:noFill/>
              <a:ln w="25400">
                <a:noFill/>
              </a:ln>
            </c:spPr>
            <c:txPr>
              <a:bodyPr wrap="square" lIns="38100" tIns="19050" rIns="38100" bIns="19050" anchor="ctr">
                <a:spAutoFit/>
              </a:bodyPr>
              <a:lstStyle/>
              <a:p>
                <a:pPr>
                  <a:defRPr sz="1100" b="0" i="0" u="none" strike="noStrike" baseline="0">
                    <a:solidFill>
                      <a:srgbClr val="333333"/>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'Revenue required'!$E$164:$F$164</c:f>
            </c:numRef>
          </c:val>
          <c:extLst>
            <c:ext xmlns:c15="http://schemas.microsoft.com/office/drawing/2012/chart" uri="{02D57815-91ED-43cb-92C2-25804820EDAC}">
              <c15:filteredCategoryTitle>
                <c15:cat>
                  <c:multiLvlStrRef>
                    <c:extLst>
                      <c:ext uri="{02D57815-91ED-43cb-92C2-25804820EDAC}">
                        <c15:formulaRef>
                          <c15:sqref>'Revenue required'!$E$163:$F$163</c15:sqref>
                        </c15:formulaRef>
                      </c:ext>
                    </c:extLst>
                  </c:multiLvlStrRef>
                </c15:cat>
              </c15:filteredCategoryTitle>
            </c:ext>
            <c:ext xmlns:c16="http://schemas.microsoft.com/office/drawing/2014/chart" uri="{C3380CC4-5D6E-409C-BE32-E72D297353CC}">
              <c16:uniqueId val="{00000000-DE1E-4204-A16E-AE0FCCEE3E32}"/>
            </c:ext>
          </c:extLst>
        </c:ser>
        <c:ser>
          <c:idx val="1"/>
          <c:order val="1"/>
          <c:tx>
            <c:strRef>
              <c:f>'Revenue required'!$D$165</c:f>
              <c:strCache>
                <c:ptCount val="1"/>
                <c:pt idx="0">
                  <c:v>Indirect cost</c:v>
                </c:pt>
              </c:strCache>
            </c:strRef>
          </c:tx>
          <c:spPr>
            <a:solidFill>
              <a:schemeClr val="accent5">
                <a:lumMod val="60000"/>
                <a:lumOff val="40000"/>
              </a:schemeClr>
            </a:solidFill>
          </c:spPr>
          <c:invertIfNegative val="0"/>
          <c:dLbls>
            <c:spPr>
              <a:noFill/>
              <a:ln w="25400">
                <a:noFill/>
              </a:ln>
            </c:spPr>
            <c:txPr>
              <a:bodyPr wrap="square" lIns="38100" tIns="19050" rIns="38100" bIns="19050" anchor="ctr">
                <a:spAutoFit/>
              </a:bodyPr>
              <a:lstStyle/>
              <a:p>
                <a:pPr>
                  <a:defRPr sz="1100" b="0" i="0" u="none" strike="noStrike" baseline="0">
                    <a:solidFill>
                      <a:srgbClr val="333333"/>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'Revenue required'!$E$165:$F$165</c:f>
            </c:numRef>
          </c:val>
          <c:extLst>
            <c:ext xmlns:c15="http://schemas.microsoft.com/office/drawing/2012/chart" uri="{02D57815-91ED-43cb-92C2-25804820EDAC}">
              <c15:filteredCategoryTitle>
                <c15:cat>
                  <c:multiLvlStrRef>
                    <c:extLst>
                      <c:ext uri="{02D57815-91ED-43cb-92C2-25804820EDAC}">
                        <c15:formulaRef>
                          <c15:sqref>'Revenue required'!$E$163:$F$163</c15:sqref>
                        </c15:formulaRef>
                      </c:ext>
                    </c:extLst>
                  </c:multiLvlStrRef>
                </c15:cat>
              </c15:filteredCategoryTitle>
            </c:ext>
            <c:ext xmlns:c16="http://schemas.microsoft.com/office/drawing/2014/chart" uri="{C3380CC4-5D6E-409C-BE32-E72D297353CC}">
              <c16:uniqueId val="{00000001-DE1E-4204-A16E-AE0FCCEE3E32}"/>
            </c:ext>
          </c:extLst>
        </c:ser>
        <c:ser>
          <c:idx val="2"/>
          <c:order val="2"/>
          <c:tx>
            <c:strRef>
              <c:f>'Revenue required'!$D$166</c:f>
              <c:strCache>
                <c:ptCount val="1"/>
              </c:strCache>
            </c:strRef>
          </c:tx>
          <c:spPr>
            <a:solidFill>
              <a:schemeClr val="accent6"/>
            </a:solidFill>
          </c:spPr>
          <c:invertIfNegative val="0"/>
          <c:dLbls>
            <c:spPr>
              <a:noFill/>
              <a:ln w="25400">
                <a:noFill/>
              </a:ln>
            </c:spPr>
            <c:txPr>
              <a:bodyPr wrap="square" lIns="38100" tIns="19050" rIns="38100" bIns="19050" anchor="ctr">
                <a:spAutoFit/>
              </a:bodyPr>
              <a:lstStyle/>
              <a:p>
                <a:pPr>
                  <a:defRPr sz="1100" b="0" i="0" u="none" strike="noStrike" baseline="0">
                    <a:solidFill>
                      <a:srgbClr val="333333"/>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'Revenue required'!$E$166:$F$166</c:f>
            </c:numRef>
          </c:val>
          <c:extLst>
            <c:ext xmlns:c15="http://schemas.microsoft.com/office/drawing/2012/chart" uri="{02D57815-91ED-43cb-92C2-25804820EDAC}">
              <c15:filteredCategoryTitle>
                <c15:cat>
                  <c:multiLvlStrRef>
                    <c:extLst>
                      <c:ext uri="{02D57815-91ED-43cb-92C2-25804820EDAC}">
                        <c15:formulaRef>
                          <c15:sqref>'Revenue required'!$E$163:$F$163</c15:sqref>
                        </c15:formulaRef>
                      </c:ext>
                    </c:extLst>
                  </c:multiLvlStrRef>
                </c15:cat>
              </c15:filteredCategoryTitle>
            </c:ext>
            <c:ext xmlns:c16="http://schemas.microsoft.com/office/drawing/2014/chart" uri="{C3380CC4-5D6E-409C-BE32-E72D297353CC}">
              <c16:uniqueId val="{00000002-DE1E-4204-A16E-AE0FCCEE3E32}"/>
            </c:ext>
          </c:extLst>
        </c:ser>
        <c:ser>
          <c:idx val="4"/>
          <c:order val="3"/>
          <c:tx>
            <c:strRef>
              <c:f>'Revenue required'!$D$167</c:f>
              <c:strCache>
                <c:ptCount val="1"/>
                <c:pt idx="0">
                  <c:v>Tariff revenue</c:v>
                </c:pt>
              </c:strCache>
            </c:strRef>
          </c:tx>
          <c:spPr>
            <a:solidFill>
              <a:schemeClr val="accent3">
                <a:lumMod val="75000"/>
              </a:schemeClr>
            </a:solidFill>
          </c:spPr>
          <c:invertIfNegative val="0"/>
          <c:dLbls>
            <c:spPr>
              <a:noFill/>
              <a:ln w="25400">
                <a:noFill/>
              </a:ln>
            </c:spPr>
            <c:txPr>
              <a:bodyPr wrap="square" lIns="38100" tIns="19050" rIns="38100" bIns="19050" anchor="ctr">
                <a:spAutoFit/>
              </a:bodyPr>
              <a:lstStyle/>
              <a:p>
                <a:pPr>
                  <a:defRPr sz="1100" b="0" i="0" u="none" strike="noStrike" baseline="0">
                    <a:solidFill>
                      <a:srgbClr val="333333"/>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'Revenue required'!$E$167:$F$167</c:f>
            </c:numRef>
          </c:val>
          <c:extLst>
            <c:ext xmlns:c15="http://schemas.microsoft.com/office/drawing/2012/chart" uri="{02D57815-91ED-43cb-92C2-25804820EDAC}">
              <c15:filteredCategoryTitle>
                <c15:cat>
                  <c:multiLvlStrRef>
                    <c:extLst>
                      <c:ext uri="{02D57815-91ED-43cb-92C2-25804820EDAC}">
                        <c15:formulaRef>
                          <c15:sqref>'Revenue required'!$E$163:$F$163</c15:sqref>
                        </c15:formulaRef>
                      </c:ext>
                    </c:extLst>
                  </c:multiLvlStrRef>
                </c15:cat>
              </c15:filteredCategoryTitle>
            </c:ext>
            <c:ext xmlns:c16="http://schemas.microsoft.com/office/drawing/2014/chart" uri="{C3380CC4-5D6E-409C-BE32-E72D297353CC}">
              <c16:uniqueId val="{00000003-DE1E-4204-A16E-AE0FCCEE3E32}"/>
            </c:ext>
          </c:extLst>
        </c:ser>
        <c:ser>
          <c:idx val="5"/>
          <c:order val="4"/>
          <c:tx>
            <c:strRef>
              <c:f>'Revenue required'!$D$168</c:f>
              <c:strCache>
                <c:ptCount val="1"/>
                <c:pt idx="0">
                  <c:v>Non-tariff revenue</c:v>
                </c:pt>
              </c:strCache>
            </c:strRef>
          </c:tx>
          <c:spPr>
            <a:solidFill>
              <a:schemeClr val="accent3"/>
            </a:solidFill>
          </c:spPr>
          <c:invertIfNegative val="0"/>
          <c:dLbls>
            <c:spPr>
              <a:noFill/>
              <a:ln w="25400">
                <a:noFill/>
              </a:ln>
            </c:spPr>
            <c:txPr>
              <a:bodyPr wrap="square" lIns="38100" tIns="19050" rIns="38100" bIns="19050" anchor="ctr">
                <a:spAutoFit/>
              </a:bodyPr>
              <a:lstStyle/>
              <a:p>
                <a:pPr>
                  <a:defRPr sz="1100" b="0" i="0" u="none" strike="noStrike" baseline="0">
                    <a:solidFill>
                      <a:srgbClr val="333333"/>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'Revenue required'!$E$168:$F$168</c:f>
            </c:numRef>
          </c:val>
          <c:extLst>
            <c:ext xmlns:c15="http://schemas.microsoft.com/office/drawing/2012/chart" uri="{02D57815-91ED-43cb-92C2-25804820EDAC}">
              <c15:filteredCategoryTitle>
                <c15:cat>
                  <c:multiLvlStrRef>
                    <c:extLst>
                      <c:ext uri="{02D57815-91ED-43cb-92C2-25804820EDAC}">
                        <c15:formulaRef>
                          <c15:sqref>'Revenue required'!$E$163:$F$163</c15:sqref>
                        </c15:formulaRef>
                      </c:ext>
                    </c:extLst>
                  </c:multiLvlStrRef>
                </c15:cat>
              </c15:filteredCategoryTitle>
            </c:ext>
            <c:ext xmlns:c16="http://schemas.microsoft.com/office/drawing/2014/chart" uri="{C3380CC4-5D6E-409C-BE32-E72D297353CC}">
              <c16:uniqueId val="{00000004-DE1E-4204-A16E-AE0FCCEE3E32}"/>
            </c:ext>
          </c:extLst>
        </c:ser>
        <c:ser>
          <c:idx val="3"/>
          <c:order val="5"/>
          <c:tx>
            <c:strRef>
              <c:f>'Revenue required'!$D$169</c:f>
              <c:strCache>
                <c:ptCount val="1"/>
              </c:strCache>
            </c:strRef>
          </c:tx>
          <c:invertIfNegative val="0"/>
          <c:dLbls>
            <c:spPr>
              <a:noFill/>
              <a:ln w="25400">
                <a:noFill/>
              </a:ln>
            </c:spPr>
            <c:txPr>
              <a:bodyPr wrap="square" lIns="38100" tIns="19050" rIns="38100" bIns="19050" anchor="ctr">
                <a:spAutoFit/>
              </a:bodyPr>
              <a:lstStyle/>
              <a:p>
                <a:pPr>
                  <a:defRPr sz="1100" b="0" i="0" u="none" strike="noStrike" baseline="0">
                    <a:solidFill>
                      <a:srgbClr val="333333"/>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'Revenue required'!$E$169:$F$169</c:f>
            </c:numRef>
          </c:val>
          <c:extLst>
            <c:ext xmlns:c15="http://schemas.microsoft.com/office/drawing/2012/chart" uri="{02D57815-91ED-43cb-92C2-25804820EDAC}">
              <c15:filteredCategoryTitle>
                <c15:cat>
                  <c:multiLvlStrRef>
                    <c:extLst>
                      <c:ext uri="{02D57815-91ED-43cb-92C2-25804820EDAC}">
                        <c15:formulaRef>
                          <c15:sqref>'Revenue required'!$E$163:$F$163</c15:sqref>
                        </c15:formulaRef>
                      </c:ext>
                    </c:extLst>
                  </c:multiLvlStrRef>
                </c15:cat>
              </c15:filteredCategoryTitle>
            </c:ext>
            <c:ext xmlns:c16="http://schemas.microsoft.com/office/drawing/2014/chart" uri="{C3380CC4-5D6E-409C-BE32-E72D297353CC}">
              <c16:uniqueId val="{00000005-DE1E-4204-A16E-AE0FCCEE3E32}"/>
            </c:ext>
          </c:extLst>
        </c:ser>
        <c:dLbls>
          <c:showLegendKey val="0"/>
          <c:showVal val="0"/>
          <c:showCatName val="0"/>
          <c:showSerName val="0"/>
          <c:showPercent val="0"/>
          <c:showBubbleSize val="0"/>
        </c:dLbls>
        <c:gapWidth val="25"/>
        <c:overlap val="100"/>
        <c:axId val="1350477839"/>
        <c:axId val="1"/>
      </c:barChart>
      <c:catAx>
        <c:axId val="1350477839"/>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0" vert="horz"/>
          <a:lstStyle/>
          <a:p>
            <a:pPr>
              <a:defRPr sz="1100" b="0" i="0" u="none" strike="noStrike" baseline="0">
                <a:solidFill>
                  <a:srgbClr val="333333"/>
                </a:solidFill>
                <a:latin typeface="Calibri"/>
                <a:ea typeface="Calibri"/>
                <a:cs typeface="Calibri"/>
              </a:defRPr>
            </a:pPr>
            <a:endParaRPr lang="en-US"/>
          </a:p>
        </c:txPr>
        <c:crossAx val="1"/>
        <c:crosses val="autoZero"/>
        <c:auto val="1"/>
        <c:lblAlgn val="ctr"/>
        <c:lblOffset val="100"/>
        <c:noMultiLvlLbl val="0"/>
      </c:catAx>
      <c:valAx>
        <c:axId val="1"/>
        <c:scaling>
          <c:orientation val="minMax"/>
        </c:scaling>
        <c:delete val="1"/>
        <c:axPos val="l"/>
        <c:majorGridlines>
          <c:spPr>
            <a:ln w="9525" cap="flat" cmpd="sng" algn="ctr">
              <a:solidFill>
                <a:schemeClr val="tx1">
                  <a:lumMod val="15000"/>
                  <a:lumOff val="85000"/>
                </a:schemeClr>
              </a:solidFill>
              <a:round/>
            </a:ln>
            <a:effectLst/>
          </c:spPr>
        </c:majorGridlines>
        <c:numFmt formatCode="_-* #\ ##0_-;\-* #\ ##0_-;_-* &quot;-&quot;??_-;_-@_-" sourceLinked="1"/>
        <c:majorTickMark val="out"/>
        <c:minorTickMark val="none"/>
        <c:tickLblPos val="nextTo"/>
        <c:crossAx val="1350477839"/>
        <c:crosses val="autoZero"/>
        <c:crossBetween val="between"/>
      </c:valAx>
    </c:plotArea>
    <c:plotVisOnly val="1"/>
    <c:dispBlanksAs val="gap"/>
    <c:showDLblsOverMax val="0"/>
  </c:chart>
  <c:spPr>
    <a:solidFill>
      <a:schemeClr val="bg1"/>
    </a:solidFill>
    <a:ln w="9525" cap="flat" cmpd="sng" algn="ctr">
      <a:noFill/>
      <a:round/>
    </a:ln>
    <a:effectLst/>
  </c:spPr>
  <c:txPr>
    <a:bodyPr/>
    <a:lstStyle/>
    <a:p>
      <a:pPr>
        <a:defRPr sz="11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charts/chart1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320" b="0" i="0" u="none" strike="noStrike" baseline="0">
                <a:solidFill>
                  <a:srgbClr val="333333"/>
                </a:solidFill>
                <a:latin typeface="Calibri"/>
                <a:ea typeface="Calibri"/>
                <a:cs typeface="Calibri"/>
              </a:defRPr>
            </a:pPr>
            <a:r>
              <a:rPr lang="en-ZA"/>
              <a:t>Budget funding: sanitation service: %s</a:t>
            </a:r>
          </a:p>
        </c:rich>
      </c:tx>
      <c:layout>
        <c:manualLayout>
          <c:xMode val="edge"/>
          <c:yMode val="edge"/>
          <c:x val="3.5577825499085343E-2"/>
          <c:y val="5.0906329016565235E-2"/>
        </c:manualLayout>
      </c:layout>
      <c:overlay val="0"/>
      <c:spPr>
        <a:noFill/>
        <a:ln w="25400">
          <a:noFill/>
        </a:ln>
      </c:spPr>
    </c:title>
    <c:autoTitleDeleted val="0"/>
    <c:plotArea>
      <c:layout/>
      <c:barChart>
        <c:barDir val="col"/>
        <c:grouping val="percentStacked"/>
        <c:varyColors val="0"/>
        <c:ser>
          <c:idx val="0"/>
          <c:order val="0"/>
          <c:tx>
            <c:strRef>
              <c:f>'Revenue required'!$G$164</c:f>
              <c:strCache>
                <c:ptCount val="1"/>
                <c:pt idx="0">
                  <c:v>Direct cost</c:v>
                </c:pt>
              </c:strCache>
            </c:strRef>
          </c:tx>
          <c:spPr>
            <a:solidFill>
              <a:schemeClr val="accent5"/>
            </a:solidFill>
          </c:spPr>
          <c:invertIfNegative val="0"/>
          <c:dLbls>
            <c:spPr>
              <a:noFill/>
              <a:ln w="25400">
                <a:noFill/>
              </a:ln>
            </c:spPr>
            <c:txPr>
              <a:bodyPr wrap="square" lIns="38100" tIns="19050" rIns="38100" bIns="19050" anchor="ctr">
                <a:spAutoFit/>
              </a:bodyPr>
              <a:lstStyle/>
              <a:p>
                <a:pPr>
                  <a:defRPr sz="1100" b="0" i="0" u="none" strike="noStrike" baseline="0">
                    <a:solidFill>
                      <a:srgbClr val="333333"/>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'Revenue required'!$H$164:$I$164</c:f>
            </c:numRef>
          </c:val>
          <c:extLst>
            <c:ext xmlns:c15="http://schemas.microsoft.com/office/drawing/2012/chart" uri="{02D57815-91ED-43cb-92C2-25804820EDAC}">
              <c15:filteredCategoryTitle>
                <c15:cat>
                  <c:multiLvlStrRef>
                    <c:extLst>
                      <c:ext uri="{02D57815-91ED-43cb-92C2-25804820EDAC}">
                        <c15:formulaRef>
                          <c15:sqref>'Revenue required'!$H$163:$I$163</c15:sqref>
                        </c15:formulaRef>
                      </c:ext>
                    </c:extLst>
                  </c:multiLvlStrRef>
                </c15:cat>
              </c15:filteredCategoryTitle>
            </c:ext>
            <c:ext xmlns:c16="http://schemas.microsoft.com/office/drawing/2014/chart" uri="{C3380CC4-5D6E-409C-BE32-E72D297353CC}">
              <c16:uniqueId val="{00000000-189F-46DB-B5B0-ECDA87825968}"/>
            </c:ext>
          </c:extLst>
        </c:ser>
        <c:ser>
          <c:idx val="1"/>
          <c:order val="1"/>
          <c:tx>
            <c:strRef>
              <c:f>'Revenue required'!$G$165</c:f>
              <c:strCache>
                <c:ptCount val="1"/>
                <c:pt idx="0">
                  <c:v>Indirect cost</c:v>
                </c:pt>
              </c:strCache>
            </c:strRef>
          </c:tx>
          <c:spPr>
            <a:solidFill>
              <a:schemeClr val="accent5">
                <a:lumMod val="40000"/>
                <a:lumOff val="60000"/>
              </a:schemeClr>
            </a:solidFill>
          </c:spPr>
          <c:invertIfNegative val="0"/>
          <c:dLbls>
            <c:spPr>
              <a:noFill/>
              <a:ln w="25400">
                <a:noFill/>
              </a:ln>
            </c:spPr>
            <c:txPr>
              <a:bodyPr wrap="square" lIns="38100" tIns="19050" rIns="38100" bIns="19050" anchor="ctr">
                <a:spAutoFit/>
              </a:bodyPr>
              <a:lstStyle/>
              <a:p>
                <a:pPr>
                  <a:defRPr sz="1100" b="0" i="0" u="none" strike="noStrike" baseline="0">
                    <a:solidFill>
                      <a:srgbClr val="333333"/>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'Revenue required'!$H$165:$I$165</c:f>
            </c:numRef>
          </c:val>
          <c:extLst>
            <c:ext xmlns:c15="http://schemas.microsoft.com/office/drawing/2012/chart" uri="{02D57815-91ED-43cb-92C2-25804820EDAC}">
              <c15:filteredCategoryTitle>
                <c15:cat>
                  <c:multiLvlStrRef>
                    <c:extLst>
                      <c:ext uri="{02D57815-91ED-43cb-92C2-25804820EDAC}">
                        <c15:formulaRef>
                          <c15:sqref>'Revenue required'!$H$163:$I$163</c15:sqref>
                        </c15:formulaRef>
                      </c:ext>
                    </c:extLst>
                  </c:multiLvlStrRef>
                </c15:cat>
              </c15:filteredCategoryTitle>
            </c:ext>
            <c:ext xmlns:c16="http://schemas.microsoft.com/office/drawing/2014/chart" uri="{C3380CC4-5D6E-409C-BE32-E72D297353CC}">
              <c16:uniqueId val="{00000001-189F-46DB-B5B0-ECDA87825968}"/>
            </c:ext>
          </c:extLst>
        </c:ser>
        <c:ser>
          <c:idx val="2"/>
          <c:order val="2"/>
          <c:tx>
            <c:strRef>
              <c:f>'Revenue required'!$G$166</c:f>
              <c:strCache>
                <c:ptCount val="1"/>
              </c:strCache>
            </c:strRef>
          </c:tx>
          <c:spPr>
            <a:solidFill>
              <a:schemeClr val="accent6"/>
            </a:solidFill>
          </c:spPr>
          <c:invertIfNegative val="0"/>
          <c:dLbls>
            <c:spPr>
              <a:noFill/>
              <a:ln w="25400">
                <a:noFill/>
              </a:ln>
            </c:spPr>
            <c:txPr>
              <a:bodyPr wrap="square" lIns="38100" tIns="19050" rIns="38100" bIns="19050" anchor="ctr">
                <a:spAutoFit/>
              </a:bodyPr>
              <a:lstStyle/>
              <a:p>
                <a:pPr>
                  <a:defRPr sz="1100" b="0" i="0" u="none" strike="noStrike" baseline="0">
                    <a:solidFill>
                      <a:srgbClr val="333333"/>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'Revenue required'!$H$166:$I$166</c:f>
            </c:numRef>
          </c:val>
          <c:extLst>
            <c:ext xmlns:c15="http://schemas.microsoft.com/office/drawing/2012/chart" uri="{02D57815-91ED-43cb-92C2-25804820EDAC}">
              <c15:filteredCategoryTitle>
                <c15:cat>
                  <c:multiLvlStrRef>
                    <c:extLst>
                      <c:ext uri="{02D57815-91ED-43cb-92C2-25804820EDAC}">
                        <c15:formulaRef>
                          <c15:sqref>'Revenue required'!$H$163:$I$163</c15:sqref>
                        </c15:formulaRef>
                      </c:ext>
                    </c:extLst>
                  </c:multiLvlStrRef>
                </c15:cat>
              </c15:filteredCategoryTitle>
            </c:ext>
            <c:ext xmlns:c16="http://schemas.microsoft.com/office/drawing/2014/chart" uri="{C3380CC4-5D6E-409C-BE32-E72D297353CC}">
              <c16:uniqueId val="{00000002-189F-46DB-B5B0-ECDA87825968}"/>
            </c:ext>
          </c:extLst>
        </c:ser>
        <c:ser>
          <c:idx val="4"/>
          <c:order val="3"/>
          <c:tx>
            <c:strRef>
              <c:f>'Revenue required'!$G$167</c:f>
              <c:strCache>
                <c:ptCount val="1"/>
                <c:pt idx="0">
                  <c:v>Tariff revenue</c:v>
                </c:pt>
              </c:strCache>
            </c:strRef>
          </c:tx>
          <c:spPr>
            <a:solidFill>
              <a:schemeClr val="accent3">
                <a:lumMod val="75000"/>
              </a:schemeClr>
            </a:solidFill>
          </c:spPr>
          <c:invertIfNegative val="0"/>
          <c:dLbls>
            <c:spPr>
              <a:noFill/>
              <a:ln w="25400">
                <a:noFill/>
              </a:ln>
            </c:spPr>
            <c:txPr>
              <a:bodyPr wrap="square" lIns="38100" tIns="19050" rIns="38100" bIns="19050" anchor="ctr">
                <a:spAutoFit/>
              </a:bodyPr>
              <a:lstStyle/>
              <a:p>
                <a:pPr>
                  <a:defRPr sz="1100" b="0" i="0" u="none" strike="noStrike" baseline="0">
                    <a:solidFill>
                      <a:srgbClr val="333333"/>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'Revenue required'!$H$167:$I$167</c:f>
            </c:numRef>
          </c:val>
          <c:extLst>
            <c:ext xmlns:c15="http://schemas.microsoft.com/office/drawing/2012/chart" uri="{02D57815-91ED-43cb-92C2-25804820EDAC}">
              <c15:filteredCategoryTitle>
                <c15:cat>
                  <c:multiLvlStrRef>
                    <c:extLst>
                      <c:ext uri="{02D57815-91ED-43cb-92C2-25804820EDAC}">
                        <c15:formulaRef>
                          <c15:sqref>'Revenue required'!$H$163:$I$163</c15:sqref>
                        </c15:formulaRef>
                      </c:ext>
                    </c:extLst>
                  </c:multiLvlStrRef>
                </c15:cat>
              </c15:filteredCategoryTitle>
            </c:ext>
            <c:ext xmlns:c16="http://schemas.microsoft.com/office/drawing/2014/chart" uri="{C3380CC4-5D6E-409C-BE32-E72D297353CC}">
              <c16:uniqueId val="{00000003-189F-46DB-B5B0-ECDA87825968}"/>
            </c:ext>
          </c:extLst>
        </c:ser>
        <c:ser>
          <c:idx val="5"/>
          <c:order val="4"/>
          <c:tx>
            <c:strRef>
              <c:f>'Revenue required'!$G$168</c:f>
              <c:strCache>
                <c:ptCount val="1"/>
                <c:pt idx="0">
                  <c:v>Non-tariff revenue</c:v>
                </c:pt>
              </c:strCache>
            </c:strRef>
          </c:tx>
          <c:spPr>
            <a:solidFill>
              <a:schemeClr val="accent3"/>
            </a:solidFill>
          </c:spPr>
          <c:invertIfNegative val="0"/>
          <c:dLbls>
            <c:spPr>
              <a:noFill/>
              <a:ln w="25400">
                <a:noFill/>
              </a:ln>
            </c:spPr>
            <c:txPr>
              <a:bodyPr wrap="square" lIns="38100" tIns="19050" rIns="38100" bIns="19050" anchor="ctr">
                <a:spAutoFit/>
              </a:bodyPr>
              <a:lstStyle/>
              <a:p>
                <a:pPr>
                  <a:defRPr sz="1100" b="0" i="0" u="none" strike="noStrike" baseline="0">
                    <a:solidFill>
                      <a:srgbClr val="333333"/>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'Revenue required'!$H$168:$I$168</c:f>
            </c:numRef>
          </c:val>
          <c:extLst>
            <c:ext xmlns:c15="http://schemas.microsoft.com/office/drawing/2012/chart" uri="{02D57815-91ED-43cb-92C2-25804820EDAC}">
              <c15:filteredCategoryTitle>
                <c15:cat>
                  <c:multiLvlStrRef>
                    <c:extLst>
                      <c:ext uri="{02D57815-91ED-43cb-92C2-25804820EDAC}">
                        <c15:formulaRef>
                          <c15:sqref>'Revenue required'!$H$163:$I$163</c15:sqref>
                        </c15:formulaRef>
                      </c:ext>
                    </c:extLst>
                  </c:multiLvlStrRef>
                </c15:cat>
              </c15:filteredCategoryTitle>
            </c:ext>
            <c:ext xmlns:c16="http://schemas.microsoft.com/office/drawing/2014/chart" uri="{C3380CC4-5D6E-409C-BE32-E72D297353CC}">
              <c16:uniqueId val="{00000004-189F-46DB-B5B0-ECDA87825968}"/>
            </c:ext>
          </c:extLst>
        </c:ser>
        <c:ser>
          <c:idx val="3"/>
          <c:order val="5"/>
          <c:tx>
            <c:strRef>
              <c:f>'Revenue required'!$G$169</c:f>
              <c:strCache>
                <c:ptCount val="1"/>
              </c:strCache>
            </c:strRef>
          </c:tx>
          <c:invertIfNegative val="0"/>
          <c:dLbls>
            <c:spPr>
              <a:noFill/>
              <a:ln w="25400">
                <a:noFill/>
              </a:ln>
            </c:spPr>
            <c:txPr>
              <a:bodyPr wrap="square" lIns="38100" tIns="19050" rIns="38100" bIns="19050" anchor="ctr">
                <a:spAutoFit/>
              </a:bodyPr>
              <a:lstStyle/>
              <a:p>
                <a:pPr>
                  <a:defRPr sz="1100" b="0" i="0" u="none" strike="noStrike" baseline="0">
                    <a:solidFill>
                      <a:srgbClr val="333333"/>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'Revenue required'!$H$169:$I$169</c:f>
            </c:numRef>
          </c:val>
          <c:extLst>
            <c:ext xmlns:c15="http://schemas.microsoft.com/office/drawing/2012/chart" uri="{02D57815-91ED-43cb-92C2-25804820EDAC}">
              <c15:filteredCategoryTitle>
                <c15:cat>
                  <c:multiLvlStrRef>
                    <c:extLst>
                      <c:ext uri="{02D57815-91ED-43cb-92C2-25804820EDAC}">
                        <c15:formulaRef>
                          <c15:sqref>'Revenue required'!$H$163:$I$163</c15:sqref>
                        </c15:formulaRef>
                      </c:ext>
                    </c:extLst>
                  </c:multiLvlStrRef>
                </c15:cat>
              </c15:filteredCategoryTitle>
            </c:ext>
            <c:ext xmlns:c16="http://schemas.microsoft.com/office/drawing/2014/chart" uri="{C3380CC4-5D6E-409C-BE32-E72D297353CC}">
              <c16:uniqueId val="{00000005-189F-46DB-B5B0-ECDA87825968}"/>
            </c:ext>
          </c:extLst>
        </c:ser>
        <c:dLbls>
          <c:showLegendKey val="0"/>
          <c:showVal val="0"/>
          <c:showCatName val="0"/>
          <c:showSerName val="0"/>
          <c:showPercent val="0"/>
          <c:showBubbleSize val="0"/>
        </c:dLbls>
        <c:gapWidth val="25"/>
        <c:overlap val="100"/>
        <c:axId val="1350468719"/>
        <c:axId val="1"/>
      </c:barChart>
      <c:catAx>
        <c:axId val="1350468719"/>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0" vert="horz"/>
          <a:lstStyle/>
          <a:p>
            <a:pPr>
              <a:defRPr sz="1100" b="0" i="0" u="none" strike="noStrike" baseline="0">
                <a:solidFill>
                  <a:srgbClr val="333333"/>
                </a:solidFill>
                <a:latin typeface="Calibri"/>
                <a:ea typeface="Calibri"/>
                <a:cs typeface="Calibri"/>
              </a:defRPr>
            </a:pPr>
            <a:endParaRPr lang="en-US"/>
          </a:p>
        </c:txPr>
        <c:crossAx val="1"/>
        <c:crosses val="autoZero"/>
        <c:auto val="1"/>
        <c:lblAlgn val="ctr"/>
        <c:lblOffset val="100"/>
        <c:noMultiLvlLbl val="0"/>
      </c:catAx>
      <c:valAx>
        <c:axId val="1"/>
        <c:scaling>
          <c:orientation val="minMax"/>
        </c:scaling>
        <c:delete val="1"/>
        <c:axPos val="l"/>
        <c:majorGridlines>
          <c:spPr>
            <a:ln w="9525" cap="flat" cmpd="sng" algn="ctr">
              <a:solidFill>
                <a:schemeClr val="tx1">
                  <a:lumMod val="15000"/>
                  <a:lumOff val="85000"/>
                </a:schemeClr>
              </a:solidFill>
              <a:round/>
            </a:ln>
            <a:effectLst/>
          </c:spPr>
        </c:majorGridlines>
        <c:numFmt formatCode="0%" sourceLinked="1"/>
        <c:majorTickMark val="out"/>
        <c:minorTickMark val="none"/>
        <c:tickLblPos val="nextTo"/>
        <c:crossAx val="1350468719"/>
        <c:crosses val="autoZero"/>
        <c:crossBetween val="between"/>
      </c:valAx>
    </c:plotArea>
    <c:plotVisOnly val="1"/>
    <c:dispBlanksAs val="gap"/>
    <c:showDLblsOverMax val="0"/>
  </c:chart>
  <c:spPr>
    <a:solidFill>
      <a:schemeClr val="bg1"/>
    </a:solidFill>
    <a:ln w="9525" cap="flat" cmpd="sng" algn="ctr">
      <a:noFill/>
      <a:round/>
    </a:ln>
    <a:effectLst/>
  </c:spPr>
  <c:txPr>
    <a:bodyPr/>
    <a:lstStyle/>
    <a:p>
      <a:pPr>
        <a:defRPr sz="11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charts/chart2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320" b="0" i="0" u="none" strike="noStrike" baseline="0">
                <a:solidFill>
                  <a:srgbClr val="333333"/>
                </a:solidFill>
                <a:latin typeface="Calibri"/>
                <a:ea typeface="Calibri"/>
                <a:cs typeface="Calibri"/>
              </a:defRPr>
            </a:pPr>
            <a:r>
              <a:rPr lang="en-ZA"/>
              <a:t>Budget funding: electricity service: categories</a:t>
            </a:r>
          </a:p>
        </c:rich>
      </c:tx>
      <c:layout>
        <c:manualLayout>
          <c:xMode val="edge"/>
          <c:yMode val="edge"/>
          <c:x val="6.8345876654920895E-2"/>
          <c:y val="4.1609029640525708E-2"/>
        </c:manualLayout>
      </c:layout>
      <c:overlay val="0"/>
      <c:spPr>
        <a:noFill/>
        <a:ln w="25400">
          <a:noFill/>
        </a:ln>
      </c:spPr>
    </c:title>
    <c:autoTitleDeleted val="0"/>
    <c:plotArea>
      <c:layout/>
      <c:barChart>
        <c:barDir val="col"/>
        <c:grouping val="stacked"/>
        <c:varyColors val="0"/>
        <c:ser>
          <c:idx val="0"/>
          <c:order val="0"/>
          <c:tx>
            <c:strRef>
              <c:f>'Revenue required'!$D$174</c:f>
              <c:strCache>
                <c:ptCount val="1"/>
                <c:pt idx="0">
                  <c:v>Direct cost</c:v>
                </c:pt>
              </c:strCache>
            </c:strRef>
          </c:tx>
          <c:spPr>
            <a:solidFill>
              <a:schemeClr val="accent5"/>
            </a:solidFill>
          </c:spPr>
          <c:invertIfNegative val="0"/>
          <c:dLbls>
            <c:dLbl>
              <c:idx val="0"/>
              <c:tx>
                <c:strRef>
                  <c:f>'Revenue required'!$D$174</c:f>
                  <c:strCache>
                    <c:ptCount val="1"/>
                    <c:pt idx="0">
                      <c:v>Direct cost</c:v>
                    </c:pt>
                  </c:strCache>
                </c:strRef>
              </c:tx>
              <c:spPr>
                <a:noFill/>
                <a:ln w="25400">
                  <a:noFill/>
                </a:ln>
              </c:spPr>
              <c:txPr>
                <a:bodyPr/>
                <a:lstStyle/>
                <a:p>
                  <a:pPr>
                    <a:defRPr sz="1100" b="0" i="0" u="none" strike="noStrike" baseline="0">
                      <a:solidFill>
                        <a:srgbClr val="333333"/>
                      </a:solidFill>
                      <a:latin typeface="Calibri"/>
                      <a:ea typeface="Calibri"/>
                      <a:cs typeface="Calibri"/>
                    </a:defRPr>
                  </a:pPr>
                  <a:endParaRPr lang="en-US"/>
                </a:p>
              </c:txPr>
              <c:dLblPos val="ctr"/>
              <c:showLegendKey val="0"/>
              <c:showVal val="0"/>
              <c:showCatName val="0"/>
              <c:showSerName val="0"/>
              <c:showPercent val="0"/>
              <c:showBubbleSize val="0"/>
              <c:extLst>
                <c:ext xmlns:c15="http://schemas.microsoft.com/office/drawing/2012/chart" uri="{CE6537A1-D6FC-4f65-9D91-7224C49458BB}">
                  <c15:dlblFieldTable>
                    <c15:dlblFTEntry>
                      <c15:txfldGUID>{CAA3E024-218F-4C3B-B481-01B01ED2B0C3}</c15:txfldGUID>
                      <c15:f>'Revenue required'!$D$174</c15:f>
                      <c15:dlblFieldTableCache>
                        <c:ptCount val="1"/>
                        <c:pt idx="0">
                          <c:v>Direct cost</c:v>
                        </c:pt>
                      </c15:dlblFieldTableCache>
                    </c15:dlblFTEntry>
                  </c15:dlblFieldTable>
                  <c15:showDataLabelsRange val="0"/>
                </c:ext>
                <c:ext xmlns:c16="http://schemas.microsoft.com/office/drawing/2014/chart" uri="{C3380CC4-5D6E-409C-BE32-E72D297353CC}">
                  <c16:uniqueId val="{00000000-6D18-4899-BCA6-983AAD3F94DA}"/>
                </c:ext>
              </c:extLst>
            </c:dLbl>
            <c:spPr>
              <a:noFill/>
              <a:ln w="25400">
                <a:noFill/>
              </a:ln>
            </c:spPr>
            <c:txPr>
              <a:bodyPr wrap="square" lIns="38100" tIns="19050" rIns="38100" bIns="19050" anchor="ctr">
                <a:spAutoFit/>
              </a:bodyPr>
              <a:lstStyle/>
              <a:p>
                <a:pPr>
                  <a:defRPr sz="1100" b="0" i="0" u="none" strike="noStrike" baseline="0">
                    <a:solidFill>
                      <a:srgbClr val="333333"/>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'Revenue required'!$E$174:$F$174</c:f>
            </c:numRef>
          </c:val>
          <c:extLst>
            <c:ext xmlns:c15="http://schemas.microsoft.com/office/drawing/2012/chart" uri="{02D57815-91ED-43cb-92C2-25804820EDAC}">
              <c15:filteredCategoryTitle>
                <c15:cat>
                  <c:multiLvlStrRef>
                    <c:extLst>
                      <c:ext uri="{02D57815-91ED-43cb-92C2-25804820EDAC}">
                        <c15:formulaRef>
                          <c15:sqref>'Revenue required'!$E$173:$F$173</c15:sqref>
                        </c15:formulaRef>
                      </c:ext>
                    </c:extLst>
                  </c:multiLvlStrRef>
                </c15:cat>
              </c15:filteredCategoryTitle>
            </c:ext>
            <c:ext xmlns:c16="http://schemas.microsoft.com/office/drawing/2014/chart" uri="{C3380CC4-5D6E-409C-BE32-E72D297353CC}">
              <c16:uniqueId val="{00000001-6D18-4899-BCA6-983AAD3F94DA}"/>
            </c:ext>
          </c:extLst>
        </c:ser>
        <c:ser>
          <c:idx val="1"/>
          <c:order val="1"/>
          <c:tx>
            <c:strRef>
              <c:f>'Revenue required'!$D$175</c:f>
              <c:strCache>
                <c:ptCount val="1"/>
                <c:pt idx="0">
                  <c:v>Indirect cost</c:v>
                </c:pt>
              </c:strCache>
            </c:strRef>
          </c:tx>
          <c:spPr>
            <a:solidFill>
              <a:schemeClr val="accent5">
                <a:lumMod val="60000"/>
                <a:lumOff val="40000"/>
              </a:schemeClr>
            </a:solidFill>
          </c:spPr>
          <c:invertIfNegative val="0"/>
          <c:dLbls>
            <c:dLbl>
              <c:idx val="0"/>
              <c:tx>
                <c:strRef>
                  <c:f>'Revenue required'!$D$175</c:f>
                  <c:strCache>
                    <c:ptCount val="1"/>
                    <c:pt idx="0">
                      <c:v>Indirect cost</c:v>
                    </c:pt>
                  </c:strCache>
                </c:strRef>
              </c:tx>
              <c:spPr>
                <a:noFill/>
                <a:ln w="25400">
                  <a:noFill/>
                </a:ln>
              </c:spPr>
              <c:txPr>
                <a:bodyPr/>
                <a:lstStyle/>
                <a:p>
                  <a:pPr>
                    <a:defRPr sz="1100" b="0" i="0" u="none" strike="noStrike" baseline="0">
                      <a:solidFill>
                        <a:srgbClr val="333333"/>
                      </a:solidFill>
                      <a:latin typeface="Calibri"/>
                      <a:ea typeface="Calibri"/>
                      <a:cs typeface="Calibri"/>
                    </a:defRPr>
                  </a:pPr>
                  <a:endParaRPr lang="en-US"/>
                </a:p>
              </c:txPr>
              <c:dLblPos val="ctr"/>
              <c:showLegendKey val="0"/>
              <c:showVal val="0"/>
              <c:showCatName val="0"/>
              <c:showSerName val="0"/>
              <c:showPercent val="0"/>
              <c:showBubbleSize val="0"/>
              <c:extLst>
                <c:ext xmlns:c15="http://schemas.microsoft.com/office/drawing/2012/chart" uri="{CE6537A1-D6FC-4f65-9D91-7224C49458BB}">
                  <c15:dlblFieldTable>
                    <c15:dlblFTEntry>
                      <c15:txfldGUID>{56B32783-EA80-4D8D-816E-0359A538B8A6}</c15:txfldGUID>
                      <c15:f>'Revenue required'!$D$175</c15:f>
                      <c15:dlblFieldTableCache>
                        <c:ptCount val="1"/>
                        <c:pt idx="0">
                          <c:v>Indirect cost</c:v>
                        </c:pt>
                      </c15:dlblFieldTableCache>
                    </c15:dlblFTEntry>
                  </c15:dlblFieldTable>
                  <c15:showDataLabelsRange val="0"/>
                </c:ext>
                <c:ext xmlns:c16="http://schemas.microsoft.com/office/drawing/2014/chart" uri="{C3380CC4-5D6E-409C-BE32-E72D297353CC}">
                  <c16:uniqueId val="{00000002-6D18-4899-BCA6-983AAD3F94DA}"/>
                </c:ext>
              </c:extLst>
            </c:dLbl>
            <c:spPr>
              <a:noFill/>
              <a:ln w="25400">
                <a:noFill/>
              </a:ln>
            </c:spPr>
            <c:txPr>
              <a:bodyPr wrap="square" lIns="38100" tIns="19050" rIns="38100" bIns="19050" anchor="ctr">
                <a:spAutoFit/>
              </a:bodyPr>
              <a:lstStyle/>
              <a:p>
                <a:pPr>
                  <a:defRPr sz="1100" b="0" i="0" u="none" strike="noStrike" baseline="0">
                    <a:solidFill>
                      <a:srgbClr val="333333"/>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'Revenue required'!$E$175:$F$175</c:f>
            </c:numRef>
          </c:val>
          <c:extLst>
            <c:ext xmlns:c15="http://schemas.microsoft.com/office/drawing/2012/chart" uri="{02D57815-91ED-43cb-92C2-25804820EDAC}">
              <c15:filteredCategoryTitle>
                <c15:cat>
                  <c:multiLvlStrRef>
                    <c:extLst>
                      <c:ext uri="{02D57815-91ED-43cb-92C2-25804820EDAC}">
                        <c15:formulaRef>
                          <c15:sqref>'Revenue required'!$E$173:$F$173</c15:sqref>
                        </c15:formulaRef>
                      </c:ext>
                    </c:extLst>
                  </c:multiLvlStrRef>
                </c15:cat>
              </c15:filteredCategoryTitle>
            </c:ext>
            <c:ext xmlns:c16="http://schemas.microsoft.com/office/drawing/2014/chart" uri="{C3380CC4-5D6E-409C-BE32-E72D297353CC}">
              <c16:uniqueId val="{00000003-6D18-4899-BCA6-983AAD3F94DA}"/>
            </c:ext>
          </c:extLst>
        </c:ser>
        <c:ser>
          <c:idx val="2"/>
          <c:order val="2"/>
          <c:tx>
            <c:strRef>
              <c:f>'Revenue required'!$D$176</c:f>
              <c:strCache>
                <c:ptCount val="1"/>
              </c:strCache>
            </c:strRef>
          </c:tx>
          <c:spPr>
            <a:solidFill>
              <a:schemeClr val="accent6"/>
            </a:solidFill>
          </c:spPr>
          <c:invertIfNegative val="0"/>
          <c:dLbls>
            <c:dLbl>
              <c:idx val="0"/>
              <c:tx>
                <c:strRef>
                  <c:f>'Revenue required'!$D$176</c:f>
                  <c:strCache>
                    <c:ptCount val="1"/>
                  </c:strCache>
                </c:strRef>
              </c:tx>
              <c:spPr>
                <a:noFill/>
                <a:ln w="25400">
                  <a:noFill/>
                </a:ln>
              </c:spPr>
              <c:txPr>
                <a:bodyPr/>
                <a:lstStyle/>
                <a:p>
                  <a:pPr>
                    <a:defRPr sz="1100" b="0" i="0" u="none" strike="noStrike" baseline="0">
                      <a:solidFill>
                        <a:srgbClr val="333333"/>
                      </a:solidFill>
                      <a:latin typeface="Calibri"/>
                      <a:ea typeface="Calibri"/>
                      <a:cs typeface="Calibri"/>
                    </a:defRPr>
                  </a:pPr>
                  <a:endParaRPr lang="en-US"/>
                </a:p>
              </c:txPr>
              <c:dLblPos val="ctr"/>
              <c:showLegendKey val="0"/>
              <c:showVal val="0"/>
              <c:showCatName val="0"/>
              <c:showSerName val="0"/>
              <c:showPercent val="0"/>
              <c:showBubbleSize val="0"/>
              <c:extLst>
                <c:ext xmlns:c15="http://schemas.microsoft.com/office/drawing/2012/chart" uri="{CE6537A1-D6FC-4f65-9D91-7224C49458BB}">
                  <c15:dlblFieldTable>
                    <c15:dlblFTEntry>
                      <c15:txfldGUID>{8F3EC853-6D71-42D2-9F2B-FFA64439FF82}</c15:txfldGUID>
                      <c15:f>'Revenue required'!$D$176</c15:f>
                      <c15:dlblFieldTableCache>
                        <c:ptCount val="1"/>
                      </c15:dlblFieldTableCache>
                    </c15:dlblFTEntry>
                  </c15:dlblFieldTable>
                  <c15:showDataLabelsRange val="0"/>
                </c:ext>
                <c:ext xmlns:c16="http://schemas.microsoft.com/office/drawing/2014/chart" uri="{C3380CC4-5D6E-409C-BE32-E72D297353CC}">
                  <c16:uniqueId val="{00000004-6D18-4899-BCA6-983AAD3F94DA}"/>
                </c:ext>
              </c:extLst>
            </c:dLbl>
            <c:spPr>
              <a:noFill/>
              <a:ln w="25400">
                <a:noFill/>
              </a:ln>
            </c:spPr>
            <c:txPr>
              <a:bodyPr wrap="square" lIns="38100" tIns="19050" rIns="38100" bIns="19050" anchor="ctr">
                <a:spAutoFit/>
              </a:bodyPr>
              <a:lstStyle/>
              <a:p>
                <a:pPr>
                  <a:defRPr sz="1100" b="0" i="0" u="none" strike="noStrike" baseline="0">
                    <a:solidFill>
                      <a:srgbClr val="333333"/>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'Revenue required'!$E$176:$F$176</c:f>
            </c:numRef>
          </c:val>
          <c:extLst>
            <c:ext xmlns:c15="http://schemas.microsoft.com/office/drawing/2012/chart" uri="{02D57815-91ED-43cb-92C2-25804820EDAC}">
              <c15:filteredCategoryTitle>
                <c15:cat>
                  <c:multiLvlStrRef>
                    <c:extLst>
                      <c:ext uri="{02D57815-91ED-43cb-92C2-25804820EDAC}">
                        <c15:formulaRef>
                          <c15:sqref>'Revenue required'!$E$173:$F$173</c15:sqref>
                        </c15:formulaRef>
                      </c:ext>
                    </c:extLst>
                  </c:multiLvlStrRef>
                </c15:cat>
              </c15:filteredCategoryTitle>
            </c:ext>
            <c:ext xmlns:c16="http://schemas.microsoft.com/office/drawing/2014/chart" uri="{C3380CC4-5D6E-409C-BE32-E72D297353CC}">
              <c16:uniqueId val="{00000005-6D18-4899-BCA6-983AAD3F94DA}"/>
            </c:ext>
          </c:extLst>
        </c:ser>
        <c:ser>
          <c:idx val="4"/>
          <c:order val="3"/>
          <c:tx>
            <c:strRef>
              <c:f>'Revenue required'!$D$177</c:f>
              <c:strCache>
                <c:ptCount val="1"/>
                <c:pt idx="0">
                  <c:v>Tariff revenue</c:v>
                </c:pt>
              </c:strCache>
            </c:strRef>
          </c:tx>
          <c:spPr>
            <a:solidFill>
              <a:schemeClr val="accent3">
                <a:lumMod val="75000"/>
              </a:schemeClr>
            </a:solidFill>
          </c:spPr>
          <c:invertIfNegative val="0"/>
          <c:dLbls>
            <c:dLbl>
              <c:idx val="1"/>
              <c:tx>
                <c:strRef>
                  <c:f>'Revenue required'!$D$177</c:f>
                  <c:strCache>
                    <c:ptCount val="1"/>
                    <c:pt idx="0">
                      <c:v>Tariff revenue</c:v>
                    </c:pt>
                  </c:strCache>
                </c:strRef>
              </c:tx>
              <c:spPr>
                <a:noFill/>
                <a:ln w="25400">
                  <a:noFill/>
                </a:ln>
              </c:spPr>
              <c:txPr>
                <a:bodyPr/>
                <a:lstStyle/>
                <a:p>
                  <a:pPr>
                    <a:defRPr sz="1100" b="0" i="0" u="none" strike="noStrike" baseline="0">
                      <a:solidFill>
                        <a:srgbClr val="333333"/>
                      </a:solidFill>
                      <a:latin typeface="Calibri"/>
                      <a:ea typeface="Calibri"/>
                      <a:cs typeface="Calibri"/>
                    </a:defRPr>
                  </a:pPr>
                  <a:endParaRPr lang="en-US"/>
                </a:p>
              </c:txPr>
              <c:dLblPos val="ctr"/>
              <c:showLegendKey val="0"/>
              <c:showVal val="0"/>
              <c:showCatName val="0"/>
              <c:showSerName val="0"/>
              <c:showPercent val="0"/>
              <c:showBubbleSize val="0"/>
              <c:extLst>
                <c:ext xmlns:c15="http://schemas.microsoft.com/office/drawing/2012/chart" uri="{CE6537A1-D6FC-4f65-9D91-7224C49458BB}">
                  <c15:dlblFieldTable>
                    <c15:dlblFTEntry>
                      <c15:txfldGUID>{67F27E25-9E9D-4769-86A6-41ADEBF3062E}</c15:txfldGUID>
                      <c15:f>'Revenue required'!$D$177</c15:f>
                      <c15:dlblFieldTableCache>
                        <c:ptCount val="1"/>
                        <c:pt idx="0">
                          <c:v>Tariff revenue</c:v>
                        </c:pt>
                      </c15:dlblFieldTableCache>
                    </c15:dlblFTEntry>
                  </c15:dlblFieldTable>
                  <c15:showDataLabelsRange val="0"/>
                </c:ext>
                <c:ext xmlns:c16="http://schemas.microsoft.com/office/drawing/2014/chart" uri="{C3380CC4-5D6E-409C-BE32-E72D297353CC}">
                  <c16:uniqueId val="{00000006-6D18-4899-BCA6-983AAD3F94DA}"/>
                </c:ext>
              </c:extLst>
            </c:dLbl>
            <c:spPr>
              <a:noFill/>
              <a:ln w="25400">
                <a:noFill/>
              </a:ln>
            </c:spPr>
            <c:txPr>
              <a:bodyPr wrap="square" lIns="38100" tIns="19050" rIns="38100" bIns="19050" anchor="ctr">
                <a:spAutoFit/>
              </a:bodyPr>
              <a:lstStyle/>
              <a:p>
                <a:pPr>
                  <a:defRPr sz="1100" b="0" i="0" u="none" strike="noStrike" baseline="0">
                    <a:solidFill>
                      <a:srgbClr val="333333"/>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'Revenue required'!$E$177:$F$177</c:f>
            </c:numRef>
          </c:val>
          <c:extLst>
            <c:ext xmlns:c15="http://schemas.microsoft.com/office/drawing/2012/chart" uri="{02D57815-91ED-43cb-92C2-25804820EDAC}">
              <c15:filteredCategoryTitle>
                <c15:cat>
                  <c:multiLvlStrRef>
                    <c:extLst>
                      <c:ext uri="{02D57815-91ED-43cb-92C2-25804820EDAC}">
                        <c15:formulaRef>
                          <c15:sqref>'Revenue required'!$E$173:$F$173</c15:sqref>
                        </c15:formulaRef>
                      </c:ext>
                    </c:extLst>
                  </c:multiLvlStrRef>
                </c15:cat>
              </c15:filteredCategoryTitle>
            </c:ext>
            <c:ext xmlns:c16="http://schemas.microsoft.com/office/drawing/2014/chart" uri="{C3380CC4-5D6E-409C-BE32-E72D297353CC}">
              <c16:uniqueId val="{00000007-6D18-4899-BCA6-983AAD3F94DA}"/>
            </c:ext>
          </c:extLst>
        </c:ser>
        <c:ser>
          <c:idx val="5"/>
          <c:order val="4"/>
          <c:tx>
            <c:strRef>
              <c:f>'Revenue required'!$D$178</c:f>
              <c:strCache>
                <c:ptCount val="1"/>
                <c:pt idx="0">
                  <c:v>Non-tariff revenue</c:v>
                </c:pt>
              </c:strCache>
            </c:strRef>
          </c:tx>
          <c:spPr>
            <a:solidFill>
              <a:schemeClr val="accent3"/>
            </a:solidFill>
          </c:spPr>
          <c:invertIfNegative val="0"/>
          <c:dLbls>
            <c:dLbl>
              <c:idx val="1"/>
              <c:tx>
                <c:strRef>
                  <c:f>'Revenue required'!$D$178</c:f>
                  <c:strCache>
                    <c:ptCount val="1"/>
                    <c:pt idx="0">
                      <c:v>Non-tariff revenue</c:v>
                    </c:pt>
                  </c:strCache>
                </c:strRef>
              </c:tx>
              <c:spPr>
                <a:noFill/>
                <a:ln w="25400">
                  <a:noFill/>
                </a:ln>
              </c:spPr>
              <c:txPr>
                <a:bodyPr/>
                <a:lstStyle/>
                <a:p>
                  <a:pPr>
                    <a:defRPr sz="1100" b="0" i="0" u="none" strike="noStrike" baseline="0">
                      <a:solidFill>
                        <a:srgbClr val="333333"/>
                      </a:solidFill>
                      <a:latin typeface="Calibri"/>
                      <a:ea typeface="Calibri"/>
                      <a:cs typeface="Calibri"/>
                    </a:defRPr>
                  </a:pPr>
                  <a:endParaRPr lang="en-US"/>
                </a:p>
              </c:txPr>
              <c:dLblPos val="ctr"/>
              <c:showLegendKey val="0"/>
              <c:showVal val="0"/>
              <c:showCatName val="0"/>
              <c:showSerName val="0"/>
              <c:showPercent val="0"/>
              <c:showBubbleSize val="0"/>
              <c:extLst>
                <c:ext xmlns:c15="http://schemas.microsoft.com/office/drawing/2012/chart" uri="{CE6537A1-D6FC-4f65-9D91-7224C49458BB}">
                  <c15:dlblFieldTable>
                    <c15:dlblFTEntry>
                      <c15:txfldGUID>{4EDF2188-1C11-49E4-8349-FEB259820E5F}</c15:txfldGUID>
                      <c15:f>'Revenue required'!$D$178</c15:f>
                      <c15:dlblFieldTableCache>
                        <c:ptCount val="1"/>
                        <c:pt idx="0">
                          <c:v>Non-tariff revenue</c:v>
                        </c:pt>
                      </c15:dlblFieldTableCache>
                    </c15:dlblFTEntry>
                  </c15:dlblFieldTable>
                  <c15:showDataLabelsRange val="0"/>
                </c:ext>
                <c:ext xmlns:c16="http://schemas.microsoft.com/office/drawing/2014/chart" uri="{C3380CC4-5D6E-409C-BE32-E72D297353CC}">
                  <c16:uniqueId val="{00000008-6D18-4899-BCA6-983AAD3F94DA}"/>
                </c:ext>
              </c:extLst>
            </c:dLbl>
            <c:spPr>
              <a:noFill/>
              <a:ln w="25400">
                <a:noFill/>
              </a:ln>
            </c:spPr>
            <c:txPr>
              <a:bodyPr wrap="square" lIns="38100" tIns="19050" rIns="38100" bIns="19050" anchor="ctr">
                <a:spAutoFit/>
              </a:bodyPr>
              <a:lstStyle/>
              <a:p>
                <a:pPr>
                  <a:defRPr sz="1100" b="0" i="0" u="none" strike="noStrike" baseline="0">
                    <a:solidFill>
                      <a:srgbClr val="333333"/>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'Revenue required'!$E$178:$F$178</c:f>
            </c:numRef>
          </c:val>
          <c:extLst>
            <c:ext xmlns:c15="http://schemas.microsoft.com/office/drawing/2012/chart" uri="{02D57815-91ED-43cb-92C2-25804820EDAC}">
              <c15:filteredCategoryTitle>
                <c15:cat>
                  <c:multiLvlStrRef>
                    <c:extLst>
                      <c:ext uri="{02D57815-91ED-43cb-92C2-25804820EDAC}">
                        <c15:formulaRef>
                          <c15:sqref>'Revenue required'!$E$173:$F$173</c15:sqref>
                        </c15:formulaRef>
                      </c:ext>
                    </c:extLst>
                  </c:multiLvlStrRef>
                </c15:cat>
              </c15:filteredCategoryTitle>
            </c:ext>
            <c:ext xmlns:c16="http://schemas.microsoft.com/office/drawing/2014/chart" uri="{C3380CC4-5D6E-409C-BE32-E72D297353CC}">
              <c16:uniqueId val="{00000009-6D18-4899-BCA6-983AAD3F94DA}"/>
            </c:ext>
          </c:extLst>
        </c:ser>
        <c:ser>
          <c:idx val="3"/>
          <c:order val="5"/>
          <c:tx>
            <c:strRef>
              <c:f>'Revenue required'!$D$179</c:f>
              <c:strCache>
                <c:ptCount val="1"/>
              </c:strCache>
            </c:strRef>
          </c:tx>
          <c:invertIfNegative val="0"/>
          <c:dLbls>
            <c:spPr>
              <a:noFill/>
              <a:ln w="25400">
                <a:noFill/>
              </a:ln>
            </c:spPr>
            <c:txPr>
              <a:bodyPr wrap="square" lIns="38100" tIns="19050" rIns="38100" bIns="19050" anchor="ctr">
                <a:spAutoFit/>
              </a:bodyPr>
              <a:lstStyle/>
              <a:p>
                <a:pPr>
                  <a:defRPr sz="1100" b="0" i="0" u="none" strike="noStrike" baseline="0">
                    <a:solidFill>
                      <a:srgbClr val="333333"/>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'Revenue required'!$E$179:$F$179</c:f>
            </c:numRef>
          </c:val>
          <c:extLst>
            <c:ext xmlns:c15="http://schemas.microsoft.com/office/drawing/2012/chart" uri="{02D57815-91ED-43cb-92C2-25804820EDAC}">
              <c15:filteredCategoryTitle>
                <c15:cat>
                  <c:multiLvlStrRef>
                    <c:extLst>
                      <c:ext uri="{02D57815-91ED-43cb-92C2-25804820EDAC}">
                        <c15:formulaRef>
                          <c15:sqref>'Revenue required'!$E$173:$F$173</c15:sqref>
                        </c15:formulaRef>
                      </c:ext>
                    </c:extLst>
                  </c:multiLvlStrRef>
                </c15:cat>
              </c15:filteredCategoryTitle>
            </c:ext>
            <c:ext xmlns:c16="http://schemas.microsoft.com/office/drawing/2014/chart" uri="{C3380CC4-5D6E-409C-BE32-E72D297353CC}">
              <c16:uniqueId val="{0000000A-6D18-4899-BCA6-983AAD3F94DA}"/>
            </c:ext>
          </c:extLst>
        </c:ser>
        <c:dLbls>
          <c:showLegendKey val="0"/>
          <c:showVal val="0"/>
          <c:showCatName val="0"/>
          <c:showSerName val="0"/>
          <c:showPercent val="0"/>
          <c:showBubbleSize val="0"/>
        </c:dLbls>
        <c:gapWidth val="25"/>
        <c:overlap val="100"/>
        <c:axId val="1350521519"/>
        <c:axId val="1"/>
      </c:barChart>
      <c:catAx>
        <c:axId val="1350521519"/>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0" vert="horz"/>
          <a:lstStyle/>
          <a:p>
            <a:pPr>
              <a:defRPr sz="1100" b="0" i="0" u="none" strike="noStrike" baseline="0">
                <a:solidFill>
                  <a:srgbClr val="333333"/>
                </a:solidFill>
                <a:latin typeface="Calibri"/>
                <a:ea typeface="Calibri"/>
                <a:cs typeface="Calibri"/>
              </a:defRPr>
            </a:pPr>
            <a:endParaRPr lang="en-US"/>
          </a:p>
        </c:txPr>
        <c:crossAx val="1"/>
        <c:crosses val="autoZero"/>
        <c:auto val="1"/>
        <c:lblAlgn val="ctr"/>
        <c:lblOffset val="100"/>
        <c:noMultiLvlLbl val="0"/>
      </c:catAx>
      <c:valAx>
        <c:axId val="1"/>
        <c:scaling>
          <c:orientation val="minMax"/>
        </c:scaling>
        <c:delete val="1"/>
        <c:axPos val="l"/>
        <c:majorGridlines>
          <c:spPr>
            <a:ln w="9525" cap="flat" cmpd="sng" algn="ctr">
              <a:solidFill>
                <a:schemeClr val="tx1">
                  <a:lumMod val="15000"/>
                  <a:lumOff val="85000"/>
                </a:schemeClr>
              </a:solidFill>
              <a:round/>
            </a:ln>
            <a:effectLst/>
          </c:spPr>
        </c:majorGridlines>
        <c:numFmt formatCode="_-* #\ ##0_-;\-* #\ ##0_-;_-* &quot;-&quot;??_-;_-@_-" sourceLinked="1"/>
        <c:majorTickMark val="out"/>
        <c:minorTickMark val="none"/>
        <c:tickLblPos val="nextTo"/>
        <c:crossAx val="1350521519"/>
        <c:crosses val="autoZero"/>
        <c:crossBetween val="between"/>
      </c:valAx>
    </c:plotArea>
    <c:plotVisOnly val="1"/>
    <c:dispBlanksAs val="gap"/>
    <c:showDLblsOverMax val="0"/>
  </c:chart>
  <c:spPr>
    <a:solidFill>
      <a:schemeClr val="bg1"/>
    </a:solidFill>
    <a:ln w="9525" cap="flat" cmpd="sng" algn="ctr">
      <a:noFill/>
      <a:round/>
    </a:ln>
    <a:effectLst/>
  </c:spPr>
  <c:txPr>
    <a:bodyPr/>
    <a:lstStyle/>
    <a:p>
      <a:pPr>
        <a:defRPr sz="11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charts/chart2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320" b="0" i="0" u="none" strike="noStrike" baseline="0">
                <a:solidFill>
                  <a:srgbClr val="333333"/>
                </a:solidFill>
                <a:latin typeface="Calibri"/>
                <a:ea typeface="Calibri"/>
                <a:cs typeface="Calibri"/>
              </a:defRPr>
            </a:pPr>
            <a:r>
              <a:rPr lang="en-ZA"/>
              <a:t>Budget funding: electricity service R'000</a:t>
            </a:r>
          </a:p>
        </c:rich>
      </c:tx>
      <c:layout>
        <c:manualLayout>
          <c:xMode val="edge"/>
          <c:yMode val="edge"/>
          <c:x val="6.4499571962106886E-2"/>
          <c:y val="3.2407487525597758E-2"/>
        </c:manualLayout>
      </c:layout>
      <c:overlay val="0"/>
      <c:spPr>
        <a:noFill/>
        <a:ln w="25400">
          <a:noFill/>
        </a:ln>
      </c:spPr>
    </c:title>
    <c:autoTitleDeleted val="0"/>
    <c:plotArea>
      <c:layout/>
      <c:barChart>
        <c:barDir val="col"/>
        <c:grouping val="stacked"/>
        <c:varyColors val="0"/>
        <c:ser>
          <c:idx val="0"/>
          <c:order val="0"/>
          <c:tx>
            <c:strRef>
              <c:f>'Revenue required'!$D$174</c:f>
              <c:strCache>
                <c:ptCount val="1"/>
                <c:pt idx="0">
                  <c:v>Direct cost</c:v>
                </c:pt>
              </c:strCache>
            </c:strRef>
          </c:tx>
          <c:spPr>
            <a:solidFill>
              <a:schemeClr val="accent5"/>
            </a:solidFill>
          </c:spPr>
          <c:invertIfNegative val="0"/>
          <c:dLbls>
            <c:spPr>
              <a:noFill/>
              <a:ln w="25400">
                <a:noFill/>
              </a:ln>
            </c:spPr>
            <c:txPr>
              <a:bodyPr wrap="square" lIns="38100" tIns="19050" rIns="38100" bIns="19050" anchor="ctr">
                <a:spAutoFit/>
              </a:bodyPr>
              <a:lstStyle/>
              <a:p>
                <a:pPr>
                  <a:defRPr sz="1100" b="0" i="0" u="none" strike="noStrike" baseline="0">
                    <a:solidFill>
                      <a:srgbClr val="333333"/>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'Revenue required'!$E$174:$F$174</c:f>
            </c:numRef>
          </c:val>
          <c:extLst>
            <c:ext xmlns:c15="http://schemas.microsoft.com/office/drawing/2012/chart" uri="{02D57815-91ED-43cb-92C2-25804820EDAC}">
              <c15:filteredCategoryTitle>
                <c15:cat>
                  <c:multiLvlStrRef>
                    <c:extLst>
                      <c:ext uri="{02D57815-91ED-43cb-92C2-25804820EDAC}">
                        <c15:formulaRef>
                          <c15:sqref>'Revenue required'!$E$173:$F$173</c15:sqref>
                        </c15:formulaRef>
                      </c:ext>
                    </c:extLst>
                  </c:multiLvlStrRef>
                </c15:cat>
              </c15:filteredCategoryTitle>
            </c:ext>
            <c:ext xmlns:c16="http://schemas.microsoft.com/office/drawing/2014/chart" uri="{C3380CC4-5D6E-409C-BE32-E72D297353CC}">
              <c16:uniqueId val="{00000000-A3DF-4DC7-A2D2-8EFBF48DB55A}"/>
            </c:ext>
          </c:extLst>
        </c:ser>
        <c:ser>
          <c:idx val="1"/>
          <c:order val="1"/>
          <c:tx>
            <c:strRef>
              <c:f>'Revenue required'!$D$175</c:f>
              <c:strCache>
                <c:ptCount val="1"/>
                <c:pt idx="0">
                  <c:v>Indirect cost</c:v>
                </c:pt>
              </c:strCache>
            </c:strRef>
          </c:tx>
          <c:spPr>
            <a:solidFill>
              <a:schemeClr val="accent5">
                <a:lumMod val="60000"/>
                <a:lumOff val="40000"/>
              </a:schemeClr>
            </a:solidFill>
          </c:spPr>
          <c:invertIfNegative val="0"/>
          <c:dLbls>
            <c:spPr>
              <a:noFill/>
              <a:ln w="25400">
                <a:noFill/>
              </a:ln>
            </c:spPr>
            <c:txPr>
              <a:bodyPr wrap="square" lIns="38100" tIns="19050" rIns="38100" bIns="19050" anchor="ctr">
                <a:spAutoFit/>
              </a:bodyPr>
              <a:lstStyle/>
              <a:p>
                <a:pPr>
                  <a:defRPr sz="1100" b="0" i="0" u="none" strike="noStrike" baseline="0">
                    <a:solidFill>
                      <a:srgbClr val="333333"/>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'Revenue required'!$E$175:$F$175</c:f>
            </c:numRef>
          </c:val>
          <c:extLst>
            <c:ext xmlns:c15="http://schemas.microsoft.com/office/drawing/2012/chart" uri="{02D57815-91ED-43cb-92C2-25804820EDAC}">
              <c15:filteredCategoryTitle>
                <c15:cat>
                  <c:multiLvlStrRef>
                    <c:extLst>
                      <c:ext uri="{02D57815-91ED-43cb-92C2-25804820EDAC}">
                        <c15:formulaRef>
                          <c15:sqref>'Revenue required'!$E$173:$F$173</c15:sqref>
                        </c15:formulaRef>
                      </c:ext>
                    </c:extLst>
                  </c:multiLvlStrRef>
                </c15:cat>
              </c15:filteredCategoryTitle>
            </c:ext>
            <c:ext xmlns:c16="http://schemas.microsoft.com/office/drawing/2014/chart" uri="{C3380CC4-5D6E-409C-BE32-E72D297353CC}">
              <c16:uniqueId val="{00000001-A3DF-4DC7-A2D2-8EFBF48DB55A}"/>
            </c:ext>
          </c:extLst>
        </c:ser>
        <c:ser>
          <c:idx val="2"/>
          <c:order val="2"/>
          <c:tx>
            <c:strRef>
              <c:f>'Revenue required'!$D$176</c:f>
              <c:strCache>
                <c:ptCount val="1"/>
              </c:strCache>
            </c:strRef>
          </c:tx>
          <c:spPr>
            <a:solidFill>
              <a:schemeClr val="accent6"/>
            </a:solidFill>
          </c:spPr>
          <c:invertIfNegative val="0"/>
          <c:dLbls>
            <c:spPr>
              <a:noFill/>
              <a:ln w="25400">
                <a:noFill/>
              </a:ln>
            </c:spPr>
            <c:txPr>
              <a:bodyPr wrap="square" lIns="38100" tIns="19050" rIns="38100" bIns="19050" anchor="ctr">
                <a:spAutoFit/>
              </a:bodyPr>
              <a:lstStyle/>
              <a:p>
                <a:pPr>
                  <a:defRPr sz="1100" b="0" i="0" u="none" strike="noStrike" baseline="0">
                    <a:solidFill>
                      <a:srgbClr val="333333"/>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'Revenue required'!$E$176:$F$176</c:f>
            </c:numRef>
          </c:val>
          <c:extLst>
            <c:ext xmlns:c15="http://schemas.microsoft.com/office/drawing/2012/chart" uri="{02D57815-91ED-43cb-92C2-25804820EDAC}">
              <c15:filteredCategoryTitle>
                <c15:cat>
                  <c:multiLvlStrRef>
                    <c:extLst>
                      <c:ext uri="{02D57815-91ED-43cb-92C2-25804820EDAC}">
                        <c15:formulaRef>
                          <c15:sqref>'Revenue required'!$E$173:$F$173</c15:sqref>
                        </c15:formulaRef>
                      </c:ext>
                    </c:extLst>
                  </c:multiLvlStrRef>
                </c15:cat>
              </c15:filteredCategoryTitle>
            </c:ext>
            <c:ext xmlns:c16="http://schemas.microsoft.com/office/drawing/2014/chart" uri="{C3380CC4-5D6E-409C-BE32-E72D297353CC}">
              <c16:uniqueId val="{00000002-A3DF-4DC7-A2D2-8EFBF48DB55A}"/>
            </c:ext>
          </c:extLst>
        </c:ser>
        <c:ser>
          <c:idx val="4"/>
          <c:order val="3"/>
          <c:tx>
            <c:strRef>
              <c:f>'Revenue required'!$D$177</c:f>
              <c:strCache>
                <c:ptCount val="1"/>
                <c:pt idx="0">
                  <c:v>Tariff revenue</c:v>
                </c:pt>
              </c:strCache>
            </c:strRef>
          </c:tx>
          <c:spPr>
            <a:solidFill>
              <a:schemeClr val="accent3">
                <a:lumMod val="75000"/>
              </a:schemeClr>
            </a:solidFill>
          </c:spPr>
          <c:invertIfNegative val="0"/>
          <c:dLbls>
            <c:spPr>
              <a:noFill/>
              <a:ln w="25400">
                <a:noFill/>
              </a:ln>
            </c:spPr>
            <c:txPr>
              <a:bodyPr wrap="square" lIns="38100" tIns="19050" rIns="38100" bIns="19050" anchor="ctr">
                <a:spAutoFit/>
              </a:bodyPr>
              <a:lstStyle/>
              <a:p>
                <a:pPr>
                  <a:defRPr sz="1100" b="0" i="0" u="none" strike="noStrike" baseline="0">
                    <a:solidFill>
                      <a:srgbClr val="333333"/>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'Revenue required'!$E$177:$F$177</c:f>
            </c:numRef>
          </c:val>
          <c:extLst>
            <c:ext xmlns:c15="http://schemas.microsoft.com/office/drawing/2012/chart" uri="{02D57815-91ED-43cb-92C2-25804820EDAC}">
              <c15:filteredCategoryTitle>
                <c15:cat>
                  <c:multiLvlStrRef>
                    <c:extLst>
                      <c:ext uri="{02D57815-91ED-43cb-92C2-25804820EDAC}">
                        <c15:formulaRef>
                          <c15:sqref>'Revenue required'!$E$173:$F$173</c15:sqref>
                        </c15:formulaRef>
                      </c:ext>
                    </c:extLst>
                  </c:multiLvlStrRef>
                </c15:cat>
              </c15:filteredCategoryTitle>
            </c:ext>
            <c:ext xmlns:c16="http://schemas.microsoft.com/office/drawing/2014/chart" uri="{C3380CC4-5D6E-409C-BE32-E72D297353CC}">
              <c16:uniqueId val="{00000003-A3DF-4DC7-A2D2-8EFBF48DB55A}"/>
            </c:ext>
          </c:extLst>
        </c:ser>
        <c:ser>
          <c:idx val="5"/>
          <c:order val="4"/>
          <c:tx>
            <c:strRef>
              <c:f>'Revenue required'!$D$178</c:f>
              <c:strCache>
                <c:ptCount val="1"/>
                <c:pt idx="0">
                  <c:v>Non-tariff revenue</c:v>
                </c:pt>
              </c:strCache>
            </c:strRef>
          </c:tx>
          <c:spPr>
            <a:solidFill>
              <a:schemeClr val="accent3"/>
            </a:solidFill>
          </c:spPr>
          <c:invertIfNegative val="0"/>
          <c:dLbls>
            <c:spPr>
              <a:noFill/>
              <a:ln w="25400">
                <a:noFill/>
              </a:ln>
            </c:spPr>
            <c:txPr>
              <a:bodyPr wrap="square" lIns="38100" tIns="19050" rIns="38100" bIns="19050" anchor="ctr">
                <a:spAutoFit/>
              </a:bodyPr>
              <a:lstStyle/>
              <a:p>
                <a:pPr>
                  <a:defRPr sz="1100" b="0" i="0" u="none" strike="noStrike" baseline="0">
                    <a:solidFill>
                      <a:srgbClr val="333333"/>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'Revenue required'!$E$178:$F$178</c:f>
            </c:numRef>
          </c:val>
          <c:extLst>
            <c:ext xmlns:c15="http://schemas.microsoft.com/office/drawing/2012/chart" uri="{02D57815-91ED-43cb-92C2-25804820EDAC}">
              <c15:filteredCategoryTitle>
                <c15:cat>
                  <c:multiLvlStrRef>
                    <c:extLst>
                      <c:ext uri="{02D57815-91ED-43cb-92C2-25804820EDAC}">
                        <c15:formulaRef>
                          <c15:sqref>'Revenue required'!$E$173:$F$173</c15:sqref>
                        </c15:formulaRef>
                      </c:ext>
                    </c:extLst>
                  </c:multiLvlStrRef>
                </c15:cat>
              </c15:filteredCategoryTitle>
            </c:ext>
            <c:ext xmlns:c16="http://schemas.microsoft.com/office/drawing/2014/chart" uri="{C3380CC4-5D6E-409C-BE32-E72D297353CC}">
              <c16:uniqueId val="{00000004-A3DF-4DC7-A2D2-8EFBF48DB55A}"/>
            </c:ext>
          </c:extLst>
        </c:ser>
        <c:ser>
          <c:idx val="3"/>
          <c:order val="5"/>
          <c:tx>
            <c:strRef>
              <c:f>'Revenue required'!$D$179</c:f>
              <c:strCache>
                <c:ptCount val="1"/>
              </c:strCache>
            </c:strRef>
          </c:tx>
          <c:invertIfNegative val="0"/>
          <c:dLbls>
            <c:spPr>
              <a:noFill/>
              <a:ln w="25400">
                <a:noFill/>
              </a:ln>
            </c:spPr>
            <c:txPr>
              <a:bodyPr wrap="square" lIns="38100" tIns="19050" rIns="38100" bIns="19050" anchor="ctr">
                <a:spAutoFit/>
              </a:bodyPr>
              <a:lstStyle/>
              <a:p>
                <a:pPr>
                  <a:defRPr sz="1100" b="0" i="0" u="none" strike="noStrike" baseline="0">
                    <a:solidFill>
                      <a:srgbClr val="333333"/>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'Revenue required'!$E$179:$F$179</c:f>
            </c:numRef>
          </c:val>
          <c:extLst>
            <c:ext xmlns:c15="http://schemas.microsoft.com/office/drawing/2012/chart" uri="{02D57815-91ED-43cb-92C2-25804820EDAC}">
              <c15:filteredCategoryTitle>
                <c15:cat>
                  <c:multiLvlStrRef>
                    <c:extLst>
                      <c:ext uri="{02D57815-91ED-43cb-92C2-25804820EDAC}">
                        <c15:formulaRef>
                          <c15:sqref>'Revenue required'!$E$173:$F$173</c15:sqref>
                        </c15:formulaRef>
                      </c:ext>
                    </c:extLst>
                  </c:multiLvlStrRef>
                </c15:cat>
              </c15:filteredCategoryTitle>
            </c:ext>
            <c:ext xmlns:c16="http://schemas.microsoft.com/office/drawing/2014/chart" uri="{C3380CC4-5D6E-409C-BE32-E72D297353CC}">
              <c16:uniqueId val="{00000005-A3DF-4DC7-A2D2-8EFBF48DB55A}"/>
            </c:ext>
          </c:extLst>
        </c:ser>
        <c:dLbls>
          <c:showLegendKey val="0"/>
          <c:showVal val="0"/>
          <c:showCatName val="0"/>
          <c:showSerName val="0"/>
          <c:showPercent val="0"/>
          <c:showBubbleSize val="0"/>
        </c:dLbls>
        <c:gapWidth val="25"/>
        <c:overlap val="100"/>
        <c:axId val="1350506159"/>
        <c:axId val="1"/>
      </c:barChart>
      <c:catAx>
        <c:axId val="1350506159"/>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0" vert="horz"/>
          <a:lstStyle/>
          <a:p>
            <a:pPr>
              <a:defRPr sz="1100" b="0" i="0" u="none" strike="noStrike" baseline="0">
                <a:solidFill>
                  <a:srgbClr val="333333"/>
                </a:solidFill>
                <a:latin typeface="Calibri"/>
                <a:ea typeface="Calibri"/>
                <a:cs typeface="Calibri"/>
              </a:defRPr>
            </a:pPr>
            <a:endParaRPr lang="en-US"/>
          </a:p>
        </c:txPr>
        <c:crossAx val="1"/>
        <c:crosses val="autoZero"/>
        <c:auto val="1"/>
        <c:lblAlgn val="ctr"/>
        <c:lblOffset val="100"/>
        <c:noMultiLvlLbl val="0"/>
      </c:catAx>
      <c:valAx>
        <c:axId val="1"/>
        <c:scaling>
          <c:orientation val="minMax"/>
        </c:scaling>
        <c:delete val="1"/>
        <c:axPos val="l"/>
        <c:majorGridlines>
          <c:spPr>
            <a:ln w="9525" cap="flat" cmpd="sng" algn="ctr">
              <a:solidFill>
                <a:schemeClr val="tx1">
                  <a:lumMod val="15000"/>
                  <a:lumOff val="85000"/>
                </a:schemeClr>
              </a:solidFill>
              <a:round/>
            </a:ln>
            <a:effectLst/>
          </c:spPr>
        </c:majorGridlines>
        <c:numFmt formatCode="_-* #\ ##0_-;\-* #\ ##0_-;_-* &quot;-&quot;??_-;_-@_-" sourceLinked="1"/>
        <c:majorTickMark val="out"/>
        <c:minorTickMark val="none"/>
        <c:tickLblPos val="nextTo"/>
        <c:crossAx val="1350506159"/>
        <c:crosses val="autoZero"/>
        <c:crossBetween val="between"/>
      </c:valAx>
    </c:plotArea>
    <c:plotVisOnly val="1"/>
    <c:dispBlanksAs val="gap"/>
    <c:showDLblsOverMax val="0"/>
  </c:chart>
  <c:spPr>
    <a:solidFill>
      <a:schemeClr val="bg1"/>
    </a:solidFill>
    <a:ln w="9525" cap="flat" cmpd="sng" algn="ctr">
      <a:noFill/>
      <a:round/>
    </a:ln>
    <a:effectLst/>
  </c:spPr>
  <c:txPr>
    <a:bodyPr/>
    <a:lstStyle/>
    <a:p>
      <a:pPr>
        <a:defRPr sz="11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charts/chart2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320" b="0" i="0" u="none" strike="noStrike" baseline="0">
                <a:solidFill>
                  <a:srgbClr val="333333"/>
                </a:solidFill>
                <a:latin typeface="Calibri"/>
                <a:ea typeface="Calibri"/>
                <a:cs typeface="Calibri"/>
              </a:defRPr>
            </a:pPr>
            <a:r>
              <a:rPr lang="en-ZA"/>
              <a:t>Budget funding: electricity service: %s</a:t>
            </a:r>
          </a:p>
        </c:rich>
      </c:tx>
      <c:layout>
        <c:manualLayout>
          <c:xMode val="edge"/>
          <c:yMode val="edge"/>
          <c:x val="3.5577825499085343E-2"/>
          <c:y val="5.0906329016565235E-2"/>
        </c:manualLayout>
      </c:layout>
      <c:overlay val="0"/>
      <c:spPr>
        <a:noFill/>
        <a:ln w="25400">
          <a:noFill/>
        </a:ln>
      </c:spPr>
    </c:title>
    <c:autoTitleDeleted val="0"/>
    <c:plotArea>
      <c:layout/>
      <c:barChart>
        <c:barDir val="col"/>
        <c:grouping val="percentStacked"/>
        <c:varyColors val="0"/>
        <c:ser>
          <c:idx val="0"/>
          <c:order val="0"/>
          <c:tx>
            <c:strRef>
              <c:f>'Revenue required'!$G$174</c:f>
              <c:strCache>
                <c:ptCount val="1"/>
                <c:pt idx="0">
                  <c:v>Direct cost</c:v>
                </c:pt>
              </c:strCache>
            </c:strRef>
          </c:tx>
          <c:spPr>
            <a:solidFill>
              <a:schemeClr val="accent5"/>
            </a:solidFill>
          </c:spPr>
          <c:invertIfNegative val="0"/>
          <c:dLbls>
            <c:spPr>
              <a:noFill/>
              <a:ln w="25400">
                <a:noFill/>
              </a:ln>
            </c:spPr>
            <c:txPr>
              <a:bodyPr wrap="square" lIns="38100" tIns="19050" rIns="38100" bIns="19050" anchor="ctr">
                <a:spAutoFit/>
              </a:bodyPr>
              <a:lstStyle/>
              <a:p>
                <a:pPr>
                  <a:defRPr sz="1100" b="0" i="0" u="none" strike="noStrike" baseline="0">
                    <a:solidFill>
                      <a:srgbClr val="333333"/>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'Revenue required'!$H$174:$I$174</c:f>
            </c:numRef>
          </c:val>
          <c:extLst>
            <c:ext xmlns:c15="http://schemas.microsoft.com/office/drawing/2012/chart" uri="{02D57815-91ED-43cb-92C2-25804820EDAC}">
              <c15:filteredCategoryTitle>
                <c15:cat>
                  <c:multiLvlStrRef>
                    <c:extLst>
                      <c:ext uri="{02D57815-91ED-43cb-92C2-25804820EDAC}">
                        <c15:formulaRef>
                          <c15:sqref>'Revenue required'!$H$173:$I$173</c15:sqref>
                        </c15:formulaRef>
                      </c:ext>
                    </c:extLst>
                  </c:multiLvlStrRef>
                </c15:cat>
              </c15:filteredCategoryTitle>
            </c:ext>
            <c:ext xmlns:c16="http://schemas.microsoft.com/office/drawing/2014/chart" uri="{C3380CC4-5D6E-409C-BE32-E72D297353CC}">
              <c16:uniqueId val="{00000000-C70D-4B92-89DC-08D0A810AF9F}"/>
            </c:ext>
          </c:extLst>
        </c:ser>
        <c:ser>
          <c:idx val="1"/>
          <c:order val="1"/>
          <c:tx>
            <c:strRef>
              <c:f>'Revenue required'!$G$175</c:f>
              <c:strCache>
                <c:ptCount val="1"/>
                <c:pt idx="0">
                  <c:v>Indirect cost</c:v>
                </c:pt>
              </c:strCache>
            </c:strRef>
          </c:tx>
          <c:spPr>
            <a:solidFill>
              <a:schemeClr val="accent5">
                <a:lumMod val="60000"/>
                <a:lumOff val="40000"/>
              </a:schemeClr>
            </a:solidFill>
          </c:spPr>
          <c:invertIfNegative val="0"/>
          <c:dLbls>
            <c:spPr>
              <a:noFill/>
              <a:ln w="25400">
                <a:noFill/>
              </a:ln>
            </c:spPr>
            <c:txPr>
              <a:bodyPr wrap="square" lIns="38100" tIns="19050" rIns="38100" bIns="19050" anchor="ctr">
                <a:spAutoFit/>
              </a:bodyPr>
              <a:lstStyle/>
              <a:p>
                <a:pPr>
                  <a:defRPr sz="1100" b="0" i="0" u="none" strike="noStrike" baseline="0">
                    <a:solidFill>
                      <a:srgbClr val="333333"/>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'Revenue required'!$H$175:$I$175</c:f>
            </c:numRef>
          </c:val>
          <c:extLst>
            <c:ext xmlns:c15="http://schemas.microsoft.com/office/drawing/2012/chart" uri="{02D57815-91ED-43cb-92C2-25804820EDAC}">
              <c15:filteredCategoryTitle>
                <c15:cat>
                  <c:multiLvlStrRef>
                    <c:extLst>
                      <c:ext uri="{02D57815-91ED-43cb-92C2-25804820EDAC}">
                        <c15:formulaRef>
                          <c15:sqref>'Revenue required'!$H$173:$I$173</c15:sqref>
                        </c15:formulaRef>
                      </c:ext>
                    </c:extLst>
                  </c:multiLvlStrRef>
                </c15:cat>
              </c15:filteredCategoryTitle>
            </c:ext>
            <c:ext xmlns:c16="http://schemas.microsoft.com/office/drawing/2014/chart" uri="{C3380CC4-5D6E-409C-BE32-E72D297353CC}">
              <c16:uniqueId val="{00000001-C70D-4B92-89DC-08D0A810AF9F}"/>
            </c:ext>
          </c:extLst>
        </c:ser>
        <c:ser>
          <c:idx val="2"/>
          <c:order val="2"/>
          <c:tx>
            <c:strRef>
              <c:f>'Revenue required'!$G$176</c:f>
              <c:strCache>
                <c:ptCount val="1"/>
              </c:strCache>
            </c:strRef>
          </c:tx>
          <c:spPr>
            <a:solidFill>
              <a:schemeClr val="accent6"/>
            </a:solidFill>
          </c:spPr>
          <c:invertIfNegative val="0"/>
          <c:dLbls>
            <c:spPr>
              <a:noFill/>
              <a:ln w="25400">
                <a:noFill/>
              </a:ln>
            </c:spPr>
            <c:txPr>
              <a:bodyPr wrap="square" lIns="38100" tIns="19050" rIns="38100" bIns="19050" anchor="ctr">
                <a:spAutoFit/>
              </a:bodyPr>
              <a:lstStyle/>
              <a:p>
                <a:pPr>
                  <a:defRPr sz="1100" b="0" i="0" u="none" strike="noStrike" baseline="0">
                    <a:solidFill>
                      <a:srgbClr val="333333"/>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'Revenue required'!$H$176:$I$176</c:f>
            </c:numRef>
          </c:val>
          <c:extLst>
            <c:ext xmlns:c15="http://schemas.microsoft.com/office/drawing/2012/chart" uri="{02D57815-91ED-43cb-92C2-25804820EDAC}">
              <c15:filteredCategoryTitle>
                <c15:cat>
                  <c:multiLvlStrRef>
                    <c:extLst>
                      <c:ext uri="{02D57815-91ED-43cb-92C2-25804820EDAC}">
                        <c15:formulaRef>
                          <c15:sqref>'Revenue required'!$H$173:$I$173</c15:sqref>
                        </c15:formulaRef>
                      </c:ext>
                    </c:extLst>
                  </c:multiLvlStrRef>
                </c15:cat>
              </c15:filteredCategoryTitle>
            </c:ext>
            <c:ext xmlns:c16="http://schemas.microsoft.com/office/drawing/2014/chart" uri="{C3380CC4-5D6E-409C-BE32-E72D297353CC}">
              <c16:uniqueId val="{00000002-C70D-4B92-89DC-08D0A810AF9F}"/>
            </c:ext>
          </c:extLst>
        </c:ser>
        <c:ser>
          <c:idx val="4"/>
          <c:order val="3"/>
          <c:tx>
            <c:strRef>
              <c:f>'Revenue required'!$G$177</c:f>
              <c:strCache>
                <c:ptCount val="1"/>
                <c:pt idx="0">
                  <c:v>Tariff revenue</c:v>
                </c:pt>
              </c:strCache>
            </c:strRef>
          </c:tx>
          <c:spPr>
            <a:solidFill>
              <a:schemeClr val="accent3">
                <a:lumMod val="75000"/>
              </a:schemeClr>
            </a:solidFill>
          </c:spPr>
          <c:invertIfNegative val="0"/>
          <c:dLbls>
            <c:spPr>
              <a:noFill/>
              <a:ln w="25400">
                <a:noFill/>
              </a:ln>
            </c:spPr>
            <c:txPr>
              <a:bodyPr wrap="square" lIns="38100" tIns="19050" rIns="38100" bIns="19050" anchor="ctr">
                <a:spAutoFit/>
              </a:bodyPr>
              <a:lstStyle/>
              <a:p>
                <a:pPr>
                  <a:defRPr sz="1100" b="0" i="0" u="none" strike="noStrike" baseline="0">
                    <a:solidFill>
                      <a:srgbClr val="333333"/>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'Revenue required'!$H$177:$I$177</c:f>
            </c:numRef>
          </c:val>
          <c:extLst>
            <c:ext xmlns:c15="http://schemas.microsoft.com/office/drawing/2012/chart" uri="{02D57815-91ED-43cb-92C2-25804820EDAC}">
              <c15:filteredCategoryTitle>
                <c15:cat>
                  <c:multiLvlStrRef>
                    <c:extLst>
                      <c:ext uri="{02D57815-91ED-43cb-92C2-25804820EDAC}">
                        <c15:formulaRef>
                          <c15:sqref>'Revenue required'!$H$173:$I$173</c15:sqref>
                        </c15:formulaRef>
                      </c:ext>
                    </c:extLst>
                  </c:multiLvlStrRef>
                </c15:cat>
              </c15:filteredCategoryTitle>
            </c:ext>
            <c:ext xmlns:c16="http://schemas.microsoft.com/office/drawing/2014/chart" uri="{C3380CC4-5D6E-409C-BE32-E72D297353CC}">
              <c16:uniqueId val="{00000003-C70D-4B92-89DC-08D0A810AF9F}"/>
            </c:ext>
          </c:extLst>
        </c:ser>
        <c:ser>
          <c:idx val="5"/>
          <c:order val="4"/>
          <c:tx>
            <c:strRef>
              <c:f>'Revenue required'!$G$178</c:f>
              <c:strCache>
                <c:ptCount val="1"/>
                <c:pt idx="0">
                  <c:v>Non-tariff revenue</c:v>
                </c:pt>
              </c:strCache>
            </c:strRef>
          </c:tx>
          <c:spPr>
            <a:solidFill>
              <a:schemeClr val="accent3"/>
            </a:solidFill>
          </c:spPr>
          <c:invertIfNegative val="0"/>
          <c:dLbls>
            <c:spPr>
              <a:noFill/>
              <a:ln w="25400">
                <a:noFill/>
              </a:ln>
            </c:spPr>
            <c:txPr>
              <a:bodyPr wrap="square" lIns="38100" tIns="19050" rIns="38100" bIns="19050" anchor="ctr">
                <a:spAutoFit/>
              </a:bodyPr>
              <a:lstStyle/>
              <a:p>
                <a:pPr>
                  <a:defRPr sz="1100" b="0" i="0" u="none" strike="noStrike" baseline="0">
                    <a:solidFill>
                      <a:srgbClr val="333333"/>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'Revenue required'!$H$178:$I$178</c:f>
            </c:numRef>
          </c:val>
          <c:extLst>
            <c:ext xmlns:c15="http://schemas.microsoft.com/office/drawing/2012/chart" uri="{02D57815-91ED-43cb-92C2-25804820EDAC}">
              <c15:filteredCategoryTitle>
                <c15:cat>
                  <c:multiLvlStrRef>
                    <c:extLst>
                      <c:ext uri="{02D57815-91ED-43cb-92C2-25804820EDAC}">
                        <c15:formulaRef>
                          <c15:sqref>'Revenue required'!$H$173:$I$173</c15:sqref>
                        </c15:formulaRef>
                      </c:ext>
                    </c:extLst>
                  </c:multiLvlStrRef>
                </c15:cat>
              </c15:filteredCategoryTitle>
            </c:ext>
            <c:ext xmlns:c16="http://schemas.microsoft.com/office/drawing/2014/chart" uri="{C3380CC4-5D6E-409C-BE32-E72D297353CC}">
              <c16:uniqueId val="{00000004-C70D-4B92-89DC-08D0A810AF9F}"/>
            </c:ext>
          </c:extLst>
        </c:ser>
        <c:ser>
          <c:idx val="3"/>
          <c:order val="5"/>
          <c:tx>
            <c:strRef>
              <c:f>'Revenue required'!$G$179</c:f>
              <c:strCache>
                <c:ptCount val="1"/>
              </c:strCache>
            </c:strRef>
          </c:tx>
          <c:invertIfNegative val="0"/>
          <c:dLbls>
            <c:spPr>
              <a:noFill/>
              <a:ln w="25400">
                <a:noFill/>
              </a:ln>
            </c:spPr>
            <c:txPr>
              <a:bodyPr wrap="square" lIns="38100" tIns="19050" rIns="38100" bIns="19050" anchor="ctr">
                <a:spAutoFit/>
              </a:bodyPr>
              <a:lstStyle/>
              <a:p>
                <a:pPr>
                  <a:defRPr sz="1100" b="0" i="0" u="none" strike="noStrike" baseline="0">
                    <a:solidFill>
                      <a:srgbClr val="333333"/>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'Revenue required'!$H$179:$I$179</c:f>
            </c:numRef>
          </c:val>
          <c:extLst>
            <c:ext xmlns:c15="http://schemas.microsoft.com/office/drawing/2012/chart" uri="{02D57815-91ED-43cb-92C2-25804820EDAC}">
              <c15:filteredCategoryTitle>
                <c15:cat>
                  <c:multiLvlStrRef>
                    <c:extLst>
                      <c:ext uri="{02D57815-91ED-43cb-92C2-25804820EDAC}">
                        <c15:formulaRef>
                          <c15:sqref>'Revenue required'!$H$173:$I$173</c15:sqref>
                        </c15:formulaRef>
                      </c:ext>
                    </c:extLst>
                  </c:multiLvlStrRef>
                </c15:cat>
              </c15:filteredCategoryTitle>
            </c:ext>
            <c:ext xmlns:c16="http://schemas.microsoft.com/office/drawing/2014/chart" uri="{C3380CC4-5D6E-409C-BE32-E72D297353CC}">
              <c16:uniqueId val="{00000005-C70D-4B92-89DC-08D0A810AF9F}"/>
            </c:ext>
          </c:extLst>
        </c:ser>
        <c:dLbls>
          <c:showLegendKey val="0"/>
          <c:showVal val="0"/>
          <c:showCatName val="0"/>
          <c:showSerName val="0"/>
          <c:showPercent val="0"/>
          <c:showBubbleSize val="0"/>
        </c:dLbls>
        <c:gapWidth val="25"/>
        <c:overlap val="100"/>
        <c:axId val="1350517199"/>
        <c:axId val="1"/>
      </c:barChart>
      <c:catAx>
        <c:axId val="1350517199"/>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0" vert="horz"/>
          <a:lstStyle/>
          <a:p>
            <a:pPr>
              <a:defRPr sz="1100" b="0" i="0" u="none" strike="noStrike" baseline="0">
                <a:solidFill>
                  <a:srgbClr val="333333"/>
                </a:solidFill>
                <a:latin typeface="Calibri"/>
                <a:ea typeface="Calibri"/>
                <a:cs typeface="Calibri"/>
              </a:defRPr>
            </a:pPr>
            <a:endParaRPr lang="en-US"/>
          </a:p>
        </c:txPr>
        <c:crossAx val="1"/>
        <c:crosses val="autoZero"/>
        <c:auto val="1"/>
        <c:lblAlgn val="ctr"/>
        <c:lblOffset val="100"/>
        <c:noMultiLvlLbl val="0"/>
      </c:catAx>
      <c:valAx>
        <c:axId val="1"/>
        <c:scaling>
          <c:orientation val="minMax"/>
        </c:scaling>
        <c:delete val="1"/>
        <c:axPos val="l"/>
        <c:majorGridlines>
          <c:spPr>
            <a:ln w="9525" cap="flat" cmpd="sng" algn="ctr">
              <a:solidFill>
                <a:schemeClr val="tx1">
                  <a:lumMod val="15000"/>
                  <a:lumOff val="85000"/>
                </a:schemeClr>
              </a:solidFill>
              <a:round/>
            </a:ln>
            <a:effectLst/>
          </c:spPr>
        </c:majorGridlines>
        <c:numFmt formatCode="0%" sourceLinked="1"/>
        <c:majorTickMark val="out"/>
        <c:minorTickMark val="none"/>
        <c:tickLblPos val="nextTo"/>
        <c:crossAx val="1350517199"/>
        <c:crosses val="autoZero"/>
        <c:crossBetween val="between"/>
      </c:valAx>
    </c:plotArea>
    <c:plotVisOnly val="1"/>
    <c:dispBlanksAs val="gap"/>
    <c:showDLblsOverMax val="0"/>
  </c:chart>
  <c:spPr>
    <a:solidFill>
      <a:schemeClr val="bg1"/>
    </a:solidFill>
    <a:ln w="9525" cap="flat" cmpd="sng" algn="ctr">
      <a:noFill/>
      <a:round/>
    </a:ln>
    <a:effectLst/>
  </c:spPr>
  <c:txPr>
    <a:bodyPr/>
    <a:lstStyle/>
    <a:p>
      <a:pPr>
        <a:defRPr sz="11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charts/chart2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320" b="0" i="0" u="none" strike="noStrike" baseline="0">
                <a:solidFill>
                  <a:srgbClr val="333333"/>
                </a:solidFill>
                <a:latin typeface="Calibri"/>
                <a:ea typeface="Calibri"/>
                <a:cs typeface="Calibri"/>
              </a:defRPr>
            </a:pPr>
            <a:r>
              <a:rPr lang="en-ZA"/>
              <a:t>Budget funding: solid waste: categories</a:t>
            </a:r>
          </a:p>
        </c:rich>
      </c:tx>
      <c:layout>
        <c:manualLayout>
          <c:xMode val="edge"/>
          <c:yMode val="edge"/>
          <c:x val="6.8345876654920895E-2"/>
          <c:y val="4.1609029640525708E-2"/>
        </c:manualLayout>
      </c:layout>
      <c:overlay val="0"/>
      <c:spPr>
        <a:noFill/>
        <a:ln w="25400">
          <a:noFill/>
        </a:ln>
      </c:spPr>
    </c:title>
    <c:autoTitleDeleted val="0"/>
    <c:plotArea>
      <c:layout/>
      <c:barChart>
        <c:barDir val="col"/>
        <c:grouping val="stacked"/>
        <c:varyColors val="0"/>
        <c:ser>
          <c:idx val="0"/>
          <c:order val="0"/>
          <c:tx>
            <c:strRef>
              <c:f>'Revenue required'!$D$184</c:f>
              <c:strCache>
                <c:ptCount val="1"/>
                <c:pt idx="0">
                  <c:v>Direct cost</c:v>
                </c:pt>
              </c:strCache>
            </c:strRef>
          </c:tx>
          <c:spPr>
            <a:solidFill>
              <a:schemeClr val="accent5"/>
            </a:solidFill>
          </c:spPr>
          <c:invertIfNegative val="0"/>
          <c:dLbls>
            <c:dLbl>
              <c:idx val="0"/>
              <c:tx>
                <c:strRef>
                  <c:f>'Revenue required'!$D$184</c:f>
                  <c:strCache>
                    <c:ptCount val="1"/>
                    <c:pt idx="0">
                      <c:v>Direct cost</c:v>
                    </c:pt>
                  </c:strCache>
                </c:strRef>
              </c:tx>
              <c:spPr>
                <a:noFill/>
                <a:ln w="25400">
                  <a:noFill/>
                </a:ln>
              </c:spPr>
              <c:txPr>
                <a:bodyPr/>
                <a:lstStyle/>
                <a:p>
                  <a:pPr>
                    <a:defRPr sz="1100" b="0" i="0" u="none" strike="noStrike" baseline="0">
                      <a:solidFill>
                        <a:srgbClr val="333333"/>
                      </a:solidFill>
                      <a:latin typeface="Calibri"/>
                      <a:ea typeface="Calibri"/>
                      <a:cs typeface="Calibri"/>
                    </a:defRPr>
                  </a:pPr>
                  <a:endParaRPr lang="en-US"/>
                </a:p>
              </c:txPr>
              <c:dLblPos val="ctr"/>
              <c:showLegendKey val="0"/>
              <c:showVal val="0"/>
              <c:showCatName val="0"/>
              <c:showSerName val="0"/>
              <c:showPercent val="0"/>
              <c:showBubbleSize val="0"/>
              <c:extLst>
                <c:ext xmlns:c15="http://schemas.microsoft.com/office/drawing/2012/chart" uri="{CE6537A1-D6FC-4f65-9D91-7224C49458BB}">
                  <c15:dlblFieldTable>
                    <c15:dlblFTEntry>
                      <c15:txfldGUID>{A9A0D2A5-8883-4995-88D1-3D5AAFF3F190}</c15:txfldGUID>
                      <c15:f>'Revenue required'!$D$184</c15:f>
                      <c15:dlblFieldTableCache>
                        <c:ptCount val="1"/>
                        <c:pt idx="0">
                          <c:v>Direct cost</c:v>
                        </c:pt>
                      </c15:dlblFieldTableCache>
                    </c15:dlblFTEntry>
                  </c15:dlblFieldTable>
                  <c15:showDataLabelsRange val="0"/>
                </c:ext>
                <c:ext xmlns:c16="http://schemas.microsoft.com/office/drawing/2014/chart" uri="{C3380CC4-5D6E-409C-BE32-E72D297353CC}">
                  <c16:uniqueId val="{00000000-C9A0-4DA7-B33B-0E66AB2EE98F}"/>
                </c:ext>
              </c:extLst>
            </c:dLbl>
            <c:spPr>
              <a:noFill/>
              <a:ln w="25400">
                <a:noFill/>
              </a:ln>
            </c:spPr>
            <c:txPr>
              <a:bodyPr wrap="square" lIns="38100" tIns="19050" rIns="38100" bIns="19050" anchor="ctr">
                <a:spAutoFit/>
              </a:bodyPr>
              <a:lstStyle/>
              <a:p>
                <a:pPr>
                  <a:defRPr sz="1100" b="0" i="0" u="none" strike="noStrike" baseline="0">
                    <a:solidFill>
                      <a:srgbClr val="333333"/>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'Revenue required'!$E$184:$F$184</c:f>
            </c:numRef>
          </c:val>
          <c:extLst>
            <c:ext xmlns:c15="http://schemas.microsoft.com/office/drawing/2012/chart" uri="{02D57815-91ED-43cb-92C2-25804820EDAC}">
              <c15:filteredCategoryTitle>
                <c15:cat>
                  <c:multiLvlStrRef>
                    <c:extLst>
                      <c:ext uri="{02D57815-91ED-43cb-92C2-25804820EDAC}">
                        <c15:formulaRef>
                          <c15:sqref>'Revenue required'!$E$183:$F$183</c15:sqref>
                        </c15:formulaRef>
                      </c:ext>
                    </c:extLst>
                  </c:multiLvlStrRef>
                </c15:cat>
              </c15:filteredCategoryTitle>
            </c:ext>
            <c:ext xmlns:c16="http://schemas.microsoft.com/office/drawing/2014/chart" uri="{C3380CC4-5D6E-409C-BE32-E72D297353CC}">
              <c16:uniqueId val="{00000001-C9A0-4DA7-B33B-0E66AB2EE98F}"/>
            </c:ext>
          </c:extLst>
        </c:ser>
        <c:ser>
          <c:idx val="1"/>
          <c:order val="1"/>
          <c:tx>
            <c:strRef>
              <c:f>'Revenue required'!$D$185</c:f>
              <c:strCache>
                <c:ptCount val="1"/>
                <c:pt idx="0">
                  <c:v>Indirect cost</c:v>
                </c:pt>
              </c:strCache>
            </c:strRef>
          </c:tx>
          <c:spPr>
            <a:solidFill>
              <a:schemeClr val="accent5">
                <a:lumMod val="60000"/>
                <a:lumOff val="40000"/>
              </a:schemeClr>
            </a:solidFill>
          </c:spPr>
          <c:invertIfNegative val="0"/>
          <c:dLbls>
            <c:dLbl>
              <c:idx val="0"/>
              <c:tx>
                <c:strRef>
                  <c:f>'Revenue required'!$D$185</c:f>
                  <c:strCache>
                    <c:ptCount val="1"/>
                    <c:pt idx="0">
                      <c:v>Indirect cost</c:v>
                    </c:pt>
                  </c:strCache>
                </c:strRef>
              </c:tx>
              <c:spPr>
                <a:noFill/>
                <a:ln w="25400">
                  <a:noFill/>
                </a:ln>
              </c:spPr>
              <c:txPr>
                <a:bodyPr/>
                <a:lstStyle/>
                <a:p>
                  <a:pPr>
                    <a:defRPr sz="1100" b="0" i="0" u="none" strike="noStrike" baseline="0">
                      <a:solidFill>
                        <a:srgbClr val="333333"/>
                      </a:solidFill>
                      <a:latin typeface="Calibri"/>
                      <a:ea typeface="Calibri"/>
                      <a:cs typeface="Calibri"/>
                    </a:defRPr>
                  </a:pPr>
                  <a:endParaRPr lang="en-US"/>
                </a:p>
              </c:txPr>
              <c:dLblPos val="ctr"/>
              <c:showLegendKey val="0"/>
              <c:showVal val="0"/>
              <c:showCatName val="0"/>
              <c:showSerName val="0"/>
              <c:showPercent val="0"/>
              <c:showBubbleSize val="0"/>
              <c:extLst>
                <c:ext xmlns:c15="http://schemas.microsoft.com/office/drawing/2012/chart" uri="{CE6537A1-D6FC-4f65-9D91-7224C49458BB}">
                  <c15:dlblFieldTable>
                    <c15:dlblFTEntry>
                      <c15:txfldGUID>{D542C42A-A3A5-40E7-B8FE-510C7E2D181B}</c15:txfldGUID>
                      <c15:f>'Revenue required'!$D$185</c15:f>
                      <c15:dlblFieldTableCache>
                        <c:ptCount val="1"/>
                        <c:pt idx="0">
                          <c:v>Indirect cost</c:v>
                        </c:pt>
                      </c15:dlblFieldTableCache>
                    </c15:dlblFTEntry>
                  </c15:dlblFieldTable>
                  <c15:showDataLabelsRange val="0"/>
                </c:ext>
                <c:ext xmlns:c16="http://schemas.microsoft.com/office/drawing/2014/chart" uri="{C3380CC4-5D6E-409C-BE32-E72D297353CC}">
                  <c16:uniqueId val="{00000002-C9A0-4DA7-B33B-0E66AB2EE98F}"/>
                </c:ext>
              </c:extLst>
            </c:dLbl>
            <c:spPr>
              <a:noFill/>
              <a:ln w="25400">
                <a:noFill/>
              </a:ln>
            </c:spPr>
            <c:txPr>
              <a:bodyPr wrap="square" lIns="38100" tIns="19050" rIns="38100" bIns="19050" anchor="ctr">
                <a:spAutoFit/>
              </a:bodyPr>
              <a:lstStyle/>
              <a:p>
                <a:pPr>
                  <a:defRPr sz="1100" b="0" i="0" u="none" strike="noStrike" baseline="0">
                    <a:solidFill>
                      <a:srgbClr val="333333"/>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'Revenue required'!$E$185:$F$185</c:f>
            </c:numRef>
          </c:val>
          <c:extLst>
            <c:ext xmlns:c15="http://schemas.microsoft.com/office/drawing/2012/chart" uri="{02D57815-91ED-43cb-92C2-25804820EDAC}">
              <c15:filteredCategoryTitle>
                <c15:cat>
                  <c:multiLvlStrRef>
                    <c:extLst>
                      <c:ext uri="{02D57815-91ED-43cb-92C2-25804820EDAC}">
                        <c15:formulaRef>
                          <c15:sqref>'Revenue required'!$E$183:$F$183</c15:sqref>
                        </c15:formulaRef>
                      </c:ext>
                    </c:extLst>
                  </c:multiLvlStrRef>
                </c15:cat>
              </c15:filteredCategoryTitle>
            </c:ext>
            <c:ext xmlns:c16="http://schemas.microsoft.com/office/drawing/2014/chart" uri="{C3380CC4-5D6E-409C-BE32-E72D297353CC}">
              <c16:uniqueId val="{00000003-C9A0-4DA7-B33B-0E66AB2EE98F}"/>
            </c:ext>
          </c:extLst>
        </c:ser>
        <c:ser>
          <c:idx val="2"/>
          <c:order val="2"/>
          <c:tx>
            <c:strRef>
              <c:f>'Revenue required'!$D$186</c:f>
              <c:strCache>
                <c:ptCount val="1"/>
              </c:strCache>
            </c:strRef>
          </c:tx>
          <c:invertIfNegative val="0"/>
          <c:dLbls>
            <c:dLbl>
              <c:idx val="0"/>
              <c:tx>
                <c:strRef>
                  <c:f>'Revenue required'!$D$186</c:f>
                  <c:strCache>
                    <c:ptCount val="1"/>
                  </c:strCache>
                </c:strRef>
              </c:tx>
              <c:spPr>
                <a:noFill/>
                <a:ln w="25400">
                  <a:noFill/>
                </a:ln>
              </c:spPr>
              <c:txPr>
                <a:bodyPr/>
                <a:lstStyle/>
                <a:p>
                  <a:pPr>
                    <a:defRPr sz="1100" b="0" i="0" u="none" strike="noStrike" baseline="0">
                      <a:solidFill>
                        <a:srgbClr val="333333"/>
                      </a:solidFill>
                      <a:latin typeface="Calibri"/>
                      <a:ea typeface="Calibri"/>
                      <a:cs typeface="Calibri"/>
                    </a:defRPr>
                  </a:pPr>
                  <a:endParaRPr lang="en-US"/>
                </a:p>
              </c:txPr>
              <c:dLblPos val="ctr"/>
              <c:showLegendKey val="0"/>
              <c:showVal val="0"/>
              <c:showCatName val="0"/>
              <c:showSerName val="0"/>
              <c:showPercent val="0"/>
              <c:showBubbleSize val="0"/>
              <c:extLst>
                <c:ext xmlns:c15="http://schemas.microsoft.com/office/drawing/2012/chart" uri="{CE6537A1-D6FC-4f65-9D91-7224C49458BB}">
                  <c15:dlblFieldTable>
                    <c15:dlblFTEntry>
                      <c15:txfldGUID>{0EE1FF11-A93E-48B0-A751-EE5D485F2BDB}</c15:txfldGUID>
                      <c15:f>'Revenue required'!$D$186</c15:f>
                      <c15:dlblFieldTableCache>
                        <c:ptCount val="1"/>
                      </c15:dlblFieldTableCache>
                    </c15:dlblFTEntry>
                  </c15:dlblFieldTable>
                  <c15:showDataLabelsRange val="0"/>
                </c:ext>
                <c:ext xmlns:c16="http://schemas.microsoft.com/office/drawing/2014/chart" uri="{C3380CC4-5D6E-409C-BE32-E72D297353CC}">
                  <c16:uniqueId val="{00000004-C9A0-4DA7-B33B-0E66AB2EE98F}"/>
                </c:ext>
              </c:extLst>
            </c:dLbl>
            <c:spPr>
              <a:noFill/>
              <a:ln w="25400">
                <a:noFill/>
              </a:ln>
            </c:spPr>
            <c:txPr>
              <a:bodyPr wrap="square" lIns="38100" tIns="19050" rIns="38100" bIns="19050" anchor="ctr">
                <a:spAutoFit/>
              </a:bodyPr>
              <a:lstStyle/>
              <a:p>
                <a:pPr>
                  <a:defRPr sz="1100" b="0" i="0" u="none" strike="noStrike" baseline="0">
                    <a:solidFill>
                      <a:srgbClr val="333333"/>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'Revenue required'!$E$186:$F$186</c:f>
            </c:numRef>
          </c:val>
          <c:extLst>
            <c:ext xmlns:c15="http://schemas.microsoft.com/office/drawing/2012/chart" uri="{02D57815-91ED-43cb-92C2-25804820EDAC}">
              <c15:filteredCategoryTitle>
                <c15:cat>
                  <c:multiLvlStrRef>
                    <c:extLst>
                      <c:ext uri="{02D57815-91ED-43cb-92C2-25804820EDAC}">
                        <c15:formulaRef>
                          <c15:sqref>'Revenue required'!$E$183:$F$183</c15:sqref>
                        </c15:formulaRef>
                      </c:ext>
                    </c:extLst>
                  </c:multiLvlStrRef>
                </c15:cat>
              </c15:filteredCategoryTitle>
            </c:ext>
            <c:ext xmlns:c16="http://schemas.microsoft.com/office/drawing/2014/chart" uri="{C3380CC4-5D6E-409C-BE32-E72D297353CC}">
              <c16:uniqueId val="{00000005-C9A0-4DA7-B33B-0E66AB2EE98F}"/>
            </c:ext>
          </c:extLst>
        </c:ser>
        <c:ser>
          <c:idx val="4"/>
          <c:order val="3"/>
          <c:tx>
            <c:strRef>
              <c:f>'Revenue required'!$D$187</c:f>
              <c:strCache>
                <c:ptCount val="1"/>
                <c:pt idx="0">
                  <c:v>Tariff revenue</c:v>
                </c:pt>
              </c:strCache>
            </c:strRef>
          </c:tx>
          <c:spPr>
            <a:solidFill>
              <a:schemeClr val="accent3">
                <a:lumMod val="75000"/>
              </a:schemeClr>
            </a:solidFill>
          </c:spPr>
          <c:invertIfNegative val="0"/>
          <c:dLbls>
            <c:dLbl>
              <c:idx val="1"/>
              <c:tx>
                <c:strRef>
                  <c:f>'Revenue required'!$D$187</c:f>
                  <c:strCache>
                    <c:ptCount val="1"/>
                    <c:pt idx="0">
                      <c:v>Tariff revenue</c:v>
                    </c:pt>
                  </c:strCache>
                </c:strRef>
              </c:tx>
              <c:spPr>
                <a:noFill/>
                <a:ln w="25400">
                  <a:noFill/>
                </a:ln>
              </c:spPr>
              <c:txPr>
                <a:bodyPr/>
                <a:lstStyle/>
                <a:p>
                  <a:pPr>
                    <a:defRPr sz="1100" b="0" i="0" u="none" strike="noStrike" baseline="0">
                      <a:solidFill>
                        <a:srgbClr val="333333"/>
                      </a:solidFill>
                      <a:latin typeface="Calibri"/>
                      <a:ea typeface="Calibri"/>
                      <a:cs typeface="Calibri"/>
                    </a:defRPr>
                  </a:pPr>
                  <a:endParaRPr lang="en-US"/>
                </a:p>
              </c:txPr>
              <c:dLblPos val="ctr"/>
              <c:showLegendKey val="0"/>
              <c:showVal val="0"/>
              <c:showCatName val="0"/>
              <c:showSerName val="0"/>
              <c:showPercent val="0"/>
              <c:showBubbleSize val="0"/>
              <c:extLst>
                <c:ext xmlns:c15="http://schemas.microsoft.com/office/drawing/2012/chart" uri="{CE6537A1-D6FC-4f65-9D91-7224C49458BB}">
                  <c15:dlblFieldTable>
                    <c15:dlblFTEntry>
                      <c15:txfldGUID>{A04BE5D0-6C4F-48AC-85FD-5AEFE62187B2}</c15:txfldGUID>
                      <c15:f>'Revenue required'!$D$187</c15:f>
                      <c15:dlblFieldTableCache>
                        <c:ptCount val="1"/>
                        <c:pt idx="0">
                          <c:v>Tariff revenue</c:v>
                        </c:pt>
                      </c15:dlblFieldTableCache>
                    </c15:dlblFTEntry>
                  </c15:dlblFieldTable>
                  <c15:showDataLabelsRange val="0"/>
                </c:ext>
                <c:ext xmlns:c16="http://schemas.microsoft.com/office/drawing/2014/chart" uri="{C3380CC4-5D6E-409C-BE32-E72D297353CC}">
                  <c16:uniqueId val="{00000006-C9A0-4DA7-B33B-0E66AB2EE98F}"/>
                </c:ext>
              </c:extLst>
            </c:dLbl>
            <c:spPr>
              <a:noFill/>
              <a:ln w="25400">
                <a:noFill/>
              </a:ln>
            </c:spPr>
            <c:txPr>
              <a:bodyPr wrap="square" lIns="38100" tIns="19050" rIns="38100" bIns="19050" anchor="ctr">
                <a:spAutoFit/>
              </a:bodyPr>
              <a:lstStyle/>
              <a:p>
                <a:pPr>
                  <a:defRPr sz="1100" b="0" i="0" u="none" strike="noStrike" baseline="0">
                    <a:solidFill>
                      <a:srgbClr val="333333"/>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'Revenue required'!$E$187:$F$187</c:f>
            </c:numRef>
          </c:val>
          <c:extLst>
            <c:ext xmlns:c15="http://schemas.microsoft.com/office/drawing/2012/chart" uri="{02D57815-91ED-43cb-92C2-25804820EDAC}">
              <c15:filteredCategoryTitle>
                <c15:cat>
                  <c:multiLvlStrRef>
                    <c:extLst>
                      <c:ext uri="{02D57815-91ED-43cb-92C2-25804820EDAC}">
                        <c15:formulaRef>
                          <c15:sqref>'Revenue required'!$E$183:$F$183</c15:sqref>
                        </c15:formulaRef>
                      </c:ext>
                    </c:extLst>
                  </c:multiLvlStrRef>
                </c15:cat>
              </c15:filteredCategoryTitle>
            </c:ext>
            <c:ext xmlns:c16="http://schemas.microsoft.com/office/drawing/2014/chart" uri="{C3380CC4-5D6E-409C-BE32-E72D297353CC}">
              <c16:uniqueId val="{00000007-C9A0-4DA7-B33B-0E66AB2EE98F}"/>
            </c:ext>
          </c:extLst>
        </c:ser>
        <c:ser>
          <c:idx val="5"/>
          <c:order val="4"/>
          <c:tx>
            <c:strRef>
              <c:f>'Revenue required'!$D$188</c:f>
              <c:strCache>
                <c:ptCount val="1"/>
                <c:pt idx="0">
                  <c:v>Non-tariff revenue</c:v>
                </c:pt>
              </c:strCache>
            </c:strRef>
          </c:tx>
          <c:spPr>
            <a:solidFill>
              <a:schemeClr val="accent3"/>
            </a:solidFill>
          </c:spPr>
          <c:invertIfNegative val="0"/>
          <c:dLbls>
            <c:dLbl>
              <c:idx val="1"/>
              <c:tx>
                <c:strRef>
                  <c:f>'Revenue required'!$D$188</c:f>
                  <c:strCache>
                    <c:ptCount val="1"/>
                    <c:pt idx="0">
                      <c:v>Non-tariff revenue</c:v>
                    </c:pt>
                  </c:strCache>
                </c:strRef>
              </c:tx>
              <c:spPr>
                <a:noFill/>
                <a:ln w="25400">
                  <a:noFill/>
                </a:ln>
              </c:spPr>
              <c:txPr>
                <a:bodyPr/>
                <a:lstStyle/>
                <a:p>
                  <a:pPr>
                    <a:defRPr sz="1100" b="0" i="0" u="none" strike="noStrike" baseline="0">
                      <a:solidFill>
                        <a:srgbClr val="333333"/>
                      </a:solidFill>
                      <a:latin typeface="Calibri"/>
                      <a:ea typeface="Calibri"/>
                      <a:cs typeface="Calibri"/>
                    </a:defRPr>
                  </a:pPr>
                  <a:endParaRPr lang="en-US"/>
                </a:p>
              </c:txPr>
              <c:dLblPos val="ctr"/>
              <c:showLegendKey val="0"/>
              <c:showVal val="0"/>
              <c:showCatName val="0"/>
              <c:showSerName val="0"/>
              <c:showPercent val="0"/>
              <c:showBubbleSize val="0"/>
              <c:extLst>
                <c:ext xmlns:c15="http://schemas.microsoft.com/office/drawing/2012/chart" uri="{CE6537A1-D6FC-4f65-9D91-7224C49458BB}">
                  <c15:dlblFieldTable>
                    <c15:dlblFTEntry>
                      <c15:txfldGUID>{DBA104DD-FD85-4D38-837F-834DB14FC07A}</c15:txfldGUID>
                      <c15:f>'Revenue required'!$D$188</c15:f>
                      <c15:dlblFieldTableCache>
                        <c:ptCount val="1"/>
                        <c:pt idx="0">
                          <c:v>Non-tariff revenue</c:v>
                        </c:pt>
                      </c15:dlblFieldTableCache>
                    </c15:dlblFTEntry>
                  </c15:dlblFieldTable>
                  <c15:showDataLabelsRange val="0"/>
                </c:ext>
                <c:ext xmlns:c16="http://schemas.microsoft.com/office/drawing/2014/chart" uri="{C3380CC4-5D6E-409C-BE32-E72D297353CC}">
                  <c16:uniqueId val="{00000008-C9A0-4DA7-B33B-0E66AB2EE98F}"/>
                </c:ext>
              </c:extLst>
            </c:dLbl>
            <c:spPr>
              <a:noFill/>
              <a:ln w="25400">
                <a:noFill/>
              </a:ln>
            </c:spPr>
            <c:txPr>
              <a:bodyPr wrap="square" lIns="38100" tIns="19050" rIns="38100" bIns="19050" anchor="ctr">
                <a:spAutoFit/>
              </a:bodyPr>
              <a:lstStyle/>
              <a:p>
                <a:pPr>
                  <a:defRPr sz="1100" b="0" i="0" u="none" strike="noStrike" baseline="0">
                    <a:solidFill>
                      <a:srgbClr val="333333"/>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'Revenue required'!$E$188:$F$188</c:f>
            </c:numRef>
          </c:val>
          <c:extLst>
            <c:ext xmlns:c15="http://schemas.microsoft.com/office/drawing/2012/chart" uri="{02D57815-91ED-43cb-92C2-25804820EDAC}">
              <c15:filteredCategoryTitle>
                <c15:cat>
                  <c:multiLvlStrRef>
                    <c:extLst>
                      <c:ext uri="{02D57815-91ED-43cb-92C2-25804820EDAC}">
                        <c15:formulaRef>
                          <c15:sqref>'Revenue required'!$E$183:$F$183</c15:sqref>
                        </c15:formulaRef>
                      </c:ext>
                    </c:extLst>
                  </c:multiLvlStrRef>
                </c15:cat>
              </c15:filteredCategoryTitle>
            </c:ext>
            <c:ext xmlns:c16="http://schemas.microsoft.com/office/drawing/2014/chart" uri="{C3380CC4-5D6E-409C-BE32-E72D297353CC}">
              <c16:uniqueId val="{00000009-C9A0-4DA7-B33B-0E66AB2EE98F}"/>
            </c:ext>
          </c:extLst>
        </c:ser>
        <c:ser>
          <c:idx val="3"/>
          <c:order val="5"/>
          <c:tx>
            <c:strRef>
              <c:f>'Revenue required'!$D$189</c:f>
              <c:strCache>
                <c:ptCount val="1"/>
              </c:strCache>
            </c:strRef>
          </c:tx>
          <c:spPr>
            <a:solidFill>
              <a:schemeClr val="accent2"/>
            </a:solidFill>
          </c:spPr>
          <c:invertIfNegative val="0"/>
          <c:dLbls>
            <c:dLbl>
              <c:idx val="1"/>
              <c:tx>
                <c:strRef>
                  <c:f>'Revenue required'!$D$189</c:f>
                  <c:strCache>
                    <c:ptCount val="1"/>
                  </c:strCache>
                </c:strRef>
              </c:tx>
              <c:spPr>
                <a:noFill/>
                <a:ln w="25400">
                  <a:noFill/>
                </a:ln>
              </c:spPr>
              <c:txPr>
                <a:bodyPr/>
                <a:lstStyle/>
                <a:p>
                  <a:pPr>
                    <a:defRPr sz="1100" b="0" i="0" u="none" strike="noStrike" baseline="0">
                      <a:solidFill>
                        <a:srgbClr val="333333"/>
                      </a:solidFill>
                      <a:latin typeface="Calibri"/>
                      <a:ea typeface="Calibri"/>
                      <a:cs typeface="Calibri"/>
                    </a:defRPr>
                  </a:pPr>
                  <a:endParaRPr lang="en-US"/>
                </a:p>
              </c:txPr>
              <c:dLblPos val="ctr"/>
              <c:showLegendKey val="0"/>
              <c:showVal val="0"/>
              <c:showCatName val="0"/>
              <c:showSerName val="0"/>
              <c:showPercent val="0"/>
              <c:showBubbleSize val="0"/>
              <c:extLst>
                <c:ext xmlns:c15="http://schemas.microsoft.com/office/drawing/2012/chart" uri="{CE6537A1-D6FC-4f65-9D91-7224C49458BB}">
                  <c15:dlblFieldTable>
                    <c15:dlblFTEntry>
                      <c15:txfldGUID>{F6152BE3-082B-4794-87C4-AC9CBE10567A}</c15:txfldGUID>
                      <c15:f>'Revenue required'!$D$189</c15:f>
                      <c15:dlblFieldTableCache>
                        <c:ptCount val="1"/>
                      </c15:dlblFieldTableCache>
                    </c15:dlblFTEntry>
                  </c15:dlblFieldTable>
                  <c15:showDataLabelsRange val="0"/>
                </c:ext>
                <c:ext xmlns:c16="http://schemas.microsoft.com/office/drawing/2014/chart" uri="{C3380CC4-5D6E-409C-BE32-E72D297353CC}">
                  <c16:uniqueId val="{0000000A-C9A0-4DA7-B33B-0E66AB2EE98F}"/>
                </c:ext>
              </c:extLst>
            </c:dLbl>
            <c:spPr>
              <a:noFill/>
              <a:ln w="25400">
                <a:noFill/>
              </a:ln>
            </c:spPr>
            <c:txPr>
              <a:bodyPr wrap="square" lIns="38100" tIns="19050" rIns="38100" bIns="19050" anchor="ctr">
                <a:spAutoFit/>
              </a:bodyPr>
              <a:lstStyle/>
              <a:p>
                <a:pPr>
                  <a:defRPr sz="1100" b="0" i="0" u="none" strike="noStrike" baseline="0">
                    <a:solidFill>
                      <a:srgbClr val="333333"/>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'Revenue required'!$E$189:$F$189</c:f>
            </c:numRef>
          </c:val>
          <c:extLst>
            <c:ext xmlns:c15="http://schemas.microsoft.com/office/drawing/2012/chart" uri="{02D57815-91ED-43cb-92C2-25804820EDAC}">
              <c15:filteredCategoryTitle>
                <c15:cat>
                  <c:multiLvlStrRef>
                    <c:extLst>
                      <c:ext uri="{02D57815-91ED-43cb-92C2-25804820EDAC}">
                        <c15:formulaRef>
                          <c15:sqref>'Revenue required'!$E$183:$F$183</c15:sqref>
                        </c15:formulaRef>
                      </c:ext>
                    </c:extLst>
                  </c:multiLvlStrRef>
                </c15:cat>
              </c15:filteredCategoryTitle>
            </c:ext>
            <c:ext xmlns:c16="http://schemas.microsoft.com/office/drawing/2014/chart" uri="{C3380CC4-5D6E-409C-BE32-E72D297353CC}">
              <c16:uniqueId val="{0000000B-C9A0-4DA7-B33B-0E66AB2EE98F}"/>
            </c:ext>
          </c:extLst>
        </c:ser>
        <c:dLbls>
          <c:showLegendKey val="0"/>
          <c:showVal val="0"/>
          <c:showCatName val="0"/>
          <c:showSerName val="0"/>
          <c:showPercent val="0"/>
          <c:showBubbleSize val="0"/>
        </c:dLbls>
        <c:gapWidth val="25"/>
        <c:overlap val="100"/>
        <c:axId val="1350500879"/>
        <c:axId val="1"/>
      </c:barChart>
      <c:catAx>
        <c:axId val="1350500879"/>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0" vert="horz"/>
          <a:lstStyle/>
          <a:p>
            <a:pPr>
              <a:defRPr sz="1100" b="0" i="0" u="none" strike="noStrike" baseline="0">
                <a:solidFill>
                  <a:srgbClr val="333333"/>
                </a:solidFill>
                <a:latin typeface="Calibri"/>
                <a:ea typeface="Calibri"/>
                <a:cs typeface="Calibri"/>
              </a:defRPr>
            </a:pPr>
            <a:endParaRPr lang="en-US"/>
          </a:p>
        </c:txPr>
        <c:crossAx val="1"/>
        <c:crosses val="autoZero"/>
        <c:auto val="1"/>
        <c:lblAlgn val="ctr"/>
        <c:lblOffset val="100"/>
        <c:noMultiLvlLbl val="0"/>
      </c:catAx>
      <c:valAx>
        <c:axId val="1"/>
        <c:scaling>
          <c:orientation val="minMax"/>
        </c:scaling>
        <c:delete val="1"/>
        <c:axPos val="l"/>
        <c:majorGridlines>
          <c:spPr>
            <a:ln w="9525" cap="flat" cmpd="sng" algn="ctr">
              <a:solidFill>
                <a:schemeClr val="tx1">
                  <a:lumMod val="15000"/>
                  <a:lumOff val="85000"/>
                </a:schemeClr>
              </a:solidFill>
              <a:round/>
            </a:ln>
            <a:effectLst/>
          </c:spPr>
        </c:majorGridlines>
        <c:numFmt formatCode="_-* #\ ##0_-;\-* #\ ##0_-;_-* &quot;-&quot;??_-;_-@_-" sourceLinked="1"/>
        <c:majorTickMark val="out"/>
        <c:minorTickMark val="none"/>
        <c:tickLblPos val="nextTo"/>
        <c:crossAx val="1350500879"/>
        <c:crosses val="autoZero"/>
        <c:crossBetween val="between"/>
      </c:valAx>
    </c:plotArea>
    <c:plotVisOnly val="1"/>
    <c:dispBlanksAs val="gap"/>
    <c:showDLblsOverMax val="0"/>
  </c:chart>
  <c:spPr>
    <a:solidFill>
      <a:schemeClr val="bg1"/>
    </a:solidFill>
    <a:ln w="9525" cap="flat" cmpd="sng" algn="ctr">
      <a:noFill/>
      <a:round/>
    </a:ln>
    <a:effectLst/>
  </c:spPr>
  <c:txPr>
    <a:bodyPr/>
    <a:lstStyle/>
    <a:p>
      <a:pPr>
        <a:defRPr sz="11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charts/chart2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320" b="0" i="0" u="none" strike="noStrike" baseline="0">
                <a:solidFill>
                  <a:srgbClr val="333333"/>
                </a:solidFill>
                <a:latin typeface="Calibri"/>
                <a:ea typeface="Calibri"/>
                <a:cs typeface="Calibri"/>
              </a:defRPr>
            </a:pPr>
            <a:r>
              <a:rPr lang="en-ZA"/>
              <a:t>Budget funding: solid waste R'000</a:t>
            </a:r>
          </a:p>
        </c:rich>
      </c:tx>
      <c:layout>
        <c:manualLayout>
          <c:xMode val="edge"/>
          <c:yMode val="edge"/>
          <c:x val="6.4499571962106886E-2"/>
          <c:y val="3.2407487525597758E-2"/>
        </c:manualLayout>
      </c:layout>
      <c:overlay val="0"/>
      <c:spPr>
        <a:noFill/>
        <a:ln w="25400">
          <a:noFill/>
        </a:ln>
      </c:spPr>
    </c:title>
    <c:autoTitleDeleted val="0"/>
    <c:plotArea>
      <c:layout/>
      <c:barChart>
        <c:barDir val="col"/>
        <c:grouping val="stacked"/>
        <c:varyColors val="0"/>
        <c:ser>
          <c:idx val="0"/>
          <c:order val="0"/>
          <c:tx>
            <c:strRef>
              <c:f>'Revenue required'!$D$184</c:f>
              <c:strCache>
                <c:ptCount val="1"/>
                <c:pt idx="0">
                  <c:v>Direct cost</c:v>
                </c:pt>
              </c:strCache>
            </c:strRef>
          </c:tx>
          <c:spPr>
            <a:solidFill>
              <a:schemeClr val="accent5"/>
            </a:solidFill>
          </c:spPr>
          <c:invertIfNegative val="0"/>
          <c:dLbls>
            <c:spPr>
              <a:noFill/>
              <a:ln w="25400">
                <a:noFill/>
              </a:ln>
            </c:spPr>
            <c:txPr>
              <a:bodyPr wrap="square" lIns="38100" tIns="19050" rIns="38100" bIns="19050" anchor="ctr">
                <a:spAutoFit/>
              </a:bodyPr>
              <a:lstStyle/>
              <a:p>
                <a:pPr>
                  <a:defRPr sz="1100" b="0" i="0" u="none" strike="noStrike" baseline="0">
                    <a:solidFill>
                      <a:srgbClr val="333333"/>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'Revenue required'!$E$184:$F$184</c:f>
            </c:numRef>
          </c:val>
          <c:extLst>
            <c:ext xmlns:c15="http://schemas.microsoft.com/office/drawing/2012/chart" uri="{02D57815-91ED-43cb-92C2-25804820EDAC}">
              <c15:filteredCategoryTitle>
                <c15:cat>
                  <c:multiLvlStrRef>
                    <c:extLst>
                      <c:ext uri="{02D57815-91ED-43cb-92C2-25804820EDAC}">
                        <c15:formulaRef>
                          <c15:sqref>'Revenue required'!$E$183:$F$183</c15:sqref>
                        </c15:formulaRef>
                      </c:ext>
                    </c:extLst>
                  </c:multiLvlStrRef>
                </c15:cat>
              </c15:filteredCategoryTitle>
            </c:ext>
            <c:ext xmlns:c16="http://schemas.microsoft.com/office/drawing/2014/chart" uri="{C3380CC4-5D6E-409C-BE32-E72D297353CC}">
              <c16:uniqueId val="{00000000-01B1-4CC1-8A3D-3EFF8AB57CD7}"/>
            </c:ext>
          </c:extLst>
        </c:ser>
        <c:ser>
          <c:idx val="1"/>
          <c:order val="1"/>
          <c:tx>
            <c:strRef>
              <c:f>'Revenue required'!$D$185</c:f>
              <c:strCache>
                <c:ptCount val="1"/>
                <c:pt idx="0">
                  <c:v>Indirect cost</c:v>
                </c:pt>
              </c:strCache>
            </c:strRef>
          </c:tx>
          <c:spPr>
            <a:solidFill>
              <a:schemeClr val="accent5">
                <a:lumMod val="60000"/>
                <a:lumOff val="40000"/>
              </a:schemeClr>
            </a:solidFill>
          </c:spPr>
          <c:invertIfNegative val="0"/>
          <c:dLbls>
            <c:spPr>
              <a:noFill/>
              <a:ln w="25400">
                <a:noFill/>
              </a:ln>
            </c:spPr>
            <c:txPr>
              <a:bodyPr wrap="square" lIns="38100" tIns="19050" rIns="38100" bIns="19050" anchor="ctr">
                <a:spAutoFit/>
              </a:bodyPr>
              <a:lstStyle/>
              <a:p>
                <a:pPr>
                  <a:defRPr sz="1100" b="0" i="0" u="none" strike="noStrike" baseline="0">
                    <a:solidFill>
                      <a:srgbClr val="333333"/>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'Revenue required'!$E$185:$F$185</c:f>
            </c:numRef>
          </c:val>
          <c:extLst>
            <c:ext xmlns:c15="http://schemas.microsoft.com/office/drawing/2012/chart" uri="{02D57815-91ED-43cb-92C2-25804820EDAC}">
              <c15:filteredCategoryTitle>
                <c15:cat>
                  <c:multiLvlStrRef>
                    <c:extLst>
                      <c:ext uri="{02D57815-91ED-43cb-92C2-25804820EDAC}">
                        <c15:formulaRef>
                          <c15:sqref>'Revenue required'!$E$183:$F$183</c15:sqref>
                        </c15:formulaRef>
                      </c:ext>
                    </c:extLst>
                  </c:multiLvlStrRef>
                </c15:cat>
              </c15:filteredCategoryTitle>
            </c:ext>
            <c:ext xmlns:c16="http://schemas.microsoft.com/office/drawing/2014/chart" uri="{C3380CC4-5D6E-409C-BE32-E72D297353CC}">
              <c16:uniqueId val="{00000001-01B1-4CC1-8A3D-3EFF8AB57CD7}"/>
            </c:ext>
          </c:extLst>
        </c:ser>
        <c:ser>
          <c:idx val="2"/>
          <c:order val="2"/>
          <c:tx>
            <c:strRef>
              <c:f>'Revenue required'!$D$186</c:f>
              <c:strCache>
                <c:ptCount val="1"/>
              </c:strCache>
            </c:strRef>
          </c:tx>
          <c:invertIfNegative val="0"/>
          <c:dLbls>
            <c:spPr>
              <a:noFill/>
              <a:ln w="25400">
                <a:noFill/>
              </a:ln>
            </c:spPr>
            <c:txPr>
              <a:bodyPr wrap="square" lIns="38100" tIns="19050" rIns="38100" bIns="19050" anchor="ctr">
                <a:spAutoFit/>
              </a:bodyPr>
              <a:lstStyle/>
              <a:p>
                <a:pPr>
                  <a:defRPr sz="1100" b="0" i="0" u="none" strike="noStrike" baseline="0">
                    <a:solidFill>
                      <a:srgbClr val="333333"/>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'Revenue required'!$E$186:$F$186</c:f>
            </c:numRef>
          </c:val>
          <c:extLst>
            <c:ext xmlns:c15="http://schemas.microsoft.com/office/drawing/2012/chart" uri="{02D57815-91ED-43cb-92C2-25804820EDAC}">
              <c15:filteredCategoryTitle>
                <c15:cat>
                  <c:multiLvlStrRef>
                    <c:extLst>
                      <c:ext uri="{02D57815-91ED-43cb-92C2-25804820EDAC}">
                        <c15:formulaRef>
                          <c15:sqref>'Revenue required'!$E$183:$F$183</c15:sqref>
                        </c15:formulaRef>
                      </c:ext>
                    </c:extLst>
                  </c:multiLvlStrRef>
                </c15:cat>
              </c15:filteredCategoryTitle>
            </c:ext>
            <c:ext xmlns:c16="http://schemas.microsoft.com/office/drawing/2014/chart" uri="{C3380CC4-5D6E-409C-BE32-E72D297353CC}">
              <c16:uniqueId val="{00000002-01B1-4CC1-8A3D-3EFF8AB57CD7}"/>
            </c:ext>
          </c:extLst>
        </c:ser>
        <c:ser>
          <c:idx val="4"/>
          <c:order val="3"/>
          <c:tx>
            <c:strRef>
              <c:f>'Revenue required'!$D$187</c:f>
              <c:strCache>
                <c:ptCount val="1"/>
                <c:pt idx="0">
                  <c:v>Tariff revenue</c:v>
                </c:pt>
              </c:strCache>
            </c:strRef>
          </c:tx>
          <c:spPr>
            <a:solidFill>
              <a:schemeClr val="accent3">
                <a:lumMod val="75000"/>
              </a:schemeClr>
            </a:solidFill>
          </c:spPr>
          <c:invertIfNegative val="0"/>
          <c:dLbls>
            <c:spPr>
              <a:noFill/>
              <a:ln w="25400">
                <a:noFill/>
              </a:ln>
            </c:spPr>
            <c:txPr>
              <a:bodyPr wrap="square" lIns="38100" tIns="19050" rIns="38100" bIns="19050" anchor="ctr">
                <a:spAutoFit/>
              </a:bodyPr>
              <a:lstStyle/>
              <a:p>
                <a:pPr>
                  <a:defRPr sz="1100" b="0" i="0" u="none" strike="noStrike" baseline="0">
                    <a:solidFill>
                      <a:srgbClr val="333333"/>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'Revenue required'!$E$187:$F$187</c:f>
            </c:numRef>
          </c:val>
          <c:extLst>
            <c:ext xmlns:c15="http://schemas.microsoft.com/office/drawing/2012/chart" uri="{02D57815-91ED-43cb-92C2-25804820EDAC}">
              <c15:filteredCategoryTitle>
                <c15:cat>
                  <c:multiLvlStrRef>
                    <c:extLst>
                      <c:ext uri="{02D57815-91ED-43cb-92C2-25804820EDAC}">
                        <c15:formulaRef>
                          <c15:sqref>'Revenue required'!$E$183:$F$183</c15:sqref>
                        </c15:formulaRef>
                      </c:ext>
                    </c:extLst>
                  </c:multiLvlStrRef>
                </c15:cat>
              </c15:filteredCategoryTitle>
            </c:ext>
            <c:ext xmlns:c16="http://schemas.microsoft.com/office/drawing/2014/chart" uri="{C3380CC4-5D6E-409C-BE32-E72D297353CC}">
              <c16:uniqueId val="{00000003-01B1-4CC1-8A3D-3EFF8AB57CD7}"/>
            </c:ext>
          </c:extLst>
        </c:ser>
        <c:ser>
          <c:idx val="5"/>
          <c:order val="4"/>
          <c:tx>
            <c:strRef>
              <c:f>'Revenue required'!$D$188</c:f>
              <c:strCache>
                <c:ptCount val="1"/>
                <c:pt idx="0">
                  <c:v>Non-tariff revenue</c:v>
                </c:pt>
              </c:strCache>
            </c:strRef>
          </c:tx>
          <c:spPr>
            <a:solidFill>
              <a:schemeClr val="accent3"/>
            </a:solidFill>
          </c:spPr>
          <c:invertIfNegative val="0"/>
          <c:dLbls>
            <c:spPr>
              <a:noFill/>
              <a:ln w="25400">
                <a:noFill/>
              </a:ln>
            </c:spPr>
            <c:txPr>
              <a:bodyPr wrap="square" lIns="38100" tIns="19050" rIns="38100" bIns="19050" anchor="ctr">
                <a:spAutoFit/>
              </a:bodyPr>
              <a:lstStyle/>
              <a:p>
                <a:pPr>
                  <a:defRPr sz="1100" b="0" i="0" u="none" strike="noStrike" baseline="0">
                    <a:solidFill>
                      <a:srgbClr val="333333"/>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'Revenue required'!$E$188:$F$188</c:f>
            </c:numRef>
          </c:val>
          <c:extLst>
            <c:ext xmlns:c15="http://schemas.microsoft.com/office/drawing/2012/chart" uri="{02D57815-91ED-43cb-92C2-25804820EDAC}">
              <c15:filteredCategoryTitle>
                <c15:cat>
                  <c:multiLvlStrRef>
                    <c:extLst>
                      <c:ext uri="{02D57815-91ED-43cb-92C2-25804820EDAC}">
                        <c15:formulaRef>
                          <c15:sqref>'Revenue required'!$E$183:$F$183</c15:sqref>
                        </c15:formulaRef>
                      </c:ext>
                    </c:extLst>
                  </c:multiLvlStrRef>
                </c15:cat>
              </c15:filteredCategoryTitle>
            </c:ext>
            <c:ext xmlns:c16="http://schemas.microsoft.com/office/drawing/2014/chart" uri="{C3380CC4-5D6E-409C-BE32-E72D297353CC}">
              <c16:uniqueId val="{00000004-01B1-4CC1-8A3D-3EFF8AB57CD7}"/>
            </c:ext>
          </c:extLst>
        </c:ser>
        <c:ser>
          <c:idx val="3"/>
          <c:order val="5"/>
          <c:tx>
            <c:strRef>
              <c:f>'Revenue required'!$D$189</c:f>
              <c:strCache>
                <c:ptCount val="1"/>
              </c:strCache>
            </c:strRef>
          </c:tx>
          <c:spPr>
            <a:solidFill>
              <a:schemeClr val="accent2"/>
            </a:solidFill>
          </c:spPr>
          <c:invertIfNegative val="0"/>
          <c:dLbls>
            <c:spPr>
              <a:noFill/>
              <a:ln w="25400">
                <a:noFill/>
              </a:ln>
            </c:spPr>
            <c:txPr>
              <a:bodyPr wrap="square" lIns="38100" tIns="19050" rIns="38100" bIns="19050" anchor="ctr">
                <a:spAutoFit/>
              </a:bodyPr>
              <a:lstStyle/>
              <a:p>
                <a:pPr>
                  <a:defRPr sz="1100" b="0" i="0" u="none" strike="noStrike" baseline="0">
                    <a:solidFill>
                      <a:srgbClr val="333333"/>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'Revenue required'!$E$189:$F$189</c:f>
            </c:numRef>
          </c:val>
          <c:extLst>
            <c:ext xmlns:c15="http://schemas.microsoft.com/office/drawing/2012/chart" uri="{02D57815-91ED-43cb-92C2-25804820EDAC}">
              <c15:filteredCategoryTitle>
                <c15:cat>
                  <c:multiLvlStrRef>
                    <c:extLst>
                      <c:ext uri="{02D57815-91ED-43cb-92C2-25804820EDAC}">
                        <c15:formulaRef>
                          <c15:sqref>'Revenue required'!$E$183:$F$183</c15:sqref>
                        </c15:formulaRef>
                      </c:ext>
                    </c:extLst>
                  </c:multiLvlStrRef>
                </c15:cat>
              </c15:filteredCategoryTitle>
            </c:ext>
            <c:ext xmlns:c16="http://schemas.microsoft.com/office/drawing/2014/chart" uri="{C3380CC4-5D6E-409C-BE32-E72D297353CC}">
              <c16:uniqueId val="{00000005-01B1-4CC1-8A3D-3EFF8AB57CD7}"/>
            </c:ext>
          </c:extLst>
        </c:ser>
        <c:dLbls>
          <c:showLegendKey val="0"/>
          <c:showVal val="0"/>
          <c:showCatName val="0"/>
          <c:showSerName val="0"/>
          <c:showPercent val="0"/>
          <c:showBubbleSize val="0"/>
        </c:dLbls>
        <c:gapWidth val="25"/>
        <c:overlap val="100"/>
        <c:axId val="1350512879"/>
        <c:axId val="1"/>
      </c:barChart>
      <c:catAx>
        <c:axId val="1350512879"/>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0" vert="horz"/>
          <a:lstStyle/>
          <a:p>
            <a:pPr>
              <a:defRPr sz="1100" b="0" i="0" u="none" strike="noStrike" baseline="0">
                <a:solidFill>
                  <a:srgbClr val="333333"/>
                </a:solidFill>
                <a:latin typeface="Calibri"/>
                <a:ea typeface="Calibri"/>
                <a:cs typeface="Calibri"/>
              </a:defRPr>
            </a:pPr>
            <a:endParaRPr lang="en-US"/>
          </a:p>
        </c:txPr>
        <c:crossAx val="1"/>
        <c:crosses val="autoZero"/>
        <c:auto val="1"/>
        <c:lblAlgn val="ctr"/>
        <c:lblOffset val="100"/>
        <c:noMultiLvlLbl val="0"/>
      </c:catAx>
      <c:valAx>
        <c:axId val="1"/>
        <c:scaling>
          <c:orientation val="minMax"/>
        </c:scaling>
        <c:delete val="1"/>
        <c:axPos val="l"/>
        <c:majorGridlines>
          <c:spPr>
            <a:ln w="9525" cap="flat" cmpd="sng" algn="ctr">
              <a:solidFill>
                <a:schemeClr val="tx1">
                  <a:lumMod val="15000"/>
                  <a:lumOff val="85000"/>
                </a:schemeClr>
              </a:solidFill>
              <a:round/>
            </a:ln>
            <a:effectLst/>
          </c:spPr>
        </c:majorGridlines>
        <c:numFmt formatCode="_-* #\ ##0_-;\-* #\ ##0_-;_-* &quot;-&quot;??_-;_-@_-" sourceLinked="1"/>
        <c:majorTickMark val="out"/>
        <c:minorTickMark val="none"/>
        <c:tickLblPos val="nextTo"/>
        <c:crossAx val="1350512879"/>
        <c:crosses val="autoZero"/>
        <c:crossBetween val="between"/>
      </c:valAx>
    </c:plotArea>
    <c:plotVisOnly val="1"/>
    <c:dispBlanksAs val="gap"/>
    <c:showDLblsOverMax val="0"/>
  </c:chart>
  <c:spPr>
    <a:solidFill>
      <a:schemeClr val="bg1"/>
    </a:solidFill>
    <a:ln w="9525" cap="flat" cmpd="sng" algn="ctr">
      <a:noFill/>
      <a:round/>
    </a:ln>
    <a:effectLst/>
  </c:spPr>
  <c:txPr>
    <a:bodyPr/>
    <a:lstStyle/>
    <a:p>
      <a:pPr>
        <a:defRPr sz="11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charts/chart2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320" b="0" i="0" u="none" strike="noStrike" baseline="0">
                <a:solidFill>
                  <a:srgbClr val="333333"/>
                </a:solidFill>
                <a:latin typeface="Calibri"/>
                <a:ea typeface="Calibri"/>
                <a:cs typeface="Calibri"/>
              </a:defRPr>
            </a:pPr>
            <a:r>
              <a:rPr lang="en-ZA"/>
              <a:t>Budget funding: solid waste: %s</a:t>
            </a:r>
          </a:p>
        </c:rich>
      </c:tx>
      <c:layout>
        <c:manualLayout>
          <c:xMode val="edge"/>
          <c:yMode val="edge"/>
          <c:x val="3.5577825499085343E-2"/>
          <c:y val="5.0906329016565235E-2"/>
        </c:manualLayout>
      </c:layout>
      <c:overlay val="0"/>
      <c:spPr>
        <a:noFill/>
        <a:ln w="25400">
          <a:noFill/>
        </a:ln>
      </c:spPr>
    </c:title>
    <c:autoTitleDeleted val="0"/>
    <c:plotArea>
      <c:layout/>
      <c:barChart>
        <c:barDir val="col"/>
        <c:grouping val="percentStacked"/>
        <c:varyColors val="0"/>
        <c:ser>
          <c:idx val="0"/>
          <c:order val="0"/>
          <c:tx>
            <c:strRef>
              <c:f>'Revenue required'!$G$184</c:f>
              <c:strCache>
                <c:ptCount val="1"/>
                <c:pt idx="0">
                  <c:v>Direct cost</c:v>
                </c:pt>
              </c:strCache>
            </c:strRef>
          </c:tx>
          <c:spPr>
            <a:solidFill>
              <a:schemeClr val="accent5"/>
            </a:solidFill>
          </c:spPr>
          <c:invertIfNegative val="0"/>
          <c:dLbls>
            <c:spPr>
              <a:noFill/>
              <a:ln w="25400">
                <a:noFill/>
              </a:ln>
            </c:spPr>
            <c:txPr>
              <a:bodyPr wrap="square" lIns="38100" tIns="19050" rIns="38100" bIns="19050" anchor="ctr">
                <a:spAutoFit/>
              </a:bodyPr>
              <a:lstStyle/>
              <a:p>
                <a:pPr>
                  <a:defRPr sz="1100" b="0" i="0" u="none" strike="noStrike" baseline="0">
                    <a:solidFill>
                      <a:srgbClr val="333333"/>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'Revenue required'!$H$184:$I$184</c:f>
            </c:numRef>
          </c:val>
          <c:extLst>
            <c:ext xmlns:c15="http://schemas.microsoft.com/office/drawing/2012/chart" uri="{02D57815-91ED-43cb-92C2-25804820EDAC}">
              <c15:filteredCategoryTitle>
                <c15:cat>
                  <c:multiLvlStrRef>
                    <c:extLst>
                      <c:ext uri="{02D57815-91ED-43cb-92C2-25804820EDAC}">
                        <c15:formulaRef>
                          <c15:sqref>'Revenue required'!$H$183:$I$183</c15:sqref>
                        </c15:formulaRef>
                      </c:ext>
                    </c:extLst>
                  </c:multiLvlStrRef>
                </c15:cat>
              </c15:filteredCategoryTitle>
            </c:ext>
            <c:ext xmlns:c16="http://schemas.microsoft.com/office/drawing/2014/chart" uri="{C3380CC4-5D6E-409C-BE32-E72D297353CC}">
              <c16:uniqueId val="{00000000-CBAC-4D39-801A-5421C88BE3D0}"/>
            </c:ext>
          </c:extLst>
        </c:ser>
        <c:ser>
          <c:idx val="1"/>
          <c:order val="1"/>
          <c:tx>
            <c:strRef>
              <c:f>'Revenue required'!$G$185</c:f>
              <c:strCache>
                <c:ptCount val="1"/>
                <c:pt idx="0">
                  <c:v>Indirect cost</c:v>
                </c:pt>
              </c:strCache>
            </c:strRef>
          </c:tx>
          <c:spPr>
            <a:solidFill>
              <a:schemeClr val="accent5">
                <a:lumMod val="60000"/>
                <a:lumOff val="40000"/>
              </a:schemeClr>
            </a:solidFill>
          </c:spPr>
          <c:invertIfNegative val="0"/>
          <c:dLbls>
            <c:spPr>
              <a:noFill/>
              <a:ln w="25400">
                <a:noFill/>
              </a:ln>
            </c:spPr>
            <c:txPr>
              <a:bodyPr wrap="square" lIns="38100" tIns="19050" rIns="38100" bIns="19050" anchor="ctr">
                <a:spAutoFit/>
              </a:bodyPr>
              <a:lstStyle/>
              <a:p>
                <a:pPr>
                  <a:defRPr sz="1100" b="0" i="0" u="none" strike="noStrike" baseline="0">
                    <a:solidFill>
                      <a:srgbClr val="333333"/>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'Revenue required'!$H$185:$I$185</c:f>
            </c:numRef>
          </c:val>
          <c:extLst>
            <c:ext xmlns:c15="http://schemas.microsoft.com/office/drawing/2012/chart" uri="{02D57815-91ED-43cb-92C2-25804820EDAC}">
              <c15:filteredCategoryTitle>
                <c15:cat>
                  <c:multiLvlStrRef>
                    <c:extLst>
                      <c:ext uri="{02D57815-91ED-43cb-92C2-25804820EDAC}">
                        <c15:formulaRef>
                          <c15:sqref>'Revenue required'!$H$183:$I$183</c15:sqref>
                        </c15:formulaRef>
                      </c:ext>
                    </c:extLst>
                  </c:multiLvlStrRef>
                </c15:cat>
              </c15:filteredCategoryTitle>
            </c:ext>
            <c:ext xmlns:c16="http://schemas.microsoft.com/office/drawing/2014/chart" uri="{C3380CC4-5D6E-409C-BE32-E72D297353CC}">
              <c16:uniqueId val="{00000001-CBAC-4D39-801A-5421C88BE3D0}"/>
            </c:ext>
          </c:extLst>
        </c:ser>
        <c:ser>
          <c:idx val="2"/>
          <c:order val="2"/>
          <c:tx>
            <c:strRef>
              <c:f>'Revenue required'!$G$186</c:f>
              <c:strCache>
                <c:ptCount val="1"/>
              </c:strCache>
            </c:strRef>
          </c:tx>
          <c:invertIfNegative val="0"/>
          <c:dLbls>
            <c:spPr>
              <a:noFill/>
              <a:ln w="25400">
                <a:noFill/>
              </a:ln>
            </c:spPr>
            <c:txPr>
              <a:bodyPr wrap="square" lIns="38100" tIns="19050" rIns="38100" bIns="19050" anchor="ctr">
                <a:spAutoFit/>
              </a:bodyPr>
              <a:lstStyle/>
              <a:p>
                <a:pPr>
                  <a:defRPr sz="1100" b="0" i="0" u="none" strike="noStrike" baseline="0">
                    <a:solidFill>
                      <a:srgbClr val="333333"/>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'Revenue required'!$H$186:$I$186</c:f>
            </c:numRef>
          </c:val>
          <c:extLst>
            <c:ext xmlns:c15="http://schemas.microsoft.com/office/drawing/2012/chart" uri="{02D57815-91ED-43cb-92C2-25804820EDAC}">
              <c15:filteredCategoryTitle>
                <c15:cat>
                  <c:multiLvlStrRef>
                    <c:extLst>
                      <c:ext uri="{02D57815-91ED-43cb-92C2-25804820EDAC}">
                        <c15:formulaRef>
                          <c15:sqref>'Revenue required'!$H$183:$I$183</c15:sqref>
                        </c15:formulaRef>
                      </c:ext>
                    </c:extLst>
                  </c:multiLvlStrRef>
                </c15:cat>
              </c15:filteredCategoryTitle>
            </c:ext>
            <c:ext xmlns:c16="http://schemas.microsoft.com/office/drawing/2014/chart" uri="{C3380CC4-5D6E-409C-BE32-E72D297353CC}">
              <c16:uniqueId val="{00000002-CBAC-4D39-801A-5421C88BE3D0}"/>
            </c:ext>
          </c:extLst>
        </c:ser>
        <c:ser>
          <c:idx val="4"/>
          <c:order val="3"/>
          <c:tx>
            <c:strRef>
              <c:f>'Revenue required'!$G$187</c:f>
              <c:strCache>
                <c:ptCount val="1"/>
                <c:pt idx="0">
                  <c:v>Tariff revenue</c:v>
                </c:pt>
              </c:strCache>
            </c:strRef>
          </c:tx>
          <c:spPr>
            <a:solidFill>
              <a:schemeClr val="accent3"/>
            </a:solidFill>
          </c:spPr>
          <c:invertIfNegative val="0"/>
          <c:dLbls>
            <c:spPr>
              <a:noFill/>
              <a:ln w="25400">
                <a:noFill/>
              </a:ln>
            </c:spPr>
            <c:txPr>
              <a:bodyPr wrap="square" lIns="38100" tIns="19050" rIns="38100" bIns="19050" anchor="ctr">
                <a:spAutoFit/>
              </a:bodyPr>
              <a:lstStyle/>
              <a:p>
                <a:pPr>
                  <a:defRPr sz="1100" b="0" i="0" u="none" strike="noStrike" baseline="0">
                    <a:solidFill>
                      <a:srgbClr val="333333"/>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'Revenue required'!$H$187:$I$187</c:f>
            </c:numRef>
          </c:val>
          <c:extLst>
            <c:ext xmlns:c15="http://schemas.microsoft.com/office/drawing/2012/chart" uri="{02D57815-91ED-43cb-92C2-25804820EDAC}">
              <c15:filteredCategoryTitle>
                <c15:cat>
                  <c:multiLvlStrRef>
                    <c:extLst>
                      <c:ext uri="{02D57815-91ED-43cb-92C2-25804820EDAC}">
                        <c15:formulaRef>
                          <c15:sqref>'Revenue required'!$H$183:$I$183</c15:sqref>
                        </c15:formulaRef>
                      </c:ext>
                    </c:extLst>
                  </c:multiLvlStrRef>
                </c15:cat>
              </c15:filteredCategoryTitle>
            </c:ext>
            <c:ext xmlns:c16="http://schemas.microsoft.com/office/drawing/2014/chart" uri="{C3380CC4-5D6E-409C-BE32-E72D297353CC}">
              <c16:uniqueId val="{00000003-CBAC-4D39-801A-5421C88BE3D0}"/>
            </c:ext>
          </c:extLst>
        </c:ser>
        <c:ser>
          <c:idx val="5"/>
          <c:order val="4"/>
          <c:tx>
            <c:strRef>
              <c:f>'Revenue required'!$G$188</c:f>
              <c:strCache>
                <c:ptCount val="1"/>
                <c:pt idx="0">
                  <c:v>Non-tariff revenue</c:v>
                </c:pt>
              </c:strCache>
            </c:strRef>
          </c:tx>
          <c:spPr>
            <a:solidFill>
              <a:schemeClr val="accent3">
                <a:lumMod val="60000"/>
                <a:lumOff val="40000"/>
              </a:schemeClr>
            </a:solidFill>
          </c:spPr>
          <c:invertIfNegative val="0"/>
          <c:dLbls>
            <c:spPr>
              <a:noFill/>
              <a:ln w="25400">
                <a:noFill/>
              </a:ln>
            </c:spPr>
            <c:txPr>
              <a:bodyPr wrap="square" lIns="38100" tIns="19050" rIns="38100" bIns="19050" anchor="ctr">
                <a:spAutoFit/>
              </a:bodyPr>
              <a:lstStyle/>
              <a:p>
                <a:pPr>
                  <a:defRPr sz="1100" b="0" i="0" u="none" strike="noStrike" baseline="0">
                    <a:solidFill>
                      <a:srgbClr val="333333"/>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'Revenue required'!$H$188:$I$188</c:f>
            </c:numRef>
          </c:val>
          <c:extLst>
            <c:ext xmlns:c15="http://schemas.microsoft.com/office/drawing/2012/chart" uri="{02D57815-91ED-43cb-92C2-25804820EDAC}">
              <c15:filteredCategoryTitle>
                <c15:cat>
                  <c:multiLvlStrRef>
                    <c:extLst>
                      <c:ext uri="{02D57815-91ED-43cb-92C2-25804820EDAC}">
                        <c15:formulaRef>
                          <c15:sqref>'Revenue required'!$H$183:$I$183</c15:sqref>
                        </c15:formulaRef>
                      </c:ext>
                    </c:extLst>
                  </c:multiLvlStrRef>
                </c15:cat>
              </c15:filteredCategoryTitle>
            </c:ext>
            <c:ext xmlns:c16="http://schemas.microsoft.com/office/drawing/2014/chart" uri="{C3380CC4-5D6E-409C-BE32-E72D297353CC}">
              <c16:uniqueId val="{00000004-CBAC-4D39-801A-5421C88BE3D0}"/>
            </c:ext>
          </c:extLst>
        </c:ser>
        <c:ser>
          <c:idx val="3"/>
          <c:order val="5"/>
          <c:tx>
            <c:strRef>
              <c:f>'Revenue required'!$G$189</c:f>
              <c:strCache>
                <c:ptCount val="1"/>
              </c:strCache>
            </c:strRef>
          </c:tx>
          <c:spPr>
            <a:solidFill>
              <a:schemeClr val="accent2"/>
            </a:solidFill>
          </c:spPr>
          <c:invertIfNegative val="0"/>
          <c:dLbls>
            <c:spPr>
              <a:noFill/>
              <a:ln w="25400">
                <a:noFill/>
              </a:ln>
            </c:spPr>
            <c:txPr>
              <a:bodyPr wrap="square" lIns="38100" tIns="19050" rIns="38100" bIns="19050" anchor="ctr">
                <a:spAutoFit/>
              </a:bodyPr>
              <a:lstStyle/>
              <a:p>
                <a:pPr>
                  <a:defRPr sz="1100" b="0" i="0" u="none" strike="noStrike" baseline="0">
                    <a:solidFill>
                      <a:srgbClr val="333333"/>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'Revenue required'!$H$189:$I$189</c:f>
            </c:numRef>
          </c:val>
          <c:extLst>
            <c:ext xmlns:c15="http://schemas.microsoft.com/office/drawing/2012/chart" uri="{02D57815-91ED-43cb-92C2-25804820EDAC}">
              <c15:filteredCategoryTitle>
                <c15:cat>
                  <c:multiLvlStrRef>
                    <c:extLst>
                      <c:ext uri="{02D57815-91ED-43cb-92C2-25804820EDAC}">
                        <c15:formulaRef>
                          <c15:sqref>'Revenue required'!$H$183:$I$183</c15:sqref>
                        </c15:formulaRef>
                      </c:ext>
                    </c:extLst>
                  </c:multiLvlStrRef>
                </c15:cat>
              </c15:filteredCategoryTitle>
            </c:ext>
            <c:ext xmlns:c16="http://schemas.microsoft.com/office/drawing/2014/chart" uri="{C3380CC4-5D6E-409C-BE32-E72D297353CC}">
              <c16:uniqueId val="{00000005-CBAC-4D39-801A-5421C88BE3D0}"/>
            </c:ext>
          </c:extLst>
        </c:ser>
        <c:dLbls>
          <c:showLegendKey val="0"/>
          <c:showVal val="0"/>
          <c:showCatName val="0"/>
          <c:showSerName val="0"/>
          <c:showPercent val="0"/>
          <c:showBubbleSize val="0"/>
        </c:dLbls>
        <c:gapWidth val="25"/>
        <c:overlap val="100"/>
        <c:axId val="1350513359"/>
        <c:axId val="1"/>
      </c:barChart>
      <c:catAx>
        <c:axId val="1350513359"/>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0" vert="horz"/>
          <a:lstStyle/>
          <a:p>
            <a:pPr>
              <a:defRPr sz="1100" b="0" i="0" u="none" strike="noStrike" baseline="0">
                <a:solidFill>
                  <a:srgbClr val="333333"/>
                </a:solidFill>
                <a:latin typeface="Calibri"/>
                <a:ea typeface="Calibri"/>
                <a:cs typeface="Calibri"/>
              </a:defRPr>
            </a:pPr>
            <a:endParaRPr lang="en-US"/>
          </a:p>
        </c:txPr>
        <c:crossAx val="1"/>
        <c:crosses val="autoZero"/>
        <c:auto val="1"/>
        <c:lblAlgn val="ctr"/>
        <c:lblOffset val="100"/>
        <c:noMultiLvlLbl val="0"/>
      </c:catAx>
      <c:valAx>
        <c:axId val="1"/>
        <c:scaling>
          <c:orientation val="minMax"/>
        </c:scaling>
        <c:delete val="1"/>
        <c:axPos val="l"/>
        <c:majorGridlines>
          <c:spPr>
            <a:ln w="9525" cap="flat" cmpd="sng" algn="ctr">
              <a:solidFill>
                <a:schemeClr val="tx1">
                  <a:lumMod val="15000"/>
                  <a:lumOff val="85000"/>
                </a:schemeClr>
              </a:solidFill>
              <a:round/>
            </a:ln>
            <a:effectLst/>
          </c:spPr>
        </c:majorGridlines>
        <c:numFmt formatCode="0%" sourceLinked="1"/>
        <c:majorTickMark val="out"/>
        <c:minorTickMark val="none"/>
        <c:tickLblPos val="nextTo"/>
        <c:crossAx val="1350513359"/>
        <c:crosses val="autoZero"/>
        <c:crossBetween val="between"/>
      </c:valAx>
    </c:plotArea>
    <c:plotVisOnly val="1"/>
    <c:dispBlanksAs val="gap"/>
    <c:showDLblsOverMax val="0"/>
  </c:chart>
  <c:spPr>
    <a:solidFill>
      <a:schemeClr val="bg1"/>
    </a:solidFill>
    <a:ln w="9525" cap="flat" cmpd="sng" algn="ctr">
      <a:noFill/>
      <a:round/>
    </a:ln>
    <a:effectLst/>
  </c:spPr>
  <c:txPr>
    <a:bodyPr/>
    <a:lstStyle/>
    <a:p>
      <a:pPr>
        <a:defRPr sz="11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charts/chart2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320" b="0" i="0" u="none" strike="noStrike" baseline="0">
                <a:solidFill>
                  <a:srgbClr val="333333"/>
                </a:solidFill>
                <a:latin typeface="Calibri"/>
                <a:ea typeface="Calibri"/>
                <a:cs typeface="Calibri"/>
              </a:defRPr>
            </a:pPr>
            <a:r>
              <a:rPr lang="en-ZA"/>
              <a:t>Budget funding: full budget: categories</a:t>
            </a:r>
          </a:p>
        </c:rich>
      </c:tx>
      <c:layout>
        <c:manualLayout>
          <c:xMode val="edge"/>
          <c:yMode val="edge"/>
          <c:x val="4.2643269591301089E-2"/>
          <c:y val="4.1608904726325266E-2"/>
        </c:manualLayout>
      </c:layout>
      <c:overlay val="0"/>
      <c:spPr>
        <a:noFill/>
        <a:ln w="25400">
          <a:noFill/>
        </a:ln>
      </c:spPr>
    </c:title>
    <c:autoTitleDeleted val="0"/>
    <c:plotArea>
      <c:layout/>
      <c:barChart>
        <c:barDir val="col"/>
        <c:grouping val="stacked"/>
        <c:varyColors val="0"/>
        <c:ser>
          <c:idx val="0"/>
          <c:order val="0"/>
          <c:tx>
            <c:strRef>
              <c:f>'Revenue required'!$D$134</c:f>
              <c:strCache>
                <c:ptCount val="1"/>
                <c:pt idx="0">
                  <c:v>Direct cost</c:v>
                </c:pt>
              </c:strCache>
            </c:strRef>
          </c:tx>
          <c:spPr>
            <a:solidFill>
              <a:schemeClr val="accent5"/>
            </a:solidFill>
            <a:ln>
              <a:solidFill>
                <a:schemeClr val="accent5"/>
              </a:solidFill>
            </a:ln>
            <a:effectLst/>
          </c:spPr>
          <c:invertIfNegative val="0"/>
          <c:dLbls>
            <c:spPr>
              <a:noFill/>
              <a:ln w="25400">
                <a:noFill/>
              </a:ln>
            </c:spPr>
            <c:txPr>
              <a:bodyPr wrap="square" lIns="38100" tIns="19050" rIns="38100" bIns="19050" anchor="ctr">
                <a:spAutoFit/>
              </a:bodyPr>
              <a:lstStyle/>
              <a:p>
                <a:pPr>
                  <a:defRPr sz="1100" b="0" i="0" u="none" strike="noStrike" baseline="0">
                    <a:solidFill>
                      <a:srgbClr val="333333"/>
                    </a:solidFill>
                    <a:latin typeface="Calibri"/>
                    <a:ea typeface="Calibri"/>
                    <a:cs typeface="Calibri"/>
                  </a:defRPr>
                </a:pPr>
                <a:endParaRPr lang="en-US"/>
              </a:p>
            </c:txPr>
            <c:dLblPos val="ct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val>
            <c:numRef>
              <c:f>'Revenue required'!$E$134:$F$134</c:f>
            </c:numRef>
          </c:val>
          <c:extLst>
            <c:ext xmlns:c15="http://schemas.microsoft.com/office/drawing/2012/chart" uri="{02D57815-91ED-43cb-92C2-25804820EDAC}">
              <c15:filteredCategoryTitle>
                <c15:cat>
                  <c:multiLvlStrRef>
                    <c:extLst>
                      <c:ext uri="{02D57815-91ED-43cb-92C2-25804820EDAC}">
                        <c15:formulaRef>
                          <c15:sqref>'Revenue required'!$E$133:$F$133</c15:sqref>
                        </c15:formulaRef>
                      </c:ext>
                    </c:extLst>
                  </c:multiLvlStrRef>
                </c15:cat>
              </c15:filteredCategoryTitle>
            </c:ext>
            <c:ext xmlns:c16="http://schemas.microsoft.com/office/drawing/2014/chart" uri="{C3380CC4-5D6E-409C-BE32-E72D297353CC}">
              <c16:uniqueId val="{00000000-A05C-423B-8B3B-964473D4968B}"/>
            </c:ext>
          </c:extLst>
        </c:ser>
        <c:ser>
          <c:idx val="1"/>
          <c:order val="1"/>
          <c:tx>
            <c:strRef>
              <c:f>'Revenue required'!$D$135</c:f>
              <c:strCache>
                <c:ptCount val="1"/>
                <c:pt idx="0">
                  <c:v>Indirect cost</c:v>
                </c:pt>
              </c:strCache>
            </c:strRef>
          </c:tx>
          <c:spPr>
            <a:solidFill>
              <a:schemeClr val="accent5">
                <a:lumMod val="60000"/>
                <a:lumOff val="40000"/>
              </a:schemeClr>
            </a:solidFill>
            <a:ln>
              <a:solidFill>
                <a:schemeClr val="accent5">
                  <a:lumMod val="60000"/>
                  <a:lumOff val="40000"/>
                </a:schemeClr>
              </a:solidFill>
            </a:ln>
            <a:effectLst/>
          </c:spPr>
          <c:invertIfNegative val="0"/>
          <c:dLbls>
            <c:spPr>
              <a:noFill/>
              <a:ln w="25400">
                <a:noFill/>
              </a:ln>
            </c:spPr>
            <c:txPr>
              <a:bodyPr wrap="square" lIns="38100" tIns="19050" rIns="38100" bIns="19050" anchor="ctr">
                <a:spAutoFit/>
              </a:bodyPr>
              <a:lstStyle/>
              <a:p>
                <a:pPr>
                  <a:defRPr sz="1100" b="0" i="0" u="none" strike="noStrike" baseline="0">
                    <a:solidFill>
                      <a:srgbClr val="333333"/>
                    </a:solidFill>
                    <a:latin typeface="Calibri"/>
                    <a:ea typeface="Calibri"/>
                    <a:cs typeface="Calibri"/>
                  </a:defRPr>
                </a:pPr>
                <a:endParaRPr lang="en-US"/>
              </a:p>
            </c:txPr>
            <c:dLblPos val="ct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val>
            <c:numRef>
              <c:f>'Revenue required'!$E$135:$F$135</c:f>
            </c:numRef>
          </c:val>
          <c:extLst>
            <c:ext xmlns:c15="http://schemas.microsoft.com/office/drawing/2012/chart" uri="{02D57815-91ED-43cb-92C2-25804820EDAC}">
              <c15:filteredCategoryTitle>
                <c15:cat>
                  <c:multiLvlStrRef>
                    <c:extLst>
                      <c:ext uri="{02D57815-91ED-43cb-92C2-25804820EDAC}">
                        <c15:formulaRef>
                          <c15:sqref>'Revenue required'!$E$133:$F$133</c15:sqref>
                        </c15:formulaRef>
                      </c:ext>
                    </c:extLst>
                  </c:multiLvlStrRef>
                </c15:cat>
              </c15:filteredCategoryTitle>
            </c:ext>
            <c:ext xmlns:c16="http://schemas.microsoft.com/office/drawing/2014/chart" uri="{C3380CC4-5D6E-409C-BE32-E72D297353CC}">
              <c16:uniqueId val="{00000001-A05C-423B-8B3B-964473D4968B}"/>
            </c:ext>
          </c:extLst>
        </c:ser>
        <c:ser>
          <c:idx val="2"/>
          <c:order val="2"/>
          <c:tx>
            <c:strRef>
              <c:f>'Revenue required'!$D$136</c:f>
              <c:strCache>
                <c:ptCount val="1"/>
              </c:strCache>
            </c:strRef>
          </c:tx>
          <c:spPr>
            <a:solidFill>
              <a:schemeClr val="accent6"/>
            </a:solidFill>
            <a:ln>
              <a:solidFill>
                <a:schemeClr val="accent6"/>
              </a:solidFill>
            </a:ln>
            <a:effectLst/>
          </c:spPr>
          <c:invertIfNegative val="0"/>
          <c:dLbls>
            <c:spPr>
              <a:noFill/>
              <a:ln w="25400">
                <a:noFill/>
              </a:ln>
            </c:spPr>
            <c:txPr>
              <a:bodyPr wrap="square" lIns="38100" tIns="19050" rIns="38100" bIns="19050" anchor="ctr">
                <a:spAutoFit/>
              </a:bodyPr>
              <a:lstStyle/>
              <a:p>
                <a:pPr>
                  <a:defRPr sz="1100" b="0" i="0" u="none" strike="noStrike" baseline="0">
                    <a:solidFill>
                      <a:srgbClr val="333333"/>
                    </a:solidFill>
                    <a:latin typeface="Calibri"/>
                    <a:ea typeface="Calibri"/>
                    <a:cs typeface="Calibri"/>
                  </a:defRPr>
                </a:pPr>
                <a:endParaRPr lang="en-US"/>
              </a:p>
            </c:txPr>
            <c:dLblPos val="ct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val>
            <c:numRef>
              <c:f>'Revenue required'!$E$136:$F$136</c:f>
            </c:numRef>
          </c:val>
          <c:extLst>
            <c:ext xmlns:c15="http://schemas.microsoft.com/office/drawing/2012/chart" uri="{02D57815-91ED-43cb-92C2-25804820EDAC}">
              <c15:filteredCategoryTitle>
                <c15:cat>
                  <c:multiLvlStrRef>
                    <c:extLst>
                      <c:ext uri="{02D57815-91ED-43cb-92C2-25804820EDAC}">
                        <c15:formulaRef>
                          <c15:sqref>'Revenue required'!$E$133:$F$133</c15:sqref>
                        </c15:formulaRef>
                      </c:ext>
                    </c:extLst>
                  </c:multiLvlStrRef>
                </c15:cat>
              </c15:filteredCategoryTitle>
            </c:ext>
            <c:ext xmlns:c16="http://schemas.microsoft.com/office/drawing/2014/chart" uri="{C3380CC4-5D6E-409C-BE32-E72D297353CC}">
              <c16:uniqueId val="{00000002-A05C-423B-8B3B-964473D4968B}"/>
            </c:ext>
          </c:extLst>
        </c:ser>
        <c:ser>
          <c:idx val="4"/>
          <c:order val="3"/>
          <c:tx>
            <c:strRef>
              <c:f>'Revenue required'!$D$137</c:f>
              <c:strCache>
                <c:ptCount val="1"/>
                <c:pt idx="0">
                  <c:v>Tariff revenue</c:v>
                </c:pt>
              </c:strCache>
            </c:strRef>
          </c:tx>
          <c:spPr>
            <a:solidFill>
              <a:schemeClr val="accent3">
                <a:lumMod val="75000"/>
              </a:schemeClr>
            </a:solidFill>
            <a:ln>
              <a:solidFill>
                <a:schemeClr val="accent3">
                  <a:lumMod val="75000"/>
                </a:schemeClr>
              </a:solidFill>
            </a:ln>
            <a:effectLst/>
          </c:spPr>
          <c:invertIfNegative val="0"/>
          <c:dLbls>
            <c:spPr>
              <a:noFill/>
              <a:ln w="25400">
                <a:noFill/>
              </a:ln>
            </c:spPr>
            <c:txPr>
              <a:bodyPr wrap="square" lIns="38100" tIns="19050" rIns="38100" bIns="19050" anchor="ctr">
                <a:spAutoFit/>
              </a:bodyPr>
              <a:lstStyle/>
              <a:p>
                <a:pPr>
                  <a:defRPr sz="1100" b="0" i="0" u="none" strike="noStrike" baseline="0">
                    <a:solidFill>
                      <a:srgbClr val="333333"/>
                    </a:solidFill>
                    <a:latin typeface="Calibri"/>
                    <a:ea typeface="Calibri"/>
                    <a:cs typeface="Calibri"/>
                  </a:defRPr>
                </a:pPr>
                <a:endParaRPr lang="en-US"/>
              </a:p>
            </c:txPr>
            <c:dLblPos val="ct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val>
            <c:numRef>
              <c:f>'Revenue required'!$E$137:$F$137</c:f>
            </c:numRef>
          </c:val>
          <c:extLst>
            <c:ext xmlns:c15="http://schemas.microsoft.com/office/drawing/2012/chart" uri="{02D57815-91ED-43cb-92C2-25804820EDAC}">
              <c15:filteredCategoryTitle>
                <c15:cat>
                  <c:multiLvlStrRef>
                    <c:extLst>
                      <c:ext uri="{02D57815-91ED-43cb-92C2-25804820EDAC}">
                        <c15:formulaRef>
                          <c15:sqref>'Revenue required'!$E$133:$F$133</c15:sqref>
                        </c15:formulaRef>
                      </c:ext>
                    </c:extLst>
                  </c:multiLvlStrRef>
                </c15:cat>
              </c15:filteredCategoryTitle>
            </c:ext>
            <c:ext xmlns:c16="http://schemas.microsoft.com/office/drawing/2014/chart" uri="{C3380CC4-5D6E-409C-BE32-E72D297353CC}">
              <c16:uniqueId val="{00000003-A05C-423B-8B3B-964473D4968B}"/>
            </c:ext>
          </c:extLst>
        </c:ser>
        <c:ser>
          <c:idx val="5"/>
          <c:order val="4"/>
          <c:tx>
            <c:strRef>
              <c:f>'Revenue required'!$D$138</c:f>
              <c:strCache>
                <c:ptCount val="1"/>
                <c:pt idx="0">
                  <c:v>Non-tariff revenue</c:v>
                </c:pt>
              </c:strCache>
            </c:strRef>
          </c:tx>
          <c:spPr>
            <a:solidFill>
              <a:schemeClr val="accent3"/>
            </a:solidFill>
            <a:ln>
              <a:solidFill>
                <a:schemeClr val="accent3"/>
              </a:solidFill>
            </a:ln>
            <a:effectLst/>
          </c:spPr>
          <c:invertIfNegative val="0"/>
          <c:dLbls>
            <c:spPr>
              <a:noFill/>
              <a:ln w="25400">
                <a:noFill/>
              </a:ln>
            </c:spPr>
            <c:txPr>
              <a:bodyPr wrap="square" lIns="38100" tIns="19050" rIns="38100" bIns="19050" anchor="ctr">
                <a:spAutoFit/>
              </a:bodyPr>
              <a:lstStyle/>
              <a:p>
                <a:pPr>
                  <a:defRPr sz="1100" b="0" i="0" u="none" strike="noStrike" baseline="0">
                    <a:solidFill>
                      <a:srgbClr val="333333"/>
                    </a:solidFill>
                    <a:latin typeface="Calibri"/>
                    <a:ea typeface="Calibri"/>
                    <a:cs typeface="Calibri"/>
                  </a:defRPr>
                </a:pPr>
                <a:endParaRPr lang="en-US"/>
              </a:p>
            </c:txPr>
            <c:dLblPos val="ct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val>
            <c:numRef>
              <c:f>'Revenue required'!$E$138:$F$138</c:f>
            </c:numRef>
          </c:val>
          <c:extLst>
            <c:ext xmlns:c15="http://schemas.microsoft.com/office/drawing/2012/chart" uri="{02D57815-91ED-43cb-92C2-25804820EDAC}">
              <c15:filteredCategoryTitle>
                <c15:cat>
                  <c:multiLvlStrRef>
                    <c:extLst>
                      <c:ext uri="{02D57815-91ED-43cb-92C2-25804820EDAC}">
                        <c15:formulaRef>
                          <c15:sqref>'Revenue required'!$E$133:$F$133</c15:sqref>
                        </c15:formulaRef>
                      </c:ext>
                    </c:extLst>
                  </c:multiLvlStrRef>
                </c15:cat>
              </c15:filteredCategoryTitle>
            </c:ext>
            <c:ext xmlns:c16="http://schemas.microsoft.com/office/drawing/2014/chart" uri="{C3380CC4-5D6E-409C-BE32-E72D297353CC}">
              <c16:uniqueId val="{00000004-A05C-423B-8B3B-964473D4968B}"/>
            </c:ext>
          </c:extLst>
        </c:ser>
        <c:ser>
          <c:idx val="3"/>
          <c:order val="5"/>
          <c:tx>
            <c:strRef>
              <c:f>'Revenue required'!$D$139</c:f>
              <c:strCache>
                <c:ptCount val="1"/>
                <c:pt idx="0">
                  <c:v>Deficit</c:v>
                </c:pt>
              </c:strCache>
            </c:strRef>
          </c:tx>
          <c:spPr>
            <a:solidFill>
              <a:schemeClr val="accent2"/>
            </a:solidFill>
            <a:ln>
              <a:solidFill>
                <a:schemeClr val="accent2"/>
              </a:solidFill>
            </a:ln>
            <a:effectLst/>
          </c:spPr>
          <c:invertIfNegative val="0"/>
          <c:dLbls>
            <c:spPr>
              <a:noFill/>
              <a:ln w="25400">
                <a:noFill/>
              </a:ln>
            </c:spPr>
            <c:txPr>
              <a:bodyPr wrap="square" lIns="38100" tIns="19050" rIns="38100" bIns="19050" anchor="ctr">
                <a:spAutoFit/>
              </a:bodyPr>
              <a:lstStyle/>
              <a:p>
                <a:pPr>
                  <a:defRPr sz="1100" b="0" i="0" u="none" strike="noStrike" baseline="0">
                    <a:solidFill>
                      <a:srgbClr val="333333"/>
                    </a:solidFill>
                    <a:latin typeface="Calibri"/>
                    <a:ea typeface="Calibri"/>
                    <a:cs typeface="Calibri"/>
                  </a:defRPr>
                </a:pPr>
                <a:endParaRPr lang="en-US"/>
              </a:p>
            </c:txPr>
            <c:dLblPos val="ct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val>
            <c:numRef>
              <c:f>'Revenue required'!$E$139:$F$139</c:f>
            </c:numRef>
          </c:val>
          <c:extLst>
            <c:ext xmlns:c15="http://schemas.microsoft.com/office/drawing/2012/chart" uri="{02D57815-91ED-43cb-92C2-25804820EDAC}">
              <c15:filteredCategoryTitle>
                <c15:cat>
                  <c:multiLvlStrRef>
                    <c:extLst>
                      <c:ext uri="{02D57815-91ED-43cb-92C2-25804820EDAC}">
                        <c15:formulaRef>
                          <c15:sqref>'Revenue required'!$E$133:$F$133</c15:sqref>
                        </c15:formulaRef>
                      </c:ext>
                    </c:extLst>
                  </c:multiLvlStrRef>
                </c15:cat>
              </c15:filteredCategoryTitle>
            </c:ext>
            <c:ext xmlns:c16="http://schemas.microsoft.com/office/drawing/2014/chart" uri="{C3380CC4-5D6E-409C-BE32-E72D297353CC}">
              <c16:uniqueId val="{00000005-A05C-423B-8B3B-964473D4968B}"/>
            </c:ext>
          </c:extLst>
        </c:ser>
        <c:dLbls>
          <c:showLegendKey val="0"/>
          <c:showVal val="0"/>
          <c:showCatName val="0"/>
          <c:showSerName val="0"/>
          <c:showPercent val="0"/>
          <c:showBubbleSize val="0"/>
        </c:dLbls>
        <c:gapWidth val="25"/>
        <c:overlap val="100"/>
        <c:axId val="1350514319"/>
        <c:axId val="1"/>
      </c:barChart>
      <c:catAx>
        <c:axId val="1350514319"/>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0" vert="horz"/>
          <a:lstStyle/>
          <a:p>
            <a:pPr>
              <a:defRPr sz="1100" b="0" i="0" u="none" strike="noStrike" baseline="0">
                <a:solidFill>
                  <a:srgbClr val="333333"/>
                </a:solidFill>
                <a:latin typeface="Calibri"/>
                <a:ea typeface="Calibri"/>
                <a:cs typeface="Calibri"/>
              </a:defRPr>
            </a:pPr>
            <a:endParaRPr lang="en-US"/>
          </a:p>
        </c:txPr>
        <c:crossAx val="1"/>
        <c:crosses val="autoZero"/>
        <c:auto val="1"/>
        <c:lblAlgn val="ctr"/>
        <c:lblOffset val="100"/>
        <c:noMultiLvlLbl val="0"/>
      </c:catAx>
      <c:valAx>
        <c:axId val="1"/>
        <c:scaling>
          <c:orientation val="minMax"/>
        </c:scaling>
        <c:delete val="1"/>
        <c:axPos val="l"/>
        <c:majorGridlines>
          <c:spPr>
            <a:ln w="9525" cap="flat" cmpd="sng" algn="ctr">
              <a:solidFill>
                <a:schemeClr val="tx1">
                  <a:lumMod val="15000"/>
                  <a:lumOff val="85000"/>
                </a:schemeClr>
              </a:solidFill>
              <a:round/>
            </a:ln>
            <a:effectLst/>
          </c:spPr>
        </c:majorGridlines>
        <c:numFmt formatCode="_-* #\ ##0_-;\-* #\ ##0_-;_-* &quot;-&quot;??_-;_-@_-" sourceLinked="1"/>
        <c:majorTickMark val="out"/>
        <c:minorTickMark val="none"/>
        <c:tickLblPos val="nextTo"/>
        <c:crossAx val="1350514319"/>
        <c:crosses val="autoZero"/>
        <c:crossBetween val="between"/>
      </c:valAx>
      <c:spPr>
        <a:noFill/>
        <a:ln w="25400">
          <a:noFill/>
        </a:ln>
      </c:spPr>
    </c:plotArea>
    <c:plotVisOnly val="1"/>
    <c:dispBlanksAs val="gap"/>
    <c:showDLblsOverMax val="0"/>
  </c:chart>
  <c:spPr>
    <a:solidFill>
      <a:schemeClr val="bg1"/>
    </a:solidFill>
    <a:ln w="9525" cap="flat" cmpd="sng" algn="ctr">
      <a:noFill/>
      <a:round/>
    </a:ln>
    <a:effectLst/>
  </c:spPr>
  <c:txPr>
    <a:bodyPr/>
    <a:lstStyle/>
    <a:p>
      <a:pPr>
        <a:defRPr sz="11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charts/chart2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320" b="0" i="0" u="none" strike="noStrike" baseline="0">
                <a:solidFill>
                  <a:srgbClr val="333333"/>
                </a:solidFill>
                <a:latin typeface="Calibri"/>
                <a:ea typeface="Calibri"/>
                <a:cs typeface="Calibri"/>
              </a:defRPr>
            </a:pPr>
            <a:r>
              <a:rPr lang="en-ZA"/>
              <a:t>Budget funding: full budget: R'000</a:t>
            </a:r>
          </a:p>
        </c:rich>
      </c:tx>
      <c:layout>
        <c:manualLayout>
          <c:xMode val="edge"/>
          <c:yMode val="edge"/>
          <c:x val="5.1654298608357407E-2"/>
          <c:y val="3.2407750501775516E-2"/>
        </c:manualLayout>
      </c:layout>
      <c:overlay val="0"/>
      <c:spPr>
        <a:noFill/>
        <a:ln w="25400">
          <a:noFill/>
        </a:ln>
      </c:spPr>
    </c:title>
    <c:autoTitleDeleted val="0"/>
    <c:plotArea>
      <c:layout/>
      <c:barChart>
        <c:barDir val="col"/>
        <c:grouping val="stacked"/>
        <c:varyColors val="0"/>
        <c:ser>
          <c:idx val="0"/>
          <c:order val="0"/>
          <c:tx>
            <c:strRef>
              <c:f>'Revenue required'!$D$134</c:f>
              <c:strCache>
                <c:ptCount val="1"/>
                <c:pt idx="0">
                  <c:v>Direct cost</c:v>
                </c:pt>
              </c:strCache>
            </c:strRef>
          </c:tx>
          <c:spPr>
            <a:solidFill>
              <a:schemeClr val="accent5"/>
            </a:solidFill>
            <a:ln>
              <a:solidFill>
                <a:schemeClr val="accent5"/>
              </a:solidFill>
            </a:ln>
            <a:effectLst/>
          </c:spPr>
          <c:invertIfNegative val="0"/>
          <c:dLbls>
            <c:spPr>
              <a:noFill/>
              <a:ln w="25400">
                <a:noFill/>
              </a:ln>
            </c:spPr>
            <c:txPr>
              <a:bodyPr wrap="square" lIns="38100" tIns="19050" rIns="38100" bIns="19050" anchor="ctr">
                <a:spAutoFit/>
              </a:bodyPr>
              <a:lstStyle/>
              <a:p>
                <a:pPr>
                  <a:defRPr sz="1100" b="0" i="0" u="none" strike="noStrike" baseline="0">
                    <a:solidFill>
                      <a:srgbClr val="333333"/>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'Revenue required'!$E$134:$F$134</c:f>
            </c:numRef>
          </c:val>
          <c:extLst>
            <c:ext xmlns:c15="http://schemas.microsoft.com/office/drawing/2012/chart" uri="{02D57815-91ED-43cb-92C2-25804820EDAC}">
              <c15:filteredCategoryTitle>
                <c15:cat>
                  <c:multiLvlStrRef>
                    <c:extLst>
                      <c:ext uri="{02D57815-91ED-43cb-92C2-25804820EDAC}">
                        <c15:formulaRef>
                          <c15:sqref>'Revenue required'!$E$133:$F$133</c15:sqref>
                        </c15:formulaRef>
                      </c:ext>
                    </c:extLst>
                  </c:multiLvlStrRef>
                </c15:cat>
              </c15:filteredCategoryTitle>
            </c:ext>
            <c:ext xmlns:c16="http://schemas.microsoft.com/office/drawing/2014/chart" uri="{C3380CC4-5D6E-409C-BE32-E72D297353CC}">
              <c16:uniqueId val="{00000000-C50D-4875-83A4-FF5E96B036FD}"/>
            </c:ext>
          </c:extLst>
        </c:ser>
        <c:ser>
          <c:idx val="1"/>
          <c:order val="1"/>
          <c:tx>
            <c:strRef>
              <c:f>'Revenue required'!$D$135</c:f>
              <c:strCache>
                <c:ptCount val="1"/>
                <c:pt idx="0">
                  <c:v>Indirect cost</c:v>
                </c:pt>
              </c:strCache>
            </c:strRef>
          </c:tx>
          <c:spPr>
            <a:solidFill>
              <a:schemeClr val="accent5">
                <a:lumMod val="60000"/>
                <a:lumOff val="40000"/>
              </a:schemeClr>
            </a:solidFill>
            <a:ln>
              <a:solidFill>
                <a:schemeClr val="accent5">
                  <a:lumMod val="60000"/>
                  <a:lumOff val="40000"/>
                </a:schemeClr>
              </a:solidFill>
            </a:ln>
            <a:effectLst/>
          </c:spPr>
          <c:invertIfNegative val="0"/>
          <c:dLbls>
            <c:spPr>
              <a:noFill/>
              <a:ln w="25400">
                <a:noFill/>
              </a:ln>
            </c:spPr>
            <c:txPr>
              <a:bodyPr wrap="square" lIns="38100" tIns="19050" rIns="38100" bIns="19050" anchor="ctr">
                <a:spAutoFit/>
              </a:bodyPr>
              <a:lstStyle/>
              <a:p>
                <a:pPr>
                  <a:defRPr sz="1100" b="0" i="0" u="none" strike="noStrike" baseline="0">
                    <a:solidFill>
                      <a:srgbClr val="333333"/>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'Revenue required'!$E$135:$F$135</c:f>
            </c:numRef>
          </c:val>
          <c:extLst>
            <c:ext xmlns:c15="http://schemas.microsoft.com/office/drawing/2012/chart" uri="{02D57815-91ED-43cb-92C2-25804820EDAC}">
              <c15:filteredCategoryTitle>
                <c15:cat>
                  <c:multiLvlStrRef>
                    <c:extLst>
                      <c:ext uri="{02D57815-91ED-43cb-92C2-25804820EDAC}">
                        <c15:formulaRef>
                          <c15:sqref>'Revenue required'!$E$133:$F$133</c15:sqref>
                        </c15:formulaRef>
                      </c:ext>
                    </c:extLst>
                  </c:multiLvlStrRef>
                </c15:cat>
              </c15:filteredCategoryTitle>
            </c:ext>
            <c:ext xmlns:c16="http://schemas.microsoft.com/office/drawing/2014/chart" uri="{C3380CC4-5D6E-409C-BE32-E72D297353CC}">
              <c16:uniqueId val="{00000001-C50D-4875-83A4-FF5E96B036FD}"/>
            </c:ext>
          </c:extLst>
        </c:ser>
        <c:ser>
          <c:idx val="2"/>
          <c:order val="2"/>
          <c:tx>
            <c:strRef>
              <c:f>'Revenue required'!$D$136</c:f>
              <c:strCache>
                <c:ptCount val="1"/>
              </c:strCache>
            </c:strRef>
          </c:tx>
          <c:spPr>
            <a:solidFill>
              <a:schemeClr val="accent6"/>
            </a:solidFill>
            <a:ln>
              <a:solidFill>
                <a:schemeClr val="accent6"/>
              </a:solidFill>
            </a:ln>
            <a:effectLst/>
          </c:spPr>
          <c:invertIfNegative val="0"/>
          <c:dLbls>
            <c:spPr>
              <a:noFill/>
              <a:ln w="25400">
                <a:noFill/>
              </a:ln>
            </c:spPr>
            <c:txPr>
              <a:bodyPr wrap="square" lIns="38100" tIns="19050" rIns="38100" bIns="19050" anchor="ctr">
                <a:spAutoFit/>
              </a:bodyPr>
              <a:lstStyle/>
              <a:p>
                <a:pPr>
                  <a:defRPr sz="1100" b="0" i="0" u="none" strike="noStrike" baseline="0">
                    <a:solidFill>
                      <a:srgbClr val="333333"/>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'Revenue required'!$E$136:$F$136</c:f>
            </c:numRef>
          </c:val>
          <c:extLst>
            <c:ext xmlns:c15="http://schemas.microsoft.com/office/drawing/2012/chart" uri="{02D57815-91ED-43cb-92C2-25804820EDAC}">
              <c15:filteredCategoryTitle>
                <c15:cat>
                  <c:multiLvlStrRef>
                    <c:extLst>
                      <c:ext uri="{02D57815-91ED-43cb-92C2-25804820EDAC}">
                        <c15:formulaRef>
                          <c15:sqref>'Revenue required'!$E$133:$F$133</c15:sqref>
                        </c15:formulaRef>
                      </c:ext>
                    </c:extLst>
                  </c:multiLvlStrRef>
                </c15:cat>
              </c15:filteredCategoryTitle>
            </c:ext>
            <c:ext xmlns:c16="http://schemas.microsoft.com/office/drawing/2014/chart" uri="{C3380CC4-5D6E-409C-BE32-E72D297353CC}">
              <c16:uniqueId val="{00000002-C50D-4875-83A4-FF5E96B036FD}"/>
            </c:ext>
          </c:extLst>
        </c:ser>
        <c:ser>
          <c:idx val="4"/>
          <c:order val="3"/>
          <c:tx>
            <c:strRef>
              <c:f>'Revenue required'!$D$137</c:f>
              <c:strCache>
                <c:ptCount val="1"/>
                <c:pt idx="0">
                  <c:v>Tariff revenue</c:v>
                </c:pt>
              </c:strCache>
            </c:strRef>
          </c:tx>
          <c:spPr>
            <a:solidFill>
              <a:schemeClr val="accent3">
                <a:lumMod val="75000"/>
              </a:schemeClr>
            </a:solidFill>
            <a:ln>
              <a:solidFill>
                <a:schemeClr val="accent3">
                  <a:lumMod val="75000"/>
                </a:schemeClr>
              </a:solidFill>
            </a:ln>
            <a:effectLst/>
          </c:spPr>
          <c:invertIfNegative val="0"/>
          <c:dLbls>
            <c:spPr>
              <a:noFill/>
              <a:ln w="25400">
                <a:noFill/>
              </a:ln>
            </c:spPr>
            <c:txPr>
              <a:bodyPr wrap="square" lIns="38100" tIns="19050" rIns="38100" bIns="19050" anchor="ctr">
                <a:spAutoFit/>
              </a:bodyPr>
              <a:lstStyle/>
              <a:p>
                <a:pPr>
                  <a:defRPr sz="1100" b="0" i="0" u="none" strike="noStrike" baseline="0">
                    <a:solidFill>
                      <a:srgbClr val="333333"/>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'Revenue required'!$E$137:$F$137</c:f>
            </c:numRef>
          </c:val>
          <c:extLst>
            <c:ext xmlns:c15="http://schemas.microsoft.com/office/drawing/2012/chart" uri="{02D57815-91ED-43cb-92C2-25804820EDAC}">
              <c15:filteredCategoryTitle>
                <c15:cat>
                  <c:multiLvlStrRef>
                    <c:extLst>
                      <c:ext uri="{02D57815-91ED-43cb-92C2-25804820EDAC}">
                        <c15:formulaRef>
                          <c15:sqref>'Revenue required'!$E$133:$F$133</c15:sqref>
                        </c15:formulaRef>
                      </c:ext>
                    </c:extLst>
                  </c:multiLvlStrRef>
                </c15:cat>
              </c15:filteredCategoryTitle>
            </c:ext>
            <c:ext xmlns:c16="http://schemas.microsoft.com/office/drawing/2014/chart" uri="{C3380CC4-5D6E-409C-BE32-E72D297353CC}">
              <c16:uniqueId val="{00000003-C50D-4875-83A4-FF5E96B036FD}"/>
            </c:ext>
          </c:extLst>
        </c:ser>
        <c:ser>
          <c:idx val="5"/>
          <c:order val="4"/>
          <c:tx>
            <c:strRef>
              <c:f>'Revenue required'!$D$138</c:f>
              <c:strCache>
                <c:ptCount val="1"/>
                <c:pt idx="0">
                  <c:v>Non-tariff revenue</c:v>
                </c:pt>
              </c:strCache>
            </c:strRef>
          </c:tx>
          <c:spPr>
            <a:solidFill>
              <a:schemeClr val="accent3"/>
            </a:solidFill>
            <a:ln>
              <a:solidFill>
                <a:schemeClr val="accent3"/>
              </a:solidFill>
            </a:ln>
            <a:effectLst/>
          </c:spPr>
          <c:invertIfNegative val="0"/>
          <c:dLbls>
            <c:spPr>
              <a:noFill/>
              <a:ln w="25400">
                <a:noFill/>
              </a:ln>
            </c:spPr>
            <c:txPr>
              <a:bodyPr wrap="square" lIns="38100" tIns="19050" rIns="38100" bIns="19050" anchor="ctr">
                <a:spAutoFit/>
              </a:bodyPr>
              <a:lstStyle/>
              <a:p>
                <a:pPr>
                  <a:defRPr sz="1100" b="0" i="0" u="none" strike="noStrike" baseline="0">
                    <a:solidFill>
                      <a:srgbClr val="333333"/>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'Revenue required'!$E$138:$F$138</c:f>
            </c:numRef>
          </c:val>
          <c:extLst>
            <c:ext xmlns:c15="http://schemas.microsoft.com/office/drawing/2012/chart" uri="{02D57815-91ED-43cb-92C2-25804820EDAC}">
              <c15:filteredCategoryTitle>
                <c15:cat>
                  <c:multiLvlStrRef>
                    <c:extLst>
                      <c:ext uri="{02D57815-91ED-43cb-92C2-25804820EDAC}">
                        <c15:formulaRef>
                          <c15:sqref>'Revenue required'!$E$133:$F$133</c15:sqref>
                        </c15:formulaRef>
                      </c:ext>
                    </c:extLst>
                  </c:multiLvlStrRef>
                </c15:cat>
              </c15:filteredCategoryTitle>
            </c:ext>
            <c:ext xmlns:c16="http://schemas.microsoft.com/office/drawing/2014/chart" uri="{C3380CC4-5D6E-409C-BE32-E72D297353CC}">
              <c16:uniqueId val="{00000004-C50D-4875-83A4-FF5E96B036FD}"/>
            </c:ext>
          </c:extLst>
        </c:ser>
        <c:ser>
          <c:idx val="3"/>
          <c:order val="5"/>
          <c:tx>
            <c:strRef>
              <c:f>'Revenue required'!$D$139</c:f>
              <c:strCache>
                <c:ptCount val="1"/>
                <c:pt idx="0">
                  <c:v>Deficit</c:v>
                </c:pt>
              </c:strCache>
            </c:strRef>
          </c:tx>
          <c:spPr>
            <a:solidFill>
              <a:schemeClr val="accent2"/>
            </a:solidFill>
            <a:ln>
              <a:solidFill>
                <a:schemeClr val="accent2"/>
              </a:solidFill>
            </a:ln>
            <a:effectLst/>
          </c:spPr>
          <c:invertIfNegative val="0"/>
          <c:dLbls>
            <c:spPr>
              <a:noFill/>
              <a:ln w="25400">
                <a:noFill/>
              </a:ln>
            </c:spPr>
            <c:txPr>
              <a:bodyPr wrap="square" lIns="38100" tIns="19050" rIns="38100" bIns="19050" anchor="ctr">
                <a:spAutoFit/>
              </a:bodyPr>
              <a:lstStyle/>
              <a:p>
                <a:pPr>
                  <a:defRPr sz="1100" b="0" i="0" u="none" strike="noStrike" baseline="0">
                    <a:solidFill>
                      <a:srgbClr val="333333"/>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'Revenue required'!$E$139:$F$139</c:f>
            </c:numRef>
          </c:val>
          <c:extLst>
            <c:ext xmlns:c15="http://schemas.microsoft.com/office/drawing/2012/chart" uri="{02D57815-91ED-43cb-92C2-25804820EDAC}">
              <c15:filteredCategoryTitle>
                <c15:cat>
                  <c:multiLvlStrRef>
                    <c:extLst>
                      <c:ext uri="{02D57815-91ED-43cb-92C2-25804820EDAC}">
                        <c15:formulaRef>
                          <c15:sqref>'Revenue required'!$E$133:$F$133</c15:sqref>
                        </c15:formulaRef>
                      </c:ext>
                    </c:extLst>
                  </c:multiLvlStrRef>
                </c15:cat>
              </c15:filteredCategoryTitle>
            </c:ext>
            <c:ext xmlns:c16="http://schemas.microsoft.com/office/drawing/2014/chart" uri="{C3380CC4-5D6E-409C-BE32-E72D297353CC}">
              <c16:uniqueId val="{00000005-C50D-4875-83A4-FF5E96B036FD}"/>
            </c:ext>
          </c:extLst>
        </c:ser>
        <c:dLbls>
          <c:showLegendKey val="0"/>
          <c:showVal val="0"/>
          <c:showCatName val="0"/>
          <c:showSerName val="0"/>
          <c:showPercent val="0"/>
          <c:showBubbleSize val="0"/>
        </c:dLbls>
        <c:gapWidth val="25"/>
        <c:overlap val="100"/>
        <c:axId val="1350535439"/>
        <c:axId val="1"/>
      </c:barChart>
      <c:catAx>
        <c:axId val="1350535439"/>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0" vert="horz"/>
          <a:lstStyle/>
          <a:p>
            <a:pPr>
              <a:defRPr sz="1100" b="0" i="0" u="none" strike="noStrike" baseline="0">
                <a:solidFill>
                  <a:srgbClr val="333333"/>
                </a:solidFill>
                <a:latin typeface="Calibri"/>
                <a:ea typeface="Calibri"/>
                <a:cs typeface="Calibri"/>
              </a:defRPr>
            </a:pPr>
            <a:endParaRPr lang="en-US"/>
          </a:p>
        </c:txPr>
        <c:crossAx val="1"/>
        <c:crosses val="autoZero"/>
        <c:auto val="1"/>
        <c:lblAlgn val="ctr"/>
        <c:lblOffset val="100"/>
        <c:noMultiLvlLbl val="0"/>
      </c:catAx>
      <c:valAx>
        <c:axId val="1"/>
        <c:scaling>
          <c:orientation val="minMax"/>
        </c:scaling>
        <c:delete val="1"/>
        <c:axPos val="l"/>
        <c:majorGridlines>
          <c:spPr>
            <a:ln w="9525" cap="flat" cmpd="sng" algn="ctr">
              <a:solidFill>
                <a:schemeClr val="tx1">
                  <a:lumMod val="15000"/>
                  <a:lumOff val="85000"/>
                </a:schemeClr>
              </a:solidFill>
              <a:round/>
            </a:ln>
            <a:effectLst/>
          </c:spPr>
        </c:majorGridlines>
        <c:numFmt formatCode="_-* #\ ##0_-;\-* #\ ##0_-;_-* &quot;-&quot;??_-;_-@_-" sourceLinked="1"/>
        <c:majorTickMark val="out"/>
        <c:minorTickMark val="none"/>
        <c:tickLblPos val="nextTo"/>
        <c:crossAx val="1350535439"/>
        <c:crosses val="autoZero"/>
        <c:crossBetween val="between"/>
      </c:valAx>
      <c:spPr>
        <a:noFill/>
        <a:ln w="25400">
          <a:noFill/>
        </a:ln>
      </c:spPr>
    </c:plotArea>
    <c:plotVisOnly val="1"/>
    <c:dispBlanksAs val="gap"/>
    <c:showDLblsOverMax val="0"/>
  </c:chart>
  <c:spPr>
    <a:solidFill>
      <a:schemeClr val="bg1"/>
    </a:solidFill>
    <a:ln w="9525" cap="flat" cmpd="sng" algn="ctr">
      <a:noFill/>
      <a:round/>
    </a:ln>
    <a:effectLst/>
  </c:spPr>
  <c:txPr>
    <a:bodyPr/>
    <a:lstStyle/>
    <a:p>
      <a:pPr>
        <a:defRPr sz="11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charts/chart2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320" b="0" i="0" u="none" strike="noStrike" baseline="0">
                <a:solidFill>
                  <a:srgbClr val="333333"/>
                </a:solidFill>
                <a:latin typeface="Calibri"/>
                <a:ea typeface="Calibri"/>
                <a:cs typeface="Calibri"/>
              </a:defRPr>
            </a:pPr>
            <a:r>
              <a:rPr lang="en-ZA"/>
              <a:t>Budget funding: full budget: %s</a:t>
            </a:r>
          </a:p>
        </c:rich>
      </c:tx>
      <c:layout>
        <c:manualLayout>
          <c:xMode val="edge"/>
          <c:yMode val="edge"/>
          <c:x val="0"/>
          <c:y val="4.6276439709742163E-2"/>
        </c:manualLayout>
      </c:layout>
      <c:overlay val="0"/>
      <c:spPr>
        <a:noFill/>
        <a:ln w="25400">
          <a:noFill/>
        </a:ln>
      </c:spPr>
    </c:title>
    <c:autoTitleDeleted val="0"/>
    <c:plotArea>
      <c:layout/>
      <c:barChart>
        <c:barDir val="col"/>
        <c:grouping val="percentStacked"/>
        <c:varyColors val="0"/>
        <c:ser>
          <c:idx val="0"/>
          <c:order val="0"/>
          <c:tx>
            <c:strRef>
              <c:f>'Revenue required'!$G$134</c:f>
              <c:strCache>
                <c:ptCount val="1"/>
                <c:pt idx="0">
                  <c:v>Direct cost</c:v>
                </c:pt>
              </c:strCache>
            </c:strRef>
          </c:tx>
          <c:spPr>
            <a:solidFill>
              <a:schemeClr val="accent5"/>
            </a:solidFill>
            <a:ln>
              <a:solidFill>
                <a:schemeClr val="accent5"/>
              </a:solidFill>
            </a:ln>
            <a:effectLst/>
          </c:spPr>
          <c:invertIfNegative val="0"/>
          <c:dLbls>
            <c:spPr>
              <a:noFill/>
              <a:ln w="25400">
                <a:noFill/>
              </a:ln>
            </c:spPr>
            <c:txPr>
              <a:bodyPr wrap="square" lIns="38100" tIns="19050" rIns="38100" bIns="19050" anchor="ctr">
                <a:spAutoFit/>
              </a:bodyPr>
              <a:lstStyle/>
              <a:p>
                <a:pPr>
                  <a:defRPr sz="1100" b="0" i="0" u="none" strike="noStrike" baseline="0">
                    <a:solidFill>
                      <a:srgbClr val="333333"/>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'Revenue required'!$H$134:$I$134</c:f>
            </c:numRef>
          </c:val>
          <c:extLst>
            <c:ext xmlns:c15="http://schemas.microsoft.com/office/drawing/2012/chart" uri="{02D57815-91ED-43cb-92C2-25804820EDAC}">
              <c15:filteredCategoryTitle>
                <c15:cat>
                  <c:multiLvlStrRef>
                    <c:extLst>
                      <c:ext uri="{02D57815-91ED-43cb-92C2-25804820EDAC}">
                        <c15:formulaRef>
                          <c15:sqref>'Revenue required'!$H$133:$I$133</c15:sqref>
                        </c15:formulaRef>
                      </c:ext>
                    </c:extLst>
                  </c:multiLvlStrRef>
                </c15:cat>
              </c15:filteredCategoryTitle>
            </c:ext>
            <c:ext xmlns:c16="http://schemas.microsoft.com/office/drawing/2014/chart" uri="{C3380CC4-5D6E-409C-BE32-E72D297353CC}">
              <c16:uniqueId val="{00000000-1FF0-42BE-A248-8EEA1540BB78}"/>
            </c:ext>
          </c:extLst>
        </c:ser>
        <c:ser>
          <c:idx val="1"/>
          <c:order val="1"/>
          <c:tx>
            <c:strRef>
              <c:f>'Revenue required'!$G$135</c:f>
              <c:strCache>
                <c:ptCount val="1"/>
                <c:pt idx="0">
                  <c:v>Indirect cost</c:v>
                </c:pt>
              </c:strCache>
            </c:strRef>
          </c:tx>
          <c:spPr>
            <a:solidFill>
              <a:schemeClr val="accent5">
                <a:lumMod val="60000"/>
                <a:lumOff val="40000"/>
              </a:schemeClr>
            </a:solidFill>
            <a:ln>
              <a:solidFill>
                <a:schemeClr val="accent5">
                  <a:lumMod val="60000"/>
                  <a:lumOff val="40000"/>
                </a:schemeClr>
              </a:solidFill>
            </a:ln>
            <a:effectLst/>
          </c:spPr>
          <c:invertIfNegative val="0"/>
          <c:dLbls>
            <c:spPr>
              <a:noFill/>
              <a:ln w="25400">
                <a:noFill/>
              </a:ln>
            </c:spPr>
            <c:txPr>
              <a:bodyPr wrap="square" lIns="38100" tIns="19050" rIns="38100" bIns="19050" anchor="ctr">
                <a:spAutoFit/>
              </a:bodyPr>
              <a:lstStyle/>
              <a:p>
                <a:pPr>
                  <a:defRPr sz="1100" b="0" i="0" u="none" strike="noStrike" baseline="0">
                    <a:solidFill>
                      <a:srgbClr val="333333"/>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'Revenue required'!$H$135:$I$135</c:f>
            </c:numRef>
          </c:val>
          <c:extLst>
            <c:ext xmlns:c15="http://schemas.microsoft.com/office/drawing/2012/chart" uri="{02D57815-91ED-43cb-92C2-25804820EDAC}">
              <c15:filteredCategoryTitle>
                <c15:cat>
                  <c:multiLvlStrRef>
                    <c:extLst>
                      <c:ext uri="{02D57815-91ED-43cb-92C2-25804820EDAC}">
                        <c15:formulaRef>
                          <c15:sqref>'Revenue required'!$H$133:$I$133</c15:sqref>
                        </c15:formulaRef>
                      </c:ext>
                    </c:extLst>
                  </c:multiLvlStrRef>
                </c15:cat>
              </c15:filteredCategoryTitle>
            </c:ext>
            <c:ext xmlns:c16="http://schemas.microsoft.com/office/drawing/2014/chart" uri="{C3380CC4-5D6E-409C-BE32-E72D297353CC}">
              <c16:uniqueId val="{00000001-1FF0-42BE-A248-8EEA1540BB78}"/>
            </c:ext>
          </c:extLst>
        </c:ser>
        <c:ser>
          <c:idx val="2"/>
          <c:order val="2"/>
          <c:tx>
            <c:strRef>
              <c:f>'Revenue required'!$G$136</c:f>
              <c:strCache>
                <c:ptCount val="1"/>
              </c:strCache>
            </c:strRef>
          </c:tx>
          <c:spPr>
            <a:solidFill>
              <a:schemeClr val="accent6"/>
            </a:solidFill>
            <a:ln>
              <a:solidFill>
                <a:schemeClr val="accent6"/>
              </a:solidFill>
            </a:ln>
            <a:effectLst/>
          </c:spPr>
          <c:invertIfNegative val="0"/>
          <c:dLbls>
            <c:spPr>
              <a:noFill/>
              <a:ln w="25400">
                <a:noFill/>
              </a:ln>
            </c:spPr>
            <c:txPr>
              <a:bodyPr wrap="square" lIns="38100" tIns="19050" rIns="38100" bIns="19050" anchor="ctr">
                <a:spAutoFit/>
              </a:bodyPr>
              <a:lstStyle/>
              <a:p>
                <a:pPr>
                  <a:defRPr sz="1100" b="0" i="0" u="none" strike="noStrike" baseline="0">
                    <a:solidFill>
                      <a:srgbClr val="333333"/>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'Revenue required'!$H$136:$I$136</c:f>
            </c:numRef>
          </c:val>
          <c:extLst>
            <c:ext xmlns:c15="http://schemas.microsoft.com/office/drawing/2012/chart" uri="{02D57815-91ED-43cb-92C2-25804820EDAC}">
              <c15:filteredCategoryTitle>
                <c15:cat>
                  <c:multiLvlStrRef>
                    <c:extLst>
                      <c:ext uri="{02D57815-91ED-43cb-92C2-25804820EDAC}">
                        <c15:formulaRef>
                          <c15:sqref>'Revenue required'!$H$133:$I$133</c15:sqref>
                        </c15:formulaRef>
                      </c:ext>
                    </c:extLst>
                  </c:multiLvlStrRef>
                </c15:cat>
              </c15:filteredCategoryTitle>
            </c:ext>
            <c:ext xmlns:c16="http://schemas.microsoft.com/office/drawing/2014/chart" uri="{C3380CC4-5D6E-409C-BE32-E72D297353CC}">
              <c16:uniqueId val="{00000002-1FF0-42BE-A248-8EEA1540BB78}"/>
            </c:ext>
          </c:extLst>
        </c:ser>
        <c:ser>
          <c:idx val="4"/>
          <c:order val="3"/>
          <c:tx>
            <c:strRef>
              <c:f>'Revenue required'!$G$137</c:f>
              <c:strCache>
                <c:ptCount val="1"/>
                <c:pt idx="0">
                  <c:v>Tariff revenue</c:v>
                </c:pt>
              </c:strCache>
            </c:strRef>
          </c:tx>
          <c:spPr>
            <a:solidFill>
              <a:schemeClr val="accent3">
                <a:lumMod val="75000"/>
              </a:schemeClr>
            </a:solidFill>
            <a:ln>
              <a:solidFill>
                <a:schemeClr val="accent3">
                  <a:lumMod val="75000"/>
                </a:schemeClr>
              </a:solidFill>
            </a:ln>
            <a:effectLst/>
          </c:spPr>
          <c:invertIfNegative val="0"/>
          <c:dLbls>
            <c:spPr>
              <a:noFill/>
              <a:ln w="25400">
                <a:noFill/>
              </a:ln>
            </c:spPr>
            <c:txPr>
              <a:bodyPr wrap="square" lIns="38100" tIns="19050" rIns="38100" bIns="19050" anchor="ctr">
                <a:spAutoFit/>
              </a:bodyPr>
              <a:lstStyle/>
              <a:p>
                <a:pPr>
                  <a:defRPr sz="1100" b="0" i="0" u="none" strike="noStrike" baseline="0">
                    <a:solidFill>
                      <a:srgbClr val="333333"/>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'Revenue required'!$H$137:$I$137</c:f>
            </c:numRef>
          </c:val>
          <c:extLst>
            <c:ext xmlns:c15="http://schemas.microsoft.com/office/drawing/2012/chart" uri="{02D57815-91ED-43cb-92C2-25804820EDAC}">
              <c15:filteredCategoryTitle>
                <c15:cat>
                  <c:multiLvlStrRef>
                    <c:extLst>
                      <c:ext uri="{02D57815-91ED-43cb-92C2-25804820EDAC}">
                        <c15:formulaRef>
                          <c15:sqref>'Revenue required'!$H$133:$I$133</c15:sqref>
                        </c15:formulaRef>
                      </c:ext>
                    </c:extLst>
                  </c:multiLvlStrRef>
                </c15:cat>
              </c15:filteredCategoryTitle>
            </c:ext>
            <c:ext xmlns:c16="http://schemas.microsoft.com/office/drawing/2014/chart" uri="{C3380CC4-5D6E-409C-BE32-E72D297353CC}">
              <c16:uniqueId val="{00000003-1FF0-42BE-A248-8EEA1540BB78}"/>
            </c:ext>
          </c:extLst>
        </c:ser>
        <c:ser>
          <c:idx val="5"/>
          <c:order val="4"/>
          <c:tx>
            <c:strRef>
              <c:f>'Revenue required'!$G$138</c:f>
              <c:strCache>
                <c:ptCount val="1"/>
                <c:pt idx="0">
                  <c:v>Non-tariff revenue</c:v>
                </c:pt>
              </c:strCache>
            </c:strRef>
          </c:tx>
          <c:spPr>
            <a:solidFill>
              <a:schemeClr val="accent3"/>
            </a:solidFill>
            <a:ln>
              <a:solidFill>
                <a:schemeClr val="accent3"/>
              </a:solidFill>
            </a:ln>
            <a:effectLst/>
          </c:spPr>
          <c:invertIfNegative val="0"/>
          <c:dLbls>
            <c:spPr>
              <a:noFill/>
              <a:ln w="25400">
                <a:noFill/>
              </a:ln>
            </c:spPr>
            <c:txPr>
              <a:bodyPr wrap="square" lIns="38100" tIns="19050" rIns="38100" bIns="19050" anchor="ctr">
                <a:spAutoFit/>
              </a:bodyPr>
              <a:lstStyle/>
              <a:p>
                <a:pPr>
                  <a:defRPr sz="1100" b="0" i="0" u="none" strike="noStrike" baseline="0">
                    <a:solidFill>
                      <a:srgbClr val="333333"/>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'Revenue required'!$H$138:$I$138</c:f>
            </c:numRef>
          </c:val>
          <c:extLst>
            <c:ext xmlns:c15="http://schemas.microsoft.com/office/drawing/2012/chart" uri="{02D57815-91ED-43cb-92C2-25804820EDAC}">
              <c15:filteredCategoryTitle>
                <c15:cat>
                  <c:multiLvlStrRef>
                    <c:extLst>
                      <c:ext uri="{02D57815-91ED-43cb-92C2-25804820EDAC}">
                        <c15:formulaRef>
                          <c15:sqref>'Revenue required'!$H$133:$I$133</c15:sqref>
                        </c15:formulaRef>
                      </c:ext>
                    </c:extLst>
                  </c:multiLvlStrRef>
                </c15:cat>
              </c15:filteredCategoryTitle>
            </c:ext>
            <c:ext xmlns:c16="http://schemas.microsoft.com/office/drawing/2014/chart" uri="{C3380CC4-5D6E-409C-BE32-E72D297353CC}">
              <c16:uniqueId val="{00000004-1FF0-42BE-A248-8EEA1540BB78}"/>
            </c:ext>
          </c:extLst>
        </c:ser>
        <c:ser>
          <c:idx val="3"/>
          <c:order val="5"/>
          <c:tx>
            <c:strRef>
              <c:f>'Revenue required'!$G$139</c:f>
              <c:strCache>
                <c:ptCount val="1"/>
                <c:pt idx="0">
                  <c:v>Deficit</c:v>
                </c:pt>
              </c:strCache>
            </c:strRef>
          </c:tx>
          <c:spPr>
            <a:solidFill>
              <a:schemeClr val="accent2"/>
            </a:solidFill>
            <a:ln>
              <a:solidFill>
                <a:schemeClr val="accent2"/>
              </a:solidFill>
            </a:ln>
            <a:effectLst/>
          </c:spPr>
          <c:invertIfNegative val="0"/>
          <c:dLbls>
            <c:spPr>
              <a:noFill/>
              <a:ln w="25400">
                <a:noFill/>
              </a:ln>
            </c:spPr>
            <c:txPr>
              <a:bodyPr wrap="square" lIns="38100" tIns="19050" rIns="38100" bIns="19050" anchor="ctr">
                <a:spAutoFit/>
              </a:bodyPr>
              <a:lstStyle/>
              <a:p>
                <a:pPr>
                  <a:defRPr sz="1100" b="0" i="0" u="none" strike="noStrike" baseline="0">
                    <a:solidFill>
                      <a:srgbClr val="333333"/>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'Revenue required'!$H$139:$I$139</c:f>
            </c:numRef>
          </c:val>
          <c:extLst>
            <c:ext xmlns:c15="http://schemas.microsoft.com/office/drawing/2012/chart" uri="{02D57815-91ED-43cb-92C2-25804820EDAC}">
              <c15:filteredCategoryTitle>
                <c15:cat>
                  <c:multiLvlStrRef>
                    <c:extLst>
                      <c:ext uri="{02D57815-91ED-43cb-92C2-25804820EDAC}">
                        <c15:formulaRef>
                          <c15:sqref>'Revenue required'!$H$133:$I$133</c15:sqref>
                        </c15:formulaRef>
                      </c:ext>
                    </c:extLst>
                  </c:multiLvlStrRef>
                </c15:cat>
              </c15:filteredCategoryTitle>
            </c:ext>
            <c:ext xmlns:c16="http://schemas.microsoft.com/office/drawing/2014/chart" uri="{C3380CC4-5D6E-409C-BE32-E72D297353CC}">
              <c16:uniqueId val="{00000005-1FF0-42BE-A248-8EEA1540BB78}"/>
            </c:ext>
          </c:extLst>
        </c:ser>
        <c:dLbls>
          <c:showLegendKey val="0"/>
          <c:showVal val="0"/>
          <c:showCatName val="0"/>
          <c:showSerName val="0"/>
          <c:showPercent val="0"/>
          <c:showBubbleSize val="0"/>
        </c:dLbls>
        <c:gapWidth val="25"/>
        <c:overlap val="100"/>
        <c:axId val="1390182799"/>
        <c:axId val="1"/>
      </c:barChart>
      <c:catAx>
        <c:axId val="1390182799"/>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0" vert="horz"/>
          <a:lstStyle/>
          <a:p>
            <a:pPr>
              <a:defRPr sz="1100" b="0" i="0" u="none" strike="noStrike" baseline="0">
                <a:solidFill>
                  <a:srgbClr val="333333"/>
                </a:solidFill>
                <a:latin typeface="Calibri"/>
                <a:ea typeface="Calibri"/>
                <a:cs typeface="Calibri"/>
              </a:defRPr>
            </a:pPr>
            <a:endParaRPr lang="en-US"/>
          </a:p>
        </c:txPr>
        <c:crossAx val="1"/>
        <c:crosses val="autoZero"/>
        <c:auto val="1"/>
        <c:lblAlgn val="ctr"/>
        <c:lblOffset val="100"/>
        <c:noMultiLvlLbl val="0"/>
      </c:catAx>
      <c:valAx>
        <c:axId val="1"/>
        <c:scaling>
          <c:orientation val="minMax"/>
        </c:scaling>
        <c:delete val="1"/>
        <c:axPos val="l"/>
        <c:majorGridlines>
          <c:spPr>
            <a:ln w="9525" cap="flat" cmpd="sng" algn="ctr">
              <a:solidFill>
                <a:schemeClr val="tx1">
                  <a:lumMod val="15000"/>
                  <a:lumOff val="85000"/>
                </a:schemeClr>
              </a:solidFill>
              <a:round/>
            </a:ln>
            <a:effectLst/>
          </c:spPr>
        </c:majorGridlines>
        <c:numFmt formatCode="0%" sourceLinked="1"/>
        <c:majorTickMark val="out"/>
        <c:minorTickMark val="none"/>
        <c:tickLblPos val="nextTo"/>
        <c:crossAx val="1390182799"/>
        <c:crosses val="autoZero"/>
        <c:crossBetween val="between"/>
      </c:valAx>
      <c:spPr>
        <a:noFill/>
        <a:ln w="25400">
          <a:noFill/>
        </a:ln>
      </c:spPr>
    </c:plotArea>
    <c:plotVisOnly val="1"/>
    <c:dispBlanksAs val="gap"/>
    <c:showDLblsOverMax val="0"/>
  </c:chart>
  <c:spPr>
    <a:solidFill>
      <a:schemeClr val="bg1"/>
    </a:solidFill>
    <a:ln w="9525" cap="flat" cmpd="sng" algn="ctr">
      <a:noFill/>
      <a:round/>
    </a:ln>
    <a:effectLst/>
  </c:spPr>
  <c:txPr>
    <a:bodyPr/>
    <a:lstStyle/>
    <a:p>
      <a:pPr>
        <a:defRPr sz="11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charts/chart2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320" b="0" i="0" u="none" strike="noStrike" baseline="0">
                <a:solidFill>
                  <a:srgbClr val="333333"/>
                </a:solidFill>
                <a:latin typeface="Calibri"/>
                <a:ea typeface="Calibri"/>
                <a:cs typeface="Calibri"/>
              </a:defRPr>
            </a:pPr>
            <a:r>
              <a:rPr lang="en-ZA"/>
              <a:t>Budget funding: 'other' services: categories</a:t>
            </a:r>
          </a:p>
        </c:rich>
      </c:tx>
      <c:layout>
        <c:manualLayout>
          <c:xMode val="edge"/>
          <c:yMode val="edge"/>
          <c:x val="6.8346456692913379E-2"/>
          <c:y val="4.1609029640525708E-2"/>
        </c:manualLayout>
      </c:layout>
      <c:overlay val="0"/>
      <c:spPr>
        <a:noFill/>
        <a:ln w="25400">
          <a:noFill/>
        </a:ln>
      </c:spPr>
    </c:title>
    <c:autoTitleDeleted val="0"/>
    <c:plotArea>
      <c:layout/>
      <c:barChart>
        <c:barDir val="col"/>
        <c:grouping val="stacked"/>
        <c:varyColors val="0"/>
        <c:ser>
          <c:idx val="0"/>
          <c:order val="0"/>
          <c:tx>
            <c:strRef>
              <c:f>'Revenue required'!$D$144</c:f>
              <c:strCache>
                <c:ptCount val="1"/>
                <c:pt idx="0">
                  <c:v>Direct cost</c:v>
                </c:pt>
              </c:strCache>
            </c:strRef>
          </c:tx>
          <c:spPr>
            <a:solidFill>
              <a:schemeClr val="accent5"/>
            </a:solidFill>
            <a:ln>
              <a:solidFill>
                <a:schemeClr val="accent5"/>
              </a:solidFill>
            </a:ln>
            <a:effectLst/>
          </c:spPr>
          <c:invertIfNegative val="0"/>
          <c:dLbls>
            <c:spPr>
              <a:noFill/>
              <a:ln w="25400">
                <a:noFill/>
              </a:ln>
            </c:spPr>
            <c:txPr>
              <a:bodyPr wrap="square" lIns="38100" tIns="19050" rIns="38100" bIns="19050" anchor="ctr">
                <a:spAutoFit/>
              </a:bodyPr>
              <a:lstStyle/>
              <a:p>
                <a:pPr>
                  <a:defRPr sz="1100" b="0" i="0" u="none" strike="noStrike" baseline="0">
                    <a:solidFill>
                      <a:srgbClr val="333333"/>
                    </a:solidFill>
                    <a:latin typeface="Calibri"/>
                    <a:ea typeface="Calibri"/>
                    <a:cs typeface="Calibri"/>
                  </a:defRPr>
                </a:pPr>
                <a:endParaRPr lang="en-US"/>
              </a:p>
            </c:txPr>
            <c:dLblPos val="ct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val>
            <c:numRef>
              <c:f>'Revenue required'!$E$144:$F$144</c:f>
            </c:numRef>
          </c:val>
          <c:extLst>
            <c:ext xmlns:c15="http://schemas.microsoft.com/office/drawing/2012/chart" uri="{02D57815-91ED-43cb-92C2-25804820EDAC}">
              <c15:filteredCategoryTitle>
                <c15:cat>
                  <c:multiLvlStrRef>
                    <c:extLst>
                      <c:ext uri="{02D57815-91ED-43cb-92C2-25804820EDAC}">
                        <c15:formulaRef>
                          <c15:sqref>'Revenue required'!$E$143:$F$143</c15:sqref>
                        </c15:formulaRef>
                      </c:ext>
                    </c:extLst>
                  </c:multiLvlStrRef>
                </c15:cat>
              </c15:filteredCategoryTitle>
            </c:ext>
            <c:ext xmlns:c16="http://schemas.microsoft.com/office/drawing/2014/chart" uri="{C3380CC4-5D6E-409C-BE32-E72D297353CC}">
              <c16:uniqueId val="{00000000-418F-433C-8B32-A35D4B9613A3}"/>
            </c:ext>
          </c:extLst>
        </c:ser>
        <c:ser>
          <c:idx val="1"/>
          <c:order val="1"/>
          <c:tx>
            <c:strRef>
              <c:f>'Revenue required'!$D$145</c:f>
              <c:strCache>
                <c:ptCount val="1"/>
                <c:pt idx="0">
                  <c:v>Indirect cost</c:v>
                </c:pt>
              </c:strCache>
            </c:strRef>
          </c:tx>
          <c:spPr>
            <a:solidFill>
              <a:schemeClr val="accent5">
                <a:lumMod val="60000"/>
                <a:lumOff val="40000"/>
              </a:schemeClr>
            </a:solidFill>
            <a:ln>
              <a:solidFill>
                <a:schemeClr val="accent5">
                  <a:lumMod val="60000"/>
                  <a:lumOff val="40000"/>
                </a:schemeClr>
              </a:solidFill>
            </a:ln>
            <a:effectLst/>
          </c:spPr>
          <c:invertIfNegative val="0"/>
          <c:dLbls>
            <c:spPr>
              <a:noFill/>
              <a:ln w="25400">
                <a:noFill/>
              </a:ln>
            </c:spPr>
            <c:txPr>
              <a:bodyPr wrap="square" lIns="38100" tIns="19050" rIns="38100" bIns="19050" anchor="ctr">
                <a:spAutoFit/>
              </a:bodyPr>
              <a:lstStyle/>
              <a:p>
                <a:pPr>
                  <a:defRPr sz="1100" b="0" i="0" u="none" strike="noStrike" baseline="0">
                    <a:solidFill>
                      <a:srgbClr val="333333"/>
                    </a:solidFill>
                    <a:latin typeface="Calibri"/>
                    <a:ea typeface="Calibri"/>
                    <a:cs typeface="Calibri"/>
                  </a:defRPr>
                </a:pPr>
                <a:endParaRPr lang="en-US"/>
              </a:p>
            </c:txPr>
            <c:dLblPos val="ct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val>
            <c:numRef>
              <c:f>'Revenue required'!$E$145:$F$145</c:f>
            </c:numRef>
          </c:val>
          <c:extLst>
            <c:ext xmlns:c15="http://schemas.microsoft.com/office/drawing/2012/chart" uri="{02D57815-91ED-43cb-92C2-25804820EDAC}">
              <c15:filteredCategoryTitle>
                <c15:cat>
                  <c:multiLvlStrRef>
                    <c:extLst>
                      <c:ext uri="{02D57815-91ED-43cb-92C2-25804820EDAC}">
                        <c15:formulaRef>
                          <c15:sqref>'Revenue required'!$E$143:$F$143</c15:sqref>
                        </c15:formulaRef>
                      </c:ext>
                    </c:extLst>
                  </c:multiLvlStrRef>
                </c15:cat>
              </c15:filteredCategoryTitle>
            </c:ext>
            <c:ext xmlns:c16="http://schemas.microsoft.com/office/drawing/2014/chart" uri="{C3380CC4-5D6E-409C-BE32-E72D297353CC}">
              <c16:uniqueId val="{00000001-418F-433C-8B32-A35D4B9613A3}"/>
            </c:ext>
          </c:extLst>
        </c:ser>
        <c:ser>
          <c:idx val="2"/>
          <c:order val="2"/>
          <c:tx>
            <c:strRef>
              <c:f>'Revenue required'!$D$146</c:f>
              <c:strCache>
                <c:ptCount val="1"/>
              </c:strCache>
            </c:strRef>
          </c:tx>
          <c:spPr>
            <a:solidFill>
              <a:schemeClr val="accent6"/>
            </a:solidFill>
            <a:ln>
              <a:solidFill>
                <a:schemeClr val="accent6"/>
              </a:solidFill>
            </a:ln>
            <a:effectLst/>
          </c:spPr>
          <c:invertIfNegative val="0"/>
          <c:dLbls>
            <c:spPr>
              <a:noFill/>
              <a:ln w="25400">
                <a:noFill/>
              </a:ln>
            </c:spPr>
            <c:txPr>
              <a:bodyPr wrap="square" lIns="38100" tIns="19050" rIns="38100" bIns="19050" anchor="ctr">
                <a:spAutoFit/>
              </a:bodyPr>
              <a:lstStyle/>
              <a:p>
                <a:pPr>
                  <a:defRPr sz="1100" b="0" i="0" u="none" strike="noStrike" baseline="0">
                    <a:solidFill>
                      <a:srgbClr val="333333"/>
                    </a:solidFill>
                    <a:latin typeface="Calibri"/>
                    <a:ea typeface="Calibri"/>
                    <a:cs typeface="Calibri"/>
                  </a:defRPr>
                </a:pPr>
                <a:endParaRPr lang="en-US"/>
              </a:p>
            </c:txPr>
            <c:dLblPos val="ct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val>
            <c:numRef>
              <c:f>'Revenue required'!$E$146:$F$146</c:f>
            </c:numRef>
          </c:val>
          <c:extLst>
            <c:ext xmlns:c15="http://schemas.microsoft.com/office/drawing/2012/chart" uri="{02D57815-91ED-43cb-92C2-25804820EDAC}">
              <c15:filteredCategoryTitle>
                <c15:cat>
                  <c:multiLvlStrRef>
                    <c:extLst>
                      <c:ext uri="{02D57815-91ED-43cb-92C2-25804820EDAC}">
                        <c15:formulaRef>
                          <c15:sqref>'Revenue required'!$E$143:$F$143</c15:sqref>
                        </c15:formulaRef>
                      </c:ext>
                    </c:extLst>
                  </c:multiLvlStrRef>
                </c15:cat>
              </c15:filteredCategoryTitle>
            </c:ext>
            <c:ext xmlns:c16="http://schemas.microsoft.com/office/drawing/2014/chart" uri="{C3380CC4-5D6E-409C-BE32-E72D297353CC}">
              <c16:uniqueId val="{00000002-418F-433C-8B32-A35D4B9613A3}"/>
            </c:ext>
          </c:extLst>
        </c:ser>
        <c:ser>
          <c:idx val="4"/>
          <c:order val="3"/>
          <c:tx>
            <c:strRef>
              <c:f>'Revenue required'!$D$147</c:f>
              <c:strCache>
                <c:ptCount val="1"/>
              </c:strCache>
            </c:strRef>
          </c:tx>
          <c:spPr>
            <a:solidFill>
              <a:schemeClr val="accent3">
                <a:lumMod val="75000"/>
              </a:schemeClr>
            </a:solidFill>
            <a:ln>
              <a:solidFill>
                <a:schemeClr val="accent3">
                  <a:lumMod val="75000"/>
                </a:schemeClr>
              </a:solidFill>
            </a:ln>
            <a:effectLst/>
          </c:spPr>
          <c:invertIfNegative val="0"/>
          <c:dLbls>
            <c:spPr>
              <a:noFill/>
              <a:ln w="25400">
                <a:noFill/>
              </a:ln>
            </c:spPr>
            <c:txPr>
              <a:bodyPr wrap="square" lIns="38100" tIns="19050" rIns="38100" bIns="19050" anchor="ctr">
                <a:spAutoFit/>
              </a:bodyPr>
              <a:lstStyle/>
              <a:p>
                <a:pPr>
                  <a:defRPr sz="1100" b="0" i="0" u="none" strike="noStrike" baseline="0">
                    <a:solidFill>
                      <a:srgbClr val="333333"/>
                    </a:solidFill>
                    <a:latin typeface="Calibri"/>
                    <a:ea typeface="Calibri"/>
                    <a:cs typeface="Calibri"/>
                  </a:defRPr>
                </a:pPr>
                <a:endParaRPr lang="en-US"/>
              </a:p>
            </c:txPr>
            <c:dLblPos val="ct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val>
            <c:numRef>
              <c:f>'Revenue required'!$E$147:$F$147</c:f>
            </c:numRef>
          </c:val>
          <c:extLst>
            <c:ext xmlns:c15="http://schemas.microsoft.com/office/drawing/2012/chart" uri="{02D57815-91ED-43cb-92C2-25804820EDAC}">
              <c15:filteredCategoryTitle>
                <c15:cat>
                  <c:multiLvlStrRef>
                    <c:extLst>
                      <c:ext uri="{02D57815-91ED-43cb-92C2-25804820EDAC}">
                        <c15:formulaRef>
                          <c15:sqref>'Revenue required'!$E$143:$F$143</c15:sqref>
                        </c15:formulaRef>
                      </c:ext>
                    </c:extLst>
                  </c:multiLvlStrRef>
                </c15:cat>
              </c15:filteredCategoryTitle>
            </c:ext>
            <c:ext xmlns:c16="http://schemas.microsoft.com/office/drawing/2014/chart" uri="{C3380CC4-5D6E-409C-BE32-E72D297353CC}">
              <c16:uniqueId val="{00000003-418F-433C-8B32-A35D4B9613A3}"/>
            </c:ext>
          </c:extLst>
        </c:ser>
        <c:ser>
          <c:idx val="5"/>
          <c:order val="4"/>
          <c:tx>
            <c:strRef>
              <c:f>'Revenue required'!$D$148</c:f>
              <c:strCache>
                <c:ptCount val="1"/>
                <c:pt idx="0">
                  <c:v>Non-tariff revenue</c:v>
                </c:pt>
              </c:strCache>
            </c:strRef>
          </c:tx>
          <c:spPr>
            <a:solidFill>
              <a:schemeClr val="accent3"/>
            </a:solidFill>
            <a:ln>
              <a:solidFill>
                <a:schemeClr val="accent3"/>
              </a:solidFill>
            </a:ln>
            <a:effectLst/>
          </c:spPr>
          <c:invertIfNegative val="0"/>
          <c:dLbls>
            <c:spPr>
              <a:noFill/>
              <a:ln w="25400">
                <a:noFill/>
              </a:ln>
            </c:spPr>
            <c:txPr>
              <a:bodyPr wrap="square" lIns="38100" tIns="19050" rIns="38100" bIns="19050" anchor="ctr">
                <a:spAutoFit/>
              </a:bodyPr>
              <a:lstStyle/>
              <a:p>
                <a:pPr>
                  <a:defRPr sz="1100" b="0" i="0" u="none" strike="noStrike" baseline="0">
                    <a:solidFill>
                      <a:srgbClr val="333333"/>
                    </a:solidFill>
                    <a:latin typeface="Calibri"/>
                    <a:ea typeface="Calibri"/>
                    <a:cs typeface="Calibri"/>
                  </a:defRPr>
                </a:pPr>
                <a:endParaRPr lang="en-US"/>
              </a:p>
            </c:txPr>
            <c:dLblPos val="ct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val>
            <c:numRef>
              <c:f>'Revenue required'!$E$148:$F$148</c:f>
            </c:numRef>
          </c:val>
          <c:extLst>
            <c:ext xmlns:c15="http://schemas.microsoft.com/office/drawing/2012/chart" uri="{02D57815-91ED-43cb-92C2-25804820EDAC}">
              <c15:filteredCategoryTitle>
                <c15:cat>
                  <c:multiLvlStrRef>
                    <c:extLst>
                      <c:ext uri="{02D57815-91ED-43cb-92C2-25804820EDAC}">
                        <c15:formulaRef>
                          <c15:sqref>'Revenue required'!$E$143:$F$143</c15:sqref>
                        </c15:formulaRef>
                      </c:ext>
                    </c:extLst>
                  </c:multiLvlStrRef>
                </c15:cat>
              </c15:filteredCategoryTitle>
            </c:ext>
            <c:ext xmlns:c16="http://schemas.microsoft.com/office/drawing/2014/chart" uri="{C3380CC4-5D6E-409C-BE32-E72D297353CC}">
              <c16:uniqueId val="{00000004-418F-433C-8B32-A35D4B9613A3}"/>
            </c:ext>
          </c:extLst>
        </c:ser>
        <c:ser>
          <c:idx val="3"/>
          <c:order val="5"/>
          <c:tx>
            <c:strRef>
              <c:f>'Revenue required'!$D$149</c:f>
              <c:strCache>
                <c:ptCount val="1"/>
                <c:pt idx="0">
                  <c:v>Deficit</c:v>
                </c:pt>
              </c:strCache>
            </c:strRef>
          </c:tx>
          <c:spPr>
            <a:solidFill>
              <a:schemeClr val="accent2"/>
            </a:solidFill>
            <a:ln>
              <a:solidFill>
                <a:schemeClr val="accent2"/>
              </a:solidFill>
            </a:ln>
            <a:effectLst/>
          </c:spPr>
          <c:invertIfNegative val="0"/>
          <c:dLbls>
            <c:spPr>
              <a:noFill/>
              <a:ln w="25400">
                <a:noFill/>
              </a:ln>
            </c:spPr>
            <c:txPr>
              <a:bodyPr wrap="square" lIns="38100" tIns="19050" rIns="38100" bIns="19050" anchor="ctr">
                <a:spAutoFit/>
              </a:bodyPr>
              <a:lstStyle/>
              <a:p>
                <a:pPr>
                  <a:defRPr sz="1100" b="0" i="0" u="none" strike="noStrike" baseline="0">
                    <a:solidFill>
                      <a:srgbClr val="333333"/>
                    </a:solidFill>
                    <a:latin typeface="Calibri"/>
                    <a:ea typeface="Calibri"/>
                    <a:cs typeface="Calibri"/>
                  </a:defRPr>
                </a:pPr>
                <a:endParaRPr lang="en-US"/>
              </a:p>
            </c:txPr>
            <c:dLblPos val="ct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val>
            <c:numRef>
              <c:f>'Revenue required'!$E$149:$F$149</c:f>
            </c:numRef>
          </c:val>
          <c:extLst>
            <c:ext xmlns:c15="http://schemas.microsoft.com/office/drawing/2012/chart" uri="{02D57815-91ED-43cb-92C2-25804820EDAC}">
              <c15:filteredCategoryTitle>
                <c15:cat>
                  <c:multiLvlStrRef>
                    <c:extLst>
                      <c:ext uri="{02D57815-91ED-43cb-92C2-25804820EDAC}">
                        <c15:formulaRef>
                          <c15:sqref>'Revenue required'!$E$143:$F$143</c15:sqref>
                        </c15:formulaRef>
                      </c:ext>
                    </c:extLst>
                  </c:multiLvlStrRef>
                </c15:cat>
              </c15:filteredCategoryTitle>
            </c:ext>
            <c:ext xmlns:c16="http://schemas.microsoft.com/office/drawing/2014/chart" uri="{C3380CC4-5D6E-409C-BE32-E72D297353CC}">
              <c16:uniqueId val="{00000005-418F-433C-8B32-A35D4B9613A3}"/>
            </c:ext>
          </c:extLst>
        </c:ser>
        <c:dLbls>
          <c:showLegendKey val="0"/>
          <c:showVal val="0"/>
          <c:showCatName val="0"/>
          <c:showSerName val="0"/>
          <c:showPercent val="0"/>
          <c:showBubbleSize val="0"/>
        </c:dLbls>
        <c:gapWidth val="25"/>
        <c:overlap val="100"/>
        <c:axId val="1390193359"/>
        <c:axId val="1"/>
      </c:barChart>
      <c:catAx>
        <c:axId val="1390193359"/>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0" vert="horz"/>
          <a:lstStyle/>
          <a:p>
            <a:pPr>
              <a:defRPr sz="1100" b="0" i="0" u="none" strike="noStrike" baseline="0">
                <a:solidFill>
                  <a:srgbClr val="333333"/>
                </a:solidFill>
                <a:latin typeface="Calibri"/>
                <a:ea typeface="Calibri"/>
                <a:cs typeface="Calibri"/>
              </a:defRPr>
            </a:pPr>
            <a:endParaRPr lang="en-US"/>
          </a:p>
        </c:txPr>
        <c:crossAx val="1"/>
        <c:crosses val="autoZero"/>
        <c:auto val="1"/>
        <c:lblAlgn val="ctr"/>
        <c:lblOffset val="100"/>
        <c:noMultiLvlLbl val="0"/>
      </c:catAx>
      <c:valAx>
        <c:axId val="1"/>
        <c:scaling>
          <c:orientation val="minMax"/>
        </c:scaling>
        <c:delete val="1"/>
        <c:axPos val="l"/>
        <c:majorGridlines>
          <c:spPr>
            <a:ln w="9525" cap="flat" cmpd="sng" algn="ctr">
              <a:solidFill>
                <a:schemeClr val="tx1">
                  <a:lumMod val="15000"/>
                  <a:lumOff val="85000"/>
                </a:schemeClr>
              </a:solidFill>
              <a:round/>
            </a:ln>
            <a:effectLst/>
          </c:spPr>
        </c:majorGridlines>
        <c:numFmt formatCode="_-* #\ ##0_-;\-* #\ ##0_-;_-* &quot;-&quot;??_-;_-@_-" sourceLinked="1"/>
        <c:majorTickMark val="out"/>
        <c:minorTickMark val="none"/>
        <c:tickLblPos val="nextTo"/>
        <c:crossAx val="1390193359"/>
        <c:crosses val="autoZero"/>
        <c:crossBetween val="between"/>
      </c:valAx>
    </c:plotArea>
    <c:plotVisOnly val="1"/>
    <c:dispBlanksAs val="gap"/>
    <c:showDLblsOverMax val="0"/>
  </c:chart>
  <c:spPr>
    <a:solidFill>
      <a:schemeClr val="bg1"/>
    </a:solidFill>
    <a:ln w="9525" cap="flat" cmpd="sng" algn="ctr">
      <a:noFill/>
      <a:round/>
    </a:ln>
    <a:effectLst/>
  </c:spPr>
  <c:txPr>
    <a:bodyPr/>
    <a:lstStyle/>
    <a:p>
      <a:pPr>
        <a:defRPr sz="11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charts/chart3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320" b="0" i="0" u="none" strike="noStrike" baseline="0">
                <a:solidFill>
                  <a:srgbClr val="333333"/>
                </a:solidFill>
                <a:latin typeface="Calibri"/>
                <a:ea typeface="Calibri"/>
                <a:cs typeface="Calibri"/>
              </a:defRPr>
            </a:pPr>
            <a:r>
              <a:rPr lang="en-ZA"/>
              <a:t>Budget funding: 'other' services: R'000</a:t>
            </a:r>
          </a:p>
        </c:rich>
      </c:tx>
      <c:layout>
        <c:manualLayout>
          <c:xMode val="edge"/>
          <c:yMode val="edge"/>
          <c:x val="6.4499707320757563E-2"/>
          <c:y val="3.2407487525597758E-2"/>
        </c:manualLayout>
      </c:layout>
      <c:overlay val="0"/>
      <c:spPr>
        <a:noFill/>
        <a:ln w="25400">
          <a:noFill/>
        </a:ln>
      </c:spPr>
    </c:title>
    <c:autoTitleDeleted val="0"/>
    <c:plotArea>
      <c:layout/>
      <c:barChart>
        <c:barDir val="col"/>
        <c:grouping val="stacked"/>
        <c:varyColors val="0"/>
        <c:ser>
          <c:idx val="0"/>
          <c:order val="0"/>
          <c:tx>
            <c:strRef>
              <c:f>'Revenue required'!$D$144</c:f>
              <c:strCache>
                <c:ptCount val="1"/>
                <c:pt idx="0">
                  <c:v>Direct cost</c:v>
                </c:pt>
              </c:strCache>
            </c:strRef>
          </c:tx>
          <c:spPr>
            <a:solidFill>
              <a:schemeClr val="accent5"/>
            </a:solidFill>
            <a:ln>
              <a:solidFill>
                <a:schemeClr val="accent5"/>
              </a:solidFill>
            </a:ln>
            <a:effectLst/>
          </c:spPr>
          <c:invertIfNegative val="0"/>
          <c:dLbls>
            <c:spPr>
              <a:noFill/>
              <a:ln w="25400">
                <a:noFill/>
              </a:ln>
            </c:spPr>
            <c:txPr>
              <a:bodyPr wrap="square" lIns="38100" tIns="19050" rIns="38100" bIns="19050" anchor="ctr">
                <a:spAutoFit/>
              </a:bodyPr>
              <a:lstStyle/>
              <a:p>
                <a:pPr>
                  <a:defRPr sz="1100" b="0" i="0" u="none" strike="noStrike" baseline="0">
                    <a:solidFill>
                      <a:srgbClr val="333333"/>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'Revenue required'!$E$144:$F$144</c:f>
            </c:numRef>
          </c:val>
          <c:extLst>
            <c:ext xmlns:c15="http://schemas.microsoft.com/office/drawing/2012/chart" uri="{02D57815-91ED-43cb-92C2-25804820EDAC}">
              <c15:filteredCategoryTitle>
                <c15:cat>
                  <c:multiLvlStrRef>
                    <c:extLst>
                      <c:ext uri="{02D57815-91ED-43cb-92C2-25804820EDAC}">
                        <c15:formulaRef>
                          <c15:sqref>'Revenue required'!$E$143:$F$143</c15:sqref>
                        </c15:formulaRef>
                      </c:ext>
                    </c:extLst>
                  </c:multiLvlStrRef>
                </c15:cat>
              </c15:filteredCategoryTitle>
            </c:ext>
            <c:ext xmlns:c16="http://schemas.microsoft.com/office/drawing/2014/chart" uri="{C3380CC4-5D6E-409C-BE32-E72D297353CC}">
              <c16:uniqueId val="{00000000-61BD-4554-8F7D-9D991B4BCFA5}"/>
            </c:ext>
          </c:extLst>
        </c:ser>
        <c:ser>
          <c:idx val="1"/>
          <c:order val="1"/>
          <c:tx>
            <c:strRef>
              <c:f>'Revenue required'!$D$145</c:f>
              <c:strCache>
                <c:ptCount val="1"/>
                <c:pt idx="0">
                  <c:v>Indirect cost</c:v>
                </c:pt>
              </c:strCache>
            </c:strRef>
          </c:tx>
          <c:spPr>
            <a:solidFill>
              <a:schemeClr val="accent5">
                <a:lumMod val="60000"/>
                <a:lumOff val="40000"/>
              </a:schemeClr>
            </a:solidFill>
            <a:ln>
              <a:solidFill>
                <a:schemeClr val="accent5">
                  <a:lumMod val="60000"/>
                  <a:lumOff val="40000"/>
                </a:schemeClr>
              </a:solidFill>
            </a:ln>
            <a:effectLst/>
          </c:spPr>
          <c:invertIfNegative val="0"/>
          <c:dLbls>
            <c:spPr>
              <a:noFill/>
              <a:ln w="25400">
                <a:noFill/>
              </a:ln>
            </c:spPr>
            <c:txPr>
              <a:bodyPr wrap="square" lIns="38100" tIns="19050" rIns="38100" bIns="19050" anchor="ctr">
                <a:spAutoFit/>
              </a:bodyPr>
              <a:lstStyle/>
              <a:p>
                <a:pPr>
                  <a:defRPr sz="1100" b="0" i="0" u="none" strike="noStrike" baseline="0">
                    <a:solidFill>
                      <a:srgbClr val="333333"/>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'Revenue required'!$E$145:$F$145</c:f>
            </c:numRef>
          </c:val>
          <c:extLst>
            <c:ext xmlns:c15="http://schemas.microsoft.com/office/drawing/2012/chart" uri="{02D57815-91ED-43cb-92C2-25804820EDAC}">
              <c15:filteredCategoryTitle>
                <c15:cat>
                  <c:multiLvlStrRef>
                    <c:extLst>
                      <c:ext uri="{02D57815-91ED-43cb-92C2-25804820EDAC}">
                        <c15:formulaRef>
                          <c15:sqref>'Revenue required'!$E$143:$F$143</c15:sqref>
                        </c15:formulaRef>
                      </c:ext>
                    </c:extLst>
                  </c:multiLvlStrRef>
                </c15:cat>
              </c15:filteredCategoryTitle>
            </c:ext>
            <c:ext xmlns:c16="http://schemas.microsoft.com/office/drawing/2014/chart" uri="{C3380CC4-5D6E-409C-BE32-E72D297353CC}">
              <c16:uniqueId val="{00000001-61BD-4554-8F7D-9D991B4BCFA5}"/>
            </c:ext>
          </c:extLst>
        </c:ser>
        <c:ser>
          <c:idx val="2"/>
          <c:order val="2"/>
          <c:tx>
            <c:strRef>
              <c:f>'Revenue required'!$D$146</c:f>
              <c:strCache>
                <c:ptCount val="1"/>
              </c:strCache>
            </c:strRef>
          </c:tx>
          <c:spPr>
            <a:solidFill>
              <a:schemeClr val="accent6"/>
            </a:solidFill>
            <a:ln>
              <a:solidFill>
                <a:schemeClr val="accent6"/>
              </a:solidFill>
            </a:ln>
            <a:effectLst/>
          </c:spPr>
          <c:invertIfNegative val="0"/>
          <c:dLbls>
            <c:spPr>
              <a:noFill/>
              <a:ln w="25400">
                <a:noFill/>
              </a:ln>
            </c:spPr>
            <c:txPr>
              <a:bodyPr wrap="square" lIns="38100" tIns="19050" rIns="38100" bIns="19050" anchor="ctr">
                <a:spAutoFit/>
              </a:bodyPr>
              <a:lstStyle/>
              <a:p>
                <a:pPr>
                  <a:defRPr sz="1100" b="0" i="0" u="none" strike="noStrike" baseline="0">
                    <a:solidFill>
                      <a:srgbClr val="333333"/>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'Revenue required'!$E$146:$F$146</c:f>
            </c:numRef>
          </c:val>
          <c:extLst>
            <c:ext xmlns:c15="http://schemas.microsoft.com/office/drawing/2012/chart" uri="{02D57815-91ED-43cb-92C2-25804820EDAC}">
              <c15:filteredCategoryTitle>
                <c15:cat>
                  <c:multiLvlStrRef>
                    <c:extLst>
                      <c:ext uri="{02D57815-91ED-43cb-92C2-25804820EDAC}">
                        <c15:formulaRef>
                          <c15:sqref>'Revenue required'!$E$143:$F$143</c15:sqref>
                        </c15:formulaRef>
                      </c:ext>
                    </c:extLst>
                  </c:multiLvlStrRef>
                </c15:cat>
              </c15:filteredCategoryTitle>
            </c:ext>
            <c:ext xmlns:c16="http://schemas.microsoft.com/office/drawing/2014/chart" uri="{C3380CC4-5D6E-409C-BE32-E72D297353CC}">
              <c16:uniqueId val="{00000002-61BD-4554-8F7D-9D991B4BCFA5}"/>
            </c:ext>
          </c:extLst>
        </c:ser>
        <c:ser>
          <c:idx val="4"/>
          <c:order val="3"/>
          <c:tx>
            <c:strRef>
              <c:f>'Revenue required'!$D$147</c:f>
              <c:strCache>
                <c:ptCount val="1"/>
              </c:strCache>
            </c:strRef>
          </c:tx>
          <c:spPr>
            <a:solidFill>
              <a:schemeClr val="accent3">
                <a:lumMod val="75000"/>
              </a:schemeClr>
            </a:solidFill>
            <a:ln>
              <a:solidFill>
                <a:schemeClr val="accent3">
                  <a:lumMod val="75000"/>
                </a:schemeClr>
              </a:solidFill>
            </a:ln>
            <a:effectLst/>
          </c:spPr>
          <c:invertIfNegative val="0"/>
          <c:dLbls>
            <c:spPr>
              <a:noFill/>
              <a:ln w="25400">
                <a:noFill/>
              </a:ln>
            </c:spPr>
            <c:txPr>
              <a:bodyPr wrap="square" lIns="38100" tIns="19050" rIns="38100" bIns="19050" anchor="ctr">
                <a:spAutoFit/>
              </a:bodyPr>
              <a:lstStyle/>
              <a:p>
                <a:pPr>
                  <a:defRPr sz="1100" b="0" i="0" u="none" strike="noStrike" baseline="0">
                    <a:solidFill>
                      <a:srgbClr val="333333"/>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'Revenue required'!$E$147:$F$147</c:f>
            </c:numRef>
          </c:val>
          <c:extLst>
            <c:ext xmlns:c15="http://schemas.microsoft.com/office/drawing/2012/chart" uri="{02D57815-91ED-43cb-92C2-25804820EDAC}">
              <c15:filteredCategoryTitle>
                <c15:cat>
                  <c:multiLvlStrRef>
                    <c:extLst>
                      <c:ext uri="{02D57815-91ED-43cb-92C2-25804820EDAC}">
                        <c15:formulaRef>
                          <c15:sqref>'Revenue required'!$E$143:$F$143</c15:sqref>
                        </c15:formulaRef>
                      </c:ext>
                    </c:extLst>
                  </c:multiLvlStrRef>
                </c15:cat>
              </c15:filteredCategoryTitle>
            </c:ext>
            <c:ext xmlns:c16="http://schemas.microsoft.com/office/drawing/2014/chart" uri="{C3380CC4-5D6E-409C-BE32-E72D297353CC}">
              <c16:uniqueId val="{00000003-61BD-4554-8F7D-9D991B4BCFA5}"/>
            </c:ext>
          </c:extLst>
        </c:ser>
        <c:ser>
          <c:idx val="5"/>
          <c:order val="4"/>
          <c:tx>
            <c:strRef>
              <c:f>'Revenue required'!$D$148</c:f>
              <c:strCache>
                <c:ptCount val="1"/>
                <c:pt idx="0">
                  <c:v>Non-tariff revenue</c:v>
                </c:pt>
              </c:strCache>
            </c:strRef>
          </c:tx>
          <c:spPr>
            <a:solidFill>
              <a:schemeClr val="accent3"/>
            </a:solidFill>
            <a:ln>
              <a:solidFill>
                <a:schemeClr val="accent3"/>
              </a:solidFill>
            </a:ln>
            <a:effectLst/>
          </c:spPr>
          <c:invertIfNegative val="0"/>
          <c:dLbls>
            <c:spPr>
              <a:noFill/>
              <a:ln w="25400">
                <a:noFill/>
              </a:ln>
            </c:spPr>
            <c:txPr>
              <a:bodyPr wrap="square" lIns="38100" tIns="19050" rIns="38100" bIns="19050" anchor="ctr">
                <a:spAutoFit/>
              </a:bodyPr>
              <a:lstStyle/>
              <a:p>
                <a:pPr>
                  <a:defRPr sz="1100" b="0" i="0" u="none" strike="noStrike" baseline="0">
                    <a:solidFill>
                      <a:srgbClr val="333333"/>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'Revenue required'!$E$148:$F$148</c:f>
            </c:numRef>
          </c:val>
          <c:extLst>
            <c:ext xmlns:c15="http://schemas.microsoft.com/office/drawing/2012/chart" uri="{02D57815-91ED-43cb-92C2-25804820EDAC}">
              <c15:filteredCategoryTitle>
                <c15:cat>
                  <c:multiLvlStrRef>
                    <c:extLst>
                      <c:ext uri="{02D57815-91ED-43cb-92C2-25804820EDAC}">
                        <c15:formulaRef>
                          <c15:sqref>'Revenue required'!$E$143:$F$143</c15:sqref>
                        </c15:formulaRef>
                      </c:ext>
                    </c:extLst>
                  </c:multiLvlStrRef>
                </c15:cat>
              </c15:filteredCategoryTitle>
            </c:ext>
            <c:ext xmlns:c16="http://schemas.microsoft.com/office/drawing/2014/chart" uri="{C3380CC4-5D6E-409C-BE32-E72D297353CC}">
              <c16:uniqueId val="{00000004-61BD-4554-8F7D-9D991B4BCFA5}"/>
            </c:ext>
          </c:extLst>
        </c:ser>
        <c:ser>
          <c:idx val="3"/>
          <c:order val="5"/>
          <c:tx>
            <c:strRef>
              <c:f>'Revenue required'!$D$149</c:f>
              <c:strCache>
                <c:ptCount val="1"/>
                <c:pt idx="0">
                  <c:v>Deficit</c:v>
                </c:pt>
              </c:strCache>
            </c:strRef>
          </c:tx>
          <c:spPr>
            <a:solidFill>
              <a:schemeClr val="accent2"/>
            </a:solidFill>
            <a:ln>
              <a:solidFill>
                <a:schemeClr val="accent2"/>
              </a:solidFill>
            </a:ln>
            <a:effectLst/>
          </c:spPr>
          <c:invertIfNegative val="0"/>
          <c:dLbls>
            <c:spPr>
              <a:noFill/>
              <a:ln w="25400">
                <a:noFill/>
              </a:ln>
            </c:spPr>
            <c:txPr>
              <a:bodyPr wrap="square" lIns="38100" tIns="19050" rIns="38100" bIns="19050" anchor="ctr">
                <a:spAutoFit/>
              </a:bodyPr>
              <a:lstStyle/>
              <a:p>
                <a:pPr>
                  <a:defRPr sz="1100" b="0" i="0" u="none" strike="noStrike" baseline="0">
                    <a:solidFill>
                      <a:srgbClr val="333333"/>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'Revenue required'!$E$149:$F$149</c:f>
            </c:numRef>
          </c:val>
          <c:extLst>
            <c:ext xmlns:c15="http://schemas.microsoft.com/office/drawing/2012/chart" uri="{02D57815-91ED-43cb-92C2-25804820EDAC}">
              <c15:filteredCategoryTitle>
                <c15:cat>
                  <c:multiLvlStrRef>
                    <c:extLst>
                      <c:ext uri="{02D57815-91ED-43cb-92C2-25804820EDAC}">
                        <c15:formulaRef>
                          <c15:sqref>'Revenue required'!$E$143:$F$143</c15:sqref>
                        </c15:formulaRef>
                      </c:ext>
                    </c:extLst>
                  </c:multiLvlStrRef>
                </c15:cat>
              </c15:filteredCategoryTitle>
            </c:ext>
            <c:ext xmlns:c16="http://schemas.microsoft.com/office/drawing/2014/chart" uri="{C3380CC4-5D6E-409C-BE32-E72D297353CC}">
              <c16:uniqueId val="{00000005-61BD-4554-8F7D-9D991B4BCFA5}"/>
            </c:ext>
          </c:extLst>
        </c:ser>
        <c:dLbls>
          <c:showLegendKey val="0"/>
          <c:showVal val="0"/>
          <c:showCatName val="0"/>
          <c:showSerName val="0"/>
          <c:showPercent val="0"/>
          <c:showBubbleSize val="0"/>
        </c:dLbls>
        <c:gapWidth val="25"/>
        <c:overlap val="100"/>
        <c:axId val="1390192879"/>
        <c:axId val="1"/>
      </c:barChart>
      <c:catAx>
        <c:axId val="1390192879"/>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0" vert="horz"/>
          <a:lstStyle/>
          <a:p>
            <a:pPr>
              <a:defRPr sz="1100" b="0" i="0" u="none" strike="noStrike" baseline="0">
                <a:solidFill>
                  <a:srgbClr val="333333"/>
                </a:solidFill>
                <a:latin typeface="Calibri"/>
                <a:ea typeface="Calibri"/>
                <a:cs typeface="Calibri"/>
              </a:defRPr>
            </a:pPr>
            <a:endParaRPr lang="en-US"/>
          </a:p>
        </c:txPr>
        <c:crossAx val="1"/>
        <c:crosses val="autoZero"/>
        <c:auto val="1"/>
        <c:lblAlgn val="ctr"/>
        <c:lblOffset val="100"/>
        <c:noMultiLvlLbl val="0"/>
      </c:catAx>
      <c:valAx>
        <c:axId val="1"/>
        <c:scaling>
          <c:orientation val="minMax"/>
        </c:scaling>
        <c:delete val="1"/>
        <c:axPos val="l"/>
        <c:majorGridlines>
          <c:spPr>
            <a:ln w="9525" cap="flat" cmpd="sng" algn="ctr">
              <a:solidFill>
                <a:schemeClr val="tx1">
                  <a:lumMod val="15000"/>
                  <a:lumOff val="85000"/>
                </a:schemeClr>
              </a:solidFill>
              <a:round/>
            </a:ln>
            <a:effectLst/>
          </c:spPr>
        </c:majorGridlines>
        <c:numFmt formatCode="_-* #\ ##0_-;\-* #\ ##0_-;_-* &quot;-&quot;??_-;_-@_-" sourceLinked="1"/>
        <c:majorTickMark val="out"/>
        <c:minorTickMark val="none"/>
        <c:tickLblPos val="nextTo"/>
        <c:crossAx val="1390192879"/>
        <c:crosses val="autoZero"/>
        <c:crossBetween val="between"/>
      </c:valAx>
    </c:plotArea>
    <c:plotVisOnly val="1"/>
    <c:dispBlanksAs val="gap"/>
    <c:showDLblsOverMax val="0"/>
  </c:chart>
  <c:spPr>
    <a:solidFill>
      <a:schemeClr val="bg1"/>
    </a:solidFill>
    <a:ln w="9525" cap="flat" cmpd="sng" algn="ctr">
      <a:noFill/>
      <a:round/>
    </a:ln>
    <a:effectLst/>
  </c:spPr>
  <c:txPr>
    <a:bodyPr/>
    <a:lstStyle/>
    <a:p>
      <a:pPr>
        <a:defRPr sz="11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charts/chart3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320" b="0" i="0" u="none" strike="noStrike" baseline="0">
                <a:solidFill>
                  <a:srgbClr val="333333"/>
                </a:solidFill>
                <a:latin typeface="Calibri"/>
                <a:ea typeface="Calibri"/>
                <a:cs typeface="Calibri"/>
              </a:defRPr>
            </a:pPr>
            <a:r>
              <a:rPr lang="en-ZA"/>
              <a:t>Budget funding: 'other' services: %s</a:t>
            </a:r>
          </a:p>
        </c:rich>
      </c:tx>
      <c:layout>
        <c:manualLayout>
          <c:xMode val="edge"/>
          <c:yMode val="edge"/>
          <c:x val="3.5577490612716478E-2"/>
          <c:y val="5.0906329016565235E-2"/>
        </c:manualLayout>
      </c:layout>
      <c:overlay val="0"/>
      <c:spPr>
        <a:noFill/>
        <a:ln w="25400">
          <a:noFill/>
        </a:ln>
      </c:spPr>
    </c:title>
    <c:autoTitleDeleted val="0"/>
    <c:plotArea>
      <c:layout/>
      <c:barChart>
        <c:barDir val="col"/>
        <c:grouping val="percentStacked"/>
        <c:varyColors val="0"/>
        <c:ser>
          <c:idx val="0"/>
          <c:order val="0"/>
          <c:tx>
            <c:strRef>
              <c:f>'Revenue required'!$G$144</c:f>
              <c:strCache>
                <c:ptCount val="1"/>
                <c:pt idx="0">
                  <c:v>Direct cost</c:v>
                </c:pt>
              </c:strCache>
            </c:strRef>
          </c:tx>
          <c:spPr>
            <a:solidFill>
              <a:schemeClr val="accent5"/>
            </a:solidFill>
            <a:ln>
              <a:solidFill>
                <a:schemeClr val="accent5"/>
              </a:solidFill>
            </a:ln>
            <a:effectLst/>
          </c:spPr>
          <c:invertIfNegative val="0"/>
          <c:dLbls>
            <c:spPr>
              <a:noFill/>
              <a:ln w="25400">
                <a:noFill/>
              </a:ln>
            </c:spPr>
            <c:txPr>
              <a:bodyPr wrap="square" lIns="38100" tIns="19050" rIns="38100" bIns="19050" anchor="ctr">
                <a:spAutoFit/>
              </a:bodyPr>
              <a:lstStyle/>
              <a:p>
                <a:pPr>
                  <a:defRPr sz="1100" b="0" i="0" u="none" strike="noStrike" baseline="0">
                    <a:solidFill>
                      <a:srgbClr val="333333"/>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'Revenue required'!$H$144:$I$144</c:f>
            </c:numRef>
          </c:val>
          <c:extLst>
            <c:ext xmlns:c15="http://schemas.microsoft.com/office/drawing/2012/chart" uri="{02D57815-91ED-43cb-92C2-25804820EDAC}">
              <c15:filteredCategoryTitle>
                <c15:cat>
                  <c:multiLvlStrRef>
                    <c:extLst>
                      <c:ext uri="{02D57815-91ED-43cb-92C2-25804820EDAC}">
                        <c15:formulaRef>
                          <c15:sqref>'Revenue required'!$H$143:$I$143</c15:sqref>
                        </c15:formulaRef>
                      </c:ext>
                    </c:extLst>
                  </c:multiLvlStrRef>
                </c15:cat>
              </c15:filteredCategoryTitle>
            </c:ext>
            <c:ext xmlns:c16="http://schemas.microsoft.com/office/drawing/2014/chart" uri="{C3380CC4-5D6E-409C-BE32-E72D297353CC}">
              <c16:uniqueId val="{00000000-863C-471E-AC98-C2C3CA451E8D}"/>
            </c:ext>
          </c:extLst>
        </c:ser>
        <c:ser>
          <c:idx val="1"/>
          <c:order val="1"/>
          <c:tx>
            <c:strRef>
              <c:f>'Revenue required'!$G$145</c:f>
              <c:strCache>
                <c:ptCount val="1"/>
                <c:pt idx="0">
                  <c:v>Indirect cost</c:v>
                </c:pt>
              </c:strCache>
            </c:strRef>
          </c:tx>
          <c:spPr>
            <a:solidFill>
              <a:schemeClr val="accent5">
                <a:lumMod val="60000"/>
                <a:lumOff val="40000"/>
              </a:schemeClr>
            </a:solidFill>
            <a:ln>
              <a:solidFill>
                <a:schemeClr val="accent5">
                  <a:lumMod val="60000"/>
                  <a:lumOff val="40000"/>
                </a:schemeClr>
              </a:solidFill>
            </a:ln>
            <a:effectLst/>
          </c:spPr>
          <c:invertIfNegative val="0"/>
          <c:dLbls>
            <c:spPr>
              <a:noFill/>
              <a:ln w="25400">
                <a:noFill/>
              </a:ln>
            </c:spPr>
            <c:txPr>
              <a:bodyPr wrap="square" lIns="38100" tIns="19050" rIns="38100" bIns="19050" anchor="ctr">
                <a:spAutoFit/>
              </a:bodyPr>
              <a:lstStyle/>
              <a:p>
                <a:pPr>
                  <a:defRPr sz="1100" b="0" i="0" u="none" strike="noStrike" baseline="0">
                    <a:solidFill>
                      <a:srgbClr val="333333"/>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'Revenue required'!$H$145:$I$145</c:f>
            </c:numRef>
          </c:val>
          <c:extLst>
            <c:ext xmlns:c15="http://schemas.microsoft.com/office/drawing/2012/chart" uri="{02D57815-91ED-43cb-92C2-25804820EDAC}">
              <c15:filteredCategoryTitle>
                <c15:cat>
                  <c:multiLvlStrRef>
                    <c:extLst>
                      <c:ext uri="{02D57815-91ED-43cb-92C2-25804820EDAC}">
                        <c15:formulaRef>
                          <c15:sqref>'Revenue required'!$H$143:$I$143</c15:sqref>
                        </c15:formulaRef>
                      </c:ext>
                    </c:extLst>
                  </c:multiLvlStrRef>
                </c15:cat>
              </c15:filteredCategoryTitle>
            </c:ext>
            <c:ext xmlns:c16="http://schemas.microsoft.com/office/drawing/2014/chart" uri="{C3380CC4-5D6E-409C-BE32-E72D297353CC}">
              <c16:uniqueId val="{00000001-863C-471E-AC98-C2C3CA451E8D}"/>
            </c:ext>
          </c:extLst>
        </c:ser>
        <c:ser>
          <c:idx val="2"/>
          <c:order val="2"/>
          <c:tx>
            <c:strRef>
              <c:f>'Revenue required'!$G$146</c:f>
              <c:strCache>
                <c:ptCount val="1"/>
              </c:strCache>
            </c:strRef>
          </c:tx>
          <c:spPr>
            <a:solidFill>
              <a:schemeClr val="accent6"/>
            </a:solidFill>
            <a:ln>
              <a:solidFill>
                <a:schemeClr val="accent6"/>
              </a:solidFill>
            </a:ln>
            <a:effectLst/>
          </c:spPr>
          <c:invertIfNegative val="0"/>
          <c:dLbls>
            <c:spPr>
              <a:noFill/>
              <a:ln w="25400">
                <a:noFill/>
              </a:ln>
            </c:spPr>
            <c:txPr>
              <a:bodyPr wrap="square" lIns="38100" tIns="19050" rIns="38100" bIns="19050" anchor="ctr">
                <a:spAutoFit/>
              </a:bodyPr>
              <a:lstStyle/>
              <a:p>
                <a:pPr>
                  <a:defRPr sz="1100" b="0" i="0" u="none" strike="noStrike" baseline="0">
                    <a:solidFill>
                      <a:srgbClr val="333333"/>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'Revenue required'!$H$146:$I$146</c:f>
            </c:numRef>
          </c:val>
          <c:extLst>
            <c:ext xmlns:c15="http://schemas.microsoft.com/office/drawing/2012/chart" uri="{02D57815-91ED-43cb-92C2-25804820EDAC}">
              <c15:filteredCategoryTitle>
                <c15:cat>
                  <c:multiLvlStrRef>
                    <c:extLst>
                      <c:ext uri="{02D57815-91ED-43cb-92C2-25804820EDAC}">
                        <c15:formulaRef>
                          <c15:sqref>'Revenue required'!$H$143:$I$143</c15:sqref>
                        </c15:formulaRef>
                      </c:ext>
                    </c:extLst>
                  </c:multiLvlStrRef>
                </c15:cat>
              </c15:filteredCategoryTitle>
            </c:ext>
            <c:ext xmlns:c16="http://schemas.microsoft.com/office/drawing/2014/chart" uri="{C3380CC4-5D6E-409C-BE32-E72D297353CC}">
              <c16:uniqueId val="{00000002-863C-471E-AC98-C2C3CA451E8D}"/>
            </c:ext>
          </c:extLst>
        </c:ser>
        <c:ser>
          <c:idx val="4"/>
          <c:order val="3"/>
          <c:tx>
            <c:strRef>
              <c:f>'Revenue required'!$G$147</c:f>
              <c:strCache>
                <c:ptCount val="1"/>
              </c:strCache>
            </c:strRef>
          </c:tx>
          <c:spPr>
            <a:solidFill>
              <a:schemeClr val="accent3">
                <a:lumMod val="75000"/>
              </a:schemeClr>
            </a:solidFill>
            <a:ln>
              <a:solidFill>
                <a:schemeClr val="accent3">
                  <a:lumMod val="75000"/>
                </a:schemeClr>
              </a:solidFill>
            </a:ln>
            <a:effectLst/>
          </c:spPr>
          <c:invertIfNegative val="0"/>
          <c:dLbls>
            <c:spPr>
              <a:noFill/>
              <a:ln w="25400">
                <a:noFill/>
              </a:ln>
            </c:spPr>
            <c:txPr>
              <a:bodyPr wrap="square" lIns="38100" tIns="19050" rIns="38100" bIns="19050" anchor="ctr">
                <a:spAutoFit/>
              </a:bodyPr>
              <a:lstStyle/>
              <a:p>
                <a:pPr>
                  <a:defRPr sz="1100" b="0" i="0" u="none" strike="noStrike" baseline="0">
                    <a:solidFill>
                      <a:srgbClr val="333333"/>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'Revenue required'!$H$147:$I$147</c:f>
            </c:numRef>
          </c:val>
          <c:extLst>
            <c:ext xmlns:c15="http://schemas.microsoft.com/office/drawing/2012/chart" uri="{02D57815-91ED-43cb-92C2-25804820EDAC}">
              <c15:filteredCategoryTitle>
                <c15:cat>
                  <c:multiLvlStrRef>
                    <c:extLst>
                      <c:ext uri="{02D57815-91ED-43cb-92C2-25804820EDAC}">
                        <c15:formulaRef>
                          <c15:sqref>'Revenue required'!$H$143:$I$143</c15:sqref>
                        </c15:formulaRef>
                      </c:ext>
                    </c:extLst>
                  </c:multiLvlStrRef>
                </c15:cat>
              </c15:filteredCategoryTitle>
            </c:ext>
            <c:ext xmlns:c16="http://schemas.microsoft.com/office/drawing/2014/chart" uri="{C3380CC4-5D6E-409C-BE32-E72D297353CC}">
              <c16:uniqueId val="{00000003-863C-471E-AC98-C2C3CA451E8D}"/>
            </c:ext>
          </c:extLst>
        </c:ser>
        <c:ser>
          <c:idx val="5"/>
          <c:order val="4"/>
          <c:tx>
            <c:strRef>
              <c:f>'Revenue required'!$G$148</c:f>
              <c:strCache>
                <c:ptCount val="1"/>
                <c:pt idx="0">
                  <c:v>Non-tariff revenue</c:v>
                </c:pt>
              </c:strCache>
            </c:strRef>
          </c:tx>
          <c:spPr>
            <a:solidFill>
              <a:schemeClr val="accent3"/>
            </a:solidFill>
            <a:ln>
              <a:solidFill>
                <a:schemeClr val="accent3"/>
              </a:solidFill>
            </a:ln>
            <a:effectLst/>
          </c:spPr>
          <c:invertIfNegative val="0"/>
          <c:dLbls>
            <c:spPr>
              <a:noFill/>
              <a:ln w="25400">
                <a:noFill/>
              </a:ln>
            </c:spPr>
            <c:txPr>
              <a:bodyPr wrap="square" lIns="38100" tIns="19050" rIns="38100" bIns="19050" anchor="ctr">
                <a:spAutoFit/>
              </a:bodyPr>
              <a:lstStyle/>
              <a:p>
                <a:pPr>
                  <a:defRPr sz="1100" b="0" i="0" u="none" strike="noStrike" baseline="0">
                    <a:solidFill>
                      <a:srgbClr val="333333"/>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'Revenue required'!$H$148:$I$148</c:f>
            </c:numRef>
          </c:val>
          <c:extLst>
            <c:ext xmlns:c15="http://schemas.microsoft.com/office/drawing/2012/chart" uri="{02D57815-91ED-43cb-92C2-25804820EDAC}">
              <c15:filteredCategoryTitle>
                <c15:cat>
                  <c:multiLvlStrRef>
                    <c:extLst>
                      <c:ext uri="{02D57815-91ED-43cb-92C2-25804820EDAC}">
                        <c15:formulaRef>
                          <c15:sqref>'Revenue required'!$H$143:$I$143</c15:sqref>
                        </c15:formulaRef>
                      </c:ext>
                    </c:extLst>
                  </c:multiLvlStrRef>
                </c15:cat>
              </c15:filteredCategoryTitle>
            </c:ext>
            <c:ext xmlns:c16="http://schemas.microsoft.com/office/drawing/2014/chart" uri="{C3380CC4-5D6E-409C-BE32-E72D297353CC}">
              <c16:uniqueId val="{00000004-863C-471E-AC98-C2C3CA451E8D}"/>
            </c:ext>
          </c:extLst>
        </c:ser>
        <c:ser>
          <c:idx val="3"/>
          <c:order val="5"/>
          <c:tx>
            <c:strRef>
              <c:f>'Revenue required'!$G$149</c:f>
              <c:strCache>
                <c:ptCount val="1"/>
                <c:pt idx="0">
                  <c:v>Deficit</c:v>
                </c:pt>
              </c:strCache>
            </c:strRef>
          </c:tx>
          <c:spPr>
            <a:solidFill>
              <a:schemeClr val="accent2"/>
            </a:solidFill>
            <a:ln>
              <a:solidFill>
                <a:schemeClr val="accent2"/>
              </a:solidFill>
            </a:ln>
            <a:effectLst/>
          </c:spPr>
          <c:invertIfNegative val="0"/>
          <c:dLbls>
            <c:spPr>
              <a:noFill/>
              <a:ln w="25400">
                <a:noFill/>
              </a:ln>
            </c:spPr>
            <c:txPr>
              <a:bodyPr wrap="square" lIns="38100" tIns="19050" rIns="38100" bIns="19050" anchor="ctr">
                <a:spAutoFit/>
              </a:bodyPr>
              <a:lstStyle/>
              <a:p>
                <a:pPr>
                  <a:defRPr sz="1100" b="0" i="0" u="none" strike="noStrike" baseline="0">
                    <a:solidFill>
                      <a:srgbClr val="333333"/>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'Revenue required'!$H$149:$I$149</c:f>
            </c:numRef>
          </c:val>
          <c:extLst>
            <c:ext xmlns:c15="http://schemas.microsoft.com/office/drawing/2012/chart" uri="{02D57815-91ED-43cb-92C2-25804820EDAC}">
              <c15:filteredCategoryTitle>
                <c15:cat>
                  <c:multiLvlStrRef>
                    <c:extLst>
                      <c:ext uri="{02D57815-91ED-43cb-92C2-25804820EDAC}">
                        <c15:formulaRef>
                          <c15:sqref>'Revenue required'!$H$143:$I$143</c15:sqref>
                        </c15:formulaRef>
                      </c:ext>
                    </c:extLst>
                  </c:multiLvlStrRef>
                </c15:cat>
              </c15:filteredCategoryTitle>
            </c:ext>
            <c:ext xmlns:c16="http://schemas.microsoft.com/office/drawing/2014/chart" uri="{C3380CC4-5D6E-409C-BE32-E72D297353CC}">
              <c16:uniqueId val="{00000005-863C-471E-AC98-C2C3CA451E8D}"/>
            </c:ext>
          </c:extLst>
        </c:ser>
        <c:dLbls>
          <c:showLegendKey val="0"/>
          <c:showVal val="0"/>
          <c:showCatName val="0"/>
          <c:showSerName val="0"/>
          <c:showPercent val="0"/>
          <c:showBubbleSize val="0"/>
        </c:dLbls>
        <c:gapWidth val="25"/>
        <c:overlap val="100"/>
        <c:axId val="1390194319"/>
        <c:axId val="1"/>
      </c:barChart>
      <c:catAx>
        <c:axId val="1390194319"/>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0" vert="horz"/>
          <a:lstStyle/>
          <a:p>
            <a:pPr>
              <a:defRPr sz="1100" b="0" i="0" u="none" strike="noStrike" baseline="0">
                <a:solidFill>
                  <a:srgbClr val="333333"/>
                </a:solidFill>
                <a:latin typeface="Calibri"/>
                <a:ea typeface="Calibri"/>
                <a:cs typeface="Calibri"/>
              </a:defRPr>
            </a:pPr>
            <a:endParaRPr lang="en-US"/>
          </a:p>
        </c:txPr>
        <c:crossAx val="1"/>
        <c:crosses val="autoZero"/>
        <c:auto val="1"/>
        <c:lblAlgn val="ctr"/>
        <c:lblOffset val="100"/>
        <c:noMultiLvlLbl val="0"/>
      </c:catAx>
      <c:valAx>
        <c:axId val="1"/>
        <c:scaling>
          <c:orientation val="minMax"/>
        </c:scaling>
        <c:delete val="1"/>
        <c:axPos val="l"/>
        <c:majorGridlines>
          <c:spPr>
            <a:ln w="9525" cap="flat" cmpd="sng" algn="ctr">
              <a:solidFill>
                <a:schemeClr val="tx1">
                  <a:lumMod val="15000"/>
                  <a:lumOff val="85000"/>
                </a:schemeClr>
              </a:solidFill>
              <a:round/>
            </a:ln>
            <a:effectLst/>
          </c:spPr>
        </c:majorGridlines>
        <c:numFmt formatCode="0%" sourceLinked="1"/>
        <c:majorTickMark val="out"/>
        <c:minorTickMark val="none"/>
        <c:tickLblPos val="nextTo"/>
        <c:crossAx val="1390194319"/>
        <c:crosses val="autoZero"/>
        <c:crossBetween val="between"/>
      </c:valAx>
    </c:plotArea>
    <c:plotVisOnly val="1"/>
    <c:dispBlanksAs val="gap"/>
    <c:showDLblsOverMax val="0"/>
  </c:chart>
  <c:spPr>
    <a:solidFill>
      <a:schemeClr val="bg1"/>
    </a:solidFill>
    <a:ln w="9525" cap="flat" cmpd="sng" algn="ctr">
      <a:noFill/>
      <a:round/>
    </a:ln>
    <a:effectLst/>
  </c:spPr>
  <c:txPr>
    <a:bodyPr/>
    <a:lstStyle/>
    <a:p>
      <a:pPr>
        <a:defRPr sz="11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charts/chart3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320" b="0" i="0" u="none" strike="noStrike" baseline="0">
                <a:solidFill>
                  <a:srgbClr val="333333"/>
                </a:solidFill>
                <a:latin typeface="Calibri"/>
                <a:ea typeface="Calibri"/>
                <a:cs typeface="Calibri"/>
              </a:defRPr>
            </a:pPr>
            <a:r>
              <a:rPr lang="en-ZA"/>
              <a:t>Budget funding: water service: categories</a:t>
            </a:r>
          </a:p>
        </c:rich>
      </c:tx>
      <c:layout>
        <c:manualLayout>
          <c:xMode val="edge"/>
          <c:yMode val="edge"/>
          <c:x val="6.8346456692913379E-2"/>
          <c:y val="4.1609029640525708E-2"/>
        </c:manualLayout>
      </c:layout>
      <c:overlay val="0"/>
      <c:spPr>
        <a:noFill/>
        <a:ln w="25400">
          <a:noFill/>
        </a:ln>
      </c:spPr>
    </c:title>
    <c:autoTitleDeleted val="0"/>
    <c:plotArea>
      <c:layout/>
      <c:barChart>
        <c:barDir val="col"/>
        <c:grouping val="stacked"/>
        <c:varyColors val="0"/>
        <c:ser>
          <c:idx val="0"/>
          <c:order val="0"/>
          <c:tx>
            <c:strRef>
              <c:f>'Revenue required'!$D$154</c:f>
              <c:strCache>
                <c:ptCount val="1"/>
                <c:pt idx="0">
                  <c:v>Direct cost</c:v>
                </c:pt>
              </c:strCache>
            </c:strRef>
          </c:tx>
          <c:spPr>
            <a:solidFill>
              <a:schemeClr val="accent5"/>
            </a:solidFill>
          </c:spPr>
          <c:invertIfNegative val="0"/>
          <c:dLbls>
            <c:dLbl>
              <c:idx val="0"/>
              <c:tx>
                <c:strRef>
                  <c:f>'Revenue required'!$D$154</c:f>
                  <c:strCache>
                    <c:ptCount val="1"/>
                    <c:pt idx="0">
                      <c:v>Direct cost</c:v>
                    </c:pt>
                  </c:strCache>
                </c:strRef>
              </c:tx>
              <c:spPr>
                <a:noFill/>
                <a:ln w="25400">
                  <a:noFill/>
                </a:ln>
              </c:spPr>
              <c:txPr>
                <a:bodyPr/>
                <a:lstStyle/>
                <a:p>
                  <a:pPr>
                    <a:defRPr sz="1100" b="0" i="0" u="none" strike="noStrike" baseline="0">
                      <a:solidFill>
                        <a:srgbClr val="333333"/>
                      </a:solidFill>
                      <a:latin typeface="Calibri"/>
                      <a:ea typeface="Calibri"/>
                      <a:cs typeface="Calibri"/>
                    </a:defRPr>
                  </a:pPr>
                  <a:endParaRPr lang="en-US"/>
                </a:p>
              </c:txPr>
              <c:dLblPos val="ctr"/>
              <c:showLegendKey val="0"/>
              <c:showVal val="0"/>
              <c:showCatName val="0"/>
              <c:showSerName val="0"/>
              <c:showPercent val="0"/>
              <c:showBubbleSize val="0"/>
              <c:extLst>
                <c:ext xmlns:c15="http://schemas.microsoft.com/office/drawing/2012/chart" uri="{CE6537A1-D6FC-4f65-9D91-7224C49458BB}">
                  <c15:dlblFieldTable>
                    <c15:dlblFTEntry>
                      <c15:txfldGUID>{4AEC06E3-2D40-4A89-8C93-B2D70BE09A44}</c15:txfldGUID>
                      <c15:f>'Revenue required'!$D$154</c15:f>
                      <c15:dlblFieldTableCache>
                        <c:ptCount val="1"/>
                        <c:pt idx="0">
                          <c:v>Direct cost</c:v>
                        </c:pt>
                      </c15:dlblFieldTableCache>
                    </c15:dlblFTEntry>
                  </c15:dlblFieldTable>
                  <c15:showDataLabelsRange val="0"/>
                </c:ext>
                <c:ext xmlns:c16="http://schemas.microsoft.com/office/drawing/2014/chart" uri="{C3380CC4-5D6E-409C-BE32-E72D297353CC}">
                  <c16:uniqueId val="{00000000-2ABB-411B-A20F-0417BDE5C4B9}"/>
                </c:ext>
              </c:extLst>
            </c:dLbl>
            <c:spPr>
              <a:noFill/>
              <a:ln w="25400">
                <a:noFill/>
              </a:ln>
            </c:spPr>
            <c:txPr>
              <a:bodyPr wrap="square" lIns="38100" tIns="19050" rIns="38100" bIns="19050" anchor="ctr">
                <a:spAutoFit/>
              </a:bodyPr>
              <a:lstStyle/>
              <a:p>
                <a:pPr>
                  <a:defRPr sz="1100" b="0" i="0" u="none" strike="noStrike" baseline="0">
                    <a:solidFill>
                      <a:srgbClr val="333333"/>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'Revenue required'!$E$154:$F$154</c:f>
            </c:numRef>
          </c:val>
          <c:extLst>
            <c:ext xmlns:c15="http://schemas.microsoft.com/office/drawing/2012/chart" uri="{02D57815-91ED-43cb-92C2-25804820EDAC}">
              <c15:filteredCategoryTitle>
                <c15:cat>
                  <c:multiLvlStrRef>
                    <c:extLst>
                      <c:ext uri="{02D57815-91ED-43cb-92C2-25804820EDAC}">
                        <c15:formulaRef>
                          <c15:sqref>'Revenue required'!$E$153:$F$153</c15:sqref>
                        </c15:formulaRef>
                      </c:ext>
                    </c:extLst>
                  </c:multiLvlStrRef>
                </c15:cat>
              </c15:filteredCategoryTitle>
            </c:ext>
            <c:ext xmlns:c16="http://schemas.microsoft.com/office/drawing/2014/chart" uri="{C3380CC4-5D6E-409C-BE32-E72D297353CC}">
              <c16:uniqueId val="{00000001-2ABB-411B-A20F-0417BDE5C4B9}"/>
            </c:ext>
          </c:extLst>
        </c:ser>
        <c:ser>
          <c:idx val="1"/>
          <c:order val="1"/>
          <c:tx>
            <c:strRef>
              <c:f>'Revenue required'!$D$155</c:f>
              <c:strCache>
                <c:ptCount val="1"/>
                <c:pt idx="0">
                  <c:v>Indirect cost</c:v>
                </c:pt>
              </c:strCache>
            </c:strRef>
          </c:tx>
          <c:spPr>
            <a:solidFill>
              <a:schemeClr val="accent5">
                <a:lumMod val="60000"/>
                <a:lumOff val="40000"/>
              </a:schemeClr>
            </a:solidFill>
          </c:spPr>
          <c:invertIfNegative val="0"/>
          <c:dLbls>
            <c:dLbl>
              <c:idx val="0"/>
              <c:tx>
                <c:strRef>
                  <c:f>'Revenue required'!$D$155</c:f>
                  <c:strCache>
                    <c:ptCount val="1"/>
                    <c:pt idx="0">
                      <c:v>Indirect cost</c:v>
                    </c:pt>
                  </c:strCache>
                </c:strRef>
              </c:tx>
              <c:spPr>
                <a:noFill/>
                <a:ln w="25400">
                  <a:noFill/>
                </a:ln>
              </c:spPr>
              <c:txPr>
                <a:bodyPr/>
                <a:lstStyle/>
                <a:p>
                  <a:pPr>
                    <a:defRPr sz="1100" b="0" i="0" u="none" strike="noStrike" baseline="0">
                      <a:solidFill>
                        <a:srgbClr val="333333"/>
                      </a:solidFill>
                      <a:latin typeface="Calibri"/>
                      <a:ea typeface="Calibri"/>
                      <a:cs typeface="Calibri"/>
                    </a:defRPr>
                  </a:pPr>
                  <a:endParaRPr lang="en-US"/>
                </a:p>
              </c:txPr>
              <c:dLblPos val="ctr"/>
              <c:showLegendKey val="0"/>
              <c:showVal val="0"/>
              <c:showCatName val="0"/>
              <c:showSerName val="0"/>
              <c:showPercent val="0"/>
              <c:showBubbleSize val="0"/>
              <c:extLst>
                <c:ext xmlns:c15="http://schemas.microsoft.com/office/drawing/2012/chart" uri="{CE6537A1-D6FC-4f65-9D91-7224C49458BB}">
                  <c15:dlblFieldTable>
                    <c15:dlblFTEntry>
                      <c15:txfldGUID>{7E3CFCEA-2A09-4180-93BB-10CC4844C895}</c15:txfldGUID>
                      <c15:f>'Revenue required'!$D$155</c15:f>
                      <c15:dlblFieldTableCache>
                        <c:ptCount val="1"/>
                        <c:pt idx="0">
                          <c:v>Indirect cost</c:v>
                        </c:pt>
                      </c15:dlblFieldTableCache>
                    </c15:dlblFTEntry>
                  </c15:dlblFieldTable>
                  <c15:showDataLabelsRange val="0"/>
                </c:ext>
                <c:ext xmlns:c16="http://schemas.microsoft.com/office/drawing/2014/chart" uri="{C3380CC4-5D6E-409C-BE32-E72D297353CC}">
                  <c16:uniqueId val="{00000002-2ABB-411B-A20F-0417BDE5C4B9}"/>
                </c:ext>
              </c:extLst>
            </c:dLbl>
            <c:spPr>
              <a:noFill/>
              <a:ln w="25400">
                <a:noFill/>
              </a:ln>
            </c:spPr>
            <c:txPr>
              <a:bodyPr wrap="square" lIns="38100" tIns="19050" rIns="38100" bIns="19050" anchor="ctr">
                <a:spAutoFit/>
              </a:bodyPr>
              <a:lstStyle/>
              <a:p>
                <a:pPr>
                  <a:defRPr sz="1100" b="0" i="0" u="none" strike="noStrike" baseline="0">
                    <a:solidFill>
                      <a:srgbClr val="333333"/>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'Revenue required'!$E$155:$F$155</c:f>
            </c:numRef>
          </c:val>
          <c:extLst>
            <c:ext xmlns:c15="http://schemas.microsoft.com/office/drawing/2012/chart" uri="{02D57815-91ED-43cb-92C2-25804820EDAC}">
              <c15:filteredCategoryTitle>
                <c15:cat>
                  <c:multiLvlStrRef>
                    <c:extLst>
                      <c:ext uri="{02D57815-91ED-43cb-92C2-25804820EDAC}">
                        <c15:formulaRef>
                          <c15:sqref>'Revenue required'!$E$153:$F$153</c15:sqref>
                        </c15:formulaRef>
                      </c:ext>
                    </c:extLst>
                  </c:multiLvlStrRef>
                </c15:cat>
              </c15:filteredCategoryTitle>
            </c:ext>
            <c:ext xmlns:c16="http://schemas.microsoft.com/office/drawing/2014/chart" uri="{C3380CC4-5D6E-409C-BE32-E72D297353CC}">
              <c16:uniqueId val="{00000003-2ABB-411B-A20F-0417BDE5C4B9}"/>
            </c:ext>
          </c:extLst>
        </c:ser>
        <c:ser>
          <c:idx val="2"/>
          <c:order val="2"/>
          <c:tx>
            <c:strRef>
              <c:f>'Revenue required'!$D$156</c:f>
              <c:strCache>
                <c:ptCount val="1"/>
              </c:strCache>
            </c:strRef>
          </c:tx>
          <c:spPr>
            <a:solidFill>
              <a:schemeClr val="accent6"/>
            </a:solidFill>
          </c:spPr>
          <c:invertIfNegative val="0"/>
          <c:dLbls>
            <c:dLbl>
              <c:idx val="0"/>
              <c:tx>
                <c:strRef>
                  <c:f>'Revenue required'!$D$156</c:f>
                  <c:strCache>
                    <c:ptCount val="1"/>
                  </c:strCache>
                </c:strRef>
              </c:tx>
              <c:spPr>
                <a:noFill/>
                <a:ln w="25400">
                  <a:noFill/>
                </a:ln>
              </c:spPr>
              <c:txPr>
                <a:bodyPr/>
                <a:lstStyle/>
                <a:p>
                  <a:pPr>
                    <a:defRPr sz="1100" b="0" i="0" u="none" strike="noStrike" baseline="0">
                      <a:solidFill>
                        <a:srgbClr val="333333"/>
                      </a:solidFill>
                      <a:latin typeface="Calibri"/>
                      <a:ea typeface="Calibri"/>
                      <a:cs typeface="Calibri"/>
                    </a:defRPr>
                  </a:pPr>
                  <a:endParaRPr lang="en-US"/>
                </a:p>
              </c:txPr>
              <c:dLblPos val="ctr"/>
              <c:showLegendKey val="0"/>
              <c:showVal val="0"/>
              <c:showCatName val="0"/>
              <c:showSerName val="0"/>
              <c:showPercent val="0"/>
              <c:showBubbleSize val="0"/>
              <c:extLst>
                <c:ext xmlns:c15="http://schemas.microsoft.com/office/drawing/2012/chart" uri="{CE6537A1-D6FC-4f65-9D91-7224C49458BB}">
                  <c15:dlblFieldTable>
                    <c15:dlblFTEntry>
                      <c15:txfldGUID>{1FC532AD-7634-44B0-8422-371335EEDB21}</c15:txfldGUID>
                      <c15:f>'Revenue required'!$D$156</c15:f>
                      <c15:dlblFieldTableCache>
                        <c:ptCount val="1"/>
                      </c15:dlblFieldTableCache>
                    </c15:dlblFTEntry>
                  </c15:dlblFieldTable>
                  <c15:showDataLabelsRange val="0"/>
                </c:ext>
                <c:ext xmlns:c16="http://schemas.microsoft.com/office/drawing/2014/chart" uri="{C3380CC4-5D6E-409C-BE32-E72D297353CC}">
                  <c16:uniqueId val="{00000004-2ABB-411B-A20F-0417BDE5C4B9}"/>
                </c:ext>
              </c:extLst>
            </c:dLbl>
            <c:spPr>
              <a:noFill/>
              <a:ln w="25400">
                <a:noFill/>
              </a:ln>
            </c:spPr>
            <c:txPr>
              <a:bodyPr wrap="square" lIns="38100" tIns="19050" rIns="38100" bIns="19050" anchor="ctr">
                <a:spAutoFit/>
              </a:bodyPr>
              <a:lstStyle/>
              <a:p>
                <a:pPr>
                  <a:defRPr sz="1100" b="0" i="0" u="none" strike="noStrike" baseline="0">
                    <a:solidFill>
                      <a:srgbClr val="333333"/>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'Revenue required'!$E$156:$F$156</c:f>
            </c:numRef>
          </c:val>
          <c:extLst>
            <c:ext xmlns:c15="http://schemas.microsoft.com/office/drawing/2012/chart" uri="{02D57815-91ED-43cb-92C2-25804820EDAC}">
              <c15:filteredCategoryTitle>
                <c15:cat>
                  <c:multiLvlStrRef>
                    <c:extLst>
                      <c:ext uri="{02D57815-91ED-43cb-92C2-25804820EDAC}">
                        <c15:formulaRef>
                          <c15:sqref>'Revenue required'!$E$153:$F$153</c15:sqref>
                        </c15:formulaRef>
                      </c:ext>
                    </c:extLst>
                  </c:multiLvlStrRef>
                </c15:cat>
              </c15:filteredCategoryTitle>
            </c:ext>
            <c:ext xmlns:c16="http://schemas.microsoft.com/office/drawing/2014/chart" uri="{C3380CC4-5D6E-409C-BE32-E72D297353CC}">
              <c16:uniqueId val="{00000005-2ABB-411B-A20F-0417BDE5C4B9}"/>
            </c:ext>
          </c:extLst>
        </c:ser>
        <c:ser>
          <c:idx val="4"/>
          <c:order val="3"/>
          <c:tx>
            <c:strRef>
              <c:f>'Revenue required'!$D$157</c:f>
              <c:strCache>
                <c:ptCount val="1"/>
                <c:pt idx="0">
                  <c:v>Tariff revenue</c:v>
                </c:pt>
              </c:strCache>
            </c:strRef>
          </c:tx>
          <c:spPr>
            <a:solidFill>
              <a:schemeClr val="accent3">
                <a:lumMod val="75000"/>
              </a:schemeClr>
            </a:solidFill>
          </c:spPr>
          <c:invertIfNegative val="0"/>
          <c:dLbls>
            <c:dLbl>
              <c:idx val="1"/>
              <c:tx>
                <c:strRef>
                  <c:f>'Revenue required'!$D$157</c:f>
                  <c:strCache>
                    <c:ptCount val="1"/>
                    <c:pt idx="0">
                      <c:v>Tariff revenue</c:v>
                    </c:pt>
                  </c:strCache>
                </c:strRef>
              </c:tx>
              <c:spPr>
                <a:noFill/>
                <a:ln w="25400">
                  <a:noFill/>
                </a:ln>
              </c:spPr>
              <c:txPr>
                <a:bodyPr/>
                <a:lstStyle/>
                <a:p>
                  <a:pPr>
                    <a:defRPr sz="1100" b="0" i="0" u="none" strike="noStrike" baseline="0">
                      <a:solidFill>
                        <a:srgbClr val="333333"/>
                      </a:solidFill>
                      <a:latin typeface="Calibri"/>
                      <a:ea typeface="Calibri"/>
                      <a:cs typeface="Calibri"/>
                    </a:defRPr>
                  </a:pPr>
                  <a:endParaRPr lang="en-US"/>
                </a:p>
              </c:txPr>
              <c:dLblPos val="ctr"/>
              <c:showLegendKey val="0"/>
              <c:showVal val="0"/>
              <c:showCatName val="0"/>
              <c:showSerName val="0"/>
              <c:showPercent val="0"/>
              <c:showBubbleSize val="0"/>
              <c:extLst>
                <c:ext xmlns:c15="http://schemas.microsoft.com/office/drawing/2012/chart" uri="{CE6537A1-D6FC-4f65-9D91-7224C49458BB}">
                  <c15:dlblFieldTable>
                    <c15:dlblFTEntry>
                      <c15:txfldGUID>{18A8EEE8-5826-4CAB-9AC8-0B7AF4ECA37E}</c15:txfldGUID>
                      <c15:f>'Revenue required'!$D$157</c15:f>
                      <c15:dlblFieldTableCache>
                        <c:ptCount val="1"/>
                        <c:pt idx="0">
                          <c:v>Tariff revenue</c:v>
                        </c:pt>
                      </c15:dlblFieldTableCache>
                    </c15:dlblFTEntry>
                  </c15:dlblFieldTable>
                  <c15:showDataLabelsRange val="0"/>
                </c:ext>
                <c:ext xmlns:c16="http://schemas.microsoft.com/office/drawing/2014/chart" uri="{C3380CC4-5D6E-409C-BE32-E72D297353CC}">
                  <c16:uniqueId val="{00000006-2ABB-411B-A20F-0417BDE5C4B9}"/>
                </c:ext>
              </c:extLst>
            </c:dLbl>
            <c:spPr>
              <a:noFill/>
              <a:ln w="25400">
                <a:noFill/>
              </a:ln>
            </c:spPr>
            <c:txPr>
              <a:bodyPr wrap="square" lIns="38100" tIns="19050" rIns="38100" bIns="19050" anchor="ctr">
                <a:spAutoFit/>
              </a:bodyPr>
              <a:lstStyle/>
              <a:p>
                <a:pPr>
                  <a:defRPr sz="1100" b="0" i="0" u="none" strike="noStrike" baseline="0">
                    <a:solidFill>
                      <a:srgbClr val="333333"/>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'Revenue required'!$E$157:$F$157</c:f>
            </c:numRef>
          </c:val>
          <c:extLst>
            <c:ext xmlns:c15="http://schemas.microsoft.com/office/drawing/2012/chart" uri="{02D57815-91ED-43cb-92C2-25804820EDAC}">
              <c15:filteredCategoryTitle>
                <c15:cat>
                  <c:multiLvlStrRef>
                    <c:extLst>
                      <c:ext uri="{02D57815-91ED-43cb-92C2-25804820EDAC}">
                        <c15:formulaRef>
                          <c15:sqref>'Revenue required'!$E$153:$F$153</c15:sqref>
                        </c15:formulaRef>
                      </c:ext>
                    </c:extLst>
                  </c:multiLvlStrRef>
                </c15:cat>
              </c15:filteredCategoryTitle>
            </c:ext>
            <c:ext xmlns:c16="http://schemas.microsoft.com/office/drawing/2014/chart" uri="{C3380CC4-5D6E-409C-BE32-E72D297353CC}">
              <c16:uniqueId val="{00000007-2ABB-411B-A20F-0417BDE5C4B9}"/>
            </c:ext>
          </c:extLst>
        </c:ser>
        <c:ser>
          <c:idx val="5"/>
          <c:order val="4"/>
          <c:tx>
            <c:strRef>
              <c:f>'Revenue required'!$D$158</c:f>
              <c:strCache>
                <c:ptCount val="1"/>
                <c:pt idx="0">
                  <c:v>Non-tariff revenue</c:v>
                </c:pt>
              </c:strCache>
            </c:strRef>
          </c:tx>
          <c:spPr>
            <a:solidFill>
              <a:schemeClr val="accent3"/>
            </a:solidFill>
          </c:spPr>
          <c:invertIfNegative val="0"/>
          <c:dLbls>
            <c:dLbl>
              <c:idx val="1"/>
              <c:tx>
                <c:strRef>
                  <c:f>'Revenue required'!$D$158</c:f>
                  <c:strCache>
                    <c:ptCount val="1"/>
                    <c:pt idx="0">
                      <c:v>Non-tariff revenue</c:v>
                    </c:pt>
                  </c:strCache>
                </c:strRef>
              </c:tx>
              <c:spPr>
                <a:noFill/>
                <a:ln w="25400">
                  <a:noFill/>
                </a:ln>
              </c:spPr>
              <c:txPr>
                <a:bodyPr/>
                <a:lstStyle/>
                <a:p>
                  <a:pPr>
                    <a:defRPr sz="1100" b="0" i="0" u="none" strike="noStrike" baseline="0">
                      <a:solidFill>
                        <a:srgbClr val="333333"/>
                      </a:solidFill>
                      <a:latin typeface="Calibri"/>
                      <a:ea typeface="Calibri"/>
                      <a:cs typeface="Calibri"/>
                    </a:defRPr>
                  </a:pPr>
                  <a:endParaRPr lang="en-US"/>
                </a:p>
              </c:txPr>
              <c:dLblPos val="ctr"/>
              <c:showLegendKey val="0"/>
              <c:showVal val="0"/>
              <c:showCatName val="0"/>
              <c:showSerName val="0"/>
              <c:showPercent val="0"/>
              <c:showBubbleSize val="0"/>
              <c:extLst>
                <c:ext xmlns:c15="http://schemas.microsoft.com/office/drawing/2012/chart" uri="{CE6537A1-D6FC-4f65-9D91-7224C49458BB}">
                  <c15:dlblFieldTable>
                    <c15:dlblFTEntry>
                      <c15:txfldGUID>{0E25F759-14DF-4AC4-B04C-735B9BB81981}</c15:txfldGUID>
                      <c15:f>'Revenue required'!$D$158</c15:f>
                      <c15:dlblFieldTableCache>
                        <c:ptCount val="1"/>
                        <c:pt idx="0">
                          <c:v>Non-tariff revenue</c:v>
                        </c:pt>
                      </c15:dlblFieldTableCache>
                    </c15:dlblFTEntry>
                  </c15:dlblFieldTable>
                  <c15:showDataLabelsRange val="0"/>
                </c:ext>
                <c:ext xmlns:c16="http://schemas.microsoft.com/office/drawing/2014/chart" uri="{C3380CC4-5D6E-409C-BE32-E72D297353CC}">
                  <c16:uniqueId val="{00000008-2ABB-411B-A20F-0417BDE5C4B9}"/>
                </c:ext>
              </c:extLst>
            </c:dLbl>
            <c:spPr>
              <a:noFill/>
              <a:ln w="25400">
                <a:noFill/>
              </a:ln>
            </c:spPr>
            <c:txPr>
              <a:bodyPr wrap="square" lIns="38100" tIns="19050" rIns="38100" bIns="19050" anchor="ctr">
                <a:spAutoFit/>
              </a:bodyPr>
              <a:lstStyle/>
              <a:p>
                <a:pPr>
                  <a:defRPr sz="1100" b="0" i="0" u="none" strike="noStrike" baseline="0">
                    <a:solidFill>
                      <a:srgbClr val="333333"/>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'Revenue required'!$E$158:$F$158</c:f>
            </c:numRef>
          </c:val>
          <c:extLst>
            <c:ext xmlns:c15="http://schemas.microsoft.com/office/drawing/2012/chart" uri="{02D57815-91ED-43cb-92C2-25804820EDAC}">
              <c15:filteredCategoryTitle>
                <c15:cat>
                  <c:multiLvlStrRef>
                    <c:extLst>
                      <c:ext uri="{02D57815-91ED-43cb-92C2-25804820EDAC}">
                        <c15:formulaRef>
                          <c15:sqref>'Revenue required'!$E$153:$F$153</c15:sqref>
                        </c15:formulaRef>
                      </c:ext>
                    </c:extLst>
                  </c:multiLvlStrRef>
                </c15:cat>
              </c15:filteredCategoryTitle>
            </c:ext>
            <c:ext xmlns:c16="http://schemas.microsoft.com/office/drawing/2014/chart" uri="{C3380CC4-5D6E-409C-BE32-E72D297353CC}">
              <c16:uniqueId val="{00000009-2ABB-411B-A20F-0417BDE5C4B9}"/>
            </c:ext>
          </c:extLst>
        </c:ser>
        <c:ser>
          <c:idx val="3"/>
          <c:order val="5"/>
          <c:tx>
            <c:strRef>
              <c:f>'Revenue required'!$D$159</c:f>
              <c:strCache>
                <c:ptCount val="1"/>
              </c:strCache>
            </c:strRef>
          </c:tx>
          <c:invertIfNegative val="0"/>
          <c:dLbls>
            <c:dLbl>
              <c:idx val="1"/>
              <c:tx>
                <c:strRef>
                  <c:f>'Revenue required'!$D$159</c:f>
                  <c:strCache>
                    <c:ptCount val="1"/>
                  </c:strCache>
                </c:strRef>
              </c:tx>
              <c:spPr>
                <a:noFill/>
                <a:ln w="25400">
                  <a:noFill/>
                </a:ln>
              </c:spPr>
              <c:txPr>
                <a:bodyPr/>
                <a:lstStyle/>
                <a:p>
                  <a:pPr>
                    <a:defRPr sz="1100" b="0" i="0" u="none" strike="noStrike" baseline="0">
                      <a:solidFill>
                        <a:srgbClr val="333333"/>
                      </a:solidFill>
                      <a:latin typeface="Calibri"/>
                      <a:ea typeface="Calibri"/>
                      <a:cs typeface="Calibri"/>
                    </a:defRPr>
                  </a:pPr>
                  <a:endParaRPr lang="en-US"/>
                </a:p>
              </c:txPr>
              <c:dLblPos val="ctr"/>
              <c:showLegendKey val="0"/>
              <c:showVal val="0"/>
              <c:showCatName val="0"/>
              <c:showSerName val="0"/>
              <c:showPercent val="0"/>
              <c:showBubbleSize val="0"/>
              <c:extLst>
                <c:ext xmlns:c15="http://schemas.microsoft.com/office/drawing/2012/chart" uri="{CE6537A1-D6FC-4f65-9D91-7224C49458BB}">
                  <c15:dlblFieldTable>
                    <c15:dlblFTEntry>
                      <c15:txfldGUID>{3FB5F6AF-7DAA-4E61-9A10-A64D5DDB4587}</c15:txfldGUID>
                      <c15:f>'Revenue required'!$D$159</c15:f>
                      <c15:dlblFieldTableCache>
                        <c:ptCount val="1"/>
                      </c15:dlblFieldTableCache>
                    </c15:dlblFTEntry>
                  </c15:dlblFieldTable>
                  <c15:showDataLabelsRange val="0"/>
                </c:ext>
                <c:ext xmlns:c16="http://schemas.microsoft.com/office/drawing/2014/chart" uri="{C3380CC4-5D6E-409C-BE32-E72D297353CC}">
                  <c16:uniqueId val="{0000000A-2ABB-411B-A20F-0417BDE5C4B9}"/>
                </c:ext>
              </c:extLst>
            </c:dLbl>
            <c:spPr>
              <a:noFill/>
              <a:ln w="25400">
                <a:noFill/>
              </a:ln>
            </c:spPr>
            <c:txPr>
              <a:bodyPr wrap="square" lIns="38100" tIns="19050" rIns="38100" bIns="19050" anchor="ctr">
                <a:spAutoFit/>
              </a:bodyPr>
              <a:lstStyle/>
              <a:p>
                <a:pPr>
                  <a:defRPr sz="1100" b="0" i="0" u="none" strike="noStrike" baseline="0">
                    <a:solidFill>
                      <a:srgbClr val="333333"/>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'Revenue required'!$E$159:$F$159</c:f>
            </c:numRef>
          </c:val>
          <c:extLst>
            <c:ext xmlns:c15="http://schemas.microsoft.com/office/drawing/2012/chart" uri="{02D57815-91ED-43cb-92C2-25804820EDAC}">
              <c15:filteredCategoryTitle>
                <c15:cat>
                  <c:multiLvlStrRef>
                    <c:extLst>
                      <c:ext uri="{02D57815-91ED-43cb-92C2-25804820EDAC}">
                        <c15:formulaRef>
                          <c15:sqref>'Revenue required'!$E$153:$F$153</c15:sqref>
                        </c15:formulaRef>
                      </c:ext>
                    </c:extLst>
                  </c:multiLvlStrRef>
                </c15:cat>
              </c15:filteredCategoryTitle>
            </c:ext>
            <c:ext xmlns:c16="http://schemas.microsoft.com/office/drawing/2014/chart" uri="{C3380CC4-5D6E-409C-BE32-E72D297353CC}">
              <c16:uniqueId val="{0000000B-2ABB-411B-A20F-0417BDE5C4B9}"/>
            </c:ext>
          </c:extLst>
        </c:ser>
        <c:dLbls>
          <c:showLegendKey val="0"/>
          <c:showVal val="0"/>
          <c:showCatName val="0"/>
          <c:showSerName val="0"/>
          <c:showPercent val="0"/>
          <c:showBubbleSize val="0"/>
        </c:dLbls>
        <c:gapWidth val="25"/>
        <c:overlap val="100"/>
        <c:axId val="1390179439"/>
        <c:axId val="1"/>
      </c:barChart>
      <c:catAx>
        <c:axId val="1390179439"/>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0" vert="horz"/>
          <a:lstStyle/>
          <a:p>
            <a:pPr>
              <a:defRPr sz="1100" b="0" i="0" u="none" strike="noStrike" baseline="0">
                <a:solidFill>
                  <a:srgbClr val="333333"/>
                </a:solidFill>
                <a:latin typeface="Calibri"/>
                <a:ea typeface="Calibri"/>
                <a:cs typeface="Calibri"/>
              </a:defRPr>
            </a:pPr>
            <a:endParaRPr lang="en-US"/>
          </a:p>
        </c:txPr>
        <c:crossAx val="1"/>
        <c:crosses val="autoZero"/>
        <c:auto val="1"/>
        <c:lblAlgn val="ctr"/>
        <c:lblOffset val="100"/>
        <c:noMultiLvlLbl val="0"/>
      </c:catAx>
      <c:valAx>
        <c:axId val="1"/>
        <c:scaling>
          <c:orientation val="minMax"/>
        </c:scaling>
        <c:delete val="1"/>
        <c:axPos val="l"/>
        <c:majorGridlines>
          <c:spPr>
            <a:ln w="9525" cap="flat" cmpd="sng" algn="ctr">
              <a:solidFill>
                <a:schemeClr val="tx1">
                  <a:lumMod val="15000"/>
                  <a:lumOff val="85000"/>
                </a:schemeClr>
              </a:solidFill>
              <a:round/>
            </a:ln>
            <a:effectLst/>
          </c:spPr>
        </c:majorGridlines>
        <c:numFmt formatCode="_-* #\ ##0_-;\-* #\ ##0_-;_-* &quot;-&quot;??_-;_-@_-" sourceLinked="1"/>
        <c:majorTickMark val="out"/>
        <c:minorTickMark val="none"/>
        <c:tickLblPos val="nextTo"/>
        <c:crossAx val="1390179439"/>
        <c:crosses val="autoZero"/>
        <c:crossBetween val="between"/>
      </c:valAx>
    </c:plotArea>
    <c:plotVisOnly val="1"/>
    <c:dispBlanksAs val="gap"/>
    <c:showDLblsOverMax val="0"/>
  </c:chart>
  <c:spPr>
    <a:solidFill>
      <a:schemeClr val="bg1"/>
    </a:solidFill>
    <a:ln w="9525" cap="flat" cmpd="sng" algn="ctr">
      <a:noFill/>
      <a:round/>
    </a:ln>
    <a:effectLst/>
  </c:spPr>
  <c:txPr>
    <a:bodyPr/>
    <a:lstStyle/>
    <a:p>
      <a:pPr>
        <a:defRPr sz="11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charts/chart3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320" b="0" i="0" u="none" strike="noStrike" baseline="0">
                <a:solidFill>
                  <a:srgbClr val="333333"/>
                </a:solidFill>
                <a:latin typeface="Calibri"/>
                <a:ea typeface="Calibri"/>
                <a:cs typeface="Calibri"/>
              </a:defRPr>
            </a:pPr>
            <a:r>
              <a:rPr lang="en-ZA"/>
              <a:t>Budget funding: water service R'000</a:t>
            </a:r>
          </a:p>
        </c:rich>
      </c:tx>
      <c:layout>
        <c:manualLayout>
          <c:xMode val="edge"/>
          <c:yMode val="edge"/>
          <c:x val="6.4499571962106886E-2"/>
          <c:y val="3.2407487525597758E-2"/>
        </c:manualLayout>
      </c:layout>
      <c:overlay val="0"/>
      <c:spPr>
        <a:noFill/>
        <a:ln w="25400">
          <a:noFill/>
        </a:ln>
      </c:spPr>
    </c:title>
    <c:autoTitleDeleted val="0"/>
    <c:plotArea>
      <c:layout/>
      <c:barChart>
        <c:barDir val="col"/>
        <c:grouping val="stacked"/>
        <c:varyColors val="0"/>
        <c:ser>
          <c:idx val="0"/>
          <c:order val="0"/>
          <c:tx>
            <c:strRef>
              <c:f>'Revenue required'!$D$154</c:f>
              <c:strCache>
                <c:ptCount val="1"/>
                <c:pt idx="0">
                  <c:v>Direct cost</c:v>
                </c:pt>
              </c:strCache>
            </c:strRef>
          </c:tx>
          <c:spPr>
            <a:solidFill>
              <a:schemeClr val="accent5"/>
            </a:solidFill>
          </c:spPr>
          <c:invertIfNegative val="0"/>
          <c:dLbls>
            <c:dLbl>
              <c:idx val="0"/>
              <c:tx>
                <c:strRef>
                  <c:f>'Revenue required'!$E$154</c:f>
                  <c:strCache>
                    <c:ptCount val="1"/>
                    <c:pt idx="0">
                      <c:v> 97 283 </c:v>
                    </c:pt>
                  </c:strCache>
                </c:strRef>
              </c:tx>
              <c:spPr>
                <a:noFill/>
                <a:ln w="25400">
                  <a:noFill/>
                </a:ln>
              </c:spPr>
              <c:txPr>
                <a:bodyPr/>
                <a:lstStyle/>
                <a:p>
                  <a:pPr>
                    <a:defRPr sz="1100" b="0" i="0" u="none" strike="noStrike" baseline="0">
                      <a:solidFill>
                        <a:srgbClr val="333333"/>
                      </a:solidFill>
                      <a:latin typeface="Calibri"/>
                      <a:ea typeface="Calibri"/>
                      <a:cs typeface="Calibri"/>
                    </a:defRPr>
                  </a:pPr>
                  <a:endParaRPr lang="en-US"/>
                </a:p>
              </c:txPr>
              <c:dLblPos val="ctr"/>
              <c:showLegendKey val="0"/>
              <c:showVal val="0"/>
              <c:showCatName val="0"/>
              <c:showSerName val="0"/>
              <c:showPercent val="0"/>
              <c:showBubbleSize val="0"/>
              <c:extLst>
                <c:ext xmlns:c15="http://schemas.microsoft.com/office/drawing/2012/chart" uri="{CE6537A1-D6FC-4f65-9D91-7224C49458BB}">
                  <c15:dlblFieldTable>
                    <c15:dlblFTEntry>
                      <c15:txfldGUID>{2EB3D894-F2FD-4890-9F38-45E96EF1F9F4}</c15:txfldGUID>
                      <c15:f>'Revenue required'!$E$154</c15:f>
                      <c15:dlblFieldTableCache>
                        <c:ptCount val="1"/>
                        <c:pt idx="0">
                          <c:v> 97 283 </c:v>
                        </c:pt>
                      </c15:dlblFieldTableCache>
                    </c15:dlblFTEntry>
                  </c15:dlblFieldTable>
                  <c15:showDataLabelsRange val="0"/>
                </c:ext>
                <c:ext xmlns:c16="http://schemas.microsoft.com/office/drawing/2014/chart" uri="{C3380CC4-5D6E-409C-BE32-E72D297353CC}">
                  <c16:uniqueId val="{00000000-FDB3-44CF-821B-829B403AD5F1}"/>
                </c:ext>
              </c:extLst>
            </c:dLbl>
            <c:spPr>
              <a:noFill/>
              <a:ln w="25400">
                <a:noFill/>
              </a:ln>
            </c:spPr>
            <c:txPr>
              <a:bodyPr wrap="square" lIns="38100" tIns="19050" rIns="38100" bIns="19050" anchor="ctr">
                <a:spAutoFit/>
              </a:bodyPr>
              <a:lstStyle/>
              <a:p>
                <a:pPr>
                  <a:defRPr sz="1100" b="0" i="0" u="none" strike="noStrike" baseline="0">
                    <a:solidFill>
                      <a:srgbClr val="333333"/>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'Revenue required'!$E$154:$F$154</c:f>
            </c:numRef>
          </c:val>
          <c:extLst>
            <c:ext xmlns:c15="http://schemas.microsoft.com/office/drawing/2012/chart" uri="{02D57815-91ED-43cb-92C2-25804820EDAC}">
              <c15:filteredCategoryTitle>
                <c15:cat>
                  <c:multiLvlStrRef>
                    <c:extLst>
                      <c:ext uri="{02D57815-91ED-43cb-92C2-25804820EDAC}">
                        <c15:formulaRef>
                          <c15:sqref>'Revenue required'!$E$153:$F$153</c15:sqref>
                        </c15:formulaRef>
                      </c:ext>
                    </c:extLst>
                  </c:multiLvlStrRef>
                </c15:cat>
              </c15:filteredCategoryTitle>
            </c:ext>
            <c:ext xmlns:c16="http://schemas.microsoft.com/office/drawing/2014/chart" uri="{C3380CC4-5D6E-409C-BE32-E72D297353CC}">
              <c16:uniqueId val="{00000001-FDB3-44CF-821B-829B403AD5F1}"/>
            </c:ext>
          </c:extLst>
        </c:ser>
        <c:ser>
          <c:idx val="1"/>
          <c:order val="1"/>
          <c:tx>
            <c:strRef>
              <c:f>'Revenue required'!$D$155</c:f>
              <c:strCache>
                <c:ptCount val="1"/>
                <c:pt idx="0">
                  <c:v>Indirect cost</c:v>
                </c:pt>
              </c:strCache>
            </c:strRef>
          </c:tx>
          <c:spPr>
            <a:solidFill>
              <a:schemeClr val="accent5">
                <a:lumMod val="60000"/>
                <a:lumOff val="40000"/>
              </a:schemeClr>
            </a:solidFill>
          </c:spPr>
          <c:invertIfNegative val="0"/>
          <c:dLbls>
            <c:dLbl>
              <c:idx val="0"/>
              <c:tx>
                <c:rich>
                  <a:bodyPr/>
                  <a:lstStyle/>
                  <a:p>
                    <a:pPr>
                      <a:defRPr sz="1100" b="0" i="0" u="none" strike="noStrike" baseline="0">
                        <a:solidFill>
                          <a:srgbClr val="333333"/>
                        </a:solidFill>
                        <a:latin typeface="Calibri"/>
                        <a:ea typeface="Calibri"/>
                        <a:cs typeface="Calibri"/>
                      </a:defRPr>
                    </a:pPr>
                    <a:r>
                      <a:rPr lang="en-US"/>
                      <a:t>[VALUE]</a:t>
                    </a:r>
                  </a:p>
                </c:rich>
              </c:tx>
              <c:spPr>
                <a:noFill/>
                <a:ln w="25400">
                  <a:noFill/>
                </a:ln>
              </c:spPr>
              <c:dLblPos val="ctr"/>
              <c:showLegendKey val="0"/>
              <c:showVal val="0"/>
              <c:showCatName val="0"/>
              <c:showSerName val="0"/>
              <c:showPercent val="0"/>
              <c:showBubbleSize val="0"/>
              <c:extLst>
                <c:ext xmlns:c15="http://schemas.microsoft.com/office/drawing/2012/chart" uri="{CE6537A1-D6FC-4f65-9D91-7224C49458BB}">
                  <c15:showDataLabelsRange val="0"/>
                </c:ext>
                <c:ext xmlns:c16="http://schemas.microsoft.com/office/drawing/2014/chart" uri="{C3380CC4-5D6E-409C-BE32-E72D297353CC}">
                  <c16:uniqueId val="{00000002-FDB3-44CF-821B-829B403AD5F1}"/>
                </c:ext>
              </c:extLst>
            </c:dLbl>
            <c:spPr>
              <a:noFill/>
              <a:ln w="25400">
                <a:noFill/>
              </a:ln>
            </c:spPr>
            <c:txPr>
              <a:bodyPr wrap="square" lIns="38100" tIns="19050" rIns="38100" bIns="19050" anchor="ctr">
                <a:spAutoFit/>
              </a:bodyPr>
              <a:lstStyle/>
              <a:p>
                <a:pPr>
                  <a:defRPr sz="1100" b="0" i="0" u="none" strike="noStrike" baseline="0">
                    <a:solidFill>
                      <a:srgbClr val="333333"/>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'Revenue required'!$E$155:$F$155</c:f>
            </c:numRef>
          </c:val>
          <c:extLst>
            <c:ext xmlns:c15="http://schemas.microsoft.com/office/drawing/2012/chart" uri="{02D57815-91ED-43cb-92C2-25804820EDAC}">
              <c15:filteredCategoryTitle>
                <c15:cat>
                  <c:multiLvlStrRef>
                    <c:extLst>
                      <c:ext uri="{02D57815-91ED-43cb-92C2-25804820EDAC}">
                        <c15:formulaRef>
                          <c15:sqref>'Revenue required'!$E$153:$F$153</c15:sqref>
                        </c15:formulaRef>
                      </c:ext>
                    </c:extLst>
                  </c:multiLvlStrRef>
                </c15:cat>
              </c15:filteredCategoryTitle>
            </c:ext>
            <c:ext xmlns:c16="http://schemas.microsoft.com/office/drawing/2014/chart" uri="{C3380CC4-5D6E-409C-BE32-E72D297353CC}">
              <c16:uniqueId val="{00000003-FDB3-44CF-821B-829B403AD5F1}"/>
            </c:ext>
          </c:extLst>
        </c:ser>
        <c:ser>
          <c:idx val="2"/>
          <c:order val="2"/>
          <c:tx>
            <c:strRef>
              <c:f>'Revenue required'!$D$156</c:f>
              <c:strCache>
                <c:ptCount val="1"/>
              </c:strCache>
            </c:strRef>
          </c:tx>
          <c:spPr>
            <a:solidFill>
              <a:schemeClr val="accent6"/>
            </a:solidFill>
          </c:spPr>
          <c:invertIfNegative val="0"/>
          <c:dLbls>
            <c:dLbl>
              <c:idx val="0"/>
              <c:tx>
                <c:strRef>
                  <c:f>'Revenue required'!$E$156</c:f>
                  <c:strCache>
                    <c:ptCount val="1"/>
                    <c:pt idx="0">
                      <c:v> -   </c:v>
                    </c:pt>
                  </c:strCache>
                </c:strRef>
              </c:tx>
              <c:spPr>
                <a:noFill/>
                <a:ln w="25400">
                  <a:noFill/>
                </a:ln>
              </c:spPr>
              <c:txPr>
                <a:bodyPr/>
                <a:lstStyle/>
                <a:p>
                  <a:pPr>
                    <a:defRPr sz="1100" b="0" i="0" u="none" strike="noStrike" baseline="0">
                      <a:solidFill>
                        <a:srgbClr val="333333"/>
                      </a:solidFill>
                      <a:latin typeface="Calibri"/>
                      <a:ea typeface="Calibri"/>
                      <a:cs typeface="Calibri"/>
                    </a:defRPr>
                  </a:pPr>
                  <a:endParaRPr lang="en-US"/>
                </a:p>
              </c:txPr>
              <c:dLblPos val="ctr"/>
              <c:showLegendKey val="0"/>
              <c:showVal val="0"/>
              <c:showCatName val="0"/>
              <c:showSerName val="0"/>
              <c:showPercent val="0"/>
              <c:showBubbleSize val="0"/>
              <c:extLst>
                <c:ext xmlns:c15="http://schemas.microsoft.com/office/drawing/2012/chart" uri="{CE6537A1-D6FC-4f65-9D91-7224C49458BB}">
                  <c15:dlblFieldTable>
                    <c15:dlblFTEntry>
                      <c15:txfldGUID>{95437AAC-A9C0-437E-AC1E-7003D8E98EF5}</c15:txfldGUID>
                      <c15:f>'Revenue required'!$E$156</c15:f>
                      <c15:dlblFieldTableCache>
                        <c:ptCount val="1"/>
                        <c:pt idx="0">
                          <c:v> -   </c:v>
                        </c:pt>
                      </c15:dlblFieldTableCache>
                    </c15:dlblFTEntry>
                  </c15:dlblFieldTable>
                  <c15:showDataLabelsRange val="0"/>
                </c:ext>
                <c:ext xmlns:c16="http://schemas.microsoft.com/office/drawing/2014/chart" uri="{C3380CC4-5D6E-409C-BE32-E72D297353CC}">
                  <c16:uniqueId val="{00000004-FDB3-44CF-821B-829B403AD5F1}"/>
                </c:ext>
              </c:extLst>
            </c:dLbl>
            <c:spPr>
              <a:noFill/>
              <a:ln w="25400">
                <a:noFill/>
              </a:ln>
            </c:spPr>
            <c:txPr>
              <a:bodyPr wrap="square" lIns="38100" tIns="19050" rIns="38100" bIns="19050" anchor="ctr">
                <a:spAutoFit/>
              </a:bodyPr>
              <a:lstStyle/>
              <a:p>
                <a:pPr>
                  <a:defRPr sz="1100" b="0" i="0" u="none" strike="noStrike" baseline="0">
                    <a:solidFill>
                      <a:srgbClr val="333333"/>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'Revenue required'!$E$156:$F$156</c:f>
            </c:numRef>
          </c:val>
          <c:extLst>
            <c:ext xmlns:c15="http://schemas.microsoft.com/office/drawing/2012/chart" uri="{02D57815-91ED-43cb-92C2-25804820EDAC}">
              <c15:filteredCategoryTitle>
                <c15:cat>
                  <c:multiLvlStrRef>
                    <c:extLst>
                      <c:ext uri="{02D57815-91ED-43cb-92C2-25804820EDAC}">
                        <c15:formulaRef>
                          <c15:sqref>'Revenue required'!$E$153:$F$153</c15:sqref>
                        </c15:formulaRef>
                      </c:ext>
                    </c:extLst>
                  </c:multiLvlStrRef>
                </c15:cat>
              </c15:filteredCategoryTitle>
            </c:ext>
            <c:ext xmlns:c16="http://schemas.microsoft.com/office/drawing/2014/chart" uri="{C3380CC4-5D6E-409C-BE32-E72D297353CC}">
              <c16:uniqueId val="{00000005-FDB3-44CF-821B-829B403AD5F1}"/>
            </c:ext>
          </c:extLst>
        </c:ser>
        <c:ser>
          <c:idx val="4"/>
          <c:order val="3"/>
          <c:tx>
            <c:strRef>
              <c:f>'Revenue required'!$D$157</c:f>
              <c:strCache>
                <c:ptCount val="1"/>
                <c:pt idx="0">
                  <c:v>Tariff revenue</c:v>
                </c:pt>
              </c:strCache>
            </c:strRef>
          </c:tx>
          <c:spPr>
            <a:solidFill>
              <a:schemeClr val="accent3">
                <a:lumMod val="75000"/>
              </a:schemeClr>
            </a:solidFill>
          </c:spPr>
          <c:invertIfNegative val="0"/>
          <c:dLbls>
            <c:dLbl>
              <c:idx val="1"/>
              <c:tx>
                <c:strRef>
                  <c:f>'Revenue required'!$F$157</c:f>
                  <c:strCache>
                    <c:ptCount val="1"/>
                    <c:pt idx="0">
                      <c:v> 108 238 </c:v>
                    </c:pt>
                  </c:strCache>
                </c:strRef>
              </c:tx>
              <c:spPr>
                <a:noFill/>
                <a:ln w="25400">
                  <a:noFill/>
                </a:ln>
              </c:spPr>
              <c:txPr>
                <a:bodyPr/>
                <a:lstStyle/>
                <a:p>
                  <a:pPr>
                    <a:defRPr sz="1100" b="0" i="0" u="none" strike="noStrike" baseline="0">
                      <a:solidFill>
                        <a:srgbClr val="333333"/>
                      </a:solidFill>
                      <a:latin typeface="Calibri"/>
                      <a:ea typeface="Calibri"/>
                      <a:cs typeface="Calibri"/>
                    </a:defRPr>
                  </a:pPr>
                  <a:endParaRPr lang="en-US"/>
                </a:p>
              </c:txPr>
              <c:dLblPos val="ctr"/>
              <c:showLegendKey val="0"/>
              <c:showVal val="0"/>
              <c:showCatName val="0"/>
              <c:showSerName val="0"/>
              <c:showPercent val="0"/>
              <c:showBubbleSize val="0"/>
              <c:extLst>
                <c:ext xmlns:c15="http://schemas.microsoft.com/office/drawing/2012/chart" uri="{CE6537A1-D6FC-4f65-9D91-7224C49458BB}">
                  <c15:dlblFieldTable>
                    <c15:dlblFTEntry>
                      <c15:txfldGUID>{27A391C8-0AA4-4E4F-AC4A-ED73951E73A5}</c15:txfldGUID>
                      <c15:f>'Revenue required'!$F$157</c15:f>
                      <c15:dlblFieldTableCache>
                        <c:ptCount val="1"/>
                        <c:pt idx="0">
                          <c:v> 108 238 </c:v>
                        </c:pt>
                      </c15:dlblFieldTableCache>
                    </c15:dlblFTEntry>
                  </c15:dlblFieldTable>
                  <c15:showDataLabelsRange val="0"/>
                </c:ext>
                <c:ext xmlns:c16="http://schemas.microsoft.com/office/drawing/2014/chart" uri="{C3380CC4-5D6E-409C-BE32-E72D297353CC}">
                  <c16:uniqueId val="{00000006-FDB3-44CF-821B-829B403AD5F1}"/>
                </c:ext>
              </c:extLst>
            </c:dLbl>
            <c:spPr>
              <a:noFill/>
              <a:ln w="25400">
                <a:noFill/>
              </a:ln>
            </c:spPr>
            <c:txPr>
              <a:bodyPr wrap="square" lIns="38100" tIns="19050" rIns="38100" bIns="19050" anchor="ctr">
                <a:spAutoFit/>
              </a:bodyPr>
              <a:lstStyle/>
              <a:p>
                <a:pPr>
                  <a:defRPr sz="1100" b="0" i="0" u="none" strike="noStrike" baseline="0">
                    <a:solidFill>
                      <a:srgbClr val="333333"/>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'Revenue required'!$E$157:$F$157</c:f>
            </c:numRef>
          </c:val>
          <c:extLst>
            <c:ext xmlns:c15="http://schemas.microsoft.com/office/drawing/2012/chart" uri="{02D57815-91ED-43cb-92C2-25804820EDAC}">
              <c15:filteredCategoryTitle>
                <c15:cat>
                  <c:multiLvlStrRef>
                    <c:extLst>
                      <c:ext uri="{02D57815-91ED-43cb-92C2-25804820EDAC}">
                        <c15:formulaRef>
                          <c15:sqref>'Revenue required'!$E$153:$F$153</c15:sqref>
                        </c15:formulaRef>
                      </c:ext>
                    </c:extLst>
                  </c:multiLvlStrRef>
                </c15:cat>
              </c15:filteredCategoryTitle>
            </c:ext>
            <c:ext xmlns:c16="http://schemas.microsoft.com/office/drawing/2014/chart" uri="{C3380CC4-5D6E-409C-BE32-E72D297353CC}">
              <c16:uniqueId val="{00000007-FDB3-44CF-821B-829B403AD5F1}"/>
            </c:ext>
          </c:extLst>
        </c:ser>
        <c:ser>
          <c:idx val="5"/>
          <c:order val="4"/>
          <c:tx>
            <c:strRef>
              <c:f>'Revenue required'!$D$158</c:f>
              <c:strCache>
                <c:ptCount val="1"/>
                <c:pt idx="0">
                  <c:v>Non-tariff revenue</c:v>
                </c:pt>
              </c:strCache>
            </c:strRef>
          </c:tx>
          <c:spPr>
            <a:solidFill>
              <a:schemeClr val="accent3"/>
            </a:solidFill>
          </c:spPr>
          <c:invertIfNegative val="0"/>
          <c:dLbls>
            <c:dLbl>
              <c:idx val="1"/>
              <c:tx>
                <c:strRef>
                  <c:f>'Revenue required'!$F$158</c:f>
                  <c:strCache>
                    <c:ptCount val="1"/>
                    <c:pt idx="0">
                      <c:v> 26 427 </c:v>
                    </c:pt>
                  </c:strCache>
                </c:strRef>
              </c:tx>
              <c:spPr>
                <a:noFill/>
                <a:ln w="25400">
                  <a:noFill/>
                </a:ln>
              </c:spPr>
              <c:txPr>
                <a:bodyPr/>
                <a:lstStyle/>
                <a:p>
                  <a:pPr>
                    <a:defRPr sz="1100" b="0" i="0" u="none" strike="noStrike" baseline="0">
                      <a:solidFill>
                        <a:srgbClr val="333333"/>
                      </a:solidFill>
                      <a:latin typeface="Calibri"/>
                      <a:ea typeface="Calibri"/>
                      <a:cs typeface="Calibri"/>
                    </a:defRPr>
                  </a:pPr>
                  <a:endParaRPr lang="en-US"/>
                </a:p>
              </c:txPr>
              <c:dLblPos val="ctr"/>
              <c:showLegendKey val="0"/>
              <c:showVal val="0"/>
              <c:showCatName val="0"/>
              <c:showSerName val="0"/>
              <c:showPercent val="0"/>
              <c:showBubbleSize val="0"/>
              <c:extLst>
                <c:ext xmlns:c15="http://schemas.microsoft.com/office/drawing/2012/chart" uri="{CE6537A1-D6FC-4f65-9D91-7224C49458BB}">
                  <c15:dlblFieldTable>
                    <c15:dlblFTEntry>
                      <c15:txfldGUID>{FF7A2DB4-A483-4BFE-A154-D198DCDBF339}</c15:txfldGUID>
                      <c15:f>'Revenue required'!$F$158</c15:f>
                      <c15:dlblFieldTableCache>
                        <c:ptCount val="1"/>
                        <c:pt idx="0">
                          <c:v> 26 427 </c:v>
                        </c:pt>
                      </c15:dlblFieldTableCache>
                    </c15:dlblFTEntry>
                  </c15:dlblFieldTable>
                  <c15:showDataLabelsRange val="0"/>
                </c:ext>
                <c:ext xmlns:c16="http://schemas.microsoft.com/office/drawing/2014/chart" uri="{C3380CC4-5D6E-409C-BE32-E72D297353CC}">
                  <c16:uniqueId val="{00000008-FDB3-44CF-821B-829B403AD5F1}"/>
                </c:ext>
              </c:extLst>
            </c:dLbl>
            <c:spPr>
              <a:noFill/>
              <a:ln w="25400">
                <a:noFill/>
              </a:ln>
            </c:spPr>
            <c:txPr>
              <a:bodyPr wrap="square" lIns="38100" tIns="19050" rIns="38100" bIns="19050" anchor="ctr">
                <a:spAutoFit/>
              </a:bodyPr>
              <a:lstStyle/>
              <a:p>
                <a:pPr>
                  <a:defRPr sz="1100" b="0" i="0" u="none" strike="noStrike" baseline="0">
                    <a:solidFill>
                      <a:srgbClr val="333333"/>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'Revenue required'!$E$158:$F$158</c:f>
            </c:numRef>
          </c:val>
          <c:extLst>
            <c:ext xmlns:c15="http://schemas.microsoft.com/office/drawing/2012/chart" uri="{02D57815-91ED-43cb-92C2-25804820EDAC}">
              <c15:filteredCategoryTitle>
                <c15:cat>
                  <c:multiLvlStrRef>
                    <c:extLst>
                      <c:ext uri="{02D57815-91ED-43cb-92C2-25804820EDAC}">
                        <c15:formulaRef>
                          <c15:sqref>'Revenue required'!$E$153:$F$153</c15:sqref>
                        </c15:formulaRef>
                      </c:ext>
                    </c:extLst>
                  </c:multiLvlStrRef>
                </c15:cat>
              </c15:filteredCategoryTitle>
            </c:ext>
            <c:ext xmlns:c16="http://schemas.microsoft.com/office/drawing/2014/chart" uri="{C3380CC4-5D6E-409C-BE32-E72D297353CC}">
              <c16:uniqueId val="{00000009-FDB3-44CF-821B-829B403AD5F1}"/>
            </c:ext>
          </c:extLst>
        </c:ser>
        <c:ser>
          <c:idx val="3"/>
          <c:order val="5"/>
          <c:tx>
            <c:strRef>
              <c:f>'Revenue required'!$D$159</c:f>
              <c:strCache>
                <c:ptCount val="1"/>
              </c:strCache>
            </c:strRef>
          </c:tx>
          <c:invertIfNegative val="0"/>
          <c:dLbls>
            <c:dLbl>
              <c:idx val="1"/>
              <c:tx>
                <c:strRef>
                  <c:f>'Revenue required'!$F$159</c:f>
                  <c:strCache>
                    <c:ptCount val="1"/>
                    <c:pt idx="0">
                      <c:v> -   </c:v>
                    </c:pt>
                  </c:strCache>
                </c:strRef>
              </c:tx>
              <c:spPr>
                <a:noFill/>
                <a:ln w="25400">
                  <a:noFill/>
                </a:ln>
              </c:spPr>
              <c:txPr>
                <a:bodyPr/>
                <a:lstStyle/>
                <a:p>
                  <a:pPr>
                    <a:defRPr sz="1100" b="0" i="0" u="none" strike="noStrike" baseline="0">
                      <a:solidFill>
                        <a:srgbClr val="333333"/>
                      </a:solidFill>
                      <a:latin typeface="Calibri"/>
                      <a:ea typeface="Calibri"/>
                      <a:cs typeface="Calibri"/>
                    </a:defRPr>
                  </a:pPr>
                  <a:endParaRPr lang="en-US"/>
                </a:p>
              </c:txPr>
              <c:dLblPos val="ctr"/>
              <c:showLegendKey val="0"/>
              <c:showVal val="0"/>
              <c:showCatName val="0"/>
              <c:showSerName val="0"/>
              <c:showPercent val="0"/>
              <c:showBubbleSize val="0"/>
              <c:extLst>
                <c:ext xmlns:c15="http://schemas.microsoft.com/office/drawing/2012/chart" uri="{CE6537A1-D6FC-4f65-9D91-7224C49458BB}">
                  <c15:dlblFieldTable>
                    <c15:dlblFTEntry>
                      <c15:txfldGUID>{B942CD6C-BA26-4F6F-AEFA-EB9FB2CA9971}</c15:txfldGUID>
                      <c15:f>'Revenue required'!$F$159</c15:f>
                      <c15:dlblFieldTableCache>
                        <c:ptCount val="1"/>
                        <c:pt idx="0">
                          <c:v> -   </c:v>
                        </c:pt>
                      </c15:dlblFieldTableCache>
                    </c15:dlblFTEntry>
                  </c15:dlblFieldTable>
                  <c15:showDataLabelsRange val="0"/>
                </c:ext>
                <c:ext xmlns:c16="http://schemas.microsoft.com/office/drawing/2014/chart" uri="{C3380CC4-5D6E-409C-BE32-E72D297353CC}">
                  <c16:uniqueId val="{0000000A-FDB3-44CF-821B-829B403AD5F1}"/>
                </c:ext>
              </c:extLst>
            </c:dLbl>
            <c:spPr>
              <a:noFill/>
              <a:ln w="25400">
                <a:noFill/>
              </a:ln>
            </c:spPr>
            <c:txPr>
              <a:bodyPr wrap="square" lIns="38100" tIns="19050" rIns="38100" bIns="19050" anchor="ctr">
                <a:spAutoFit/>
              </a:bodyPr>
              <a:lstStyle/>
              <a:p>
                <a:pPr>
                  <a:defRPr sz="1100" b="0" i="0" u="none" strike="noStrike" baseline="0">
                    <a:solidFill>
                      <a:srgbClr val="333333"/>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'Revenue required'!$E$159:$F$159</c:f>
            </c:numRef>
          </c:val>
          <c:extLst>
            <c:ext xmlns:c15="http://schemas.microsoft.com/office/drawing/2012/chart" uri="{02D57815-91ED-43cb-92C2-25804820EDAC}">
              <c15:filteredCategoryTitle>
                <c15:cat>
                  <c:multiLvlStrRef>
                    <c:extLst>
                      <c:ext uri="{02D57815-91ED-43cb-92C2-25804820EDAC}">
                        <c15:formulaRef>
                          <c15:sqref>'Revenue required'!$E$153:$F$153</c15:sqref>
                        </c15:formulaRef>
                      </c:ext>
                    </c:extLst>
                  </c:multiLvlStrRef>
                </c15:cat>
              </c15:filteredCategoryTitle>
            </c:ext>
            <c:ext xmlns:c16="http://schemas.microsoft.com/office/drawing/2014/chart" uri="{C3380CC4-5D6E-409C-BE32-E72D297353CC}">
              <c16:uniqueId val="{0000000B-FDB3-44CF-821B-829B403AD5F1}"/>
            </c:ext>
          </c:extLst>
        </c:ser>
        <c:dLbls>
          <c:showLegendKey val="0"/>
          <c:showVal val="0"/>
          <c:showCatName val="0"/>
          <c:showSerName val="0"/>
          <c:showPercent val="0"/>
          <c:showBubbleSize val="0"/>
        </c:dLbls>
        <c:gapWidth val="25"/>
        <c:overlap val="100"/>
        <c:axId val="1390195759"/>
        <c:axId val="1"/>
      </c:barChart>
      <c:catAx>
        <c:axId val="1390195759"/>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0" vert="horz"/>
          <a:lstStyle/>
          <a:p>
            <a:pPr>
              <a:defRPr sz="1100" b="0" i="0" u="none" strike="noStrike" baseline="0">
                <a:solidFill>
                  <a:srgbClr val="333333"/>
                </a:solidFill>
                <a:latin typeface="Calibri"/>
                <a:ea typeface="Calibri"/>
                <a:cs typeface="Calibri"/>
              </a:defRPr>
            </a:pPr>
            <a:endParaRPr lang="en-US"/>
          </a:p>
        </c:txPr>
        <c:crossAx val="1"/>
        <c:crosses val="autoZero"/>
        <c:auto val="1"/>
        <c:lblAlgn val="ctr"/>
        <c:lblOffset val="100"/>
        <c:noMultiLvlLbl val="0"/>
      </c:catAx>
      <c:valAx>
        <c:axId val="1"/>
        <c:scaling>
          <c:orientation val="minMax"/>
        </c:scaling>
        <c:delete val="1"/>
        <c:axPos val="l"/>
        <c:majorGridlines>
          <c:spPr>
            <a:ln w="9525" cap="flat" cmpd="sng" algn="ctr">
              <a:solidFill>
                <a:schemeClr val="tx1">
                  <a:lumMod val="15000"/>
                  <a:lumOff val="85000"/>
                </a:schemeClr>
              </a:solidFill>
              <a:round/>
            </a:ln>
            <a:effectLst/>
          </c:spPr>
        </c:majorGridlines>
        <c:numFmt formatCode="_-* #\ ##0_-;\-* #\ ##0_-;_-* &quot;-&quot;??_-;_-@_-" sourceLinked="1"/>
        <c:majorTickMark val="out"/>
        <c:minorTickMark val="none"/>
        <c:tickLblPos val="nextTo"/>
        <c:crossAx val="1390195759"/>
        <c:crosses val="autoZero"/>
        <c:crossBetween val="between"/>
      </c:valAx>
    </c:plotArea>
    <c:plotVisOnly val="1"/>
    <c:dispBlanksAs val="gap"/>
    <c:showDLblsOverMax val="0"/>
  </c:chart>
  <c:spPr>
    <a:solidFill>
      <a:schemeClr val="bg1"/>
    </a:solidFill>
    <a:ln w="9525" cap="flat" cmpd="sng" algn="ctr">
      <a:noFill/>
      <a:round/>
    </a:ln>
    <a:effectLst/>
  </c:spPr>
  <c:txPr>
    <a:bodyPr/>
    <a:lstStyle/>
    <a:p>
      <a:pPr>
        <a:defRPr sz="11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charts/chart3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320" b="0" i="0" u="none" strike="noStrike" baseline="0">
                <a:solidFill>
                  <a:srgbClr val="333333"/>
                </a:solidFill>
                <a:latin typeface="Calibri"/>
                <a:ea typeface="Calibri"/>
                <a:cs typeface="Calibri"/>
              </a:defRPr>
            </a:pPr>
            <a:r>
              <a:rPr lang="en-ZA"/>
              <a:t>Budget funding: water service: %s</a:t>
            </a:r>
          </a:p>
        </c:rich>
      </c:tx>
      <c:layout>
        <c:manualLayout>
          <c:xMode val="edge"/>
          <c:yMode val="edge"/>
          <c:x val="3.5577490612716478E-2"/>
          <c:y val="5.0906329016565235E-2"/>
        </c:manualLayout>
      </c:layout>
      <c:overlay val="0"/>
      <c:spPr>
        <a:noFill/>
        <a:ln w="25400">
          <a:noFill/>
        </a:ln>
      </c:spPr>
    </c:title>
    <c:autoTitleDeleted val="0"/>
    <c:plotArea>
      <c:layout/>
      <c:barChart>
        <c:barDir val="col"/>
        <c:grouping val="percentStacked"/>
        <c:varyColors val="0"/>
        <c:ser>
          <c:idx val="0"/>
          <c:order val="0"/>
          <c:tx>
            <c:strRef>
              <c:f>'Revenue required'!$G$154</c:f>
              <c:strCache>
                <c:ptCount val="1"/>
                <c:pt idx="0">
                  <c:v>Direct cost</c:v>
                </c:pt>
              </c:strCache>
            </c:strRef>
          </c:tx>
          <c:spPr>
            <a:solidFill>
              <a:schemeClr val="accent5"/>
            </a:solidFill>
          </c:spPr>
          <c:invertIfNegative val="0"/>
          <c:dLbls>
            <c:spPr>
              <a:noFill/>
              <a:ln w="25400">
                <a:noFill/>
              </a:ln>
            </c:spPr>
            <c:txPr>
              <a:bodyPr wrap="square" lIns="38100" tIns="19050" rIns="38100" bIns="19050" anchor="ctr">
                <a:spAutoFit/>
              </a:bodyPr>
              <a:lstStyle/>
              <a:p>
                <a:pPr>
                  <a:defRPr sz="1100" b="0" i="0" u="none" strike="noStrike" baseline="0">
                    <a:solidFill>
                      <a:srgbClr val="333333"/>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'Revenue required'!$H$154:$I$154</c:f>
            </c:numRef>
          </c:val>
          <c:extLst>
            <c:ext xmlns:c15="http://schemas.microsoft.com/office/drawing/2012/chart" uri="{02D57815-91ED-43cb-92C2-25804820EDAC}">
              <c15:filteredCategoryTitle>
                <c15:cat>
                  <c:multiLvlStrRef>
                    <c:extLst>
                      <c:ext uri="{02D57815-91ED-43cb-92C2-25804820EDAC}">
                        <c15:formulaRef>
                          <c15:sqref>'Revenue required'!$H$153:$I$153</c15:sqref>
                        </c15:formulaRef>
                      </c:ext>
                    </c:extLst>
                  </c:multiLvlStrRef>
                </c15:cat>
              </c15:filteredCategoryTitle>
            </c:ext>
            <c:ext xmlns:c16="http://schemas.microsoft.com/office/drawing/2014/chart" uri="{C3380CC4-5D6E-409C-BE32-E72D297353CC}">
              <c16:uniqueId val="{00000000-E32D-4CB6-A33C-51DAD97E026B}"/>
            </c:ext>
          </c:extLst>
        </c:ser>
        <c:ser>
          <c:idx val="1"/>
          <c:order val="1"/>
          <c:tx>
            <c:strRef>
              <c:f>'Revenue required'!$G$155</c:f>
              <c:strCache>
                <c:ptCount val="1"/>
                <c:pt idx="0">
                  <c:v>Indirect cost</c:v>
                </c:pt>
              </c:strCache>
            </c:strRef>
          </c:tx>
          <c:spPr>
            <a:solidFill>
              <a:schemeClr val="accent5">
                <a:lumMod val="60000"/>
                <a:lumOff val="40000"/>
              </a:schemeClr>
            </a:solidFill>
          </c:spPr>
          <c:invertIfNegative val="0"/>
          <c:dLbls>
            <c:spPr>
              <a:noFill/>
              <a:ln w="25400">
                <a:noFill/>
              </a:ln>
            </c:spPr>
            <c:txPr>
              <a:bodyPr wrap="square" lIns="38100" tIns="19050" rIns="38100" bIns="19050" anchor="ctr">
                <a:spAutoFit/>
              </a:bodyPr>
              <a:lstStyle/>
              <a:p>
                <a:pPr>
                  <a:defRPr sz="1100" b="0" i="0" u="none" strike="noStrike" baseline="0">
                    <a:solidFill>
                      <a:srgbClr val="333333"/>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'Revenue required'!$H$155:$I$155</c:f>
            </c:numRef>
          </c:val>
          <c:extLst>
            <c:ext xmlns:c15="http://schemas.microsoft.com/office/drawing/2012/chart" uri="{02D57815-91ED-43cb-92C2-25804820EDAC}">
              <c15:filteredCategoryTitle>
                <c15:cat>
                  <c:multiLvlStrRef>
                    <c:extLst>
                      <c:ext uri="{02D57815-91ED-43cb-92C2-25804820EDAC}">
                        <c15:formulaRef>
                          <c15:sqref>'Revenue required'!$H$153:$I$153</c15:sqref>
                        </c15:formulaRef>
                      </c:ext>
                    </c:extLst>
                  </c:multiLvlStrRef>
                </c15:cat>
              </c15:filteredCategoryTitle>
            </c:ext>
            <c:ext xmlns:c16="http://schemas.microsoft.com/office/drawing/2014/chart" uri="{C3380CC4-5D6E-409C-BE32-E72D297353CC}">
              <c16:uniqueId val="{00000001-E32D-4CB6-A33C-51DAD97E026B}"/>
            </c:ext>
          </c:extLst>
        </c:ser>
        <c:ser>
          <c:idx val="2"/>
          <c:order val="2"/>
          <c:tx>
            <c:strRef>
              <c:f>'Revenue required'!$G$156</c:f>
              <c:strCache>
                <c:ptCount val="1"/>
              </c:strCache>
            </c:strRef>
          </c:tx>
          <c:spPr>
            <a:solidFill>
              <a:schemeClr val="accent6"/>
            </a:solidFill>
          </c:spPr>
          <c:invertIfNegative val="0"/>
          <c:dLbls>
            <c:spPr>
              <a:noFill/>
              <a:ln w="25400">
                <a:noFill/>
              </a:ln>
            </c:spPr>
            <c:txPr>
              <a:bodyPr wrap="square" lIns="38100" tIns="19050" rIns="38100" bIns="19050" anchor="ctr">
                <a:spAutoFit/>
              </a:bodyPr>
              <a:lstStyle/>
              <a:p>
                <a:pPr>
                  <a:defRPr sz="1100" b="0" i="0" u="none" strike="noStrike" baseline="0">
                    <a:solidFill>
                      <a:srgbClr val="333333"/>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'Revenue required'!$H$156:$I$156</c:f>
            </c:numRef>
          </c:val>
          <c:extLst>
            <c:ext xmlns:c15="http://schemas.microsoft.com/office/drawing/2012/chart" uri="{02D57815-91ED-43cb-92C2-25804820EDAC}">
              <c15:filteredCategoryTitle>
                <c15:cat>
                  <c:multiLvlStrRef>
                    <c:extLst>
                      <c:ext uri="{02D57815-91ED-43cb-92C2-25804820EDAC}">
                        <c15:formulaRef>
                          <c15:sqref>'Revenue required'!$H$153:$I$153</c15:sqref>
                        </c15:formulaRef>
                      </c:ext>
                    </c:extLst>
                  </c:multiLvlStrRef>
                </c15:cat>
              </c15:filteredCategoryTitle>
            </c:ext>
            <c:ext xmlns:c16="http://schemas.microsoft.com/office/drawing/2014/chart" uri="{C3380CC4-5D6E-409C-BE32-E72D297353CC}">
              <c16:uniqueId val="{00000002-E32D-4CB6-A33C-51DAD97E026B}"/>
            </c:ext>
          </c:extLst>
        </c:ser>
        <c:ser>
          <c:idx val="4"/>
          <c:order val="3"/>
          <c:tx>
            <c:strRef>
              <c:f>'Revenue required'!$G$157</c:f>
              <c:strCache>
                <c:ptCount val="1"/>
                <c:pt idx="0">
                  <c:v>Tariff revenue</c:v>
                </c:pt>
              </c:strCache>
            </c:strRef>
          </c:tx>
          <c:spPr>
            <a:solidFill>
              <a:schemeClr val="accent3">
                <a:lumMod val="75000"/>
              </a:schemeClr>
            </a:solidFill>
          </c:spPr>
          <c:invertIfNegative val="0"/>
          <c:dLbls>
            <c:spPr>
              <a:noFill/>
              <a:ln w="25400">
                <a:noFill/>
              </a:ln>
            </c:spPr>
            <c:txPr>
              <a:bodyPr wrap="square" lIns="38100" tIns="19050" rIns="38100" bIns="19050" anchor="ctr">
                <a:spAutoFit/>
              </a:bodyPr>
              <a:lstStyle/>
              <a:p>
                <a:pPr>
                  <a:defRPr sz="1100" b="0" i="0" u="none" strike="noStrike" baseline="0">
                    <a:solidFill>
                      <a:srgbClr val="333333"/>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'Revenue required'!$H$157:$I$157</c:f>
            </c:numRef>
          </c:val>
          <c:extLst>
            <c:ext xmlns:c15="http://schemas.microsoft.com/office/drawing/2012/chart" uri="{02D57815-91ED-43cb-92C2-25804820EDAC}">
              <c15:filteredCategoryTitle>
                <c15:cat>
                  <c:multiLvlStrRef>
                    <c:extLst>
                      <c:ext uri="{02D57815-91ED-43cb-92C2-25804820EDAC}">
                        <c15:formulaRef>
                          <c15:sqref>'Revenue required'!$H$153:$I$153</c15:sqref>
                        </c15:formulaRef>
                      </c:ext>
                    </c:extLst>
                  </c:multiLvlStrRef>
                </c15:cat>
              </c15:filteredCategoryTitle>
            </c:ext>
            <c:ext xmlns:c16="http://schemas.microsoft.com/office/drawing/2014/chart" uri="{C3380CC4-5D6E-409C-BE32-E72D297353CC}">
              <c16:uniqueId val="{00000003-E32D-4CB6-A33C-51DAD97E026B}"/>
            </c:ext>
          </c:extLst>
        </c:ser>
        <c:ser>
          <c:idx val="5"/>
          <c:order val="4"/>
          <c:tx>
            <c:strRef>
              <c:f>'Revenue required'!$G$158</c:f>
              <c:strCache>
                <c:ptCount val="1"/>
                <c:pt idx="0">
                  <c:v>Non-tariff revenue</c:v>
                </c:pt>
              </c:strCache>
            </c:strRef>
          </c:tx>
          <c:spPr>
            <a:solidFill>
              <a:schemeClr val="accent3"/>
            </a:solidFill>
          </c:spPr>
          <c:invertIfNegative val="0"/>
          <c:dLbls>
            <c:spPr>
              <a:noFill/>
              <a:ln w="25400">
                <a:noFill/>
              </a:ln>
            </c:spPr>
            <c:txPr>
              <a:bodyPr wrap="square" lIns="38100" tIns="19050" rIns="38100" bIns="19050" anchor="ctr">
                <a:spAutoFit/>
              </a:bodyPr>
              <a:lstStyle/>
              <a:p>
                <a:pPr>
                  <a:defRPr sz="1100" b="0" i="0" u="none" strike="noStrike" baseline="0">
                    <a:solidFill>
                      <a:srgbClr val="333333"/>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'Revenue required'!$H$158:$I$158</c:f>
            </c:numRef>
          </c:val>
          <c:extLst>
            <c:ext xmlns:c15="http://schemas.microsoft.com/office/drawing/2012/chart" uri="{02D57815-91ED-43cb-92C2-25804820EDAC}">
              <c15:filteredCategoryTitle>
                <c15:cat>
                  <c:multiLvlStrRef>
                    <c:extLst>
                      <c:ext uri="{02D57815-91ED-43cb-92C2-25804820EDAC}">
                        <c15:formulaRef>
                          <c15:sqref>'Revenue required'!$H$153:$I$153</c15:sqref>
                        </c15:formulaRef>
                      </c:ext>
                    </c:extLst>
                  </c:multiLvlStrRef>
                </c15:cat>
              </c15:filteredCategoryTitle>
            </c:ext>
            <c:ext xmlns:c16="http://schemas.microsoft.com/office/drawing/2014/chart" uri="{C3380CC4-5D6E-409C-BE32-E72D297353CC}">
              <c16:uniqueId val="{00000004-E32D-4CB6-A33C-51DAD97E026B}"/>
            </c:ext>
          </c:extLst>
        </c:ser>
        <c:ser>
          <c:idx val="3"/>
          <c:order val="5"/>
          <c:tx>
            <c:strRef>
              <c:f>'Revenue required'!$G$159</c:f>
              <c:strCache>
                <c:ptCount val="1"/>
              </c:strCache>
            </c:strRef>
          </c:tx>
          <c:invertIfNegative val="0"/>
          <c:dLbls>
            <c:spPr>
              <a:noFill/>
              <a:ln w="25400">
                <a:noFill/>
              </a:ln>
            </c:spPr>
            <c:txPr>
              <a:bodyPr wrap="square" lIns="38100" tIns="19050" rIns="38100" bIns="19050" anchor="ctr">
                <a:spAutoFit/>
              </a:bodyPr>
              <a:lstStyle/>
              <a:p>
                <a:pPr>
                  <a:defRPr sz="1100" b="0" i="0" u="none" strike="noStrike" baseline="0">
                    <a:solidFill>
                      <a:srgbClr val="333333"/>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'Revenue required'!$H$159:$I$159</c:f>
            </c:numRef>
          </c:val>
          <c:extLst>
            <c:ext xmlns:c15="http://schemas.microsoft.com/office/drawing/2012/chart" uri="{02D57815-91ED-43cb-92C2-25804820EDAC}">
              <c15:filteredCategoryTitle>
                <c15:cat>
                  <c:multiLvlStrRef>
                    <c:extLst>
                      <c:ext uri="{02D57815-91ED-43cb-92C2-25804820EDAC}">
                        <c15:formulaRef>
                          <c15:sqref>'Revenue required'!$H$153:$I$153</c15:sqref>
                        </c15:formulaRef>
                      </c:ext>
                    </c:extLst>
                  </c:multiLvlStrRef>
                </c15:cat>
              </c15:filteredCategoryTitle>
            </c:ext>
            <c:ext xmlns:c16="http://schemas.microsoft.com/office/drawing/2014/chart" uri="{C3380CC4-5D6E-409C-BE32-E72D297353CC}">
              <c16:uniqueId val="{00000005-E32D-4CB6-A33C-51DAD97E026B}"/>
            </c:ext>
          </c:extLst>
        </c:ser>
        <c:dLbls>
          <c:showLegendKey val="0"/>
          <c:showVal val="0"/>
          <c:showCatName val="0"/>
          <c:showSerName val="0"/>
          <c:showPercent val="0"/>
          <c:showBubbleSize val="0"/>
        </c:dLbls>
        <c:gapWidth val="25"/>
        <c:overlap val="100"/>
        <c:axId val="1390191919"/>
        <c:axId val="1"/>
      </c:barChart>
      <c:catAx>
        <c:axId val="1390191919"/>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0" vert="horz"/>
          <a:lstStyle/>
          <a:p>
            <a:pPr>
              <a:defRPr sz="1100" b="0" i="0" u="none" strike="noStrike" baseline="0">
                <a:solidFill>
                  <a:srgbClr val="333333"/>
                </a:solidFill>
                <a:latin typeface="Calibri"/>
                <a:ea typeface="Calibri"/>
                <a:cs typeface="Calibri"/>
              </a:defRPr>
            </a:pPr>
            <a:endParaRPr lang="en-US"/>
          </a:p>
        </c:txPr>
        <c:crossAx val="1"/>
        <c:crosses val="autoZero"/>
        <c:auto val="1"/>
        <c:lblAlgn val="ctr"/>
        <c:lblOffset val="100"/>
        <c:noMultiLvlLbl val="0"/>
      </c:catAx>
      <c:valAx>
        <c:axId val="1"/>
        <c:scaling>
          <c:orientation val="minMax"/>
        </c:scaling>
        <c:delete val="1"/>
        <c:axPos val="l"/>
        <c:majorGridlines>
          <c:spPr>
            <a:ln w="9525" cap="flat" cmpd="sng" algn="ctr">
              <a:solidFill>
                <a:schemeClr val="tx1">
                  <a:lumMod val="15000"/>
                  <a:lumOff val="85000"/>
                </a:schemeClr>
              </a:solidFill>
              <a:round/>
            </a:ln>
            <a:effectLst/>
          </c:spPr>
        </c:majorGridlines>
        <c:numFmt formatCode="0%" sourceLinked="1"/>
        <c:majorTickMark val="out"/>
        <c:minorTickMark val="none"/>
        <c:tickLblPos val="nextTo"/>
        <c:crossAx val="1390191919"/>
        <c:crosses val="autoZero"/>
        <c:crossBetween val="between"/>
      </c:valAx>
    </c:plotArea>
    <c:plotVisOnly val="1"/>
    <c:dispBlanksAs val="gap"/>
    <c:showDLblsOverMax val="0"/>
  </c:chart>
  <c:spPr>
    <a:solidFill>
      <a:schemeClr val="bg1"/>
    </a:solidFill>
    <a:ln w="9525" cap="flat" cmpd="sng" algn="ctr">
      <a:noFill/>
      <a:round/>
    </a:ln>
    <a:effectLst/>
  </c:spPr>
  <c:txPr>
    <a:bodyPr/>
    <a:lstStyle/>
    <a:p>
      <a:pPr>
        <a:defRPr sz="11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charts/chart3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320" b="0" i="0" u="none" strike="noStrike" baseline="0">
                <a:solidFill>
                  <a:srgbClr val="333333"/>
                </a:solidFill>
                <a:latin typeface="Calibri"/>
                <a:ea typeface="Calibri"/>
                <a:cs typeface="Calibri"/>
              </a:defRPr>
            </a:pPr>
            <a:r>
              <a:rPr lang="en-ZA"/>
              <a:t>Budget funding: sanitation service: categories</a:t>
            </a:r>
          </a:p>
        </c:rich>
      </c:tx>
      <c:layout>
        <c:manualLayout>
          <c:xMode val="edge"/>
          <c:yMode val="edge"/>
          <c:x val="6.8346456692913379E-2"/>
          <c:y val="4.1609029640525708E-2"/>
        </c:manualLayout>
      </c:layout>
      <c:overlay val="0"/>
      <c:spPr>
        <a:noFill/>
        <a:ln w="25400">
          <a:noFill/>
        </a:ln>
      </c:spPr>
    </c:title>
    <c:autoTitleDeleted val="0"/>
    <c:plotArea>
      <c:layout/>
      <c:barChart>
        <c:barDir val="col"/>
        <c:grouping val="stacked"/>
        <c:varyColors val="0"/>
        <c:ser>
          <c:idx val="0"/>
          <c:order val="0"/>
          <c:tx>
            <c:strRef>
              <c:f>'Revenue required'!$D$164</c:f>
              <c:strCache>
                <c:ptCount val="1"/>
                <c:pt idx="0">
                  <c:v>Direct cost</c:v>
                </c:pt>
              </c:strCache>
            </c:strRef>
          </c:tx>
          <c:spPr>
            <a:solidFill>
              <a:schemeClr val="accent5"/>
            </a:solidFill>
          </c:spPr>
          <c:invertIfNegative val="0"/>
          <c:dLbls>
            <c:dLbl>
              <c:idx val="0"/>
              <c:tx>
                <c:strRef>
                  <c:f>'Revenue required'!$D$164</c:f>
                  <c:strCache>
                    <c:ptCount val="1"/>
                    <c:pt idx="0">
                      <c:v>Direct cost</c:v>
                    </c:pt>
                  </c:strCache>
                </c:strRef>
              </c:tx>
              <c:spPr>
                <a:noFill/>
                <a:ln w="25400">
                  <a:noFill/>
                </a:ln>
              </c:spPr>
              <c:txPr>
                <a:bodyPr/>
                <a:lstStyle/>
                <a:p>
                  <a:pPr>
                    <a:defRPr sz="1100" b="0" i="0" u="none" strike="noStrike" baseline="0">
                      <a:solidFill>
                        <a:srgbClr val="333333"/>
                      </a:solidFill>
                      <a:latin typeface="Calibri"/>
                      <a:ea typeface="Calibri"/>
                      <a:cs typeface="Calibri"/>
                    </a:defRPr>
                  </a:pPr>
                  <a:endParaRPr lang="en-US"/>
                </a:p>
              </c:txPr>
              <c:dLblPos val="ctr"/>
              <c:showLegendKey val="0"/>
              <c:showVal val="0"/>
              <c:showCatName val="0"/>
              <c:showSerName val="0"/>
              <c:showPercent val="0"/>
              <c:showBubbleSize val="0"/>
              <c:extLst>
                <c:ext xmlns:c15="http://schemas.microsoft.com/office/drawing/2012/chart" uri="{CE6537A1-D6FC-4f65-9D91-7224C49458BB}">
                  <c15:dlblFieldTable>
                    <c15:dlblFTEntry>
                      <c15:txfldGUID>{A9E7F214-1DDD-4301-BCEB-82A7CF027DEE}</c15:txfldGUID>
                      <c15:f>'Revenue required'!$D$164</c15:f>
                      <c15:dlblFieldTableCache>
                        <c:ptCount val="1"/>
                        <c:pt idx="0">
                          <c:v>Direct cost</c:v>
                        </c:pt>
                      </c15:dlblFieldTableCache>
                    </c15:dlblFTEntry>
                  </c15:dlblFieldTable>
                  <c15:showDataLabelsRange val="0"/>
                </c:ext>
                <c:ext xmlns:c16="http://schemas.microsoft.com/office/drawing/2014/chart" uri="{C3380CC4-5D6E-409C-BE32-E72D297353CC}">
                  <c16:uniqueId val="{00000000-F74A-4E55-8B17-8FA56C9BF2B7}"/>
                </c:ext>
              </c:extLst>
            </c:dLbl>
            <c:spPr>
              <a:noFill/>
              <a:ln w="25400">
                <a:noFill/>
              </a:ln>
            </c:spPr>
            <c:txPr>
              <a:bodyPr wrap="square" lIns="38100" tIns="19050" rIns="38100" bIns="19050" anchor="ctr">
                <a:spAutoFit/>
              </a:bodyPr>
              <a:lstStyle/>
              <a:p>
                <a:pPr>
                  <a:defRPr sz="1100" b="0" i="0" u="none" strike="noStrike" baseline="0">
                    <a:solidFill>
                      <a:srgbClr val="333333"/>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'Revenue required'!$E$164:$F$164</c:f>
            </c:numRef>
          </c:val>
          <c:extLst>
            <c:ext xmlns:c15="http://schemas.microsoft.com/office/drawing/2012/chart" uri="{02D57815-91ED-43cb-92C2-25804820EDAC}">
              <c15:filteredCategoryTitle>
                <c15:cat>
                  <c:multiLvlStrRef>
                    <c:extLst>
                      <c:ext uri="{02D57815-91ED-43cb-92C2-25804820EDAC}">
                        <c15:formulaRef>
                          <c15:sqref>'Revenue required'!$E$163:$F$163</c15:sqref>
                        </c15:formulaRef>
                      </c:ext>
                    </c:extLst>
                  </c:multiLvlStrRef>
                </c15:cat>
              </c15:filteredCategoryTitle>
            </c:ext>
            <c:ext xmlns:c16="http://schemas.microsoft.com/office/drawing/2014/chart" uri="{C3380CC4-5D6E-409C-BE32-E72D297353CC}">
              <c16:uniqueId val="{00000001-F74A-4E55-8B17-8FA56C9BF2B7}"/>
            </c:ext>
          </c:extLst>
        </c:ser>
        <c:ser>
          <c:idx val="1"/>
          <c:order val="1"/>
          <c:tx>
            <c:strRef>
              <c:f>'Revenue required'!$D$165</c:f>
              <c:strCache>
                <c:ptCount val="1"/>
                <c:pt idx="0">
                  <c:v>Indirect cost</c:v>
                </c:pt>
              </c:strCache>
            </c:strRef>
          </c:tx>
          <c:spPr>
            <a:solidFill>
              <a:schemeClr val="accent5">
                <a:lumMod val="60000"/>
                <a:lumOff val="40000"/>
              </a:schemeClr>
            </a:solidFill>
          </c:spPr>
          <c:invertIfNegative val="0"/>
          <c:dLbls>
            <c:dLbl>
              <c:idx val="0"/>
              <c:tx>
                <c:strRef>
                  <c:f>'Revenue required'!$D$165</c:f>
                  <c:strCache>
                    <c:ptCount val="1"/>
                    <c:pt idx="0">
                      <c:v>Indirect cost</c:v>
                    </c:pt>
                  </c:strCache>
                </c:strRef>
              </c:tx>
              <c:spPr>
                <a:noFill/>
                <a:ln w="25400">
                  <a:noFill/>
                </a:ln>
              </c:spPr>
              <c:txPr>
                <a:bodyPr/>
                <a:lstStyle/>
                <a:p>
                  <a:pPr>
                    <a:defRPr sz="1100" b="0" i="0" u="none" strike="noStrike" baseline="0">
                      <a:solidFill>
                        <a:srgbClr val="333333"/>
                      </a:solidFill>
                      <a:latin typeface="Calibri"/>
                      <a:ea typeface="Calibri"/>
                      <a:cs typeface="Calibri"/>
                    </a:defRPr>
                  </a:pPr>
                  <a:endParaRPr lang="en-US"/>
                </a:p>
              </c:txPr>
              <c:dLblPos val="ctr"/>
              <c:showLegendKey val="0"/>
              <c:showVal val="0"/>
              <c:showCatName val="0"/>
              <c:showSerName val="0"/>
              <c:showPercent val="0"/>
              <c:showBubbleSize val="0"/>
              <c:extLst>
                <c:ext xmlns:c15="http://schemas.microsoft.com/office/drawing/2012/chart" uri="{CE6537A1-D6FC-4f65-9D91-7224C49458BB}">
                  <c15:dlblFieldTable>
                    <c15:dlblFTEntry>
                      <c15:txfldGUID>{428F7F42-7817-44AB-A714-4A0986BC1D7F}</c15:txfldGUID>
                      <c15:f>'Revenue required'!$D$165</c15:f>
                      <c15:dlblFieldTableCache>
                        <c:ptCount val="1"/>
                        <c:pt idx="0">
                          <c:v>Indirect cost</c:v>
                        </c:pt>
                      </c15:dlblFieldTableCache>
                    </c15:dlblFTEntry>
                  </c15:dlblFieldTable>
                  <c15:showDataLabelsRange val="0"/>
                </c:ext>
                <c:ext xmlns:c16="http://schemas.microsoft.com/office/drawing/2014/chart" uri="{C3380CC4-5D6E-409C-BE32-E72D297353CC}">
                  <c16:uniqueId val="{00000002-F74A-4E55-8B17-8FA56C9BF2B7}"/>
                </c:ext>
              </c:extLst>
            </c:dLbl>
            <c:spPr>
              <a:noFill/>
              <a:ln w="25400">
                <a:noFill/>
              </a:ln>
            </c:spPr>
            <c:txPr>
              <a:bodyPr wrap="square" lIns="38100" tIns="19050" rIns="38100" bIns="19050" anchor="ctr">
                <a:spAutoFit/>
              </a:bodyPr>
              <a:lstStyle/>
              <a:p>
                <a:pPr>
                  <a:defRPr sz="1100" b="0" i="0" u="none" strike="noStrike" baseline="0">
                    <a:solidFill>
                      <a:srgbClr val="333333"/>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'Revenue required'!$E$165:$F$165</c:f>
            </c:numRef>
          </c:val>
          <c:extLst>
            <c:ext xmlns:c15="http://schemas.microsoft.com/office/drawing/2012/chart" uri="{02D57815-91ED-43cb-92C2-25804820EDAC}">
              <c15:filteredCategoryTitle>
                <c15:cat>
                  <c:multiLvlStrRef>
                    <c:extLst>
                      <c:ext uri="{02D57815-91ED-43cb-92C2-25804820EDAC}">
                        <c15:formulaRef>
                          <c15:sqref>'Revenue required'!$E$163:$F$163</c15:sqref>
                        </c15:formulaRef>
                      </c:ext>
                    </c:extLst>
                  </c:multiLvlStrRef>
                </c15:cat>
              </c15:filteredCategoryTitle>
            </c:ext>
            <c:ext xmlns:c16="http://schemas.microsoft.com/office/drawing/2014/chart" uri="{C3380CC4-5D6E-409C-BE32-E72D297353CC}">
              <c16:uniqueId val="{00000003-F74A-4E55-8B17-8FA56C9BF2B7}"/>
            </c:ext>
          </c:extLst>
        </c:ser>
        <c:ser>
          <c:idx val="2"/>
          <c:order val="2"/>
          <c:tx>
            <c:strRef>
              <c:f>'Revenue required'!$D$166</c:f>
              <c:strCache>
                <c:ptCount val="1"/>
              </c:strCache>
            </c:strRef>
          </c:tx>
          <c:spPr>
            <a:solidFill>
              <a:schemeClr val="accent6"/>
            </a:solidFill>
          </c:spPr>
          <c:invertIfNegative val="0"/>
          <c:dLbls>
            <c:dLbl>
              <c:idx val="0"/>
              <c:tx>
                <c:strRef>
                  <c:f>'Revenue required'!$D$166</c:f>
                  <c:strCache>
                    <c:ptCount val="1"/>
                  </c:strCache>
                </c:strRef>
              </c:tx>
              <c:spPr>
                <a:noFill/>
                <a:ln w="25400">
                  <a:noFill/>
                </a:ln>
              </c:spPr>
              <c:txPr>
                <a:bodyPr/>
                <a:lstStyle/>
                <a:p>
                  <a:pPr>
                    <a:defRPr sz="1100" b="0" i="0" u="none" strike="noStrike" baseline="0">
                      <a:solidFill>
                        <a:srgbClr val="333333"/>
                      </a:solidFill>
                      <a:latin typeface="Calibri"/>
                      <a:ea typeface="Calibri"/>
                      <a:cs typeface="Calibri"/>
                    </a:defRPr>
                  </a:pPr>
                  <a:endParaRPr lang="en-US"/>
                </a:p>
              </c:txPr>
              <c:dLblPos val="ctr"/>
              <c:showLegendKey val="0"/>
              <c:showVal val="0"/>
              <c:showCatName val="0"/>
              <c:showSerName val="0"/>
              <c:showPercent val="0"/>
              <c:showBubbleSize val="0"/>
              <c:extLst>
                <c:ext xmlns:c15="http://schemas.microsoft.com/office/drawing/2012/chart" uri="{CE6537A1-D6FC-4f65-9D91-7224C49458BB}">
                  <c15:dlblFieldTable>
                    <c15:dlblFTEntry>
                      <c15:txfldGUID>{E8C332AB-8613-4C32-AAF0-2D38895BC7CD}</c15:txfldGUID>
                      <c15:f>'Revenue required'!$D$166</c15:f>
                      <c15:dlblFieldTableCache>
                        <c:ptCount val="1"/>
                      </c15:dlblFieldTableCache>
                    </c15:dlblFTEntry>
                  </c15:dlblFieldTable>
                  <c15:showDataLabelsRange val="0"/>
                </c:ext>
                <c:ext xmlns:c16="http://schemas.microsoft.com/office/drawing/2014/chart" uri="{C3380CC4-5D6E-409C-BE32-E72D297353CC}">
                  <c16:uniqueId val="{00000004-F74A-4E55-8B17-8FA56C9BF2B7}"/>
                </c:ext>
              </c:extLst>
            </c:dLbl>
            <c:spPr>
              <a:noFill/>
              <a:ln w="25400">
                <a:noFill/>
              </a:ln>
            </c:spPr>
            <c:txPr>
              <a:bodyPr wrap="square" lIns="38100" tIns="19050" rIns="38100" bIns="19050" anchor="ctr">
                <a:spAutoFit/>
              </a:bodyPr>
              <a:lstStyle/>
              <a:p>
                <a:pPr>
                  <a:defRPr sz="1100" b="0" i="0" u="none" strike="noStrike" baseline="0">
                    <a:solidFill>
                      <a:srgbClr val="333333"/>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'Revenue required'!$E$166:$F$166</c:f>
            </c:numRef>
          </c:val>
          <c:extLst>
            <c:ext xmlns:c15="http://schemas.microsoft.com/office/drawing/2012/chart" uri="{02D57815-91ED-43cb-92C2-25804820EDAC}">
              <c15:filteredCategoryTitle>
                <c15:cat>
                  <c:multiLvlStrRef>
                    <c:extLst>
                      <c:ext uri="{02D57815-91ED-43cb-92C2-25804820EDAC}">
                        <c15:formulaRef>
                          <c15:sqref>'Revenue required'!$E$163:$F$163</c15:sqref>
                        </c15:formulaRef>
                      </c:ext>
                    </c:extLst>
                  </c:multiLvlStrRef>
                </c15:cat>
              </c15:filteredCategoryTitle>
            </c:ext>
            <c:ext xmlns:c16="http://schemas.microsoft.com/office/drawing/2014/chart" uri="{C3380CC4-5D6E-409C-BE32-E72D297353CC}">
              <c16:uniqueId val="{00000005-F74A-4E55-8B17-8FA56C9BF2B7}"/>
            </c:ext>
          </c:extLst>
        </c:ser>
        <c:ser>
          <c:idx val="4"/>
          <c:order val="3"/>
          <c:tx>
            <c:strRef>
              <c:f>'Revenue required'!$D$167</c:f>
              <c:strCache>
                <c:ptCount val="1"/>
                <c:pt idx="0">
                  <c:v>Tariff revenue</c:v>
                </c:pt>
              </c:strCache>
            </c:strRef>
          </c:tx>
          <c:spPr>
            <a:solidFill>
              <a:schemeClr val="accent3">
                <a:lumMod val="75000"/>
              </a:schemeClr>
            </a:solidFill>
          </c:spPr>
          <c:invertIfNegative val="0"/>
          <c:dLbls>
            <c:dLbl>
              <c:idx val="1"/>
              <c:tx>
                <c:strRef>
                  <c:f>'Revenue required'!$D$167</c:f>
                  <c:strCache>
                    <c:ptCount val="1"/>
                    <c:pt idx="0">
                      <c:v>Tariff revenue</c:v>
                    </c:pt>
                  </c:strCache>
                </c:strRef>
              </c:tx>
              <c:spPr>
                <a:noFill/>
                <a:ln w="25400">
                  <a:noFill/>
                </a:ln>
              </c:spPr>
              <c:txPr>
                <a:bodyPr/>
                <a:lstStyle/>
                <a:p>
                  <a:pPr>
                    <a:defRPr sz="1100" b="0" i="0" u="none" strike="noStrike" baseline="0">
                      <a:solidFill>
                        <a:srgbClr val="333333"/>
                      </a:solidFill>
                      <a:latin typeface="Calibri"/>
                      <a:ea typeface="Calibri"/>
                      <a:cs typeface="Calibri"/>
                    </a:defRPr>
                  </a:pPr>
                  <a:endParaRPr lang="en-US"/>
                </a:p>
              </c:txPr>
              <c:dLblPos val="ctr"/>
              <c:showLegendKey val="0"/>
              <c:showVal val="0"/>
              <c:showCatName val="0"/>
              <c:showSerName val="0"/>
              <c:showPercent val="0"/>
              <c:showBubbleSize val="0"/>
              <c:extLst>
                <c:ext xmlns:c15="http://schemas.microsoft.com/office/drawing/2012/chart" uri="{CE6537A1-D6FC-4f65-9D91-7224C49458BB}">
                  <c15:dlblFieldTable>
                    <c15:dlblFTEntry>
                      <c15:txfldGUID>{63DDB2A1-223A-4E5A-AC6D-4E3B34C590C1}</c15:txfldGUID>
                      <c15:f>'Revenue required'!$D$167</c15:f>
                      <c15:dlblFieldTableCache>
                        <c:ptCount val="1"/>
                        <c:pt idx="0">
                          <c:v>Tariff revenue</c:v>
                        </c:pt>
                      </c15:dlblFieldTableCache>
                    </c15:dlblFTEntry>
                  </c15:dlblFieldTable>
                  <c15:showDataLabelsRange val="0"/>
                </c:ext>
                <c:ext xmlns:c16="http://schemas.microsoft.com/office/drawing/2014/chart" uri="{C3380CC4-5D6E-409C-BE32-E72D297353CC}">
                  <c16:uniqueId val="{00000006-F74A-4E55-8B17-8FA56C9BF2B7}"/>
                </c:ext>
              </c:extLst>
            </c:dLbl>
            <c:spPr>
              <a:noFill/>
              <a:ln w="25400">
                <a:noFill/>
              </a:ln>
            </c:spPr>
            <c:txPr>
              <a:bodyPr wrap="square" lIns="38100" tIns="19050" rIns="38100" bIns="19050" anchor="ctr">
                <a:spAutoFit/>
              </a:bodyPr>
              <a:lstStyle/>
              <a:p>
                <a:pPr>
                  <a:defRPr sz="1100" b="0" i="0" u="none" strike="noStrike" baseline="0">
                    <a:solidFill>
                      <a:srgbClr val="333333"/>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'Revenue required'!$E$167:$F$167</c:f>
            </c:numRef>
          </c:val>
          <c:extLst>
            <c:ext xmlns:c15="http://schemas.microsoft.com/office/drawing/2012/chart" uri="{02D57815-91ED-43cb-92C2-25804820EDAC}">
              <c15:filteredCategoryTitle>
                <c15:cat>
                  <c:multiLvlStrRef>
                    <c:extLst>
                      <c:ext uri="{02D57815-91ED-43cb-92C2-25804820EDAC}">
                        <c15:formulaRef>
                          <c15:sqref>'Revenue required'!$E$163:$F$163</c15:sqref>
                        </c15:formulaRef>
                      </c:ext>
                    </c:extLst>
                  </c:multiLvlStrRef>
                </c15:cat>
              </c15:filteredCategoryTitle>
            </c:ext>
            <c:ext xmlns:c16="http://schemas.microsoft.com/office/drawing/2014/chart" uri="{C3380CC4-5D6E-409C-BE32-E72D297353CC}">
              <c16:uniqueId val="{00000007-F74A-4E55-8B17-8FA56C9BF2B7}"/>
            </c:ext>
          </c:extLst>
        </c:ser>
        <c:ser>
          <c:idx val="5"/>
          <c:order val="4"/>
          <c:tx>
            <c:strRef>
              <c:f>'Revenue required'!$D$168</c:f>
              <c:strCache>
                <c:ptCount val="1"/>
                <c:pt idx="0">
                  <c:v>Non-tariff revenue</c:v>
                </c:pt>
              </c:strCache>
            </c:strRef>
          </c:tx>
          <c:spPr>
            <a:solidFill>
              <a:schemeClr val="accent3"/>
            </a:solidFill>
            <a:ln>
              <a:solidFill>
                <a:schemeClr val="accent3"/>
              </a:solidFill>
            </a:ln>
          </c:spPr>
          <c:invertIfNegative val="0"/>
          <c:dLbls>
            <c:dLbl>
              <c:idx val="1"/>
              <c:tx>
                <c:strRef>
                  <c:f>'Revenue required'!$D$168</c:f>
                  <c:strCache>
                    <c:ptCount val="1"/>
                    <c:pt idx="0">
                      <c:v>Non-tariff revenue</c:v>
                    </c:pt>
                  </c:strCache>
                </c:strRef>
              </c:tx>
              <c:spPr>
                <a:noFill/>
                <a:ln w="25400">
                  <a:noFill/>
                </a:ln>
              </c:spPr>
              <c:txPr>
                <a:bodyPr/>
                <a:lstStyle/>
                <a:p>
                  <a:pPr>
                    <a:defRPr sz="1100" b="0" i="0" u="none" strike="noStrike" baseline="0">
                      <a:solidFill>
                        <a:srgbClr val="333333"/>
                      </a:solidFill>
                      <a:latin typeface="Calibri"/>
                      <a:ea typeface="Calibri"/>
                      <a:cs typeface="Calibri"/>
                    </a:defRPr>
                  </a:pPr>
                  <a:endParaRPr lang="en-US"/>
                </a:p>
              </c:txPr>
              <c:dLblPos val="ctr"/>
              <c:showLegendKey val="0"/>
              <c:showVal val="0"/>
              <c:showCatName val="0"/>
              <c:showSerName val="0"/>
              <c:showPercent val="0"/>
              <c:showBubbleSize val="0"/>
              <c:extLst>
                <c:ext xmlns:c15="http://schemas.microsoft.com/office/drawing/2012/chart" uri="{CE6537A1-D6FC-4f65-9D91-7224C49458BB}">
                  <c15:dlblFieldTable>
                    <c15:dlblFTEntry>
                      <c15:txfldGUID>{EE5604B5-7719-445B-B151-9F4E27F103F9}</c15:txfldGUID>
                      <c15:f>'Revenue required'!$D$168</c15:f>
                      <c15:dlblFieldTableCache>
                        <c:ptCount val="1"/>
                        <c:pt idx="0">
                          <c:v>Non-tariff revenue</c:v>
                        </c:pt>
                      </c15:dlblFieldTableCache>
                    </c15:dlblFTEntry>
                  </c15:dlblFieldTable>
                  <c15:showDataLabelsRange val="0"/>
                </c:ext>
                <c:ext xmlns:c16="http://schemas.microsoft.com/office/drawing/2014/chart" uri="{C3380CC4-5D6E-409C-BE32-E72D297353CC}">
                  <c16:uniqueId val="{00000008-F74A-4E55-8B17-8FA56C9BF2B7}"/>
                </c:ext>
              </c:extLst>
            </c:dLbl>
            <c:spPr>
              <a:noFill/>
              <a:ln w="25400">
                <a:noFill/>
              </a:ln>
            </c:spPr>
            <c:txPr>
              <a:bodyPr wrap="square" lIns="38100" tIns="19050" rIns="38100" bIns="19050" anchor="ctr">
                <a:spAutoFit/>
              </a:bodyPr>
              <a:lstStyle/>
              <a:p>
                <a:pPr>
                  <a:defRPr sz="1100" b="0" i="0" u="none" strike="noStrike" baseline="0">
                    <a:solidFill>
                      <a:srgbClr val="333333"/>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'Revenue required'!$E$168:$F$168</c:f>
            </c:numRef>
          </c:val>
          <c:extLst>
            <c:ext xmlns:c15="http://schemas.microsoft.com/office/drawing/2012/chart" uri="{02D57815-91ED-43cb-92C2-25804820EDAC}">
              <c15:filteredCategoryTitle>
                <c15:cat>
                  <c:multiLvlStrRef>
                    <c:extLst>
                      <c:ext uri="{02D57815-91ED-43cb-92C2-25804820EDAC}">
                        <c15:formulaRef>
                          <c15:sqref>'Revenue required'!$E$163:$F$163</c15:sqref>
                        </c15:formulaRef>
                      </c:ext>
                    </c:extLst>
                  </c:multiLvlStrRef>
                </c15:cat>
              </c15:filteredCategoryTitle>
            </c:ext>
            <c:ext xmlns:c16="http://schemas.microsoft.com/office/drawing/2014/chart" uri="{C3380CC4-5D6E-409C-BE32-E72D297353CC}">
              <c16:uniqueId val="{00000009-F74A-4E55-8B17-8FA56C9BF2B7}"/>
            </c:ext>
          </c:extLst>
        </c:ser>
        <c:ser>
          <c:idx val="3"/>
          <c:order val="5"/>
          <c:tx>
            <c:strRef>
              <c:f>'Revenue required'!$D$169</c:f>
              <c:strCache>
                <c:ptCount val="1"/>
              </c:strCache>
            </c:strRef>
          </c:tx>
          <c:invertIfNegative val="0"/>
          <c:dLbls>
            <c:dLbl>
              <c:idx val="1"/>
              <c:tx>
                <c:strRef>
                  <c:f>'Revenue required'!$D$169</c:f>
                  <c:strCache>
                    <c:ptCount val="1"/>
                  </c:strCache>
                </c:strRef>
              </c:tx>
              <c:spPr>
                <a:noFill/>
                <a:ln w="25400">
                  <a:noFill/>
                </a:ln>
              </c:spPr>
              <c:txPr>
                <a:bodyPr/>
                <a:lstStyle/>
                <a:p>
                  <a:pPr>
                    <a:defRPr sz="1100" b="0" i="0" u="none" strike="noStrike" baseline="0">
                      <a:solidFill>
                        <a:srgbClr val="333333"/>
                      </a:solidFill>
                      <a:latin typeface="Calibri"/>
                      <a:ea typeface="Calibri"/>
                      <a:cs typeface="Calibri"/>
                    </a:defRPr>
                  </a:pPr>
                  <a:endParaRPr lang="en-US"/>
                </a:p>
              </c:txPr>
              <c:dLblPos val="ctr"/>
              <c:showLegendKey val="0"/>
              <c:showVal val="0"/>
              <c:showCatName val="0"/>
              <c:showSerName val="0"/>
              <c:showPercent val="0"/>
              <c:showBubbleSize val="0"/>
              <c:extLst>
                <c:ext xmlns:c15="http://schemas.microsoft.com/office/drawing/2012/chart" uri="{CE6537A1-D6FC-4f65-9D91-7224C49458BB}">
                  <c15:dlblFieldTable>
                    <c15:dlblFTEntry>
                      <c15:txfldGUID>{C07DCFDC-6F03-4378-AD05-F23B703A31BE}</c15:txfldGUID>
                      <c15:f>'Revenue required'!$D$169</c15:f>
                      <c15:dlblFieldTableCache>
                        <c:ptCount val="1"/>
                      </c15:dlblFieldTableCache>
                    </c15:dlblFTEntry>
                  </c15:dlblFieldTable>
                  <c15:showDataLabelsRange val="0"/>
                </c:ext>
                <c:ext xmlns:c16="http://schemas.microsoft.com/office/drawing/2014/chart" uri="{C3380CC4-5D6E-409C-BE32-E72D297353CC}">
                  <c16:uniqueId val="{0000000A-F74A-4E55-8B17-8FA56C9BF2B7}"/>
                </c:ext>
              </c:extLst>
            </c:dLbl>
            <c:spPr>
              <a:noFill/>
              <a:ln w="25400">
                <a:noFill/>
              </a:ln>
            </c:spPr>
            <c:txPr>
              <a:bodyPr wrap="square" lIns="38100" tIns="19050" rIns="38100" bIns="19050" anchor="ctr">
                <a:spAutoFit/>
              </a:bodyPr>
              <a:lstStyle/>
              <a:p>
                <a:pPr>
                  <a:defRPr sz="1100" b="0" i="0" u="none" strike="noStrike" baseline="0">
                    <a:solidFill>
                      <a:srgbClr val="333333"/>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'Revenue required'!$E$169:$F$169</c:f>
            </c:numRef>
          </c:val>
          <c:extLst>
            <c:ext xmlns:c15="http://schemas.microsoft.com/office/drawing/2012/chart" uri="{02D57815-91ED-43cb-92C2-25804820EDAC}">
              <c15:filteredCategoryTitle>
                <c15:cat>
                  <c:multiLvlStrRef>
                    <c:extLst>
                      <c:ext uri="{02D57815-91ED-43cb-92C2-25804820EDAC}">
                        <c15:formulaRef>
                          <c15:sqref>'Revenue required'!$E$163:$F$163</c15:sqref>
                        </c15:formulaRef>
                      </c:ext>
                    </c:extLst>
                  </c:multiLvlStrRef>
                </c15:cat>
              </c15:filteredCategoryTitle>
            </c:ext>
            <c:ext xmlns:c16="http://schemas.microsoft.com/office/drawing/2014/chart" uri="{C3380CC4-5D6E-409C-BE32-E72D297353CC}">
              <c16:uniqueId val="{0000000B-F74A-4E55-8B17-8FA56C9BF2B7}"/>
            </c:ext>
          </c:extLst>
        </c:ser>
        <c:dLbls>
          <c:showLegendKey val="0"/>
          <c:showVal val="0"/>
          <c:showCatName val="0"/>
          <c:showSerName val="0"/>
          <c:showPercent val="0"/>
          <c:showBubbleSize val="0"/>
        </c:dLbls>
        <c:gapWidth val="25"/>
        <c:overlap val="100"/>
        <c:axId val="1390238959"/>
        <c:axId val="1"/>
      </c:barChart>
      <c:catAx>
        <c:axId val="1390238959"/>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0" vert="horz"/>
          <a:lstStyle/>
          <a:p>
            <a:pPr>
              <a:defRPr sz="1100" b="0" i="0" u="none" strike="noStrike" baseline="0">
                <a:solidFill>
                  <a:srgbClr val="333333"/>
                </a:solidFill>
                <a:latin typeface="Calibri"/>
                <a:ea typeface="Calibri"/>
                <a:cs typeface="Calibri"/>
              </a:defRPr>
            </a:pPr>
            <a:endParaRPr lang="en-US"/>
          </a:p>
        </c:txPr>
        <c:crossAx val="1"/>
        <c:crosses val="autoZero"/>
        <c:auto val="1"/>
        <c:lblAlgn val="ctr"/>
        <c:lblOffset val="100"/>
        <c:noMultiLvlLbl val="0"/>
      </c:catAx>
      <c:valAx>
        <c:axId val="1"/>
        <c:scaling>
          <c:orientation val="minMax"/>
        </c:scaling>
        <c:delete val="1"/>
        <c:axPos val="l"/>
        <c:majorGridlines>
          <c:spPr>
            <a:ln w="9525" cap="flat" cmpd="sng" algn="ctr">
              <a:solidFill>
                <a:schemeClr val="tx1">
                  <a:lumMod val="15000"/>
                  <a:lumOff val="85000"/>
                </a:schemeClr>
              </a:solidFill>
              <a:round/>
            </a:ln>
            <a:effectLst/>
          </c:spPr>
        </c:majorGridlines>
        <c:numFmt formatCode="_-* #\ ##0_-;\-* #\ ##0_-;_-* &quot;-&quot;??_-;_-@_-" sourceLinked="1"/>
        <c:majorTickMark val="out"/>
        <c:minorTickMark val="none"/>
        <c:tickLblPos val="nextTo"/>
        <c:crossAx val="1390238959"/>
        <c:crosses val="autoZero"/>
        <c:crossBetween val="between"/>
      </c:valAx>
    </c:plotArea>
    <c:plotVisOnly val="1"/>
    <c:dispBlanksAs val="gap"/>
    <c:showDLblsOverMax val="0"/>
  </c:chart>
  <c:spPr>
    <a:solidFill>
      <a:schemeClr val="bg1"/>
    </a:solidFill>
    <a:ln w="9525" cap="flat" cmpd="sng" algn="ctr">
      <a:noFill/>
      <a:round/>
    </a:ln>
    <a:effectLst/>
  </c:spPr>
  <c:txPr>
    <a:bodyPr/>
    <a:lstStyle/>
    <a:p>
      <a:pPr>
        <a:defRPr sz="11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charts/chart3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320" b="0" i="0" u="none" strike="noStrike" baseline="0">
                <a:solidFill>
                  <a:srgbClr val="333333"/>
                </a:solidFill>
                <a:latin typeface="Calibri"/>
                <a:ea typeface="Calibri"/>
                <a:cs typeface="Calibri"/>
              </a:defRPr>
            </a:pPr>
            <a:r>
              <a:rPr lang="en-ZA"/>
              <a:t>Budget funding: sanitation service R'000</a:t>
            </a:r>
          </a:p>
        </c:rich>
      </c:tx>
      <c:layout>
        <c:manualLayout>
          <c:xMode val="edge"/>
          <c:yMode val="edge"/>
          <c:x val="6.4499571962106886E-2"/>
          <c:y val="3.2407487525597758E-2"/>
        </c:manualLayout>
      </c:layout>
      <c:overlay val="0"/>
      <c:spPr>
        <a:noFill/>
        <a:ln w="25400">
          <a:noFill/>
        </a:ln>
      </c:spPr>
    </c:title>
    <c:autoTitleDeleted val="0"/>
    <c:plotArea>
      <c:layout/>
      <c:barChart>
        <c:barDir val="col"/>
        <c:grouping val="stacked"/>
        <c:varyColors val="0"/>
        <c:ser>
          <c:idx val="0"/>
          <c:order val="0"/>
          <c:tx>
            <c:strRef>
              <c:f>'Revenue required'!$D$164</c:f>
              <c:strCache>
                <c:ptCount val="1"/>
                <c:pt idx="0">
                  <c:v>Direct cost</c:v>
                </c:pt>
              </c:strCache>
            </c:strRef>
          </c:tx>
          <c:spPr>
            <a:solidFill>
              <a:schemeClr val="accent5"/>
            </a:solidFill>
          </c:spPr>
          <c:invertIfNegative val="0"/>
          <c:dLbls>
            <c:spPr>
              <a:noFill/>
              <a:ln w="25400">
                <a:noFill/>
              </a:ln>
            </c:spPr>
            <c:txPr>
              <a:bodyPr wrap="square" lIns="38100" tIns="19050" rIns="38100" bIns="19050" anchor="ctr">
                <a:spAutoFit/>
              </a:bodyPr>
              <a:lstStyle/>
              <a:p>
                <a:pPr>
                  <a:defRPr sz="1100" b="0" i="0" u="none" strike="noStrike" baseline="0">
                    <a:solidFill>
                      <a:srgbClr val="333333"/>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'Revenue required'!$E$164:$F$164</c:f>
            </c:numRef>
          </c:val>
          <c:extLst>
            <c:ext xmlns:c15="http://schemas.microsoft.com/office/drawing/2012/chart" uri="{02D57815-91ED-43cb-92C2-25804820EDAC}">
              <c15:filteredCategoryTitle>
                <c15:cat>
                  <c:multiLvlStrRef>
                    <c:extLst>
                      <c:ext uri="{02D57815-91ED-43cb-92C2-25804820EDAC}">
                        <c15:formulaRef>
                          <c15:sqref>'Revenue required'!$E$163:$F$163</c15:sqref>
                        </c15:formulaRef>
                      </c:ext>
                    </c:extLst>
                  </c:multiLvlStrRef>
                </c15:cat>
              </c15:filteredCategoryTitle>
            </c:ext>
            <c:ext xmlns:c16="http://schemas.microsoft.com/office/drawing/2014/chart" uri="{C3380CC4-5D6E-409C-BE32-E72D297353CC}">
              <c16:uniqueId val="{00000000-BDAC-4D63-9B42-1C7B83500501}"/>
            </c:ext>
          </c:extLst>
        </c:ser>
        <c:ser>
          <c:idx val="1"/>
          <c:order val="1"/>
          <c:tx>
            <c:strRef>
              <c:f>'Revenue required'!$D$165</c:f>
              <c:strCache>
                <c:ptCount val="1"/>
                <c:pt idx="0">
                  <c:v>Indirect cost</c:v>
                </c:pt>
              </c:strCache>
            </c:strRef>
          </c:tx>
          <c:spPr>
            <a:solidFill>
              <a:schemeClr val="accent5">
                <a:lumMod val="60000"/>
                <a:lumOff val="40000"/>
              </a:schemeClr>
            </a:solidFill>
          </c:spPr>
          <c:invertIfNegative val="0"/>
          <c:dLbls>
            <c:spPr>
              <a:noFill/>
              <a:ln w="25400">
                <a:noFill/>
              </a:ln>
            </c:spPr>
            <c:txPr>
              <a:bodyPr wrap="square" lIns="38100" tIns="19050" rIns="38100" bIns="19050" anchor="ctr">
                <a:spAutoFit/>
              </a:bodyPr>
              <a:lstStyle/>
              <a:p>
                <a:pPr>
                  <a:defRPr sz="1100" b="0" i="0" u="none" strike="noStrike" baseline="0">
                    <a:solidFill>
                      <a:srgbClr val="333333"/>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'Revenue required'!$E$165:$F$165</c:f>
            </c:numRef>
          </c:val>
          <c:extLst>
            <c:ext xmlns:c15="http://schemas.microsoft.com/office/drawing/2012/chart" uri="{02D57815-91ED-43cb-92C2-25804820EDAC}">
              <c15:filteredCategoryTitle>
                <c15:cat>
                  <c:multiLvlStrRef>
                    <c:extLst>
                      <c:ext uri="{02D57815-91ED-43cb-92C2-25804820EDAC}">
                        <c15:formulaRef>
                          <c15:sqref>'Revenue required'!$E$163:$F$163</c15:sqref>
                        </c15:formulaRef>
                      </c:ext>
                    </c:extLst>
                  </c:multiLvlStrRef>
                </c15:cat>
              </c15:filteredCategoryTitle>
            </c:ext>
            <c:ext xmlns:c16="http://schemas.microsoft.com/office/drawing/2014/chart" uri="{C3380CC4-5D6E-409C-BE32-E72D297353CC}">
              <c16:uniqueId val="{00000001-BDAC-4D63-9B42-1C7B83500501}"/>
            </c:ext>
          </c:extLst>
        </c:ser>
        <c:ser>
          <c:idx val="2"/>
          <c:order val="2"/>
          <c:tx>
            <c:strRef>
              <c:f>'Revenue required'!$D$166</c:f>
              <c:strCache>
                <c:ptCount val="1"/>
              </c:strCache>
            </c:strRef>
          </c:tx>
          <c:spPr>
            <a:solidFill>
              <a:schemeClr val="accent6"/>
            </a:solidFill>
          </c:spPr>
          <c:invertIfNegative val="0"/>
          <c:dLbls>
            <c:spPr>
              <a:noFill/>
              <a:ln w="25400">
                <a:noFill/>
              </a:ln>
            </c:spPr>
            <c:txPr>
              <a:bodyPr wrap="square" lIns="38100" tIns="19050" rIns="38100" bIns="19050" anchor="ctr">
                <a:spAutoFit/>
              </a:bodyPr>
              <a:lstStyle/>
              <a:p>
                <a:pPr>
                  <a:defRPr sz="1100" b="0" i="0" u="none" strike="noStrike" baseline="0">
                    <a:solidFill>
                      <a:srgbClr val="333333"/>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'Revenue required'!$E$166:$F$166</c:f>
            </c:numRef>
          </c:val>
          <c:extLst>
            <c:ext xmlns:c15="http://schemas.microsoft.com/office/drawing/2012/chart" uri="{02D57815-91ED-43cb-92C2-25804820EDAC}">
              <c15:filteredCategoryTitle>
                <c15:cat>
                  <c:multiLvlStrRef>
                    <c:extLst>
                      <c:ext uri="{02D57815-91ED-43cb-92C2-25804820EDAC}">
                        <c15:formulaRef>
                          <c15:sqref>'Revenue required'!$E$163:$F$163</c15:sqref>
                        </c15:formulaRef>
                      </c:ext>
                    </c:extLst>
                  </c:multiLvlStrRef>
                </c15:cat>
              </c15:filteredCategoryTitle>
            </c:ext>
            <c:ext xmlns:c16="http://schemas.microsoft.com/office/drawing/2014/chart" uri="{C3380CC4-5D6E-409C-BE32-E72D297353CC}">
              <c16:uniqueId val="{00000002-BDAC-4D63-9B42-1C7B83500501}"/>
            </c:ext>
          </c:extLst>
        </c:ser>
        <c:ser>
          <c:idx val="4"/>
          <c:order val="3"/>
          <c:tx>
            <c:strRef>
              <c:f>'Revenue required'!$D$167</c:f>
              <c:strCache>
                <c:ptCount val="1"/>
                <c:pt idx="0">
                  <c:v>Tariff revenue</c:v>
                </c:pt>
              </c:strCache>
            </c:strRef>
          </c:tx>
          <c:spPr>
            <a:solidFill>
              <a:schemeClr val="accent3">
                <a:lumMod val="75000"/>
              </a:schemeClr>
            </a:solidFill>
          </c:spPr>
          <c:invertIfNegative val="0"/>
          <c:dLbls>
            <c:spPr>
              <a:noFill/>
              <a:ln w="25400">
                <a:noFill/>
              </a:ln>
            </c:spPr>
            <c:txPr>
              <a:bodyPr wrap="square" lIns="38100" tIns="19050" rIns="38100" bIns="19050" anchor="ctr">
                <a:spAutoFit/>
              </a:bodyPr>
              <a:lstStyle/>
              <a:p>
                <a:pPr>
                  <a:defRPr sz="1100" b="0" i="0" u="none" strike="noStrike" baseline="0">
                    <a:solidFill>
                      <a:srgbClr val="333333"/>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'Revenue required'!$E$167:$F$167</c:f>
            </c:numRef>
          </c:val>
          <c:extLst>
            <c:ext xmlns:c15="http://schemas.microsoft.com/office/drawing/2012/chart" uri="{02D57815-91ED-43cb-92C2-25804820EDAC}">
              <c15:filteredCategoryTitle>
                <c15:cat>
                  <c:multiLvlStrRef>
                    <c:extLst>
                      <c:ext uri="{02D57815-91ED-43cb-92C2-25804820EDAC}">
                        <c15:formulaRef>
                          <c15:sqref>'Revenue required'!$E$163:$F$163</c15:sqref>
                        </c15:formulaRef>
                      </c:ext>
                    </c:extLst>
                  </c:multiLvlStrRef>
                </c15:cat>
              </c15:filteredCategoryTitle>
            </c:ext>
            <c:ext xmlns:c16="http://schemas.microsoft.com/office/drawing/2014/chart" uri="{C3380CC4-5D6E-409C-BE32-E72D297353CC}">
              <c16:uniqueId val="{00000003-BDAC-4D63-9B42-1C7B83500501}"/>
            </c:ext>
          </c:extLst>
        </c:ser>
        <c:ser>
          <c:idx val="5"/>
          <c:order val="4"/>
          <c:tx>
            <c:strRef>
              <c:f>'Revenue required'!$D$168</c:f>
              <c:strCache>
                <c:ptCount val="1"/>
                <c:pt idx="0">
                  <c:v>Non-tariff revenue</c:v>
                </c:pt>
              </c:strCache>
            </c:strRef>
          </c:tx>
          <c:spPr>
            <a:solidFill>
              <a:schemeClr val="accent3"/>
            </a:solidFill>
          </c:spPr>
          <c:invertIfNegative val="0"/>
          <c:dLbls>
            <c:spPr>
              <a:noFill/>
              <a:ln w="25400">
                <a:noFill/>
              </a:ln>
            </c:spPr>
            <c:txPr>
              <a:bodyPr wrap="square" lIns="38100" tIns="19050" rIns="38100" bIns="19050" anchor="ctr">
                <a:spAutoFit/>
              </a:bodyPr>
              <a:lstStyle/>
              <a:p>
                <a:pPr>
                  <a:defRPr sz="1100" b="0" i="0" u="none" strike="noStrike" baseline="0">
                    <a:solidFill>
                      <a:srgbClr val="333333"/>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'Revenue required'!$E$168:$F$168</c:f>
            </c:numRef>
          </c:val>
          <c:extLst>
            <c:ext xmlns:c15="http://schemas.microsoft.com/office/drawing/2012/chart" uri="{02D57815-91ED-43cb-92C2-25804820EDAC}">
              <c15:filteredCategoryTitle>
                <c15:cat>
                  <c:multiLvlStrRef>
                    <c:extLst>
                      <c:ext uri="{02D57815-91ED-43cb-92C2-25804820EDAC}">
                        <c15:formulaRef>
                          <c15:sqref>'Revenue required'!$E$163:$F$163</c15:sqref>
                        </c15:formulaRef>
                      </c:ext>
                    </c:extLst>
                  </c:multiLvlStrRef>
                </c15:cat>
              </c15:filteredCategoryTitle>
            </c:ext>
            <c:ext xmlns:c16="http://schemas.microsoft.com/office/drawing/2014/chart" uri="{C3380CC4-5D6E-409C-BE32-E72D297353CC}">
              <c16:uniqueId val="{00000004-BDAC-4D63-9B42-1C7B83500501}"/>
            </c:ext>
          </c:extLst>
        </c:ser>
        <c:ser>
          <c:idx val="3"/>
          <c:order val="5"/>
          <c:tx>
            <c:strRef>
              <c:f>'Revenue required'!$D$169</c:f>
              <c:strCache>
                <c:ptCount val="1"/>
              </c:strCache>
            </c:strRef>
          </c:tx>
          <c:invertIfNegative val="0"/>
          <c:dLbls>
            <c:spPr>
              <a:noFill/>
              <a:ln w="25400">
                <a:noFill/>
              </a:ln>
            </c:spPr>
            <c:txPr>
              <a:bodyPr wrap="square" lIns="38100" tIns="19050" rIns="38100" bIns="19050" anchor="ctr">
                <a:spAutoFit/>
              </a:bodyPr>
              <a:lstStyle/>
              <a:p>
                <a:pPr>
                  <a:defRPr sz="1100" b="0" i="0" u="none" strike="noStrike" baseline="0">
                    <a:solidFill>
                      <a:srgbClr val="333333"/>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'Revenue required'!$E$169:$F$169</c:f>
            </c:numRef>
          </c:val>
          <c:extLst>
            <c:ext xmlns:c15="http://schemas.microsoft.com/office/drawing/2012/chart" uri="{02D57815-91ED-43cb-92C2-25804820EDAC}">
              <c15:filteredCategoryTitle>
                <c15:cat>
                  <c:multiLvlStrRef>
                    <c:extLst>
                      <c:ext uri="{02D57815-91ED-43cb-92C2-25804820EDAC}">
                        <c15:formulaRef>
                          <c15:sqref>'Revenue required'!$E$163:$F$163</c15:sqref>
                        </c15:formulaRef>
                      </c:ext>
                    </c:extLst>
                  </c:multiLvlStrRef>
                </c15:cat>
              </c15:filteredCategoryTitle>
            </c:ext>
            <c:ext xmlns:c16="http://schemas.microsoft.com/office/drawing/2014/chart" uri="{C3380CC4-5D6E-409C-BE32-E72D297353CC}">
              <c16:uniqueId val="{00000005-BDAC-4D63-9B42-1C7B83500501}"/>
            </c:ext>
          </c:extLst>
        </c:ser>
        <c:dLbls>
          <c:showLegendKey val="0"/>
          <c:showVal val="0"/>
          <c:showCatName val="0"/>
          <c:showSerName val="0"/>
          <c:showPercent val="0"/>
          <c:showBubbleSize val="0"/>
        </c:dLbls>
        <c:gapWidth val="25"/>
        <c:overlap val="100"/>
        <c:axId val="1390229839"/>
        <c:axId val="1"/>
      </c:barChart>
      <c:catAx>
        <c:axId val="1390229839"/>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0" vert="horz"/>
          <a:lstStyle/>
          <a:p>
            <a:pPr>
              <a:defRPr sz="1100" b="0" i="0" u="none" strike="noStrike" baseline="0">
                <a:solidFill>
                  <a:srgbClr val="333333"/>
                </a:solidFill>
                <a:latin typeface="Calibri"/>
                <a:ea typeface="Calibri"/>
                <a:cs typeface="Calibri"/>
              </a:defRPr>
            </a:pPr>
            <a:endParaRPr lang="en-US"/>
          </a:p>
        </c:txPr>
        <c:crossAx val="1"/>
        <c:crosses val="autoZero"/>
        <c:auto val="1"/>
        <c:lblAlgn val="ctr"/>
        <c:lblOffset val="100"/>
        <c:noMultiLvlLbl val="0"/>
      </c:catAx>
      <c:valAx>
        <c:axId val="1"/>
        <c:scaling>
          <c:orientation val="minMax"/>
        </c:scaling>
        <c:delete val="1"/>
        <c:axPos val="l"/>
        <c:majorGridlines>
          <c:spPr>
            <a:ln w="9525" cap="flat" cmpd="sng" algn="ctr">
              <a:solidFill>
                <a:schemeClr val="tx1">
                  <a:lumMod val="15000"/>
                  <a:lumOff val="85000"/>
                </a:schemeClr>
              </a:solidFill>
              <a:round/>
            </a:ln>
            <a:effectLst/>
          </c:spPr>
        </c:majorGridlines>
        <c:numFmt formatCode="_-* #\ ##0_-;\-* #\ ##0_-;_-* &quot;-&quot;??_-;_-@_-" sourceLinked="1"/>
        <c:majorTickMark val="out"/>
        <c:minorTickMark val="none"/>
        <c:tickLblPos val="nextTo"/>
        <c:crossAx val="1390229839"/>
        <c:crosses val="autoZero"/>
        <c:crossBetween val="between"/>
      </c:valAx>
    </c:plotArea>
    <c:plotVisOnly val="1"/>
    <c:dispBlanksAs val="gap"/>
    <c:showDLblsOverMax val="0"/>
  </c:chart>
  <c:spPr>
    <a:solidFill>
      <a:schemeClr val="bg1"/>
    </a:solidFill>
    <a:ln w="9525" cap="flat" cmpd="sng" algn="ctr">
      <a:noFill/>
      <a:round/>
    </a:ln>
    <a:effectLst/>
  </c:spPr>
  <c:txPr>
    <a:bodyPr/>
    <a:lstStyle/>
    <a:p>
      <a:pPr>
        <a:defRPr sz="11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charts/chart3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320" b="0" i="0" u="none" strike="noStrike" baseline="0">
                <a:solidFill>
                  <a:srgbClr val="333333"/>
                </a:solidFill>
                <a:latin typeface="Calibri"/>
                <a:ea typeface="Calibri"/>
                <a:cs typeface="Calibri"/>
              </a:defRPr>
            </a:pPr>
            <a:r>
              <a:rPr lang="en-ZA"/>
              <a:t>Budget funding: sanitation service: %s</a:t>
            </a:r>
          </a:p>
        </c:rich>
      </c:tx>
      <c:layout>
        <c:manualLayout>
          <c:xMode val="edge"/>
          <c:yMode val="edge"/>
          <c:x val="3.5577490612716478E-2"/>
          <c:y val="5.0906329016565235E-2"/>
        </c:manualLayout>
      </c:layout>
      <c:overlay val="0"/>
      <c:spPr>
        <a:noFill/>
        <a:ln w="25400">
          <a:noFill/>
        </a:ln>
      </c:spPr>
    </c:title>
    <c:autoTitleDeleted val="0"/>
    <c:plotArea>
      <c:layout/>
      <c:barChart>
        <c:barDir val="col"/>
        <c:grouping val="percentStacked"/>
        <c:varyColors val="0"/>
        <c:ser>
          <c:idx val="0"/>
          <c:order val="0"/>
          <c:tx>
            <c:strRef>
              <c:f>'Revenue required'!$G$164</c:f>
              <c:strCache>
                <c:ptCount val="1"/>
                <c:pt idx="0">
                  <c:v>Direct cost</c:v>
                </c:pt>
              </c:strCache>
            </c:strRef>
          </c:tx>
          <c:spPr>
            <a:solidFill>
              <a:schemeClr val="accent5"/>
            </a:solidFill>
          </c:spPr>
          <c:invertIfNegative val="0"/>
          <c:dLbls>
            <c:spPr>
              <a:noFill/>
              <a:ln w="25400">
                <a:noFill/>
              </a:ln>
            </c:spPr>
            <c:txPr>
              <a:bodyPr wrap="square" lIns="38100" tIns="19050" rIns="38100" bIns="19050" anchor="ctr">
                <a:spAutoFit/>
              </a:bodyPr>
              <a:lstStyle/>
              <a:p>
                <a:pPr>
                  <a:defRPr sz="1100" b="0" i="0" u="none" strike="noStrike" baseline="0">
                    <a:solidFill>
                      <a:srgbClr val="333333"/>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'Revenue required'!$H$164:$I$164</c:f>
            </c:numRef>
          </c:val>
          <c:extLst>
            <c:ext xmlns:c15="http://schemas.microsoft.com/office/drawing/2012/chart" uri="{02D57815-91ED-43cb-92C2-25804820EDAC}">
              <c15:filteredCategoryTitle>
                <c15:cat>
                  <c:multiLvlStrRef>
                    <c:extLst>
                      <c:ext uri="{02D57815-91ED-43cb-92C2-25804820EDAC}">
                        <c15:formulaRef>
                          <c15:sqref>'Revenue required'!$H$163:$I$163</c15:sqref>
                        </c15:formulaRef>
                      </c:ext>
                    </c:extLst>
                  </c:multiLvlStrRef>
                </c15:cat>
              </c15:filteredCategoryTitle>
            </c:ext>
            <c:ext xmlns:c16="http://schemas.microsoft.com/office/drawing/2014/chart" uri="{C3380CC4-5D6E-409C-BE32-E72D297353CC}">
              <c16:uniqueId val="{00000000-7B65-4ABA-879B-B2AA7B4E708D}"/>
            </c:ext>
          </c:extLst>
        </c:ser>
        <c:ser>
          <c:idx val="1"/>
          <c:order val="1"/>
          <c:tx>
            <c:strRef>
              <c:f>'Revenue required'!$G$165</c:f>
              <c:strCache>
                <c:ptCount val="1"/>
                <c:pt idx="0">
                  <c:v>Indirect cost</c:v>
                </c:pt>
              </c:strCache>
            </c:strRef>
          </c:tx>
          <c:spPr>
            <a:solidFill>
              <a:schemeClr val="accent5">
                <a:lumMod val="40000"/>
                <a:lumOff val="60000"/>
              </a:schemeClr>
            </a:solidFill>
          </c:spPr>
          <c:invertIfNegative val="0"/>
          <c:dLbls>
            <c:spPr>
              <a:noFill/>
              <a:ln w="25400">
                <a:noFill/>
              </a:ln>
            </c:spPr>
            <c:txPr>
              <a:bodyPr wrap="square" lIns="38100" tIns="19050" rIns="38100" bIns="19050" anchor="ctr">
                <a:spAutoFit/>
              </a:bodyPr>
              <a:lstStyle/>
              <a:p>
                <a:pPr>
                  <a:defRPr sz="1100" b="0" i="0" u="none" strike="noStrike" baseline="0">
                    <a:solidFill>
                      <a:srgbClr val="333333"/>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'Revenue required'!$H$165:$I$165</c:f>
            </c:numRef>
          </c:val>
          <c:extLst>
            <c:ext xmlns:c15="http://schemas.microsoft.com/office/drawing/2012/chart" uri="{02D57815-91ED-43cb-92C2-25804820EDAC}">
              <c15:filteredCategoryTitle>
                <c15:cat>
                  <c:multiLvlStrRef>
                    <c:extLst>
                      <c:ext uri="{02D57815-91ED-43cb-92C2-25804820EDAC}">
                        <c15:formulaRef>
                          <c15:sqref>'Revenue required'!$H$163:$I$163</c15:sqref>
                        </c15:formulaRef>
                      </c:ext>
                    </c:extLst>
                  </c:multiLvlStrRef>
                </c15:cat>
              </c15:filteredCategoryTitle>
            </c:ext>
            <c:ext xmlns:c16="http://schemas.microsoft.com/office/drawing/2014/chart" uri="{C3380CC4-5D6E-409C-BE32-E72D297353CC}">
              <c16:uniqueId val="{00000001-7B65-4ABA-879B-B2AA7B4E708D}"/>
            </c:ext>
          </c:extLst>
        </c:ser>
        <c:ser>
          <c:idx val="2"/>
          <c:order val="2"/>
          <c:tx>
            <c:strRef>
              <c:f>'Revenue required'!$G$166</c:f>
              <c:strCache>
                <c:ptCount val="1"/>
              </c:strCache>
            </c:strRef>
          </c:tx>
          <c:spPr>
            <a:solidFill>
              <a:schemeClr val="accent6"/>
            </a:solidFill>
          </c:spPr>
          <c:invertIfNegative val="0"/>
          <c:dLbls>
            <c:spPr>
              <a:noFill/>
              <a:ln w="25400">
                <a:noFill/>
              </a:ln>
            </c:spPr>
            <c:txPr>
              <a:bodyPr wrap="square" lIns="38100" tIns="19050" rIns="38100" bIns="19050" anchor="ctr">
                <a:spAutoFit/>
              </a:bodyPr>
              <a:lstStyle/>
              <a:p>
                <a:pPr>
                  <a:defRPr sz="1100" b="0" i="0" u="none" strike="noStrike" baseline="0">
                    <a:solidFill>
                      <a:srgbClr val="333333"/>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'Revenue required'!$H$166:$I$166</c:f>
            </c:numRef>
          </c:val>
          <c:extLst>
            <c:ext xmlns:c15="http://schemas.microsoft.com/office/drawing/2012/chart" uri="{02D57815-91ED-43cb-92C2-25804820EDAC}">
              <c15:filteredCategoryTitle>
                <c15:cat>
                  <c:multiLvlStrRef>
                    <c:extLst>
                      <c:ext uri="{02D57815-91ED-43cb-92C2-25804820EDAC}">
                        <c15:formulaRef>
                          <c15:sqref>'Revenue required'!$H$163:$I$163</c15:sqref>
                        </c15:formulaRef>
                      </c:ext>
                    </c:extLst>
                  </c:multiLvlStrRef>
                </c15:cat>
              </c15:filteredCategoryTitle>
            </c:ext>
            <c:ext xmlns:c16="http://schemas.microsoft.com/office/drawing/2014/chart" uri="{C3380CC4-5D6E-409C-BE32-E72D297353CC}">
              <c16:uniqueId val="{00000002-7B65-4ABA-879B-B2AA7B4E708D}"/>
            </c:ext>
          </c:extLst>
        </c:ser>
        <c:ser>
          <c:idx val="4"/>
          <c:order val="3"/>
          <c:tx>
            <c:strRef>
              <c:f>'Revenue required'!$G$167</c:f>
              <c:strCache>
                <c:ptCount val="1"/>
                <c:pt idx="0">
                  <c:v>Tariff revenue</c:v>
                </c:pt>
              </c:strCache>
            </c:strRef>
          </c:tx>
          <c:spPr>
            <a:solidFill>
              <a:schemeClr val="accent3">
                <a:lumMod val="75000"/>
              </a:schemeClr>
            </a:solidFill>
          </c:spPr>
          <c:invertIfNegative val="0"/>
          <c:dLbls>
            <c:spPr>
              <a:noFill/>
              <a:ln w="25400">
                <a:noFill/>
              </a:ln>
            </c:spPr>
            <c:txPr>
              <a:bodyPr wrap="square" lIns="38100" tIns="19050" rIns="38100" bIns="19050" anchor="ctr">
                <a:spAutoFit/>
              </a:bodyPr>
              <a:lstStyle/>
              <a:p>
                <a:pPr>
                  <a:defRPr sz="1100" b="0" i="0" u="none" strike="noStrike" baseline="0">
                    <a:solidFill>
                      <a:srgbClr val="333333"/>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'Revenue required'!$H$167:$I$167</c:f>
            </c:numRef>
          </c:val>
          <c:extLst>
            <c:ext xmlns:c15="http://schemas.microsoft.com/office/drawing/2012/chart" uri="{02D57815-91ED-43cb-92C2-25804820EDAC}">
              <c15:filteredCategoryTitle>
                <c15:cat>
                  <c:multiLvlStrRef>
                    <c:extLst>
                      <c:ext uri="{02D57815-91ED-43cb-92C2-25804820EDAC}">
                        <c15:formulaRef>
                          <c15:sqref>'Revenue required'!$H$163:$I$163</c15:sqref>
                        </c15:formulaRef>
                      </c:ext>
                    </c:extLst>
                  </c:multiLvlStrRef>
                </c15:cat>
              </c15:filteredCategoryTitle>
            </c:ext>
            <c:ext xmlns:c16="http://schemas.microsoft.com/office/drawing/2014/chart" uri="{C3380CC4-5D6E-409C-BE32-E72D297353CC}">
              <c16:uniqueId val="{00000003-7B65-4ABA-879B-B2AA7B4E708D}"/>
            </c:ext>
          </c:extLst>
        </c:ser>
        <c:ser>
          <c:idx val="5"/>
          <c:order val="4"/>
          <c:tx>
            <c:strRef>
              <c:f>'Revenue required'!$G$168</c:f>
              <c:strCache>
                <c:ptCount val="1"/>
                <c:pt idx="0">
                  <c:v>Non-tariff revenue</c:v>
                </c:pt>
              </c:strCache>
            </c:strRef>
          </c:tx>
          <c:spPr>
            <a:solidFill>
              <a:schemeClr val="accent3"/>
            </a:solidFill>
          </c:spPr>
          <c:invertIfNegative val="0"/>
          <c:dLbls>
            <c:spPr>
              <a:noFill/>
              <a:ln w="25400">
                <a:noFill/>
              </a:ln>
            </c:spPr>
            <c:txPr>
              <a:bodyPr wrap="square" lIns="38100" tIns="19050" rIns="38100" bIns="19050" anchor="ctr">
                <a:spAutoFit/>
              </a:bodyPr>
              <a:lstStyle/>
              <a:p>
                <a:pPr>
                  <a:defRPr sz="1100" b="0" i="0" u="none" strike="noStrike" baseline="0">
                    <a:solidFill>
                      <a:srgbClr val="333333"/>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'Revenue required'!$H$168:$I$168</c:f>
            </c:numRef>
          </c:val>
          <c:extLst>
            <c:ext xmlns:c15="http://schemas.microsoft.com/office/drawing/2012/chart" uri="{02D57815-91ED-43cb-92C2-25804820EDAC}">
              <c15:filteredCategoryTitle>
                <c15:cat>
                  <c:multiLvlStrRef>
                    <c:extLst>
                      <c:ext uri="{02D57815-91ED-43cb-92C2-25804820EDAC}">
                        <c15:formulaRef>
                          <c15:sqref>'Revenue required'!$H$163:$I$163</c15:sqref>
                        </c15:formulaRef>
                      </c:ext>
                    </c:extLst>
                  </c:multiLvlStrRef>
                </c15:cat>
              </c15:filteredCategoryTitle>
            </c:ext>
            <c:ext xmlns:c16="http://schemas.microsoft.com/office/drawing/2014/chart" uri="{C3380CC4-5D6E-409C-BE32-E72D297353CC}">
              <c16:uniqueId val="{00000004-7B65-4ABA-879B-B2AA7B4E708D}"/>
            </c:ext>
          </c:extLst>
        </c:ser>
        <c:ser>
          <c:idx val="3"/>
          <c:order val="5"/>
          <c:tx>
            <c:strRef>
              <c:f>'Revenue required'!$G$169</c:f>
              <c:strCache>
                <c:ptCount val="1"/>
              </c:strCache>
            </c:strRef>
          </c:tx>
          <c:invertIfNegative val="0"/>
          <c:dLbls>
            <c:spPr>
              <a:noFill/>
              <a:ln w="25400">
                <a:noFill/>
              </a:ln>
            </c:spPr>
            <c:txPr>
              <a:bodyPr wrap="square" lIns="38100" tIns="19050" rIns="38100" bIns="19050" anchor="ctr">
                <a:spAutoFit/>
              </a:bodyPr>
              <a:lstStyle/>
              <a:p>
                <a:pPr>
                  <a:defRPr sz="1100" b="0" i="0" u="none" strike="noStrike" baseline="0">
                    <a:solidFill>
                      <a:srgbClr val="333333"/>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'Revenue required'!$H$169:$I$169</c:f>
            </c:numRef>
          </c:val>
          <c:extLst>
            <c:ext xmlns:c15="http://schemas.microsoft.com/office/drawing/2012/chart" uri="{02D57815-91ED-43cb-92C2-25804820EDAC}">
              <c15:filteredCategoryTitle>
                <c15:cat>
                  <c:multiLvlStrRef>
                    <c:extLst>
                      <c:ext uri="{02D57815-91ED-43cb-92C2-25804820EDAC}">
                        <c15:formulaRef>
                          <c15:sqref>'Revenue required'!$H$163:$I$163</c15:sqref>
                        </c15:formulaRef>
                      </c:ext>
                    </c:extLst>
                  </c:multiLvlStrRef>
                </c15:cat>
              </c15:filteredCategoryTitle>
            </c:ext>
            <c:ext xmlns:c16="http://schemas.microsoft.com/office/drawing/2014/chart" uri="{C3380CC4-5D6E-409C-BE32-E72D297353CC}">
              <c16:uniqueId val="{00000005-7B65-4ABA-879B-B2AA7B4E708D}"/>
            </c:ext>
          </c:extLst>
        </c:ser>
        <c:dLbls>
          <c:showLegendKey val="0"/>
          <c:showVal val="0"/>
          <c:showCatName val="0"/>
          <c:showSerName val="0"/>
          <c:showPercent val="0"/>
          <c:showBubbleSize val="0"/>
        </c:dLbls>
        <c:gapWidth val="25"/>
        <c:overlap val="100"/>
        <c:axId val="1390239439"/>
        <c:axId val="1"/>
      </c:barChart>
      <c:catAx>
        <c:axId val="1390239439"/>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0" vert="horz"/>
          <a:lstStyle/>
          <a:p>
            <a:pPr>
              <a:defRPr sz="1100" b="0" i="0" u="none" strike="noStrike" baseline="0">
                <a:solidFill>
                  <a:srgbClr val="333333"/>
                </a:solidFill>
                <a:latin typeface="Calibri"/>
                <a:ea typeface="Calibri"/>
                <a:cs typeface="Calibri"/>
              </a:defRPr>
            </a:pPr>
            <a:endParaRPr lang="en-US"/>
          </a:p>
        </c:txPr>
        <c:crossAx val="1"/>
        <c:crosses val="autoZero"/>
        <c:auto val="1"/>
        <c:lblAlgn val="ctr"/>
        <c:lblOffset val="100"/>
        <c:noMultiLvlLbl val="0"/>
      </c:catAx>
      <c:valAx>
        <c:axId val="1"/>
        <c:scaling>
          <c:orientation val="minMax"/>
        </c:scaling>
        <c:delete val="1"/>
        <c:axPos val="l"/>
        <c:majorGridlines>
          <c:spPr>
            <a:ln w="9525" cap="flat" cmpd="sng" algn="ctr">
              <a:solidFill>
                <a:schemeClr val="tx1">
                  <a:lumMod val="15000"/>
                  <a:lumOff val="85000"/>
                </a:schemeClr>
              </a:solidFill>
              <a:round/>
            </a:ln>
            <a:effectLst/>
          </c:spPr>
        </c:majorGridlines>
        <c:numFmt formatCode="0%" sourceLinked="1"/>
        <c:majorTickMark val="out"/>
        <c:minorTickMark val="none"/>
        <c:tickLblPos val="nextTo"/>
        <c:crossAx val="1390239439"/>
        <c:crosses val="autoZero"/>
        <c:crossBetween val="between"/>
      </c:valAx>
    </c:plotArea>
    <c:plotVisOnly val="1"/>
    <c:dispBlanksAs val="gap"/>
    <c:showDLblsOverMax val="0"/>
  </c:chart>
  <c:spPr>
    <a:solidFill>
      <a:schemeClr val="bg1"/>
    </a:solidFill>
    <a:ln w="9525" cap="flat" cmpd="sng" algn="ctr">
      <a:noFill/>
      <a:round/>
    </a:ln>
    <a:effectLst/>
  </c:spPr>
  <c:txPr>
    <a:bodyPr/>
    <a:lstStyle/>
    <a:p>
      <a:pPr>
        <a:defRPr sz="11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charts/chart3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320" b="0" i="0" u="none" strike="noStrike" baseline="0">
                <a:solidFill>
                  <a:srgbClr val="333333"/>
                </a:solidFill>
                <a:latin typeface="Calibri"/>
                <a:ea typeface="Calibri"/>
                <a:cs typeface="Calibri"/>
              </a:defRPr>
            </a:pPr>
            <a:r>
              <a:rPr lang="en-ZA"/>
              <a:t>Budget funding: electricity service: categories</a:t>
            </a:r>
          </a:p>
        </c:rich>
      </c:tx>
      <c:layout>
        <c:manualLayout>
          <c:xMode val="edge"/>
          <c:yMode val="edge"/>
          <c:x val="6.8346456692913379E-2"/>
          <c:y val="4.1609029640525708E-2"/>
        </c:manualLayout>
      </c:layout>
      <c:overlay val="0"/>
      <c:spPr>
        <a:noFill/>
        <a:ln w="25400">
          <a:noFill/>
        </a:ln>
      </c:spPr>
    </c:title>
    <c:autoTitleDeleted val="0"/>
    <c:plotArea>
      <c:layout/>
      <c:barChart>
        <c:barDir val="col"/>
        <c:grouping val="stacked"/>
        <c:varyColors val="0"/>
        <c:ser>
          <c:idx val="0"/>
          <c:order val="0"/>
          <c:tx>
            <c:strRef>
              <c:f>'Revenue required'!$D$174</c:f>
              <c:strCache>
                <c:ptCount val="1"/>
                <c:pt idx="0">
                  <c:v>Direct cost</c:v>
                </c:pt>
              </c:strCache>
            </c:strRef>
          </c:tx>
          <c:spPr>
            <a:solidFill>
              <a:schemeClr val="accent5"/>
            </a:solidFill>
          </c:spPr>
          <c:invertIfNegative val="0"/>
          <c:dLbls>
            <c:dLbl>
              <c:idx val="0"/>
              <c:tx>
                <c:strRef>
                  <c:f>'Revenue required'!$D$174</c:f>
                  <c:strCache>
                    <c:ptCount val="1"/>
                    <c:pt idx="0">
                      <c:v>Direct cost</c:v>
                    </c:pt>
                  </c:strCache>
                </c:strRef>
              </c:tx>
              <c:spPr>
                <a:noFill/>
                <a:ln w="25400">
                  <a:noFill/>
                </a:ln>
              </c:spPr>
              <c:txPr>
                <a:bodyPr/>
                <a:lstStyle/>
                <a:p>
                  <a:pPr>
                    <a:defRPr sz="1100" b="0" i="0" u="none" strike="noStrike" baseline="0">
                      <a:solidFill>
                        <a:srgbClr val="333333"/>
                      </a:solidFill>
                      <a:latin typeface="Calibri"/>
                      <a:ea typeface="Calibri"/>
                      <a:cs typeface="Calibri"/>
                    </a:defRPr>
                  </a:pPr>
                  <a:endParaRPr lang="en-US"/>
                </a:p>
              </c:txPr>
              <c:dLblPos val="ctr"/>
              <c:showLegendKey val="0"/>
              <c:showVal val="0"/>
              <c:showCatName val="0"/>
              <c:showSerName val="0"/>
              <c:showPercent val="0"/>
              <c:showBubbleSize val="0"/>
              <c:extLst>
                <c:ext xmlns:c15="http://schemas.microsoft.com/office/drawing/2012/chart" uri="{CE6537A1-D6FC-4f65-9D91-7224C49458BB}">
                  <c15:dlblFieldTable>
                    <c15:dlblFTEntry>
                      <c15:txfldGUID>{7FAE382F-B821-45E2-A066-EF02FBFEA6C3}</c15:txfldGUID>
                      <c15:f>'Revenue required'!$D$174</c15:f>
                      <c15:dlblFieldTableCache>
                        <c:ptCount val="1"/>
                        <c:pt idx="0">
                          <c:v>Direct cost</c:v>
                        </c:pt>
                      </c15:dlblFieldTableCache>
                    </c15:dlblFTEntry>
                  </c15:dlblFieldTable>
                  <c15:showDataLabelsRange val="0"/>
                </c:ext>
                <c:ext xmlns:c16="http://schemas.microsoft.com/office/drawing/2014/chart" uri="{C3380CC4-5D6E-409C-BE32-E72D297353CC}">
                  <c16:uniqueId val="{00000000-A064-446E-8018-7B0BDC3D7B9E}"/>
                </c:ext>
              </c:extLst>
            </c:dLbl>
            <c:spPr>
              <a:noFill/>
              <a:ln w="25400">
                <a:noFill/>
              </a:ln>
            </c:spPr>
            <c:txPr>
              <a:bodyPr wrap="square" lIns="38100" tIns="19050" rIns="38100" bIns="19050" anchor="ctr">
                <a:spAutoFit/>
              </a:bodyPr>
              <a:lstStyle/>
              <a:p>
                <a:pPr>
                  <a:defRPr sz="1100" b="0" i="0" u="none" strike="noStrike" baseline="0">
                    <a:solidFill>
                      <a:srgbClr val="333333"/>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'Revenue required'!$E$174:$F$174</c:f>
            </c:numRef>
          </c:val>
          <c:extLst>
            <c:ext xmlns:c15="http://schemas.microsoft.com/office/drawing/2012/chart" uri="{02D57815-91ED-43cb-92C2-25804820EDAC}">
              <c15:filteredCategoryTitle>
                <c15:cat>
                  <c:multiLvlStrRef>
                    <c:extLst>
                      <c:ext uri="{02D57815-91ED-43cb-92C2-25804820EDAC}">
                        <c15:formulaRef>
                          <c15:sqref>'Revenue required'!$E$173:$F$173</c15:sqref>
                        </c15:formulaRef>
                      </c:ext>
                    </c:extLst>
                  </c:multiLvlStrRef>
                </c15:cat>
              </c15:filteredCategoryTitle>
            </c:ext>
            <c:ext xmlns:c16="http://schemas.microsoft.com/office/drawing/2014/chart" uri="{C3380CC4-5D6E-409C-BE32-E72D297353CC}">
              <c16:uniqueId val="{00000001-A064-446E-8018-7B0BDC3D7B9E}"/>
            </c:ext>
          </c:extLst>
        </c:ser>
        <c:ser>
          <c:idx val="1"/>
          <c:order val="1"/>
          <c:tx>
            <c:strRef>
              <c:f>'Revenue required'!$D$175</c:f>
              <c:strCache>
                <c:ptCount val="1"/>
                <c:pt idx="0">
                  <c:v>Indirect cost</c:v>
                </c:pt>
              </c:strCache>
            </c:strRef>
          </c:tx>
          <c:spPr>
            <a:solidFill>
              <a:schemeClr val="accent5">
                <a:lumMod val="60000"/>
                <a:lumOff val="40000"/>
              </a:schemeClr>
            </a:solidFill>
          </c:spPr>
          <c:invertIfNegative val="0"/>
          <c:dLbls>
            <c:dLbl>
              <c:idx val="0"/>
              <c:tx>
                <c:strRef>
                  <c:f>'Revenue required'!$D$175</c:f>
                  <c:strCache>
                    <c:ptCount val="1"/>
                    <c:pt idx="0">
                      <c:v>Indirect cost</c:v>
                    </c:pt>
                  </c:strCache>
                </c:strRef>
              </c:tx>
              <c:spPr>
                <a:noFill/>
                <a:ln w="25400">
                  <a:noFill/>
                </a:ln>
              </c:spPr>
              <c:txPr>
                <a:bodyPr/>
                <a:lstStyle/>
                <a:p>
                  <a:pPr>
                    <a:defRPr sz="1100" b="0" i="0" u="none" strike="noStrike" baseline="0">
                      <a:solidFill>
                        <a:srgbClr val="333333"/>
                      </a:solidFill>
                      <a:latin typeface="Calibri"/>
                      <a:ea typeface="Calibri"/>
                      <a:cs typeface="Calibri"/>
                    </a:defRPr>
                  </a:pPr>
                  <a:endParaRPr lang="en-US"/>
                </a:p>
              </c:txPr>
              <c:dLblPos val="ctr"/>
              <c:showLegendKey val="0"/>
              <c:showVal val="0"/>
              <c:showCatName val="0"/>
              <c:showSerName val="0"/>
              <c:showPercent val="0"/>
              <c:showBubbleSize val="0"/>
              <c:extLst>
                <c:ext xmlns:c15="http://schemas.microsoft.com/office/drawing/2012/chart" uri="{CE6537A1-D6FC-4f65-9D91-7224C49458BB}">
                  <c15:dlblFieldTable>
                    <c15:dlblFTEntry>
                      <c15:txfldGUID>{BFFEC854-B6AB-4030-8C99-92670CD84819}</c15:txfldGUID>
                      <c15:f>'Revenue required'!$D$175</c15:f>
                      <c15:dlblFieldTableCache>
                        <c:ptCount val="1"/>
                        <c:pt idx="0">
                          <c:v>Indirect cost</c:v>
                        </c:pt>
                      </c15:dlblFieldTableCache>
                    </c15:dlblFTEntry>
                  </c15:dlblFieldTable>
                  <c15:showDataLabelsRange val="0"/>
                </c:ext>
                <c:ext xmlns:c16="http://schemas.microsoft.com/office/drawing/2014/chart" uri="{C3380CC4-5D6E-409C-BE32-E72D297353CC}">
                  <c16:uniqueId val="{00000002-A064-446E-8018-7B0BDC3D7B9E}"/>
                </c:ext>
              </c:extLst>
            </c:dLbl>
            <c:spPr>
              <a:noFill/>
              <a:ln w="25400">
                <a:noFill/>
              </a:ln>
            </c:spPr>
            <c:txPr>
              <a:bodyPr wrap="square" lIns="38100" tIns="19050" rIns="38100" bIns="19050" anchor="ctr">
                <a:spAutoFit/>
              </a:bodyPr>
              <a:lstStyle/>
              <a:p>
                <a:pPr>
                  <a:defRPr sz="1100" b="0" i="0" u="none" strike="noStrike" baseline="0">
                    <a:solidFill>
                      <a:srgbClr val="333333"/>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'Revenue required'!$E$175:$F$175</c:f>
            </c:numRef>
          </c:val>
          <c:extLst>
            <c:ext xmlns:c15="http://schemas.microsoft.com/office/drawing/2012/chart" uri="{02D57815-91ED-43cb-92C2-25804820EDAC}">
              <c15:filteredCategoryTitle>
                <c15:cat>
                  <c:multiLvlStrRef>
                    <c:extLst>
                      <c:ext uri="{02D57815-91ED-43cb-92C2-25804820EDAC}">
                        <c15:formulaRef>
                          <c15:sqref>'Revenue required'!$E$173:$F$173</c15:sqref>
                        </c15:formulaRef>
                      </c:ext>
                    </c:extLst>
                  </c:multiLvlStrRef>
                </c15:cat>
              </c15:filteredCategoryTitle>
            </c:ext>
            <c:ext xmlns:c16="http://schemas.microsoft.com/office/drawing/2014/chart" uri="{C3380CC4-5D6E-409C-BE32-E72D297353CC}">
              <c16:uniqueId val="{00000003-A064-446E-8018-7B0BDC3D7B9E}"/>
            </c:ext>
          </c:extLst>
        </c:ser>
        <c:ser>
          <c:idx val="2"/>
          <c:order val="2"/>
          <c:tx>
            <c:strRef>
              <c:f>'Revenue required'!$D$176</c:f>
              <c:strCache>
                <c:ptCount val="1"/>
              </c:strCache>
            </c:strRef>
          </c:tx>
          <c:spPr>
            <a:solidFill>
              <a:schemeClr val="accent6"/>
            </a:solidFill>
          </c:spPr>
          <c:invertIfNegative val="0"/>
          <c:dLbls>
            <c:dLbl>
              <c:idx val="0"/>
              <c:tx>
                <c:strRef>
                  <c:f>'Revenue required'!$D$176</c:f>
                  <c:strCache>
                    <c:ptCount val="1"/>
                  </c:strCache>
                </c:strRef>
              </c:tx>
              <c:spPr>
                <a:noFill/>
                <a:ln w="25400">
                  <a:noFill/>
                </a:ln>
              </c:spPr>
              <c:txPr>
                <a:bodyPr/>
                <a:lstStyle/>
                <a:p>
                  <a:pPr>
                    <a:defRPr sz="1100" b="0" i="0" u="none" strike="noStrike" baseline="0">
                      <a:solidFill>
                        <a:srgbClr val="333333"/>
                      </a:solidFill>
                      <a:latin typeface="Calibri"/>
                      <a:ea typeface="Calibri"/>
                      <a:cs typeface="Calibri"/>
                    </a:defRPr>
                  </a:pPr>
                  <a:endParaRPr lang="en-US"/>
                </a:p>
              </c:txPr>
              <c:dLblPos val="ctr"/>
              <c:showLegendKey val="0"/>
              <c:showVal val="0"/>
              <c:showCatName val="0"/>
              <c:showSerName val="0"/>
              <c:showPercent val="0"/>
              <c:showBubbleSize val="0"/>
              <c:extLst>
                <c:ext xmlns:c15="http://schemas.microsoft.com/office/drawing/2012/chart" uri="{CE6537A1-D6FC-4f65-9D91-7224C49458BB}">
                  <c15:dlblFieldTable>
                    <c15:dlblFTEntry>
                      <c15:txfldGUID>{264CBF9B-FF76-4560-BAB7-3D112698D78F}</c15:txfldGUID>
                      <c15:f>'Revenue required'!$D$176</c15:f>
                      <c15:dlblFieldTableCache>
                        <c:ptCount val="1"/>
                      </c15:dlblFieldTableCache>
                    </c15:dlblFTEntry>
                  </c15:dlblFieldTable>
                  <c15:showDataLabelsRange val="0"/>
                </c:ext>
                <c:ext xmlns:c16="http://schemas.microsoft.com/office/drawing/2014/chart" uri="{C3380CC4-5D6E-409C-BE32-E72D297353CC}">
                  <c16:uniqueId val="{00000004-A064-446E-8018-7B0BDC3D7B9E}"/>
                </c:ext>
              </c:extLst>
            </c:dLbl>
            <c:spPr>
              <a:noFill/>
              <a:ln w="25400">
                <a:noFill/>
              </a:ln>
            </c:spPr>
            <c:txPr>
              <a:bodyPr wrap="square" lIns="38100" tIns="19050" rIns="38100" bIns="19050" anchor="ctr">
                <a:spAutoFit/>
              </a:bodyPr>
              <a:lstStyle/>
              <a:p>
                <a:pPr>
                  <a:defRPr sz="1100" b="0" i="0" u="none" strike="noStrike" baseline="0">
                    <a:solidFill>
                      <a:srgbClr val="333333"/>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'Revenue required'!$E$176:$F$176</c:f>
            </c:numRef>
          </c:val>
          <c:extLst>
            <c:ext xmlns:c15="http://schemas.microsoft.com/office/drawing/2012/chart" uri="{02D57815-91ED-43cb-92C2-25804820EDAC}">
              <c15:filteredCategoryTitle>
                <c15:cat>
                  <c:multiLvlStrRef>
                    <c:extLst>
                      <c:ext uri="{02D57815-91ED-43cb-92C2-25804820EDAC}">
                        <c15:formulaRef>
                          <c15:sqref>'Revenue required'!$E$173:$F$173</c15:sqref>
                        </c15:formulaRef>
                      </c:ext>
                    </c:extLst>
                  </c:multiLvlStrRef>
                </c15:cat>
              </c15:filteredCategoryTitle>
            </c:ext>
            <c:ext xmlns:c16="http://schemas.microsoft.com/office/drawing/2014/chart" uri="{C3380CC4-5D6E-409C-BE32-E72D297353CC}">
              <c16:uniqueId val="{00000005-A064-446E-8018-7B0BDC3D7B9E}"/>
            </c:ext>
          </c:extLst>
        </c:ser>
        <c:ser>
          <c:idx val="4"/>
          <c:order val="3"/>
          <c:tx>
            <c:strRef>
              <c:f>'Revenue required'!$D$177</c:f>
              <c:strCache>
                <c:ptCount val="1"/>
                <c:pt idx="0">
                  <c:v>Tariff revenue</c:v>
                </c:pt>
              </c:strCache>
            </c:strRef>
          </c:tx>
          <c:spPr>
            <a:solidFill>
              <a:schemeClr val="accent3">
                <a:lumMod val="75000"/>
              </a:schemeClr>
            </a:solidFill>
          </c:spPr>
          <c:invertIfNegative val="0"/>
          <c:dLbls>
            <c:dLbl>
              <c:idx val="1"/>
              <c:tx>
                <c:strRef>
                  <c:f>'Revenue required'!$D$177</c:f>
                  <c:strCache>
                    <c:ptCount val="1"/>
                    <c:pt idx="0">
                      <c:v>Tariff revenue</c:v>
                    </c:pt>
                  </c:strCache>
                </c:strRef>
              </c:tx>
              <c:spPr>
                <a:noFill/>
                <a:ln w="25400">
                  <a:noFill/>
                </a:ln>
              </c:spPr>
              <c:txPr>
                <a:bodyPr/>
                <a:lstStyle/>
                <a:p>
                  <a:pPr>
                    <a:defRPr sz="1100" b="0" i="0" u="none" strike="noStrike" baseline="0">
                      <a:solidFill>
                        <a:srgbClr val="333333"/>
                      </a:solidFill>
                      <a:latin typeface="Calibri"/>
                      <a:ea typeface="Calibri"/>
                      <a:cs typeface="Calibri"/>
                    </a:defRPr>
                  </a:pPr>
                  <a:endParaRPr lang="en-US"/>
                </a:p>
              </c:txPr>
              <c:dLblPos val="ctr"/>
              <c:showLegendKey val="0"/>
              <c:showVal val="0"/>
              <c:showCatName val="0"/>
              <c:showSerName val="0"/>
              <c:showPercent val="0"/>
              <c:showBubbleSize val="0"/>
              <c:extLst>
                <c:ext xmlns:c15="http://schemas.microsoft.com/office/drawing/2012/chart" uri="{CE6537A1-D6FC-4f65-9D91-7224C49458BB}">
                  <c15:dlblFieldTable>
                    <c15:dlblFTEntry>
                      <c15:txfldGUID>{BCCE9AB6-CF7F-4E61-A2A6-5B69820AE61B}</c15:txfldGUID>
                      <c15:f>'Revenue required'!$D$177</c15:f>
                      <c15:dlblFieldTableCache>
                        <c:ptCount val="1"/>
                        <c:pt idx="0">
                          <c:v>Tariff revenue</c:v>
                        </c:pt>
                      </c15:dlblFieldTableCache>
                    </c15:dlblFTEntry>
                  </c15:dlblFieldTable>
                  <c15:showDataLabelsRange val="0"/>
                </c:ext>
                <c:ext xmlns:c16="http://schemas.microsoft.com/office/drawing/2014/chart" uri="{C3380CC4-5D6E-409C-BE32-E72D297353CC}">
                  <c16:uniqueId val="{00000006-A064-446E-8018-7B0BDC3D7B9E}"/>
                </c:ext>
              </c:extLst>
            </c:dLbl>
            <c:spPr>
              <a:noFill/>
              <a:ln w="25400">
                <a:noFill/>
              </a:ln>
            </c:spPr>
            <c:txPr>
              <a:bodyPr wrap="square" lIns="38100" tIns="19050" rIns="38100" bIns="19050" anchor="ctr">
                <a:spAutoFit/>
              </a:bodyPr>
              <a:lstStyle/>
              <a:p>
                <a:pPr>
                  <a:defRPr sz="1100" b="0" i="0" u="none" strike="noStrike" baseline="0">
                    <a:solidFill>
                      <a:srgbClr val="333333"/>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'Revenue required'!$E$177:$F$177</c:f>
            </c:numRef>
          </c:val>
          <c:extLst>
            <c:ext xmlns:c15="http://schemas.microsoft.com/office/drawing/2012/chart" uri="{02D57815-91ED-43cb-92C2-25804820EDAC}">
              <c15:filteredCategoryTitle>
                <c15:cat>
                  <c:multiLvlStrRef>
                    <c:extLst>
                      <c:ext uri="{02D57815-91ED-43cb-92C2-25804820EDAC}">
                        <c15:formulaRef>
                          <c15:sqref>'Revenue required'!$E$173:$F$173</c15:sqref>
                        </c15:formulaRef>
                      </c:ext>
                    </c:extLst>
                  </c:multiLvlStrRef>
                </c15:cat>
              </c15:filteredCategoryTitle>
            </c:ext>
            <c:ext xmlns:c16="http://schemas.microsoft.com/office/drawing/2014/chart" uri="{C3380CC4-5D6E-409C-BE32-E72D297353CC}">
              <c16:uniqueId val="{00000007-A064-446E-8018-7B0BDC3D7B9E}"/>
            </c:ext>
          </c:extLst>
        </c:ser>
        <c:ser>
          <c:idx val="5"/>
          <c:order val="4"/>
          <c:tx>
            <c:strRef>
              <c:f>'Revenue required'!$D$178</c:f>
              <c:strCache>
                <c:ptCount val="1"/>
                <c:pt idx="0">
                  <c:v>Non-tariff revenue</c:v>
                </c:pt>
              </c:strCache>
            </c:strRef>
          </c:tx>
          <c:spPr>
            <a:solidFill>
              <a:schemeClr val="accent3"/>
            </a:solidFill>
          </c:spPr>
          <c:invertIfNegative val="0"/>
          <c:dLbls>
            <c:dLbl>
              <c:idx val="1"/>
              <c:tx>
                <c:strRef>
                  <c:f>'Revenue required'!$D$178</c:f>
                  <c:strCache>
                    <c:ptCount val="1"/>
                    <c:pt idx="0">
                      <c:v>Non-tariff revenue</c:v>
                    </c:pt>
                  </c:strCache>
                </c:strRef>
              </c:tx>
              <c:spPr>
                <a:noFill/>
                <a:ln w="25400">
                  <a:noFill/>
                </a:ln>
              </c:spPr>
              <c:txPr>
                <a:bodyPr/>
                <a:lstStyle/>
                <a:p>
                  <a:pPr>
                    <a:defRPr sz="1100" b="0" i="0" u="none" strike="noStrike" baseline="0">
                      <a:solidFill>
                        <a:srgbClr val="333333"/>
                      </a:solidFill>
                      <a:latin typeface="Calibri"/>
                      <a:ea typeface="Calibri"/>
                      <a:cs typeface="Calibri"/>
                    </a:defRPr>
                  </a:pPr>
                  <a:endParaRPr lang="en-US"/>
                </a:p>
              </c:txPr>
              <c:dLblPos val="ctr"/>
              <c:showLegendKey val="0"/>
              <c:showVal val="0"/>
              <c:showCatName val="0"/>
              <c:showSerName val="0"/>
              <c:showPercent val="0"/>
              <c:showBubbleSize val="0"/>
              <c:extLst>
                <c:ext xmlns:c15="http://schemas.microsoft.com/office/drawing/2012/chart" uri="{CE6537A1-D6FC-4f65-9D91-7224C49458BB}">
                  <c15:dlblFieldTable>
                    <c15:dlblFTEntry>
                      <c15:txfldGUID>{F76A7527-FDF2-4BC5-AC0D-C0414A1D06AE}</c15:txfldGUID>
                      <c15:f>'Revenue required'!$D$178</c15:f>
                      <c15:dlblFieldTableCache>
                        <c:ptCount val="1"/>
                        <c:pt idx="0">
                          <c:v>Non-tariff revenue</c:v>
                        </c:pt>
                      </c15:dlblFieldTableCache>
                    </c15:dlblFTEntry>
                  </c15:dlblFieldTable>
                  <c15:showDataLabelsRange val="0"/>
                </c:ext>
                <c:ext xmlns:c16="http://schemas.microsoft.com/office/drawing/2014/chart" uri="{C3380CC4-5D6E-409C-BE32-E72D297353CC}">
                  <c16:uniqueId val="{00000008-A064-446E-8018-7B0BDC3D7B9E}"/>
                </c:ext>
              </c:extLst>
            </c:dLbl>
            <c:spPr>
              <a:noFill/>
              <a:ln w="25400">
                <a:noFill/>
              </a:ln>
            </c:spPr>
            <c:txPr>
              <a:bodyPr wrap="square" lIns="38100" tIns="19050" rIns="38100" bIns="19050" anchor="ctr">
                <a:spAutoFit/>
              </a:bodyPr>
              <a:lstStyle/>
              <a:p>
                <a:pPr>
                  <a:defRPr sz="1100" b="0" i="0" u="none" strike="noStrike" baseline="0">
                    <a:solidFill>
                      <a:srgbClr val="333333"/>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'Revenue required'!$E$178:$F$178</c:f>
            </c:numRef>
          </c:val>
          <c:extLst>
            <c:ext xmlns:c15="http://schemas.microsoft.com/office/drawing/2012/chart" uri="{02D57815-91ED-43cb-92C2-25804820EDAC}">
              <c15:filteredCategoryTitle>
                <c15:cat>
                  <c:multiLvlStrRef>
                    <c:extLst>
                      <c:ext uri="{02D57815-91ED-43cb-92C2-25804820EDAC}">
                        <c15:formulaRef>
                          <c15:sqref>'Revenue required'!$E$173:$F$173</c15:sqref>
                        </c15:formulaRef>
                      </c:ext>
                    </c:extLst>
                  </c:multiLvlStrRef>
                </c15:cat>
              </c15:filteredCategoryTitle>
            </c:ext>
            <c:ext xmlns:c16="http://schemas.microsoft.com/office/drawing/2014/chart" uri="{C3380CC4-5D6E-409C-BE32-E72D297353CC}">
              <c16:uniqueId val="{00000009-A064-446E-8018-7B0BDC3D7B9E}"/>
            </c:ext>
          </c:extLst>
        </c:ser>
        <c:ser>
          <c:idx val="3"/>
          <c:order val="5"/>
          <c:tx>
            <c:strRef>
              <c:f>'Revenue required'!$D$179</c:f>
              <c:strCache>
                <c:ptCount val="1"/>
              </c:strCache>
            </c:strRef>
          </c:tx>
          <c:invertIfNegative val="0"/>
          <c:dLbls>
            <c:spPr>
              <a:noFill/>
              <a:ln w="25400">
                <a:noFill/>
              </a:ln>
            </c:spPr>
            <c:txPr>
              <a:bodyPr wrap="square" lIns="38100" tIns="19050" rIns="38100" bIns="19050" anchor="ctr">
                <a:spAutoFit/>
              </a:bodyPr>
              <a:lstStyle/>
              <a:p>
                <a:pPr>
                  <a:defRPr sz="1100" b="0" i="0" u="none" strike="noStrike" baseline="0">
                    <a:solidFill>
                      <a:srgbClr val="333333"/>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'Revenue required'!$E$179:$F$179</c:f>
            </c:numRef>
          </c:val>
          <c:extLst>
            <c:ext xmlns:c15="http://schemas.microsoft.com/office/drawing/2012/chart" uri="{02D57815-91ED-43cb-92C2-25804820EDAC}">
              <c15:filteredCategoryTitle>
                <c15:cat>
                  <c:multiLvlStrRef>
                    <c:extLst>
                      <c:ext uri="{02D57815-91ED-43cb-92C2-25804820EDAC}">
                        <c15:formulaRef>
                          <c15:sqref>'Revenue required'!$E$173:$F$173</c15:sqref>
                        </c15:formulaRef>
                      </c:ext>
                    </c:extLst>
                  </c:multiLvlStrRef>
                </c15:cat>
              </c15:filteredCategoryTitle>
            </c:ext>
            <c:ext xmlns:c16="http://schemas.microsoft.com/office/drawing/2014/chart" uri="{C3380CC4-5D6E-409C-BE32-E72D297353CC}">
              <c16:uniqueId val="{0000000A-A064-446E-8018-7B0BDC3D7B9E}"/>
            </c:ext>
          </c:extLst>
        </c:ser>
        <c:dLbls>
          <c:showLegendKey val="0"/>
          <c:showVal val="0"/>
          <c:showCatName val="0"/>
          <c:showSerName val="0"/>
          <c:showPercent val="0"/>
          <c:showBubbleSize val="0"/>
        </c:dLbls>
        <c:gapWidth val="25"/>
        <c:overlap val="100"/>
        <c:axId val="1390212559"/>
        <c:axId val="1"/>
      </c:barChart>
      <c:catAx>
        <c:axId val="1390212559"/>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0" vert="horz"/>
          <a:lstStyle/>
          <a:p>
            <a:pPr>
              <a:defRPr sz="1100" b="0" i="0" u="none" strike="noStrike" baseline="0">
                <a:solidFill>
                  <a:srgbClr val="333333"/>
                </a:solidFill>
                <a:latin typeface="Calibri"/>
                <a:ea typeface="Calibri"/>
                <a:cs typeface="Calibri"/>
              </a:defRPr>
            </a:pPr>
            <a:endParaRPr lang="en-US"/>
          </a:p>
        </c:txPr>
        <c:crossAx val="1"/>
        <c:crosses val="autoZero"/>
        <c:auto val="1"/>
        <c:lblAlgn val="ctr"/>
        <c:lblOffset val="100"/>
        <c:noMultiLvlLbl val="0"/>
      </c:catAx>
      <c:valAx>
        <c:axId val="1"/>
        <c:scaling>
          <c:orientation val="minMax"/>
        </c:scaling>
        <c:delete val="1"/>
        <c:axPos val="l"/>
        <c:majorGridlines>
          <c:spPr>
            <a:ln w="9525" cap="flat" cmpd="sng" algn="ctr">
              <a:solidFill>
                <a:schemeClr val="tx1">
                  <a:lumMod val="15000"/>
                  <a:lumOff val="85000"/>
                </a:schemeClr>
              </a:solidFill>
              <a:round/>
            </a:ln>
            <a:effectLst/>
          </c:spPr>
        </c:majorGridlines>
        <c:numFmt formatCode="_-* #\ ##0_-;\-* #\ ##0_-;_-* &quot;-&quot;??_-;_-@_-" sourceLinked="1"/>
        <c:majorTickMark val="out"/>
        <c:minorTickMark val="none"/>
        <c:tickLblPos val="nextTo"/>
        <c:crossAx val="1390212559"/>
        <c:crosses val="autoZero"/>
        <c:crossBetween val="between"/>
      </c:valAx>
    </c:plotArea>
    <c:plotVisOnly val="1"/>
    <c:dispBlanksAs val="gap"/>
    <c:showDLblsOverMax val="0"/>
  </c:chart>
  <c:spPr>
    <a:solidFill>
      <a:schemeClr val="bg1"/>
    </a:solidFill>
    <a:ln w="9525" cap="flat" cmpd="sng" algn="ctr">
      <a:noFill/>
      <a:round/>
    </a:ln>
    <a:effectLst/>
  </c:spPr>
  <c:txPr>
    <a:bodyPr/>
    <a:lstStyle/>
    <a:p>
      <a:pPr>
        <a:defRPr sz="11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charts/chart3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320" b="0" i="0" u="none" strike="noStrike" baseline="0">
                <a:solidFill>
                  <a:srgbClr val="333333"/>
                </a:solidFill>
                <a:latin typeface="Calibri"/>
                <a:ea typeface="Calibri"/>
                <a:cs typeface="Calibri"/>
              </a:defRPr>
            </a:pPr>
            <a:r>
              <a:rPr lang="en-ZA"/>
              <a:t>Budget funding: electricity service R'000</a:t>
            </a:r>
          </a:p>
        </c:rich>
      </c:tx>
      <c:layout>
        <c:manualLayout>
          <c:xMode val="edge"/>
          <c:yMode val="edge"/>
          <c:x val="6.4499571962106886E-2"/>
          <c:y val="3.2407487525597758E-2"/>
        </c:manualLayout>
      </c:layout>
      <c:overlay val="0"/>
      <c:spPr>
        <a:noFill/>
        <a:ln w="25400">
          <a:noFill/>
        </a:ln>
      </c:spPr>
    </c:title>
    <c:autoTitleDeleted val="0"/>
    <c:plotArea>
      <c:layout/>
      <c:barChart>
        <c:barDir val="col"/>
        <c:grouping val="stacked"/>
        <c:varyColors val="0"/>
        <c:ser>
          <c:idx val="0"/>
          <c:order val="0"/>
          <c:tx>
            <c:strRef>
              <c:f>'Revenue required'!$D$174</c:f>
              <c:strCache>
                <c:ptCount val="1"/>
                <c:pt idx="0">
                  <c:v>Direct cost</c:v>
                </c:pt>
              </c:strCache>
            </c:strRef>
          </c:tx>
          <c:spPr>
            <a:solidFill>
              <a:schemeClr val="accent5"/>
            </a:solidFill>
          </c:spPr>
          <c:invertIfNegative val="0"/>
          <c:dLbls>
            <c:spPr>
              <a:noFill/>
              <a:ln w="25400">
                <a:noFill/>
              </a:ln>
            </c:spPr>
            <c:txPr>
              <a:bodyPr wrap="square" lIns="38100" tIns="19050" rIns="38100" bIns="19050" anchor="ctr">
                <a:spAutoFit/>
              </a:bodyPr>
              <a:lstStyle/>
              <a:p>
                <a:pPr>
                  <a:defRPr sz="1100" b="0" i="0" u="none" strike="noStrike" baseline="0">
                    <a:solidFill>
                      <a:srgbClr val="333333"/>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'Revenue required'!$E$174:$F$174</c:f>
            </c:numRef>
          </c:val>
          <c:extLst>
            <c:ext xmlns:c15="http://schemas.microsoft.com/office/drawing/2012/chart" uri="{02D57815-91ED-43cb-92C2-25804820EDAC}">
              <c15:filteredCategoryTitle>
                <c15:cat>
                  <c:multiLvlStrRef>
                    <c:extLst>
                      <c:ext uri="{02D57815-91ED-43cb-92C2-25804820EDAC}">
                        <c15:formulaRef>
                          <c15:sqref>'Revenue required'!$E$173:$F$173</c15:sqref>
                        </c15:formulaRef>
                      </c:ext>
                    </c:extLst>
                  </c:multiLvlStrRef>
                </c15:cat>
              </c15:filteredCategoryTitle>
            </c:ext>
            <c:ext xmlns:c16="http://schemas.microsoft.com/office/drawing/2014/chart" uri="{C3380CC4-5D6E-409C-BE32-E72D297353CC}">
              <c16:uniqueId val="{00000000-AA5A-4D62-A1F9-4A2C8C258BCE}"/>
            </c:ext>
          </c:extLst>
        </c:ser>
        <c:ser>
          <c:idx val="1"/>
          <c:order val="1"/>
          <c:tx>
            <c:strRef>
              <c:f>'Revenue required'!$D$175</c:f>
              <c:strCache>
                <c:ptCount val="1"/>
                <c:pt idx="0">
                  <c:v>Indirect cost</c:v>
                </c:pt>
              </c:strCache>
            </c:strRef>
          </c:tx>
          <c:spPr>
            <a:solidFill>
              <a:schemeClr val="accent5">
                <a:lumMod val="60000"/>
                <a:lumOff val="40000"/>
              </a:schemeClr>
            </a:solidFill>
          </c:spPr>
          <c:invertIfNegative val="0"/>
          <c:dLbls>
            <c:spPr>
              <a:noFill/>
              <a:ln w="25400">
                <a:noFill/>
              </a:ln>
            </c:spPr>
            <c:txPr>
              <a:bodyPr wrap="square" lIns="38100" tIns="19050" rIns="38100" bIns="19050" anchor="ctr">
                <a:spAutoFit/>
              </a:bodyPr>
              <a:lstStyle/>
              <a:p>
                <a:pPr>
                  <a:defRPr sz="1100" b="0" i="0" u="none" strike="noStrike" baseline="0">
                    <a:solidFill>
                      <a:srgbClr val="333333"/>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'Revenue required'!$E$175:$F$175</c:f>
            </c:numRef>
          </c:val>
          <c:extLst>
            <c:ext xmlns:c15="http://schemas.microsoft.com/office/drawing/2012/chart" uri="{02D57815-91ED-43cb-92C2-25804820EDAC}">
              <c15:filteredCategoryTitle>
                <c15:cat>
                  <c:multiLvlStrRef>
                    <c:extLst>
                      <c:ext uri="{02D57815-91ED-43cb-92C2-25804820EDAC}">
                        <c15:formulaRef>
                          <c15:sqref>'Revenue required'!$E$173:$F$173</c15:sqref>
                        </c15:formulaRef>
                      </c:ext>
                    </c:extLst>
                  </c:multiLvlStrRef>
                </c15:cat>
              </c15:filteredCategoryTitle>
            </c:ext>
            <c:ext xmlns:c16="http://schemas.microsoft.com/office/drawing/2014/chart" uri="{C3380CC4-5D6E-409C-BE32-E72D297353CC}">
              <c16:uniqueId val="{00000001-AA5A-4D62-A1F9-4A2C8C258BCE}"/>
            </c:ext>
          </c:extLst>
        </c:ser>
        <c:ser>
          <c:idx val="2"/>
          <c:order val="2"/>
          <c:tx>
            <c:strRef>
              <c:f>'Revenue required'!$D$176</c:f>
              <c:strCache>
                <c:ptCount val="1"/>
              </c:strCache>
            </c:strRef>
          </c:tx>
          <c:spPr>
            <a:solidFill>
              <a:schemeClr val="accent6"/>
            </a:solidFill>
          </c:spPr>
          <c:invertIfNegative val="0"/>
          <c:dLbls>
            <c:spPr>
              <a:noFill/>
              <a:ln w="25400">
                <a:noFill/>
              </a:ln>
            </c:spPr>
            <c:txPr>
              <a:bodyPr wrap="square" lIns="38100" tIns="19050" rIns="38100" bIns="19050" anchor="ctr">
                <a:spAutoFit/>
              </a:bodyPr>
              <a:lstStyle/>
              <a:p>
                <a:pPr>
                  <a:defRPr sz="1100" b="0" i="0" u="none" strike="noStrike" baseline="0">
                    <a:solidFill>
                      <a:srgbClr val="333333"/>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'Revenue required'!$E$176:$F$176</c:f>
            </c:numRef>
          </c:val>
          <c:extLst>
            <c:ext xmlns:c15="http://schemas.microsoft.com/office/drawing/2012/chart" uri="{02D57815-91ED-43cb-92C2-25804820EDAC}">
              <c15:filteredCategoryTitle>
                <c15:cat>
                  <c:multiLvlStrRef>
                    <c:extLst>
                      <c:ext uri="{02D57815-91ED-43cb-92C2-25804820EDAC}">
                        <c15:formulaRef>
                          <c15:sqref>'Revenue required'!$E$173:$F$173</c15:sqref>
                        </c15:formulaRef>
                      </c:ext>
                    </c:extLst>
                  </c:multiLvlStrRef>
                </c15:cat>
              </c15:filteredCategoryTitle>
            </c:ext>
            <c:ext xmlns:c16="http://schemas.microsoft.com/office/drawing/2014/chart" uri="{C3380CC4-5D6E-409C-BE32-E72D297353CC}">
              <c16:uniqueId val="{00000002-AA5A-4D62-A1F9-4A2C8C258BCE}"/>
            </c:ext>
          </c:extLst>
        </c:ser>
        <c:ser>
          <c:idx val="4"/>
          <c:order val="3"/>
          <c:tx>
            <c:strRef>
              <c:f>'Revenue required'!$D$177</c:f>
              <c:strCache>
                <c:ptCount val="1"/>
                <c:pt idx="0">
                  <c:v>Tariff revenue</c:v>
                </c:pt>
              </c:strCache>
            </c:strRef>
          </c:tx>
          <c:spPr>
            <a:solidFill>
              <a:schemeClr val="accent3">
                <a:lumMod val="75000"/>
              </a:schemeClr>
            </a:solidFill>
          </c:spPr>
          <c:invertIfNegative val="0"/>
          <c:dLbls>
            <c:spPr>
              <a:noFill/>
              <a:ln w="25400">
                <a:noFill/>
              </a:ln>
            </c:spPr>
            <c:txPr>
              <a:bodyPr wrap="square" lIns="38100" tIns="19050" rIns="38100" bIns="19050" anchor="ctr">
                <a:spAutoFit/>
              </a:bodyPr>
              <a:lstStyle/>
              <a:p>
                <a:pPr>
                  <a:defRPr sz="1100" b="0" i="0" u="none" strike="noStrike" baseline="0">
                    <a:solidFill>
                      <a:srgbClr val="333333"/>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'Revenue required'!$E$177:$F$177</c:f>
            </c:numRef>
          </c:val>
          <c:extLst>
            <c:ext xmlns:c15="http://schemas.microsoft.com/office/drawing/2012/chart" uri="{02D57815-91ED-43cb-92C2-25804820EDAC}">
              <c15:filteredCategoryTitle>
                <c15:cat>
                  <c:multiLvlStrRef>
                    <c:extLst>
                      <c:ext uri="{02D57815-91ED-43cb-92C2-25804820EDAC}">
                        <c15:formulaRef>
                          <c15:sqref>'Revenue required'!$E$173:$F$173</c15:sqref>
                        </c15:formulaRef>
                      </c:ext>
                    </c:extLst>
                  </c:multiLvlStrRef>
                </c15:cat>
              </c15:filteredCategoryTitle>
            </c:ext>
            <c:ext xmlns:c16="http://schemas.microsoft.com/office/drawing/2014/chart" uri="{C3380CC4-5D6E-409C-BE32-E72D297353CC}">
              <c16:uniqueId val="{00000003-AA5A-4D62-A1F9-4A2C8C258BCE}"/>
            </c:ext>
          </c:extLst>
        </c:ser>
        <c:ser>
          <c:idx val="5"/>
          <c:order val="4"/>
          <c:tx>
            <c:strRef>
              <c:f>'Revenue required'!$D$178</c:f>
              <c:strCache>
                <c:ptCount val="1"/>
                <c:pt idx="0">
                  <c:v>Non-tariff revenue</c:v>
                </c:pt>
              </c:strCache>
            </c:strRef>
          </c:tx>
          <c:spPr>
            <a:solidFill>
              <a:schemeClr val="accent3"/>
            </a:solidFill>
          </c:spPr>
          <c:invertIfNegative val="0"/>
          <c:dLbls>
            <c:spPr>
              <a:noFill/>
              <a:ln w="25400">
                <a:noFill/>
              </a:ln>
            </c:spPr>
            <c:txPr>
              <a:bodyPr wrap="square" lIns="38100" tIns="19050" rIns="38100" bIns="19050" anchor="ctr">
                <a:spAutoFit/>
              </a:bodyPr>
              <a:lstStyle/>
              <a:p>
                <a:pPr>
                  <a:defRPr sz="1100" b="0" i="0" u="none" strike="noStrike" baseline="0">
                    <a:solidFill>
                      <a:srgbClr val="333333"/>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'Revenue required'!$E$178:$F$178</c:f>
            </c:numRef>
          </c:val>
          <c:extLst>
            <c:ext xmlns:c15="http://schemas.microsoft.com/office/drawing/2012/chart" uri="{02D57815-91ED-43cb-92C2-25804820EDAC}">
              <c15:filteredCategoryTitle>
                <c15:cat>
                  <c:multiLvlStrRef>
                    <c:extLst>
                      <c:ext uri="{02D57815-91ED-43cb-92C2-25804820EDAC}">
                        <c15:formulaRef>
                          <c15:sqref>'Revenue required'!$E$173:$F$173</c15:sqref>
                        </c15:formulaRef>
                      </c:ext>
                    </c:extLst>
                  </c:multiLvlStrRef>
                </c15:cat>
              </c15:filteredCategoryTitle>
            </c:ext>
            <c:ext xmlns:c16="http://schemas.microsoft.com/office/drawing/2014/chart" uri="{C3380CC4-5D6E-409C-BE32-E72D297353CC}">
              <c16:uniqueId val="{00000004-AA5A-4D62-A1F9-4A2C8C258BCE}"/>
            </c:ext>
          </c:extLst>
        </c:ser>
        <c:ser>
          <c:idx val="3"/>
          <c:order val="5"/>
          <c:tx>
            <c:strRef>
              <c:f>'Revenue required'!$D$179</c:f>
              <c:strCache>
                <c:ptCount val="1"/>
              </c:strCache>
            </c:strRef>
          </c:tx>
          <c:invertIfNegative val="0"/>
          <c:dLbls>
            <c:spPr>
              <a:noFill/>
              <a:ln w="25400">
                <a:noFill/>
              </a:ln>
            </c:spPr>
            <c:txPr>
              <a:bodyPr wrap="square" lIns="38100" tIns="19050" rIns="38100" bIns="19050" anchor="ctr">
                <a:spAutoFit/>
              </a:bodyPr>
              <a:lstStyle/>
              <a:p>
                <a:pPr>
                  <a:defRPr sz="1100" b="0" i="0" u="none" strike="noStrike" baseline="0">
                    <a:solidFill>
                      <a:srgbClr val="333333"/>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'Revenue required'!$E$179:$F$179</c:f>
            </c:numRef>
          </c:val>
          <c:extLst>
            <c:ext xmlns:c15="http://schemas.microsoft.com/office/drawing/2012/chart" uri="{02D57815-91ED-43cb-92C2-25804820EDAC}">
              <c15:filteredCategoryTitle>
                <c15:cat>
                  <c:multiLvlStrRef>
                    <c:extLst>
                      <c:ext uri="{02D57815-91ED-43cb-92C2-25804820EDAC}">
                        <c15:formulaRef>
                          <c15:sqref>'Revenue required'!$E$173:$F$173</c15:sqref>
                        </c15:formulaRef>
                      </c:ext>
                    </c:extLst>
                  </c:multiLvlStrRef>
                </c15:cat>
              </c15:filteredCategoryTitle>
            </c:ext>
            <c:ext xmlns:c16="http://schemas.microsoft.com/office/drawing/2014/chart" uri="{C3380CC4-5D6E-409C-BE32-E72D297353CC}">
              <c16:uniqueId val="{00000005-AA5A-4D62-A1F9-4A2C8C258BCE}"/>
            </c:ext>
          </c:extLst>
        </c:ser>
        <c:dLbls>
          <c:showLegendKey val="0"/>
          <c:showVal val="0"/>
          <c:showCatName val="0"/>
          <c:showSerName val="0"/>
          <c:showPercent val="0"/>
          <c:showBubbleSize val="0"/>
        </c:dLbls>
        <c:gapWidth val="25"/>
        <c:overlap val="100"/>
        <c:axId val="1390232719"/>
        <c:axId val="1"/>
      </c:barChart>
      <c:catAx>
        <c:axId val="1390232719"/>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0" vert="horz"/>
          <a:lstStyle/>
          <a:p>
            <a:pPr>
              <a:defRPr sz="1100" b="0" i="0" u="none" strike="noStrike" baseline="0">
                <a:solidFill>
                  <a:srgbClr val="333333"/>
                </a:solidFill>
                <a:latin typeface="Calibri"/>
                <a:ea typeface="Calibri"/>
                <a:cs typeface="Calibri"/>
              </a:defRPr>
            </a:pPr>
            <a:endParaRPr lang="en-US"/>
          </a:p>
        </c:txPr>
        <c:crossAx val="1"/>
        <c:crosses val="autoZero"/>
        <c:auto val="1"/>
        <c:lblAlgn val="ctr"/>
        <c:lblOffset val="100"/>
        <c:noMultiLvlLbl val="0"/>
      </c:catAx>
      <c:valAx>
        <c:axId val="1"/>
        <c:scaling>
          <c:orientation val="minMax"/>
        </c:scaling>
        <c:delete val="1"/>
        <c:axPos val="l"/>
        <c:majorGridlines>
          <c:spPr>
            <a:ln w="9525" cap="flat" cmpd="sng" algn="ctr">
              <a:solidFill>
                <a:schemeClr val="tx1">
                  <a:lumMod val="15000"/>
                  <a:lumOff val="85000"/>
                </a:schemeClr>
              </a:solidFill>
              <a:round/>
            </a:ln>
            <a:effectLst/>
          </c:spPr>
        </c:majorGridlines>
        <c:numFmt formatCode="_-* #\ ##0_-;\-* #\ ##0_-;_-* &quot;-&quot;??_-;_-@_-" sourceLinked="1"/>
        <c:majorTickMark val="out"/>
        <c:minorTickMark val="none"/>
        <c:tickLblPos val="nextTo"/>
        <c:crossAx val="1390232719"/>
        <c:crosses val="autoZero"/>
        <c:crossBetween val="between"/>
      </c:valAx>
    </c:plotArea>
    <c:plotVisOnly val="1"/>
    <c:dispBlanksAs val="gap"/>
    <c:showDLblsOverMax val="0"/>
  </c:chart>
  <c:spPr>
    <a:solidFill>
      <a:schemeClr val="bg1"/>
    </a:solidFill>
    <a:ln w="9525" cap="flat" cmpd="sng" algn="ctr">
      <a:noFill/>
      <a:round/>
    </a:ln>
    <a:effectLst/>
  </c:spPr>
  <c:txPr>
    <a:bodyPr/>
    <a:lstStyle/>
    <a:p>
      <a:pPr>
        <a:defRPr sz="11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charts/chart4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320" b="0" i="0" u="none" strike="noStrike" baseline="0">
                <a:solidFill>
                  <a:srgbClr val="333333"/>
                </a:solidFill>
                <a:latin typeface="Calibri"/>
                <a:ea typeface="Calibri"/>
                <a:cs typeface="Calibri"/>
              </a:defRPr>
            </a:pPr>
            <a:r>
              <a:rPr lang="en-ZA"/>
              <a:t>Budget funding: electricity service: %s</a:t>
            </a:r>
          </a:p>
        </c:rich>
      </c:tx>
      <c:layout>
        <c:manualLayout>
          <c:xMode val="edge"/>
          <c:yMode val="edge"/>
          <c:x val="3.5577490612716478E-2"/>
          <c:y val="5.0906329016565235E-2"/>
        </c:manualLayout>
      </c:layout>
      <c:overlay val="0"/>
      <c:spPr>
        <a:noFill/>
        <a:ln w="25400">
          <a:noFill/>
        </a:ln>
      </c:spPr>
    </c:title>
    <c:autoTitleDeleted val="0"/>
    <c:plotArea>
      <c:layout/>
      <c:barChart>
        <c:barDir val="col"/>
        <c:grouping val="percentStacked"/>
        <c:varyColors val="0"/>
        <c:ser>
          <c:idx val="0"/>
          <c:order val="0"/>
          <c:tx>
            <c:strRef>
              <c:f>'Revenue required'!$G$174</c:f>
              <c:strCache>
                <c:ptCount val="1"/>
                <c:pt idx="0">
                  <c:v>Direct cost</c:v>
                </c:pt>
              </c:strCache>
            </c:strRef>
          </c:tx>
          <c:spPr>
            <a:solidFill>
              <a:schemeClr val="accent5"/>
            </a:solidFill>
          </c:spPr>
          <c:invertIfNegative val="0"/>
          <c:dLbls>
            <c:spPr>
              <a:noFill/>
              <a:ln w="25400">
                <a:noFill/>
              </a:ln>
            </c:spPr>
            <c:txPr>
              <a:bodyPr wrap="square" lIns="38100" tIns="19050" rIns="38100" bIns="19050" anchor="ctr">
                <a:spAutoFit/>
              </a:bodyPr>
              <a:lstStyle/>
              <a:p>
                <a:pPr>
                  <a:defRPr sz="1100" b="0" i="0" u="none" strike="noStrike" baseline="0">
                    <a:solidFill>
                      <a:srgbClr val="333333"/>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'Revenue required'!$H$174:$I$174</c:f>
            </c:numRef>
          </c:val>
          <c:extLst>
            <c:ext xmlns:c15="http://schemas.microsoft.com/office/drawing/2012/chart" uri="{02D57815-91ED-43cb-92C2-25804820EDAC}">
              <c15:filteredCategoryTitle>
                <c15:cat>
                  <c:multiLvlStrRef>
                    <c:extLst>
                      <c:ext uri="{02D57815-91ED-43cb-92C2-25804820EDAC}">
                        <c15:formulaRef>
                          <c15:sqref>'Revenue required'!$H$173:$I$173</c15:sqref>
                        </c15:formulaRef>
                      </c:ext>
                    </c:extLst>
                  </c:multiLvlStrRef>
                </c15:cat>
              </c15:filteredCategoryTitle>
            </c:ext>
            <c:ext xmlns:c16="http://schemas.microsoft.com/office/drawing/2014/chart" uri="{C3380CC4-5D6E-409C-BE32-E72D297353CC}">
              <c16:uniqueId val="{00000000-E00B-43C7-A3D4-128D9AD928AF}"/>
            </c:ext>
          </c:extLst>
        </c:ser>
        <c:ser>
          <c:idx val="1"/>
          <c:order val="1"/>
          <c:tx>
            <c:strRef>
              <c:f>'Revenue required'!$G$175</c:f>
              <c:strCache>
                <c:ptCount val="1"/>
                <c:pt idx="0">
                  <c:v>Indirect cost</c:v>
                </c:pt>
              </c:strCache>
            </c:strRef>
          </c:tx>
          <c:spPr>
            <a:solidFill>
              <a:schemeClr val="accent5">
                <a:lumMod val="60000"/>
                <a:lumOff val="40000"/>
              </a:schemeClr>
            </a:solidFill>
          </c:spPr>
          <c:invertIfNegative val="0"/>
          <c:dLbls>
            <c:spPr>
              <a:noFill/>
              <a:ln w="25400">
                <a:noFill/>
              </a:ln>
            </c:spPr>
            <c:txPr>
              <a:bodyPr wrap="square" lIns="38100" tIns="19050" rIns="38100" bIns="19050" anchor="ctr">
                <a:spAutoFit/>
              </a:bodyPr>
              <a:lstStyle/>
              <a:p>
                <a:pPr>
                  <a:defRPr sz="1100" b="0" i="0" u="none" strike="noStrike" baseline="0">
                    <a:solidFill>
                      <a:srgbClr val="333333"/>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'Revenue required'!$H$175:$I$175</c:f>
            </c:numRef>
          </c:val>
          <c:extLst>
            <c:ext xmlns:c15="http://schemas.microsoft.com/office/drawing/2012/chart" uri="{02D57815-91ED-43cb-92C2-25804820EDAC}">
              <c15:filteredCategoryTitle>
                <c15:cat>
                  <c:multiLvlStrRef>
                    <c:extLst>
                      <c:ext uri="{02D57815-91ED-43cb-92C2-25804820EDAC}">
                        <c15:formulaRef>
                          <c15:sqref>'Revenue required'!$H$173:$I$173</c15:sqref>
                        </c15:formulaRef>
                      </c:ext>
                    </c:extLst>
                  </c:multiLvlStrRef>
                </c15:cat>
              </c15:filteredCategoryTitle>
            </c:ext>
            <c:ext xmlns:c16="http://schemas.microsoft.com/office/drawing/2014/chart" uri="{C3380CC4-5D6E-409C-BE32-E72D297353CC}">
              <c16:uniqueId val="{00000001-E00B-43C7-A3D4-128D9AD928AF}"/>
            </c:ext>
          </c:extLst>
        </c:ser>
        <c:ser>
          <c:idx val="2"/>
          <c:order val="2"/>
          <c:tx>
            <c:strRef>
              <c:f>'Revenue required'!$G$176</c:f>
              <c:strCache>
                <c:ptCount val="1"/>
              </c:strCache>
            </c:strRef>
          </c:tx>
          <c:spPr>
            <a:solidFill>
              <a:schemeClr val="accent6"/>
            </a:solidFill>
          </c:spPr>
          <c:invertIfNegative val="0"/>
          <c:dLbls>
            <c:spPr>
              <a:noFill/>
              <a:ln w="25400">
                <a:noFill/>
              </a:ln>
            </c:spPr>
            <c:txPr>
              <a:bodyPr wrap="square" lIns="38100" tIns="19050" rIns="38100" bIns="19050" anchor="ctr">
                <a:spAutoFit/>
              </a:bodyPr>
              <a:lstStyle/>
              <a:p>
                <a:pPr>
                  <a:defRPr sz="1100" b="0" i="0" u="none" strike="noStrike" baseline="0">
                    <a:solidFill>
                      <a:srgbClr val="333333"/>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'Revenue required'!$H$176:$I$176</c:f>
            </c:numRef>
          </c:val>
          <c:extLst>
            <c:ext xmlns:c15="http://schemas.microsoft.com/office/drawing/2012/chart" uri="{02D57815-91ED-43cb-92C2-25804820EDAC}">
              <c15:filteredCategoryTitle>
                <c15:cat>
                  <c:multiLvlStrRef>
                    <c:extLst>
                      <c:ext uri="{02D57815-91ED-43cb-92C2-25804820EDAC}">
                        <c15:formulaRef>
                          <c15:sqref>'Revenue required'!$H$173:$I$173</c15:sqref>
                        </c15:formulaRef>
                      </c:ext>
                    </c:extLst>
                  </c:multiLvlStrRef>
                </c15:cat>
              </c15:filteredCategoryTitle>
            </c:ext>
            <c:ext xmlns:c16="http://schemas.microsoft.com/office/drawing/2014/chart" uri="{C3380CC4-5D6E-409C-BE32-E72D297353CC}">
              <c16:uniqueId val="{00000002-E00B-43C7-A3D4-128D9AD928AF}"/>
            </c:ext>
          </c:extLst>
        </c:ser>
        <c:ser>
          <c:idx val="4"/>
          <c:order val="3"/>
          <c:tx>
            <c:strRef>
              <c:f>'Revenue required'!$G$177</c:f>
              <c:strCache>
                <c:ptCount val="1"/>
                <c:pt idx="0">
                  <c:v>Tariff revenue</c:v>
                </c:pt>
              </c:strCache>
            </c:strRef>
          </c:tx>
          <c:spPr>
            <a:solidFill>
              <a:schemeClr val="accent3">
                <a:lumMod val="75000"/>
              </a:schemeClr>
            </a:solidFill>
          </c:spPr>
          <c:invertIfNegative val="0"/>
          <c:dLbls>
            <c:spPr>
              <a:noFill/>
              <a:ln w="25400">
                <a:noFill/>
              </a:ln>
            </c:spPr>
            <c:txPr>
              <a:bodyPr wrap="square" lIns="38100" tIns="19050" rIns="38100" bIns="19050" anchor="ctr">
                <a:spAutoFit/>
              </a:bodyPr>
              <a:lstStyle/>
              <a:p>
                <a:pPr>
                  <a:defRPr sz="1100" b="0" i="0" u="none" strike="noStrike" baseline="0">
                    <a:solidFill>
                      <a:srgbClr val="333333"/>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'Revenue required'!$H$177:$I$177</c:f>
            </c:numRef>
          </c:val>
          <c:extLst>
            <c:ext xmlns:c15="http://schemas.microsoft.com/office/drawing/2012/chart" uri="{02D57815-91ED-43cb-92C2-25804820EDAC}">
              <c15:filteredCategoryTitle>
                <c15:cat>
                  <c:multiLvlStrRef>
                    <c:extLst>
                      <c:ext uri="{02D57815-91ED-43cb-92C2-25804820EDAC}">
                        <c15:formulaRef>
                          <c15:sqref>'Revenue required'!$H$173:$I$173</c15:sqref>
                        </c15:formulaRef>
                      </c:ext>
                    </c:extLst>
                  </c:multiLvlStrRef>
                </c15:cat>
              </c15:filteredCategoryTitle>
            </c:ext>
            <c:ext xmlns:c16="http://schemas.microsoft.com/office/drawing/2014/chart" uri="{C3380CC4-5D6E-409C-BE32-E72D297353CC}">
              <c16:uniqueId val="{00000003-E00B-43C7-A3D4-128D9AD928AF}"/>
            </c:ext>
          </c:extLst>
        </c:ser>
        <c:ser>
          <c:idx val="5"/>
          <c:order val="4"/>
          <c:tx>
            <c:strRef>
              <c:f>'Revenue required'!$G$178</c:f>
              <c:strCache>
                <c:ptCount val="1"/>
                <c:pt idx="0">
                  <c:v>Non-tariff revenue</c:v>
                </c:pt>
              </c:strCache>
            </c:strRef>
          </c:tx>
          <c:spPr>
            <a:solidFill>
              <a:schemeClr val="accent3"/>
            </a:solidFill>
          </c:spPr>
          <c:invertIfNegative val="0"/>
          <c:dLbls>
            <c:spPr>
              <a:noFill/>
              <a:ln w="25400">
                <a:noFill/>
              </a:ln>
            </c:spPr>
            <c:txPr>
              <a:bodyPr wrap="square" lIns="38100" tIns="19050" rIns="38100" bIns="19050" anchor="ctr">
                <a:spAutoFit/>
              </a:bodyPr>
              <a:lstStyle/>
              <a:p>
                <a:pPr>
                  <a:defRPr sz="1100" b="0" i="0" u="none" strike="noStrike" baseline="0">
                    <a:solidFill>
                      <a:srgbClr val="333333"/>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'Revenue required'!$H$178:$I$178</c:f>
            </c:numRef>
          </c:val>
          <c:extLst>
            <c:ext xmlns:c15="http://schemas.microsoft.com/office/drawing/2012/chart" uri="{02D57815-91ED-43cb-92C2-25804820EDAC}">
              <c15:filteredCategoryTitle>
                <c15:cat>
                  <c:multiLvlStrRef>
                    <c:extLst>
                      <c:ext uri="{02D57815-91ED-43cb-92C2-25804820EDAC}">
                        <c15:formulaRef>
                          <c15:sqref>'Revenue required'!$H$173:$I$173</c15:sqref>
                        </c15:formulaRef>
                      </c:ext>
                    </c:extLst>
                  </c:multiLvlStrRef>
                </c15:cat>
              </c15:filteredCategoryTitle>
            </c:ext>
            <c:ext xmlns:c16="http://schemas.microsoft.com/office/drawing/2014/chart" uri="{C3380CC4-5D6E-409C-BE32-E72D297353CC}">
              <c16:uniqueId val="{00000004-E00B-43C7-A3D4-128D9AD928AF}"/>
            </c:ext>
          </c:extLst>
        </c:ser>
        <c:ser>
          <c:idx val="3"/>
          <c:order val="5"/>
          <c:tx>
            <c:strRef>
              <c:f>'Revenue required'!$G$179</c:f>
              <c:strCache>
                <c:ptCount val="1"/>
              </c:strCache>
            </c:strRef>
          </c:tx>
          <c:invertIfNegative val="0"/>
          <c:dLbls>
            <c:spPr>
              <a:noFill/>
              <a:ln w="25400">
                <a:noFill/>
              </a:ln>
            </c:spPr>
            <c:txPr>
              <a:bodyPr wrap="square" lIns="38100" tIns="19050" rIns="38100" bIns="19050" anchor="ctr">
                <a:spAutoFit/>
              </a:bodyPr>
              <a:lstStyle/>
              <a:p>
                <a:pPr>
                  <a:defRPr sz="1100" b="0" i="0" u="none" strike="noStrike" baseline="0">
                    <a:solidFill>
                      <a:srgbClr val="333333"/>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'Revenue required'!$H$179:$I$179</c:f>
            </c:numRef>
          </c:val>
          <c:extLst>
            <c:ext xmlns:c15="http://schemas.microsoft.com/office/drawing/2012/chart" uri="{02D57815-91ED-43cb-92C2-25804820EDAC}">
              <c15:filteredCategoryTitle>
                <c15:cat>
                  <c:multiLvlStrRef>
                    <c:extLst>
                      <c:ext uri="{02D57815-91ED-43cb-92C2-25804820EDAC}">
                        <c15:formulaRef>
                          <c15:sqref>'Revenue required'!$H$173:$I$173</c15:sqref>
                        </c15:formulaRef>
                      </c:ext>
                    </c:extLst>
                  </c:multiLvlStrRef>
                </c15:cat>
              </c15:filteredCategoryTitle>
            </c:ext>
            <c:ext xmlns:c16="http://schemas.microsoft.com/office/drawing/2014/chart" uri="{C3380CC4-5D6E-409C-BE32-E72D297353CC}">
              <c16:uniqueId val="{00000005-E00B-43C7-A3D4-128D9AD928AF}"/>
            </c:ext>
          </c:extLst>
        </c:ser>
        <c:dLbls>
          <c:showLegendKey val="0"/>
          <c:showVal val="0"/>
          <c:showCatName val="0"/>
          <c:showSerName val="0"/>
          <c:showPercent val="0"/>
          <c:showBubbleSize val="0"/>
        </c:dLbls>
        <c:gapWidth val="25"/>
        <c:overlap val="100"/>
        <c:axId val="1390232239"/>
        <c:axId val="1"/>
      </c:barChart>
      <c:catAx>
        <c:axId val="1390232239"/>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0" vert="horz"/>
          <a:lstStyle/>
          <a:p>
            <a:pPr>
              <a:defRPr sz="1100" b="0" i="0" u="none" strike="noStrike" baseline="0">
                <a:solidFill>
                  <a:srgbClr val="333333"/>
                </a:solidFill>
                <a:latin typeface="Calibri"/>
                <a:ea typeface="Calibri"/>
                <a:cs typeface="Calibri"/>
              </a:defRPr>
            </a:pPr>
            <a:endParaRPr lang="en-US"/>
          </a:p>
        </c:txPr>
        <c:crossAx val="1"/>
        <c:crosses val="autoZero"/>
        <c:auto val="1"/>
        <c:lblAlgn val="ctr"/>
        <c:lblOffset val="100"/>
        <c:noMultiLvlLbl val="0"/>
      </c:catAx>
      <c:valAx>
        <c:axId val="1"/>
        <c:scaling>
          <c:orientation val="minMax"/>
        </c:scaling>
        <c:delete val="1"/>
        <c:axPos val="l"/>
        <c:majorGridlines>
          <c:spPr>
            <a:ln w="9525" cap="flat" cmpd="sng" algn="ctr">
              <a:solidFill>
                <a:schemeClr val="tx1">
                  <a:lumMod val="15000"/>
                  <a:lumOff val="85000"/>
                </a:schemeClr>
              </a:solidFill>
              <a:round/>
            </a:ln>
            <a:effectLst/>
          </c:spPr>
        </c:majorGridlines>
        <c:numFmt formatCode="0%" sourceLinked="1"/>
        <c:majorTickMark val="out"/>
        <c:minorTickMark val="none"/>
        <c:tickLblPos val="nextTo"/>
        <c:crossAx val="1390232239"/>
        <c:crosses val="autoZero"/>
        <c:crossBetween val="between"/>
      </c:valAx>
    </c:plotArea>
    <c:plotVisOnly val="1"/>
    <c:dispBlanksAs val="gap"/>
    <c:showDLblsOverMax val="0"/>
  </c:chart>
  <c:spPr>
    <a:solidFill>
      <a:schemeClr val="bg1"/>
    </a:solidFill>
    <a:ln w="9525" cap="flat" cmpd="sng" algn="ctr">
      <a:noFill/>
      <a:round/>
    </a:ln>
    <a:effectLst/>
  </c:spPr>
  <c:txPr>
    <a:bodyPr/>
    <a:lstStyle/>
    <a:p>
      <a:pPr>
        <a:defRPr sz="11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charts/chart4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320" b="0" i="0" u="none" strike="noStrike" baseline="0">
                <a:solidFill>
                  <a:srgbClr val="333333"/>
                </a:solidFill>
                <a:latin typeface="Calibri"/>
                <a:ea typeface="Calibri"/>
                <a:cs typeface="Calibri"/>
              </a:defRPr>
            </a:pPr>
            <a:r>
              <a:rPr lang="en-ZA"/>
              <a:t>Budget funding: solid waste: categories</a:t>
            </a:r>
          </a:p>
        </c:rich>
      </c:tx>
      <c:layout>
        <c:manualLayout>
          <c:xMode val="edge"/>
          <c:yMode val="edge"/>
          <c:x val="6.8346456692913379E-2"/>
          <c:y val="4.1609029640525708E-2"/>
        </c:manualLayout>
      </c:layout>
      <c:overlay val="0"/>
      <c:spPr>
        <a:noFill/>
        <a:ln w="25400">
          <a:noFill/>
        </a:ln>
      </c:spPr>
    </c:title>
    <c:autoTitleDeleted val="0"/>
    <c:plotArea>
      <c:layout/>
      <c:barChart>
        <c:barDir val="col"/>
        <c:grouping val="stacked"/>
        <c:varyColors val="0"/>
        <c:ser>
          <c:idx val="0"/>
          <c:order val="0"/>
          <c:tx>
            <c:strRef>
              <c:f>'Revenue required'!$D$184</c:f>
              <c:strCache>
                <c:ptCount val="1"/>
                <c:pt idx="0">
                  <c:v>Direct cost</c:v>
                </c:pt>
              </c:strCache>
            </c:strRef>
          </c:tx>
          <c:spPr>
            <a:solidFill>
              <a:schemeClr val="accent5"/>
            </a:solidFill>
          </c:spPr>
          <c:invertIfNegative val="0"/>
          <c:dLbls>
            <c:dLbl>
              <c:idx val="0"/>
              <c:tx>
                <c:strRef>
                  <c:f>'Revenue required'!$D$184</c:f>
                  <c:strCache>
                    <c:ptCount val="1"/>
                    <c:pt idx="0">
                      <c:v>Direct cost</c:v>
                    </c:pt>
                  </c:strCache>
                </c:strRef>
              </c:tx>
              <c:spPr>
                <a:noFill/>
                <a:ln w="25400">
                  <a:noFill/>
                </a:ln>
              </c:spPr>
              <c:txPr>
                <a:bodyPr/>
                <a:lstStyle/>
                <a:p>
                  <a:pPr>
                    <a:defRPr sz="1100" b="0" i="0" u="none" strike="noStrike" baseline="0">
                      <a:solidFill>
                        <a:srgbClr val="333333"/>
                      </a:solidFill>
                      <a:latin typeface="Calibri"/>
                      <a:ea typeface="Calibri"/>
                      <a:cs typeface="Calibri"/>
                    </a:defRPr>
                  </a:pPr>
                  <a:endParaRPr lang="en-US"/>
                </a:p>
              </c:txPr>
              <c:dLblPos val="ctr"/>
              <c:showLegendKey val="0"/>
              <c:showVal val="0"/>
              <c:showCatName val="0"/>
              <c:showSerName val="0"/>
              <c:showPercent val="0"/>
              <c:showBubbleSize val="0"/>
              <c:extLst>
                <c:ext xmlns:c15="http://schemas.microsoft.com/office/drawing/2012/chart" uri="{CE6537A1-D6FC-4f65-9D91-7224C49458BB}">
                  <c15:dlblFieldTable>
                    <c15:dlblFTEntry>
                      <c15:txfldGUID>{31EA7352-F8A5-43D7-A00C-C8806A4183BA}</c15:txfldGUID>
                      <c15:f>'Revenue required'!$D$184</c15:f>
                      <c15:dlblFieldTableCache>
                        <c:ptCount val="1"/>
                        <c:pt idx="0">
                          <c:v>Direct cost</c:v>
                        </c:pt>
                      </c15:dlblFieldTableCache>
                    </c15:dlblFTEntry>
                  </c15:dlblFieldTable>
                  <c15:showDataLabelsRange val="0"/>
                </c:ext>
                <c:ext xmlns:c16="http://schemas.microsoft.com/office/drawing/2014/chart" uri="{C3380CC4-5D6E-409C-BE32-E72D297353CC}">
                  <c16:uniqueId val="{00000000-8738-4081-87C2-7DAD2C9FE9AA}"/>
                </c:ext>
              </c:extLst>
            </c:dLbl>
            <c:spPr>
              <a:noFill/>
              <a:ln w="25400">
                <a:noFill/>
              </a:ln>
            </c:spPr>
            <c:txPr>
              <a:bodyPr wrap="square" lIns="38100" tIns="19050" rIns="38100" bIns="19050" anchor="ctr">
                <a:spAutoFit/>
              </a:bodyPr>
              <a:lstStyle/>
              <a:p>
                <a:pPr>
                  <a:defRPr sz="1100" b="0" i="0" u="none" strike="noStrike" baseline="0">
                    <a:solidFill>
                      <a:srgbClr val="333333"/>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'Revenue required'!$E$184:$F$184</c:f>
            </c:numRef>
          </c:val>
          <c:extLst>
            <c:ext xmlns:c15="http://schemas.microsoft.com/office/drawing/2012/chart" uri="{02D57815-91ED-43cb-92C2-25804820EDAC}">
              <c15:filteredCategoryTitle>
                <c15:cat>
                  <c:multiLvlStrRef>
                    <c:extLst>
                      <c:ext uri="{02D57815-91ED-43cb-92C2-25804820EDAC}">
                        <c15:formulaRef>
                          <c15:sqref>'Revenue required'!$E$183:$F$183</c15:sqref>
                        </c15:formulaRef>
                      </c:ext>
                    </c:extLst>
                  </c:multiLvlStrRef>
                </c15:cat>
              </c15:filteredCategoryTitle>
            </c:ext>
            <c:ext xmlns:c16="http://schemas.microsoft.com/office/drawing/2014/chart" uri="{C3380CC4-5D6E-409C-BE32-E72D297353CC}">
              <c16:uniqueId val="{00000001-8738-4081-87C2-7DAD2C9FE9AA}"/>
            </c:ext>
          </c:extLst>
        </c:ser>
        <c:ser>
          <c:idx val="1"/>
          <c:order val="1"/>
          <c:tx>
            <c:strRef>
              <c:f>'Revenue required'!$D$185</c:f>
              <c:strCache>
                <c:ptCount val="1"/>
                <c:pt idx="0">
                  <c:v>Indirect cost</c:v>
                </c:pt>
              </c:strCache>
            </c:strRef>
          </c:tx>
          <c:spPr>
            <a:solidFill>
              <a:schemeClr val="accent5">
                <a:lumMod val="60000"/>
                <a:lumOff val="40000"/>
              </a:schemeClr>
            </a:solidFill>
          </c:spPr>
          <c:invertIfNegative val="0"/>
          <c:dLbls>
            <c:dLbl>
              <c:idx val="0"/>
              <c:tx>
                <c:strRef>
                  <c:f>'Revenue required'!$D$185</c:f>
                  <c:strCache>
                    <c:ptCount val="1"/>
                    <c:pt idx="0">
                      <c:v>Indirect cost</c:v>
                    </c:pt>
                  </c:strCache>
                </c:strRef>
              </c:tx>
              <c:spPr>
                <a:noFill/>
                <a:ln w="25400">
                  <a:noFill/>
                </a:ln>
              </c:spPr>
              <c:txPr>
                <a:bodyPr/>
                <a:lstStyle/>
                <a:p>
                  <a:pPr>
                    <a:defRPr sz="1100" b="0" i="0" u="none" strike="noStrike" baseline="0">
                      <a:solidFill>
                        <a:srgbClr val="333333"/>
                      </a:solidFill>
                      <a:latin typeface="Calibri"/>
                      <a:ea typeface="Calibri"/>
                      <a:cs typeface="Calibri"/>
                    </a:defRPr>
                  </a:pPr>
                  <a:endParaRPr lang="en-US"/>
                </a:p>
              </c:txPr>
              <c:dLblPos val="ctr"/>
              <c:showLegendKey val="0"/>
              <c:showVal val="0"/>
              <c:showCatName val="0"/>
              <c:showSerName val="0"/>
              <c:showPercent val="0"/>
              <c:showBubbleSize val="0"/>
              <c:extLst>
                <c:ext xmlns:c15="http://schemas.microsoft.com/office/drawing/2012/chart" uri="{CE6537A1-D6FC-4f65-9D91-7224C49458BB}">
                  <c15:dlblFieldTable>
                    <c15:dlblFTEntry>
                      <c15:txfldGUID>{F86150AA-1340-4DAC-92D9-2F018ACCB80A}</c15:txfldGUID>
                      <c15:f>'Revenue required'!$D$185</c15:f>
                      <c15:dlblFieldTableCache>
                        <c:ptCount val="1"/>
                        <c:pt idx="0">
                          <c:v>Indirect cost</c:v>
                        </c:pt>
                      </c15:dlblFieldTableCache>
                    </c15:dlblFTEntry>
                  </c15:dlblFieldTable>
                  <c15:showDataLabelsRange val="0"/>
                </c:ext>
                <c:ext xmlns:c16="http://schemas.microsoft.com/office/drawing/2014/chart" uri="{C3380CC4-5D6E-409C-BE32-E72D297353CC}">
                  <c16:uniqueId val="{00000002-8738-4081-87C2-7DAD2C9FE9AA}"/>
                </c:ext>
              </c:extLst>
            </c:dLbl>
            <c:spPr>
              <a:noFill/>
              <a:ln w="25400">
                <a:noFill/>
              </a:ln>
            </c:spPr>
            <c:txPr>
              <a:bodyPr wrap="square" lIns="38100" tIns="19050" rIns="38100" bIns="19050" anchor="ctr">
                <a:spAutoFit/>
              </a:bodyPr>
              <a:lstStyle/>
              <a:p>
                <a:pPr>
                  <a:defRPr sz="1100" b="0" i="0" u="none" strike="noStrike" baseline="0">
                    <a:solidFill>
                      <a:srgbClr val="333333"/>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'Revenue required'!$E$185:$F$185</c:f>
            </c:numRef>
          </c:val>
          <c:extLst>
            <c:ext xmlns:c15="http://schemas.microsoft.com/office/drawing/2012/chart" uri="{02D57815-91ED-43cb-92C2-25804820EDAC}">
              <c15:filteredCategoryTitle>
                <c15:cat>
                  <c:multiLvlStrRef>
                    <c:extLst>
                      <c:ext uri="{02D57815-91ED-43cb-92C2-25804820EDAC}">
                        <c15:formulaRef>
                          <c15:sqref>'Revenue required'!$E$183:$F$183</c15:sqref>
                        </c15:formulaRef>
                      </c:ext>
                    </c:extLst>
                  </c:multiLvlStrRef>
                </c15:cat>
              </c15:filteredCategoryTitle>
            </c:ext>
            <c:ext xmlns:c16="http://schemas.microsoft.com/office/drawing/2014/chart" uri="{C3380CC4-5D6E-409C-BE32-E72D297353CC}">
              <c16:uniqueId val="{00000003-8738-4081-87C2-7DAD2C9FE9AA}"/>
            </c:ext>
          </c:extLst>
        </c:ser>
        <c:ser>
          <c:idx val="2"/>
          <c:order val="2"/>
          <c:tx>
            <c:strRef>
              <c:f>'Revenue required'!$D$186</c:f>
              <c:strCache>
                <c:ptCount val="1"/>
              </c:strCache>
            </c:strRef>
          </c:tx>
          <c:invertIfNegative val="0"/>
          <c:dLbls>
            <c:dLbl>
              <c:idx val="0"/>
              <c:tx>
                <c:strRef>
                  <c:f>'Revenue required'!$D$186</c:f>
                  <c:strCache>
                    <c:ptCount val="1"/>
                  </c:strCache>
                </c:strRef>
              </c:tx>
              <c:spPr>
                <a:noFill/>
                <a:ln w="25400">
                  <a:noFill/>
                </a:ln>
              </c:spPr>
              <c:txPr>
                <a:bodyPr/>
                <a:lstStyle/>
                <a:p>
                  <a:pPr>
                    <a:defRPr sz="1100" b="0" i="0" u="none" strike="noStrike" baseline="0">
                      <a:solidFill>
                        <a:srgbClr val="333333"/>
                      </a:solidFill>
                      <a:latin typeface="Calibri"/>
                      <a:ea typeface="Calibri"/>
                      <a:cs typeface="Calibri"/>
                    </a:defRPr>
                  </a:pPr>
                  <a:endParaRPr lang="en-US"/>
                </a:p>
              </c:txPr>
              <c:dLblPos val="ctr"/>
              <c:showLegendKey val="0"/>
              <c:showVal val="0"/>
              <c:showCatName val="0"/>
              <c:showSerName val="0"/>
              <c:showPercent val="0"/>
              <c:showBubbleSize val="0"/>
              <c:extLst>
                <c:ext xmlns:c15="http://schemas.microsoft.com/office/drawing/2012/chart" uri="{CE6537A1-D6FC-4f65-9D91-7224C49458BB}">
                  <c15:dlblFieldTable>
                    <c15:dlblFTEntry>
                      <c15:txfldGUID>{FCA13FA4-511C-4286-8BC5-66C67B8C7D85}</c15:txfldGUID>
                      <c15:f>'Revenue required'!$D$186</c15:f>
                      <c15:dlblFieldTableCache>
                        <c:ptCount val="1"/>
                      </c15:dlblFieldTableCache>
                    </c15:dlblFTEntry>
                  </c15:dlblFieldTable>
                  <c15:showDataLabelsRange val="0"/>
                </c:ext>
                <c:ext xmlns:c16="http://schemas.microsoft.com/office/drawing/2014/chart" uri="{C3380CC4-5D6E-409C-BE32-E72D297353CC}">
                  <c16:uniqueId val="{00000004-8738-4081-87C2-7DAD2C9FE9AA}"/>
                </c:ext>
              </c:extLst>
            </c:dLbl>
            <c:spPr>
              <a:noFill/>
              <a:ln w="25400">
                <a:noFill/>
              </a:ln>
            </c:spPr>
            <c:txPr>
              <a:bodyPr wrap="square" lIns="38100" tIns="19050" rIns="38100" bIns="19050" anchor="ctr">
                <a:spAutoFit/>
              </a:bodyPr>
              <a:lstStyle/>
              <a:p>
                <a:pPr>
                  <a:defRPr sz="1100" b="0" i="0" u="none" strike="noStrike" baseline="0">
                    <a:solidFill>
                      <a:srgbClr val="333333"/>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'Revenue required'!$E$186:$F$186</c:f>
            </c:numRef>
          </c:val>
          <c:extLst>
            <c:ext xmlns:c15="http://schemas.microsoft.com/office/drawing/2012/chart" uri="{02D57815-91ED-43cb-92C2-25804820EDAC}">
              <c15:filteredCategoryTitle>
                <c15:cat>
                  <c:multiLvlStrRef>
                    <c:extLst>
                      <c:ext uri="{02D57815-91ED-43cb-92C2-25804820EDAC}">
                        <c15:formulaRef>
                          <c15:sqref>'Revenue required'!$E$183:$F$183</c15:sqref>
                        </c15:formulaRef>
                      </c:ext>
                    </c:extLst>
                  </c:multiLvlStrRef>
                </c15:cat>
              </c15:filteredCategoryTitle>
            </c:ext>
            <c:ext xmlns:c16="http://schemas.microsoft.com/office/drawing/2014/chart" uri="{C3380CC4-5D6E-409C-BE32-E72D297353CC}">
              <c16:uniqueId val="{00000005-8738-4081-87C2-7DAD2C9FE9AA}"/>
            </c:ext>
          </c:extLst>
        </c:ser>
        <c:ser>
          <c:idx val="4"/>
          <c:order val="3"/>
          <c:tx>
            <c:strRef>
              <c:f>'Revenue required'!$D$187</c:f>
              <c:strCache>
                <c:ptCount val="1"/>
                <c:pt idx="0">
                  <c:v>Tariff revenue</c:v>
                </c:pt>
              </c:strCache>
            </c:strRef>
          </c:tx>
          <c:spPr>
            <a:solidFill>
              <a:schemeClr val="accent3">
                <a:lumMod val="75000"/>
              </a:schemeClr>
            </a:solidFill>
          </c:spPr>
          <c:invertIfNegative val="0"/>
          <c:dLbls>
            <c:dLbl>
              <c:idx val="1"/>
              <c:tx>
                <c:strRef>
                  <c:f>'Revenue required'!$D$187</c:f>
                  <c:strCache>
                    <c:ptCount val="1"/>
                    <c:pt idx="0">
                      <c:v>Tariff revenue</c:v>
                    </c:pt>
                  </c:strCache>
                </c:strRef>
              </c:tx>
              <c:spPr>
                <a:noFill/>
                <a:ln w="25400">
                  <a:noFill/>
                </a:ln>
              </c:spPr>
              <c:txPr>
                <a:bodyPr/>
                <a:lstStyle/>
                <a:p>
                  <a:pPr>
                    <a:defRPr sz="1100" b="0" i="0" u="none" strike="noStrike" baseline="0">
                      <a:solidFill>
                        <a:srgbClr val="333333"/>
                      </a:solidFill>
                      <a:latin typeface="Calibri"/>
                      <a:ea typeface="Calibri"/>
                      <a:cs typeface="Calibri"/>
                    </a:defRPr>
                  </a:pPr>
                  <a:endParaRPr lang="en-US"/>
                </a:p>
              </c:txPr>
              <c:dLblPos val="ctr"/>
              <c:showLegendKey val="0"/>
              <c:showVal val="0"/>
              <c:showCatName val="0"/>
              <c:showSerName val="0"/>
              <c:showPercent val="0"/>
              <c:showBubbleSize val="0"/>
              <c:extLst>
                <c:ext xmlns:c15="http://schemas.microsoft.com/office/drawing/2012/chart" uri="{CE6537A1-D6FC-4f65-9D91-7224C49458BB}">
                  <c15:dlblFieldTable>
                    <c15:dlblFTEntry>
                      <c15:txfldGUID>{E1AA0E06-C64C-4AA6-AB51-CEC0209FEBF5}</c15:txfldGUID>
                      <c15:f>'Revenue required'!$D$187</c15:f>
                      <c15:dlblFieldTableCache>
                        <c:ptCount val="1"/>
                        <c:pt idx="0">
                          <c:v>Tariff revenue</c:v>
                        </c:pt>
                      </c15:dlblFieldTableCache>
                    </c15:dlblFTEntry>
                  </c15:dlblFieldTable>
                  <c15:showDataLabelsRange val="0"/>
                </c:ext>
                <c:ext xmlns:c16="http://schemas.microsoft.com/office/drawing/2014/chart" uri="{C3380CC4-5D6E-409C-BE32-E72D297353CC}">
                  <c16:uniqueId val="{00000006-8738-4081-87C2-7DAD2C9FE9AA}"/>
                </c:ext>
              </c:extLst>
            </c:dLbl>
            <c:spPr>
              <a:noFill/>
              <a:ln w="25400">
                <a:noFill/>
              </a:ln>
            </c:spPr>
            <c:txPr>
              <a:bodyPr wrap="square" lIns="38100" tIns="19050" rIns="38100" bIns="19050" anchor="ctr">
                <a:spAutoFit/>
              </a:bodyPr>
              <a:lstStyle/>
              <a:p>
                <a:pPr>
                  <a:defRPr sz="1100" b="0" i="0" u="none" strike="noStrike" baseline="0">
                    <a:solidFill>
                      <a:srgbClr val="333333"/>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'Revenue required'!$E$187:$F$187</c:f>
            </c:numRef>
          </c:val>
          <c:extLst>
            <c:ext xmlns:c15="http://schemas.microsoft.com/office/drawing/2012/chart" uri="{02D57815-91ED-43cb-92C2-25804820EDAC}">
              <c15:filteredCategoryTitle>
                <c15:cat>
                  <c:multiLvlStrRef>
                    <c:extLst>
                      <c:ext uri="{02D57815-91ED-43cb-92C2-25804820EDAC}">
                        <c15:formulaRef>
                          <c15:sqref>'Revenue required'!$E$183:$F$183</c15:sqref>
                        </c15:formulaRef>
                      </c:ext>
                    </c:extLst>
                  </c:multiLvlStrRef>
                </c15:cat>
              </c15:filteredCategoryTitle>
            </c:ext>
            <c:ext xmlns:c16="http://schemas.microsoft.com/office/drawing/2014/chart" uri="{C3380CC4-5D6E-409C-BE32-E72D297353CC}">
              <c16:uniqueId val="{00000007-8738-4081-87C2-7DAD2C9FE9AA}"/>
            </c:ext>
          </c:extLst>
        </c:ser>
        <c:ser>
          <c:idx val="5"/>
          <c:order val="4"/>
          <c:tx>
            <c:strRef>
              <c:f>'Revenue required'!$D$188</c:f>
              <c:strCache>
                <c:ptCount val="1"/>
                <c:pt idx="0">
                  <c:v>Non-tariff revenue</c:v>
                </c:pt>
              </c:strCache>
            </c:strRef>
          </c:tx>
          <c:spPr>
            <a:solidFill>
              <a:schemeClr val="accent3"/>
            </a:solidFill>
          </c:spPr>
          <c:invertIfNegative val="0"/>
          <c:dLbls>
            <c:dLbl>
              <c:idx val="1"/>
              <c:tx>
                <c:strRef>
                  <c:f>'Revenue required'!$D$188</c:f>
                  <c:strCache>
                    <c:ptCount val="1"/>
                    <c:pt idx="0">
                      <c:v>Non-tariff revenue</c:v>
                    </c:pt>
                  </c:strCache>
                </c:strRef>
              </c:tx>
              <c:spPr>
                <a:noFill/>
                <a:ln w="25400">
                  <a:noFill/>
                </a:ln>
              </c:spPr>
              <c:txPr>
                <a:bodyPr/>
                <a:lstStyle/>
                <a:p>
                  <a:pPr>
                    <a:defRPr sz="1100" b="0" i="0" u="none" strike="noStrike" baseline="0">
                      <a:solidFill>
                        <a:srgbClr val="333333"/>
                      </a:solidFill>
                      <a:latin typeface="Calibri"/>
                      <a:ea typeface="Calibri"/>
                      <a:cs typeface="Calibri"/>
                    </a:defRPr>
                  </a:pPr>
                  <a:endParaRPr lang="en-US"/>
                </a:p>
              </c:txPr>
              <c:dLblPos val="ctr"/>
              <c:showLegendKey val="0"/>
              <c:showVal val="0"/>
              <c:showCatName val="0"/>
              <c:showSerName val="0"/>
              <c:showPercent val="0"/>
              <c:showBubbleSize val="0"/>
              <c:extLst>
                <c:ext xmlns:c15="http://schemas.microsoft.com/office/drawing/2012/chart" uri="{CE6537A1-D6FC-4f65-9D91-7224C49458BB}">
                  <c15:dlblFieldTable>
                    <c15:dlblFTEntry>
                      <c15:txfldGUID>{141F7A43-1705-4E7E-B861-94AD03DBE0B6}</c15:txfldGUID>
                      <c15:f>'Revenue required'!$D$188</c15:f>
                      <c15:dlblFieldTableCache>
                        <c:ptCount val="1"/>
                        <c:pt idx="0">
                          <c:v>Non-tariff revenue</c:v>
                        </c:pt>
                      </c15:dlblFieldTableCache>
                    </c15:dlblFTEntry>
                  </c15:dlblFieldTable>
                  <c15:showDataLabelsRange val="0"/>
                </c:ext>
                <c:ext xmlns:c16="http://schemas.microsoft.com/office/drawing/2014/chart" uri="{C3380CC4-5D6E-409C-BE32-E72D297353CC}">
                  <c16:uniqueId val="{00000008-8738-4081-87C2-7DAD2C9FE9AA}"/>
                </c:ext>
              </c:extLst>
            </c:dLbl>
            <c:spPr>
              <a:noFill/>
              <a:ln w="25400">
                <a:noFill/>
              </a:ln>
            </c:spPr>
            <c:txPr>
              <a:bodyPr wrap="square" lIns="38100" tIns="19050" rIns="38100" bIns="19050" anchor="ctr">
                <a:spAutoFit/>
              </a:bodyPr>
              <a:lstStyle/>
              <a:p>
                <a:pPr>
                  <a:defRPr sz="1100" b="0" i="0" u="none" strike="noStrike" baseline="0">
                    <a:solidFill>
                      <a:srgbClr val="333333"/>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'Revenue required'!$E$188:$F$188</c:f>
            </c:numRef>
          </c:val>
          <c:extLst>
            <c:ext xmlns:c15="http://schemas.microsoft.com/office/drawing/2012/chart" uri="{02D57815-91ED-43cb-92C2-25804820EDAC}">
              <c15:filteredCategoryTitle>
                <c15:cat>
                  <c:multiLvlStrRef>
                    <c:extLst>
                      <c:ext uri="{02D57815-91ED-43cb-92C2-25804820EDAC}">
                        <c15:formulaRef>
                          <c15:sqref>'Revenue required'!$E$183:$F$183</c15:sqref>
                        </c15:formulaRef>
                      </c:ext>
                    </c:extLst>
                  </c:multiLvlStrRef>
                </c15:cat>
              </c15:filteredCategoryTitle>
            </c:ext>
            <c:ext xmlns:c16="http://schemas.microsoft.com/office/drawing/2014/chart" uri="{C3380CC4-5D6E-409C-BE32-E72D297353CC}">
              <c16:uniqueId val="{00000009-8738-4081-87C2-7DAD2C9FE9AA}"/>
            </c:ext>
          </c:extLst>
        </c:ser>
        <c:ser>
          <c:idx val="3"/>
          <c:order val="5"/>
          <c:tx>
            <c:strRef>
              <c:f>'Revenue required'!$D$189</c:f>
              <c:strCache>
                <c:ptCount val="1"/>
              </c:strCache>
            </c:strRef>
          </c:tx>
          <c:spPr>
            <a:solidFill>
              <a:schemeClr val="accent2"/>
            </a:solidFill>
          </c:spPr>
          <c:invertIfNegative val="0"/>
          <c:dLbls>
            <c:dLbl>
              <c:idx val="1"/>
              <c:tx>
                <c:strRef>
                  <c:f>'Revenue required'!$D$189</c:f>
                  <c:strCache>
                    <c:ptCount val="1"/>
                  </c:strCache>
                </c:strRef>
              </c:tx>
              <c:spPr>
                <a:noFill/>
                <a:ln w="25400">
                  <a:noFill/>
                </a:ln>
              </c:spPr>
              <c:txPr>
                <a:bodyPr/>
                <a:lstStyle/>
                <a:p>
                  <a:pPr>
                    <a:defRPr sz="1100" b="0" i="0" u="none" strike="noStrike" baseline="0">
                      <a:solidFill>
                        <a:srgbClr val="333333"/>
                      </a:solidFill>
                      <a:latin typeface="Calibri"/>
                      <a:ea typeface="Calibri"/>
                      <a:cs typeface="Calibri"/>
                    </a:defRPr>
                  </a:pPr>
                  <a:endParaRPr lang="en-US"/>
                </a:p>
              </c:txPr>
              <c:dLblPos val="ctr"/>
              <c:showLegendKey val="0"/>
              <c:showVal val="0"/>
              <c:showCatName val="0"/>
              <c:showSerName val="0"/>
              <c:showPercent val="0"/>
              <c:showBubbleSize val="0"/>
              <c:extLst>
                <c:ext xmlns:c15="http://schemas.microsoft.com/office/drawing/2012/chart" uri="{CE6537A1-D6FC-4f65-9D91-7224C49458BB}">
                  <c15:dlblFieldTable>
                    <c15:dlblFTEntry>
                      <c15:txfldGUID>{E9212A91-0973-4C7E-9A8C-22C2DB3D6B1A}</c15:txfldGUID>
                      <c15:f>'Revenue required'!$D$189</c15:f>
                      <c15:dlblFieldTableCache>
                        <c:ptCount val="1"/>
                      </c15:dlblFieldTableCache>
                    </c15:dlblFTEntry>
                  </c15:dlblFieldTable>
                  <c15:showDataLabelsRange val="0"/>
                </c:ext>
                <c:ext xmlns:c16="http://schemas.microsoft.com/office/drawing/2014/chart" uri="{C3380CC4-5D6E-409C-BE32-E72D297353CC}">
                  <c16:uniqueId val="{0000000A-8738-4081-87C2-7DAD2C9FE9AA}"/>
                </c:ext>
              </c:extLst>
            </c:dLbl>
            <c:spPr>
              <a:noFill/>
              <a:ln w="25400">
                <a:noFill/>
              </a:ln>
            </c:spPr>
            <c:txPr>
              <a:bodyPr wrap="square" lIns="38100" tIns="19050" rIns="38100" bIns="19050" anchor="ctr">
                <a:spAutoFit/>
              </a:bodyPr>
              <a:lstStyle/>
              <a:p>
                <a:pPr>
                  <a:defRPr sz="1100" b="0" i="0" u="none" strike="noStrike" baseline="0">
                    <a:solidFill>
                      <a:srgbClr val="333333"/>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'Revenue required'!$E$189:$F$189</c:f>
            </c:numRef>
          </c:val>
          <c:extLst>
            <c:ext xmlns:c15="http://schemas.microsoft.com/office/drawing/2012/chart" uri="{02D57815-91ED-43cb-92C2-25804820EDAC}">
              <c15:filteredCategoryTitle>
                <c15:cat>
                  <c:multiLvlStrRef>
                    <c:extLst>
                      <c:ext uri="{02D57815-91ED-43cb-92C2-25804820EDAC}">
                        <c15:formulaRef>
                          <c15:sqref>'Revenue required'!$E$183:$F$183</c15:sqref>
                        </c15:formulaRef>
                      </c:ext>
                    </c:extLst>
                  </c:multiLvlStrRef>
                </c15:cat>
              </c15:filteredCategoryTitle>
            </c:ext>
            <c:ext xmlns:c16="http://schemas.microsoft.com/office/drawing/2014/chart" uri="{C3380CC4-5D6E-409C-BE32-E72D297353CC}">
              <c16:uniqueId val="{0000000B-8738-4081-87C2-7DAD2C9FE9AA}"/>
            </c:ext>
          </c:extLst>
        </c:ser>
        <c:dLbls>
          <c:showLegendKey val="0"/>
          <c:showVal val="0"/>
          <c:showCatName val="0"/>
          <c:showSerName val="0"/>
          <c:showPercent val="0"/>
          <c:showBubbleSize val="0"/>
        </c:dLbls>
        <c:gapWidth val="25"/>
        <c:overlap val="100"/>
        <c:axId val="1390250959"/>
        <c:axId val="1"/>
      </c:barChart>
      <c:catAx>
        <c:axId val="1390250959"/>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0" vert="horz"/>
          <a:lstStyle/>
          <a:p>
            <a:pPr>
              <a:defRPr sz="1100" b="0" i="0" u="none" strike="noStrike" baseline="0">
                <a:solidFill>
                  <a:srgbClr val="333333"/>
                </a:solidFill>
                <a:latin typeface="Calibri"/>
                <a:ea typeface="Calibri"/>
                <a:cs typeface="Calibri"/>
              </a:defRPr>
            </a:pPr>
            <a:endParaRPr lang="en-US"/>
          </a:p>
        </c:txPr>
        <c:crossAx val="1"/>
        <c:crosses val="autoZero"/>
        <c:auto val="1"/>
        <c:lblAlgn val="ctr"/>
        <c:lblOffset val="100"/>
        <c:noMultiLvlLbl val="0"/>
      </c:catAx>
      <c:valAx>
        <c:axId val="1"/>
        <c:scaling>
          <c:orientation val="minMax"/>
        </c:scaling>
        <c:delete val="1"/>
        <c:axPos val="l"/>
        <c:majorGridlines>
          <c:spPr>
            <a:ln w="9525" cap="flat" cmpd="sng" algn="ctr">
              <a:solidFill>
                <a:schemeClr val="tx1">
                  <a:lumMod val="15000"/>
                  <a:lumOff val="85000"/>
                </a:schemeClr>
              </a:solidFill>
              <a:round/>
            </a:ln>
            <a:effectLst/>
          </c:spPr>
        </c:majorGridlines>
        <c:numFmt formatCode="_-* #\ ##0_-;\-* #\ ##0_-;_-* &quot;-&quot;??_-;_-@_-" sourceLinked="1"/>
        <c:majorTickMark val="out"/>
        <c:minorTickMark val="none"/>
        <c:tickLblPos val="nextTo"/>
        <c:crossAx val="1390250959"/>
        <c:crosses val="autoZero"/>
        <c:crossBetween val="between"/>
      </c:valAx>
    </c:plotArea>
    <c:plotVisOnly val="1"/>
    <c:dispBlanksAs val="gap"/>
    <c:showDLblsOverMax val="0"/>
  </c:chart>
  <c:spPr>
    <a:solidFill>
      <a:schemeClr val="bg1"/>
    </a:solidFill>
    <a:ln w="9525" cap="flat" cmpd="sng" algn="ctr">
      <a:noFill/>
      <a:round/>
    </a:ln>
    <a:effectLst/>
  </c:spPr>
  <c:txPr>
    <a:bodyPr/>
    <a:lstStyle/>
    <a:p>
      <a:pPr>
        <a:defRPr sz="11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charts/chart4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320" b="0" i="0" u="none" strike="noStrike" baseline="0">
                <a:solidFill>
                  <a:srgbClr val="333333"/>
                </a:solidFill>
                <a:latin typeface="Calibri"/>
                <a:ea typeface="Calibri"/>
                <a:cs typeface="Calibri"/>
              </a:defRPr>
            </a:pPr>
            <a:r>
              <a:rPr lang="en-ZA"/>
              <a:t>Budget funding: solid waste R'000</a:t>
            </a:r>
          </a:p>
        </c:rich>
      </c:tx>
      <c:layout>
        <c:manualLayout>
          <c:xMode val="edge"/>
          <c:yMode val="edge"/>
          <c:x val="6.4499571962106886E-2"/>
          <c:y val="3.2407487525597758E-2"/>
        </c:manualLayout>
      </c:layout>
      <c:overlay val="0"/>
      <c:spPr>
        <a:noFill/>
        <a:ln w="25400">
          <a:noFill/>
        </a:ln>
      </c:spPr>
    </c:title>
    <c:autoTitleDeleted val="0"/>
    <c:plotArea>
      <c:layout/>
      <c:barChart>
        <c:barDir val="col"/>
        <c:grouping val="stacked"/>
        <c:varyColors val="0"/>
        <c:ser>
          <c:idx val="0"/>
          <c:order val="0"/>
          <c:tx>
            <c:strRef>
              <c:f>'Revenue required'!$D$184</c:f>
              <c:strCache>
                <c:ptCount val="1"/>
                <c:pt idx="0">
                  <c:v>Direct cost</c:v>
                </c:pt>
              </c:strCache>
            </c:strRef>
          </c:tx>
          <c:spPr>
            <a:solidFill>
              <a:schemeClr val="accent5"/>
            </a:solidFill>
          </c:spPr>
          <c:invertIfNegative val="0"/>
          <c:dLbls>
            <c:spPr>
              <a:noFill/>
              <a:ln w="25400">
                <a:noFill/>
              </a:ln>
            </c:spPr>
            <c:txPr>
              <a:bodyPr wrap="square" lIns="38100" tIns="19050" rIns="38100" bIns="19050" anchor="ctr">
                <a:spAutoFit/>
              </a:bodyPr>
              <a:lstStyle/>
              <a:p>
                <a:pPr>
                  <a:defRPr sz="1100" b="0" i="0" u="none" strike="noStrike" baseline="0">
                    <a:solidFill>
                      <a:srgbClr val="333333"/>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'Revenue required'!$E$184:$F$184</c:f>
            </c:numRef>
          </c:val>
          <c:extLst>
            <c:ext xmlns:c15="http://schemas.microsoft.com/office/drawing/2012/chart" uri="{02D57815-91ED-43cb-92C2-25804820EDAC}">
              <c15:filteredCategoryTitle>
                <c15:cat>
                  <c:multiLvlStrRef>
                    <c:extLst>
                      <c:ext uri="{02D57815-91ED-43cb-92C2-25804820EDAC}">
                        <c15:formulaRef>
                          <c15:sqref>'Revenue required'!$E$183:$F$183</c15:sqref>
                        </c15:formulaRef>
                      </c:ext>
                    </c:extLst>
                  </c:multiLvlStrRef>
                </c15:cat>
              </c15:filteredCategoryTitle>
            </c:ext>
            <c:ext xmlns:c16="http://schemas.microsoft.com/office/drawing/2014/chart" uri="{C3380CC4-5D6E-409C-BE32-E72D297353CC}">
              <c16:uniqueId val="{00000000-19D0-4E97-8377-CC850B753CF6}"/>
            </c:ext>
          </c:extLst>
        </c:ser>
        <c:ser>
          <c:idx val="1"/>
          <c:order val="1"/>
          <c:tx>
            <c:strRef>
              <c:f>'Revenue required'!$D$185</c:f>
              <c:strCache>
                <c:ptCount val="1"/>
                <c:pt idx="0">
                  <c:v>Indirect cost</c:v>
                </c:pt>
              </c:strCache>
            </c:strRef>
          </c:tx>
          <c:spPr>
            <a:solidFill>
              <a:schemeClr val="accent5">
                <a:lumMod val="60000"/>
                <a:lumOff val="40000"/>
              </a:schemeClr>
            </a:solidFill>
          </c:spPr>
          <c:invertIfNegative val="0"/>
          <c:dLbls>
            <c:spPr>
              <a:noFill/>
              <a:ln w="25400">
                <a:noFill/>
              </a:ln>
            </c:spPr>
            <c:txPr>
              <a:bodyPr wrap="square" lIns="38100" tIns="19050" rIns="38100" bIns="19050" anchor="ctr">
                <a:spAutoFit/>
              </a:bodyPr>
              <a:lstStyle/>
              <a:p>
                <a:pPr>
                  <a:defRPr sz="1100" b="0" i="0" u="none" strike="noStrike" baseline="0">
                    <a:solidFill>
                      <a:srgbClr val="333333"/>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'Revenue required'!$E$185:$F$185</c:f>
            </c:numRef>
          </c:val>
          <c:extLst>
            <c:ext xmlns:c15="http://schemas.microsoft.com/office/drawing/2012/chart" uri="{02D57815-91ED-43cb-92C2-25804820EDAC}">
              <c15:filteredCategoryTitle>
                <c15:cat>
                  <c:multiLvlStrRef>
                    <c:extLst>
                      <c:ext uri="{02D57815-91ED-43cb-92C2-25804820EDAC}">
                        <c15:formulaRef>
                          <c15:sqref>'Revenue required'!$E$183:$F$183</c15:sqref>
                        </c15:formulaRef>
                      </c:ext>
                    </c:extLst>
                  </c:multiLvlStrRef>
                </c15:cat>
              </c15:filteredCategoryTitle>
            </c:ext>
            <c:ext xmlns:c16="http://schemas.microsoft.com/office/drawing/2014/chart" uri="{C3380CC4-5D6E-409C-BE32-E72D297353CC}">
              <c16:uniqueId val="{00000001-19D0-4E97-8377-CC850B753CF6}"/>
            </c:ext>
          </c:extLst>
        </c:ser>
        <c:ser>
          <c:idx val="2"/>
          <c:order val="2"/>
          <c:tx>
            <c:strRef>
              <c:f>'Revenue required'!$D$186</c:f>
              <c:strCache>
                <c:ptCount val="1"/>
              </c:strCache>
            </c:strRef>
          </c:tx>
          <c:invertIfNegative val="0"/>
          <c:dLbls>
            <c:spPr>
              <a:noFill/>
              <a:ln w="25400">
                <a:noFill/>
              </a:ln>
            </c:spPr>
            <c:txPr>
              <a:bodyPr wrap="square" lIns="38100" tIns="19050" rIns="38100" bIns="19050" anchor="ctr">
                <a:spAutoFit/>
              </a:bodyPr>
              <a:lstStyle/>
              <a:p>
                <a:pPr>
                  <a:defRPr sz="1100" b="0" i="0" u="none" strike="noStrike" baseline="0">
                    <a:solidFill>
                      <a:srgbClr val="333333"/>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'Revenue required'!$E$186:$F$186</c:f>
            </c:numRef>
          </c:val>
          <c:extLst>
            <c:ext xmlns:c15="http://schemas.microsoft.com/office/drawing/2012/chart" uri="{02D57815-91ED-43cb-92C2-25804820EDAC}">
              <c15:filteredCategoryTitle>
                <c15:cat>
                  <c:multiLvlStrRef>
                    <c:extLst>
                      <c:ext uri="{02D57815-91ED-43cb-92C2-25804820EDAC}">
                        <c15:formulaRef>
                          <c15:sqref>'Revenue required'!$E$183:$F$183</c15:sqref>
                        </c15:formulaRef>
                      </c:ext>
                    </c:extLst>
                  </c:multiLvlStrRef>
                </c15:cat>
              </c15:filteredCategoryTitle>
            </c:ext>
            <c:ext xmlns:c16="http://schemas.microsoft.com/office/drawing/2014/chart" uri="{C3380CC4-5D6E-409C-BE32-E72D297353CC}">
              <c16:uniqueId val="{00000002-19D0-4E97-8377-CC850B753CF6}"/>
            </c:ext>
          </c:extLst>
        </c:ser>
        <c:ser>
          <c:idx val="4"/>
          <c:order val="3"/>
          <c:tx>
            <c:strRef>
              <c:f>'Revenue required'!$D$187</c:f>
              <c:strCache>
                <c:ptCount val="1"/>
                <c:pt idx="0">
                  <c:v>Tariff revenue</c:v>
                </c:pt>
              </c:strCache>
            </c:strRef>
          </c:tx>
          <c:spPr>
            <a:solidFill>
              <a:schemeClr val="accent3">
                <a:lumMod val="75000"/>
              </a:schemeClr>
            </a:solidFill>
          </c:spPr>
          <c:invertIfNegative val="0"/>
          <c:dLbls>
            <c:spPr>
              <a:noFill/>
              <a:ln w="25400">
                <a:noFill/>
              </a:ln>
            </c:spPr>
            <c:txPr>
              <a:bodyPr wrap="square" lIns="38100" tIns="19050" rIns="38100" bIns="19050" anchor="ctr">
                <a:spAutoFit/>
              </a:bodyPr>
              <a:lstStyle/>
              <a:p>
                <a:pPr>
                  <a:defRPr sz="1100" b="0" i="0" u="none" strike="noStrike" baseline="0">
                    <a:solidFill>
                      <a:srgbClr val="333333"/>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'Revenue required'!$E$187:$F$187</c:f>
            </c:numRef>
          </c:val>
          <c:extLst>
            <c:ext xmlns:c15="http://schemas.microsoft.com/office/drawing/2012/chart" uri="{02D57815-91ED-43cb-92C2-25804820EDAC}">
              <c15:filteredCategoryTitle>
                <c15:cat>
                  <c:multiLvlStrRef>
                    <c:extLst>
                      <c:ext uri="{02D57815-91ED-43cb-92C2-25804820EDAC}">
                        <c15:formulaRef>
                          <c15:sqref>'Revenue required'!$E$183:$F$183</c15:sqref>
                        </c15:formulaRef>
                      </c:ext>
                    </c:extLst>
                  </c:multiLvlStrRef>
                </c15:cat>
              </c15:filteredCategoryTitle>
            </c:ext>
            <c:ext xmlns:c16="http://schemas.microsoft.com/office/drawing/2014/chart" uri="{C3380CC4-5D6E-409C-BE32-E72D297353CC}">
              <c16:uniqueId val="{00000003-19D0-4E97-8377-CC850B753CF6}"/>
            </c:ext>
          </c:extLst>
        </c:ser>
        <c:ser>
          <c:idx val="5"/>
          <c:order val="4"/>
          <c:tx>
            <c:strRef>
              <c:f>'Revenue required'!$D$188</c:f>
              <c:strCache>
                <c:ptCount val="1"/>
                <c:pt idx="0">
                  <c:v>Non-tariff revenue</c:v>
                </c:pt>
              </c:strCache>
            </c:strRef>
          </c:tx>
          <c:spPr>
            <a:solidFill>
              <a:schemeClr val="accent3"/>
            </a:solidFill>
          </c:spPr>
          <c:invertIfNegative val="0"/>
          <c:dLbls>
            <c:spPr>
              <a:noFill/>
              <a:ln w="25400">
                <a:noFill/>
              </a:ln>
            </c:spPr>
            <c:txPr>
              <a:bodyPr wrap="square" lIns="38100" tIns="19050" rIns="38100" bIns="19050" anchor="ctr">
                <a:spAutoFit/>
              </a:bodyPr>
              <a:lstStyle/>
              <a:p>
                <a:pPr>
                  <a:defRPr sz="1100" b="0" i="0" u="none" strike="noStrike" baseline="0">
                    <a:solidFill>
                      <a:srgbClr val="333333"/>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'Revenue required'!$E$188:$F$188</c:f>
            </c:numRef>
          </c:val>
          <c:extLst>
            <c:ext xmlns:c15="http://schemas.microsoft.com/office/drawing/2012/chart" uri="{02D57815-91ED-43cb-92C2-25804820EDAC}">
              <c15:filteredCategoryTitle>
                <c15:cat>
                  <c:multiLvlStrRef>
                    <c:extLst>
                      <c:ext uri="{02D57815-91ED-43cb-92C2-25804820EDAC}">
                        <c15:formulaRef>
                          <c15:sqref>'Revenue required'!$E$183:$F$183</c15:sqref>
                        </c15:formulaRef>
                      </c:ext>
                    </c:extLst>
                  </c:multiLvlStrRef>
                </c15:cat>
              </c15:filteredCategoryTitle>
            </c:ext>
            <c:ext xmlns:c16="http://schemas.microsoft.com/office/drawing/2014/chart" uri="{C3380CC4-5D6E-409C-BE32-E72D297353CC}">
              <c16:uniqueId val="{00000004-19D0-4E97-8377-CC850B753CF6}"/>
            </c:ext>
          </c:extLst>
        </c:ser>
        <c:ser>
          <c:idx val="3"/>
          <c:order val="5"/>
          <c:tx>
            <c:strRef>
              <c:f>'Revenue required'!$D$189</c:f>
              <c:strCache>
                <c:ptCount val="1"/>
              </c:strCache>
            </c:strRef>
          </c:tx>
          <c:spPr>
            <a:solidFill>
              <a:schemeClr val="accent2"/>
            </a:solidFill>
          </c:spPr>
          <c:invertIfNegative val="0"/>
          <c:dLbls>
            <c:spPr>
              <a:noFill/>
              <a:ln w="25400">
                <a:noFill/>
              </a:ln>
            </c:spPr>
            <c:txPr>
              <a:bodyPr wrap="square" lIns="38100" tIns="19050" rIns="38100" bIns="19050" anchor="ctr">
                <a:spAutoFit/>
              </a:bodyPr>
              <a:lstStyle/>
              <a:p>
                <a:pPr>
                  <a:defRPr sz="1100" b="0" i="0" u="none" strike="noStrike" baseline="0">
                    <a:solidFill>
                      <a:srgbClr val="333333"/>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'Revenue required'!$E$189:$F$189</c:f>
            </c:numRef>
          </c:val>
          <c:extLst>
            <c:ext xmlns:c15="http://schemas.microsoft.com/office/drawing/2012/chart" uri="{02D57815-91ED-43cb-92C2-25804820EDAC}">
              <c15:filteredCategoryTitle>
                <c15:cat>
                  <c:multiLvlStrRef>
                    <c:extLst>
                      <c:ext uri="{02D57815-91ED-43cb-92C2-25804820EDAC}">
                        <c15:formulaRef>
                          <c15:sqref>'Revenue required'!$E$183:$F$183</c15:sqref>
                        </c15:formulaRef>
                      </c:ext>
                    </c:extLst>
                  </c:multiLvlStrRef>
                </c15:cat>
              </c15:filteredCategoryTitle>
            </c:ext>
            <c:ext xmlns:c16="http://schemas.microsoft.com/office/drawing/2014/chart" uri="{C3380CC4-5D6E-409C-BE32-E72D297353CC}">
              <c16:uniqueId val="{00000005-19D0-4E97-8377-CC850B753CF6}"/>
            </c:ext>
          </c:extLst>
        </c:ser>
        <c:dLbls>
          <c:showLegendKey val="0"/>
          <c:showVal val="0"/>
          <c:showCatName val="0"/>
          <c:showSerName val="0"/>
          <c:showPercent val="0"/>
          <c:showBubbleSize val="0"/>
        </c:dLbls>
        <c:gapWidth val="25"/>
        <c:overlap val="100"/>
        <c:axId val="1390262959"/>
        <c:axId val="1"/>
      </c:barChart>
      <c:catAx>
        <c:axId val="1390262959"/>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0" vert="horz"/>
          <a:lstStyle/>
          <a:p>
            <a:pPr>
              <a:defRPr sz="1100" b="0" i="0" u="none" strike="noStrike" baseline="0">
                <a:solidFill>
                  <a:srgbClr val="333333"/>
                </a:solidFill>
                <a:latin typeface="Calibri"/>
                <a:ea typeface="Calibri"/>
                <a:cs typeface="Calibri"/>
              </a:defRPr>
            </a:pPr>
            <a:endParaRPr lang="en-US"/>
          </a:p>
        </c:txPr>
        <c:crossAx val="1"/>
        <c:crosses val="autoZero"/>
        <c:auto val="1"/>
        <c:lblAlgn val="ctr"/>
        <c:lblOffset val="100"/>
        <c:noMultiLvlLbl val="0"/>
      </c:catAx>
      <c:valAx>
        <c:axId val="1"/>
        <c:scaling>
          <c:orientation val="minMax"/>
        </c:scaling>
        <c:delete val="1"/>
        <c:axPos val="l"/>
        <c:majorGridlines>
          <c:spPr>
            <a:ln w="9525" cap="flat" cmpd="sng" algn="ctr">
              <a:solidFill>
                <a:schemeClr val="tx1">
                  <a:lumMod val="15000"/>
                  <a:lumOff val="85000"/>
                </a:schemeClr>
              </a:solidFill>
              <a:round/>
            </a:ln>
            <a:effectLst/>
          </c:spPr>
        </c:majorGridlines>
        <c:numFmt formatCode="_-* #\ ##0_-;\-* #\ ##0_-;_-* &quot;-&quot;??_-;_-@_-" sourceLinked="1"/>
        <c:majorTickMark val="out"/>
        <c:minorTickMark val="none"/>
        <c:tickLblPos val="nextTo"/>
        <c:crossAx val="1390262959"/>
        <c:crosses val="autoZero"/>
        <c:crossBetween val="between"/>
      </c:valAx>
    </c:plotArea>
    <c:plotVisOnly val="1"/>
    <c:dispBlanksAs val="gap"/>
    <c:showDLblsOverMax val="0"/>
  </c:chart>
  <c:spPr>
    <a:solidFill>
      <a:schemeClr val="bg1"/>
    </a:solidFill>
    <a:ln w="9525" cap="flat" cmpd="sng" algn="ctr">
      <a:noFill/>
      <a:round/>
    </a:ln>
    <a:effectLst/>
  </c:spPr>
  <c:txPr>
    <a:bodyPr/>
    <a:lstStyle/>
    <a:p>
      <a:pPr>
        <a:defRPr sz="11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charts/chart4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320" b="0" i="0" u="none" strike="noStrike" baseline="0">
                <a:solidFill>
                  <a:srgbClr val="333333"/>
                </a:solidFill>
                <a:latin typeface="Calibri"/>
                <a:ea typeface="Calibri"/>
                <a:cs typeface="Calibri"/>
              </a:defRPr>
            </a:pPr>
            <a:r>
              <a:rPr lang="en-ZA"/>
              <a:t>Budget funding: solid waste: %s</a:t>
            </a:r>
          </a:p>
        </c:rich>
      </c:tx>
      <c:layout>
        <c:manualLayout>
          <c:xMode val="edge"/>
          <c:yMode val="edge"/>
          <c:x val="3.5577490612716478E-2"/>
          <c:y val="5.0906329016565235E-2"/>
        </c:manualLayout>
      </c:layout>
      <c:overlay val="0"/>
      <c:spPr>
        <a:noFill/>
        <a:ln w="25400">
          <a:noFill/>
        </a:ln>
      </c:spPr>
    </c:title>
    <c:autoTitleDeleted val="0"/>
    <c:plotArea>
      <c:layout/>
      <c:barChart>
        <c:barDir val="col"/>
        <c:grouping val="percentStacked"/>
        <c:varyColors val="0"/>
        <c:ser>
          <c:idx val="0"/>
          <c:order val="0"/>
          <c:tx>
            <c:strRef>
              <c:f>'Revenue required'!$G$184</c:f>
              <c:strCache>
                <c:ptCount val="1"/>
                <c:pt idx="0">
                  <c:v>Direct cost</c:v>
                </c:pt>
              </c:strCache>
            </c:strRef>
          </c:tx>
          <c:spPr>
            <a:solidFill>
              <a:schemeClr val="accent5"/>
            </a:solidFill>
          </c:spPr>
          <c:invertIfNegative val="0"/>
          <c:dLbls>
            <c:spPr>
              <a:noFill/>
              <a:ln w="25400">
                <a:noFill/>
              </a:ln>
            </c:spPr>
            <c:txPr>
              <a:bodyPr wrap="square" lIns="38100" tIns="19050" rIns="38100" bIns="19050" anchor="ctr">
                <a:spAutoFit/>
              </a:bodyPr>
              <a:lstStyle/>
              <a:p>
                <a:pPr>
                  <a:defRPr sz="1100" b="0" i="0" u="none" strike="noStrike" baseline="0">
                    <a:solidFill>
                      <a:srgbClr val="333333"/>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'Revenue required'!$H$184:$I$184</c:f>
            </c:numRef>
          </c:val>
          <c:extLst>
            <c:ext xmlns:c15="http://schemas.microsoft.com/office/drawing/2012/chart" uri="{02D57815-91ED-43cb-92C2-25804820EDAC}">
              <c15:filteredCategoryTitle>
                <c15:cat>
                  <c:multiLvlStrRef>
                    <c:extLst>
                      <c:ext uri="{02D57815-91ED-43cb-92C2-25804820EDAC}">
                        <c15:formulaRef>
                          <c15:sqref>'Revenue required'!$H$183:$I$183</c15:sqref>
                        </c15:formulaRef>
                      </c:ext>
                    </c:extLst>
                  </c:multiLvlStrRef>
                </c15:cat>
              </c15:filteredCategoryTitle>
            </c:ext>
            <c:ext xmlns:c16="http://schemas.microsoft.com/office/drawing/2014/chart" uri="{C3380CC4-5D6E-409C-BE32-E72D297353CC}">
              <c16:uniqueId val="{00000000-1CAE-4FFF-B66F-14E136337740}"/>
            </c:ext>
          </c:extLst>
        </c:ser>
        <c:ser>
          <c:idx val="1"/>
          <c:order val="1"/>
          <c:tx>
            <c:strRef>
              <c:f>'Revenue required'!$G$185</c:f>
              <c:strCache>
                <c:ptCount val="1"/>
                <c:pt idx="0">
                  <c:v>Indirect cost</c:v>
                </c:pt>
              </c:strCache>
            </c:strRef>
          </c:tx>
          <c:spPr>
            <a:solidFill>
              <a:schemeClr val="accent5">
                <a:lumMod val="60000"/>
                <a:lumOff val="40000"/>
              </a:schemeClr>
            </a:solidFill>
          </c:spPr>
          <c:invertIfNegative val="0"/>
          <c:dLbls>
            <c:spPr>
              <a:noFill/>
              <a:ln w="25400">
                <a:noFill/>
              </a:ln>
            </c:spPr>
            <c:txPr>
              <a:bodyPr wrap="square" lIns="38100" tIns="19050" rIns="38100" bIns="19050" anchor="ctr">
                <a:spAutoFit/>
              </a:bodyPr>
              <a:lstStyle/>
              <a:p>
                <a:pPr>
                  <a:defRPr sz="1100" b="0" i="0" u="none" strike="noStrike" baseline="0">
                    <a:solidFill>
                      <a:srgbClr val="333333"/>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'Revenue required'!$H$185:$I$185</c:f>
            </c:numRef>
          </c:val>
          <c:extLst>
            <c:ext xmlns:c15="http://schemas.microsoft.com/office/drawing/2012/chart" uri="{02D57815-91ED-43cb-92C2-25804820EDAC}">
              <c15:filteredCategoryTitle>
                <c15:cat>
                  <c:multiLvlStrRef>
                    <c:extLst>
                      <c:ext uri="{02D57815-91ED-43cb-92C2-25804820EDAC}">
                        <c15:formulaRef>
                          <c15:sqref>'Revenue required'!$H$183:$I$183</c15:sqref>
                        </c15:formulaRef>
                      </c:ext>
                    </c:extLst>
                  </c:multiLvlStrRef>
                </c15:cat>
              </c15:filteredCategoryTitle>
            </c:ext>
            <c:ext xmlns:c16="http://schemas.microsoft.com/office/drawing/2014/chart" uri="{C3380CC4-5D6E-409C-BE32-E72D297353CC}">
              <c16:uniqueId val="{00000001-1CAE-4FFF-B66F-14E136337740}"/>
            </c:ext>
          </c:extLst>
        </c:ser>
        <c:ser>
          <c:idx val="2"/>
          <c:order val="2"/>
          <c:tx>
            <c:strRef>
              <c:f>'Revenue required'!$G$186</c:f>
              <c:strCache>
                <c:ptCount val="1"/>
              </c:strCache>
            </c:strRef>
          </c:tx>
          <c:invertIfNegative val="0"/>
          <c:dLbls>
            <c:spPr>
              <a:noFill/>
              <a:ln w="25400">
                <a:noFill/>
              </a:ln>
            </c:spPr>
            <c:txPr>
              <a:bodyPr wrap="square" lIns="38100" tIns="19050" rIns="38100" bIns="19050" anchor="ctr">
                <a:spAutoFit/>
              </a:bodyPr>
              <a:lstStyle/>
              <a:p>
                <a:pPr>
                  <a:defRPr sz="1100" b="0" i="0" u="none" strike="noStrike" baseline="0">
                    <a:solidFill>
                      <a:srgbClr val="333333"/>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'Revenue required'!$H$186:$I$186</c:f>
            </c:numRef>
          </c:val>
          <c:extLst>
            <c:ext xmlns:c15="http://schemas.microsoft.com/office/drawing/2012/chart" uri="{02D57815-91ED-43cb-92C2-25804820EDAC}">
              <c15:filteredCategoryTitle>
                <c15:cat>
                  <c:multiLvlStrRef>
                    <c:extLst>
                      <c:ext uri="{02D57815-91ED-43cb-92C2-25804820EDAC}">
                        <c15:formulaRef>
                          <c15:sqref>'Revenue required'!$H$183:$I$183</c15:sqref>
                        </c15:formulaRef>
                      </c:ext>
                    </c:extLst>
                  </c:multiLvlStrRef>
                </c15:cat>
              </c15:filteredCategoryTitle>
            </c:ext>
            <c:ext xmlns:c16="http://schemas.microsoft.com/office/drawing/2014/chart" uri="{C3380CC4-5D6E-409C-BE32-E72D297353CC}">
              <c16:uniqueId val="{00000002-1CAE-4FFF-B66F-14E136337740}"/>
            </c:ext>
          </c:extLst>
        </c:ser>
        <c:ser>
          <c:idx val="4"/>
          <c:order val="3"/>
          <c:tx>
            <c:strRef>
              <c:f>'Revenue required'!$G$187</c:f>
              <c:strCache>
                <c:ptCount val="1"/>
                <c:pt idx="0">
                  <c:v>Tariff revenue</c:v>
                </c:pt>
              </c:strCache>
            </c:strRef>
          </c:tx>
          <c:spPr>
            <a:solidFill>
              <a:schemeClr val="accent3"/>
            </a:solidFill>
          </c:spPr>
          <c:invertIfNegative val="0"/>
          <c:dLbls>
            <c:spPr>
              <a:noFill/>
              <a:ln w="25400">
                <a:noFill/>
              </a:ln>
            </c:spPr>
            <c:txPr>
              <a:bodyPr wrap="square" lIns="38100" tIns="19050" rIns="38100" bIns="19050" anchor="ctr">
                <a:spAutoFit/>
              </a:bodyPr>
              <a:lstStyle/>
              <a:p>
                <a:pPr>
                  <a:defRPr sz="1100" b="0" i="0" u="none" strike="noStrike" baseline="0">
                    <a:solidFill>
                      <a:srgbClr val="333333"/>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'Revenue required'!$H$187:$I$187</c:f>
            </c:numRef>
          </c:val>
          <c:extLst>
            <c:ext xmlns:c15="http://schemas.microsoft.com/office/drawing/2012/chart" uri="{02D57815-91ED-43cb-92C2-25804820EDAC}">
              <c15:filteredCategoryTitle>
                <c15:cat>
                  <c:multiLvlStrRef>
                    <c:extLst>
                      <c:ext uri="{02D57815-91ED-43cb-92C2-25804820EDAC}">
                        <c15:formulaRef>
                          <c15:sqref>'Revenue required'!$H$183:$I$183</c15:sqref>
                        </c15:formulaRef>
                      </c:ext>
                    </c:extLst>
                  </c:multiLvlStrRef>
                </c15:cat>
              </c15:filteredCategoryTitle>
            </c:ext>
            <c:ext xmlns:c16="http://schemas.microsoft.com/office/drawing/2014/chart" uri="{C3380CC4-5D6E-409C-BE32-E72D297353CC}">
              <c16:uniqueId val="{00000003-1CAE-4FFF-B66F-14E136337740}"/>
            </c:ext>
          </c:extLst>
        </c:ser>
        <c:ser>
          <c:idx val="5"/>
          <c:order val="4"/>
          <c:tx>
            <c:strRef>
              <c:f>'Revenue required'!$G$188</c:f>
              <c:strCache>
                <c:ptCount val="1"/>
                <c:pt idx="0">
                  <c:v>Non-tariff revenue</c:v>
                </c:pt>
              </c:strCache>
            </c:strRef>
          </c:tx>
          <c:spPr>
            <a:solidFill>
              <a:schemeClr val="accent3">
                <a:lumMod val="60000"/>
                <a:lumOff val="40000"/>
              </a:schemeClr>
            </a:solidFill>
          </c:spPr>
          <c:invertIfNegative val="0"/>
          <c:dLbls>
            <c:spPr>
              <a:noFill/>
              <a:ln w="25400">
                <a:noFill/>
              </a:ln>
            </c:spPr>
            <c:txPr>
              <a:bodyPr wrap="square" lIns="38100" tIns="19050" rIns="38100" bIns="19050" anchor="ctr">
                <a:spAutoFit/>
              </a:bodyPr>
              <a:lstStyle/>
              <a:p>
                <a:pPr>
                  <a:defRPr sz="1100" b="0" i="0" u="none" strike="noStrike" baseline="0">
                    <a:solidFill>
                      <a:srgbClr val="333333"/>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'Revenue required'!$H$188:$I$188</c:f>
            </c:numRef>
          </c:val>
          <c:extLst>
            <c:ext xmlns:c15="http://schemas.microsoft.com/office/drawing/2012/chart" uri="{02D57815-91ED-43cb-92C2-25804820EDAC}">
              <c15:filteredCategoryTitle>
                <c15:cat>
                  <c:multiLvlStrRef>
                    <c:extLst>
                      <c:ext uri="{02D57815-91ED-43cb-92C2-25804820EDAC}">
                        <c15:formulaRef>
                          <c15:sqref>'Revenue required'!$H$183:$I$183</c15:sqref>
                        </c15:formulaRef>
                      </c:ext>
                    </c:extLst>
                  </c:multiLvlStrRef>
                </c15:cat>
              </c15:filteredCategoryTitle>
            </c:ext>
            <c:ext xmlns:c16="http://schemas.microsoft.com/office/drawing/2014/chart" uri="{C3380CC4-5D6E-409C-BE32-E72D297353CC}">
              <c16:uniqueId val="{00000004-1CAE-4FFF-B66F-14E136337740}"/>
            </c:ext>
          </c:extLst>
        </c:ser>
        <c:ser>
          <c:idx val="3"/>
          <c:order val="5"/>
          <c:tx>
            <c:strRef>
              <c:f>'Revenue required'!$G$189</c:f>
              <c:strCache>
                <c:ptCount val="1"/>
              </c:strCache>
            </c:strRef>
          </c:tx>
          <c:spPr>
            <a:solidFill>
              <a:schemeClr val="accent2"/>
            </a:solidFill>
          </c:spPr>
          <c:invertIfNegative val="0"/>
          <c:dLbls>
            <c:spPr>
              <a:noFill/>
              <a:ln w="25400">
                <a:noFill/>
              </a:ln>
            </c:spPr>
            <c:txPr>
              <a:bodyPr wrap="square" lIns="38100" tIns="19050" rIns="38100" bIns="19050" anchor="ctr">
                <a:spAutoFit/>
              </a:bodyPr>
              <a:lstStyle/>
              <a:p>
                <a:pPr>
                  <a:defRPr sz="1100" b="0" i="0" u="none" strike="noStrike" baseline="0">
                    <a:solidFill>
                      <a:srgbClr val="333333"/>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'Revenue required'!$H$189:$I$189</c:f>
            </c:numRef>
          </c:val>
          <c:extLst>
            <c:ext xmlns:c15="http://schemas.microsoft.com/office/drawing/2012/chart" uri="{02D57815-91ED-43cb-92C2-25804820EDAC}">
              <c15:filteredCategoryTitle>
                <c15:cat>
                  <c:multiLvlStrRef>
                    <c:extLst>
                      <c:ext uri="{02D57815-91ED-43cb-92C2-25804820EDAC}">
                        <c15:formulaRef>
                          <c15:sqref>'Revenue required'!$H$183:$I$183</c15:sqref>
                        </c15:formulaRef>
                      </c:ext>
                    </c:extLst>
                  </c:multiLvlStrRef>
                </c15:cat>
              </c15:filteredCategoryTitle>
            </c:ext>
            <c:ext xmlns:c16="http://schemas.microsoft.com/office/drawing/2014/chart" uri="{C3380CC4-5D6E-409C-BE32-E72D297353CC}">
              <c16:uniqueId val="{00000005-1CAE-4FFF-B66F-14E136337740}"/>
            </c:ext>
          </c:extLst>
        </c:ser>
        <c:dLbls>
          <c:showLegendKey val="0"/>
          <c:showVal val="0"/>
          <c:showCatName val="0"/>
          <c:showSerName val="0"/>
          <c:showPercent val="0"/>
          <c:showBubbleSize val="0"/>
        </c:dLbls>
        <c:gapWidth val="25"/>
        <c:overlap val="100"/>
        <c:axId val="1390239919"/>
        <c:axId val="1"/>
      </c:barChart>
      <c:catAx>
        <c:axId val="1390239919"/>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0" vert="horz"/>
          <a:lstStyle/>
          <a:p>
            <a:pPr>
              <a:defRPr sz="1100" b="0" i="0" u="none" strike="noStrike" baseline="0">
                <a:solidFill>
                  <a:srgbClr val="333333"/>
                </a:solidFill>
                <a:latin typeface="Calibri"/>
                <a:ea typeface="Calibri"/>
                <a:cs typeface="Calibri"/>
              </a:defRPr>
            </a:pPr>
            <a:endParaRPr lang="en-US"/>
          </a:p>
        </c:txPr>
        <c:crossAx val="1"/>
        <c:crosses val="autoZero"/>
        <c:auto val="1"/>
        <c:lblAlgn val="ctr"/>
        <c:lblOffset val="100"/>
        <c:noMultiLvlLbl val="0"/>
      </c:catAx>
      <c:valAx>
        <c:axId val="1"/>
        <c:scaling>
          <c:orientation val="minMax"/>
        </c:scaling>
        <c:delete val="1"/>
        <c:axPos val="l"/>
        <c:majorGridlines>
          <c:spPr>
            <a:ln w="9525" cap="flat" cmpd="sng" algn="ctr">
              <a:solidFill>
                <a:schemeClr val="tx1">
                  <a:lumMod val="15000"/>
                  <a:lumOff val="85000"/>
                </a:schemeClr>
              </a:solidFill>
              <a:round/>
            </a:ln>
            <a:effectLst/>
          </c:spPr>
        </c:majorGridlines>
        <c:numFmt formatCode="0%" sourceLinked="1"/>
        <c:majorTickMark val="out"/>
        <c:minorTickMark val="none"/>
        <c:tickLblPos val="nextTo"/>
        <c:crossAx val="1390239919"/>
        <c:crosses val="autoZero"/>
        <c:crossBetween val="between"/>
      </c:valAx>
    </c:plotArea>
    <c:plotVisOnly val="1"/>
    <c:dispBlanksAs val="gap"/>
    <c:showDLblsOverMax val="0"/>
  </c:chart>
  <c:spPr>
    <a:solidFill>
      <a:schemeClr val="bg1"/>
    </a:solidFill>
    <a:ln w="9525" cap="flat" cmpd="sng" algn="ctr">
      <a:noFill/>
      <a:round/>
    </a:ln>
    <a:effectLst/>
  </c:spPr>
  <c:txPr>
    <a:bodyPr/>
    <a:lstStyle/>
    <a:p>
      <a:pPr>
        <a:defRPr sz="11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charts/chart4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320" b="0" i="0" u="none" strike="noStrike" baseline="0">
                <a:solidFill>
                  <a:srgbClr val="333333"/>
                </a:solidFill>
                <a:latin typeface="Calibri"/>
                <a:ea typeface="Calibri"/>
                <a:cs typeface="Calibri"/>
              </a:defRPr>
            </a:pPr>
            <a:r>
              <a:rPr lang="en-ZA"/>
              <a:t>Budget funding: full budget: categories</a:t>
            </a:r>
          </a:p>
        </c:rich>
      </c:tx>
      <c:layout>
        <c:manualLayout>
          <c:xMode val="edge"/>
          <c:yMode val="edge"/>
          <c:x val="4.2643863065503912E-2"/>
          <c:y val="4.1608904726325266E-2"/>
        </c:manualLayout>
      </c:layout>
      <c:overlay val="0"/>
      <c:spPr>
        <a:noFill/>
        <a:ln w="25400">
          <a:noFill/>
        </a:ln>
      </c:spPr>
    </c:title>
    <c:autoTitleDeleted val="0"/>
    <c:plotArea>
      <c:layout/>
      <c:barChart>
        <c:barDir val="col"/>
        <c:grouping val="stacked"/>
        <c:varyColors val="0"/>
        <c:ser>
          <c:idx val="0"/>
          <c:order val="0"/>
          <c:tx>
            <c:strRef>
              <c:f>'Revenue required'!$D$134</c:f>
              <c:strCache>
                <c:ptCount val="1"/>
                <c:pt idx="0">
                  <c:v>Direct cost</c:v>
                </c:pt>
              </c:strCache>
            </c:strRef>
          </c:tx>
          <c:spPr>
            <a:solidFill>
              <a:schemeClr val="accent5"/>
            </a:solidFill>
            <a:ln>
              <a:solidFill>
                <a:schemeClr val="accent5"/>
              </a:solidFill>
            </a:ln>
            <a:effectLst/>
          </c:spPr>
          <c:invertIfNegative val="0"/>
          <c:dLbls>
            <c:spPr>
              <a:noFill/>
              <a:ln w="25400">
                <a:noFill/>
              </a:ln>
            </c:spPr>
            <c:txPr>
              <a:bodyPr wrap="square" lIns="38100" tIns="19050" rIns="38100" bIns="19050" anchor="ctr">
                <a:spAutoFit/>
              </a:bodyPr>
              <a:lstStyle/>
              <a:p>
                <a:pPr>
                  <a:defRPr sz="1100" b="0" i="0" u="none" strike="noStrike" baseline="0">
                    <a:solidFill>
                      <a:srgbClr val="333333"/>
                    </a:solidFill>
                    <a:latin typeface="Calibri"/>
                    <a:ea typeface="Calibri"/>
                    <a:cs typeface="Calibri"/>
                  </a:defRPr>
                </a:pPr>
                <a:endParaRPr lang="en-US"/>
              </a:p>
            </c:txPr>
            <c:dLblPos val="ct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val>
            <c:numRef>
              <c:f>'Revenue required'!$E$134:$F$134</c:f>
            </c:numRef>
          </c:val>
          <c:extLst>
            <c:ext xmlns:c15="http://schemas.microsoft.com/office/drawing/2012/chart" uri="{02D57815-91ED-43cb-92C2-25804820EDAC}">
              <c15:filteredCategoryTitle>
                <c15:cat>
                  <c:multiLvlStrRef>
                    <c:extLst>
                      <c:ext uri="{02D57815-91ED-43cb-92C2-25804820EDAC}">
                        <c15:formulaRef>
                          <c15:sqref>'Revenue required'!$E$133:$F$133</c15:sqref>
                        </c15:formulaRef>
                      </c:ext>
                    </c:extLst>
                  </c:multiLvlStrRef>
                </c15:cat>
              </c15:filteredCategoryTitle>
            </c:ext>
            <c:ext xmlns:c16="http://schemas.microsoft.com/office/drawing/2014/chart" uri="{C3380CC4-5D6E-409C-BE32-E72D297353CC}">
              <c16:uniqueId val="{00000000-8A98-410F-8AE6-AA933E0513BE}"/>
            </c:ext>
          </c:extLst>
        </c:ser>
        <c:ser>
          <c:idx val="1"/>
          <c:order val="1"/>
          <c:tx>
            <c:strRef>
              <c:f>'Revenue required'!$D$135</c:f>
              <c:strCache>
                <c:ptCount val="1"/>
                <c:pt idx="0">
                  <c:v>Indirect cost</c:v>
                </c:pt>
              </c:strCache>
            </c:strRef>
          </c:tx>
          <c:spPr>
            <a:solidFill>
              <a:schemeClr val="accent5">
                <a:lumMod val="60000"/>
                <a:lumOff val="40000"/>
              </a:schemeClr>
            </a:solidFill>
            <a:ln>
              <a:solidFill>
                <a:schemeClr val="accent5">
                  <a:lumMod val="60000"/>
                  <a:lumOff val="40000"/>
                </a:schemeClr>
              </a:solidFill>
            </a:ln>
            <a:effectLst/>
          </c:spPr>
          <c:invertIfNegative val="0"/>
          <c:dLbls>
            <c:spPr>
              <a:noFill/>
              <a:ln w="25400">
                <a:noFill/>
              </a:ln>
            </c:spPr>
            <c:txPr>
              <a:bodyPr wrap="square" lIns="38100" tIns="19050" rIns="38100" bIns="19050" anchor="ctr">
                <a:spAutoFit/>
              </a:bodyPr>
              <a:lstStyle/>
              <a:p>
                <a:pPr>
                  <a:defRPr sz="1100" b="0" i="0" u="none" strike="noStrike" baseline="0">
                    <a:solidFill>
                      <a:srgbClr val="333333"/>
                    </a:solidFill>
                    <a:latin typeface="Calibri"/>
                    <a:ea typeface="Calibri"/>
                    <a:cs typeface="Calibri"/>
                  </a:defRPr>
                </a:pPr>
                <a:endParaRPr lang="en-US"/>
              </a:p>
            </c:txPr>
            <c:dLblPos val="ct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val>
            <c:numRef>
              <c:f>'Revenue required'!$E$135:$F$135</c:f>
            </c:numRef>
          </c:val>
          <c:extLst>
            <c:ext xmlns:c15="http://schemas.microsoft.com/office/drawing/2012/chart" uri="{02D57815-91ED-43cb-92C2-25804820EDAC}">
              <c15:filteredCategoryTitle>
                <c15:cat>
                  <c:multiLvlStrRef>
                    <c:extLst>
                      <c:ext uri="{02D57815-91ED-43cb-92C2-25804820EDAC}">
                        <c15:formulaRef>
                          <c15:sqref>'Revenue required'!$E$133:$F$133</c15:sqref>
                        </c15:formulaRef>
                      </c:ext>
                    </c:extLst>
                  </c:multiLvlStrRef>
                </c15:cat>
              </c15:filteredCategoryTitle>
            </c:ext>
            <c:ext xmlns:c16="http://schemas.microsoft.com/office/drawing/2014/chart" uri="{C3380CC4-5D6E-409C-BE32-E72D297353CC}">
              <c16:uniqueId val="{00000001-8A98-410F-8AE6-AA933E0513BE}"/>
            </c:ext>
          </c:extLst>
        </c:ser>
        <c:ser>
          <c:idx val="2"/>
          <c:order val="2"/>
          <c:tx>
            <c:strRef>
              <c:f>'Revenue required'!$D$136</c:f>
              <c:strCache>
                <c:ptCount val="1"/>
              </c:strCache>
            </c:strRef>
          </c:tx>
          <c:spPr>
            <a:solidFill>
              <a:schemeClr val="accent6"/>
            </a:solidFill>
            <a:ln>
              <a:solidFill>
                <a:schemeClr val="accent6"/>
              </a:solidFill>
            </a:ln>
            <a:effectLst/>
          </c:spPr>
          <c:invertIfNegative val="0"/>
          <c:dLbls>
            <c:spPr>
              <a:noFill/>
              <a:ln w="25400">
                <a:noFill/>
              </a:ln>
            </c:spPr>
            <c:txPr>
              <a:bodyPr wrap="square" lIns="38100" tIns="19050" rIns="38100" bIns="19050" anchor="ctr">
                <a:spAutoFit/>
              </a:bodyPr>
              <a:lstStyle/>
              <a:p>
                <a:pPr>
                  <a:defRPr sz="1100" b="0" i="0" u="none" strike="noStrike" baseline="0">
                    <a:solidFill>
                      <a:srgbClr val="333333"/>
                    </a:solidFill>
                    <a:latin typeface="Calibri"/>
                    <a:ea typeface="Calibri"/>
                    <a:cs typeface="Calibri"/>
                  </a:defRPr>
                </a:pPr>
                <a:endParaRPr lang="en-US"/>
              </a:p>
            </c:txPr>
            <c:dLblPos val="ct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val>
            <c:numRef>
              <c:f>'Revenue required'!$E$136:$F$136</c:f>
            </c:numRef>
          </c:val>
          <c:extLst>
            <c:ext xmlns:c15="http://schemas.microsoft.com/office/drawing/2012/chart" uri="{02D57815-91ED-43cb-92C2-25804820EDAC}">
              <c15:filteredCategoryTitle>
                <c15:cat>
                  <c:multiLvlStrRef>
                    <c:extLst>
                      <c:ext uri="{02D57815-91ED-43cb-92C2-25804820EDAC}">
                        <c15:formulaRef>
                          <c15:sqref>'Revenue required'!$E$133:$F$133</c15:sqref>
                        </c15:formulaRef>
                      </c:ext>
                    </c:extLst>
                  </c:multiLvlStrRef>
                </c15:cat>
              </c15:filteredCategoryTitle>
            </c:ext>
            <c:ext xmlns:c16="http://schemas.microsoft.com/office/drawing/2014/chart" uri="{C3380CC4-5D6E-409C-BE32-E72D297353CC}">
              <c16:uniqueId val="{00000002-8A98-410F-8AE6-AA933E0513BE}"/>
            </c:ext>
          </c:extLst>
        </c:ser>
        <c:ser>
          <c:idx val="4"/>
          <c:order val="3"/>
          <c:tx>
            <c:strRef>
              <c:f>'Revenue required'!$D$137</c:f>
              <c:strCache>
                <c:ptCount val="1"/>
                <c:pt idx="0">
                  <c:v>Tariff revenue</c:v>
                </c:pt>
              </c:strCache>
            </c:strRef>
          </c:tx>
          <c:spPr>
            <a:solidFill>
              <a:schemeClr val="accent3">
                <a:lumMod val="75000"/>
              </a:schemeClr>
            </a:solidFill>
            <a:ln>
              <a:solidFill>
                <a:schemeClr val="accent3">
                  <a:lumMod val="75000"/>
                </a:schemeClr>
              </a:solidFill>
            </a:ln>
            <a:effectLst/>
          </c:spPr>
          <c:invertIfNegative val="0"/>
          <c:dLbls>
            <c:spPr>
              <a:noFill/>
              <a:ln w="25400">
                <a:noFill/>
              </a:ln>
            </c:spPr>
            <c:txPr>
              <a:bodyPr wrap="square" lIns="38100" tIns="19050" rIns="38100" bIns="19050" anchor="ctr">
                <a:spAutoFit/>
              </a:bodyPr>
              <a:lstStyle/>
              <a:p>
                <a:pPr>
                  <a:defRPr sz="1100" b="0" i="0" u="none" strike="noStrike" baseline="0">
                    <a:solidFill>
                      <a:srgbClr val="333333"/>
                    </a:solidFill>
                    <a:latin typeface="Calibri"/>
                    <a:ea typeface="Calibri"/>
                    <a:cs typeface="Calibri"/>
                  </a:defRPr>
                </a:pPr>
                <a:endParaRPr lang="en-US"/>
              </a:p>
            </c:txPr>
            <c:dLblPos val="ct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val>
            <c:numRef>
              <c:f>'Revenue required'!$E$137:$F$137</c:f>
            </c:numRef>
          </c:val>
          <c:extLst>
            <c:ext xmlns:c15="http://schemas.microsoft.com/office/drawing/2012/chart" uri="{02D57815-91ED-43cb-92C2-25804820EDAC}">
              <c15:filteredCategoryTitle>
                <c15:cat>
                  <c:multiLvlStrRef>
                    <c:extLst>
                      <c:ext uri="{02D57815-91ED-43cb-92C2-25804820EDAC}">
                        <c15:formulaRef>
                          <c15:sqref>'Revenue required'!$E$133:$F$133</c15:sqref>
                        </c15:formulaRef>
                      </c:ext>
                    </c:extLst>
                  </c:multiLvlStrRef>
                </c15:cat>
              </c15:filteredCategoryTitle>
            </c:ext>
            <c:ext xmlns:c16="http://schemas.microsoft.com/office/drawing/2014/chart" uri="{C3380CC4-5D6E-409C-BE32-E72D297353CC}">
              <c16:uniqueId val="{00000003-8A98-410F-8AE6-AA933E0513BE}"/>
            </c:ext>
          </c:extLst>
        </c:ser>
        <c:ser>
          <c:idx val="5"/>
          <c:order val="4"/>
          <c:tx>
            <c:strRef>
              <c:f>'Revenue required'!$D$138</c:f>
              <c:strCache>
                <c:ptCount val="1"/>
                <c:pt idx="0">
                  <c:v>Non-tariff revenue</c:v>
                </c:pt>
              </c:strCache>
            </c:strRef>
          </c:tx>
          <c:spPr>
            <a:solidFill>
              <a:schemeClr val="accent3"/>
            </a:solidFill>
            <a:ln>
              <a:solidFill>
                <a:schemeClr val="accent3"/>
              </a:solidFill>
            </a:ln>
            <a:effectLst/>
          </c:spPr>
          <c:invertIfNegative val="0"/>
          <c:dLbls>
            <c:spPr>
              <a:noFill/>
              <a:ln w="25400">
                <a:noFill/>
              </a:ln>
            </c:spPr>
            <c:txPr>
              <a:bodyPr wrap="square" lIns="38100" tIns="19050" rIns="38100" bIns="19050" anchor="ctr">
                <a:spAutoFit/>
              </a:bodyPr>
              <a:lstStyle/>
              <a:p>
                <a:pPr>
                  <a:defRPr sz="1100" b="0" i="0" u="none" strike="noStrike" baseline="0">
                    <a:solidFill>
                      <a:srgbClr val="333333"/>
                    </a:solidFill>
                    <a:latin typeface="Calibri"/>
                    <a:ea typeface="Calibri"/>
                    <a:cs typeface="Calibri"/>
                  </a:defRPr>
                </a:pPr>
                <a:endParaRPr lang="en-US"/>
              </a:p>
            </c:txPr>
            <c:dLblPos val="ct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val>
            <c:numRef>
              <c:f>'Revenue required'!$E$138:$F$138</c:f>
            </c:numRef>
          </c:val>
          <c:extLst>
            <c:ext xmlns:c15="http://schemas.microsoft.com/office/drawing/2012/chart" uri="{02D57815-91ED-43cb-92C2-25804820EDAC}">
              <c15:filteredCategoryTitle>
                <c15:cat>
                  <c:multiLvlStrRef>
                    <c:extLst>
                      <c:ext uri="{02D57815-91ED-43cb-92C2-25804820EDAC}">
                        <c15:formulaRef>
                          <c15:sqref>'Revenue required'!$E$133:$F$133</c15:sqref>
                        </c15:formulaRef>
                      </c:ext>
                    </c:extLst>
                  </c:multiLvlStrRef>
                </c15:cat>
              </c15:filteredCategoryTitle>
            </c:ext>
            <c:ext xmlns:c16="http://schemas.microsoft.com/office/drawing/2014/chart" uri="{C3380CC4-5D6E-409C-BE32-E72D297353CC}">
              <c16:uniqueId val="{00000004-8A98-410F-8AE6-AA933E0513BE}"/>
            </c:ext>
          </c:extLst>
        </c:ser>
        <c:ser>
          <c:idx val="3"/>
          <c:order val="5"/>
          <c:tx>
            <c:strRef>
              <c:f>'Revenue required'!$D$139</c:f>
              <c:strCache>
                <c:ptCount val="1"/>
                <c:pt idx="0">
                  <c:v>Deficit</c:v>
                </c:pt>
              </c:strCache>
            </c:strRef>
          </c:tx>
          <c:spPr>
            <a:solidFill>
              <a:schemeClr val="accent2"/>
            </a:solidFill>
            <a:ln>
              <a:solidFill>
                <a:schemeClr val="accent2"/>
              </a:solidFill>
            </a:ln>
            <a:effectLst/>
          </c:spPr>
          <c:invertIfNegative val="0"/>
          <c:dLbls>
            <c:spPr>
              <a:noFill/>
              <a:ln w="25400">
                <a:noFill/>
              </a:ln>
            </c:spPr>
            <c:txPr>
              <a:bodyPr wrap="square" lIns="38100" tIns="19050" rIns="38100" bIns="19050" anchor="ctr">
                <a:spAutoFit/>
              </a:bodyPr>
              <a:lstStyle/>
              <a:p>
                <a:pPr>
                  <a:defRPr sz="1100" b="0" i="0" u="none" strike="noStrike" baseline="0">
                    <a:solidFill>
                      <a:srgbClr val="333333"/>
                    </a:solidFill>
                    <a:latin typeface="Calibri"/>
                    <a:ea typeface="Calibri"/>
                    <a:cs typeface="Calibri"/>
                  </a:defRPr>
                </a:pPr>
                <a:endParaRPr lang="en-US"/>
              </a:p>
            </c:txPr>
            <c:dLblPos val="ct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val>
            <c:numRef>
              <c:f>'Revenue required'!$E$139:$F$139</c:f>
            </c:numRef>
          </c:val>
          <c:extLst>
            <c:ext xmlns:c15="http://schemas.microsoft.com/office/drawing/2012/chart" uri="{02D57815-91ED-43cb-92C2-25804820EDAC}">
              <c15:filteredCategoryTitle>
                <c15:cat>
                  <c:multiLvlStrRef>
                    <c:extLst>
                      <c:ext uri="{02D57815-91ED-43cb-92C2-25804820EDAC}">
                        <c15:formulaRef>
                          <c15:sqref>'Revenue required'!$E$133:$F$133</c15:sqref>
                        </c15:formulaRef>
                      </c:ext>
                    </c:extLst>
                  </c:multiLvlStrRef>
                </c15:cat>
              </c15:filteredCategoryTitle>
            </c:ext>
            <c:ext xmlns:c16="http://schemas.microsoft.com/office/drawing/2014/chart" uri="{C3380CC4-5D6E-409C-BE32-E72D297353CC}">
              <c16:uniqueId val="{00000005-8A98-410F-8AE6-AA933E0513BE}"/>
            </c:ext>
          </c:extLst>
        </c:ser>
        <c:dLbls>
          <c:showLegendKey val="0"/>
          <c:showVal val="0"/>
          <c:showCatName val="0"/>
          <c:showSerName val="0"/>
          <c:showPercent val="0"/>
          <c:showBubbleSize val="0"/>
        </c:dLbls>
        <c:gapWidth val="25"/>
        <c:overlap val="100"/>
        <c:axId val="1390259119"/>
        <c:axId val="1"/>
      </c:barChart>
      <c:catAx>
        <c:axId val="1390259119"/>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0" vert="horz"/>
          <a:lstStyle/>
          <a:p>
            <a:pPr>
              <a:defRPr sz="1100" b="0" i="0" u="none" strike="noStrike" baseline="0">
                <a:solidFill>
                  <a:srgbClr val="333333"/>
                </a:solidFill>
                <a:latin typeface="Calibri"/>
                <a:ea typeface="Calibri"/>
                <a:cs typeface="Calibri"/>
              </a:defRPr>
            </a:pPr>
            <a:endParaRPr lang="en-US"/>
          </a:p>
        </c:txPr>
        <c:crossAx val="1"/>
        <c:crosses val="autoZero"/>
        <c:auto val="1"/>
        <c:lblAlgn val="ctr"/>
        <c:lblOffset val="100"/>
        <c:noMultiLvlLbl val="0"/>
      </c:catAx>
      <c:valAx>
        <c:axId val="1"/>
        <c:scaling>
          <c:orientation val="minMax"/>
        </c:scaling>
        <c:delete val="1"/>
        <c:axPos val="l"/>
        <c:majorGridlines>
          <c:spPr>
            <a:ln w="9525" cap="flat" cmpd="sng" algn="ctr">
              <a:solidFill>
                <a:schemeClr val="tx1">
                  <a:lumMod val="15000"/>
                  <a:lumOff val="85000"/>
                </a:schemeClr>
              </a:solidFill>
              <a:round/>
            </a:ln>
            <a:effectLst/>
          </c:spPr>
        </c:majorGridlines>
        <c:numFmt formatCode="_-* #\ ##0_-;\-* #\ ##0_-;_-* &quot;-&quot;??_-;_-@_-" sourceLinked="1"/>
        <c:majorTickMark val="out"/>
        <c:minorTickMark val="none"/>
        <c:tickLblPos val="nextTo"/>
        <c:crossAx val="1390259119"/>
        <c:crosses val="autoZero"/>
        <c:crossBetween val="between"/>
      </c:valAx>
      <c:spPr>
        <a:noFill/>
        <a:ln w="25400">
          <a:noFill/>
        </a:ln>
      </c:spPr>
    </c:plotArea>
    <c:plotVisOnly val="1"/>
    <c:dispBlanksAs val="gap"/>
    <c:showDLblsOverMax val="0"/>
  </c:chart>
  <c:spPr>
    <a:solidFill>
      <a:schemeClr val="bg1"/>
    </a:solidFill>
    <a:ln w="9525" cap="flat" cmpd="sng" algn="ctr">
      <a:noFill/>
      <a:round/>
    </a:ln>
    <a:effectLst/>
  </c:spPr>
  <c:txPr>
    <a:bodyPr/>
    <a:lstStyle/>
    <a:p>
      <a:pPr>
        <a:defRPr sz="11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charts/chart4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320" b="0" i="0" u="none" strike="noStrike" baseline="0">
                <a:solidFill>
                  <a:srgbClr val="333333"/>
                </a:solidFill>
                <a:latin typeface="Calibri"/>
                <a:ea typeface="Calibri"/>
                <a:cs typeface="Calibri"/>
              </a:defRPr>
            </a:pPr>
            <a:r>
              <a:rPr lang="en-ZA"/>
              <a:t>Budget funding: full budget: R'000</a:t>
            </a:r>
          </a:p>
        </c:rich>
      </c:tx>
      <c:layout>
        <c:manualLayout>
          <c:xMode val="edge"/>
          <c:yMode val="edge"/>
          <c:x val="5.1654298608357407E-2"/>
          <c:y val="3.2407750501775516E-2"/>
        </c:manualLayout>
      </c:layout>
      <c:overlay val="0"/>
      <c:spPr>
        <a:noFill/>
        <a:ln w="25400">
          <a:noFill/>
        </a:ln>
      </c:spPr>
    </c:title>
    <c:autoTitleDeleted val="0"/>
    <c:plotArea>
      <c:layout/>
      <c:barChart>
        <c:barDir val="col"/>
        <c:grouping val="stacked"/>
        <c:varyColors val="0"/>
        <c:ser>
          <c:idx val="0"/>
          <c:order val="0"/>
          <c:tx>
            <c:strRef>
              <c:f>'Revenue required'!$D$134</c:f>
              <c:strCache>
                <c:ptCount val="1"/>
                <c:pt idx="0">
                  <c:v>Direct cost</c:v>
                </c:pt>
              </c:strCache>
            </c:strRef>
          </c:tx>
          <c:spPr>
            <a:solidFill>
              <a:schemeClr val="accent5"/>
            </a:solidFill>
            <a:ln>
              <a:solidFill>
                <a:schemeClr val="accent5"/>
              </a:solidFill>
            </a:ln>
            <a:effectLst/>
          </c:spPr>
          <c:invertIfNegative val="0"/>
          <c:dLbls>
            <c:spPr>
              <a:noFill/>
              <a:ln w="25400">
                <a:noFill/>
              </a:ln>
            </c:spPr>
            <c:txPr>
              <a:bodyPr wrap="square" lIns="38100" tIns="19050" rIns="38100" bIns="19050" anchor="ctr">
                <a:spAutoFit/>
              </a:bodyPr>
              <a:lstStyle/>
              <a:p>
                <a:pPr>
                  <a:defRPr sz="1100" b="0" i="0" u="none" strike="noStrike" baseline="0">
                    <a:solidFill>
                      <a:srgbClr val="333333"/>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'Revenue required'!$E$134:$F$134</c:f>
            </c:numRef>
          </c:val>
          <c:extLst>
            <c:ext xmlns:c15="http://schemas.microsoft.com/office/drawing/2012/chart" uri="{02D57815-91ED-43cb-92C2-25804820EDAC}">
              <c15:filteredCategoryTitle>
                <c15:cat>
                  <c:multiLvlStrRef>
                    <c:extLst>
                      <c:ext uri="{02D57815-91ED-43cb-92C2-25804820EDAC}">
                        <c15:formulaRef>
                          <c15:sqref>'Revenue required'!$E$133:$F$133</c15:sqref>
                        </c15:formulaRef>
                      </c:ext>
                    </c:extLst>
                  </c:multiLvlStrRef>
                </c15:cat>
              </c15:filteredCategoryTitle>
            </c:ext>
            <c:ext xmlns:c16="http://schemas.microsoft.com/office/drawing/2014/chart" uri="{C3380CC4-5D6E-409C-BE32-E72D297353CC}">
              <c16:uniqueId val="{00000000-8831-488E-BCF2-F911091DAA7C}"/>
            </c:ext>
          </c:extLst>
        </c:ser>
        <c:ser>
          <c:idx val="1"/>
          <c:order val="1"/>
          <c:tx>
            <c:strRef>
              <c:f>'Revenue required'!$D$135</c:f>
              <c:strCache>
                <c:ptCount val="1"/>
                <c:pt idx="0">
                  <c:v>Indirect cost</c:v>
                </c:pt>
              </c:strCache>
            </c:strRef>
          </c:tx>
          <c:spPr>
            <a:solidFill>
              <a:schemeClr val="accent5">
                <a:lumMod val="60000"/>
                <a:lumOff val="40000"/>
              </a:schemeClr>
            </a:solidFill>
            <a:ln>
              <a:solidFill>
                <a:schemeClr val="accent5">
                  <a:lumMod val="60000"/>
                  <a:lumOff val="40000"/>
                </a:schemeClr>
              </a:solidFill>
            </a:ln>
            <a:effectLst/>
          </c:spPr>
          <c:invertIfNegative val="0"/>
          <c:dLbls>
            <c:spPr>
              <a:noFill/>
              <a:ln w="25400">
                <a:noFill/>
              </a:ln>
            </c:spPr>
            <c:txPr>
              <a:bodyPr wrap="square" lIns="38100" tIns="19050" rIns="38100" bIns="19050" anchor="ctr">
                <a:spAutoFit/>
              </a:bodyPr>
              <a:lstStyle/>
              <a:p>
                <a:pPr>
                  <a:defRPr sz="1100" b="0" i="0" u="none" strike="noStrike" baseline="0">
                    <a:solidFill>
                      <a:srgbClr val="333333"/>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'Revenue required'!$E$135:$F$135</c:f>
            </c:numRef>
          </c:val>
          <c:extLst>
            <c:ext xmlns:c15="http://schemas.microsoft.com/office/drawing/2012/chart" uri="{02D57815-91ED-43cb-92C2-25804820EDAC}">
              <c15:filteredCategoryTitle>
                <c15:cat>
                  <c:multiLvlStrRef>
                    <c:extLst>
                      <c:ext uri="{02D57815-91ED-43cb-92C2-25804820EDAC}">
                        <c15:formulaRef>
                          <c15:sqref>'Revenue required'!$E$133:$F$133</c15:sqref>
                        </c15:formulaRef>
                      </c:ext>
                    </c:extLst>
                  </c:multiLvlStrRef>
                </c15:cat>
              </c15:filteredCategoryTitle>
            </c:ext>
            <c:ext xmlns:c16="http://schemas.microsoft.com/office/drawing/2014/chart" uri="{C3380CC4-5D6E-409C-BE32-E72D297353CC}">
              <c16:uniqueId val="{00000001-8831-488E-BCF2-F911091DAA7C}"/>
            </c:ext>
          </c:extLst>
        </c:ser>
        <c:ser>
          <c:idx val="2"/>
          <c:order val="2"/>
          <c:tx>
            <c:strRef>
              <c:f>'Revenue required'!$D$136</c:f>
              <c:strCache>
                <c:ptCount val="1"/>
              </c:strCache>
            </c:strRef>
          </c:tx>
          <c:spPr>
            <a:solidFill>
              <a:schemeClr val="accent6"/>
            </a:solidFill>
            <a:ln>
              <a:solidFill>
                <a:schemeClr val="accent6"/>
              </a:solidFill>
            </a:ln>
            <a:effectLst/>
          </c:spPr>
          <c:invertIfNegative val="0"/>
          <c:dLbls>
            <c:spPr>
              <a:noFill/>
              <a:ln w="25400">
                <a:noFill/>
              </a:ln>
            </c:spPr>
            <c:txPr>
              <a:bodyPr wrap="square" lIns="38100" tIns="19050" rIns="38100" bIns="19050" anchor="ctr">
                <a:spAutoFit/>
              </a:bodyPr>
              <a:lstStyle/>
              <a:p>
                <a:pPr>
                  <a:defRPr sz="1100" b="0" i="0" u="none" strike="noStrike" baseline="0">
                    <a:solidFill>
                      <a:srgbClr val="333333"/>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'Revenue required'!$E$136:$F$136</c:f>
            </c:numRef>
          </c:val>
          <c:extLst>
            <c:ext xmlns:c15="http://schemas.microsoft.com/office/drawing/2012/chart" uri="{02D57815-91ED-43cb-92C2-25804820EDAC}">
              <c15:filteredCategoryTitle>
                <c15:cat>
                  <c:multiLvlStrRef>
                    <c:extLst>
                      <c:ext uri="{02D57815-91ED-43cb-92C2-25804820EDAC}">
                        <c15:formulaRef>
                          <c15:sqref>'Revenue required'!$E$133:$F$133</c15:sqref>
                        </c15:formulaRef>
                      </c:ext>
                    </c:extLst>
                  </c:multiLvlStrRef>
                </c15:cat>
              </c15:filteredCategoryTitle>
            </c:ext>
            <c:ext xmlns:c16="http://schemas.microsoft.com/office/drawing/2014/chart" uri="{C3380CC4-5D6E-409C-BE32-E72D297353CC}">
              <c16:uniqueId val="{00000002-8831-488E-BCF2-F911091DAA7C}"/>
            </c:ext>
          </c:extLst>
        </c:ser>
        <c:ser>
          <c:idx val="4"/>
          <c:order val="3"/>
          <c:tx>
            <c:strRef>
              <c:f>'Revenue required'!$D$137</c:f>
              <c:strCache>
                <c:ptCount val="1"/>
                <c:pt idx="0">
                  <c:v>Tariff revenue</c:v>
                </c:pt>
              </c:strCache>
            </c:strRef>
          </c:tx>
          <c:spPr>
            <a:solidFill>
              <a:schemeClr val="accent3">
                <a:lumMod val="75000"/>
              </a:schemeClr>
            </a:solidFill>
            <a:ln>
              <a:solidFill>
                <a:schemeClr val="accent3">
                  <a:lumMod val="75000"/>
                </a:schemeClr>
              </a:solidFill>
            </a:ln>
            <a:effectLst/>
          </c:spPr>
          <c:invertIfNegative val="0"/>
          <c:dLbls>
            <c:spPr>
              <a:noFill/>
              <a:ln w="25400">
                <a:noFill/>
              </a:ln>
            </c:spPr>
            <c:txPr>
              <a:bodyPr wrap="square" lIns="38100" tIns="19050" rIns="38100" bIns="19050" anchor="ctr">
                <a:spAutoFit/>
              </a:bodyPr>
              <a:lstStyle/>
              <a:p>
                <a:pPr>
                  <a:defRPr sz="1100" b="0" i="0" u="none" strike="noStrike" baseline="0">
                    <a:solidFill>
                      <a:srgbClr val="333333"/>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'Revenue required'!$E$137:$F$137</c:f>
            </c:numRef>
          </c:val>
          <c:extLst>
            <c:ext xmlns:c15="http://schemas.microsoft.com/office/drawing/2012/chart" uri="{02D57815-91ED-43cb-92C2-25804820EDAC}">
              <c15:filteredCategoryTitle>
                <c15:cat>
                  <c:multiLvlStrRef>
                    <c:extLst>
                      <c:ext uri="{02D57815-91ED-43cb-92C2-25804820EDAC}">
                        <c15:formulaRef>
                          <c15:sqref>'Revenue required'!$E$133:$F$133</c15:sqref>
                        </c15:formulaRef>
                      </c:ext>
                    </c:extLst>
                  </c:multiLvlStrRef>
                </c15:cat>
              </c15:filteredCategoryTitle>
            </c:ext>
            <c:ext xmlns:c16="http://schemas.microsoft.com/office/drawing/2014/chart" uri="{C3380CC4-5D6E-409C-BE32-E72D297353CC}">
              <c16:uniqueId val="{00000003-8831-488E-BCF2-F911091DAA7C}"/>
            </c:ext>
          </c:extLst>
        </c:ser>
        <c:ser>
          <c:idx val="5"/>
          <c:order val="4"/>
          <c:tx>
            <c:strRef>
              <c:f>'Revenue required'!$D$138</c:f>
              <c:strCache>
                <c:ptCount val="1"/>
                <c:pt idx="0">
                  <c:v>Non-tariff revenue</c:v>
                </c:pt>
              </c:strCache>
            </c:strRef>
          </c:tx>
          <c:spPr>
            <a:solidFill>
              <a:schemeClr val="accent3"/>
            </a:solidFill>
            <a:ln>
              <a:solidFill>
                <a:schemeClr val="accent3"/>
              </a:solidFill>
            </a:ln>
            <a:effectLst/>
          </c:spPr>
          <c:invertIfNegative val="0"/>
          <c:dLbls>
            <c:spPr>
              <a:noFill/>
              <a:ln w="25400">
                <a:noFill/>
              </a:ln>
            </c:spPr>
            <c:txPr>
              <a:bodyPr wrap="square" lIns="38100" tIns="19050" rIns="38100" bIns="19050" anchor="ctr">
                <a:spAutoFit/>
              </a:bodyPr>
              <a:lstStyle/>
              <a:p>
                <a:pPr>
                  <a:defRPr sz="1100" b="0" i="0" u="none" strike="noStrike" baseline="0">
                    <a:solidFill>
                      <a:srgbClr val="333333"/>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'Revenue required'!$E$138:$F$138</c:f>
            </c:numRef>
          </c:val>
          <c:extLst>
            <c:ext xmlns:c15="http://schemas.microsoft.com/office/drawing/2012/chart" uri="{02D57815-91ED-43cb-92C2-25804820EDAC}">
              <c15:filteredCategoryTitle>
                <c15:cat>
                  <c:multiLvlStrRef>
                    <c:extLst>
                      <c:ext uri="{02D57815-91ED-43cb-92C2-25804820EDAC}">
                        <c15:formulaRef>
                          <c15:sqref>'Revenue required'!$E$133:$F$133</c15:sqref>
                        </c15:formulaRef>
                      </c:ext>
                    </c:extLst>
                  </c:multiLvlStrRef>
                </c15:cat>
              </c15:filteredCategoryTitle>
            </c:ext>
            <c:ext xmlns:c16="http://schemas.microsoft.com/office/drawing/2014/chart" uri="{C3380CC4-5D6E-409C-BE32-E72D297353CC}">
              <c16:uniqueId val="{00000004-8831-488E-BCF2-F911091DAA7C}"/>
            </c:ext>
          </c:extLst>
        </c:ser>
        <c:ser>
          <c:idx val="3"/>
          <c:order val="5"/>
          <c:tx>
            <c:strRef>
              <c:f>'Revenue required'!$D$139</c:f>
              <c:strCache>
                <c:ptCount val="1"/>
                <c:pt idx="0">
                  <c:v>Deficit</c:v>
                </c:pt>
              </c:strCache>
            </c:strRef>
          </c:tx>
          <c:spPr>
            <a:solidFill>
              <a:schemeClr val="accent2"/>
            </a:solidFill>
            <a:ln>
              <a:solidFill>
                <a:schemeClr val="accent2"/>
              </a:solidFill>
            </a:ln>
            <a:effectLst/>
          </c:spPr>
          <c:invertIfNegative val="0"/>
          <c:dLbls>
            <c:spPr>
              <a:noFill/>
              <a:ln w="25400">
                <a:noFill/>
              </a:ln>
            </c:spPr>
            <c:txPr>
              <a:bodyPr wrap="square" lIns="38100" tIns="19050" rIns="38100" bIns="19050" anchor="ctr">
                <a:spAutoFit/>
              </a:bodyPr>
              <a:lstStyle/>
              <a:p>
                <a:pPr>
                  <a:defRPr sz="1100" b="0" i="0" u="none" strike="noStrike" baseline="0">
                    <a:solidFill>
                      <a:srgbClr val="333333"/>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'Revenue required'!$E$139:$F$139</c:f>
            </c:numRef>
          </c:val>
          <c:extLst>
            <c:ext xmlns:c15="http://schemas.microsoft.com/office/drawing/2012/chart" uri="{02D57815-91ED-43cb-92C2-25804820EDAC}">
              <c15:filteredCategoryTitle>
                <c15:cat>
                  <c:multiLvlStrRef>
                    <c:extLst>
                      <c:ext uri="{02D57815-91ED-43cb-92C2-25804820EDAC}">
                        <c15:formulaRef>
                          <c15:sqref>'Revenue required'!$E$133:$F$133</c15:sqref>
                        </c15:formulaRef>
                      </c:ext>
                    </c:extLst>
                  </c:multiLvlStrRef>
                </c15:cat>
              </c15:filteredCategoryTitle>
            </c:ext>
            <c:ext xmlns:c16="http://schemas.microsoft.com/office/drawing/2014/chart" uri="{C3380CC4-5D6E-409C-BE32-E72D297353CC}">
              <c16:uniqueId val="{00000005-8831-488E-BCF2-F911091DAA7C}"/>
            </c:ext>
          </c:extLst>
        </c:ser>
        <c:dLbls>
          <c:showLegendKey val="0"/>
          <c:showVal val="0"/>
          <c:showCatName val="0"/>
          <c:showSerName val="0"/>
          <c:showPercent val="0"/>
          <c:showBubbleSize val="0"/>
        </c:dLbls>
        <c:gapWidth val="25"/>
        <c:overlap val="100"/>
        <c:axId val="1390253839"/>
        <c:axId val="1"/>
      </c:barChart>
      <c:catAx>
        <c:axId val="1390253839"/>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0" vert="horz"/>
          <a:lstStyle/>
          <a:p>
            <a:pPr>
              <a:defRPr sz="1100" b="0" i="0" u="none" strike="noStrike" baseline="0">
                <a:solidFill>
                  <a:srgbClr val="333333"/>
                </a:solidFill>
                <a:latin typeface="Calibri"/>
                <a:ea typeface="Calibri"/>
                <a:cs typeface="Calibri"/>
              </a:defRPr>
            </a:pPr>
            <a:endParaRPr lang="en-US"/>
          </a:p>
        </c:txPr>
        <c:crossAx val="1"/>
        <c:crosses val="autoZero"/>
        <c:auto val="1"/>
        <c:lblAlgn val="ctr"/>
        <c:lblOffset val="100"/>
        <c:noMultiLvlLbl val="0"/>
      </c:catAx>
      <c:valAx>
        <c:axId val="1"/>
        <c:scaling>
          <c:orientation val="minMax"/>
        </c:scaling>
        <c:delete val="1"/>
        <c:axPos val="l"/>
        <c:majorGridlines>
          <c:spPr>
            <a:ln w="9525" cap="flat" cmpd="sng" algn="ctr">
              <a:solidFill>
                <a:schemeClr val="tx1">
                  <a:lumMod val="15000"/>
                  <a:lumOff val="85000"/>
                </a:schemeClr>
              </a:solidFill>
              <a:round/>
            </a:ln>
            <a:effectLst/>
          </c:spPr>
        </c:majorGridlines>
        <c:numFmt formatCode="_-* #\ ##0_-;\-* #\ ##0_-;_-* &quot;-&quot;??_-;_-@_-" sourceLinked="1"/>
        <c:majorTickMark val="out"/>
        <c:minorTickMark val="none"/>
        <c:tickLblPos val="nextTo"/>
        <c:crossAx val="1390253839"/>
        <c:crosses val="autoZero"/>
        <c:crossBetween val="between"/>
      </c:valAx>
      <c:spPr>
        <a:noFill/>
        <a:ln w="25400">
          <a:noFill/>
        </a:ln>
      </c:spPr>
    </c:plotArea>
    <c:plotVisOnly val="1"/>
    <c:dispBlanksAs val="gap"/>
    <c:showDLblsOverMax val="0"/>
  </c:chart>
  <c:spPr>
    <a:solidFill>
      <a:schemeClr val="bg1"/>
    </a:solidFill>
    <a:ln w="9525" cap="flat" cmpd="sng" algn="ctr">
      <a:noFill/>
      <a:round/>
    </a:ln>
    <a:effectLst/>
  </c:spPr>
  <c:txPr>
    <a:bodyPr/>
    <a:lstStyle/>
    <a:p>
      <a:pPr>
        <a:defRPr sz="11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charts/chart4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320" b="0" i="0" u="none" strike="noStrike" baseline="0">
                <a:solidFill>
                  <a:srgbClr val="333333"/>
                </a:solidFill>
                <a:latin typeface="Calibri"/>
                <a:ea typeface="Calibri"/>
                <a:cs typeface="Calibri"/>
              </a:defRPr>
            </a:pPr>
            <a:r>
              <a:rPr lang="en-ZA"/>
              <a:t>Budget funding: full budget: %s</a:t>
            </a:r>
          </a:p>
        </c:rich>
      </c:tx>
      <c:layout>
        <c:manualLayout>
          <c:xMode val="edge"/>
          <c:yMode val="edge"/>
          <c:x val="0"/>
          <c:y val="4.6276439709742163E-2"/>
        </c:manualLayout>
      </c:layout>
      <c:overlay val="0"/>
      <c:spPr>
        <a:noFill/>
        <a:ln w="25400">
          <a:noFill/>
        </a:ln>
      </c:spPr>
    </c:title>
    <c:autoTitleDeleted val="0"/>
    <c:plotArea>
      <c:layout/>
      <c:barChart>
        <c:barDir val="col"/>
        <c:grouping val="percentStacked"/>
        <c:varyColors val="0"/>
        <c:ser>
          <c:idx val="0"/>
          <c:order val="0"/>
          <c:tx>
            <c:strRef>
              <c:f>'Revenue required'!$G$134</c:f>
              <c:strCache>
                <c:ptCount val="1"/>
                <c:pt idx="0">
                  <c:v>Direct cost</c:v>
                </c:pt>
              </c:strCache>
            </c:strRef>
          </c:tx>
          <c:spPr>
            <a:solidFill>
              <a:schemeClr val="accent5"/>
            </a:solidFill>
            <a:ln>
              <a:solidFill>
                <a:schemeClr val="accent5"/>
              </a:solidFill>
            </a:ln>
            <a:effectLst/>
          </c:spPr>
          <c:invertIfNegative val="0"/>
          <c:dLbls>
            <c:spPr>
              <a:noFill/>
              <a:ln w="25400">
                <a:noFill/>
              </a:ln>
            </c:spPr>
            <c:txPr>
              <a:bodyPr wrap="square" lIns="38100" tIns="19050" rIns="38100" bIns="19050" anchor="ctr">
                <a:spAutoFit/>
              </a:bodyPr>
              <a:lstStyle/>
              <a:p>
                <a:pPr>
                  <a:defRPr sz="1100" b="0" i="0" u="none" strike="noStrike" baseline="0">
                    <a:solidFill>
                      <a:srgbClr val="333333"/>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'Revenue required'!$H$134:$I$134</c:f>
            </c:numRef>
          </c:val>
          <c:extLst>
            <c:ext xmlns:c15="http://schemas.microsoft.com/office/drawing/2012/chart" uri="{02D57815-91ED-43cb-92C2-25804820EDAC}">
              <c15:filteredCategoryTitle>
                <c15:cat>
                  <c:multiLvlStrRef>
                    <c:extLst>
                      <c:ext uri="{02D57815-91ED-43cb-92C2-25804820EDAC}">
                        <c15:formulaRef>
                          <c15:sqref>'Revenue required'!$H$133:$I$133</c15:sqref>
                        </c15:formulaRef>
                      </c:ext>
                    </c:extLst>
                  </c:multiLvlStrRef>
                </c15:cat>
              </c15:filteredCategoryTitle>
            </c:ext>
            <c:ext xmlns:c16="http://schemas.microsoft.com/office/drawing/2014/chart" uri="{C3380CC4-5D6E-409C-BE32-E72D297353CC}">
              <c16:uniqueId val="{00000000-30FD-46F6-B1A2-96359858F66F}"/>
            </c:ext>
          </c:extLst>
        </c:ser>
        <c:ser>
          <c:idx val="1"/>
          <c:order val="1"/>
          <c:tx>
            <c:strRef>
              <c:f>'Revenue required'!$G$135</c:f>
              <c:strCache>
                <c:ptCount val="1"/>
                <c:pt idx="0">
                  <c:v>Indirect cost</c:v>
                </c:pt>
              </c:strCache>
            </c:strRef>
          </c:tx>
          <c:spPr>
            <a:solidFill>
              <a:schemeClr val="accent5">
                <a:lumMod val="60000"/>
                <a:lumOff val="40000"/>
              </a:schemeClr>
            </a:solidFill>
            <a:ln>
              <a:solidFill>
                <a:schemeClr val="accent5">
                  <a:lumMod val="60000"/>
                  <a:lumOff val="40000"/>
                </a:schemeClr>
              </a:solidFill>
            </a:ln>
            <a:effectLst/>
          </c:spPr>
          <c:invertIfNegative val="0"/>
          <c:dLbls>
            <c:spPr>
              <a:noFill/>
              <a:ln w="25400">
                <a:noFill/>
              </a:ln>
            </c:spPr>
            <c:txPr>
              <a:bodyPr wrap="square" lIns="38100" tIns="19050" rIns="38100" bIns="19050" anchor="ctr">
                <a:spAutoFit/>
              </a:bodyPr>
              <a:lstStyle/>
              <a:p>
                <a:pPr>
                  <a:defRPr sz="1100" b="0" i="0" u="none" strike="noStrike" baseline="0">
                    <a:solidFill>
                      <a:srgbClr val="333333"/>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'Revenue required'!$H$135:$I$135</c:f>
            </c:numRef>
          </c:val>
          <c:extLst>
            <c:ext xmlns:c15="http://schemas.microsoft.com/office/drawing/2012/chart" uri="{02D57815-91ED-43cb-92C2-25804820EDAC}">
              <c15:filteredCategoryTitle>
                <c15:cat>
                  <c:multiLvlStrRef>
                    <c:extLst>
                      <c:ext uri="{02D57815-91ED-43cb-92C2-25804820EDAC}">
                        <c15:formulaRef>
                          <c15:sqref>'Revenue required'!$H$133:$I$133</c15:sqref>
                        </c15:formulaRef>
                      </c:ext>
                    </c:extLst>
                  </c:multiLvlStrRef>
                </c15:cat>
              </c15:filteredCategoryTitle>
            </c:ext>
            <c:ext xmlns:c16="http://schemas.microsoft.com/office/drawing/2014/chart" uri="{C3380CC4-5D6E-409C-BE32-E72D297353CC}">
              <c16:uniqueId val="{00000001-30FD-46F6-B1A2-96359858F66F}"/>
            </c:ext>
          </c:extLst>
        </c:ser>
        <c:ser>
          <c:idx val="2"/>
          <c:order val="2"/>
          <c:tx>
            <c:strRef>
              <c:f>'Revenue required'!$G$136</c:f>
              <c:strCache>
                <c:ptCount val="1"/>
              </c:strCache>
            </c:strRef>
          </c:tx>
          <c:spPr>
            <a:solidFill>
              <a:schemeClr val="accent6"/>
            </a:solidFill>
            <a:ln>
              <a:solidFill>
                <a:schemeClr val="accent6"/>
              </a:solidFill>
            </a:ln>
            <a:effectLst/>
          </c:spPr>
          <c:invertIfNegative val="0"/>
          <c:dLbls>
            <c:spPr>
              <a:noFill/>
              <a:ln w="25400">
                <a:noFill/>
              </a:ln>
            </c:spPr>
            <c:txPr>
              <a:bodyPr wrap="square" lIns="38100" tIns="19050" rIns="38100" bIns="19050" anchor="ctr">
                <a:spAutoFit/>
              </a:bodyPr>
              <a:lstStyle/>
              <a:p>
                <a:pPr>
                  <a:defRPr sz="1100" b="0" i="0" u="none" strike="noStrike" baseline="0">
                    <a:solidFill>
                      <a:srgbClr val="333333"/>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'Revenue required'!$H$136:$I$136</c:f>
            </c:numRef>
          </c:val>
          <c:extLst>
            <c:ext xmlns:c15="http://schemas.microsoft.com/office/drawing/2012/chart" uri="{02D57815-91ED-43cb-92C2-25804820EDAC}">
              <c15:filteredCategoryTitle>
                <c15:cat>
                  <c:multiLvlStrRef>
                    <c:extLst>
                      <c:ext uri="{02D57815-91ED-43cb-92C2-25804820EDAC}">
                        <c15:formulaRef>
                          <c15:sqref>'Revenue required'!$H$133:$I$133</c15:sqref>
                        </c15:formulaRef>
                      </c:ext>
                    </c:extLst>
                  </c:multiLvlStrRef>
                </c15:cat>
              </c15:filteredCategoryTitle>
            </c:ext>
            <c:ext xmlns:c16="http://schemas.microsoft.com/office/drawing/2014/chart" uri="{C3380CC4-5D6E-409C-BE32-E72D297353CC}">
              <c16:uniqueId val="{00000002-30FD-46F6-B1A2-96359858F66F}"/>
            </c:ext>
          </c:extLst>
        </c:ser>
        <c:ser>
          <c:idx val="4"/>
          <c:order val="3"/>
          <c:tx>
            <c:strRef>
              <c:f>'Revenue required'!$G$137</c:f>
              <c:strCache>
                <c:ptCount val="1"/>
                <c:pt idx="0">
                  <c:v>Tariff revenue</c:v>
                </c:pt>
              </c:strCache>
            </c:strRef>
          </c:tx>
          <c:spPr>
            <a:solidFill>
              <a:schemeClr val="accent3">
                <a:lumMod val="75000"/>
              </a:schemeClr>
            </a:solidFill>
            <a:ln>
              <a:solidFill>
                <a:schemeClr val="accent3">
                  <a:lumMod val="75000"/>
                </a:schemeClr>
              </a:solidFill>
            </a:ln>
            <a:effectLst/>
          </c:spPr>
          <c:invertIfNegative val="0"/>
          <c:dLbls>
            <c:spPr>
              <a:noFill/>
              <a:ln w="25400">
                <a:noFill/>
              </a:ln>
            </c:spPr>
            <c:txPr>
              <a:bodyPr wrap="square" lIns="38100" tIns="19050" rIns="38100" bIns="19050" anchor="ctr">
                <a:spAutoFit/>
              </a:bodyPr>
              <a:lstStyle/>
              <a:p>
                <a:pPr>
                  <a:defRPr sz="1100" b="0" i="0" u="none" strike="noStrike" baseline="0">
                    <a:solidFill>
                      <a:srgbClr val="333333"/>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'Revenue required'!$H$137:$I$137</c:f>
            </c:numRef>
          </c:val>
          <c:extLst>
            <c:ext xmlns:c15="http://schemas.microsoft.com/office/drawing/2012/chart" uri="{02D57815-91ED-43cb-92C2-25804820EDAC}">
              <c15:filteredCategoryTitle>
                <c15:cat>
                  <c:multiLvlStrRef>
                    <c:extLst>
                      <c:ext uri="{02D57815-91ED-43cb-92C2-25804820EDAC}">
                        <c15:formulaRef>
                          <c15:sqref>'Revenue required'!$H$133:$I$133</c15:sqref>
                        </c15:formulaRef>
                      </c:ext>
                    </c:extLst>
                  </c:multiLvlStrRef>
                </c15:cat>
              </c15:filteredCategoryTitle>
            </c:ext>
            <c:ext xmlns:c16="http://schemas.microsoft.com/office/drawing/2014/chart" uri="{C3380CC4-5D6E-409C-BE32-E72D297353CC}">
              <c16:uniqueId val="{00000003-30FD-46F6-B1A2-96359858F66F}"/>
            </c:ext>
          </c:extLst>
        </c:ser>
        <c:ser>
          <c:idx val="5"/>
          <c:order val="4"/>
          <c:tx>
            <c:strRef>
              <c:f>'Revenue required'!$G$138</c:f>
              <c:strCache>
                <c:ptCount val="1"/>
                <c:pt idx="0">
                  <c:v>Non-tariff revenue</c:v>
                </c:pt>
              </c:strCache>
            </c:strRef>
          </c:tx>
          <c:spPr>
            <a:solidFill>
              <a:schemeClr val="accent3"/>
            </a:solidFill>
            <a:ln>
              <a:solidFill>
                <a:schemeClr val="accent3"/>
              </a:solidFill>
            </a:ln>
            <a:effectLst/>
          </c:spPr>
          <c:invertIfNegative val="0"/>
          <c:dLbls>
            <c:spPr>
              <a:noFill/>
              <a:ln w="25400">
                <a:noFill/>
              </a:ln>
            </c:spPr>
            <c:txPr>
              <a:bodyPr wrap="square" lIns="38100" tIns="19050" rIns="38100" bIns="19050" anchor="ctr">
                <a:spAutoFit/>
              </a:bodyPr>
              <a:lstStyle/>
              <a:p>
                <a:pPr>
                  <a:defRPr sz="1100" b="0" i="0" u="none" strike="noStrike" baseline="0">
                    <a:solidFill>
                      <a:srgbClr val="333333"/>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'Revenue required'!$H$138:$I$138</c:f>
            </c:numRef>
          </c:val>
          <c:extLst>
            <c:ext xmlns:c15="http://schemas.microsoft.com/office/drawing/2012/chart" uri="{02D57815-91ED-43cb-92C2-25804820EDAC}">
              <c15:filteredCategoryTitle>
                <c15:cat>
                  <c:multiLvlStrRef>
                    <c:extLst>
                      <c:ext uri="{02D57815-91ED-43cb-92C2-25804820EDAC}">
                        <c15:formulaRef>
                          <c15:sqref>'Revenue required'!$H$133:$I$133</c15:sqref>
                        </c15:formulaRef>
                      </c:ext>
                    </c:extLst>
                  </c:multiLvlStrRef>
                </c15:cat>
              </c15:filteredCategoryTitle>
            </c:ext>
            <c:ext xmlns:c16="http://schemas.microsoft.com/office/drawing/2014/chart" uri="{C3380CC4-5D6E-409C-BE32-E72D297353CC}">
              <c16:uniqueId val="{00000004-30FD-46F6-B1A2-96359858F66F}"/>
            </c:ext>
          </c:extLst>
        </c:ser>
        <c:ser>
          <c:idx val="3"/>
          <c:order val="5"/>
          <c:tx>
            <c:strRef>
              <c:f>'Revenue required'!$G$139</c:f>
              <c:strCache>
                <c:ptCount val="1"/>
                <c:pt idx="0">
                  <c:v>Deficit</c:v>
                </c:pt>
              </c:strCache>
            </c:strRef>
          </c:tx>
          <c:spPr>
            <a:solidFill>
              <a:schemeClr val="accent2"/>
            </a:solidFill>
            <a:ln>
              <a:solidFill>
                <a:schemeClr val="accent2"/>
              </a:solidFill>
            </a:ln>
            <a:effectLst/>
          </c:spPr>
          <c:invertIfNegative val="0"/>
          <c:dLbls>
            <c:spPr>
              <a:noFill/>
              <a:ln w="25400">
                <a:noFill/>
              </a:ln>
            </c:spPr>
            <c:txPr>
              <a:bodyPr wrap="square" lIns="38100" tIns="19050" rIns="38100" bIns="19050" anchor="ctr">
                <a:spAutoFit/>
              </a:bodyPr>
              <a:lstStyle/>
              <a:p>
                <a:pPr>
                  <a:defRPr sz="1100" b="0" i="0" u="none" strike="noStrike" baseline="0">
                    <a:solidFill>
                      <a:srgbClr val="333333"/>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'Revenue required'!$H$139:$I$139</c:f>
            </c:numRef>
          </c:val>
          <c:extLst>
            <c:ext xmlns:c15="http://schemas.microsoft.com/office/drawing/2012/chart" uri="{02D57815-91ED-43cb-92C2-25804820EDAC}">
              <c15:filteredCategoryTitle>
                <c15:cat>
                  <c:multiLvlStrRef>
                    <c:extLst>
                      <c:ext uri="{02D57815-91ED-43cb-92C2-25804820EDAC}">
                        <c15:formulaRef>
                          <c15:sqref>'Revenue required'!$H$133:$I$133</c15:sqref>
                        </c15:formulaRef>
                      </c:ext>
                    </c:extLst>
                  </c:multiLvlStrRef>
                </c15:cat>
              </c15:filteredCategoryTitle>
            </c:ext>
            <c:ext xmlns:c16="http://schemas.microsoft.com/office/drawing/2014/chart" uri="{C3380CC4-5D6E-409C-BE32-E72D297353CC}">
              <c16:uniqueId val="{00000005-30FD-46F6-B1A2-96359858F66F}"/>
            </c:ext>
          </c:extLst>
        </c:ser>
        <c:dLbls>
          <c:showLegendKey val="0"/>
          <c:showVal val="0"/>
          <c:showCatName val="0"/>
          <c:showSerName val="0"/>
          <c:showPercent val="0"/>
          <c:showBubbleSize val="0"/>
        </c:dLbls>
        <c:gapWidth val="25"/>
        <c:overlap val="100"/>
        <c:axId val="1390268719"/>
        <c:axId val="1"/>
      </c:barChart>
      <c:catAx>
        <c:axId val="1390268719"/>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0" vert="horz"/>
          <a:lstStyle/>
          <a:p>
            <a:pPr>
              <a:defRPr sz="1100" b="0" i="0" u="none" strike="noStrike" baseline="0">
                <a:solidFill>
                  <a:srgbClr val="333333"/>
                </a:solidFill>
                <a:latin typeface="Calibri"/>
                <a:ea typeface="Calibri"/>
                <a:cs typeface="Calibri"/>
              </a:defRPr>
            </a:pPr>
            <a:endParaRPr lang="en-US"/>
          </a:p>
        </c:txPr>
        <c:crossAx val="1"/>
        <c:crosses val="autoZero"/>
        <c:auto val="1"/>
        <c:lblAlgn val="ctr"/>
        <c:lblOffset val="100"/>
        <c:noMultiLvlLbl val="0"/>
      </c:catAx>
      <c:valAx>
        <c:axId val="1"/>
        <c:scaling>
          <c:orientation val="minMax"/>
        </c:scaling>
        <c:delete val="1"/>
        <c:axPos val="l"/>
        <c:majorGridlines>
          <c:spPr>
            <a:ln w="9525" cap="flat" cmpd="sng" algn="ctr">
              <a:solidFill>
                <a:schemeClr val="tx1">
                  <a:lumMod val="15000"/>
                  <a:lumOff val="85000"/>
                </a:schemeClr>
              </a:solidFill>
              <a:round/>
            </a:ln>
            <a:effectLst/>
          </c:spPr>
        </c:majorGridlines>
        <c:numFmt formatCode="0%" sourceLinked="1"/>
        <c:majorTickMark val="out"/>
        <c:minorTickMark val="none"/>
        <c:tickLblPos val="nextTo"/>
        <c:crossAx val="1390268719"/>
        <c:crosses val="autoZero"/>
        <c:crossBetween val="between"/>
      </c:valAx>
      <c:spPr>
        <a:noFill/>
        <a:ln w="25400">
          <a:noFill/>
        </a:ln>
      </c:spPr>
    </c:plotArea>
    <c:plotVisOnly val="1"/>
    <c:dispBlanksAs val="gap"/>
    <c:showDLblsOverMax val="0"/>
  </c:chart>
  <c:spPr>
    <a:solidFill>
      <a:schemeClr val="bg1"/>
    </a:solidFill>
    <a:ln w="9525" cap="flat" cmpd="sng" algn="ctr">
      <a:noFill/>
      <a:round/>
    </a:ln>
    <a:effectLst/>
  </c:spPr>
  <c:txPr>
    <a:bodyPr/>
    <a:lstStyle/>
    <a:p>
      <a:pPr>
        <a:defRPr sz="11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charts/chart4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320" b="0" i="0" u="none" strike="noStrike" baseline="0">
                <a:solidFill>
                  <a:srgbClr val="333333"/>
                </a:solidFill>
                <a:latin typeface="Calibri"/>
                <a:ea typeface="Calibri"/>
                <a:cs typeface="Calibri"/>
              </a:defRPr>
            </a:pPr>
            <a:r>
              <a:rPr lang="en-ZA"/>
              <a:t>Budget funding: 'other' services: categories</a:t>
            </a:r>
          </a:p>
        </c:rich>
      </c:tx>
      <c:layout>
        <c:manualLayout>
          <c:xMode val="edge"/>
          <c:yMode val="edge"/>
          <c:x val="6.8346456692913393E-2"/>
          <c:y val="4.1609029640525708E-2"/>
        </c:manualLayout>
      </c:layout>
      <c:overlay val="0"/>
      <c:spPr>
        <a:noFill/>
        <a:ln w="25400">
          <a:noFill/>
        </a:ln>
      </c:spPr>
    </c:title>
    <c:autoTitleDeleted val="0"/>
    <c:plotArea>
      <c:layout/>
      <c:barChart>
        <c:barDir val="col"/>
        <c:grouping val="stacked"/>
        <c:varyColors val="0"/>
        <c:ser>
          <c:idx val="0"/>
          <c:order val="0"/>
          <c:tx>
            <c:strRef>
              <c:f>'Revenue required'!$D$144</c:f>
              <c:strCache>
                <c:ptCount val="1"/>
                <c:pt idx="0">
                  <c:v>Direct cost</c:v>
                </c:pt>
              </c:strCache>
            </c:strRef>
          </c:tx>
          <c:spPr>
            <a:solidFill>
              <a:schemeClr val="accent5"/>
            </a:solidFill>
            <a:ln>
              <a:solidFill>
                <a:schemeClr val="accent5"/>
              </a:solidFill>
            </a:ln>
            <a:effectLst/>
          </c:spPr>
          <c:invertIfNegative val="0"/>
          <c:dLbls>
            <c:spPr>
              <a:noFill/>
              <a:ln w="25400">
                <a:noFill/>
              </a:ln>
            </c:spPr>
            <c:txPr>
              <a:bodyPr wrap="square" lIns="38100" tIns="19050" rIns="38100" bIns="19050" anchor="ctr">
                <a:spAutoFit/>
              </a:bodyPr>
              <a:lstStyle/>
              <a:p>
                <a:pPr>
                  <a:defRPr sz="1100" b="0" i="0" u="none" strike="noStrike" baseline="0">
                    <a:solidFill>
                      <a:srgbClr val="333333"/>
                    </a:solidFill>
                    <a:latin typeface="Calibri"/>
                    <a:ea typeface="Calibri"/>
                    <a:cs typeface="Calibri"/>
                  </a:defRPr>
                </a:pPr>
                <a:endParaRPr lang="en-US"/>
              </a:p>
            </c:txPr>
            <c:dLblPos val="ct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val>
            <c:numRef>
              <c:f>'Revenue required'!$E$144:$F$144</c:f>
            </c:numRef>
          </c:val>
          <c:extLst>
            <c:ext xmlns:c15="http://schemas.microsoft.com/office/drawing/2012/chart" uri="{02D57815-91ED-43cb-92C2-25804820EDAC}">
              <c15:filteredCategoryTitle>
                <c15:cat>
                  <c:multiLvlStrRef>
                    <c:extLst>
                      <c:ext uri="{02D57815-91ED-43cb-92C2-25804820EDAC}">
                        <c15:formulaRef>
                          <c15:sqref>'Revenue required'!$E$143:$F$143</c15:sqref>
                        </c15:formulaRef>
                      </c:ext>
                    </c:extLst>
                  </c:multiLvlStrRef>
                </c15:cat>
              </c15:filteredCategoryTitle>
            </c:ext>
            <c:ext xmlns:c16="http://schemas.microsoft.com/office/drawing/2014/chart" uri="{C3380CC4-5D6E-409C-BE32-E72D297353CC}">
              <c16:uniqueId val="{00000000-E205-4249-B3E5-2B0C98DA129E}"/>
            </c:ext>
          </c:extLst>
        </c:ser>
        <c:ser>
          <c:idx val="1"/>
          <c:order val="1"/>
          <c:tx>
            <c:strRef>
              <c:f>'Revenue required'!$D$145</c:f>
              <c:strCache>
                <c:ptCount val="1"/>
                <c:pt idx="0">
                  <c:v>Indirect cost</c:v>
                </c:pt>
              </c:strCache>
            </c:strRef>
          </c:tx>
          <c:spPr>
            <a:solidFill>
              <a:schemeClr val="accent5">
                <a:lumMod val="60000"/>
                <a:lumOff val="40000"/>
              </a:schemeClr>
            </a:solidFill>
            <a:ln>
              <a:solidFill>
                <a:schemeClr val="accent5">
                  <a:lumMod val="60000"/>
                  <a:lumOff val="40000"/>
                </a:schemeClr>
              </a:solidFill>
            </a:ln>
            <a:effectLst/>
          </c:spPr>
          <c:invertIfNegative val="0"/>
          <c:dLbls>
            <c:spPr>
              <a:noFill/>
              <a:ln w="25400">
                <a:noFill/>
              </a:ln>
            </c:spPr>
            <c:txPr>
              <a:bodyPr wrap="square" lIns="38100" tIns="19050" rIns="38100" bIns="19050" anchor="ctr">
                <a:spAutoFit/>
              </a:bodyPr>
              <a:lstStyle/>
              <a:p>
                <a:pPr>
                  <a:defRPr sz="1100" b="0" i="0" u="none" strike="noStrike" baseline="0">
                    <a:solidFill>
                      <a:srgbClr val="333333"/>
                    </a:solidFill>
                    <a:latin typeface="Calibri"/>
                    <a:ea typeface="Calibri"/>
                    <a:cs typeface="Calibri"/>
                  </a:defRPr>
                </a:pPr>
                <a:endParaRPr lang="en-US"/>
              </a:p>
            </c:txPr>
            <c:dLblPos val="ct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val>
            <c:numRef>
              <c:f>'Revenue required'!$E$145:$F$145</c:f>
            </c:numRef>
          </c:val>
          <c:extLst>
            <c:ext xmlns:c15="http://schemas.microsoft.com/office/drawing/2012/chart" uri="{02D57815-91ED-43cb-92C2-25804820EDAC}">
              <c15:filteredCategoryTitle>
                <c15:cat>
                  <c:multiLvlStrRef>
                    <c:extLst>
                      <c:ext uri="{02D57815-91ED-43cb-92C2-25804820EDAC}">
                        <c15:formulaRef>
                          <c15:sqref>'Revenue required'!$E$143:$F$143</c15:sqref>
                        </c15:formulaRef>
                      </c:ext>
                    </c:extLst>
                  </c:multiLvlStrRef>
                </c15:cat>
              </c15:filteredCategoryTitle>
            </c:ext>
            <c:ext xmlns:c16="http://schemas.microsoft.com/office/drawing/2014/chart" uri="{C3380CC4-5D6E-409C-BE32-E72D297353CC}">
              <c16:uniqueId val="{00000001-E205-4249-B3E5-2B0C98DA129E}"/>
            </c:ext>
          </c:extLst>
        </c:ser>
        <c:ser>
          <c:idx val="2"/>
          <c:order val="2"/>
          <c:tx>
            <c:strRef>
              <c:f>'Revenue required'!$D$146</c:f>
              <c:strCache>
                <c:ptCount val="1"/>
              </c:strCache>
            </c:strRef>
          </c:tx>
          <c:spPr>
            <a:solidFill>
              <a:schemeClr val="accent6"/>
            </a:solidFill>
            <a:ln>
              <a:solidFill>
                <a:schemeClr val="accent6"/>
              </a:solidFill>
            </a:ln>
            <a:effectLst/>
          </c:spPr>
          <c:invertIfNegative val="0"/>
          <c:dLbls>
            <c:spPr>
              <a:noFill/>
              <a:ln w="25400">
                <a:noFill/>
              </a:ln>
            </c:spPr>
            <c:txPr>
              <a:bodyPr wrap="square" lIns="38100" tIns="19050" rIns="38100" bIns="19050" anchor="ctr">
                <a:spAutoFit/>
              </a:bodyPr>
              <a:lstStyle/>
              <a:p>
                <a:pPr>
                  <a:defRPr sz="1100" b="0" i="0" u="none" strike="noStrike" baseline="0">
                    <a:solidFill>
                      <a:srgbClr val="333333"/>
                    </a:solidFill>
                    <a:latin typeface="Calibri"/>
                    <a:ea typeface="Calibri"/>
                    <a:cs typeface="Calibri"/>
                  </a:defRPr>
                </a:pPr>
                <a:endParaRPr lang="en-US"/>
              </a:p>
            </c:txPr>
            <c:dLblPos val="ct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val>
            <c:numRef>
              <c:f>'Revenue required'!$E$146:$F$146</c:f>
            </c:numRef>
          </c:val>
          <c:extLst>
            <c:ext xmlns:c15="http://schemas.microsoft.com/office/drawing/2012/chart" uri="{02D57815-91ED-43cb-92C2-25804820EDAC}">
              <c15:filteredCategoryTitle>
                <c15:cat>
                  <c:multiLvlStrRef>
                    <c:extLst>
                      <c:ext uri="{02D57815-91ED-43cb-92C2-25804820EDAC}">
                        <c15:formulaRef>
                          <c15:sqref>'Revenue required'!$E$143:$F$143</c15:sqref>
                        </c15:formulaRef>
                      </c:ext>
                    </c:extLst>
                  </c:multiLvlStrRef>
                </c15:cat>
              </c15:filteredCategoryTitle>
            </c:ext>
            <c:ext xmlns:c16="http://schemas.microsoft.com/office/drawing/2014/chart" uri="{C3380CC4-5D6E-409C-BE32-E72D297353CC}">
              <c16:uniqueId val="{00000002-E205-4249-B3E5-2B0C98DA129E}"/>
            </c:ext>
          </c:extLst>
        </c:ser>
        <c:ser>
          <c:idx val="4"/>
          <c:order val="3"/>
          <c:tx>
            <c:strRef>
              <c:f>'Revenue required'!$D$147</c:f>
              <c:strCache>
                <c:ptCount val="1"/>
              </c:strCache>
            </c:strRef>
          </c:tx>
          <c:spPr>
            <a:solidFill>
              <a:schemeClr val="accent3">
                <a:lumMod val="75000"/>
              </a:schemeClr>
            </a:solidFill>
            <a:ln>
              <a:solidFill>
                <a:schemeClr val="accent3">
                  <a:lumMod val="75000"/>
                </a:schemeClr>
              </a:solidFill>
            </a:ln>
            <a:effectLst/>
          </c:spPr>
          <c:invertIfNegative val="0"/>
          <c:dLbls>
            <c:spPr>
              <a:noFill/>
              <a:ln w="25400">
                <a:noFill/>
              </a:ln>
            </c:spPr>
            <c:txPr>
              <a:bodyPr wrap="square" lIns="38100" tIns="19050" rIns="38100" bIns="19050" anchor="ctr">
                <a:spAutoFit/>
              </a:bodyPr>
              <a:lstStyle/>
              <a:p>
                <a:pPr>
                  <a:defRPr sz="1100" b="0" i="0" u="none" strike="noStrike" baseline="0">
                    <a:solidFill>
                      <a:srgbClr val="333333"/>
                    </a:solidFill>
                    <a:latin typeface="Calibri"/>
                    <a:ea typeface="Calibri"/>
                    <a:cs typeface="Calibri"/>
                  </a:defRPr>
                </a:pPr>
                <a:endParaRPr lang="en-US"/>
              </a:p>
            </c:txPr>
            <c:dLblPos val="ct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val>
            <c:numRef>
              <c:f>'Revenue required'!$E$147:$F$147</c:f>
            </c:numRef>
          </c:val>
          <c:extLst>
            <c:ext xmlns:c15="http://schemas.microsoft.com/office/drawing/2012/chart" uri="{02D57815-91ED-43cb-92C2-25804820EDAC}">
              <c15:filteredCategoryTitle>
                <c15:cat>
                  <c:multiLvlStrRef>
                    <c:extLst>
                      <c:ext uri="{02D57815-91ED-43cb-92C2-25804820EDAC}">
                        <c15:formulaRef>
                          <c15:sqref>'Revenue required'!$E$143:$F$143</c15:sqref>
                        </c15:formulaRef>
                      </c:ext>
                    </c:extLst>
                  </c:multiLvlStrRef>
                </c15:cat>
              </c15:filteredCategoryTitle>
            </c:ext>
            <c:ext xmlns:c16="http://schemas.microsoft.com/office/drawing/2014/chart" uri="{C3380CC4-5D6E-409C-BE32-E72D297353CC}">
              <c16:uniqueId val="{00000003-E205-4249-B3E5-2B0C98DA129E}"/>
            </c:ext>
          </c:extLst>
        </c:ser>
        <c:ser>
          <c:idx val="5"/>
          <c:order val="4"/>
          <c:tx>
            <c:strRef>
              <c:f>'Revenue required'!$D$148</c:f>
              <c:strCache>
                <c:ptCount val="1"/>
                <c:pt idx="0">
                  <c:v>Non-tariff revenue</c:v>
                </c:pt>
              </c:strCache>
            </c:strRef>
          </c:tx>
          <c:spPr>
            <a:solidFill>
              <a:schemeClr val="accent3"/>
            </a:solidFill>
            <a:ln>
              <a:solidFill>
                <a:schemeClr val="accent3"/>
              </a:solidFill>
            </a:ln>
            <a:effectLst/>
          </c:spPr>
          <c:invertIfNegative val="0"/>
          <c:dLbls>
            <c:spPr>
              <a:noFill/>
              <a:ln w="25400">
                <a:noFill/>
              </a:ln>
            </c:spPr>
            <c:txPr>
              <a:bodyPr wrap="square" lIns="38100" tIns="19050" rIns="38100" bIns="19050" anchor="ctr">
                <a:spAutoFit/>
              </a:bodyPr>
              <a:lstStyle/>
              <a:p>
                <a:pPr>
                  <a:defRPr sz="1100" b="0" i="0" u="none" strike="noStrike" baseline="0">
                    <a:solidFill>
                      <a:srgbClr val="333333"/>
                    </a:solidFill>
                    <a:latin typeface="Calibri"/>
                    <a:ea typeface="Calibri"/>
                    <a:cs typeface="Calibri"/>
                  </a:defRPr>
                </a:pPr>
                <a:endParaRPr lang="en-US"/>
              </a:p>
            </c:txPr>
            <c:dLblPos val="ct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val>
            <c:numRef>
              <c:f>'Revenue required'!$E$148:$F$148</c:f>
            </c:numRef>
          </c:val>
          <c:extLst>
            <c:ext xmlns:c15="http://schemas.microsoft.com/office/drawing/2012/chart" uri="{02D57815-91ED-43cb-92C2-25804820EDAC}">
              <c15:filteredCategoryTitle>
                <c15:cat>
                  <c:multiLvlStrRef>
                    <c:extLst>
                      <c:ext uri="{02D57815-91ED-43cb-92C2-25804820EDAC}">
                        <c15:formulaRef>
                          <c15:sqref>'Revenue required'!$E$143:$F$143</c15:sqref>
                        </c15:formulaRef>
                      </c:ext>
                    </c:extLst>
                  </c:multiLvlStrRef>
                </c15:cat>
              </c15:filteredCategoryTitle>
            </c:ext>
            <c:ext xmlns:c16="http://schemas.microsoft.com/office/drawing/2014/chart" uri="{C3380CC4-5D6E-409C-BE32-E72D297353CC}">
              <c16:uniqueId val="{00000004-E205-4249-B3E5-2B0C98DA129E}"/>
            </c:ext>
          </c:extLst>
        </c:ser>
        <c:ser>
          <c:idx val="3"/>
          <c:order val="5"/>
          <c:tx>
            <c:strRef>
              <c:f>'Revenue required'!$D$149</c:f>
              <c:strCache>
                <c:ptCount val="1"/>
                <c:pt idx="0">
                  <c:v>Deficit</c:v>
                </c:pt>
              </c:strCache>
            </c:strRef>
          </c:tx>
          <c:spPr>
            <a:solidFill>
              <a:schemeClr val="accent2"/>
            </a:solidFill>
            <a:ln>
              <a:solidFill>
                <a:schemeClr val="accent2"/>
              </a:solidFill>
            </a:ln>
            <a:effectLst/>
          </c:spPr>
          <c:invertIfNegative val="0"/>
          <c:dLbls>
            <c:spPr>
              <a:noFill/>
              <a:ln w="25400">
                <a:noFill/>
              </a:ln>
            </c:spPr>
            <c:txPr>
              <a:bodyPr wrap="square" lIns="38100" tIns="19050" rIns="38100" bIns="19050" anchor="ctr">
                <a:spAutoFit/>
              </a:bodyPr>
              <a:lstStyle/>
              <a:p>
                <a:pPr>
                  <a:defRPr sz="1100" b="0" i="0" u="none" strike="noStrike" baseline="0">
                    <a:solidFill>
                      <a:srgbClr val="333333"/>
                    </a:solidFill>
                    <a:latin typeface="Calibri"/>
                    <a:ea typeface="Calibri"/>
                    <a:cs typeface="Calibri"/>
                  </a:defRPr>
                </a:pPr>
                <a:endParaRPr lang="en-US"/>
              </a:p>
            </c:txPr>
            <c:dLblPos val="ct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val>
            <c:numRef>
              <c:f>'Revenue required'!$E$149:$F$149</c:f>
            </c:numRef>
          </c:val>
          <c:extLst>
            <c:ext xmlns:c15="http://schemas.microsoft.com/office/drawing/2012/chart" uri="{02D57815-91ED-43cb-92C2-25804820EDAC}">
              <c15:filteredCategoryTitle>
                <c15:cat>
                  <c:multiLvlStrRef>
                    <c:extLst>
                      <c:ext uri="{02D57815-91ED-43cb-92C2-25804820EDAC}">
                        <c15:formulaRef>
                          <c15:sqref>'Revenue required'!$E$143:$F$143</c15:sqref>
                        </c15:formulaRef>
                      </c:ext>
                    </c:extLst>
                  </c:multiLvlStrRef>
                </c15:cat>
              </c15:filteredCategoryTitle>
            </c:ext>
            <c:ext xmlns:c16="http://schemas.microsoft.com/office/drawing/2014/chart" uri="{C3380CC4-5D6E-409C-BE32-E72D297353CC}">
              <c16:uniqueId val="{00000005-E205-4249-B3E5-2B0C98DA129E}"/>
            </c:ext>
          </c:extLst>
        </c:ser>
        <c:dLbls>
          <c:showLegendKey val="0"/>
          <c:showVal val="0"/>
          <c:showCatName val="0"/>
          <c:showSerName val="0"/>
          <c:showPercent val="0"/>
          <c:showBubbleSize val="0"/>
        </c:dLbls>
        <c:gapWidth val="25"/>
        <c:overlap val="100"/>
        <c:axId val="1390286959"/>
        <c:axId val="1"/>
      </c:barChart>
      <c:catAx>
        <c:axId val="1390286959"/>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0" vert="horz"/>
          <a:lstStyle/>
          <a:p>
            <a:pPr>
              <a:defRPr sz="1100" b="0" i="0" u="none" strike="noStrike" baseline="0">
                <a:solidFill>
                  <a:srgbClr val="333333"/>
                </a:solidFill>
                <a:latin typeface="Calibri"/>
                <a:ea typeface="Calibri"/>
                <a:cs typeface="Calibri"/>
              </a:defRPr>
            </a:pPr>
            <a:endParaRPr lang="en-US"/>
          </a:p>
        </c:txPr>
        <c:crossAx val="1"/>
        <c:crosses val="autoZero"/>
        <c:auto val="1"/>
        <c:lblAlgn val="ctr"/>
        <c:lblOffset val="100"/>
        <c:noMultiLvlLbl val="0"/>
      </c:catAx>
      <c:valAx>
        <c:axId val="1"/>
        <c:scaling>
          <c:orientation val="minMax"/>
        </c:scaling>
        <c:delete val="1"/>
        <c:axPos val="l"/>
        <c:majorGridlines>
          <c:spPr>
            <a:ln w="9525" cap="flat" cmpd="sng" algn="ctr">
              <a:solidFill>
                <a:schemeClr val="tx1">
                  <a:lumMod val="15000"/>
                  <a:lumOff val="85000"/>
                </a:schemeClr>
              </a:solidFill>
              <a:round/>
            </a:ln>
            <a:effectLst/>
          </c:spPr>
        </c:majorGridlines>
        <c:numFmt formatCode="_-* #\ ##0_-;\-* #\ ##0_-;_-* &quot;-&quot;??_-;_-@_-" sourceLinked="1"/>
        <c:majorTickMark val="out"/>
        <c:minorTickMark val="none"/>
        <c:tickLblPos val="nextTo"/>
        <c:crossAx val="1390286959"/>
        <c:crosses val="autoZero"/>
        <c:crossBetween val="between"/>
      </c:valAx>
    </c:plotArea>
    <c:plotVisOnly val="1"/>
    <c:dispBlanksAs val="gap"/>
    <c:showDLblsOverMax val="0"/>
  </c:chart>
  <c:spPr>
    <a:solidFill>
      <a:schemeClr val="bg1"/>
    </a:solidFill>
    <a:ln w="9525" cap="flat" cmpd="sng" algn="ctr">
      <a:noFill/>
      <a:round/>
    </a:ln>
    <a:effectLst/>
  </c:spPr>
  <c:txPr>
    <a:bodyPr/>
    <a:lstStyle/>
    <a:p>
      <a:pPr>
        <a:defRPr sz="11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charts/chart4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320" b="0" i="0" u="none" strike="noStrike" baseline="0">
                <a:solidFill>
                  <a:srgbClr val="333333"/>
                </a:solidFill>
                <a:latin typeface="Calibri"/>
                <a:ea typeface="Calibri"/>
                <a:cs typeface="Calibri"/>
              </a:defRPr>
            </a:pPr>
            <a:r>
              <a:rPr lang="en-ZA"/>
              <a:t>Budget funding: 'other' services: R'000</a:t>
            </a:r>
          </a:p>
        </c:rich>
      </c:tx>
      <c:layout>
        <c:manualLayout>
          <c:xMode val="edge"/>
          <c:yMode val="edge"/>
          <c:x val="6.4499707320757563E-2"/>
          <c:y val="3.2407487525597758E-2"/>
        </c:manualLayout>
      </c:layout>
      <c:overlay val="0"/>
      <c:spPr>
        <a:noFill/>
        <a:ln w="25400">
          <a:noFill/>
        </a:ln>
      </c:spPr>
    </c:title>
    <c:autoTitleDeleted val="0"/>
    <c:plotArea>
      <c:layout/>
      <c:barChart>
        <c:barDir val="col"/>
        <c:grouping val="stacked"/>
        <c:varyColors val="0"/>
        <c:ser>
          <c:idx val="0"/>
          <c:order val="0"/>
          <c:tx>
            <c:strRef>
              <c:f>'Revenue required'!$D$144</c:f>
              <c:strCache>
                <c:ptCount val="1"/>
                <c:pt idx="0">
                  <c:v>Direct cost</c:v>
                </c:pt>
              </c:strCache>
            </c:strRef>
          </c:tx>
          <c:spPr>
            <a:solidFill>
              <a:schemeClr val="accent5"/>
            </a:solidFill>
            <a:ln>
              <a:solidFill>
                <a:schemeClr val="accent5"/>
              </a:solidFill>
            </a:ln>
            <a:effectLst/>
          </c:spPr>
          <c:invertIfNegative val="0"/>
          <c:dLbls>
            <c:spPr>
              <a:noFill/>
              <a:ln w="25400">
                <a:noFill/>
              </a:ln>
            </c:spPr>
            <c:txPr>
              <a:bodyPr wrap="square" lIns="38100" tIns="19050" rIns="38100" bIns="19050" anchor="ctr">
                <a:spAutoFit/>
              </a:bodyPr>
              <a:lstStyle/>
              <a:p>
                <a:pPr>
                  <a:defRPr sz="1100" b="0" i="0" u="none" strike="noStrike" baseline="0">
                    <a:solidFill>
                      <a:srgbClr val="333333"/>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'Revenue required'!$E$144:$F$144</c:f>
            </c:numRef>
          </c:val>
          <c:extLst>
            <c:ext xmlns:c15="http://schemas.microsoft.com/office/drawing/2012/chart" uri="{02D57815-91ED-43cb-92C2-25804820EDAC}">
              <c15:filteredCategoryTitle>
                <c15:cat>
                  <c:multiLvlStrRef>
                    <c:extLst>
                      <c:ext uri="{02D57815-91ED-43cb-92C2-25804820EDAC}">
                        <c15:formulaRef>
                          <c15:sqref>'Revenue required'!$E$143:$F$143</c15:sqref>
                        </c15:formulaRef>
                      </c:ext>
                    </c:extLst>
                  </c:multiLvlStrRef>
                </c15:cat>
              </c15:filteredCategoryTitle>
            </c:ext>
            <c:ext xmlns:c16="http://schemas.microsoft.com/office/drawing/2014/chart" uri="{C3380CC4-5D6E-409C-BE32-E72D297353CC}">
              <c16:uniqueId val="{00000000-AA1C-40FD-9B74-B5940EE8DA01}"/>
            </c:ext>
          </c:extLst>
        </c:ser>
        <c:ser>
          <c:idx val="1"/>
          <c:order val="1"/>
          <c:tx>
            <c:strRef>
              <c:f>'Revenue required'!$D$145</c:f>
              <c:strCache>
                <c:ptCount val="1"/>
                <c:pt idx="0">
                  <c:v>Indirect cost</c:v>
                </c:pt>
              </c:strCache>
            </c:strRef>
          </c:tx>
          <c:spPr>
            <a:solidFill>
              <a:schemeClr val="accent5">
                <a:lumMod val="60000"/>
                <a:lumOff val="40000"/>
              </a:schemeClr>
            </a:solidFill>
            <a:ln>
              <a:solidFill>
                <a:schemeClr val="accent5">
                  <a:lumMod val="60000"/>
                  <a:lumOff val="40000"/>
                </a:schemeClr>
              </a:solidFill>
            </a:ln>
            <a:effectLst/>
          </c:spPr>
          <c:invertIfNegative val="0"/>
          <c:dLbls>
            <c:spPr>
              <a:noFill/>
              <a:ln w="25400">
                <a:noFill/>
              </a:ln>
            </c:spPr>
            <c:txPr>
              <a:bodyPr wrap="square" lIns="38100" tIns="19050" rIns="38100" bIns="19050" anchor="ctr">
                <a:spAutoFit/>
              </a:bodyPr>
              <a:lstStyle/>
              <a:p>
                <a:pPr>
                  <a:defRPr sz="1100" b="0" i="0" u="none" strike="noStrike" baseline="0">
                    <a:solidFill>
                      <a:srgbClr val="333333"/>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'Revenue required'!$E$145:$F$145</c:f>
            </c:numRef>
          </c:val>
          <c:extLst>
            <c:ext xmlns:c15="http://schemas.microsoft.com/office/drawing/2012/chart" uri="{02D57815-91ED-43cb-92C2-25804820EDAC}">
              <c15:filteredCategoryTitle>
                <c15:cat>
                  <c:multiLvlStrRef>
                    <c:extLst>
                      <c:ext uri="{02D57815-91ED-43cb-92C2-25804820EDAC}">
                        <c15:formulaRef>
                          <c15:sqref>'Revenue required'!$E$143:$F$143</c15:sqref>
                        </c15:formulaRef>
                      </c:ext>
                    </c:extLst>
                  </c:multiLvlStrRef>
                </c15:cat>
              </c15:filteredCategoryTitle>
            </c:ext>
            <c:ext xmlns:c16="http://schemas.microsoft.com/office/drawing/2014/chart" uri="{C3380CC4-5D6E-409C-BE32-E72D297353CC}">
              <c16:uniqueId val="{00000001-AA1C-40FD-9B74-B5940EE8DA01}"/>
            </c:ext>
          </c:extLst>
        </c:ser>
        <c:ser>
          <c:idx val="2"/>
          <c:order val="2"/>
          <c:tx>
            <c:strRef>
              <c:f>'Revenue required'!$D$146</c:f>
              <c:strCache>
                <c:ptCount val="1"/>
              </c:strCache>
            </c:strRef>
          </c:tx>
          <c:spPr>
            <a:solidFill>
              <a:schemeClr val="accent6"/>
            </a:solidFill>
            <a:ln>
              <a:solidFill>
                <a:schemeClr val="accent6"/>
              </a:solidFill>
            </a:ln>
            <a:effectLst/>
          </c:spPr>
          <c:invertIfNegative val="0"/>
          <c:dLbls>
            <c:spPr>
              <a:noFill/>
              <a:ln w="25400">
                <a:noFill/>
              </a:ln>
            </c:spPr>
            <c:txPr>
              <a:bodyPr wrap="square" lIns="38100" tIns="19050" rIns="38100" bIns="19050" anchor="ctr">
                <a:spAutoFit/>
              </a:bodyPr>
              <a:lstStyle/>
              <a:p>
                <a:pPr>
                  <a:defRPr sz="1100" b="0" i="0" u="none" strike="noStrike" baseline="0">
                    <a:solidFill>
                      <a:srgbClr val="333333"/>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'Revenue required'!$E$146:$F$146</c:f>
            </c:numRef>
          </c:val>
          <c:extLst>
            <c:ext xmlns:c15="http://schemas.microsoft.com/office/drawing/2012/chart" uri="{02D57815-91ED-43cb-92C2-25804820EDAC}">
              <c15:filteredCategoryTitle>
                <c15:cat>
                  <c:multiLvlStrRef>
                    <c:extLst>
                      <c:ext uri="{02D57815-91ED-43cb-92C2-25804820EDAC}">
                        <c15:formulaRef>
                          <c15:sqref>'Revenue required'!$E$143:$F$143</c15:sqref>
                        </c15:formulaRef>
                      </c:ext>
                    </c:extLst>
                  </c:multiLvlStrRef>
                </c15:cat>
              </c15:filteredCategoryTitle>
            </c:ext>
            <c:ext xmlns:c16="http://schemas.microsoft.com/office/drawing/2014/chart" uri="{C3380CC4-5D6E-409C-BE32-E72D297353CC}">
              <c16:uniqueId val="{00000002-AA1C-40FD-9B74-B5940EE8DA01}"/>
            </c:ext>
          </c:extLst>
        </c:ser>
        <c:ser>
          <c:idx val="4"/>
          <c:order val="3"/>
          <c:tx>
            <c:strRef>
              <c:f>'Revenue required'!$D$147</c:f>
              <c:strCache>
                <c:ptCount val="1"/>
              </c:strCache>
            </c:strRef>
          </c:tx>
          <c:spPr>
            <a:solidFill>
              <a:schemeClr val="accent3">
                <a:lumMod val="75000"/>
              </a:schemeClr>
            </a:solidFill>
            <a:ln>
              <a:solidFill>
                <a:schemeClr val="accent3">
                  <a:lumMod val="75000"/>
                </a:schemeClr>
              </a:solidFill>
            </a:ln>
            <a:effectLst/>
          </c:spPr>
          <c:invertIfNegative val="0"/>
          <c:dLbls>
            <c:spPr>
              <a:noFill/>
              <a:ln w="25400">
                <a:noFill/>
              </a:ln>
            </c:spPr>
            <c:txPr>
              <a:bodyPr wrap="square" lIns="38100" tIns="19050" rIns="38100" bIns="19050" anchor="ctr">
                <a:spAutoFit/>
              </a:bodyPr>
              <a:lstStyle/>
              <a:p>
                <a:pPr>
                  <a:defRPr sz="1100" b="0" i="0" u="none" strike="noStrike" baseline="0">
                    <a:solidFill>
                      <a:srgbClr val="333333"/>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'Revenue required'!$E$147:$F$147</c:f>
            </c:numRef>
          </c:val>
          <c:extLst>
            <c:ext xmlns:c15="http://schemas.microsoft.com/office/drawing/2012/chart" uri="{02D57815-91ED-43cb-92C2-25804820EDAC}">
              <c15:filteredCategoryTitle>
                <c15:cat>
                  <c:multiLvlStrRef>
                    <c:extLst>
                      <c:ext uri="{02D57815-91ED-43cb-92C2-25804820EDAC}">
                        <c15:formulaRef>
                          <c15:sqref>'Revenue required'!$E$143:$F$143</c15:sqref>
                        </c15:formulaRef>
                      </c:ext>
                    </c:extLst>
                  </c:multiLvlStrRef>
                </c15:cat>
              </c15:filteredCategoryTitle>
            </c:ext>
            <c:ext xmlns:c16="http://schemas.microsoft.com/office/drawing/2014/chart" uri="{C3380CC4-5D6E-409C-BE32-E72D297353CC}">
              <c16:uniqueId val="{00000003-AA1C-40FD-9B74-B5940EE8DA01}"/>
            </c:ext>
          </c:extLst>
        </c:ser>
        <c:ser>
          <c:idx val="5"/>
          <c:order val="4"/>
          <c:tx>
            <c:strRef>
              <c:f>'Revenue required'!$D$148</c:f>
              <c:strCache>
                <c:ptCount val="1"/>
                <c:pt idx="0">
                  <c:v>Non-tariff revenue</c:v>
                </c:pt>
              </c:strCache>
            </c:strRef>
          </c:tx>
          <c:spPr>
            <a:solidFill>
              <a:schemeClr val="accent3"/>
            </a:solidFill>
            <a:ln>
              <a:solidFill>
                <a:schemeClr val="accent3"/>
              </a:solidFill>
            </a:ln>
            <a:effectLst/>
          </c:spPr>
          <c:invertIfNegative val="0"/>
          <c:dLbls>
            <c:spPr>
              <a:noFill/>
              <a:ln w="25400">
                <a:noFill/>
              </a:ln>
            </c:spPr>
            <c:txPr>
              <a:bodyPr wrap="square" lIns="38100" tIns="19050" rIns="38100" bIns="19050" anchor="ctr">
                <a:spAutoFit/>
              </a:bodyPr>
              <a:lstStyle/>
              <a:p>
                <a:pPr>
                  <a:defRPr sz="1100" b="0" i="0" u="none" strike="noStrike" baseline="0">
                    <a:solidFill>
                      <a:srgbClr val="333333"/>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'Revenue required'!$E$148:$F$148</c:f>
            </c:numRef>
          </c:val>
          <c:extLst>
            <c:ext xmlns:c15="http://schemas.microsoft.com/office/drawing/2012/chart" uri="{02D57815-91ED-43cb-92C2-25804820EDAC}">
              <c15:filteredCategoryTitle>
                <c15:cat>
                  <c:multiLvlStrRef>
                    <c:extLst>
                      <c:ext uri="{02D57815-91ED-43cb-92C2-25804820EDAC}">
                        <c15:formulaRef>
                          <c15:sqref>'Revenue required'!$E$143:$F$143</c15:sqref>
                        </c15:formulaRef>
                      </c:ext>
                    </c:extLst>
                  </c:multiLvlStrRef>
                </c15:cat>
              </c15:filteredCategoryTitle>
            </c:ext>
            <c:ext xmlns:c16="http://schemas.microsoft.com/office/drawing/2014/chart" uri="{C3380CC4-5D6E-409C-BE32-E72D297353CC}">
              <c16:uniqueId val="{00000004-AA1C-40FD-9B74-B5940EE8DA01}"/>
            </c:ext>
          </c:extLst>
        </c:ser>
        <c:ser>
          <c:idx val="3"/>
          <c:order val="5"/>
          <c:tx>
            <c:strRef>
              <c:f>'Revenue required'!$D$149</c:f>
              <c:strCache>
                <c:ptCount val="1"/>
                <c:pt idx="0">
                  <c:v>Deficit</c:v>
                </c:pt>
              </c:strCache>
            </c:strRef>
          </c:tx>
          <c:spPr>
            <a:solidFill>
              <a:schemeClr val="accent2"/>
            </a:solidFill>
            <a:ln>
              <a:solidFill>
                <a:schemeClr val="accent2"/>
              </a:solidFill>
            </a:ln>
            <a:effectLst/>
          </c:spPr>
          <c:invertIfNegative val="0"/>
          <c:dLbls>
            <c:spPr>
              <a:noFill/>
              <a:ln w="25400">
                <a:noFill/>
              </a:ln>
            </c:spPr>
            <c:txPr>
              <a:bodyPr wrap="square" lIns="38100" tIns="19050" rIns="38100" bIns="19050" anchor="ctr">
                <a:spAutoFit/>
              </a:bodyPr>
              <a:lstStyle/>
              <a:p>
                <a:pPr>
                  <a:defRPr sz="1100" b="0" i="0" u="none" strike="noStrike" baseline="0">
                    <a:solidFill>
                      <a:srgbClr val="333333"/>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'Revenue required'!$E$149:$F$149</c:f>
            </c:numRef>
          </c:val>
          <c:extLst>
            <c:ext xmlns:c15="http://schemas.microsoft.com/office/drawing/2012/chart" uri="{02D57815-91ED-43cb-92C2-25804820EDAC}">
              <c15:filteredCategoryTitle>
                <c15:cat>
                  <c:multiLvlStrRef>
                    <c:extLst>
                      <c:ext uri="{02D57815-91ED-43cb-92C2-25804820EDAC}">
                        <c15:formulaRef>
                          <c15:sqref>'Revenue required'!$E$143:$F$143</c15:sqref>
                        </c15:formulaRef>
                      </c:ext>
                    </c:extLst>
                  </c:multiLvlStrRef>
                </c15:cat>
              </c15:filteredCategoryTitle>
            </c:ext>
            <c:ext xmlns:c16="http://schemas.microsoft.com/office/drawing/2014/chart" uri="{C3380CC4-5D6E-409C-BE32-E72D297353CC}">
              <c16:uniqueId val="{00000005-AA1C-40FD-9B74-B5940EE8DA01}"/>
            </c:ext>
          </c:extLst>
        </c:ser>
        <c:dLbls>
          <c:showLegendKey val="0"/>
          <c:showVal val="0"/>
          <c:showCatName val="0"/>
          <c:showSerName val="0"/>
          <c:showPercent val="0"/>
          <c:showBubbleSize val="0"/>
        </c:dLbls>
        <c:gapWidth val="25"/>
        <c:overlap val="100"/>
        <c:axId val="1390279279"/>
        <c:axId val="1"/>
      </c:barChart>
      <c:catAx>
        <c:axId val="1390279279"/>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0" vert="horz"/>
          <a:lstStyle/>
          <a:p>
            <a:pPr>
              <a:defRPr sz="1100" b="0" i="0" u="none" strike="noStrike" baseline="0">
                <a:solidFill>
                  <a:srgbClr val="333333"/>
                </a:solidFill>
                <a:latin typeface="Calibri"/>
                <a:ea typeface="Calibri"/>
                <a:cs typeface="Calibri"/>
              </a:defRPr>
            </a:pPr>
            <a:endParaRPr lang="en-US"/>
          </a:p>
        </c:txPr>
        <c:crossAx val="1"/>
        <c:crosses val="autoZero"/>
        <c:auto val="1"/>
        <c:lblAlgn val="ctr"/>
        <c:lblOffset val="100"/>
        <c:noMultiLvlLbl val="0"/>
      </c:catAx>
      <c:valAx>
        <c:axId val="1"/>
        <c:scaling>
          <c:orientation val="minMax"/>
        </c:scaling>
        <c:delete val="1"/>
        <c:axPos val="l"/>
        <c:majorGridlines>
          <c:spPr>
            <a:ln w="9525" cap="flat" cmpd="sng" algn="ctr">
              <a:solidFill>
                <a:schemeClr val="tx1">
                  <a:lumMod val="15000"/>
                  <a:lumOff val="85000"/>
                </a:schemeClr>
              </a:solidFill>
              <a:round/>
            </a:ln>
            <a:effectLst/>
          </c:spPr>
        </c:majorGridlines>
        <c:numFmt formatCode="_-* #\ ##0_-;\-* #\ ##0_-;_-* &quot;-&quot;??_-;_-@_-" sourceLinked="1"/>
        <c:majorTickMark val="out"/>
        <c:minorTickMark val="none"/>
        <c:tickLblPos val="nextTo"/>
        <c:crossAx val="1390279279"/>
        <c:crosses val="autoZero"/>
        <c:crossBetween val="between"/>
      </c:valAx>
    </c:plotArea>
    <c:plotVisOnly val="1"/>
    <c:dispBlanksAs val="gap"/>
    <c:showDLblsOverMax val="0"/>
  </c:chart>
  <c:spPr>
    <a:solidFill>
      <a:schemeClr val="bg1"/>
    </a:solidFill>
    <a:ln w="9525" cap="flat" cmpd="sng" algn="ctr">
      <a:noFill/>
      <a:round/>
    </a:ln>
    <a:effectLst/>
  </c:spPr>
  <c:txPr>
    <a:bodyPr/>
    <a:lstStyle/>
    <a:p>
      <a:pPr>
        <a:defRPr sz="11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charts/chart4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320" b="0" i="0" u="none" strike="noStrike" baseline="0">
                <a:solidFill>
                  <a:srgbClr val="333333"/>
                </a:solidFill>
                <a:latin typeface="Calibri"/>
                <a:ea typeface="Calibri"/>
                <a:cs typeface="Calibri"/>
              </a:defRPr>
            </a:pPr>
            <a:r>
              <a:rPr lang="en-ZA"/>
              <a:t>Budget funding: 'other' services: %s</a:t>
            </a:r>
          </a:p>
        </c:rich>
      </c:tx>
      <c:layout>
        <c:manualLayout>
          <c:xMode val="edge"/>
          <c:yMode val="edge"/>
          <c:x val="3.5577490612716478E-2"/>
          <c:y val="5.0906329016565235E-2"/>
        </c:manualLayout>
      </c:layout>
      <c:overlay val="0"/>
      <c:spPr>
        <a:noFill/>
        <a:ln w="25400">
          <a:noFill/>
        </a:ln>
      </c:spPr>
    </c:title>
    <c:autoTitleDeleted val="0"/>
    <c:plotArea>
      <c:layout/>
      <c:barChart>
        <c:barDir val="col"/>
        <c:grouping val="percentStacked"/>
        <c:varyColors val="0"/>
        <c:ser>
          <c:idx val="0"/>
          <c:order val="0"/>
          <c:tx>
            <c:strRef>
              <c:f>'Revenue required'!$G$144</c:f>
              <c:strCache>
                <c:ptCount val="1"/>
                <c:pt idx="0">
                  <c:v>Direct cost</c:v>
                </c:pt>
              </c:strCache>
            </c:strRef>
          </c:tx>
          <c:spPr>
            <a:solidFill>
              <a:schemeClr val="accent5"/>
            </a:solidFill>
            <a:ln>
              <a:solidFill>
                <a:schemeClr val="accent5"/>
              </a:solidFill>
            </a:ln>
            <a:effectLst/>
          </c:spPr>
          <c:invertIfNegative val="0"/>
          <c:dLbls>
            <c:spPr>
              <a:noFill/>
              <a:ln w="25400">
                <a:noFill/>
              </a:ln>
            </c:spPr>
            <c:txPr>
              <a:bodyPr wrap="square" lIns="38100" tIns="19050" rIns="38100" bIns="19050" anchor="ctr">
                <a:spAutoFit/>
              </a:bodyPr>
              <a:lstStyle/>
              <a:p>
                <a:pPr>
                  <a:defRPr sz="1100" b="0" i="0" u="none" strike="noStrike" baseline="0">
                    <a:solidFill>
                      <a:srgbClr val="333333"/>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'Revenue required'!$H$144:$I$144</c:f>
            </c:numRef>
          </c:val>
          <c:extLst>
            <c:ext xmlns:c15="http://schemas.microsoft.com/office/drawing/2012/chart" uri="{02D57815-91ED-43cb-92C2-25804820EDAC}">
              <c15:filteredCategoryTitle>
                <c15:cat>
                  <c:multiLvlStrRef>
                    <c:extLst>
                      <c:ext uri="{02D57815-91ED-43cb-92C2-25804820EDAC}">
                        <c15:formulaRef>
                          <c15:sqref>'Revenue required'!$H$143:$I$143</c15:sqref>
                        </c15:formulaRef>
                      </c:ext>
                    </c:extLst>
                  </c:multiLvlStrRef>
                </c15:cat>
              </c15:filteredCategoryTitle>
            </c:ext>
            <c:ext xmlns:c16="http://schemas.microsoft.com/office/drawing/2014/chart" uri="{C3380CC4-5D6E-409C-BE32-E72D297353CC}">
              <c16:uniqueId val="{00000000-7189-4511-A106-3221F159D67C}"/>
            </c:ext>
          </c:extLst>
        </c:ser>
        <c:ser>
          <c:idx val="1"/>
          <c:order val="1"/>
          <c:tx>
            <c:strRef>
              <c:f>'Revenue required'!$G$145</c:f>
              <c:strCache>
                <c:ptCount val="1"/>
                <c:pt idx="0">
                  <c:v>Indirect cost</c:v>
                </c:pt>
              </c:strCache>
            </c:strRef>
          </c:tx>
          <c:spPr>
            <a:solidFill>
              <a:schemeClr val="accent5">
                <a:lumMod val="60000"/>
                <a:lumOff val="40000"/>
              </a:schemeClr>
            </a:solidFill>
            <a:ln>
              <a:solidFill>
                <a:schemeClr val="accent5">
                  <a:lumMod val="60000"/>
                  <a:lumOff val="40000"/>
                </a:schemeClr>
              </a:solidFill>
            </a:ln>
            <a:effectLst/>
          </c:spPr>
          <c:invertIfNegative val="0"/>
          <c:dLbls>
            <c:spPr>
              <a:noFill/>
              <a:ln w="25400">
                <a:noFill/>
              </a:ln>
            </c:spPr>
            <c:txPr>
              <a:bodyPr wrap="square" lIns="38100" tIns="19050" rIns="38100" bIns="19050" anchor="ctr">
                <a:spAutoFit/>
              </a:bodyPr>
              <a:lstStyle/>
              <a:p>
                <a:pPr>
                  <a:defRPr sz="1100" b="0" i="0" u="none" strike="noStrike" baseline="0">
                    <a:solidFill>
                      <a:srgbClr val="333333"/>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'Revenue required'!$H$145:$I$145</c:f>
            </c:numRef>
          </c:val>
          <c:extLst>
            <c:ext xmlns:c15="http://schemas.microsoft.com/office/drawing/2012/chart" uri="{02D57815-91ED-43cb-92C2-25804820EDAC}">
              <c15:filteredCategoryTitle>
                <c15:cat>
                  <c:multiLvlStrRef>
                    <c:extLst>
                      <c:ext uri="{02D57815-91ED-43cb-92C2-25804820EDAC}">
                        <c15:formulaRef>
                          <c15:sqref>'Revenue required'!$H$143:$I$143</c15:sqref>
                        </c15:formulaRef>
                      </c:ext>
                    </c:extLst>
                  </c:multiLvlStrRef>
                </c15:cat>
              </c15:filteredCategoryTitle>
            </c:ext>
            <c:ext xmlns:c16="http://schemas.microsoft.com/office/drawing/2014/chart" uri="{C3380CC4-5D6E-409C-BE32-E72D297353CC}">
              <c16:uniqueId val="{00000001-7189-4511-A106-3221F159D67C}"/>
            </c:ext>
          </c:extLst>
        </c:ser>
        <c:ser>
          <c:idx val="2"/>
          <c:order val="2"/>
          <c:tx>
            <c:strRef>
              <c:f>'Revenue required'!$G$146</c:f>
              <c:strCache>
                <c:ptCount val="1"/>
              </c:strCache>
            </c:strRef>
          </c:tx>
          <c:spPr>
            <a:solidFill>
              <a:schemeClr val="accent6"/>
            </a:solidFill>
            <a:ln>
              <a:solidFill>
                <a:schemeClr val="accent6"/>
              </a:solidFill>
            </a:ln>
            <a:effectLst/>
          </c:spPr>
          <c:invertIfNegative val="0"/>
          <c:dLbls>
            <c:spPr>
              <a:noFill/>
              <a:ln w="25400">
                <a:noFill/>
              </a:ln>
            </c:spPr>
            <c:txPr>
              <a:bodyPr wrap="square" lIns="38100" tIns="19050" rIns="38100" bIns="19050" anchor="ctr">
                <a:spAutoFit/>
              </a:bodyPr>
              <a:lstStyle/>
              <a:p>
                <a:pPr>
                  <a:defRPr sz="1100" b="0" i="0" u="none" strike="noStrike" baseline="0">
                    <a:solidFill>
                      <a:srgbClr val="333333"/>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'Revenue required'!$H$146:$I$146</c:f>
            </c:numRef>
          </c:val>
          <c:extLst>
            <c:ext xmlns:c15="http://schemas.microsoft.com/office/drawing/2012/chart" uri="{02D57815-91ED-43cb-92C2-25804820EDAC}">
              <c15:filteredCategoryTitle>
                <c15:cat>
                  <c:multiLvlStrRef>
                    <c:extLst>
                      <c:ext uri="{02D57815-91ED-43cb-92C2-25804820EDAC}">
                        <c15:formulaRef>
                          <c15:sqref>'Revenue required'!$H$143:$I$143</c15:sqref>
                        </c15:formulaRef>
                      </c:ext>
                    </c:extLst>
                  </c:multiLvlStrRef>
                </c15:cat>
              </c15:filteredCategoryTitle>
            </c:ext>
            <c:ext xmlns:c16="http://schemas.microsoft.com/office/drawing/2014/chart" uri="{C3380CC4-5D6E-409C-BE32-E72D297353CC}">
              <c16:uniqueId val="{00000002-7189-4511-A106-3221F159D67C}"/>
            </c:ext>
          </c:extLst>
        </c:ser>
        <c:ser>
          <c:idx val="4"/>
          <c:order val="3"/>
          <c:tx>
            <c:strRef>
              <c:f>'Revenue required'!$G$147</c:f>
              <c:strCache>
                <c:ptCount val="1"/>
              </c:strCache>
            </c:strRef>
          </c:tx>
          <c:spPr>
            <a:solidFill>
              <a:schemeClr val="accent3">
                <a:lumMod val="75000"/>
              </a:schemeClr>
            </a:solidFill>
            <a:ln>
              <a:solidFill>
                <a:schemeClr val="accent3">
                  <a:lumMod val="75000"/>
                </a:schemeClr>
              </a:solidFill>
            </a:ln>
            <a:effectLst/>
          </c:spPr>
          <c:invertIfNegative val="0"/>
          <c:dLbls>
            <c:spPr>
              <a:noFill/>
              <a:ln w="25400">
                <a:noFill/>
              </a:ln>
            </c:spPr>
            <c:txPr>
              <a:bodyPr wrap="square" lIns="38100" tIns="19050" rIns="38100" bIns="19050" anchor="ctr">
                <a:spAutoFit/>
              </a:bodyPr>
              <a:lstStyle/>
              <a:p>
                <a:pPr>
                  <a:defRPr sz="1100" b="0" i="0" u="none" strike="noStrike" baseline="0">
                    <a:solidFill>
                      <a:srgbClr val="333333"/>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'Revenue required'!$H$147:$I$147</c:f>
            </c:numRef>
          </c:val>
          <c:extLst>
            <c:ext xmlns:c15="http://schemas.microsoft.com/office/drawing/2012/chart" uri="{02D57815-91ED-43cb-92C2-25804820EDAC}">
              <c15:filteredCategoryTitle>
                <c15:cat>
                  <c:multiLvlStrRef>
                    <c:extLst>
                      <c:ext uri="{02D57815-91ED-43cb-92C2-25804820EDAC}">
                        <c15:formulaRef>
                          <c15:sqref>'Revenue required'!$H$143:$I$143</c15:sqref>
                        </c15:formulaRef>
                      </c:ext>
                    </c:extLst>
                  </c:multiLvlStrRef>
                </c15:cat>
              </c15:filteredCategoryTitle>
            </c:ext>
            <c:ext xmlns:c16="http://schemas.microsoft.com/office/drawing/2014/chart" uri="{C3380CC4-5D6E-409C-BE32-E72D297353CC}">
              <c16:uniqueId val="{00000003-7189-4511-A106-3221F159D67C}"/>
            </c:ext>
          </c:extLst>
        </c:ser>
        <c:ser>
          <c:idx val="5"/>
          <c:order val="4"/>
          <c:tx>
            <c:strRef>
              <c:f>'Revenue required'!$G$148</c:f>
              <c:strCache>
                <c:ptCount val="1"/>
                <c:pt idx="0">
                  <c:v>Non-tariff revenue</c:v>
                </c:pt>
              </c:strCache>
            </c:strRef>
          </c:tx>
          <c:spPr>
            <a:solidFill>
              <a:schemeClr val="accent3"/>
            </a:solidFill>
            <a:ln>
              <a:solidFill>
                <a:schemeClr val="accent3"/>
              </a:solidFill>
            </a:ln>
            <a:effectLst/>
          </c:spPr>
          <c:invertIfNegative val="0"/>
          <c:dLbls>
            <c:spPr>
              <a:noFill/>
              <a:ln w="25400">
                <a:noFill/>
              </a:ln>
            </c:spPr>
            <c:txPr>
              <a:bodyPr wrap="square" lIns="38100" tIns="19050" rIns="38100" bIns="19050" anchor="ctr">
                <a:spAutoFit/>
              </a:bodyPr>
              <a:lstStyle/>
              <a:p>
                <a:pPr>
                  <a:defRPr sz="1100" b="0" i="0" u="none" strike="noStrike" baseline="0">
                    <a:solidFill>
                      <a:srgbClr val="333333"/>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'Revenue required'!$H$148:$I$148</c:f>
            </c:numRef>
          </c:val>
          <c:extLst>
            <c:ext xmlns:c15="http://schemas.microsoft.com/office/drawing/2012/chart" uri="{02D57815-91ED-43cb-92C2-25804820EDAC}">
              <c15:filteredCategoryTitle>
                <c15:cat>
                  <c:multiLvlStrRef>
                    <c:extLst>
                      <c:ext uri="{02D57815-91ED-43cb-92C2-25804820EDAC}">
                        <c15:formulaRef>
                          <c15:sqref>'Revenue required'!$H$143:$I$143</c15:sqref>
                        </c15:formulaRef>
                      </c:ext>
                    </c:extLst>
                  </c:multiLvlStrRef>
                </c15:cat>
              </c15:filteredCategoryTitle>
            </c:ext>
            <c:ext xmlns:c16="http://schemas.microsoft.com/office/drawing/2014/chart" uri="{C3380CC4-5D6E-409C-BE32-E72D297353CC}">
              <c16:uniqueId val="{00000004-7189-4511-A106-3221F159D67C}"/>
            </c:ext>
          </c:extLst>
        </c:ser>
        <c:ser>
          <c:idx val="3"/>
          <c:order val="5"/>
          <c:tx>
            <c:strRef>
              <c:f>'Revenue required'!$G$149</c:f>
              <c:strCache>
                <c:ptCount val="1"/>
                <c:pt idx="0">
                  <c:v>Deficit</c:v>
                </c:pt>
              </c:strCache>
            </c:strRef>
          </c:tx>
          <c:spPr>
            <a:solidFill>
              <a:schemeClr val="accent2"/>
            </a:solidFill>
            <a:ln>
              <a:solidFill>
                <a:schemeClr val="accent2"/>
              </a:solidFill>
            </a:ln>
            <a:effectLst/>
          </c:spPr>
          <c:invertIfNegative val="0"/>
          <c:dLbls>
            <c:spPr>
              <a:noFill/>
              <a:ln w="25400">
                <a:noFill/>
              </a:ln>
            </c:spPr>
            <c:txPr>
              <a:bodyPr wrap="square" lIns="38100" tIns="19050" rIns="38100" bIns="19050" anchor="ctr">
                <a:spAutoFit/>
              </a:bodyPr>
              <a:lstStyle/>
              <a:p>
                <a:pPr>
                  <a:defRPr sz="1100" b="0" i="0" u="none" strike="noStrike" baseline="0">
                    <a:solidFill>
                      <a:srgbClr val="333333"/>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'Revenue required'!$H$149:$I$149</c:f>
            </c:numRef>
          </c:val>
          <c:extLst>
            <c:ext xmlns:c15="http://schemas.microsoft.com/office/drawing/2012/chart" uri="{02D57815-91ED-43cb-92C2-25804820EDAC}">
              <c15:filteredCategoryTitle>
                <c15:cat>
                  <c:multiLvlStrRef>
                    <c:extLst>
                      <c:ext uri="{02D57815-91ED-43cb-92C2-25804820EDAC}">
                        <c15:formulaRef>
                          <c15:sqref>'Revenue required'!$H$143:$I$143</c15:sqref>
                        </c15:formulaRef>
                      </c:ext>
                    </c:extLst>
                  </c:multiLvlStrRef>
                </c15:cat>
              </c15:filteredCategoryTitle>
            </c:ext>
            <c:ext xmlns:c16="http://schemas.microsoft.com/office/drawing/2014/chart" uri="{C3380CC4-5D6E-409C-BE32-E72D297353CC}">
              <c16:uniqueId val="{00000005-7189-4511-A106-3221F159D67C}"/>
            </c:ext>
          </c:extLst>
        </c:ser>
        <c:dLbls>
          <c:showLegendKey val="0"/>
          <c:showVal val="0"/>
          <c:showCatName val="0"/>
          <c:showSerName val="0"/>
          <c:showPercent val="0"/>
          <c:showBubbleSize val="0"/>
        </c:dLbls>
        <c:gapWidth val="25"/>
        <c:overlap val="100"/>
        <c:axId val="1390272559"/>
        <c:axId val="1"/>
      </c:barChart>
      <c:catAx>
        <c:axId val="1390272559"/>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0" vert="horz"/>
          <a:lstStyle/>
          <a:p>
            <a:pPr>
              <a:defRPr sz="1100" b="0" i="0" u="none" strike="noStrike" baseline="0">
                <a:solidFill>
                  <a:srgbClr val="333333"/>
                </a:solidFill>
                <a:latin typeface="Calibri"/>
                <a:ea typeface="Calibri"/>
                <a:cs typeface="Calibri"/>
              </a:defRPr>
            </a:pPr>
            <a:endParaRPr lang="en-US"/>
          </a:p>
        </c:txPr>
        <c:crossAx val="1"/>
        <c:crosses val="autoZero"/>
        <c:auto val="1"/>
        <c:lblAlgn val="ctr"/>
        <c:lblOffset val="100"/>
        <c:noMultiLvlLbl val="0"/>
      </c:catAx>
      <c:valAx>
        <c:axId val="1"/>
        <c:scaling>
          <c:orientation val="minMax"/>
        </c:scaling>
        <c:delete val="1"/>
        <c:axPos val="l"/>
        <c:majorGridlines>
          <c:spPr>
            <a:ln w="9525" cap="flat" cmpd="sng" algn="ctr">
              <a:solidFill>
                <a:schemeClr val="tx1">
                  <a:lumMod val="15000"/>
                  <a:lumOff val="85000"/>
                </a:schemeClr>
              </a:solidFill>
              <a:round/>
            </a:ln>
            <a:effectLst/>
          </c:spPr>
        </c:majorGridlines>
        <c:numFmt formatCode="0%" sourceLinked="1"/>
        <c:majorTickMark val="out"/>
        <c:minorTickMark val="none"/>
        <c:tickLblPos val="nextTo"/>
        <c:crossAx val="1390272559"/>
        <c:crosses val="autoZero"/>
        <c:crossBetween val="between"/>
      </c:valAx>
    </c:plotArea>
    <c:plotVisOnly val="1"/>
    <c:dispBlanksAs val="gap"/>
    <c:showDLblsOverMax val="0"/>
  </c:chart>
  <c:spPr>
    <a:solidFill>
      <a:schemeClr val="bg1"/>
    </a:solidFill>
    <a:ln w="9525" cap="flat" cmpd="sng" algn="ctr">
      <a:noFill/>
      <a:round/>
    </a:ln>
    <a:effectLst/>
  </c:spPr>
  <c:txPr>
    <a:bodyPr/>
    <a:lstStyle/>
    <a:p>
      <a:pPr>
        <a:defRPr sz="11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charts/chart5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320" b="0" i="0" u="none" strike="noStrike" baseline="0">
                <a:solidFill>
                  <a:srgbClr val="333333"/>
                </a:solidFill>
                <a:latin typeface="Calibri"/>
                <a:ea typeface="Calibri"/>
                <a:cs typeface="Calibri"/>
              </a:defRPr>
            </a:pPr>
            <a:r>
              <a:rPr lang="en-ZA"/>
              <a:t>Budget funding: water service: categories</a:t>
            </a:r>
          </a:p>
        </c:rich>
      </c:tx>
      <c:layout>
        <c:manualLayout>
          <c:xMode val="edge"/>
          <c:yMode val="edge"/>
          <c:x val="6.8346456692913393E-2"/>
          <c:y val="4.1609029640525708E-2"/>
        </c:manualLayout>
      </c:layout>
      <c:overlay val="0"/>
      <c:spPr>
        <a:noFill/>
        <a:ln w="25400">
          <a:noFill/>
        </a:ln>
      </c:spPr>
    </c:title>
    <c:autoTitleDeleted val="0"/>
    <c:plotArea>
      <c:layout/>
      <c:barChart>
        <c:barDir val="col"/>
        <c:grouping val="stacked"/>
        <c:varyColors val="0"/>
        <c:ser>
          <c:idx val="0"/>
          <c:order val="0"/>
          <c:tx>
            <c:strRef>
              <c:f>'Revenue required'!$D$154</c:f>
              <c:strCache>
                <c:ptCount val="1"/>
                <c:pt idx="0">
                  <c:v>Direct cost</c:v>
                </c:pt>
              </c:strCache>
            </c:strRef>
          </c:tx>
          <c:spPr>
            <a:solidFill>
              <a:schemeClr val="accent5"/>
            </a:solidFill>
          </c:spPr>
          <c:invertIfNegative val="0"/>
          <c:dLbls>
            <c:dLbl>
              <c:idx val="0"/>
              <c:tx>
                <c:strRef>
                  <c:f>'Revenue required'!$D$154</c:f>
                  <c:strCache>
                    <c:ptCount val="1"/>
                    <c:pt idx="0">
                      <c:v>Direct cost</c:v>
                    </c:pt>
                  </c:strCache>
                </c:strRef>
              </c:tx>
              <c:spPr>
                <a:noFill/>
                <a:ln w="25400">
                  <a:noFill/>
                </a:ln>
              </c:spPr>
              <c:txPr>
                <a:bodyPr/>
                <a:lstStyle/>
                <a:p>
                  <a:pPr>
                    <a:defRPr sz="1100" b="0" i="0" u="none" strike="noStrike" baseline="0">
                      <a:solidFill>
                        <a:srgbClr val="333333"/>
                      </a:solidFill>
                      <a:latin typeface="Calibri"/>
                      <a:ea typeface="Calibri"/>
                      <a:cs typeface="Calibri"/>
                    </a:defRPr>
                  </a:pPr>
                  <a:endParaRPr lang="en-US"/>
                </a:p>
              </c:txPr>
              <c:dLblPos val="ctr"/>
              <c:showLegendKey val="0"/>
              <c:showVal val="0"/>
              <c:showCatName val="0"/>
              <c:showSerName val="0"/>
              <c:showPercent val="0"/>
              <c:showBubbleSize val="0"/>
              <c:extLst>
                <c:ext xmlns:c15="http://schemas.microsoft.com/office/drawing/2012/chart" uri="{CE6537A1-D6FC-4f65-9D91-7224C49458BB}">
                  <c15:dlblFieldTable>
                    <c15:dlblFTEntry>
                      <c15:txfldGUID>{97A5A65C-2DE5-44A9-8532-C21516534B0F}</c15:txfldGUID>
                      <c15:f>'Revenue required'!$D$154</c15:f>
                      <c15:dlblFieldTableCache>
                        <c:ptCount val="1"/>
                        <c:pt idx="0">
                          <c:v>Direct cost</c:v>
                        </c:pt>
                      </c15:dlblFieldTableCache>
                    </c15:dlblFTEntry>
                  </c15:dlblFieldTable>
                  <c15:showDataLabelsRange val="0"/>
                </c:ext>
                <c:ext xmlns:c16="http://schemas.microsoft.com/office/drawing/2014/chart" uri="{C3380CC4-5D6E-409C-BE32-E72D297353CC}">
                  <c16:uniqueId val="{00000000-403A-4BC0-A459-7C5DB4B7620E}"/>
                </c:ext>
              </c:extLst>
            </c:dLbl>
            <c:spPr>
              <a:noFill/>
              <a:ln w="25400">
                <a:noFill/>
              </a:ln>
            </c:spPr>
            <c:txPr>
              <a:bodyPr wrap="square" lIns="38100" tIns="19050" rIns="38100" bIns="19050" anchor="ctr">
                <a:spAutoFit/>
              </a:bodyPr>
              <a:lstStyle/>
              <a:p>
                <a:pPr>
                  <a:defRPr sz="1100" b="0" i="0" u="none" strike="noStrike" baseline="0">
                    <a:solidFill>
                      <a:srgbClr val="333333"/>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'Revenue required'!$E$154:$F$154</c:f>
            </c:numRef>
          </c:val>
          <c:extLst>
            <c:ext xmlns:c15="http://schemas.microsoft.com/office/drawing/2012/chart" uri="{02D57815-91ED-43cb-92C2-25804820EDAC}">
              <c15:filteredCategoryTitle>
                <c15:cat>
                  <c:multiLvlStrRef>
                    <c:extLst>
                      <c:ext uri="{02D57815-91ED-43cb-92C2-25804820EDAC}">
                        <c15:formulaRef>
                          <c15:sqref>'Revenue required'!$E$153:$F$153</c15:sqref>
                        </c15:formulaRef>
                      </c:ext>
                    </c:extLst>
                  </c:multiLvlStrRef>
                </c15:cat>
              </c15:filteredCategoryTitle>
            </c:ext>
            <c:ext xmlns:c16="http://schemas.microsoft.com/office/drawing/2014/chart" uri="{C3380CC4-5D6E-409C-BE32-E72D297353CC}">
              <c16:uniqueId val="{00000001-403A-4BC0-A459-7C5DB4B7620E}"/>
            </c:ext>
          </c:extLst>
        </c:ser>
        <c:ser>
          <c:idx val="1"/>
          <c:order val="1"/>
          <c:tx>
            <c:strRef>
              <c:f>'Revenue required'!$D$155</c:f>
              <c:strCache>
                <c:ptCount val="1"/>
                <c:pt idx="0">
                  <c:v>Indirect cost</c:v>
                </c:pt>
              </c:strCache>
            </c:strRef>
          </c:tx>
          <c:spPr>
            <a:solidFill>
              <a:schemeClr val="accent5">
                <a:lumMod val="60000"/>
                <a:lumOff val="40000"/>
              </a:schemeClr>
            </a:solidFill>
          </c:spPr>
          <c:invertIfNegative val="0"/>
          <c:dLbls>
            <c:dLbl>
              <c:idx val="0"/>
              <c:tx>
                <c:strRef>
                  <c:f>'Revenue required'!$D$155</c:f>
                  <c:strCache>
                    <c:ptCount val="1"/>
                    <c:pt idx="0">
                      <c:v>Indirect cost</c:v>
                    </c:pt>
                  </c:strCache>
                </c:strRef>
              </c:tx>
              <c:spPr>
                <a:noFill/>
                <a:ln w="25400">
                  <a:noFill/>
                </a:ln>
              </c:spPr>
              <c:txPr>
                <a:bodyPr/>
                <a:lstStyle/>
                <a:p>
                  <a:pPr>
                    <a:defRPr sz="1100" b="0" i="0" u="none" strike="noStrike" baseline="0">
                      <a:solidFill>
                        <a:srgbClr val="333333"/>
                      </a:solidFill>
                      <a:latin typeface="Calibri"/>
                      <a:ea typeface="Calibri"/>
                      <a:cs typeface="Calibri"/>
                    </a:defRPr>
                  </a:pPr>
                  <a:endParaRPr lang="en-US"/>
                </a:p>
              </c:txPr>
              <c:dLblPos val="ctr"/>
              <c:showLegendKey val="0"/>
              <c:showVal val="0"/>
              <c:showCatName val="0"/>
              <c:showSerName val="0"/>
              <c:showPercent val="0"/>
              <c:showBubbleSize val="0"/>
              <c:extLst>
                <c:ext xmlns:c15="http://schemas.microsoft.com/office/drawing/2012/chart" uri="{CE6537A1-D6FC-4f65-9D91-7224C49458BB}">
                  <c15:dlblFieldTable>
                    <c15:dlblFTEntry>
                      <c15:txfldGUID>{A81E96C2-2A3A-401F-9188-AF3ED7694147}</c15:txfldGUID>
                      <c15:f>'Revenue required'!$D$155</c15:f>
                      <c15:dlblFieldTableCache>
                        <c:ptCount val="1"/>
                        <c:pt idx="0">
                          <c:v>Indirect cost</c:v>
                        </c:pt>
                      </c15:dlblFieldTableCache>
                    </c15:dlblFTEntry>
                  </c15:dlblFieldTable>
                  <c15:showDataLabelsRange val="0"/>
                </c:ext>
                <c:ext xmlns:c16="http://schemas.microsoft.com/office/drawing/2014/chart" uri="{C3380CC4-5D6E-409C-BE32-E72D297353CC}">
                  <c16:uniqueId val="{00000002-403A-4BC0-A459-7C5DB4B7620E}"/>
                </c:ext>
              </c:extLst>
            </c:dLbl>
            <c:spPr>
              <a:noFill/>
              <a:ln w="25400">
                <a:noFill/>
              </a:ln>
            </c:spPr>
            <c:txPr>
              <a:bodyPr wrap="square" lIns="38100" tIns="19050" rIns="38100" bIns="19050" anchor="ctr">
                <a:spAutoFit/>
              </a:bodyPr>
              <a:lstStyle/>
              <a:p>
                <a:pPr>
                  <a:defRPr sz="1100" b="0" i="0" u="none" strike="noStrike" baseline="0">
                    <a:solidFill>
                      <a:srgbClr val="333333"/>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'Revenue required'!$E$155:$F$155</c:f>
            </c:numRef>
          </c:val>
          <c:extLst>
            <c:ext xmlns:c15="http://schemas.microsoft.com/office/drawing/2012/chart" uri="{02D57815-91ED-43cb-92C2-25804820EDAC}">
              <c15:filteredCategoryTitle>
                <c15:cat>
                  <c:multiLvlStrRef>
                    <c:extLst>
                      <c:ext uri="{02D57815-91ED-43cb-92C2-25804820EDAC}">
                        <c15:formulaRef>
                          <c15:sqref>'Revenue required'!$E$153:$F$153</c15:sqref>
                        </c15:formulaRef>
                      </c:ext>
                    </c:extLst>
                  </c:multiLvlStrRef>
                </c15:cat>
              </c15:filteredCategoryTitle>
            </c:ext>
            <c:ext xmlns:c16="http://schemas.microsoft.com/office/drawing/2014/chart" uri="{C3380CC4-5D6E-409C-BE32-E72D297353CC}">
              <c16:uniqueId val="{00000003-403A-4BC0-A459-7C5DB4B7620E}"/>
            </c:ext>
          </c:extLst>
        </c:ser>
        <c:ser>
          <c:idx val="2"/>
          <c:order val="2"/>
          <c:tx>
            <c:strRef>
              <c:f>'Revenue required'!$D$156</c:f>
              <c:strCache>
                <c:ptCount val="1"/>
              </c:strCache>
            </c:strRef>
          </c:tx>
          <c:spPr>
            <a:solidFill>
              <a:schemeClr val="accent6"/>
            </a:solidFill>
          </c:spPr>
          <c:invertIfNegative val="0"/>
          <c:dLbls>
            <c:dLbl>
              <c:idx val="0"/>
              <c:tx>
                <c:strRef>
                  <c:f>'Revenue required'!$D$156</c:f>
                  <c:strCache>
                    <c:ptCount val="1"/>
                  </c:strCache>
                </c:strRef>
              </c:tx>
              <c:spPr>
                <a:noFill/>
                <a:ln w="25400">
                  <a:noFill/>
                </a:ln>
              </c:spPr>
              <c:txPr>
                <a:bodyPr/>
                <a:lstStyle/>
                <a:p>
                  <a:pPr>
                    <a:defRPr sz="1100" b="0" i="0" u="none" strike="noStrike" baseline="0">
                      <a:solidFill>
                        <a:srgbClr val="333333"/>
                      </a:solidFill>
                      <a:latin typeface="Calibri"/>
                      <a:ea typeface="Calibri"/>
                      <a:cs typeface="Calibri"/>
                    </a:defRPr>
                  </a:pPr>
                  <a:endParaRPr lang="en-US"/>
                </a:p>
              </c:txPr>
              <c:dLblPos val="ctr"/>
              <c:showLegendKey val="0"/>
              <c:showVal val="0"/>
              <c:showCatName val="0"/>
              <c:showSerName val="0"/>
              <c:showPercent val="0"/>
              <c:showBubbleSize val="0"/>
              <c:extLst>
                <c:ext xmlns:c15="http://schemas.microsoft.com/office/drawing/2012/chart" uri="{CE6537A1-D6FC-4f65-9D91-7224C49458BB}">
                  <c15:dlblFieldTable>
                    <c15:dlblFTEntry>
                      <c15:txfldGUID>{DD015B4F-F37E-45E6-9BCA-4C70E34A50E2}</c15:txfldGUID>
                      <c15:f>'Revenue required'!$D$156</c15:f>
                      <c15:dlblFieldTableCache>
                        <c:ptCount val="1"/>
                      </c15:dlblFieldTableCache>
                    </c15:dlblFTEntry>
                  </c15:dlblFieldTable>
                  <c15:showDataLabelsRange val="0"/>
                </c:ext>
                <c:ext xmlns:c16="http://schemas.microsoft.com/office/drawing/2014/chart" uri="{C3380CC4-5D6E-409C-BE32-E72D297353CC}">
                  <c16:uniqueId val="{00000004-403A-4BC0-A459-7C5DB4B7620E}"/>
                </c:ext>
              </c:extLst>
            </c:dLbl>
            <c:spPr>
              <a:noFill/>
              <a:ln w="25400">
                <a:noFill/>
              </a:ln>
            </c:spPr>
            <c:txPr>
              <a:bodyPr wrap="square" lIns="38100" tIns="19050" rIns="38100" bIns="19050" anchor="ctr">
                <a:spAutoFit/>
              </a:bodyPr>
              <a:lstStyle/>
              <a:p>
                <a:pPr>
                  <a:defRPr sz="1100" b="0" i="0" u="none" strike="noStrike" baseline="0">
                    <a:solidFill>
                      <a:srgbClr val="333333"/>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'Revenue required'!$E$156:$F$156</c:f>
            </c:numRef>
          </c:val>
          <c:extLst>
            <c:ext xmlns:c15="http://schemas.microsoft.com/office/drawing/2012/chart" uri="{02D57815-91ED-43cb-92C2-25804820EDAC}">
              <c15:filteredCategoryTitle>
                <c15:cat>
                  <c:multiLvlStrRef>
                    <c:extLst>
                      <c:ext uri="{02D57815-91ED-43cb-92C2-25804820EDAC}">
                        <c15:formulaRef>
                          <c15:sqref>'Revenue required'!$E$153:$F$153</c15:sqref>
                        </c15:formulaRef>
                      </c:ext>
                    </c:extLst>
                  </c:multiLvlStrRef>
                </c15:cat>
              </c15:filteredCategoryTitle>
            </c:ext>
            <c:ext xmlns:c16="http://schemas.microsoft.com/office/drawing/2014/chart" uri="{C3380CC4-5D6E-409C-BE32-E72D297353CC}">
              <c16:uniqueId val="{00000005-403A-4BC0-A459-7C5DB4B7620E}"/>
            </c:ext>
          </c:extLst>
        </c:ser>
        <c:ser>
          <c:idx val="4"/>
          <c:order val="3"/>
          <c:tx>
            <c:strRef>
              <c:f>'Revenue required'!$D$157</c:f>
              <c:strCache>
                <c:ptCount val="1"/>
                <c:pt idx="0">
                  <c:v>Tariff revenue</c:v>
                </c:pt>
              </c:strCache>
            </c:strRef>
          </c:tx>
          <c:spPr>
            <a:solidFill>
              <a:schemeClr val="accent3">
                <a:lumMod val="75000"/>
              </a:schemeClr>
            </a:solidFill>
          </c:spPr>
          <c:invertIfNegative val="0"/>
          <c:dLbls>
            <c:dLbl>
              <c:idx val="1"/>
              <c:tx>
                <c:strRef>
                  <c:f>'Revenue required'!$D$157</c:f>
                  <c:strCache>
                    <c:ptCount val="1"/>
                    <c:pt idx="0">
                      <c:v>Tariff revenue</c:v>
                    </c:pt>
                  </c:strCache>
                </c:strRef>
              </c:tx>
              <c:spPr>
                <a:noFill/>
                <a:ln w="25400">
                  <a:noFill/>
                </a:ln>
              </c:spPr>
              <c:txPr>
                <a:bodyPr/>
                <a:lstStyle/>
                <a:p>
                  <a:pPr>
                    <a:defRPr sz="1100" b="0" i="0" u="none" strike="noStrike" baseline="0">
                      <a:solidFill>
                        <a:srgbClr val="333333"/>
                      </a:solidFill>
                      <a:latin typeface="Calibri"/>
                      <a:ea typeface="Calibri"/>
                      <a:cs typeface="Calibri"/>
                    </a:defRPr>
                  </a:pPr>
                  <a:endParaRPr lang="en-US"/>
                </a:p>
              </c:txPr>
              <c:dLblPos val="ctr"/>
              <c:showLegendKey val="0"/>
              <c:showVal val="0"/>
              <c:showCatName val="0"/>
              <c:showSerName val="0"/>
              <c:showPercent val="0"/>
              <c:showBubbleSize val="0"/>
              <c:extLst>
                <c:ext xmlns:c15="http://schemas.microsoft.com/office/drawing/2012/chart" uri="{CE6537A1-D6FC-4f65-9D91-7224C49458BB}">
                  <c15:dlblFieldTable>
                    <c15:dlblFTEntry>
                      <c15:txfldGUID>{3E4AE246-5723-42D8-AE94-07949F1F591D}</c15:txfldGUID>
                      <c15:f>'Revenue required'!$D$157</c15:f>
                      <c15:dlblFieldTableCache>
                        <c:ptCount val="1"/>
                        <c:pt idx="0">
                          <c:v>Tariff revenue</c:v>
                        </c:pt>
                      </c15:dlblFieldTableCache>
                    </c15:dlblFTEntry>
                  </c15:dlblFieldTable>
                  <c15:showDataLabelsRange val="0"/>
                </c:ext>
                <c:ext xmlns:c16="http://schemas.microsoft.com/office/drawing/2014/chart" uri="{C3380CC4-5D6E-409C-BE32-E72D297353CC}">
                  <c16:uniqueId val="{00000006-403A-4BC0-A459-7C5DB4B7620E}"/>
                </c:ext>
              </c:extLst>
            </c:dLbl>
            <c:spPr>
              <a:noFill/>
              <a:ln w="25400">
                <a:noFill/>
              </a:ln>
            </c:spPr>
            <c:txPr>
              <a:bodyPr wrap="square" lIns="38100" tIns="19050" rIns="38100" bIns="19050" anchor="ctr">
                <a:spAutoFit/>
              </a:bodyPr>
              <a:lstStyle/>
              <a:p>
                <a:pPr>
                  <a:defRPr sz="1100" b="0" i="0" u="none" strike="noStrike" baseline="0">
                    <a:solidFill>
                      <a:srgbClr val="333333"/>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'Revenue required'!$E$157:$F$157</c:f>
            </c:numRef>
          </c:val>
          <c:extLst>
            <c:ext xmlns:c15="http://schemas.microsoft.com/office/drawing/2012/chart" uri="{02D57815-91ED-43cb-92C2-25804820EDAC}">
              <c15:filteredCategoryTitle>
                <c15:cat>
                  <c:multiLvlStrRef>
                    <c:extLst>
                      <c:ext uri="{02D57815-91ED-43cb-92C2-25804820EDAC}">
                        <c15:formulaRef>
                          <c15:sqref>'Revenue required'!$E$153:$F$153</c15:sqref>
                        </c15:formulaRef>
                      </c:ext>
                    </c:extLst>
                  </c:multiLvlStrRef>
                </c15:cat>
              </c15:filteredCategoryTitle>
            </c:ext>
            <c:ext xmlns:c16="http://schemas.microsoft.com/office/drawing/2014/chart" uri="{C3380CC4-5D6E-409C-BE32-E72D297353CC}">
              <c16:uniqueId val="{00000007-403A-4BC0-A459-7C5DB4B7620E}"/>
            </c:ext>
          </c:extLst>
        </c:ser>
        <c:ser>
          <c:idx val="5"/>
          <c:order val="4"/>
          <c:tx>
            <c:strRef>
              <c:f>'Revenue required'!$D$158</c:f>
              <c:strCache>
                <c:ptCount val="1"/>
                <c:pt idx="0">
                  <c:v>Non-tariff revenue</c:v>
                </c:pt>
              </c:strCache>
            </c:strRef>
          </c:tx>
          <c:spPr>
            <a:solidFill>
              <a:schemeClr val="accent3"/>
            </a:solidFill>
          </c:spPr>
          <c:invertIfNegative val="0"/>
          <c:dLbls>
            <c:dLbl>
              <c:idx val="1"/>
              <c:tx>
                <c:strRef>
                  <c:f>'Revenue required'!$D$158</c:f>
                  <c:strCache>
                    <c:ptCount val="1"/>
                    <c:pt idx="0">
                      <c:v>Non-tariff revenue</c:v>
                    </c:pt>
                  </c:strCache>
                </c:strRef>
              </c:tx>
              <c:spPr>
                <a:noFill/>
                <a:ln w="25400">
                  <a:noFill/>
                </a:ln>
              </c:spPr>
              <c:txPr>
                <a:bodyPr/>
                <a:lstStyle/>
                <a:p>
                  <a:pPr>
                    <a:defRPr sz="1100" b="0" i="0" u="none" strike="noStrike" baseline="0">
                      <a:solidFill>
                        <a:srgbClr val="333333"/>
                      </a:solidFill>
                      <a:latin typeface="Calibri"/>
                      <a:ea typeface="Calibri"/>
                      <a:cs typeface="Calibri"/>
                    </a:defRPr>
                  </a:pPr>
                  <a:endParaRPr lang="en-US"/>
                </a:p>
              </c:txPr>
              <c:dLblPos val="ctr"/>
              <c:showLegendKey val="0"/>
              <c:showVal val="0"/>
              <c:showCatName val="0"/>
              <c:showSerName val="0"/>
              <c:showPercent val="0"/>
              <c:showBubbleSize val="0"/>
              <c:extLst>
                <c:ext xmlns:c15="http://schemas.microsoft.com/office/drawing/2012/chart" uri="{CE6537A1-D6FC-4f65-9D91-7224C49458BB}">
                  <c15:dlblFieldTable>
                    <c15:dlblFTEntry>
                      <c15:txfldGUID>{FCC8549F-7D5C-484A-8EB4-AC09AF92E459}</c15:txfldGUID>
                      <c15:f>'Revenue required'!$D$158</c15:f>
                      <c15:dlblFieldTableCache>
                        <c:ptCount val="1"/>
                        <c:pt idx="0">
                          <c:v>Non-tariff revenue</c:v>
                        </c:pt>
                      </c15:dlblFieldTableCache>
                    </c15:dlblFTEntry>
                  </c15:dlblFieldTable>
                  <c15:showDataLabelsRange val="0"/>
                </c:ext>
                <c:ext xmlns:c16="http://schemas.microsoft.com/office/drawing/2014/chart" uri="{C3380CC4-5D6E-409C-BE32-E72D297353CC}">
                  <c16:uniqueId val="{00000008-403A-4BC0-A459-7C5DB4B7620E}"/>
                </c:ext>
              </c:extLst>
            </c:dLbl>
            <c:spPr>
              <a:noFill/>
              <a:ln w="25400">
                <a:noFill/>
              </a:ln>
            </c:spPr>
            <c:txPr>
              <a:bodyPr wrap="square" lIns="38100" tIns="19050" rIns="38100" bIns="19050" anchor="ctr">
                <a:spAutoFit/>
              </a:bodyPr>
              <a:lstStyle/>
              <a:p>
                <a:pPr>
                  <a:defRPr sz="1100" b="0" i="0" u="none" strike="noStrike" baseline="0">
                    <a:solidFill>
                      <a:srgbClr val="333333"/>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'Revenue required'!$E$158:$F$158</c:f>
            </c:numRef>
          </c:val>
          <c:extLst>
            <c:ext xmlns:c15="http://schemas.microsoft.com/office/drawing/2012/chart" uri="{02D57815-91ED-43cb-92C2-25804820EDAC}">
              <c15:filteredCategoryTitle>
                <c15:cat>
                  <c:multiLvlStrRef>
                    <c:extLst>
                      <c:ext uri="{02D57815-91ED-43cb-92C2-25804820EDAC}">
                        <c15:formulaRef>
                          <c15:sqref>'Revenue required'!$E$153:$F$153</c15:sqref>
                        </c15:formulaRef>
                      </c:ext>
                    </c:extLst>
                  </c:multiLvlStrRef>
                </c15:cat>
              </c15:filteredCategoryTitle>
            </c:ext>
            <c:ext xmlns:c16="http://schemas.microsoft.com/office/drawing/2014/chart" uri="{C3380CC4-5D6E-409C-BE32-E72D297353CC}">
              <c16:uniqueId val="{00000009-403A-4BC0-A459-7C5DB4B7620E}"/>
            </c:ext>
          </c:extLst>
        </c:ser>
        <c:ser>
          <c:idx val="3"/>
          <c:order val="5"/>
          <c:tx>
            <c:strRef>
              <c:f>'Revenue required'!$D$159</c:f>
              <c:strCache>
                <c:ptCount val="1"/>
              </c:strCache>
            </c:strRef>
          </c:tx>
          <c:invertIfNegative val="0"/>
          <c:dLbls>
            <c:dLbl>
              <c:idx val="1"/>
              <c:tx>
                <c:strRef>
                  <c:f>'Revenue required'!$D$159</c:f>
                  <c:strCache>
                    <c:ptCount val="1"/>
                  </c:strCache>
                </c:strRef>
              </c:tx>
              <c:spPr>
                <a:noFill/>
                <a:ln w="25400">
                  <a:noFill/>
                </a:ln>
              </c:spPr>
              <c:txPr>
                <a:bodyPr/>
                <a:lstStyle/>
                <a:p>
                  <a:pPr>
                    <a:defRPr sz="1100" b="0" i="0" u="none" strike="noStrike" baseline="0">
                      <a:solidFill>
                        <a:srgbClr val="333333"/>
                      </a:solidFill>
                      <a:latin typeface="Calibri"/>
                      <a:ea typeface="Calibri"/>
                      <a:cs typeface="Calibri"/>
                    </a:defRPr>
                  </a:pPr>
                  <a:endParaRPr lang="en-US"/>
                </a:p>
              </c:txPr>
              <c:dLblPos val="ctr"/>
              <c:showLegendKey val="0"/>
              <c:showVal val="0"/>
              <c:showCatName val="0"/>
              <c:showSerName val="0"/>
              <c:showPercent val="0"/>
              <c:showBubbleSize val="0"/>
              <c:extLst>
                <c:ext xmlns:c15="http://schemas.microsoft.com/office/drawing/2012/chart" uri="{CE6537A1-D6FC-4f65-9D91-7224C49458BB}">
                  <c15:dlblFieldTable>
                    <c15:dlblFTEntry>
                      <c15:txfldGUID>{E117DEA8-F983-4EFA-B5C6-D41E9D526DC7}</c15:txfldGUID>
                      <c15:f>'Revenue required'!$D$159</c15:f>
                      <c15:dlblFieldTableCache>
                        <c:ptCount val="1"/>
                      </c15:dlblFieldTableCache>
                    </c15:dlblFTEntry>
                  </c15:dlblFieldTable>
                  <c15:showDataLabelsRange val="0"/>
                </c:ext>
                <c:ext xmlns:c16="http://schemas.microsoft.com/office/drawing/2014/chart" uri="{C3380CC4-5D6E-409C-BE32-E72D297353CC}">
                  <c16:uniqueId val="{0000000A-403A-4BC0-A459-7C5DB4B7620E}"/>
                </c:ext>
              </c:extLst>
            </c:dLbl>
            <c:spPr>
              <a:noFill/>
              <a:ln w="25400">
                <a:noFill/>
              </a:ln>
            </c:spPr>
            <c:txPr>
              <a:bodyPr wrap="square" lIns="38100" tIns="19050" rIns="38100" bIns="19050" anchor="ctr">
                <a:spAutoFit/>
              </a:bodyPr>
              <a:lstStyle/>
              <a:p>
                <a:pPr>
                  <a:defRPr sz="1100" b="0" i="0" u="none" strike="noStrike" baseline="0">
                    <a:solidFill>
                      <a:srgbClr val="333333"/>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'Revenue required'!$E$159:$F$159</c:f>
            </c:numRef>
          </c:val>
          <c:extLst>
            <c:ext xmlns:c15="http://schemas.microsoft.com/office/drawing/2012/chart" uri="{02D57815-91ED-43cb-92C2-25804820EDAC}">
              <c15:filteredCategoryTitle>
                <c15:cat>
                  <c:multiLvlStrRef>
                    <c:extLst>
                      <c:ext uri="{02D57815-91ED-43cb-92C2-25804820EDAC}">
                        <c15:formulaRef>
                          <c15:sqref>'Revenue required'!$E$153:$F$153</c15:sqref>
                        </c15:formulaRef>
                      </c:ext>
                    </c:extLst>
                  </c:multiLvlStrRef>
                </c15:cat>
              </c15:filteredCategoryTitle>
            </c:ext>
            <c:ext xmlns:c16="http://schemas.microsoft.com/office/drawing/2014/chart" uri="{C3380CC4-5D6E-409C-BE32-E72D297353CC}">
              <c16:uniqueId val="{0000000B-403A-4BC0-A459-7C5DB4B7620E}"/>
            </c:ext>
          </c:extLst>
        </c:ser>
        <c:dLbls>
          <c:showLegendKey val="0"/>
          <c:showVal val="0"/>
          <c:showCatName val="0"/>
          <c:showSerName val="0"/>
          <c:showPercent val="0"/>
          <c:showBubbleSize val="0"/>
        </c:dLbls>
        <c:gapWidth val="25"/>
        <c:overlap val="100"/>
        <c:axId val="1390294159"/>
        <c:axId val="1"/>
      </c:barChart>
      <c:catAx>
        <c:axId val="1390294159"/>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0" vert="horz"/>
          <a:lstStyle/>
          <a:p>
            <a:pPr>
              <a:defRPr sz="1100" b="0" i="0" u="none" strike="noStrike" baseline="0">
                <a:solidFill>
                  <a:srgbClr val="333333"/>
                </a:solidFill>
                <a:latin typeface="Calibri"/>
                <a:ea typeface="Calibri"/>
                <a:cs typeface="Calibri"/>
              </a:defRPr>
            </a:pPr>
            <a:endParaRPr lang="en-US"/>
          </a:p>
        </c:txPr>
        <c:crossAx val="1"/>
        <c:crosses val="autoZero"/>
        <c:auto val="1"/>
        <c:lblAlgn val="ctr"/>
        <c:lblOffset val="100"/>
        <c:noMultiLvlLbl val="0"/>
      </c:catAx>
      <c:valAx>
        <c:axId val="1"/>
        <c:scaling>
          <c:orientation val="minMax"/>
        </c:scaling>
        <c:delete val="1"/>
        <c:axPos val="l"/>
        <c:majorGridlines>
          <c:spPr>
            <a:ln w="9525" cap="flat" cmpd="sng" algn="ctr">
              <a:solidFill>
                <a:schemeClr val="tx1">
                  <a:lumMod val="15000"/>
                  <a:lumOff val="85000"/>
                </a:schemeClr>
              </a:solidFill>
              <a:round/>
            </a:ln>
            <a:effectLst/>
          </c:spPr>
        </c:majorGridlines>
        <c:numFmt formatCode="_-* #\ ##0_-;\-* #\ ##0_-;_-* &quot;-&quot;??_-;_-@_-" sourceLinked="1"/>
        <c:majorTickMark val="out"/>
        <c:minorTickMark val="none"/>
        <c:tickLblPos val="nextTo"/>
        <c:crossAx val="1390294159"/>
        <c:crosses val="autoZero"/>
        <c:crossBetween val="between"/>
      </c:valAx>
    </c:plotArea>
    <c:plotVisOnly val="1"/>
    <c:dispBlanksAs val="gap"/>
    <c:showDLblsOverMax val="0"/>
  </c:chart>
  <c:spPr>
    <a:solidFill>
      <a:schemeClr val="bg1"/>
    </a:solidFill>
    <a:ln w="9525" cap="flat" cmpd="sng" algn="ctr">
      <a:noFill/>
      <a:round/>
    </a:ln>
    <a:effectLst/>
  </c:spPr>
  <c:txPr>
    <a:bodyPr/>
    <a:lstStyle/>
    <a:p>
      <a:pPr>
        <a:defRPr sz="11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charts/chart5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320" b="0" i="0" u="none" strike="noStrike" baseline="0">
                <a:solidFill>
                  <a:srgbClr val="333333"/>
                </a:solidFill>
                <a:latin typeface="Calibri"/>
                <a:ea typeface="Calibri"/>
                <a:cs typeface="Calibri"/>
              </a:defRPr>
            </a:pPr>
            <a:r>
              <a:rPr lang="en-ZA"/>
              <a:t>Budget funding: water service R'000</a:t>
            </a:r>
          </a:p>
        </c:rich>
      </c:tx>
      <c:layout>
        <c:manualLayout>
          <c:xMode val="edge"/>
          <c:yMode val="edge"/>
          <c:x val="6.4499571962106886E-2"/>
          <c:y val="3.2407487525597758E-2"/>
        </c:manualLayout>
      </c:layout>
      <c:overlay val="0"/>
      <c:spPr>
        <a:noFill/>
        <a:ln w="25400">
          <a:noFill/>
        </a:ln>
      </c:spPr>
    </c:title>
    <c:autoTitleDeleted val="0"/>
    <c:plotArea>
      <c:layout/>
      <c:barChart>
        <c:barDir val="col"/>
        <c:grouping val="stacked"/>
        <c:varyColors val="0"/>
        <c:ser>
          <c:idx val="0"/>
          <c:order val="0"/>
          <c:tx>
            <c:strRef>
              <c:f>'Revenue required'!$D$154</c:f>
              <c:strCache>
                <c:ptCount val="1"/>
                <c:pt idx="0">
                  <c:v>Direct cost</c:v>
                </c:pt>
              </c:strCache>
            </c:strRef>
          </c:tx>
          <c:spPr>
            <a:solidFill>
              <a:schemeClr val="accent5"/>
            </a:solidFill>
          </c:spPr>
          <c:invertIfNegative val="0"/>
          <c:dLbls>
            <c:dLbl>
              <c:idx val="0"/>
              <c:tx>
                <c:strRef>
                  <c:f>'Revenue required'!$E$154</c:f>
                  <c:strCache>
                    <c:ptCount val="1"/>
                    <c:pt idx="0">
                      <c:v> 97 283 </c:v>
                    </c:pt>
                  </c:strCache>
                </c:strRef>
              </c:tx>
              <c:spPr>
                <a:noFill/>
                <a:ln w="25400">
                  <a:noFill/>
                </a:ln>
              </c:spPr>
              <c:txPr>
                <a:bodyPr/>
                <a:lstStyle/>
                <a:p>
                  <a:pPr>
                    <a:defRPr sz="1100" b="0" i="0" u="none" strike="noStrike" baseline="0">
                      <a:solidFill>
                        <a:srgbClr val="333333"/>
                      </a:solidFill>
                      <a:latin typeface="Calibri"/>
                      <a:ea typeface="Calibri"/>
                      <a:cs typeface="Calibri"/>
                    </a:defRPr>
                  </a:pPr>
                  <a:endParaRPr lang="en-US"/>
                </a:p>
              </c:txPr>
              <c:dLblPos val="ctr"/>
              <c:showLegendKey val="0"/>
              <c:showVal val="0"/>
              <c:showCatName val="0"/>
              <c:showSerName val="0"/>
              <c:showPercent val="0"/>
              <c:showBubbleSize val="0"/>
              <c:extLst>
                <c:ext xmlns:c15="http://schemas.microsoft.com/office/drawing/2012/chart" uri="{CE6537A1-D6FC-4f65-9D91-7224C49458BB}">
                  <c15:dlblFieldTable>
                    <c15:dlblFTEntry>
                      <c15:txfldGUID>{49EFED45-2DC6-4F5C-AEF8-693F8FAE6258}</c15:txfldGUID>
                      <c15:f>'Revenue required'!$E$154</c15:f>
                      <c15:dlblFieldTableCache>
                        <c:ptCount val="1"/>
                        <c:pt idx="0">
                          <c:v> 97 283 </c:v>
                        </c:pt>
                      </c15:dlblFieldTableCache>
                    </c15:dlblFTEntry>
                  </c15:dlblFieldTable>
                  <c15:showDataLabelsRange val="0"/>
                </c:ext>
                <c:ext xmlns:c16="http://schemas.microsoft.com/office/drawing/2014/chart" uri="{C3380CC4-5D6E-409C-BE32-E72D297353CC}">
                  <c16:uniqueId val="{00000000-DE3B-49BB-931E-D1D0406479FC}"/>
                </c:ext>
              </c:extLst>
            </c:dLbl>
            <c:spPr>
              <a:noFill/>
              <a:ln w="25400">
                <a:noFill/>
              </a:ln>
            </c:spPr>
            <c:txPr>
              <a:bodyPr wrap="square" lIns="38100" tIns="19050" rIns="38100" bIns="19050" anchor="ctr">
                <a:spAutoFit/>
              </a:bodyPr>
              <a:lstStyle/>
              <a:p>
                <a:pPr>
                  <a:defRPr sz="1100" b="0" i="0" u="none" strike="noStrike" baseline="0">
                    <a:solidFill>
                      <a:srgbClr val="333333"/>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'Revenue required'!$E$154:$F$154</c:f>
            </c:numRef>
          </c:val>
          <c:extLst>
            <c:ext xmlns:c15="http://schemas.microsoft.com/office/drawing/2012/chart" uri="{02D57815-91ED-43cb-92C2-25804820EDAC}">
              <c15:filteredCategoryTitle>
                <c15:cat>
                  <c:multiLvlStrRef>
                    <c:extLst>
                      <c:ext uri="{02D57815-91ED-43cb-92C2-25804820EDAC}">
                        <c15:formulaRef>
                          <c15:sqref>'Revenue required'!$E$153:$F$153</c15:sqref>
                        </c15:formulaRef>
                      </c:ext>
                    </c:extLst>
                  </c:multiLvlStrRef>
                </c15:cat>
              </c15:filteredCategoryTitle>
            </c:ext>
            <c:ext xmlns:c16="http://schemas.microsoft.com/office/drawing/2014/chart" uri="{C3380CC4-5D6E-409C-BE32-E72D297353CC}">
              <c16:uniqueId val="{00000001-DE3B-49BB-931E-D1D0406479FC}"/>
            </c:ext>
          </c:extLst>
        </c:ser>
        <c:ser>
          <c:idx val="1"/>
          <c:order val="1"/>
          <c:tx>
            <c:strRef>
              <c:f>'Revenue required'!$D$155</c:f>
              <c:strCache>
                <c:ptCount val="1"/>
                <c:pt idx="0">
                  <c:v>Indirect cost</c:v>
                </c:pt>
              </c:strCache>
            </c:strRef>
          </c:tx>
          <c:spPr>
            <a:solidFill>
              <a:schemeClr val="accent5">
                <a:lumMod val="60000"/>
                <a:lumOff val="40000"/>
              </a:schemeClr>
            </a:solidFill>
          </c:spPr>
          <c:invertIfNegative val="0"/>
          <c:dLbls>
            <c:dLbl>
              <c:idx val="0"/>
              <c:tx>
                <c:rich>
                  <a:bodyPr/>
                  <a:lstStyle/>
                  <a:p>
                    <a:pPr>
                      <a:defRPr sz="1100" b="0" i="0" u="none" strike="noStrike" baseline="0">
                        <a:solidFill>
                          <a:srgbClr val="333333"/>
                        </a:solidFill>
                        <a:latin typeface="Calibri"/>
                        <a:ea typeface="Calibri"/>
                        <a:cs typeface="Calibri"/>
                      </a:defRPr>
                    </a:pPr>
                    <a:r>
                      <a:rPr lang="en-ZA"/>
                      <a:t>[VALUE]</a:t>
                    </a:r>
                  </a:p>
                </c:rich>
              </c:tx>
              <c:spPr>
                <a:noFill/>
                <a:ln w="25400">
                  <a:noFill/>
                </a:ln>
              </c:spPr>
              <c:dLblPos val="ctr"/>
              <c:showLegendKey val="0"/>
              <c:showVal val="0"/>
              <c:showCatName val="0"/>
              <c:showSerName val="0"/>
              <c:showPercent val="0"/>
              <c:showBubbleSize val="0"/>
              <c:extLst>
                <c:ext xmlns:c15="http://schemas.microsoft.com/office/drawing/2012/chart" uri="{CE6537A1-D6FC-4f65-9D91-7224C49458BB}">
                  <c15:showDataLabelsRange val="0"/>
                </c:ext>
                <c:ext xmlns:c16="http://schemas.microsoft.com/office/drawing/2014/chart" uri="{C3380CC4-5D6E-409C-BE32-E72D297353CC}">
                  <c16:uniqueId val="{00000002-DE3B-49BB-931E-D1D0406479FC}"/>
                </c:ext>
              </c:extLst>
            </c:dLbl>
            <c:spPr>
              <a:noFill/>
              <a:ln w="25400">
                <a:noFill/>
              </a:ln>
            </c:spPr>
            <c:txPr>
              <a:bodyPr wrap="square" lIns="38100" tIns="19050" rIns="38100" bIns="19050" anchor="ctr">
                <a:spAutoFit/>
              </a:bodyPr>
              <a:lstStyle/>
              <a:p>
                <a:pPr>
                  <a:defRPr sz="1100" b="0" i="0" u="none" strike="noStrike" baseline="0">
                    <a:solidFill>
                      <a:srgbClr val="333333"/>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'Revenue required'!$E$155:$F$155</c:f>
            </c:numRef>
          </c:val>
          <c:extLst>
            <c:ext xmlns:c15="http://schemas.microsoft.com/office/drawing/2012/chart" uri="{02D57815-91ED-43cb-92C2-25804820EDAC}">
              <c15:filteredCategoryTitle>
                <c15:cat>
                  <c:multiLvlStrRef>
                    <c:extLst>
                      <c:ext uri="{02D57815-91ED-43cb-92C2-25804820EDAC}">
                        <c15:formulaRef>
                          <c15:sqref>'Revenue required'!$E$153:$F$153</c15:sqref>
                        </c15:formulaRef>
                      </c:ext>
                    </c:extLst>
                  </c:multiLvlStrRef>
                </c15:cat>
              </c15:filteredCategoryTitle>
            </c:ext>
            <c:ext xmlns:c16="http://schemas.microsoft.com/office/drawing/2014/chart" uri="{C3380CC4-5D6E-409C-BE32-E72D297353CC}">
              <c16:uniqueId val="{00000003-DE3B-49BB-931E-D1D0406479FC}"/>
            </c:ext>
          </c:extLst>
        </c:ser>
        <c:ser>
          <c:idx val="2"/>
          <c:order val="2"/>
          <c:tx>
            <c:strRef>
              <c:f>'Revenue required'!$D$156</c:f>
              <c:strCache>
                <c:ptCount val="1"/>
              </c:strCache>
            </c:strRef>
          </c:tx>
          <c:spPr>
            <a:solidFill>
              <a:schemeClr val="accent6"/>
            </a:solidFill>
          </c:spPr>
          <c:invertIfNegative val="0"/>
          <c:dLbls>
            <c:dLbl>
              <c:idx val="0"/>
              <c:tx>
                <c:strRef>
                  <c:f>'Revenue required'!$E$156</c:f>
                  <c:strCache>
                    <c:ptCount val="1"/>
                    <c:pt idx="0">
                      <c:v> -   </c:v>
                    </c:pt>
                  </c:strCache>
                </c:strRef>
              </c:tx>
              <c:spPr>
                <a:noFill/>
                <a:ln w="25400">
                  <a:noFill/>
                </a:ln>
              </c:spPr>
              <c:txPr>
                <a:bodyPr/>
                <a:lstStyle/>
                <a:p>
                  <a:pPr>
                    <a:defRPr sz="1100" b="0" i="0" u="none" strike="noStrike" baseline="0">
                      <a:solidFill>
                        <a:srgbClr val="333333"/>
                      </a:solidFill>
                      <a:latin typeface="Calibri"/>
                      <a:ea typeface="Calibri"/>
                      <a:cs typeface="Calibri"/>
                    </a:defRPr>
                  </a:pPr>
                  <a:endParaRPr lang="en-US"/>
                </a:p>
              </c:txPr>
              <c:dLblPos val="ctr"/>
              <c:showLegendKey val="0"/>
              <c:showVal val="0"/>
              <c:showCatName val="0"/>
              <c:showSerName val="0"/>
              <c:showPercent val="0"/>
              <c:showBubbleSize val="0"/>
              <c:extLst>
                <c:ext xmlns:c15="http://schemas.microsoft.com/office/drawing/2012/chart" uri="{CE6537A1-D6FC-4f65-9D91-7224C49458BB}">
                  <c15:dlblFieldTable>
                    <c15:dlblFTEntry>
                      <c15:txfldGUID>{5337A1BD-8C61-409B-969E-BBEC6208B19B}</c15:txfldGUID>
                      <c15:f>'Revenue required'!$E$156</c15:f>
                      <c15:dlblFieldTableCache>
                        <c:ptCount val="1"/>
                        <c:pt idx="0">
                          <c:v> -   </c:v>
                        </c:pt>
                      </c15:dlblFieldTableCache>
                    </c15:dlblFTEntry>
                  </c15:dlblFieldTable>
                  <c15:showDataLabelsRange val="0"/>
                </c:ext>
                <c:ext xmlns:c16="http://schemas.microsoft.com/office/drawing/2014/chart" uri="{C3380CC4-5D6E-409C-BE32-E72D297353CC}">
                  <c16:uniqueId val="{00000004-DE3B-49BB-931E-D1D0406479FC}"/>
                </c:ext>
              </c:extLst>
            </c:dLbl>
            <c:spPr>
              <a:noFill/>
              <a:ln w="25400">
                <a:noFill/>
              </a:ln>
            </c:spPr>
            <c:txPr>
              <a:bodyPr wrap="square" lIns="38100" tIns="19050" rIns="38100" bIns="19050" anchor="ctr">
                <a:spAutoFit/>
              </a:bodyPr>
              <a:lstStyle/>
              <a:p>
                <a:pPr>
                  <a:defRPr sz="1100" b="0" i="0" u="none" strike="noStrike" baseline="0">
                    <a:solidFill>
                      <a:srgbClr val="333333"/>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'Revenue required'!$E$156:$F$156</c:f>
            </c:numRef>
          </c:val>
          <c:extLst>
            <c:ext xmlns:c15="http://schemas.microsoft.com/office/drawing/2012/chart" uri="{02D57815-91ED-43cb-92C2-25804820EDAC}">
              <c15:filteredCategoryTitle>
                <c15:cat>
                  <c:multiLvlStrRef>
                    <c:extLst>
                      <c:ext uri="{02D57815-91ED-43cb-92C2-25804820EDAC}">
                        <c15:formulaRef>
                          <c15:sqref>'Revenue required'!$E$153:$F$153</c15:sqref>
                        </c15:formulaRef>
                      </c:ext>
                    </c:extLst>
                  </c:multiLvlStrRef>
                </c15:cat>
              </c15:filteredCategoryTitle>
            </c:ext>
            <c:ext xmlns:c16="http://schemas.microsoft.com/office/drawing/2014/chart" uri="{C3380CC4-5D6E-409C-BE32-E72D297353CC}">
              <c16:uniqueId val="{00000005-DE3B-49BB-931E-D1D0406479FC}"/>
            </c:ext>
          </c:extLst>
        </c:ser>
        <c:ser>
          <c:idx val="4"/>
          <c:order val="3"/>
          <c:tx>
            <c:strRef>
              <c:f>'Revenue required'!$D$157</c:f>
              <c:strCache>
                <c:ptCount val="1"/>
                <c:pt idx="0">
                  <c:v>Tariff revenue</c:v>
                </c:pt>
              </c:strCache>
            </c:strRef>
          </c:tx>
          <c:spPr>
            <a:solidFill>
              <a:schemeClr val="accent3">
                <a:lumMod val="75000"/>
              </a:schemeClr>
            </a:solidFill>
          </c:spPr>
          <c:invertIfNegative val="0"/>
          <c:dLbls>
            <c:dLbl>
              <c:idx val="1"/>
              <c:tx>
                <c:strRef>
                  <c:f>'Revenue required'!$F$157</c:f>
                  <c:strCache>
                    <c:ptCount val="1"/>
                    <c:pt idx="0">
                      <c:v> 108 238 </c:v>
                    </c:pt>
                  </c:strCache>
                </c:strRef>
              </c:tx>
              <c:spPr>
                <a:noFill/>
                <a:ln w="25400">
                  <a:noFill/>
                </a:ln>
              </c:spPr>
              <c:txPr>
                <a:bodyPr/>
                <a:lstStyle/>
                <a:p>
                  <a:pPr>
                    <a:defRPr sz="1100" b="0" i="0" u="none" strike="noStrike" baseline="0">
                      <a:solidFill>
                        <a:srgbClr val="333333"/>
                      </a:solidFill>
                      <a:latin typeface="Calibri"/>
                      <a:ea typeface="Calibri"/>
                      <a:cs typeface="Calibri"/>
                    </a:defRPr>
                  </a:pPr>
                  <a:endParaRPr lang="en-US"/>
                </a:p>
              </c:txPr>
              <c:dLblPos val="ctr"/>
              <c:showLegendKey val="0"/>
              <c:showVal val="0"/>
              <c:showCatName val="0"/>
              <c:showSerName val="0"/>
              <c:showPercent val="0"/>
              <c:showBubbleSize val="0"/>
              <c:extLst>
                <c:ext xmlns:c15="http://schemas.microsoft.com/office/drawing/2012/chart" uri="{CE6537A1-D6FC-4f65-9D91-7224C49458BB}">
                  <c15:dlblFieldTable>
                    <c15:dlblFTEntry>
                      <c15:txfldGUID>{3C3F28BE-F759-47FB-99A7-45D564E8F93C}</c15:txfldGUID>
                      <c15:f>'Revenue required'!$F$157</c15:f>
                      <c15:dlblFieldTableCache>
                        <c:ptCount val="1"/>
                        <c:pt idx="0">
                          <c:v> 108 238 </c:v>
                        </c:pt>
                      </c15:dlblFieldTableCache>
                    </c15:dlblFTEntry>
                  </c15:dlblFieldTable>
                  <c15:showDataLabelsRange val="0"/>
                </c:ext>
                <c:ext xmlns:c16="http://schemas.microsoft.com/office/drawing/2014/chart" uri="{C3380CC4-5D6E-409C-BE32-E72D297353CC}">
                  <c16:uniqueId val="{00000006-DE3B-49BB-931E-D1D0406479FC}"/>
                </c:ext>
              </c:extLst>
            </c:dLbl>
            <c:spPr>
              <a:noFill/>
              <a:ln w="25400">
                <a:noFill/>
              </a:ln>
            </c:spPr>
            <c:txPr>
              <a:bodyPr wrap="square" lIns="38100" tIns="19050" rIns="38100" bIns="19050" anchor="ctr">
                <a:spAutoFit/>
              </a:bodyPr>
              <a:lstStyle/>
              <a:p>
                <a:pPr>
                  <a:defRPr sz="1100" b="0" i="0" u="none" strike="noStrike" baseline="0">
                    <a:solidFill>
                      <a:srgbClr val="333333"/>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'Revenue required'!$E$157:$F$157</c:f>
            </c:numRef>
          </c:val>
          <c:extLst>
            <c:ext xmlns:c15="http://schemas.microsoft.com/office/drawing/2012/chart" uri="{02D57815-91ED-43cb-92C2-25804820EDAC}">
              <c15:filteredCategoryTitle>
                <c15:cat>
                  <c:multiLvlStrRef>
                    <c:extLst>
                      <c:ext uri="{02D57815-91ED-43cb-92C2-25804820EDAC}">
                        <c15:formulaRef>
                          <c15:sqref>'Revenue required'!$E$153:$F$153</c15:sqref>
                        </c15:formulaRef>
                      </c:ext>
                    </c:extLst>
                  </c:multiLvlStrRef>
                </c15:cat>
              </c15:filteredCategoryTitle>
            </c:ext>
            <c:ext xmlns:c16="http://schemas.microsoft.com/office/drawing/2014/chart" uri="{C3380CC4-5D6E-409C-BE32-E72D297353CC}">
              <c16:uniqueId val="{00000007-DE3B-49BB-931E-D1D0406479FC}"/>
            </c:ext>
          </c:extLst>
        </c:ser>
        <c:ser>
          <c:idx val="5"/>
          <c:order val="4"/>
          <c:tx>
            <c:strRef>
              <c:f>'Revenue required'!$D$158</c:f>
              <c:strCache>
                <c:ptCount val="1"/>
                <c:pt idx="0">
                  <c:v>Non-tariff revenue</c:v>
                </c:pt>
              </c:strCache>
            </c:strRef>
          </c:tx>
          <c:spPr>
            <a:solidFill>
              <a:schemeClr val="accent3"/>
            </a:solidFill>
          </c:spPr>
          <c:invertIfNegative val="0"/>
          <c:dLbls>
            <c:dLbl>
              <c:idx val="1"/>
              <c:tx>
                <c:strRef>
                  <c:f>'Revenue required'!$F$158</c:f>
                  <c:strCache>
                    <c:ptCount val="1"/>
                    <c:pt idx="0">
                      <c:v> 26 427 </c:v>
                    </c:pt>
                  </c:strCache>
                </c:strRef>
              </c:tx>
              <c:spPr>
                <a:noFill/>
                <a:ln w="25400">
                  <a:noFill/>
                </a:ln>
              </c:spPr>
              <c:txPr>
                <a:bodyPr/>
                <a:lstStyle/>
                <a:p>
                  <a:pPr>
                    <a:defRPr sz="1100" b="0" i="0" u="none" strike="noStrike" baseline="0">
                      <a:solidFill>
                        <a:srgbClr val="333333"/>
                      </a:solidFill>
                      <a:latin typeface="Calibri"/>
                      <a:ea typeface="Calibri"/>
                      <a:cs typeface="Calibri"/>
                    </a:defRPr>
                  </a:pPr>
                  <a:endParaRPr lang="en-US"/>
                </a:p>
              </c:txPr>
              <c:dLblPos val="ctr"/>
              <c:showLegendKey val="0"/>
              <c:showVal val="0"/>
              <c:showCatName val="0"/>
              <c:showSerName val="0"/>
              <c:showPercent val="0"/>
              <c:showBubbleSize val="0"/>
              <c:extLst>
                <c:ext xmlns:c15="http://schemas.microsoft.com/office/drawing/2012/chart" uri="{CE6537A1-D6FC-4f65-9D91-7224C49458BB}">
                  <c15:dlblFieldTable>
                    <c15:dlblFTEntry>
                      <c15:txfldGUID>{E705622B-139C-43CB-96C4-E69C85A84BDF}</c15:txfldGUID>
                      <c15:f>'Revenue required'!$F$158</c15:f>
                      <c15:dlblFieldTableCache>
                        <c:ptCount val="1"/>
                        <c:pt idx="0">
                          <c:v> 26 427 </c:v>
                        </c:pt>
                      </c15:dlblFieldTableCache>
                    </c15:dlblFTEntry>
                  </c15:dlblFieldTable>
                  <c15:showDataLabelsRange val="0"/>
                </c:ext>
                <c:ext xmlns:c16="http://schemas.microsoft.com/office/drawing/2014/chart" uri="{C3380CC4-5D6E-409C-BE32-E72D297353CC}">
                  <c16:uniqueId val="{00000008-DE3B-49BB-931E-D1D0406479FC}"/>
                </c:ext>
              </c:extLst>
            </c:dLbl>
            <c:spPr>
              <a:noFill/>
              <a:ln w="25400">
                <a:noFill/>
              </a:ln>
            </c:spPr>
            <c:txPr>
              <a:bodyPr wrap="square" lIns="38100" tIns="19050" rIns="38100" bIns="19050" anchor="ctr">
                <a:spAutoFit/>
              </a:bodyPr>
              <a:lstStyle/>
              <a:p>
                <a:pPr>
                  <a:defRPr sz="1100" b="0" i="0" u="none" strike="noStrike" baseline="0">
                    <a:solidFill>
                      <a:srgbClr val="333333"/>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'Revenue required'!$E$158:$F$158</c:f>
            </c:numRef>
          </c:val>
          <c:extLst>
            <c:ext xmlns:c15="http://schemas.microsoft.com/office/drawing/2012/chart" uri="{02D57815-91ED-43cb-92C2-25804820EDAC}">
              <c15:filteredCategoryTitle>
                <c15:cat>
                  <c:multiLvlStrRef>
                    <c:extLst>
                      <c:ext uri="{02D57815-91ED-43cb-92C2-25804820EDAC}">
                        <c15:formulaRef>
                          <c15:sqref>'Revenue required'!$E$153:$F$153</c15:sqref>
                        </c15:formulaRef>
                      </c:ext>
                    </c:extLst>
                  </c:multiLvlStrRef>
                </c15:cat>
              </c15:filteredCategoryTitle>
            </c:ext>
            <c:ext xmlns:c16="http://schemas.microsoft.com/office/drawing/2014/chart" uri="{C3380CC4-5D6E-409C-BE32-E72D297353CC}">
              <c16:uniqueId val="{00000009-DE3B-49BB-931E-D1D0406479FC}"/>
            </c:ext>
          </c:extLst>
        </c:ser>
        <c:ser>
          <c:idx val="3"/>
          <c:order val="5"/>
          <c:tx>
            <c:strRef>
              <c:f>'Revenue required'!$D$159</c:f>
              <c:strCache>
                <c:ptCount val="1"/>
              </c:strCache>
            </c:strRef>
          </c:tx>
          <c:invertIfNegative val="0"/>
          <c:dLbls>
            <c:dLbl>
              <c:idx val="1"/>
              <c:tx>
                <c:strRef>
                  <c:f>'Revenue required'!$F$159</c:f>
                  <c:strCache>
                    <c:ptCount val="1"/>
                    <c:pt idx="0">
                      <c:v> -   </c:v>
                    </c:pt>
                  </c:strCache>
                </c:strRef>
              </c:tx>
              <c:spPr>
                <a:noFill/>
                <a:ln w="25400">
                  <a:noFill/>
                </a:ln>
              </c:spPr>
              <c:txPr>
                <a:bodyPr/>
                <a:lstStyle/>
                <a:p>
                  <a:pPr>
                    <a:defRPr sz="1100" b="0" i="0" u="none" strike="noStrike" baseline="0">
                      <a:solidFill>
                        <a:srgbClr val="333333"/>
                      </a:solidFill>
                      <a:latin typeface="Calibri"/>
                      <a:ea typeface="Calibri"/>
                      <a:cs typeface="Calibri"/>
                    </a:defRPr>
                  </a:pPr>
                  <a:endParaRPr lang="en-US"/>
                </a:p>
              </c:txPr>
              <c:dLblPos val="ctr"/>
              <c:showLegendKey val="0"/>
              <c:showVal val="0"/>
              <c:showCatName val="0"/>
              <c:showSerName val="0"/>
              <c:showPercent val="0"/>
              <c:showBubbleSize val="0"/>
              <c:extLst>
                <c:ext xmlns:c15="http://schemas.microsoft.com/office/drawing/2012/chart" uri="{CE6537A1-D6FC-4f65-9D91-7224C49458BB}">
                  <c15:dlblFieldTable>
                    <c15:dlblFTEntry>
                      <c15:txfldGUID>{2A68F0D8-257E-4D13-9DA6-1B5B36910940}</c15:txfldGUID>
                      <c15:f>'Revenue required'!$F$159</c15:f>
                      <c15:dlblFieldTableCache>
                        <c:ptCount val="1"/>
                        <c:pt idx="0">
                          <c:v> -   </c:v>
                        </c:pt>
                      </c15:dlblFieldTableCache>
                    </c15:dlblFTEntry>
                  </c15:dlblFieldTable>
                  <c15:showDataLabelsRange val="0"/>
                </c:ext>
                <c:ext xmlns:c16="http://schemas.microsoft.com/office/drawing/2014/chart" uri="{C3380CC4-5D6E-409C-BE32-E72D297353CC}">
                  <c16:uniqueId val="{0000000A-DE3B-49BB-931E-D1D0406479FC}"/>
                </c:ext>
              </c:extLst>
            </c:dLbl>
            <c:spPr>
              <a:noFill/>
              <a:ln w="25400">
                <a:noFill/>
              </a:ln>
            </c:spPr>
            <c:txPr>
              <a:bodyPr wrap="square" lIns="38100" tIns="19050" rIns="38100" bIns="19050" anchor="ctr">
                <a:spAutoFit/>
              </a:bodyPr>
              <a:lstStyle/>
              <a:p>
                <a:pPr>
                  <a:defRPr sz="1100" b="0" i="0" u="none" strike="noStrike" baseline="0">
                    <a:solidFill>
                      <a:srgbClr val="333333"/>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'Revenue required'!$E$159:$F$159</c:f>
            </c:numRef>
          </c:val>
          <c:extLst>
            <c:ext xmlns:c15="http://schemas.microsoft.com/office/drawing/2012/chart" uri="{02D57815-91ED-43cb-92C2-25804820EDAC}">
              <c15:filteredCategoryTitle>
                <c15:cat>
                  <c:multiLvlStrRef>
                    <c:extLst>
                      <c:ext uri="{02D57815-91ED-43cb-92C2-25804820EDAC}">
                        <c15:formulaRef>
                          <c15:sqref>'Revenue required'!$E$153:$F$153</c15:sqref>
                        </c15:formulaRef>
                      </c:ext>
                    </c:extLst>
                  </c:multiLvlStrRef>
                </c15:cat>
              </c15:filteredCategoryTitle>
            </c:ext>
            <c:ext xmlns:c16="http://schemas.microsoft.com/office/drawing/2014/chart" uri="{C3380CC4-5D6E-409C-BE32-E72D297353CC}">
              <c16:uniqueId val="{0000000B-DE3B-49BB-931E-D1D0406479FC}"/>
            </c:ext>
          </c:extLst>
        </c:ser>
        <c:dLbls>
          <c:showLegendKey val="0"/>
          <c:showVal val="0"/>
          <c:showCatName val="0"/>
          <c:showSerName val="0"/>
          <c:showPercent val="0"/>
          <c:showBubbleSize val="0"/>
        </c:dLbls>
        <c:gapWidth val="25"/>
        <c:overlap val="100"/>
        <c:axId val="1390289839"/>
        <c:axId val="1"/>
      </c:barChart>
      <c:catAx>
        <c:axId val="1390289839"/>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0" vert="horz"/>
          <a:lstStyle/>
          <a:p>
            <a:pPr>
              <a:defRPr sz="1100" b="0" i="0" u="none" strike="noStrike" baseline="0">
                <a:solidFill>
                  <a:srgbClr val="333333"/>
                </a:solidFill>
                <a:latin typeface="Calibri"/>
                <a:ea typeface="Calibri"/>
                <a:cs typeface="Calibri"/>
              </a:defRPr>
            </a:pPr>
            <a:endParaRPr lang="en-US"/>
          </a:p>
        </c:txPr>
        <c:crossAx val="1"/>
        <c:crosses val="autoZero"/>
        <c:auto val="1"/>
        <c:lblAlgn val="ctr"/>
        <c:lblOffset val="100"/>
        <c:noMultiLvlLbl val="0"/>
      </c:catAx>
      <c:valAx>
        <c:axId val="1"/>
        <c:scaling>
          <c:orientation val="minMax"/>
        </c:scaling>
        <c:delete val="1"/>
        <c:axPos val="l"/>
        <c:majorGridlines>
          <c:spPr>
            <a:ln w="9525" cap="flat" cmpd="sng" algn="ctr">
              <a:solidFill>
                <a:schemeClr val="tx1">
                  <a:lumMod val="15000"/>
                  <a:lumOff val="85000"/>
                </a:schemeClr>
              </a:solidFill>
              <a:round/>
            </a:ln>
            <a:effectLst/>
          </c:spPr>
        </c:majorGridlines>
        <c:numFmt formatCode="_-* #\ ##0_-;\-* #\ ##0_-;_-* &quot;-&quot;??_-;_-@_-" sourceLinked="1"/>
        <c:majorTickMark val="out"/>
        <c:minorTickMark val="none"/>
        <c:tickLblPos val="nextTo"/>
        <c:crossAx val="1390289839"/>
        <c:crosses val="autoZero"/>
        <c:crossBetween val="between"/>
      </c:valAx>
    </c:plotArea>
    <c:plotVisOnly val="1"/>
    <c:dispBlanksAs val="gap"/>
    <c:showDLblsOverMax val="0"/>
  </c:chart>
  <c:spPr>
    <a:solidFill>
      <a:schemeClr val="bg1"/>
    </a:solidFill>
    <a:ln w="9525" cap="flat" cmpd="sng" algn="ctr">
      <a:noFill/>
      <a:round/>
    </a:ln>
    <a:effectLst/>
  </c:spPr>
  <c:txPr>
    <a:bodyPr/>
    <a:lstStyle/>
    <a:p>
      <a:pPr>
        <a:defRPr sz="11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charts/chart5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320" b="0" i="0" u="none" strike="noStrike" baseline="0">
                <a:solidFill>
                  <a:srgbClr val="333333"/>
                </a:solidFill>
                <a:latin typeface="Calibri"/>
                <a:ea typeface="Calibri"/>
                <a:cs typeface="Calibri"/>
              </a:defRPr>
            </a:pPr>
            <a:r>
              <a:rPr lang="en-ZA"/>
              <a:t>Budget funding: water service: %s</a:t>
            </a:r>
          </a:p>
        </c:rich>
      </c:tx>
      <c:layout>
        <c:manualLayout>
          <c:xMode val="edge"/>
          <c:yMode val="edge"/>
          <c:x val="3.5577490612716478E-2"/>
          <c:y val="5.0906329016565235E-2"/>
        </c:manualLayout>
      </c:layout>
      <c:overlay val="0"/>
      <c:spPr>
        <a:noFill/>
        <a:ln w="25400">
          <a:noFill/>
        </a:ln>
      </c:spPr>
    </c:title>
    <c:autoTitleDeleted val="0"/>
    <c:plotArea>
      <c:layout/>
      <c:barChart>
        <c:barDir val="col"/>
        <c:grouping val="percentStacked"/>
        <c:varyColors val="0"/>
        <c:ser>
          <c:idx val="0"/>
          <c:order val="0"/>
          <c:tx>
            <c:strRef>
              <c:f>'Revenue required'!$G$154</c:f>
              <c:strCache>
                <c:ptCount val="1"/>
                <c:pt idx="0">
                  <c:v>Direct cost</c:v>
                </c:pt>
              </c:strCache>
            </c:strRef>
          </c:tx>
          <c:spPr>
            <a:solidFill>
              <a:schemeClr val="accent5"/>
            </a:solidFill>
          </c:spPr>
          <c:invertIfNegative val="0"/>
          <c:dLbls>
            <c:spPr>
              <a:noFill/>
              <a:ln w="25400">
                <a:noFill/>
              </a:ln>
            </c:spPr>
            <c:txPr>
              <a:bodyPr wrap="square" lIns="38100" tIns="19050" rIns="38100" bIns="19050" anchor="ctr">
                <a:spAutoFit/>
              </a:bodyPr>
              <a:lstStyle/>
              <a:p>
                <a:pPr>
                  <a:defRPr sz="1100" b="0" i="0" u="none" strike="noStrike" baseline="0">
                    <a:solidFill>
                      <a:srgbClr val="333333"/>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'Revenue required'!$H$154:$I$154</c:f>
            </c:numRef>
          </c:val>
          <c:extLst>
            <c:ext xmlns:c15="http://schemas.microsoft.com/office/drawing/2012/chart" uri="{02D57815-91ED-43cb-92C2-25804820EDAC}">
              <c15:filteredCategoryTitle>
                <c15:cat>
                  <c:multiLvlStrRef>
                    <c:extLst>
                      <c:ext uri="{02D57815-91ED-43cb-92C2-25804820EDAC}">
                        <c15:formulaRef>
                          <c15:sqref>'Revenue required'!$H$153:$I$153</c15:sqref>
                        </c15:formulaRef>
                      </c:ext>
                    </c:extLst>
                  </c:multiLvlStrRef>
                </c15:cat>
              </c15:filteredCategoryTitle>
            </c:ext>
            <c:ext xmlns:c16="http://schemas.microsoft.com/office/drawing/2014/chart" uri="{C3380CC4-5D6E-409C-BE32-E72D297353CC}">
              <c16:uniqueId val="{00000000-08CB-4C59-B676-F8F36D8FAEF8}"/>
            </c:ext>
          </c:extLst>
        </c:ser>
        <c:ser>
          <c:idx val="1"/>
          <c:order val="1"/>
          <c:tx>
            <c:strRef>
              <c:f>'Revenue required'!$G$155</c:f>
              <c:strCache>
                <c:ptCount val="1"/>
                <c:pt idx="0">
                  <c:v>Indirect cost</c:v>
                </c:pt>
              </c:strCache>
            </c:strRef>
          </c:tx>
          <c:spPr>
            <a:solidFill>
              <a:schemeClr val="accent5">
                <a:lumMod val="60000"/>
                <a:lumOff val="40000"/>
              </a:schemeClr>
            </a:solidFill>
          </c:spPr>
          <c:invertIfNegative val="0"/>
          <c:dLbls>
            <c:spPr>
              <a:noFill/>
              <a:ln w="25400">
                <a:noFill/>
              </a:ln>
            </c:spPr>
            <c:txPr>
              <a:bodyPr wrap="square" lIns="38100" tIns="19050" rIns="38100" bIns="19050" anchor="ctr">
                <a:spAutoFit/>
              </a:bodyPr>
              <a:lstStyle/>
              <a:p>
                <a:pPr>
                  <a:defRPr sz="1100" b="0" i="0" u="none" strike="noStrike" baseline="0">
                    <a:solidFill>
                      <a:srgbClr val="333333"/>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'Revenue required'!$H$155:$I$155</c:f>
            </c:numRef>
          </c:val>
          <c:extLst>
            <c:ext xmlns:c15="http://schemas.microsoft.com/office/drawing/2012/chart" uri="{02D57815-91ED-43cb-92C2-25804820EDAC}">
              <c15:filteredCategoryTitle>
                <c15:cat>
                  <c:multiLvlStrRef>
                    <c:extLst>
                      <c:ext uri="{02D57815-91ED-43cb-92C2-25804820EDAC}">
                        <c15:formulaRef>
                          <c15:sqref>'Revenue required'!$H$153:$I$153</c15:sqref>
                        </c15:formulaRef>
                      </c:ext>
                    </c:extLst>
                  </c:multiLvlStrRef>
                </c15:cat>
              </c15:filteredCategoryTitle>
            </c:ext>
            <c:ext xmlns:c16="http://schemas.microsoft.com/office/drawing/2014/chart" uri="{C3380CC4-5D6E-409C-BE32-E72D297353CC}">
              <c16:uniqueId val="{00000001-08CB-4C59-B676-F8F36D8FAEF8}"/>
            </c:ext>
          </c:extLst>
        </c:ser>
        <c:ser>
          <c:idx val="2"/>
          <c:order val="2"/>
          <c:tx>
            <c:strRef>
              <c:f>'Revenue required'!$G$156</c:f>
              <c:strCache>
                <c:ptCount val="1"/>
              </c:strCache>
            </c:strRef>
          </c:tx>
          <c:spPr>
            <a:solidFill>
              <a:schemeClr val="accent6"/>
            </a:solidFill>
          </c:spPr>
          <c:invertIfNegative val="0"/>
          <c:dLbls>
            <c:spPr>
              <a:noFill/>
              <a:ln w="25400">
                <a:noFill/>
              </a:ln>
            </c:spPr>
            <c:txPr>
              <a:bodyPr wrap="square" lIns="38100" tIns="19050" rIns="38100" bIns="19050" anchor="ctr">
                <a:spAutoFit/>
              </a:bodyPr>
              <a:lstStyle/>
              <a:p>
                <a:pPr>
                  <a:defRPr sz="1100" b="0" i="0" u="none" strike="noStrike" baseline="0">
                    <a:solidFill>
                      <a:srgbClr val="333333"/>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'Revenue required'!$H$156:$I$156</c:f>
            </c:numRef>
          </c:val>
          <c:extLst>
            <c:ext xmlns:c15="http://schemas.microsoft.com/office/drawing/2012/chart" uri="{02D57815-91ED-43cb-92C2-25804820EDAC}">
              <c15:filteredCategoryTitle>
                <c15:cat>
                  <c:multiLvlStrRef>
                    <c:extLst>
                      <c:ext uri="{02D57815-91ED-43cb-92C2-25804820EDAC}">
                        <c15:formulaRef>
                          <c15:sqref>'Revenue required'!$H$153:$I$153</c15:sqref>
                        </c15:formulaRef>
                      </c:ext>
                    </c:extLst>
                  </c:multiLvlStrRef>
                </c15:cat>
              </c15:filteredCategoryTitle>
            </c:ext>
            <c:ext xmlns:c16="http://schemas.microsoft.com/office/drawing/2014/chart" uri="{C3380CC4-5D6E-409C-BE32-E72D297353CC}">
              <c16:uniqueId val="{00000002-08CB-4C59-B676-F8F36D8FAEF8}"/>
            </c:ext>
          </c:extLst>
        </c:ser>
        <c:ser>
          <c:idx val="4"/>
          <c:order val="3"/>
          <c:tx>
            <c:strRef>
              <c:f>'Revenue required'!$G$157</c:f>
              <c:strCache>
                <c:ptCount val="1"/>
                <c:pt idx="0">
                  <c:v>Tariff revenue</c:v>
                </c:pt>
              </c:strCache>
            </c:strRef>
          </c:tx>
          <c:spPr>
            <a:solidFill>
              <a:schemeClr val="accent3">
                <a:lumMod val="75000"/>
              </a:schemeClr>
            </a:solidFill>
          </c:spPr>
          <c:invertIfNegative val="0"/>
          <c:dLbls>
            <c:spPr>
              <a:noFill/>
              <a:ln w="25400">
                <a:noFill/>
              </a:ln>
            </c:spPr>
            <c:txPr>
              <a:bodyPr wrap="square" lIns="38100" tIns="19050" rIns="38100" bIns="19050" anchor="ctr">
                <a:spAutoFit/>
              </a:bodyPr>
              <a:lstStyle/>
              <a:p>
                <a:pPr>
                  <a:defRPr sz="1100" b="0" i="0" u="none" strike="noStrike" baseline="0">
                    <a:solidFill>
                      <a:srgbClr val="333333"/>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'Revenue required'!$H$157:$I$157</c:f>
            </c:numRef>
          </c:val>
          <c:extLst>
            <c:ext xmlns:c15="http://schemas.microsoft.com/office/drawing/2012/chart" uri="{02D57815-91ED-43cb-92C2-25804820EDAC}">
              <c15:filteredCategoryTitle>
                <c15:cat>
                  <c:multiLvlStrRef>
                    <c:extLst>
                      <c:ext uri="{02D57815-91ED-43cb-92C2-25804820EDAC}">
                        <c15:formulaRef>
                          <c15:sqref>'Revenue required'!$H$153:$I$153</c15:sqref>
                        </c15:formulaRef>
                      </c:ext>
                    </c:extLst>
                  </c:multiLvlStrRef>
                </c15:cat>
              </c15:filteredCategoryTitle>
            </c:ext>
            <c:ext xmlns:c16="http://schemas.microsoft.com/office/drawing/2014/chart" uri="{C3380CC4-5D6E-409C-BE32-E72D297353CC}">
              <c16:uniqueId val="{00000003-08CB-4C59-B676-F8F36D8FAEF8}"/>
            </c:ext>
          </c:extLst>
        </c:ser>
        <c:ser>
          <c:idx val="5"/>
          <c:order val="4"/>
          <c:tx>
            <c:strRef>
              <c:f>'Revenue required'!$G$158</c:f>
              <c:strCache>
                <c:ptCount val="1"/>
                <c:pt idx="0">
                  <c:v>Non-tariff revenue</c:v>
                </c:pt>
              </c:strCache>
            </c:strRef>
          </c:tx>
          <c:spPr>
            <a:solidFill>
              <a:schemeClr val="accent3"/>
            </a:solidFill>
          </c:spPr>
          <c:invertIfNegative val="0"/>
          <c:dLbls>
            <c:spPr>
              <a:noFill/>
              <a:ln w="25400">
                <a:noFill/>
              </a:ln>
            </c:spPr>
            <c:txPr>
              <a:bodyPr wrap="square" lIns="38100" tIns="19050" rIns="38100" bIns="19050" anchor="ctr">
                <a:spAutoFit/>
              </a:bodyPr>
              <a:lstStyle/>
              <a:p>
                <a:pPr>
                  <a:defRPr sz="1100" b="0" i="0" u="none" strike="noStrike" baseline="0">
                    <a:solidFill>
                      <a:srgbClr val="333333"/>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'Revenue required'!$H$158:$I$158</c:f>
            </c:numRef>
          </c:val>
          <c:extLst>
            <c:ext xmlns:c15="http://schemas.microsoft.com/office/drawing/2012/chart" uri="{02D57815-91ED-43cb-92C2-25804820EDAC}">
              <c15:filteredCategoryTitle>
                <c15:cat>
                  <c:multiLvlStrRef>
                    <c:extLst>
                      <c:ext uri="{02D57815-91ED-43cb-92C2-25804820EDAC}">
                        <c15:formulaRef>
                          <c15:sqref>'Revenue required'!$H$153:$I$153</c15:sqref>
                        </c15:formulaRef>
                      </c:ext>
                    </c:extLst>
                  </c:multiLvlStrRef>
                </c15:cat>
              </c15:filteredCategoryTitle>
            </c:ext>
            <c:ext xmlns:c16="http://schemas.microsoft.com/office/drawing/2014/chart" uri="{C3380CC4-5D6E-409C-BE32-E72D297353CC}">
              <c16:uniqueId val="{00000004-08CB-4C59-B676-F8F36D8FAEF8}"/>
            </c:ext>
          </c:extLst>
        </c:ser>
        <c:ser>
          <c:idx val="3"/>
          <c:order val="5"/>
          <c:tx>
            <c:strRef>
              <c:f>'Revenue required'!$G$159</c:f>
              <c:strCache>
                <c:ptCount val="1"/>
              </c:strCache>
            </c:strRef>
          </c:tx>
          <c:invertIfNegative val="0"/>
          <c:dLbls>
            <c:spPr>
              <a:noFill/>
              <a:ln w="25400">
                <a:noFill/>
              </a:ln>
            </c:spPr>
            <c:txPr>
              <a:bodyPr wrap="square" lIns="38100" tIns="19050" rIns="38100" bIns="19050" anchor="ctr">
                <a:spAutoFit/>
              </a:bodyPr>
              <a:lstStyle/>
              <a:p>
                <a:pPr>
                  <a:defRPr sz="1100" b="0" i="0" u="none" strike="noStrike" baseline="0">
                    <a:solidFill>
                      <a:srgbClr val="333333"/>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'Revenue required'!$H$159:$I$159</c:f>
            </c:numRef>
          </c:val>
          <c:extLst>
            <c:ext xmlns:c15="http://schemas.microsoft.com/office/drawing/2012/chart" uri="{02D57815-91ED-43cb-92C2-25804820EDAC}">
              <c15:filteredCategoryTitle>
                <c15:cat>
                  <c:multiLvlStrRef>
                    <c:extLst>
                      <c:ext uri="{02D57815-91ED-43cb-92C2-25804820EDAC}">
                        <c15:formulaRef>
                          <c15:sqref>'Revenue required'!$H$153:$I$153</c15:sqref>
                        </c15:formulaRef>
                      </c:ext>
                    </c:extLst>
                  </c:multiLvlStrRef>
                </c15:cat>
              </c15:filteredCategoryTitle>
            </c:ext>
            <c:ext xmlns:c16="http://schemas.microsoft.com/office/drawing/2014/chart" uri="{C3380CC4-5D6E-409C-BE32-E72D297353CC}">
              <c16:uniqueId val="{00000005-08CB-4C59-B676-F8F36D8FAEF8}"/>
            </c:ext>
          </c:extLst>
        </c:ser>
        <c:dLbls>
          <c:showLegendKey val="0"/>
          <c:showVal val="0"/>
          <c:showCatName val="0"/>
          <c:showSerName val="0"/>
          <c:showPercent val="0"/>
          <c:showBubbleSize val="0"/>
        </c:dLbls>
        <c:gapWidth val="25"/>
        <c:overlap val="100"/>
        <c:axId val="1390296559"/>
        <c:axId val="1"/>
      </c:barChart>
      <c:catAx>
        <c:axId val="1390296559"/>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0" vert="horz"/>
          <a:lstStyle/>
          <a:p>
            <a:pPr>
              <a:defRPr sz="1100" b="0" i="0" u="none" strike="noStrike" baseline="0">
                <a:solidFill>
                  <a:srgbClr val="333333"/>
                </a:solidFill>
                <a:latin typeface="Calibri"/>
                <a:ea typeface="Calibri"/>
                <a:cs typeface="Calibri"/>
              </a:defRPr>
            </a:pPr>
            <a:endParaRPr lang="en-US"/>
          </a:p>
        </c:txPr>
        <c:crossAx val="1"/>
        <c:crosses val="autoZero"/>
        <c:auto val="1"/>
        <c:lblAlgn val="ctr"/>
        <c:lblOffset val="100"/>
        <c:noMultiLvlLbl val="0"/>
      </c:catAx>
      <c:valAx>
        <c:axId val="1"/>
        <c:scaling>
          <c:orientation val="minMax"/>
        </c:scaling>
        <c:delete val="1"/>
        <c:axPos val="l"/>
        <c:majorGridlines>
          <c:spPr>
            <a:ln w="9525" cap="flat" cmpd="sng" algn="ctr">
              <a:solidFill>
                <a:schemeClr val="tx1">
                  <a:lumMod val="15000"/>
                  <a:lumOff val="85000"/>
                </a:schemeClr>
              </a:solidFill>
              <a:round/>
            </a:ln>
            <a:effectLst/>
          </c:spPr>
        </c:majorGridlines>
        <c:numFmt formatCode="0%" sourceLinked="1"/>
        <c:majorTickMark val="out"/>
        <c:minorTickMark val="none"/>
        <c:tickLblPos val="nextTo"/>
        <c:crossAx val="1390296559"/>
        <c:crosses val="autoZero"/>
        <c:crossBetween val="between"/>
      </c:valAx>
    </c:plotArea>
    <c:plotVisOnly val="1"/>
    <c:dispBlanksAs val="gap"/>
    <c:showDLblsOverMax val="0"/>
  </c:chart>
  <c:spPr>
    <a:solidFill>
      <a:schemeClr val="bg1"/>
    </a:solidFill>
    <a:ln w="9525" cap="flat" cmpd="sng" algn="ctr">
      <a:noFill/>
      <a:round/>
    </a:ln>
    <a:effectLst/>
  </c:spPr>
  <c:txPr>
    <a:bodyPr/>
    <a:lstStyle/>
    <a:p>
      <a:pPr>
        <a:defRPr sz="11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charts/chart5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320" b="0" i="0" u="none" strike="noStrike" baseline="0">
                <a:solidFill>
                  <a:srgbClr val="333333"/>
                </a:solidFill>
                <a:latin typeface="Calibri"/>
                <a:ea typeface="Calibri"/>
                <a:cs typeface="Calibri"/>
              </a:defRPr>
            </a:pPr>
            <a:r>
              <a:rPr lang="en-ZA"/>
              <a:t>Budget funding: sanitation service: categories</a:t>
            </a:r>
          </a:p>
        </c:rich>
      </c:tx>
      <c:layout>
        <c:manualLayout>
          <c:xMode val="edge"/>
          <c:yMode val="edge"/>
          <c:x val="6.8346456692913393E-2"/>
          <c:y val="4.1609029640525708E-2"/>
        </c:manualLayout>
      </c:layout>
      <c:overlay val="0"/>
      <c:spPr>
        <a:noFill/>
        <a:ln w="25400">
          <a:noFill/>
        </a:ln>
      </c:spPr>
    </c:title>
    <c:autoTitleDeleted val="0"/>
    <c:plotArea>
      <c:layout/>
      <c:barChart>
        <c:barDir val="col"/>
        <c:grouping val="stacked"/>
        <c:varyColors val="0"/>
        <c:ser>
          <c:idx val="0"/>
          <c:order val="0"/>
          <c:tx>
            <c:strRef>
              <c:f>'Revenue required'!$D$164</c:f>
              <c:strCache>
                <c:ptCount val="1"/>
                <c:pt idx="0">
                  <c:v>Direct cost</c:v>
                </c:pt>
              </c:strCache>
            </c:strRef>
          </c:tx>
          <c:spPr>
            <a:solidFill>
              <a:schemeClr val="accent5"/>
            </a:solidFill>
          </c:spPr>
          <c:invertIfNegative val="0"/>
          <c:dLbls>
            <c:dLbl>
              <c:idx val="0"/>
              <c:tx>
                <c:strRef>
                  <c:f>'Revenue required'!$D$164</c:f>
                  <c:strCache>
                    <c:ptCount val="1"/>
                    <c:pt idx="0">
                      <c:v>Direct cost</c:v>
                    </c:pt>
                  </c:strCache>
                </c:strRef>
              </c:tx>
              <c:spPr>
                <a:noFill/>
                <a:ln w="25400">
                  <a:noFill/>
                </a:ln>
              </c:spPr>
              <c:txPr>
                <a:bodyPr/>
                <a:lstStyle/>
                <a:p>
                  <a:pPr>
                    <a:defRPr sz="1100" b="0" i="0" u="none" strike="noStrike" baseline="0">
                      <a:solidFill>
                        <a:srgbClr val="333333"/>
                      </a:solidFill>
                      <a:latin typeface="Calibri"/>
                      <a:ea typeface="Calibri"/>
                      <a:cs typeface="Calibri"/>
                    </a:defRPr>
                  </a:pPr>
                  <a:endParaRPr lang="en-US"/>
                </a:p>
              </c:txPr>
              <c:dLblPos val="ctr"/>
              <c:showLegendKey val="0"/>
              <c:showVal val="0"/>
              <c:showCatName val="0"/>
              <c:showSerName val="0"/>
              <c:showPercent val="0"/>
              <c:showBubbleSize val="0"/>
              <c:extLst>
                <c:ext xmlns:c15="http://schemas.microsoft.com/office/drawing/2012/chart" uri="{CE6537A1-D6FC-4f65-9D91-7224C49458BB}">
                  <c15:dlblFieldTable>
                    <c15:dlblFTEntry>
                      <c15:txfldGUID>{29228197-A447-4700-AFE2-D85EF4339E0E}</c15:txfldGUID>
                      <c15:f>'Revenue required'!$D$164</c15:f>
                      <c15:dlblFieldTableCache>
                        <c:ptCount val="1"/>
                        <c:pt idx="0">
                          <c:v>Direct cost</c:v>
                        </c:pt>
                      </c15:dlblFieldTableCache>
                    </c15:dlblFTEntry>
                  </c15:dlblFieldTable>
                  <c15:showDataLabelsRange val="0"/>
                </c:ext>
                <c:ext xmlns:c16="http://schemas.microsoft.com/office/drawing/2014/chart" uri="{C3380CC4-5D6E-409C-BE32-E72D297353CC}">
                  <c16:uniqueId val="{00000000-E862-4E39-825D-4B5C630DC40B}"/>
                </c:ext>
              </c:extLst>
            </c:dLbl>
            <c:spPr>
              <a:noFill/>
              <a:ln w="25400">
                <a:noFill/>
              </a:ln>
            </c:spPr>
            <c:txPr>
              <a:bodyPr wrap="square" lIns="38100" tIns="19050" rIns="38100" bIns="19050" anchor="ctr">
                <a:spAutoFit/>
              </a:bodyPr>
              <a:lstStyle/>
              <a:p>
                <a:pPr>
                  <a:defRPr sz="1100" b="0" i="0" u="none" strike="noStrike" baseline="0">
                    <a:solidFill>
                      <a:srgbClr val="333333"/>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'Revenue required'!$E$164:$F$164</c:f>
            </c:numRef>
          </c:val>
          <c:extLst>
            <c:ext xmlns:c15="http://schemas.microsoft.com/office/drawing/2012/chart" uri="{02D57815-91ED-43cb-92C2-25804820EDAC}">
              <c15:filteredCategoryTitle>
                <c15:cat>
                  <c:multiLvlStrRef>
                    <c:extLst>
                      <c:ext uri="{02D57815-91ED-43cb-92C2-25804820EDAC}">
                        <c15:formulaRef>
                          <c15:sqref>'Revenue required'!$E$163:$F$163</c15:sqref>
                        </c15:formulaRef>
                      </c:ext>
                    </c:extLst>
                  </c:multiLvlStrRef>
                </c15:cat>
              </c15:filteredCategoryTitle>
            </c:ext>
            <c:ext xmlns:c16="http://schemas.microsoft.com/office/drawing/2014/chart" uri="{C3380CC4-5D6E-409C-BE32-E72D297353CC}">
              <c16:uniqueId val="{00000001-E862-4E39-825D-4B5C630DC40B}"/>
            </c:ext>
          </c:extLst>
        </c:ser>
        <c:ser>
          <c:idx val="1"/>
          <c:order val="1"/>
          <c:tx>
            <c:strRef>
              <c:f>'Revenue required'!$D$165</c:f>
              <c:strCache>
                <c:ptCount val="1"/>
                <c:pt idx="0">
                  <c:v>Indirect cost</c:v>
                </c:pt>
              </c:strCache>
            </c:strRef>
          </c:tx>
          <c:spPr>
            <a:solidFill>
              <a:schemeClr val="accent5">
                <a:lumMod val="60000"/>
                <a:lumOff val="40000"/>
              </a:schemeClr>
            </a:solidFill>
          </c:spPr>
          <c:invertIfNegative val="0"/>
          <c:dLbls>
            <c:dLbl>
              <c:idx val="0"/>
              <c:tx>
                <c:strRef>
                  <c:f>'Revenue required'!$D$165</c:f>
                  <c:strCache>
                    <c:ptCount val="1"/>
                    <c:pt idx="0">
                      <c:v>Indirect cost</c:v>
                    </c:pt>
                  </c:strCache>
                </c:strRef>
              </c:tx>
              <c:spPr>
                <a:noFill/>
                <a:ln w="25400">
                  <a:noFill/>
                </a:ln>
              </c:spPr>
              <c:txPr>
                <a:bodyPr/>
                <a:lstStyle/>
                <a:p>
                  <a:pPr>
                    <a:defRPr sz="1100" b="0" i="0" u="none" strike="noStrike" baseline="0">
                      <a:solidFill>
                        <a:srgbClr val="333333"/>
                      </a:solidFill>
                      <a:latin typeface="Calibri"/>
                      <a:ea typeface="Calibri"/>
                      <a:cs typeface="Calibri"/>
                    </a:defRPr>
                  </a:pPr>
                  <a:endParaRPr lang="en-US"/>
                </a:p>
              </c:txPr>
              <c:dLblPos val="ctr"/>
              <c:showLegendKey val="0"/>
              <c:showVal val="0"/>
              <c:showCatName val="0"/>
              <c:showSerName val="0"/>
              <c:showPercent val="0"/>
              <c:showBubbleSize val="0"/>
              <c:extLst>
                <c:ext xmlns:c15="http://schemas.microsoft.com/office/drawing/2012/chart" uri="{CE6537A1-D6FC-4f65-9D91-7224C49458BB}">
                  <c15:dlblFieldTable>
                    <c15:dlblFTEntry>
                      <c15:txfldGUID>{8379260E-246C-4E36-9652-0EB6AB7B7925}</c15:txfldGUID>
                      <c15:f>'Revenue required'!$D$165</c15:f>
                      <c15:dlblFieldTableCache>
                        <c:ptCount val="1"/>
                        <c:pt idx="0">
                          <c:v>Indirect cost</c:v>
                        </c:pt>
                      </c15:dlblFieldTableCache>
                    </c15:dlblFTEntry>
                  </c15:dlblFieldTable>
                  <c15:showDataLabelsRange val="0"/>
                </c:ext>
                <c:ext xmlns:c16="http://schemas.microsoft.com/office/drawing/2014/chart" uri="{C3380CC4-5D6E-409C-BE32-E72D297353CC}">
                  <c16:uniqueId val="{00000002-E862-4E39-825D-4B5C630DC40B}"/>
                </c:ext>
              </c:extLst>
            </c:dLbl>
            <c:spPr>
              <a:noFill/>
              <a:ln w="25400">
                <a:noFill/>
              </a:ln>
            </c:spPr>
            <c:txPr>
              <a:bodyPr wrap="square" lIns="38100" tIns="19050" rIns="38100" bIns="19050" anchor="ctr">
                <a:spAutoFit/>
              </a:bodyPr>
              <a:lstStyle/>
              <a:p>
                <a:pPr>
                  <a:defRPr sz="1100" b="0" i="0" u="none" strike="noStrike" baseline="0">
                    <a:solidFill>
                      <a:srgbClr val="333333"/>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'Revenue required'!$E$165:$F$165</c:f>
            </c:numRef>
          </c:val>
          <c:extLst>
            <c:ext xmlns:c15="http://schemas.microsoft.com/office/drawing/2012/chart" uri="{02D57815-91ED-43cb-92C2-25804820EDAC}">
              <c15:filteredCategoryTitle>
                <c15:cat>
                  <c:multiLvlStrRef>
                    <c:extLst>
                      <c:ext uri="{02D57815-91ED-43cb-92C2-25804820EDAC}">
                        <c15:formulaRef>
                          <c15:sqref>'Revenue required'!$E$163:$F$163</c15:sqref>
                        </c15:formulaRef>
                      </c:ext>
                    </c:extLst>
                  </c:multiLvlStrRef>
                </c15:cat>
              </c15:filteredCategoryTitle>
            </c:ext>
            <c:ext xmlns:c16="http://schemas.microsoft.com/office/drawing/2014/chart" uri="{C3380CC4-5D6E-409C-BE32-E72D297353CC}">
              <c16:uniqueId val="{00000003-E862-4E39-825D-4B5C630DC40B}"/>
            </c:ext>
          </c:extLst>
        </c:ser>
        <c:ser>
          <c:idx val="2"/>
          <c:order val="2"/>
          <c:tx>
            <c:strRef>
              <c:f>'Revenue required'!$D$166</c:f>
              <c:strCache>
                <c:ptCount val="1"/>
              </c:strCache>
            </c:strRef>
          </c:tx>
          <c:spPr>
            <a:solidFill>
              <a:schemeClr val="accent6"/>
            </a:solidFill>
          </c:spPr>
          <c:invertIfNegative val="0"/>
          <c:dLbls>
            <c:dLbl>
              <c:idx val="0"/>
              <c:tx>
                <c:strRef>
                  <c:f>'Revenue required'!$D$166</c:f>
                  <c:strCache>
                    <c:ptCount val="1"/>
                  </c:strCache>
                </c:strRef>
              </c:tx>
              <c:spPr>
                <a:noFill/>
                <a:ln w="25400">
                  <a:noFill/>
                </a:ln>
              </c:spPr>
              <c:txPr>
                <a:bodyPr/>
                <a:lstStyle/>
                <a:p>
                  <a:pPr>
                    <a:defRPr sz="1100" b="0" i="0" u="none" strike="noStrike" baseline="0">
                      <a:solidFill>
                        <a:srgbClr val="333333"/>
                      </a:solidFill>
                      <a:latin typeface="Calibri"/>
                      <a:ea typeface="Calibri"/>
                      <a:cs typeface="Calibri"/>
                    </a:defRPr>
                  </a:pPr>
                  <a:endParaRPr lang="en-US"/>
                </a:p>
              </c:txPr>
              <c:dLblPos val="ctr"/>
              <c:showLegendKey val="0"/>
              <c:showVal val="0"/>
              <c:showCatName val="0"/>
              <c:showSerName val="0"/>
              <c:showPercent val="0"/>
              <c:showBubbleSize val="0"/>
              <c:extLst>
                <c:ext xmlns:c15="http://schemas.microsoft.com/office/drawing/2012/chart" uri="{CE6537A1-D6FC-4f65-9D91-7224C49458BB}">
                  <c15:dlblFieldTable>
                    <c15:dlblFTEntry>
                      <c15:txfldGUID>{4B054DE1-D9B6-4F03-A603-2DF3090C9A39}</c15:txfldGUID>
                      <c15:f>'Revenue required'!$D$166</c15:f>
                      <c15:dlblFieldTableCache>
                        <c:ptCount val="1"/>
                      </c15:dlblFieldTableCache>
                    </c15:dlblFTEntry>
                  </c15:dlblFieldTable>
                  <c15:showDataLabelsRange val="0"/>
                </c:ext>
                <c:ext xmlns:c16="http://schemas.microsoft.com/office/drawing/2014/chart" uri="{C3380CC4-5D6E-409C-BE32-E72D297353CC}">
                  <c16:uniqueId val="{00000004-E862-4E39-825D-4B5C630DC40B}"/>
                </c:ext>
              </c:extLst>
            </c:dLbl>
            <c:spPr>
              <a:noFill/>
              <a:ln w="25400">
                <a:noFill/>
              </a:ln>
            </c:spPr>
            <c:txPr>
              <a:bodyPr wrap="square" lIns="38100" tIns="19050" rIns="38100" bIns="19050" anchor="ctr">
                <a:spAutoFit/>
              </a:bodyPr>
              <a:lstStyle/>
              <a:p>
                <a:pPr>
                  <a:defRPr sz="1100" b="0" i="0" u="none" strike="noStrike" baseline="0">
                    <a:solidFill>
                      <a:srgbClr val="333333"/>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'Revenue required'!$E$166:$F$166</c:f>
            </c:numRef>
          </c:val>
          <c:extLst>
            <c:ext xmlns:c15="http://schemas.microsoft.com/office/drawing/2012/chart" uri="{02D57815-91ED-43cb-92C2-25804820EDAC}">
              <c15:filteredCategoryTitle>
                <c15:cat>
                  <c:multiLvlStrRef>
                    <c:extLst>
                      <c:ext uri="{02D57815-91ED-43cb-92C2-25804820EDAC}">
                        <c15:formulaRef>
                          <c15:sqref>'Revenue required'!$E$163:$F$163</c15:sqref>
                        </c15:formulaRef>
                      </c:ext>
                    </c:extLst>
                  </c:multiLvlStrRef>
                </c15:cat>
              </c15:filteredCategoryTitle>
            </c:ext>
            <c:ext xmlns:c16="http://schemas.microsoft.com/office/drawing/2014/chart" uri="{C3380CC4-5D6E-409C-BE32-E72D297353CC}">
              <c16:uniqueId val="{00000005-E862-4E39-825D-4B5C630DC40B}"/>
            </c:ext>
          </c:extLst>
        </c:ser>
        <c:ser>
          <c:idx val="4"/>
          <c:order val="3"/>
          <c:tx>
            <c:strRef>
              <c:f>'Revenue required'!$D$167</c:f>
              <c:strCache>
                <c:ptCount val="1"/>
                <c:pt idx="0">
                  <c:v>Tariff revenue</c:v>
                </c:pt>
              </c:strCache>
            </c:strRef>
          </c:tx>
          <c:spPr>
            <a:solidFill>
              <a:schemeClr val="accent3">
                <a:lumMod val="75000"/>
              </a:schemeClr>
            </a:solidFill>
          </c:spPr>
          <c:invertIfNegative val="0"/>
          <c:dLbls>
            <c:dLbl>
              <c:idx val="1"/>
              <c:tx>
                <c:strRef>
                  <c:f>'Revenue required'!$D$167</c:f>
                  <c:strCache>
                    <c:ptCount val="1"/>
                    <c:pt idx="0">
                      <c:v>Tariff revenue</c:v>
                    </c:pt>
                  </c:strCache>
                </c:strRef>
              </c:tx>
              <c:spPr>
                <a:noFill/>
                <a:ln w="25400">
                  <a:noFill/>
                </a:ln>
              </c:spPr>
              <c:txPr>
                <a:bodyPr/>
                <a:lstStyle/>
                <a:p>
                  <a:pPr>
                    <a:defRPr sz="1100" b="0" i="0" u="none" strike="noStrike" baseline="0">
                      <a:solidFill>
                        <a:srgbClr val="333333"/>
                      </a:solidFill>
                      <a:latin typeface="Calibri"/>
                      <a:ea typeface="Calibri"/>
                      <a:cs typeface="Calibri"/>
                    </a:defRPr>
                  </a:pPr>
                  <a:endParaRPr lang="en-US"/>
                </a:p>
              </c:txPr>
              <c:dLblPos val="ctr"/>
              <c:showLegendKey val="0"/>
              <c:showVal val="0"/>
              <c:showCatName val="0"/>
              <c:showSerName val="0"/>
              <c:showPercent val="0"/>
              <c:showBubbleSize val="0"/>
              <c:extLst>
                <c:ext xmlns:c15="http://schemas.microsoft.com/office/drawing/2012/chart" uri="{CE6537A1-D6FC-4f65-9D91-7224C49458BB}">
                  <c15:dlblFieldTable>
                    <c15:dlblFTEntry>
                      <c15:txfldGUID>{73D873E5-552B-4A49-B3D5-6D58DA377ED8}</c15:txfldGUID>
                      <c15:f>'Revenue required'!$D$167</c15:f>
                      <c15:dlblFieldTableCache>
                        <c:ptCount val="1"/>
                        <c:pt idx="0">
                          <c:v>Tariff revenue</c:v>
                        </c:pt>
                      </c15:dlblFieldTableCache>
                    </c15:dlblFTEntry>
                  </c15:dlblFieldTable>
                  <c15:showDataLabelsRange val="0"/>
                </c:ext>
                <c:ext xmlns:c16="http://schemas.microsoft.com/office/drawing/2014/chart" uri="{C3380CC4-5D6E-409C-BE32-E72D297353CC}">
                  <c16:uniqueId val="{00000006-E862-4E39-825D-4B5C630DC40B}"/>
                </c:ext>
              </c:extLst>
            </c:dLbl>
            <c:spPr>
              <a:noFill/>
              <a:ln w="25400">
                <a:noFill/>
              </a:ln>
            </c:spPr>
            <c:txPr>
              <a:bodyPr wrap="square" lIns="38100" tIns="19050" rIns="38100" bIns="19050" anchor="ctr">
                <a:spAutoFit/>
              </a:bodyPr>
              <a:lstStyle/>
              <a:p>
                <a:pPr>
                  <a:defRPr sz="1100" b="0" i="0" u="none" strike="noStrike" baseline="0">
                    <a:solidFill>
                      <a:srgbClr val="333333"/>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'Revenue required'!$E$167:$F$167</c:f>
            </c:numRef>
          </c:val>
          <c:extLst>
            <c:ext xmlns:c15="http://schemas.microsoft.com/office/drawing/2012/chart" uri="{02D57815-91ED-43cb-92C2-25804820EDAC}">
              <c15:filteredCategoryTitle>
                <c15:cat>
                  <c:multiLvlStrRef>
                    <c:extLst>
                      <c:ext uri="{02D57815-91ED-43cb-92C2-25804820EDAC}">
                        <c15:formulaRef>
                          <c15:sqref>'Revenue required'!$E$163:$F$163</c15:sqref>
                        </c15:formulaRef>
                      </c:ext>
                    </c:extLst>
                  </c:multiLvlStrRef>
                </c15:cat>
              </c15:filteredCategoryTitle>
            </c:ext>
            <c:ext xmlns:c16="http://schemas.microsoft.com/office/drawing/2014/chart" uri="{C3380CC4-5D6E-409C-BE32-E72D297353CC}">
              <c16:uniqueId val="{00000007-E862-4E39-825D-4B5C630DC40B}"/>
            </c:ext>
          </c:extLst>
        </c:ser>
        <c:ser>
          <c:idx val="5"/>
          <c:order val="4"/>
          <c:tx>
            <c:strRef>
              <c:f>'Revenue required'!$D$168</c:f>
              <c:strCache>
                <c:ptCount val="1"/>
                <c:pt idx="0">
                  <c:v>Non-tariff revenue</c:v>
                </c:pt>
              </c:strCache>
            </c:strRef>
          </c:tx>
          <c:spPr>
            <a:solidFill>
              <a:schemeClr val="accent3"/>
            </a:solidFill>
            <a:ln>
              <a:solidFill>
                <a:schemeClr val="accent3"/>
              </a:solidFill>
            </a:ln>
          </c:spPr>
          <c:invertIfNegative val="0"/>
          <c:dLbls>
            <c:dLbl>
              <c:idx val="1"/>
              <c:tx>
                <c:strRef>
                  <c:f>'Revenue required'!$D$168</c:f>
                  <c:strCache>
                    <c:ptCount val="1"/>
                    <c:pt idx="0">
                      <c:v>Non-tariff revenue</c:v>
                    </c:pt>
                  </c:strCache>
                </c:strRef>
              </c:tx>
              <c:spPr>
                <a:noFill/>
                <a:ln w="25400">
                  <a:noFill/>
                </a:ln>
              </c:spPr>
              <c:txPr>
                <a:bodyPr/>
                <a:lstStyle/>
                <a:p>
                  <a:pPr>
                    <a:defRPr sz="1100" b="0" i="0" u="none" strike="noStrike" baseline="0">
                      <a:solidFill>
                        <a:srgbClr val="333333"/>
                      </a:solidFill>
                      <a:latin typeface="Calibri"/>
                      <a:ea typeface="Calibri"/>
                      <a:cs typeface="Calibri"/>
                    </a:defRPr>
                  </a:pPr>
                  <a:endParaRPr lang="en-US"/>
                </a:p>
              </c:txPr>
              <c:dLblPos val="ctr"/>
              <c:showLegendKey val="0"/>
              <c:showVal val="0"/>
              <c:showCatName val="0"/>
              <c:showSerName val="0"/>
              <c:showPercent val="0"/>
              <c:showBubbleSize val="0"/>
              <c:extLst>
                <c:ext xmlns:c15="http://schemas.microsoft.com/office/drawing/2012/chart" uri="{CE6537A1-D6FC-4f65-9D91-7224C49458BB}">
                  <c15:dlblFieldTable>
                    <c15:dlblFTEntry>
                      <c15:txfldGUID>{36177E5F-7157-4891-93E1-C8BDBAC80C74}</c15:txfldGUID>
                      <c15:f>'Revenue required'!$D$168</c15:f>
                      <c15:dlblFieldTableCache>
                        <c:ptCount val="1"/>
                        <c:pt idx="0">
                          <c:v>Non-tariff revenue</c:v>
                        </c:pt>
                      </c15:dlblFieldTableCache>
                    </c15:dlblFTEntry>
                  </c15:dlblFieldTable>
                  <c15:showDataLabelsRange val="0"/>
                </c:ext>
                <c:ext xmlns:c16="http://schemas.microsoft.com/office/drawing/2014/chart" uri="{C3380CC4-5D6E-409C-BE32-E72D297353CC}">
                  <c16:uniqueId val="{00000008-E862-4E39-825D-4B5C630DC40B}"/>
                </c:ext>
              </c:extLst>
            </c:dLbl>
            <c:spPr>
              <a:noFill/>
              <a:ln w="25400">
                <a:noFill/>
              </a:ln>
            </c:spPr>
            <c:txPr>
              <a:bodyPr wrap="square" lIns="38100" tIns="19050" rIns="38100" bIns="19050" anchor="ctr">
                <a:spAutoFit/>
              </a:bodyPr>
              <a:lstStyle/>
              <a:p>
                <a:pPr>
                  <a:defRPr sz="1100" b="0" i="0" u="none" strike="noStrike" baseline="0">
                    <a:solidFill>
                      <a:srgbClr val="333333"/>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'Revenue required'!$E$168:$F$168</c:f>
            </c:numRef>
          </c:val>
          <c:extLst>
            <c:ext xmlns:c15="http://schemas.microsoft.com/office/drawing/2012/chart" uri="{02D57815-91ED-43cb-92C2-25804820EDAC}">
              <c15:filteredCategoryTitle>
                <c15:cat>
                  <c:multiLvlStrRef>
                    <c:extLst>
                      <c:ext uri="{02D57815-91ED-43cb-92C2-25804820EDAC}">
                        <c15:formulaRef>
                          <c15:sqref>'Revenue required'!$E$163:$F$163</c15:sqref>
                        </c15:formulaRef>
                      </c:ext>
                    </c:extLst>
                  </c:multiLvlStrRef>
                </c15:cat>
              </c15:filteredCategoryTitle>
            </c:ext>
            <c:ext xmlns:c16="http://schemas.microsoft.com/office/drawing/2014/chart" uri="{C3380CC4-5D6E-409C-BE32-E72D297353CC}">
              <c16:uniqueId val="{00000009-E862-4E39-825D-4B5C630DC40B}"/>
            </c:ext>
          </c:extLst>
        </c:ser>
        <c:ser>
          <c:idx val="3"/>
          <c:order val="5"/>
          <c:tx>
            <c:strRef>
              <c:f>'Revenue required'!$D$169</c:f>
              <c:strCache>
                <c:ptCount val="1"/>
              </c:strCache>
            </c:strRef>
          </c:tx>
          <c:invertIfNegative val="0"/>
          <c:dLbls>
            <c:dLbl>
              <c:idx val="1"/>
              <c:tx>
                <c:strRef>
                  <c:f>'Revenue required'!$D$169</c:f>
                  <c:strCache>
                    <c:ptCount val="1"/>
                  </c:strCache>
                </c:strRef>
              </c:tx>
              <c:spPr>
                <a:noFill/>
                <a:ln w="25400">
                  <a:noFill/>
                </a:ln>
              </c:spPr>
              <c:txPr>
                <a:bodyPr/>
                <a:lstStyle/>
                <a:p>
                  <a:pPr>
                    <a:defRPr sz="1100" b="0" i="0" u="none" strike="noStrike" baseline="0">
                      <a:solidFill>
                        <a:srgbClr val="333333"/>
                      </a:solidFill>
                      <a:latin typeface="Calibri"/>
                      <a:ea typeface="Calibri"/>
                      <a:cs typeface="Calibri"/>
                    </a:defRPr>
                  </a:pPr>
                  <a:endParaRPr lang="en-US"/>
                </a:p>
              </c:txPr>
              <c:dLblPos val="ctr"/>
              <c:showLegendKey val="0"/>
              <c:showVal val="0"/>
              <c:showCatName val="0"/>
              <c:showSerName val="0"/>
              <c:showPercent val="0"/>
              <c:showBubbleSize val="0"/>
              <c:extLst>
                <c:ext xmlns:c15="http://schemas.microsoft.com/office/drawing/2012/chart" uri="{CE6537A1-D6FC-4f65-9D91-7224C49458BB}">
                  <c15:dlblFieldTable>
                    <c15:dlblFTEntry>
                      <c15:txfldGUID>{41C04260-4919-47AD-BC67-B1784120E9ED}</c15:txfldGUID>
                      <c15:f>'Revenue required'!$D$169</c15:f>
                      <c15:dlblFieldTableCache>
                        <c:ptCount val="1"/>
                      </c15:dlblFieldTableCache>
                    </c15:dlblFTEntry>
                  </c15:dlblFieldTable>
                  <c15:showDataLabelsRange val="0"/>
                </c:ext>
                <c:ext xmlns:c16="http://schemas.microsoft.com/office/drawing/2014/chart" uri="{C3380CC4-5D6E-409C-BE32-E72D297353CC}">
                  <c16:uniqueId val="{0000000A-E862-4E39-825D-4B5C630DC40B}"/>
                </c:ext>
              </c:extLst>
            </c:dLbl>
            <c:spPr>
              <a:noFill/>
              <a:ln w="25400">
                <a:noFill/>
              </a:ln>
            </c:spPr>
            <c:txPr>
              <a:bodyPr wrap="square" lIns="38100" tIns="19050" rIns="38100" bIns="19050" anchor="ctr">
                <a:spAutoFit/>
              </a:bodyPr>
              <a:lstStyle/>
              <a:p>
                <a:pPr>
                  <a:defRPr sz="1100" b="0" i="0" u="none" strike="noStrike" baseline="0">
                    <a:solidFill>
                      <a:srgbClr val="333333"/>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'Revenue required'!$E$169:$F$169</c:f>
            </c:numRef>
          </c:val>
          <c:extLst>
            <c:ext xmlns:c15="http://schemas.microsoft.com/office/drawing/2012/chart" uri="{02D57815-91ED-43cb-92C2-25804820EDAC}">
              <c15:filteredCategoryTitle>
                <c15:cat>
                  <c:multiLvlStrRef>
                    <c:extLst>
                      <c:ext uri="{02D57815-91ED-43cb-92C2-25804820EDAC}">
                        <c15:formulaRef>
                          <c15:sqref>'Revenue required'!$E$163:$F$163</c15:sqref>
                        </c15:formulaRef>
                      </c:ext>
                    </c:extLst>
                  </c:multiLvlStrRef>
                </c15:cat>
              </c15:filteredCategoryTitle>
            </c:ext>
            <c:ext xmlns:c16="http://schemas.microsoft.com/office/drawing/2014/chart" uri="{C3380CC4-5D6E-409C-BE32-E72D297353CC}">
              <c16:uniqueId val="{0000000B-E862-4E39-825D-4B5C630DC40B}"/>
            </c:ext>
          </c:extLst>
        </c:ser>
        <c:dLbls>
          <c:showLegendKey val="0"/>
          <c:showVal val="0"/>
          <c:showCatName val="0"/>
          <c:showSerName val="0"/>
          <c:showPercent val="0"/>
          <c:showBubbleSize val="0"/>
        </c:dLbls>
        <c:gapWidth val="25"/>
        <c:overlap val="100"/>
        <c:axId val="1390299439"/>
        <c:axId val="1"/>
      </c:barChart>
      <c:catAx>
        <c:axId val="1390299439"/>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0" vert="horz"/>
          <a:lstStyle/>
          <a:p>
            <a:pPr>
              <a:defRPr sz="1100" b="0" i="0" u="none" strike="noStrike" baseline="0">
                <a:solidFill>
                  <a:srgbClr val="333333"/>
                </a:solidFill>
                <a:latin typeface="Calibri"/>
                <a:ea typeface="Calibri"/>
                <a:cs typeface="Calibri"/>
              </a:defRPr>
            </a:pPr>
            <a:endParaRPr lang="en-US"/>
          </a:p>
        </c:txPr>
        <c:crossAx val="1"/>
        <c:crosses val="autoZero"/>
        <c:auto val="1"/>
        <c:lblAlgn val="ctr"/>
        <c:lblOffset val="100"/>
        <c:noMultiLvlLbl val="0"/>
      </c:catAx>
      <c:valAx>
        <c:axId val="1"/>
        <c:scaling>
          <c:orientation val="minMax"/>
        </c:scaling>
        <c:delete val="1"/>
        <c:axPos val="l"/>
        <c:majorGridlines>
          <c:spPr>
            <a:ln w="9525" cap="flat" cmpd="sng" algn="ctr">
              <a:solidFill>
                <a:schemeClr val="tx1">
                  <a:lumMod val="15000"/>
                  <a:lumOff val="85000"/>
                </a:schemeClr>
              </a:solidFill>
              <a:round/>
            </a:ln>
            <a:effectLst/>
          </c:spPr>
        </c:majorGridlines>
        <c:numFmt formatCode="_-* #\ ##0_-;\-* #\ ##0_-;_-* &quot;-&quot;??_-;_-@_-" sourceLinked="1"/>
        <c:majorTickMark val="out"/>
        <c:minorTickMark val="none"/>
        <c:tickLblPos val="nextTo"/>
        <c:crossAx val="1390299439"/>
        <c:crosses val="autoZero"/>
        <c:crossBetween val="between"/>
      </c:valAx>
    </c:plotArea>
    <c:plotVisOnly val="1"/>
    <c:dispBlanksAs val="gap"/>
    <c:showDLblsOverMax val="0"/>
  </c:chart>
  <c:spPr>
    <a:solidFill>
      <a:schemeClr val="bg1"/>
    </a:solidFill>
    <a:ln w="9525" cap="flat" cmpd="sng" algn="ctr">
      <a:noFill/>
      <a:round/>
    </a:ln>
    <a:effectLst/>
  </c:spPr>
  <c:txPr>
    <a:bodyPr/>
    <a:lstStyle/>
    <a:p>
      <a:pPr>
        <a:defRPr sz="11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charts/chart5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320" b="0" i="0" u="none" strike="noStrike" baseline="0">
                <a:solidFill>
                  <a:srgbClr val="333333"/>
                </a:solidFill>
                <a:latin typeface="Calibri"/>
                <a:ea typeface="Calibri"/>
                <a:cs typeface="Calibri"/>
              </a:defRPr>
            </a:pPr>
            <a:r>
              <a:rPr lang="en-ZA"/>
              <a:t>Budget funding: sanitation service R'000</a:t>
            </a:r>
          </a:p>
        </c:rich>
      </c:tx>
      <c:layout>
        <c:manualLayout>
          <c:xMode val="edge"/>
          <c:yMode val="edge"/>
          <c:x val="6.4499571962106886E-2"/>
          <c:y val="3.2407487525597758E-2"/>
        </c:manualLayout>
      </c:layout>
      <c:overlay val="0"/>
      <c:spPr>
        <a:noFill/>
        <a:ln w="25400">
          <a:noFill/>
        </a:ln>
      </c:spPr>
    </c:title>
    <c:autoTitleDeleted val="0"/>
    <c:plotArea>
      <c:layout/>
      <c:barChart>
        <c:barDir val="col"/>
        <c:grouping val="stacked"/>
        <c:varyColors val="0"/>
        <c:ser>
          <c:idx val="0"/>
          <c:order val="0"/>
          <c:tx>
            <c:strRef>
              <c:f>'Revenue required'!$D$164</c:f>
              <c:strCache>
                <c:ptCount val="1"/>
                <c:pt idx="0">
                  <c:v>Direct cost</c:v>
                </c:pt>
              </c:strCache>
            </c:strRef>
          </c:tx>
          <c:spPr>
            <a:solidFill>
              <a:schemeClr val="accent5"/>
            </a:solidFill>
          </c:spPr>
          <c:invertIfNegative val="0"/>
          <c:dLbls>
            <c:spPr>
              <a:noFill/>
              <a:ln w="25400">
                <a:noFill/>
              </a:ln>
            </c:spPr>
            <c:txPr>
              <a:bodyPr wrap="square" lIns="38100" tIns="19050" rIns="38100" bIns="19050" anchor="ctr">
                <a:spAutoFit/>
              </a:bodyPr>
              <a:lstStyle/>
              <a:p>
                <a:pPr>
                  <a:defRPr sz="1100" b="0" i="0" u="none" strike="noStrike" baseline="0">
                    <a:solidFill>
                      <a:srgbClr val="333333"/>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'Revenue required'!$E$164:$F$164</c:f>
            </c:numRef>
          </c:val>
          <c:extLst>
            <c:ext xmlns:c15="http://schemas.microsoft.com/office/drawing/2012/chart" uri="{02D57815-91ED-43cb-92C2-25804820EDAC}">
              <c15:filteredCategoryTitle>
                <c15:cat>
                  <c:multiLvlStrRef>
                    <c:extLst>
                      <c:ext uri="{02D57815-91ED-43cb-92C2-25804820EDAC}">
                        <c15:formulaRef>
                          <c15:sqref>'Revenue required'!$E$163:$F$163</c15:sqref>
                        </c15:formulaRef>
                      </c:ext>
                    </c:extLst>
                  </c:multiLvlStrRef>
                </c15:cat>
              </c15:filteredCategoryTitle>
            </c:ext>
            <c:ext xmlns:c16="http://schemas.microsoft.com/office/drawing/2014/chart" uri="{C3380CC4-5D6E-409C-BE32-E72D297353CC}">
              <c16:uniqueId val="{00000000-3DFB-4ADE-9299-1CF81B3B2AFE}"/>
            </c:ext>
          </c:extLst>
        </c:ser>
        <c:ser>
          <c:idx val="1"/>
          <c:order val="1"/>
          <c:tx>
            <c:strRef>
              <c:f>'Revenue required'!$D$165</c:f>
              <c:strCache>
                <c:ptCount val="1"/>
                <c:pt idx="0">
                  <c:v>Indirect cost</c:v>
                </c:pt>
              </c:strCache>
            </c:strRef>
          </c:tx>
          <c:spPr>
            <a:solidFill>
              <a:schemeClr val="accent5">
                <a:lumMod val="60000"/>
                <a:lumOff val="40000"/>
              </a:schemeClr>
            </a:solidFill>
          </c:spPr>
          <c:invertIfNegative val="0"/>
          <c:dLbls>
            <c:spPr>
              <a:noFill/>
              <a:ln w="25400">
                <a:noFill/>
              </a:ln>
            </c:spPr>
            <c:txPr>
              <a:bodyPr wrap="square" lIns="38100" tIns="19050" rIns="38100" bIns="19050" anchor="ctr">
                <a:spAutoFit/>
              </a:bodyPr>
              <a:lstStyle/>
              <a:p>
                <a:pPr>
                  <a:defRPr sz="1100" b="0" i="0" u="none" strike="noStrike" baseline="0">
                    <a:solidFill>
                      <a:srgbClr val="333333"/>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'Revenue required'!$E$165:$F$165</c:f>
            </c:numRef>
          </c:val>
          <c:extLst>
            <c:ext xmlns:c15="http://schemas.microsoft.com/office/drawing/2012/chart" uri="{02D57815-91ED-43cb-92C2-25804820EDAC}">
              <c15:filteredCategoryTitle>
                <c15:cat>
                  <c:multiLvlStrRef>
                    <c:extLst>
                      <c:ext uri="{02D57815-91ED-43cb-92C2-25804820EDAC}">
                        <c15:formulaRef>
                          <c15:sqref>'Revenue required'!$E$163:$F$163</c15:sqref>
                        </c15:formulaRef>
                      </c:ext>
                    </c:extLst>
                  </c:multiLvlStrRef>
                </c15:cat>
              </c15:filteredCategoryTitle>
            </c:ext>
            <c:ext xmlns:c16="http://schemas.microsoft.com/office/drawing/2014/chart" uri="{C3380CC4-5D6E-409C-BE32-E72D297353CC}">
              <c16:uniqueId val="{00000001-3DFB-4ADE-9299-1CF81B3B2AFE}"/>
            </c:ext>
          </c:extLst>
        </c:ser>
        <c:ser>
          <c:idx val="2"/>
          <c:order val="2"/>
          <c:tx>
            <c:strRef>
              <c:f>'Revenue required'!$D$166</c:f>
              <c:strCache>
                <c:ptCount val="1"/>
              </c:strCache>
            </c:strRef>
          </c:tx>
          <c:spPr>
            <a:solidFill>
              <a:schemeClr val="accent6"/>
            </a:solidFill>
          </c:spPr>
          <c:invertIfNegative val="0"/>
          <c:dLbls>
            <c:spPr>
              <a:noFill/>
              <a:ln w="25400">
                <a:noFill/>
              </a:ln>
            </c:spPr>
            <c:txPr>
              <a:bodyPr wrap="square" lIns="38100" tIns="19050" rIns="38100" bIns="19050" anchor="ctr">
                <a:spAutoFit/>
              </a:bodyPr>
              <a:lstStyle/>
              <a:p>
                <a:pPr>
                  <a:defRPr sz="1100" b="0" i="0" u="none" strike="noStrike" baseline="0">
                    <a:solidFill>
                      <a:srgbClr val="333333"/>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'Revenue required'!$E$166:$F$166</c:f>
            </c:numRef>
          </c:val>
          <c:extLst>
            <c:ext xmlns:c15="http://schemas.microsoft.com/office/drawing/2012/chart" uri="{02D57815-91ED-43cb-92C2-25804820EDAC}">
              <c15:filteredCategoryTitle>
                <c15:cat>
                  <c:multiLvlStrRef>
                    <c:extLst>
                      <c:ext uri="{02D57815-91ED-43cb-92C2-25804820EDAC}">
                        <c15:formulaRef>
                          <c15:sqref>'Revenue required'!$E$163:$F$163</c15:sqref>
                        </c15:formulaRef>
                      </c:ext>
                    </c:extLst>
                  </c:multiLvlStrRef>
                </c15:cat>
              </c15:filteredCategoryTitle>
            </c:ext>
            <c:ext xmlns:c16="http://schemas.microsoft.com/office/drawing/2014/chart" uri="{C3380CC4-5D6E-409C-BE32-E72D297353CC}">
              <c16:uniqueId val="{00000002-3DFB-4ADE-9299-1CF81B3B2AFE}"/>
            </c:ext>
          </c:extLst>
        </c:ser>
        <c:ser>
          <c:idx val="4"/>
          <c:order val="3"/>
          <c:tx>
            <c:strRef>
              <c:f>'Revenue required'!$D$167</c:f>
              <c:strCache>
                <c:ptCount val="1"/>
                <c:pt idx="0">
                  <c:v>Tariff revenue</c:v>
                </c:pt>
              </c:strCache>
            </c:strRef>
          </c:tx>
          <c:spPr>
            <a:solidFill>
              <a:schemeClr val="accent3">
                <a:lumMod val="75000"/>
              </a:schemeClr>
            </a:solidFill>
          </c:spPr>
          <c:invertIfNegative val="0"/>
          <c:dLbls>
            <c:spPr>
              <a:noFill/>
              <a:ln w="25400">
                <a:noFill/>
              </a:ln>
            </c:spPr>
            <c:txPr>
              <a:bodyPr wrap="square" lIns="38100" tIns="19050" rIns="38100" bIns="19050" anchor="ctr">
                <a:spAutoFit/>
              </a:bodyPr>
              <a:lstStyle/>
              <a:p>
                <a:pPr>
                  <a:defRPr sz="1100" b="0" i="0" u="none" strike="noStrike" baseline="0">
                    <a:solidFill>
                      <a:srgbClr val="333333"/>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'Revenue required'!$E$167:$F$167</c:f>
            </c:numRef>
          </c:val>
          <c:extLst>
            <c:ext xmlns:c15="http://schemas.microsoft.com/office/drawing/2012/chart" uri="{02D57815-91ED-43cb-92C2-25804820EDAC}">
              <c15:filteredCategoryTitle>
                <c15:cat>
                  <c:multiLvlStrRef>
                    <c:extLst>
                      <c:ext uri="{02D57815-91ED-43cb-92C2-25804820EDAC}">
                        <c15:formulaRef>
                          <c15:sqref>'Revenue required'!$E$163:$F$163</c15:sqref>
                        </c15:formulaRef>
                      </c:ext>
                    </c:extLst>
                  </c:multiLvlStrRef>
                </c15:cat>
              </c15:filteredCategoryTitle>
            </c:ext>
            <c:ext xmlns:c16="http://schemas.microsoft.com/office/drawing/2014/chart" uri="{C3380CC4-5D6E-409C-BE32-E72D297353CC}">
              <c16:uniqueId val="{00000003-3DFB-4ADE-9299-1CF81B3B2AFE}"/>
            </c:ext>
          </c:extLst>
        </c:ser>
        <c:ser>
          <c:idx val="5"/>
          <c:order val="4"/>
          <c:tx>
            <c:strRef>
              <c:f>'Revenue required'!$D$168</c:f>
              <c:strCache>
                <c:ptCount val="1"/>
                <c:pt idx="0">
                  <c:v>Non-tariff revenue</c:v>
                </c:pt>
              </c:strCache>
            </c:strRef>
          </c:tx>
          <c:spPr>
            <a:solidFill>
              <a:schemeClr val="accent3"/>
            </a:solidFill>
          </c:spPr>
          <c:invertIfNegative val="0"/>
          <c:dLbls>
            <c:spPr>
              <a:noFill/>
              <a:ln w="25400">
                <a:noFill/>
              </a:ln>
            </c:spPr>
            <c:txPr>
              <a:bodyPr wrap="square" lIns="38100" tIns="19050" rIns="38100" bIns="19050" anchor="ctr">
                <a:spAutoFit/>
              </a:bodyPr>
              <a:lstStyle/>
              <a:p>
                <a:pPr>
                  <a:defRPr sz="1100" b="0" i="0" u="none" strike="noStrike" baseline="0">
                    <a:solidFill>
                      <a:srgbClr val="333333"/>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'Revenue required'!$E$168:$F$168</c:f>
            </c:numRef>
          </c:val>
          <c:extLst>
            <c:ext xmlns:c15="http://schemas.microsoft.com/office/drawing/2012/chart" uri="{02D57815-91ED-43cb-92C2-25804820EDAC}">
              <c15:filteredCategoryTitle>
                <c15:cat>
                  <c:multiLvlStrRef>
                    <c:extLst>
                      <c:ext uri="{02D57815-91ED-43cb-92C2-25804820EDAC}">
                        <c15:formulaRef>
                          <c15:sqref>'Revenue required'!$E$163:$F$163</c15:sqref>
                        </c15:formulaRef>
                      </c:ext>
                    </c:extLst>
                  </c:multiLvlStrRef>
                </c15:cat>
              </c15:filteredCategoryTitle>
            </c:ext>
            <c:ext xmlns:c16="http://schemas.microsoft.com/office/drawing/2014/chart" uri="{C3380CC4-5D6E-409C-BE32-E72D297353CC}">
              <c16:uniqueId val="{00000004-3DFB-4ADE-9299-1CF81B3B2AFE}"/>
            </c:ext>
          </c:extLst>
        </c:ser>
        <c:ser>
          <c:idx val="3"/>
          <c:order val="5"/>
          <c:tx>
            <c:strRef>
              <c:f>'Revenue required'!$D$169</c:f>
              <c:strCache>
                <c:ptCount val="1"/>
              </c:strCache>
            </c:strRef>
          </c:tx>
          <c:invertIfNegative val="0"/>
          <c:dLbls>
            <c:spPr>
              <a:noFill/>
              <a:ln w="25400">
                <a:noFill/>
              </a:ln>
            </c:spPr>
            <c:txPr>
              <a:bodyPr wrap="square" lIns="38100" tIns="19050" rIns="38100" bIns="19050" anchor="ctr">
                <a:spAutoFit/>
              </a:bodyPr>
              <a:lstStyle/>
              <a:p>
                <a:pPr>
                  <a:defRPr sz="1100" b="0" i="0" u="none" strike="noStrike" baseline="0">
                    <a:solidFill>
                      <a:srgbClr val="333333"/>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'Revenue required'!$E$169:$F$169</c:f>
            </c:numRef>
          </c:val>
          <c:extLst>
            <c:ext xmlns:c15="http://schemas.microsoft.com/office/drawing/2012/chart" uri="{02D57815-91ED-43cb-92C2-25804820EDAC}">
              <c15:filteredCategoryTitle>
                <c15:cat>
                  <c:multiLvlStrRef>
                    <c:extLst>
                      <c:ext uri="{02D57815-91ED-43cb-92C2-25804820EDAC}">
                        <c15:formulaRef>
                          <c15:sqref>'Revenue required'!$E$163:$F$163</c15:sqref>
                        </c15:formulaRef>
                      </c:ext>
                    </c:extLst>
                  </c:multiLvlStrRef>
                </c15:cat>
              </c15:filteredCategoryTitle>
            </c:ext>
            <c:ext xmlns:c16="http://schemas.microsoft.com/office/drawing/2014/chart" uri="{C3380CC4-5D6E-409C-BE32-E72D297353CC}">
              <c16:uniqueId val="{00000005-3DFB-4ADE-9299-1CF81B3B2AFE}"/>
            </c:ext>
          </c:extLst>
        </c:ser>
        <c:dLbls>
          <c:showLegendKey val="0"/>
          <c:showVal val="0"/>
          <c:showCatName val="0"/>
          <c:showSerName val="0"/>
          <c:showPercent val="0"/>
          <c:showBubbleSize val="0"/>
        </c:dLbls>
        <c:gapWidth val="25"/>
        <c:overlap val="100"/>
        <c:axId val="1390303279"/>
        <c:axId val="1"/>
      </c:barChart>
      <c:catAx>
        <c:axId val="1390303279"/>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0" vert="horz"/>
          <a:lstStyle/>
          <a:p>
            <a:pPr>
              <a:defRPr sz="1100" b="0" i="0" u="none" strike="noStrike" baseline="0">
                <a:solidFill>
                  <a:srgbClr val="333333"/>
                </a:solidFill>
                <a:latin typeface="Calibri"/>
                <a:ea typeface="Calibri"/>
                <a:cs typeface="Calibri"/>
              </a:defRPr>
            </a:pPr>
            <a:endParaRPr lang="en-US"/>
          </a:p>
        </c:txPr>
        <c:crossAx val="1"/>
        <c:crosses val="autoZero"/>
        <c:auto val="1"/>
        <c:lblAlgn val="ctr"/>
        <c:lblOffset val="100"/>
        <c:noMultiLvlLbl val="0"/>
      </c:catAx>
      <c:valAx>
        <c:axId val="1"/>
        <c:scaling>
          <c:orientation val="minMax"/>
        </c:scaling>
        <c:delete val="1"/>
        <c:axPos val="l"/>
        <c:majorGridlines>
          <c:spPr>
            <a:ln w="9525" cap="flat" cmpd="sng" algn="ctr">
              <a:solidFill>
                <a:schemeClr val="tx1">
                  <a:lumMod val="15000"/>
                  <a:lumOff val="85000"/>
                </a:schemeClr>
              </a:solidFill>
              <a:round/>
            </a:ln>
            <a:effectLst/>
          </c:spPr>
        </c:majorGridlines>
        <c:numFmt formatCode="_-* #\ ##0_-;\-* #\ ##0_-;_-* &quot;-&quot;??_-;_-@_-" sourceLinked="1"/>
        <c:majorTickMark val="out"/>
        <c:minorTickMark val="none"/>
        <c:tickLblPos val="nextTo"/>
        <c:crossAx val="1390303279"/>
        <c:crosses val="autoZero"/>
        <c:crossBetween val="between"/>
      </c:valAx>
    </c:plotArea>
    <c:plotVisOnly val="1"/>
    <c:dispBlanksAs val="gap"/>
    <c:showDLblsOverMax val="0"/>
  </c:chart>
  <c:spPr>
    <a:solidFill>
      <a:schemeClr val="bg1"/>
    </a:solidFill>
    <a:ln w="9525" cap="flat" cmpd="sng" algn="ctr">
      <a:noFill/>
      <a:round/>
    </a:ln>
    <a:effectLst/>
  </c:spPr>
  <c:txPr>
    <a:bodyPr/>
    <a:lstStyle/>
    <a:p>
      <a:pPr>
        <a:defRPr sz="11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charts/chart5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320" b="0" i="0" u="none" strike="noStrike" baseline="0">
                <a:solidFill>
                  <a:srgbClr val="333333"/>
                </a:solidFill>
                <a:latin typeface="Calibri"/>
                <a:ea typeface="Calibri"/>
                <a:cs typeface="Calibri"/>
              </a:defRPr>
            </a:pPr>
            <a:r>
              <a:rPr lang="en-ZA"/>
              <a:t>Budget funding: sanitation service: %s</a:t>
            </a:r>
          </a:p>
        </c:rich>
      </c:tx>
      <c:layout>
        <c:manualLayout>
          <c:xMode val="edge"/>
          <c:yMode val="edge"/>
          <c:x val="3.5577490612716478E-2"/>
          <c:y val="5.0906329016565235E-2"/>
        </c:manualLayout>
      </c:layout>
      <c:overlay val="0"/>
      <c:spPr>
        <a:noFill/>
        <a:ln w="25400">
          <a:noFill/>
        </a:ln>
      </c:spPr>
    </c:title>
    <c:autoTitleDeleted val="0"/>
    <c:plotArea>
      <c:layout/>
      <c:barChart>
        <c:barDir val="col"/>
        <c:grouping val="percentStacked"/>
        <c:varyColors val="0"/>
        <c:ser>
          <c:idx val="0"/>
          <c:order val="0"/>
          <c:tx>
            <c:strRef>
              <c:f>'Revenue required'!$G$164</c:f>
              <c:strCache>
                <c:ptCount val="1"/>
                <c:pt idx="0">
                  <c:v>Direct cost</c:v>
                </c:pt>
              </c:strCache>
            </c:strRef>
          </c:tx>
          <c:spPr>
            <a:solidFill>
              <a:schemeClr val="accent5"/>
            </a:solidFill>
          </c:spPr>
          <c:invertIfNegative val="0"/>
          <c:dLbls>
            <c:spPr>
              <a:noFill/>
              <a:ln w="25400">
                <a:noFill/>
              </a:ln>
            </c:spPr>
            <c:txPr>
              <a:bodyPr wrap="square" lIns="38100" tIns="19050" rIns="38100" bIns="19050" anchor="ctr">
                <a:spAutoFit/>
              </a:bodyPr>
              <a:lstStyle/>
              <a:p>
                <a:pPr>
                  <a:defRPr sz="1100" b="0" i="0" u="none" strike="noStrike" baseline="0">
                    <a:solidFill>
                      <a:srgbClr val="333333"/>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'Revenue required'!$H$164:$I$164</c:f>
            </c:numRef>
          </c:val>
          <c:extLst>
            <c:ext xmlns:c15="http://schemas.microsoft.com/office/drawing/2012/chart" uri="{02D57815-91ED-43cb-92C2-25804820EDAC}">
              <c15:filteredCategoryTitle>
                <c15:cat>
                  <c:multiLvlStrRef>
                    <c:extLst>
                      <c:ext uri="{02D57815-91ED-43cb-92C2-25804820EDAC}">
                        <c15:formulaRef>
                          <c15:sqref>'Revenue required'!$H$163:$I$163</c15:sqref>
                        </c15:formulaRef>
                      </c:ext>
                    </c:extLst>
                  </c:multiLvlStrRef>
                </c15:cat>
              </c15:filteredCategoryTitle>
            </c:ext>
            <c:ext xmlns:c16="http://schemas.microsoft.com/office/drawing/2014/chart" uri="{C3380CC4-5D6E-409C-BE32-E72D297353CC}">
              <c16:uniqueId val="{00000000-7B35-4703-A61D-DD5A2DC4BED3}"/>
            </c:ext>
          </c:extLst>
        </c:ser>
        <c:ser>
          <c:idx val="1"/>
          <c:order val="1"/>
          <c:tx>
            <c:strRef>
              <c:f>'Revenue required'!$G$165</c:f>
              <c:strCache>
                <c:ptCount val="1"/>
                <c:pt idx="0">
                  <c:v>Indirect cost</c:v>
                </c:pt>
              </c:strCache>
            </c:strRef>
          </c:tx>
          <c:spPr>
            <a:solidFill>
              <a:schemeClr val="accent5">
                <a:lumMod val="40000"/>
                <a:lumOff val="60000"/>
              </a:schemeClr>
            </a:solidFill>
          </c:spPr>
          <c:invertIfNegative val="0"/>
          <c:dLbls>
            <c:spPr>
              <a:noFill/>
              <a:ln w="25400">
                <a:noFill/>
              </a:ln>
            </c:spPr>
            <c:txPr>
              <a:bodyPr wrap="square" lIns="38100" tIns="19050" rIns="38100" bIns="19050" anchor="ctr">
                <a:spAutoFit/>
              </a:bodyPr>
              <a:lstStyle/>
              <a:p>
                <a:pPr>
                  <a:defRPr sz="1100" b="0" i="0" u="none" strike="noStrike" baseline="0">
                    <a:solidFill>
                      <a:srgbClr val="333333"/>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'Revenue required'!$H$165:$I$165</c:f>
            </c:numRef>
          </c:val>
          <c:extLst>
            <c:ext xmlns:c15="http://schemas.microsoft.com/office/drawing/2012/chart" uri="{02D57815-91ED-43cb-92C2-25804820EDAC}">
              <c15:filteredCategoryTitle>
                <c15:cat>
                  <c:multiLvlStrRef>
                    <c:extLst>
                      <c:ext uri="{02D57815-91ED-43cb-92C2-25804820EDAC}">
                        <c15:formulaRef>
                          <c15:sqref>'Revenue required'!$H$163:$I$163</c15:sqref>
                        </c15:formulaRef>
                      </c:ext>
                    </c:extLst>
                  </c:multiLvlStrRef>
                </c15:cat>
              </c15:filteredCategoryTitle>
            </c:ext>
            <c:ext xmlns:c16="http://schemas.microsoft.com/office/drawing/2014/chart" uri="{C3380CC4-5D6E-409C-BE32-E72D297353CC}">
              <c16:uniqueId val="{00000001-7B35-4703-A61D-DD5A2DC4BED3}"/>
            </c:ext>
          </c:extLst>
        </c:ser>
        <c:ser>
          <c:idx val="2"/>
          <c:order val="2"/>
          <c:tx>
            <c:strRef>
              <c:f>'Revenue required'!$G$166</c:f>
              <c:strCache>
                <c:ptCount val="1"/>
              </c:strCache>
            </c:strRef>
          </c:tx>
          <c:spPr>
            <a:solidFill>
              <a:schemeClr val="accent6"/>
            </a:solidFill>
          </c:spPr>
          <c:invertIfNegative val="0"/>
          <c:dLbls>
            <c:spPr>
              <a:noFill/>
              <a:ln w="25400">
                <a:noFill/>
              </a:ln>
            </c:spPr>
            <c:txPr>
              <a:bodyPr wrap="square" lIns="38100" tIns="19050" rIns="38100" bIns="19050" anchor="ctr">
                <a:spAutoFit/>
              </a:bodyPr>
              <a:lstStyle/>
              <a:p>
                <a:pPr>
                  <a:defRPr sz="1100" b="0" i="0" u="none" strike="noStrike" baseline="0">
                    <a:solidFill>
                      <a:srgbClr val="333333"/>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'Revenue required'!$H$166:$I$166</c:f>
            </c:numRef>
          </c:val>
          <c:extLst>
            <c:ext xmlns:c15="http://schemas.microsoft.com/office/drawing/2012/chart" uri="{02D57815-91ED-43cb-92C2-25804820EDAC}">
              <c15:filteredCategoryTitle>
                <c15:cat>
                  <c:multiLvlStrRef>
                    <c:extLst>
                      <c:ext uri="{02D57815-91ED-43cb-92C2-25804820EDAC}">
                        <c15:formulaRef>
                          <c15:sqref>'Revenue required'!$H$163:$I$163</c15:sqref>
                        </c15:formulaRef>
                      </c:ext>
                    </c:extLst>
                  </c:multiLvlStrRef>
                </c15:cat>
              </c15:filteredCategoryTitle>
            </c:ext>
            <c:ext xmlns:c16="http://schemas.microsoft.com/office/drawing/2014/chart" uri="{C3380CC4-5D6E-409C-BE32-E72D297353CC}">
              <c16:uniqueId val="{00000002-7B35-4703-A61D-DD5A2DC4BED3}"/>
            </c:ext>
          </c:extLst>
        </c:ser>
        <c:ser>
          <c:idx val="4"/>
          <c:order val="3"/>
          <c:tx>
            <c:strRef>
              <c:f>'Revenue required'!$G$167</c:f>
              <c:strCache>
                <c:ptCount val="1"/>
                <c:pt idx="0">
                  <c:v>Tariff revenue</c:v>
                </c:pt>
              </c:strCache>
            </c:strRef>
          </c:tx>
          <c:spPr>
            <a:solidFill>
              <a:schemeClr val="accent3">
                <a:lumMod val="75000"/>
              </a:schemeClr>
            </a:solidFill>
          </c:spPr>
          <c:invertIfNegative val="0"/>
          <c:dLbls>
            <c:spPr>
              <a:noFill/>
              <a:ln w="25400">
                <a:noFill/>
              </a:ln>
            </c:spPr>
            <c:txPr>
              <a:bodyPr wrap="square" lIns="38100" tIns="19050" rIns="38100" bIns="19050" anchor="ctr">
                <a:spAutoFit/>
              </a:bodyPr>
              <a:lstStyle/>
              <a:p>
                <a:pPr>
                  <a:defRPr sz="1100" b="0" i="0" u="none" strike="noStrike" baseline="0">
                    <a:solidFill>
                      <a:srgbClr val="333333"/>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'Revenue required'!$H$167:$I$167</c:f>
            </c:numRef>
          </c:val>
          <c:extLst>
            <c:ext xmlns:c15="http://schemas.microsoft.com/office/drawing/2012/chart" uri="{02D57815-91ED-43cb-92C2-25804820EDAC}">
              <c15:filteredCategoryTitle>
                <c15:cat>
                  <c:multiLvlStrRef>
                    <c:extLst>
                      <c:ext uri="{02D57815-91ED-43cb-92C2-25804820EDAC}">
                        <c15:formulaRef>
                          <c15:sqref>'Revenue required'!$H$163:$I$163</c15:sqref>
                        </c15:formulaRef>
                      </c:ext>
                    </c:extLst>
                  </c:multiLvlStrRef>
                </c15:cat>
              </c15:filteredCategoryTitle>
            </c:ext>
            <c:ext xmlns:c16="http://schemas.microsoft.com/office/drawing/2014/chart" uri="{C3380CC4-5D6E-409C-BE32-E72D297353CC}">
              <c16:uniqueId val="{00000003-7B35-4703-A61D-DD5A2DC4BED3}"/>
            </c:ext>
          </c:extLst>
        </c:ser>
        <c:ser>
          <c:idx val="5"/>
          <c:order val="4"/>
          <c:tx>
            <c:strRef>
              <c:f>'Revenue required'!$G$168</c:f>
              <c:strCache>
                <c:ptCount val="1"/>
                <c:pt idx="0">
                  <c:v>Non-tariff revenue</c:v>
                </c:pt>
              </c:strCache>
            </c:strRef>
          </c:tx>
          <c:spPr>
            <a:solidFill>
              <a:schemeClr val="accent3"/>
            </a:solidFill>
          </c:spPr>
          <c:invertIfNegative val="0"/>
          <c:dLbls>
            <c:spPr>
              <a:noFill/>
              <a:ln w="25400">
                <a:noFill/>
              </a:ln>
            </c:spPr>
            <c:txPr>
              <a:bodyPr wrap="square" lIns="38100" tIns="19050" rIns="38100" bIns="19050" anchor="ctr">
                <a:spAutoFit/>
              </a:bodyPr>
              <a:lstStyle/>
              <a:p>
                <a:pPr>
                  <a:defRPr sz="1100" b="0" i="0" u="none" strike="noStrike" baseline="0">
                    <a:solidFill>
                      <a:srgbClr val="333333"/>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'Revenue required'!$H$168:$I$168</c:f>
            </c:numRef>
          </c:val>
          <c:extLst>
            <c:ext xmlns:c15="http://schemas.microsoft.com/office/drawing/2012/chart" uri="{02D57815-91ED-43cb-92C2-25804820EDAC}">
              <c15:filteredCategoryTitle>
                <c15:cat>
                  <c:multiLvlStrRef>
                    <c:extLst>
                      <c:ext uri="{02D57815-91ED-43cb-92C2-25804820EDAC}">
                        <c15:formulaRef>
                          <c15:sqref>'Revenue required'!$H$163:$I$163</c15:sqref>
                        </c15:formulaRef>
                      </c:ext>
                    </c:extLst>
                  </c:multiLvlStrRef>
                </c15:cat>
              </c15:filteredCategoryTitle>
            </c:ext>
            <c:ext xmlns:c16="http://schemas.microsoft.com/office/drawing/2014/chart" uri="{C3380CC4-5D6E-409C-BE32-E72D297353CC}">
              <c16:uniqueId val="{00000004-7B35-4703-A61D-DD5A2DC4BED3}"/>
            </c:ext>
          </c:extLst>
        </c:ser>
        <c:ser>
          <c:idx val="3"/>
          <c:order val="5"/>
          <c:tx>
            <c:strRef>
              <c:f>'Revenue required'!$G$169</c:f>
              <c:strCache>
                <c:ptCount val="1"/>
              </c:strCache>
            </c:strRef>
          </c:tx>
          <c:invertIfNegative val="0"/>
          <c:dLbls>
            <c:spPr>
              <a:noFill/>
              <a:ln w="25400">
                <a:noFill/>
              </a:ln>
            </c:spPr>
            <c:txPr>
              <a:bodyPr wrap="square" lIns="38100" tIns="19050" rIns="38100" bIns="19050" anchor="ctr">
                <a:spAutoFit/>
              </a:bodyPr>
              <a:lstStyle/>
              <a:p>
                <a:pPr>
                  <a:defRPr sz="1100" b="0" i="0" u="none" strike="noStrike" baseline="0">
                    <a:solidFill>
                      <a:srgbClr val="333333"/>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'Revenue required'!$H$169:$I$169</c:f>
            </c:numRef>
          </c:val>
          <c:extLst>
            <c:ext xmlns:c15="http://schemas.microsoft.com/office/drawing/2012/chart" uri="{02D57815-91ED-43cb-92C2-25804820EDAC}">
              <c15:filteredCategoryTitle>
                <c15:cat>
                  <c:multiLvlStrRef>
                    <c:extLst>
                      <c:ext uri="{02D57815-91ED-43cb-92C2-25804820EDAC}">
                        <c15:formulaRef>
                          <c15:sqref>'Revenue required'!$H$163:$I$163</c15:sqref>
                        </c15:formulaRef>
                      </c:ext>
                    </c:extLst>
                  </c:multiLvlStrRef>
                </c15:cat>
              </c15:filteredCategoryTitle>
            </c:ext>
            <c:ext xmlns:c16="http://schemas.microsoft.com/office/drawing/2014/chart" uri="{C3380CC4-5D6E-409C-BE32-E72D297353CC}">
              <c16:uniqueId val="{00000005-7B35-4703-A61D-DD5A2DC4BED3}"/>
            </c:ext>
          </c:extLst>
        </c:ser>
        <c:dLbls>
          <c:showLegendKey val="0"/>
          <c:showVal val="0"/>
          <c:showCatName val="0"/>
          <c:showSerName val="0"/>
          <c:showPercent val="0"/>
          <c:showBubbleSize val="0"/>
        </c:dLbls>
        <c:gapWidth val="25"/>
        <c:overlap val="100"/>
        <c:axId val="1350503279"/>
        <c:axId val="1"/>
      </c:barChart>
      <c:catAx>
        <c:axId val="1350503279"/>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0" vert="horz"/>
          <a:lstStyle/>
          <a:p>
            <a:pPr>
              <a:defRPr sz="1100" b="0" i="0" u="none" strike="noStrike" baseline="0">
                <a:solidFill>
                  <a:srgbClr val="333333"/>
                </a:solidFill>
                <a:latin typeface="Calibri"/>
                <a:ea typeface="Calibri"/>
                <a:cs typeface="Calibri"/>
              </a:defRPr>
            </a:pPr>
            <a:endParaRPr lang="en-US"/>
          </a:p>
        </c:txPr>
        <c:crossAx val="1"/>
        <c:crosses val="autoZero"/>
        <c:auto val="1"/>
        <c:lblAlgn val="ctr"/>
        <c:lblOffset val="100"/>
        <c:noMultiLvlLbl val="0"/>
      </c:catAx>
      <c:valAx>
        <c:axId val="1"/>
        <c:scaling>
          <c:orientation val="minMax"/>
        </c:scaling>
        <c:delete val="1"/>
        <c:axPos val="l"/>
        <c:majorGridlines>
          <c:spPr>
            <a:ln w="9525" cap="flat" cmpd="sng" algn="ctr">
              <a:solidFill>
                <a:schemeClr val="tx1">
                  <a:lumMod val="15000"/>
                  <a:lumOff val="85000"/>
                </a:schemeClr>
              </a:solidFill>
              <a:round/>
            </a:ln>
            <a:effectLst/>
          </c:spPr>
        </c:majorGridlines>
        <c:numFmt formatCode="0%" sourceLinked="1"/>
        <c:majorTickMark val="out"/>
        <c:minorTickMark val="none"/>
        <c:tickLblPos val="nextTo"/>
        <c:crossAx val="1350503279"/>
        <c:crosses val="autoZero"/>
        <c:crossBetween val="between"/>
      </c:valAx>
    </c:plotArea>
    <c:plotVisOnly val="1"/>
    <c:dispBlanksAs val="gap"/>
    <c:showDLblsOverMax val="0"/>
  </c:chart>
  <c:spPr>
    <a:solidFill>
      <a:schemeClr val="bg1"/>
    </a:solidFill>
    <a:ln w="9525" cap="flat" cmpd="sng" algn="ctr">
      <a:noFill/>
      <a:round/>
    </a:ln>
    <a:effectLst/>
  </c:spPr>
  <c:txPr>
    <a:bodyPr/>
    <a:lstStyle/>
    <a:p>
      <a:pPr>
        <a:defRPr sz="11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charts/chart5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320" b="0" i="0" u="none" strike="noStrike" baseline="0">
                <a:solidFill>
                  <a:srgbClr val="333333"/>
                </a:solidFill>
                <a:latin typeface="Calibri"/>
                <a:ea typeface="Calibri"/>
                <a:cs typeface="Calibri"/>
              </a:defRPr>
            </a:pPr>
            <a:r>
              <a:rPr lang="en-ZA"/>
              <a:t>Budget funding: electricity service: categories</a:t>
            </a:r>
          </a:p>
        </c:rich>
      </c:tx>
      <c:layout>
        <c:manualLayout>
          <c:xMode val="edge"/>
          <c:yMode val="edge"/>
          <c:x val="6.8346456692913393E-2"/>
          <c:y val="4.1609029640525708E-2"/>
        </c:manualLayout>
      </c:layout>
      <c:overlay val="0"/>
      <c:spPr>
        <a:noFill/>
        <a:ln w="25400">
          <a:noFill/>
        </a:ln>
      </c:spPr>
    </c:title>
    <c:autoTitleDeleted val="0"/>
    <c:plotArea>
      <c:layout/>
      <c:barChart>
        <c:barDir val="col"/>
        <c:grouping val="stacked"/>
        <c:varyColors val="0"/>
        <c:ser>
          <c:idx val="0"/>
          <c:order val="0"/>
          <c:tx>
            <c:strRef>
              <c:f>'Revenue required'!$D$174</c:f>
              <c:strCache>
                <c:ptCount val="1"/>
                <c:pt idx="0">
                  <c:v>Direct cost</c:v>
                </c:pt>
              </c:strCache>
            </c:strRef>
          </c:tx>
          <c:spPr>
            <a:solidFill>
              <a:schemeClr val="accent5"/>
            </a:solidFill>
          </c:spPr>
          <c:invertIfNegative val="0"/>
          <c:dLbls>
            <c:dLbl>
              <c:idx val="0"/>
              <c:tx>
                <c:strRef>
                  <c:f>'Revenue required'!$D$174</c:f>
                  <c:strCache>
                    <c:ptCount val="1"/>
                    <c:pt idx="0">
                      <c:v>Direct cost</c:v>
                    </c:pt>
                  </c:strCache>
                </c:strRef>
              </c:tx>
              <c:spPr>
                <a:noFill/>
                <a:ln w="25400">
                  <a:noFill/>
                </a:ln>
              </c:spPr>
              <c:txPr>
                <a:bodyPr/>
                <a:lstStyle/>
                <a:p>
                  <a:pPr>
                    <a:defRPr sz="1100" b="0" i="0" u="none" strike="noStrike" baseline="0">
                      <a:solidFill>
                        <a:srgbClr val="333333"/>
                      </a:solidFill>
                      <a:latin typeface="Calibri"/>
                      <a:ea typeface="Calibri"/>
                      <a:cs typeface="Calibri"/>
                    </a:defRPr>
                  </a:pPr>
                  <a:endParaRPr lang="en-US"/>
                </a:p>
              </c:txPr>
              <c:dLblPos val="ctr"/>
              <c:showLegendKey val="0"/>
              <c:showVal val="0"/>
              <c:showCatName val="0"/>
              <c:showSerName val="0"/>
              <c:showPercent val="0"/>
              <c:showBubbleSize val="0"/>
              <c:extLst>
                <c:ext xmlns:c15="http://schemas.microsoft.com/office/drawing/2012/chart" uri="{CE6537A1-D6FC-4f65-9D91-7224C49458BB}">
                  <c15:dlblFieldTable>
                    <c15:dlblFTEntry>
                      <c15:txfldGUID>{8F11E5BF-5D79-42CD-BEB2-156BAA23B056}</c15:txfldGUID>
                      <c15:f>'Revenue required'!$D$174</c15:f>
                      <c15:dlblFieldTableCache>
                        <c:ptCount val="1"/>
                        <c:pt idx="0">
                          <c:v>Direct cost</c:v>
                        </c:pt>
                      </c15:dlblFieldTableCache>
                    </c15:dlblFTEntry>
                  </c15:dlblFieldTable>
                  <c15:showDataLabelsRange val="0"/>
                </c:ext>
                <c:ext xmlns:c16="http://schemas.microsoft.com/office/drawing/2014/chart" uri="{C3380CC4-5D6E-409C-BE32-E72D297353CC}">
                  <c16:uniqueId val="{00000000-0EBE-4628-8E1C-D8D6016B4DC8}"/>
                </c:ext>
              </c:extLst>
            </c:dLbl>
            <c:spPr>
              <a:noFill/>
              <a:ln w="25400">
                <a:noFill/>
              </a:ln>
            </c:spPr>
            <c:txPr>
              <a:bodyPr wrap="square" lIns="38100" tIns="19050" rIns="38100" bIns="19050" anchor="ctr">
                <a:spAutoFit/>
              </a:bodyPr>
              <a:lstStyle/>
              <a:p>
                <a:pPr>
                  <a:defRPr sz="1100" b="0" i="0" u="none" strike="noStrike" baseline="0">
                    <a:solidFill>
                      <a:srgbClr val="333333"/>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'Revenue required'!$E$174:$F$174</c:f>
            </c:numRef>
          </c:val>
          <c:extLst>
            <c:ext xmlns:c15="http://schemas.microsoft.com/office/drawing/2012/chart" uri="{02D57815-91ED-43cb-92C2-25804820EDAC}">
              <c15:filteredCategoryTitle>
                <c15:cat>
                  <c:multiLvlStrRef>
                    <c:extLst>
                      <c:ext uri="{02D57815-91ED-43cb-92C2-25804820EDAC}">
                        <c15:formulaRef>
                          <c15:sqref>'Revenue required'!$E$173:$F$173</c15:sqref>
                        </c15:formulaRef>
                      </c:ext>
                    </c:extLst>
                  </c:multiLvlStrRef>
                </c15:cat>
              </c15:filteredCategoryTitle>
            </c:ext>
            <c:ext xmlns:c16="http://schemas.microsoft.com/office/drawing/2014/chart" uri="{C3380CC4-5D6E-409C-BE32-E72D297353CC}">
              <c16:uniqueId val="{00000001-0EBE-4628-8E1C-D8D6016B4DC8}"/>
            </c:ext>
          </c:extLst>
        </c:ser>
        <c:ser>
          <c:idx val="1"/>
          <c:order val="1"/>
          <c:tx>
            <c:strRef>
              <c:f>'Revenue required'!$D$175</c:f>
              <c:strCache>
                <c:ptCount val="1"/>
                <c:pt idx="0">
                  <c:v>Indirect cost</c:v>
                </c:pt>
              </c:strCache>
            </c:strRef>
          </c:tx>
          <c:spPr>
            <a:solidFill>
              <a:schemeClr val="accent5">
                <a:lumMod val="60000"/>
                <a:lumOff val="40000"/>
              </a:schemeClr>
            </a:solidFill>
          </c:spPr>
          <c:invertIfNegative val="0"/>
          <c:dLbls>
            <c:dLbl>
              <c:idx val="0"/>
              <c:tx>
                <c:strRef>
                  <c:f>'Revenue required'!$D$175</c:f>
                  <c:strCache>
                    <c:ptCount val="1"/>
                    <c:pt idx="0">
                      <c:v>Indirect cost</c:v>
                    </c:pt>
                  </c:strCache>
                </c:strRef>
              </c:tx>
              <c:spPr>
                <a:noFill/>
                <a:ln w="25400">
                  <a:noFill/>
                </a:ln>
              </c:spPr>
              <c:txPr>
                <a:bodyPr/>
                <a:lstStyle/>
                <a:p>
                  <a:pPr>
                    <a:defRPr sz="1100" b="0" i="0" u="none" strike="noStrike" baseline="0">
                      <a:solidFill>
                        <a:srgbClr val="333333"/>
                      </a:solidFill>
                      <a:latin typeface="Calibri"/>
                      <a:ea typeface="Calibri"/>
                      <a:cs typeface="Calibri"/>
                    </a:defRPr>
                  </a:pPr>
                  <a:endParaRPr lang="en-US"/>
                </a:p>
              </c:txPr>
              <c:dLblPos val="ctr"/>
              <c:showLegendKey val="0"/>
              <c:showVal val="0"/>
              <c:showCatName val="0"/>
              <c:showSerName val="0"/>
              <c:showPercent val="0"/>
              <c:showBubbleSize val="0"/>
              <c:extLst>
                <c:ext xmlns:c15="http://schemas.microsoft.com/office/drawing/2012/chart" uri="{CE6537A1-D6FC-4f65-9D91-7224C49458BB}">
                  <c15:dlblFieldTable>
                    <c15:dlblFTEntry>
                      <c15:txfldGUID>{C3360F19-C445-4C89-A7B7-E129123E0C31}</c15:txfldGUID>
                      <c15:f>'Revenue required'!$D$175</c15:f>
                      <c15:dlblFieldTableCache>
                        <c:ptCount val="1"/>
                        <c:pt idx="0">
                          <c:v>Indirect cost</c:v>
                        </c:pt>
                      </c15:dlblFieldTableCache>
                    </c15:dlblFTEntry>
                  </c15:dlblFieldTable>
                  <c15:showDataLabelsRange val="0"/>
                </c:ext>
                <c:ext xmlns:c16="http://schemas.microsoft.com/office/drawing/2014/chart" uri="{C3380CC4-5D6E-409C-BE32-E72D297353CC}">
                  <c16:uniqueId val="{00000002-0EBE-4628-8E1C-D8D6016B4DC8}"/>
                </c:ext>
              </c:extLst>
            </c:dLbl>
            <c:spPr>
              <a:noFill/>
              <a:ln w="25400">
                <a:noFill/>
              </a:ln>
            </c:spPr>
            <c:txPr>
              <a:bodyPr wrap="square" lIns="38100" tIns="19050" rIns="38100" bIns="19050" anchor="ctr">
                <a:spAutoFit/>
              </a:bodyPr>
              <a:lstStyle/>
              <a:p>
                <a:pPr>
                  <a:defRPr sz="1100" b="0" i="0" u="none" strike="noStrike" baseline="0">
                    <a:solidFill>
                      <a:srgbClr val="333333"/>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'Revenue required'!$E$175:$F$175</c:f>
            </c:numRef>
          </c:val>
          <c:extLst>
            <c:ext xmlns:c15="http://schemas.microsoft.com/office/drawing/2012/chart" uri="{02D57815-91ED-43cb-92C2-25804820EDAC}">
              <c15:filteredCategoryTitle>
                <c15:cat>
                  <c:multiLvlStrRef>
                    <c:extLst>
                      <c:ext uri="{02D57815-91ED-43cb-92C2-25804820EDAC}">
                        <c15:formulaRef>
                          <c15:sqref>'Revenue required'!$E$173:$F$173</c15:sqref>
                        </c15:formulaRef>
                      </c:ext>
                    </c:extLst>
                  </c:multiLvlStrRef>
                </c15:cat>
              </c15:filteredCategoryTitle>
            </c:ext>
            <c:ext xmlns:c16="http://schemas.microsoft.com/office/drawing/2014/chart" uri="{C3380CC4-5D6E-409C-BE32-E72D297353CC}">
              <c16:uniqueId val="{00000003-0EBE-4628-8E1C-D8D6016B4DC8}"/>
            </c:ext>
          </c:extLst>
        </c:ser>
        <c:ser>
          <c:idx val="2"/>
          <c:order val="2"/>
          <c:tx>
            <c:strRef>
              <c:f>'Revenue required'!$D$176</c:f>
              <c:strCache>
                <c:ptCount val="1"/>
              </c:strCache>
            </c:strRef>
          </c:tx>
          <c:spPr>
            <a:solidFill>
              <a:schemeClr val="accent6"/>
            </a:solidFill>
          </c:spPr>
          <c:invertIfNegative val="0"/>
          <c:dLbls>
            <c:dLbl>
              <c:idx val="0"/>
              <c:tx>
                <c:strRef>
                  <c:f>'Revenue required'!$D$176</c:f>
                  <c:strCache>
                    <c:ptCount val="1"/>
                  </c:strCache>
                </c:strRef>
              </c:tx>
              <c:spPr>
                <a:noFill/>
                <a:ln w="25400">
                  <a:noFill/>
                </a:ln>
              </c:spPr>
              <c:txPr>
                <a:bodyPr/>
                <a:lstStyle/>
                <a:p>
                  <a:pPr>
                    <a:defRPr sz="1100" b="0" i="0" u="none" strike="noStrike" baseline="0">
                      <a:solidFill>
                        <a:srgbClr val="333333"/>
                      </a:solidFill>
                      <a:latin typeface="Calibri"/>
                      <a:ea typeface="Calibri"/>
                      <a:cs typeface="Calibri"/>
                    </a:defRPr>
                  </a:pPr>
                  <a:endParaRPr lang="en-US"/>
                </a:p>
              </c:txPr>
              <c:dLblPos val="ctr"/>
              <c:showLegendKey val="0"/>
              <c:showVal val="0"/>
              <c:showCatName val="0"/>
              <c:showSerName val="0"/>
              <c:showPercent val="0"/>
              <c:showBubbleSize val="0"/>
              <c:extLst>
                <c:ext xmlns:c15="http://schemas.microsoft.com/office/drawing/2012/chart" uri="{CE6537A1-D6FC-4f65-9D91-7224C49458BB}">
                  <c15:dlblFieldTable>
                    <c15:dlblFTEntry>
                      <c15:txfldGUID>{B9D579FE-44E0-4552-B60B-48692E3848DC}</c15:txfldGUID>
                      <c15:f>'Revenue required'!$D$176</c15:f>
                      <c15:dlblFieldTableCache>
                        <c:ptCount val="1"/>
                      </c15:dlblFieldTableCache>
                    </c15:dlblFTEntry>
                  </c15:dlblFieldTable>
                  <c15:showDataLabelsRange val="0"/>
                </c:ext>
                <c:ext xmlns:c16="http://schemas.microsoft.com/office/drawing/2014/chart" uri="{C3380CC4-5D6E-409C-BE32-E72D297353CC}">
                  <c16:uniqueId val="{00000004-0EBE-4628-8E1C-D8D6016B4DC8}"/>
                </c:ext>
              </c:extLst>
            </c:dLbl>
            <c:spPr>
              <a:noFill/>
              <a:ln w="25400">
                <a:noFill/>
              </a:ln>
            </c:spPr>
            <c:txPr>
              <a:bodyPr wrap="square" lIns="38100" tIns="19050" rIns="38100" bIns="19050" anchor="ctr">
                <a:spAutoFit/>
              </a:bodyPr>
              <a:lstStyle/>
              <a:p>
                <a:pPr>
                  <a:defRPr sz="1100" b="0" i="0" u="none" strike="noStrike" baseline="0">
                    <a:solidFill>
                      <a:srgbClr val="333333"/>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'Revenue required'!$E$176:$F$176</c:f>
            </c:numRef>
          </c:val>
          <c:extLst>
            <c:ext xmlns:c15="http://schemas.microsoft.com/office/drawing/2012/chart" uri="{02D57815-91ED-43cb-92C2-25804820EDAC}">
              <c15:filteredCategoryTitle>
                <c15:cat>
                  <c:multiLvlStrRef>
                    <c:extLst>
                      <c:ext uri="{02D57815-91ED-43cb-92C2-25804820EDAC}">
                        <c15:formulaRef>
                          <c15:sqref>'Revenue required'!$E$173:$F$173</c15:sqref>
                        </c15:formulaRef>
                      </c:ext>
                    </c:extLst>
                  </c:multiLvlStrRef>
                </c15:cat>
              </c15:filteredCategoryTitle>
            </c:ext>
            <c:ext xmlns:c16="http://schemas.microsoft.com/office/drawing/2014/chart" uri="{C3380CC4-5D6E-409C-BE32-E72D297353CC}">
              <c16:uniqueId val="{00000005-0EBE-4628-8E1C-D8D6016B4DC8}"/>
            </c:ext>
          </c:extLst>
        </c:ser>
        <c:ser>
          <c:idx val="4"/>
          <c:order val="3"/>
          <c:tx>
            <c:strRef>
              <c:f>'Revenue required'!$D$177</c:f>
              <c:strCache>
                <c:ptCount val="1"/>
                <c:pt idx="0">
                  <c:v>Tariff revenue</c:v>
                </c:pt>
              </c:strCache>
            </c:strRef>
          </c:tx>
          <c:spPr>
            <a:solidFill>
              <a:schemeClr val="accent3">
                <a:lumMod val="75000"/>
              </a:schemeClr>
            </a:solidFill>
          </c:spPr>
          <c:invertIfNegative val="0"/>
          <c:dLbls>
            <c:dLbl>
              <c:idx val="1"/>
              <c:tx>
                <c:strRef>
                  <c:f>'Revenue required'!$D$177</c:f>
                  <c:strCache>
                    <c:ptCount val="1"/>
                    <c:pt idx="0">
                      <c:v>Tariff revenue</c:v>
                    </c:pt>
                  </c:strCache>
                </c:strRef>
              </c:tx>
              <c:spPr>
                <a:noFill/>
                <a:ln w="25400">
                  <a:noFill/>
                </a:ln>
              </c:spPr>
              <c:txPr>
                <a:bodyPr/>
                <a:lstStyle/>
                <a:p>
                  <a:pPr>
                    <a:defRPr sz="1100" b="0" i="0" u="none" strike="noStrike" baseline="0">
                      <a:solidFill>
                        <a:srgbClr val="333333"/>
                      </a:solidFill>
                      <a:latin typeface="Calibri"/>
                      <a:ea typeface="Calibri"/>
                      <a:cs typeface="Calibri"/>
                    </a:defRPr>
                  </a:pPr>
                  <a:endParaRPr lang="en-US"/>
                </a:p>
              </c:txPr>
              <c:dLblPos val="ctr"/>
              <c:showLegendKey val="0"/>
              <c:showVal val="0"/>
              <c:showCatName val="0"/>
              <c:showSerName val="0"/>
              <c:showPercent val="0"/>
              <c:showBubbleSize val="0"/>
              <c:extLst>
                <c:ext xmlns:c15="http://schemas.microsoft.com/office/drawing/2012/chart" uri="{CE6537A1-D6FC-4f65-9D91-7224C49458BB}">
                  <c15:dlblFieldTable>
                    <c15:dlblFTEntry>
                      <c15:txfldGUID>{4EE87B6B-F997-4194-B3EB-D6683DB94F0B}</c15:txfldGUID>
                      <c15:f>'Revenue required'!$D$177</c15:f>
                      <c15:dlblFieldTableCache>
                        <c:ptCount val="1"/>
                        <c:pt idx="0">
                          <c:v>Tariff revenue</c:v>
                        </c:pt>
                      </c15:dlblFieldTableCache>
                    </c15:dlblFTEntry>
                  </c15:dlblFieldTable>
                  <c15:showDataLabelsRange val="0"/>
                </c:ext>
                <c:ext xmlns:c16="http://schemas.microsoft.com/office/drawing/2014/chart" uri="{C3380CC4-5D6E-409C-BE32-E72D297353CC}">
                  <c16:uniqueId val="{00000006-0EBE-4628-8E1C-D8D6016B4DC8}"/>
                </c:ext>
              </c:extLst>
            </c:dLbl>
            <c:spPr>
              <a:noFill/>
              <a:ln w="25400">
                <a:noFill/>
              </a:ln>
            </c:spPr>
            <c:txPr>
              <a:bodyPr wrap="square" lIns="38100" tIns="19050" rIns="38100" bIns="19050" anchor="ctr">
                <a:spAutoFit/>
              </a:bodyPr>
              <a:lstStyle/>
              <a:p>
                <a:pPr>
                  <a:defRPr sz="1100" b="0" i="0" u="none" strike="noStrike" baseline="0">
                    <a:solidFill>
                      <a:srgbClr val="333333"/>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'Revenue required'!$E$177:$F$177</c:f>
            </c:numRef>
          </c:val>
          <c:extLst>
            <c:ext xmlns:c15="http://schemas.microsoft.com/office/drawing/2012/chart" uri="{02D57815-91ED-43cb-92C2-25804820EDAC}">
              <c15:filteredCategoryTitle>
                <c15:cat>
                  <c:multiLvlStrRef>
                    <c:extLst>
                      <c:ext uri="{02D57815-91ED-43cb-92C2-25804820EDAC}">
                        <c15:formulaRef>
                          <c15:sqref>'Revenue required'!$E$173:$F$173</c15:sqref>
                        </c15:formulaRef>
                      </c:ext>
                    </c:extLst>
                  </c:multiLvlStrRef>
                </c15:cat>
              </c15:filteredCategoryTitle>
            </c:ext>
            <c:ext xmlns:c16="http://schemas.microsoft.com/office/drawing/2014/chart" uri="{C3380CC4-5D6E-409C-BE32-E72D297353CC}">
              <c16:uniqueId val="{00000007-0EBE-4628-8E1C-D8D6016B4DC8}"/>
            </c:ext>
          </c:extLst>
        </c:ser>
        <c:ser>
          <c:idx val="5"/>
          <c:order val="4"/>
          <c:tx>
            <c:strRef>
              <c:f>'Revenue required'!$D$178</c:f>
              <c:strCache>
                <c:ptCount val="1"/>
                <c:pt idx="0">
                  <c:v>Non-tariff revenue</c:v>
                </c:pt>
              </c:strCache>
            </c:strRef>
          </c:tx>
          <c:spPr>
            <a:solidFill>
              <a:schemeClr val="accent3"/>
            </a:solidFill>
          </c:spPr>
          <c:invertIfNegative val="0"/>
          <c:dLbls>
            <c:dLbl>
              <c:idx val="1"/>
              <c:tx>
                <c:strRef>
                  <c:f>'Revenue required'!$D$178</c:f>
                  <c:strCache>
                    <c:ptCount val="1"/>
                    <c:pt idx="0">
                      <c:v>Non-tariff revenue</c:v>
                    </c:pt>
                  </c:strCache>
                </c:strRef>
              </c:tx>
              <c:spPr>
                <a:noFill/>
                <a:ln w="25400">
                  <a:noFill/>
                </a:ln>
              </c:spPr>
              <c:txPr>
                <a:bodyPr/>
                <a:lstStyle/>
                <a:p>
                  <a:pPr>
                    <a:defRPr sz="1100" b="0" i="0" u="none" strike="noStrike" baseline="0">
                      <a:solidFill>
                        <a:srgbClr val="333333"/>
                      </a:solidFill>
                      <a:latin typeface="Calibri"/>
                      <a:ea typeface="Calibri"/>
                      <a:cs typeface="Calibri"/>
                    </a:defRPr>
                  </a:pPr>
                  <a:endParaRPr lang="en-US"/>
                </a:p>
              </c:txPr>
              <c:dLblPos val="ctr"/>
              <c:showLegendKey val="0"/>
              <c:showVal val="0"/>
              <c:showCatName val="0"/>
              <c:showSerName val="0"/>
              <c:showPercent val="0"/>
              <c:showBubbleSize val="0"/>
              <c:extLst>
                <c:ext xmlns:c15="http://schemas.microsoft.com/office/drawing/2012/chart" uri="{CE6537A1-D6FC-4f65-9D91-7224C49458BB}">
                  <c15:dlblFieldTable>
                    <c15:dlblFTEntry>
                      <c15:txfldGUID>{BAFB9C29-39D1-403B-8D63-CEA7012F4A09}</c15:txfldGUID>
                      <c15:f>'Revenue required'!$D$178</c15:f>
                      <c15:dlblFieldTableCache>
                        <c:ptCount val="1"/>
                        <c:pt idx="0">
                          <c:v>Non-tariff revenue</c:v>
                        </c:pt>
                      </c15:dlblFieldTableCache>
                    </c15:dlblFTEntry>
                  </c15:dlblFieldTable>
                  <c15:showDataLabelsRange val="0"/>
                </c:ext>
                <c:ext xmlns:c16="http://schemas.microsoft.com/office/drawing/2014/chart" uri="{C3380CC4-5D6E-409C-BE32-E72D297353CC}">
                  <c16:uniqueId val="{00000008-0EBE-4628-8E1C-D8D6016B4DC8}"/>
                </c:ext>
              </c:extLst>
            </c:dLbl>
            <c:spPr>
              <a:noFill/>
              <a:ln w="25400">
                <a:noFill/>
              </a:ln>
            </c:spPr>
            <c:txPr>
              <a:bodyPr wrap="square" lIns="38100" tIns="19050" rIns="38100" bIns="19050" anchor="ctr">
                <a:spAutoFit/>
              </a:bodyPr>
              <a:lstStyle/>
              <a:p>
                <a:pPr>
                  <a:defRPr sz="1100" b="0" i="0" u="none" strike="noStrike" baseline="0">
                    <a:solidFill>
                      <a:srgbClr val="333333"/>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'Revenue required'!$E$178:$F$178</c:f>
            </c:numRef>
          </c:val>
          <c:extLst>
            <c:ext xmlns:c15="http://schemas.microsoft.com/office/drawing/2012/chart" uri="{02D57815-91ED-43cb-92C2-25804820EDAC}">
              <c15:filteredCategoryTitle>
                <c15:cat>
                  <c:multiLvlStrRef>
                    <c:extLst>
                      <c:ext uri="{02D57815-91ED-43cb-92C2-25804820EDAC}">
                        <c15:formulaRef>
                          <c15:sqref>'Revenue required'!$E$173:$F$173</c15:sqref>
                        </c15:formulaRef>
                      </c:ext>
                    </c:extLst>
                  </c:multiLvlStrRef>
                </c15:cat>
              </c15:filteredCategoryTitle>
            </c:ext>
            <c:ext xmlns:c16="http://schemas.microsoft.com/office/drawing/2014/chart" uri="{C3380CC4-5D6E-409C-BE32-E72D297353CC}">
              <c16:uniqueId val="{00000009-0EBE-4628-8E1C-D8D6016B4DC8}"/>
            </c:ext>
          </c:extLst>
        </c:ser>
        <c:ser>
          <c:idx val="3"/>
          <c:order val="5"/>
          <c:tx>
            <c:strRef>
              <c:f>'Revenue required'!$D$179</c:f>
              <c:strCache>
                <c:ptCount val="1"/>
              </c:strCache>
            </c:strRef>
          </c:tx>
          <c:invertIfNegative val="0"/>
          <c:dLbls>
            <c:spPr>
              <a:noFill/>
              <a:ln w="25400">
                <a:noFill/>
              </a:ln>
            </c:spPr>
            <c:txPr>
              <a:bodyPr wrap="square" lIns="38100" tIns="19050" rIns="38100" bIns="19050" anchor="ctr">
                <a:spAutoFit/>
              </a:bodyPr>
              <a:lstStyle/>
              <a:p>
                <a:pPr>
                  <a:defRPr sz="1100" b="0" i="0" u="none" strike="noStrike" baseline="0">
                    <a:solidFill>
                      <a:srgbClr val="333333"/>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'Revenue required'!$E$179:$F$179</c:f>
            </c:numRef>
          </c:val>
          <c:extLst>
            <c:ext xmlns:c15="http://schemas.microsoft.com/office/drawing/2012/chart" uri="{02D57815-91ED-43cb-92C2-25804820EDAC}">
              <c15:filteredCategoryTitle>
                <c15:cat>
                  <c:multiLvlStrRef>
                    <c:extLst>
                      <c:ext uri="{02D57815-91ED-43cb-92C2-25804820EDAC}">
                        <c15:formulaRef>
                          <c15:sqref>'Revenue required'!$E$173:$F$173</c15:sqref>
                        </c15:formulaRef>
                      </c:ext>
                    </c:extLst>
                  </c:multiLvlStrRef>
                </c15:cat>
              </c15:filteredCategoryTitle>
            </c:ext>
            <c:ext xmlns:c16="http://schemas.microsoft.com/office/drawing/2014/chart" uri="{C3380CC4-5D6E-409C-BE32-E72D297353CC}">
              <c16:uniqueId val="{0000000A-0EBE-4628-8E1C-D8D6016B4DC8}"/>
            </c:ext>
          </c:extLst>
        </c:ser>
        <c:dLbls>
          <c:showLegendKey val="0"/>
          <c:showVal val="0"/>
          <c:showCatName val="0"/>
          <c:showSerName val="0"/>
          <c:showPercent val="0"/>
          <c:showBubbleSize val="0"/>
        </c:dLbls>
        <c:gapWidth val="25"/>
        <c:overlap val="100"/>
        <c:axId val="1396774095"/>
        <c:axId val="1"/>
      </c:barChart>
      <c:catAx>
        <c:axId val="1396774095"/>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0" vert="horz"/>
          <a:lstStyle/>
          <a:p>
            <a:pPr>
              <a:defRPr sz="1100" b="0" i="0" u="none" strike="noStrike" baseline="0">
                <a:solidFill>
                  <a:srgbClr val="333333"/>
                </a:solidFill>
                <a:latin typeface="Calibri"/>
                <a:ea typeface="Calibri"/>
                <a:cs typeface="Calibri"/>
              </a:defRPr>
            </a:pPr>
            <a:endParaRPr lang="en-US"/>
          </a:p>
        </c:txPr>
        <c:crossAx val="1"/>
        <c:crosses val="autoZero"/>
        <c:auto val="1"/>
        <c:lblAlgn val="ctr"/>
        <c:lblOffset val="100"/>
        <c:noMultiLvlLbl val="0"/>
      </c:catAx>
      <c:valAx>
        <c:axId val="1"/>
        <c:scaling>
          <c:orientation val="minMax"/>
        </c:scaling>
        <c:delete val="1"/>
        <c:axPos val="l"/>
        <c:majorGridlines>
          <c:spPr>
            <a:ln w="9525" cap="flat" cmpd="sng" algn="ctr">
              <a:solidFill>
                <a:schemeClr val="tx1">
                  <a:lumMod val="15000"/>
                  <a:lumOff val="85000"/>
                </a:schemeClr>
              </a:solidFill>
              <a:round/>
            </a:ln>
            <a:effectLst/>
          </c:spPr>
        </c:majorGridlines>
        <c:numFmt formatCode="_-* #\ ##0_-;\-* #\ ##0_-;_-* &quot;-&quot;??_-;_-@_-" sourceLinked="1"/>
        <c:majorTickMark val="out"/>
        <c:minorTickMark val="none"/>
        <c:tickLblPos val="nextTo"/>
        <c:crossAx val="1396774095"/>
        <c:crosses val="autoZero"/>
        <c:crossBetween val="between"/>
      </c:valAx>
    </c:plotArea>
    <c:plotVisOnly val="1"/>
    <c:dispBlanksAs val="gap"/>
    <c:showDLblsOverMax val="0"/>
  </c:chart>
  <c:spPr>
    <a:solidFill>
      <a:schemeClr val="bg1"/>
    </a:solidFill>
    <a:ln w="9525" cap="flat" cmpd="sng" algn="ctr">
      <a:noFill/>
      <a:round/>
    </a:ln>
    <a:effectLst/>
  </c:spPr>
  <c:txPr>
    <a:bodyPr/>
    <a:lstStyle/>
    <a:p>
      <a:pPr>
        <a:defRPr sz="11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charts/chart5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320" b="0" i="0" u="none" strike="noStrike" baseline="0">
                <a:solidFill>
                  <a:srgbClr val="333333"/>
                </a:solidFill>
                <a:latin typeface="Calibri"/>
                <a:ea typeface="Calibri"/>
                <a:cs typeface="Calibri"/>
              </a:defRPr>
            </a:pPr>
            <a:r>
              <a:rPr lang="en-ZA"/>
              <a:t>Budget funding: electricity service R'000</a:t>
            </a:r>
          </a:p>
        </c:rich>
      </c:tx>
      <c:layout>
        <c:manualLayout>
          <c:xMode val="edge"/>
          <c:yMode val="edge"/>
          <c:x val="6.4499571962106886E-2"/>
          <c:y val="3.2407487525597758E-2"/>
        </c:manualLayout>
      </c:layout>
      <c:overlay val="0"/>
      <c:spPr>
        <a:noFill/>
        <a:ln w="25400">
          <a:noFill/>
        </a:ln>
      </c:spPr>
    </c:title>
    <c:autoTitleDeleted val="0"/>
    <c:plotArea>
      <c:layout/>
      <c:barChart>
        <c:barDir val="col"/>
        <c:grouping val="stacked"/>
        <c:varyColors val="0"/>
        <c:ser>
          <c:idx val="0"/>
          <c:order val="0"/>
          <c:tx>
            <c:strRef>
              <c:f>'Revenue required'!$D$174</c:f>
              <c:strCache>
                <c:ptCount val="1"/>
                <c:pt idx="0">
                  <c:v>Direct cost</c:v>
                </c:pt>
              </c:strCache>
            </c:strRef>
          </c:tx>
          <c:spPr>
            <a:solidFill>
              <a:schemeClr val="accent5"/>
            </a:solidFill>
          </c:spPr>
          <c:invertIfNegative val="0"/>
          <c:dLbls>
            <c:spPr>
              <a:noFill/>
              <a:ln w="25400">
                <a:noFill/>
              </a:ln>
            </c:spPr>
            <c:txPr>
              <a:bodyPr wrap="square" lIns="38100" tIns="19050" rIns="38100" bIns="19050" anchor="ctr">
                <a:spAutoFit/>
              </a:bodyPr>
              <a:lstStyle/>
              <a:p>
                <a:pPr>
                  <a:defRPr sz="1100" b="0" i="0" u="none" strike="noStrike" baseline="0">
                    <a:solidFill>
                      <a:srgbClr val="333333"/>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'Revenue required'!$E$174:$F$174</c:f>
            </c:numRef>
          </c:val>
          <c:extLst>
            <c:ext xmlns:c15="http://schemas.microsoft.com/office/drawing/2012/chart" uri="{02D57815-91ED-43cb-92C2-25804820EDAC}">
              <c15:filteredCategoryTitle>
                <c15:cat>
                  <c:multiLvlStrRef>
                    <c:extLst>
                      <c:ext uri="{02D57815-91ED-43cb-92C2-25804820EDAC}">
                        <c15:formulaRef>
                          <c15:sqref>'Revenue required'!$E$173:$F$173</c15:sqref>
                        </c15:formulaRef>
                      </c:ext>
                    </c:extLst>
                  </c:multiLvlStrRef>
                </c15:cat>
              </c15:filteredCategoryTitle>
            </c:ext>
            <c:ext xmlns:c16="http://schemas.microsoft.com/office/drawing/2014/chart" uri="{C3380CC4-5D6E-409C-BE32-E72D297353CC}">
              <c16:uniqueId val="{00000000-E2D6-490D-9A5A-02B0DA78DEFA}"/>
            </c:ext>
          </c:extLst>
        </c:ser>
        <c:ser>
          <c:idx val="1"/>
          <c:order val="1"/>
          <c:tx>
            <c:strRef>
              <c:f>'Revenue required'!$D$175</c:f>
              <c:strCache>
                <c:ptCount val="1"/>
                <c:pt idx="0">
                  <c:v>Indirect cost</c:v>
                </c:pt>
              </c:strCache>
            </c:strRef>
          </c:tx>
          <c:spPr>
            <a:solidFill>
              <a:schemeClr val="accent5">
                <a:lumMod val="60000"/>
                <a:lumOff val="40000"/>
              </a:schemeClr>
            </a:solidFill>
          </c:spPr>
          <c:invertIfNegative val="0"/>
          <c:dLbls>
            <c:spPr>
              <a:noFill/>
              <a:ln w="25400">
                <a:noFill/>
              </a:ln>
            </c:spPr>
            <c:txPr>
              <a:bodyPr wrap="square" lIns="38100" tIns="19050" rIns="38100" bIns="19050" anchor="ctr">
                <a:spAutoFit/>
              </a:bodyPr>
              <a:lstStyle/>
              <a:p>
                <a:pPr>
                  <a:defRPr sz="1100" b="0" i="0" u="none" strike="noStrike" baseline="0">
                    <a:solidFill>
                      <a:srgbClr val="333333"/>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'Revenue required'!$E$175:$F$175</c:f>
            </c:numRef>
          </c:val>
          <c:extLst>
            <c:ext xmlns:c15="http://schemas.microsoft.com/office/drawing/2012/chart" uri="{02D57815-91ED-43cb-92C2-25804820EDAC}">
              <c15:filteredCategoryTitle>
                <c15:cat>
                  <c:multiLvlStrRef>
                    <c:extLst>
                      <c:ext uri="{02D57815-91ED-43cb-92C2-25804820EDAC}">
                        <c15:formulaRef>
                          <c15:sqref>'Revenue required'!$E$173:$F$173</c15:sqref>
                        </c15:formulaRef>
                      </c:ext>
                    </c:extLst>
                  </c:multiLvlStrRef>
                </c15:cat>
              </c15:filteredCategoryTitle>
            </c:ext>
            <c:ext xmlns:c16="http://schemas.microsoft.com/office/drawing/2014/chart" uri="{C3380CC4-5D6E-409C-BE32-E72D297353CC}">
              <c16:uniqueId val="{00000001-E2D6-490D-9A5A-02B0DA78DEFA}"/>
            </c:ext>
          </c:extLst>
        </c:ser>
        <c:ser>
          <c:idx val="2"/>
          <c:order val="2"/>
          <c:tx>
            <c:strRef>
              <c:f>'Revenue required'!$D$176</c:f>
              <c:strCache>
                <c:ptCount val="1"/>
              </c:strCache>
            </c:strRef>
          </c:tx>
          <c:spPr>
            <a:solidFill>
              <a:schemeClr val="accent6"/>
            </a:solidFill>
          </c:spPr>
          <c:invertIfNegative val="0"/>
          <c:dLbls>
            <c:spPr>
              <a:noFill/>
              <a:ln w="25400">
                <a:noFill/>
              </a:ln>
            </c:spPr>
            <c:txPr>
              <a:bodyPr wrap="square" lIns="38100" tIns="19050" rIns="38100" bIns="19050" anchor="ctr">
                <a:spAutoFit/>
              </a:bodyPr>
              <a:lstStyle/>
              <a:p>
                <a:pPr>
                  <a:defRPr sz="1100" b="0" i="0" u="none" strike="noStrike" baseline="0">
                    <a:solidFill>
                      <a:srgbClr val="333333"/>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'Revenue required'!$E$176:$F$176</c:f>
            </c:numRef>
          </c:val>
          <c:extLst>
            <c:ext xmlns:c15="http://schemas.microsoft.com/office/drawing/2012/chart" uri="{02D57815-91ED-43cb-92C2-25804820EDAC}">
              <c15:filteredCategoryTitle>
                <c15:cat>
                  <c:multiLvlStrRef>
                    <c:extLst>
                      <c:ext uri="{02D57815-91ED-43cb-92C2-25804820EDAC}">
                        <c15:formulaRef>
                          <c15:sqref>'Revenue required'!$E$173:$F$173</c15:sqref>
                        </c15:formulaRef>
                      </c:ext>
                    </c:extLst>
                  </c:multiLvlStrRef>
                </c15:cat>
              </c15:filteredCategoryTitle>
            </c:ext>
            <c:ext xmlns:c16="http://schemas.microsoft.com/office/drawing/2014/chart" uri="{C3380CC4-5D6E-409C-BE32-E72D297353CC}">
              <c16:uniqueId val="{00000002-E2D6-490D-9A5A-02B0DA78DEFA}"/>
            </c:ext>
          </c:extLst>
        </c:ser>
        <c:ser>
          <c:idx val="4"/>
          <c:order val="3"/>
          <c:tx>
            <c:strRef>
              <c:f>'Revenue required'!$D$177</c:f>
              <c:strCache>
                <c:ptCount val="1"/>
                <c:pt idx="0">
                  <c:v>Tariff revenue</c:v>
                </c:pt>
              </c:strCache>
            </c:strRef>
          </c:tx>
          <c:spPr>
            <a:solidFill>
              <a:schemeClr val="accent3">
                <a:lumMod val="75000"/>
              </a:schemeClr>
            </a:solidFill>
          </c:spPr>
          <c:invertIfNegative val="0"/>
          <c:dLbls>
            <c:spPr>
              <a:noFill/>
              <a:ln w="25400">
                <a:noFill/>
              </a:ln>
            </c:spPr>
            <c:txPr>
              <a:bodyPr wrap="square" lIns="38100" tIns="19050" rIns="38100" bIns="19050" anchor="ctr">
                <a:spAutoFit/>
              </a:bodyPr>
              <a:lstStyle/>
              <a:p>
                <a:pPr>
                  <a:defRPr sz="1100" b="0" i="0" u="none" strike="noStrike" baseline="0">
                    <a:solidFill>
                      <a:srgbClr val="333333"/>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'Revenue required'!$E$177:$F$177</c:f>
            </c:numRef>
          </c:val>
          <c:extLst>
            <c:ext xmlns:c15="http://schemas.microsoft.com/office/drawing/2012/chart" uri="{02D57815-91ED-43cb-92C2-25804820EDAC}">
              <c15:filteredCategoryTitle>
                <c15:cat>
                  <c:multiLvlStrRef>
                    <c:extLst>
                      <c:ext uri="{02D57815-91ED-43cb-92C2-25804820EDAC}">
                        <c15:formulaRef>
                          <c15:sqref>'Revenue required'!$E$173:$F$173</c15:sqref>
                        </c15:formulaRef>
                      </c:ext>
                    </c:extLst>
                  </c:multiLvlStrRef>
                </c15:cat>
              </c15:filteredCategoryTitle>
            </c:ext>
            <c:ext xmlns:c16="http://schemas.microsoft.com/office/drawing/2014/chart" uri="{C3380CC4-5D6E-409C-BE32-E72D297353CC}">
              <c16:uniqueId val="{00000003-E2D6-490D-9A5A-02B0DA78DEFA}"/>
            </c:ext>
          </c:extLst>
        </c:ser>
        <c:ser>
          <c:idx val="5"/>
          <c:order val="4"/>
          <c:tx>
            <c:strRef>
              <c:f>'Revenue required'!$D$178</c:f>
              <c:strCache>
                <c:ptCount val="1"/>
                <c:pt idx="0">
                  <c:v>Non-tariff revenue</c:v>
                </c:pt>
              </c:strCache>
            </c:strRef>
          </c:tx>
          <c:spPr>
            <a:solidFill>
              <a:schemeClr val="accent3"/>
            </a:solidFill>
          </c:spPr>
          <c:invertIfNegative val="0"/>
          <c:dLbls>
            <c:spPr>
              <a:noFill/>
              <a:ln w="25400">
                <a:noFill/>
              </a:ln>
            </c:spPr>
            <c:txPr>
              <a:bodyPr wrap="square" lIns="38100" tIns="19050" rIns="38100" bIns="19050" anchor="ctr">
                <a:spAutoFit/>
              </a:bodyPr>
              <a:lstStyle/>
              <a:p>
                <a:pPr>
                  <a:defRPr sz="1100" b="0" i="0" u="none" strike="noStrike" baseline="0">
                    <a:solidFill>
                      <a:srgbClr val="333333"/>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'Revenue required'!$E$178:$F$178</c:f>
            </c:numRef>
          </c:val>
          <c:extLst>
            <c:ext xmlns:c15="http://schemas.microsoft.com/office/drawing/2012/chart" uri="{02D57815-91ED-43cb-92C2-25804820EDAC}">
              <c15:filteredCategoryTitle>
                <c15:cat>
                  <c:multiLvlStrRef>
                    <c:extLst>
                      <c:ext uri="{02D57815-91ED-43cb-92C2-25804820EDAC}">
                        <c15:formulaRef>
                          <c15:sqref>'Revenue required'!$E$173:$F$173</c15:sqref>
                        </c15:formulaRef>
                      </c:ext>
                    </c:extLst>
                  </c:multiLvlStrRef>
                </c15:cat>
              </c15:filteredCategoryTitle>
            </c:ext>
            <c:ext xmlns:c16="http://schemas.microsoft.com/office/drawing/2014/chart" uri="{C3380CC4-5D6E-409C-BE32-E72D297353CC}">
              <c16:uniqueId val="{00000004-E2D6-490D-9A5A-02B0DA78DEFA}"/>
            </c:ext>
          </c:extLst>
        </c:ser>
        <c:ser>
          <c:idx val="3"/>
          <c:order val="5"/>
          <c:tx>
            <c:strRef>
              <c:f>'Revenue required'!$D$179</c:f>
              <c:strCache>
                <c:ptCount val="1"/>
              </c:strCache>
            </c:strRef>
          </c:tx>
          <c:invertIfNegative val="0"/>
          <c:dLbls>
            <c:spPr>
              <a:noFill/>
              <a:ln w="25400">
                <a:noFill/>
              </a:ln>
            </c:spPr>
            <c:txPr>
              <a:bodyPr wrap="square" lIns="38100" tIns="19050" rIns="38100" bIns="19050" anchor="ctr">
                <a:spAutoFit/>
              </a:bodyPr>
              <a:lstStyle/>
              <a:p>
                <a:pPr>
                  <a:defRPr sz="1100" b="0" i="0" u="none" strike="noStrike" baseline="0">
                    <a:solidFill>
                      <a:srgbClr val="333333"/>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'Revenue required'!$E$179:$F$179</c:f>
            </c:numRef>
          </c:val>
          <c:extLst>
            <c:ext xmlns:c15="http://schemas.microsoft.com/office/drawing/2012/chart" uri="{02D57815-91ED-43cb-92C2-25804820EDAC}">
              <c15:filteredCategoryTitle>
                <c15:cat>
                  <c:multiLvlStrRef>
                    <c:extLst>
                      <c:ext uri="{02D57815-91ED-43cb-92C2-25804820EDAC}">
                        <c15:formulaRef>
                          <c15:sqref>'Revenue required'!$E$173:$F$173</c15:sqref>
                        </c15:formulaRef>
                      </c:ext>
                    </c:extLst>
                  </c:multiLvlStrRef>
                </c15:cat>
              </c15:filteredCategoryTitle>
            </c:ext>
            <c:ext xmlns:c16="http://schemas.microsoft.com/office/drawing/2014/chart" uri="{C3380CC4-5D6E-409C-BE32-E72D297353CC}">
              <c16:uniqueId val="{00000005-E2D6-490D-9A5A-02B0DA78DEFA}"/>
            </c:ext>
          </c:extLst>
        </c:ser>
        <c:dLbls>
          <c:showLegendKey val="0"/>
          <c:showVal val="0"/>
          <c:showCatName val="0"/>
          <c:showSerName val="0"/>
          <c:showPercent val="0"/>
          <c:showBubbleSize val="0"/>
        </c:dLbls>
        <c:gapWidth val="25"/>
        <c:overlap val="100"/>
        <c:axId val="1396747215"/>
        <c:axId val="1"/>
      </c:barChart>
      <c:catAx>
        <c:axId val="1396747215"/>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0" vert="horz"/>
          <a:lstStyle/>
          <a:p>
            <a:pPr>
              <a:defRPr sz="1100" b="0" i="0" u="none" strike="noStrike" baseline="0">
                <a:solidFill>
                  <a:srgbClr val="333333"/>
                </a:solidFill>
                <a:latin typeface="Calibri"/>
                <a:ea typeface="Calibri"/>
                <a:cs typeface="Calibri"/>
              </a:defRPr>
            </a:pPr>
            <a:endParaRPr lang="en-US"/>
          </a:p>
        </c:txPr>
        <c:crossAx val="1"/>
        <c:crosses val="autoZero"/>
        <c:auto val="1"/>
        <c:lblAlgn val="ctr"/>
        <c:lblOffset val="100"/>
        <c:noMultiLvlLbl val="0"/>
      </c:catAx>
      <c:valAx>
        <c:axId val="1"/>
        <c:scaling>
          <c:orientation val="minMax"/>
        </c:scaling>
        <c:delete val="1"/>
        <c:axPos val="l"/>
        <c:majorGridlines>
          <c:spPr>
            <a:ln w="9525" cap="flat" cmpd="sng" algn="ctr">
              <a:solidFill>
                <a:schemeClr val="tx1">
                  <a:lumMod val="15000"/>
                  <a:lumOff val="85000"/>
                </a:schemeClr>
              </a:solidFill>
              <a:round/>
            </a:ln>
            <a:effectLst/>
          </c:spPr>
        </c:majorGridlines>
        <c:numFmt formatCode="_-* #\ ##0_-;\-* #\ ##0_-;_-* &quot;-&quot;??_-;_-@_-" sourceLinked="1"/>
        <c:majorTickMark val="out"/>
        <c:minorTickMark val="none"/>
        <c:tickLblPos val="nextTo"/>
        <c:crossAx val="1396747215"/>
        <c:crosses val="autoZero"/>
        <c:crossBetween val="between"/>
      </c:valAx>
    </c:plotArea>
    <c:plotVisOnly val="1"/>
    <c:dispBlanksAs val="gap"/>
    <c:showDLblsOverMax val="0"/>
  </c:chart>
  <c:spPr>
    <a:solidFill>
      <a:schemeClr val="bg1"/>
    </a:solidFill>
    <a:ln w="9525" cap="flat" cmpd="sng" algn="ctr">
      <a:noFill/>
      <a:round/>
    </a:ln>
    <a:effectLst/>
  </c:spPr>
  <c:txPr>
    <a:bodyPr/>
    <a:lstStyle/>
    <a:p>
      <a:pPr>
        <a:defRPr sz="11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charts/chart5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320" b="0" i="0" u="none" strike="noStrike" baseline="0">
                <a:solidFill>
                  <a:srgbClr val="333333"/>
                </a:solidFill>
                <a:latin typeface="Calibri"/>
                <a:ea typeface="Calibri"/>
                <a:cs typeface="Calibri"/>
              </a:defRPr>
            </a:pPr>
            <a:r>
              <a:rPr lang="en-ZA"/>
              <a:t>Budget funding: electricity service: %s</a:t>
            </a:r>
          </a:p>
        </c:rich>
      </c:tx>
      <c:layout>
        <c:manualLayout>
          <c:xMode val="edge"/>
          <c:yMode val="edge"/>
          <c:x val="3.5577490612716478E-2"/>
          <c:y val="5.0906329016565235E-2"/>
        </c:manualLayout>
      </c:layout>
      <c:overlay val="0"/>
      <c:spPr>
        <a:noFill/>
        <a:ln w="25400">
          <a:noFill/>
        </a:ln>
      </c:spPr>
    </c:title>
    <c:autoTitleDeleted val="0"/>
    <c:plotArea>
      <c:layout/>
      <c:barChart>
        <c:barDir val="col"/>
        <c:grouping val="percentStacked"/>
        <c:varyColors val="0"/>
        <c:ser>
          <c:idx val="0"/>
          <c:order val="0"/>
          <c:tx>
            <c:strRef>
              <c:f>'Revenue required'!$G$174</c:f>
              <c:strCache>
                <c:ptCount val="1"/>
                <c:pt idx="0">
                  <c:v>Direct cost</c:v>
                </c:pt>
              </c:strCache>
            </c:strRef>
          </c:tx>
          <c:spPr>
            <a:solidFill>
              <a:schemeClr val="accent5"/>
            </a:solidFill>
          </c:spPr>
          <c:invertIfNegative val="0"/>
          <c:dLbls>
            <c:spPr>
              <a:noFill/>
              <a:ln w="25400">
                <a:noFill/>
              </a:ln>
            </c:spPr>
            <c:txPr>
              <a:bodyPr wrap="square" lIns="38100" tIns="19050" rIns="38100" bIns="19050" anchor="ctr">
                <a:spAutoFit/>
              </a:bodyPr>
              <a:lstStyle/>
              <a:p>
                <a:pPr>
                  <a:defRPr sz="1100" b="0" i="0" u="none" strike="noStrike" baseline="0">
                    <a:solidFill>
                      <a:srgbClr val="333333"/>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'Revenue required'!$H$174:$I$174</c:f>
            </c:numRef>
          </c:val>
          <c:extLst>
            <c:ext xmlns:c15="http://schemas.microsoft.com/office/drawing/2012/chart" uri="{02D57815-91ED-43cb-92C2-25804820EDAC}">
              <c15:filteredCategoryTitle>
                <c15:cat>
                  <c:multiLvlStrRef>
                    <c:extLst>
                      <c:ext uri="{02D57815-91ED-43cb-92C2-25804820EDAC}">
                        <c15:formulaRef>
                          <c15:sqref>'Revenue required'!$H$173:$I$173</c15:sqref>
                        </c15:formulaRef>
                      </c:ext>
                    </c:extLst>
                  </c:multiLvlStrRef>
                </c15:cat>
              </c15:filteredCategoryTitle>
            </c:ext>
            <c:ext xmlns:c16="http://schemas.microsoft.com/office/drawing/2014/chart" uri="{C3380CC4-5D6E-409C-BE32-E72D297353CC}">
              <c16:uniqueId val="{00000000-15D8-4E2C-8A59-8C075FC364D6}"/>
            </c:ext>
          </c:extLst>
        </c:ser>
        <c:ser>
          <c:idx val="1"/>
          <c:order val="1"/>
          <c:tx>
            <c:strRef>
              <c:f>'Revenue required'!$G$175</c:f>
              <c:strCache>
                <c:ptCount val="1"/>
                <c:pt idx="0">
                  <c:v>Indirect cost</c:v>
                </c:pt>
              </c:strCache>
            </c:strRef>
          </c:tx>
          <c:spPr>
            <a:solidFill>
              <a:schemeClr val="accent5">
                <a:lumMod val="60000"/>
                <a:lumOff val="40000"/>
              </a:schemeClr>
            </a:solidFill>
          </c:spPr>
          <c:invertIfNegative val="0"/>
          <c:dLbls>
            <c:spPr>
              <a:noFill/>
              <a:ln w="25400">
                <a:noFill/>
              </a:ln>
            </c:spPr>
            <c:txPr>
              <a:bodyPr wrap="square" lIns="38100" tIns="19050" rIns="38100" bIns="19050" anchor="ctr">
                <a:spAutoFit/>
              </a:bodyPr>
              <a:lstStyle/>
              <a:p>
                <a:pPr>
                  <a:defRPr sz="1100" b="0" i="0" u="none" strike="noStrike" baseline="0">
                    <a:solidFill>
                      <a:srgbClr val="333333"/>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'Revenue required'!$H$175:$I$175</c:f>
            </c:numRef>
          </c:val>
          <c:extLst>
            <c:ext xmlns:c15="http://schemas.microsoft.com/office/drawing/2012/chart" uri="{02D57815-91ED-43cb-92C2-25804820EDAC}">
              <c15:filteredCategoryTitle>
                <c15:cat>
                  <c:multiLvlStrRef>
                    <c:extLst>
                      <c:ext uri="{02D57815-91ED-43cb-92C2-25804820EDAC}">
                        <c15:formulaRef>
                          <c15:sqref>'Revenue required'!$H$173:$I$173</c15:sqref>
                        </c15:formulaRef>
                      </c:ext>
                    </c:extLst>
                  </c:multiLvlStrRef>
                </c15:cat>
              </c15:filteredCategoryTitle>
            </c:ext>
            <c:ext xmlns:c16="http://schemas.microsoft.com/office/drawing/2014/chart" uri="{C3380CC4-5D6E-409C-BE32-E72D297353CC}">
              <c16:uniqueId val="{00000001-15D8-4E2C-8A59-8C075FC364D6}"/>
            </c:ext>
          </c:extLst>
        </c:ser>
        <c:ser>
          <c:idx val="2"/>
          <c:order val="2"/>
          <c:tx>
            <c:strRef>
              <c:f>'Revenue required'!$G$176</c:f>
              <c:strCache>
                <c:ptCount val="1"/>
              </c:strCache>
            </c:strRef>
          </c:tx>
          <c:spPr>
            <a:solidFill>
              <a:schemeClr val="accent6"/>
            </a:solidFill>
          </c:spPr>
          <c:invertIfNegative val="0"/>
          <c:dLbls>
            <c:spPr>
              <a:noFill/>
              <a:ln w="25400">
                <a:noFill/>
              </a:ln>
            </c:spPr>
            <c:txPr>
              <a:bodyPr wrap="square" lIns="38100" tIns="19050" rIns="38100" bIns="19050" anchor="ctr">
                <a:spAutoFit/>
              </a:bodyPr>
              <a:lstStyle/>
              <a:p>
                <a:pPr>
                  <a:defRPr sz="1100" b="0" i="0" u="none" strike="noStrike" baseline="0">
                    <a:solidFill>
                      <a:srgbClr val="333333"/>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'Revenue required'!$H$176:$I$176</c:f>
            </c:numRef>
          </c:val>
          <c:extLst>
            <c:ext xmlns:c15="http://schemas.microsoft.com/office/drawing/2012/chart" uri="{02D57815-91ED-43cb-92C2-25804820EDAC}">
              <c15:filteredCategoryTitle>
                <c15:cat>
                  <c:multiLvlStrRef>
                    <c:extLst>
                      <c:ext uri="{02D57815-91ED-43cb-92C2-25804820EDAC}">
                        <c15:formulaRef>
                          <c15:sqref>'Revenue required'!$H$173:$I$173</c15:sqref>
                        </c15:formulaRef>
                      </c:ext>
                    </c:extLst>
                  </c:multiLvlStrRef>
                </c15:cat>
              </c15:filteredCategoryTitle>
            </c:ext>
            <c:ext xmlns:c16="http://schemas.microsoft.com/office/drawing/2014/chart" uri="{C3380CC4-5D6E-409C-BE32-E72D297353CC}">
              <c16:uniqueId val="{00000002-15D8-4E2C-8A59-8C075FC364D6}"/>
            </c:ext>
          </c:extLst>
        </c:ser>
        <c:ser>
          <c:idx val="4"/>
          <c:order val="3"/>
          <c:tx>
            <c:strRef>
              <c:f>'Revenue required'!$G$177</c:f>
              <c:strCache>
                <c:ptCount val="1"/>
                <c:pt idx="0">
                  <c:v>Tariff revenue</c:v>
                </c:pt>
              </c:strCache>
            </c:strRef>
          </c:tx>
          <c:spPr>
            <a:solidFill>
              <a:schemeClr val="accent3">
                <a:lumMod val="75000"/>
              </a:schemeClr>
            </a:solidFill>
          </c:spPr>
          <c:invertIfNegative val="0"/>
          <c:dLbls>
            <c:spPr>
              <a:noFill/>
              <a:ln w="25400">
                <a:noFill/>
              </a:ln>
            </c:spPr>
            <c:txPr>
              <a:bodyPr wrap="square" lIns="38100" tIns="19050" rIns="38100" bIns="19050" anchor="ctr">
                <a:spAutoFit/>
              </a:bodyPr>
              <a:lstStyle/>
              <a:p>
                <a:pPr>
                  <a:defRPr sz="1100" b="0" i="0" u="none" strike="noStrike" baseline="0">
                    <a:solidFill>
                      <a:srgbClr val="333333"/>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'Revenue required'!$H$177:$I$177</c:f>
            </c:numRef>
          </c:val>
          <c:extLst>
            <c:ext xmlns:c15="http://schemas.microsoft.com/office/drawing/2012/chart" uri="{02D57815-91ED-43cb-92C2-25804820EDAC}">
              <c15:filteredCategoryTitle>
                <c15:cat>
                  <c:multiLvlStrRef>
                    <c:extLst>
                      <c:ext uri="{02D57815-91ED-43cb-92C2-25804820EDAC}">
                        <c15:formulaRef>
                          <c15:sqref>'Revenue required'!$H$173:$I$173</c15:sqref>
                        </c15:formulaRef>
                      </c:ext>
                    </c:extLst>
                  </c:multiLvlStrRef>
                </c15:cat>
              </c15:filteredCategoryTitle>
            </c:ext>
            <c:ext xmlns:c16="http://schemas.microsoft.com/office/drawing/2014/chart" uri="{C3380CC4-5D6E-409C-BE32-E72D297353CC}">
              <c16:uniqueId val="{00000003-15D8-4E2C-8A59-8C075FC364D6}"/>
            </c:ext>
          </c:extLst>
        </c:ser>
        <c:ser>
          <c:idx val="5"/>
          <c:order val="4"/>
          <c:tx>
            <c:strRef>
              <c:f>'Revenue required'!$G$178</c:f>
              <c:strCache>
                <c:ptCount val="1"/>
                <c:pt idx="0">
                  <c:v>Non-tariff revenue</c:v>
                </c:pt>
              </c:strCache>
            </c:strRef>
          </c:tx>
          <c:spPr>
            <a:solidFill>
              <a:schemeClr val="accent3"/>
            </a:solidFill>
          </c:spPr>
          <c:invertIfNegative val="0"/>
          <c:dLbls>
            <c:spPr>
              <a:noFill/>
              <a:ln w="25400">
                <a:noFill/>
              </a:ln>
            </c:spPr>
            <c:txPr>
              <a:bodyPr wrap="square" lIns="38100" tIns="19050" rIns="38100" bIns="19050" anchor="ctr">
                <a:spAutoFit/>
              </a:bodyPr>
              <a:lstStyle/>
              <a:p>
                <a:pPr>
                  <a:defRPr sz="1100" b="0" i="0" u="none" strike="noStrike" baseline="0">
                    <a:solidFill>
                      <a:srgbClr val="333333"/>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'Revenue required'!$H$178:$I$178</c:f>
            </c:numRef>
          </c:val>
          <c:extLst>
            <c:ext xmlns:c15="http://schemas.microsoft.com/office/drawing/2012/chart" uri="{02D57815-91ED-43cb-92C2-25804820EDAC}">
              <c15:filteredCategoryTitle>
                <c15:cat>
                  <c:multiLvlStrRef>
                    <c:extLst>
                      <c:ext uri="{02D57815-91ED-43cb-92C2-25804820EDAC}">
                        <c15:formulaRef>
                          <c15:sqref>'Revenue required'!$H$173:$I$173</c15:sqref>
                        </c15:formulaRef>
                      </c:ext>
                    </c:extLst>
                  </c:multiLvlStrRef>
                </c15:cat>
              </c15:filteredCategoryTitle>
            </c:ext>
            <c:ext xmlns:c16="http://schemas.microsoft.com/office/drawing/2014/chart" uri="{C3380CC4-5D6E-409C-BE32-E72D297353CC}">
              <c16:uniqueId val="{00000004-15D8-4E2C-8A59-8C075FC364D6}"/>
            </c:ext>
          </c:extLst>
        </c:ser>
        <c:ser>
          <c:idx val="3"/>
          <c:order val="5"/>
          <c:tx>
            <c:strRef>
              <c:f>'Revenue required'!$G$179</c:f>
              <c:strCache>
                <c:ptCount val="1"/>
              </c:strCache>
            </c:strRef>
          </c:tx>
          <c:invertIfNegative val="0"/>
          <c:dLbls>
            <c:spPr>
              <a:noFill/>
              <a:ln w="25400">
                <a:noFill/>
              </a:ln>
            </c:spPr>
            <c:txPr>
              <a:bodyPr wrap="square" lIns="38100" tIns="19050" rIns="38100" bIns="19050" anchor="ctr">
                <a:spAutoFit/>
              </a:bodyPr>
              <a:lstStyle/>
              <a:p>
                <a:pPr>
                  <a:defRPr sz="1100" b="0" i="0" u="none" strike="noStrike" baseline="0">
                    <a:solidFill>
                      <a:srgbClr val="333333"/>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'Revenue required'!$H$179:$I$179</c:f>
            </c:numRef>
          </c:val>
          <c:extLst>
            <c:ext xmlns:c15="http://schemas.microsoft.com/office/drawing/2012/chart" uri="{02D57815-91ED-43cb-92C2-25804820EDAC}">
              <c15:filteredCategoryTitle>
                <c15:cat>
                  <c:multiLvlStrRef>
                    <c:extLst>
                      <c:ext uri="{02D57815-91ED-43cb-92C2-25804820EDAC}">
                        <c15:formulaRef>
                          <c15:sqref>'Revenue required'!$H$173:$I$173</c15:sqref>
                        </c15:formulaRef>
                      </c:ext>
                    </c:extLst>
                  </c:multiLvlStrRef>
                </c15:cat>
              </c15:filteredCategoryTitle>
            </c:ext>
            <c:ext xmlns:c16="http://schemas.microsoft.com/office/drawing/2014/chart" uri="{C3380CC4-5D6E-409C-BE32-E72D297353CC}">
              <c16:uniqueId val="{00000005-15D8-4E2C-8A59-8C075FC364D6}"/>
            </c:ext>
          </c:extLst>
        </c:ser>
        <c:dLbls>
          <c:showLegendKey val="0"/>
          <c:showVal val="0"/>
          <c:showCatName val="0"/>
          <c:showSerName val="0"/>
          <c:showPercent val="0"/>
          <c:showBubbleSize val="0"/>
        </c:dLbls>
        <c:gapWidth val="25"/>
        <c:overlap val="100"/>
        <c:axId val="1396771215"/>
        <c:axId val="1"/>
      </c:barChart>
      <c:catAx>
        <c:axId val="1396771215"/>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0" vert="horz"/>
          <a:lstStyle/>
          <a:p>
            <a:pPr>
              <a:defRPr sz="1100" b="0" i="0" u="none" strike="noStrike" baseline="0">
                <a:solidFill>
                  <a:srgbClr val="333333"/>
                </a:solidFill>
                <a:latin typeface="Calibri"/>
                <a:ea typeface="Calibri"/>
                <a:cs typeface="Calibri"/>
              </a:defRPr>
            </a:pPr>
            <a:endParaRPr lang="en-US"/>
          </a:p>
        </c:txPr>
        <c:crossAx val="1"/>
        <c:crosses val="autoZero"/>
        <c:auto val="1"/>
        <c:lblAlgn val="ctr"/>
        <c:lblOffset val="100"/>
        <c:noMultiLvlLbl val="0"/>
      </c:catAx>
      <c:valAx>
        <c:axId val="1"/>
        <c:scaling>
          <c:orientation val="minMax"/>
        </c:scaling>
        <c:delete val="1"/>
        <c:axPos val="l"/>
        <c:majorGridlines>
          <c:spPr>
            <a:ln w="9525" cap="flat" cmpd="sng" algn="ctr">
              <a:solidFill>
                <a:schemeClr val="tx1">
                  <a:lumMod val="15000"/>
                  <a:lumOff val="85000"/>
                </a:schemeClr>
              </a:solidFill>
              <a:round/>
            </a:ln>
            <a:effectLst/>
          </c:spPr>
        </c:majorGridlines>
        <c:numFmt formatCode="0%" sourceLinked="1"/>
        <c:majorTickMark val="out"/>
        <c:minorTickMark val="none"/>
        <c:tickLblPos val="nextTo"/>
        <c:crossAx val="1396771215"/>
        <c:crosses val="autoZero"/>
        <c:crossBetween val="between"/>
      </c:valAx>
    </c:plotArea>
    <c:plotVisOnly val="1"/>
    <c:dispBlanksAs val="gap"/>
    <c:showDLblsOverMax val="0"/>
  </c:chart>
  <c:spPr>
    <a:solidFill>
      <a:schemeClr val="bg1"/>
    </a:solidFill>
    <a:ln w="9525" cap="flat" cmpd="sng" algn="ctr">
      <a:noFill/>
      <a:round/>
    </a:ln>
    <a:effectLst/>
  </c:spPr>
  <c:txPr>
    <a:bodyPr/>
    <a:lstStyle/>
    <a:p>
      <a:pPr>
        <a:defRPr sz="11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charts/chart5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320" b="0" i="0" u="none" strike="noStrike" baseline="0">
                <a:solidFill>
                  <a:srgbClr val="333333"/>
                </a:solidFill>
                <a:latin typeface="Calibri"/>
                <a:ea typeface="Calibri"/>
                <a:cs typeface="Calibri"/>
              </a:defRPr>
            </a:pPr>
            <a:r>
              <a:rPr lang="en-ZA"/>
              <a:t>Budget funding: solid waste: categories</a:t>
            </a:r>
          </a:p>
        </c:rich>
      </c:tx>
      <c:layout>
        <c:manualLayout>
          <c:xMode val="edge"/>
          <c:yMode val="edge"/>
          <c:x val="6.8346456692913393E-2"/>
          <c:y val="4.1609029640525708E-2"/>
        </c:manualLayout>
      </c:layout>
      <c:overlay val="0"/>
      <c:spPr>
        <a:noFill/>
        <a:ln w="25400">
          <a:noFill/>
        </a:ln>
      </c:spPr>
    </c:title>
    <c:autoTitleDeleted val="0"/>
    <c:plotArea>
      <c:layout/>
      <c:barChart>
        <c:barDir val="col"/>
        <c:grouping val="stacked"/>
        <c:varyColors val="0"/>
        <c:ser>
          <c:idx val="0"/>
          <c:order val="0"/>
          <c:tx>
            <c:strRef>
              <c:f>'Revenue required'!$D$184</c:f>
              <c:strCache>
                <c:ptCount val="1"/>
                <c:pt idx="0">
                  <c:v>Direct cost</c:v>
                </c:pt>
              </c:strCache>
            </c:strRef>
          </c:tx>
          <c:spPr>
            <a:solidFill>
              <a:schemeClr val="accent5"/>
            </a:solidFill>
          </c:spPr>
          <c:invertIfNegative val="0"/>
          <c:dLbls>
            <c:dLbl>
              <c:idx val="0"/>
              <c:tx>
                <c:strRef>
                  <c:f>'Revenue required'!$D$184</c:f>
                  <c:strCache>
                    <c:ptCount val="1"/>
                    <c:pt idx="0">
                      <c:v>Direct cost</c:v>
                    </c:pt>
                  </c:strCache>
                </c:strRef>
              </c:tx>
              <c:spPr>
                <a:noFill/>
                <a:ln w="25400">
                  <a:noFill/>
                </a:ln>
              </c:spPr>
              <c:txPr>
                <a:bodyPr/>
                <a:lstStyle/>
                <a:p>
                  <a:pPr>
                    <a:defRPr sz="1100" b="0" i="0" u="none" strike="noStrike" baseline="0">
                      <a:solidFill>
                        <a:srgbClr val="333333"/>
                      </a:solidFill>
                      <a:latin typeface="Calibri"/>
                      <a:ea typeface="Calibri"/>
                      <a:cs typeface="Calibri"/>
                    </a:defRPr>
                  </a:pPr>
                  <a:endParaRPr lang="en-US"/>
                </a:p>
              </c:txPr>
              <c:dLblPos val="ctr"/>
              <c:showLegendKey val="0"/>
              <c:showVal val="0"/>
              <c:showCatName val="0"/>
              <c:showSerName val="0"/>
              <c:showPercent val="0"/>
              <c:showBubbleSize val="0"/>
              <c:extLst>
                <c:ext xmlns:c15="http://schemas.microsoft.com/office/drawing/2012/chart" uri="{CE6537A1-D6FC-4f65-9D91-7224C49458BB}">
                  <c15:dlblFieldTable>
                    <c15:dlblFTEntry>
                      <c15:txfldGUID>{E6DE89C2-E944-4953-9466-0873F889DA16}</c15:txfldGUID>
                      <c15:f>'Revenue required'!$D$184</c15:f>
                      <c15:dlblFieldTableCache>
                        <c:ptCount val="1"/>
                        <c:pt idx="0">
                          <c:v>Direct cost</c:v>
                        </c:pt>
                      </c15:dlblFieldTableCache>
                    </c15:dlblFTEntry>
                  </c15:dlblFieldTable>
                  <c15:showDataLabelsRange val="0"/>
                </c:ext>
                <c:ext xmlns:c16="http://schemas.microsoft.com/office/drawing/2014/chart" uri="{C3380CC4-5D6E-409C-BE32-E72D297353CC}">
                  <c16:uniqueId val="{00000000-1758-4571-8506-29303828AE88}"/>
                </c:ext>
              </c:extLst>
            </c:dLbl>
            <c:spPr>
              <a:noFill/>
              <a:ln w="25400">
                <a:noFill/>
              </a:ln>
            </c:spPr>
            <c:txPr>
              <a:bodyPr wrap="square" lIns="38100" tIns="19050" rIns="38100" bIns="19050" anchor="ctr">
                <a:spAutoFit/>
              </a:bodyPr>
              <a:lstStyle/>
              <a:p>
                <a:pPr>
                  <a:defRPr sz="1100" b="0" i="0" u="none" strike="noStrike" baseline="0">
                    <a:solidFill>
                      <a:srgbClr val="333333"/>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'Revenue required'!$E$184:$F$184</c:f>
            </c:numRef>
          </c:val>
          <c:extLst>
            <c:ext xmlns:c15="http://schemas.microsoft.com/office/drawing/2012/chart" uri="{02D57815-91ED-43cb-92C2-25804820EDAC}">
              <c15:filteredCategoryTitle>
                <c15:cat>
                  <c:multiLvlStrRef>
                    <c:extLst>
                      <c:ext uri="{02D57815-91ED-43cb-92C2-25804820EDAC}">
                        <c15:formulaRef>
                          <c15:sqref>'Revenue required'!$E$183:$F$183</c15:sqref>
                        </c15:formulaRef>
                      </c:ext>
                    </c:extLst>
                  </c:multiLvlStrRef>
                </c15:cat>
              </c15:filteredCategoryTitle>
            </c:ext>
            <c:ext xmlns:c16="http://schemas.microsoft.com/office/drawing/2014/chart" uri="{C3380CC4-5D6E-409C-BE32-E72D297353CC}">
              <c16:uniqueId val="{00000001-1758-4571-8506-29303828AE88}"/>
            </c:ext>
          </c:extLst>
        </c:ser>
        <c:ser>
          <c:idx val="1"/>
          <c:order val="1"/>
          <c:tx>
            <c:strRef>
              <c:f>'Revenue required'!$D$185</c:f>
              <c:strCache>
                <c:ptCount val="1"/>
                <c:pt idx="0">
                  <c:v>Indirect cost</c:v>
                </c:pt>
              </c:strCache>
            </c:strRef>
          </c:tx>
          <c:spPr>
            <a:solidFill>
              <a:schemeClr val="accent5">
                <a:lumMod val="60000"/>
                <a:lumOff val="40000"/>
              </a:schemeClr>
            </a:solidFill>
          </c:spPr>
          <c:invertIfNegative val="0"/>
          <c:dLbls>
            <c:dLbl>
              <c:idx val="0"/>
              <c:tx>
                <c:strRef>
                  <c:f>'Revenue required'!$D$185</c:f>
                  <c:strCache>
                    <c:ptCount val="1"/>
                    <c:pt idx="0">
                      <c:v>Indirect cost</c:v>
                    </c:pt>
                  </c:strCache>
                </c:strRef>
              </c:tx>
              <c:spPr>
                <a:noFill/>
                <a:ln w="25400">
                  <a:noFill/>
                </a:ln>
              </c:spPr>
              <c:txPr>
                <a:bodyPr/>
                <a:lstStyle/>
                <a:p>
                  <a:pPr>
                    <a:defRPr sz="1100" b="0" i="0" u="none" strike="noStrike" baseline="0">
                      <a:solidFill>
                        <a:srgbClr val="333333"/>
                      </a:solidFill>
                      <a:latin typeface="Calibri"/>
                      <a:ea typeface="Calibri"/>
                      <a:cs typeface="Calibri"/>
                    </a:defRPr>
                  </a:pPr>
                  <a:endParaRPr lang="en-US"/>
                </a:p>
              </c:txPr>
              <c:dLblPos val="ctr"/>
              <c:showLegendKey val="0"/>
              <c:showVal val="0"/>
              <c:showCatName val="0"/>
              <c:showSerName val="0"/>
              <c:showPercent val="0"/>
              <c:showBubbleSize val="0"/>
              <c:extLst>
                <c:ext xmlns:c15="http://schemas.microsoft.com/office/drawing/2012/chart" uri="{CE6537A1-D6FC-4f65-9D91-7224C49458BB}">
                  <c15:dlblFieldTable>
                    <c15:dlblFTEntry>
                      <c15:txfldGUID>{F6DA421B-D3AF-4F93-88A9-7BE141BE0908}</c15:txfldGUID>
                      <c15:f>'Revenue required'!$D$185</c15:f>
                      <c15:dlblFieldTableCache>
                        <c:ptCount val="1"/>
                        <c:pt idx="0">
                          <c:v>Indirect cost</c:v>
                        </c:pt>
                      </c15:dlblFieldTableCache>
                    </c15:dlblFTEntry>
                  </c15:dlblFieldTable>
                  <c15:showDataLabelsRange val="0"/>
                </c:ext>
                <c:ext xmlns:c16="http://schemas.microsoft.com/office/drawing/2014/chart" uri="{C3380CC4-5D6E-409C-BE32-E72D297353CC}">
                  <c16:uniqueId val="{00000002-1758-4571-8506-29303828AE88}"/>
                </c:ext>
              </c:extLst>
            </c:dLbl>
            <c:spPr>
              <a:noFill/>
              <a:ln w="25400">
                <a:noFill/>
              </a:ln>
            </c:spPr>
            <c:txPr>
              <a:bodyPr wrap="square" lIns="38100" tIns="19050" rIns="38100" bIns="19050" anchor="ctr">
                <a:spAutoFit/>
              </a:bodyPr>
              <a:lstStyle/>
              <a:p>
                <a:pPr>
                  <a:defRPr sz="1100" b="0" i="0" u="none" strike="noStrike" baseline="0">
                    <a:solidFill>
                      <a:srgbClr val="333333"/>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'Revenue required'!$E$185:$F$185</c:f>
            </c:numRef>
          </c:val>
          <c:extLst>
            <c:ext xmlns:c15="http://schemas.microsoft.com/office/drawing/2012/chart" uri="{02D57815-91ED-43cb-92C2-25804820EDAC}">
              <c15:filteredCategoryTitle>
                <c15:cat>
                  <c:multiLvlStrRef>
                    <c:extLst>
                      <c:ext uri="{02D57815-91ED-43cb-92C2-25804820EDAC}">
                        <c15:formulaRef>
                          <c15:sqref>'Revenue required'!$E$183:$F$183</c15:sqref>
                        </c15:formulaRef>
                      </c:ext>
                    </c:extLst>
                  </c:multiLvlStrRef>
                </c15:cat>
              </c15:filteredCategoryTitle>
            </c:ext>
            <c:ext xmlns:c16="http://schemas.microsoft.com/office/drawing/2014/chart" uri="{C3380CC4-5D6E-409C-BE32-E72D297353CC}">
              <c16:uniqueId val="{00000003-1758-4571-8506-29303828AE88}"/>
            </c:ext>
          </c:extLst>
        </c:ser>
        <c:ser>
          <c:idx val="2"/>
          <c:order val="2"/>
          <c:tx>
            <c:strRef>
              <c:f>'Revenue required'!$D$186</c:f>
              <c:strCache>
                <c:ptCount val="1"/>
              </c:strCache>
            </c:strRef>
          </c:tx>
          <c:invertIfNegative val="0"/>
          <c:dLbls>
            <c:dLbl>
              <c:idx val="0"/>
              <c:tx>
                <c:strRef>
                  <c:f>'Revenue required'!$D$186</c:f>
                  <c:strCache>
                    <c:ptCount val="1"/>
                  </c:strCache>
                </c:strRef>
              </c:tx>
              <c:spPr>
                <a:noFill/>
                <a:ln w="25400">
                  <a:noFill/>
                </a:ln>
              </c:spPr>
              <c:txPr>
                <a:bodyPr/>
                <a:lstStyle/>
                <a:p>
                  <a:pPr>
                    <a:defRPr sz="1100" b="0" i="0" u="none" strike="noStrike" baseline="0">
                      <a:solidFill>
                        <a:srgbClr val="333333"/>
                      </a:solidFill>
                      <a:latin typeface="Calibri"/>
                      <a:ea typeface="Calibri"/>
                      <a:cs typeface="Calibri"/>
                    </a:defRPr>
                  </a:pPr>
                  <a:endParaRPr lang="en-US"/>
                </a:p>
              </c:txPr>
              <c:dLblPos val="ctr"/>
              <c:showLegendKey val="0"/>
              <c:showVal val="0"/>
              <c:showCatName val="0"/>
              <c:showSerName val="0"/>
              <c:showPercent val="0"/>
              <c:showBubbleSize val="0"/>
              <c:extLst>
                <c:ext xmlns:c15="http://schemas.microsoft.com/office/drawing/2012/chart" uri="{CE6537A1-D6FC-4f65-9D91-7224C49458BB}">
                  <c15:dlblFieldTable>
                    <c15:dlblFTEntry>
                      <c15:txfldGUID>{5922C3F8-FE10-4CFF-9C86-87AAA5073FD1}</c15:txfldGUID>
                      <c15:f>'Revenue required'!$D$186</c15:f>
                      <c15:dlblFieldTableCache>
                        <c:ptCount val="1"/>
                      </c15:dlblFieldTableCache>
                    </c15:dlblFTEntry>
                  </c15:dlblFieldTable>
                  <c15:showDataLabelsRange val="0"/>
                </c:ext>
                <c:ext xmlns:c16="http://schemas.microsoft.com/office/drawing/2014/chart" uri="{C3380CC4-5D6E-409C-BE32-E72D297353CC}">
                  <c16:uniqueId val="{00000004-1758-4571-8506-29303828AE88}"/>
                </c:ext>
              </c:extLst>
            </c:dLbl>
            <c:spPr>
              <a:noFill/>
              <a:ln w="25400">
                <a:noFill/>
              </a:ln>
            </c:spPr>
            <c:txPr>
              <a:bodyPr wrap="square" lIns="38100" tIns="19050" rIns="38100" bIns="19050" anchor="ctr">
                <a:spAutoFit/>
              </a:bodyPr>
              <a:lstStyle/>
              <a:p>
                <a:pPr>
                  <a:defRPr sz="1100" b="0" i="0" u="none" strike="noStrike" baseline="0">
                    <a:solidFill>
                      <a:srgbClr val="333333"/>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'Revenue required'!$E$186:$F$186</c:f>
            </c:numRef>
          </c:val>
          <c:extLst>
            <c:ext xmlns:c15="http://schemas.microsoft.com/office/drawing/2012/chart" uri="{02D57815-91ED-43cb-92C2-25804820EDAC}">
              <c15:filteredCategoryTitle>
                <c15:cat>
                  <c:multiLvlStrRef>
                    <c:extLst>
                      <c:ext uri="{02D57815-91ED-43cb-92C2-25804820EDAC}">
                        <c15:formulaRef>
                          <c15:sqref>'Revenue required'!$E$183:$F$183</c15:sqref>
                        </c15:formulaRef>
                      </c:ext>
                    </c:extLst>
                  </c:multiLvlStrRef>
                </c15:cat>
              </c15:filteredCategoryTitle>
            </c:ext>
            <c:ext xmlns:c16="http://schemas.microsoft.com/office/drawing/2014/chart" uri="{C3380CC4-5D6E-409C-BE32-E72D297353CC}">
              <c16:uniqueId val="{00000005-1758-4571-8506-29303828AE88}"/>
            </c:ext>
          </c:extLst>
        </c:ser>
        <c:ser>
          <c:idx val="4"/>
          <c:order val="3"/>
          <c:tx>
            <c:strRef>
              <c:f>'Revenue required'!$D$187</c:f>
              <c:strCache>
                <c:ptCount val="1"/>
                <c:pt idx="0">
                  <c:v>Tariff revenue</c:v>
                </c:pt>
              </c:strCache>
            </c:strRef>
          </c:tx>
          <c:spPr>
            <a:solidFill>
              <a:schemeClr val="accent3">
                <a:lumMod val="75000"/>
              </a:schemeClr>
            </a:solidFill>
          </c:spPr>
          <c:invertIfNegative val="0"/>
          <c:dLbls>
            <c:dLbl>
              <c:idx val="1"/>
              <c:tx>
                <c:strRef>
                  <c:f>'Revenue required'!$D$187</c:f>
                  <c:strCache>
                    <c:ptCount val="1"/>
                    <c:pt idx="0">
                      <c:v>Tariff revenue</c:v>
                    </c:pt>
                  </c:strCache>
                </c:strRef>
              </c:tx>
              <c:spPr>
                <a:noFill/>
                <a:ln w="25400">
                  <a:noFill/>
                </a:ln>
              </c:spPr>
              <c:txPr>
                <a:bodyPr/>
                <a:lstStyle/>
                <a:p>
                  <a:pPr>
                    <a:defRPr sz="1100" b="0" i="0" u="none" strike="noStrike" baseline="0">
                      <a:solidFill>
                        <a:srgbClr val="333333"/>
                      </a:solidFill>
                      <a:latin typeface="Calibri"/>
                      <a:ea typeface="Calibri"/>
                      <a:cs typeface="Calibri"/>
                    </a:defRPr>
                  </a:pPr>
                  <a:endParaRPr lang="en-US"/>
                </a:p>
              </c:txPr>
              <c:dLblPos val="ctr"/>
              <c:showLegendKey val="0"/>
              <c:showVal val="0"/>
              <c:showCatName val="0"/>
              <c:showSerName val="0"/>
              <c:showPercent val="0"/>
              <c:showBubbleSize val="0"/>
              <c:extLst>
                <c:ext xmlns:c15="http://schemas.microsoft.com/office/drawing/2012/chart" uri="{CE6537A1-D6FC-4f65-9D91-7224C49458BB}">
                  <c15:dlblFieldTable>
                    <c15:dlblFTEntry>
                      <c15:txfldGUID>{BFEF952E-8E7C-4443-A70C-0B4A885A6BDA}</c15:txfldGUID>
                      <c15:f>'Revenue required'!$D$187</c15:f>
                      <c15:dlblFieldTableCache>
                        <c:ptCount val="1"/>
                        <c:pt idx="0">
                          <c:v>Tariff revenue</c:v>
                        </c:pt>
                      </c15:dlblFieldTableCache>
                    </c15:dlblFTEntry>
                  </c15:dlblFieldTable>
                  <c15:showDataLabelsRange val="0"/>
                </c:ext>
                <c:ext xmlns:c16="http://schemas.microsoft.com/office/drawing/2014/chart" uri="{C3380CC4-5D6E-409C-BE32-E72D297353CC}">
                  <c16:uniqueId val="{00000006-1758-4571-8506-29303828AE88}"/>
                </c:ext>
              </c:extLst>
            </c:dLbl>
            <c:spPr>
              <a:noFill/>
              <a:ln w="25400">
                <a:noFill/>
              </a:ln>
            </c:spPr>
            <c:txPr>
              <a:bodyPr wrap="square" lIns="38100" tIns="19050" rIns="38100" bIns="19050" anchor="ctr">
                <a:spAutoFit/>
              </a:bodyPr>
              <a:lstStyle/>
              <a:p>
                <a:pPr>
                  <a:defRPr sz="1100" b="0" i="0" u="none" strike="noStrike" baseline="0">
                    <a:solidFill>
                      <a:srgbClr val="333333"/>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'Revenue required'!$E$187:$F$187</c:f>
            </c:numRef>
          </c:val>
          <c:extLst>
            <c:ext xmlns:c15="http://schemas.microsoft.com/office/drawing/2012/chart" uri="{02D57815-91ED-43cb-92C2-25804820EDAC}">
              <c15:filteredCategoryTitle>
                <c15:cat>
                  <c:multiLvlStrRef>
                    <c:extLst>
                      <c:ext uri="{02D57815-91ED-43cb-92C2-25804820EDAC}">
                        <c15:formulaRef>
                          <c15:sqref>'Revenue required'!$E$183:$F$183</c15:sqref>
                        </c15:formulaRef>
                      </c:ext>
                    </c:extLst>
                  </c:multiLvlStrRef>
                </c15:cat>
              </c15:filteredCategoryTitle>
            </c:ext>
            <c:ext xmlns:c16="http://schemas.microsoft.com/office/drawing/2014/chart" uri="{C3380CC4-5D6E-409C-BE32-E72D297353CC}">
              <c16:uniqueId val="{00000007-1758-4571-8506-29303828AE88}"/>
            </c:ext>
          </c:extLst>
        </c:ser>
        <c:ser>
          <c:idx val="5"/>
          <c:order val="4"/>
          <c:tx>
            <c:strRef>
              <c:f>'Revenue required'!$D$188</c:f>
              <c:strCache>
                <c:ptCount val="1"/>
                <c:pt idx="0">
                  <c:v>Non-tariff revenue</c:v>
                </c:pt>
              </c:strCache>
            </c:strRef>
          </c:tx>
          <c:spPr>
            <a:solidFill>
              <a:schemeClr val="accent3"/>
            </a:solidFill>
          </c:spPr>
          <c:invertIfNegative val="0"/>
          <c:dLbls>
            <c:dLbl>
              <c:idx val="1"/>
              <c:tx>
                <c:strRef>
                  <c:f>'Revenue required'!$D$188</c:f>
                  <c:strCache>
                    <c:ptCount val="1"/>
                    <c:pt idx="0">
                      <c:v>Non-tariff revenue</c:v>
                    </c:pt>
                  </c:strCache>
                </c:strRef>
              </c:tx>
              <c:spPr>
                <a:noFill/>
                <a:ln w="25400">
                  <a:noFill/>
                </a:ln>
              </c:spPr>
              <c:txPr>
                <a:bodyPr/>
                <a:lstStyle/>
                <a:p>
                  <a:pPr>
                    <a:defRPr sz="1100" b="0" i="0" u="none" strike="noStrike" baseline="0">
                      <a:solidFill>
                        <a:srgbClr val="333333"/>
                      </a:solidFill>
                      <a:latin typeface="Calibri"/>
                      <a:ea typeface="Calibri"/>
                      <a:cs typeface="Calibri"/>
                    </a:defRPr>
                  </a:pPr>
                  <a:endParaRPr lang="en-US"/>
                </a:p>
              </c:txPr>
              <c:dLblPos val="ctr"/>
              <c:showLegendKey val="0"/>
              <c:showVal val="0"/>
              <c:showCatName val="0"/>
              <c:showSerName val="0"/>
              <c:showPercent val="0"/>
              <c:showBubbleSize val="0"/>
              <c:extLst>
                <c:ext xmlns:c15="http://schemas.microsoft.com/office/drawing/2012/chart" uri="{CE6537A1-D6FC-4f65-9D91-7224C49458BB}">
                  <c15:dlblFieldTable>
                    <c15:dlblFTEntry>
                      <c15:txfldGUID>{8DBFA43A-FEB7-4521-8AD3-E8A2D2C1057B}</c15:txfldGUID>
                      <c15:f>'Revenue required'!$D$188</c15:f>
                      <c15:dlblFieldTableCache>
                        <c:ptCount val="1"/>
                        <c:pt idx="0">
                          <c:v>Non-tariff revenue</c:v>
                        </c:pt>
                      </c15:dlblFieldTableCache>
                    </c15:dlblFTEntry>
                  </c15:dlblFieldTable>
                  <c15:showDataLabelsRange val="0"/>
                </c:ext>
                <c:ext xmlns:c16="http://schemas.microsoft.com/office/drawing/2014/chart" uri="{C3380CC4-5D6E-409C-BE32-E72D297353CC}">
                  <c16:uniqueId val="{00000008-1758-4571-8506-29303828AE88}"/>
                </c:ext>
              </c:extLst>
            </c:dLbl>
            <c:spPr>
              <a:noFill/>
              <a:ln w="25400">
                <a:noFill/>
              </a:ln>
            </c:spPr>
            <c:txPr>
              <a:bodyPr wrap="square" lIns="38100" tIns="19050" rIns="38100" bIns="19050" anchor="ctr">
                <a:spAutoFit/>
              </a:bodyPr>
              <a:lstStyle/>
              <a:p>
                <a:pPr>
                  <a:defRPr sz="1100" b="0" i="0" u="none" strike="noStrike" baseline="0">
                    <a:solidFill>
                      <a:srgbClr val="333333"/>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'Revenue required'!$E$188:$F$188</c:f>
            </c:numRef>
          </c:val>
          <c:extLst>
            <c:ext xmlns:c15="http://schemas.microsoft.com/office/drawing/2012/chart" uri="{02D57815-91ED-43cb-92C2-25804820EDAC}">
              <c15:filteredCategoryTitle>
                <c15:cat>
                  <c:multiLvlStrRef>
                    <c:extLst>
                      <c:ext uri="{02D57815-91ED-43cb-92C2-25804820EDAC}">
                        <c15:formulaRef>
                          <c15:sqref>'Revenue required'!$E$183:$F$183</c15:sqref>
                        </c15:formulaRef>
                      </c:ext>
                    </c:extLst>
                  </c:multiLvlStrRef>
                </c15:cat>
              </c15:filteredCategoryTitle>
            </c:ext>
            <c:ext xmlns:c16="http://schemas.microsoft.com/office/drawing/2014/chart" uri="{C3380CC4-5D6E-409C-BE32-E72D297353CC}">
              <c16:uniqueId val="{00000009-1758-4571-8506-29303828AE88}"/>
            </c:ext>
          </c:extLst>
        </c:ser>
        <c:ser>
          <c:idx val="3"/>
          <c:order val="5"/>
          <c:tx>
            <c:strRef>
              <c:f>'Revenue required'!$D$189</c:f>
              <c:strCache>
                <c:ptCount val="1"/>
              </c:strCache>
            </c:strRef>
          </c:tx>
          <c:spPr>
            <a:solidFill>
              <a:schemeClr val="accent2"/>
            </a:solidFill>
          </c:spPr>
          <c:invertIfNegative val="0"/>
          <c:dLbls>
            <c:dLbl>
              <c:idx val="1"/>
              <c:tx>
                <c:strRef>
                  <c:f>'Revenue required'!$D$189</c:f>
                  <c:strCache>
                    <c:ptCount val="1"/>
                  </c:strCache>
                </c:strRef>
              </c:tx>
              <c:spPr>
                <a:noFill/>
                <a:ln w="25400">
                  <a:noFill/>
                </a:ln>
              </c:spPr>
              <c:txPr>
                <a:bodyPr/>
                <a:lstStyle/>
                <a:p>
                  <a:pPr>
                    <a:defRPr sz="1100" b="0" i="0" u="none" strike="noStrike" baseline="0">
                      <a:solidFill>
                        <a:srgbClr val="333333"/>
                      </a:solidFill>
                      <a:latin typeface="Calibri"/>
                      <a:ea typeface="Calibri"/>
                      <a:cs typeface="Calibri"/>
                    </a:defRPr>
                  </a:pPr>
                  <a:endParaRPr lang="en-US"/>
                </a:p>
              </c:txPr>
              <c:dLblPos val="ctr"/>
              <c:showLegendKey val="0"/>
              <c:showVal val="0"/>
              <c:showCatName val="0"/>
              <c:showSerName val="0"/>
              <c:showPercent val="0"/>
              <c:showBubbleSize val="0"/>
              <c:extLst>
                <c:ext xmlns:c15="http://schemas.microsoft.com/office/drawing/2012/chart" uri="{CE6537A1-D6FC-4f65-9D91-7224C49458BB}">
                  <c15:dlblFieldTable>
                    <c15:dlblFTEntry>
                      <c15:txfldGUID>{463DCF14-9C2D-48F3-A443-29B8308ECCCC}</c15:txfldGUID>
                      <c15:f>'Revenue required'!$D$189</c15:f>
                      <c15:dlblFieldTableCache>
                        <c:ptCount val="1"/>
                      </c15:dlblFieldTableCache>
                    </c15:dlblFTEntry>
                  </c15:dlblFieldTable>
                  <c15:showDataLabelsRange val="0"/>
                </c:ext>
                <c:ext xmlns:c16="http://schemas.microsoft.com/office/drawing/2014/chart" uri="{C3380CC4-5D6E-409C-BE32-E72D297353CC}">
                  <c16:uniqueId val="{0000000A-1758-4571-8506-29303828AE88}"/>
                </c:ext>
              </c:extLst>
            </c:dLbl>
            <c:spPr>
              <a:noFill/>
              <a:ln w="25400">
                <a:noFill/>
              </a:ln>
            </c:spPr>
            <c:txPr>
              <a:bodyPr wrap="square" lIns="38100" tIns="19050" rIns="38100" bIns="19050" anchor="ctr">
                <a:spAutoFit/>
              </a:bodyPr>
              <a:lstStyle/>
              <a:p>
                <a:pPr>
                  <a:defRPr sz="1100" b="0" i="0" u="none" strike="noStrike" baseline="0">
                    <a:solidFill>
                      <a:srgbClr val="333333"/>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'Revenue required'!$E$189:$F$189</c:f>
            </c:numRef>
          </c:val>
          <c:extLst>
            <c:ext xmlns:c15="http://schemas.microsoft.com/office/drawing/2012/chart" uri="{02D57815-91ED-43cb-92C2-25804820EDAC}">
              <c15:filteredCategoryTitle>
                <c15:cat>
                  <c:multiLvlStrRef>
                    <c:extLst>
                      <c:ext uri="{02D57815-91ED-43cb-92C2-25804820EDAC}">
                        <c15:formulaRef>
                          <c15:sqref>'Revenue required'!$E$183:$F$183</c15:sqref>
                        </c15:formulaRef>
                      </c:ext>
                    </c:extLst>
                  </c:multiLvlStrRef>
                </c15:cat>
              </c15:filteredCategoryTitle>
            </c:ext>
            <c:ext xmlns:c16="http://schemas.microsoft.com/office/drawing/2014/chart" uri="{C3380CC4-5D6E-409C-BE32-E72D297353CC}">
              <c16:uniqueId val="{0000000B-1758-4571-8506-29303828AE88}"/>
            </c:ext>
          </c:extLst>
        </c:ser>
        <c:dLbls>
          <c:showLegendKey val="0"/>
          <c:showVal val="0"/>
          <c:showCatName val="0"/>
          <c:showSerName val="0"/>
          <c:showPercent val="0"/>
          <c:showBubbleSize val="0"/>
        </c:dLbls>
        <c:gapWidth val="25"/>
        <c:overlap val="100"/>
        <c:axId val="1396756815"/>
        <c:axId val="1"/>
      </c:barChart>
      <c:catAx>
        <c:axId val="1396756815"/>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0" vert="horz"/>
          <a:lstStyle/>
          <a:p>
            <a:pPr>
              <a:defRPr sz="1100" b="0" i="0" u="none" strike="noStrike" baseline="0">
                <a:solidFill>
                  <a:srgbClr val="333333"/>
                </a:solidFill>
                <a:latin typeface="Calibri"/>
                <a:ea typeface="Calibri"/>
                <a:cs typeface="Calibri"/>
              </a:defRPr>
            </a:pPr>
            <a:endParaRPr lang="en-US"/>
          </a:p>
        </c:txPr>
        <c:crossAx val="1"/>
        <c:crosses val="autoZero"/>
        <c:auto val="1"/>
        <c:lblAlgn val="ctr"/>
        <c:lblOffset val="100"/>
        <c:noMultiLvlLbl val="0"/>
      </c:catAx>
      <c:valAx>
        <c:axId val="1"/>
        <c:scaling>
          <c:orientation val="minMax"/>
        </c:scaling>
        <c:delete val="1"/>
        <c:axPos val="l"/>
        <c:majorGridlines>
          <c:spPr>
            <a:ln w="9525" cap="flat" cmpd="sng" algn="ctr">
              <a:solidFill>
                <a:schemeClr val="tx1">
                  <a:lumMod val="15000"/>
                  <a:lumOff val="85000"/>
                </a:schemeClr>
              </a:solidFill>
              <a:round/>
            </a:ln>
            <a:effectLst/>
          </c:spPr>
        </c:majorGridlines>
        <c:numFmt formatCode="_-* #\ ##0_-;\-* #\ ##0_-;_-* &quot;-&quot;??_-;_-@_-" sourceLinked="1"/>
        <c:majorTickMark val="out"/>
        <c:minorTickMark val="none"/>
        <c:tickLblPos val="nextTo"/>
        <c:crossAx val="1396756815"/>
        <c:crosses val="autoZero"/>
        <c:crossBetween val="between"/>
      </c:valAx>
    </c:plotArea>
    <c:plotVisOnly val="1"/>
    <c:dispBlanksAs val="gap"/>
    <c:showDLblsOverMax val="0"/>
  </c:chart>
  <c:spPr>
    <a:solidFill>
      <a:schemeClr val="bg1"/>
    </a:solidFill>
    <a:ln w="9525" cap="flat" cmpd="sng" algn="ctr">
      <a:noFill/>
      <a:round/>
    </a:ln>
    <a:effectLst/>
  </c:spPr>
  <c:txPr>
    <a:bodyPr/>
    <a:lstStyle/>
    <a:p>
      <a:pPr>
        <a:defRPr sz="11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charts/chart6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320" b="0" i="0" u="none" strike="noStrike" baseline="0">
                <a:solidFill>
                  <a:srgbClr val="333333"/>
                </a:solidFill>
                <a:latin typeface="Calibri"/>
                <a:ea typeface="Calibri"/>
                <a:cs typeface="Calibri"/>
              </a:defRPr>
            </a:pPr>
            <a:r>
              <a:rPr lang="en-ZA"/>
              <a:t>Budget funding: solid waste R'000</a:t>
            </a:r>
          </a:p>
        </c:rich>
      </c:tx>
      <c:layout>
        <c:manualLayout>
          <c:xMode val="edge"/>
          <c:yMode val="edge"/>
          <c:x val="6.4499571962106886E-2"/>
          <c:y val="3.2407487525597758E-2"/>
        </c:manualLayout>
      </c:layout>
      <c:overlay val="0"/>
      <c:spPr>
        <a:noFill/>
        <a:ln w="25400">
          <a:noFill/>
        </a:ln>
      </c:spPr>
    </c:title>
    <c:autoTitleDeleted val="0"/>
    <c:plotArea>
      <c:layout/>
      <c:barChart>
        <c:barDir val="col"/>
        <c:grouping val="stacked"/>
        <c:varyColors val="0"/>
        <c:ser>
          <c:idx val="0"/>
          <c:order val="0"/>
          <c:tx>
            <c:strRef>
              <c:f>'Revenue required'!$D$184</c:f>
              <c:strCache>
                <c:ptCount val="1"/>
                <c:pt idx="0">
                  <c:v>Direct cost</c:v>
                </c:pt>
              </c:strCache>
            </c:strRef>
          </c:tx>
          <c:spPr>
            <a:solidFill>
              <a:schemeClr val="accent5"/>
            </a:solidFill>
          </c:spPr>
          <c:invertIfNegative val="0"/>
          <c:dLbls>
            <c:spPr>
              <a:noFill/>
              <a:ln w="25400">
                <a:noFill/>
              </a:ln>
            </c:spPr>
            <c:txPr>
              <a:bodyPr wrap="square" lIns="38100" tIns="19050" rIns="38100" bIns="19050" anchor="ctr">
                <a:spAutoFit/>
              </a:bodyPr>
              <a:lstStyle/>
              <a:p>
                <a:pPr>
                  <a:defRPr sz="1100" b="0" i="0" u="none" strike="noStrike" baseline="0">
                    <a:solidFill>
                      <a:srgbClr val="333333"/>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'Revenue required'!$E$184:$F$184</c:f>
            </c:numRef>
          </c:val>
          <c:extLst>
            <c:ext xmlns:c15="http://schemas.microsoft.com/office/drawing/2012/chart" uri="{02D57815-91ED-43cb-92C2-25804820EDAC}">
              <c15:filteredCategoryTitle>
                <c15:cat>
                  <c:multiLvlStrRef>
                    <c:extLst>
                      <c:ext uri="{02D57815-91ED-43cb-92C2-25804820EDAC}">
                        <c15:formulaRef>
                          <c15:sqref>'Revenue required'!$E$183:$F$183</c15:sqref>
                        </c15:formulaRef>
                      </c:ext>
                    </c:extLst>
                  </c:multiLvlStrRef>
                </c15:cat>
              </c15:filteredCategoryTitle>
            </c:ext>
            <c:ext xmlns:c16="http://schemas.microsoft.com/office/drawing/2014/chart" uri="{C3380CC4-5D6E-409C-BE32-E72D297353CC}">
              <c16:uniqueId val="{00000000-CF48-4163-92D9-FAA05619AFDC}"/>
            </c:ext>
          </c:extLst>
        </c:ser>
        <c:ser>
          <c:idx val="1"/>
          <c:order val="1"/>
          <c:tx>
            <c:strRef>
              <c:f>'Revenue required'!$D$185</c:f>
              <c:strCache>
                <c:ptCount val="1"/>
                <c:pt idx="0">
                  <c:v>Indirect cost</c:v>
                </c:pt>
              </c:strCache>
            </c:strRef>
          </c:tx>
          <c:spPr>
            <a:solidFill>
              <a:schemeClr val="accent5">
                <a:lumMod val="60000"/>
                <a:lumOff val="40000"/>
              </a:schemeClr>
            </a:solidFill>
          </c:spPr>
          <c:invertIfNegative val="0"/>
          <c:dLbls>
            <c:spPr>
              <a:noFill/>
              <a:ln w="25400">
                <a:noFill/>
              </a:ln>
            </c:spPr>
            <c:txPr>
              <a:bodyPr wrap="square" lIns="38100" tIns="19050" rIns="38100" bIns="19050" anchor="ctr">
                <a:spAutoFit/>
              </a:bodyPr>
              <a:lstStyle/>
              <a:p>
                <a:pPr>
                  <a:defRPr sz="1100" b="0" i="0" u="none" strike="noStrike" baseline="0">
                    <a:solidFill>
                      <a:srgbClr val="333333"/>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'Revenue required'!$E$185:$F$185</c:f>
            </c:numRef>
          </c:val>
          <c:extLst>
            <c:ext xmlns:c15="http://schemas.microsoft.com/office/drawing/2012/chart" uri="{02D57815-91ED-43cb-92C2-25804820EDAC}">
              <c15:filteredCategoryTitle>
                <c15:cat>
                  <c:multiLvlStrRef>
                    <c:extLst>
                      <c:ext uri="{02D57815-91ED-43cb-92C2-25804820EDAC}">
                        <c15:formulaRef>
                          <c15:sqref>'Revenue required'!$E$183:$F$183</c15:sqref>
                        </c15:formulaRef>
                      </c:ext>
                    </c:extLst>
                  </c:multiLvlStrRef>
                </c15:cat>
              </c15:filteredCategoryTitle>
            </c:ext>
            <c:ext xmlns:c16="http://schemas.microsoft.com/office/drawing/2014/chart" uri="{C3380CC4-5D6E-409C-BE32-E72D297353CC}">
              <c16:uniqueId val="{00000001-CF48-4163-92D9-FAA05619AFDC}"/>
            </c:ext>
          </c:extLst>
        </c:ser>
        <c:ser>
          <c:idx val="2"/>
          <c:order val="2"/>
          <c:tx>
            <c:strRef>
              <c:f>'Revenue required'!$D$186</c:f>
              <c:strCache>
                <c:ptCount val="1"/>
              </c:strCache>
            </c:strRef>
          </c:tx>
          <c:invertIfNegative val="0"/>
          <c:dLbls>
            <c:spPr>
              <a:noFill/>
              <a:ln w="25400">
                <a:noFill/>
              </a:ln>
            </c:spPr>
            <c:txPr>
              <a:bodyPr wrap="square" lIns="38100" tIns="19050" rIns="38100" bIns="19050" anchor="ctr">
                <a:spAutoFit/>
              </a:bodyPr>
              <a:lstStyle/>
              <a:p>
                <a:pPr>
                  <a:defRPr sz="1100" b="0" i="0" u="none" strike="noStrike" baseline="0">
                    <a:solidFill>
                      <a:srgbClr val="333333"/>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'Revenue required'!$E$186:$F$186</c:f>
            </c:numRef>
          </c:val>
          <c:extLst>
            <c:ext xmlns:c15="http://schemas.microsoft.com/office/drawing/2012/chart" uri="{02D57815-91ED-43cb-92C2-25804820EDAC}">
              <c15:filteredCategoryTitle>
                <c15:cat>
                  <c:multiLvlStrRef>
                    <c:extLst>
                      <c:ext uri="{02D57815-91ED-43cb-92C2-25804820EDAC}">
                        <c15:formulaRef>
                          <c15:sqref>'Revenue required'!$E$183:$F$183</c15:sqref>
                        </c15:formulaRef>
                      </c:ext>
                    </c:extLst>
                  </c:multiLvlStrRef>
                </c15:cat>
              </c15:filteredCategoryTitle>
            </c:ext>
            <c:ext xmlns:c16="http://schemas.microsoft.com/office/drawing/2014/chart" uri="{C3380CC4-5D6E-409C-BE32-E72D297353CC}">
              <c16:uniqueId val="{00000002-CF48-4163-92D9-FAA05619AFDC}"/>
            </c:ext>
          </c:extLst>
        </c:ser>
        <c:ser>
          <c:idx val="4"/>
          <c:order val="3"/>
          <c:tx>
            <c:strRef>
              <c:f>'Revenue required'!$D$187</c:f>
              <c:strCache>
                <c:ptCount val="1"/>
                <c:pt idx="0">
                  <c:v>Tariff revenue</c:v>
                </c:pt>
              </c:strCache>
            </c:strRef>
          </c:tx>
          <c:spPr>
            <a:solidFill>
              <a:schemeClr val="accent3">
                <a:lumMod val="75000"/>
              </a:schemeClr>
            </a:solidFill>
          </c:spPr>
          <c:invertIfNegative val="0"/>
          <c:dLbls>
            <c:spPr>
              <a:noFill/>
              <a:ln w="25400">
                <a:noFill/>
              </a:ln>
            </c:spPr>
            <c:txPr>
              <a:bodyPr wrap="square" lIns="38100" tIns="19050" rIns="38100" bIns="19050" anchor="ctr">
                <a:spAutoFit/>
              </a:bodyPr>
              <a:lstStyle/>
              <a:p>
                <a:pPr>
                  <a:defRPr sz="1100" b="0" i="0" u="none" strike="noStrike" baseline="0">
                    <a:solidFill>
                      <a:srgbClr val="333333"/>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'Revenue required'!$E$187:$F$187</c:f>
            </c:numRef>
          </c:val>
          <c:extLst>
            <c:ext xmlns:c15="http://schemas.microsoft.com/office/drawing/2012/chart" uri="{02D57815-91ED-43cb-92C2-25804820EDAC}">
              <c15:filteredCategoryTitle>
                <c15:cat>
                  <c:multiLvlStrRef>
                    <c:extLst>
                      <c:ext uri="{02D57815-91ED-43cb-92C2-25804820EDAC}">
                        <c15:formulaRef>
                          <c15:sqref>'Revenue required'!$E$183:$F$183</c15:sqref>
                        </c15:formulaRef>
                      </c:ext>
                    </c:extLst>
                  </c:multiLvlStrRef>
                </c15:cat>
              </c15:filteredCategoryTitle>
            </c:ext>
            <c:ext xmlns:c16="http://schemas.microsoft.com/office/drawing/2014/chart" uri="{C3380CC4-5D6E-409C-BE32-E72D297353CC}">
              <c16:uniqueId val="{00000003-CF48-4163-92D9-FAA05619AFDC}"/>
            </c:ext>
          </c:extLst>
        </c:ser>
        <c:ser>
          <c:idx val="5"/>
          <c:order val="4"/>
          <c:tx>
            <c:strRef>
              <c:f>'Revenue required'!$D$188</c:f>
              <c:strCache>
                <c:ptCount val="1"/>
                <c:pt idx="0">
                  <c:v>Non-tariff revenue</c:v>
                </c:pt>
              </c:strCache>
            </c:strRef>
          </c:tx>
          <c:spPr>
            <a:solidFill>
              <a:schemeClr val="accent3"/>
            </a:solidFill>
          </c:spPr>
          <c:invertIfNegative val="0"/>
          <c:dLbls>
            <c:spPr>
              <a:noFill/>
              <a:ln w="25400">
                <a:noFill/>
              </a:ln>
            </c:spPr>
            <c:txPr>
              <a:bodyPr wrap="square" lIns="38100" tIns="19050" rIns="38100" bIns="19050" anchor="ctr">
                <a:spAutoFit/>
              </a:bodyPr>
              <a:lstStyle/>
              <a:p>
                <a:pPr>
                  <a:defRPr sz="1100" b="0" i="0" u="none" strike="noStrike" baseline="0">
                    <a:solidFill>
                      <a:srgbClr val="333333"/>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'Revenue required'!$E$188:$F$188</c:f>
            </c:numRef>
          </c:val>
          <c:extLst>
            <c:ext xmlns:c15="http://schemas.microsoft.com/office/drawing/2012/chart" uri="{02D57815-91ED-43cb-92C2-25804820EDAC}">
              <c15:filteredCategoryTitle>
                <c15:cat>
                  <c:multiLvlStrRef>
                    <c:extLst>
                      <c:ext uri="{02D57815-91ED-43cb-92C2-25804820EDAC}">
                        <c15:formulaRef>
                          <c15:sqref>'Revenue required'!$E$183:$F$183</c15:sqref>
                        </c15:formulaRef>
                      </c:ext>
                    </c:extLst>
                  </c:multiLvlStrRef>
                </c15:cat>
              </c15:filteredCategoryTitle>
            </c:ext>
            <c:ext xmlns:c16="http://schemas.microsoft.com/office/drawing/2014/chart" uri="{C3380CC4-5D6E-409C-BE32-E72D297353CC}">
              <c16:uniqueId val="{00000004-CF48-4163-92D9-FAA05619AFDC}"/>
            </c:ext>
          </c:extLst>
        </c:ser>
        <c:ser>
          <c:idx val="3"/>
          <c:order val="5"/>
          <c:tx>
            <c:strRef>
              <c:f>'Revenue required'!$D$189</c:f>
              <c:strCache>
                <c:ptCount val="1"/>
              </c:strCache>
            </c:strRef>
          </c:tx>
          <c:spPr>
            <a:solidFill>
              <a:schemeClr val="accent2"/>
            </a:solidFill>
          </c:spPr>
          <c:invertIfNegative val="0"/>
          <c:dLbls>
            <c:spPr>
              <a:noFill/>
              <a:ln w="25400">
                <a:noFill/>
              </a:ln>
            </c:spPr>
            <c:txPr>
              <a:bodyPr wrap="square" lIns="38100" tIns="19050" rIns="38100" bIns="19050" anchor="ctr">
                <a:spAutoFit/>
              </a:bodyPr>
              <a:lstStyle/>
              <a:p>
                <a:pPr>
                  <a:defRPr sz="1100" b="0" i="0" u="none" strike="noStrike" baseline="0">
                    <a:solidFill>
                      <a:srgbClr val="333333"/>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'Revenue required'!$E$189:$F$189</c:f>
            </c:numRef>
          </c:val>
          <c:extLst>
            <c:ext xmlns:c15="http://schemas.microsoft.com/office/drawing/2012/chart" uri="{02D57815-91ED-43cb-92C2-25804820EDAC}">
              <c15:filteredCategoryTitle>
                <c15:cat>
                  <c:multiLvlStrRef>
                    <c:extLst>
                      <c:ext uri="{02D57815-91ED-43cb-92C2-25804820EDAC}">
                        <c15:formulaRef>
                          <c15:sqref>'Revenue required'!$E$183:$F$183</c15:sqref>
                        </c15:formulaRef>
                      </c:ext>
                    </c:extLst>
                  </c:multiLvlStrRef>
                </c15:cat>
              </c15:filteredCategoryTitle>
            </c:ext>
            <c:ext xmlns:c16="http://schemas.microsoft.com/office/drawing/2014/chart" uri="{C3380CC4-5D6E-409C-BE32-E72D297353CC}">
              <c16:uniqueId val="{00000005-CF48-4163-92D9-FAA05619AFDC}"/>
            </c:ext>
          </c:extLst>
        </c:ser>
        <c:dLbls>
          <c:showLegendKey val="0"/>
          <c:showVal val="0"/>
          <c:showCatName val="0"/>
          <c:showSerName val="0"/>
          <c:showPercent val="0"/>
          <c:showBubbleSize val="0"/>
        </c:dLbls>
        <c:gapWidth val="25"/>
        <c:overlap val="100"/>
        <c:axId val="1396746255"/>
        <c:axId val="1"/>
      </c:barChart>
      <c:catAx>
        <c:axId val="1396746255"/>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0" vert="horz"/>
          <a:lstStyle/>
          <a:p>
            <a:pPr>
              <a:defRPr sz="1100" b="0" i="0" u="none" strike="noStrike" baseline="0">
                <a:solidFill>
                  <a:srgbClr val="333333"/>
                </a:solidFill>
                <a:latin typeface="Calibri"/>
                <a:ea typeface="Calibri"/>
                <a:cs typeface="Calibri"/>
              </a:defRPr>
            </a:pPr>
            <a:endParaRPr lang="en-US"/>
          </a:p>
        </c:txPr>
        <c:crossAx val="1"/>
        <c:crosses val="autoZero"/>
        <c:auto val="1"/>
        <c:lblAlgn val="ctr"/>
        <c:lblOffset val="100"/>
        <c:noMultiLvlLbl val="0"/>
      </c:catAx>
      <c:valAx>
        <c:axId val="1"/>
        <c:scaling>
          <c:orientation val="minMax"/>
        </c:scaling>
        <c:delete val="1"/>
        <c:axPos val="l"/>
        <c:majorGridlines>
          <c:spPr>
            <a:ln w="9525" cap="flat" cmpd="sng" algn="ctr">
              <a:solidFill>
                <a:schemeClr val="tx1">
                  <a:lumMod val="15000"/>
                  <a:lumOff val="85000"/>
                </a:schemeClr>
              </a:solidFill>
              <a:round/>
            </a:ln>
            <a:effectLst/>
          </c:spPr>
        </c:majorGridlines>
        <c:numFmt formatCode="_-* #\ ##0_-;\-* #\ ##0_-;_-* &quot;-&quot;??_-;_-@_-" sourceLinked="1"/>
        <c:majorTickMark val="out"/>
        <c:minorTickMark val="none"/>
        <c:tickLblPos val="nextTo"/>
        <c:crossAx val="1396746255"/>
        <c:crosses val="autoZero"/>
        <c:crossBetween val="between"/>
      </c:valAx>
    </c:plotArea>
    <c:plotVisOnly val="1"/>
    <c:dispBlanksAs val="gap"/>
    <c:showDLblsOverMax val="0"/>
  </c:chart>
  <c:spPr>
    <a:solidFill>
      <a:schemeClr val="bg1"/>
    </a:solidFill>
    <a:ln w="9525" cap="flat" cmpd="sng" algn="ctr">
      <a:noFill/>
      <a:round/>
    </a:ln>
    <a:effectLst/>
  </c:spPr>
  <c:txPr>
    <a:bodyPr/>
    <a:lstStyle/>
    <a:p>
      <a:pPr>
        <a:defRPr sz="11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charts/chart6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320" b="0" i="0" u="none" strike="noStrike" baseline="0">
                <a:solidFill>
                  <a:srgbClr val="333333"/>
                </a:solidFill>
                <a:latin typeface="Calibri"/>
                <a:ea typeface="Calibri"/>
                <a:cs typeface="Calibri"/>
              </a:defRPr>
            </a:pPr>
            <a:r>
              <a:rPr lang="en-ZA"/>
              <a:t>Budget funding: solid waste: %s</a:t>
            </a:r>
          </a:p>
        </c:rich>
      </c:tx>
      <c:layout>
        <c:manualLayout>
          <c:xMode val="edge"/>
          <c:yMode val="edge"/>
          <c:x val="3.5577490612716478E-2"/>
          <c:y val="5.0906329016565235E-2"/>
        </c:manualLayout>
      </c:layout>
      <c:overlay val="0"/>
      <c:spPr>
        <a:noFill/>
        <a:ln w="25400">
          <a:noFill/>
        </a:ln>
      </c:spPr>
    </c:title>
    <c:autoTitleDeleted val="0"/>
    <c:plotArea>
      <c:layout/>
      <c:barChart>
        <c:barDir val="col"/>
        <c:grouping val="percentStacked"/>
        <c:varyColors val="0"/>
        <c:ser>
          <c:idx val="0"/>
          <c:order val="0"/>
          <c:tx>
            <c:strRef>
              <c:f>'Revenue required'!$G$184</c:f>
              <c:strCache>
                <c:ptCount val="1"/>
                <c:pt idx="0">
                  <c:v>Direct cost</c:v>
                </c:pt>
              </c:strCache>
            </c:strRef>
          </c:tx>
          <c:spPr>
            <a:solidFill>
              <a:schemeClr val="accent5"/>
            </a:solidFill>
          </c:spPr>
          <c:invertIfNegative val="0"/>
          <c:dLbls>
            <c:spPr>
              <a:noFill/>
              <a:ln w="25400">
                <a:noFill/>
              </a:ln>
            </c:spPr>
            <c:txPr>
              <a:bodyPr wrap="square" lIns="38100" tIns="19050" rIns="38100" bIns="19050" anchor="ctr">
                <a:spAutoFit/>
              </a:bodyPr>
              <a:lstStyle/>
              <a:p>
                <a:pPr>
                  <a:defRPr sz="1100" b="0" i="0" u="none" strike="noStrike" baseline="0">
                    <a:solidFill>
                      <a:srgbClr val="333333"/>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'Revenue required'!$H$184:$I$184</c:f>
            </c:numRef>
          </c:val>
          <c:extLst>
            <c:ext xmlns:c15="http://schemas.microsoft.com/office/drawing/2012/chart" uri="{02D57815-91ED-43cb-92C2-25804820EDAC}">
              <c15:filteredCategoryTitle>
                <c15:cat>
                  <c:multiLvlStrRef>
                    <c:extLst>
                      <c:ext uri="{02D57815-91ED-43cb-92C2-25804820EDAC}">
                        <c15:formulaRef>
                          <c15:sqref>'Revenue required'!$H$183:$I$183</c15:sqref>
                        </c15:formulaRef>
                      </c:ext>
                    </c:extLst>
                  </c:multiLvlStrRef>
                </c15:cat>
              </c15:filteredCategoryTitle>
            </c:ext>
            <c:ext xmlns:c16="http://schemas.microsoft.com/office/drawing/2014/chart" uri="{C3380CC4-5D6E-409C-BE32-E72D297353CC}">
              <c16:uniqueId val="{00000000-0202-4B2E-81E8-040F9E6DE825}"/>
            </c:ext>
          </c:extLst>
        </c:ser>
        <c:ser>
          <c:idx val="1"/>
          <c:order val="1"/>
          <c:tx>
            <c:strRef>
              <c:f>'Revenue required'!$G$185</c:f>
              <c:strCache>
                <c:ptCount val="1"/>
                <c:pt idx="0">
                  <c:v>Indirect cost</c:v>
                </c:pt>
              </c:strCache>
            </c:strRef>
          </c:tx>
          <c:spPr>
            <a:solidFill>
              <a:schemeClr val="accent5">
                <a:lumMod val="60000"/>
                <a:lumOff val="40000"/>
              </a:schemeClr>
            </a:solidFill>
          </c:spPr>
          <c:invertIfNegative val="0"/>
          <c:dLbls>
            <c:spPr>
              <a:noFill/>
              <a:ln w="25400">
                <a:noFill/>
              </a:ln>
            </c:spPr>
            <c:txPr>
              <a:bodyPr wrap="square" lIns="38100" tIns="19050" rIns="38100" bIns="19050" anchor="ctr">
                <a:spAutoFit/>
              </a:bodyPr>
              <a:lstStyle/>
              <a:p>
                <a:pPr>
                  <a:defRPr sz="1100" b="0" i="0" u="none" strike="noStrike" baseline="0">
                    <a:solidFill>
                      <a:srgbClr val="333333"/>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'Revenue required'!$H$185:$I$185</c:f>
            </c:numRef>
          </c:val>
          <c:extLst>
            <c:ext xmlns:c15="http://schemas.microsoft.com/office/drawing/2012/chart" uri="{02D57815-91ED-43cb-92C2-25804820EDAC}">
              <c15:filteredCategoryTitle>
                <c15:cat>
                  <c:multiLvlStrRef>
                    <c:extLst>
                      <c:ext uri="{02D57815-91ED-43cb-92C2-25804820EDAC}">
                        <c15:formulaRef>
                          <c15:sqref>'Revenue required'!$H$183:$I$183</c15:sqref>
                        </c15:formulaRef>
                      </c:ext>
                    </c:extLst>
                  </c:multiLvlStrRef>
                </c15:cat>
              </c15:filteredCategoryTitle>
            </c:ext>
            <c:ext xmlns:c16="http://schemas.microsoft.com/office/drawing/2014/chart" uri="{C3380CC4-5D6E-409C-BE32-E72D297353CC}">
              <c16:uniqueId val="{00000001-0202-4B2E-81E8-040F9E6DE825}"/>
            </c:ext>
          </c:extLst>
        </c:ser>
        <c:ser>
          <c:idx val="2"/>
          <c:order val="2"/>
          <c:tx>
            <c:strRef>
              <c:f>'Revenue required'!$G$186</c:f>
              <c:strCache>
                <c:ptCount val="1"/>
              </c:strCache>
            </c:strRef>
          </c:tx>
          <c:invertIfNegative val="0"/>
          <c:dLbls>
            <c:spPr>
              <a:noFill/>
              <a:ln w="25400">
                <a:noFill/>
              </a:ln>
            </c:spPr>
            <c:txPr>
              <a:bodyPr wrap="square" lIns="38100" tIns="19050" rIns="38100" bIns="19050" anchor="ctr">
                <a:spAutoFit/>
              </a:bodyPr>
              <a:lstStyle/>
              <a:p>
                <a:pPr>
                  <a:defRPr sz="1100" b="0" i="0" u="none" strike="noStrike" baseline="0">
                    <a:solidFill>
                      <a:srgbClr val="333333"/>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'Revenue required'!$H$186:$I$186</c:f>
            </c:numRef>
          </c:val>
          <c:extLst>
            <c:ext xmlns:c15="http://schemas.microsoft.com/office/drawing/2012/chart" uri="{02D57815-91ED-43cb-92C2-25804820EDAC}">
              <c15:filteredCategoryTitle>
                <c15:cat>
                  <c:multiLvlStrRef>
                    <c:extLst>
                      <c:ext uri="{02D57815-91ED-43cb-92C2-25804820EDAC}">
                        <c15:formulaRef>
                          <c15:sqref>'Revenue required'!$H$183:$I$183</c15:sqref>
                        </c15:formulaRef>
                      </c:ext>
                    </c:extLst>
                  </c:multiLvlStrRef>
                </c15:cat>
              </c15:filteredCategoryTitle>
            </c:ext>
            <c:ext xmlns:c16="http://schemas.microsoft.com/office/drawing/2014/chart" uri="{C3380CC4-5D6E-409C-BE32-E72D297353CC}">
              <c16:uniqueId val="{00000002-0202-4B2E-81E8-040F9E6DE825}"/>
            </c:ext>
          </c:extLst>
        </c:ser>
        <c:ser>
          <c:idx val="4"/>
          <c:order val="3"/>
          <c:tx>
            <c:strRef>
              <c:f>'Revenue required'!$G$187</c:f>
              <c:strCache>
                <c:ptCount val="1"/>
                <c:pt idx="0">
                  <c:v>Tariff revenue</c:v>
                </c:pt>
              </c:strCache>
            </c:strRef>
          </c:tx>
          <c:spPr>
            <a:solidFill>
              <a:schemeClr val="accent3"/>
            </a:solidFill>
          </c:spPr>
          <c:invertIfNegative val="0"/>
          <c:dLbls>
            <c:spPr>
              <a:noFill/>
              <a:ln w="25400">
                <a:noFill/>
              </a:ln>
            </c:spPr>
            <c:txPr>
              <a:bodyPr wrap="square" lIns="38100" tIns="19050" rIns="38100" bIns="19050" anchor="ctr">
                <a:spAutoFit/>
              </a:bodyPr>
              <a:lstStyle/>
              <a:p>
                <a:pPr>
                  <a:defRPr sz="1100" b="0" i="0" u="none" strike="noStrike" baseline="0">
                    <a:solidFill>
                      <a:srgbClr val="333333"/>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'Revenue required'!$H$187:$I$187</c:f>
            </c:numRef>
          </c:val>
          <c:extLst>
            <c:ext xmlns:c15="http://schemas.microsoft.com/office/drawing/2012/chart" uri="{02D57815-91ED-43cb-92C2-25804820EDAC}">
              <c15:filteredCategoryTitle>
                <c15:cat>
                  <c:multiLvlStrRef>
                    <c:extLst>
                      <c:ext uri="{02D57815-91ED-43cb-92C2-25804820EDAC}">
                        <c15:formulaRef>
                          <c15:sqref>'Revenue required'!$H$183:$I$183</c15:sqref>
                        </c15:formulaRef>
                      </c:ext>
                    </c:extLst>
                  </c:multiLvlStrRef>
                </c15:cat>
              </c15:filteredCategoryTitle>
            </c:ext>
            <c:ext xmlns:c16="http://schemas.microsoft.com/office/drawing/2014/chart" uri="{C3380CC4-5D6E-409C-BE32-E72D297353CC}">
              <c16:uniqueId val="{00000003-0202-4B2E-81E8-040F9E6DE825}"/>
            </c:ext>
          </c:extLst>
        </c:ser>
        <c:ser>
          <c:idx val="5"/>
          <c:order val="4"/>
          <c:tx>
            <c:strRef>
              <c:f>'Revenue required'!$G$188</c:f>
              <c:strCache>
                <c:ptCount val="1"/>
                <c:pt idx="0">
                  <c:v>Non-tariff revenue</c:v>
                </c:pt>
              </c:strCache>
            </c:strRef>
          </c:tx>
          <c:spPr>
            <a:solidFill>
              <a:schemeClr val="accent3">
                <a:lumMod val="60000"/>
                <a:lumOff val="40000"/>
              </a:schemeClr>
            </a:solidFill>
          </c:spPr>
          <c:invertIfNegative val="0"/>
          <c:dLbls>
            <c:spPr>
              <a:noFill/>
              <a:ln w="25400">
                <a:noFill/>
              </a:ln>
            </c:spPr>
            <c:txPr>
              <a:bodyPr wrap="square" lIns="38100" tIns="19050" rIns="38100" bIns="19050" anchor="ctr">
                <a:spAutoFit/>
              </a:bodyPr>
              <a:lstStyle/>
              <a:p>
                <a:pPr>
                  <a:defRPr sz="1100" b="0" i="0" u="none" strike="noStrike" baseline="0">
                    <a:solidFill>
                      <a:srgbClr val="333333"/>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'Revenue required'!$H$188:$I$188</c:f>
            </c:numRef>
          </c:val>
          <c:extLst>
            <c:ext xmlns:c15="http://schemas.microsoft.com/office/drawing/2012/chart" uri="{02D57815-91ED-43cb-92C2-25804820EDAC}">
              <c15:filteredCategoryTitle>
                <c15:cat>
                  <c:multiLvlStrRef>
                    <c:extLst>
                      <c:ext uri="{02D57815-91ED-43cb-92C2-25804820EDAC}">
                        <c15:formulaRef>
                          <c15:sqref>'Revenue required'!$H$183:$I$183</c15:sqref>
                        </c15:formulaRef>
                      </c:ext>
                    </c:extLst>
                  </c:multiLvlStrRef>
                </c15:cat>
              </c15:filteredCategoryTitle>
            </c:ext>
            <c:ext xmlns:c16="http://schemas.microsoft.com/office/drawing/2014/chart" uri="{C3380CC4-5D6E-409C-BE32-E72D297353CC}">
              <c16:uniqueId val="{00000004-0202-4B2E-81E8-040F9E6DE825}"/>
            </c:ext>
          </c:extLst>
        </c:ser>
        <c:ser>
          <c:idx val="3"/>
          <c:order val="5"/>
          <c:tx>
            <c:strRef>
              <c:f>'Revenue required'!$G$189</c:f>
              <c:strCache>
                <c:ptCount val="1"/>
              </c:strCache>
            </c:strRef>
          </c:tx>
          <c:spPr>
            <a:solidFill>
              <a:schemeClr val="accent2"/>
            </a:solidFill>
          </c:spPr>
          <c:invertIfNegative val="0"/>
          <c:dLbls>
            <c:spPr>
              <a:noFill/>
              <a:ln w="25400">
                <a:noFill/>
              </a:ln>
            </c:spPr>
            <c:txPr>
              <a:bodyPr wrap="square" lIns="38100" tIns="19050" rIns="38100" bIns="19050" anchor="ctr">
                <a:spAutoFit/>
              </a:bodyPr>
              <a:lstStyle/>
              <a:p>
                <a:pPr>
                  <a:defRPr sz="1100" b="0" i="0" u="none" strike="noStrike" baseline="0">
                    <a:solidFill>
                      <a:srgbClr val="333333"/>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'Revenue required'!$H$189:$I$189</c:f>
            </c:numRef>
          </c:val>
          <c:extLst>
            <c:ext xmlns:c15="http://schemas.microsoft.com/office/drawing/2012/chart" uri="{02D57815-91ED-43cb-92C2-25804820EDAC}">
              <c15:filteredCategoryTitle>
                <c15:cat>
                  <c:multiLvlStrRef>
                    <c:extLst>
                      <c:ext uri="{02D57815-91ED-43cb-92C2-25804820EDAC}">
                        <c15:formulaRef>
                          <c15:sqref>'Revenue required'!$H$183:$I$183</c15:sqref>
                        </c15:formulaRef>
                      </c:ext>
                    </c:extLst>
                  </c:multiLvlStrRef>
                </c15:cat>
              </c15:filteredCategoryTitle>
            </c:ext>
            <c:ext xmlns:c16="http://schemas.microsoft.com/office/drawing/2014/chart" uri="{C3380CC4-5D6E-409C-BE32-E72D297353CC}">
              <c16:uniqueId val="{00000005-0202-4B2E-81E8-040F9E6DE825}"/>
            </c:ext>
          </c:extLst>
        </c:ser>
        <c:dLbls>
          <c:showLegendKey val="0"/>
          <c:showVal val="0"/>
          <c:showCatName val="0"/>
          <c:showSerName val="0"/>
          <c:showPercent val="0"/>
          <c:showBubbleSize val="0"/>
        </c:dLbls>
        <c:gapWidth val="25"/>
        <c:overlap val="100"/>
        <c:axId val="1396755375"/>
        <c:axId val="1"/>
      </c:barChart>
      <c:catAx>
        <c:axId val="1396755375"/>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0" vert="horz"/>
          <a:lstStyle/>
          <a:p>
            <a:pPr>
              <a:defRPr sz="1100" b="0" i="0" u="none" strike="noStrike" baseline="0">
                <a:solidFill>
                  <a:srgbClr val="333333"/>
                </a:solidFill>
                <a:latin typeface="Calibri"/>
                <a:ea typeface="Calibri"/>
                <a:cs typeface="Calibri"/>
              </a:defRPr>
            </a:pPr>
            <a:endParaRPr lang="en-US"/>
          </a:p>
        </c:txPr>
        <c:crossAx val="1"/>
        <c:crosses val="autoZero"/>
        <c:auto val="1"/>
        <c:lblAlgn val="ctr"/>
        <c:lblOffset val="100"/>
        <c:noMultiLvlLbl val="0"/>
      </c:catAx>
      <c:valAx>
        <c:axId val="1"/>
        <c:scaling>
          <c:orientation val="minMax"/>
        </c:scaling>
        <c:delete val="1"/>
        <c:axPos val="l"/>
        <c:majorGridlines>
          <c:spPr>
            <a:ln w="9525" cap="flat" cmpd="sng" algn="ctr">
              <a:solidFill>
                <a:schemeClr val="tx1">
                  <a:lumMod val="15000"/>
                  <a:lumOff val="85000"/>
                </a:schemeClr>
              </a:solidFill>
              <a:round/>
            </a:ln>
            <a:effectLst/>
          </c:spPr>
        </c:majorGridlines>
        <c:numFmt formatCode="0%" sourceLinked="1"/>
        <c:majorTickMark val="out"/>
        <c:minorTickMark val="none"/>
        <c:tickLblPos val="nextTo"/>
        <c:crossAx val="1396755375"/>
        <c:crosses val="autoZero"/>
        <c:crossBetween val="between"/>
      </c:valAx>
    </c:plotArea>
    <c:plotVisOnly val="1"/>
    <c:dispBlanksAs val="gap"/>
    <c:showDLblsOverMax val="0"/>
  </c:chart>
  <c:spPr>
    <a:solidFill>
      <a:schemeClr val="bg1"/>
    </a:solidFill>
    <a:ln w="9525" cap="flat" cmpd="sng" algn="ctr">
      <a:noFill/>
      <a:round/>
    </a:ln>
    <a:effectLst/>
  </c:spPr>
  <c:txPr>
    <a:bodyPr/>
    <a:lstStyle/>
    <a:p>
      <a:pPr>
        <a:defRPr sz="11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charts/chart6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2.3871527777777776E-2"/>
          <c:y val="4.7786414907172239E-2"/>
          <c:w val="0.57559123468941387"/>
          <c:h val="0.83529592857692603"/>
        </c:manualLayout>
      </c:layout>
      <c:barChart>
        <c:barDir val="col"/>
        <c:grouping val="stacked"/>
        <c:varyColors val="0"/>
        <c:ser>
          <c:idx val="0"/>
          <c:order val="0"/>
          <c:tx>
            <c:strRef>
              <c:f>'Water report'!$I$32</c:f>
              <c:strCache>
                <c:ptCount val="1"/>
                <c:pt idx="0">
                  <c:v>Fixed cost</c:v>
                </c:pt>
              </c:strCache>
            </c:strRef>
          </c:tx>
          <c:spPr>
            <a:solidFill>
              <a:srgbClr val="4472C4"/>
            </a:solidFill>
            <a:ln w="25400">
              <a:noFill/>
            </a:ln>
          </c:spPr>
          <c:invertIfNegative val="0"/>
          <c:dPt>
            <c:idx val="0"/>
            <c:invertIfNegative val="0"/>
            <c:bubble3D val="0"/>
            <c:spPr>
              <a:solidFill>
                <a:srgbClr val="5B9BD5"/>
              </a:solidFill>
              <a:ln w="25400">
                <a:noFill/>
              </a:ln>
            </c:spPr>
            <c:extLst>
              <c:ext xmlns:c16="http://schemas.microsoft.com/office/drawing/2014/chart" uri="{C3380CC4-5D6E-409C-BE32-E72D297353CC}">
                <c16:uniqueId val="{00000000-5353-443A-9908-66FA6B2C65A2}"/>
              </c:ext>
            </c:extLst>
          </c:dPt>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'Water report'!$J$31:$K$31</c:f>
              <c:strCache>
                <c:ptCount val="2"/>
                <c:pt idx="0">
                  <c:v>Expenditure R'000</c:v>
                </c:pt>
                <c:pt idx="1">
                  <c:v>Revenue R'000</c:v>
                </c:pt>
              </c:strCache>
            </c:strRef>
          </c:cat>
          <c:val>
            <c:numRef>
              <c:f>'Water report'!$J$32:$K$32</c:f>
              <c:numCache>
                <c:formatCode>General</c:formatCode>
                <c:ptCount val="2"/>
                <c:pt idx="0" formatCode="_-* #\ ##0_-;\-* #\ ##0_-;_-* &quot;-&quot;??_-;_-@_-">
                  <c:v>55038.17156360369</c:v>
                </c:pt>
              </c:numCache>
            </c:numRef>
          </c:val>
          <c:extLst>
            <c:ext xmlns:c16="http://schemas.microsoft.com/office/drawing/2014/chart" uri="{C3380CC4-5D6E-409C-BE32-E72D297353CC}">
              <c16:uniqueId val="{00000001-5353-443A-9908-66FA6B2C65A2}"/>
            </c:ext>
          </c:extLst>
        </c:ser>
        <c:ser>
          <c:idx val="1"/>
          <c:order val="1"/>
          <c:tx>
            <c:strRef>
              <c:f>'Water report'!$I$33</c:f>
              <c:strCache>
                <c:ptCount val="1"/>
                <c:pt idx="0">
                  <c:v>Variable cost</c:v>
                </c:pt>
              </c:strCache>
            </c:strRef>
          </c:tx>
          <c:spPr>
            <a:solidFill>
              <a:schemeClr val="accent5">
                <a:lumMod val="60000"/>
                <a:lumOff val="40000"/>
              </a:schemeClr>
            </a:solidFill>
            <a:ln>
              <a:noFill/>
            </a:ln>
            <a:effectLst/>
          </c:spPr>
          <c:invertIfNegative val="0"/>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'Water report'!$J$31:$K$31</c:f>
              <c:strCache>
                <c:ptCount val="2"/>
                <c:pt idx="0">
                  <c:v>Expenditure R'000</c:v>
                </c:pt>
                <c:pt idx="1">
                  <c:v>Revenue R'000</c:v>
                </c:pt>
              </c:strCache>
            </c:strRef>
          </c:cat>
          <c:val>
            <c:numRef>
              <c:f>'Water report'!$J$33:$K$33</c:f>
              <c:numCache>
                <c:formatCode>General</c:formatCode>
                <c:ptCount val="2"/>
                <c:pt idx="0" formatCode="_-* #\ ##0_-;\-* #\ ##0_-;_-* &quot;-&quot;??_-;_-@_-">
                  <c:v>43826.499750479095</c:v>
                </c:pt>
              </c:numCache>
            </c:numRef>
          </c:val>
          <c:extLst>
            <c:ext xmlns:c16="http://schemas.microsoft.com/office/drawing/2014/chart" uri="{C3380CC4-5D6E-409C-BE32-E72D297353CC}">
              <c16:uniqueId val="{00000002-5353-443A-9908-66FA6B2C65A2}"/>
            </c:ext>
          </c:extLst>
        </c:ser>
        <c:ser>
          <c:idx val="2"/>
          <c:order val="2"/>
          <c:tx>
            <c:strRef>
              <c:f>'Water report'!$I$34</c:f>
              <c:strCache>
                <c:ptCount val="1"/>
                <c:pt idx="0">
                  <c:v>Surplus</c:v>
                </c:pt>
              </c:strCache>
            </c:strRef>
          </c:tx>
          <c:spPr>
            <a:solidFill>
              <a:srgbClr val="A5A5A5"/>
            </a:solidFill>
            <a:ln w="25400">
              <a:noFill/>
            </a:ln>
          </c:spPr>
          <c:invertIfNegative val="0"/>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'Water report'!$J$31:$K$31</c:f>
              <c:strCache>
                <c:ptCount val="2"/>
                <c:pt idx="0">
                  <c:v>Expenditure R'000</c:v>
                </c:pt>
                <c:pt idx="1">
                  <c:v>Revenue R'000</c:v>
                </c:pt>
              </c:strCache>
            </c:strRef>
          </c:cat>
          <c:val>
            <c:numRef>
              <c:f>'Water report'!$J$34:$K$34</c:f>
              <c:numCache>
                <c:formatCode>General</c:formatCode>
                <c:ptCount val="2"/>
                <c:pt idx="0" formatCode="_-* #\ ##0_-;\-* #\ ##0_-;_-* &quot;-&quot;??_-;_-@_-">
                  <c:v>0</c:v>
                </c:pt>
              </c:numCache>
            </c:numRef>
          </c:val>
          <c:extLst>
            <c:ext xmlns:c16="http://schemas.microsoft.com/office/drawing/2014/chart" uri="{C3380CC4-5D6E-409C-BE32-E72D297353CC}">
              <c16:uniqueId val="{00000003-5353-443A-9908-66FA6B2C65A2}"/>
            </c:ext>
          </c:extLst>
        </c:ser>
        <c:ser>
          <c:idx val="4"/>
          <c:order val="3"/>
          <c:tx>
            <c:strRef>
              <c:f>'Water report'!$I$35</c:f>
              <c:strCache>
                <c:ptCount val="1"/>
                <c:pt idx="0">
                  <c:v>Tariff revenue</c:v>
                </c:pt>
              </c:strCache>
            </c:strRef>
          </c:tx>
          <c:spPr>
            <a:solidFill>
              <a:srgbClr val="5B9BD5"/>
            </a:solidFill>
            <a:ln w="25400">
              <a:noFill/>
            </a:ln>
          </c:spPr>
          <c:invertIfNegative val="0"/>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'Water report'!$J$31:$K$31</c:f>
              <c:strCache>
                <c:ptCount val="2"/>
                <c:pt idx="0">
                  <c:v>Expenditure R'000</c:v>
                </c:pt>
                <c:pt idx="1">
                  <c:v>Revenue R'000</c:v>
                </c:pt>
              </c:strCache>
            </c:strRef>
          </c:cat>
          <c:val>
            <c:numRef>
              <c:f>'Water report'!$J$35:$K$35</c:f>
              <c:numCache>
                <c:formatCode>_-* #\ ##0_-;\-* #\ ##0_-;_-* "-"??_-;_-@_-</c:formatCode>
                <c:ptCount val="2"/>
                <c:pt idx="1">
                  <c:v>76725.065743179497</c:v>
                </c:pt>
              </c:numCache>
            </c:numRef>
          </c:val>
          <c:extLst>
            <c:ext xmlns:c16="http://schemas.microsoft.com/office/drawing/2014/chart" uri="{C3380CC4-5D6E-409C-BE32-E72D297353CC}">
              <c16:uniqueId val="{00000004-5353-443A-9908-66FA6B2C65A2}"/>
            </c:ext>
          </c:extLst>
        </c:ser>
        <c:ser>
          <c:idx val="5"/>
          <c:order val="4"/>
          <c:tx>
            <c:strRef>
              <c:f>'Water report'!$I$36</c:f>
              <c:strCache>
                <c:ptCount val="1"/>
                <c:pt idx="0">
                  <c:v>External grants &amp; subsidies</c:v>
                </c:pt>
              </c:strCache>
            </c:strRef>
          </c:tx>
          <c:spPr>
            <a:solidFill>
              <a:srgbClr val="A5A5A5"/>
            </a:solidFill>
            <a:ln w="25400">
              <a:noFill/>
            </a:ln>
          </c:spPr>
          <c:invertIfNegative val="0"/>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'Water report'!$J$31:$K$31</c:f>
              <c:strCache>
                <c:ptCount val="2"/>
                <c:pt idx="0">
                  <c:v>Expenditure R'000</c:v>
                </c:pt>
                <c:pt idx="1">
                  <c:v>Revenue R'000</c:v>
                </c:pt>
              </c:strCache>
            </c:strRef>
          </c:cat>
          <c:val>
            <c:numRef>
              <c:f>'Water report'!$J$36:$K$36</c:f>
              <c:numCache>
                <c:formatCode>_-* #\ ##0_-;\-* #\ ##0_-;_-* "-"??_-;_-@_-</c:formatCode>
                <c:ptCount val="2"/>
                <c:pt idx="1">
                  <c:v>15014.509182449212</c:v>
                </c:pt>
              </c:numCache>
            </c:numRef>
          </c:val>
          <c:extLst>
            <c:ext xmlns:c16="http://schemas.microsoft.com/office/drawing/2014/chart" uri="{C3380CC4-5D6E-409C-BE32-E72D297353CC}">
              <c16:uniqueId val="{00000005-5353-443A-9908-66FA6B2C65A2}"/>
            </c:ext>
          </c:extLst>
        </c:ser>
        <c:ser>
          <c:idx val="3"/>
          <c:order val="5"/>
          <c:tx>
            <c:strRef>
              <c:f>'Water report'!$I$37</c:f>
              <c:strCache>
                <c:ptCount val="1"/>
                <c:pt idx="0">
                  <c:v>Other non-tariff revenue</c:v>
                </c:pt>
              </c:strCache>
            </c:strRef>
          </c:tx>
          <c:spPr>
            <a:solidFill>
              <a:schemeClr val="accent3">
                <a:lumMod val="40000"/>
                <a:lumOff val="60000"/>
              </a:schemeClr>
            </a:solidFill>
            <a:ln>
              <a:noFill/>
            </a:ln>
            <a:effectLst/>
          </c:spPr>
          <c:invertIfNegative val="0"/>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'Water report'!$J$31:$K$31</c:f>
              <c:strCache>
                <c:ptCount val="2"/>
                <c:pt idx="0">
                  <c:v>Expenditure R'000</c:v>
                </c:pt>
                <c:pt idx="1">
                  <c:v>Revenue R'000</c:v>
                </c:pt>
              </c:strCache>
            </c:strRef>
          </c:cat>
          <c:val>
            <c:numRef>
              <c:f>'Water report'!$J$37:$K$37</c:f>
              <c:numCache>
                <c:formatCode>_-* #\ ##0_-;\-* #\ ##0_-;_-* "-"??_-;_-@_-</c:formatCode>
                <c:ptCount val="2"/>
                <c:pt idx="1">
                  <c:v>7125.0963884540788</c:v>
                </c:pt>
              </c:numCache>
            </c:numRef>
          </c:val>
          <c:extLst>
            <c:ext xmlns:c16="http://schemas.microsoft.com/office/drawing/2014/chart" uri="{C3380CC4-5D6E-409C-BE32-E72D297353CC}">
              <c16:uniqueId val="{00000006-5353-443A-9908-66FA6B2C65A2}"/>
            </c:ext>
          </c:extLst>
        </c:ser>
        <c:ser>
          <c:idx val="6"/>
          <c:order val="6"/>
          <c:tx>
            <c:strRef>
              <c:f>'Water report'!$I$38</c:f>
              <c:strCache>
                <c:ptCount val="1"/>
                <c:pt idx="0">
                  <c:v>Deficit</c:v>
                </c:pt>
              </c:strCache>
            </c:strRef>
          </c:tx>
          <c:spPr>
            <a:solidFill>
              <a:srgbClr val="ED7D31"/>
            </a:solidFill>
            <a:ln w="25400">
              <a:noFill/>
            </a:ln>
          </c:spPr>
          <c:invertIfNegative val="0"/>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'Water report'!$J$31:$K$31</c:f>
              <c:strCache>
                <c:ptCount val="2"/>
                <c:pt idx="0">
                  <c:v>Expenditure R'000</c:v>
                </c:pt>
                <c:pt idx="1">
                  <c:v>Revenue R'000</c:v>
                </c:pt>
              </c:strCache>
            </c:strRef>
          </c:cat>
          <c:val>
            <c:numRef>
              <c:f>'Water report'!$J$38:$K$38</c:f>
              <c:numCache>
                <c:formatCode>_-* #\ ##0_-;\-* #\ ##0_-;_-* "-"??_-;_-@_-</c:formatCode>
                <c:ptCount val="2"/>
                <c:pt idx="1">
                  <c:v>0</c:v>
                </c:pt>
              </c:numCache>
            </c:numRef>
          </c:val>
          <c:extLst>
            <c:ext xmlns:c16="http://schemas.microsoft.com/office/drawing/2014/chart" uri="{C3380CC4-5D6E-409C-BE32-E72D297353CC}">
              <c16:uniqueId val="{00000007-5353-443A-9908-66FA6B2C65A2}"/>
            </c:ext>
          </c:extLst>
        </c:ser>
        <c:dLbls>
          <c:showLegendKey val="0"/>
          <c:showVal val="0"/>
          <c:showCatName val="0"/>
          <c:showSerName val="0"/>
          <c:showPercent val="0"/>
          <c:showBubbleSize val="0"/>
        </c:dLbls>
        <c:gapWidth val="25"/>
        <c:overlap val="100"/>
        <c:axId val="1399733359"/>
        <c:axId val="1"/>
      </c:barChart>
      <c:catAx>
        <c:axId val="1399733359"/>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0" vert="horz"/>
          <a:lstStyle/>
          <a:p>
            <a:pPr>
              <a:defRPr sz="1100" b="0" i="0" u="none" strike="noStrike" baseline="0">
                <a:solidFill>
                  <a:srgbClr val="000000"/>
                </a:solidFill>
                <a:latin typeface="Calibri"/>
                <a:ea typeface="Calibri"/>
                <a:cs typeface="Calibri"/>
              </a:defRPr>
            </a:pPr>
            <a:endParaRPr lang="en-US"/>
          </a:p>
        </c:txPr>
        <c:crossAx val="1"/>
        <c:crosses val="autoZero"/>
        <c:auto val="1"/>
        <c:lblAlgn val="ctr"/>
        <c:lblOffset val="100"/>
        <c:noMultiLvlLbl val="0"/>
      </c:catAx>
      <c:valAx>
        <c:axId val="1"/>
        <c:scaling>
          <c:orientation val="minMax"/>
        </c:scaling>
        <c:delete val="1"/>
        <c:axPos val="l"/>
        <c:majorGridlines>
          <c:spPr>
            <a:ln w="9525" cap="flat" cmpd="sng" algn="ctr">
              <a:solidFill>
                <a:schemeClr val="tx1">
                  <a:lumMod val="15000"/>
                  <a:lumOff val="85000"/>
                </a:schemeClr>
              </a:solidFill>
              <a:round/>
            </a:ln>
            <a:effectLst/>
          </c:spPr>
        </c:majorGridlines>
        <c:numFmt formatCode="_-* #\ ##0_-;\-* #\ ##0_-;_-* &quot;-&quot;??_-;_-@_-" sourceLinked="1"/>
        <c:majorTickMark val="out"/>
        <c:minorTickMark val="none"/>
        <c:tickLblPos val="nextTo"/>
        <c:crossAx val="1399733359"/>
        <c:crosses val="autoZero"/>
        <c:crossBetween val="between"/>
      </c:valAx>
      <c:spPr>
        <a:noFill/>
        <a:ln w="25400">
          <a:noFill/>
        </a:ln>
      </c:spPr>
    </c:plotArea>
    <c:legend>
      <c:legendPos val="r"/>
      <c:layout>
        <c:manualLayout>
          <c:xMode val="edge"/>
          <c:yMode val="edge"/>
          <c:x val="0.63212651094198502"/>
          <c:y val="0.17491053162080977"/>
          <c:w val="0.34783679632019238"/>
          <c:h val="0.70724708841052664"/>
        </c:manualLayout>
      </c:layout>
      <c:overlay val="0"/>
      <c:spPr>
        <a:noFill/>
        <a:ln w="25400">
          <a:noFill/>
        </a:ln>
      </c:spPr>
      <c:txPr>
        <a:bodyPr/>
        <a:lstStyle/>
        <a:p>
          <a:pPr>
            <a:defRPr sz="850" b="0" i="0" u="none" strike="noStrike" baseline="0">
              <a:solidFill>
                <a:srgbClr val="000000"/>
              </a:solidFill>
              <a:latin typeface="Calibri"/>
              <a:ea typeface="Calibri"/>
              <a:cs typeface="Calibri"/>
            </a:defRPr>
          </a:pPr>
          <a:endParaRPr lang="en-US"/>
        </a:p>
      </c:txPr>
    </c:legend>
    <c:plotVisOnly val="1"/>
    <c:dispBlanksAs val="gap"/>
    <c:showDLblsOverMax val="0"/>
  </c:chart>
  <c:spPr>
    <a:solidFill>
      <a:schemeClr val="bg1"/>
    </a:solidFill>
    <a:ln w="9525" cap="flat" cmpd="sng" algn="ctr">
      <a:noFill/>
      <a:round/>
    </a:ln>
    <a:effectLst/>
  </c:spPr>
  <c:txPr>
    <a:bodyPr/>
    <a:lstStyle/>
    <a:p>
      <a:pPr>
        <a:defRPr sz="1100" b="0" i="0" u="none" strike="noStrike" baseline="0">
          <a:solidFill>
            <a:srgbClr val="000000"/>
          </a:solidFill>
          <a:latin typeface="Calibri"/>
          <a:ea typeface="Calibri"/>
          <a:cs typeface="Calibri"/>
        </a:defRPr>
      </a:pPr>
      <a:endParaRPr lang="en-US"/>
    </a:p>
  </c:txPr>
  <c:printSettings>
    <c:headerFooter/>
    <c:pageMargins b="0.75" l="0.7" r="0.7" t="0.75" header="0.3" footer="0.3"/>
    <c:pageSetup orientation="portrait"/>
  </c:printSettings>
</c:chartSpace>
</file>

<file path=xl/charts/chart6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ser>
          <c:idx val="0"/>
          <c:order val="0"/>
          <c:tx>
            <c:v>Tariff</c:v>
          </c:tx>
          <c:spPr>
            <a:solidFill>
              <a:srgbClr val="4472C4"/>
            </a:solidFill>
            <a:ln w="25400">
              <a:noFill/>
            </a:ln>
          </c:spPr>
          <c:invertIfNegative val="0"/>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'Water report'!$J$51:$J$60</c:f>
              <c:strCache>
                <c:ptCount val="10"/>
                <c:pt idx="0">
                  <c:v>6</c:v>
                </c:pt>
                <c:pt idx="1">
                  <c:v>15</c:v>
                </c:pt>
                <c:pt idx="2">
                  <c:v>30</c:v>
                </c:pt>
                <c:pt idx="3">
                  <c:v>40</c:v>
                </c:pt>
                <c:pt idx="4">
                  <c:v>more</c:v>
                </c:pt>
                <c:pt idx="5">
                  <c:v>0</c:v>
                </c:pt>
                <c:pt idx="6">
                  <c:v>0</c:v>
                </c:pt>
                <c:pt idx="7">
                  <c:v>0</c:v>
                </c:pt>
                <c:pt idx="8">
                  <c:v>0</c:v>
                </c:pt>
                <c:pt idx="9">
                  <c:v>0</c:v>
                </c:pt>
              </c:strCache>
            </c:strRef>
          </c:cat>
          <c:val>
            <c:numRef>
              <c:f>'Water report'!$K$50:$K$60</c:f>
              <c:numCache>
                <c:formatCode>_(* #,##0.00_);_(* \(#,##0.00\);_(* "-"??_);_(@_)</c:formatCode>
                <c:ptCount val="11"/>
                <c:pt idx="0" formatCode="General">
                  <c:v>0</c:v>
                </c:pt>
                <c:pt idx="1">
                  <c:v>7.1277396182581754</c:v>
                </c:pt>
                <c:pt idx="2">
                  <c:v>8.4802745919998603</c:v>
                </c:pt>
                <c:pt idx="3">
                  <c:v>17.535077314438666</c:v>
                </c:pt>
                <c:pt idx="4">
                  <c:v>21.909869641010221</c:v>
                </c:pt>
                <c:pt idx="5">
                  <c:v>28.935869902836501</c:v>
                </c:pt>
                <c:pt idx="6">
                  <c:v>0</c:v>
                </c:pt>
                <c:pt idx="7">
                  <c:v>0</c:v>
                </c:pt>
                <c:pt idx="8">
                  <c:v>0</c:v>
                </c:pt>
                <c:pt idx="9">
                  <c:v>0</c:v>
                </c:pt>
                <c:pt idx="10">
                  <c:v>0</c:v>
                </c:pt>
              </c:numCache>
            </c:numRef>
          </c:val>
          <c:extLst>
            <c:ext xmlns:c16="http://schemas.microsoft.com/office/drawing/2014/chart" uri="{C3380CC4-5D6E-409C-BE32-E72D297353CC}">
              <c16:uniqueId val="{00000000-4014-45E3-8E7C-DD1D254F3C1E}"/>
            </c:ext>
          </c:extLst>
        </c:ser>
        <c:dLbls>
          <c:showLegendKey val="0"/>
          <c:showVal val="0"/>
          <c:showCatName val="0"/>
          <c:showSerName val="0"/>
          <c:showPercent val="0"/>
          <c:showBubbleSize val="0"/>
        </c:dLbls>
        <c:gapWidth val="50"/>
        <c:axId val="1399738159"/>
        <c:axId val="1"/>
      </c:barChart>
      <c:lineChart>
        <c:grouping val="standard"/>
        <c:varyColors val="0"/>
        <c:ser>
          <c:idx val="1"/>
          <c:order val="1"/>
          <c:tx>
            <c:strRef>
              <c:f>'Water report'!$L$50</c:f>
              <c:strCache>
                <c:ptCount val="1"/>
                <c:pt idx="0">
                  <c:v>Total cost per kl </c:v>
                </c:pt>
              </c:strCache>
            </c:strRef>
          </c:tx>
          <c:spPr>
            <a:ln w="28575" cap="rnd">
              <a:solidFill>
                <a:schemeClr val="accent2"/>
              </a:solidFill>
              <a:round/>
            </a:ln>
            <a:effectLst/>
          </c:spPr>
          <c:marker>
            <c:symbol val="none"/>
          </c:marker>
          <c:val>
            <c:numRef>
              <c:f>'Water report'!$L$51:$L$60</c:f>
              <c:numCache>
                <c:formatCode>_(* #,##0.00_);_(* \(#,##0.00\);_(* "-"??_);_(@_)</c:formatCode>
                <c:ptCount val="10"/>
                <c:pt idx="0">
                  <c:v>51.933252774731272</c:v>
                </c:pt>
                <c:pt idx="1">
                  <c:v>51.933252774731272</c:v>
                </c:pt>
                <c:pt idx="2">
                  <c:v>51.933252774731272</c:v>
                </c:pt>
                <c:pt idx="3">
                  <c:v>51.933252774731272</c:v>
                </c:pt>
                <c:pt idx="4">
                  <c:v>51.933252774731272</c:v>
                </c:pt>
                <c:pt idx="5">
                  <c:v>51.933252774731272</c:v>
                </c:pt>
                <c:pt idx="6">
                  <c:v>51.933252774731272</c:v>
                </c:pt>
                <c:pt idx="7">
                  <c:v>51.933252774731272</c:v>
                </c:pt>
                <c:pt idx="8">
                  <c:v>51.933252774731272</c:v>
                </c:pt>
                <c:pt idx="9">
                  <c:v>51.933252774731272</c:v>
                </c:pt>
              </c:numCache>
            </c:numRef>
          </c:val>
          <c:smooth val="0"/>
          <c:extLst>
            <c:ext xmlns:c16="http://schemas.microsoft.com/office/drawing/2014/chart" uri="{C3380CC4-5D6E-409C-BE32-E72D297353CC}">
              <c16:uniqueId val="{00000001-4014-45E3-8E7C-DD1D254F3C1E}"/>
            </c:ext>
          </c:extLst>
        </c:ser>
        <c:ser>
          <c:idx val="2"/>
          <c:order val="2"/>
          <c:tx>
            <c:strRef>
              <c:f>'Water report'!$M$50</c:f>
              <c:strCache>
                <c:ptCount val="1"/>
                <c:pt idx="0">
                  <c:v>Variable cost per kl</c:v>
                </c:pt>
              </c:strCache>
            </c:strRef>
          </c:tx>
          <c:spPr>
            <a:ln w="28575" cap="rnd">
              <a:solidFill>
                <a:schemeClr val="accent3"/>
              </a:solidFill>
              <a:round/>
            </a:ln>
            <a:effectLst/>
          </c:spPr>
          <c:marker>
            <c:symbol val="none"/>
          </c:marker>
          <c:val>
            <c:numRef>
              <c:f>'Water report'!$M$51:$M$60</c:f>
              <c:numCache>
                <c:formatCode>_(* #,##0.00_);_(* \(#,##0.00\);_(* "-"??_);_(@_)</c:formatCode>
                <c:ptCount val="10"/>
                <c:pt idx="0">
                  <c:v>23.021901145481433</c:v>
                </c:pt>
                <c:pt idx="1">
                  <c:v>23.021901145481433</c:v>
                </c:pt>
                <c:pt idx="2">
                  <c:v>23.021901145481433</c:v>
                </c:pt>
                <c:pt idx="3">
                  <c:v>23.021901145481433</c:v>
                </c:pt>
                <c:pt idx="4">
                  <c:v>23.021901145481433</c:v>
                </c:pt>
                <c:pt idx="5">
                  <c:v>23.021901145481433</c:v>
                </c:pt>
                <c:pt idx="6">
                  <c:v>23.021901145481433</c:v>
                </c:pt>
                <c:pt idx="7">
                  <c:v>23.021901145481433</c:v>
                </c:pt>
                <c:pt idx="8">
                  <c:v>23.021901145481433</c:v>
                </c:pt>
                <c:pt idx="9">
                  <c:v>23.021901145481433</c:v>
                </c:pt>
              </c:numCache>
            </c:numRef>
          </c:val>
          <c:smooth val="0"/>
          <c:extLst>
            <c:ext xmlns:c16="http://schemas.microsoft.com/office/drawing/2014/chart" uri="{C3380CC4-5D6E-409C-BE32-E72D297353CC}">
              <c16:uniqueId val="{00000002-4014-45E3-8E7C-DD1D254F3C1E}"/>
            </c:ext>
          </c:extLst>
        </c:ser>
        <c:dLbls>
          <c:showLegendKey val="0"/>
          <c:showVal val="0"/>
          <c:showCatName val="0"/>
          <c:showSerName val="0"/>
          <c:showPercent val="0"/>
          <c:showBubbleSize val="0"/>
        </c:dLbls>
        <c:marker val="1"/>
        <c:smooth val="0"/>
        <c:axId val="3"/>
        <c:axId val="4"/>
      </c:lineChart>
      <c:catAx>
        <c:axId val="1399738159"/>
        <c:scaling>
          <c:orientation val="minMax"/>
        </c:scaling>
        <c:delete val="0"/>
        <c:axPos val="b"/>
        <c:title>
          <c:tx>
            <c:rich>
              <a:bodyPr/>
              <a:lstStyle/>
              <a:p>
                <a:pPr>
                  <a:defRPr sz="1100" b="1" i="0" u="none" strike="noStrike" baseline="0">
                    <a:solidFill>
                      <a:srgbClr val="000000"/>
                    </a:solidFill>
                    <a:latin typeface="Calibri"/>
                    <a:ea typeface="Calibri"/>
                    <a:cs typeface="Calibri"/>
                  </a:defRPr>
                </a:pPr>
                <a:r>
                  <a:rPr lang="en-ZA"/>
                  <a:t>Block size</a:t>
                </a:r>
              </a:p>
            </c:rich>
          </c:tx>
          <c:overlay val="0"/>
          <c:spPr>
            <a:noFill/>
            <a:ln w="25400">
              <a:noFill/>
            </a:ln>
          </c:spPr>
        </c:title>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0" vert="horz"/>
          <a:lstStyle/>
          <a:p>
            <a:pPr>
              <a:defRPr sz="1100" b="0" i="0" u="none" strike="noStrike" baseline="0">
                <a:solidFill>
                  <a:srgbClr val="000000"/>
                </a:solidFill>
                <a:latin typeface="Calibri"/>
                <a:ea typeface="Calibri"/>
                <a:cs typeface="Calibri"/>
              </a:defRPr>
            </a:pPr>
            <a:endParaRPr lang="en-US"/>
          </a:p>
        </c:txPr>
        <c:crossAx val="1"/>
        <c:crosses val="autoZero"/>
        <c:auto val="1"/>
        <c:lblAlgn val="ctr"/>
        <c:lblOffset val="100"/>
        <c:noMultiLvlLbl val="0"/>
      </c:catAx>
      <c:valAx>
        <c:axId val="1"/>
        <c:scaling>
          <c:orientation val="minMax"/>
        </c:scaling>
        <c:delete val="0"/>
        <c:axPos val="l"/>
        <c:majorGridlines>
          <c:spPr>
            <a:ln w="9525" cap="flat" cmpd="sng" algn="ctr">
              <a:solidFill>
                <a:schemeClr val="tx1">
                  <a:lumMod val="15000"/>
                  <a:lumOff val="85000"/>
                </a:schemeClr>
              </a:solidFill>
              <a:round/>
            </a:ln>
            <a:effectLst/>
          </c:spPr>
        </c:majorGridlines>
        <c:title>
          <c:tx>
            <c:rich>
              <a:bodyPr/>
              <a:lstStyle/>
              <a:p>
                <a:pPr>
                  <a:defRPr sz="1100" b="1" i="0" u="none" strike="noStrike" baseline="0">
                    <a:solidFill>
                      <a:srgbClr val="000000"/>
                    </a:solidFill>
                    <a:latin typeface="Calibri"/>
                    <a:ea typeface="Calibri"/>
                    <a:cs typeface="Calibri"/>
                  </a:defRPr>
                </a:pPr>
                <a:r>
                  <a:rPr lang="en-ZA"/>
                  <a:t>R/kl</a:t>
                </a:r>
              </a:p>
            </c:rich>
          </c:tx>
          <c:overlay val="0"/>
          <c:spPr>
            <a:noFill/>
            <a:ln w="25400">
              <a:noFill/>
            </a:ln>
          </c:spPr>
        </c:title>
        <c:numFmt formatCode="General" sourceLinked="1"/>
        <c:majorTickMark val="none"/>
        <c:minorTickMark val="none"/>
        <c:tickLblPos val="nextTo"/>
        <c:spPr>
          <a:ln w="6350">
            <a:noFill/>
          </a:ln>
        </c:spPr>
        <c:txPr>
          <a:bodyPr rot="0" vert="horz"/>
          <a:lstStyle/>
          <a:p>
            <a:pPr>
              <a:defRPr sz="1100" b="0" i="0" u="none" strike="noStrike" baseline="0">
                <a:solidFill>
                  <a:srgbClr val="000000"/>
                </a:solidFill>
                <a:latin typeface="Calibri"/>
                <a:ea typeface="Calibri"/>
                <a:cs typeface="Calibri"/>
              </a:defRPr>
            </a:pPr>
            <a:endParaRPr lang="en-US"/>
          </a:p>
        </c:txPr>
        <c:crossAx val="1399738159"/>
        <c:crosses val="autoZero"/>
        <c:crossBetween val="between"/>
      </c:valAx>
      <c:catAx>
        <c:axId val="3"/>
        <c:scaling>
          <c:orientation val="minMax"/>
        </c:scaling>
        <c:delete val="1"/>
        <c:axPos val="b"/>
        <c:majorTickMark val="out"/>
        <c:minorTickMark val="none"/>
        <c:tickLblPos val="nextTo"/>
        <c:crossAx val="4"/>
        <c:crosses val="autoZero"/>
        <c:auto val="1"/>
        <c:lblAlgn val="ctr"/>
        <c:lblOffset val="100"/>
        <c:noMultiLvlLbl val="0"/>
      </c:catAx>
      <c:valAx>
        <c:axId val="4"/>
        <c:scaling>
          <c:orientation val="minMax"/>
        </c:scaling>
        <c:delete val="1"/>
        <c:axPos val="r"/>
        <c:numFmt formatCode="_(* #,##0.00_);_(* \(#,##0.00\);_(* &quot;-&quot;??_);_(@_)" sourceLinked="1"/>
        <c:majorTickMark val="out"/>
        <c:minorTickMark val="none"/>
        <c:tickLblPos val="nextTo"/>
        <c:crossAx val="3"/>
        <c:crosses val="max"/>
        <c:crossBetween val="between"/>
      </c:valAx>
    </c:plotArea>
    <c:legend>
      <c:legendPos val="r"/>
      <c:layout>
        <c:manualLayout>
          <c:xMode val="edge"/>
          <c:yMode val="edge"/>
          <c:x val="0.16256674812200197"/>
          <c:y val="0.89668621209582844"/>
          <c:w val="0.66832956225299422"/>
          <c:h val="7.5990394817669116E-2"/>
        </c:manualLayout>
      </c:layout>
      <c:overlay val="0"/>
      <c:spPr>
        <a:noFill/>
        <a:ln w="25400">
          <a:noFill/>
        </a:ln>
      </c:spPr>
      <c:txPr>
        <a:bodyPr/>
        <a:lstStyle/>
        <a:p>
          <a:pPr>
            <a:defRPr sz="850" b="0" i="0" u="none" strike="noStrike" baseline="0">
              <a:solidFill>
                <a:srgbClr val="000000"/>
              </a:solidFill>
              <a:latin typeface="Calibri"/>
              <a:ea typeface="Calibri"/>
              <a:cs typeface="Calibri"/>
            </a:defRPr>
          </a:pPr>
          <a:endParaRPr lang="en-US"/>
        </a:p>
      </c:txPr>
    </c:legend>
    <c:plotVisOnly val="1"/>
    <c:dispBlanksAs val="gap"/>
    <c:showDLblsOverMax val="0"/>
  </c:chart>
  <c:spPr>
    <a:solidFill>
      <a:schemeClr val="bg1"/>
    </a:solidFill>
    <a:ln w="9525" cap="flat" cmpd="sng" algn="ctr">
      <a:noFill/>
      <a:round/>
    </a:ln>
    <a:effectLst/>
  </c:spPr>
  <c:txPr>
    <a:bodyPr/>
    <a:lstStyle/>
    <a:p>
      <a:pPr>
        <a:defRPr sz="11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charts/chart6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2.3871527777777776E-2"/>
          <c:y val="4.7786414907172239E-2"/>
          <c:w val="0.57559123468941387"/>
          <c:h val="0.83529592857692603"/>
        </c:manualLayout>
      </c:layout>
      <c:barChart>
        <c:barDir val="col"/>
        <c:grouping val="stacked"/>
        <c:varyColors val="0"/>
        <c:ser>
          <c:idx val="0"/>
          <c:order val="0"/>
          <c:tx>
            <c:strRef>
              <c:f>'Water report'!$I$89</c:f>
              <c:strCache>
                <c:ptCount val="1"/>
                <c:pt idx="0">
                  <c:v>Fixed cost</c:v>
                </c:pt>
              </c:strCache>
            </c:strRef>
          </c:tx>
          <c:spPr>
            <a:solidFill>
              <a:srgbClr val="4472C4"/>
            </a:solidFill>
            <a:ln w="25400">
              <a:noFill/>
            </a:ln>
          </c:spPr>
          <c:invertIfNegative val="0"/>
          <c:dPt>
            <c:idx val="0"/>
            <c:invertIfNegative val="0"/>
            <c:bubble3D val="0"/>
            <c:spPr>
              <a:solidFill>
                <a:srgbClr val="5B9BD5"/>
              </a:solidFill>
              <a:ln w="25400">
                <a:noFill/>
              </a:ln>
            </c:spPr>
            <c:extLst>
              <c:ext xmlns:c16="http://schemas.microsoft.com/office/drawing/2014/chart" uri="{C3380CC4-5D6E-409C-BE32-E72D297353CC}">
                <c16:uniqueId val="{00000000-052B-4D22-89AF-AAAACBACF0D5}"/>
              </c:ext>
            </c:extLst>
          </c:dPt>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'Water report'!$J$88:$K$88</c:f>
              <c:strCache>
                <c:ptCount val="2"/>
                <c:pt idx="0">
                  <c:v>Expenditure R'000</c:v>
                </c:pt>
                <c:pt idx="1">
                  <c:v>Revenue R'000</c:v>
                </c:pt>
              </c:strCache>
            </c:strRef>
          </c:cat>
          <c:val>
            <c:numRef>
              <c:f>'Water report'!$J$89:$K$89</c:f>
              <c:numCache>
                <c:formatCode>General</c:formatCode>
                <c:ptCount val="2"/>
                <c:pt idx="0" formatCode="_-* #\ ##0_-;\-* #\ ##0_-;_-* &quot;-&quot;??_-;_-@_-">
                  <c:v>6604.1461043361051</c:v>
                </c:pt>
              </c:numCache>
            </c:numRef>
          </c:val>
          <c:extLst>
            <c:ext xmlns:c16="http://schemas.microsoft.com/office/drawing/2014/chart" uri="{C3380CC4-5D6E-409C-BE32-E72D297353CC}">
              <c16:uniqueId val="{00000001-052B-4D22-89AF-AAAACBACF0D5}"/>
            </c:ext>
          </c:extLst>
        </c:ser>
        <c:ser>
          <c:idx val="1"/>
          <c:order val="1"/>
          <c:tx>
            <c:strRef>
              <c:f>'Water report'!$I$90</c:f>
              <c:strCache>
                <c:ptCount val="1"/>
                <c:pt idx="0">
                  <c:v>Variable cost</c:v>
                </c:pt>
              </c:strCache>
            </c:strRef>
          </c:tx>
          <c:spPr>
            <a:solidFill>
              <a:schemeClr val="accent5">
                <a:lumMod val="60000"/>
                <a:lumOff val="40000"/>
              </a:schemeClr>
            </a:solidFill>
            <a:ln>
              <a:noFill/>
            </a:ln>
            <a:effectLst/>
          </c:spPr>
          <c:invertIfNegative val="0"/>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'Water report'!$J$88:$K$88</c:f>
              <c:strCache>
                <c:ptCount val="2"/>
                <c:pt idx="0">
                  <c:v>Expenditure R'000</c:v>
                </c:pt>
                <c:pt idx="1">
                  <c:v>Revenue R'000</c:v>
                </c:pt>
              </c:strCache>
            </c:strRef>
          </c:cat>
          <c:val>
            <c:numRef>
              <c:f>'Water report'!$J$90:$K$90</c:f>
              <c:numCache>
                <c:formatCode>General</c:formatCode>
                <c:ptCount val="2"/>
                <c:pt idx="0" formatCode="_-* #\ ##0_-;\-* #\ ##0_-;_-* &quot;-&quot;??_-;_-@_-">
                  <c:v>4140.0701065891963</c:v>
                </c:pt>
              </c:numCache>
            </c:numRef>
          </c:val>
          <c:extLst>
            <c:ext xmlns:c16="http://schemas.microsoft.com/office/drawing/2014/chart" uri="{C3380CC4-5D6E-409C-BE32-E72D297353CC}">
              <c16:uniqueId val="{00000002-052B-4D22-89AF-AAAACBACF0D5}"/>
            </c:ext>
          </c:extLst>
        </c:ser>
        <c:ser>
          <c:idx val="2"/>
          <c:order val="2"/>
          <c:tx>
            <c:strRef>
              <c:f>'Water report'!$I$91</c:f>
              <c:strCache>
                <c:ptCount val="1"/>
                <c:pt idx="0">
                  <c:v>Surplus</c:v>
                </c:pt>
              </c:strCache>
            </c:strRef>
          </c:tx>
          <c:spPr>
            <a:solidFill>
              <a:srgbClr val="A5A5A5"/>
            </a:solidFill>
            <a:ln w="25400">
              <a:noFill/>
            </a:ln>
          </c:spPr>
          <c:invertIfNegative val="0"/>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'Water report'!$J$88:$K$88</c:f>
              <c:strCache>
                <c:ptCount val="2"/>
                <c:pt idx="0">
                  <c:v>Expenditure R'000</c:v>
                </c:pt>
                <c:pt idx="1">
                  <c:v>Revenue R'000</c:v>
                </c:pt>
              </c:strCache>
            </c:strRef>
          </c:cat>
          <c:val>
            <c:numRef>
              <c:f>'Water report'!$J$91:$K$91</c:f>
              <c:numCache>
                <c:formatCode>General</c:formatCode>
                <c:ptCount val="2"/>
                <c:pt idx="0" formatCode="_-* #\ ##0_-;\-* #\ ##0_-;_-* &quot;-&quot;??_-;_-@_-">
                  <c:v>0</c:v>
                </c:pt>
              </c:numCache>
            </c:numRef>
          </c:val>
          <c:extLst>
            <c:ext xmlns:c16="http://schemas.microsoft.com/office/drawing/2014/chart" uri="{C3380CC4-5D6E-409C-BE32-E72D297353CC}">
              <c16:uniqueId val="{00000003-052B-4D22-89AF-AAAACBACF0D5}"/>
            </c:ext>
          </c:extLst>
        </c:ser>
        <c:ser>
          <c:idx val="4"/>
          <c:order val="3"/>
          <c:tx>
            <c:strRef>
              <c:f>'Water report'!$I$92</c:f>
              <c:strCache>
                <c:ptCount val="1"/>
                <c:pt idx="0">
                  <c:v>Tariff revenue</c:v>
                </c:pt>
              </c:strCache>
            </c:strRef>
          </c:tx>
          <c:spPr>
            <a:solidFill>
              <a:srgbClr val="5B9BD5"/>
            </a:solidFill>
            <a:ln w="25400">
              <a:noFill/>
            </a:ln>
          </c:spPr>
          <c:invertIfNegative val="0"/>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'Water report'!$J$88:$K$88</c:f>
              <c:strCache>
                <c:ptCount val="2"/>
                <c:pt idx="0">
                  <c:v>Expenditure R'000</c:v>
                </c:pt>
                <c:pt idx="1">
                  <c:v>Revenue R'000</c:v>
                </c:pt>
              </c:strCache>
            </c:strRef>
          </c:cat>
          <c:val>
            <c:numRef>
              <c:f>'Water report'!$J$92:$K$92</c:f>
              <c:numCache>
                <c:formatCode>_-* #\ ##0_-;\-* #\ ##0_-;_-* "-"??_-;_-@_-</c:formatCode>
                <c:ptCount val="2"/>
                <c:pt idx="1">
                  <c:v>8338.1726170241545</c:v>
                </c:pt>
              </c:numCache>
            </c:numRef>
          </c:val>
          <c:extLst>
            <c:ext xmlns:c16="http://schemas.microsoft.com/office/drawing/2014/chart" uri="{C3380CC4-5D6E-409C-BE32-E72D297353CC}">
              <c16:uniqueId val="{00000004-052B-4D22-89AF-AAAACBACF0D5}"/>
            </c:ext>
          </c:extLst>
        </c:ser>
        <c:ser>
          <c:idx val="5"/>
          <c:order val="4"/>
          <c:tx>
            <c:strRef>
              <c:f>'Water report'!$I$93</c:f>
              <c:strCache>
                <c:ptCount val="1"/>
                <c:pt idx="0">
                  <c:v>External grants &amp; subsidies</c:v>
                </c:pt>
              </c:strCache>
            </c:strRef>
          </c:tx>
          <c:spPr>
            <a:solidFill>
              <a:srgbClr val="A5A5A5"/>
            </a:solidFill>
            <a:ln w="25400">
              <a:noFill/>
            </a:ln>
          </c:spPr>
          <c:invertIfNegative val="0"/>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'Water report'!$J$88:$K$88</c:f>
              <c:strCache>
                <c:ptCount val="2"/>
                <c:pt idx="0">
                  <c:v>Expenditure R'000</c:v>
                </c:pt>
                <c:pt idx="1">
                  <c:v>Revenue R'000</c:v>
                </c:pt>
              </c:strCache>
            </c:strRef>
          </c:cat>
          <c:val>
            <c:numRef>
              <c:f>'Water report'!$J$93:$K$93</c:f>
              <c:numCache>
                <c:formatCode>_-* #\ ##0_-;\-* #\ ##0_-;_-* "-"??_-;_-@_-</c:formatCode>
                <c:ptCount val="2"/>
                <c:pt idx="1">
                  <c:v>1631.7166770793533</c:v>
                </c:pt>
              </c:numCache>
            </c:numRef>
          </c:val>
          <c:extLst>
            <c:ext xmlns:c16="http://schemas.microsoft.com/office/drawing/2014/chart" uri="{C3380CC4-5D6E-409C-BE32-E72D297353CC}">
              <c16:uniqueId val="{00000005-052B-4D22-89AF-AAAACBACF0D5}"/>
            </c:ext>
          </c:extLst>
        </c:ser>
        <c:ser>
          <c:idx val="3"/>
          <c:order val="5"/>
          <c:tx>
            <c:strRef>
              <c:f>'Water report'!$I$94</c:f>
              <c:strCache>
                <c:ptCount val="1"/>
                <c:pt idx="0">
                  <c:v>Other non-tariff revenue</c:v>
                </c:pt>
              </c:strCache>
            </c:strRef>
          </c:tx>
          <c:spPr>
            <a:solidFill>
              <a:schemeClr val="accent3">
                <a:lumMod val="40000"/>
                <a:lumOff val="60000"/>
              </a:schemeClr>
            </a:solidFill>
            <a:ln>
              <a:noFill/>
            </a:ln>
            <a:effectLst/>
          </c:spPr>
          <c:invertIfNegative val="0"/>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'Water report'!$J$88:$K$88</c:f>
              <c:strCache>
                <c:ptCount val="2"/>
                <c:pt idx="0">
                  <c:v>Expenditure R'000</c:v>
                </c:pt>
                <c:pt idx="1">
                  <c:v>Revenue R'000</c:v>
                </c:pt>
              </c:strCache>
            </c:strRef>
          </c:cat>
          <c:val>
            <c:numRef>
              <c:f>'Water report'!$J$94:$K$94</c:f>
              <c:numCache>
                <c:formatCode>_-* #\ ##0_-;\-* #\ ##0_-;_-* "-"??_-;_-@_-</c:formatCode>
                <c:ptCount val="2"/>
                <c:pt idx="1">
                  <c:v>774.32691682179245</c:v>
                </c:pt>
              </c:numCache>
            </c:numRef>
          </c:val>
          <c:extLst>
            <c:ext xmlns:c16="http://schemas.microsoft.com/office/drawing/2014/chart" uri="{C3380CC4-5D6E-409C-BE32-E72D297353CC}">
              <c16:uniqueId val="{00000006-052B-4D22-89AF-AAAACBACF0D5}"/>
            </c:ext>
          </c:extLst>
        </c:ser>
        <c:ser>
          <c:idx val="6"/>
          <c:order val="6"/>
          <c:tx>
            <c:strRef>
              <c:f>'Water report'!$I$95</c:f>
              <c:strCache>
                <c:ptCount val="1"/>
                <c:pt idx="0">
                  <c:v>Deficit</c:v>
                </c:pt>
              </c:strCache>
            </c:strRef>
          </c:tx>
          <c:spPr>
            <a:solidFill>
              <a:srgbClr val="ED7D31"/>
            </a:solidFill>
            <a:ln w="25400">
              <a:noFill/>
            </a:ln>
          </c:spPr>
          <c:invertIfNegative val="0"/>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'Water report'!$J$88:$K$88</c:f>
              <c:strCache>
                <c:ptCount val="2"/>
                <c:pt idx="0">
                  <c:v>Expenditure R'000</c:v>
                </c:pt>
                <c:pt idx="1">
                  <c:v>Revenue R'000</c:v>
                </c:pt>
              </c:strCache>
            </c:strRef>
          </c:cat>
          <c:val>
            <c:numRef>
              <c:f>'Water report'!$J$95:$K$95</c:f>
              <c:numCache>
                <c:formatCode>_-* #\ ##0_-;\-* #\ ##0_-;_-* "-"??_-;_-@_-</c:formatCode>
                <c:ptCount val="2"/>
                <c:pt idx="1">
                  <c:v>0</c:v>
                </c:pt>
              </c:numCache>
            </c:numRef>
          </c:val>
          <c:extLst>
            <c:ext xmlns:c16="http://schemas.microsoft.com/office/drawing/2014/chart" uri="{C3380CC4-5D6E-409C-BE32-E72D297353CC}">
              <c16:uniqueId val="{00000007-052B-4D22-89AF-AAAACBACF0D5}"/>
            </c:ext>
          </c:extLst>
        </c:ser>
        <c:dLbls>
          <c:showLegendKey val="0"/>
          <c:showVal val="0"/>
          <c:showCatName val="0"/>
          <c:showSerName val="0"/>
          <c:showPercent val="0"/>
          <c:showBubbleSize val="0"/>
        </c:dLbls>
        <c:gapWidth val="25"/>
        <c:overlap val="100"/>
        <c:axId val="1399738639"/>
        <c:axId val="1"/>
      </c:barChart>
      <c:catAx>
        <c:axId val="1399738639"/>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0" vert="horz"/>
          <a:lstStyle/>
          <a:p>
            <a:pPr>
              <a:defRPr sz="1100" b="0" i="0" u="none" strike="noStrike" baseline="0">
                <a:solidFill>
                  <a:srgbClr val="000000"/>
                </a:solidFill>
                <a:latin typeface="Calibri"/>
                <a:ea typeface="Calibri"/>
                <a:cs typeface="Calibri"/>
              </a:defRPr>
            </a:pPr>
            <a:endParaRPr lang="en-US"/>
          </a:p>
        </c:txPr>
        <c:crossAx val="1"/>
        <c:crosses val="autoZero"/>
        <c:auto val="1"/>
        <c:lblAlgn val="ctr"/>
        <c:lblOffset val="100"/>
        <c:noMultiLvlLbl val="0"/>
      </c:catAx>
      <c:valAx>
        <c:axId val="1"/>
        <c:scaling>
          <c:orientation val="minMax"/>
        </c:scaling>
        <c:delete val="1"/>
        <c:axPos val="l"/>
        <c:majorGridlines>
          <c:spPr>
            <a:ln w="9525" cap="flat" cmpd="sng" algn="ctr">
              <a:solidFill>
                <a:schemeClr val="tx1">
                  <a:lumMod val="15000"/>
                  <a:lumOff val="85000"/>
                </a:schemeClr>
              </a:solidFill>
              <a:round/>
            </a:ln>
            <a:effectLst/>
          </c:spPr>
        </c:majorGridlines>
        <c:numFmt formatCode="_-* #\ ##0_-;\-* #\ ##0_-;_-* &quot;-&quot;??_-;_-@_-" sourceLinked="1"/>
        <c:majorTickMark val="out"/>
        <c:minorTickMark val="none"/>
        <c:tickLblPos val="nextTo"/>
        <c:crossAx val="1399738639"/>
        <c:crosses val="autoZero"/>
        <c:crossBetween val="between"/>
      </c:valAx>
    </c:plotArea>
    <c:legend>
      <c:legendPos val="r"/>
      <c:layout>
        <c:manualLayout>
          <c:xMode val="edge"/>
          <c:yMode val="edge"/>
          <c:x val="0.63141902484032508"/>
          <c:y val="0.17284501474352743"/>
          <c:w val="0.34813379556224411"/>
          <c:h val="0.70681280580668149"/>
        </c:manualLayout>
      </c:layout>
      <c:overlay val="0"/>
      <c:spPr>
        <a:noFill/>
        <a:ln w="25400">
          <a:noFill/>
        </a:ln>
      </c:spPr>
      <c:txPr>
        <a:bodyPr/>
        <a:lstStyle/>
        <a:p>
          <a:pPr>
            <a:defRPr sz="850" b="0" i="0" u="none" strike="noStrike" baseline="0">
              <a:solidFill>
                <a:srgbClr val="000000"/>
              </a:solidFill>
              <a:latin typeface="Calibri"/>
              <a:ea typeface="Calibri"/>
              <a:cs typeface="Calibri"/>
            </a:defRPr>
          </a:pPr>
          <a:endParaRPr lang="en-US"/>
        </a:p>
      </c:txPr>
    </c:legend>
    <c:plotVisOnly val="1"/>
    <c:dispBlanksAs val="gap"/>
    <c:showDLblsOverMax val="0"/>
  </c:chart>
  <c:spPr>
    <a:solidFill>
      <a:schemeClr val="bg1"/>
    </a:solidFill>
    <a:ln w="9525" cap="flat" cmpd="sng" algn="ctr">
      <a:noFill/>
      <a:round/>
    </a:ln>
    <a:effectLst/>
  </c:spPr>
  <c:txPr>
    <a:bodyPr/>
    <a:lstStyle/>
    <a:p>
      <a:pPr>
        <a:defRPr sz="11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charts/chart6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2.3871527777777776E-2"/>
          <c:y val="4.7786414907172239E-2"/>
          <c:w val="0.57559123468941387"/>
          <c:h val="0.83529592857692603"/>
        </c:manualLayout>
      </c:layout>
      <c:barChart>
        <c:barDir val="col"/>
        <c:grouping val="stacked"/>
        <c:varyColors val="0"/>
        <c:ser>
          <c:idx val="0"/>
          <c:order val="0"/>
          <c:tx>
            <c:strRef>
              <c:f>'Water report'!$I$157</c:f>
              <c:strCache>
                <c:ptCount val="1"/>
                <c:pt idx="0">
                  <c:v>Fixed cost</c:v>
                </c:pt>
              </c:strCache>
            </c:strRef>
          </c:tx>
          <c:spPr>
            <a:solidFill>
              <a:srgbClr val="4472C4"/>
            </a:solidFill>
            <a:ln w="25400">
              <a:noFill/>
            </a:ln>
          </c:spPr>
          <c:invertIfNegative val="0"/>
          <c:dPt>
            <c:idx val="0"/>
            <c:invertIfNegative val="0"/>
            <c:bubble3D val="0"/>
            <c:spPr>
              <a:solidFill>
                <a:srgbClr val="5B9BD5"/>
              </a:solidFill>
              <a:ln w="25400">
                <a:noFill/>
              </a:ln>
            </c:spPr>
            <c:extLst>
              <c:ext xmlns:c16="http://schemas.microsoft.com/office/drawing/2014/chart" uri="{C3380CC4-5D6E-409C-BE32-E72D297353CC}">
                <c16:uniqueId val="{00000000-A409-4B29-9A3B-1006F562D404}"/>
              </c:ext>
            </c:extLst>
          </c:dPt>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'Water report'!$J$156:$K$156</c:f>
              <c:strCache>
                <c:ptCount val="2"/>
                <c:pt idx="0">
                  <c:v>Expenditure R'000</c:v>
                </c:pt>
                <c:pt idx="1">
                  <c:v>Revenue R'000</c:v>
                </c:pt>
              </c:strCache>
            </c:strRef>
          </c:cat>
          <c:val>
            <c:numRef>
              <c:f>'Water report'!$J$157:$K$157</c:f>
              <c:numCache>
                <c:formatCode>General</c:formatCode>
                <c:ptCount val="2"/>
                <c:pt idx="0" formatCode="_-* #\ ##0_-;\-* #\ ##0_-;_-* &quot;-&quot;??_-;_-@_-">
                  <c:v>32.586247225342618</c:v>
                </c:pt>
              </c:numCache>
            </c:numRef>
          </c:val>
          <c:extLst>
            <c:ext xmlns:c16="http://schemas.microsoft.com/office/drawing/2014/chart" uri="{C3380CC4-5D6E-409C-BE32-E72D297353CC}">
              <c16:uniqueId val="{00000001-A409-4B29-9A3B-1006F562D404}"/>
            </c:ext>
          </c:extLst>
        </c:ser>
        <c:ser>
          <c:idx val="1"/>
          <c:order val="1"/>
          <c:tx>
            <c:strRef>
              <c:f>'Water report'!$I$158</c:f>
              <c:strCache>
                <c:ptCount val="1"/>
                <c:pt idx="0">
                  <c:v>Variable cost</c:v>
                </c:pt>
              </c:strCache>
            </c:strRef>
          </c:tx>
          <c:spPr>
            <a:solidFill>
              <a:schemeClr val="accent5">
                <a:lumMod val="60000"/>
                <a:lumOff val="40000"/>
              </a:schemeClr>
            </a:solidFill>
            <a:ln>
              <a:noFill/>
            </a:ln>
            <a:effectLst/>
          </c:spPr>
          <c:invertIfNegative val="0"/>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'Water report'!$J$156:$K$156</c:f>
              <c:strCache>
                <c:ptCount val="2"/>
                <c:pt idx="0">
                  <c:v>Expenditure R'000</c:v>
                </c:pt>
                <c:pt idx="1">
                  <c:v>Revenue R'000</c:v>
                </c:pt>
              </c:strCache>
            </c:strRef>
          </c:cat>
          <c:val>
            <c:numRef>
              <c:f>'Water report'!$J$158:$K$158</c:f>
              <c:numCache>
                <c:formatCode>General</c:formatCode>
                <c:ptCount val="2"/>
                <c:pt idx="0" formatCode="_-* #\ ##0_-;\-* #\ ##0_-;_-* &quot;-&quot;??_-;_-@_-">
                  <c:v>43.835035051263077</c:v>
                </c:pt>
              </c:numCache>
            </c:numRef>
          </c:val>
          <c:extLst>
            <c:ext xmlns:c16="http://schemas.microsoft.com/office/drawing/2014/chart" uri="{C3380CC4-5D6E-409C-BE32-E72D297353CC}">
              <c16:uniqueId val="{00000002-A409-4B29-9A3B-1006F562D404}"/>
            </c:ext>
          </c:extLst>
        </c:ser>
        <c:ser>
          <c:idx val="2"/>
          <c:order val="2"/>
          <c:tx>
            <c:strRef>
              <c:f>'Water report'!$I$159</c:f>
              <c:strCache>
                <c:ptCount val="1"/>
                <c:pt idx="0">
                  <c:v>Surplus</c:v>
                </c:pt>
              </c:strCache>
            </c:strRef>
          </c:tx>
          <c:spPr>
            <a:solidFill>
              <a:srgbClr val="A5A5A5"/>
            </a:solidFill>
            <a:ln w="25400">
              <a:noFill/>
            </a:ln>
          </c:spPr>
          <c:invertIfNegative val="0"/>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'Water report'!$J$156:$K$156</c:f>
              <c:strCache>
                <c:ptCount val="2"/>
                <c:pt idx="0">
                  <c:v>Expenditure R'000</c:v>
                </c:pt>
                <c:pt idx="1">
                  <c:v>Revenue R'000</c:v>
                </c:pt>
              </c:strCache>
            </c:strRef>
          </c:cat>
          <c:val>
            <c:numRef>
              <c:f>'Water report'!$J$159:$K$159</c:f>
              <c:numCache>
                <c:formatCode>General</c:formatCode>
                <c:ptCount val="2"/>
                <c:pt idx="0" formatCode="_-* #\ ##0_-;\-* #\ ##0_-;_-* &quot;-&quot;??_-;_-@_-">
                  <c:v>0</c:v>
                </c:pt>
              </c:numCache>
            </c:numRef>
          </c:val>
          <c:extLst>
            <c:ext xmlns:c16="http://schemas.microsoft.com/office/drawing/2014/chart" uri="{C3380CC4-5D6E-409C-BE32-E72D297353CC}">
              <c16:uniqueId val="{00000003-A409-4B29-9A3B-1006F562D404}"/>
            </c:ext>
          </c:extLst>
        </c:ser>
        <c:ser>
          <c:idx val="4"/>
          <c:order val="3"/>
          <c:tx>
            <c:strRef>
              <c:f>'Water report'!$I$160</c:f>
              <c:strCache>
                <c:ptCount val="1"/>
                <c:pt idx="0">
                  <c:v>Tariff revenue</c:v>
                </c:pt>
              </c:strCache>
            </c:strRef>
          </c:tx>
          <c:spPr>
            <a:solidFill>
              <a:srgbClr val="5B9BD5"/>
            </a:solidFill>
            <a:ln w="25400">
              <a:noFill/>
            </a:ln>
          </c:spPr>
          <c:invertIfNegative val="0"/>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'Water report'!$J$156:$K$156</c:f>
              <c:strCache>
                <c:ptCount val="2"/>
                <c:pt idx="0">
                  <c:v>Expenditure R'000</c:v>
                </c:pt>
                <c:pt idx="1">
                  <c:v>Revenue R'000</c:v>
                </c:pt>
              </c:strCache>
            </c:strRef>
          </c:cat>
          <c:val>
            <c:numRef>
              <c:f>'Water report'!$J$160:$K$160</c:f>
              <c:numCache>
                <c:formatCode>_-* #\ ##0_-;\-* #\ ##0_-;_-* "-"??_-;_-@_-</c:formatCode>
                <c:ptCount val="2"/>
                <c:pt idx="1">
                  <c:v>70.913662667774702</c:v>
                </c:pt>
              </c:numCache>
            </c:numRef>
          </c:val>
          <c:extLst>
            <c:ext xmlns:c16="http://schemas.microsoft.com/office/drawing/2014/chart" uri="{C3380CC4-5D6E-409C-BE32-E72D297353CC}">
              <c16:uniqueId val="{00000004-A409-4B29-9A3B-1006F562D404}"/>
            </c:ext>
          </c:extLst>
        </c:ser>
        <c:ser>
          <c:idx val="5"/>
          <c:order val="4"/>
          <c:tx>
            <c:strRef>
              <c:f>'Water report'!$I$161</c:f>
              <c:strCache>
                <c:ptCount val="1"/>
                <c:pt idx="0">
                  <c:v>External grants &amp; subsidies</c:v>
                </c:pt>
              </c:strCache>
            </c:strRef>
          </c:tx>
          <c:spPr>
            <a:solidFill>
              <a:srgbClr val="A5A5A5"/>
            </a:solidFill>
            <a:ln w="25400">
              <a:noFill/>
            </a:ln>
          </c:spPr>
          <c:invertIfNegative val="0"/>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'Water report'!$J$156:$K$156</c:f>
              <c:strCache>
                <c:ptCount val="2"/>
                <c:pt idx="0">
                  <c:v>Expenditure R'000</c:v>
                </c:pt>
                <c:pt idx="1">
                  <c:v>Revenue R'000</c:v>
                </c:pt>
              </c:strCache>
            </c:strRef>
          </c:cat>
          <c:val>
            <c:numRef>
              <c:f>'Water report'!$J$161:$K$161</c:f>
              <c:numCache>
                <c:formatCode>_-* #\ ##0_-;\-* #\ ##0_-;_-* "-"??_-;_-@_-</c:formatCode>
                <c:ptCount val="2"/>
                <c:pt idx="1">
                  <c:v>0</c:v>
                </c:pt>
              </c:numCache>
            </c:numRef>
          </c:val>
          <c:extLst>
            <c:ext xmlns:c16="http://schemas.microsoft.com/office/drawing/2014/chart" uri="{C3380CC4-5D6E-409C-BE32-E72D297353CC}">
              <c16:uniqueId val="{00000005-A409-4B29-9A3B-1006F562D404}"/>
            </c:ext>
          </c:extLst>
        </c:ser>
        <c:ser>
          <c:idx val="3"/>
          <c:order val="5"/>
          <c:tx>
            <c:strRef>
              <c:f>'Water report'!$I$162</c:f>
              <c:strCache>
                <c:ptCount val="1"/>
                <c:pt idx="0">
                  <c:v>Other non-tariff revenue</c:v>
                </c:pt>
              </c:strCache>
            </c:strRef>
          </c:tx>
          <c:spPr>
            <a:solidFill>
              <a:schemeClr val="accent3">
                <a:lumMod val="40000"/>
                <a:lumOff val="60000"/>
              </a:schemeClr>
            </a:solidFill>
            <a:ln>
              <a:noFill/>
            </a:ln>
            <a:effectLst/>
          </c:spPr>
          <c:invertIfNegative val="0"/>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'Water report'!$J$156:$K$156</c:f>
              <c:strCache>
                <c:ptCount val="2"/>
                <c:pt idx="0">
                  <c:v>Expenditure R'000</c:v>
                </c:pt>
                <c:pt idx="1">
                  <c:v>Revenue R'000</c:v>
                </c:pt>
              </c:strCache>
            </c:strRef>
          </c:cat>
          <c:val>
            <c:numRef>
              <c:f>'Water report'!$J$162:$K$162</c:f>
              <c:numCache>
                <c:formatCode>_-* #\ ##0_-;\-* #\ ##0_-;_-* "-"??_-;_-@_-</c:formatCode>
                <c:ptCount val="2"/>
                <c:pt idx="1">
                  <c:v>5.5076196088309892</c:v>
                </c:pt>
              </c:numCache>
            </c:numRef>
          </c:val>
          <c:extLst>
            <c:ext xmlns:c16="http://schemas.microsoft.com/office/drawing/2014/chart" uri="{C3380CC4-5D6E-409C-BE32-E72D297353CC}">
              <c16:uniqueId val="{00000006-A409-4B29-9A3B-1006F562D404}"/>
            </c:ext>
          </c:extLst>
        </c:ser>
        <c:ser>
          <c:idx val="6"/>
          <c:order val="6"/>
          <c:tx>
            <c:strRef>
              <c:f>'Water report'!$I$163</c:f>
              <c:strCache>
                <c:ptCount val="1"/>
                <c:pt idx="0">
                  <c:v>Deficit</c:v>
                </c:pt>
              </c:strCache>
            </c:strRef>
          </c:tx>
          <c:spPr>
            <a:solidFill>
              <a:srgbClr val="ED7D31"/>
            </a:solidFill>
            <a:ln w="25400">
              <a:noFill/>
            </a:ln>
          </c:spPr>
          <c:invertIfNegative val="0"/>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'Water report'!$J$156:$K$156</c:f>
              <c:strCache>
                <c:ptCount val="2"/>
                <c:pt idx="0">
                  <c:v>Expenditure R'000</c:v>
                </c:pt>
                <c:pt idx="1">
                  <c:v>Revenue R'000</c:v>
                </c:pt>
              </c:strCache>
            </c:strRef>
          </c:cat>
          <c:val>
            <c:numRef>
              <c:f>'Water report'!$J$163:$K$163</c:f>
              <c:numCache>
                <c:formatCode>_-* #\ ##0_-;\-* #\ ##0_-;_-* "-"??_-;_-@_-</c:formatCode>
                <c:ptCount val="2"/>
                <c:pt idx="1">
                  <c:v>0</c:v>
                </c:pt>
              </c:numCache>
            </c:numRef>
          </c:val>
          <c:extLst>
            <c:ext xmlns:c16="http://schemas.microsoft.com/office/drawing/2014/chart" uri="{C3380CC4-5D6E-409C-BE32-E72D297353CC}">
              <c16:uniqueId val="{00000007-A409-4B29-9A3B-1006F562D404}"/>
            </c:ext>
          </c:extLst>
        </c:ser>
        <c:dLbls>
          <c:showLegendKey val="0"/>
          <c:showVal val="0"/>
          <c:showCatName val="0"/>
          <c:showSerName val="0"/>
          <c:showPercent val="0"/>
          <c:showBubbleSize val="0"/>
        </c:dLbls>
        <c:gapWidth val="25"/>
        <c:overlap val="100"/>
        <c:axId val="1399785199"/>
        <c:axId val="1"/>
      </c:barChart>
      <c:catAx>
        <c:axId val="1399785199"/>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0" vert="horz"/>
          <a:lstStyle/>
          <a:p>
            <a:pPr>
              <a:defRPr sz="1100" b="0" i="0" u="none" strike="noStrike" baseline="0">
                <a:solidFill>
                  <a:srgbClr val="000000"/>
                </a:solidFill>
                <a:latin typeface="Calibri"/>
                <a:ea typeface="Calibri"/>
                <a:cs typeface="Calibri"/>
              </a:defRPr>
            </a:pPr>
            <a:endParaRPr lang="en-US"/>
          </a:p>
        </c:txPr>
        <c:crossAx val="1"/>
        <c:crosses val="autoZero"/>
        <c:auto val="1"/>
        <c:lblAlgn val="ctr"/>
        <c:lblOffset val="100"/>
        <c:noMultiLvlLbl val="0"/>
      </c:catAx>
      <c:valAx>
        <c:axId val="1"/>
        <c:scaling>
          <c:orientation val="minMax"/>
        </c:scaling>
        <c:delete val="1"/>
        <c:axPos val="l"/>
        <c:majorGridlines>
          <c:spPr>
            <a:ln w="9525" cap="flat" cmpd="sng" algn="ctr">
              <a:solidFill>
                <a:schemeClr val="tx1">
                  <a:lumMod val="15000"/>
                  <a:lumOff val="85000"/>
                </a:schemeClr>
              </a:solidFill>
              <a:round/>
            </a:ln>
            <a:effectLst/>
          </c:spPr>
        </c:majorGridlines>
        <c:numFmt formatCode="_-* #\ ##0_-;\-* #\ ##0_-;_-* &quot;-&quot;??_-;_-@_-" sourceLinked="1"/>
        <c:majorTickMark val="out"/>
        <c:minorTickMark val="none"/>
        <c:tickLblPos val="nextTo"/>
        <c:crossAx val="1399785199"/>
        <c:crosses val="autoZero"/>
        <c:crossBetween val="between"/>
      </c:valAx>
    </c:plotArea>
    <c:legend>
      <c:legendPos val="r"/>
      <c:layout>
        <c:manualLayout>
          <c:xMode val="edge"/>
          <c:yMode val="edge"/>
          <c:x val="0.63133310356407468"/>
          <c:y val="0.17846767615586512"/>
          <c:w val="0.34849598345661337"/>
          <c:h val="0.70771685846961441"/>
        </c:manualLayout>
      </c:layout>
      <c:overlay val="0"/>
      <c:spPr>
        <a:noFill/>
        <a:ln w="25400">
          <a:noFill/>
        </a:ln>
      </c:spPr>
      <c:txPr>
        <a:bodyPr/>
        <a:lstStyle/>
        <a:p>
          <a:pPr>
            <a:defRPr sz="850" b="0" i="0" u="none" strike="noStrike" baseline="0">
              <a:solidFill>
                <a:srgbClr val="000000"/>
              </a:solidFill>
              <a:latin typeface="Calibri"/>
              <a:ea typeface="Calibri"/>
              <a:cs typeface="Calibri"/>
            </a:defRPr>
          </a:pPr>
          <a:endParaRPr lang="en-US"/>
        </a:p>
      </c:txPr>
    </c:legend>
    <c:plotVisOnly val="1"/>
    <c:dispBlanksAs val="gap"/>
    <c:showDLblsOverMax val="0"/>
  </c:chart>
  <c:spPr>
    <a:solidFill>
      <a:schemeClr val="bg1"/>
    </a:solidFill>
    <a:ln w="9525" cap="flat" cmpd="sng" algn="ctr">
      <a:noFill/>
      <a:round/>
    </a:ln>
    <a:effectLst/>
  </c:spPr>
  <c:txPr>
    <a:bodyPr/>
    <a:lstStyle/>
    <a:p>
      <a:pPr>
        <a:defRPr sz="11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charts/chart6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ser>
          <c:idx val="0"/>
          <c:order val="0"/>
          <c:tx>
            <c:strRef>
              <c:f>'Water report'!$K$180</c:f>
              <c:strCache>
                <c:ptCount val="1"/>
                <c:pt idx="0">
                  <c:v>Tariff </c:v>
                </c:pt>
              </c:strCache>
            </c:strRef>
          </c:tx>
          <c:spPr>
            <a:solidFill>
              <a:srgbClr val="4472C4"/>
            </a:solidFill>
            <a:ln w="25400">
              <a:noFill/>
            </a:ln>
          </c:spPr>
          <c:invertIfNegative val="0"/>
          <c:dLbls>
            <c:spPr>
              <a:noFill/>
              <a:ln w="25400">
                <a:noFill/>
              </a:ln>
            </c:spPr>
            <c:txPr>
              <a:bodyPr wrap="square" lIns="38100" tIns="19050" rIns="38100" bIns="19050" anchor="ctr">
                <a:spAutoFit/>
              </a:bodyPr>
              <a:lstStyle/>
              <a:p>
                <a:pPr>
                  <a:defRPr sz="900" b="0" i="0" u="none" strike="noStrike" baseline="0">
                    <a:solidFill>
                      <a:srgbClr val="333333"/>
                    </a:solidFill>
                    <a:latin typeface="Calibri"/>
                    <a:ea typeface="Calibri"/>
                    <a:cs typeface="Calibri"/>
                  </a:defRPr>
                </a:pPr>
                <a:endParaRPr lang="en-US"/>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'Water report'!$J$181:$J$190</c:f>
              <c:strCache>
                <c:ptCount val="10"/>
                <c:pt idx="0">
                  <c:v>500</c:v>
                </c:pt>
                <c:pt idx="1">
                  <c:v>more</c:v>
                </c:pt>
                <c:pt idx="2">
                  <c:v>0</c:v>
                </c:pt>
                <c:pt idx="3">
                  <c:v>0</c:v>
                </c:pt>
                <c:pt idx="4">
                  <c:v>0</c:v>
                </c:pt>
                <c:pt idx="5">
                  <c:v>0</c:v>
                </c:pt>
                <c:pt idx="6">
                  <c:v>0</c:v>
                </c:pt>
                <c:pt idx="7">
                  <c:v>0</c:v>
                </c:pt>
                <c:pt idx="8">
                  <c:v>0</c:v>
                </c:pt>
                <c:pt idx="9">
                  <c:v>0</c:v>
                </c:pt>
              </c:strCache>
            </c:strRef>
          </c:cat>
          <c:val>
            <c:numRef>
              <c:f>'Water report'!$K$181:$K$190</c:f>
              <c:numCache>
                <c:formatCode>_(* #,##0.00_);_(* \(#,##0.00\);_(* "-"??_);_(@_)</c:formatCode>
                <c:ptCount val="10"/>
                <c:pt idx="0">
                  <c:v>20.12933190188118</c:v>
                </c:pt>
                <c:pt idx="1">
                  <c:v>22.299022653553777</c:v>
                </c:pt>
                <c:pt idx="2">
                  <c:v>0</c:v>
                </c:pt>
                <c:pt idx="3">
                  <c:v>0</c:v>
                </c:pt>
                <c:pt idx="4">
                  <c:v>0</c:v>
                </c:pt>
                <c:pt idx="5">
                  <c:v>0</c:v>
                </c:pt>
                <c:pt idx="6">
                  <c:v>0</c:v>
                </c:pt>
                <c:pt idx="7">
                  <c:v>0</c:v>
                </c:pt>
                <c:pt idx="8">
                  <c:v>0</c:v>
                </c:pt>
                <c:pt idx="9">
                  <c:v>0</c:v>
                </c:pt>
              </c:numCache>
            </c:numRef>
          </c:val>
          <c:extLst>
            <c:ext xmlns:c16="http://schemas.microsoft.com/office/drawing/2014/chart" uri="{C3380CC4-5D6E-409C-BE32-E72D297353CC}">
              <c16:uniqueId val="{00000000-A617-40DF-BFD0-5089170CD951}"/>
            </c:ext>
          </c:extLst>
        </c:ser>
        <c:dLbls>
          <c:showLegendKey val="0"/>
          <c:showVal val="0"/>
          <c:showCatName val="0"/>
          <c:showSerName val="0"/>
          <c:showPercent val="0"/>
          <c:showBubbleSize val="0"/>
        </c:dLbls>
        <c:gapWidth val="50"/>
        <c:overlap val="-27"/>
        <c:axId val="1399789519"/>
        <c:axId val="1"/>
      </c:barChart>
      <c:lineChart>
        <c:grouping val="standard"/>
        <c:varyColors val="0"/>
        <c:ser>
          <c:idx val="1"/>
          <c:order val="1"/>
          <c:tx>
            <c:strRef>
              <c:f>'Water report'!$L$180</c:f>
              <c:strCache>
                <c:ptCount val="1"/>
                <c:pt idx="0">
                  <c:v>Total cost per kl </c:v>
                </c:pt>
              </c:strCache>
            </c:strRef>
          </c:tx>
          <c:spPr>
            <a:ln w="28575" cap="rnd">
              <a:solidFill>
                <a:schemeClr val="accent2"/>
              </a:solidFill>
              <a:round/>
            </a:ln>
            <a:effectLst/>
          </c:spPr>
          <c:marker>
            <c:symbol val="none"/>
          </c:marker>
          <c:val>
            <c:numRef>
              <c:f>'Water report'!$L$181:$L$190</c:f>
              <c:numCache>
                <c:formatCode>_(* #,##0.00_);_(* \(#,##0.00\);_(* "-"??_);_(@_)</c:formatCode>
                <c:ptCount val="10"/>
                <c:pt idx="0">
                  <c:v>40.136005456034269</c:v>
                </c:pt>
                <c:pt idx="1">
                  <c:v>40.136005456034269</c:v>
                </c:pt>
                <c:pt idx="2">
                  <c:v>40.136005456034269</c:v>
                </c:pt>
                <c:pt idx="3">
                  <c:v>40.136005456034269</c:v>
                </c:pt>
                <c:pt idx="4">
                  <c:v>40.136005456034269</c:v>
                </c:pt>
                <c:pt idx="5">
                  <c:v>40.136005456034269</c:v>
                </c:pt>
                <c:pt idx="6">
                  <c:v>40.136005456034269</c:v>
                </c:pt>
                <c:pt idx="7">
                  <c:v>40.136005456034269</c:v>
                </c:pt>
                <c:pt idx="8">
                  <c:v>40.136005456034269</c:v>
                </c:pt>
                <c:pt idx="9">
                  <c:v>40.136005456034269</c:v>
                </c:pt>
              </c:numCache>
            </c:numRef>
          </c:val>
          <c:smooth val="0"/>
          <c:extLst>
            <c:ext xmlns:c16="http://schemas.microsoft.com/office/drawing/2014/chart" uri="{C3380CC4-5D6E-409C-BE32-E72D297353CC}">
              <c16:uniqueId val="{00000001-A617-40DF-BFD0-5089170CD951}"/>
            </c:ext>
          </c:extLst>
        </c:ser>
        <c:ser>
          <c:idx val="2"/>
          <c:order val="2"/>
          <c:tx>
            <c:strRef>
              <c:f>'Water report'!$M$180</c:f>
              <c:strCache>
                <c:ptCount val="1"/>
                <c:pt idx="0">
                  <c:v>Variable cost per kl</c:v>
                </c:pt>
              </c:strCache>
            </c:strRef>
          </c:tx>
          <c:spPr>
            <a:ln w="28575" cap="rnd">
              <a:solidFill>
                <a:schemeClr val="accent3"/>
              </a:solidFill>
              <a:round/>
            </a:ln>
            <a:effectLst/>
          </c:spPr>
          <c:marker>
            <c:symbol val="none"/>
          </c:marker>
          <c:val>
            <c:numRef>
              <c:f>'Water report'!$M$181:$M$190</c:f>
              <c:numCache>
                <c:formatCode>_(* #,##0.00_);_(* \(#,##0.00\);_(* "-"??_);_(@_)</c:formatCode>
                <c:ptCount val="10"/>
                <c:pt idx="0">
                  <c:v>23.021901145481429</c:v>
                </c:pt>
                <c:pt idx="1">
                  <c:v>23.021901145481429</c:v>
                </c:pt>
                <c:pt idx="2">
                  <c:v>23.021901145481429</c:v>
                </c:pt>
                <c:pt idx="3">
                  <c:v>23.021901145481429</c:v>
                </c:pt>
                <c:pt idx="4">
                  <c:v>23.021901145481429</c:v>
                </c:pt>
                <c:pt idx="5">
                  <c:v>23.021901145481429</c:v>
                </c:pt>
                <c:pt idx="6">
                  <c:v>23.021901145481429</c:v>
                </c:pt>
                <c:pt idx="7">
                  <c:v>23.021901145481429</c:v>
                </c:pt>
                <c:pt idx="8">
                  <c:v>23.021901145481429</c:v>
                </c:pt>
                <c:pt idx="9">
                  <c:v>23.021901145481429</c:v>
                </c:pt>
              </c:numCache>
            </c:numRef>
          </c:val>
          <c:smooth val="0"/>
          <c:extLst>
            <c:ext xmlns:c16="http://schemas.microsoft.com/office/drawing/2014/chart" uri="{C3380CC4-5D6E-409C-BE32-E72D297353CC}">
              <c16:uniqueId val="{00000002-A617-40DF-BFD0-5089170CD951}"/>
            </c:ext>
          </c:extLst>
        </c:ser>
        <c:dLbls>
          <c:showLegendKey val="0"/>
          <c:showVal val="0"/>
          <c:showCatName val="0"/>
          <c:showSerName val="0"/>
          <c:showPercent val="0"/>
          <c:showBubbleSize val="0"/>
        </c:dLbls>
        <c:marker val="1"/>
        <c:smooth val="0"/>
        <c:axId val="3"/>
        <c:axId val="4"/>
      </c:lineChart>
      <c:catAx>
        <c:axId val="1399789519"/>
        <c:scaling>
          <c:orientation val="minMax"/>
        </c:scaling>
        <c:delete val="0"/>
        <c:axPos val="b"/>
        <c:title>
          <c:tx>
            <c:rich>
              <a:bodyPr/>
              <a:lstStyle/>
              <a:p>
                <a:pPr>
                  <a:defRPr sz="1000" b="0" i="0" u="none" strike="noStrike" baseline="0">
                    <a:solidFill>
                      <a:srgbClr val="333333"/>
                    </a:solidFill>
                    <a:latin typeface="Calibri"/>
                    <a:ea typeface="Calibri"/>
                    <a:cs typeface="Calibri"/>
                  </a:defRPr>
                </a:pPr>
                <a:r>
                  <a:rPr lang="en-ZA"/>
                  <a:t>Block size</a:t>
                </a:r>
              </a:p>
            </c:rich>
          </c:tx>
          <c:overlay val="0"/>
          <c:spPr>
            <a:noFill/>
            <a:ln w="25400">
              <a:noFill/>
            </a:ln>
          </c:spPr>
        </c:title>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0" vert="horz"/>
          <a:lstStyle/>
          <a:p>
            <a:pPr>
              <a:defRPr sz="900" b="0" i="0" u="none" strike="noStrike" baseline="0">
                <a:solidFill>
                  <a:srgbClr val="333333"/>
                </a:solidFill>
                <a:latin typeface="Calibri"/>
                <a:ea typeface="Calibri"/>
                <a:cs typeface="Calibri"/>
              </a:defRPr>
            </a:pPr>
            <a:endParaRPr lang="en-US"/>
          </a:p>
        </c:txPr>
        <c:crossAx val="1"/>
        <c:crosses val="autoZero"/>
        <c:auto val="1"/>
        <c:lblAlgn val="ctr"/>
        <c:lblOffset val="100"/>
        <c:noMultiLvlLbl val="0"/>
      </c:catAx>
      <c:valAx>
        <c:axId val="1"/>
        <c:scaling>
          <c:orientation val="minMax"/>
        </c:scaling>
        <c:delete val="0"/>
        <c:axPos val="l"/>
        <c:majorGridlines>
          <c:spPr>
            <a:ln w="9525" cap="flat" cmpd="sng" algn="ctr">
              <a:solidFill>
                <a:schemeClr val="tx1">
                  <a:lumMod val="15000"/>
                  <a:lumOff val="85000"/>
                </a:schemeClr>
              </a:solidFill>
              <a:round/>
            </a:ln>
            <a:effectLst/>
          </c:spPr>
        </c:majorGridlines>
        <c:title>
          <c:tx>
            <c:rich>
              <a:bodyPr/>
              <a:lstStyle/>
              <a:p>
                <a:pPr>
                  <a:defRPr sz="1000" b="0" i="0" u="none" strike="noStrike" baseline="0">
                    <a:solidFill>
                      <a:srgbClr val="333333"/>
                    </a:solidFill>
                    <a:latin typeface="Calibri"/>
                    <a:ea typeface="Calibri"/>
                    <a:cs typeface="Calibri"/>
                  </a:defRPr>
                </a:pPr>
                <a:r>
                  <a:rPr lang="en-ZA"/>
                  <a:t>R/kl</a:t>
                </a:r>
              </a:p>
            </c:rich>
          </c:tx>
          <c:overlay val="0"/>
          <c:spPr>
            <a:noFill/>
            <a:ln w="25400">
              <a:noFill/>
            </a:ln>
          </c:spPr>
        </c:title>
        <c:numFmt formatCode="_(* #,##0.00_);_(* \(#,##0.00\);_(* &quot;-&quot;??_);_(@_)" sourceLinked="1"/>
        <c:majorTickMark val="none"/>
        <c:minorTickMark val="none"/>
        <c:tickLblPos val="nextTo"/>
        <c:spPr>
          <a:ln w="6350">
            <a:noFill/>
          </a:ln>
        </c:spPr>
        <c:txPr>
          <a:bodyPr rot="0" vert="horz"/>
          <a:lstStyle/>
          <a:p>
            <a:pPr>
              <a:defRPr sz="900" b="0" i="0" u="none" strike="noStrike" baseline="0">
                <a:solidFill>
                  <a:srgbClr val="333333"/>
                </a:solidFill>
                <a:latin typeface="Calibri"/>
                <a:ea typeface="Calibri"/>
                <a:cs typeface="Calibri"/>
              </a:defRPr>
            </a:pPr>
            <a:endParaRPr lang="en-US"/>
          </a:p>
        </c:txPr>
        <c:crossAx val="1399789519"/>
        <c:crosses val="autoZero"/>
        <c:crossBetween val="between"/>
      </c:valAx>
      <c:catAx>
        <c:axId val="3"/>
        <c:scaling>
          <c:orientation val="minMax"/>
        </c:scaling>
        <c:delete val="1"/>
        <c:axPos val="b"/>
        <c:majorTickMark val="out"/>
        <c:minorTickMark val="none"/>
        <c:tickLblPos val="nextTo"/>
        <c:crossAx val="4"/>
        <c:crosses val="autoZero"/>
        <c:auto val="1"/>
        <c:lblAlgn val="ctr"/>
        <c:lblOffset val="100"/>
        <c:noMultiLvlLbl val="0"/>
      </c:catAx>
      <c:valAx>
        <c:axId val="4"/>
        <c:scaling>
          <c:orientation val="minMax"/>
        </c:scaling>
        <c:delete val="1"/>
        <c:axPos val="r"/>
        <c:numFmt formatCode="_(* #,##0.00_);_(* \(#,##0.00\);_(* &quot;-&quot;??_);_(@_)" sourceLinked="1"/>
        <c:majorTickMark val="out"/>
        <c:minorTickMark val="none"/>
        <c:tickLblPos val="nextTo"/>
        <c:crossAx val="3"/>
        <c:crosses val="max"/>
        <c:crossBetween val="between"/>
      </c:valAx>
      <c:spPr>
        <a:noFill/>
        <a:ln w="25400">
          <a:noFill/>
        </a:ln>
      </c:spPr>
    </c:plotArea>
    <c:legend>
      <c:legendPos val="r"/>
      <c:layout>
        <c:manualLayout>
          <c:xMode val="edge"/>
          <c:yMode val="edge"/>
          <c:x val="0.1623666598870713"/>
          <c:y val="0.9270571043484428"/>
          <c:w val="0.65869231290738106"/>
          <c:h val="5.9461445697666204E-2"/>
        </c:manualLayout>
      </c:layout>
      <c:overlay val="0"/>
      <c:spPr>
        <a:noFill/>
        <a:ln w="25400">
          <a:noFill/>
        </a:ln>
      </c:spPr>
      <c:txPr>
        <a:bodyPr/>
        <a:lstStyle/>
        <a:p>
          <a:pPr>
            <a:defRPr sz="690" b="0" i="0" u="none" strike="noStrike" baseline="0">
              <a:solidFill>
                <a:srgbClr val="333333"/>
              </a:solidFill>
              <a:latin typeface="Calibri"/>
              <a:ea typeface="Calibri"/>
              <a:cs typeface="Calibri"/>
            </a:defRPr>
          </a:pPr>
          <a:endParaRPr lang="en-US"/>
        </a:p>
      </c:txPr>
    </c:legend>
    <c:plotVisOnly val="1"/>
    <c:dispBlanksAs val="gap"/>
    <c:showDLblsOverMax val="0"/>
  </c:chart>
  <c:spPr>
    <a:solidFill>
      <a:schemeClr val="bg1"/>
    </a:solidFill>
    <a:ln w="9525" cap="flat" cmpd="sng" algn="ctr">
      <a:noFill/>
      <a:round/>
    </a:ln>
    <a:effectLst/>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charts/chart6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2.3871527777777776E-2"/>
          <c:y val="4.7786414907172239E-2"/>
          <c:w val="0.57559123468941387"/>
          <c:h val="0.83529592857692603"/>
        </c:manualLayout>
      </c:layout>
      <c:barChart>
        <c:barDir val="col"/>
        <c:grouping val="stacked"/>
        <c:varyColors val="0"/>
        <c:ser>
          <c:idx val="0"/>
          <c:order val="0"/>
          <c:tx>
            <c:strRef>
              <c:f>'Water report'!$I$223</c:f>
              <c:strCache>
                <c:ptCount val="1"/>
                <c:pt idx="0">
                  <c:v>Fixed cost</c:v>
                </c:pt>
              </c:strCache>
            </c:strRef>
          </c:tx>
          <c:spPr>
            <a:solidFill>
              <a:srgbClr val="4472C4"/>
            </a:solidFill>
            <a:ln w="25400">
              <a:noFill/>
            </a:ln>
          </c:spPr>
          <c:invertIfNegative val="0"/>
          <c:dPt>
            <c:idx val="0"/>
            <c:invertIfNegative val="0"/>
            <c:bubble3D val="0"/>
            <c:spPr>
              <a:solidFill>
                <a:srgbClr val="5B9BD5"/>
              </a:solidFill>
              <a:ln w="25400">
                <a:noFill/>
              </a:ln>
            </c:spPr>
            <c:extLst>
              <c:ext xmlns:c16="http://schemas.microsoft.com/office/drawing/2014/chart" uri="{C3380CC4-5D6E-409C-BE32-E72D297353CC}">
                <c16:uniqueId val="{00000000-410E-48F1-BF4F-3E7CEF71D8C3}"/>
              </c:ext>
            </c:extLst>
          </c:dPt>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'Water report'!$J$222:$K$222</c:f>
              <c:strCache>
                <c:ptCount val="2"/>
                <c:pt idx="0">
                  <c:v>Expenditure R'000</c:v>
                </c:pt>
                <c:pt idx="1">
                  <c:v>Revenue R'000</c:v>
                </c:pt>
              </c:strCache>
            </c:strRef>
          </c:cat>
          <c:val>
            <c:numRef>
              <c:f>'Water report'!$J$223:$K$223</c:f>
              <c:numCache>
                <c:formatCode>General</c:formatCode>
                <c:ptCount val="2"/>
                <c:pt idx="0" formatCode="_-* #\ ##0_-;\-* #\ ##0_-;_-* &quot;-&quot;??_-;_-@_-">
                  <c:v>126.72429476522133</c:v>
                </c:pt>
              </c:numCache>
            </c:numRef>
          </c:val>
          <c:extLst>
            <c:ext xmlns:c16="http://schemas.microsoft.com/office/drawing/2014/chart" uri="{C3380CC4-5D6E-409C-BE32-E72D297353CC}">
              <c16:uniqueId val="{00000001-410E-48F1-BF4F-3E7CEF71D8C3}"/>
            </c:ext>
          </c:extLst>
        </c:ser>
        <c:ser>
          <c:idx val="1"/>
          <c:order val="1"/>
          <c:tx>
            <c:strRef>
              <c:f>'Water report'!$I$224</c:f>
              <c:strCache>
                <c:ptCount val="1"/>
                <c:pt idx="0">
                  <c:v>Variable cost</c:v>
                </c:pt>
              </c:strCache>
            </c:strRef>
          </c:tx>
          <c:spPr>
            <a:solidFill>
              <a:schemeClr val="accent5">
                <a:lumMod val="60000"/>
                <a:lumOff val="40000"/>
              </a:schemeClr>
            </a:solidFill>
            <a:ln>
              <a:noFill/>
            </a:ln>
            <a:effectLst/>
          </c:spPr>
          <c:invertIfNegative val="0"/>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'Water report'!$J$222:$K$222</c:f>
              <c:strCache>
                <c:ptCount val="2"/>
                <c:pt idx="0">
                  <c:v>Expenditure R'000</c:v>
                </c:pt>
                <c:pt idx="1">
                  <c:v>Revenue R'000</c:v>
                </c:pt>
              </c:strCache>
            </c:strRef>
          </c:cat>
          <c:val>
            <c:numRef>
              <c:f>'Water report'!$J$224:$K$224</c:f>
              <c:numCache>
                <c:formatCode>General</c:formatCode>
                <c:ptCount val="2"/>
                <c:pt idx="0" formatCode="_-* #\ ##0_-;\-* #\ ##0_-;_-* &quot;-&quot;??_-;_-@_-">
                  <c:v>2020.0999971844212</c:v>
                </c:pt>
              </c:numCache>
            </c:numRef>
          </c:val>
          <c:extLst>
            <c:ext xmlns:c16="http://schemas.microsoft.com/office/drawing/2014/chart" uri="{C3380CC4-5D6E-409C-BE32-E72D297353CC}">
              <c16:uniqueId val="{00000002-410E-48F1-BF4F-3E7CEF71D8C3}"/>
            </c:ext>
          </c:extLst>
        </c:ser>
        <c:ser>
          <c:idx val="2"/>
          <c:order val="2"/>
          <c:tx>
            <c:strRef>
              <c:f>'Water report'!$I$225</c:f>
              <c:strCache>
                <c:ptCount val="1"/>
                <c:pt idx="0">
                  <c:v>Surplus</c:v>
                </c:pt>
              </c:strCache>
            </c:strRef>
          </c:tx>
          <c:spPr>
            <a:solidFill>
              <a:srgbClr val="A5A5A5"/>
            </a:solidFill>
            <a:ln w="25400">
              <a:noFill/>
            </a:ln>
          </c:spPr>
          <c:invertIfNegative val="0"/>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'Water report'!$J$222:$K$222</c:f>
              <c:strCache>
                <c:ptCount val="2"/>
                <c:pt idx="0">
                  <c:v>Expenditure R'000</c:v>
                </c:pt>
                <c:pt idx="1">
                  <c:v>Revenue R'000</c:v>
                </c:pt>
              </c:strCache>
            </c:strRef>
          </c:cat>
          <c:val>
            <c:numRef>
              <c:f>'Water report'!$J$225:$K$225</c:f>
              <c:numCache>
                <c:formatCode>General</c:formatCode>
                <c:ptCount val="2"/>
                <c:pt idx="0" formatCode="_-* #\ ##0_-;\-* #\ ##0_-;_-* &quot;-&quot;??_-;_-@_-">
                  <c:v>0</c:v>
                </c:pt>
              </c:numCache>
            </c:numRef>
          </c:val>
          <c:extLst>
            <c:ext xmlns:c16="http://schemas.microsoft.com/office/drawing/2014/chart" uri="{C3380CC4-5D6E-409C-BE32-E72D297353CC}">
              <c16:uniqueId val="{00000003-410E-48F1-BF4F-3E7CEF71D8C3}"/>
            </c:ext>
          </c:extLst>
        </c:ser>
        <c:ser>
          <c:idx val="4"/>
          <c:order val="3"/>
          <c:tx>
            <c:strRef>
              <c:f>'Water report'!$I$226</c:f>
              <c:strCache>
                <c:ptCount val="1"/>
                <c:pt idx="0">
                  <c:v>Tariff revenue</c:v>
                </c:pt>
              </c:strCache>
            </c:strRef>
          </c:tx>
          <c:spPr>
            <a:solidFill>
              <a:srgbClr val="5B9BD5"/>
            </a:solidFill>
            <a:ln w="25400">
              <a:noFill/>
            </a:ln>
          </c:spPr>
          <c:invertIfNegative val="0"/>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'Water report'!$J$222:$K$222</c:f>
              <c:strCache>
                <c:ptCount val="2"/>
                <c:pt idx="0">
                  <c:v>Expenditure R'000</c:v>
                </c:pt>
                <c:pt idx="1">
                  <c:v>Revenue R'000</c:v>
                </c:pt>
              </c:strCache>
            </c:strRef>
          </c:cat>
          <c:val>
            <c:numRef>
              <c:f>'Water report'!$J$226:$K$226</c:f>
              <c:numCache>
                <c:formatCode>_-* #\ ##0_-;\-* #\ ##0_-;_-* "-"??_-;_-@_-</c:formatCode>
                <c:ptCount val="2"/>
                <c:pt idx="1">
                  <c:v>1992.1044126853799</c:v>
                </c:pt>
              </c:numCache>
            </c:numRef>
          </c:val>
          <c:extLst>
            <c:ext xmlns:c16="http://schemas.microsoft.com/office/drawing/2014/chart" uri="{C3380CC4-5D6E-409C-BE32-E72D297353CC}">
              <c16:uniqueId val="{00000004-410E-48F1-BF4F-3E7CEF71D8C3}"/>
            </c:ext>
          </c:extLst>
        </c:ser>
        <c:ser>
          <c:idx val="5"/>
          <c:order val="4"/>
          <c:tx>
            <c:strRef>
              <c:f>'Water report'!$I$227</c:f>
              <c:strCache>
                <c:ptCount val="1"/>
                <c:pt idx="0">
                  <c:v>External grants &amp; subsidies</c:v>
                </c:pt>
              </c:strCache>
            </c:strRef>
          </c:tx>
          <c:spPr>
            <a:solidFill>
              <a:srgbClr val="A5A5A5"/>
            </a:solidFill>
            <a:ln w="25400">
              <a:noFill/>
            </a:ln>
          </c:spPr>
          <c:invertIfNegative val="0"/>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'Water report'!$J$222:$K$222</c:f>
              <c:strCache>
                <c:ptCount val="2"/>
                <c:pt idx="0">
                  <c:v>Expenditure R'000</c:v>
                </c:pt>
                <c:pt idx="1">
                  <c:v>Revenue R'000</c:v>
                </c:pt>
              </c:strCache>
            </c:strRef>
          </c:cat>
          <c:val>
            <c:numRef>
              <c:f>'Water report'!$J$227:$K$227</c:f>
              <c:numCache>
                <c:formatCode>_-* #\ ##0_-;\-* #\ ##0_-;_-* "-"??_-;_-@_-</c:formatCode>
                <c:ptCount val="2"/>
                <c:pt idx="1">
                  <c:v>0</c:v>
                </c:pt>
              </c:numCache>
            </c:numRef>
          </c:val>
          <c:extLst>
            <c:ext xmlns:c16="http://schemas.microsoft.com/office/drawing/2014/chart" uri="{C3380CC4-5D6E-409C-BE32-E72D297353CC}">
              <c16:uniqueId val="{00000005-410E-48F1-BF4F-3E7CEF71D8C3}"/>
            </c:ext>
          </c:extLst>
        </c:ser>
        <c:ser>
          <c:idx val="3"/>
          <c:order val="5"/>
          <c:tx>
            <c:strRef>
              <c:f>'Water report'!$I$228</c:f>
              <c:strCache>
                <c:ptCount val="1"/>
                <c:pt idx="0">
                  <c:v>Other non-tariff revenue</c:v>
                </c:pt>
              </c:strCache>
            </c:strRef>
          </c:tx>
          <c:spPr>
            <a:solidFill>
              <a:schemeClr val="accent3">
                <a:lumMod val="40000"/>
                <a:lumOff val="60000"/>
              </a:schemeClr>
            </a:solidFill>
            <a:ln>
              <a:noFill/>
            </a:ln>
            <a:effectLst/>
          </c:spPr>
          <c:invertIfNegative val="0"/>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'Water report'!$J$222:$K$222</c:f>
              <c:strCache>
                <c:ptCount val="2"/>
                <c:pt idx="0">
                  <c:v>Expenditure R'000</c:v>
                </c:pt>
                <c:pt idx="1">
                  <c:v>Revenue R'000</c:v>
                </c:pt>
              </c:strCache>
            </c:strRef>
          </c:cat>
          <c:val>
            <c:numRef>
              <c:f>'Water report'!$J$228:$K$228</c:f>
              <c:numCache>
                <c:formatCode>_-* #\ ##0_-;\-* #\ ##0_-;_-* "-"??_-;_-@_-</c:formatCode>
                <c:ptCount val="2"/>
                <c:pt idx="1">
                  <c:v>154.71987926426246</c:v>
                </c:pt>
              </c:numCache>
            </c:numRef>
          </c:val>
          <c:extLst>
            <c:ext xmlns:c16="http://schemas.microsoft.com/office/drawing/2014/chart" uri="{C3380CC4-5D6E-409C-BE32-E72D297353CC}">
              <c16:uniqueId val="{00000006-410E-48F1-BF4F-3E7CEF71D8C3}"/>
            </c:ext>
          </c:extLst>
        </c:ser>
        <c:ser>
          <c:idx val="6"/>
          <c:order val="6"/>
          <c:tx>
            <c:strRef>
              <c:f>'Water report'!$I$229</c:f>
              <c:strCache>
                <c:ptCount val="1"/>
                <c:pt idx="0">
                  <c:v>Deficit</c:v>
                </c:pt>
              </c:strCache>
            </c:strRef>
          </c:tx>
          <c:spPr>
            <a:solidFill>
              <a:srgbClr val="ED7D31"/>
            </a:solidFill>
            <a:ln w="25400">
              <a:noFill/>
            </a:ln>
          </c:spPr>
          <c:invertIfNegative val="0"/>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'Water report'!$J$222:$K$222</c:f>
              <c:strCache>
                <c:ptCount val="2"/>
                <c:pt idx="0">
                  <c:v>Expenditure R'000</c:v>
                </c:pt>
                <c:pt idx="1">
                  <c:v>Revenue R'000</c:v>
                </c:pt>
              </c:strCache>
            </c:strRef>
          </c:cat>
          <c:val>
            <c:numRef>
              <c:f>'Water report'!$J$229:$K$229</c:f>
              <c:numCache>
                <c:formatCode>_-* #\ ##0_-;\-* #\ ##0_-;_-* "-"??_-;_-@_-</c:formatCode>
                <c:ptCount val="2"/>
                <c:pt idx="1">
                  <c:v>0</c:v>
                </c:pt>
              </c:numCache>
            </c:numRef>
          </c:val>
          <c:extLst>
            <c:ext xmlns:c16="http://schemas.microsoft.com/office/drawing/2014/chart" uri="{C3380CC4-5D6E-409C-BE32-E72D297353CC}">
              <c16:uniqueId val="{00000007-410E-48F1-BF4F-3E7CEF71D8C3}"/>
            </c:ext>
          </c:extLst>
        </c:ser>
        <c:dLbls>
          <c:showLegendKey val="0"/>
          <c:showVal val="0"/>
          <c:showCatName val="0"/>
          <c:showSerName val="0"/>
          <c:showPercent val="0"/>
          <c:showBubbleSize val="0"/>
        </c:dLbls>
        <c:gapWidth val="25"/>
        <c:overlap val="100"/>
        <c:axId val="1399792399"/>
        <c:axId val="1"/>
      </c:barChart>
      <c:catAx>
        <c:axId val="1399792399"/>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0" vert="horz"/>
          <a:lstStyle/>
          <a:p>
            <a:pPr>
              <a:defRPr sz="1100" b="0" i="0" u="none" strike="noStrike" baseline="0">
                <a:solidFill>
                  <a:srgbClr val="000000"/>
                </a:solidFill>
                <a:latin typeface="Calibri"/>
                <a:ea typeface="Calibri"/>
                <a:cs typeface="Calibri"/>
              </a:defRPr>
            </a:pPr>
            <a:endParaRPr lang="en-US"/>
          </a:p>
        </c:txPr>
        <c:crossAx val="1"/>
        <c:crosses val="autoZero"/>
        <c:auto val="1"/>
        <c:lblAlgn val="ctr"/>
        <c:lblOffset val="100"/>
        <c:noMultiLvlLbl val="0"/>
      </c:catAx>
      <c:valAx>
        <c:axId val="1"/>
        <c:scaling>
          <c:orientation val="minMax"/>
        </c:scaling>
        <c:delete val="1"/>
        <c:axPos val="l"/>
        <c:majorGridlines>
          <c:spPr>
            <a:ln w="9525" cap="flat" cmpd="sng" algn="ctr">
              <a:solidFill>
                <a:schemeClr val="tx1">
                  <a:lumMod val="15000"/>
                  <a:lumOff val="85000"/>
                </a:schemeClr>
              </a:solidFill>
              <a:round/>
            </a:ln>
            <a:effectLst/>
          </c:spPr>
        </c:majorGridlines>
        <c:numFmt formatCode="_-* #\ ##0_-;\-* #\ ##0_-;_-* &quot;-&quot;??_-;_-@_-" sourceLinked="1"/>
        <c:majorTickMark val="out"/>
        <c:minorTickMark val="none"/>
        <c:tickLblPos val="nextTo"/>
        <c:crossAx val="1399792399"/>
        <c:crosses val="autoZero"/>
        <c:crossBetween val="between"/>
      </c:valAx>
    </c:plotArea>
    <c:legend>
      <c:legendPos val="r"/>
      <c:layout>
        <c:manualLayout>
          <c:xMode val="edge"/>
          <c:yMode val="edge"/>
          <c:x val="0.63312550948196322"/>
          <c:y val="0.17846767615586512"/>
          <c:w val="0.34813379556224411"/>
          <c:h val="0.70771685846961441"/>
        </c:manualLayout>
      </c:layout>
      <c:overlay val="0"/>
      <c:spPr>
        <a:noFill/>
        <a:ln w="25400">
          <a:noFill/>
        </a:ln>
      </c:spPr>
      <c:txPr>
        <a:bodyPr/>
        <a:lstStyle/>
        <a:p>
          <a:pPr>
            <a:defRPr sz="850" b="0" i="0" u="none" strike="noStrike" baseline="0">
              <a:solidFill>
                <a:srgbClr val="000000"/>
              </a:solidFill>
              <a:latin typeface="Calibri"/>
              <a:ea typeface="Calibri"/>
              <a:cs typeface="Calibri"/>
            </a:defRPr>
          </a:pPr>
          <a:endParaRPr lang="en-US"/>
        </a:p>
      </c:txPr>
    </c:legend>
    <c:plotVisOnly val="1"/>
    <c:dispBlanksAs val="gap"/>
    <c:showDLblsOverMax val="0"/>
  </c:chart>
  <c:spPr>
    <a:solidFill>
      <a:schemeClr val="bg1"/>
    </a:solidFill>
    <a:ln w="9525" cap="flat" cmpd="sng" algn="ctr">
      <a:noFill/>
      <a:round/>
    </a:ln>
    <a:effectLst/>
  </c:spPr>
  <c:txPr>
    <a:bodyPr/>
    <a:lstStyle/>
    <a:p>
      <a:pPr>
        <a:defRPr sz="11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charts/chart6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ser>
          <c:idx val="0"/>
          <c:order val="0"/>
          <c:tx>
            <c:strRef>
              <c:f>'Water report'!$K$247</c:f>
              <c:strCache>
                <c:ptCount val="1"/>
                <c:pt idx="0">
                  <c:v>Tariff </c:v>
                </c:pt>
              </c:strCache>
            </c:strRef>
          </c:tx>
          <c:spPr>
            <a:solidFill>
              <a:srgbClr val="4472C4"/>
            </a:solidFill>
            <a:ln w="25400">
              <a:noFill/>
            </a:ln>
          </c:spPr>
          <c:invertIfNegative val="0"/>
          <c:dLbls>
            <c:spPr>
              <a:noFill/>
              <a:ln w="25400">
                <a:noFill/>
              </a:ln>
            </c:spPr>
            <c:txPr>
              <a:bodyPr wrap="square" lIns="38100" tIns="19050" rIns="38100" bIns="19050" anchor="ctr">
                <a:spAutoFit/>
              </a:bodyPr>
              <a:lstStyle/>
              <a:p>
                <a:pPr>
                  <a:defRPr sz="900" b="0" i="0" u="none" strike="noStrike" baseline="0">
                    <a:solidFill>
                      <a:srgbClr val="333333"/>
                    </a:solidFill>
                    <a:latin typeface="Calibri"/>
                    <a:ea typeface="Calibri"/>
                    <a:cs typeface="Calibri"/>
                  </a:defRPr>
                </a:pPr>
                <a:endParaRPr lang="en-US"/>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'Water report'!$J$248:$J$257</c:f>
              <c:strCache>
                <c:ptCount val="10"/>
                <c:pt idx="0">
                  <c:v>500</c:v>
                </c:pt>
                <c:pt idx="1">
                  <c:v>more</c:v>
                </c:pt>
                <c:pt idx="2">
                  <c:v>0</c:v>
                </c:pt>
                <c:pt idx="3">
                  <c:v>0</c:v>
                </c:pt>
                <c:pt idx="4">
                  <c:v>0</c:v>
                </c:pt>
                <c:pt idx="5">
                  <c:v>0</c:v>
                </c:pt>
                <c:pt idx="6">
                  <c:v>0</c:v>
                </c:pt>
                <c:pt idx="7">
                  <c:v>0</c:v>
                </c:pt>
                <c:pt idx="8">
                  <c:v>0</c:v>
                </c:pt>
                <c:pt idx="9">
                  <c:v>0</c:v>
                </c:pt>
              </c:strCache>
            </c:strRef>
          </c:cat>
          <c:val>
            <c:numRef>
              <c:f>'Water report'!$K$248:$K$257</c:f>
              <c:numCache>
                <c:formatCode>_(* #,##0.00_);_(* \(#,##0.00\);_(* "-"??_);_(@_)</c:formatCode>
                <c:ptCount val="10"/>
                <c:pt idx="0">
                  <c:v>20.643822973475459</c:v>
                </c:pt>
                <c:pt idx="1">
                  <c:v>22.868969441477713</c:v>
                </c:pt>
                <c:pt idx="2">
                  <c:v>0</c:v>
                </c:pt>
                <c:pt idx="3">
                  <c:v>0</c:v>
                </c:pt>
                <c:pt idx="4">
                  <c:v>0</c:v>
                </c:pt>
                <c:pt idx="5">
                  <c:v>0</c:v>
                </c:pt>
                <c:pt idx="6">
                  <c:v>0</c:v>
                </c:pt>
                <c:pt idx="7">
                  <c:v>0</c:v>
                </c:pt>
                <c:pt idx="8">
                  <c:v>0</c:v>
                </c:pt>
                <c:pt idx="9">
                  <c:v>0</c:v>
                </c:pt>
              </c:numCache>
            </c:numRef>
          </c:val>
          <c:extLst>
            <c:ext xmlns:c16="http://schemas.microsoft.com/office/drawing/2014/chart" uri="{C3380CC4-5D6E-409C-BE32-E72D297353CC}">
              <c16:uniqueId val="{00000000-FF03-4A48-94DE-5AD180C633AE}"/>
            </c:ext>
          </c:extLst>
        </c:ser>
        <c:dLbls>
          <c:showLegendKey val="0"/>
          <c:showVal val="0"/>
          <c:showCatName val="0"/>
          <c:showSerName val="0"/>
          <c:showPercent val="0"/>
          <c:showBubbleSize val="0"/>
        </c:dLbls>
        <c:gapWidth val="50"/>
        <c:overlap val="-27"/>
        <c:axId val="1399778959"/>
        <c:axId val="1"/>
      </c:barChart>
      <c:lineChart>
        <c:grouping val="standard"/>
        <c:varyColors val="0"/>
        <c:ser>
          <c:idx val="1"/>
          <c:order val="1"/>
          <c:tx>
            <c:strRef>
              <c:f>'Water report'!$L$247</c:f>
              <c:strCache>
                <c:ptCount val="1"/>
                <c:pt idx="0">
                  <c:v>Total cost per kl </c:v>
                </c:pt>
              </c:strCache>
            </c:strRef>
          </c:tx>
          <c:spPr>
            <a:ln w="28575" cap="rnd">
              <a:solidFill>
                <a:schemeClr val="accent2"/>
              </a:solidFill>
              <a:round/>
            </a:ln>
            <a:effectLst/>
          </c:spPr>
          <c:marker>
            <c:symbol val="none"/>
          </c:marker>
          <c:val>
            <c:numRef>
              <c:f>'Water report'!$L$248:$L$257</c:f>
              <c:numCache>
                <c:formatCode>_(* #,##0.00_);_(* \(#,##0.00\);_(* "-"??_);_(@_)</c:formatCode>
                <c:ptCount val="10"/>
                <c:pt idx="0">
                  <c:v>40.136005456034269</c:v>
                </c:pt>
                <c:pt idx="1">
                  <c:v>40.136005456034269</c:v>
                </c:pt>
                <c:pt idx="2">
                  <c:v>40.136005456034269</c:v>
                </c:pt>
                <c:pt idx="3">
                  <c:v>40.136005456034269</c:v>
                </c:pt>
                <c:pt idx="4">
                  <c:v>40.136005456034269</c:v>
                </c:pt>
                <c:pt idx="5">
                  <c:v>40.136005456034269</c:v>
                </c:pt>
                <c:pt idx="6">
                  <c:v>40.136005456034269</c:v>
                </c:pt>
                <c:pt idx="7">
                  <c:v>40.136005456034269</c:v>
                </c:pt>
                <c:pt idx="8">
                  <c:v>40.136005456034269</c:v>
                </c:pt>
                <c:pt idx="9">
                  <c:v>40.136005456034269</c:v>
                </c:pt>
              </c:numCache>
            </c:numRef>
          </c:val>
          <c:smooth val="0"/>
          <c:extLst>
            <c:ext xmlns:c16="http://schemas.microsoft.com/office/drawing/2014/chart" uri="{C3380CC4-5D6E-409C-BE32-E72D297353CC}">
              <c16:uniqueId val="{00000001-FF03-4A48-94DE-5AD180C633AE}"/>
            </c:ext>
          </c:extLst>
        </c:ser>
        <c:ser>
          <c:idx val="2"/>
          <c:order val="2"/>
          <c:tx>
            <c:strRef>
              <c:f>'Water report'!$M$247</c:f>
              <c:strCache>
                <c:ptCount val="1"/>
                <c:pt idx="0">
                  <c:v>Variable cost per kl</c:v>
                </c:pt>
              </c:strCache>
            </c:strRef>
          </c:tx>
          <c:spPr>
            <a:ln w="28575" cap="rnd">
              <a:solidFill>
                <a:schemeClr val="accent3"/>
              </a:solidFill>
              <a:round/>
            </a:ln>
            <a:effectLst/>
          </c:spPr>
          <c:marker>
            <c:symbol val="none"/>
          </c:marker>
          <c:val>
            <c:numRef>
              <c:f>'Water report'!$M$248:$M$257</c:f>
              <c:numCache>
                <c:formatCode>_(* #,##0.00_);_(* \(#,##0.00\);_(* "-"??_);_(@_)</c:formatCode>
                <c:ptCount val="10"/>
                <c:pt idx="0">
                  <c:v>23.021901145481429</c:v>
                </c:pt>
                <c:pt idx="1">
                  <c:v>23.021901145481429</c:v>
                </c:pt>
                <c:pt idx="2">
                  <c:v>23.021901145481429</c:v>
                </c:pt>
                <c:pt idx="3">
                  <c:v>23.021901145481429</c:v>
                </c:pt>
                <c:pt idx="4">
                  <c:v>23.021901145481429</c:v>
                </c:pt>
                <c:pt idx="5">
                  <c:v>23.021901145481429</c:v>
                </c:pt>
                <c:pt idx="6">
                  <c:v>23.021901145481429</c:v>
                </c:pt>
                <c:pt idx="7">
                  <c:v>23.021901145481429</c:v>
                </c:pt>
                <c:pt idx="8">
                  <c:v>23.021901145481429</c:v>
                </c:pt>
                <c:pt idx="9">
                  <c:v>23.021901145481429</c:v>
                </c:pt>
              </c:numCache>
            </c:numRef>
          </c:val>
          <c:smooth val="0"/>
          <c:extLst>
            <c:ext xmlns:c16="http://schemas.microsoft.com/office/drawing/2014/chart" uri="{C3380CC4-5D6E-409C-BE32-E72D297353CC}">
              <c16:uniqueId val="{00000002-FF03-4A48-94DE-5AD180C633AE}"/>
            </c:ext>
          </c:extLst>
        </c:ser>
        <c:dLbls>
          <c:showLegendKey val="0"/>
          <c:showVal val="0"/>
          <c:showCatName val="0"/>
          <c:showSerName val="0"/>
          <c:showPercent val="0"/>
          <c:showBubbleSize val="0"/>
        </c:dLbls>
        <c:marker val="1"/>
        <c:smooth val="0"/>
        <c:axId val="1399778959"/>
        <c:axId val="1"/>
      </c:lineChart>
      <c:catAx>
        <c:axId val="1399778959"/>
        <c:scaling>
          <c:orientation val="minMax"/>
        </c:scaling>
        <c:delete val="0"/>
        <c:axPos val="b"/>
        <c:title>
          <c:tx>
            <c:rich>
              <a:bodyPr/>
              <a:lstStyle/>
              <a:p>
                <a:pPr>
                  <a:defRPr sz="1000" b="0" i="0" u="none" strike="noStrike" baseline="0">
                    <a:solidFill>
                      <a:srgbClr val="333333"/>
                    </a:solidFill>
                    <a:latin typeface="Calibri"/>
                    <a:ea typeface="Calibri"/>
                    <a:cs typeface="Calibri"/>
                  </a:defRPr>
                </a:pPr>
                <a:r>
                  <a:rPr lang="en-ZA"/>
                  <a:t>Block size</a:t>
                </a:r>
              </a:p>
            </c:rich>
          </c:tx>
          <c:overlay val="0"/>
          <c:spPr>
            <a:noFill/>
            <a:ln w="25400">
              <a:noFill/>
            </a:ln>
          </c:spPr>
        </c:title>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0" vert="horz"/>
          <a:lstStyle/>
          <a:p>
            <a:pPr>
              <a:defRPr sz="900" b="0" i="0" u="none" strike="noStrike" baseline="0">
                <a:solidFill>
                  <a:srgbClr val="333333"/>
                </a:solidFill>
                <a:latin typeface="Calibri"/>
                <a:ea typeface="Calibri"/>
                <a:cs typeface="Calibri"/>
              </a:defRPr>
            </a:pPr>
            <a:endParaRPr lang="en-US"/>
          </a:p>
        </c:txPr>
        <c:crossAx val="1"/>
        <c:crosses val="autoZero"/>
        <c:auto val="1"/>
        <c:lblAlgn val="ctr"/>
        <c:lblOffset val="100"/>
        <c:noMultiLvlLbl val="0"/>
      </c:catAx>
      <c:valAx>
        <c:axId val="1"/>
        <c:scaling>
          <c:orientation val="minMax"/>
        </c:scaling>
        <c:delete val="0"/>
        <c:axPos val="l"/>
        <c:majorGridlines>
          <c:spPr>
            <a:ln w="9525" cap="flat" cmpd="sng" algn="ctr">
              <a:solidFill>
                <a:schemeClr val="tx1">
                  <a:lumMod val="15000"/>
                  <a:lumOff val="85000"/>
                </a:schemeClr>
              </a:solidFill>
              <a:round/>
            </a:ln>
            <a:effectLst/>
          </c:spPr>
        </c:majorGridlines>
        <c:title>
          <c:tx>
            <c:rich>
              <a:bodyPr/>
              <a:lstStyle/>
              <a:p>
                <a:pPr>
                  <a:defRPr sz="1000" b="0" i="0" u="none" strike="noStrike" baseline="0">
                    <a:solidFill>
                      <a:srgbClr val="333333"/>
                    </a:solidFill>
                    <a:latin typeface="Calibri"/>
                    <a:ea typeface="Calibri"/>
                    <a:cs typeface="Calibri"/>
                  </a:defRPr>
                </a:pPr>
                <a:r>
                  <a:rPr lang="en-ZA"/>
                  <a:t>R/kl</a:t>
                </a:r>
              </a:p>
            </c:rich>
          </c:tx>
          <c:overlay val="0"/>
          <c:spPr>
            <a:noFill/>
            <a:ln w="25400">
              <a:noFill/>
            </a:ln>
          </c:spPr>
        </c:title>
        <c:numFmt formatCode="_(* #,##0.00_);_(* \(#,##0.00\);_(* &quot;-&quot;??_);_(@_)" sourceLinked="1"/>
        <c:majorTickMark val="none"/>
        <c:minorTickMark val="none"/>
        <c:tickLblPos val="nextTo"/>
        <c:spPr>
          <a:ln w="6350">
            <a:noFill/>
          </a:ln>
        </c:spPr>
        <c:txPr>
          <a:bodyPr rot="0" vert="horz"/>
          <a:lstStyle/>
          <a:p>
            <a:pPr>
              <a:defRPr sz="900" b="0" i="0" u="none" strike="noStrike" baseline="0">
                <a:solidFill>
                  <a:srgbClr val="333333"/>
                </a:solidFill>
                <a:latin typeface="Calibri"/>
                <a:ea typeface="Calibri"/>
                <a:cs typeface="Calibri"/>
              </a:defRPr>
            </a:pPr>
            <a:endParaRPr lang="en-US"/>
          </a:p>
        </c:txPr>
        <c:crossAx val="1399778959"/>
        <c:crosses val="autoZero"/>
        <c:crossBetween val="between"/>
      </c:valAx>
      <c:spPr>
        <a:noFill/>
        <a:ln w="25400">
          <a:noFill/>
        </a:ln>
      </c:spPr>
    </c:plotArea>
    <c:legend>
      <c:legendPos val="r"/>
      <c:layout>
        <c:manualLayout>
          <c:xMode val="edge"/>
          <c:yMode val="edge"/>
          <c:x val="0.16605689049016475"/>
          <c:y val="0.9270571043484428"/>
          <c:w val="0.65869231290738117"/>
          <c:h val="5.9461445697666204E-2"/>
        </c:manualLayout>
      </c:layout>
      <c:overlay val="0"/>
      <c:spPr>
        <a:noFill/>
        <a:ln w="25400">
          <a:noFill/>
        </a:ln>
      </c:spPr>
      <c:txPr>
        <a:bodyPr/>
        <a:lstStyle/>
        <a:p>
          <a:pPr>
            <a:defRPr sz="690" b="0" i="0" u="none" strike="noStrike" baseline="0">
              <a:solidFill>
                <a:srgbClr val="333333"/>
              </a:solidFill>
              <a:latin typeface="Calibri"/>
              <a:ea typeface="Calibri"/>
              <a:cs typeface="Calibri"/>
            </a:defRPr>
          </a:pPr>
          <a:endParaRPr lang="en-US"/>
        </a:p>
      </c:txPr>
    </c:legend>
    <c:plotVisOnly val="1"/>
    <c:dispBlanksAs val="gap"/>
    <c:showDLblsOverMax val="0"/>
  </c:chart>
  <c:spPr>
    <a:solidFill>
      <a:schemeClr val="bg1"/>
    </a:solidFill>
    <a:ln w="9525" cap="flat" cmpd="sng" algn="ctr">
      <a:noFill/>
      <a:round/>
    </a:ln>
    <a:effectLst/>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charts/chart6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2.3871527777777776E-2"/>
          <c:y val="4.7786414907172239E-2"/>
          <c:w val="0.57559123468941387"/>
          <c:h val="0.83529592857692603"/>
        </c:manualLayout>
      </c:layout>
      <c:barChart>
        <c:barDir val="col"/>
        <c:grouping val="stacked"/>
        <c:varyColors val="0"/>
        <c:ser>
          <c:idx val="0"/>
          <c:order val="0"/>
          <c:tx>
            <c:strRef>
              <c:f>'Water report'!$I$291</c:f>
              <c:strCache>
                <c:ptCount val="1"/>
                <c:pt idx="0">
                  <c:v>Fixed cost</c:v>
                </c:pt>
              </c:strCache>
            </c:strRef>
          </c:tx>
          <c:spPr>
            <a:solidFill>
              <a:srgbClr val="4472C4"/>
            </a:solidFill>
            <a:ln w="25400">
              <a:noFill/>
            </a:ln>
          </c:spPr>
          <c:invertIfNegative val="0"/>
          <c:dPt>
            <c:idx val="0"/>
            <c:invertIfNegative val="0"/>
            <c:bubble3D val="0"/>
            <c:spPr>
              <a:solidFill>
                <a:srgbClr val="5B9BD5"/>
              </a:solidFill>
              <a:ln w="25400">
                <a:noFill/>
              </a:ln>
            </c:spPr>
            <c:extLst>
              <c:ext xmlns:c16="http://schemas.microsoft.com/office/drawing/2014/chart" uri="{C3380CC4-5D6E-409C-BE32-E72D297353CC}">
                <c16:uniqueId val="{00000000-BE86-45D7-8C37-8873B99C8D95}"/>
              </c:ext>
            </c:extLst>
          </c:dPt>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'Water report'!$J$290:$K$290</c:f>
              <c:strCache>
                <c:ptCount val="2"/>
                <c:pt idx="0">
                  <c:v>Expenditure R'000</c:v>
                </c:pt>
                <c:pt idx="1">
                  <c:v>Revenue R'000</c:v>
                </c:pt>
              </c:strCache>
            </c:strRef>
          </c:cat>
          <c:val>
            <c:numRef>
              <c:f>'Water report'!$J$291:$K$291</c:f>
              <c:numCache>
                <c:formatCode>General</c:formatCode>
                <c:ptCount val="2"/>
                <c:pt idx="0" formatCode="_-* #\ ##0_-;\-* #\ ##0_-;_-* &quot;-&quot;??_-;_-@_-">
                  <c:v>7.2413882722983605</c:v>
                </c:pt>
              </c:numCache>
            </c:numRef>
          </c:val>
          <c:extLst>
            <c:ext xmlns:c16="http://schemas.microsoft.com/office/drawing/2014/chart" uri="{C3380CC4-5D6E-409C-BE32-E72D297353CC}">
              <c16:uniqueId val="{00000001-BE86-45D7-8C37-8873B99C8D95}"/>
            </c:ext>
          </c:extLst>
        </c:ser>
        <c:ser>
          <c:idx val="1"/>
          <c:order val="1"/>
          <c:tx>
            <c:strRef>
              <c:f>'Water report'!$I$292</c:f>
              <c:strCache>
                <c:ptCount val="1"/>
                <c:pt idx="0">
                  <c:v>Variable cost</c:v>
                </c:pt>
              </c:strCache>
            </c:strRef>
          </c:tx>
          <c:spPr>
            <a:solidFill>
              <a:schemeClr val="accent5">
                <a:lumMod val="60000"/>
                <a:lumOff val="40000"/>
              </a:schemeClr>
            </a:solidFill>
            <a:ln>
              <a:noFill/>
            </a:ln>
            <a:effectLst/>
          </c:spPr>
          <c:invertIfNegative val="0"/>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'Water report'!$J$290:$K$290</c:f>
              <c:strCache>
                <c:ptCount val="2"/>
                <c:pt idx="0">
                  <c:v>Expenditure R'000</c:v>
                </c:pt>
                <c:pt idx="1">
                  <c:v>Revenue R'000</c:v>
                </c:pt>
              </c:strCache>
            </c:strRef>
          </c:cat>
          <c:val>
            <c:numRef>
              <c:f>'Water report'!$J$292:$K$292</c:f>
              <c:numCache>
                <c:formatCode>General</c:formatCode>
                <c:ptCount val="2"/>
                <c:pt idx="0" formatCode="_-* #\ ##0_-;\-* #\ ##0_-;_-* &quot;-&quot;??_-;_-@_-">
                  <c:v>10350.10433599556</c:v>
                </c:pt>
              </c:numCache>
            </c:numRef>
          </c:val>
          <c:extLst>
            <c:ext xmlns:c16="http://schemas.microsoft.com/office/drawing/2014/chart" uri="{C3380CC4-5D6E-409C-BE32-E72D297353CC}">
              <c16:uniqueId val="{00000002-BE86-45D7-8C37-8873B99C8D95}"/>
            </c:ext>
          </c:extLst>
        </c:ser>
        <c:ser>
          <c:idx val="2"/>
          <c:order val="2"/>
          <c:tx>
            <c:strRef>
              <c:f>'Water report'!$I$293</c:f>
              <c:strCache>
                <c:ptCount val="1"/>
                <c:pt idx="0">
                  <c:v>Surplus</c:v>
                </c:pt>
              </c:strCache>
            </c:strRef>
          </c:tx>
          <c:spPr>
            <a:solidFill>
              <a:srgbClr val="A5A5A5"/>
            </a:solidFill>
            <a:ln w="25400">
              <a:noFill/>
            </a:ln>
          </c:spPr>
          <c:invertIfNegative val="0"/>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'Water report'!$J$290:$K$290</c:f>
              <c:strCache>
                <c:ptCount val="2"/>
                <c:pt idx="0">
                  <c:v>Expenditure R'000</c:v>
                </c:pt>
                <c:pt idx="1">
                  <c:v>Revenue R'000</c:v>
                </c:pt>
              </c:strCache>
            </c:strRef>
          </c:cat>
          <c:val>
            <c:numRef>
              <c:f>'Water report'!$J$293:$K$293</c:f>
              <c:numCache>
                <c:formatCode>General</c:formatCode>
                <c:ptCount val="2"/>
                <c:pt idx="0" formatCode="_-* #\ ##0_-;\-* #\ ##0_-;_-* &quot;-&quot;??_-;_-@_-">
                  <c:v>0</c:v>
                </c:pt>
              </c:numCache>
            </c:numRef>
          </c:val>
          <c:extLst>
            <c:ext xmlns:c16="http://schemas.microsoft.com/office/drawing/2014/chart" uri="{C3380CC4-5D6E-409C-BE32-E72D297353CC}">
              <c16:uniqueId val="{00000003-BE86-45D7-8C37-8873B99C8D95}"/>
            </c:ext>
          </c:extLst>
        </c:ser>
        <c:ser>
          <c:idx val="4"/>
          <c:order val="3"/>
          <c:tx>
            <c:strRef>
              <c:f>'Water report'!$I$294</c:f>
              <c:strCache>
                <c:ptCount val="1"/>
                <c:pt idx="0">
                  <c:v>Tariff revenue</c:v>
                </c:pt>
              </c:strCache>
            </c:strRef>
          </c:tx>
          <c:spPr>
            <a:solidFill>
              <a:srgbClr val="5B9BD5"/>
            </a:solidFill>
            <a:ln w="25400">
              <a:noFill/>
            </a:ln>
          </c:spPr>
          <c:invertIfNegative val="0"/>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'Water report'!$J$290:$K$290</c:f>
              <c:strCache>
                <c:ptCount val="2"/>
                <c:pt idx="0">
                  <c:v>Expenditure R'000</c:v>
                </c:pt>
                <c:pt idx="1">
                  <c:v>Revenue R'000</c:v>
                </c:pt>
              </c:strCache>
            </c:strRef>
          </c:cat>
          <c:val>
            <c:numRef>
              <c:f>'Water report'!$J$294:$K$294</c:f>
              <c:numCache>
                <c:formatCode>_-* #\ ##0_-;\-* #\ ##0_-;_-* "-"??_-;_-@_-</c:formatCode>
                <c:ptCount val="2"/>
                <c:pt idx="1">
                  <c:v>9610.9002485174206</c:v>
                </c:pt>
              </c:numCache>
            </c:numRef>
          </c:val>
          <c:extLst>
            <c:ext xmlns:c16="http://schemas.microsoft.com/office/drawing/2014/chart" uri="{C3380CC4-5D6E-409C-BE32-E72D297353CC}">
              <c16:uniqueId val="{00000004-BE86-45D7-8C37-8873B99C8D95}"/>
            </c:ext>
          </c:extLst>
        </c:ser>
        <c:ser>
          <c:idx val="5"/>
          <c:order val="4"/>
          <c:tx>
            <c:strRef>
              <c:f>'Water report'!$I$295</c:f>
              <c:strCache>
                <c:ptCount val="1"/>
                <c:pt idx="0">
                  <c:v>External grants &amp; subsidies</c:v>
                </c:pt>
              </c:strCache>
            </c:strRef>
          </c:tx>
          <c:spPr>
            <a:solidFill>
              <a:srgbClr val="A5A5A5"/>
            </a:solidFill>
            <a:ln w="25400">
              <a:noFill/>
            </a:ln>
          </c:spPr>
          <c:invertIfNegative val="0"/>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'Water report'!$J$290:$K$290</c:f>
              <c:strCache>
                <c:ptCount val="2"/>
                <c:pt idx="0">
                  <c:v>Expenditure R'000</c:v>
                </c:pt>
                <c:pt idx="1">
                  <c:v>Revenue R'000</c:v>
                </c:pt>
              </c:strCache>
            </c:strRef>
          </c:cat>
          <c:val>
            <c:numRef>
              <c:f>'Water report'!$J$295:$K$295</c:f>
              <c:numCache>
                <c:formatCode>_-* #\ ##0_-;\-* #\ ##0_-;_-* "-"??_-;_-@_-</c:formatCode>
                <c:ptCount val="2"/>
                <c:pt idx="1">
                  <c:v>0</c:v>
                </c:pt>
              </c:numCache>
            </c:numRef>
          </c:val>
          <c:extLst>
            <c:ext xmlns:c16="http://schemas.microsoft.com/office/drawing/2014/chart" uri="{C3380CC4-5D6E-409C-BE32-E72D297353CC}">
              <c16:uniqueId val="{00000005-BE86-45D7-8C37-8873B99C8D95}"/>
            </c:ext>
          </c:extLst>
        </c:ser>
        <c:ser>
          <c:idx val="3"/>
          <c:order val="5"/>
          <c:tx>
            <c:strRef>
              <c:f>'Water report'!$I$296</c:f>
              <c:strCache>
                <c:ptCount val="1"/>
                <c:pt idx="0">
                  <c:v>Other non-tariff revenue</c:v>
                </c:pt>
              </c:strCache>
            </c:strRef>
          </c:tx>
          <c:spPr>
            <a:solidFill>
              <a:schemeClr val="accent3">
                <a:lumMod val="40000"/>
                <a:lumOff val="60000"/>
              </a:schemeClr>
            </a:solidFill>
            <a:ln>
              <a:noFill/>
            </a:ln>
            <a:effectLst/>
          </c:spPr>
          <c:invertIfNegative val="0"/>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'Water report'!$J$290:$K$290</c:f>
              <c:strCache>
                <c:ptCount val="2"/>
                <c:pt idx="0">
                  <c:v>Expenditure R'000</c:v>
                </c:pt>
                <c:pt idx="1">
                  <c:v>Revenue R'000</c:v>
                </c:pt>
              </c:strCache>
            </c:strRef>
          </c:cat>
          <c:val>
            <c:numRef>
              <c:f>'Water report'!$J$296:$K$296</c:f>
              <c:numCache>
                <c:formatCode>_-* #\ ##0_-;\-* #\ ##0_-;_-* "-"??_-;_-@_-</c:formatCode>
                <c:ptCount val="2"/>
                <c:pt idx="1">
                  <c:v>746.44547575043816</c:v>
                </c:pt>
              </c:numCache>
            </c:numRef>
          </c:val>
          <c:extLst>
            <c:ext xmlns:c16="http://schemas.microsoft.com/office/drawing/2014/chart" uri="{C3380CC4-5D6E-409C-BE32-E72D297353CC}">
              <c16:uniqueId val="{00000006-BE86-45D7-8C37-8873B99C8D95}"/>
            </c:ext>
          </c:extLst>
        </c:ser>
        <c:ser>
          <c:idx val="6"/>
          <c:order val="6"/>
          <c:tx>
            <c:strRef>
              <c:f>'Water report'!$I$297</c:f>
              <c:strCache>
                <c:ptCount val="1"/>
                <c:pt idx="0">
                  <c:v>Deficit</c:v>
                </c:pt>
              </c:strCache>
            </c:strRef>
          </c:tx>
          <c:spPr>
            <a:solidFill>
              <a:srgbClr val="ED7D31"/>
            </a:solidFill>
            <a:ln w="25400">
              <a:noFill/>
            </a:ln>
          </c:spPr>
          <c:invertIfNegative val="0"/>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'Water report'!$J$290:$K$290</c:f>
              <c:strCache>
                <c:ptCount val="2"/>
                <c:pt idx="0">
                  <c:v>Expenditure R'000</c:v>
                </c:pt>
                <c:pt idx="1">
                  <c:v>Revenue R'000</c:v>
                </c:pt>
              </c:strCache>
            </c:strRef>
          </c:cat>
          <c:val>
            <c:numRef>
              <c:f>'Water report'!$J$297:$K$297</c:f>
              <c:numCache>
                <c:formatCode>_-* #\ ##0_-;\-* #\ ##0_-;_-* "-"??_-;_-@_-</c:formatCode>
                <c:ptCount val="2"/>
                <c:pt idx="1">
                  <c:v>0</c:v>
                </c:pt>
              </c:numCache>
            </c:numRef>
          </c:val>
          <c:extLst>
            <c:ext xmlns:c16="http://schemas.microsoft.com/office/drawing/2014/chart" uri="{C3380CC4-5D6E-409C-BE32-E72D297353CC}">
              <c16:uniqueId val="{00000007-BE86-45D7-8C37-8873B99C8D95}"/>
            </c:ext>
          </c:extLst>
        </c:ser>
        <c:dLbls>
          <c:showLegendKey val="0"/>
          <c:showVal val="0"/>
          <c:showCatName val="0"/>
          <c:showSerName val="0"/>
          <c:showPercent val="0"/>
          <c:showBubbleSize val="0"/>
        </c:dLbls>
        <c:gapWidth val="25"/>
        <c:overlap val="100"/>
        <c:axId val="1399766959"/>
        <c:axId val="1"/>
      </c:barChart>
      <c:catAx>
        <c:axId val="1399766959"/>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0" vert="horz"/>
          <a:lstStyle/>
          <a:p>
            <a:pPr>
              <a:defRPr sz="1100" b="0" i="0" u="none" strike="noStrike" baseline="0">
                <a:solidFill>
                  <a:srgbClr val="000000"/>
                </a:solidFill>
                <a:latin typeface="Calibri"/>
                <a:ea typeface="Calibri"/>
                <a:cs typeface="Calibri"/>
              </a:defRPr>
            </a:pPr>
            <a:endParaRPr lang="en-US"/>
          </a:p>
        </c:txPr>
        <c:crossAx val="1"/>
        <c:crosses val="autoZero"/>
        <c:auto val="1"/>
        <c:lblAlgn val="ctr"/>
        <c:lblOffset val="100"/>
        <c:noMultiLvlLbl val="0"/>
      </c:catAx>
      <c:valAx>
        <c:axId val="1"/>
        <c:scaling>
          <c:orientation val="minMax"/>
        </c:scaling>
        <c:delete val="1"/>
        <c:axPos val="l"/>
        <c:majorGridlines>
          <c:spPr>
            <a:ln w="9525" cap="flat" cmpd="sng" algn="ctr">
              <a:solidFill>
                <a:schemeClr val="tx1">
                  <a:lumMod val="15000"/>
                  <a:lumOff val="85000"/>
                </a:schemeClr>
              </a:solidFill>
              <a:round/>
            </a:ln>
            <a:effectLst/>
          </c:spPr>
        </c:majorGridlines>
        <c:numFmt formatCode="_-* #\ ##0_-;\-* #\ ##0_-;_-* &quot;-&quot;??_-;_-@_-" sourceLinked="1"/>
        <c:majorTickMark val="out"/>
        <c:minorTickMark val="none"/>
        <c:tickLblPos val="nextTo"/>
        <c:crossAx val="1399766959"/>
        <c:crosses val="autoZero"/>
        <c:crossBetween val="between"/>
      </c:valAx>
    </c:plotArea>
    <c:legend>
      <c:legendPos val="r"/>
      <c:layout>
        <c:manualLayout>
          <c:xMode val="edge"/>
          <c:yMode val="edge"/>
          <c:x val="0.63115374537573665"/>
          <c:y val="0.17846767615586512"/>
          <c:w val="0.35026499860106319"/>
          <c:h val="0.70771685846961441"/>
        </c:manualLayout>
      </c:layout>
      <c:overlay val="0"/>
      <c:spPr>
        <a:noFill/>
        <a:ln w="25400">
          <a:noFill/>
        </a:ln>
      </c:spPr>
      <c:txPr>
        <a:bodyPr/>
        <a:lstStyle/>
        <a:p>
          <a:pPr>
            <a:defRPr sz="850" b="0" i="0" u="none" strike="noStrike" baseline="0">
              <a:solidFill>
                <a:srgbClr val="000000"/>
              </a:solidFill>
              <a:latin typeface="Calibri"/>
              <a:ea typeface="Calibri"/>
              <a:cs typeface="Calibri"/>
            </a:defRPr>
          </a:pPr>
          <a:endParaRPr lang="en-US"/>
        </a:p>
      </c:txPr>
    </c:legend>
    <c:plotVisOnly val="1"/>
    <c:dispBlanksAs val="gap"/>
    <c:showDLblsOverMax val="0"/>
  </c:chart>
  <c:spPr>
    <a:solidFill>
      <a:schemeClr val="bg1"/>
    </a:solidFill>
    <a:ln w="9525" cap="flat" cmpd="sng" algn="ctr">
      <a:noFill/>
      <a:round/>
    </a:ln>
    <a:effectLst/>
  </c:spPr>
  <c:txPr>
    <a:bodyPr/>
    <a:lstStyle/>
    <a:p>
      <a:pPr>
        <a:defRPr sz="11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charts/chart7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ser>
          <c:idx val="0"/>
          <c:order val="0"/>
          <c:tx>
            <c:strRef>
              <c:f>'Water report'!$K$314</c:f>
              <c:strCache>
                <c:ptCount val="1"/>
                <c:pt idx="0">
                  <c:v>Tariff </c:v>
                </c:pt>
              </c:strCache>
            </c:strRef>
          </c:tx>
          <c:spPr>
            <a:solidFill>
              <a:srgbClr val="4472C4"/>
            </a:solidFill>
            <a:ln w="25400">
              <a:noFill/>
            </a:ln>
          </c:spPr>
          <c:invertIfNegative val="0"/>
          <c:dLbls>
            <c:spPr>
              <a:noFill/>
              <a:ln w="25400">
                <a:noFill/>
              </a:ln>
            </c:spPr>
            <c:txPr>
              <a:bodyPr wrap="square" lIns="38100" tIns="19050" rIns="38100" bIns="19050" anchor="ctr">
                <a:spAutoFit/>
              </a:bodyPr>
              <a:lstStyle/>
              <a:p>
                <a:pPr>
                  <a:defRPr sz="900" b="0" i="0" u="none" strike="noStrike" baseline="0">
                    <a:solidFill>
                      <a:srgbClr val="333333"/>
                    </a:solidFill>
                    <a:latin typeface="Calibri"/>
                    <a:ea typeface="Calibri"/>
                    <a:cs typeface="Calibri"/>
                  </a:defRPr>
                </a:pPr>
                <a:endParaRPr lang="en-US"/>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'Water report'!$J$315:$J$324</c:f>
              <c:strCache>
                <c:ptCount val="10"/>
                <c:pt idx="0">
                  <c:v>30</c:v>
                </c:pt>
                <c:pt idx="1">
                  <c:v>40</c:v>
                </c:pt>
                <c:pt idx="2">
                  <c:v>more</c:v>
                </c:pt>
                <c:pt idx="3">
                  <c:v>0</c:v>
                </c:pt>
                <c:pt idx="4">
                  <c:v>0</c:v>
                </c:pt>
                <c:pt idx="5">
                  <c:v>0</c:v>
                </c:pt>
                <c:pt idx="6">
                  <c:v>0</c:v>
                </c:pt>
                <c:pt idx="7">
                  <c:v>0</c:v>
                </c:pt>
                <c:pt idx="8">
                  <c:v>0</c:v>
                </c:pt>
                <c:pt idx="9">
                  <c:v>0</c:v>
                </c:pt>
              </c:strCache>
            </c:strRef>
          </c:cat>
          <c:val>
            <c:numRef>
              <c:f>'Water report'!$K$315:$K$324</c:f>
              <c:numCache>
                <c:formatCode>_(* #,##0.00_);_(* \(#,##0.00\);_(* "-"??_);_(@_)</c:formatCode>
                <c:ptCount val="10"/>
                <c:pt idx="0">
                  <c:v>10.775169552364734</c:v>
                </c:pt>
                <c:pt idx="1">
                  <c:v>14.546285306587965</c:v>
                </c:pt>
                <c:pt idx="2">
                  <c:v>21.379980692834373</c:v>
                </c:pt>
                <c:pt idx="3">
                  <c:v>0</c:v>
                </c:pt>
                <c:pt idx="4">
                  <c:v>0</c:v>
                </c:pt>
                <c:pt idx="5">
                  <c:v>0</c:v>
                </c:pt>
                <c:pt idx="6">
                  <c:v>0</c:v>
                </c:pt>
                <c:pt idx="7">
                  <c:v>0</c:v>
                </c:pt>
                <c:pt idx="8">
                  <c:v>0</c:v>
                </c:pt>
                <c:pt idx="9">
                  <c:v>0</c:v>
                </c:pt>
              </c:numCache>
            </c:numRef>
          </c:val>
          <c:extLst>
            <c:ext xmlns:c16="http://schemas.microsoft.com/office/drawing/2014/chart" uri="{C3380CC4-5D6E-409C-BE32-E72D297353CC}">
              <c16:uniqueId val="{00000000-33F1-436D-9AC4-4DD9E2D82228}"/>
            </c:ext>
          </c:extLst>
        </c:ser>
        <c:dLbls>
          <c:showLegendKey val="0"/>
          <c:showVal val="0"/>
          <c:showCatName val="0"/>
          <c:showSerName val="0"/>
          <c:showPercent val="0"/>
          <c:showBubbleSize val="0"/>
        </c:dLbls>
        <c:gapWidth val="50"/>
        <c:overlap val="-27"/>
        <c:axId val="1399768879"/>
        <c:axId val="1"/>
      </c:barChart>
      <c:lineChart>
        <c:grouping val="standard"/>
        <c:varyColors val="0"/>
        <c:ser>
          <c:idx val="1"/>
          <c:order val="1"/>
          <c:tx>
            <c:strRef>
              <c:f>'Water report'!$L$314</c:f>
              <c:strCache>
                <c:ptCount val="1"/>
                <c:pt idx="0">
                  <c:v>Total cost per kl </c:v>
                </c:pt>
              </c:strCache>
            </c:strRef>
          </c:tx>
          <c:spPr>
            <a:ln w="28575" cap="rnd">
              <a:solidFill>
                <a:schemeClr val="accent2"/>
              </a:solidFill>
              <a:round/>
            </a:ln>
            <a:effectLst/>
          </c:spPr>
          <c:marker>
            <c:symbol val="none"/>
          </c:marker>
          <c:val>
            <c:numRef>
              <c:f>'Water report'!$L$315:$L$324</c:f>
              <c:numCache>
                <c:formatCode>_(* #,##0.00_);_(* \(#,##0.00\);_(* "-"??_);_(@_)</c:formatCode>
                <c:ptCount val="10"/>
                <c:pt idx="0">
                  <c:v>23.038008280206739</c:v>
                </c:pt>
                <c:pt idx="1">
                  <c:v>23.038008280206739</c:v>
                </c:pt>
                <c:pt idx="2">
                  <c:v>23.038008280206739</c:v>
                </c:pt>
                <c:pt idx="3">
                  <c:v>23.038008280206739</c:v>
                </c:pt>
                <c:pt idx="4">
                  <c:v>23.038008280206739</c:v>
                </c:pt>
                <c:pt idx="5">
                  <c:v>23.038008280206739</c:v>
                </c:pt>
                <c:pt idx="6">
                  <c:v>23.038008280206739</c:v>
                </c:pt>
                <c:pt idx="7">
                  <c:v>23.038008280206739</c:v>
                </c:pt>
                <c:pt idx="8">
                  <c:v>23.038008280206739</c:v>
                </c:pt>
                <c:pt idx="9">
                  <c:v>23.038008280206739</c:v>
                </c:pt>
              </c:numCache>
            </c:numRef>
          </c:val>
          <c:smooth val="0"/>
          <c:extLst>
            <c:ext xmlns:c16="http://schemas.microsoft.com/office/drawing/2014/chart" uri="{C3380CC4-5D6E-409C-BE32-E72D297353CC}">
              <c16:uniqueId val="{00000001-33F1-436D-9AC4-4DD9E2D82228}"/>
            </c:ext>
          </c:extLst>
        </c:ser>
        <c:ser>
          <c:idx val="2"/>
          <c:order val="2"/>
          <c:tx>
            <c:strRef>
              <c:f>'Water report'!$M$314</c:f>
              <c:strCache>
                <c:ptCount val="1"/>
                <c:pt idx="0">
                  <c:v>Variable cost per kl</c:v>
                </c:pt>
              </c:strCache>
            </c:strRef>
          </c:tx>
          <c:spPr>
            <a:ln w="28575" cap="rnd">
              <a:solidFill>
                <a:schemeClr val="accent3"/>
              </a:solidFill>
              <a:round/>
            </a:ln>
            <a:effectLst/>
          </c:spPr>
          <c:marker>
            <c:symbol val="none"/>
          </c:marker>
          <c:val>
            <c:numRef>
              <c:f>'Water report'!$M$315:$M$324</c:f>
              <c:numCache>
                <c:formatCode>_(* #,##0.00_);_(* \(#,##0.00\);_(* "-"??_);_(@_)</c:formatCode>
                <c:ptCount val="10"/>
                <c:pt idx="0">
                  <c:v>23.021901145481429</c:v>
                </c:pt>
                <c:pt idx="1">
                  <c:v>23.021901145481429</c:v>
                </c:pt>
                <c:pt idx="2">
                  <c:v>23.021901145481429</c:v>
                </c:pt>
                <c:pt idx="3">
                  <c:v>23.021901145481429</c:v>
                </c:pt>
                <c:pt idx="4">
                  <c:v>23.021901145481429</c:v>
                </c:pt>
                <c:pt idx="5">
                  <c:v>23.021901145481429</c:v>
                </c:pt>
                <c:pt idx="6">
                  <c:v>23.021901145481429</c:v>
                </c:pt>
                <c:pt idx="7">
                  <c:v>23.021901145481429</c:v>
                </c:pt>
                <c:pt idx="8">
                  <c:v>23.021901145481429</c:v>
                </c:pt>
                <c:pt idx="9">
                  <c:v>23.021901145481429</c:v>
                </c:pt>
              </c:numCache>
            </c:numRef>
          </c:val>
          <c:smooth val="0"/>
          <c:extLst>
            <c:ext xmlns:c16="http://schemas.microsoft.com/office/drawing/2014/chart" uri="{C3380CC4-5D6E-409C-BE32-E72D297353CC}">
              <c16:uniqueId val="{00000002-33F1-436D-9AC4-4DD9E2D82228}"/>
            </c:ext>
          </c:extLst>
        </c:ser>
        <c:dLbls>
          <c:showLegendKey val="0"/>
          <c:showVal val="0"/>
          <c:showCatName val="0"/>
          <c:showSerName val="0"/>
          <c:showPercent val="0"/>
          <c:showBubbleSize val="0"/>
        </c:dLbls>
        <c:marker val="1"/>
        <c:smooth val="0"/>
        <c:axId val="1399768879"/>
        <c:axId val="1"/>
      </c:lineChart>
      <c:catAx>
        <c:axId val="1399768879"/>
        <c:scaling>
          <c:orientation val="minMax"/>
        </c:scaling>
        <c:delete val="0"/>
        <c:axPos val="b"/>
        <c:title>
          <c:tx>
            <c:rich>
              <a:bodyPr/>
              <a:lstStyle/>
              <a:p>
                <a:pPr>
                  <a:defRPr sz="1000" b="0" i="0" u="none" strike="noStrike" baseline="0">
                    <a:solidFill>
                      <a:srgbClr val="333333"/>
                    </a:solidFill>
                    <a:latin typeface="Calibri"/>
                    <a:ea typeface="Calibri"/>
                    <a:cs typeface="Calibri"/>
                  </a:defRPr>
                </a:pPr>
                <a:r>
                  <a:rPr lang="en-ZA"/>
                  <a:t>Block size</a:t>
                </a:r>
              </a:p>
            </c:rich>
          </c:tx>
          <c:overlay val="0"/>
          <c:spPr>
            <a:noFill/>
            <a:ln w="25400">
              <a:noFill/>
            </a:ln>
          </c:spPr>
        </c:title>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0" vert="horz"/>
          <a:lstStyle/>
          <a:p>
            <a:pPr>
              <a:defRPr sz="900" b="0" i="0" u="none" strike="noStrike" baseline="0">
                <a:solidFill>
                  <a:srgbClr val="333333"/>
                </a:solidFill>
                <a:latin typeface="Calibri"/>
                <a:ea typeface="Calibri"/>
                <a:cs typeface="Calibri"/>
              </a:defRPr>
            </a:pPr>
            <a:endParaRPr lang="en-US"/>
          </a:p>
        </c:txPr>
        <c:crossAx val="1"/>
        <c:crosses val="autoZero"/>
        <c:auto val="1"/>
        <c:lblAlgn val="ctr"/>
        <c:lblOffset val="100"/>
        <c:noMultiLvlLbl val="0"/>
      </c:catAx>
      <c:valAx>
        <c:axId val="1"/>
        <c:scaling>
          <c:orientation val="minMax"/>
        </c:scaling>
        <c:delete val="0"/>
        <c:axPos val="l"/>
        <c:majorGridlines>
          <c:spPr>
            <a:ln w="9525" cap="flat" cmpd="sng" algn="ctr">
              <a:solidFill>
                <a:schemeClr val="tx1">
                  <a:lumMod val="15000"/>
                  <a:lumOff val="85000"/>
                </a:schemeClr>
              </a:solidFill>
              <a:round/>
            </a:ln>
            <a:effectLst/>
          </c:spPr>
        </c:majorGridlines>
        <c:title>
          <c:tx>
            <c:rich>
              <a:bodyPr/>
              <a:lstStyle/>
              <a:p>
                <a:pPr>
                  <a:defRPr sz="1000" b="0" i="0" u="none" strike="noStrike" baseline="0">
                    <a:solidFill>
                      <a:srgbClr val="333333"/>
                    </a:solidFill>
                    <a:latin typeface="Calibri"/>
                    <a:ea typeface="Calibri"/>
                    <a:cs typeface="Calibri"/>
                  </a:defRPr>
                </a:pPr>
                <a:r>
                  <a:rPr lang="en-ZA"/>
                  <a:t>R/kl</a:t>
                </a:r>
              </a:p>
            </c:rich>
          </c:tx>
          <c:overlay val="0"/>
          <c:spPr>
            <a:noFill/>
            <a:ln w="25400">
              <a:noFill/>
            </a:ln>
          </c:spPr>
        </c:title>
        <c:numFmt formatCode="_(* #,##0.00_);_(* \(#,##0.00\);_(* &quot;-&quot;??_);_(@_)" sourceLinked="1"/>
        <c:majorTickMark val="none"/>
        <c:minorTickMark val="none"/>
        <c:tickLblPos val="nextTo"/>
        <c:spPr>
          <a:ln w="6350">
            <a:noFill/>
          </a:ln>
        </c:spPr>
        <c:txPr>
          <a:bodyPr rot="0" vert="horz"/>
          <a:lstStyle/>
          <a:p>
            <a:pPr>
              <a:defRPr sz="900" b="0" i="0" u="none" strike="noStrike" baseline="0">
                <a:solidFill>
                  <a:srgbClr val="333333"/>
                </a:solidFill>
                <a:latin typeface="Calibri"/>
                <a:ea typeface="Calibri"/>
                <a:cs typeface="Calibri"/>
              </a:defRPr>
            </a:pPr>
            <a:endParaRPr lang="en-US"/>
          </a:p>
        </c:txPr>
        <c:crossAx val="1399768879"/>
        <c:crosses val="autoZero"/>
        <c:crossBetween val="between"/>
      </c:valAx>
      <c:spPr>
        <a:noFill/>
        <a:ln w="25400">
          <a:noFill/>
        </a:ln>
      </c:spPr>
    </c:plotArea>
    <c:legend>
      <c:legendPos val="r"/>
      <c:layout>
        <c:manualLayout>
          <c:xMode val="edge"/>
          <c:yMode val="edge"/>
          <c:x val="0.16605689049016475"/>
          <c:y val="0.9270571043484428"/>
          <c:w val="0.65869231290738117"/>
          <c:h val="5.9461445697666204E-2"/>
        </c:manualLayout>
      </c:layout>
      <c:overlay val="0"/>
      <c:spPr>
        <a:noFill/>
        <a:ln w="25400">
          <a:noFill/>
        </a:ln>
      </c:spPr>
      <c:txPr>
        <a:bodyPr/>
        <a:lstStyle/>
        <a:p>
          <a:pPr>
            <a:defRPr sz="690" b="0" i="0" u="none" strike="noStrike" baseline="0">
              <a:solidFill>
                <a:srgbClr val="333333"/>
              </a:solidFill>
              <a:latin typeface="Calibri"/>
              <a:ea typeface="Calibri"/>
              <a:cs typeface="Calibri"/>
            </a:defRPr>
          </a:pPr>
          <a:endParaRPr lang="en-US"/>
        </a:p>
      </c:txPr>
    </c:legend>
    <c:plotVisOnly val="1"/>
    <c:dispBlanksAs val="gap"/>
    <c:showDLblsOverMax val="0"/>
  </c:chart>
  <c:spPr>
    <a:solidFill>
      <a:schemeClr val="bg1"/>
    </a:solidFill>
    <a:ln w="9525" cap="flat" cmpd="sng" algn="ctr">
      <a:noFill/>
      <a:round/>
    </a:ln>
    <a:effectLst/>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charts/chart7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2.3871527777777776E-2"/>
          <c:y val="4.7786414907172239E-2"/>
          <c:w val="0.57559123468941387"/>
          <c:h val="0.83529592857692603"/>
        </c:manualLayout>
      </c:layout>
      <c:barChart>
        <c:barDir val="col"/>
        <c:grouping val="stacked"/>
        <c:varyColors val="0"/>
        <c:ser>
          <c:idx val="0"/>
          <c:order val="0"/>
          <c:tx>
            <c:strRef>
              <c:f>'Water report'!$I$357</c:f>
              <c:strCache>
                <c:ptCount val="1"/>
                <c:pt idx="0">
                  <c:v>Fixed cost</c:v>
                </c:pt>
              </c:strCache>
            </c:strRef>
          </c:tx>
          <c:spPr>
            <a:solidFill>
              <a:srgbClr val="4472C4"/>
            </a:solidFill>
            <a:ln w="25400">
              <a:noFill/>
            </a:ln>
          </c:spPr>
          <c:invertIfNegative val="0"/>
          <c:dPt>
            <c:idx val="0"/>
            <c:invertIfNegative val="0"/>
            <c:bubble3D val="0"/>
            <c:spPr>
              <a:solidFill>
                <a:srgbClr val="5B9BD5"/>
              </a:solidFill>
              <a:ln w="25400">
                <a:noFill/>
              </a:ln>
            </c:spPr>
            <c:extLst>
              <c:ext xmlns:c16="http://schemas.microsoft.com/office/drawing/2014/chart" uri="{C3380CC4-5D6E-409C-BE32-E72D297353CC}">
                <c16:uniqueId val="{00000000-B578-40B3-8C2D-FD622B35F4A4}"/>
              </c:ext>
            </c:extLst>
          </c:dPt>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'Water report'!$J$356:$K$356</c:f>
              <c:strCache>
                <c:ptCount val="2"/>
                <c:pt idx="0">
                  <c:v>Expenditure R'000</c:v>
                </c:pt>
                <c:pt idx="1">
                  <c:v>Revenue R'000</c:v>
                </c:pt>
              </c:strCache>
            </c:strRef>
          </c:cat>
          <c:val>
            <c:numRef>
              <c:f>'Water report'!$J$357:$K$357</c:f>
              <c:numCache>
                <c:formatCode>General</c:formatCode>
                <c:ptCount val="2"/>
                <c:pt idx="0" formatCode="_-* #\ ##0_-;\-* #\ ##0_-;_-* &quot;-&quot;??_-;_-@_-">
                  <c:v>2610.5204721635596</c:v>
                </c:pt>
              </c:numCache>
            </c:numRef>
          </c:val>
          <c:extLst>
            <c:ext xmlns:c16="http://schemas.microsoft.com/office/drawing/2014/chart" uri="{C3380CC4-5D6E-409C-BE32-E72D297353CC}">
              <c16:uniqueId val="{00000001-B578-40B3-8C2D-FD622B35F4A4}"/>
            </c:ext>
          </c:extLst>
        </c:ser>
        <c:ser>
          <c:idx val="1"/>
          <c:order val="1"/>
          <c:tx>
            <c:strRef>
              <c:f>'Water report'!$I$358</c:f>
              <c:strCache>
                <c:ptCount val="1"/>
                <c:pt idx="0">
                  <c:v>Variable cost</c:v>
                </c:pt>
              </c:strCache>
            </c:strRef>
          </c:tx>
          <c:spPr>
            <a:solidFill>
              <a:schemeClr val="accent5">
                <a:lumMod val="60000"/>
                <a:lumOff val="40000"/>
              </a:schemeClr>
            </a:solidFill>
            <a:ln>
              <a:noFill/>
            </a:ln>
            <a:effectLst/>
          </c:spPr>
          <c:invertIfNegative val="0"/>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'Water report'!$J$356:$K$356</c:f>
              <c:strCache>
                <c:ptCount val="2"/>
                <c:pt idx="0">
                  <c:v>Expenditure R'000</c:v>
                </c:pt>
                <c:pt idx="1">
                  <c:v>Revenue R'000</c:v>
                </c:pt>
              </c:strCache>
            </c:strRef>
          </c:cat>
          <c:val>
            <c:numRef>
              <c:f>'Water report'!$J$358:$K$358</c:f>
              <c:numCache>
                <c:formatCode>General</c:formatCode>
                <c:ptCount val="2"/>
                <c:pt idx="0" formatCode="_-* #\ ##0_-;\-* #\ ##0_-;_-* &quot;-&quot;??_-;_-@_-">
                  <c:v>9210.1333462454804</c:v>
                </c:pt>
              </c:numCache>
            </c:numRef>
          </c:val>
          <c:extLst>
            <c:ext xmlns:c16="http://schemas.microsoft.com/office/drawing/2014/chart" uri="{C3380CC4-5D6E-409C-BE32-E72D297353CC}">
              <c16:uniqueId val="{00000002-B578-40B3-8C2D-FD622B35F4A4}"/>
            </c:ext>
          </c:extLst>
        </c:ser>
        <c:ser>
          <c:idx val="2"/>
          <c:order val="2"/>
          <c:tx>
            <c:strRef>
              <c:f>'Water report'!$I$359</c:f>
              <c:strCache>
                <c:ptCount val="1"/>
                <c:pt idx="0">
                  <c:v>Surplus</c:v>
                </c:pt>
              </c:strCache>
            </c:strRef>
          </c:tx>
          <c:spPr>
            <a:solidFill>
              <a:srgbClr val="A5A5A5"/>
            </a:solidFill>
            <a:ln w="25400">
              <a:noFill/>
            </a:ln>
          </c:spPr>
          <c:invertIfNegative val="0"/>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'Water report'!$J$356:$K$356</c:f>
              <c:strCache>
                <c:ptCount val="2"/>
                <c:pt idx="0">
                  <c:v>Expenditure R'000</c:v>
                </c:pt>
                <c:pt idx="1">
                  <c:v>Revenue R'000</c:v>
                </c:pt>
              </c:strCache>
            </c:strRef>
          </c:cat>
          <c:val>
            <c:numRef>
              <c:f>'Water report'!$J$359:$K$359</c:f>
              <c:numCache>
                <c:formatCode>General</c:formatCode>
                <c:ptCount val="2"/>
                <c:pt idx="0" formatCode="_-* #\ ##0_-;\-* #\ ##0_-;_-* &quot;-&quot;??_-;_-@_-">
                  <c:v>0</c:v>
                </c:pt>
              </c:numCache>
            </c:numRef>
          </c:val>
          <c:extLst>
            <c:ext xmlns:c16="http://schemas.microsoft.com/office/drawing/2014/chart" uri="{C3380CC4-5D6E-409C-BE32-E72D297353CC}">
              <c16:uniqueId val="{00000003-B578-40B3-8C2D-FD622B35F4A4}"/>
            </c:ext>
          </c:extLst>
        </c:ser>
        <c:ser>
          <c:idx val="4"/>
          <c:order val="3"/>
          <c:tx>
            <c:strRef>
              <c:f>'Water report'!$I$360</c:f>
              <c:strCache>
                <c:ptCount val="1"/>
                <c:pt idx="0">
                  <c:v>Tariff revenue</c:v>
                </c:pt>
              </c:strCache>
            </c:strRef>
          </c:tx>
          <c:spPr>
            <a:solidFill>
              <a:srgbClr val="5B9BD5"/>
            </a:solidFill>
            <a:ln w="25400">
              <a:noFill/>
            </a:ln>
          </c:spPr>
          <c:invertIfNegative val="0"/>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'Water report'!$J$356:$K$356</c:f>
              <c:strCache>
                <c:ptCount val="2"/>
                <c:pt idx="0">
                  <c:v>Expenditure R'000</c:v>
                </c:pt>
                <c:pt idx="1">
                  <c:v>Revenue R'000</c:v>
                </c:pt>
              </c:strCache>
            </c:strRef>
          </c:cat>
          <c:val>
            <c:numRef>
              <c:f>'Water report'!$J$360:$K$360</c:f>
              <c:numCache>
                <c:formatCode>_-* #\ ##0_-;\-* #\ ##0_-;_-* "-"??_-;_-@_-</c:formatCode>
                <c:ptCount val="2"/>
                <c:pt idx="1">
                  <c:v>10968.748919406813</c:v>
                </c:pt>
              </c:numCache>
            </c:numRef>
          </c:val>
          <c:extLst>
            <c:ext xmlns:c16="http://schemas.microsoft.com/office/drawing/2014/chart" uri="{C3380CC4-5D6E-409C-BE32-E72D297353CC}">
              <c16:uniqueId val="{00000004-B578-40B3-8C2D-FD622B35F4A4}"/>
            </c:ext>
          </c:extLst>
        </c:ser>
        <c:ser>
          <c:idx val="5"/>
          <c:order val="4"/>
          <c:tx>
            <c:strRef>
              <c:f>'Water report'!$I$361</c:f>
              <c:strCache>
                <c:ptCount val="1"/>
                <c:pt idx="0">
                  <c:v>External grants &amp; subsidies</c:v>
                </c:pt>
              </c:strCache>
            </c:strRef>
          </c:tx>
          <c:spPr>
            <a:solidFill>
              <a:srgbClr val="A5A5A5"/>
            </a:solidFill>
            <a:ln w="25400">
              <a:noFill/>
            </a:ln>
          </c:spPr>
          <c:invertIfNegative val="0"/>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'Water report'!$J$356:$K$356</c:f>
              <c:strCache>
                <c:ptCount val="2"/>
                <c:pt idx="0">
                  <c:v>Expenditure R'000</c:v>
                </c:pt>
                <c:pt idx="1">
                  <c:v>Revenue R'000</c:v>
                </c:pt>
              </c:strCache>
            </c:strRef>
          </c:cat>
          <c:val>
            <c:numRef>
              <c:f>'Water report'!$J$361:$K$361</c:f>
              <c:numCache>
                <c:formatCode>_-* #\ ##0_-;\-* #\ ##0_-;_-* "-"??_-;_-@_-</c:formatCode>
                <c:ptCount val="2"/>
                <c:pt idx="1">
                  <c:v>0</c:v>
                </c:pt>
              </c:numCache>
            </c:numRef>
          </c:val>
          <c:extLst>
            <c:ext xmlns:c16="http://schemas.microsoft.com/office/drawing/2014/chart" uri="{C3380CC4-5D6E-409C-BE32-E72D297353CC}">
              <c16:uniqueId val="{00000005-B578-40B3-8C2D-FD622B35F4A4}"/>
            </c:ext>
          </c:extLst>
        </c:ser>
        <c:ser>
          <c:idx val="3"/>
          <c:order val="5"/>
          <c:tx>
            <c:strRef>
              <c:f>'Water report'!$I$362</c:f>
              <c:strCache>
                <c:ptCount val="1"/>
                <c:pt idx="0">
                  <c:v>Other non-tariff revenue</c:v>
                </c:pt>
              </c:strCache>
            </c:strRef>
          </c:tx>
          <c:spPr>
            <a:solidFill>
              <a:schemeClr val="accent3">
                <a:lumMod val="40000"/>
                <a:lumOff val="60000"/>
              </a:schemeClr>
            </a:solidFill>
            <a:ln>
              <a:noFill/>
            </a:ln>
            <a:effectLst/>
          </c:spPr>
          <c:invertIfNegative val="0"/>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'Water report'!$J$356:$K$356</c:f>
              <c:strCache>
                <c:ptCount val="2"/>
                <c:pt idx="0">
                  <c:v>Expenditure R'000</c:v>
                </c:pt>
                <c:pt idx="1">
                  <c:v>Revenue R'000</c:v>
                </c:pt>
              </c:strCache>
            </c:strRef>
          </c:cat>
          <c:val>
            <c:numRef>
              <c:f>'Water report'!$J$362:$K$362</c:f>
              <c:numCache>
                <c:formatCode>_-* #\ ##0_-;\-* #\ ##0_-;_-* "-"??_-;_-@_-</c:formatCode>
                <c:ptCount val="2"/>
                <c:pt idx="1">
                  <c:v>851.90489900222803</c:v>
                </c:pt>
              </c:numCache>
            </c:numRef>
          </c:val>
          <c:extLst>
            <c:ext xmlns:c16="http://schemas.microsoft.com/office/drawing/2014/chart" uri="{C3380CC4-5D6E-409C-BE32-E72D297353CC}">
              <c16:uniqueId val="{00000006-B578-40B3-8C2D-FD622B35F4A4}"/>
            </c:ext>
          </c:extLst>
        </c:ser>
        <c:ser>
          <c:idx val="6"/>
          <c:order val="6"/>
          <c:tx>
            <c:strRef>
              <c:f>'Water report'!$I$363</c:f>
              <c:strCache>
                <c:ptCount val="1"/>
                <c:pt idx="0">
                  <c:v>Deficit</c:v>
                </c:pt>
              </c:strCache>
            </c:strRef>
          </c:tx>
          <c:spPr>
            <a:solidFill>
              <a:srgbClr val="ED7D31"/>
            </a:solidFill>
            <a:ln w="25400">
              <a:noFill/>
            </a:ln>
          </c:spPr>
          <c:invertIfNegative val="0"/>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'Water report'!$J$356:$K$356</c:f>
              <c:strCache>
                <c:ptCount val="2"/>
                <c:pt idx="0">
                  <c:v>Expenditure R'000</c:v>
                </c:pt>
                <c:pt idx="1">
                  <c:v>Revenue R'000</c:v>
                </c:pt>
              </c:strCache>
            </c:strRef>
          </c:cat>
          <c:val>
            <c:numRef>
              <c:f>'Water report'!$J$363:$K$363</c:f>
              <c:numCache>
                <c:formatCode>_-* #\ ##0_-;\-* #\ ##0_-;_-* "-"??_-;_-@_-</c:formatCode>
                <c:ptCount val="2"/>
                <c:pt idx="1">
                  <c:v>0</c:v>
                </c:pt>
              </c:numCache>
            </c:numRef>
          </c:val>
          <c:extLst>
            <c:ext xmlns:c16="http://schemas.microsoft.com/office/drawing/2014/chart" uri="{C3380CC4-5D6E-409C-BE32-E72D297353CC}">
              <c16:uniqueId val="{00000007-B578-40B3-8C2D-FD622B35F4A4}"/>
            </c:ext>
          </c:extLst>
        </c:ser>
        <c:dLbls>
          <c:showLegendKey val="0"/>
          <c:showVal val="0"/>
          <c:showCatName val="0"/>
          <c:showSerName val="0"/>
          <c:showPercent val="0"/>
          <c:showBubbleSize val="0"/>
        </c:dLbls>
        <c:gapWidth val="25"/>
        <c:overlap val="100"/>
        <c:axId val="1399791919"/>
        <c:axId val="1"/>
      </c:barChart>
      <c:catAx>
        <c:axId val="1399791919"/>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0" vert="horz"/>
          <a:lstStyle/>
          <a:p>
            <a:pPr>
              <a:defRPr sz="1100" b="0" i="0" u="none" strike="noStrike" baseline="0">
                <a:solidFill>
                  <a:srgbClr val="000000"/>
                </a:solidFill>
                <a:latin typeface="Calibri"/>
                <a:ea typeface="Calibri"/>
                <a:cs typeface="Calibri"/>
              </a:defRPr>
            </a:pPr>
            <a:endParaRPr lang="en-US"/>
          </a:p>
        </c:txPr>
        <c:crossAx val="1"/>
        <c:crosses val="autoZero"/>
        <c:auto val="1"/>
        <c:lblAlgn val="ctr"/>
        <c:lblOffset val="100"/>
        <c:noMultiLvlLbl val="0"/>
      </c:catAx>
      <c:valAx>
        <c:axId val="1"/>
        <c:scaling>
          <c:orientation val="minMax"/>
        </c:scaling>
        <c:delete val="1"/>
        <c:axPos val="l"/>
        <c:majorGridlines>
          <c:spPr>
            <a:ln w="9525" cap="flat" cmpd="sng" algn="ctr">
              <a:solidFill>
                <a:schemeClr val="tx1">
                  <a:lumMod val="15000"/>
                  <a:lumOff val="85000"/>
                </a:schemeClr>
              </a:solidFill>
              <a:round/>
            </a:ln>
            <a:effectLst/>
          </c:spPr>
        </c:majorGridlines>
        <c:numFmt formatCode="_-* #\ ##0_-;\-* #\ ##0_-;_-* &quot;-&quot;??_-;_-@_-" sourceLinked="1"/>
        <c:majorTickMark val="out"/>
        <c:minorTickMark val="none"/>
        <c:tickLblPos val="nextTo"/>
        <c:crossAx val="1399791919"/>
        <c:crosses val="autoZero"/>
        <c:crossBetween val="between"/>
      </c:valAx>
    </c:plotArea>
    <c:legend>
      <c:legendPos val="r"/>
      <c:layout>
        <c:manualLayout>
          <c:xMode val="edge"/>
          <c:yMode val="edge"/>
          <c:x val="0.62946169799841001"/>
          <c:y val="0.17846767615586512"/>
          <c:w val="0.35026499860106319"/>
          <c:h val="0.70771685846961441"/>
        </c:manualLayout>
      </c:layout>
      <c:overlay val="0"/>
      <c:spPr>
        <a:noFill/>
        <a:ln w="25400">
          <a:noFill/>
        </a:ln>
      </c:spPr>
      <c:txPr>
        <a:bodyPr/>
        <a:lstStyle/>
        <a:p>
          <a:pPr>
            <a:defRPr sz="850" b="0" i="0" u="none" strike="noStrike" baseline="0">
              <a:solidFill>
                <a:srgbClr val="000000"/>
              </a:solidFill>
              <a:latin typeface="Calibri"/>
              <a:ea typeface="Calibri"/>
              <a:cs typeface="Calibri"/>
            </a:defRPr>
          </a:pPr>
          <a:endParaRPr lang="en-US"/>
        </a:p>
      </c:txPr>
    </c:legend>
    <c:plotVisOnly val="1"/>
    <c:dispBlanksAs val="gap"/>
    <c:showDLblsOverMax val="0"/>
  </c:chart>
  <c:spPr>
    <a:solidFill>
      <a:schemeClr val="bg1"/>
    </a:solidFill>
    <a:ln w="9525" cap="flat" cmpd="sng" algn="ctr">
      <a:noFill/>
      <a:round/>
    </a:ln>
    <a:effectLst/>
  </c:spPr>
  <c:txPr>
    <a:bodyPr/>
    <a:lstStyle/>
    <a:p>
      <a:pPr>
        <a:defRPr sz="11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charts/chart7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ser>
          <c:idx val="0"/>
          <c:order val="0"/>
          <c:tx>
            <c:strRef>
              <c:f>'Water report'!$K$380</c:f>
              <c:strCache>
                <c:ptCount val="1"/>
                <c:pt idx="0">
                  <c:v>Tariff </c:v>
                </c:pt>
              </c:strCache>
            </c:strRef>
          </c:tx>
          <c:spPr>
            <a:solidFill>
              <a:srgbClr val="4472C4"/>
            </a:solidFill>
            <a:ln w="25400">
              <a:noFill/>
            </a:ln>
          </c:spPr>
          <c:invertIfNegative val="0"/>
          <c:dLbls>
            <c:spPr>
              <a:noFill/>
              <a:ln w="25400">
                <a:noFill/>
              </a:ln>
            </c:spPr>
            <c:txPr>
              <a:bodyPr wrap="square" lIns="38100" tIns="19050" rIns="38100" bIns="19050" anchor="ctr">
                <a:spAutoFit/>
              </a:bodyPr>
              <a:lstStyle/>
              <a:p>
                <a:pPr>
                  <a:defRPr sz="900" b="0" i="0" u="none" strike="noStrike" baseline="0">
                    <a:solidFill>
                      <a:srgbClr val="333333"/>
                    </a:solidFill>
                    <a:latin typeface="Calibri"/>
                    <a:ea typeface="Calibri"/>
                    <a:cs typeface="Calibri"/>
                  </a:defRPr>
                </a:pPr>
                <a:endParaRPr lang="en-US"/>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'Water report'!$J$381:$J$390</c:f>
              <c:strCache>
                <c:ptCount val="10"/>
                <c:pt idx="0">
                  <c:v>30</c:v>
                </c:pt>
                <c:pt idx="1">
                  <c:v>40</c:v>
                </c:pt>
                <c:pt idx="2">
                  <c:v>more</c:v>
                </c:pt>
                <c:pt idx="3">
                  <c:v>0</c:v>
                </c:pt>
                <c:pt idx="4">
                  <c:v>0</c:v>
                </c:pt>
                <c:pt idx="5">
                  <c:v>0</c:v>
                </c:pt>
                <c:pt idx="6">
                  <c:v>0</c:v>
                </c:pt>
                <c:pt idx="7">
                  <c:v>0</c:v>
                </c:pt>
                <c:pt idx="8">
                  <c:v>0</c:v>
                </c:pt>
                <c:pt idx="9">
                  <c:v>0</c:v>
                </c:pt>
              </c:strCache>
            </c:strRef>
          </c:cat>
          <c:val>
            <c:numRef>
              <c:f>'Water report'!$K$381:$K$390</c:f>
              <c:numCache>
                <c:formatCode>_(* #,##0.00_);_(* \(#,##0.00\);_(* "-"??_);_(@_)</c:formatCode>
                <c:ptCount val="10"/>
                <c:pt idx="0">
                  <c:v>12.70779674269545</c:v>
                </c:pt>
                <c:pt idx="1">
                  <c:v>17.350693555367585</c:v>
                </c:pt>
                <c:pt idx="2">
                  <c:v>25.41996944845657</c:v>
                </c:pt>
                <c:pt idx="3">
                  <c:v>0</c:v>
                </c:pt>
                <c:pt idx="4">
                  <c:v>0</c:v>
                </c:pt>
                <c:pt idx="5">
                  <c:v>0</c:v>
                </c:pt>
                <c:pt idx="6">
                  <c:v>0</c:v>
                </c:pt>
                <c:pt idx="7">
                  <c:v>0</c:v>
                </c:pt>
                <c:pt idx="8">
                  <c:v>0</c:v>
                </c:pt>
                <c:pt idx="9">
                  <c:v>0</c:v>
                </c:pt>
              </c:numCache>
            </c:numRef>
          </c:val>
          <c:extLst>
            <c:ext xmlns:c16="http://schemas.microsoft.com/office/drawing/2014/chart" uri="{C3380CC4-5D6E-409C-BE32-E72D297353CC}">
              <c16:uniqueId val="{00000000-9CF6-4BA8-9736-B6152E0F53E5}"/>
            </c:ext>
          </c:extLst>
        </c:ser>
        <c:dLbls>
          <c:showLegendKey val="0"/>
          <c:showVal val="0"/>
          <c:showCatName val="0"/>
          <c:showSerName val="0"/>
          <c:showPercent val="0"/>
          <c:showBubbleSize val="0"/>
        </c:dLbls>
        <c:gapWidth val="50"/>
        <c:overlap val="-27"/>
        <c:axId val="1399811119"/>
        <c:axId val="1"/>
      </c:barChart>
      <c:lineChart>
        <c:grouping val="standard"/>
        <c:varyColors val="0"/>
        <c:ser>
          <c:idx val="1"/>
          <c:order val="1"/>
          <c:tx>
            <c:strRef>
              <c:f>'Water report'!$L$380</c:f>
              <c:strCache>
                <c:ptCount val="1"/>
                <c:pt idx="0">
                  <c:v>Total cost per kl </c:v>
                </c:pt>
              </c:strCache>
            </c:strRef>
          </c:tx>
          <c:spPr>
            <a:ln w="28575" cap="rnd">
              <a:solidFill>
                <a:schemeClr val="accent2"/>
              </a:solidFill>
              <a:round/>
            </a:ln>
            <a:effectLst/>
          </c:spPr>
          <c:marker>
            <c:symbol val="none"/>
          </c:marker>
          <c:val>
            <c:numRef>
              <c:f>'Water report'!$L$381:$L$390</c:f>
              <c:numCache>
                <c:formatCode>_(* #,##0.00_);_(* \(#,##0.00\);_(* "-"??_);_(@_)</c:formatCode>
                <c:ptCount val="10"/>
                <c:pt idx="0">
                  <c:v>29.547229497312998</c:v>
                </c:pt>
                <c:pt idx="1">
                  <c:v>29.547229497312998</c:v>
                </c:pt>
                <c:pt idx="2">
                  <c:v>29.547229497312998</c:v>
                </c:pt>
                <c:pt idx="3">
                  <c:v>29.547229497312998</c:v>
                </c:pt>
                <c:pt idx="4">
                  <c:v>29.547229497312998</c:v>
                </c:pt>
                <c:pt idx="5">
                  <c:v>29.547229497312998</c:v>
                </c:pt>
                <c:pt idx="6">
                  <c:v>29.547229497312998</c:v>
                </c:pt>
                <c:pt idx="7">
                  <c:v>29.547229497312998</c:v>
                </c:pt>
                <c:pt idx="8">
                  <c:v>29.547229497312998</c:v>
                </c:pt>
                <c:pt idx="9">
                  <c:v>29.547229497312998</c:v>
                </c:pt>
              </c:numCache>
            </c:numRef>
          </c:val>
          <c:smooth val="0"/>
          <c:extLst>
            <c:ext xmlns:c16="http://schemas.microsoft.com/office/drawing/2014/chart" uri="{C3380CC4-5D6E-409C-BE32-E72D297353CC}">
              <c16:uniqueId val="{00000001-9CF6-4BA8-9736-B6152E0F53E5}"/>
            </c:ext>
          </c:extLst>
        </c:ser>
        <c:ser>
          <c:idx val="2"/>
          <c:order val="2"/>
          <c:tx>
            <c:strRef>
              <c:f>'Water report'!$M$380</c:f>
              <c:strCache>
                <c:ptCount val="1"/>
                <c:pt idx="0">
                  <c:v>Variable cost per kl</c:v>
                </c:pt>
              </c:strCache>
            </c:strRef>
          </c:tx>
          <c:spPr>
            <a:ln w="28575" cap="rnd">
              <a:solidFill>
                <a:schemeClr val="accent3"/>
              </a:solidFill>
              <a:round/>
            </a:ln>
            <a:effectLst/>
          </c:spPr>
          <c:marker>
            <c:symbol val="none"/>
          </c:marker>
          <c:val>
            <c:numRef>
              <c:f>'Water report'!$M$381:$M$390</c:f>
              <c:numCache>
                <c:formatCode>_(* #,##0.00_);_(* \(#,##0.00\);_(* "-"??_);_(@_)</c:formatCode>
                <c:ptCount val="10"/>
                <c:pt idx="0">
                  <c:v>23.021901145481429</c:v>
                </c:pt>
                <c:pt idx="1">
                  <c:v>23.021901145481429</c:v>
                </c:pt>
                <c:pt idx="2">
                  <c:v>23.021901145481429</c:v>
                </c:pt>
                <c:pt idx="3">
                  <c:v>23.021901145481429</c:v>
                </c:pt>
                <c:pt idx="4">
                  <c:v>23.021901145481429</c:v>
                </c:pt>
                <c:pt idx="5">
                  <c:v>23.021901145481429</c:v>
                </c:pt>
                <c:pt idx="6">
                  <c:v>23.021901145481429</c:v>
                </c:pt>
                <c:pt idx="7">
                  <c:v>23.021901145481429</c:v>
                </c:pt>
                <c:pt idx="8">
                  <c:v>23.021901145481429</c:v>
                </c:pt>
                <c:pt idx="9">
                  <c:v>23.021901145481429</c:v>
                </c:pt>
              </c:numCache>
            </c:numRef>
          </c:val>
          <c:smooth val="0"/>
          <c:extLst>
            <c:ext xmlns:c16="http://schemas.microsoft.com/office/drawing/2014/chart" uri="{C3380CC4-5D6E-409C-BE32-E72D297353CC}">
              <c16:uniqueId val="{00000002-9CF6-4BA8-9736-B6152E0F53E5}"/>
            </c:ext>
          </c:extLst>
        </c:ser>
        <c:dLbls>
          <c:showLegendKey val="0"/>
          <c:showVal val="0"/>
          <c:showCatName val="0"/>
          <c:showSerName val="0"/>
          <c:showPercent val="0"/>
          <c:showBubbleSize val="0"/>
        </c:dLbls>
        <c:marker val="1"/>
        <c:smooth val="0"/>
        <c:axId val="1399811119"/>
        <c:axId val="1"/>
      </c:lineChart>
      <c:catAx>
        <c:axId val="1399811119"/>
        <c:scaling>
          <c:orientation val="minMax"/>
        </c:scaling>
        <c:delete val="0"/>
        <c:axPos val="b"/>
        <c:title>
          <c:tx>
            <c:rich>
              <a:bodyPr/>
              <a:lstStyle/>
              <a:p>
                <a:pPr>
                  <a:defRPr sz="1000" b="0" i="0" u="none" strike="noStrike" baseline="0">
                    <a:solidFill>
                      <a:srgbClr val="333333"/>
                    </a:solidFill>
                    <a:latin typeface="Calibri"/>
                    <a:ea typeface="Calibri"/>
                    <a:cs typeface="Calibri"/>
                  </a:defRPr>
                </a:pPr>
                <a:r>
                  <a:rPr lang="en-ZA"/>
                  <a:t>Block size</a:t>
                </a:r>
              </a:p>
            </c:rich>
          </c:tx>
          <c:overlay val="0"/>
          <c:spPr>
            <a:noFill/>
            <a:ln w="25400">
              <a:noFill/>
            </a:ln>
          </c:spPr>
        </c:title>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0" vert="horz"/>
          <a:lstStyle/>
          <a:p>
            <a:pPr>
              <a:defRPr sz="900" b="0" i="0" u="none" strike="noStrike" baseline="0">
                <a:solidFill>
                  <a:srgbClr val="333333"/>
                </a:solidFill>
                <a:latin typeface="Calibri"/>
                <a:ea typeface="Calibri"/>
                <a:cs typeface="Calibri"/>
              </a:defRPr>
            </a:pPr>
            <a:endParaRPr lang="en-US"/>
          </a:p>
        </c:txPr>
        <c:crossAx val="1"/>
        <c:crosses val="autoZero"/>
        <c:auto val="1"/>
        <c:lblAlgn val="ctr"/>
        <c:lblOffset val="100"/>
        <c:noMultiLvlLbl val="0"/>
      </c:catAx>
      <c:valAx>
        <c:axId val="1"/>
        <c:scaling>
          <c:orientation val="minMax"/>
        </c:scaling>
        <c:delete val="0"/>
        <c:axPos val="l"/>
        <c:majorGridlines>
          <c:spPr>
            <a:ln w="9525" cap="flat" cmpd="sng" algn="ctr">
              <a:solidFill>
                <a:schemeClr val="tx1">
                  <a:lumMod val="15000"/>
                  <a:lumOff val="85000"/>
                </a:schemeClr>
              </a:solidFill>
              <a:round/>
            </a:ln>
            <a:effectLst/>
          </c:spPr>
        </c:majorGridlines>
        <c:title>
          <c:tx>
            <c:rich>
              <a:bodyPr/>
              <a:lstStyle/>
              <a:p>
                <a:pPr>
                  <a:defRPr sz="1000" b="0" i="0" u="none" strike="noStrike" baseline="0">
                    <a:solidFill>
                      <a:srgbClr val="333333"/>
                    </a:solidFill>
                    <a:latin typeface="Calibri"/>
                    <a:ea typeface="Calibri"/>
                    <a:cs typeface="Calibri"/>
                  </a:defRPr>
                </a:pPr>
                <a:r>
                  <a:rPr lang="en-ZA"/>
                  <a:t>R/kl</a:t>
                </a:r>
              </a:p>
            </c:rich>
          </c:tx>
          <c:overlay val="0"/>
          <c:spPr>
            <a:noFill/>
            <a:ln w="25400">
              <a:noFill/>
            </a:ln>
          </c:spPr>
        </c:title>
        <c:numFmt formatCode="_(* #,##0.00_);_(* \(#,##0.00\);_(* &quot;-&quot;??_);_(@_)" sourceLinked="1"/>
        <c:majorTickMark val="none"/>
        <c:minorTickMark val="none"/>
        <c:tickLblPos val="nextTo"/>
        <c:spPr>
          <a:ln w="6350">
            <a:noFill/>
          </a:ln>
        </c:spPr>
        <c:txPr>
          <a:bodyPr rot="0" vert="horz"/>
          <a:lstStyle/>
          <a:p>
            <a:pPr>
              <a:defRPr sz="900" b="0" i="0" u="none" strike="noStrike" baseline="0">
                <a:solidFill>
                  <a:srgbClr val="333333"/>
                </a:solidFill>
                <a:latin typeface="Calibri"/>
                <a:ea typeface="Calibri"/>
                <a:cs typeface="Calibri"/>
              </a:defRPr>
            </a:pPr>
            <a:endParaRPr lang="en-US"/>
          </a:p>
        </c:txPr>
        <c:crossAx val="1399811119"/>
        <c:crosses val="autoZero"/>
        <c:crossBetween val="between"/>
      </c:valAx>
      <c:spPr>
        <a:noFill/>
        <a:ln w="25400">
          <a:noFill/>
        </a:ln>
      </c:spPr>
    </c:plotArea>
    <c:legend>
      <c:legendPos val="r"/>
      <c:layout>
        <c:manualLayout>
          <c:xMode val="edge"/>
          <c:yMode val="edge"/>
          <c:x val="0.16605689049016475"/>
          <c:y val="0.9270571043484428"/>
          <c:w val="0.65869231290738117"/>
          <c:h val="5.9461445697666204E-2"/>
        </c:manualLayout>
      </c:layout>
      <c:overlay val="0"/>
      <c:spPr>
        <a:noFill/>
        <a:ln w="25400">
          <a:noFill/>
        </a:ln>
      </c:spPr>
      <c:txPr>
        <a:bodyPr/>
        <a:lstStyle/>
        <a:p>
          <a:pPr>
            <a:defRPr sz="690" b="0" i="0" u="none" strike="noStrike" baseline="0">
              <a:solidFill>
                <a:srgbClr val="333333"/>
              </a:solidFill>
              <a:latin typeface="Calibri"/>
              <a:ea typeface="Calibri"/>
              <a:cs typeface="Calibri"/>
            </a:defRPr>
          </a:pPr>
          <a:endParaRPr lang="en-US"/>
        </a:p>
      </c:txPr>
    </c:legend>
    <c:plotVisOnly val="1"/>
    <c:dispBlanksAs val="gap"/>
    <c:showDLblsOverMax val="0"/>
  </c:chart>
  <c:spPr>
    <a:solidFill>
      <a:schemeClr val="bg1"/>
    </a:solidFill>
    <a:ln w="9525" cap="flat" cmpd="sng" algn="ctr">
      <a:noFill/>
      <a:round/>
    </a:ln>
    <a:effectLst/>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charts/chart7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2.3871527777777776E-2"/>
          <c:y val="4.7786414907172239E-2"/>
          <c:w val="0.57559123468941387"/>
          <c:h val="0.83529592857692603"/>
        </c:manualLayout>
      </c:layout>
      <c:barChart>
        <c:barDir val="col"/>
        <c:grouping val="stacked"/>
        <c:varyColors val="0"/>
        <c:ser>
          <c:idx val="0"/>
          <c:order val="0"/>
          <c:tx>
            <c:strRef>
              <c:f>'Water report'!$I$424</c:f>
              <c:strCache>
                <c:ptCount val="1"/>
                <c:pt idx="0">
                  <c:v>Fixed cost</c:v>
                </c:pt>
              </c:strCache>
            </c:strRef>
          </c:tx>
          <c:spPr>
            <a:solidFill>
              <a:srgbClr val="4472C4"/>
            </a:solidFill>
            <a:ln w="25400">
              <a:noFill/>
            </a:ln>
          </c:spPr>
          <c:invertIfNegative val="0"/>
          <c:dPt>
            <c:idx val="0"/>
            <c:invertIfNegative val="0"/>
            <c:bubble3D val="0"/>
            <c:spPr>
              <a:solidFill>
                <a:srgbClr val="5B9BD5"/>
              </a:solidFill>
              <a:ln w="25400">
                <a:noFill/>
              </a:ln>
            </c:spPr>
            <c:extLst>
              <c:ext xmlns:c16="http://schemas.microsoft.com/office/drawing/2014/chart" uri="{C3380CC4-5D6E-409C-BE32-E72D297353CC}">
                <c16:uniqueId val="{00000000-A5F8-4E75-89F1-7EFEBDC74BB7}"/>
              </c:ext>
            </c:extLst>
          </c:dPt>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'Water report'!$J$423:$K$423</c:f>
              <c:strCache>
                <c:ptCount val="2"/>
                <c:pt idx="0">
                  <c:v>Expenditure R'000</c:v>
                </c:pt>
                <c:pt idx="1">
                  <c:v>Revenue R'000</c:v>
                </c:pt>
              </c:strCache>
            </c:strRef>
          </c:cat>
          <c:val>
            <c:numRef>
              <c:f>'Water report'!$J$424:$K$424</c:f>
              <c:numCache>
                <c:formatCode>General</c:formatCode>
                <c:ptCount val="2"/>
                <c:pt idx="0" formatCode="_-* #\ ##0_-;\-* #\ ##0_-;_-* &quot;-&quot;??_-;_-@_-">
                  <c:v>28.965553089193442</c:v>
                </c:pt>
              </c:numCache>
            </c:numRef>
          </c:val>
          <c:extLst>
            <c:ext xmlns:c16="http://schemas.microsoft.com/office/drawing/2014/chart" uri="{C3380CC4-5D6E-409C-BE32-E72D297353CC}">
              <c16:uniqueId val="{00000001-A5F8-4E75-89F1-7EFEBDC74BB7}"/>
            </c:ext>
          </c:extLst>
        </c:ser>
        <c:ser>
          <c:idx val="1"/>
          <c:order val="1"/>
          <c:tx>
            <c:strRef>
              <c:f>'Water report'!$I$425</c:f>
              <c:strCache>
                <c:ptCount val="1"/>
                <c:pt idx="0">
                  <c:v>Variable cost</c:v>
                </c:pt>
              </c:strCache>
            </c:strRef>
          </c:tx>
          <c:spPr>
            <a:solidFill>
              <a:schemeClr val="accent5">
                <a:lumMod val="60000"/>
                <a:lumOff val="40000"/>
              </a:schemeClr>
            </a:solidFill>
            <a:ln>
              <a:noFill/>
            </a:ln>
            <a:effectLst/>
          </c:spPr>
          <c:invertIfNegative val="0"/>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'Water report'!$J$423:$K$423</c:f>
              <c:strCache>
                <c:ptCount val="2"/>
                <c:pt idx="0">
                  <c:v>Expenditure R'000</c:v>
                </c:pt>
                <c:pt idx="1">
                  <c:v>Revenue R'000</c:v>
                </c:pt>
              </c:strCache>
            </c:strRef>
          </c:cat>
          <c:val>
            <c:numRef>
              <c:f>'Water report'!$J$425:$K$425</c:f>
              <c:numCache>
                <c:formatCode>General</c:formatCode>
                <c:ptCount val="2"/>
                <c:pt idx="0" formatCode="_-* #\ ##0_-;\-* #\ ##0_-;_-* &quot;-&quot;??_-;_-@_-">
                  <c:v>369.87879630094909</c:v>
                </c:pt>
              </c:numCache>
            </c:numRef>
          </c:val>
          <c:extLst>
            <c:ext xmlns:c16="http://schemas.microsoft.com/office/drawing/2014/chart" uri="{C3380CC4-5D6E-409C-BE32-E72D297353CC}">
              <c16:uniqueId val="{00000002-A5F8-4E75-89F1-7EFEBDC74BB7}"/>
            </c:ext>
          </c:extLst>
        </c:ser>
        <c:ser>
          <c:idx val="2"/>
          <c:order val="2"/>
          <c:tx>
            <c:strRef>
              <c:f>'Water report'!$I$426</c:f>
              <c:strCache>
                <c:ptCount val="1"/>
                <c:pt idx="0">
                  <c:v>Surplus</c:v>
                </c:pt>
              </c:strCache>
            </c:strRef>
          </c:tx>
          <c:spPr>
            <a:solidFill>
              <a:srgbClr val="A5A5A5"/>
            </a:solidFill>
            <a:ln w="25400">
              <a:noFill/>
            </a:ln>
          </c:spPr>
          <c:invertIfNegative val="0"/>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'Water report'!$J$423:$K$423</c:f>
              <c:strCache>
                <c:ptCount val="2"/>
                <c:pt idx="0">
                  <c:v>Expenditure R'000</c:v>
                </c:pt>
                <c:pt idx="1">
                  <c:v>Revenue R'000</c:v>
                </c:pt>
              </c:strCache>
            </c:strRef>
          </c:cat>
          <c:val>
            <c:numRef>
              <c:f>'Water report'!$J$426:$K$426</c:f>
              <c:numCache>
                <c:formatCode>General</c:formatCode>
                <c:ptCount val="2"/>
                <c:pt idx="0" formatCode="_-* #\ ##0_-;\-* #\ ##0_-;_-* &quot;-&quot;??_-;_-@_-">
                  <c:v>0</c:v>
                </c:pt>
              </c:numCache>
            </c:numRef>
          </c:val>
          <c:extLst>
            <c:ext xmlns:c16="http://schemas.microsoft.com/office/drawing/2014/chart" uri="{C3380CC4-5D6E-409C-BE32-E72D297353CC}">
              <c16:uniqueId val="{00000003-A5F8-4E75-89F1-7EFEBDC74BB7}"/>
            </c:ext>
          </c:extLst>
        </c:ser>
        <c:ser>
          <c:idx val="4"/>
          <c:order val="3"/>
          <c:tx>
            <c:strRef>
              <c:f>'Water report'!$I$427</c:f>
              <c:strCache>
                <c:ptCount val="1"/>
                <c:pt idx="0">
                  <c:v>Tariff revenue</c:v>
                </c:pt>
              </c:strCache>
            </c:strRef>
          </c:tx>
          <c:spPr>
            <a:solidFill>
              <a:srgbClr val="5B9BD5"/>
            </a:solidFill>
            <a:ln w="25400">
              <a:noFill/>
            </a:ln>
          </c:spPr>
          <c:invertIfNegative val="0"/>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'Water report'!$J$423:$K$423</c:f>
              <c:strCache>
                <c:ptCount val="2"/>
                <c:pt idx="0">
                  <c:v>Expenditure R'000</c:v>
                </c:pt>
                <c:pt idx="1">
                  <c:v>Revenue R'000</c:v>
                </c:pt>
              </c:strCache>
            </c:strRef>
          </c:cat>
          <c:val>
            <c:numRef>
              <c:f>'Water report'!$J$427:$K$427</c:f>
              <c:numCache>
                <c:formatCode>_-* #\ ##0_-;\-* #\ ##0_-;_-* "-"??_-;_-@_-</c:formatCode>
                <c:ptCount val="2"/>
                <c:pt idx="1">
                  <c:v>309.52774658034309</c:v>
                </c:pt>
              </c:numCache>
            </c:numRef>
          </c:val>
          <c:extLst>
            <c:ext xmlns:c16="http://schemas.microsoft.com/office/drawing/2014/chart" uri="{C3380CC4-5D6E-409C-BE32-E72D297353CC}">
              <c16:uniqueId val="{00000004-A5F8-4E75-89F1-7EFEBDC74BB7}"/>
            </c:ext>
          </c:extLst>
        </c:ser>
        <c:ser>
          <c:idx val="5"/>
          <c:order val="4"/>
          <c:tx>
            <c:strRef>
              <c:f>'Water report'!$I$428</c:f>
              <c:strCache>
                <c:ptCount val="1"/>
                <c:pt idx="0">
                  <c:v>External grants &amp; subsidies</c:v>
                </c:pt>
              </c:strCache>
            </c:strRef>
          </c:tx>
          <c:spPr>
            <a:solidFill>
              <a:srgbClr val="A5A5A5"/>
            </a:solidFill>
            <a:ln w="25400">
              <a:noFill/>
            </a:ln>
          </c:spPr>
          <c:invertIfNegative val="0"/>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'Water report'!$J$423:$K$423</c:f>
              <c:strCache>
                <c:ptCount val="2"/>
                <c:pt idx="0">
                  <c:v>Expenditure R'000</c:v>
                </c:pt>
                <c:pt idx="1">
                  <c:v>Revenue R'000</c:v>
                </c:pt>
              </c:strCache>
            </c:strRef>
          </c:cat>
          <c:val>
            <c:numRef>
              <c:f>'Water report'!$J$428:$K$428</c:f>
              <c:numCache>
                <c:formatCode>_-* #\ ##0_-;\-* #\ ##0_-;_-* "-"??_-;_-@_-</c:formatCode>
                <c:ptCount val="2"/>
                <c:pt idx="1">
                  <c:v>60.572215197697737</c:v>
                </c:pt>
              </c:numCache>
            </c:numRef>
          </c:val>
          <c:extLst>
            <c:ext xmlns:c16="http://schemas.microsoft.com/office/drawing/2014/chart" uri="{C3380CC4-5D6E-409C-BE32-E72D297353CC}">
              <c16:uniqueId val="{00000005-A5F8-4E75-89F1-7EFEBDC74BB7}"/>
            </c:ext>
          </c:extLst>
        </c:ser>
        <c:ser>
          <c:idx val="3"/>
          <c:order val="5"/>
          <c:tx>
            <c:strRef>
              <c:f>'Water report'!$I$429</c:f>
              <c:strCache>
                <c:ptCount val="1"/>
                <c:pt idx="0">
                  <c:v>Other non-tariff revenue</c:v>
                </c:pt>
              </c:strCache>
            </c:strRef>
          </c:tx>
          <c:spPr>
            <a:solidFill>
              <a:schemeClr val="accent3">
                <a:lumMod val="40000"/>
                <a:lumOff val="60000"/>
              </a:schemeClr>
            </a:solidFill>
            <a:ln>
              <a:noFill/>
            </a:ln>
            <a:effectLst/>
          </c:spPr>
          <c:invertIfNegative val="0"/>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'Water report'!$J$423:$K$423</c:f>
              <c:strCache>
                <c:ptCount val="2"/>
                <c:pt idx="0">
                  <c:v>Expenditure R'000</c:v>
                </c:pt>
                <c:pt idx="1">
                  <c:v>Revenue R'000</c:v>
                </c:pt>
              </c:strCache>
            </c:strRef>
          </c:cat>
          <c:val>
            <c:numRef>
              <c:f>'Water report'!$J$429:$K$429</c:f>
              <c:numCache>
                <c:formatCode>_-* #\ ##0_-;\-* #\ ##0_-;_-* "-"??_-;_-@_-</c:formatCode>
                <c:ptCount val="2"/>
                <c:pt idx="1">
                  <c:v>28.744387612101633</c:v>
                </c:pt>
              </c:numCache>
            </c:numRef>
          </c:val>
          <c:extLst>
            <c:ext xmlns:c16="http://schemas.microsoft.com/office/drawing/2014/chart" uri="{C3380CC4-5D6E-409C-BE32-E72D297353CC}">
              <c16:uniqueId val="{00000006-A5F8-4E75-89F1-7EFEBDC74BB7}"/>
            </c:ext>
          </c:extLst>
        </c:ser>
        <c:ser>
          <c:idx val="6"/>
          <c:order val="6"/>
          <c:tx>
            <c:strRef>
              <c:f>'Water report'!$I$430</c:f>
              <c:strCache>
                <c:ptCount val="1"/>
                <c:pt idx="0">
                  <c:v>Deficit</c:v>
                </c:pt>
              </c:strCache>
            </c:strRef>
          </c:tx>
          <c:spPr>
            <a:solidFill>
              <a:srgbClr val="ED7D31"/>
            </a:solidFill>
            <a:ln w="25400">
              <a:noFill/>
            </a:ln>
          </c:spPr>
          <c:invertIfNegative val="0"/>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'Water report'!$J$423:$K$423</c:f>
              <c:strCache>
                <c:ptCount val="2"/>
                <c:pt idx="0">
                  <c:v>Expenditure R'000</c:v>
                </c:pt>
                <c:pt idx="1">
                  <c:v>Revenue R'000</c:v>
                </c:pt>
              </c:strCache>
            </c:strRef>
          </c:cat>
          <c:val>
            <c:numRef>
              <c:f>'Water report'!$J$430:$K$430</c:f>
              <c:numCache>
                <c:formatCode>_-* #\ ##0_-;\-* #\ ##0_-;_-* "-"??_-;_-@_-</c:formatCode>
                <c:ptCount val="2"/>
                <c:pt idx="1">
                  <c:v>0</c:v>
                </c:pt>
              </c:numCache>
            </c:numRef>
          </c:val>
          <c:extLst>
            <c:ext xmlns:c16="http://schemas.microsoft.com/office/drawing/2014/chart" uri="{C3380CC4-5D6E-409C-BE32-E72D297353CC}">
              <c16:uniqueId val="{00000007-A5F8-4E75-89F1-7EFEBDC74BB7}"/>
            </c:ext>
          </c:extLst>
        </c:ser>
        <c:dLbls>
          <c:showLegendKey val="0"/>
          <c:showVal val="0"/>
          <c:showCatName val="0"/>
          <c:showSerName val="0"/>
          <c:showPercent val="0"/>
          <c:showBubbleSize val="0"/>
        </c:dLbls>
        <c:gapWidth val="25"/>
        <c:overlap val="100"/>
        <c:axId val="1399823119"/>
        <c:axId val="1"/>
      </c:barChart>
      <c:catAx>
        <c:axId val="1399823119"/>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0" vert="horz"/>
          <a:lstStyle/>
          <a:p>
            <a:pPr>
              <a:defRPr sz="1100" b="0" i="0" u="none" strike="noStrike" baseline="0">
                <a:solidFill>
                  <a:srgbClr val="000000"/>
                </a:solidFill>
                <a:latin typeface="Calibri"/>
                <a:ea typeface="Calibri"/>
                <a:cs typeface="Calibri"/>
              </a:defRPr>
            </a:pPr>
            <a:endParaRPr lang="en-US"/>
          </a:p>
        </c:txPr>
        <c:crossAx val="1"/>
        <c:crosses val="autoZero"/>
        <c:auto val="1"/>
        <c:lblAlgn val="ctr"/>
        <c:lblOffset val="100"/>
        <c:noMultiLvlLbl val="0"/>
      </c:catAx>
      <c:valAx>
        <c:axId val="1"/>
        <c:scaling>
          <c:orientation val="minMax"/>
        </c:scaling>
        <c:delete val="1"/>
        <c:axPos val="l"/>
        <c:majorGridlines>
          <c:spPr>
            <a:ln w="9525" cap="flat" cmpd="sng" algn="ctr">
              <a:solidFill>
                <a:schemeClr val="tx1">
                  <a:lumMod val="15000"/>
                  <a:lumOff val="85000"/>
                </a:schemeClr>
              </a:solidFill>
              <a:round/>
            </a:ln>
            <a:effectLst/>
          </c:spPr>
        </c:majorGridlines>
        <c:numFmt formatCode="_-* #\ ##0_-;\-* #\ ##0_-;_-* &quot;-&quot;??_-;_-@_-" sourceLinked="1"/>
        <c:majorTickMark val="out"/>
        <c:minorTickMark val="none"/>
        <c:tickLblPos val="nextTo"/>
        <c:crossAx val="1399823119"/>
        <c:crosses val="autoZero"/>
        <c:crossBetween val="between"/>
      </c:valAx>
    </c:plotArea>
    <c:legend>
      <c:legendPos val="r"/>
      <c:layout>
        <c:manualLayout>
          <c:xMode val="edge"/>
          <c:yMode val="edge"/>
          <c:x val="0.63204800422093743"/>
          <c:y val="0.17846767615586512"/>
          <c:w val="0.34754125921653323"/>
          <c:h val="0.70771685846961441"/>
        </c:manualLayout>
      </c:layout>
      <c:overlay val="0"/>
      <c:spPr>
        <a:noFill/>
        <a:ln w="25400">
          <a:noFill/>
        </a:ln>
      </c:spPr>
      <c:txPr>
        <a:bodyPr/>
        <a:lstStyle/>
        <a:p>
          <a:pPr>
            <a:defRPr sz="850" b="0" i="0" u="none" strike="noStrike" baseline="0">
              <a:solidFill>
                <a:srgbClr val="000000"/>
              </a:solidFill>
              <a:latin typeface="Calibri"/>
              <a:ea typeface="Calibri"/>
              <a:cs typeface="Calibri"/>
            </a:defRPr>
          </a:pPr>
          <a:endParaRPr lang="en-US"/>
        </a:p>
      </c:txPr>
    </c:legend>
    <c:plotVisOnly val="1"/>
    <c:dispBlanksAs val="gap"/>
    <c:showDLblsOverMax val="0"/>
  </c:chart>
  <c:spPr>
    <a:solidFill>
      <a:schemeClr val="bg1"/>
    </a:solidFill>
    <a:ln w="9525" cap="flat" cmpd="sng" algn="ctr">
      <a:noFill/>
      <a:round/>
    </a:ln>
    <a:effectLst/>
  </c:spPr>
  <c:txPr>
    <a:bodyPr/>
    <a:lstStyle/>
    <a:p>
      <a:pPr>
        <a:defRPr sz="11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charts/chart7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ser>
          <c:idx val="0"/>
          <c:order val="0"/>
          <c:tx>
            <c:strRef>
              <c:f>'Water report'!$K$447</c:f>
              <c:strCache>
                <c:ptCount val="1"/>
                <c:pt idx="0">
                  <c:v>Tariff </c:v>
                </c:pt>
              </c:strCache>
            </c:strRef>
          </c:tx>
          <c:spPr>
            <a:solidFill>
              <a:srgbClr val="4472C4"/>
            </a:solidFill>
            <a:ln w="25400">
              <a:noFill/>
            </a:ln>
          </c:spPr>
          <c:invertIfNegative val="0"/>
          <c:dLbls>
            <c:spPr>
              <a:noFill/>
              <a:ln w="25400">
                <a:noFill/>
              </a:ln>
            </c:spPr>
            <c:txPr>
              <a:bodyPr wrap="square" lIns="38100" tIns="19050" rIns="38100" bIns="19050" anchor="ctr">
                <a:spAutoFit/>
              </a:bodyPr>
              <a:lstStyle/>
              <a:p>
                <a:pPr>
                  <a:defRPr sz="900" b="0" i="0" u="none" strike="noStrike" baseline="0">
                    <a:solidFill>
                      <a:srgbClr val="333333"/>
                    </a:solidFill>
                    <a:latin typeface="Calibri"/>
                    <a:ea typeface="Calibri"/>
                    <a:cs typeface="Calibri"/>
                  </a:defRPr>
                </a:pPr>
                <a:endParaRPr lang="en-US"/>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'Water report'!$J$448:$J$457</c:f>
              <c:strCache>
                <c:ptCount val="10"/>
                <c:pt idx="0">
                  <c:v>6</c:v>
                </c:pt>
                <c:pt idx="1">
                  <c:v>15</c:v>
                </c:pt>
                <c:pt idx="2">
                  <c:v>30</c:v>
                </c:pt>
                <c:pt idx="3">
                  <c:v>40</c:v>
                </c:pt>
                <c:pt idx="4">
                  <c:v>more</c:v>
                </c:pt>
                <c:pt idx="5">
                  <c:v>0</c:v>
                </c:pt>
                <c:pt idx="6">
                  <c:v>0</c:v>
                </c:pt>
                <c:pt idx="7">
                  <c:v>0</c:v>
                </c:pt>
                <c:pt idx="8">
                  <c:v>0</c:v>
                </c:pt>
                <c:pt idx="9">
                  <c:v>0</c:v>
                </c:pt>
              </c:strCache>
            </c:strRef>
          </c:cat>
          <c:val>
            <c:numRef>
              <c:f>'Water report'!$K$448:$K$457</c:f>
              <c:numCache>
                <c:formatCode>_(* #,##0.00_);_(* \(#,##0.00\);_(* "-"??_);_(@_)</c:formatCode>
                <c:ptCount val="10"/>
                <c:pt idx="0">
                  <c:v>541.64310940482926</c:v>
                </c:pt>
                <c:pt idx="1">
                  <c:v>644.42341396023755</c:v>
                </c:pt>
                <c:pt idx="2">
                  <c:v>1332.505718351091</c:v>
                </c:pt>
                <c:pt idx="3">
                  <c:v>1664.9499777758851</c:v>
                </c:pt>
                <c:pt idx="4">
                  <c:v>2198.8618253336263</c:v>
                </c:pt>
                <c:pt idx="5">
                  <c:v>0</c:v>
                </c:pt>
                <c:pt idx="6">
                  <c:v>0</c:v>
                </c:pt>
                <c:pt idx="7">
                  <c:v>0</c:v>
                </c:pt>
                <c:pt idx="8">
                  <c:v>0</c:v>
                </c:pt>
                <c:pt idx="9">
                  <c:v>0</c:v>
                </c:pt>
              </c:numCache>
            </c:numRef>
          </c:val>
          <c:extLst>
            <c:ext xmlns:c16="http://schemas.microsoft.com/office/drawing/2014/chart" uri="{C3380CC4-5D6E-409C-BE32-E72D297353CC}">
              <c16:uniqueId val="{00000000-66DC-4A68-BB38-D8AB1F7A46E9}"/>
            </c:ext>
          </c:extLst>
        </c:ser>
        <c:dLbls>
          <c:showLegendKey val="0"/>
          <c:showVal val="0"/>
          <c:showCatName val="0"/>
          <c:showSerName val="0"/>
          <c:showPercent val="0"/>
          <c:showBubbleSize val="0"/>
        </c:dLbls>
        <c:gapWidth val="50"/>
        <c:overlap val="-27"/>
        <c:axId val="1399808719"/>
        <c:axId val="1"/>
      </c:barChart>
      <c:lineChart>
        <c:grouping val="standard"/>
        <c:varyColors val="0"/>
        <c:ser>
          <c:idx val="1"/>
          <c:order val="1"/>
          <c:tx>
            <c:strRef>
              <c:f>'Water report'!$L$447</c:f>
              <c:strCache>
                <c:ptCount val="1"/>
                <c:pt idx="0">
                  <c:v>Total cost per kl </c:v>
                </c:pt>
              </c:strCache>
            </c:strRef>
          </c:tx>
          <c:spPr>
            <a:ln w="28575" cap="rnd">
              <a:solidFill>
                <a:schemeClr val="accent2"/>
              </a:solidFill>
              <a:round/>
            </a:ln>
            <a:effectLst/>
          </c:spPr>
          <c:marker>
            <c:symbol val="none"/>
          </c:marker>
          <c:cat>
            <c:strRef>
              <c:f>'Water report'!$J$448:$J$457</c:f>
              <c:strCache>
                <c:ptCount val="10"/>
                <c:pt idx="0">
                  <c:v>6</c:v>
                </c:pt>
                <c:pt idx="1">
                  <c:v>15</c:v>
                </c:pt>
                <c:pt idx="2">
                  <c:v>30</c:v>
                </c:pt>
                <c:pt idx="3">
                  <c:v>40</c:v>
                </c:pt>
                <c:pt idx="4">
                  <c:v>more</c:v>
                </c:pt>
                <c:pt idx="5">
                  <c:v>0</c:v>
                </c:pt>
                <c:pt idx="6">
                  <c:v>0</c:v>
                </c:pt>
                <c:pt idx="7">
                  <c:v>0</c:v>
                </c:pt>
                <c:pt idx="8">
                  <c:v>0</c:v>
                </c:pt>
                <c:pt idx="9">
                  <c:v>0</c:v>
                </c:pt>
              </c:strCache>
            </c:strRef>
          </c:cat>
          <c:val>
            <c:numRef>
              <c:f>'Water report'!$L$448:$L$457</c:f>
              <c:numCache>
                <c:formatCode>_(* #,##0.00_);_(* \(#,##0.00\);_(* "-"??_);_(@_)</c:formatCode>
                <c:ptCount val="10"/>
                <c:pt idx="0">
                  <c:v>24.824767669630692</c:v>
                </c:pt>
                <c:pt idx="1">
                  <c:v>24.824767669630692</c:v>
                </c:pt>
                <c:pt idx="2">
                  <c:v>24.824767669630692</c:v>
                </c:pt>
                <c:pt idx="3">
                  <c:v>24.824767669630692</c:v>
                </c:pt>
                <c:pt idx="4">
                  <c:v>24.824767669630692</c:v>
                </c:pt>
                <c:pt idx="5">
                  <c:v>24.824767669630692</c:v>
                </c:pt>
                <c:pt idx="6">
                  <c:v>24.824767669630692</c:v>
                </c:pt>
                <c:pt idx="7">
                  <c:v>24.824767669630692</c:v>
                </c:pt>
                <c:pt idx="8">
                  <c:v>24.824767669630692</c:v>
                </c:pt>
                <c:pt idx="9">
                  <c:v>24.824767669630692</c:v>
                </c:pt>
              </c:numCache>
            </c:numRef>
          </c:val>
          <c:smooth val="0"/>
          <c:extLst>
            <c:ext xmlns:c16="http://schemas.microsoft.com/office/drawing/2014/chart" uri="{C3380CC4-5D6E-409C-BE32-E72D297353CC}">
              <c16:uniqueId val="{00000001-66DC-4A68-BB38-D8AB1F7A46E9}"/>
            </c:ext>
          </c:extLst>
        </c:ser>
        <c:ser>
          <c:idx val="2"/>
          <c:order val="2"/>
          <c:tx>
            <c:strRef>
              <c:f>'Water report'!$M$447</c:f>
              <c:strCache>
                <c:ptCount val="1"/>
                <c:pt idx="0">
                  <c:v>Variable cost per kl</c:v>
                </c:pt>
              </c:strCache>
            </c:strRef>
          </c:tx>
          <c:spPr>
            <a:ln w="28575" cap="rnd">
              <a:solidFill>
                <a:schemeClr val="accent3"/>
              </a:solidFill>
              <a:round/>
            </a:ln>
            <a:effectLst/>
          </c:spPr>
          <c:marker>
            <c:symbol val="none"/>
          </c:marker>
          <c:cat>
            <c:strRef>
              <c:f>'Water report'!$J$448:$J$457</c:f>
              <c:strCache>
                <c:ptCount val="10"/>
                <c:pt idx="0">
                  <c:v>6</c:v>
                </c:pt>
                <c:pt idx="1">
                  <c:v>15</c:v>
                </c:pt>
                <c:pt idx="2">
                  <c:v>30</c:v>
                </c:pt>
                <c:pt idx="3">
                  <c:v>40</c:v>
                </c:pt>
                <c:pt idx="4">
                  <c:v>more</c:v>
                </c:pt>
                <c:pt idx="5">
                  <c:v>0</c:v>
                </c:pt>
                <c:pt idx="6">
                  <c:v>0</c:v>
                </c:pt>
                <c:pt idx="7">
                  <c:v>0</c:v>
                </c:pt>
                <c:pt idx="8">
                  <c:v>0</c:v>
                </c:pt>
                <c:pt idx="9">
                  <c:v>0</c:v>
                </c:pt>
              </c:strCache>
            </c:strRef>
          </c:cat>
          <c:val>
            <c:numRef>
              <c:f>'Water report'!$M$448:$M$457</c:f>
              <c:numCache>
                <c:formatCode>_(* #,##0.00_);_(* \(#,##0.00\);_(* "-"??_);_(@_)</c:formatCode>
                <c:ptCount val="10"/>
                <c:pt idx="0">
                  <c:v>23.021901145481429</c:v>
                </c:pt>
                <c:pt idx="1">
                  <c:v>23.021901145481429</c:v>
                </c:pt>
                <c:pt idx="2">
                  <c:v>23.021901145481429</c:v>
                </c:pt>
                <c:pt idx="3">
                  <c:v>23.021901145481429</c:v>
                </c:pt>
                <c:pt idx="4">
                  <c:v>23.021901145481429</c:v>
                </c:pt>
                <c:pt idx="5">
                  <c:v>23.021901145481429</c:v>
                </c:pt>
                <c:pt idx="6">
                  <c:v>23.021901145481429</c:v>
                </c:pt>
                <c:pt idx="7">
                  <c:v>23.021901145481429</c:v>
                </c:pt>
                <c:pt idx="8">
                  <c:v>23.021901145481429</c:v>
                </c:pt>
                <c:pt idx="9">
                  <c:v>23.021901145481429</c:v>
                </c:pt>
              </c:numCache>
            </c:numRef>
          </c:val>
          <c:smooth val="0"/>
          <c:extLst>
            <c:ext xmlns:c16="http://schemas.microsoft.com/office/drawing/2014/chart" uri="{C3380CC4-5D6E-409C-BE32-E72D297353CC}">
              <c16:uniqueId val="{00000002-66DC-4A68-BB38-D8AB1F7A46E9}"/>
            </c:ext>
          </c:extLst>
        </c:ser>
        <c:dLbls>
          <c:showLegendKey val="0"/>
          <c:showVal val="0"/>
          <c:showCatName val="0"/>
          <c:showSerName val="0"/>
          <c:showPercent val="0"/>
          <c:showBubbleSize val="0"/>
        </c:dLbls>
        <c:marker val="1"/>
        <c:smooth val="0"/>
        <c:axId val="1399808719"/>
        <c:axId val="1"/>
      </c:lineChart>
      <c:catAx>
        <c:axId val="1399808719"/>
        <c:scaling>
          <c:orientation val="minMax"/>
        </c:scaling>
        <c:delete val="0"/>
        <c:axPos val="b"/>
        <c:title>
          <c:tx>
            <c:rich>
              <a:bodyPr/>
              <a:lstStyle/>
              <a:p>
                <a:pPr>
                  <a:defRPr sz="1000" b="0" i="0" u="none" strike="noStrike" baseline="0">
                    <a:solidFill>
                      <a:srgbClr val="333333"/>
                    </a:solidFill>
                    <a:latin typeface="Calibri"/>
                    <a:ea typeface="Calibri"/>
                    <a:cs typeface="Calibri"/>
                  </a:defRPr>
                </a:pPr>
                <a:r>
                  <a:rPr lang="en-ZA"/>
                  <a:t>Block size</a:t>
                </a:r>
              </a:p>
            </c:rich>
          </c:tx>
          <c:overlay val="0"/>
          <c:spPr>
            <a:noFill/>
            <a:ln w="25400">
              <a:noFill/>
            </a:ln>
          </c:spPr>
        </c:title>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0" vert="horz"/>
          <a:lstStyle/>
          <a:p>
            <a:pPr>
              <a:defRPr sz="900" b="0" i="0" u="none" strike="noStrike" baseline="0">
                <a:solidFill>
                  <a:srgbClr val="333333"/>
                </a:solidFill>
                <a:latin typeface="Calibri"/>
                <a:ea typeface="Calibri"/>
                <a:cs typeface="Calibri"/>
              </a:defRPr>
            </a:pPr>
            <a:endParaRPr lang="en-US"/>
          </a:p>
        </c:txPr>
        <c:crossAx val="1"/>
        <c:crosses val="autoZero"/>
        <c:auto val="1"/>
        <c:lblAlgn val="ctr"/>
        <c:lblOffset val="100"/>
        <c:noMultiLvlLbl val="0"/>
      </c:catAx>
      <c:valAx>
        <c:axId val="1"/>
        <c:scaling>
          <c:orientation val="minMax"/>
        </c:scaling>
        <c:delete val="0"/>
        <c:axPos val="l"/>
        <c:majorGridlines>
          <c:spPr>
            <a:ln w="9525" cap="flat" cmpd="sng" algn="ctr">
              <a:solidFill>
                <a:schemeClr val="tx1">
                  <a:lumMod val="15000"/>
                  <a:lumOff val="85000"/>
                </a:schemeClr>
              </a:solidFill>
              <a:round/>
            </a:ln>
            <a:effectLst/>
          </c:spPr>
        </c:majorGridlines>
        <c:title>
          <c:tx>
            <c:rich>
              <a:bodyPr/>
              <a:lstStyle/>
              <a:p>
                <a:pPr>
                  <a:defRPr sz="1000" b="0" i="0" u="none" strike="noStrike" baseline="0">
                    <a:solidFill>
                      <a:srgbClr val="333333"/>
                    </a:solidFill>
                    <a:latin typeface="Calibri"/>
                    <a:ea typeface="Calibri"/>
                    <a:cs typeface="Calibri"/>
                  </a:defRPr>
                </a:pPr>
                <a:r>
                  <a:rPr lang="en-ZA"/>
                  <a:t>R/kl</a:t>
                </a:r>
              </a:p>
            </c:rich>
          </c:tx>
          <c:overlay val="0"/>
          <c:spPr>
            <a:noFill/>
            <a:ln w="25400">
              <a:noFill/>
            </a:ln>
          </c:spPr>
        </c:title>
        <c:numFmt formatCode="_(* #,##0.00_);_(* \(#,##0.00\);_(* &quot;-&quot;??_);_(@_)" sourceLinked="1"/>
        <c:majorTickMark val="none"/>
        <c:minorTickMark val="none"/>
        <c:tickLblPos val="nextTo"/>
        <c:spPr>
          <a:ln w="6350">
            <a:noFill/>
          </a:ln>
        </c:spPr>
        <c:txPr>
          <a:bodyPr rot="0" vert="horz"/>
          <a:lstStyle/>
          <a:p>
            <a:pPr>
              <a:defRPr sz="900" b="0" i="0" u="none" strike="noStrike" baseline="0">
                <a:solidFill>
                  <a:srgbClr val="333333"/>
                </a:solidFill>
                <a:latin typeface="Calibri"/>
                <a:ea typeface="Calibri"/>
                <a:cs typeface="Calibri"/>
              </a:defRPr>
            </a:pPr>
            <a:endParaRPr lang="en-US"/>
          </a:p>
        </c:txPr>
        <c:crossAx val="1399808719"/>
        <c:crosses val="autoZero"/>
        <c:crossBetween val="between"/>
      </c:valAx>
      <c:spPr>
        <a:noFill/>
        <a:ln w="25400">
          <a:noFill/>
        </a:ln>
      </c:spPr>
    </c:plotArea>
    <c:legend>
      <c:legendPos val="r"/>
      <c:layout>
        <c:manualLayout>
          <c:xMode val="edge"/>
          <c:yMode val="edge"/>
          <c:x val="0.16605689049016475"/>
          <c:y val="0.9270571043484428"/>
          <c:w val="0.65869231290738117"/>
          <c:h val="5.9461445697666204E-2"/>
        </c:manualLayout>
      </c:layout>
      <c:overlay val="0"/>
      <c:spPr>
        <a:noFill/>
        <a:ln w="25400">
          <a:noFill/>
        </a:ln>
      </c:spPr>
      <c:txPr>
        <a:bodyPr/>
        <a:lstStyle/>
        <a:p>
          <a:pPr>
            <a:defRPr sz="690" b="0" i="0" u="none" strike="noStrike" baseline="0">
              <a:solidFill>
                <a:srgbClr val="333333"/>
              </a:solidFill>
              <a:latin typeface="Calibri"/>
              <a:ea typeface="Calibri"/>
              <a:cs typeface="Calibri"/>
            </a:defRPr>
          </a:pPr>
          <a:endParaRPr lang="en-US"/>
        </a:p>
      </c:txPr>
    </c:legend>
    <c:plotVisOnly val="1"/>
    <c:dispBlanksAs val="gap"/>
    <c:showDLblsOverMax val="0"/>
  </c:chart>
  <c:spPr>
    <a:solidFill>
      <a:schemeClr val="bg1"/>
    </a:solidFill>
    <a:ln w="9525" cap="flat" cmpd="sng" algn="ctr">
      <a:noFill/>
      <a:round/>
    </a:ln>
    <a:effectLst/>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charts/chart7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2.3871527777777776E-2"/>
          <c:y val="4.7786414907172239E-2"/>
          <c:w val="0.57559123468941387"/>
          <c:h val="0.83529592857692603"/>
        </c:manualLayout>
      </c:layout>
      <c:barChart>
        <c:barDir val="col"/>
        <c:grouping val="stacked"/>
        <c:varyColors val="0"/>
        <c:ser>
          <c:idx val="0"/>
          <c:order val="0"/>
          <c:tx>
            <c:strRef>
              <c:f>'Water report'!$I$492</c:f>
              <c:strCache>
                <c:ptCount val="1"/>
                <c:pt idx="0">
                  <c:v>Fixed cost</c:v>
                </c:pt>
              </c:strCache>
            </c:strRef>
          </c:tx>
          <c:spPr>
            <a:solidFill>
              <a:srgbClr val="4472C4"/>
            </a:solidFill>
            <a:ln w="25400">
              <a:noFill/>
            </a:ln>
          </c:spPr>
          <c:invertIfNegative val="0"/>
          <c:dPt>
            <c:idx val="0"/>
            <c:invertIfNegative val="0"/>
            <c:bubble3D val="0"/>
            <c:spPr>
              <a:solidFill>
                <a:srgbClr val="5B9BD5"/>
              </a:solidFill>
              <a:ln w="25400">
                <a:noFill/>
              </a:ln>
            </c:spPr>
            <c:extLst>
              <c:ext xmlns:c16="http://schemas.microsoft.com/office/drawing/2014/chart" uri="{C3380CC4-5D6E-409C-BE32-E72D297353CC}">
                <c16:uniqueId val="{00000000-4ABE-4121-928F-E0AE1AEC9C18}"/>
              </c:ext>
            </c:extLst>
          </c:dPt>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'Water report'!$J$491:$K$491</c:f>
              <c:strCache>
                <c:ptCount val="2"/>
                <c:pt idx="0">
                  <c:v>Expenditure R'000</c:v>
                </c:pt>
                <c:pt idx="1">
                  <c:v>Revenue R'000</c:v>
                </c:pt>
              </c:strCache>
            </c:strRef>
          </c:cat>
          <c:val>
            <c:numRef>
              <c:f>'Water report'!$J$492:$K$492</c:f>
              <c:numCache>
                <c:formatCode>General</c:formatCode>
                <c:ptCount val="2"/>
                <c:pt idx="0" formatCode="_-* #\ ##0_-;\-* #\ ##0_-;_-* &quot;-&quot;??_-;_-@_-">
                  <c:v>10.862082408447542</c:v>
                </c:pt>
              </c:numCache>
            </c:numRef>
          </c:val>
          <c:extLst>
            <c:ext xmlns:c16="http://schemas.microsoft.com/office/drawing/2014/chart" uri="{C3380CC4-5D6E-409C-BE32-E72D297353CC}">
              <c16:uniqueId val="{00000001-4ABE-4121-928F-E0AE1AEC9C18}"/>
            </c:ext>
          </c:extLst>
        </c:ser>
        <c:ser>
          <c:idx val="1"/>
          <c:order val="1"/>
          <c:tx>
            <c:strRef>
              <c:f>'Water report'!$I$493</c:f>
              <c:strCache>
                <c:ptCount val="1"/>
                <c:pt idx="0">
                  <c:v>Variable cost</c:v>
                </c:pt>
              </c:strCache>
            </c:strRef>
          </c:tx>
          <c:spPr>
            <a:solidFill>
              <a:schemeClr val="accent5">
                <a:lumMod val="60000"/>
                <a:lumOff val="40000"/>
              </a:schemeClr>
            </a:solidFill>
            <a:ln>
              <a:noFill/>
            </a:ln>
            <a:effectLst/>
          </c:spPr>
          <c:invertIfNegative val="0"/>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'Water report'!$J$491:$K$491</c:f>
              <c:strCache>
                <c:ptCount val="2"/>
                <c:pt idx="0">
                  <c:v>Expenditure R'000</c:v>
                </c:pt>
                <c:pt idx="1">
                  <c:v>Revenue R'000</c:v>
                </c:pt>
              </c:strCache>
            </c:strRef>
          </c:cat>
          <c:val>
            <c:numRef>
              <c:f>'Water report'!$J$493:$K$493</c:f>
              <c:numCache>
                <c:formatCode>General</c:formatCode>
                <c:ptCount val="2"/>
                <c:pt idx="0" formatCode="_-* #\ ##0_-;\-* #\ ##0_-;_-* &quot;-&quot;??_-;_-@_-">
                  <c:v>86.866191358328237</c:v>
                </c:pt>
              </c:numCache>
            </c:numRef>
          </c:val>
          <c:extLst>
            <c:ext xmlns:c16="http://schemas.microsoft.com/office/drawing/2014/chart" uri="{C3380CC4-5D6E-409C-BE32-E72D297353CC}">
              <c16:uniqueId val="{00000002-4ABE-4121-928F-E0AE1AEC9C18}"/>
            </c:ext>
          </c:extLst>
        </c:ser>
        <c:ser>
          <c:idx val="2"/>
          <c:order val="2"/>
          <c:tx>
            <c:strRef>
              <c:f>'Water report'!$I$494</c:f>
              <c:strCache>
                <c:ptCount val="1"/>
                <c:pt idx="0">
                  <c:v>Surplus</c:v>
                </c:pt>
              </c:strCache>
            </c:strRef>
          </c:tx>
          <c:spPr>
            <a:solidFill>
              <a:srgbClr val="A5A5A5"/>
            </a:solidFill>
            <a:ln w="25400">
              <a:noFill/>
            </a:ln>
          </c:spPr>
          <c:invertIfNegative val="0"/>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'Water report'!$J$491:$K$491</c:f>
              <c:strCache>
                <c:ptCount val="2"/>
                <c:pt idx="0">
                  <c:v>Expenditure R'000</c:v>
                </c:pt>
                <c:pt idx="1">
                  <c:v>Revenue R'000</c:v>
                </c:pt>
              </c:strCache>
            </c:strRef>
          </c:cat>
          <c:val>
            <c:numRef>
              <c:f>'Water report'!$J$494:$K$494</c:f>
              <c:numCache>
                <c:formatCode>General</c:formatCode>
                <c:ptCount val="2"/>
                <c:pt idx="0" formatCode="_-* #\ ##0_-;\-* #\ ##0_-;_-* &quot;-&quot;??_-;_-@_-">
                  <c:v>0</c:v>
                </c:pt>
              </c:numCache>
            </c:numRef>
          </c:val>
          <c:extLst>
            <c:ext xmlns:c16="http://schemas.microsoft.com/office/drawing/2014/chart" uri="{C3380CC4-5D6E-409C-BE32-E72D297353CC}">
              <c16:uniqueId val="{00000003-4ABE-4121-928F-E0AE1AEC9C18}"/>
            </c:ext>
          </c:extLst>
        </c:ser>
        <c:ser>
          <c:idx val="4"/>
          <c:order val="3"/>
          <c:tx>
            <c:strRef>
              <c:f>'Water report'!$I$495</c:f>
              <c:strCache>
                <c:ptCount val="1"/>
                <c:pt idx="0">
                  <c:v>Tariff revenue</c:v>
                </c:pt>
              </c:strCache>
            </c:strRef>
          </c:tx>
          <c:spPr>
            <a:solidFill>
              <a:srgbClr val="5B9BD5"/>
            </a:solidFill>
            <a:ln w="25400">
              <a:noFill/>
            </a:ln>
          </c:spPr>
          <c:invertIfNegative val="0"/>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'Water report'!$J$491:$K$491</c:f>
              <c:strCache>
                <c:ptCount val="2"/>
                <c:pt idx="0">
                  <c:v>Expenditure R'000</c:v>
                </c:pt>
                <c:pt idx="1">
                  <c:v>Revenue R'000</c:v>
                </c:pt>
              </c:strCache>
            </c:strRef>
          </c:cat>
          <c:val>
            <c:numRef>
              <c:f>'Water report'!$J$495:$K$495</c:f>
              <c:numCache>
                <c:formatCode>_-* #\ ##0_-;\-* #\ ##0_-;_-* "-"??_-;_-@_-</c:formatCode>
                <c:ptCount val="2"/>
                <c:pt idx="1">
                  <c:v>75.843151350822652</c:v>
                </c:pt>
              </c:numCache>
            </c:numRef>
          </c:val>
          <c:extLst>
            <c:ext xmlns:c16="http://schemas.microsoft.com/office/drawing/2014/chart" uri="{C3380CC4-5D6E-409C-BE32-E72D297353CC}">
              <c16:uniqueId val="{00000004-4ABE-4121-928F-E0AE1AEC9C18}"/>
            </c:ext>
          </c:extLst>
        </c:ser>
        <c:ser>
          <c:idx val="5"/>
          <c:order val="4"/>
          <c:tx>
            <c:strRef>
              <c:f>'Water report'!$I$496</c:f>
              <c:strCache>
                <c:ptCount val="1"/>
                <c:pt idx="0">
                  <c:v>External grants &amp; subsidies</c:v>
                </c:pt>
              </c:strCache>
            </c:strRef>
          </c:tx>
          <c:spPr>
            <a:solidFill>
              <a:srgbClr val="A5A5A5"/>
            </a:solidFill>
            <a:ln w="25400">
              <a:noFill/>
            </a:ln>
          </c:spPr>
          <c:invertIfNegative val="0"/>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'Water report'!$J$491:$K$491</c:f>
              <c:strCache>
                <c:ptCount val="2"/>
                <c:pt idx="0">
                  <c:v>Expenditure R'000</c:v>
                </c:pt>
                <c:pt idx="1">
                  <c:v>Revenue R'000</c:v>
                </c:pt>
              </c:strCache>
            </c:strRef>
          </c:cat>
          <c:val>
            <c:numRef>
              <c:f>'Water report'!$J$496:$K$496</c:f>
              <c:numCache>
                <c:formatCode>_-* #\ ##0_-;\-* #\ ##0_-;_-* "-"??_-;_-@_-</c:formatCode>
                <c:ptCount val="2"/>
                <c:pt idx="1">
                  <c:v>14.841925273736786</c:v>
                </c:pt>
              </c:numCache>
            </c:numRef>
          </c:val>
          <c:extLst>
            <c:ext xmlns:c16="http://schemas.microsoft.com/office/drawing/2014/chart" uri="{C3380CC4-5D6E-409C-BE32-E72D297353CC}">
              <c16:uniqueId val="{00000005-4ABE-4121-928F-E0AE1AEC9C18}"/>
            </c:ext>
          </c:extLst>
        </c:ser>
        <c:ser>
          <c:idx val="3"/>
          <c:order val="5"/>
          <c:tx>
            <c:strRef>
              <c:f>'Water report'!$I$497</c:f>
              <c:strCache>
                <c:ptCount val="1"/>
                <c:pt idx="0">
                  <c:v>Other non-tariff revenue</c:v>
                </c:pt>
              </c:strCache>
            </c:strRef>
          </c:tx>
          <c:spPr>
            <a:solidFill>
              <a:schemeClr val="accent3">
                <a:lumMod val="40000"/>
                <a:lumOff val="60000"/>
              </a:schemeClr>
            </a:solidFill>
            <a:ln>
              <a:noFill/>
            </a:ln>
            <a:effectLst/>
          </c:spPr>
          <c:invertIfNegative val="0"/>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'Water report'!$J$491:$K$491</c:f>
              <c:strCache>
                <c:ptCount val="2"/>
                <c:pt idx="0">
                  <c:v>Expenditure R'000</c:v>
                </c:pt>
                <c:pt idx="1">
                  <c:v>Revenue R'000</c:v>
                </c:pt>
              </c:strCache>
            </c:strRef>
          </c:cat>
          <c:val>
            <c:numRef>
              <c:f>'Water report'!$J$497:$K$497</c:f>
              <c:numCache>
                <c:formatCode>_-* #\ ##0_-;\-* #\ ##0_-;_-* "-"??_-;_-@_-</c:formatCode>
                <c:ptCount val="2"/>
                <c:pt idx="1">
                  <c:v>7.0431971422163402</c:v>
                </c:pt>
              </c:numCache>
            </c:numRef>
          </c:val>
          <c:extLst>
            <c:ext xmlns:c16="http://schemas.microsoft.com/office/drawing/2014/chart" uri="{C3380CC4-5D6E-409C-BE32-E72D297353CC}">
              <c16:uniqueId val="{00000006-4ABE-4121-928F-E0AE1AEC9C18}"/>
            </c:ext>
          </c:extLst>
        </c:ser>
        <c:ser>
          <c:idx val="6"/>
          <c:order val="6"/>
          <c:tx>
            <c:strRef>
              <c:f>'Water report'!$I$498</c:f>
              <c:strCache>
                <c:ptCount val="1"/>
                <c:pt idx="0">
                  <c:v>Deficit</c:v>
                </c:pt>
              </c:strCache>
            </c:strRef>
          </c:tx>
          <c:spPr>
            <a:solidFill>
              <a:srgbClr val="ED7D31"/>
            </a:solidFill>
            <a:ln w="25400">
              <a:noFill/>
            </a:ln>
          </c:spPr>
          <c:invertIfNegative val="0"/>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'Water report'!$J$491:$K$491</c:f>
              <c:strCache>
                <c:ptCount val="2"/>
                <c:pt idx="0">
                  <c:v>Expenditure R'000</c:v>
                </c:pt>
                <c:pt idx="1">
                  <c:v>Revenue R'000</c:v>
                </c:pt>
              </c:strCache>
            </c:strRef>
          </c:cat>
          <c:val>
            <c:numRef>
              <c:f>'Water report'!$J$498:$K$498</c:f>
              <c:numCache>
                <c:formatCode>_-* #\ ##0_-;\-* #\ ##0_-;_-* "-"??_-;_-@_-</c:formatCode>
                <c:ptCount val="2"/>
                <c:pt idx="1">
                  <c:v>0</c:v>
                </c:pt>
              </c:numCache>
            </c:numRef>
          </c:val>
          <c:extLst>
            <c:ext xmlns:c16="http://schemas.microsoft.com/office/drawing/2014/chart" uri="{C3380CC4-5D6E-409C-BE32-E72D297353CC}">
              <c16:uniqueId val="{00000007-4ABE-4121-928F-E0AE1AEC9C18}"/>
            </c:ext>
          </c:extLst>
        </c:ser>
        <c:dLbls>
          <c:showLegendKey val="0"/>
          <c:showVal val="0"/>
          <c:showCatName val="0"/>
          <c:showSerName val="0"/>
          <c:showPercent val="0"/>
          <c:showBubbleSize val="0"/>
        </c:dLbls>
        <c:gapWidth val="25"/>
        <c:overlap val="100"/>
        <c:axId val="1399807279"/>
        <c:axId val="1"/>
      </c:barChart>
      <c:catAx>
        <c:axId val="1399807279"/>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0" vert="horz"/>
          <a:lstStyle/>
          <a:p>
            <a:pPr>
              <a:defRPr sz="1100" b="0" i="0" u="none" strike="noStrike" baseline="0">
                <a:solidFill>
                  <a:srgbClr val="000000"/>
                </a:solidFill>
                <a:latin typeface="Calibri"/>
                <a:ea typeface="Calibri"/>
                <a:cs typeface="Calibri"/>
              </a:defRPr>
            </a:pPr>
            <a:endParaRPr lang="en-US"/>
          </a:p>
        </c:txPr>
        <c:crossAx val="1"/>
        <c:crosses val="autoZero"/>
        <c:auto val="1"/>
        <c:lblAlgn val="ctr"/>
        <c:lblOffset val="100"/>
        <c:noMultiLvlLbl val="0"/>
      </c:catAx>
      <c:valAx>
        <c:axId val="1"/>
        <c:scaling>
          <c:orientation val="minMax"/>
        </c:scaling>
        <c:delete val="1"/>
        <c:axPos val="l"/>
        <c:majorGridlines>
          <c:spPr>
            <a:ln w="9525" cap="flat" cmpd="sng" algn="ctr">
              <a:solidFill>
                <a:schemeClr val="tx1">
                  <a:lumMod val="15000"/>
                  <a:lumOff val="85000"/>
                </a:schemeClr>
              </a:solidFill>
              <a:round/>
            </a:ln>
            <a:effectLst/>
          </c:spPr>
        </c:majorGridlines>
        <c:numFmt formatCode="_-* #\ ##0_-;\-* #\ ##0_-;_-* &quot;-&quot;??_-;_-@_-" sourceLinked="1"/>
        <c:majorTickMark val="out"/>
        <c:minorTickMark val="none"/>
        <c:tickLblPos val="nextTo"/>
        <c:crossAx val="1399807279"/>
        <c:crosses val="autoZero"/>
        <c:crossBetween val="between"/>
      </c:valAx>
    </c:plotArea>
    <c:legend>
      <c:legendPos val="r"/>
      <c:layout>
        <c:manualLayout>
          <c:xMode val="edge"/>
          <c:yMode val="edge"/>
          <c:x val="0.6324241177169927"/>
          <c:y val="0.18827776157609927"/>
          <c:w val="0.3484430299871053"/>
          <c:h val="0.70681280580668138"/>
        </c:manualLayout>
      </c:layout>
      <c:overlay val="0"/>
      <c:spPr>
        <a:noFill/>
        <a:ln w="25400">
          <a:noFill/>
        </a:ln>
      </c:spPr>
      <c:txPr>
        <a:bodyPr/>
        <a:lstStyle/>
        <a:p>
          <a:pPr>
            <a:defRPr sz="850" b="0" i="0" u="none" strike="noStrike" baseline="0">
              <a:solidFill>
                <a:srgbClr val="000000"/>
              </a:solidFill>
              <a:latin typeface="Calibri"/>
              <a:ea typeface="Calibri"/>
              <a:cs typeface="Calibri"/>
            </a:defRPr>
          </a:pPr>
          <a:endParaRPr lang="en-US"/>
        </a:p>
      </c:txPr>
    </c:legend>
    <c:plotVisOnly val="1"/>
    <c:dispBlanksAs val="gap"/>
    <c:showDLblsOverMax val="0"/>
  </c:chart>
  <c:spPr>
    <a:solidFill>
      <a:schemeClr val="bg1"/>
    </a:solidFill>
    <a:ln w="9525" cap="flat" cmpd="sng" algn="ctr">
      <a:noFill/>
      <a:round/>
    </a:ln>
    <a:effectLst/>
  </c:spPr>
  <c:txPr>
    <a:bodyPr/>
    <a:lstStyle/>
    <a:p>
      <a:pPr>
        <a:defRPr sz="11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charts/chart7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ser>
          <c:idx val="0"/>
          <c:order val="0"/>
          <c:tx>
            <c:strRef>
              <c:f>'Water report'!$K$516</c:f>
              <c:strCache>
                <c:ptCount val="1"/>
                <c:pt idx="0">
                  <c:v>Tariff </c:v>
                </c:pt>
              </c:strCache>
            </c:strRef>
          </c:tx>
          <c:spPr>
            <a:solidFill>
              <a:srgbClr val="4472C4"/>
            </a:solidFill>
            <a:ln w="25400">
              <a:noFill/>
            </a:ln>
          </c:spPr>
          <c:invertIfNegative val="0"/>
          <c:dLbls>
            <c:spPr>
              <a:noFill/>
              <a:ln w="25400">
                <a:noFill/>
              </a:ln>
            </c:spPr>
            <c:txPr>
              <a:bodyPr wrap="square" lIns="38100" tIns="19050" rIns="38100" bIns="19050" anchor="ctr">
                <a:spAutoFit/>
              </a:bodyPr>
              <a:lstStyle/>
              <a:p>
                <a:pPr>
                  <a:defRPr sz="900" b="0" i="0" u="none" strike="noStrike" baseline="0">
                    <a:solidFill>
                      <a:srgbClr val="333333"/>
                    </a:solidFill>
                    <a:latin typeface="Calibri"/>
                    <a:ea typeface="Calibri"/>
                    <a:cs typeface="Calibri"/>
                  </a:defRPr>
                </a:pPr>
                <a:endParaRPr lang="en-US"/>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'Water report'!$J$517:$J$526</c:f>
              <c:strCache>
                <c:ptCount val="10"/>
                <c:pt idx="0">
                  <c:v>6</c:v>
                </c:pt>
                <c:pt idx="1">
                  <c:v>15</c:v>
                </c:pt>
                <c:pt idx="2">
                  <c:v>30</c:v>
                </c:pt>
                <c:pt idx="3">
                  <c:v>40</c:v>
                </c:pt>
                <c:pt idx="4">
                  <c:v>more</c:v>
                </c:pt>
                <c:pt idx="5">
                  <c:v>0</c:v>
                </c:pt>
                <c:pt idx="6">
                  <c:v>0</c:v>
                </c:pt>
                <c:pt idx="7">
                  <c:v>0</c:v>
                </c:pt>
                <c:pt idx="8">
                  <c:v>0</c:v>
                </c:pt>
                <c:pt idx="9">
                  <c:v>0</c:v>
                </c:pt>
              </c:strCache>
            </c:strRef>
          </c:cat>
          <c:val>
            <c:numRef>
              <c:f>'Water report'!$K$517:$K$526</c:f>
              <c:numCache>
                <c:formatCode>_(* #,##0.00_);_(* \(#,##0.00\);_(* "-"??_);_(@_)</c:formatCode>
                <c:ptCount val="10"/>
                <c:pt idx="0">
                  <c:v>6.1160624154569856</c:v>
                </c:pt>
                <c:pt idx="1">
                  <c:v>7.8897205159395103</c:v>
                </c:pt>
                <c:pt idx="2">
                  <c:v>13.833309971280608</c:v>
                </c:pt>
                <c:pt idx="3">
                  <c:v>16.360194592701202</c:v>
                </c:pt>
                <c:pt idx="4">
                  <c:v>19.951257305799118</c:v>
                </c:pt>
                <c:pt idx="5">
                  <c:v>0</c:v>
                </c:pt>
                <c:pt idx="6">
                  <c:v>0</c:v>
                </c:pt>
                <c:pt idx="7">
                  <c:v>0</c:v>
                </c:pt>
                <c:pt idx="8">
                  <c:v>0</c:v>
                </c:pt>
                <c:pt idx="9">
                  <c:v>0</c:v>
                </c:pt>
              </c:numCache>
            </c:numRef>
          </c:val>
          <c:extLst>
            <c:ext xmlns:c16="http://schemas.microsoft.com/office/drawing/2014/chart" uri="{C3380CC4-5D6E-409C-BE32-E72D297353CC}">
              <c16:uniqueId val="{00000000-47A8-4DE2-AA10-2B176A537B57}"/>
            </c:ext>
          </c:extLst>
        </c:ser>
        <c:dLbls>
          <c:showLegendKey val="0"/>
          <c:showVal val="0"/>
          <c:showCatName val="0"/>
          <c:showSerName val="0"/>
          <c:showPercent val="0"/>
          <c:showBubbleSize val="0"/>
        </c:dLbls>
        <c:gapWidth val="50"/>
        <c:overlap val="-27"/>
        <c:axId val="1399799119"/>
        <c:axId val="1"/>
      </c:barChart>
      <c:lineChart>
        <c:grouping val="standard"/>
        <c:varyColors val="0"/>
        <c:ser>
          <c:idx val="1"/>
          <c:order val="1"/>
          <c:tx>
            <c:strRef>
              <c:f>'Water report'!$L$516</c:f>
              <c:strCache>
                <c:ptCount val="1"/>
                <c:pt idx="0">
                  <c:v>Total cost per kl </c:v>
                </c:pt>
              </c:strCache>
            </c:strRef>
          </c:tx>
          <c:spPr>
            <a:ln w="28575" cap="rnd">
              <a:solidFill>
                <a:schemeClr val="accent2"/>
              </a:solidFill>
              <a:round/>
            </a:ln>
            <a:effectLst/>
          </c:spPr>
          <c:marker>
            <c:symbol val="none"/>
          </c:marker>
          <c:val>
            <c:numRef>
              <c:f>'Water report'!$L$517:$L$526</c:f>
              <c:numCache>
                <c:formatCode>_(* #,##0.00_);_(* \(#,##0.00\);_(* "-"??_);_(@_)</c:formatCode>
                <c:ptCount val="10"/>
                <c:pt idx="0">
                  <c:v>25.900648141649548</c:v>
                </c:pt>
                <c:pt idx="1">
                  <c:v>25.900648141649548</c:v>
                </c:pt>
                <c:pt idx="2">
                  <c:v>25.900648141649548</c:v>
                </c:pt>
                <c:pt idx="3">
                  <c:v>25.900648141649548</c:v>
                </c:pt>
                <c:pt idx="4">
                  <c:v>25.900648141649548</c:v>
                </c:pt>
                <c:pt idx="5">
                  <c:v>25.900648141649548</c:v>
                </c:pt>
                <c:pt idx="6">
                  <c:v>25.900648141649548</c:v>
                </c:pt>
                <c:pt idx="7">
                  <c:v>25.900648141649548</c:v>
                </c:pt>
                <c:pt idx="8">
                  <c:v>25.900648141649548</c:v>
                </c:pt>
                <c:pt idx="9">
                  <c:v>25.900648141649548</c:v>
                </c:pt>
              </c:numCache>
            </c:numRef>
          </c:val>
          <c:smooth val="0"/>
          <c:extLst>
            <c:ext xmlns:c16="http://schemas.microsoft.com/office/drawing/2014/chart" uri="{C3380CC4-5D6E-409C-BE32-E72D297353CC}">
              <c16:uniqueId val="{00000001-47A8-4DE2-AA10-2B176A537B57}"/>
            </c:ext>
          </c:extLst>
        </c:ser>
        <c:ser>
          <c:idx val="2"/>
          <c:order val="2"/>
          <c:tx>
            <c:strRef>
              <c:f>'Water report'!$M$516</c:f>
              <c:strCache>
                <c:ptCount val="1"/>
                <c:pt idx="0">
                  <c:v>Variable cost per kl</c:v>
                </c:pt>
              </c:strCache>
            </c:strRef>
          </c:tx>
          <c:spPr>
            <a:ln w="28575" cap="rnd">
              <a:solidFill>
                <a:schemeClr val="accent3"/>
              </a:solidFill>
              <a:round/>
            </a:ln>
            <a:effectLst/>
          </c:spPr>
          <c:marker>
            <c:symbol val="none"/>
          </c:marker>
          <c:val>
            <c:numRef>
              <c:f>'Water report'!$M$517:$M$526</c:f>
              <c:numCache>
                <c:formatCode>_(* #,##0.00_);_(* \(#,##0.00\);_(* "-"??_);_(@_)</c:formatCode>
                <c:ptCount val="10"/>
                <c:pt idx="0" formatCode="_-* #\ ##0_-;\-* #\ ##0_-;_-* &quot;-&quot;??_-;_-@_-">
                  <c:v>23.021901145481433</c:v>
                </c:pt>
                <c:pt idx="1">
                  <c:v>23.021901145481433</c:v>
                </c:pt>
                <c:pt idx="2">
                  <c:v>23.021901145481433</c:v>
                </c:pt>
                <c:pt idx="3">
                  <c:v>23.021901145481433</c:v>
                </c:pt>
                <c:pt idx="4">
                  <c:v>23.021901145481433</c:v>
                </c:pt>
                <c:pt idx="5">
                  <c:v>23.021901145481433</c:v>
                </c:pt>
                <c:pt idx="6">
                  <c:v>23.021901145481433</c:v>
                </c:pt>
                <c:pt idx="7">
                  <c:v>23.021901145481433</c:v>
                </c:pt>
                <c:pt idx="8">
                  <c:v>23.021901145481433</c:v>
                </c:pt>
                <c:pt idx="9">
                  <c:v>23.021901145481433</c:v>
                </c:pt>
              </c:numCache>
            </c:numRef>
          </c:val>
          <c:smooth val="0"/>
          <c:extLst>
            <c:ext xmlns:c16="http://schemas.microsoft.com/office/drawing/2014/chart" uri="{C3380CC4-5D6E-409C-BE32-E72D297353CC}">
              <c16:uniqueId val="{00000002-47A8-4DE2-AA10-2B176A537B57}"/>
            </c:ext>
          </c:extLst>
        </c:ser>
        <c:dLbls>
          <c:showLegendKey val="0"/>
          <c:showVal val="0"/>
          <c:showCatName val="0"/>
          <c:showSerName val="0"/>
          <c:showPercent val="0"/>
          <c:showBubbleSize val="0"/>
        </c:dLbls>
        <c:marker val="1"/>
        <c:smooth val="0"/>
        <c:axId val="1399799119"/>
        <c:axId val="1"/>
      </c:lineChart>
      <c:catAx>
        <c:axId val="1399799119"/>
        <c:scaling>
          <c:orientation val="minMax"/>
        </c:scaling>
        <c:delete val="0"/>
        <c:axPos val="b"/>
        <c:title>
          <c:tx>
            <c:rich>
              <a:bodyPr/>
              <a:lstStyle/>
              <a:p>
                <a:pPr>
                  <a:defRPr sz="1000" b="0" i="0" u="none" strike="noStrike" baseline="0">
                    <a:solidFill>
                      <a:srgbClr val="333333"/>
                    </a:solidFill>
                    <a:latin typeface="Calibri"/>
                    <a:ea typeface="Calibri"/>
                    <a:cs typeface="Calibri"/>
                  </a:defRPr>
                </a:pPr>
                <a:r>
                  <a:rPr lang="en-ZA"/>
                  <a:t>Block size</a:t>
                </a:r>
              </a:p>
            </c:rich>
          </c:tx>
          <c:overlay val="0"/>
          <c:spPr>
            <a:noFill/>
            <a:ln w="25400">
              <a:noFill/>
            </a:ln>
          </c:spPr>
        </c:title>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0" vert="horz"/>
          <a:lstStyle/>
          <a:p>
            <a:pPr>
              <a:defRPr sz="900" b="0" i="0" u="none" strike="noStrike" baseline="0">
                <a:solidFill>
                  <a:srgbClr val="333333"/>
                </a:solidFill>
                <a:latin typeface="Calibri"/>
                <a:ea typeface="Calibri"/>
                <a:cs typeface="Calibri"/>
              </a:defRPr>
            </a:pPr>
            <a:endParaRPr lang="en-US"/>
          </a:p>
        </c:txPr>
        <c:crossAx val="1"/>
        <c:crosses val="autoZero"/>
        <c:auto val="1"/>
        <c:lblAlgn val="ctr"/>
        <c:lblOffset val="100"/>
        <c:noMultiLvlLbl val="0"/>
      </c:catAx>
      <c:valAx>
        <c:axId val="1"/>
        <c:scaling>
          <c:orientation val="minMax"/>
        </c:scaling>
        <c:delete val="0"/>
        <c:axPos val="l"/>
        <c:majorGridlines>
          <c:spPr>
            <a:ln w="9525" cap="flat" cmpd="sng" algn="ctr">
              <a:solidFill>
                <a:schemeClr val="tx1">
                  <a:lumMod val="15000"/>
                  <a:lumOff val="85000"/>
                </a:schemeClr>
              </a:solidFill>
              <a:round/>
            </a:ln>
            <a:effectLst/>
          </c:spPr>
        </c:majorGridlines>
        <c:title>
          <c:tx>
            <c:rich>
              <a:bodyPr/>
              <a:lstStyle/>
              <a:p>
                <a:pPr>
                  <a:defRPr sz="1000" b="0" i="0" u="none" strike="noStrike" baseline="0">
                    <a:solidFill>
                      <a:srgbClr val="333333"/>
                    </a:solidFill>
                    <a:latin typeface="Calibri"/>
                    <a:ea typeface="Calibri"/>
                    <a:cs typeface="Calibri"/>
                  </a:defRPr>
                </a:pPr>
                <a:r>
                  <a:rPr lang="en-ZA"/>
                  <a:t>R/kl</a:t>
                </a:r>
              </a:p>
            </c:rich>
          </c:tx>
          <c:overlay val="0"/>
          <c:spPr>
            <a:noFill/>
            <a:ln w="25400">
              <a:noFill/>
            </a:ln>
          </c:spPr>
        </c:title>
        <c:numFmt formatCode="_(* #,##0.00_);_(* \(#,##0.00\);_(* &quot;-&quot;??_);_(@_)" sourceLinked="1"/>
        <c:majorTickMark val="none"/>
        <c:minorTickMark val="none"/>
        <c:tickLblPos val="nextTo"/>
        <c:spPr>
          <a:ln w="6350">
            <a:noFill/>
          </a:ln>
        </c:spPr>
        <c:txPr>
          <a:bodyPr rot="0" vert="horz"/>
          <a:lstStyle/>
          <a:p>
            <a:pPr>
              <a:defRPr sz="900" b="0" i="0" u="none" strike="noStrike" baseline="0">
                <a:solidFill>
                  <a:srgbClr val="333333"/>
                </a:solidFill>
                <a:latin typeface="Calibri"/>
                <a:ea typeface="Calibri"/>
                <a:cs typeface="Calibri"/>
              </a:defRPr>
            </a:pPr>
            <a:endParaRPr lang="en-US"/>
          </a:p>
        </c:txPr>
        <c:crossAx val="1399799119"/>
        <c:crosses val="autoZero"/>
        <c:crossBetween val="between"/>
      </c:valAx>
      <c:spPr>
        <a:noFill/>
        <a:ln w="25400">
          <a:noFill/>
        </a:ln>
      </c:spPr>
    </c:plotArea>
    <c:legend>
      <c:legendPos val="r"/>
      <c:layout>
        <c:manualLayout>
          <c:xMode val="edge"/>
          <c:yMode val="edge"/>
          <c:x val="0.16605689049016475"/>
          <c:y val="0.9270571043484428"/>
          <c:w val="0.65869231290738117"/>
          <c:h val="5.9461445697666204E-2"/>
        </c:manualLayout>
      </c:layout>
      <c:overlay val="0"/>
      <c:spPr>
        <a:noFill/>
        <a:ln w="25400">
          <a:noFill/>
        </a:ln>
      </c:spPr>
      <c:txPr>
        <a:bodyPr/>
        <a:lstStyle/>
        <a:p>
          <a:pPr>
            <a:defRPr sz="690" b="0" i="0" u="none" strike="noStrike" baseline="0">
              <a:solidFill>
                <a:srgbClr val="333333"/>
              </a:solidFill>
              <a:latin typeface="Calibri"/>
              <a:ea typeface="Calibri"/>
              <a:cs typeface="Calibri"/>
            </a:defRPr>
          </a:pPr>
          <a:endParaRPr lang="en-US"/>
        </a:p>
      </c:txPr>
    </c:legend>
    <c:plotVisOnly val="1"/>
    <c:dispBlanksAs val="gap"/>
    <c:showDLblsOverMax val="0"/>
  </c:chart>
  <c:spPr>
    <a:solidFill>
      <a:schemeClr val="bg1"/>
    </a:solidFill>
    <a:ln w="9525" cap="flat" cmpd="sng" algn="ctr">
      <a:noFill/>
      <a:round/>
    </a:ln>
    <a:effectLst/>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charts/chart7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2.3871527777777776E-2"/>
          <c:y val="4.7786414907172239E-2"/>
          <c:w val="0.57559123468941387"/>
          <c:h val="0.83529592857692603"/>
        </c:manualLayout>
      </c:layout>
      <c:barChart>
        <c:barDir val="col"/>
        <c:grouping val="stacked"/>
        <c:varyColors val="0"/>
        <c:ser>
          <c:idx val="0"/>
          <c:order val="0"/>
          <c:tx>
            <c:strRef>
              <c:f>'Water report'!$I$558</c:f>
              <c:strCache>
                <c:ptCount val="1"/>
                <c:pt idx="0">
                  <c:v>Fixed cost</c:v>
                </c:pt>
              </c:strCache>
            </c:strRef>
          </c:tx>
          <c:spPr>
            <a:solidFill>
              <a:srgbClr val="4472C4"/>
            </a:solidFill>
            <a:ln w="25400">
              <a:noFill/>
            </a:ln>
          </c:spPr>
          <c:invertIfNegative val="0"/>
          <c:dPt>
            <c:idx val="0"/>
            <c:invertIfNegative val="0"/>
            <c:bubble3D val="0"/>
            <c:spPr>
              <a:solidFill>
                <a:srgbClr val="5B9BD5"/>
              </a:solidFill>
              <a:ln w="25400">
                <a:noFill/>
              </a:ln>
            </c:spPr>
            <c:extLst>
              <c:ext xmlns:c16="http://schemas.microsoft.com/office/drawing/2014/chart" uri="{C3380CC4-5D6E-409C-BE32-E72D297353CC}">
                <c16:uniqueId val="{00000000-D7F2-4776-96EC-FCEFB94142C3}"/>
              </c:ext>
            </c:extLst>
          </c:dPt>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'Water report'!$J$557:$K$557</c:f>
              <c:strCache>
                <c:ptCount val="2"/>
                <c:pt idx="0">
                  <c:v>Expenditure R'000</c:v>
                </c:pt>
                <c:pt idx="1">
                  <c:v>Revenue R'000</c:v>
                </c:pt>
              </c:strCache>
            </c:strRef>
          </c:cat>
          <c:val>
            <c:numRef>
              <c:f>'Water report'!$J$558:$K$558</c:f>
              <c:numCache>
                <c:formatCode>General</c:formatCode>
                <c:ptCount val="2"/>
                <c:pt idx="0" formatCode="_-* #\ ##0_-;\-* #\ ##0_-;_-* &quot;-&quot;??_-;_-@_-">
                  <c:v>3.6206941361491802</c:v>
                </c:pt>
              </c:numCache>
            </c:numRef>
          </c:val>
          <c:extLst>
            <c:ext xmlns:c16="http://schemas.microsoft.com/office/drawing/2014/chart" uri="{C3380CC4-5D6E-409C-BE32-E72D297353CC}">
              <c16:uniqueId val="{00000001-D7F2-4776-96EC-FCEFB94142C3}"/>
            </c:ext>
          </c:extLst>
        </c:ser>
        <c:ser>
          <c:idx val="1"/>
          <c:order val="1"/>
          <c:tx>
            <c:strRef>
              <c:f>'Water report'!$I$559</c:f>
              <c:strCache>
                <c:ptCount val="1"/>
                <c:pt idx="0">
                  <c:v>Variable cost</c:v>
                </c:pt>
              </c:strCache>
            </c:strRef>
          </c:tx>
          <c:spPr>
            <a:solidFill>
              <a:schemeClr val="accent5">
                <a:lumMod val="60000"/>
                <a:lumOff val="40000"/>
              </a:schemeClr>
            </a:solidFill>
            <a:ln>
              <a:noFill/>
            </a:ln>
            <a:effectLst/>
          </c:spPr>
          <c:invertIfNegative val="0"/>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'Water report'!$J$557:$K$557</c:f>
              <c:strCache>
                <c:ptCount val="2"/>
                <c:pt idx="0">
                  <c:v>Expenditure R'000</c:v>
                </c:pt>
                <c:pt idx="1">
                  <c:v>Revenue R'000</c:v>
                </c:pt>
              </c:strCache>
            </c:strRef>
          </c:cat>
          <c:val>
            <c:numRef>
              <c:f>'Water report'!$J$559:$K$559</c:f>
              <c:numCache>
                <c:formatCode>General</c:formatCode>
                <c:ptCount val="2"/>
                <c:pt idx="0" formatCode="_-* #\ ##0_-;\-* #\ ##0_-;_-* &quot;-&quot;??_-;_-@_-">
                  <c:v>154.62844079571764</c:v>
                </c:pt>
              </c:numCache>
            </c:numRef>
          </c:val>
          <c:extLst>
            <c:ext xmlns:c16="http://schemas.microsoft.com/office/drawing/2014/chart" uri="{C3380CC4-5D6E-409C-BE32-E72D297353CC}">
              <c16:uniqueId val="{00000002-D7F2-4776-96EC-FCEFB94142C3}"/>
            </c:ext>
          </c:extLst>
        </c:ser>
        <c:ser>
          <c:idx val="2"/>
          <c:order val="2"/>
          <c:tx>
            <c:strRef>
              <c:f>'Water report'!$I$560</c:f>
              <c:strCache>
                <c:ptCount val="1"/>
                <c:pt idx="0">
                  <c:v>Surplus</c:v>
                </c:pt>
              </c:strCache>
            </c:strRef>
          </c:tx>
          <c:spPr>
            <a:solidFill>
              <a:srgbClr val="A5A5A5"/>
            </a:solidFill>
            <a:ln w="25400">
              <a:noFill/>
            </a:ln>
          </c:spPr>
          <c:invertIfNegative val="0"/>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'Water report'!$J$557:$K$557</c:f>
              <c:strCache>
                <c:ptCount val="2"/>
                <c:pt idx="0">
                  <c:v>Expenditure R'000</c:v>
                </c:pt>
                <c:pt idx="1">
                  <c:v>Revenue R'000</c:v>
                </c:pt>
              </c:strCache>
            </c:strRef>
          </c:cat>
          <c:val>
            <c:numRef>
              <c:f>'Water report'!$J$560:$K$560</c:f>
              <c:numCache>
                <c:formatCode>General</c:formatCode>
                <c:ptCount val="2"/>
                <c:pt idx="0" formatCode="_-* #\ ##0_-;\-* #\ ##0_-;_-* &quot;-&quot;??_-;_-@_-">
                  <c:v>0</c:v>
                </c:pt>
              </c:numCache>
            </c:numRef>
          </c:val>
          <c:extLst>
            <c:ext xmlns:c16="http://schemas.microsoft.com/office/drawing/2014/chart" uri="{C3380CC4-5D6E-409C-BE32-E72D297353CC}">
              <c16:uniqueId val="{00000003-D7F2-4776-96EC-FCEFB94142C3}"/>
            </c:ext>
          </c:extLst>
        </c:ser>
        <c:ser>
          <c:idx val="4"/>
          <c:order val="3"/>
          <c:tx>
            <c:strRef>
              <c:f>'Water report'!$I$561</c:f>
              <c:strCache>
                <c:ptCount val="1"/>
                <c:pt idx="0">
                  <c:v>Tariff revenue</c:v>
                </c:pt>
              </c:strCache>
            </c:strRef>
          </c:tx>
          <c:spPr>
            <a:solidFill>
              <a:srgbClr val="5B9BD5"/>
            </a:solidFill>
            <a:ln w="25400">
              <a:noFill/>
            </a:ln>
          </c:spPr>
          <c:invertIfNegative val="0"/>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'Water report'!$J$557:$K$557</c:f>
              <c:strCache>
                <c:ptCount val="2"/>
                <c:pt idx="0">
                  <c:v>Expenditure R'000</c:v>
                </c:pt>
                <c:pt idx="1">
                  <c:v>Revenue R'000</c:v>
                </c:pt>
              </c:strCache>
            </c:strRef>
          </c:cat>
          <c:val>
            <c:numRef>
              <c:f>'Water report'!$J$561:$K$561</c:f>
              <c:numCache>
                <c:formatCode>_-* #\ ##0_-;\-* #\ ##0_-;_-* "-"??_-;_-@_-</c:formatCode>
                <c:ptCount val="2"/>
                <c:pt idx="1">
                  <c:v>146.84424858781631</c:v>
                </c:pt>
              </c:numCache>
            </c:numRef>
          </c:val>
          <c:extLst>
            <c:ext xmlns:c16="http://schemas.microsoft.com/office/drawing/2014/chart" uri="{C3380CC4-5D6E-409C-BE32-E72D297353CC}">
              <c16:uniqueId val="{00000004-D7F2-4776-96EC-FCEFB94142C3}"/>
            </c:ext>
          </c:extLst>
        </c:ser>
        <c:ser>
          <c:idx val="5"/>
          <c:order val="4"/>
          <c:tx>
            <c:strRef>
              <c:f>'Water report'!$I$562</c:f>
              <c:strCache>
                <c:ptCount val="1"/>
                <c:pt idx="0">
                  <c:v>External grants &amp; subsidies</c:v>
                </c:pt>
              </c:strCache>
            </c:strRef>
          </c:tx>
          <c:spPr>
            <a:solidFill>
              <a:srgbClr val="A5A5A5"/>
            </a:solidFill>
            <a:ln w="25400">
              <a:noFill/>
            </a:ln>
          </c:spPr>
          <c:invertIfNegative val="0"/>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'Water report'!$J$557:$K$557</c:f>
              <c:strCache>
                <c:ptCount val="2"/>
                <c:pt idx="0">
                  <c:v>Expenditure R'000</c:v>
                </c:pt>
                <c:pt idx="1">
                  <c:v>Revenue R'000</c:v>
                </c:pt>
              </c:strCache>
            </c:strRef>
          </c:cat>
          <c:val>
            <c:numRef>
              <c:f>'Water report'!$J$562:$K$562</c:f>
              <c:numCache>
                <c:formatCode>_-* #\ ##0_-;\-* #\ ##0_-;_-* "-"??_-;_-@_-</c:formatCode>
                <c:ptCount val="2"/>
                <c:pt idx="1">
                  <c:v>0</c:v>
                </c:pt>
              </c:numCache>
            </c:numRef>
          </c:val>
          <c:extLst>
            <c:ext xmlns:c16="http://schemas.microsoft.com/office/drawing/2014/chart" uri="{C3380CC4-5D6E-409C-BE32-E72D297353CC}">
              <c16:uniqueId val="{00000005-D7F2-4776-96EC-FCEFB94142C3}"/>
            </c:ext>
          </c:extLst>
        </c:ser>
        <c:ser>
          <c:idx val="3"/>
          <c:order val="5"/>
          <c:tx>
            <c:strRef>
              <c:f>'Water report'!$I$563</c:f>
              <c:strCache>
                <c:ptCount val="1"/>
                <c:pt idx="0">
                  <c:v>Other non-tariff revenue</c:v>
                </c:pt>
              </c:strCache>
            </c:strRef>
          </c:tx>
          <c:spPr>
            <a:solidFill>
              <a:schemeClr val="accent3">
                <a:lumMod val="40000"/>
                <a:lumOff val="60000"/>
              </a:schemeClr>
            </a:solidFill>
            <a:ln>
              <a:noFill/>
            </a:ln>
            <a:effectLst/>
          </c:spPr>
          <c:invertIfNegative val="0"/>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'Water report'!$J$557:$K$557</c:f>
              <c:strCache>
                <c:ptCount val="2"/>
                <c:pt idx="0">
                  <c:v>Expenditure R'000</c:v>
                </c:pt>
                <c:pt idx="1">
                  <c:v>Revenue R'000</c:v>
                </c:pt>
              </c:strCache>
            </c:strRef>
          </c:cat>
          <c:val>
            <c:numRef>
              <c:f>'Water report'!$J$563:$K$563</c:f>
              <c:numCache>
                <c:formatCode>_-* #\ ##0_-;\-* #\ ##0_-;_-* "-"??_-;_-@_-</c:formatCode>
                <c:ptCount val="2"/>
                <c:pt idx="1">
                  <c:v>11.404886344050528</c:v>
                </c:pt>
              </c:numCache>
            </c:numRef>
          </c:val>
          <c:extLst>
            <c:ext xmlns:c16="http://schemas.microsoft.com/office/drawing/2014/chart" uri="{C3380CC4-5D6E-409C-BE32-E72D297353CC}">
              <c16:uniqueId val="{00000006-D7F2-4776-96EC-FCEFB94142C3}"/>
            </c:ext>
          </c:extLst>
        </c:ser>
        <c:ser>
          <c:idx val="6"/>
          <c:order val="6"/>
          <c:tx>
            <c:strRef>
              <c:f>'Water report'!$I$564</c:f>
              <c:strCache>
                <c:ptCount val="1"/>
                <c:pt idx="0">
                  <c:v>Deficit</c:v>
                </c:pt>
              </c:strCache>
            </c:strRef>
          </c:tx>
          <c:spPr>
            <a:solidFill>
              <a:srgbClr val="ED7D31"/>
            </a:solidFill>
            <a:ln w="25400">
              <a:noFill/>
            </a:ln>
          </c:spPr>
          <c:invertIfNegative val="0"/>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'Water report'!$J$557:$K$557</c:f>
              <c:strCache>
                <c:ptCount val="2"/>
                <c:pt idx="0">
                  <c:v>Expenditure R'000</c:v>
                </c:pt>
                <c:pt idx="1">
                  <c:v>Revenue R'000</c:v>
                </c:pt>
              </c:strCache>
            </c:strRef>
          </c:cat>
          <c:val>
            <c:numRef>
              <c:f>'Water report'!$J$564:$K$564</c:f>
              <c:numCache>
                <c:formatCode>_-* #\ ##0_-;\-* #\ ##0_-;_-* "-"??_-;_-@_-</c:formatCode>
                <c:ptCount val="2"/>
                <c:pt idx="1">
                  <c:v>0</c:v>
                </c:pt>
              </c:numCache>
            </c:numRef>
          </c:val>
          <c:extLst>
            <c:ext xmlns:c16="http://schemas.microsoft.com/office/drawing/2014/chart" uri="{C3380CC4-5D6E-409C-BE32-E72D297353CC}">
              <c16:uniqueId val="{00000007-D7F2-4776-96EC-FCEFB94142C3}"/>
            </c:ext>
          </c:extLst>
        </c:ser>
        <c:dLbls>
          <c:showLegendKey val="0"/>
          <c:showVal val="0"/>
          <c:showCatName val="0"/>
          <c:showSerName val="0"/>
          <c:showPercent val="0"/>
          <c:showBubbleSize val="0"/>
        </c:dLbls>
        <c:gapWidth val="25"/>
        <c:overlap val="100"/>
        <c:axId val="1399813519"/>
        <c:axId val="1"/>
      </c:barChart>
      <c:catAx>
        <c:axId val="1399813519"/>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0" vert="horz"/>
          <a:lstStyle/>
          <a:p>
            <a:pPr>
              <a:defRPr sz="1100" b="0" i="0" u="none" strike="noStrike" baseline="0">
                <a:solidFill>
                  <a:srgbClr val="000000"/>
                </a:solidFill>
                <a:latin typeface="Calibri"/>
                <a:ea typeface="Calibri"/>
                <a:cs typeface="Calibri"/>
              </a:defRPr>
            </a:pPr>
            <a:endParaRPr lang="en-US"/>
          </a:p>
        </c:txPr>
        <c:crossAx val="1"/>
        <c:crosses val="autoZero"/>
        <c:auto val="1"/>
        <c:lblAlgn val="ctr"/>
        <c:lblOffset val="100"/>
        <c:noMultiLvlLbl val="0"/>
      </c:catAx>
      <c:valAx>
        <c:axId val="1"/>
        <c:scaling>
          <c:orientation val="minMax"/>
        </c:scaling>
        <c:delete val="1"/>
        <c:axPos val="l"/>
        <c:majorGridlines>
          <c:spPr>
            <a:ln w="9525" cap="flat" cmpd="sng" algn="ctr">
              <a:solidFill>
                <a:schemeClr val="tx1">
                  <a:lumMod val="15000"/>
                  <a:lumOff val="85000"/>
                </a:schemeClr>
              </a:solidFill>
              <a:round/>
            </a:ln>
            <a:effectLst/>
          </c:spPr>
        </c:majorGridlines>
        <c:numFmt formatCode="_-* #\ ##0_-;\-* #\ ##0_-;_-* &quot;-&quot;??_-;_-@_-" sourceLinked="1"/>
        <c:majorTickMark val="out"/>
        <c:minorTickMark val="none"/>
        <c:tickLblPos val="nextTo"/>
        <c:crossAx val="1399813519"/>
        <c:crosses val="autoZero"/>
        <c:crossBetween val="between"/>
      </c:valAx>
    </c:plotArea>
    <c:legend>
      <c:legendPos val="r"/>
      <c:layout>
        <c:manualLayout>
          <c:xMode val="edge"/>
          <c:yMode val="edge"/>
          <c:x val="0.62824797502721796"/>
          <c:y val="0.17846767615586512"/>
          <c:w val="0.34940915518090365"/>
          <c:h val="0.70771685846961441"/>
        </c:manualLayout>
      </c:layout>
      <c:overlay val="0"/>
      <c:spPr>
        <a:noFill/>
        <a:ln w="25400">
          <a:noFill/>
        </a:ln>
      </c:spPr>
      <c:txPr>
        <a:bodyPr/>
        <a:lstStyle/>
        <a:p>
          <a:pPr>
            <a:defRPr sz="850" b="0" i="0" u="none" strike="noStrike" baseline="0">
              <a:solidFill>
                <a:srgbClr val="000000"/>
              </a:solidFill>
              <a:latin typeface="Calibri"/>
              <a:ea typeface="Calibri"/>
              <a:cs typeface="Calibri"/>
            </a:defRPr>
          </a:pPr>
          <a:endParaRPr lang="en-US"/>
        </a:p>
      </c:txPr>
    </c:legend>
    <c:plotVisOnly val="1"/>
    <c:dispBlanksAs val="gap"/>
    <c:showDLblsOverMax val="0"/>
  </c:chart>
  <c:spPr>
    <a:solidFill>
      <a:schemeClr val="bg1"/>
    </a:solidFill>
    <a:ln w="9525" cap="flat" cmpd="sng" algn="ctr">
      <a:noFill/>
      <a:round/>
    </a:ln>
    <a:effectLst/>
  </c:spPr>
  <c:txPr>
    <a:bodyPr/>
    <a:lstStyle/>
    <a:p>
      <a:pPr>
        <a:defRPr sz="11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charts/chart7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ser>
          <c:idx val="0"/>
          <c:order val="0"/>
          <c:tx>
            <c:strRef>
              <c:f>'Water report'!$K$583</c:f>
              <c:strCache>
                <c:ptCount val="1"/>
                <c:pt idx="0">
                  <c:v>Tariff </c:v>
                </c:pt>
              </c:strCache>
            </c:strRef>
          </c:tx>
          <c:spPr>
            <a:solidFill>
              <a:srgbClr val="4472C4"/>
            </a:solidFill>
            <a:ln w="25400">
              <a:noFill/>
            </a:ln>
          </c:spPr>
          <c:invertIfNegative val="0"/>
          <c:dLbls>
            <c:spPr>
              <a:noFill/>
              <a:ln w="25400">
                <a:noFill/>
              </a:ln>
            </c:spPr>
            <c:txPr>
              <a:bodyPr wrap="square" lIns="38100" tIns="19050" rIns="38100" bIns="19050" anchor="ctr">
                <a:spAutoFit/>
              </a:bodyPr>
              <a:lstStyle/>
              <a:p>
                <a:pPr>
                  <a:defRPr sz="900" b="0" i="0" u="none" strike="noStrike" baseline="0">
                    <a:solidFill>
                      <a:srgbClr val="333333"/>
                    </a:solidFill>
                    <a:latin typeface="Calibri"/>
                    <a:ea typeface="Calibri"/>
                    <a:cs typeface="Calibri"/>
                  </a:defRPr>
                </a:pPr>
                <a:endParaRPr lang="en-US"/>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'Water report'!$J$584:$J$593</c:f>
              <c:strCache>
                <c:ptCount val="10"/>
                <c:pt idx="0">
                  <c:v>167</c:v>
                </c:pt>
                <c:pt idx="1">
                  <c:v>222</c:v>
                </c:pt>
                <c:pt idx="2">
                  <c:v>more</c:v>
                </c:pt>
                <c:pt idx="3">
                  <c:v>0</c:v>
                </c:pt>
                <c:pt idx="4">
                  <c:v>0</c:v>
                </c:pt>
                <c:pt idx="5">
                  <c:v>0</c:v>
                </c:pt>
                <c:pt idx="6">
                  <c:v>0</c:v>
                </c:pt>
                <c:pt idx="7">
                  <c:v>0</c:v>
                </c:pt>
                <c:pt idx="8">
                  <c:v>0</c:v>
                </c:pt>
                <c:pt idx="9">
                  <c:v>0</c:v>
                </c:pt>
              </c:strCache>
            </c:strRef>
          </c:cat>
          <c:val>
            <c:numRef>
              <c:f>'Water report'!$K$584:$K$593</c:f>
              <c:numCache>
                <c:formatCode>_(* #,##0.00_);_(* \(#,##0.00\);_(* "-"??_);_(@_)</c:formatCode>
                <c:ptCount val="10"/>
                <c:pt idx="0">
                  <c:v>9.0273960603057333</c:v>
                </c:pt>
                <c:pt idx="1">
                  <c:v>10.87683740263537</c:v>
                </c:pt>
                <c:pt idx="2">
                  <c:v>29.462206957521733</c:v>
                </c:pt>
                <c:pt idx="3">
                  <c:v>0</c:v>
                </c:pt>
                <c:pt idx="4">
                  <c:v>0</c:v>
                </c:pt>
                <c:pt idx="5">
                  <c:v>0</c:v>
                </c:pt>
                <c:pt idx="6">
                  <c:v>0</c:v>
                </c:pt>
                <c:pt idx="7">
                  <c:v>0</c:v>
                </c:pt>
                <c:pt idx="8">
                  <c:v>0</c:v>
                </c:pt>
                <c:pt idx="9">
                  <c:v>0</c:v>
                </c:pt>
              </c:numCache>
            </c:numRef>
          </c:val>
          <c:extLst>
            <c:ext xmlns:c16="http://schemas.microsoft.com/office/drawing/2014/chart" uri="{C3380CC4-5D6E-409C-BE32-E72D297353CC}">
              <c16:uniqueId val="{00000000-155A-461A-82A3-6D66731A997B}"/>
            </c:ext>
          </c:extLst>
        </c:ser>
        <c:dLbls>
          <c:showLegendKey val="0"/>
          <c:showVal val="0"/>
          <c:showCatName val="0"/>
          <c:showSerName val="0"/>
          <c:showPercent val="0"/>
          <c:showBubbleSize val="0"/>
        </c:dLbls>
        <c:gapWidth val="50"/>
        <c:overlap val="-27"/>
        <c:axId val="1399819759"/>
        <c:axId val="1"/>
      </c:barChart>
      <c:lineChart>
        <c:grouping val="standard"/>
        <c:varyColors val="0"/>
        <c:ser>
          <c:idx val="1"/>
          <c:order val="1"/>
          <c:tx>
            <c:strRef>
              <c:f>'Water report'!$L$583</c:f>
              <c:strCache>
                <c:ptCount val="1"/>
                <c:pt idx="0">
                  <c:v>Total cost per kl </c:v>
                </c:pt>
              </c:strCache>
            </c:strRef>
          </c:tx>
          <c:spPr>
            <a:ln w="28575" cap="rnd">
              <a:solidFill>
                <a:schemeClr val="accent2"/>
              </a:solidFill>
              <a:round/>
            </a:ln>
            <a:effectLst/>
          </c:spPr>
          <c:marker>
            <c:symbol val="none"/>
          </c:marker>
          <c:val>
            <c:numRef>
              <c:f>'Water report'!$L$584:$L$593</c:f>
              <c:numCache>
                <c:formatCode>_(* #,##0.00_);_(* \(#,##0.00\);_(* "-"??_);_(@_)</c:formatCode>
                <c:ptCount val="10"/>
                <c:pt idx="0">
                  <c:v>23.560969262908632</c:v>
                </c:pt>
                <c:pt idx="1">
                  <c:v>23.560969262908632</c:v>
                </c:pt>
                <c:pt idx="2">
                  <c:v>23.560969262908632</c:v>
                </c:pt>
                <c:pt idx="3">
                  <c:v>23.560969262908632</c:v>
                </c:pt>
                <c:pt idx="4">
                  <c:v>23.560969262908632</c:v>
                </c:pt>
                <c:pt idx="5">
                  <c:v>23.560969262908632</c:v>
                </c:pt>
                <c:pt idx="6">
                  <c:v>23.560969262908632</c:v>
                </c:pt>
                <c:pt idx="7">
                  <c:v>23.560969262908632</c:v>
                </c:pt>
                <c:pt idx="8">
                  <c:v>23.560969262908632</c:v>
                </c:pt>
                <c:pt idx="9">
                  <c:v>23.560969262908632</c:v>
                </c:pt>
              </c:numCache>
            </c:numRef>
          </c:val>
          <c:smooth val="0"/>
          <c:extLst>
            <c:ext xmlns:c16="http://schemas.microsoft.com/office/drawing/2014/chart" uri="{C3380CC4-5D6E-409C-BE32-E72D297353CC}">
              <c16:uniqueId val="{00000001-155A-461A-82A3-6D66731A997B}"/>
            </c:ext>
          </c:extLst>
        </c:ser>
        <c:ser>
          <c:idx val="2"/>
          <c:order val="2"/>
          <c:tx>
            <c:strRef>
              <c:f>'Water report'!$M$583</c:f>
              <c:strCache>
                <c:ptCount val="1"/>
                <c:pt idx="0">
                  <c:v>Variable cost per kl</c:v>
                </c:pt>
              </c:strCache>
            </c:strRef>
          </c:tx>
          <c:spPr>
            <a:ln w="28575" cap="rnd">
              <a:solidFill>
                <a:schemeClr val="accent3"/>
              </a:solidFill>
              <a:round/>
            </a:ln>
            <a:effectLst/>
          </c:spPr>
          <c:marker>
            <c:symbol val="none"/>
          </c:marker>
          <c:val>
            <c:numRef>
              <c:f>'Water report'!$M$584:$M$593</c:f>
              <c:numCache>
                <c:formatCode>_(* #,##0.00_);_(* \(#,##0.00\);_(* "-"??_);_(@_)</c:formatCode>
                <c:ptCount val="10"/>
                <c:pt idx="0" formatCode="_-* #\ ##0_-;\-* #\ ##0_-;_-* &quot;-&quot;??_-;_-@_-">
                  <c:v>23.021901145481429</c:v>
                </c:pt>
                <c:pt idx="1">
                  <c:v>23.021901145481429</c:v>
                </c:pt>
                <c:pt idx="2">
                  <c:v>23.021901145481429</c:v>
                </c:pt>
                <c:pt idx="3">
                  <c:v>23.021901145481429</c:v>
                </c:pt>
                <c:pt idx="4">
                  <c:v>23.021901145481429</c:v>
                </c:pt>
                <c:pt idx="5">
                  <c:v>23.021901145481429</c:v>
                </c:pt>
                <c:pt idx="6">
                  <c:v>23.021901145481429</c:v>
                </c:pt>
                <c:pt idx="7">
                  <c:v>23.021901145481429</c:v>
                </c:pt>
                <c:pt idx="8">
                  <c:v>23.021901145481429</c:v>
                </c:pt>
                <c:pt idx="9">
                  <c:v>23.021901145481429</c:v>
                </c:pt>
              </c:numCache>
            </c:numRef>
          </c:val>
          <c:smooth val="0"/>
          <c:extLst>
            <c:ext xmlns:c16="http://schemas.microsoft.com/office/drawing/2014/chart" uri="{C3380CC4-5D6E-409C-BE32-E72D297353CC}">
              <c16:uniqueId val="{00000002-155A-461A-82A3-6D66731A997B}"/>
            </c:ext>
          </c:extLst>
        </c:ser>
        <c:dLbls>
          <c:showLegendKey val="0"/>
          <c:showVal val="0"/>
          <c:showCatName val="0"/>
          <c:showSerName val="0"/>
          <c:showPercent val="0"/>
          <c:showBubbleSize val="0"/>
        </c:dLbls>
        <c:marker val="1"/>
        <c:smooth val="0"/>
        <c:axId val="1399819759"/>
        <c:axId val="1"/>
      </c:lineChart>
      <c:catAx>
        <c:axId val="1399819759"/>
        <c:scaling>
          <c:orientation val="minMax"/>
        </c:scaling>
        <c:delete val="0"/>
        <c:axPos val="b"/>
        <c:title>
          <c:tx>
            <c:rich>
              <a:bodyPr/>
              <a:lstStyle/>
              <a:p>
                <a:pPr>
                  <a:defRPr sz="1000" b="0" i="0" u="none" strike="noStrike" baseline="0">
                    <a:solidFill>
                      <a:srgbClr val="333333"/>
                    </a:solidFill>
                    <a:latin typeface="Calibri"/>
                    <a:ea typeface="Calibri"/>
                    <a:cs typeface="Calibri"/>
                  </a:defRPr>
                </a:pPr>
                <a:r>
                  <a:rPr lang="en-ZA"/>
                  <a:t>Block size</a:t>
                </a:r>
              </a:p>
            </c:rich>
          </c:tx>
          <c:overlay val="0"/>
          <c:spPr>
            <a:noFill/>
            <a:ln w="25400">
              <a:noFill/>
            </a:ln>
          </c:spPr>
        </c:title>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0" vert="horz"/>
          <a:lstStyle/>
          <a:p>
            <a:pPr>
              <a:defRPr sz="900" b="0" i="0" u="none" strike="noStrike" baseline="0">
                <a:solidFill>
                  <a:srgbClr val="333333"/>
                </a:solidFill>
                <a:latin typeface="Calibri"/>
                <a:ea typeface="Calibri"/>
                <a:cs typeface="Calibri"/>
              </a:defRPr>
            </a:pPr>
            <a:endParaRPr lang="en-US"/>
          </a:p>
        </c:txPr>
        <c:crossAx val="1"/>
        <c:crosses val="autoZero"/>
        <c:auto val="1"/>
        <c:lblAlgn val="ctr"/>
        <c:lblOffset val="100"/>
        <c:noMultiLvlLbl val="0"/>
      </c:catAx>
      <c:valAx>
        <c:axId val="1"/>
        <c:scaling>
          <c:orientation val="minMax"/>
        </c:scaling>
        <c:delete val="0"/>
        <c:axPos val="l"/>
        <c:majorGridlines>
          <c:spPr>
            <a:ln w="9525" cap="flat" cmpd="sng" algn="ctr">
              <a:solidFill>
                <a:schemeClr val="tx1">
                  <a:lumMod val="15000"/>
                  <a:lumOff val="85000"/>
                </a:schemeClr>
              </a:solidFill>
              <a:round/>
            </a:ln>
            <a:effectLst/>
          </c:spPr>
        </c:majorGridlines>
        <c:title>
          <c:tx>
            <c:rich>
              <a:bodyPr/>
              <a:lstStyle/>
              <a:p>
                <a:pPr>
                  <a:defRPr sz="1000" b="0" i="0" u="none" strike="noStrike" baseline="0">
                    <a:solidFill>
                      <a:srgbClr val="333333"/>
                    </a:solidFill>
                    <a:latin typeface="Calibri"/>
                    <a:ea typeface="Calibri"/>
                    <a:cs typeface="Calibri"/>
                  </a:defRPr>
                </a:pPr>
                <a:r>
                  <a:rPr lang="en-ZA"/>
                  <a:t>R/kl</a:t>
                </a:r>
              </a:p>
            </c:rich>
          </c:tx>
          <c:overlay val="0"/>
          <c:spPr>
            <a:noFill/>
            <a:ln w="25400">
              <a:noFill/>
            </a:ln>
          </c:spPr>
        </c:title>
        <c:numFmt formatCode="_(* #,##0.00_);_(* \(#,##0.00\);_(* &quot;-&quot;??_);_(@_)" sourceLinked="1"/>
        <c:majorTickMark val="none"/>
        <c:minorTickMark val="none"/>
        <c:tickLblPos val="nextTo"/>
        <c:spPr>
          <a:ln w="6350">
            <a:noFill/>
          </a:ln>
        </c:spPr>
        <c:txPr>
          <a:bodyPr rot="0" vert="horz"/>
          <a:lstStyle/>
          <a:p>
            <a:pPr>
              <a:defRPr sz="900" b="0" i="0" u="none" strike="noStrike" baseline="0">
                <a:solidFill>
                  <a:srgbClr val="333333"/>
                </a:solidFill>
                <a:latin typeface="Calibri"/>
                <a:ea typeface="Calibri"/>
                <a:cs typeface="Calibri"/>
              </a:defRPr>
            </a:pPr>
            <a:endParaRPr lang="en-US"/>
          </a:p>
        </c:txPr>
        <c:crossAx val="1399819759"/>
        <c:crosses val="autoZero"/>
        <c:crossBetween val="between"/>
      </c:valAx>
      <c:spPr>
        <a:noFill/>
        <a:ln w="25400">
          <a:noFill/>
        </a:ln>
      </c:spPr>
    </c:plotArea>
    <c:legend>
      <c:legendPos val="r"/>
      <c:layout>
        <c:manualLayout>
          <c:xMode val="edge"/>
          <c:yMode val="edge"/>
          <c:x val="0.16605689049016475"/>
          <c:y val="0.9270571043484428"/>
          <c:w val="0.65869231290738117"/>
          <c:h val="5.9461445697666204E-2"/>
        </c:manualLayout>
      </c:layout>
      <c:overlay val="0"/>
      <c:spPr>
        <a:noFill/>
        <a:ln w="25400">
          <a:noFill/>
        </a:ln>
      </c:spPr>
      <c:txPr>
        <a:bodyPr/>
        <a:lstStyle/>
        <a:p>
          <a:pPr>
            <a:defRPr sz="690" b="0" i="0" u="none" strike="noStrike" baseline="0">
              <a:solidFill>
                <a:srgbClr val="333333"/>
              </a:solidFill>
              <a:latin typeface="Calibri"/>
              <a:ea typeface="Calibri"/>
              <a:cs typeface="Calibri"/>
            </a:defRPr>
          </a:pPr>
          <a:endParaRPr lang="en-US"/>
        </a:p>
      </c:txPr>
    </c:legend>
    <c:plotVisOnly val="1"/>
    <c:dispBlanksAs val="gap"/>
    <c:showDLblsOverMax val="0"/>
  </c:chart>
  <c:spPr>
    <a:solidFill>
      <a:schemeClr val="bg1"/>
    </a:solidFill>
    <a:ln w="9525" cap="flat" cmpd="sng" algn="ctr">
      <a:noFill/>
      <a:round/>
    </a:ln>
    <a:effectLst/>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charts/chart7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2.3871527777777776E-2"/>
          <c:y val="4.7786414907172239E-2"/>
          <c:w val="0.57559123468941387"/>
          <c:h val="0.83529592857692603"/>
        </c:manualLayout>
      </c:layout>
      <c:barChart>
        <c:barDir val="col"/>
        <c:grouping val="stacked"/>
        <c:varyColors val="0"/>
        <c:ser>
          <c:idx val="0"/>
          <c:order val="0"/>
          <c:tx>
            <c:strRef>
              <c:f>'Water report'!$I$627</c:f>
              <c:strCache>
                <c:ptCount val="1"/>
                <c:pt idx="0">
                  <c:v>Fixed cost</c:v>
                </c:pt>
              </c:strCache>
            </c:strRef>
          </c:tx>
          <c:spPr>
            <a:solidFill>
              <a:srgbClr val="4472C4"/>
            </a:solidFill>
            <a:ln w="25400">
              <a:noFill/>
            </a:ln>
          </c:spPr>
          <c:invertIfNegative val="0"/>
          <c:dPt>
            <c:idx val="0"/>
            <c:invertIfNegative val="0"/>
            <c:bubble3D val="0"/>
            <c:spPr>
              <a:solidFill>
                <a:srgbClr val="5B9BD5"/>
              </a:solidFill>
              <a:ln w="25400">
                <a:noFill/>
              </a:ln>
            </c:spPr>
            <c:extLst>
              <c:ext xmlns:c16="http://schemas.microsoft.com/office/drawing/2014/chart" uri="{C3380CC4-5D6E-409C-BE32-E72D297353CC}">
                <c16:uniqueId val="{00000000-E563-4BB1-855F-40F22B5A1C7B}"/>
              </c:ext>
            </c:extLst>
          </c:dPt>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'Water report'!$J$626:$K$626</c:f>
              <c:strCache>
                <c:ptCount val="2"/>
                <c:pt idx="0">
                  <c:v>Expenditure R'000</c:v>
                </c:pt>
                <c:pt idx="1">
                  <c:v>Revenue R'000</c:v>
                </c:pt>
              </c:strCache>
            </c:strRef>
          </c:cat>
          <c:val>
            <c:numRef>
              <c:f>'Water report'!$J$627:$K$627</c:f>
              <c:numCache>
                <c:formatCode>General</c:formatCode>
                <c:ptCount val="2"/>
                <c:pt idx="0" formatCode="_-* #\ ##0_-;\-* #\ ##0_-;_-* &quot;-&quot;??_-;_-@_-">
                  <c:v>0</c:v>
                </c:pt>
              </c:numCache>
            </c:numRef>
          </c:val>
          <c:extLst>
            <c:ext xmlns:c16="http://schemas.microsoft.com/office/drawing/2014/chart" uri="{C3380CC4-5D6E-409C-BE32-E72D297353CC}">
              <c16:uniqueId val="{00000001-E563-4BB1-855F-40F22B5A1C7B}"/>
            </c:ext>
          </c:extLst>
        </c:ser>
        <c:ser>
          <c:idx val="1"/>
          <c:order val="1"/>
          <c:tx>
            <c:strRef>
              <c:f>'Water report'!$I$628</c:f>
              <c:strCache>
                <c:ptCount val="1"/>
                <c:pt idx="0">
                  <c:v>Variable cost</c:v>
                </c:pt>
              </c:strCache>
            </c:strRef>
          </c:tx>
          <c:spPr>
            <a:solidFill>
              <a:schemeClr val="accent5">
                <a:lumMod val="60000"/>
                <a:lumOff val="40000"/>
              </a:schemeClr>
            </a:solidFill>
            <a:ln>
              <a:noFill/>
            </a:ln>
            <a:effectLst/>
          </c:spPr>
          <c:invertIfNegative val="0"/>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'Water report'!$J$626:$K$626</c:f>
              <c:strCache>
                <c:ptCount val="2"/>
                <c:pt idx="0">
                  <c:v>Expenditure R'000</c:v>
                </c:pt>
                <c:pt idx="1">
                  <c:v>Revenue R'000</c:v>
                </c:pt>
              </c:strCache>
            </c:strRef>
          </c:cat>
          <c:val>
            <c:numRef>
              <c:f>'Water report'!$J$628:$K$628</c:f>
              <c:numCache>
                <c:formatCode>General</c:formatCode>
                <c:ptCount val="2"/>
                <c:pt idx="0" formatCode="_-* #\ ##0_-;\-* #\ ##0_-;_-* &quot;-&quot;??_-;_-@_-">
                  <c:v>0</c:v>
                </c:pt>
              </c:numCache>
            </c:numRef>
          </c:val>
          <c:extLst>
            <c:ext xmlns:c16="http://schemas.microsoft.com/office/drawing/2014/chart" uri="{C3380CC4-5D6E-409C-BE32-E72D297353CC}">
              <c16:uniqueId val="{00000002-E563-4BB1-855F-40F22B5A1C7B}"/>
            </c:ext>
          </c:extLst>
        </c:ser>
        <c:ser>
          <c:idx val="2"/>
          <c:order val="2"/>
          <c:tx>
            <c:strRef>
              <c:f>'Water report'!$I$629</c:f>
              <c:strCache>
                <c:ptCount val="1"/>
                <c:pt idx="0">
                  <c:v>Surplus</c:v>
                </c:pt>
              </c:strCache>
            </c:strRef>
          </c:tx>
          <c:spPr>
            <a:solidFill>
              <a:srgbClr val="A5A5A5"/>
            </a:solidFill>
            <a:ln w="25400">
              <a:noFill/>
            </a:ln>
          </c:spPr>
          <c:invertIfNegative val="0"/>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'Water report'!$J$626:$K$626</c:f>
              <c:strCache>
                <c:ptCount val="2"/>
                <c:pt idx="0">
                  <c:v>Expenditure R'000</c:v>
                </c:pt>
                <c:pt idx="1">
                  <c:v>Revenue R'000</c:v>
                </c:pt>
              </c:strCache>
            </c:strRef>
          </c:cat>
          <c:val>
            <c:numRef>
              <c:f>'Water report'!$J$629:$K$629</c:f>
              <c:numCache>
                <c:formatCode>General</c:formatCode>
                <c:ptCount val="2"/>
                <c:pt idx="0" formatCode="_-* #\ ##0_-;\-* #\ ##0_-;_-* &quot;-&quot;??_-;_-@_-">
                  <c:v>0</c:v>
                </c:pt>
              </c:numCache>
            </c:numRef>
          </c:val>
          <c:extLst>
            <c:ext xmlns:c16="http://schemas.microsoft.com/office/drawing/2014/chart" uri="{C3380CC4-5D6E-409C-BE32-E72D297353CC}">
              <c16:uniqueId val="{00000003-E563-4BB1-855F-40F22B5A1C7B}"/>
            </c:ext>
          </c:extLst>
        </c:ser>
        <c:ser>
          <c:idx val="4"/>
          <c:order val="3"/>
          <c:tx>
            <c:strRef>
              <c:f>'Water report'!$I$630</c:f>
              <c:strCache>
                <c:ptCount val="1"/>
                <c:pt idx="0">
                  <c:v>Tariff revenue</c:v>
                </c:pt>
              </c:strCache>
            </c:strRef>
          </c:tx>
          <c:spPr>
            <a:solidFill>
              <a:srgbClr val="5B9BD5"/>
            </a:solidFill>
            <a:ln w="25400">
              <a:noFill/>
            </a:ln>
          </c:spPr>
          <c:invertIfNegative val="0"/>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'Water report'!$J$626:$K$626</c:f>
              <c:strCache>
                <c:ptCount val="2"/>
                <c:pt idx="0">
                  <c:v>Expenditure R'000</c:v>
                </c:pt>
                <c:pt idx="1">
                  <c:v>Revenue R'000</c:v>
                </c:pt>
              </c:strCache>
            </c:strRef>
          </c:cat>
          <c:val>
            <c:numRef>
              <c:f>'Water report'!$J$630:$K$630</c:f>
              <c:numCache>
                <c:formatCode>_-* #\ ##0_-;\-* #\ ##0_-;_-* "-"??_-;_-@_-</c:formatCode>
                <c:ptCount val="2"/>
                <c:pt idx="1">
                  <c:v>0</c:v>
                </c:pt>
              </c:numCache>
            </c:numRef>
          </c:val>
          <c:extLst>
            <c:ext xmlns:c16="http://schemas.microsoft.com/office/drawing/2014/chart" uri="{C3380CC4-5D6E-409C-BE32-E72D297353CC}">
              <c16:uniqueId val="{00000004-E563-4BB1-855F-40F22B5A1C7B}"/>
            </c:ext>
          </c:extLst>
        </c:ser>
        <c:ser>
          <c:idx val="5"/>
          <c:order val="4"/>
          <c:tx>
            <c:strRef>
              <c:f>'Water report'!$I$631</c:f>
              <c:strCache>
                <c:ptCount val="1"/>
                <c:pt idx="0">
                  <c:v>External grants &amp; subsidies</c:v>
                </c:pt>
              </c:strCache>
            </c:strRef>
          </c:tx>
          <c:spPr>
            <a:solidFill>
              <a:srgbClr val="A5A5A5"/>
            </a:solidFill>
            <a:ln w="25400">
              <a:noFill/>
            </a:ln>
          </c:spPr>
          <c:invertIfNegative val="0"/>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'Water report'!$J$626:$K$626</c:f>
              <c:strCache>
                <c:ptCount val="2"/>
                <c:pt idx="0">
                  <c:v>Expenditure R'000</c:v>
                </c:pt>
                <c:pt idx="1">
                  <c:v>Revenue R'000</c:v>
                </c:pt>
              </c:strCache>
            </c:strRef>
          </c:cat>
          <c:val>
            <c:numRef>
              <c:f>'Water report'!$J$631:$K$631</c:f>
              <c:numCache>
                <c:formatCode>_-* #\ ##0_-;\-* #\ ##0_-;_-* "-"??_-;_-@_-</c:formatCode>
                <c:ptCount val="2"/>
                <c:pt idx="1">
                  <c:v>0</c:v>
                </c:pt>
              </c:numCache>
            </c:numRef>
          </c:val>
          <c:extLst>
            <c:ext xmlns:c16="http://schemas.microsoft.com/office/drawing/2014/chart" uri="{C3380CC4-5D6E-409C-BE32-E72D297353CC}">
              <c16:uniqueId val="{00000005-E563-4BB1-855F-40F22B5A1C7B}"/>
            </c:ext>
          </c:extLst>
        </c:ser>
        <c:ser>
          <c:idx val="3"/>
          <c:order val="5"/>
          <c:tx>
            <c:strRef>
              <c:f>'Water report'!$I$632</c:f>
              <c:strCache>
                <c:ptCount val="1"/>
                <c:pt idx="0">
                  <c:v>Other non-tariff revenue</c:v>
                </c:pt>
              </c:strCache>
            </c:strRef>
          </c:tx>
          <c:spPr>
            <a:solidFill>
              <a:schemeClr val="accent3">
                <a:lumMod val="40000"/>
                <a:lumOff val="60000"/>
              </a:schemeClr>
            </a:solidFill>
            <a:ln>
              <a:noFill/>
            </a:ln>
            <a:effectLst/>
          </c:spPr>
          <c:invertIfNegative val="0"/>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'Water report'!$J$626:$K$626</c:f>
              <c:strCache>
                <c:ptCount val="2"/>
                <c:pt idx="0">
                  <c:v>Expenditure R'000</c:v>
                </c:pt>
                <c:pt idx="1">
                  <c:v>Revenue R'000</c:v>
                </c:pt>
              </c:strCache>
            </c:strRef>
          </c:cat>
          <c:val>
            <c:numRef>
              <c:f>'Water report'!$J$632:$K$632</c:f>
              <c:numCache>
                <c:formatCode>_-* #\ ##0_-;\-* #\ ##0_-;_-* "-"??_-;_-@_-</c:formatCode>
                <c:ptCount val="2"/>
                <c:pt idx="1">
                  <c:v>0</c:v>
                </c:pt>
              </c:numCache>
            </c:numRef>
          </c:val>
          <c:extLst>
            <c:ext xmlns:c16="http://schemas.microsoft.com/office/drawing/2014/chart" uri="{C3380CC4-5D6E-409C-BE32-E72D297353CC}">
              <c16:uniqueId val="{00000006-E563-4BB1-855F-40F22B5A1C7B}"/>
            </c:ext>
          </c:extLst>
        </c:ser>
        <c:ser>
          <c:idx val="6"/>
          <c:order val="6"/>
          <c:tx>
            <c:strRef>
              <c:f>'Water report'!$I$633</c:f>
              <c:strCache>
                <c:ptCount val="1"/>
                <c:pt idx="0">
                  <c:v>Deficit</c:v>
                </c:pt>
              </c:strCache>
            </c:strRef>
          </c:tx>
          <c:spPr>
            <a:solidFill>
              <a:srgbClr val="ED7D31"/>
            </a:solidFill>
            <a:ln w="25400">
              <a:noFill/>
            </a:ln>
          </c:spPr>
          <c:invertIfNegative val="0"/>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'Water report'!$J$626:$K$626</c:f>
              <c:strCache>
                <c:ptCount val="2"/>
                <c:pt idx="0">
                  <c:v>Expenditure R'000</c:v>
                </c:pt>
                <c:pt idx="1">
                  <c:v>Revenue R'000</c:v>
                </c:pt>
              </c:strCache>
            </c:strRef>
          </c:cat>
          <c:val>
            <c:numRef>
              <c:f>'Water report'!$J$633:$K$633</c:f>
              <c:numCache>
                <c:formatCode>_-* #\ ##0_-;\-* #\ ##0_-;_-* "-"??_-;_-@_-</c:formatCode>
                <c:ptCount val="2"/>
                <c:pt idx="1">
                  <c:v>0</c:v>
                </c:pt>
              </c:numCache>
            </c:numRef>
          </c:val>
          <c:extLst>
            <c:ext xmlns:c16="http://schemas.microsoft.com/office/drawing/2014/chart" uri="{C3380CC4-5D6E-409C-BE32-E72D297353CC}">
              <c16:uniqueId val="{00000007-E563-4BB1-855F-40F22B5A1C7B}"/>
            </c:ext>
          </c:extLst>
        </c:ser>
        <c:dLbls>
          <c:showLegendKey val="0"/>
          <c:showVal val="0"/>
          <c:showCatName val="0"/>
          <c:showSerName val="0"/>
          <c:showPercent val="0"/>
          <c:showBubbleSize val="0"/>
        </c:dLbls>
        <c:gapWidth val="25"/>
        <c:overlap val="100"/>
        <c:axId val="1399832719"/>
        <c:axId val="1"/>
      </c:barChart>
      <c:catAx>
        <c:axId val="1399832719"/>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0" vert="horz"/>
          <a:lstStyle/>
          <a:p>
            <a:pPr>
              <a:defRPr sz="1100" b="0" i="0" u="none" strike="noStrike" baseline="0">
                <a:solidFill>
                  <a:srgbClr val="000000"/>
                </a:solidFill>
                <a:latin typeface="Calibri"/>
                <a:ea typeface="Calibri"/>
                <a:cs typeface="Calibri"/>
              </a:defRPr>
            </a:pPr>
            <a:endParaRPr lang="en-US"/>
          </a:p>
        </c:txPr>
        <c:crossAx val="1"/>
        <c:crosses val="autoZero"/>
        <c:auto val="1"/>
        <c:lblAlgn val="ctr"/>
        <c:lblOffset val="100"/>
        <c:noMultiLvlLbl val="0"/>
      </c:catAx>
      <c:valAx>
        <c:axId val="1"/>
        <c:scaling>
          <c:orientation val="minMax"/>
        </c:scaling>
        <c:delete val="1"/>
        <c:axPos val="l"/>
        <c:majorGridlines>
          <c:spPr>
            <a:ln w="9525" cap="flat" cmpd="sng" algn="ctr">
              <a:solidFill>
                <a:schemeClr val="tx1">
                  <a:lumMod val="15000"/>
                  <a:lumOff val="85000"/>
                </a:schemeClr>
              </a:solidFill>
              <a:round/>
            </a:ln>
            <a:effectLst/>
          </c:spPr>
        </c:majorGridlines>
        <c:numFmt formatCode="_-* #\ ##0_-;\-* #\ ##0_-;_-* &quot;-&quot;??_-;_-@_-" sourceLinked="1"/>
        <c:majorTickMark val="out"/>
        <c:minorTickMark val="none"/>
        <c:tickLblPos val="nextTo"/>
        <c:crossAx val="1399832719"/>
        <c:crosses val="autoZero"/>
        <c:crossBetween val="between"/>
      </c:valAx>
    </c:plotArea>
    <c:legend>
      <c:legendPos val="r"/>
      <c:layout>
        <c:manualLayout>
          <c:xMode val="edge"/>
          <c:yMode val="edge"/>
          <c:x val="0.64117699573267617"/>
          <c:y val="0.17846767615586512"/>
          <c:w val="0.34865052582712874"/>
          <c:h val="0.70771685846961441"/>
        </c:manualLayout>
      </c:layout>
      <c:overlay val="0"/>
      <c:spPr>
        <a:noFill/>
        <a:ln w="25400">
          <a:noFill/>
        </a:ln>
      </c:spPr>
      <c:txPr>
        <a:bodyPr/>
        <a:lstStyle/>
        <a:p>
          <a:pPr>
            <a:defRPr sz="850" b="0" i="0" u="none" strike="noStrike" baseline="0">
              <a:solidFill>
                <a:srgbClr val="000000"/>
              </a:solidFill>
              <a:latin typeface="Calibri"/>
              <a:ea typeface="Calibri"/>
              <a:cs typeface="Calibri"/>
            </a:defRPr>
          </a:pPr>
          <a:endParaRPr lang="en-US"/>
        </a:p>
      </c:txPr>
    </c:legend>
    <c:plotVisOnly val="1"/>
    <c:dispBlanksAs val="gap"/>
    <c:showDLblsOverMax val="0"/>
  </c:chart>
  <c:spPr>
    <a:solidFill>
      <a:schemeClr val="bg1"/>
    </a:solidFill>
    <a:ln w="9525" cap="flat" cmpd="sng" algn="ctr">
      <a:noFill/>
      <a:round/>
    </a:ln>
    <a:effectLst/>
  </c:spPr>
  <c:txPr>
    <a:bodyPr/>
    <a:lstStyle/>
    <a:p>
      <a:pPr>
        <a:defRPr sz="11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charts/chart8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ser>
          <c:idx val="0"/>
          <c:order val="0"/>
          <c:tx>
            <c:strRef>
              <c:f>'Water report'!$K$650</c:f>
              <c:strCache>
                <c:ptCount val="1"/>
                <c:pt idx="0">
                  <c:v>Tariff </c:v>
                </c:pt>
              </c:strCache>
            </c:strRef>
          </c:tx>
          <c:spPr>
            <a:solidFill>
              <a:srgbClr val="4472C4"/>
            </a:solidFill>
            <a:ln w="25400">
              <a:noFill/>
            </a:ln>
          </c:spPr>
          <c:invertIfNegative val="0"/>
          <c:dLbls>
            <c:spPr>
              <a:noFill/>
              <a:ln w="25400">
                <a:noFill/>
              </a:ln>
            </c:spPr>
            <c:txPr>
              <a:bodyPr wrap="square" lIns="38100" tIns="19050" rIns="38100" bIns="19050" anchor="ctr">
                <a:spAutoFit/>
              </a:bodyPr>
              <a:lstStyle/>
              <a:p>
                <a:pPr>
                  <a:defRPr sz="900" b="0" i="0" u="none" strike="noStrike" baseline="0">
                    <a:solidFill>
                      <a:srgbClr val="333333"/>
                    </a:solidFill>
                    <a:latin typeface="Calibri"/>
                    <a:ea typeface="Calibri"/>
                    <a:cs typeface="Calibri"/>
                  </a:defRPr>
                </a:pPr>
                <a:endParaRPr lang="en-US"/>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'Water report'!$J$651:$J$660</c:f>
              <c:strCache>
                <c:ptCount val="10"/>
                <c:pt idx="0">
                  <c:v>0</c:v>
                </c:pt>
                <c:pt idx="1">
                  <c:v>0</c:v>
                </c:pt>
                <c:pt idx="2">
                  <c:v>0</c:v>
                </c:pt>
                <c:pt idx="3">
                  <c:v>0</c:v>
                </c:pt>
                <c:pt idx="4">
                  <c:v>0</c:v>
                </c:pt>
                <c:pt idx="5">
                  <c:v>0</c:v>
                </c:pt>
                <c:pt idx="6">
                  <c:v>0</c:v>
                </c:pt>
                <c:pt idx="7">
                  <c:v>0</c:v>
                </c:pt>
                <c:pt idx="8">
                  <c:v>0</c:v>
                </c:pt>
                <c:pt idx="9">
                  <c:v>More</c:v>
                </c:pt>
              </c:strCache>
            </c:strRef>
          </c:cat>
          <c:val>
            <c:numRef>
              <c:f>'Water report'!$K$651:$K$660</c:f>
              <c:numCache>
                <c:formatCode>_(* #,##0.00_);_(* \(#,##0.00\);_(* "-"??_);_(@_)</c:formatCode>
                <c:ptCount val="10"/>
                <c:pt idx="0">
                  <c:v>0</c:v>
                </c:pt>
                <c:pt idx="1">
                  <c:v>0</c:v>
                </c:pt>
                <c:pt idx="2">
                  <c:v>0</c:v>
                </c:pt>
                <c:pt idx="3">
                  <c:v>0</c:v>
                </c:pt>
                <c:pt idx="4">
                  <c:v>0</c:v>
                </c:pt>
                <c:pt idx="5">
                  <c:v>0</c:v>
                </c:pt>
                <c:pt idx="6">
                  <c:v>0</c:v>
                </c:pt>
                <c:pt idx="7">
                  <c:v>0</c:v>
                </c:pt>
                <c:pt idx="8">
                  <c:v>0</c:v>
                </c:pt>
                <c:pt idx="9">
                  <c:v>0</c:v>
                </c:pt>
              </c:numCache>
            </c:numRef>
          </c:val>
          <c:extLst>
            <c:ext xmlns:c16="http://schemas.microsoft.com/office/drawing/2014/chart" uri="{C3380CC4-5D6E-409C-BE32-E72D297353CC}">
              <c16:uniqueId val="{00000000-2BB3-470E-A0FA-901E17FC558D}"/>
            </c:ext>
          </c:extLst>
        </c:ser>
        <c:dLbls>
          <c:showLegendKey val="0"/>
          <c:showVal val="0"/>
          <c:showCatName val="0"/>
          <c:showSerName val="0"/>
          <c:showPercent val="0"/>
          <c:showBubbleSize val="0"/>
        </c:dLbls>
        <c:gapWidth val="50"/>
        <c:overlap val="-27"/>
        <c:axId val="1399833679"/>
        <c:axId val="1"/>
      </c:barChart>
      <c:lineChart>
        <c:grouping val="standard"/>
        <c:varyColors val="0"/>
        <c:ser>
          <c:idx val="1"/>
          <c:order val="1"/>
          <c:tx>
            <c:strRef>
              <c:f>'Water report'!$L$650</c:f>
              <c:strCache>
                <c:ptCount val="1"/>
                <c:pt idx="0">
                  <c:v>Total cost per kl </c:v>
                </c:pt>
              </c:strCache>
            </c:strRef>
          </c:tx>
          <c:spPr>
            <a:ln w="28575" cap="rnd">
              <a:solidFill>
                <a:schemeClr val="accent2"/>
              </a:solidFill>
              <a:round/>
            </a:ln>
            <a:effectLst/>
          </c:spPr>
          <c:marker>
            <c:symbol val="none"/>
          </c:marker>
          <c:val>
            <c:numRef>
              <c:f>'Water report'!$L$651:$L$660</c:f>
              <c:numCache>
                <c:formatCode>_(* #,##0.00_);_(* \(#,##0.00\);_(* "-"??_);_(@_)</c:formatCode>
                <c:ptCount val="10"/>
                <c:pt idx="0">
                  <c:v>0</c:v>
                </c:pt>
                <c:pt idx="1">
                  <c:v>0</c:v>
                </c:pt>
                <c:pt idx="2">
                  <c:v>0</c:v>
                </c:pt>
                <c:pt idx="3">
                  <c:v>0</c:v>
                </c:pt>
                <c:pt idx="4">
                  <c:v>0</c:v>
                </c:pt>
                <c:pt idx="5">
                  <c:v>0</c:v>
                </c:pt>
                <c:pt idx="6">
                  <c:v>0</c:v>
                </c:pt>
                <c:pt idx="7">
                  <c:v>0</c:v>
                </c:pt>
                <c:pt idx="8">
                  <c:v>0</c:v>
                </c:pt>
                <c:pt idx="9">
                  <c:v>0</c:v>
                </c:pt>
              </c:numCache>
            </c:numRef>
          </c:val>
          <c:smooth val="0"/>
          <c:extLst>
            <c:ext xmlns:c16="http://schemas.microsoft.com/office/drawing/2014/chart" uri="{C3380CC4-5D6E-409C-BE32-E72D297353CC}">
              <c16:uniqueId val="{00000001-2BB3-470E-A0FA-901E17FC558D}"/>
            </c:ext>
          </c:extLst>
        </c:ser>
        <c:ser>
          <c:idx val="2"/>
          <c:order val="2"/>
          <c:tx>
            <c:strRef>
              <c:f>'Water report'!$M$650</c:f>
              <c:strCache>
                <c:ptCount val="1"/>
                <c:pt idx="0">
                  <c:v>Variable cost per kl</c:v>
                </c:pt>
              </c:strCache>
            </c:strRef>
          </c:tx>
          <c:spPr>
            <a:ln w="28575" cap="rnd">
              <a:solidFill>
                <a:schemeClr val="accent3"/>
              </a:solidFill>
              <a:round/>
            </a:ln>
            <a:effectLst/>
          </c:spPr>
          <c:marker>
            <c:symbol val="none"/>
          </c:marker>
          <c:val>
            <c:numRef>
              <c:f>'Water report'!$M$651:$M$660</c:f>
              <c:numCache>
                <c:formatCode>_(* #,##0.00_);_(* \(#,##0.00\);_(* "-"??_);_(@_)</c:formatCode>
                <c:ptCount val="10"/>
                <c:pt idx="0" formatCode="_-* #\ ##0_-;\-* #\ ##0_-;_-* &quot;-&quot;??_-;_-@_-">
                  <c:v>0</c:v>
                </c:pt>
                <c:pt idx="1">
                  <c:v>0</c:v>
                </c:pt>
                <c:pt idx="2">
                  <c:v>0</c:v>
                </c:pt>
                <c:pt idx="3">
                  <c:v>0</c:v>
                </c:pt>
                <c:pt idx="4">
                  <c:v>0</c:v>
                </c:pt>
                <c:pt idx="5">
                  <c:v>0</c:v>
                </c:pt>
                <c:pt idx="6">
                  <c:v>0</c:v>
                </c:pt>
                <c:pt idx="7">
                  <c:v>0</c:v>
                </c:pt>
                <c:pt idx="8">
                  <c:v>0</c:v>
                </c:pt>
                <c:pt idx="9">
                  <c:v>0</c:v>
                </c:pt>
              </c:numCache>
            </c:numRef>
          </c:val>
          <c:smooth val="0"/>
          <c:extLst>
            <c:ext xmlns:c16="http://schemas.microsoft.com/office/drawing/2014/chart" uri="{C3380CC4-5D6E-409C-BE32-E72D297353CC}">
              <c16:uniqueId val="{00000002-2BB3-470E-A0FA-901E17FC558D}"/>
            </c:ext>
          </c:extLst>
        </c:ser>
        <c:dLbls>
          <c:showLegendKey val="0"/>
          <c:showVal val="0"/>
          <c:showCatName val="0"/>
          <c:showSerName val="0"/>
          <c:showPercent val="0"/>
          <c:showBubbleSize val="0"/>
        </c:dLbls>
        <c:marker val="1"/>
        <c:smooth val="0"/>
        <c:axId val="1399833679"/>
        <c:axId val="1"/>
      </c:lineChart>
      <c:catAx>
        <c:axId val="1399833679"/>
        <c:scaling>
          <c:orientation val="minMax"/>
        </c:scaling>
        <c:delete val="0"/>
        <c:axPos val="b"/>
        <c:title>
          <c:tx>
            <c:rich>
              <a:bodyPr/>
              <a:lstStyle/>
              <a:p>
                <a:pPr>
                  <a:defRPr sz="1000" b="0" i="0" u="none" strike="noStrike" baseline="0">
                    <a:solidFill>
                      <a:srgbClr val="333333"/>
                    </a:solidFill>
                    <a:latin typeface="Calibri"/>
                    <a:ea typeface="Calibri"/>
                    <a:cs typeface="Calibri"/>
                  </a:defRPr>
                </a:pPr>
                <a:r>
                  <a:rPr lang="en-ZA"/>
                  <a:t>Block size</a:t>
                </a:r>
              </a:p>
            </c:rich>
          </c:tx>
          <c:overlay val="0"/>
          <c:spPr>
            <a:noFill/>
            <a:ln w="25400">
              <a:noFill/>
            </a:ln>
          </c:spPr>
        </c:title>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0" vert="horz"/>
          <a:lstStyle/>
          <a:p>
            <a:pPr>
              <a:defRPr sz="900" b="0" i="0" u="none" strike="noStrike" baseline="0">
                <a:solidFill>
                  <a:srgbClr val="333333"/>
                </a:solidFill>
                <a:latin typeface="Calibri"/>
                <a:ea typeface="Calibri"/>
                <a:cs typeface="Calibri"/>
              </a:defRPr>
            </a:pPr>
            <a:endParaRPr lang="en-US"/>
          </a:p>
        </c:txPr>
        <c:crossAx val="1"/>
        <c:crosses val="autoZero"/>
        <c:auto val="1"/>
        <c:lblAlgn val="ctr"/>
        <c:lblOffset val="100"/>
        <c:noMultiLvlLbl val="0"/>
      </c:catAx>
      <c:valAx>
        <c:axId val="1"/>
        <c:scaling>
          <c:orientation val="minMax"/>
        </c:scaling>
        <c:delete val="0"/>
        <c:axPos val="l"/>
        <c:majorGridlines>
          <c:spPr>
            <a:ln w="9525" cap="flat" cmpd="sng" algn="ctr">
              <a:solidFill>
                <a:schemeClr val="tx1">
                  <a:lumMod val="15000"/>
                  <a:lumOff val="85000"/>
                </a:schemeClr>
              </a:solidFill>
              <a:round/>
            </a:ln>
            <a:effectLst/>
          </c:spPr>
        </c:majorGridlines>
        <c:title>
          <c:tx>
            <c:rich>
              <a:bodyPr/>
              <a:lstStyle/>
              <a:p>
                <a:pPr>
                  <a:defRPr sz="1000" b="0" i="0" u="none" strike="noStrike" baseline="0">
                    <a:solidFill>
                      <a:srgbClr val="333333"/>
                    </a:solidFill>
                    <a:latin typeface="Calibri"/>
                    <a:ea typeface="Calibri"/>
                    <a:cs typeface="Calibri"/>
                  </a:defRPr>
                </a:pPr>
                <a:r>
                  <a:rPr lang="en-ZA"/>
                  <a:t>R/kl</a:t>
                </a:r>
              </a:p>
            </c:rich>
          </c:tx>
          <c:overlay val="0"/>
          <c:spPr>
            <a:noFill/>
            <a:ln w="25400">
              <a:noFill/>
            </a:ln>
          </c:spPr>
        </c:title>
        <c:numFmt formatCode="_(* #,##0.00_);_(* \(#,##0.00\);_(* &quot;-&quot;??_);_(@_)" sourceLinked="1"/>
        <c:majorTickMark val="none"/>
        <c:minorTickMark val="none"/>
        <c:tickLblPos val="nextTo"/>
        <c:spPr>
          <a:ln w="6350">
            <a:noFill/>
          </a:ln>
        </c:spPr>
        <c:txPr>
          <a:bodyPr rot="0" vert="horz"/>
          <a:lstStyle/>
          <a:p>
            <a:pPr>
              <a:defRPr sz="900" b="0" i="0" u="none" strike="noStrike" baseline="0">
                <a:solidFill>
                  <a:srgbClr val="333333"/>
                </a:solidFill>
                <a:latin typeface="Calibri"/>
                <a:ea typeface="Calibri"/>
                <a:cs typeface="Calibri"/>
              </a:defRPr>
            </a:pPr>
            <a:endParaRPr lang="en-US"/>
          </a:p>
        </c:txPr>
        <c:crossAx val="1399833679"/>
        <c:crosses val="autoZero"/>
        <c:crossBetween val="between"/>
      </c:valAx>
      <c:spPr>
        <a:noFill/>
        <a:ln w="25400">
          <a:noFill/>
        </a:ln>
      </c:spPr>
    </c:plotArea>
    <c:legend>
      <c:legendPos val="r"/>
      <c:layout>
        <c:manualLayout>
          <c:xMode val="edge"/>
          <c:yMode val="edge"/>
          <c:x val="0.16605689049016475"/>
          <c:y val="0.9270571043484428"/>
          <c:w val="0.65869231290738117"/>
          <c:h val="5.9461445697666204E-2"/>
        </c:manualLayout>
      </c:layout>
      <c:overlay val="0"/>
      <c:spPr>
        <a:noFill/>
        <a:ln w="25400">
          <a:noFill/>
        </a:ln>
      </c:spPr>
      <c:txPr>
        <a:bodyPr/>
        <a:lstStyle/>
        <a:p>
          <a:pPr>
            <a:defRPr sz="690" b="0" i="0" u="none" strike="noStrike" baseline="0">
              <a:solidFill>
                <a:srgbClr val="333333"/>
              </a:solidFill>
              <a:latin typeface="Calibri"/>
              <a:ea typeface="Calibri"/>
              <a:cs typeface="Calibri"/>
            </a:defRPr>
          </a:pPr>
          <a:endParaRPr lang="en-US"/>
        </a:p>
      </c:txPr>
    </c:legend>
    <c:plotVisOnly val="1"/>
    <c:dispBlanksAs val="gap"/>
    <c:showDLblsOverMax val="0"/>
  </c:chart>
  <c:spPr>
    <a:solidFill>
      <a:schemeClr val="bg1"/>
    </a:solidFill>
    <a:ln w="9525" cap="flat" cmpd="sng" algn="ctr">
      <a:noFill/>
      <a:round/>
    </a:ln>
    <a:effectLst/>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charts/chart8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2.3871527777777776E-2"/>
          <c:y val="4.7786414907172239E-2"/>
          <c:w val="0.57559123468941387"/>
          <c:h val="0.83529592857692603"/>
        </c:manualLayout>
      </c:layout>
      <c:barChart>
        <c:barDir val="col"/>
        <c:grouping val="stacked"/>
        <c:varyColors val="0"/>
        <c:ser>
          <c:idx val="0"/>
          <c:order val="0"/>
          <c:tx>
            <c:strRef>
              <c:f>'Water report'!$I$692</c:f>
              <c:strCache>
                <c:ptCount val="1"/>
                <c:pt idx="0">
                  <c:v>Fixed cost</c:v>
                </c:pt>
              </c:strCache>
            </c:strRef>
          </c:tx>
          <c:spPr>
            <a:solidFill>
              <a:srgbClr val="4472C4"/>
            </a:solidFill>
            <a:ln w="25400">
              <a:noFill/>
            </a:ln>
          </c:spPr>
          <c:invertIfNegative val="0"/>
          <c:dPt>
            <c:idx val="0"/>
            <c:invertIfNegative val="0"/>
            <c:bubble3D val="0"/>
            <c:spPr>
              <a:solidFill>
                <a:srgbClr val="5B9BD5"/>
              </a:solidFill>
              <a:ln w="25400">
                <a:noFill/>
              </a:ln>
            </c:spPr>
            <c:extLst>
              <c:ext xmlns:c16="http://schemas.microsoft.com/office/drawing/2014/chart" uri="{C3380CC4-5D6E-409C-BE32-E72D297353CC}">
                <c16:uniqueId val="{00000000-64B2-4C64-9E65-6F338764031F}"/>
              </c:ext>
            </c:extLst>
          </c:dPt>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'Water report'!$J$691:$K$691</c:f>
              <c:strCache>
                <c:ptCount val="2"/>
                <c:pt idx="0">
                  <c:v>Expenditure R'000</c:v>
                </c:pt>
                <c:pt idx="1">
                  <c:v>Revenue R'000</c:v>
                </c:pt>
              </c:strCache>
            </c:strRef>
          </c:cat>
          <c:val>
            <c:numRef>
              <c:f>'Water report'!$J$692:$K$692</c:f>
              <c:numCache>
                <c:formatCode>General</c:formatCode>
                <c:ptCount val="2"/>
                <c:pt idx="0" formatCode="_-* #\ ##0_-;\-* #\ ##0_-;_-* &quot;-&quot;??_-;_-@_-">
                  <c:v>0</c:v>
                </c:pt>
              </c:numCache>
            </c:numRef>
          </c:val>
          <c:extLst>
            <c:ext xmlns:c16="http://schemas.microsoft.com/office/drawing/2014/chart" uri="{C3380CC4-5D6E-409C-BE32-E72D297353CC}">
              <c16:uniqueId val="{00000001-64B2-4C64-9E65-6F338764031F}"/>
            </c:ext>
          </c:extLst>
        </c:ser>
        <c:ser>
          <c:idx val="1"/>
          <c:order val="1"/>
          <c:tx>
            <c:strRef>
              <c:f>'Water report'!$I$693</c:f>
              <c:strCache>
                <c:ptCount val="1"/>
                <c:pt idx="0">
                  <c:v>Variable cost</c:v>
                </c:pt>
              </c:strCache>
            </c:strRef>
          </c:tx>
          <c:spPr>
            <a:solidFill>
              <a:schemeClr val="accent5">
                <a:lumMod val="60000"/>
                <a:lumOff val="40000"/>
              </a:schemeClr>
            </a:solidFill>
            <a:ln>
              <a:noFill/>
            </a:ln>
            <a:effectLst/>
          </c:spPr>
          <c:invertIfNegative val="0"/>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'Water report'!$J$691:$K$691</c:f>
              <c:strCache>
                <c:ptCount val="2"/>
                <c:pt idx="0">
                  <c:v>Expenditure R'000</c:v>
                </c:pt>
                <c:pt idx="1">
                  <c:v>Revenue R'000</c:v>
                </c:pt>
              </c:strCache>
            </c:strRef>
          </c:cat>
          <c:val>
            <c:numRef>
              <c:f>'Water report'!$J$693:$K$693</c:f>
              <c:numCache>
                <c:formatCode>General</c:formatCode>
                <c:ptCount val="2"/>
                <c:pt idx="0" formatCode="_-* #\ ##0_-;\-* #\ ##0_-;_-* &quot;-&quot;??_-;_-@_-">
                  <c:v>0</c:v>
                </c:pt>
              </c:numCache>
            </c:numRef>
          </c:val>
          <c:extLst>
            <c:ext xmlns:c16="http://schemas.microsoft.com/office/drawing/2014/chart" uri="{C3380CC4-5D6E-409C-BE32-E72D297353CC}">
              <c16:uniqueId val="{00000002-64B2-4C64-9E65-6F338764031F}"/>
            </c:ext>
          </c:extLst>
        </c:ser>
        <c:ser>
          <c:idx val="2"/>
          <c:order val="2"/>
          <c:tx>
            <c:strRef>
              <c:f>'Water report'!$I$694</c:f>
              <c:strCache>
                <c:ptCount val="1"/>
                <c:pt idx="0">
                  <c:v>Surplus</c:v>
                </c:pt>
              </c:strCache>
            </c:strRef>
          </c:tx>
          <c:spPr>
            <a:solidFill>
              <a:srgbClr val="A5A5A5"/>
            </a:solidFill>
            <a:ln w="25400">
              <a:noFill/>
            </a:ln>
          </c:spPr>
          <c:invertIfNegative val="0"/>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'Water report'!$J$691:$K$691</c:f>
              <c:strCache>
                <c:ptCount val="2"/>
                <c:pt idx="0">
                  <c:v>Expenditure R'000</c:v>
                </c:pt>
                <c:pt idx="1">
                  <c:v>Revenue R'000</c:v>
                </c:pt>
              </c:strCache>
            </c:strRef>
          </c:cat>
          <c:val>
            <c:numRef>
              <c:f>'Water report'!$J$694:$K$694</c:f>
              <c:numCache>
                <c:formatCode>General</c:formatCode>
                <c:ptCount val="2"/>
                <c:pt idx="0" formatCode="_-* #\ ##0_-;\-* #\ ##0_-;_-* &quot;-&quot;??_-;_-@_-">
                  <c:v>0</c:v>
                </c:pt>
              </c:numCache>
            </c:numRef>
          </c:val>
          <c:extLst>
            <c:ext xmlns:c16="http://schemas.microsoft.com/office/drawing/2014/chart" uri="{C3380CC4-5D6E-409C-BE32-E72D297353CC}">
              <c16:uniqueId val="{00000003-64B2-4C64-9E65-6F338764031F}"/>
            </c:ext>
          </c:extLst>
        </c:ser>
        <c:ser>
          <c:idx val="4"/>
          <c:order val="3"/>
          <c:tx>
            <c:strRef>
              <c:f>'Water report'!$I$695</c:f>
              <c:strCache>
                <c:ptCount val="1"/>
                <c:pt idx="0">
                  <c:v>Tariff revenue</c:v>
                </c:pt>
              </c:strCache>
            </c:strRef>
          </c:tx>
          <c:spPr>
            <a:solidFill>
              <a:srgbClr val="5B9BD5"/>
            </a:solidFill>
            <a:ln w="25400">
              <a:noFill/>
            </a:ln>
          </c:spPr>
          <c:invertIfNegative val="0"/>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'Water report'!$J$691:$K$691</c:f>
              <c:strCache>
                <c:ptCount val="2"/>
                <c:pt idx="0">
                  <c:v>Expenditure R'000</c:v>
                </c:pt>
                <c:pt idx="1">
                  <c:v>Revenue R'000</c:v>
                </c:pt>
              </c:strCache>
            </c:strRef>
          </c:cat>
          <c:val>
            <c:numRef>
              <c:f>'Water report'!$J$695:$K$695</c:f>
              <c:numCache>
                <c:formatCode>_-* #\ ##0_-;\-* #\ ##0_-;_-* "-"??_-;_-@_-</c:formatCode>
                <c:ptCount val="2"/>
                <c:pt idx="1">
                  <c:v>0</c:v>
                </c:pt>
              </c:numCache>
            </c:numRef>
          </c:val>
          <c:extLst>
            <c:ext xmlns:c16="http://schemas.microsoft.com/office/drawing/2014/chart" uri="{C3380CC4-5D6E-409C-BE32-E72D297353CC}">
              <c16:uniqueId val="{00000004-64B2-4C64-9E65-6F338764031F}"/>
            </c:ext>
          </c:extLst>
        </c:ser>
        <c:ser>
          <c:idx val="5"/>
          <c:order val="4"/>
          <c:tx>
            <c:strRef>
              <c:f>'Water report'!$I$696</c:f>
              <c:strCache>
                <c:ptCount val="1"/>
                <c:pt idx="0">
                  <c:v>External grants &amp; subsidies</c:v>
                </c:pt>
              </c:strCache>
            </c:strRef>
          </c:tx>
          <c:spPr>
            <a:solidFill>
              <a:srgbClr val="A5A5A5"/>
            </a:solidFill>
            <a:ln w="25400">
              <a:noFill/>
            </a:ln>
          </c:spPr>
          <c:invertIfNegative val="0"/>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'Water report'!$J$691:$K$691</c:f>
              <c:strCache>
                <c:ptCount val="2"/>
                <c:pt idx="0">
                  <c:v>Expenditure R'000</c:v>
                </c:pt>
                <c:pt idx="1">
                  <c:v>Revenue R'000</c:v>
                </c:pt>
              </c:strCache>
            </c:strRef>
          </c:cat>
          <c:val>
            <c:numRef>
              <c:f>'Water report'!$J$696:$K$696</c:f>
              <c:numCache>
                <c:formatCode>_-* #\ ##0_-;\-* #\ ##0_-;_-* "-"??_-;_-@_-</c:formatCode>
                <c:ptCount val="2"/>
                <c:pt idx="1">
                  <c:v>0</c:v>
                </c:pt>
              </c:numCache>
            </c:numRef>
          </c:val>
          <c:extLst>
            <c:ext xmlns:c16="http://schemas.microsoft.com/office/drawing/2014/chart" uri="{C3380CC4-5D6E-409C-BE32-E72D297353CC}">
              <c16:uniqueId val="{00000005-64B2-4C64-9E65-6F338764031F}"/>
            </c:ext>
          </c:extLst>
        </c:ser>
        <c:ser>
          <c:idx val="3"/>
          <c:order val="5"/>
          <c:tx>
            <c:strRef>
              <c:f>'Water report'!$I$697</c:f>
              <c:strCache>
                <c:ptCount val="1"/>
                <c:pt idx="0">
                  <c:v>Other non-tariff revenue</c:v>
                </c:pt>
              </c:strCache>
            </c:strRef>
          </c:tx>
          <c:spPr>
            <a:solidFill>
              <a:schemeClr val="accent3">
                <a:lumMod val="40000"/>
                <a:lumOff val="60000"/>
              </a:schemeClr>
            </a:solidFill>
            <a:ln>
              <a:noFill/>
            </a:ln>
            <a:effectLst/>
          </c:spPr>
          <c:invertIfNegative val="0"/>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'Water report'!$J$691:$K$691</c:f>
              <c:strCache>
                <c:ptCount val="2"/>
                <c:pt idx="0">
                  <c:v>Expenditure R'000</c:v>
                </c:pt>
                <c:pt idx="1">
                  <c:v>Revenue R'000</c:v>
                </c:pt>
              </c:strCache>
            </c:strRef>
          </c:cat>
          <c:val>
            <c:numRef>
              <c:f>'Water report'!$J$697:$K$697</c:f>
              <c:numCache>
                <c:formatCode>_-* #\ ##0_-;\-* #\ ##0_-;_-* "-"??_-;_-@_-</c:formatCode>
                <c:ptCount val="2"/>
                <c:pt idx="1">
                  <c:v>0</c:v>
                </c:pt>
              </c:numCache>
            </c:numRef>
          </c:val>
          <c:extLst>
            <c:ext xmlns:c16="http://schemas.microsoft.com/office/drawing/2014/chart" uri="{C3380CC4-5D6E-409C-BE32-E72D297353CC}">
              <c16:uniqueId val="{00000006-64B2-4C64-9E65-6F338764031F}"/>
            </c:ext>
          </c:extLst>
        </c:ser>
        <c:ser>
          <c:idx val="6"/>
          <c:order val="6"/>
          <c:tx>
            <c:strRef>
              <c:f>'Water report'!$I$698</c:f>
              <c:strCache>
                <c:ptCount val="1"/>
                <c:pt idx="0">
                  <c:v>Deficit</c:v>
                </c:pt>
              </c:strCache>
            </c:strRef>
          </c:tx>
          <c:spPr>
            <a:solidFill>
              <a:srgbClr val="ED7D31"/>
            </a:solidFill>
            <a:ln w="25400">
              <a:noFill/>
            </a:ln>
          </c:spPr>
          <c:invertIfNegative val="0"/>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'Water report'!$J$691:$K$691</c:f>
              <c:strCache>
                <c:ptCount val="2"/>
                <c:pt idx="0">
                  <c:v>Expenditure R'000</c:v>
                </c:pt>
                <c:pt idx="1">
                  <c:v>Revenue R'000</c:v>
                </c:pt>
              </c:strCache>
            </c:strRef>
          </c:cat>
          <c:val>
            <c:numRef>
              <c:f>'Water report'!$J$698:$K$698</c:f>
              <c:numCache>
                <c:formatCode>_-* #\ ##0_-;\-* #\ ##0_-;_-* "-"??_-;_-@_-</c:formatCode>
                <c:ptCount val="2"/>
                <c:pt idx="1">
                  <c:v>0</c:v>
                </c:pt>
              </c:numCache>
            </c:numRef>
          </c:val>
          <c:extLst>
            <c:ext xmlns:c16="http://schemas.microsoft.com/office/drawing/2014/chart" uri="{C3380CC4-5D6E-409C-BE32-E72D297353CC}">
              <c16:uniqueId val="{00000007-64B2-4C64-9E65-6F338764031F}"/>
            </c:ext>
          </c:extLst>
        </c:ser>
        <c:dLbls>
          <c:showLegendKey val="0"/>
          <c:showVal val="0"/>
          <c:showCatName val="0"/>
          <c:showSerName val="0"/>
          <c:showPercent val="0"/>
          <c:showBubbleSize val="0"/>
        </c:dLbls>
        <c:gapWidth val="25"/>
        <c:overlap val="100"/>
        <c:axId val="1399837519"/>
        <c:axId val="1"/>
      </c:barChart>
      <c:catAx>
        <c:axId val="1399837519"/>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0" vert="horz"/>
          <a:lstStyle/>
          <a:p>
            <a:pPr>
              <a:defRPr sz="1100" b="0" i="0" u="none" strike="noStrike" baseline="0">
                <a:solidFill>
                  <a:srgbClr val="000000"/>
                </a:solidFill>
                <a:latin typeface="Calibri"/>
                <a:ea typeface="Calibri"/>
                <a:cs typeface="Calibri"/>
              </a:defRPr>
            </a:pPr>
            <a:endParaRPr lang="en-US"/>
          </a:p>
        </c:txPr>
        <c:crossAx val="1"/>
        <c:crosses val="autoZero"/>
        <c:auto val="1"/>
        <c:lblAlgn val="ctr"/>
        <c:lblOffset val="100"/>
        <c:noMultiLvlLbl val="0"/>
      </c:catAx>
      <c:valAx>
        <c:axId val="1"/>
        <c:scaling>
          <c:orientation val="minMax"/>
        </c:scaling>
        <c:delete val="1"/>
        <c:axPos val="l"/>
        <c:majorGridlines>
          <c:spPr>
            <a:ln w="9525" cap="flat" cmpd="sng" algn="ctr">
              <a:solidFill>
                <a:schemeClr val="tx1">
                  <a:lumMod val="15000"/>
                  <a:lumOff val="85000"/>
                </a:schemeClr>
              </a:solidFill>
              <a:round/>
            </a:ln>
            <a:effectLst/>
          </c:spPr>
        </c:majorGridlines>
        <c:numFmt formatCode="_-* #\ ##0_-;\-* #\ ##0_-;_-* &quot;-&quot;??_-;_-@_-" sourceLinked="1"/>
        <c:majorTickMark val="out"/>
        <c:minorTickMark val="none"/>
        <c:tickLblPos val="nextTo"/>
        <c:crossAx val="1399837519"/>
        <c:crosses val="autoZero"/>
        <c:crossBetween val="between"/>
      </c:valAx>
    </c:plotArea>
    <c:legend>
      <c:legendPos val="r"/>
      <c:layout>
        <c:manualLayout>
          <c:xMode val="edge"/>
          <c:yMode val="edge"/>
          <c:x val="0.62824797502721796"/>
          <c:y val="0.17846767615586512"/>
          <c:w val="0.34940915518090365"/>
          <c:h val="0.70771685846961441"/>
        </c:manualLayout>
      </c:layout>
      <c:overlay val="0"/>
      <c:spPr>
        <a:noFill/>
        <a:ln w="25400">
          <a:noFill/>
        </a:ln>
      </c:spPr>
      <c:txPr>
        <a:bodyPr/>
        <a:lstStyle/>
        <a:p>
          <a:pPr>
            <a:defRPr sz="850" b="0" i="0" u="none" strike="noStrike" baseline="0">
              <a:solidFill>
                <a:srgbClr val="000000"/>
              </a:solidFill>
              <a:latin typeface="Calibri"/>
              <a:ea typeface="Calibri"/>
              <a:cs typeface="Calibri"/>
            </a:defRPr>
          </a:pPr>
          <a:endParaRPr lang="en-US"/>
        </a:p>
      </c:txPr>
    </c:legend>
    <c:plotVisOnly val="1"/>
    <c:dispBlanksAs val="gap"/>
    <c:showDLblsOverMax val="0"/>
  </c:chart>
  <c:spPr>
    <a:solidFill>
      <a:schemeClr val="bg1"/>
    </a:solidFill>
    <a:ln w="9525" cap="flat" cmpd="sng" algn="ctr">
      <a:noFill/>
      <a:round/>
    </a:ln>
    <a:effectLst/>
  </c:spPr>
  <c:txPr>
    <a:bodyPr/>
    <a:lstStyle/>
    <a:p>
      <a:pPr>
        <a:defRPr sz="11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charts/chart8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ser>
          <c:idx val="0"/>
          <c:order val="0"/>
          <c:tx>
            <c:strRef>
              <c:f>'Water report'!$K$717</c:f>
              <c:strCache>
                <c:ptCount val="1"/>
                <c:pt idx="0">
                  <c:v>Tariff </c:v>
                </c:pt>
              </c:strCache>
            </c:strRef>
          </c:tx>
          <c:spPr>
            <a:solidFill>
              <a:srgbClr val="4472C4"/>
            </a:solidFill>
            <a:ln w="25400">
              <a:noFill/>
            </a:ln>
          </c:spPr>
          <c:invertIfNegative val="0"/>
          <c:dLbls>
            <c:spPr>
              <a:noFill/>
              <a:ln w="25400">
                <a:noFill/>
              </a:ln>
            </c:spPr>
            <c:txPr>
              <a:bodyPr wrap="square" lIns="38100" tIns="19050" rIns="38100" bIns="19050" anchor="ctr">
                <a:spAutoFit/>
              </a:bodyPr>
              <a:lstStyle/>
              <a:p>
                <a:pPr>
                  <a:defRPr sz="900" b="0" i="0" u="none" strike="noStrike" baseline="0">
                    <a:solidFill>
                      <a:srgbClr val="333333"/>
                    </a:solidFill>
                    <a:latin typeface="Calibri"/>
                    <a:ea typeface="Calibri"/>
                    <a:cs typeface="Calibri"/>
                  </a:defRPr>
                </a:pPr>
                <a:endParaRPr lang="en-US"/>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'Water report'!$J$718:$J$727</c:f>
              <c:strCache>
                <c:ptCount val="10"/>
                <c:pt idx="0">
                  <c:v>0</c:v>
                </c:pt>
                <c:pt idx="1">
                  <c:v>0</c:v>
                </c:pt>
                <c:pt idx="2">
                  <c:v>0</c:v>
                </c:pt>
                <c:pt idx="3">
                  <c:v>0</c:v>
                </c:pt>
                <c:pt idx="4">
                  <c:v>0</c:v>
                </c:pt>
                <c:pt idx="5">
                  <c:v>0</c:v>
                </c:pt>
                <c:pt idx="6">
                  <c:v>0</c:v>
                </c:pt>
                <c:pt idx="7">
                  <c:v>0</c:v>
                </c:pt>
                <c:pt idx="8">
                  <c:v>0</c:v>
                </c:pt>
                <c:pt idx="9">
                  <c:v>More</c:v>
                </c:pt>
              </c:strCache>
            </c:strRef>
          </c:cat>
          <c:val>
            <c:numRef>
              <c:f>'Water report'!$K$718:$K$727</c:f>
              <c:numCache>
                <c:formatCode>_(* #,##0.00_);_(* \(#,##0.00\);_(* "-"??_);_(@_)</c:formatCode>
                <c:ptCount val="10"/>
                <c:pt idx="0">
                  <c:v>0</c:v>
                </c:pt>
                <c:pt idx="1">
                  <c:v>0</c:v>
                </c:pt>
                <c:pt idx="2">
                  <c:v>0</c:v>
                </c:pt>
                <c:pt idx="3">
                  <c:v>0</c:v>
                </c:pt>
                <c:pt idx="4">
                  <c:v>0</c:v>
                </c:pt>
                <c:pt idx="5">
                  <c:v>0</c:v>
                </c:pt>
                <c:pt idx="6">
                  <c:v>0</c:v>
                </c:pt>
                <c:pt idx="7">
                  <c:v>0</c:v>
                </c:pt>
                <c:pt idx="8">
                  <c:v>0</c:v>
                </c:pt>
                <c:pt idx="9">
                  <c:v>0</c:v>
                </c:pt>
              </c:numCache>
            </c:numRef>
          </c:val>
          <c:extLst>
            <c:ext xmlns:c16="http://schemas.microsoft.com/office/drawing/2014/chart" uri="{C3380CC4-5D6E-409C-BE32-E72D297353CC}">
              <c16:uniqueId val="{00000000-9BF2-4D55-84A1-01F66C17656A}"/>
            </c:ext>
          </c:extLst>
        </c:ser>
        <c:dLbls>
          <c:showLegendKey val="0"/>
          <c:showVal val="0"/>
          <c:showCatName val="0"/>
          <c:showSerName val="0"/>
          <c:showPercent val="0"/>
          <c:showBubbleSize val="0"/>
        </c:dLbls>
        <c:gapWidth val="50"/>
        <c:overlap val="-27"/>
        <c:axId val="1399839919"/>
        <c:axId val="1"/>
      </c:barChart>
      <c:lineChart>
        <c:grouping val="standard"/>
        <c:varyColors val="0"/>
        <c:ser>
          <c:idx val="1"/>
          <c:order val="1"/>
          <c:tx>
            <c:strRef>
              <c:f>'Water report'!$L$717</c:f>
              <c:strCache>
                <c:ptCount val="1"/>
                <c:pt idx="0">
                  <c:v>Total cost per kl </c:v>
                </c:pt>
              </c:strCache>
            </c:strRef>
          </c:tx>
          <c:spPr>
            <a:ln w="28575" cap="rnd">
              <a:solidFill>
                <a:schemeClr val="accent2"/>
              </a:solidFill>
              <a:round/>
            </a:ln>
            <a:effectLst/>
          </c:spPr>
          <c:marker>
            <c:symbol val="none"/>
          </c:marker>
          <c:val>
            <c:numRef>
              <c:f>'Water report'!$L$718:$L$727</c:f>
              <c:numCache>
                <c:formatCode>_(* #,##0.00_);_(* \(#,##0.00\);_(* "-"??_);_(@_)</c:formatCode>
                <c:ptCount val="10"/>
                <c:pt idx="0">
                  <c:v>0</c:v>
                </c:pt>
                <c:pt idx="1">
                  <c:v>0</c:v>
                </c:pt>
                <c:pt idx="2">
                  <c:v>0</c:v>
                </c:pt>
                <c:pt idx="3">
                  <c:v>0</c:v>
                </c:pt>
                <c:pt idx="4">
                  <c:v>0</c:v>
                </c:pt>
                <c:pt idx="5">
                  <c:v>0</c:v>
                </c:pt>
                <c:pt idx="6">
                  <c:v>0</c:v>
                </c:pt>
                <c:pt idx="7">
                  <c:v>0</c:v>
                </c:pt>
                <c:pt idx="8">
                  <c:v>0</c:v>
                </c:pt>
                <c:pt idx="9">
                  <c:v>0</c:v>
                </c:pt>
              </c:numCache>
            </c:numRef>
          </c:val>
          <c:smooth val="0"/>
          <c:extLst>
            <c:ext xmlns:c16="http://schemas.microsoft.com/office/drawing/2014/chart" uri="{C3380CC4-5D6E-409C-BE32-E72D297353CC}">
              <c16:uniqueId val="{00000001-9BF2-4D55-84A1-01F66C17656A}"/>
            </c:ext>
          </c:extLst>
        </c:ser>
        <c:ser>
          <c:idx val="2"/>
          <c:order val="2"/>
          <c:tx>
            <c:strRef>
              <c:f>'Water report'!$M$717</c:f>
              <c:strCache>
                <c:ptCount val="1"/>
                <c:pt idx="0">
                  <c:v>Variable cost per kl</c:v>
                </c:pt>
              </c:strCache>
            </c:strRef>
          </c:tx>
          <c:spPr>
            <a:ln w="28575" cap="rnd">
              <a:solidFill>
                <a:schemeClr val="accent3"/>
              </a:solidFill>
              <a:round/>
            </a:ln>
            <a:effectLst/>
          </c:spPr>
          <c:marker>
            <c:symbol val="none"/>
          </c:marker>
          <c:val>
            <c:numRef>
              <c:f>'Water report'!$M$718:$M$727</c:f>
              <c:numCache>
                <c:formatCode>_(* #,##0.00_);_(* \(#,##0.00\);_(* "-"??_);_(@_)</c:formatCode>
                <c:ptCount val="10"/>
                <c:pt idx="0" formatCode="_-* #\ ##0_-;\-* #\ ##0_-;_-* &quot;-&quot;??_-;_-@_-">
                  <c:v>0</c:v>
                </c:pt>
                <c:pt idx="1">
                  <c:v>0</c:v>
                </c:pt>
                <c:pt idx="2">
                  <c:v>0</c:v>
                </c:pt>
                <c:pt idx="3">
                  <c:v>0</c:v>
                </c:pt>
                <c:pt idx="4">
                  <c:v>0</c:v>
                </c:pt>
                <c:pt idx="5">
                  <c:v>0</c:v>
                </c:pt>
                <c:pt idx="6">
                  <c:v>0</c:v>
                </c:pt>
                <c:pt idx="7">
                  <c:v>0</c:v>
                </c:pt>
                <c:pt idx="8">
                  <c:v>0</c:v>
                </c:pt>
                <c:pt idx="9">
                  <c:v>0</c:v>
                </c:pt>
              </c:numCache>
            </c:numRef>
          </c:val>
          <c:smooth val="0"/>
          <c:extLst>
            <c:ext xmlns:c16="http://schemas.microsoft.com/office/drawing/2014/chart" uri="{C3380CC4-5D6E-409C-BE32-E72D297353CC}">
              <c16:uniqueId val="{00000002-9BF2-4D55-84A1-01F66C17656A}"/>
            </c:ext>
          </c:extLst>
        </c:ser>
        <c:dLbls>
          <c:showLegendKey val="0"/>
          <c:showVal val="0"/>
          <c:showCatName val="0"/>
          <c:showSerName val="0"/>
          <c:showPercent val="0"/>
          <c:showBubbleSize val="0"/>
        </c:dLbls>
        <c:marker val="1"/>
        <c:smooth val="0"/>
        <c:axId val="1399839919"/>
        <c:axId val="1"/>
      </c:lineChart>
      <c:catAx>
        <c:axId val="1399839919"/>
        <c:scaling>
          <c:orientation val="minMax"/>
        </c:scaling>
        <c:delete val="0"/>
        <c:axPos val="b"/>
        <c:title>
          <c:tx>
            <c:rich>
              <a:bodyPr/>
              <a:lstStyle/>
              <a:p>
                <a:pPr>
                  <a:defRPr sz="1000" b="0" i="0" u="none" strike="noStrike" baseline="0">
                    <a:solidFill>
                      <a:srgbClr val="333333"/>
                    </a:solidFill>
                    <a:latin typeface="Calibri"/>
                    <a:ea typeface="Calibri"/>
                    <a:cs typeface="Calibri"/>
                  </a:defRPr>
                </a:pPr>
                <a:r>
                  <a:rPr lang="en-ZA"/>
                  <a:t>Block size</a:t>
                </a:r>
              </a:p>
            </c:rich>
          </c:tx>
          <c:overlay val="0"/>
          <c:spPr>
            <a:noFill/>
            <a:ln w="25400">
              <a:noFill/>
            </a:ln>
          </c:spPr>
        </c:title>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0" vert="horz"/>
          <a:lstStyle/>
          <a:p>
            <a:pPr>
              <a:defRPr sz="900" b="0" i="0" u="none" strike="noStrike" baseline="0">
                <a:solidFill>
                  <a:srgbClr val="333333"/>
                </a:solidFill>
                <a:latin typeface="Calibri"/>
                <a:ea typeface="Calibri"/>
                <a:cs typeface="Calibri"/>
              </a:defRPr>
            </a:pPr>
            <a:endParaRPr lang="en-US"/>
          </a:p>
        </c:txPr>
        <c:crossAx val="1"/>
        <c:crosses val="autoZero"/>
        <c:auto val="1"/>
        <c:lblAlgn val="ctr"/>
        <c:lblOffset val="100"/>
        <c:noMultiLvlLbl val="0"/>
      </c:catAx>
      <c:valAx>
        <c:axId val="1"/>
        <c:scaling>
          <c:orientation val="minMax"/>
        </c:scaling>
        <c:delete val="0"/>
        <c:axPos val="l"/>
        <c:majorGridlines>
          <c:spPr>
            <a:ln w="9525" cap="flat" cmpd="sng" algn="ctr">
              <a:solidFill>
                <a:schemeClr val="tx1">
                  <a:lumMod val="15000"/>
                  <a:lumOff val="85000"/>
                </a:schemeClr>
              </a:solidFill>
              <a:round/>
            </a:ln>
            <a:effectLst/>
          </c:spPr>
        </c:majorGridlines>
        <c:title>
          <c:tx>
            <c:rich>
              <a:bodyPr/>
              <a:lstStyle/>
              <a:p>
                <a:pPr>
                  <a:defRPr sz="1000" b="0" i="0" u="none" strike="noStrike" baseline="0">
                    <a:solidFill>
                      <a:srgbClr val="333333"/>
                    </a:solidFill>
                    <a:latin typeface="Calibri"/>
                    <a:ea typeface="Calibri"/>
                    <a:cs typeface="Calibri"/>
                  </a:defRPr>
                </a:pPr>
                <a:r>
                  <a:rPr lang="en-ZA"/>
                  <a:t>R/kl</a:t>
                </a:r>
              </a:p>
            </c:rich>
          </c:tx>
          <c:overlay val="0"/>
          <c:spPr>
            <a:noFill/>
            <a:ln w="25400">
              <a:noFill/>
            </a:ln>
          </c:spPr>
        </c:title>
        <c:numFmt formatCode="_(* #,##0.00_);_(* \(#,##0.00\);_(* &quot;-&quot;??_);_(@_)" sourceLinked="1"/>
        <c:majorTickMark val="none"/>
        <c:minorTickMark val="none"/>
        <c:tickLblPos val="nextTo"/>
        <c:spPr>
          <a:ln w="6350">
            <a:noFill/>
          </a:ln>
        </c:spPr>
        <c:txPr>
          <a:bodyPr rot="0" vert="horz"/>
          <a:lstStyle/>
          <a:p>
            <a:pPr>
              <a:defRPr sz="900" b="0" i="0" u="none" strike="noStrike" baseline="0">
                <a:solidFill>
                  <a:srgbClr val="333333"/>
                </a:solidFill>
                <a:latin typeface="Calibri"/>
                <a:ea typeface="Calibri"/>
                <a:cs typeface="Calibri"/>
              </a:defRPr>
            </a:pPr>
            <a:endParaRPr lang="en-US"/>
          </a:p>
        </c:txPr>
        <c:crossAx val="1399839919"/>
        <c:crosses val="autoZero"/>
        <c:crossBetween val="between"/>
      </c:valAx>
      <c:spPr>
        <a:noFill/>
        <a:ln w="25400">
          <a:noFill/>
        </a:ln>
      </c:spPr>
    </c:plotArea>
    <c:legend>
      <c:legendPos val="r"/>
      <c:layout>
        <c:manualLayout>
          <c:xMode val="edge"/>
          <c:yMode val="edge"/>
          <c:x val="0.16605689049016475"/>
          <c:y val="0.9270571043484428"/>
          <c:w val="0.65869231290738117"/>
          <c:h val="5.9461445697666204E-2"/>
        </c:manualLayout>
      </c:layout>
      <c:overlay val="0"/>
      <c:spPr>
        <a:noFill/>
        <a:ln w="25400">
          <a:noFill/>
        </a:ln>
      </c:spPr>
      <c:txPr>
        <a:bodyPr/>
        <a:lstStyle/>
        <a:p>
          <a:pPr>
            <a:defRPr sz="690" b="0" i="0" u="none" strike="noStrike" baseline="0">
              <a:solidFill>
                <a:srgbClr val="333333"/>
              </a:solidFill>
              <a:latin typeface="Calibri"/>
              <a:ea typeface="Calibri"/>
              <a:cs typeface="Calibri"/>
            </a:defRPr>
          </a:pPr>
          <a:endParaRPr lang="en-US"/>
        </a:p>
      </c:txPr>
    </c:legend>
    <c:plotVisOnly val="1"/>
    <c:dispBlanksAs val="gap"/>
    <c:showDLblsOverMax val="0"/>
  </c:chart>
  <c:spPr>
    <a:solidFill>
      <a:schemeClr val="bg1"/>
    </a:solidFill>
    <a:ln w="9525" cap="flat" cmpd="sng" algn="ctr">
      <a:noFill/>
      <a:round/>
    </a:ln>
    <a:effectLst/>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charts/chart8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2.3871527777777776E-2"/>
          <c:y val="4.7786414907172239E-2"/>
          <c:w val="0.57559123468941387"/>
          <c:h val="0.83529592857692603"/>
        </c:manualLayout>
      </c:layout>
      <c:barChart>
        <c:barDir val="col"/>
        <c:grouping val="stacked"/>
        <c:varyColors val="0"/>
        <c:ser>
          <c:idx val="0"/>
          <c:order val="0"/>
          <c:tx>
            <c:strRef>
              <c:f>'Water report'!$I$758</c:f>
              <c:strCache>
                <c:ptCount val="1"/>
                <c:pt idx="0">
                  <c:v>Fixed cost</c:v>
                </c:pt>
              </c:strCache>
            </c:strRef>
          </c:tx>
          <c:spPr>
            <a:solidFill>
              <a:srgbClr val="4472C4"/>
            </a:solidFill>
            <a:ln w="25400">
              <a:noFill/>
            </a:ln>
          </c:spPr>
          <c:invertIfNegative val="0"/>
          <c:dPt>
            <c:idx val="0"/>
            <c:invertIfNegative val="0"/>
            <c:bubble3D val="0"/>
            <c:spPr>
              <a:solidFill>
                <a:srgbClr val="5B9BD5"/>
              </a:solidFill>
              <a:ln w="25400">
                <a:noFill/>
              </a:ln>
            </c:spPr>
            <c:extLst>
              <c:ext xmlns:c16="http://schemas.microsoft.com/office/drawing/2014/chart" uri="{C3380CC4-5D6E-409C-BE32-E72D297353CC}">
                <c16:uniqueId val="{00000000-AD9E-45A1-BF07-DA993851F1CA}"/>
              </c:ext>
            </c:extLst>
          </c:dPt>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'Water report'!$J$757:$K$757</c:f>
              <c:strCache>
                <c:ptCount val="2"/>
                <c:pt idx="0">
                  <c:v>Expenditure R'000</c:v>
                </c:pt>
                <c:pt idx="1">
                  <c:v>Revenue R'000</c:v>
                </c:pt>
              </c:strCache>
            </c:strRef>
          </c:cat>
          <c:val>
            <c:numRef>
              <c:f>'Water report'!$J$758:$K$758</c:f>
              <c:numCache>
                <c:formatCode>General</c:formatCode>
                <c:ptCount val="2"/>
                <c:pt idx="0" formatCode="_-* #\ ##0_-;\-* #\ ##0_-;_-* &quot;-&quot;??_-;_-@_-">
                  <c:v>0</c:v>
                </c:pt>
              </c:numCache>
            </c:numRef>
          </c:val>
          <c:extLst>
            <c:ext xmlns:c16="http://schemas.microsoft.com/office/drawing/2014/chart" uri="{C3380CC4-5D6E-409C-BE32-E72D297353CC}">
              <c16:uniqueId val="{00000001-AD9E-45A1-BF07-DA993851F1CA}"/>
            </c:ext>
          </c:extLst>
        </c:ser>
        <c:ser>
          <c:idx val="1"/>
          <c:order val="1"/>
          <c:tx>
            <c:strRef>
              <c:f>'Water report'!$I$759</c:f>
              <c:strCache>
                <c:ptCount val="1"/>
                <c:pt idx="0">
                  <c:v>Variable cost</c:v>
                </c:pt>
              </c:strCache>
            </c:strRef>
          </c:tx>
          <c:spPr>
            <a:solidFill>
              <a:schemeClr val="accent5">
                <a:lumMod val="60000"/>
                <a:lumOff val="40000"/>
              </a:schemeClr>
            </a:solidFill>
            <a:ln>
              <a:noFill/>
            </a:ln>
            <a:effectLst/>
          </c:spPr>
          <c:invertIfNegative val="0"/>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'Water report'!$J$757:$K$757</c:f>
              <c:strCache>
                <c:ptCount val="2"/>
                <c:pt idx="0">
                  <c:v>Expenditure R'000</c:v>
                </c:pt>
                <c:pt idx="1">
                  <c:v>Revenue R'000</c:v>
                </c:pt>
              </c:strCache>
            </c:strRef>
          </c:cat>
          <c:val>
            <c:numRef>
              <c:f>'Water report'!$J$759:$K$759</c:f>
              <c:numCache>
                <c:formatCode>General</c:formatCode>
                <c:ptCount val="2"/>
                <c:pt idx="0" formatCode="_-* #\ ##0_-;\-* #\ ##0_-;_-* &quot;-&quot;??_-;_-@_-">
                  <c:v>0</c:v>
                </c:pt>
              </c:numCache>
            </c:numRef>
          </c:val>
          <c:extLst>
            <c:ext xmlns:c16="http://schemas.microsoft.com/office/drawing/2014/chart" uri="{C3380CC4-5D6E-409C-BE32-E72D297353CC}">
              <c16:uniqueId val="{00000002-AD9E-45A1-BF07-DA993851F1CA}"/>
            </c:ext>
          </c:extLst>
        </c:ser>
        <c:ser>
          <c:idx val="2"/>
          <c:order val="2"/>
          <c:tx>
            <c:strRef>
              <c:f>'Water report'!$I$760</c:f>
              <c:strCache>
                <c:ptCount val="1"/>
                <c:pt idx="0">
                  <c:v>Surplus</c:v>
                </c:pt>
              </c:strCache>
            </c:strRef>
          </c:tx>
          <c:spPr>
            <a:solidFill>
              <a:srgbClr val="A5A5A5"/>
            </a:solidFill>
            <a:ln w="25400">
              <a:noFill/>
            </a:ln>
          </c:spPr>
          <c:invertIfNegative val="0"/>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'Water report'!$J$757:$K$757</c:f>
              <c:strCache>
                <c:ptCount val="2"/>
                <c:pt idx="0">
                  <c:v>Expenditure R'000</c:v>
                </c:pt>
                <c:pt idx="1">
                  <c:v>Revenue R'000</c:v>
                </c:pt>
              </c:strCache>
            </c:strRef>
          </c:cat>
          <c:val>
            <c:numRef>
              <c:f>'Water report'!$J$760:$K$760</c:f>
              <c:numCache>
                <c:formatCode>General</c:formatCode>
                <c:ptCount val="2"/>
                <c:pt idx="0" formatCode="_-* #\ ##0_-;\-* #\ ##0_-;_-* &quot;-&quot;??_-;_-@_-">
                  <c:v>0</c:v>
                </c:pt>
              </c:numCache>
            </c:numRef>
          </c:val>
          <c:extLst>
            <c:ext xmlns:c16="http://schemas.microsoft.com/office/drawing/2014/chart" uri="{C3380CC4-5D6E-409C-BE32-E72D297353CC}">
              <c16:uniqueId val="{00000003-AD9E-45A1-BF07-DA993851F1CA}"/>
            </c:ext>
          </c:extLst>
        </c:ser>
        <c:ser>
          <c:idx val="4"/>
          <c:order val="3"/>
          <c:tx>
            <c:strRef>
              <c:f>'Water report'!$I$761</c:f>
              <c:strCache>
                <c:ptCount val="1"/>
                <c:pt idx="0">
                  <c:v>Tariff revenue</c:v>
                </c:pt>
              </c:strCache>
            </c:strRef>
          </c:tx>
          <c:spPr>
            <a:solidFill>
              <a:srgbClr val="5B9BD5"/>
            </a:solidFill>
            <a:ln w="25400">
              <a:noFill/>
            </a:ln>
          </c:spPr>
          <c:invertIfNegative val="0"/>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'Water report'!$J$757:$K$757</c:f>
              <c:strCache>
                <c:ptCount val="2"/>
                <c:pt idx="0">
                  <c:v>Expenditure R'000</c:v>
                </c:pt>
                <c:pt idx="1">
                  <c:v>Revenue R'000</c:v>
                </c:pt>
              </c:strCache>
            </c:strRef>
          </c:cat>
          <c:val>
            <c:numRef>
              <c:f>'Water report'!$J$761:$K$761</c:f>
              <c:numCache>
                <c:formatCode>_-* #\ ##0_-;\-* #\ ##0_-;_-* "-"??_-;_-@_-</c:formatCode>
                <c:ptCount val="2"/>
                <c:pt idx="1">
                  <c:v>0</c:v>
                </c:pt>
              </c:numCache>
            </c:numRef>
          </c:val>
          <c:extLst>
            <c:ext xmlns:c16="http://schemas.microsoft.com/office/drawing/2014/chart" uri="{C3380CC4-5D6E-409C-BE32-E72D297353CC}">
              <c16:uniqueId val="{00000004-AD9E-45A1-BF07-DA993851F1CA}"/>
            </c:ext>
          </c:extLst>
        </c:ser>
        <c:ser>
          <c:idx val="5"/>
          <c:order val="4"/>
          <c:tx>
            <c:strRef>
              <c:f>'Water report'!$I$762</c:f>
              <c:strCache>
                <c:ptCount val="1"/>
                <c:pt idx="0">
                  <c:v>External grants &amp; subsidies</c:v>
                </c:pt>
              </c:strCache>
            </c:strRef>
          </c:tx>
          <c:spPr>
            <a:solidFill>
              <a:srgbClr val="A5A5A5"/>
            </a:solidFill>
            <a:ln w="25400">
              <a:noFill/>
            </a:ln>
          </c:spPr>
          <c:invertIfNegative val="0"/>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'Water report'!$J$757:$K$757</c:f>
              <c:strCache>
                <c:ptCount val="2"/>
                <c:pt idx="0">
                  <c:v>Expenditure R'000</c:v>
                </c:pt>
                <c:pt idx="1">
                  <c:v>Revenue R'000</c:v>
                </c:pt>
              </c:strCache>
            </c:strRef>
          </c:cat>
          <c:val>
            <c:numRef>
              <c:f>'Water report'!$J$762:$K$762</c:f>
              <c:numCache>
                <c:formatCode>_-* #\ ##0_-;\-* #\ ##0_-;_-* "-"??_-;_-@_-</c:formatCode>
                <c:ptCount val="2"/>
                <c:pt idx="1">
                  <c:v>0</c:v>
                </c:pt>
              </c:numCache>
            </c:numRef>
          </c:val>
          <c:extLst>
            <c:ext xmlns:c16="http://schemas.microsoft.com/office/drawing/2014/chart" uri="{C3380CC4-5D6E-409C-BE32-E72D297353CC}">
              <c16:uniqueId val="{00000005-AD9E-45A1-BF07-DA993851F1CA}"/>
            </c:ext>
          </c:extLst>
        </c:ser>
        <c:ser>
          <c:idx val="3"/>
          <c:order val="5"/>
          <c:tx>
            <c:strRef>
              <c:f>'Water report'!$I$763</c:f>
              <c:strCache>
                <c:ptCount val="1"/>
                <c:pt idx="0">
                  <c:v>Other non-tariff revenue</c:v>
                </c:pt>
              </c:strCache>
            </c:strRef>
          </c:tx>
          <c:spPr>
            <a:solidFill>
              <a:schemeClr val="accent3">
                <a:lumMod val="40000"/>
                <a:lumOff val="60000"/>
              </a:schemeClr>
            </a:solidFill>
            <a:ln>
              <a:noFill/>
            </a:ln>
            <a:effectLst/>
          </c:spPr>
          <c:invertIfNegative val="0"/>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'Water report'!$J$757:$K$757</c:f>
              <c:strCache>
                <c:ptCount val="2"/>
                <c:pt idx="0">
                  <c:v>Expenditure R'000</c:v>
                </c:pt>
                <c:pt idx="1">
                  <c:v>Revenue R'000</c:v>
                </c:pt>
              </c:strCache>
            </c:strRef>
          </c:cat>
          <c:val>
            <c:numRef>
              <c:f>'Water report'!$J$763:$K$763</c:f>
              <c:numCache>
                <c:formatCode>_-* #\ ##0_-;\-* #\ ##0_-;_-* "-"??_-;_-@_-</c:formatCode>
                <c:ptCount val="2"/>
                <c:pt idx="1">
                  <c:v>0</c:v>
                </c:pt>
              </c:numCache>
            </c:numRef>
          </c:val>
          <c:extLst>
            <c:ext xmlns:c16="http://schemas.microsoft.com/office/drawing/2014/chart" uri="{C3380CC4-5D6E-409C-BE32-E72D297353CC}">
              <c16:uniqueId val="{00000006-AD9E-45A1-BF07-DA993851F1CA}"/>
            </c:ext>
          </c:extLst>
        </c:ser>
        <c:ser>
          <c:idx val="6"/>
          <c:order val="6"/>
          <c:tx>
            <c:strRef>
              <c:f>'Water report'!$I$764</c:f>
              <c:strCache>
                <c:ptCount val="1"/>
                <c:pt idx="0">
                  <c:v>Deficit</c:v>
                </c:pt>
              </c:strCache>
            </c:strRef>
          </c:tx>
          <c:spPr>
            <a:solidFill>
              <a:srgbClr val="ED7D31"/>
            </a:solidFill>
            <a:ln w="25400">
              <a:noFill/>
            </a:ln>
          </c:spPr>
          <c:invertIfNegative val="0"/>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'Water report'!$J$757:$K$757</c:f>
              <c:strCache>
                <c:ptCount val="2"/>
                <c:pt idx="0">
                  <c:v>Expenditure R'000</c:v>
                </c:pt>
                <c:pt idx="1">
                  <c:v>Revenue R'000</c:v>
                </c:pt>
              </c:strCache>
            </c:strRef>
          </c:cat>
          <c:val>
            <c:numRef>
              <c:f>'Water report'!$J$764:$K$764</c:f>
              <c:numCache>
                <c:formatCode>_-* #\ ##0_-;\-* #\ ##0_-;_-* "-"??_-;_-@_-</c:formatCode>
                <c:ptCount val="2"/>
                <c:pt idx="1">
                  <c:v>0</c:v>
                </c:pt>
              </c:numCache>
            </c:numRef>
          </c:val>
          <c:extLst>
            <c:ext xmlns:c16="http://schemas.microsoft.com/office/drawing/2014/chart" uri="{C3380CC4-5D6E-409C-BE32-E72D297353CC}">
              <c16:uniqueId val="{00000007-AD9E-45A1-BF07-DA993851F1CA}"/>
            </c:ext>
          </c:extLst>
        </c:ser>
        <c:dLbls>
          <c:showLegendKey val="0"/>
          <c:showVal val="0"/>
          <c:showCatName val="0"/>
          <c:showSerName val="0"/>
          <c:showPercent val="0"/>
          <c:showBubbleSize val="0"/>
        </c:dLbls>
        <c:gapWidth val="25"/>
        <c:overlap val="100"/>
        <c:axId val="1407140975"/>
        <c:axId val="1"/>
      </c:barChart>
      <c:catAx>
        <c:axId val="1407140975"/>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0" vert="horz"/>
          <a:lstStyle/>
          <a:p>
            <a:pPr>
              <a:defRPr sz="1100" b="0" i="0" u="none" strike="noStrike" baseline="0">
                <a:solidFill>
                  <a:srgbClr val="000000"/>
                </a:solidFill>
                <a:latin typeface="Calibri"/>
                <a:ea typeface="Calibri"/>
                <a:cs typeface="Calibri"/>
              </a:defRPr>
            </a:pPr>
            <a:endParaRPr lang="en-US"/>
          </a:p>
        </c:txPr>
        <c:crossAx val="1"/>
        <c:crosses val="autoZero"/>
        <c:auto val="1"/>
        <c:lblAlgn val="ctr"/>
        <c:lblOffset val="100"/>
        <c:noMultiLvlLbl val="0"/>
      </c:catAx>
      <c:valAx>
        <c:axId val="1"/>
        <c:scaling>
          <c:orientation val="minMax"/>
        </c:scaling>
        <c:delete val="1"/>
        <c:axPos val="l"/>
        <c:majorGridlines>
          <c:spPr>
            <a:ln w="9525" cap="flat" cmpd="sng" algn="ctr">
              <a:solidFill>
                <a:schemeClr val="tx1">
                  <a:lumMod val="15000"/>
                  <a:lumOff val="85000"/>
                </a:schemeClr>
              </a:solidFill>
              <a:round/>
            </a:ln>
            <a:effectLst/>
          </c:spPr>
        </c:majorGridlines>
        <c:numFmt formatCode="_-* #\ ##0_-;\-* #\ ##0_-;_-* &quot;-&quot;??_-;_-@_-" sourceLinked="1"/>
        <c:majorTickMark val="out"/>
        <c:minorTickMark val="none"/>
        <c:tickLblPos val="nextTo"/>
        <c:crossAx val="1407140975"/>
        <c:crosses val="autoZero"/>
        <c:crossBetween val="between"/>
      </c:valAx>
    </c:plotArea>
    <c:legend>
      <c:legendPos val="r"/>
      <c:layout>
        <c:manualLayout>
          <c:xMode val="edge"/>
          <c:yMode val="edge"/>
          <c:x val="0.63196485855934681"/>
          <c:y val="0.17846767615586512"/>
          <c:w val="0.34896963400408276"/>
          <c:h val="0.70771685846961441"/>
        </c:manualLayout>
      </c:layout>
      <c:overlay val="0"/>
      <c:spPr>
        <a:noFill/>
        <a:ln w="25400">
          <a:noFill/>
        </a:ln>
      </c:spPr>
      <c:txPr>
        <a:bodyPr/>
        <a:lstStyle/>
        <a:p>
          <a:pPr>
            <a:defRPr sz="850" b="0" i="0" u="none" strike="noStrike" baseline="0">
              <a:solidFill>
                <a:srgbClr val="000000"/>
              </a:solidFill>
              <a:latin typeface="Calibri"/>
              <a:ea typeface="Calibri"/>
              <a:cs typeface="Calibri"/>
            </a:defRPr>
          </a:pPr>
          <a:endParaRPr lang="en-US"/>
        </a:p>
      </c:txPr>
    </c:legend>
    <c:plotVisOnly val="1"/>
    <c:dispBlanksAs val="gap"/>
    <c:showDLblsOverMax val="0"/>
  </c:chart>
  <c:spPr>
    <a:solidFill>
      <a:schemeClr val="bg1"/>
    </a:solidFill>
    <a:ln w="9525" cap="flat" cmpd="sng" algn="ctr">
      <a:noFill/>
      <a:round/>
    </a:ln>
    <a:effectLst/>
  </c:spPr>
  <c:txPr>
    <a:bodyPr/>
    <a:lstStyle/>
    <a:p>
      <a:pPr>
        <a:defRPr sz="11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charts/chart8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ser>
          <c:idx val="0"/>
          <c:order val="0"/>
          <c:tx>
            <c:strRef>
              <c:f>'Water report'!$K$784</c:f>
              <c:strCache>
                <c:ptCount val="1"/>
                <c:pt idx="0">
                  <c:v>Tariff </c:v>
                </c:pt>
              </c:strCache>
            </c:strRef>
          </c:tx>
          <c:spPr>
            <a:solidFill>
              <a:srgbClr val="4472C4"/>
            </a:solidFill>
            <a:ln w="25400">
              <a:noFill/>
            </a:ln>
          </c:spPr>
          <c:invertIfNegative val="0"/>
          <c:dLbls>
            <c:spPr>
              <a:noFill/>
              <a:ln w="25400">
                <a:noFill/>
              </a:ln>
            </c:spPr>
            <c:txPr>
              <a:bodyPr wrap="square" lIns="38100" tIns="19050" rIns="38100" bIns="19050" anchor="ctr">
                <a:spAutoFit/>
              </a:bodyPr>
              <a:lstStyle/>
              <a:p>
                <a:pPr>
                  <a:defRPr sz="900" b="0" i="0" u="none" strike="noStrike" baseline="0">
                    <a:solidFill>
                      <a:srgbClr val="333333"/>
                    </a:solidFill>
                    <a:latin typeface="Calibri"/>
                    <a:ea typeface="Calibri"/>
                    <a:cs typeface="Calibri"/>
                  </a:defRPr>
                </a:pPr>
                <a:endParaRPr lang="en-US"/>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'Water report'!$J$785:$J$794</c:f>
              <c:strCache>
                <c:ptCount val="10"/>
                <c:pt idx="0">
                  <c:v>0</c:v>
                </c:pt>
                <c:pt idx="1">
                  <c:v>0</c:v>
                </c:pt>
                <c:pt idx="2">
                  <c:v>0</c:v>
                </c:pt>
                <c:pt idx="3">
                  <c:v>0</c:v>
                </c:pt>
                <c:pt idx="4">
                  <c:v>0</c:v>
                </c:pt>
                <c:pt idx="5">
                  <c:v>0</c:v>
                </c:pt>
                <c:pt idx="6">
                  <c:v>0</c:v>
                </c:pt>
                <c:pt idx="7">
                  <c:v>0</c:v>
                </c:pt>
                <c:pt idx="8">
                  <c:v>0</c:v>
                </c:pt>
                <c:pt idx="9">
                  <c:v>More</c:v>
                </c:pt>
              </c:strCache>
            </c:strRef>
          </c:cat>
          <c:val>
            <c:numRef>
              <c:f>'Water report'!$K$785:$K$794</c:f>
              <c:numCache>
                <c:formatCode>_(* #,##0.00_);_(* \(#,##0.00\);_(* "-"??_);_(@_)</c:formatCode>
                <c:ptCount val="10"/>
                <c:pt idx="0">
                  <c:v>0</c:v>
                </c:pt>
                <c:pt idx="1">
                  <c:v>0</c:v>
                </c:pt>
                <c:pt idx="2">
                  <c:v>0</c:v>
                </c:pt>
                <c:pt idx="3">
                  <c:v>0</c:v>
                </c:pt>
                <c:pt idx="4">
                  <c:v>0</c:v>
                </c:pt>
                <c:pt idx="5">
                  <c:v>0</c:v>
                </c:pt>
                <c:pt idx="6">
                  <c:v>0</c:v>
                </c:pt>
                <c:pt idx="7">
                  <c:v>0</c:v>
                </c:pt>
                <c:pt idx="8">
                  <c:v>0</c:v>
                </c:pt>
                <c:pt idx="9">
                  <c:v>0</c:v>
                </c:pt>
              </c:numCache>
            </c:numRef>
          </c:val>
          <c:extLst>
            <c:ext xmlns:c16="http://schemas.microsoft.com/office/drawing/2014/chart" uri="{C3380CC4-5D6E-409C-BE32-E72D297353CC}">
              <c16:uniqueId val="{00000000-B5C7-4734-B0AA-114B0FE40148}"/>
            </c:ext>
          </c:extLst>
        </c:ser>
        <c:dLbls>
          <c:showLegendKey val="0"/>
          <c:showVal val="0"/>
          <c:showCatName val="0"/>
          <c:showSerName val="0"/>
          <c:showPercent val="0"/>
          <c:showBubbleSize val="0"/>
        </c:dLbls>
        <c:gapWidth val="50"/>
        <c:overlap val="-27"/>
        <c:axId val="1407146735"/>
        <c:axId val="1"/>
      </c:barChart>
      <c:lineChart>
        <c:grouping val="standard"/>
        <c:varyColors val="0"/>
        <c:ser>
          <c:idx val="1"/>
          <c:order val="1"/>
          <c:tx>
            <c:strRef>
              <c:f>'Water report'!$L$784</c:f>
              <c:strCache>
                <c:ptCount val="1"/>
                <c:pt idx="0">
                  <c:v>Total cost per kl </c:v>
                </c:pt>
              </c:strCache>
            </c:strRef>
          </c:tx>
          <c:spPr>
            <a:ln w="28575" cap="rnd">
              <a:solidFill>
                <a:schemeClr val="accent2"/>
              </a:solidFill>
              <a:round/>
            </a:ln>
            <a:effectLst/>
          </c:spPr>
          <c:marker>
            <c:symbol val="none"/>
          </c:marker>
          <c:val>
            <c:numRef>
              <c:f>'Water report'!$L$785:$L$794</c:f>
              <c:numCache>
                <c:formatCode>_(* #,##0.00_);_(* \(#,##0.00\);_(* "-"??_);_(@_)</c:formatCode>
                <c:ptCount val="10"/>
                <c:pt idx="0">
                  <c:v>0</c:v>
                </c:pt>
                <c:pt idx="1">
                  <c:v>0</c:v>
                </c:pt>
                <c:pt idx="2">
                  <c:v>0</c:v>
                </c:pt>
                <c:pt idx="3">
                  <c:v>0</c:v>
                </c:pt>
                <c:pt idx="4">
                  <c:v>0</c:v>
                </c:pt>
                <c:pt idx="5">
                  <c:v>0</c:v>
                </c:pt>
                <c:pt idx="6">
                  <c:v>0</c:v>
                </c:pt>
                <c:pt idx="7">
                  <c:v>0</c:v>
                </c:pt>
                <c:pt idx="8">
                  <c:v>0</c:v>
                </c:pt>
                <c:pt idx="9">
                  <c:v>0</c:v>
                </c:pt>
              </c:numCache>
            </c:numRef>
          </c:val>
          <c:smooth val="0"/>
          <c:extLst>
            <c:ext xmlns:c16="http://schemas.microsoft.com/office/drawing/2014/chart" uri="{C3380CC4-5D6E-409C-BE32-E72D297353CC}">
              <c16:uniqueId val="{00000001-B5C7-4734-B0AA-114B0FE40148}"/>
            </c:ext>
          </c:extLst>
        </c:ser>
        <c:ser>
          <c:idx val="2"/>
          <c:order val="2"/>
          <c:tx>
            <c:strRef>
              <c:f>'Water report'!$M$784</c:f>
              <c:strCache>
                <c:ptCount val="1"/>
                <c:pt idx="0">
                  <c:v>Variable cost per kl</c:v>
                </c:pt>
              </c:strCache>
            </c:strRef>
          </c:tx>
          <c:spPr>
            <a:ln w="28575" cap="rnd">
              <a:solidFill>
                <a:schemeClr val="accent3"/>
              </a:solidFill>
              <a:round/>
            </a:ln>
            <a:effectLst/>
          </c:spPr>
          <c:marker>
            <c:symbol val="none"/>
          </c:marker>
          <c:val>
            <c:numRef>
              <c:f>'Water report'!$M$785:$M$794</c:f>
              <c:numCache>
                <c:formatCode>_(* #,##0.00_);_(* \(#,##0.00\);_(* "-"??_);_(@_)</c:formatCode>
                <c:ptCount val="10"/>
                <c:pt idx="0" formatCode="_-* #\ ##0_-;\-* #\ ##0_-;_-* &quot;-&quot;??_-;_-@_-">
                  <c:v>0</c:v>
                </c:pt>
                <c:pt idx="1">
                  <c:v>0</c:v>
                </c:pt>
                <c:pt idx="2">
                  <c:v>0</c:v>
                </c:pt>
                <c:pt idx="3">
                  <c:v>0</c:v>
                </c:pt>
                <c:pt idx="4">
                  <c:v>0</c:v>
                </c:pt>
                <c:pt idx="5">
                  <c:v>0</c:v>
                </c:pt>
                <c:pt idx="6">
                  <c:v>0</c:v>
                </c:pt>
                <c:pt idx="7">
                  <c:v>0</c:v>
                </c:pt>
                <c:pt idx="8">
                  <c:v>0</c:v>
                </c:pt>
                <c:pt idx="9">
                  <c:v>0</c:v>
                </c:pt>
              </c:numCache>
            </c:numRef>
          </c:val>
          <c:smooth val="0"/>
          <c:extLst>
            <c:ext xmlns:c16="http://schemas.microsoft.com/office/drawing/2014/chart" uri="{C3380CC4-5D6E-409C-BE32-E72D297353CC}">
              <c16:uniqueId val="{00000002-B5C7-4734-B0AA-114B0FE40148}"/>
            </c:ext>
          </c:extLst>
        </c:ser>
        <c:dLbls>
          <c:showLegendKey val="0"/>
          <c:showVal val="0"/>
          <c:showCatName val="0"/>
          <c:showSerName val="0"/>
          <c:showPercent val="0"/>
          <c:showBubbleSize val="0"/>
        </c:dLbls>
        <c:marker val="1"/>
        <c:smooth val="0"/>
        <c:axId val="1407146735"/>
        <c:axId val="1"/>
      </c:lineChart>
      <c:catAx>
        <c:axId val="1407146735"/>
        <c:scaling>
          <c:orientation val="minMax"/>
        </c:scaling>
        <c:delete val="0"/>
        <c:axPos val="b"/>
        <c:title>
          <c:tx>
            <c:rich>
              <a:bodyPr/>
              <a:lstStyle/>
              <a:p>
                <a:pPr>
                  <a:defRPr sz="1000" b="0" i="0" u="none" strike="noStrike" baseline="0">
                    <a:solidFill>
                      <a:srgbClr val="333333"/>
                    </a:solidFill>
                    <a:latin typeface="Calibri"/>
                    <a:ea typeface="Calibri"/>
                    <a:cs typeface="Calibri"/>
                  </a:defRPr>
                </a:pPr>
                <a:r>
                  <a:rPr lang="en-ZA"/>
                  <a:t>Block size</a:t>
                </a:r>
              </a:p>
            </c:rich>
          </c:tx>
          <c:overlay val="0"/>
          <c:spPr>
            <a:noFill/>
            <a:ln w="25400">
              <a:noFill/>
            </a:ln>
          </c:spPr>
        </c:title>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0" vert="horz"/>
          <a:lstStyle/>
          <a:p>
            <a:pPr>
              <a:defRPr sz="900" b="0" i="0" u="none" strike="noStrike" baseline="0">
                <a:solidFill>
                  <a:srgbClr val="333333"/>
                </a:solidFill>
                <a:latin typeface="Calibri"/>
                <a:ea typeface="Calibri"/>
                <a:cs typeface="Calibri"/>
              </a:defRPr>
            </a:pPr>
            <a:endParaRPr lang="en-US"/>
          </a:p>
        </c:txPr>
        <c:crossAx val="1"/>
        <c:crosses val="autoZero"/>
        <c:auto val="1"/>
        <c:lblAlgn val="ctr"/>
        <c:lblOffset val="100"/>
        <c:noMultiLvlLbl val="0"/>
      </c:catAx>
      <c:valAx>
        <c:axId val="1"/>
        <c:scaling>
          <c:orientation val="minMax"/>
        </c:scaling>
        <c:delete val="0"/>
        <c:axPos val="l"/>
        <c:majorGridlines>
          <c:spPr>
            <a:ln w="9525" cap="flat" cmpd="sng" algn="ctr">
              <a:solidFill>
                <a:schemeClr val="tx1">
                  <a:lumMod val="15000"/>
                  <a:lumOff val="85000"/>
                </a:schemeClr>
              </a:solidFill>
              <a:round/>
            </a:ln>
            <a:effectLst/>
          </c:spPr>
        </c:majorGridlines>
        <c:title>
          <c:tx>
            <c:rich>
              <a:bodyPr/>
              <a:lstStyle/>
              <a:p>
                <a:pPr>
                  <a:defRPr sz="1000" b="0" i="0" u="none" strike="noStrike" baseline="0">
                    <a:solidFill>
                      <a:srgbClr val="333333"/>
                    </a:solidFill>
                    <a:latin typeface="Calibri"/>
                    <a:ea typeface="Calibri"/>
                    <a:cs typeface="Calibri"/>
                  </a:defRPr>
                </a:pPr>
                <a:r>
                  <a:rPr lang="en-ZA"/>
                  <a:t>R/kl</a:t>
                </a:r>
              </a:p>
            </c:rich>
          </c:tx>
          <c:overlay val="0"/>
          <c:spPr>
            <a:noFill/>
            <a:ln w="25400">
              <a:noFill/>
            </a:ln>
          </c:spPr>
        </c:title>
        <c:numFmt formatCode="_(* #,##0.00_);_(* \(#,##0.00\);_(* &quot;-&quot;??_);_(@_)" sourceLinked="1"/>
        <c:majorTickMark val="none"/>
        <c:minorTickMark val="none"/>
        <c:tickLblPos val="nextTo"/>
        <c:spPr>
          <a:ln w="6350">
            <a:noFill/>
          </a:ln>
        </c:spPr>
        <c:txPr>
          <a:bodyPr rot="0" vert="horz"/>
          <a:lstStyle/>
          <a:p>
            <a:pPr>
              <a:defRPr sz="900" b="0" i="0" u="none" strike="noStrike" baseline="0">
                <a:solidFill>
                  <a:srgbClr val="333333"/>
                </a:solidFill>
                <a:latin typeface="Calibri"/>
                <a:ea typeface="Calibri"/>
                <a:cs typeface="Calibri"/>
              </a:defRPr>
            </a:pPr>
            <a:endParaRPr lang="en-US"/>
          </a:p>
        </c:txPr>
        <c:crossAx val="1407146735"/>
        <c:crosses val="autoZero"/>
        <c:crossBetween val="between"/>
      </c:valAx>
      <c:spPr>
        <a:noFill/>
        <a:ln w="25400">
          <a:noFill/>
        </a:ln>
      </c:spPr>
    </c:plotArea>
    <c:legend>
      <c:legendPos val="r"/>
      <c:layout>
        <c:manualLayout>
          <c:xMode val="edge"/>
          <c:yMode val="edge"/>
          <c:x val="0.16605689049016475"/>
          <c:y val="0.9270571043484428"/>
          <c:w val="0.65869231290738117"/>
          <c:h val="5.9461445697666204E-2"/>
        </c:manualLayout>
      </c:layout>
      <c:overlay val="0"/>
      <c:spPr>
        <a:noFill/>
        <a:ln w="25400">
          <a:noFill/>
        </a:ln>
      </c:spPr>
      <c:txPr>
        <a:bodyPr/>
        <a:lstStyle/>
        <a:p>
          <a:pPr>
            <a:defRPr sz="690" b="0" i="0" u="none" strike="noStrike" baseline="0">
              <a:solidFill>
                <a:srgbClr val="333333"/>
              </a:solidFill>
              <a:latin typeface="Calibri"/>
              <a:ea typeface="Calibri"/>
              <a:cs typeface="Calibri"/>
            </a:defRPr>
          </a:pPr>
          <a:endParaRPr lang="en-US"/>
        </a:p>
      </c:txPr>
    </c:legend>
    <c:plotVisOnly val="1"/>
    <c:dispBlanksAs val="gap"/>
    <c:showDLblsOverMax val="0"/>
  </c:chart>
  <c:spPr>
    <a:solidFill>
      <a:schemeClr val="bg1"/>
    </a:solidFill>
    <a:ln w="9525" cap="flat" cmpd="sng" algn="ctr">
      <a:noFill/>
      <a:round/>
    </a:ln>
    <a:effectLst/>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charts/chart8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2.3871527777777776E-2"/>
          <c:y val="4.7786414907172239E-2"/>
          <c:w val="0.57559123468941387"/>
          <c:h val="0.83529592857692603"/>
        </c:manualLayout>
      </c:layout>
      <c:barChart>
        <c:barDir val="col"/>
        <c:grouping val="stacked"/>
        <c:varyColors val="0"/>
        <c:ser>
          <c:idx val="0"/>
          <c:order val="0"/>
          <c:tx>
            <c:strRef>
              <c:f>'Water report'!$I$826</c:f>
              <c:strCache>
                <c:ptCount val="1"/>
                <c:pt idx="0">
                  <c:v>Fixed cost</c:v>
                </c:pt>
              </c:strCache>
            </c:strRef>
          </c:tx>
          <c:spPr>
            <a:solidFill>
              <a:srgbClr val="4472C4"/>
            </a:solidFill>
            <a:ln w="25400">
              <a:noFill/>
            </a:ln>
          </c:spPr>
          <c:invertIfNegative val="0"/>
          <c:dPt>
            <c:idx val="0"/>
            <c:invertIfNegative val="0"/>
            <c:bubble3D val="0"/>
            <c:spPr>
              <a:solidFill>
                <a:srgbClr val="5B9BD5"/>
              </a:solidFill>
              <a:ln w="25400">
                <a:noFill/>
              </a:ln>
            </c:spPr>
            <c:extLst>
              <c:ext xmlns:c16="http://schemas.microsoft.com/office/drawing/2014/chart" uri="{C3380CC4-5D6E-409C-BE32-E72D297353CC}">
                <c16:uniqueId val="{00000000-24E1-4AC8-8A45-ABAF9BDF0196}"/>
              </c:ext>
            </c:extLst>
          </c:dPt>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'Water report'!$J$825:$K$825</c:f>
              <c:strCache>
                <c:ptCount val="2"/>
                <c:pt idx="0">
                  <c:v>Expenditure R'000</c:v>
                </c:pt>
                <c:pt idx="1">
                  <c:v>Revenue R'000</c:v>
                </c:pt>
              </c:strCache>
            </c:strRef>
          </c:cat>
          <c:val>
            <c:numRef>
              <c:f>'Water report'!$J$826:$K$826</c:f>
              <c:numCache>
                <c:formatCode>General</c:formatCode>
                <c:ptCount val="2"/>
                <c:pt idx="0" formatCode="_-* #\ ##0_-;\-* #\ ##0_-;_-* &quot;-&quot;??_-;_-@_-">
                  <c:v>0</c:v>
                </c:pt>
              </c:numCache>
            </c:numRef>
          </c:val>
          <c:extLst>
            <c:ext xmlns:c16="http://schemas.microsoft.com/office/drawing/2014/chart" uri="{C3380CC4-5D6E-409C-BE32-E72D297353CC}">
              <c16:uniqueId val="{00000001-24E1-4AC8-8A45-ABAF9BDF0196}"/>
            </c:ext>
          </c:extLst>
        </c:ser>
        <c:ser>
          <c:idx val="1"/>
          <c:order val="1"/>
          <c:tx>
            <c:strRef>
              <c:f>'Water report'!$I$827</c:f>
              <c:strCache>
                <c:ptCount val="1"/>
                <c:pt idx="0">
                  <c:v>Variable cost</c:v>
                </c:pt>
              </c:strCache>
            </c:strRef>
          </c:tx>
          <c:spPr>
            <a:solidFill>
              <a:schemeClr val="accent5">
                <a:lumMod val="60000"/>
                <a:lumOff val="40000"/>
              </a:schemeClr>
            </a:solidFill>
            <a:ln>
              <a:noFill/>
            </a:ln>
            <a:effectLst/>
          </c:spPr>
          <c:invertIfNegative val="0"/>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'Water report'!$J$825:$K$825</c:f>
              <c:strCache>
                <c:ptCount val="2"/>
                <c:pt idx="0">
                  <c:v>Expenditure R'000</c:v>
                </c:pt>
                <c:pt idx="1">
                  <c:v>Revenue R'000</c:v>
                </c:pt>
              </c:strCache>
            </c:strRef>
          </c:cat>
          <c:val>
            <c:numRef>
              <c:f>'Water report'!$J$827:$K$827</c:f>
              <c:numCache>
                <c:formatCode>General</c:formatCode>
                <c:ptCount val="2"/>
                <c:pt idx="0" formatCode="_-* #\ ##0_-;\-* #\ ##0_-;_-* &quot;-&quot;??_-;_-@_-">
                  <c:v>0</c:v>
                </c:pt>
              </c:numCache>
            </c:numRef>
          </c:val>
          <c:extLst>
            <c:ext xmlns:c16="http://schemas.microsoft.com/office/drawing/2014/chart" uri="{C3380CC4-5D6E-409C-BE32-E72D297353CC}">
              <c16:uniqueId val="{00000002-24E1-4AC8-8A45-ABAF9BDF0196}"/>
            </c:ext>
          </c:extLst>
        </c:ser>
        <c:ser>
          <c:idx val="2"/>
          <c:order val="2"/>
          <c:tx>
            <c:strRef>
              <c:f>'Water report'!$I$828</c:f>
              <c:strCache>
                <c:ptCount val="1"/>
                <c:pt idx="0">
                  <c:v>Surplus</c:v>
                </c:pt>
              </c:strCache>
            </c:strRef>
          </c:tx>
          <c:spPr>
            <a:solidFill>
              <a:srgbClr val="A5A5A5"/>
            </a:solidFill>
            <a:ln w="25400">
              <a:noFill/>
            </a:ln>
          </c:spPr>
          <c:invertIfNegative val="0"/>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'Water report'!$J$825:$K$825</c:f>
              <c:strCache>
                <c:ptCount val="2"/>
                <c:pt idx="0">
                  <c:v>Expenditure R'000</c:v>
                </c:pt>
                <c:pt idx="1">
                  <c:v>Revenue R'000</c:v>
                </c:pt>
              </c:strCache>
            </c:strRef>
          </c:cat>
          <c:val>
            <c:numRef>
              <c:f>'Water report'!$J$828:$K$828</c:f>
              <c:numCache>
                <c:formatCode>General</c:formatCode>
                <c:ptCount val="2"/>
                <c:pt idx="0" formatCode="_-* #\ ##0_-;\-* #\ ##0_-;_-* &quot;-&quot;??_-;_-@_-">
                  <c:v>0</c:v>
                </c:pt>
              </c:numCache>
            </c:numRef>
          </c:val>
          <c:extLst>
            <c:ext xmlns:c16="http://schemas.microsoft.com/office/drawing/2014/chart" uri="{C3380CC4-5D6E-409C-BE32-E72D297353CC}">
              <c16:uniqueId val="{00000003-24E1-4AC8-8A45-ABAF9BDF0196}"/>
            </c:ext>
          </c:extLst>
        </c:ser>
        <c:ser>
          <c:idx val="4"/>
          <c:order val="3"/>
          <c:tx>
            <c:strRef>
              <c:f>'Water report'!$I$829</c:f>
              <c:strCache>
                <c:ptCount val="1"/>
                <c:pt idx="0">
                  <c:v>Tariff revenue</c:v>
                </c:pt>
              </c:strCache>
            </c:strRef>
          </c:tx>
          <c:spPr>
            <a:solidFill>
              <a:srgbClr val="5B9BD5"/>
            </a:solidFill>
            <a:ln w="25400">
              <a:noFill/>
            </a:ln>
          </c:spPr>
          <c:invertIfNegative val="0"/>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'Water report'!$J$825:$K$825</c:f>
              <c:strCache>
                <c:ptCount val="2"/>
                <c:pt idx="0">
                  <c:v>Expenditure R'000</c:v>
                </c:pt>
                <c:pt idx="1">
                  <c:v>Revenue R'000</c:v>
                </c:pt>
              </c:strCache>
            </c:strRef>
          </c:cat>
          <c:val>
            <c:numRef>
              <c:f>'Water report'!$J$829:$K$829</c:f>
              <c:numCache>
                <c:formatCode>_-* #\ ##0_-;\-* #\ ##0_-;_-* "-"??_-;_-@_-</c:formatCode>
                <c:ptCount val="2"/>
                <c:pt idx="1">
                  <c:v>0</c:v>
                </c:pt>
              </c:numCache>
            </c:numRef>
          </c:val>
          <c:extLst>
            <c:ext xmlns:c16="http://schemas.microsoft.com/office/drawing/2014/chart" uri="{C3380CC4-5D6E-409C-BE32-E72D297353CC}">
              <c16:uniqueId val="{00000004-24E1-4AC8-8A45-ABAF9BDF0196}"/>
            </c:ext>
          </c:extLst>
        </c:ser>
        <c:ser>
          <c:idx val="5"/>
          <c:order val="4"/>
          <c:tx>
            <c:strRef>
              <c:f>'Water report'!$I$830</c:f>
              <c:strCache>
                <c:ptCount val="1"/>
                <c:pt idx="0">
                  <c:v>External grants &amp; subsidies</c:v>
                </c:pt>
              </c:strCache>
            </c:strRef>
          </c:tx>
          <c:spPr>
            <a:solidFill>
              <a:srgbClr val="A5A5A5"/>
            </a:solidFill>
            <a:ln w="25400">
              <a:noFill/>
            </a:ln>
          </c:spPr>
          <c:invertIfNegative val="0"/>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'Water report'!$J$825:$K$825</c:f>
              <c:strCache>
                <c:ptCount val="2"/>
                <c:pt idx="0">
                  <c:v>Expenditure R'000</c:v>
                </c:pt>
                <c:pt idx="1">
                  <c:v>Revenue R'000</c:v>
                </c:pt>
              </c:strCache>
            </c:strRef>
          </c:cat>
          <c:val>
            <c:numRef>
              <c:f>'Water report'!$J$830:$K$830</c:f>
              <c:numCache>
                <c:formatCode>_-* #\ ##0_-;\-* #\ ##0_-;_-* "-"??_-;_-@_-</c:formatCode>
                <c:ptCount val="2"/>
                <c:pt idx="1">
                  <c:v>0</c:v>
                </c:pt>
              </c:numCache>
            </c:numRef>
          </c:val>
          <c:extLst>
            <c:ext xmlns:c16="http://schemas.microsoft.com/office/drawing/2014/chart" uri="{C3380CC4-5D6E-409C-BE32-E72D297353CC}">
              <c16:uniqueId val="{00000005-24E1-4AC8-8A45-ABAF9BDF0196}"/>
            </c:ext>
          </c:extLst>
        </c:ser>
        <c:ser>
          <c:idx val="3"/>
          <c:order val="5"/>
          <c:tx>
            <c:strRef>
              <c:f>'Water report'!$I$831</c:f>
              <c:strCache>
                <c:ptCount val="1"/>
                <c:pt idx="0">
                  <c:v>Other non-tariff revenue</c:v>
                </c:pt>
              </c:strCache>
            </c:strRef>
          </c:tx>
          <c:spPr>
            <a:solidFill>
              <a:schemeClr val="accent3">
                <a:lumMod val="40000"/>
                <a:lumOff val="60000"/>
              </a:schemeClr>
            </a:solidFill>
            <a:ln>
              <a:noFill/>
            </a:ln>
            <a:effectLst/>
          </c:spPr>
          <c:invertIfNegative val="0"/>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'Water report'!$J$825:$K$825</c:f>
              <c:strCache>
                <c:ptCount val="2"/>
                <c:pt idx="0">
                  <c:v>Expenditure R'000</c:v>
                </c:pt>
                <c:pt idx="1">
                  <c:v>Revenue R'000</c:v>
                </c:pt>
              </c:strCache>
            </c:strRef>
          </c:cat>
          <c:val>
            <c:numRef>
              <c:f>'Water report'!$J$831:$K$831</c:f>
              <c:numCache>
                <c:formatCode>_-* #\ ##0_-;\-* #\ ##0_-;_-* "-"??_-;_-@_-</c:formatCode>
                <c:ptCount val="2"/>
                <c:pt idx="1">
                  <c:v>0</c:v>
                </c:pt>
              </c:numCache>
            </c:numRef>
          </c:val>
          <c:extLst>
            <c:ext xmlns:c16="http://schemas.microsoft.com/office/drawing/2014/chart" uri="{C3380CC4-5D6E-409C-BE32-E72D297353CC}">
              <c16:uniqueId val="{00000006-24E1-4AC8-8A45-ABAF9BDF0196}"/>
            </c:ext>
          </c:extLst>
        </c:ser>
        <c:ser>
          <c:idx val="6"/>
          <c:order val="6"/>
          <c:tx>
            <c:strRef>
              <c:f>'Water report'!$I$832</c:f>
              <c:strCache>
                <c:ptCount val="1"/>
                <c:pt idx="0">
                  <c:v>Deficit</c:v>
                </c:pt>
              </c:strCache>
            </c:strRef>
          </c:tx>
          <c:spPr>
            <a:solidFill>
              <a:srgbClr val="ED7D31"/>
            </a:solidFill>
            <a:ln w="25400">
              <a:noFill/>
            </a:ln>
          </c:spPr>
          <c:invertIfNegative val="0"/>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'Water report'!$J$825:$K$825</c:f>
              <c:strCache>
                <c:ptCount val="2"/>
                <c:pt idx="0">
                  <c:v>Expenditure R'000</c:v>
                </c:pt>
                <c:pt idx="1">
                  <c:v>Revenue R'000</c:v>
                </c:pt>
              </c:strCache>
            </c:strRef>
          </c:cat>
          <c:val>
            <c:numRef>
              <c:f>'Water report'!$J$832:$K$832</c:f>
              <c:numCache>
                <c:formatCode>_-* #\ ##0_-;\-* #\ ##0_-;_-* "-"??_-;_-@_-</c:formatCode>
                <c:ptCount val="2"/>
                <c:pt idx="1">
                  <c:v>0</c:v>
                </c:pt>
              </c:numCache>
            </c:numRef>
          </c:val>
          <c:extLst>
            <c:ext xmlns:c16="http://schemas.microsoft.com/office/drawing/2014/chart" uri="{C3380CC4-5D6E-409C-BE32-E72D297353CC}">
              <c16:uniqueId val="{00000007-24E1-4AC8-8A45-ABAF9BDF0196}"/>
            </c:ext>
          </c:extLst>
        </c:ser>
        <c:dLbls>
          <c:showLegendKey val="0"/>
          <c:showVal val="0"/>
          <c:showCatName val="0"/>
          <c:showSerName val="0"/>
          <c:showPercent val="0"/>
          <c:showBubbleSize val="0"/>
        </c:dLbls>
        <c:gapWidth val="25"/>
        <c:overlap val="100"/>
        <c:axId val="1407145295"/>
        <c:axId val="1"/>
      </c:barChart>
      <c:catAx>
        <c:axId val="1407145295"/>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0" vert="horz"/>
          <a:lstStyle/>
          <a:p>
            <a:pPr>
              <a:defRPr sz="1100" b="0" i="0" u="none" strike="noStrike" baseline="0">
                <a:solidFill>
                  <a:srgbClr val="000000"/>
                </a:solidFill>
                <a:latin typeface="Calibri"/>
                <a:ea typeface="Calibri"/>
                <a:cs typeface="Calibri"/>
              </a:defRPr>
            </a:pPr>
            <a:endParaRPr lang="en-US"/>
          </a:p>
        </c:txPr>
        <c:crossAx val="1"/>
        <c:crosses val="autoZero"/>
        <c:auto val="1"/>
        <c:lblAlgn val="ctr"/>
        <c:lblOffset val="100"/>
        <c:noMultiLvlLbl val="0"/>
      </c:catAx>
      <c:valAx>
        <c:axId val="1"/>
        <c:scaling>
          <c:orientation val="minMax"/>
        </c:scaling>
        <c:delete val="1"/>
        <c:axPos val="l"/>
        <c:majorGridlines>
          <c:spPr>
            <a:ln w="9525" cap="flat" cmpd="sng" algn="ctr">
              <a:solidFill>
                <a:schemeClr val="tx1">
                  <a:lumMod val="15000"/>
                  <a:lumOff val="85000"/>
                </a:schemeClr>
              </a:solidFill>
              <a:round/>
            </a:ln>
            <a:effectLst/>
          </c:spPr>
        </c:majorGridlines>
        <c:numFmt formatCode="_-* #\ ##0_-;\-* #\ ##0_-;_-* &quot;-&quot;??_-;_-@_-" sourceLinked="1"/>
        <c:majorTickMark val="out"/>
        <c:minorTickMark val="none"/>
        <c:tickLblPos val="nextTo"/>
        <c:crossAx val="1407145295"/>
        <c:crosses val="autoZero"/>
        <c:crossBetween val="between"/>
      </c:valAx>
    </c:plotArea>
    <c:legend>
      <c:legendPos val="r"/>
      <c:layout>
        <c:manualLayout>
          <c:xMode val="edge"/>
          <c:yMode val="edge"/>
          <c:x val="0.63277835098198931"/>
          <c:y val="0.17846767615586512"/>
          <c:w val="0.35001104172323283"/>
          <c:h val="0.70771685846961441"/>
        </c:manualLayout>
      </c:layout>
      <c:overlay val="0"/>
      <c:spPr>
        <a:noFill/>
        <a:ln w="25400">
          <a:noFill/>
        </a:ln>
      </c:spPr>
      <c:txPr>
        <a:bodyPr/>
        <a:lstStyle/>
        <a:p>
          <a:pPr>
            <a:defRPr sz="850" b="0" i="0" u="none" strike="noStrike" baseline="0">
              <a:solidFill>
                <a:srgbClr val="000000"/>
              </a:solidFill>
              <a:latin typeface="Calibri"/>
              <a:ea typeface="Calibri"/>
              <a:cs typeface="Calibri"/>
            </a:defRPr>
          </a:pPr>
          <a:endParaRPr lang="en-US"/>
        </a:p>
      </c:txPr>
    </c:legend>
    <c:plotVisOnly val="1"/>
    <c:dispBlanksAs val="gap"/>
    <c:showDLblsOverMax val="0"/>
  </c:chart>
  <c:spPr>
    <a:solidFill>
      <a:schemeClr val="bg1"/>
    </a:solidFill>
    <a:ln w="9525" cap="flat" cmpd="sng" algn="ctr">
      <a:noFill/>
      <a:round/>
    </a:ln>
    <a:effectLst/>
  </c:spPr>
  <c:txPr>
    <a:bodyPr/>
    <a:lstStyle/>
    <a:p>
      <a:pPr>
        <a:defRPr sz="11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charts/chart8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ser>
          <c:idx val="0"/>
          <c:order val="0"/>
          <c:tx>
            <c:strRef>
              <c:f>'Water report'!$K$851</c:f>
              <c:strCache>
                <c:ptCount val="1"/>
                <c:pt idx="0">
                  <c:v>Tariff </c:v>
                </c:pt>
              </c:strCache>
            </c:strRef>
          </c:tx>
          <c:spPr>
            <a:solidFill>
              <a:srgbClr val="4472C4"/>
            </a:solidFill>
            <a:ln w="25400">
              <a:noFill/>
            </a:ln>
          </c:spPr>
          <c:invertIfNegative val="0"/>
          <c:dLbls>
            <c:spPr>
              <a:noFill/>
              <a:ln w="25400">
                <a:noFill/>
              </a:ln>
            </c:spPr>
            <c:txPr>
              <a:bodyPr wrap="square" lIns="38100" tIns="19050" rIns="38100" bIns="19050" anchor="ctr">
                <a:spAutoFit/>
              </a:bodyPr>
              <a:lstStyle/>
              <a:p>
                <a:pPr>
                  <a:defRPr sz="900" b="0" i="0" u="none" strike="noStrike" baseline="0">
                    <a:solidFill>
                      <a:srgbClr val="333333"/>
                    </a:solidFill>
                    <a:latin typeface="Calibri"/>
                    <a:ea typeface="Calibri"/>
                    <a:cs typeface="Calibri"/>
                  </a:defRPr>
                </a:pPr>
                <a:endParaRPr lang="en-US"/>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'Water report'!$J$852:$J$861</c:f>
              <c:strCache>
                <c:ptCount val="10"/>
                <c:pt idx="0">
                  <c:v>0</c:v>
                </c:pt>
                <c:pt idx="1">
                  <c:v>0</c:v>
                </c:pt>
                <c:pt idx="2">
                  <c:v>0</c:v>
                </c:pt>
                <c:pt idx="3">
                  <c:v>0</c:v>
                </c:pt>
                <c:pt idx="4">
                  <c:v>0</c:v>
                </c:pt>
                <c:pt idx="5">
                  <c:v>0</c:v>
                </c:pt>
                <c:pt idx="6">
                  <c:v>0</c:v>
                </c:pt>
                <c:pt idx="7">
                  <c:v>0</c:v>
                </c:pt>
                <c:pt idx="8">
                  <c:v>0</c:v>
                </c:pt>
                <c:pt idx="9">
                  <c:v>More</c:v>
                </c:pt>
              </c:strCache>
            </c:strRef>
          </c:cat>
          <c:val>
            <c:numRef>
              <c:f>'Water report'!$K$852:$K$861</c:f>
              <c:numCache>
                <c:formatCode>_(* #,##0.00_);_(* \(#,##0.00\);_(* "-"??_);_(@_)</c:formatCode>
                <c:ptCount val="10"/>
                <c:pt idx="0">
                  <c:v>0</c:v>
                </c:pt>
                <c:pt idx="1">
                  <c:v>0</c:v>
                </c:pt>
                <c:pt idx="2">
                  <c:v>0</c:v>
                </c:pt>
                <c:pt idx="3">
                  <c:v>0</c:v>
                </c:pt>
                <c:pt idx="4">
                  <c:v>0</c:v>
                </c:pt>
                <c:pt idx="5">
                  <c:v>0</c:v>
                </c:pt>
                <c:pt idx="6">
                  <c:v>0</c:v>
                </c:pt>
                <c:pt idx="7">
                  <c:v>0</c:v>
                </c:pt>
                <c:pt idx="8">
                  <c:v>0</c:v>
                </c:pt>
                <c:pt idx="9">
                  <c:v>0</c:v>
                </c:pt>
              </c:numCache>
            </c:numRef>
          </c:val>
          <c:extLst>
            <c:ext xmlns:c16="http://schemas.microsoft.com/office/drawing/2014/chart" uri="{C3380CC4-5D6E-409C-BE32-E72D297353CC}">
              <c16:uniqueId val="{00000000-56AC-478F-958C-81C0AE5A58F2}"/>
            </c:ext>
          </c:extLst>
        </c:ser>
        <c:dLbls>
          <c:showLegendKey val="0"/>
          <c:showVal val="0"/>
          <c:showCatName val="0"/>
          <c:showSerName val="0"/>
          <c:showPercent val="0"/>
          <c:showBubbleSize val="0"/>
        </c:dLbls>
        <c:gapWidth val="50"/>
        <c:overlap val="-27"/>
        <c:axId val="1407149135"/>
        <c:axId val="1"/>
      </c:barChart>
      <c:lineChart>
        <c:grouping val="standard"/>
        <c:varyColors val="0"/>
        <c:ser>
          <c:idx val="1"/>
          <c:order val="1"/>
          <c:tx>
            <c:strRef>
              <c:f>'Water report'!$L$851</c:f>
              <c:strCache>
                <c:ptCount val="1"/>
                <c:pt idx="0">
                  <c:v>Total cost per kl </c:v>
                </c:pt>
              </c:strCache>
            </c:strRef>
          </c:tx>
          <c:spPr>
            <a:ln w="28575" cap="rnd">
              <a:solidFill>
                <a:schemeClr val="accent2"/>
              </a:solidFill>
              <a:round/>
            </a:ln>
            <a:effectLst/>
          </c:spPr>
          <c:marker>
            <c:symbol val="none"/>
          </c:marker>
          <c:val>
            <c:numRef>
              <c:f>'Water report'!$L$852:$L$861</c:f>
              <c:numCache>
                <c:formatCode>_(* #,##0.00_);_(* \(#,##0.00\);_(* "-"??_);_(@_)</c:formatCode>
                <c:ptCount val="10"/>
                <c:pt idx="0">
                  <c:v>0</c:v>
                </c:pt>
                <c:pt idx="1">
                  <c:v>0</c:v>
                </c:pt>
                <c:pt idx="2">
                  <c:v>0</c:v>
                </c:pt>
                <c:pt idx="3">
                  <c:v>0</c:v>
                </c:pt>
                <c:pt idx="4">
                  <c:v>0</c:v>
                </c:pt>
                <c:pt idx="5">
                  <c:v>0</c:v>
                </c:pt>
                <c:pt idx="6">
                  <c:v>0</c:v>
                </c:pt>
                <c:pt idx="7">
                  <c:v>0</c:v>
                </c:pt>
                <c:pt idx="8">
                  <c:v>0</c:v>
                </c:pt>
                <c:pt idx="9">
                  <c:v>0</c:v>
                </c:pt>
              </c:numCache>
            </c:numRef>
          </c:val>
          <c:smooth val="0"/>
          <c:extLst>
            <c:ext xmlns:c16="http://schemas.microsoft.com/office/drawing/2014/chart" uri="{C3380CC4-5D6E-409C-BE32-E72D297353CC}">
              <c16:uniqueId val="{00000001-56AC-478F-958C-81C0AE5A58F2}"/>
            </c:ext>
          </c:extLst>
        </c:ser>
        <c:ser>
          <c:idx val="2"/>
          <c:order val="2"/>
          <c:tx>
            <c:strRef>
              <c:f>'Water report'!$M$851</c:f>
              <c:strCache>
                <c:ptCount val="1"/>
                <c:pt idx="0">
                  <c:v>Variable cost per kl</c:v>
                </c:pt>
              </c:strCache>
            </c:strRef>
          </c:tx>
          <c:spPr>
            <a:ln w="28575" cap="rnd">
              <a:solidFill>
                <a:schemeClr val="accent3"/>
              </a:solidFill>
              <a:round/>
            </a:ln>
            <a:effectLst/>
          </c:spPr>
          <c:marker>
            <c:symbol val="none"/>
          </c:marker>
          <c:val>
            <c:numRef>
              <c:f>'Water report'!$M$852:$M$861</c:f>
              <c:numCache>
                <c:formatCode>_(* #,##0.00_);_(* \(#,##0.00\);_(* "-"??_);_(@_)</c:formatCode>
                <c:ptCount val="10"/>
                <c:pt idx="0" formatCode="_-* #\ ##0_-;\-* #\ ##0_-;_-* &quot;-&quot;??_-;_-@_-">
                  <c:v>0</c:v>
                </c:pt>
                <c:pt idx="1">
                  <c:v>0</c:v>
                </c:pt>
                <c:pt idx="2">
                  <c:v>0</c:v>
                </c:pt>
                <c:pt idx="3">
                  <c:v>0</c:v>
                </c:pt>
                <c:pt idx="4">
                  <c:v>0</c:v>
                </c:pt>
                <c:pt idx="5">
                  <c:v>0</c:v>
                </c:pt>
                <c:pt idx="6">
                  <c:v>0</c:v>
                </c:pt>
                <c:pt idx="7">
                  <c:v>0</c:v>
                </c:pt>
                <c:pt idx="8">
                  <c:v>0</c:v>
                </c:pt>
                <c:pt idx="9">
                  <c:v>0</c:v>
                </c:pt>
              </c:numCache>
            </c:numRef>
          </c:val>
          <c:smooth val="0"/>
          <c:extLst>
            <c:ext xmlns:c16="http://schemas.microsoft.com/office/drawing/2014/chart" uri="{C3380CC4-5D6E-409C-BE32-E72D297353CC}">
              <c16:uniqueId val="{00000002-56AC-478F-958C-81C0AE5A58F2}"/>
            </c:ext>
          </c:extLst>
        </c:ser>
        <c:dLbls>
          <c:showLegendKey val="0"/>
          <c:showVal val="0"/>
          <c:showCatName val="0"/>
          <c:showSerName val="0"/>
          <c:showPercent val="0"/>
          <c:showBubbleSize val="0"/>
        </c:dLbls>
        <c:marker val="1"/>
        <c:smooth val="0"/>
        <c:axId val="1407149135"/>
        <c:axId val="1"/>
      </c:lineChart>
      <c:catAx>
        <c:axId val="1407149135"/>
        <c:scaling>
          <c:orientation val="minMax"/>
        </c:scaling>
        <c:delete val="0"/>
        <c:axPos val="b"/>
        <c:title>
          <c:tx>
            <c:rich>
              <a:bodyPr/>
              <a:lstStyle/>
              <a:p>
                <a:pPr>
                  <a:defRPr sz="1000" b="0" i="0" u="none" strike="noStrike" baseline="0">
                    <a:solidFill>
                      <a:srgbClr val="333333"/>
                    </a:solidFill>
                    <a:latin typeface="Calibri"/>
                    <a:ea typeface="Calibri"/>
                    <a:cs typeface="Calibri"/>
                  </a:defRPr>
                </a:pPr>
                <a:r>
                  <a:rPr lang="en-ZA"/>
                  <a:t>Block size</a:t>
                </a:r>
              </a:p>
            </c:rich>
          </c:tx>
          <c:overlay val="0"/>
          <c:spPr>
            <a:noFill/>
            <a:ln w="25400">
              <a:noFill/>
            </a:ln>
          </c:spPr>
        </c:title>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0" vert="horz"/>
          <a:lstStyle/>
          <a:p>
            <a:pPr>
              <a:defRPr sz="900" b="0" i="0" u="none" strike="noStrike" baseline="0">
                <a:solidFill>
                  <a:srgbClr val="333333"/>
                </a:solidFill>
                <a:latin typeface="Calibri"/>
                <a:ea typeface="Calibri"/>
                <a:cs typeface="Calibri"/>
              </a:defRPr>
            </a:pPr>
            <a:endParaRPr lang="en-US"/>
          </a:p>
        </c:txPr>
        <c:crossAx val="1"/>
        <c:crosses val="autoZero"/>
        <c:auto val="1"/>
        <c:lblAlgn val="ctr"/>
        <c:lblOffset val="100"/>
        <c:noMultiLvlLbl val="0"/>
      </c:catAx>
      <c:valAx>
        <c:axId val="1"/>
        <c:scaling>
          <c:orientation val="minMax"/>
        </c:scaling>
        <c:delete val="0"/>
        <c:axPos val="l"/>
        <c:majorGridlines>
          <c:spPr>
            <a:ln w="9525" cap="flat" cmpd="sng" algn="ctr">
              <a:solidFill>
                <a:schemeClr val="tx1">
                  <a:lumMod val="15000"/>
                  <a:lumOff val="85000"/>
                </a:schemeClr>
              </a:solidFill>
              <a:round/>
            </a:ln>
            <a:effectLst/>
          </c:spPr>
        </c:majorGridlines>
        <c:title>
          <c:tx>
            <c:rich>
              <a:bodyPr/>
              <a:lstStyle/>
              <a:p>
                <a:pPr>
                  <a:defRPr sz="1000" b="0" i="0" u="none" strike="noStrike" baseline="0">
                    <a:solidFill>
                      <a:srgbClr val="333333"/>
                    </a:solidFill>
                    <a:latin typeface="Calibri"/>
                    <a:ea typeface="Calibri"/>
                    <a:cs typeface="Calibri"/>
                  </a:defRPr>
                </a:pPr>
                <a:r>
                  <a:rPr lang="en-ZA"/>
                  <a:t>R/kl</a:t>
                </a:r>
              </a:p>
            </c:rich>
          </c:tx>
          <c:overlay val="0"/>
          <c:spPr>
            <a:noFill/>
            <a:ln w="25400">
              <a:noFill/>
            </a:ln>
          </c:spPr>
        </c:title>
        <c:numFmt formatCode="_(* #,##0.00_);_(* \(#,##0.00\);_(* &quot;-&quot;??_);_(@_)" sourceLinked="1"/>
        <c:majorTickMark val="none"/>
        <c:minorTickMark val="none"/>
        <c:tickLblPos val="nextTo"/>
        <c:spPr>
          <a:ln w="6350">
            <a:noFill/>
          </a:ln>
        </c:spPr>
        <c:txPr>
          <a:bodyPr rot="0" vert="horz"/>
          <a:lstStyle/>
          <a:p>
            <a:pPr>
              <a:defRPr sz="900" b="0" i="0" u="none" strike="noStrike" baseline="0">
                <a:solidFill>
                  <a:srgbClr val="333333"/>
                </a:solidFill>
                <a:latin typeface="Calibri"/>
                <a:ea typeface="Calibri"/>
                <a:cs typeface="Calibri"/>
              </a:defRPr>
            </a:pPr>
            <a:endParaRPr lang="en-US"/>
          </a:p>
        </c:txPr>
        <c:crossAx val="1407149135"/>
        <c:crosses val="autoZero"/>
        <c:crossBetween val="between"/>
      </c:valAx>
      <c:spPr>
        <a:noFill/>
        <a:ln w="25400">
          <a:noFill/>
        </a:ln>
      </c:spPr>
    </c:plotArea>
    <c:legend>
      <c:legendPos val="r"/>
      <c:layout>
        <c:manualLayout>
          <c:xMode val="edge"/>
          <c:yMode val="edge"/>
          <c:x val="0.16605689049016475"/>
          <c:y val="0.9270571043484428"/>
          <c:w val="0.65869231290738117"/>
          <c:h val="5.9461445697666204E-2"/>
        </c:manualLayout>
      </c:layout>
      <c:overlay val="0"/>
      <c:spPr>
        <a:noFill/>
        <a:ln w="25400">
          <a:noFill/>
        </a:ln>
      </c:spPr>
      <c:txPr>
        <a:bodyPr/>
        <a:lstStyle/>
        <a:p>
          <a:pPr>
            <a:defRPr sz="690" b="0" i="0" u="none" strike="noStrike" baseline="0">
              <a:solidFill>
                <a:srgbClr val="333333"/>
              </a:solidFill>
              <a:latin typeface="Calibri"/>
              <a:ea typeface="Calibri"/>
              <a:cs typeface="Calibri"/>
            </a:defRPr>
          </a:pPr>
          <a:endParaRPr lang="en-US"/>
        </a:p>
      </c:txPr>
    </c:legend>
    <c:plotVisOnly val="1"/>
    <c:dispBlanksAs val="gap"/>
    <c:showDLblsOverMax val="0"/>
  </c:chart>
  <c:spPr>
    <a:solidFill>
      <a:schemeClr val="bg1"/>
    </a:solidFill>
    <a:ln w="9525" cap="flat" cmpd="sng" algn="ctr">
      <a:noFill/>
      <a:round/>
    </a:ln>
    <a:effectLst/>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charts/chart8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2.3871527777777776E-2"/>
          <c:y val="4.7786414907172239E-2"/>
          <c:w val="0.57559123468941387"/>
          <c:h val="0.83529592857692603"/>
        </c:manualLayout>
      </c:layout>
      <c:barChart>
        <c:barDir val="col"/>
        <c:grouping val="stacked"/>
        <c:varyColors val="0"/>
        <c:ser>
          <c:idx val="0"/>
          <c:order val="0"/>
          <c:tx>
            <c:strRef>
              <c:f>'Water report'!$I$898</c:f>
              <c:strCache>
                <c:ptCount val="1"/>
                <c:pt idx="0">
                  <c:v>Fixed cost</c:v>
                </c:pt>
              </c:strCache>
            </c:strRef>
          </c:tx>
          <c:spPr>
            <a:solidFill>
              <a:srgbClr val="4472C4"/>
            </a:solidFill>
            <a:ln w="25400">
              <a:noFill/>
            </a:ln>
          </c:spPr>
          <c:invertIfNegative val="0"/>
          <c:dPt>
            <c:idx val="0"/>
            <c:invertIfNegative val="0"/>
            <c:bubble3D val="0"/>
            <c:spPr>
              <a:solidFill>
                <a:srgbClr val="5B9BD5"/>
              </a:solidFill>
              <a:ln w="25400">
                <a:noFill/>
              </a:ln>
            </c:spPr>
            <c:extLst>
              <c:ext xmlns:c16="http://schemas.microsoft.com/office/drawing/2014/chart" uri="{C3380CC4-5D6E-409C-BE32-E72D297353CC}">
                <c16:uniqueId val="{00000000-0156-4D70-A539-CC3BF54826FC}"/>
              </c:ext>
            </c:extLst>
          </c:dPt>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'Water report'!$J$897:$K$897</c:f>
              <c:strCache>
                <c:ptCount val="2"/>
                <c:pt idx="0">
                  <c:v>Expenditure R'000</c:v>
                </c:pt>
                <c:pt idx="1">
                  <c:v>Revenue R'000</c:v>
                </c:pt>
              </c:strCache>
            </c:strRef>
          </c:cat>
          <c:val>
            <c:numRef>
              <c:f>'Water report'!$J$898:$K$898</c:f>
              <c:numCache>
                <c:formatCode>General</c:formatCode>
                <c:ptCount val="2"/>
                <c:pt idx="0" formatCode="_-* #\ ##0_-;\-* #\ ##0_-;_-* &quot;-&quot;??_-;_-@_-">
                  <c:v>0</c:v>
                </c:pt>
              </c:numCache>
            </c:numRef>
          </c:val>
          <c:extLst>
            <c:ext xmlns:c16="http://schemas.microsoft.com/office/drawing/2014/chart" uri="{C3380CC4-5D6E-409C-BE32-E72D297353CC}">
              <c16:uniqueId val="{00000001-0156-4D70-A539-CC3BF54826FC}"/>
            </c:ext>
          </c:extLst>
        </c:ser>
        <c:ser>
          <c:idx val="1"/>
          <c:order val="1"/>
          <c:tx>
            <c:strRef>
              <c:f>'Water report'!$I$899</c:f>
              <c:strCache>
                <c:ptCount val="1"/>
                <c:pt idx="0">
                  <c:v>Variable cost</c:v>
                </c:pt>
              </c:strCache>
            </c:strRef>
          </c:tx>
          <c:spPr>
            <a:solidFill>
              <a:schemeClr val="accent5">
                <a:lumMod val="60000"/>
                <a:lumOff val="40000"/>
              </a:schemeClr>
            </a:solidFill>
            <a:ln>
              <a:noFill/>
            </a:ln>
            <a:effectLst/>
          </c:spPr>
          <c:invertIfNegative val="0"/>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'Water report'!$J$897:$K$897</c:f>
              <c:strCache>
                <c:ptCount val="2"/>
                <c:pt idx="0">
                  <c:v>Expenditure R'000</c:v>
                </c:pt>
                <c:pt idx="1">
                  <c:v>Revenue R'000</c:v>
                </c:pt>
              </c:strCache>
            </c:strRef>
          </c:cat>
          <c:val>
            <c:numRef>
              <c:f>'Water report'!$J$899:$K$899</c:f>
              <c:numCache>
                <c:formatCode>General</c:formatCode>
                <c:ptCount val="2"/>
                <c:pt idx="0" formatCode="_-* #\ ##0_-;\-* #\ ##0_-;_-* &quot;-&quot;??_-;_-@_-">
                  <c:v>0</c:v>
                </c:pt>
              </c:numCache>
            </c:numRef>
          </c:val>
          <c:extLst>
            <c:ext xmlns:c16="http://schemas.microsoft.com/office/drawing/2014/chart" uri="{C3380CC4-5D6E-409C-BE32-E72D297353CC}">
              <c16:uniqueId val="{00000002-0156-4D70-A539-CC3BF54826FC}"/>
            </c:ext>
          </c:extLst>
        </c:ser>
        <c:ser>
          <c:idx val="2"/>
          <c:order val="2"/>
          <c:tx>
            <c:strRef>
              <c:f>'Water report'!$I$900</c:f>
              <c:strCache>
                <c:ptCount val="1"/>
                <c:pt idx="0">
                  <c:v>Surplus</c:v>
                </c:pt>
              </c:strCache>
            </c:strRef>
          </c:tx>
          <c:spPr>
            <a:solidFill>
              <a:srgbClr val="A5A5A5"/>
            </a:solidFill>
            <a:ln w="25400">
              <a:noFill/>
            </a:ln>
          </c:spPr>
          <c:invertIfNegative val="0"/>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'Water report'!$J$897:$K$897</c:f>
              <c:strCache>
                <c:ptCount val="2"/>
                <c:pt idx="0">
                  <c:v>Expenditure R'000</c:v>
                </c:pt>
                <c:pt idx="1">
                  <c:v>Revenue R'000</c:v>
                </c:pt>
              </c:strCache>
            </c:strRef>
          </c:cat>
          <c:val>
            <c:numRef>
              <c:f>'Water report'!$J$900:$K$900</c:f>
              <c:numCache>
                <c:formatCode>General</c:formatCode>
                <c:ptCount val="2"/>
                <c:pt idx="0" formatCode="_-* #\ ##0_-;\-* #\ ##0_-;_-* &quot;-&quot;??_-;_-@_-">
                  <c:v>0</c:v>
                </c:pt>
              </c:numCache>
            </c:numRef>
          </c:val>
          <c:extLst>
            <c:ext xmlns:c16="http://schemas.microsoft.com/office/drawing/2014/chart" uri="{C3380CC4-5D6E-409C-BE32-E72D297353CC}">
              <c16:uniqueId val="{00000003-0156-4D70-A539-CC3BF54826FC}"/>
            </c:ext>
          </c:extLst>
        </c:ser>
        <c:ser>
          <c:idx val="4"/>
          <c:order val="3"/>
          <c:tx>
            <c:strRef>
              <c:f>'Water report'!$I$901</c:f>
              <c:strCache>
                <c:ptCount val="1"/>
                <c:pt idx="0">
                  <c:v>Tariff revenue</c:v>
                </c:pt>
              </c:strCache>
            </c:strRef>
          </c:tx>
          <c:spPr>
            <a:solidFill>
              <a:srgbClr val="5B9BD5"/>
            </a:solidFill>
            <a:ln w="25400">
              <a:noFill/>
            </a:ln>
          </c:spPr>
          <c:invertIfNegative val="0"/>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'Water report'!$J$897:$K$897</c:f>
              <c:strCache>
                <c:ptCount val="2"/>
                <c:pt idx="0">
                  <c:v>Expenditure R'000</c:v>
                </c:pt>
                <c:pt idx="1">
                  <c:v>Revenue R'000</c:v>
                </c:pt>
              </c:strCache>
            </c:strRef>
          </c:cat>
          <c:val>
            <c:numRef>
              <c:f>'Water report'!$J$901:$K$901</c:f>
              <c:numCache>
                <c:formatCode>_-* #\ ##0_-;\-* #\ ##0_-;_-* "-"??_-;_-@_-</c:formatCode>
                <c:ptCount val="2"/>
                <c:pt idx="1">
                  <c:v>0</c:v>
                </c:pt>
              </c:numCache>
            </c:numRef>
          </c:val>
          <c:extLst>
            <c:ext xmlns:c16="http://schemas.microsoft.com/office/drawing/2014/chart" uri="{C3380CC4-5D6E-409C-BE32-E72D297353CC}">
              <c16:uniqueId val="{00000004-0156-4D70-A539-CC3BF54826FC}"/>
            </c:ext>
          </c:extLst>
        </c:ser>
        <c:ser>
          <c:idx val="5"/>
          <c:order val="4"/>
          <c:tx>
            <c:strRef>
              <c:f>'Water report'!$I$902</c:f>
              <c:strCache>
                <c:ptCount val="1"/>
                <c:pt idx="0">
                  <c:v>External grants &amp; subsidies</c:v>
                </c:pt>
              </c:strCache>
            </c:strRef>
          </c:tx>
          <c:spPr>
            <a:solidFill>
              <a:srgbClr val="A5A5A5"/>
            </a:solidFill>
            <a:ln w="25400">
              <a:noFill/>
            </a:ln>
          </c:spPr>
          <c:invertIfNegative val="0"/>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'Water report'!$J$897:$K$897</c:f>
              <c:strCache>
                <c:ptCount val="2"/>
                <c:pt idx="0">
                  <c:v>Expenditure R'000</c:v>
                </c:pt>
                <c:pt idx="1">
                  <c:v>Revenue R'000</c:v>
                </c:pt>
              </c:strCache>
            </c:strRef>
          </c:cat>
          <c:val>
            <c:numRef>
              <c:f>'Water report'!$J$902:$K$902</c:f>
              <c:numCache>
                <c:formatCode>_-* #\ ##0_-;\-* #\ ##0_-;_-* "-"??_-;_-@_-</c:formatCode>
                <c:ptCount val="2"/>
                <c:pt idx="1">
                  <c:v>0</c:v>
                </c:pt>
              </c:numCache>
            </c:numRef>
          </c:val>
          <c:extLst>
            <c:ext xmlns:c16="http://schemas.microsoft.com/office/drawing/2014/chart" uri="{C3380CC4-5D6E-409C-BE32-E72D297353CC}">
              <c16:uniqueId val="{00000005-0156-4D70-A539-CC3BF54826FC}"/>
            </c:ext>
          </c:extLst>
        </c:ser>
        <c:ser>
          <c:idx val="3"/>
          <c:order val="5"/>
          <c:tx>
            <c:strRef>
              <c:f>'Water report'!$I$903</c:f>
              <c:strCache>
                <c:ptCount val="1"/>
                <c:pt idx="0">
                  <c:v>Other non-tariff revenue</c:v>
                </c:pt>
              </c:strCache>
            </c:strRef>
          </c:tx>
          <c:spPr>
            <a:solidFill>
              <a:schemeClr val="accent3">
                <a:lumMod val="40000"/>
                <a:lumOff val="60000"/>
              </a:schemeClr>
            </a:solidFill>
            <a:ln>
              <a:noFill/>
            </a:ln>
            <a:effectLst/>
          </c:spPr>
          <c:invertIfNegative val="0"/>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'Water report'!$J$897:$K$897</c:f>
              <c:strCache>
                <c:ptCount val="2"/>
                <c:pt idx="0">
                  <c:v>Expenditure R'000</c:v>
                </c:pt>
                <c:pt idx="1">
                  <c:v>Revenue R'000</c:v>
                </c:pt>
              </c:strCache>
            </c:strRef>
          </c:cat>
          <c:val>
            <c:numRef>
              <c:f>'Water report'!$J$903:$K$903</c:f>
              <c:numCache>
                <c:formatCode>_-* #\ ##0_-;\-* #\ ##0_-;_-* "-"??_-;_-@_-</c:formatCode>
                <c:ptCount val="2"/>
                <c:pt idx="1">
                  <c:v>0</c:v>
                </c:pt>
              </c:numCache>
            </c:numRef>
          </c:val>
          <c:extLst>
            <c:ext xmlns:c16="http://schemas.microsoft.com/office/drawing/2014/chart" uri="{C3380CC4-5D6E-409C-BE32-E72D297353CC}">
              <c16:uniqueId val="{00000006-0156-4D70-A539-CC3BF54826FC}"/>
            </c:ext>
          </c:extLst>
        </c:ser>
        <c:ser>
          <c:idx val="6"/>
          <c:order val="6"/>
          <c:tx>
            <c:strRef>
              <c:f>'Water report'!$I$904</c:f>
              <c:strCache>
                <c:ptCount val="1"/>
                <c:pt idx="0">
                  <c:v>Deficit</c:v>
                </c:pt>
              </c:strCache>
            </c:strRef>
          </c:tx>
          <c:spPr>
            <a:solidFill>
              <a:srgbClr val="ED7D31"/>
            </a:solidFill>
            <a:ln w="25400">
              <a:noFill/>
            </a:ln>
          </c:spPr>
          <c:invertIfNegative val="0"/>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'Water report'!$J$897:$K$897</c:f>
              <c:strCache>
                <c:ptCount val="2"/>
                <c:pt idx="0">
                  <c:v>Expenditure R'000</c:v>
                </c:pt>
                <c:pt idx="1">
                  <c:v>Revenue R'000</c:v>
                </c:pt>
              </c:strCache>
            </c:strRef>
          </c:cat>
          <c:val>
            <c:numRef>
              <c:f>'Water report'!$J$904:$K$904</c:f>
              <c:numCache>
                <c:formatCode>_-* #\ ##0_-;\-* #\ ##0_-;_-* "-"??_-;_-@_-</c:formatCode>
                <c:ptCount val="2"/>
                <c:pt idx="1">
                  <c:v>0</c:v>
                </c:pt>
              </c:numCache>
            </c:numRef>
          </c:val>
          <c:extLst>
            <c:ext xmlns:c16="http://schemas.microsoft.com/office/drawing/2014/chart" uri="{C3380CC4-5D6E-409C-BE32-E72D297353CC}">
              <c16:uniqueId val="{00000007-0156-4D70-A539-CC3BF54826FC}"/>
            </c:ext>
          </c:extLst>
        </c:ser>
        <c:dLbls>
          <c:showLegendKey val="0"/>
          <c:showVal val="0"/>
          <c:showCatName val="0"/>
          <c:showSerName val="0"/>
          <c:showPercent val="0"/>
          <c:showBubbleSize val="0"/>
        </c:dLbls>
        <c:gapWidth val="25"/>
        <c:overlap val="100"/>
        <c:axId val="1407160655"/>
        <c:axId val="1"/>
      </c:barChart>
      <c:catAx>
        <c:axId val="1407160655"/>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0" vert="horz"/>
          <a:lstStyle/>
          <a:p>
            <a:pPr>
              <a:defRPr sz="1100" b="0" i="0" u="none" strike="noStrike" baseline="0">
                <a:solidFill>
                  <a:srgbClr val="000000"/>
                </a:solidFill>
                <a:latin typeface="Calibri"/>
                <a:ea typeface="Calibri"/>
                <a:cs typeface="Calibri"/>
              </a:defRPr>
            </a:pPr>
            <a:endParaRPr lang="en-US"/>
          </a:p>
        </c:txPr>
        <c:crossAx val="1"/>
        <c:crosses val="autoZero"/>
        <c:auto val="1"/>
        <c:lblAlgn val="ctr"/>
        <c:lblOffset val="100"/>
        <c:noMultiLvlLbl val="0"/>
      </c:catAx>
      <c:valAx>
        <c:axId val="1"/>
        <c:scaling>
          <c:orientation val="minMax"/>
        </c:scaling>
        <c:delete val="1"/>
        <c:axPos val="l"/>
        <c:majorGridlines>
          <c:spPr>
            <a:ln w="9525" cap="flat" cmpd="sng" algn="ctr">
              <a:solidFill>
                <a:schemeClr val="tx1">
                  <a:lumMod val="15000"/>
                  <a:lumOff val="85000"/>
                </a:schemeClr>
              </a:solidFill>
              <a:round/>
            </a:ln>
            <a:effectLst/>
          </c:spPr>
        </c:majorGridlines>
        <c:numFmt formatCode="_-* #\ ##0_-;\-* #\ ##0_-;_-* &quot;-&quot;??_-;_-@_-" sourceLinked="1"/>
        <c:majorTickMark val="out"/>
        <c:minorTickMark val="none"/>
        <c:tickLblPos val="nextTo"/>
        <c:crossAx val="1407160655"/>
        <c:crosses val="autoZero"/>
        <c:crossBetween val="between"/>
      </c:valAx>
    </c:plotArea>
    <c:legend>
      <c:legendPos val="r"/>
      <c:layout>
        <c:manualLayout>
          <c:xMode val="edge"/>
          <c:yMode val="edge"/>
          <c:x val="0.6308690529801626"/>
          <c:y val="0.17846767615586512"/>
          <c:w val="0.34836447003916537"/>
          <c:h val="0.70771685846961441"/>
        </c:manualLayout>
      </c:layout>
      <c:overlay val="0"/>
      <c:spPr>
        <a:noFill/>
        <a:ln w="25400">
          <a:noFill/>
        </a:ln>
      </c:spPr>
      <c:txPr>
        <a:bodyPr/>
        <a:lstStyle/>
        <a:p>
          <a:pPr>
            <a:defRPr sz="850" b="0" i="0" u="none" strike="noStrike" baseline="0">
              <a:solidFill>
                <a:srgbClr val="000000"/>
              </a:solidFill>
              <a:latin typeface="Calibri"/>
              <a:ea typeface="Calibri"/>
              <a:cs typeface="Calibri"/>
            </a:defRPr>
          </a:pPr>
          <a:endParaRPr lang="en-US"/>
        </a:p>
      </c:txPr>
    </c:legend>
    <c:plotVisOnly val="1"/>
    <c:dispBlanksAs val="gap"/>
    <c:showDLblsOverMax val="0"/>
  </c:chart>
  <c:spPr>
    <a:solidFill>
      <a:schemeClr val="bg1"/>
    </a:solidFill>
    <a:ln w="9525" cap="flat" cmpd="sng" algn="ctr">
      <a:noFill/>
      <a:round/>
    </a:ln>
    <a:effectLst/>
  </c:spPr>
  <c:txPr>
    <a:bodyPr/>
    <a:lstStyle/>
    <a:p>
      <a:pPr>
        <a:defRPr sz="11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charts/chart8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ser>
          <c:idx val="0"/>
          <c:order val="0"/>
          <c:tx>
            <c:strRef>
              <c:f>'Water report'!$K$918</c:f>
              <c:strCache>
                <c:ptCount val="1"/>
                <c:pt idx="0">
                  <c:v>Tariff </c:v>
                </c:pt>
              </c:strCache>
            </c:strRef>
          </c:tx>
          <c:spPr>
            <a:solidFill>
              <a:srgbClr val="4472C4"/>
            </a:solidFill>
            <a:ln w="25400">
              <a:noFill/>
            </a:ln>
          </c:spPr>
          <c:invertIfNegative val="0"/>
          <c:dLbls>
            <c:spPr>
              <a:noFill/>
              <a:ln w="25400">
                <a:noFill/>
              </a:ln>
            </c:spPr>
            <c:txPr>
              <a:bodyPr wrap="square" lIns="38100" tIns="19050" rIns="38100" bIns="19050" anchor="ctr">
                <a:spAutoFit/>
              </a:bodyPr>
              <a:lstStyle/>
              <a:p>
                <a:pPr>
                  <a:defRPr sz="900" b="0" i="0" u="none" strike="noStrike" baseline="0">
                    <a:solidFill>
                      <a:srgbClr val="333333"/>
                    </a:solidFill>
                    <a:latin typeface="Calibri"/>
                    <a:ea typeface="Calibri"/>
                    <a:cs typeface="Calibri"/>
                  </a:defRPr>
                </a:pPr>
                <a:endParaRPr lang="en-US"/>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'Water report'!$J$919:$J$928</c:f>
              <c:strCache>
                <c:ptCount val="10"/>
                <c:pt idx="0">
                  <c:v>0</c:v>
                </c:pt>
                <c:pt idx="1">
                  <c:v>0</c:v>
                </c:pt>
                <c:pt idx="2">
                  <c:v>0</c:v>
                </c:pt>
                <c:pt idx="3">
                  <c:v>0</c:v>
                </c:pt>
                <c:pt idx="4">
                  <c:v>0</c:v>
                </c:pt>
                <c:pt idx="5">
                  <c:v>0</c:v>
                </c:pt>
                <c:pt idx="6">
                  <c:v>0</c:v>
                </c:pt>
                <c:pt idx="7">
                  <c:v>0</c:v>
                </c:pt>
                <c:pt idx="8">
                  <c:v>0</c:v>
                </c:pt>
                <c:pt idx="9">
                  <c:v>More</c:v>
                </c:pt>
              </c:strCache>
            </c:strRef>
          </c:cat>
          <c:val>
            <c:numRef>
              <c:f>'Water report'!$K$919:$K$928</c:f>
              <c:numCache>
                <c:formatCode>_(* #,##0.00_);_(* \(#,##0.00\);_(* "-"??_);_(@_)</c:formatCode>
                <c:ptCount val="10"/>
                <c:pt idx="0">
                  <c:v>0</c:v>
                </c:pt>
                <c:pt idx="1">
                  <c:v>0</c:v>
                </c:pt>
                <c:pt idx="2">
                  <c:v>0</c:v>
                </c:pt>
                <c:pt idx="3">
                  <c:v>0</c:v>
                </c:pt>
                <c:pt idx="4">
                  <c:v>0</c:v>
                </c:pt>
                <c:pt idx="5">
                  <c:v>0</c:v>
                </c:pt>
                <c:pt idx="6">
                  <c:v>0</c:v>
                </c:pt>
                <c:pt idx="7">
                  <c:v>0</c:v>
                </c:pt>
                <c:pt idx="8">
                  <c:v>0</c:v>
                </c:pt>
                <c:pt idx="9">
                  <c:v>0</c:v>
                </c:pt>
              </c:numCache>
            </c:numRef>
          </c:val>
          <c:extLst>
            <c:ext xmlns:c16="http://schemas.microsoft.com/office/drawing/2014/chart" uri="{C3380CC4-5D6E-409C-BE32-E72D297353CC}">
              <c16:uniqueId val="{00000000-C09D-490E-9E7B-8CFD54676EB3}"/>
            </c:ext>
          </c:extLst>
        </c:ser>
        <c:dLbls>
          <c:showLegendKey val="0"/>
          <c:showVal val="0"/>
          <c:showCatName val="0"/>
          <c:showSerName val="0"/>
          <c:showPercent val="0"/>
          <c:showBubbleSize val="0"/>
        </c:dLbls>
        <c:gapWidth val="50"/>
        <c:overlap val="-27"/>
        <c:axId val="1407133295"/>
        <c:axId val="1"/>
      </c:barChart>
      <c:lineChart>
        <c:grouping val="standard"/>
        <c:varyColors val="0"/>
        <c:ser>
          <c:idx val="1"/>
          <c:order val="1"/>
          <c:tx>
            <c:strRef>
              <c:f>'Water report'!$L$918</c:f>
              <c:strCache>
                <c:ptCount val="1"/>
                <c:pt idx="0">
                  <c:v>Total cost per kl </c:v>
                </c:pt>
              </c:strCache>
            </c:strRef>
          </c:tx>
          <c:spPr>
            <a:ln w="28575" cap="rnd">
              <a:solidFill>
                <a:schemeClr val="accent2"/>
              </a:solidFill>
              <a:round/>
            </a:ln>
            <a:effectLst/>
          </c:spPr>
          <c:marker>
            <c:symbol val="none"/>
          </c:marker>
          <c:val>
            <c:numRef>
              <c:f>'Water report'!$L$919:$L$928</c:f>
              <c:numCache>
                <c:formatCode>_(* #,##0.00_);_(* \(#,##0.00\);_(* "-"??_);_(@_)</c:formatCode>
                <c:ptCount val="10"/>
                <c:pt idx="0">
                  <c:v>0</c:v>
                </c:pt>
                <c:pt idx="1">
                  <c:v>0</c:v>
                </c:pt>
                <c:pt idx="2">
                  <c:v>0</c:v>
                </c:pt>
                <c:pt idx="3">
                  <c:v>0</c:v>
                </c:pt>
                <c:pt idx="4">
                  <c:v>0</c:v>
                </c:pt>
                <c:pt idx="5">
                  <c:v>0</c:v>
                </c:pt>
                <c:pt idx="6">
                  <c:v>0</c:v>
                </c:pt>
                <c:pt idx="7">
                  <c:v>0</c:v>
                </c:pt>
                <c:pt idx="8">
                  <c:v>0</c:v>
                </c:pt>
                <c:pt idx="9">
                  <c:v>0</c:v>
                </c:pt>
              </c:numCache>
            </c:numRef>
          </c:val>
          <c:smooth val="0"/>
          <c:extLst>
            <c:ext xmlns:c16="http://schemas.microsoft.com/office/drawing/2014/chart" uri="{C3380CC4-5D6E-409C-BE32-E72D297353CC}">
              <c16:uniqueId val="{00000001-C09D-490E-9E7B-8CFD54676EB3}"/>
            </c:ext>
          </c:extLst>
        </c:ser>
        <c:ser>
          <c:idx val="2"/>
          <c:order val="2"/>
          <c:tx>
            <c:strRef>
              <c:f>'Water report'!$M$918</c:f>
              <c:strCache>
                <c:ptCount val="1"/>
                <c:pt idx="0">
                  <c:v>Variable cost per kl</c:v>
                </c:pt>
              </c:strCache>
            </c:strRef>
          </c:tx>
          <c:spPr>
            <a:ln w="28575" cap="rnd">
              <a:solidFill>
                <a:schemeClr val="accent3"/>
              </a:solidFill>
              <a:round/>
            </a:ln>
            <a:effectLst/>
          </c:spPr>
          <c:marker>
            <c:symbol val="none"/>
          </c:marker>
          <c:val>
            <c:numRef>
              <c:f>'Water report'!$M$919:$M$928</c:f>
              <c:numCache>
                <c:formatCode>_(* #,##0.00_);_(* \(#,##0.00\);_(* "-"??_);_(@_)</c:formatCode>
                <c:ptCount val="10"/>
                <c:pt idx="0" formatCode="_-* #\ ##0_-;\-* #\ ##0_-;_-* &quot;-&quot;??_-;_-@_-">
                  <c:v>0</c:v>
                </c:pt>
                <c:pt idx="1">
                  <c:v>0</c:v>
                </c:pt>
                <c:pt idx="2">
                  <c:v>0</c:v>
                </c:pt>
                <c:pt idx="3">
                  <c:v>0</c:v>
                </c:pt>
                <c:pt idx="4">
                  <c:v>0</c:v>
                </c:pt>
                <c:pt idx="5">
                  <c:v>0</c:v>
                </c:pt>
                <c:pt idx="6">
                  <c:v>0</c:v>
                </c:pt>
                <c:pt idx="7">
                  <c:v>0</c:v>
                </c:pt>
                <c:pt idx="8">
                  <c:v>0</c:v>
                </c:pt>
                <c:pt idx="9">
                  <c:v>0</c:v>
                </c:pt>
              </c:numCache>
            </c:numRef>
          </c:val>
          <c:smooth val="0"/>
          <c:extLst>
            <c:ext xmlns:c16="http://schemas.microsoft.com/office/drawing/2014/chart" uri="{C3380CC4-5D6E-409C-BE32-E72D297353CC}">
              <c16:uniqueId val="{00000002-C09D-490E-9E7B-8CFD54676EB3}"/>
            </c:ext>
          </c:extLst>
        </c:ser>
        <c:dLbls>
          <c:showLegendKey val="0"/>
          <c:showVal val="0"/>
          <c:showCatName val="0"/>
          <c:showSerName val="0"/>
          <c:showPercent val="0"/>
          <c:showBubbleSize val="0"/>
        </c:dLbls>
        <c:marker val="1"/>
        <c:smooth val="0"/>
        <c:axId val="1407133295"/>
        <c:axId val="1"/>
      </c:lineChart>
      <c:catAx>
        <c:axId val="1407133295"/>
        <c:scaling>
          <c:orientation val="minMax"/>
        </c:scaling>
        <c:delete val="0"/>
        <c:axPos val="b"/>
        <c:title>
          <c:tx>
            <c:rich>
              <a:bodyPr/>
              <a:lstStyle/>
              <a:p>
                <a:pPr>
                  <a:defRPr sz="1000" b="0" i="0" u="none" strike="noStrike" baseline="0">
                    <a:solidFill>
                      <a:srgbClr val="333333"/>
                    </a:solidFill>
                    <a:latin typeface="Calibri"/>
                    <a:ea typeface="Calibri"/>
                    <a:cs typeface="Calibri"/>
                  </a:defRPr>
                </a:pPr>
                <a:r>
                  <a:rPr lang="en-ZA"/>
                  <a:t>Block size</a:t>
                </a:r>
              </a:p>
            </c:rich>
          </c:tx>
          <c:overlay val="0"/>
          <c:spPr>
            <a:noFill/>
            <a:ln w="25400">
              <a:noFill/>
            </a:ln>
          </c:spPr>
        </c:title>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0" vert="horz"/>
          <a:lstStyle/>
          <a:p>
            <a:pPr>
              <a:defRPr sz="900" b="0" i="0" u="none" strike="noStrike" baseline="0">
                <a:solidFill>
                  <a:srgbClr val="333333"/>
                </a:solidFill>
                <a:latin typeface="Calibri"/>
                <a:ea typeface="Calibri"/>
                <a:cs typeface="Calibri"/>
              </a:defRPr>
            </a:pPr>
            <a:endParaRPr lang="en-US"/>
          </a:p>
        </c:txPr>
        <c:crossAx val="1"/>
        <c:crosses val="autoZero"/>
        <c:auto val="1"/>
        <c:lblAlgn val="ctr"/>
        <c:lblOffset val="100"/>
        <c:noMultiLvlLbl val="0"/>
      </c:catAx>
      <c:valAx>
        <c:axId val="1"/>
        <c:scaling>
          <c:orientation val="minMax"/>
        </c:scaling>
        <c:delete val="0"/>
        <c:axPos val="l"/>
        <c:majorGridlines>
          <c:spPr>
            <a:ln w="9525" cap="flat" cmpd="sng" algn="ctr">
              <a:solidFill>
                <a:schemeClr val="tx1">
                  <a:lumMod val="15000"/>
                  <a:lumOff val="85000"/>
                </a:schemeClr>
              </a:solidFill>
              <a:round/>
            </a:ln>
            <a:effectLst/>
          </c:spPr>
        </c:majorGridlines>
        <c:title>
          <c:tx>
            <c:rich>
              <a:bodyPr/>
              <a:lstStyle/>
              <a:p>
                <a:pPr>
                  <a:defRPr sz="1000" b="0" i="0" u="none" strike="noStrike" baseline="0">
                    <a:solidFill>
                      <a:srgbClr val="333333"/>
                    </a:solidFill>
                    <a:latin typeface="Calibri"/>
                    <a:ea typeface="Calibri"/>
                    <a:cs typeface="Calibri"/>
                  </a:defRPr>
                </a:pPr>
                <a:r>
                  <a:rPr lang="en-ZA"/>
                  <a:t>R/kl</a:t>
                </a:r>
              </a:p>
            </c:rich>
          </c:tx>
          <c:overlay val="0"/>
          <c:spPr>
            <a:noFill/>
            <a:ln w="25400">
              <a:noFill/>
            </a:ln>
          </c:spPr>
        </c:title>
        <c:numFmt formatCode="_(* #,##0.00_);_(* \(#,##0.00\);_(* &quot;-&quot;??_);_(@_)" sourceLinked="1"/>
        <c:majorTickMark val="none"/>
        <c:minorTickMark val="none"/>
        <c:tickLblPos val="nextTo"/>
        <c:spPr>
          <a:ln w="6350">
            <a:noFill/>
          </a:ln>
        </c:spPr>
        <c:txPr>
          <a:bodyPr rot="0" vert="horz"/>
          <a:lstStyle/>
          <a:p>
            <a:pPr>
              <a:defRPr sz="900" b="0" i="0" u="none" strike="noStrike" baseline="0">
                <a:solidFill>
                  <a:srgbClr val="333333"/>
                </a:solidFill>
                <a:latin typeface="Calibri"/>
                <a:ea typeface="Calibri"/>
                <a:cs typeface="Calibri"/>
              </a:defRPr>
            </a:pPr>
            <a:endParaRPr lang="en-US"/>
          </a:p>
        </c:txPr>
        <c:crossAx val="1407133295"/>
        <c:crosses val="autoZero"/>
        <c:crossBetween val="between"/>
      </c:valAx>
      <c:spPr>
        <a:noFill/>
        <a:ln w="25400">
          <a:noFill/>
        </a:ln>
      </c:spPr>
    </c:plotArea>
    <c:legend>
      <c:legendPos val="r"/>
      <c:layout>
        <c:manualLayout>
          <c:xMode val="edge"/>
          <c:yMode val="edge"/>
          <c:x val="0.16605689049016475"/>
          <c:y val="0.9270571043484428"/>
          <c:w val="0.65869231290738117"/>
          <c:h val="5.9461445697666204E-2"/>
        </c:manualLayout>
      </c:layout>
      <c:overlay val="0"/>
      <c:spPr>
        <a:noFill/>
        <a:ln w="25400">
          <a:noFill/>
        </a:ln>
      </c:spPr>
      <c:txPr>
        <a:bodyPr/>
        <a:lstStyle/>
        <a:p>
          <a:pPr>
            <a:defRPr sz="690" b="0" i="0" u="none" strike="noStrike" baseline="0">
              <a:solidFill>
                <a:srgbClr val="333333"/>
              </a:solidFill>
              <a:latin typeface="Calibri"/>
              <a:ea typeface="Calibri"/>
              <a:cs typeface="Calibri"/>
            </a:defRPr>
          </a:pPr>
          <a:endParaRPr lang="en-US"/>
        </a:p>
      </c:txPr>
    </c:legend>
    <c:plotVisOnly val="1"/>
    <c:dispBlanksAs val="gap"/>
    <c:showDLblsOverMax val="0"/>
  </c:chart>
  <c:spPr>
    <a:solidFill>
      <a:schemeClr val="bg1"/>
    </a:solidFill>
    <a:ln w="9525" cap="flat" cmpd="sng" algn="ctr">
      <a:noFill/>
      <a:round/>
    </a:ln>
    <a:effectLst/>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charts/chart8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2.3871527777777776E-2"/>
          <c:y val="4.7786414907172239E-2"/>
          <c:w val="0.57559123468941387"/>
          <c:h val="0.83529592857692603"/>
        </c:manualLayout>
      </c:layout>
      <c:barChart>
        <c:barDir val="col"/>
        <c:grouping val="stacked"/>
        <c:varyColors val="0"/>
        <c:ser>
          <c:idx val="0"/>
          <c:order val="0"/>
          <c:tx>
            <c:strRef>
              <c:f>'Water report'!$I$964</c:f>
              <c:strCache>
                <c:ptCount val="1"/>
                <c:pt idx="0">
                  <c:v>Fixed cost</c:v>
                </c:pt>
              </c:strCache>
            </c:strRef>
          </c:tx>
          <c:spPr>
            <a:solidFill>
              <a:srgbClr val="4472C4"/>
            </a:solidFill>
            <a:ln w="25400">
              <a:noFill/>
            </a:ln>
          </c:spPr>
          <c:invertIfNegative val="0"/>
          <c:dPt>
            <c:idx val="0"/>
            <c:invertIfNegative val="0"/>
            <c:bubble3D val="0"/>
            <c:spPr>
              <a:solidFill>
                <a:srgbClr val="5B9BD5"/>
              </a:solidFill>
              <a:ln w="25400">
                <a:noFill/>
              </a:ln>
            </c:spPr>
            <c:extLst>
              <c:ext xmlns:c16="http://schemas.microsoft.com/office/drawing/2014/chart" uri="{C3380CC4-5D6E-409C-BE32-E72D297353CC}">
                <c16:uniqueId val="{00000000-6317-4D57-8F36-B10139488600}"/>
              </c:ext>
            </c:extLst>
          </c:dPt>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'Water report'!$J$963:$K$963</c:f>
              <c:strCache>
                <c:ptCount val="2"/>
                <c:pt idx="0">
                  <c:v>Expenditure R'000</c:v>
                </c:pt>
                <c:pt idx="1">
                  <c:v>Revenue R'000</c:v>
                </c:pt>
              </c:strCache>
            </c:strRef>
          </c:cat>
          <c:val>
            <c:numRef>
              <c:f>'Water report'!$J$964:$K$964</c:f>
              <c:numCache>
                <c:formatCode>General</c:formatCode>
                <c:ptCount val="2"/>
                <c:pt idx="0" formatCode="_-* #\ ##0_-;\-* #\ ##0_-;_-* &quot;-&quot;??_-;_-@_-">
                  <c:v>0</c:v>
                </c:pt>
              </c:numCache>
            </c:numRef>
          </c:val>
          <c:extLst>
            <c:ext xmlns:c16="http://schemas.microsoft.com/office/drawing/2014/chart" uri="{C3380CC4-5D6E-409C-BE32-E72D297353CC}">
              <c16:uniqueId val="{00000001-6317-4D57-8F36-B10139488600}"/>
            </c:ext>
          </c:extLst>
        </c:ser>
        <c:ser>
          <c:idx val="1"/>
          <c:order val="1"/>
          <c:tx>
            <c:strRef>
              <c:f>'Water report'!$I$965</c:f>
              <c:strCache>
                <c:ptCount val="1"/>
                <c:pt idx="0">
                  <c:v>Variable cost</c:v>
                </c:pt>
              </c:strCache>
            </c:strRef>
          </c:tx>
          <c:spPr>
            <a:solidFill>
              <a:schemeClr val="accent5">
                <a:lumMod val="60000"/>
                <a:lumOff val="40000"/>
              </a:schemeClr>
            </a:solidFill>
            <a:ln>
              <a:noFill/>
            </a:ln>
            <a:effectLst/>
          </c:spPr>
          <c:invertIfNegative val="0"/>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'Water report'!$J$963:$K$963</c:f>
              <c:strCache>
                <c:ptCount val="2"/>
                <c:pt idx="0">
                  <c:v>Expenditure R'000</c:v>
                </c:pt>
                <c:pt idx="1">
                  <c:v>Revenue R'000</c:v>
                </c:pt>
              </c:strCache>
            </c:strRef>
          </c:cat>
          <c:val>
            <c:numRef>
              <c:f>'Water report'!$J$965:$K$965</c:f>
              <c:numCache>
                <c:formatCode>General</c:formatCode>
                <c:ptCount val="2"/>
                <c:pt idx="0" formatCode="_-* #\ ##0_-;\-* #\ ##0_-;_-* &quot;-&quot;??_-;_-@_-">
                  <c:v>0</c:v>
                </c:pt>
              </c:numCache>
            </c:numRef>
          </c:val>
          <c:extLst>
            <c:ext xmlns:c16="http://schemas.microsoft.com/office/drawing/2014/chart" uri="{C3380CC4-5D6E-409C-BE32-E72D297353CC}">
              <c16:uniqueId val="{00000002-6317-4D57-8F36-B10139488600}"/>
            </c:ext>
          </c:extLst>
        </c:ser>
        <c:ser>
          <c:idx val="2"/>
          <c:order val="2"/>
          <c:tx>
            <c:strRef>
              <c:f>'Water report'!$I$966</c:f>
              <c:strCache>
                <c:ptCount val="1"/>
                <c:pt idx="0">
                  <c:v>Surplus</c:v>
                </c:pt>
              </c:strCache>
            </c:strRef>
          </c:tx>
          <c:spPr>
            <a:solidFill>
              <a:srgbClr val="A5A5A5"/>
            </a:solidFill>
            <a:ln w="25400">
              <a:noFill/>
            </a:ln>
          </c:spPr>
          <c:invertIfNegative val="0"/>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'Water report'!$J$963:$K$963</c:f>
              <c:strCache>
                <c:ptCount val="2"/>
                <c:pt idx="0">
                  <c:v>Expenditure R'000</c:v>
                </c:pt>
                <c:pt idx="1">
                  <c:v>Revenue R'000</c:v>
                </c:pt>
              </c:strCache>
            </c:strRef>
          </c:cat>
          <c:val>
            <c:numRef>
              <c:f>'Water report'!$J$966:$K$966</c:f>
              <c:numCache>
                <c:formatCode>General</c:formatCode>
                <c:ptCount val="2"/>
                <c:pt idx="0" formatCode="_-* #\ ##0_-;\-* #\ ##0_-;_-* &quot;-&quot;??_-;_-@_-">
                  <c:v>0</c:v>
                </c:pt>
              </c:numCache>
            </c:numRef>
          </c:val>
          <c:extLst>
            <c:ext xmlns:c16="http://schemas.microsoft.com/office/drawing/2014/chart" uri="{C3380CC4-5D6E-409C-BE32-E72D297353CC}">
              <c16:uniqueId val="{00000003-6317-4D57-8F36-B10139488600}"/>
            </c:ext>
          </c:extLst>
        </c:ser>
        <c:ser>
          <c:idx val="4"/>
          <c:order val="3"/>
          <c:tx>
            <c:strRef>
              <c:f>'Water report'!$I$967</c:f>
              <c:strCache>
                <c:ptCount val="1"/>
                <c:pt idx="0">
                  <c:v>Tariff revenue</c:v>
                </c:pt>
              </c:strCache>
            </c:strRef>
          </c:tx>
          <c:spPr>
            <a:solidFill>
              <a:srgbClr val="5B9BD5"/>
            </a:solidFill>
            <a:ln w="25400">
              <a:noFill/>
            </a:ln>
          </c:spPr>
          <c:invertIfNegative val="0"/>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'Water report'!$J$963:$K$963</c:f>
              <c:strCache>
                <c:ptCount val="2"/>
                <c:pt idx="0">
                  <c:v>Expenditure R'000</c:v>
                </c:pt>
                <c:pt idx="1">
                  <c:v>Revenue R'000</c:v>
                </c:pt>
              </c:strCache>
            </c:strRef>
          </c:cat>
          <c:val>
            <c:numRef>
              <c:f>'Water report'!$J$967:$K$967</c:f>
              <c:numCache>
                <c:formatCode>_-* #\ ##0_-;\-* #\ ##0_-;_-* "-"??_-;_-@_-</c:formatCode>
                <c:ptCount val="2"/>
                <c:pt idx="1">
                  <c:v>0</c:v>
                </c:pt>
              </c:numCache>
            </c:numRef>
          </c:val>
          <c:extLst>
            <c:ext xmlns:c16="http://schemas.microsoft.com/office/drawing/2014/chart" uri="{C3380CC4-5D6E-409C-BE32-E72D297353CC}">
              <c16:uniqueId val="{00000004-6317-4D57-8F36-B10139488600}"/>
            </c:ext>
          </c:extLst>
        </c:ser>
        <c:ser>
          <c:idx val="5"/>
          <c:order val="4"/>
          <c:tx>
            <c:strRef>
              <c:f>'Water report'!$I$968</c:f>
              <c:strCache>
                <c:ptCount val="1"/>
                <c:pt idx="0">
                  <c:v>External grants &amp; subsidies</c:v>
                </c:pt>
              </c:strCache>
            </c:strRef>
          </c:tx>
          <c:spPr>
            <a:solidFill>
              <a:srgbClr val="A5A5A5"/>
            </a:solidFill>
            <a:ln w="25400">
              <a:noFill/>
            </a:ln>
          </c:spPr>
          <c:invertIfNegative val="0"/>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'Water report'!$J$963:$K$963</c:f>
              <c:strCache>
                <c:ptCount val="2"/>
                <c:pt idx="0">
                  <c:v>Expenditure R'000</c:v>
                </c:pt>
                <c:pt idx="1">
                  <c:v>Revenue R'000</c:v>
                </c:pt>
              </c:strCache>
            </c:strRef>
          </c:cat>
          <c:val>
            <c:numRef>
              <c:f>'Water report'!$J$968:$K$968</c:f>
              <c:numCache>
                <c:formatCode>_-* #\ ##0_-;\-* #\ ##0_-;_-* "-"??_-;_-@_-</c:formatCode>
                <c:ptCount val="2"/>
                <c:pt idx="1">
                  <c:v>0</c:v>
                </c:pt>
              </c:numCache>
            </c:numRef>
          </c:val>
          <c:extLst>
            <c:ext xmlns:c16="http://schemas.microsoft.com/office/drawing/2014/chart" uri="{C3380CC4-5D6E-409C-BE32-E72D297353CC}">
              <c16:uniqueId val="{00000005-6317-4D57-8F36-B10139488600}"/>
            </c:ext>
          </c:extLst>
        </c:ser>
        <c:ser>
          <c:idx val="3"/>
          <c:order val="5"/>
          <c:tx>
            <c:strRef>
              <c:f>'Water report'!$I$969</c:f>
              <c:strCache>
                <c:ptCount val="1"/>
                <c:pt idx="0">
                  <c:v>Other non-tariff revenue</c:v>
                </c:pt>
              </c:strCache>
            </c:strRef>
          </c:tx>
          <c:spPr>
            <a:solidFill>
              <a:schemeClr val="accent3">
                <a:lumMod val="40000"/>
                <a:lumOff val="60000"/>
              </a:schemeClr>
            </a:solidFill>
            <a:ln>
              <a:noFill/>
            </a:ln>
            <a:effectLst/>
          </c:spPr>
          <c:invertIfNegative val="0"/>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'Water report'!$J$963:$K$963</c:f>
              <c:strCache>
                <c:ptCount val="2"/>
                <c:pt idx="0">
                  <c:v>Expenditure R'000</c:v>
                </c:pt>
                <c:pt idx="1">
                  <c:v>Revenue R'000</c:v>
                </c:pt>
              </c:strCache>
            </c:strRef>
          </c:cat>
          <c:val>
            <c:numRef>
              <c:f>'Water report'!$J$969:$K$969</c:f>
              <c:numCache>
                <c:formatCode>_-* #\ ##0_-;\-* #\ ##0_-;_-* "-"??_-;_-@_-</c:formatCode>
                <c:ptCount val="2"/>
                <c:pt idx="1">
                  <c:v>0</c:v>
                </c:pt>
              </c:numCache>
            </c:numRef>
          </c:val>
          <c:extLst>
            <c:ext xmlns:c16="http://schemas.microsoft.com/office/drawing/2014/chart" uri="{C3380CC4-5D6E-409C-BE32-E72D297353CC}">
              <c16:uniqueId val="{00000006-6317-4D57-8F36-B10139488600}"/>
            </c:ext>
          </c:extLst>
        </c:ser>
        <c:ser>
          <c:idx val="6"/>
          <c:order val="6"/>
          <c:tx>
            <c:strRef>
              <c:f>'Water report'!$I$970</c:f>
              <c:strCache>
                <c:ptCount val="1"/>
                <c:pt idx="0">
                  <c:v>Deficit</c:v>
                </c:pt>
              </c:strCache>
            </c:strRef>
          </c:tx>
          <c:spPr>
            <a:solidFill>
              <a:srgbClr val="ED7D31"/>
            </a:solidFill>
            <a:ln w="25400">
              <a:noFill/>
            </a:ln>
          </c:spPr>
          <c:invertIfNegative val="0"/>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'Water report'!$J$963:$K$963</c:f>
              <c:strCache>
                <c:ptCount val="2"/>
                <c:pt idx="0">
                  <c:v>Expenditure R'000</c:v>
                </c:pt>
                <c:pt idx="1">
                  <c:v>Revenue R'000</c:v>
                </c:pt>
              </c:strCache>
            </c:strRef>
          </c:cat>
          <c:val>
            <c:numRef>
              <c:f>'Water report'!$J$970:$K$970</c:f>
              <c:numCache>
                <c:formatCode>_-* #\ ##0_-;\-* #\ ##0_-;_-* "-"??_-;_-@_-</c:formatCode>
                <c:ptCount val="2"/>
                <c:pt idx="1">
                  <c:v>0</c:v>
                </c:pt>
              </c:numCache>
            </c:numRef>
          </c:val>
          <c:extLst>
            <c:ext xmlns:c16="http://schemas.microsoft.com/office/drawing/2014/chart" uri="{C3380CC4-5D6E-409C-BE32-E72D297353CC}">
              <c16:uniqueId val="{00000007-6317-4D57-8F36-B10139488600}"/>
            </c:ext>
          </c:extLst>
        </c:ser>
        <c:dLbls>
          <c:showLegendKey val="0"/>
          <c:showVal val="0"/>
          <c:showCatName val="0"/>
          <c:showSerName val="0"/>
          <c:showPercent val="0"/>
          <c:showBubbleSize val="0"/>
        </c:dLbls>
        <c:gapWidth val="25"/>
        <c:overlap val="100"/>
        <c:axId val="1407142895"/>
        <c:axId val="1"/>
      </c:barChart>
      <c:catAx>
        <c:axId val="1407142895"/>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0" vert="horz"/>
          <a:lstStyle/>
          <a:p>
            <a:pPr>
              <a:defRPr sz="1100" b="0" i="0" u="none" strike="noStrike" baseline="0">
                <a:solidFill>
                  <a:srgbClr val="000000"/>
                </a:solidFill>
                <a:latin typeface="Calibri"/>
                <a:ea typeface="Calibri"/>
                <a:cs typeface="Calibri"/>
              </a:defRPr>
            </a:pPr>
            <a:endParaRPr lang="en-US"/>
          </a:p>
        </c:txPr>
        <c:crossAx val="1"/>
        <c:crosses val="autoZero"/>
        <c:auto val="1"/>
        <c:lblAlgn val="ctr"/>
        <c:lblOffset val="100"/>
        <c:noMultiLvlLbl val="0"/>
      </c:catAx>
      <c:valAx>
        <c:axId val="1"/>
        <c:scaling>
          <c:orientation val="minMax"/>
        </c:scaling>
        <c:delete val="1"/>
        <c:axPos val="l"/>
        <c:majorGridlines>
          <c:spPr>
            <a:ln w="9525" cap="flat" cmpd="sng" algn="ctr">
              <a:solidFill>
                <a:schemeClr val="tx1">
                  <a:lumMod val="15000"/>
                  <a:lumOff val="85000"/>
                </a:schemeClr>
              </a:solidFill>
              <a:round/>
            </a:ln>
            <a:effectLst/>
          </c:spPr>
        </c:majorGridlines>
        <c:numFmt formatCode="_-* #\ ##0_-;\-* #\ ##0_-;_-* &quot;-&quot;??_-;_-@_-" sourceLinked="1"/>
        <c:majorTickMark val="out"/>
        <c:minorTickMark val="none"/>
        <c:tickLblPos val="nextTo"/>
        <c:crossAx val="1407142895"/>
        <c:crosses val="autoZero"/>
        <c:crossBetween val="between"/>
      </c:valAx>
    </c:plotArea>
    <c:legend>
      <c:legendPos val="r"/>
      <c:layout>
        <c:manualLayout>
          <c:xMode val="edge"/>
          <c:yMode val="edge"/>
          <c:x val="0.64117699573267617"/>
          <c:y val="0.17846767615586512"/>
          <c:w val="0.34865052582712874"/>
          <c:h val="0.70771685846961441"/>
        </c:manualLayout>
      </c:layout>
      <c:overlay val="0"/>
      <c:spPr>
        <a:noFill/>
        <a:ln w="25400">
          <a:noFill/>
        </a:ln>
      </c:spPr>
      <c:txPr>
        <a:bodyPr/>
        <a:lstStyle/>
        <a:p>
          <a:pPr>
            <a:defRPr sz="850" b="0" i="0" u="none" strike="noStrike" baseline="0">
              <a:solidFill>
                <a:srgbClr val="000000"/>
              </a:solidFill>
              <a:latin typeface="Calibri"/>
              <a:ea typeface="Calibri"/>
              <a:cs typeface="Calibri"/>
            </a:defRPr>
          </a:pPr>
          <a:endParaRPr lang="en-US"/>
        </a:p>
      </c:txPr>
    </c:legend>
    <c:plotVisOnly val="1"/>
    <c:dispBlanksAs val="gap"/>
    <c:showDLblsOverMax val="0"/>
  </c:chart>
  <c:spPr>
    <a:solidFill>
      <a:schemeClr val="bg1"/>
    </a:solidFill>
    <a:ln w="9525" cap="flat" cmpd="sng" algn="ctr">
      <a:noFill/>
      <a:round/>
    </a:ln>
    <a:effectLst/>
  </c:spPr>
  <c:txPr>
    <a:bodyPr/>
    <a:lstStyle/>
    <a:p>
      <a:pPr>
        <a:defRPr sz="11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charts/chart9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ser>
          <c:idx val="0"/>
          <c:order val="0"/>
          <c:tx>
            <c:strRef>
              <c:f>'Water report'!$K$985</c:f>
              <c:strCache>
                <c:ptCount val="1"/>
                <c:pt idx="0">
                  <c:v>Tariff </c:v>
                </c:pt>
              </c:strCache>
            </c:strRef>
          </c:tx>
          <c:spPr>
            <a:solidFill>
              <a:srgbClr val="4472C4"/>
            </a:solidFill>
            <a:ln w="25400">
              <a:noFill/>
            </a:ln>
          </c:spPr>
          <c:invertIfNegative val="0"/>
          <c:dLbls>
            <c:spPr>
              <a:noFill/>
              <a:ln w="25400">
                <a:noFill/>
              </a:ln>
            </c:spPr>
            <c:txPr>
              <a:bodyPr wrap="square" lIns="38100" tIns="19050" rIns="38100" bIns="19050" anchor="ctr">
                <a:spAutoFit/>
              </a:bodyPr>
              <a:lstStyle/>
              <a:p>
                <a:pPr>
                  <a:defRPr sz="900" b="0" i="0" u="none" strike="noStrike" baseline="0">
                    <a:solidFill>
                      <a:srgbClr val="333333"/>
                    </a:solidFill>
                    <a:latin typeface="Calibri"/>
                    <a:ea typeface="Calibri"/>
                    <a:cs typeface="Calibri"/>
                  </a:defRPr>
                </a:pPr>
                <a:endParaRPr lang="en-US"/>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'Water report'!$J$986:$J$995</c:f>
              <c:strCache>
                <c:ptCount val="10"/>
                <c:pt idx="0">
                  <c:v>0</c:v>
                </c:pt>
                <c:pt idx="1">
                  <c:v>0</c:v>
                </c:pt>
                <c:pt idx="2">
                  <c:v>0</c:v>
                </c:pt>
                <c:pt idx="3">
                  <c:v>0</c:v>
                </c:pt>
                <c:pt idx="4">
                  <c:v>0</c:v>
                </c:pt>
                <c:pt idx="5">
                  <c:v>0</c:v>
                </c:pt>
                <c:pt idx="6">
                  <c:v>0</c:v>
                </c:pt>
                <c:pt idx="7">
                  <c:v>0</c:v>
                </c:pt>
                <c:pt idx="8">
                  <c:v>0</c:v>
                </c:pt>
                <c:pt idx="9">
                  <c:v>More</c:v>
                </c:pt>
              </c:strCache>
            </c:strRef>
          </c:cat>
          <c:val>
            <c:numRef>
              <c:f>'Water report'!$K$986:$K$995</c:f>
              <c:numCache>
                <c:formatCode>_(* #,##0.00_);_(* \(#,##0.00\);_(* "-"??_);_(@_)</c:formatCode>
                <c:ptCount val="10"/>
                <c:pt idx="0">
                  <c:v>0</c:v>
                </c:pt>
                <c:pt idx="1">
                  <c:v>0</c:v>
                </c:pt>
                <c:pt idx="2">
                  <c:v>0</c:v>
                </c:pt>
                <c:pt idx="3">
                  <c:v>0</c:v>
                </c:pt>
                <c:pt idx="4">
                  <c:v>0</c:v>
                </c:pt>
                <c:pt idx="5">
                  <c:v>0</c:v>
                </c:pt>
                <c:pt idx="6">
                  <c:v>0</c:v>
                </c:pt>
                <c:pt idx="7">
                  <c:v>0</c:v>
                </c:pt>
                <c:pt idx="8">
                  <c:v>0</c:v>
                </c:pt>
                <c:pt idx="9">
                  <c:v>0</c:v>
                </c:pt>
              </c:numCache>
            </c:numRef>
          </c:val>
          <c:extLst>
            <c:ext xmlns:c16="http://schemas.microsoft.com/office/drawing/2014/chart" uri="{C3380CC4-5D6E-409C-BE32-E72D297353CC}">
              <c16:uniqueId val="{00000000-76C4-48AC-8C7E-16069EC8C238}"/>
            </c:ext>
          </c:extLst>
        </c:ser>
        <c:dLbls>
          <c:showLegendKey val="0"/>
          <c:showVal val="0"/>
          <c:showCatName val="0"/>
          <c:showSerName val="0"/>
          <c:showPercent val="0"/>
          <c:showBubbleSize val="0"/>
        </c:dLbls>
        <c:gapWidth val="50"/>
        <c:overlap val="-27"/>
        <c:axId val="1407140495"/>
        <c:axId val="1"/>
      </c:barChart>
      <c:lineChart>
        <c:grouping val="standard"/>
        <c:varyColors val="0"/>
        <c:ser>
          <c:idx val="1"/>
          <c:order val="1"/>
          <c:tx>
            <c:strRef>
              <c:f>'Water report'!$L$985</c:f>
              <c:strCache>
                <c:ptCount val="1"/>
                <c:pt idx="0">
                  <c:v>Total cost per kl </c:v>
                </c:pt>
              </c:strCache>
            </c:strRef>
          </c:tx>
          <c:spPr>
            <a:ln w="28575" cap="rnd">
              <a:solidFill>
                <a:schemeClr val="accent2"/>
              </a:solidFill>
              <a:round/>
            </a:ln>
            <a:effectLst/>
          </c:spPr>
          <c:marker>
            <c:symbol val="none"/>
          </c:marker>
          <c:val>
            <c:numRef>
              <c:f>'Water report'!$L$986:$L$995</c:f>
              <c:numCache>
                <c:formatCode>_(* #,##0.00_);_(* \(#,##0.00\);_(* "-"??_);_(@_)</c:formatCode>
                <c:ptCount val="10"/>
                <c:pt idx="0">
                  <c:v>0</c:v>
                </c:pt>
                <c:pt idx="1">
                  <c:v>0</c:v>
                </c:pt>
                <c:pt idx="2">
                  <c:v>0</c:v>
                </c:pt>
                <c:pt idx="3">
                  <c:v>0</c:v>
                </c:pt>
                <c:pt idx="4">
                  <c:v>0</c:v>
                </c:pt>
                <c:pt idx="5">
                  <c:v>0</c:v>
                </c:pt>
                <c:pt idx="6">
                  <c:v>0</c:v>
                </c:pt>
                <c:pt idx="7">
                  <c:v>0</c:v>
                </c:pt>
                <c:pt idx="8">
                  <c:v>0</c:v>
                </c:pt>
                <c:pt idx="9">
                  <c:v>0</c:v>
                </c:pt>
              </c:numCache>
            </c:numRef>
          </c:val>
          <c:smooth val="0"/>
          <c:extLst>
            <c:ext xmlns:c16="http://schemas.microsoft.com/office/drawing/2014/chart" uri="{C3380CC4-5D6E-409C-BE32-E72D297353CC}">
              <c16:uniqueId val="{00000001-76C4-48AC-8C7E-16069EC8C238}"/>
            </c:ext>
          </c:extLst>
        </c:ser>
        <c:ser>
          <c:idx val="2"/>
          <c:order val="2"/>
          <c:tx>
            <c:strRef>
              <c:f>'Water report'!$M$985</c:f>
              <c:strCache>
                <c:ptCount val="1"/>
                <c:pt idx="0">
                  <c:v>Variable cost per kl</c:v>
                </c:pt>
              </c:strCache>
            </c:strRef>
          </c:tx>
          <c:spPr>
            <a:ln w="28575" cap="rnd">
              <a:solidFill>
                <a:schemeClr val="accent3"/>
              </a:solidFill>
              <a:round/>
            </a:ln>
            <a:effectLst/>
          </c:spPr>
          <c:marker>
            <c:symbol val="none"/>
          </c:marker>
          <c:val>
            <c:numRef>
              <c:f>'Water report'!$M$986:$M$995</c:f>
              <c:numCache>
                <c:formatCode>_(* #,##0.00_);_(* \(#,##0.00\);_(* "-"??_);_(@_)</c:formatCode>
                <c:ptCount val="10"/>
                <c:pt idx="0" formatCode="_-* #\ ##0_-;\-* #\ ##0_-;_-* &quot;-&quot;??_-;_-@_-">
                  <c:v>0</c:v>
                </c:pt>
                <c:pt idx="1">
                  <c:v>0</c:v>
                </c:pt>
                <c:pt idx="2">
                  <c:v>0</c:v>
                </c:pt>
                <c:pt idx="3">
                  <c:v>0</c:v>
                </c:pt>
                <c:pt idx="4">
                  <c:v>0</c:v>
                </c:pt>
                <c:pt idx="5">
                  <c:v>0</c:v>
                </c:pt>
                <c:pt idx="6">
                  <c:v>0</c:v>
                </c:pt>
                <c:pt idx="7">
                  <c:v>0</c:v>
                </c:pt>
                <c:pt idx="8">
                  <c:v>0</c:v>
                </c:pt>
                <c:pt idx="9">
                  <c:v>0</c:v>
                </c:pt>
              </c:numCache>
            </c:numRef>
          </c:val>
          <c:smooth val="0"/>
          <c:extLst>
            <c:ext xmlns:c16="http://schemas.microsoft.com/office/drawing/2014/chart" uri="{C3380CC4-5D6E-409C-BE32-E72D297353CC}">
              <c16:uniqueId val="{00000002-76C4-48AC-8C7E-16069EC8C238}"/>
            </c:ext>
          </c:extLst>
        </c:ser>
        <c:dLbls>
          <c:showLegendKey val="0"/>
          <c:showVal val="0"/>
          <c:showCatName val="0"/>
          <c:showSerName val="0"/>
          <c:showPercent val="0"/>
          <c:showBubbleSize val="0"/>
        </c:dLbls>
        <c:marker val="1"/>
        <c:smooth val="0"/>
        <c:axId val="1407140495"/>
        <c:axId val="1"/>
      </c:lineChart>
      <c:catAx>
        <c:axId val="1407140495"/>
        <c:scaling>
          <c:orientation val="minMax"/>
        </c:scaling>
        <c:delete val="0"/>
        <c:axPos val="b"/>
        <c:title>
          <c:tx>
            <c:rich>
              <a:bodyPr/>
              <a:lstStyle/>
              <a:p>
                <a:pPr>
                  <a:defRPr sz="1000" b="0" i="0" u="none" strike="noStrike" baseline="0">
                    <a:solidFill>
                      <a:srgbClr val="333333"/>
                    </a:solidFill>
                    <a:latin typeface="Calibri"/>
                    <a:ea typeface="Calibri"/>
                    <a:cs typeface="Calibri"/>
                  </a:defRPr>
                </a:pPr>
                <a:r>
                  <a:rPr lang="en-ZA"/>
                  <a:t>Block size</a:t>
                </a:r>
              </a:p>
            </c:rich>
          </c:tx>
          <c:overlay val="0"/>
          <c:spPr>
            <a:noFill/>
            <a:ln w="25400">
              <a:noFill/>
            </a:ln>
          </c:spPr>
        </c:title>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0" vert="horz"/>
          <a:lstStyle/>
          <a:p>
            <a:pPr>
              <a:defRPr sz="900" b="0" i="0" u="none" strike="noStrike" baseline="0">
                <a:solidFill>
                  <a:srgbClr val="333333"/>
                </a:solidFill>
                <a:latin typeface="Calibri"/>
                <a:ea typeface="Calibri"/>
                <a:cs typeface="Calibri"/>
              </a:defRPr>
            </a:pPr>
            <a:endParaRPr lang="en-US"/>
          </a:p>
        </c:txPr>
        <c:crossAx val="1"/>
        <c:crosses val="autoZero"/>
        <c:auto val="1"/>
        <c:lblAlgn val="ctr"/>
        <c:lblOffset val="100"/>
        <c:noMultiLvlLbl val="0"/>
      </c:catAx>
      <c:valAx>
        <c:axId val="1"/>
        <c:scaling>
          <c:orientation val="minMax"/>
        </c:scaling>
        <c:delete val="0"/>
        <c:axPos val="l"/>
        <c:majorGridlines>
          <c:spPr>
            <a:ln w="9525" cap="flat" cmpd="sng" algn="ctr">
              <a:solidFill>
                <a:schemeClr val="tx1">
                  <a:lumMod val="15000"/>
                  <a:lumOff val="85000"/>
                </a:schemeClr>
              </a:solidFill>
              <a:round/>
            </a:ln>
            <a:effectLst/>
          </c:spPr>
        </c:majorGridlines>
        <c:title>
          <c:tx>
            <c:rich>
              <a:bodyPr/>
              <a:lstStyle/>
              <a:p>
                <a:pPr>
                  <a:defRPr sz="1000" b="0" i="0" u="none" strike="noStrike" baseline="0">
                    <a:solidFill>
                      <a:srgbClr val="333333"/>
                    </a:solidFill>
                    <a:latin typeface="Calibri"/>
                    <a:ea typeface="Calibri"/>
                    <a:cs typeface="Calibri"/>
                  </a:defRPr>
                </a:pPr>
                <a:r>
                  <a:rPr lang="en-ZA"/>
                  <a:t>R/kl</a:t>
                </a:r>
              </a:p>
            </c:rich>
          </c:tx>
          <c:overlay val="0"/>
          <c:spPr>
            <a:noFill/>
            <a:ln w="25400">
              <a:noFill/>
            </a:ln>
          </c:spPr>
        </c:title>
        <c:numFmt formatCode="_(* #,##0.00_);_(* \(#,##0.00\);_(* &quot;-&quot;??_);_(@_)" sourceLinked="1"/>
        <c:majorTickMark val="none"/>
        <c:minorTickMark val="none"/>
        <c:tickLblPos val="nextTo"/>
        <c:spPr>
          <a:ln w="6350">
            <a:noFill/>
          </a:ln>
        </c:spPr>
        <c:txPr>
          <a:bodyPr rot="0" vert="horz"/>
          <a:lstStyle/>
          <a:p>
            <a:pPr>
              <a:defRPr sz="900" b="0" i="0" u="none" strike="noStrike" baseline="0">
                <a:solidFill>
                  <a:srgbClr val="333333"/>
                </a:solidFill>
                <a:latin typeface="Calibri"/>
                <a:ea typeface="Calibri"/>
                <a:cs typeface="Calibri"/>
              </a:defRPr>
            </a:pPr>
            <a:endParaRPr lang="en-US"/>
          </a:p>
        </c:txPr>
        <c:crossAx val="1407140495"/>
        <c:crosses val="autoZero"/>
        <c:crossBetween val="between"/>
      </c:valAx>
      <c:spPr>
        <a:noFill/>
        <a:ln w="25400">
          <a:noFill/>
        </a:ln>
      </c:spPr>
    </c:plotArea>
    <c:legend>
      <c:legendPos val="r"/>
      <c:layout>
        <c:manualLayout>
          <c:xMode val="edge"/>
          <c:yMode val="edge"/>
          <c:x val="0.16605689049016475"/>
          <c:y val="0.9270571043484428"/>
          <c:w val="0.65869231290738117"/>
          <c:h val="5.9461445697666204E-2"/>
        </c:manualLayout>
      </c:layout>
      <c:overlay val="0"/>
      <c:spPr>
        <a:noFill/>
        <a:ln w="25400">
          <a:noFill/>
        </a:ln>
      </c:spPr>
      <c:txPr>
        <a:bodyPr/>
        <a:lstStyle/>
        <a:p>
          <a:pPr>
            <a:defRPr sz="690" b="0" i="0" u="none" strike="noStrike" baseline="0">
              <a:solidFill>
                <a:srgbClr val="333333"/>
              </a:solidFill>
              <a:latin typeface="Calibri"/>
              <a:ea typeface="Calibri"/>
              <a:cs typeface="Calibri"/>
            </a:defRPr>
          </a:pPr>
          <a:endParaRPr lang="en-US"/>
        </a:p>
      </c:txPr>
    </c:legend>
    <c:plotVisOnly val="1"/>
    <c:dispBlanksAs val="gap"/>
    <c:showDLblsOverMax val="0"/>
  </c:chart>
  <c:spPr>
    <a:solidFill>
      <a:schemeClr val="bg1"/>
    </a:solidFill>
    <a:ln w="9525" cap="flat" cmpd="sng" algn="ctr">
      <a:noFill/>
      <a:round/>
    </a:ln>
    <a:effectLst/>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charts/chart9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2.3871527777777776E-2"/>
          <c:y val="4.7786414907172239E-2"/>
          <c:w val="0.57559123468941387"/>
          <c:h val="0.83529592857692603"/>
        </c:manualLayout>
      </c:layout>
      <c:barChart>
        <c:barDir val="col"/>
        <c:grouping val="stacked"/>
        <c:varyColors val="0"/>
        <c:ser>
          <c:idx val="0"/>
          <c:order val="0"/>
          <c:tx>
            <c:strRef>
              <c:f>'Water report'!$I$1031</c:f>
              <c:strCache>
                <c:ptCount val="1"/>
                <c:pt idx="0">
                  <c:v>Fixed cost</c:v>
                </c:pt>
              </c:strCache>
            </c:strRef>
          </c:tx>
          <c:spPr>
            <a:solidFill>
              <a:srgbClr val="4472C4"/>
            </a:solidFill>
            <a:ln w="25400">
              <a:noFill/>
            </a:ln>
          </c:spPr>
          <c:invertIfNegative val="0"/>
          <c:dPt>
            <c:idx val="0"/>
            <c:invertIfNegative val="0"/>
            <c:bubble3D val="0"/>
            <c:spPr>
              <a:solidFill>
                <a:srgbClr val="5B9BD5"/>
              </a:solidFill>
              <a:ln w="25400">
                <a:noFill/>
              </a:ln>
            </c:spPr>
            <c:extLst>
              <c:ext xmlns:c16="http://schemas.microsoft.com/office/drawing/2014/chart" uri="{C3380CC4-5D6E-409C-BE32-E72D297353CC}">
                <c16:uniqueId val="{00000000-CD74-45A8-ACF0-8D21FFCE9E1A}"/>
              </c:ext>
            </c:extLst>
          </c:dPt>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'Water report'!$J$1030:$K$1030</c:f>
              <c:strCache>
                <c:ptCount val="2"/>
                <c:pt idx="0">
                  <c:v>Expenditure R'000</c:v>
                </c:pt>
                <c:pt idx="1">
                  <c:v>Revenue R'000</c:v>
                </c:pt>
              </c:strCache>
            </c:strRef>
          </c:cat>
          <c:val>
            <c:numRef>
              <c:f>'Water report'!$J$1031:$K$1031</c:f>
              <c:numCache>
                <c:formatCode>General</c:formatCode>
                <c:ptCount val="2"/>
                <c:pt idx="0" formatCode="_-* #\ ##0_-;\-* #\ ##0_-;_-* &quot;-&quot;??_-;_-@_-">
                  <c:v>0</c:v>
                </c:pt>
              </c:numCache>
            </c:numRef>
          </c:val>
          <c:extLst>
            <c:ext xmlns:c16="http://schemas.microsoft.com/office/drawing/2014/chart" uri="{C3380CC4-5D6E-409C-BE32-E72D297353CC}">
              <c16:uniqueId val="{00000001-CD74-45A8-ACF0-8D21FFCE9E1A}"/>
            </c:ext>
          </c:extLst>
        </c:ser>
        <c:ser>
          <c:idx val="1"/>
          <c:order val="1"/>
          <c:tx>
            <c:strRef>
              <c:f>'Water report'!$I$1032</c:f>
              <c:strCache>
                <c:ptCount val="1"/>
                <c:pt idx="0">
                  <c:v>Variable cost</c:v>
                </c:pt>
              </c:strCache>
            </c:strRef>
          </c:tx>
          <c:spPr>
            <a:solidFill>
              <a:schemeClr val="accent5">
                <a:lumMod val="60000"/>
                <a:lumOff val="40000"/>
              </a:schemeClr>
            </a:solidFill>
            <a:ln>
              <a:noFill/>
            </a:ln>
            <a:effectLst/>
          </c:spPr>
          <c:invertIfNegative val="0"/>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'Water report'!$J$1030:$K$1030</c:f>
              <c:strCache>
                <c:ptCount val="2"/>
                <c:pt idx="0">
                  <c:v>Expenditure R'000</c:v>
                </c:pt>
                <c:pt idx="1">
                  <c:v>Revenue R'000</c:v>
                </c:pt>
              </c:strCache>
            </c:strRef>
          </c:cat>
          <c:val>
            <c:numRef>
              <c:f>'Water report'!$J$1032:$K$1032</c:f>
              <c:numCache>
                <c:formatCode>General</c:formatCode>
                <c:ptCount val="2"/>
                <c:pt idx="0" formatCode="_-* #\ ##0_-;\-* #\ ##0_-;_-* &quot;-&quot;??_-;_-@_-">
                  <c:v>0</c:v>
                </c:pt>
              </c:numCache>
            </c:numRef>
          </c:val>
          <c:extLst>
            <c:ext xmlns:c16="http://schemas.microsoft.com/office/drawing/2014/chart" uri="{C3380CC4-5D6E-409C-BE32-E72D297353CC}">
              <c16:uniqueId val="{00000002-CD74-45A8-ACF0-8D21FFCE9E1A}"/>
            </c:ext>
          </c:extLst>
        </c:ser>
        <c:ser>
          <c:idx val="2"/>
          <c:order val="2"/>
          <c:tx>
            <c:strRef>
              <c:f>'Water report'!$I$1033</c:f>
              <c:strCache>
                <c:ptCount val="1"/>
                <c:pt idx="0">
                  <c:v>Surplus</c:v>
                </c:pt>
              </c:strCache>
            </c:strRef>
          </c:tx>
          <c:spPr>
            <a:solidFill>
              <a:srgbClr val="A5A5A5"/>
            </a:solidFill>
            <a:ln w="25400">
              <a:noFill/>
            </a:ln>
          </c:spPr>
          <c:invertIfNegative val="0"/>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'Water report'!$J$1030:$K$1030</c:f>
              <c:strCache>
                <c:ptCount val="2"/>
                <c:pt idx="0">
                  <c:v>Expenditure R'000</c:v>
                </c:pt>
                <c:pt idx="1">
                  <c:v>Revenue R'000</c:v>
                </c:pt>
              </c:strCache>
            </c:strRef>
          </c:cat>
          <c:val>
            <c:numRef>
              <c:f>'Water report'!$J$1033:$K$1033</c:f>
              <c:numCache>
                <c:formatCode>General</c:formatCode>
                <c:ptCount val="2"/>
                <c:pt idx="0" formatCode="_-* #\ ##0_-;\-* #\ ##0_-;_-* &quot;-&quot;??_-;_-@_-">
                  <c:v>0</c:v>
                </c:pt>
              </c:numCache>
            </c:numRef>
          </c:val>
          <c:extLst>
            <c:ext xmlns:c16="http://schemas.microsoft.com/office/drawing/2014/chart" uri="{C3380CC4-5D6E-409C-BE32-E72D297353CC}">
              <c16:uniqueId val="{00000003-CD74-45A8-ACF0-8D21FFCE9E1A}"/>
            </c:ext>
          </c:extLst>
        </c:ser>
        <c:ser>
          <c:idx val="4"/>
          <c:order val="3"/>
          <c:tx>
            <c:strRef>
              <c:f>'Water report'!$I$1034</c:f>
              <c:strCache>
                <c:ptCount val="1"/>
                <c:pt idx="0">
                  <c:v>Tariff revenue</c:v>
                </c:pt>
              </c:strCache>
            </c:strRef>
          </c:tx>
          <c:spPr>
            <a:solidFill>
              <a:srgbClr val="5B9BD5"/>
            </a:solidFill>
            <a:ln w="25400">
              <a:noFill/>
            </a:ln>
          </c:spPr>
          <c:invertIfNegative val="0"/>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'Water report'!$J$1030:$K$1030</c:f>
              <c:strCache>
                <c:ptCount val="2"/>
                <c:pt idx="0">
                  <c:v>Expenditure R'000</c:v>
                </c:pt>
                <c:pt idx="1">
                  <c:v>Revenue R'000</c:v>
                </c:pt>
              </c:strCache>
            </c:strRef>
          </c:cat>
          <c:val>
            <c:numRef>
              <c:f>'Water report'!$J$1034:$K$1034</c:f>
              <c:numCache>
                <c:formatCode>_-* #\ ##0_-;\-* #\ ##0_-;_-* "-"??_-;_-@_-</c:formatCode>
                <c:ptCount val="2"/>
                <c:pt idx="1">
                  <c:v>0</c:v>
                </c:pt>
              </c:numCache>
            </c:numRef>
          </c:val>
          <c:extLst>
            <c:ext xmlns:c16="http://schemas.microsoft.com/office/drawing/2014/chart" uri="{C3380CC4-5D6E-409C-BE32-E72D297353CC}">
              <c16:uniqueId val="{00000004-CD74-45A8-ACF0-8D21FFCE9E1A}"/>
            </c:ext>
          </c:extLst>
        </c:ser>
        <c:ser>
          <c:idx val="5"/>
          <c:order val="4"/>
          <c:tx>
            <c:strRef>
              <c:f>'Water report'!$I$1035</c:f>
              <c:strCache>
                <c:ptCount val="1"/>
                <c:pt idx="0">
                  <c:v>External grants &amp; subsidies</c:v>
                </c:pt>
              </c:strCache>
            </c:strRef>
          </c:tx>
          <c:spPr>
            <a:solidFill>
              <a:srgbClr val="A5A5A5"/>
            </a:solidFill>
            <a:ln w="25400">
              <a:noFill/>
            </a:ln>
          </c:spPr>
          <c:invertIfNegative val="0"/>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'Water report'!$J$1030:$K$1030</c:f>
              <c:strCache>
                <c:ptCount val="2"/>
                <c:pt idx="0">
                  <c:v>Expenditure R'000</c:v>
                </c:pt>
                <c:pt idx="1">
                  <c:v>Revenue R'000</c:v>
                </c:pt>
              </c:strCache>
            </c:strRef>
          </c:cat>
          <c:val>
            <c:numRef>
              <c:f>'Water report'!$J$1035:$K$1035</c:f>
              <c:numCache>
                <c:formatCode>_-* #\ ##0_-;\-* #\ ##0_-;_-* "-"??_-;_-@_-</c:formatCode>
                <c:ptCount val="2"/>
                <c:pt idx="1">
                  <c:v>0</c:v>
                </c:pt>
              </c:numCache>
            </c:numRef>
          </c:val>
          <c:extLst>
            <c:ext xmlns:c16="http://schemas.microsoft.com/office/drawing/2014/chart" uri="{C3380CC4-5D6E-409C-BE32-E72D297353CC}">
              <c16:uniqueId val="{00000005-CD74-45A8-ACF0-8D21FFCE9E1A}"/>
            </c:ext>
          </c:extLst>
        </c:ser>
        <c:ser>
          <c:idx val="3"/>
          <c:order val="5"/>
          <c:tx>
            <c:strRef>
              <c:f>'Water report'!$I$1036</c:f>
              <c:strCache>
                <c:ptCount val="1"/>
                <c:pt idx="0">
                  <c:v>Other non-tariff revenue</c:v>
                </c:pt>
              </c:strCache>
            </c:strRef>
          </c:tx>
          <c:spPr>
            <a:solidFill>
              <a:schemeClr val="accent3">
                <a:lumMod val="40000"/>
                <a:lumOff val="60000"/>
              </a:schemeClr>
            </a:solidFill>
            <a:ln>
              <a:noFill/>
            </a:ln>
            <a:effectLst/>
          </c:spPr>
          <c:invertIfNegative val="0"/>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'Water report'!$J$1030:$K$1030</c:f>
              <c:strCache>
                <c:ptCount val="2"/>
                <c:pt idx="0">
                  <c:v>Expenditure R'000</c:v>
                </c:pt>
                <c:pt idx="1">
                  <c:v>Revenue R'000</c:v>
                </c:pt>
              </c:strCache>
            </c:strRef>
          </c:cat>
          <c:val>
            <c:numRef>
              <c:f>'Water report'!$J$1036:$K$1036</c:f>
              <c:numCache>
                <c:formatCode>_-* #\ ##0_-;\-* #\ ##0_-;_-* "-"??_-;_-@_-</c:formatCode>
                <c:ptCount val="2"/>
                <c:pt idx="1">
                  <c:v>0</c:v>
                </c:pt>
              </c:numCache>
            </c:numRef>
          </c:val>
          <c:extLst>
            <c:ext xmlns:c16="http://schemas.microsoft.com/office/drawing/2014/chart" uri="{C3380CC4-5D6E-409C-BE32-E72D297353CC}">
              <c16:uniqueId val="{00000006-CD74-45A8-ACF0-8D21FFCE9E1A}"/>
            </c:ext>
          </c:extLst>
        </c:ser>
        <c:ser>
          <c:idx val="6"/>
          <c:order val="6"/>
          <c:tx>
            <c:strRef>
              <c:f>'Water report'!$I$1037</c:f>
              <c:strCache>
                <c:ptCount val="1"/>
                <c:pt idx="0">
                  <c:v>Deficit</c:v>
                </c:pt>
              </c:strCache>
            </c:strRef>
          </c:tx>
          <c:spPr>
            <a:solidFill>
              <a:srgbClr val="ED7D31"/>
            </a:solidFill>
            <a:ln w="25400">
              <a:noFill/>
            </a:ln>
          </c:spPr>
          <c:invertIfNegative val="0"/>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'Water report'!$J$1030:$K$1030</c:f>
              <c:strCache>
                <c:ptCount val="2"/>
                <c:pt idx="0">
                  <c:v>Expenditure R'000</c:v>
                </c:pt>
                <c:pt idx="1">
                  <c:v>Revenue R'000</c:v>
                </c:pt>
              </c:strCache>
            </c:strRef>
          </c:cat>
          <c:val>
            <c:numRef>
              <c:f>'Water report'!$J$1037:$K$1037</c:f>
              <c:numCache>
                <c:formatCode>_-* #\ ##0_-;\-* #\ ##0_-;_-* "-"??_-;_-@_-</c:formatCode>
                <c:ptCount val="2"/>
                <c:pt idx="1">
                  <c:v>0</c:v>
                </c:pt>
              </c:numCache>
            </c:numRef>
          </c:val>
          <c:extLst>
            <c:ext xmlns:c16="http://schemas.microsoft.com/office/drawing/2014/chart" uri="{C3380CC4-5D6E-409C-BE32-E72D297353CC}">
              <c16:uniqueId val="{00000007-CD74-45A8-ACF0-8D21FFCE9E1A}"/>
            </c:ext>
          </c:extLst>
        </c:ser>
        <c:dLbls>
          <c:showLegendKey val="0"/>
          <c:showVal val="0"/>
          <c:showCatName val="0"/>
          <c:showSerName val="0"/>
          <c:showPercent val="0"/>
          <c:showBubbleSize val="0"/>
        </c:dLbls>
        <c:gapWidth val="25"/>
        <c:overlap val="100"/>
        <c:axId val="1407171695"/>
        <c:axId val="1"/>
      </c:barChart>
      <c:catAx>
        <c:axId val="1407171695"/>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0" vert="horz"/>
          <a:lstStyle/>
          <a:p>
            <a:pPr>
              <a:defRPr sz="1100" b="0" i="0" u="none" strike="noStrike" baseline="0">
                <a:solidFill>
                  <a:srgbClr val="000000"/>
                </a:solidFill>
                <a:latin typeface="Calibri"/>
                <a:ea typeface="Calibri"/>
                <a:cs typeface="Calibri"/>
              </a:defRPr>
            </a:pPr>
            <a:endParaRPr lang="en-US"/>
          </a:p>
        </c:txPr>
        <c:crossAx val="1"/>
        <c:crosses val="autoZero"/>
        <c:auto val="1"/>
        <c:lblAlgn val="ctr"/>
        <c:lblOffset val="100"/>
        <c:noMultiLvlLbl val="0"/>
      </c:catAx>
      <c:valAx>
        <c:axId val="1"/>
        <c:scaling>
          <c:orientation val="minMax"/>
        </c:scaling>
        <c:delete val="1"/>
        <c:axPos val="l"/>
        <c:majorGridlines>
          <c:spPr>
            <a:ln w="9525" cap="flat" cmpd="sng" algn="ctr">
              <a:solidFill>
                <a:schemeClr val="tx1">
                  <a:lumMod val="15000"/>
                  <a:lumOff val="85000"/>
                </a:schemeClr>
              </a:solidFill>
              <a:round/>
            </a:ln>
            <a:effectLst/>
          </c:spPr>
        </c:majorGridlines>
        <c:numFmt formatCode="_-* #\ ##0_-;\-* #\ ##0_-;_-* &quot;-&quot;??_-;_-@_-" sourceLinked="1"/>
        <c:majorTickMark val="out"/>
        <c:minorTickMark val="none"/>
        <c:tickLblPos val="nextTo"/>
        <c:crossAx val="1407171695"/>
        <c:crosses val="autoZero"/>
        <c:crossBetween val="between"/>
      </c:valAx>
    </c:plotArea>
    <c:legend>
      <c:legendPos val="r"/>
      <c:layout>
        <c:manualLayout>
          <c:xMode val="edge"/>
          <c:yMode val="edge"/>
          <c:x val="0.63186998885413292"/>
          <c:y val="0.17846767615586512"/>
          <c:w val="0.3476142451371661"/>
          <c:h val="0.70771685846961441"/>
        </c:manualLayout>
      </c:layout>
      <c:overlay val="0"/>
      <c:spPr>
        <a:noFill/>
        <a:ln w="25400">
          <a:noFill/>
        </a:ln>
      </c:spPr>
      <c:txPr>
        <a:bodyPr/>
        <a:lstStyle/>
        <a:p>
          <a:pPr>
            <a:defRPr sz="850" b="0" i="0" u="none" strike="noStrike" baseline="0">
              <a:solidFill>
                <a:srgbClr val="000000"/>
              </a:solidFill>
              <a:latin typeface="Calibri"/>
              <a:ea typeface="Calibri"/>
              <a:cs typeface="Calibri"/>
            </a:defRPr>
          </a:pPr>
          <a:endParaRPr lang="en-US"/>
        </a:p>
      </c:txPr>
    </c:legend>
    <c:plotVisOnly val="1"/>
    <c:dispBlanksAs val="gap"/>
    <c:showDLblsOverMax val="0"/>
  </c:chart>
  <c:spPr>
    <a:solidFill>
      <a:schemeClr val="bg1"/>
    </a:solidFill>
    <a:ln w="9525" cap="flat" cmpd="sng" algn="ctr">
      <a:noFill/>
      <a:round/>
    </a:ln>
    <a:effectLst/>
  </c:spPr>
  <c:txPr>
    <a:bodyPr/>
    <a:lstStyle/>
    <a:p>
      <a:pPr>
        <a:defRPr sz="11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charts/chart9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ser>
          <c:idx val="0"/>
          <c:order val="0"/>
          <c:tx>
            <c:strRef>
              <c:f>'Water report'!$K$1052</c:f>
              <c:strCache>
                <c:ptCount val="1"/>
                <c:pt idx="0">
                  <c:v>Tariff </c:v>
                </c:pt>
              </c:strCache>
            </c:strRef>
          </c:tx>
          <c:spPr>
            <a:solidFill>
              <a:srgbClr val="4472C4"/>
            </a:solidFill>
            <a:ln w="25400">
              <a:noFill/>
            </a:ln>
          </c:spPr>
          <c:invertIfNegative val="0"/>
          <c:dLbls>
            <c:spPr>
              <a:noFill/>
              <a:ln w="25400">
                <a:noFill/>
              </a:ln>
            </c:spPr>
            <c:txPr>
              <a:bodyPr wrap="square" lIns="38100" tIns="19050" rIns="38100" bIns="19050" anchor="ctr">
                <a:spAutoFit/>
              </a:bodyPr>
              <a:lstStyle/>
              <a:p>
                <a:pPr>
                  <a:defRPr sz="900" b="0" i="0" u="none" strike="noStrike" baseline="0">
                    <a:solidFill>
                      <a:srgbClr val="333333"/>
                    </a:solidFill>
                    <a:latin typeface="Calibri"/>
                    <a:ea typeface="Calibri"/>
                    <a:cs typeface="Calibri"/>
                  </a:defRPr>
                </a:pPr>
                <a:endParaRPr lang="en-US"/>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'Water report'!$J$1053:$J$1062</c:f>
              <c:strCache>
                <c:ptCount val="10"/>
                <c:pt idx="0">
                  <c:v>0</c:v>
                </c:pt>
                <c:pt idx="1">
                  <c:v>0</c:v>
                </c:pt>
                <c:pt idx="2">
                  <c:v>0</c:v>
                </c:pt>
                <c:pt idx="3">
                  <c:v>0</c:v>
                </c:pt>
                <c:pt idx="4">
                  <c:v>0</c:v>
                </c:pt>
                <c:pt idx="5">
                  <c:v>0</c:v>
                </c:pt>
                <c:pt idx="6">
                  <c:v>0</c:v>
                </c:pt>
                <c:pt idx="7">
                  <c:v>0</c:v>
                </c:pt>
                <c:pt idx="8">
                  <c:v>0</c:v>
                </c:pt>
                <c:pt idx="9">
                  <c:v>More</c:v>
                </c:pt>
              </c:strCache>
            </c:strRef>
          </c:cat>
          <c:val>
            <c:numRef>
              <c:f>'Water report'!$K$1053:$K$1062</c:f>
              <c:numCache>
                <c:formatCode>_(* #,##0.00_);_(* \(#,##0.00\);_(* "-"??_);_(@_)</c:formatCode>
                <c:ptCount val="10"/>
                <c:pt idx="0">
                  <c:v>0</c:v>
                </c:pt>
                <c:pt idx="1">
                  <c:v>0</c:v>
                </c:pt>
                <c:pt idx="2">
                  <c:v>0</c:v>
                </c:pt>
                <c:pt idx="3">
                  <c:v>0</c:v>
                </c:pt>
                <c:pt idx="4">
                  <c:v>0</c:v>
                </c:pt>
                <c:pt idx="5">
                  <c:v>0</c:v>
                </c:pt>
                <c:pt idx="6">
                  <c:v>0</c:v>
                </c:pt>
                <c:pt idx="7">
                  <c:v>0</c:v>
                </c:pt>
                <c:pt idx="8">
                  <c:v>0</c:v>
                </c:pt>
                <c:pt idx="9">
                  <c:v>0</c:v>
                </c:pt>
              </c:numCache>
            </c:numRef>
          </c:val>
          <c:extLst>
            <c:ext xmlns:c16="http://schemas.microsoft.com/office/drawing/2014/chart" uri="{C3380CC4-5D6E-409C-BE32-E72D297353CC}">
              <c16:uniqueId val="{00000000-EFE2-4B4C-B9B0-FA7EE073902A}"/>
            </c:ext>
          </c:extLst>
        </c:ser>
        <c:dLbls>
          <c:showLegendKey val="0"/>
          <c:showVal val="0"/>
          <c:showCatName val="0"/>
          <c:showSerName val="0"/>
          <c:showPercent val="0"/>
          <c:showBubbleSize val="0"/>
        </c:dLbls>
        <c:gapWidth val="50"/>
        <c:overlap val="-27"/>
        <c:axId val="1407191855"/>
        <c:axId val="1"/>
      </c:barChart>
      <c:lineChart>
        <c:grouping val="standard"/>
        <c:varyColors val="0"/>
        <c:ser>
          <c:idx val="1"/>
          <c:order val="1"/>
          <c:tx>
            <c:strRef>
              <c:f>'Water report'!$L$1052</c:f>
              <c:strCache>
                <c:ptCount val="1"/>
                <c:pt idx="0">
                  <c:v>Total cost per kl </c:v>
                </c:pt>
              </c:strCache>
            </c:strRef>
          </c:tx>
          <c:spPr>
            <a:ln w="28575" cap="rnd">
              <a:solidFill>
                <a:schemeClr val="accent2"/>
              </a:solidFill>
              <a:round/>
            </a:ln>
            <a:effectLst/>
          </c:spPr>
          <c:marker>
            <c:symbol val="none"/>
          </c:marker>
          <c:val>
            <c:numRef>
              <c:f>'Water report'!$L$1053:$L$1062</c:f>
              <c:numCache>
                <c:formatCode>_(* #,##0.00_);_(* \(#,##0.00\);_(* "-"??_);_(@_)</c:formatCode>
                <c:ptCount val="10"/>
                <c:pt idx="0">
                  <c:v>0</c:v>
                </c:pt>
                <c:pt idx="1">
                  <c:v>0</c:v>
                </c:pt>
                <c:pt idx="2">
                  <c:v>0</c:v>
                </c:pt>
                <c:pt idx="3">
                  <c:v>0</c:v>
                </c:pt>
                <c:pt idx="4">
                  <c:v>0</c:v>
                </c:pt>
                <c:pt idx="5">
                  <c:v>0</c:v>
                </c:pt>
                <c:pt idx="6">
                  <c:v>0</c:v>
                </c:pt>
                <c:pt idx="7">
                  <c:v>0</c:v>
                </c:pt>
                <c:pt idx="8">
                  <c:v>0</c:v>
                </c:pt>
                <c:pt idx="9">
                  <c:v>0</c:v>
                </c:pt>
              </c:numCache>
            </c:numRef>
          </c:val>
          <c:smooth val="0"/>
          <c:extLst>
            <c:ext xmlns:c16="http://schemas.microsoft.com/office/drawing/2014/chart" uri="{C3380CC4-5D6E-409C-BE32-E72D297353CC}">
              <c16:uniqueId val="{00000001-EFE2-4B4C-B9B0-FA7EE073902A}"/>
            </c:ext>
          </c:extLst>
        </c:ser>
        <c:ser>
          <c:idx val="2"/>
          <c:order val="2"/>
          <c:tx>
            <c:strRef>
              <c:f>'Water report'!$M$1052</c:f>
              <c:strCache>
                <c:ptCount val="1"/>
                <c:pt idx="0">
                  <c:v>Variable cost per kl</c:v>
                </c:pt>
              </c:strCache>
            </c:strRef>
          </c:tx>
          <c:spPr>
            <a:ln w="28575" cap="rnd">
              <a:solidFill>
                <a:schemeClr val="accent3"/>
              </a:solidFill>
              <a:round/>
            </a:ln>
            <a:effectLst/>
          </c:spPr>
          <c:marker>
            <c:symbol val="none"/>
          </c:marker>
          <c:val>
            <c:numRef>
              <c:f>'Water report'!$M$1053:$M$1062</c:f>
              <c:numCache>
                <c:formatCode>_(* #,##0.00_);_(* \(#,##0.00\);_(* "-"??_);_(@_)</c:formatCode>
                <c:ptCount val="10"/>
                <c:pt idx="0" formatCode="_-* #\ ##0_-;\-* #\ ##0_-;_-* &quot;-&quot;??_-;_-@_-">
                  <c:v>0</c:v>
                </c:pt>
                <c:pt idx="1">
                  <c:v>0</c:v>
                </c:pt>
                <c:pt idx="2">
                  <c:v>0</c:v>
                </c:pt>
                <c:pt idx="3">
                  <c:v>0</c:v>
                </c:pt>
                <c:pt idx="4">
                  <c:v>0</c:v>
                </c:pt>
                <c:pt idx="5">
                  <c:v>0</c:v>
                </c:pt>
                <c:pt idx="6">
                  <c:v>0</c:v>
                </c:pt>
                <c:pt idx="7">
                  <c:v>0</c:v>
                </c:pt>
                <c:pt idx="8">
                  <c:v>0</c:v>
                </c:pt>
                <c:pt idx="9">
                  <c:v>0</c:v>
                </c:pt>
              </c:numCache>
            </c:numRef>
          </c:val>
          <c:smooth val="0"/>
          <c:extLst>
            <c:ext xmlns:c16="http://schemas.microsoft.com/office/drawing/2014/chart" uri="{C3380CC4-5D6E-409C-BE32-E72D297353CC}">
              <c16:uniqueId val="{00000002-EFE2-4B4C-B9B0-FA7EE073902A}"/>
            </c:ext>
          </c:extLst>
        </c:ser>
        <c:dLbls>
          <c:showLegendKey val="0"/>
          <c:showVal val="0"/>
          <c:showCatName val="0"/>
          <c:showSerName val="0"/>
          <c:showPercent val="0"/>
          <c:showBubbleSize val="0"/>
        </c:dLbls>
        <c:marker val="1"/>
        <c:smooth val="0"/>
        <c:axId val="1407191855"/>
        <c:axId val="1"/>
      </c:lineChart>
      <c:catAx>
        <c:axId val="1407191855"/>
        <c:scaling>
          <c:orientation val="minMax"/>
        </c:scaling>
        <c:delete val="0"/>
        <c:axPos val="b"/>
        <c:title>
          <c:tx>
            <c:rich>
              <a:bodyPr/>
              <a:lstStyle/>
              <a:p>
                <a:pPr>
                  <a:defRPr sz="1000" b="0" i="0" u="none" strike="noStrike" baseline="0">
                    <a:solidFill>
                      <a:srgbClr val="333333"/>
                    </a:solidFill>
                    <a:latin typeface="Calibri"/>
                    <a:ea typeface="Calibri"/>
                    <a:cs typeface="Calibri"/>
                  </a:defRPr>
                </a:pPr>
                <a:r>
                  <a:rPr lang="en-ZA"/>
                  <a:t>Block size</a:t>
                </a:r>
              </a:p>
            </c:rich>
          </c:tx>
          <c:overlay val="0"/>
          <c:spPr>
            <a:noFill/>
            <a:ln w="25400">
              <a:noFill/>
            </a:ln>
          </c:spPr>
        </c:title>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0" vert="horz"/>
          <a:lstStyle/>
          <a:p>
            <a:pPr>
              <a:defRPr sz="900" b="0" i="0" u="none" strike="noStrike" baseline="0">
                <a:solidFill>
                  <a:srgbClr val="333333"/>
                </a:solidFill>
                <a:latin typeface="Calibri"/>
                <a:ea typeface="Calibri"/>
                <a:cs typeface="Calibri"/>
              </a:defRPr>
            </a:pPr>
            <a:endParaRPr lang="en-US"/>
          </a:p>
        </c:txPr>
        <c:crossAx val="1"/>
        <c:crosses val="autoZero"/>
        <c:auto val="1"/>
        <c:lblAlgn val="ctr"/>
        <c:lblOffset val="100"/>
        <c:noMultiLvlLbl val="0"/>
      </c:catAx>
      <c:valAx>
        <c:axId val="1"/>
        <c:scaling>
          <c:orientation val="minMax"/>
        </c:scaling>
        <c:delete val="0"/>
        <c:axPos val="l"/>
        <c:majorGridlines>
          <c:spPr>
            <a:ln w="9525" cap="flat" cmpd="sng" algn="ctr">
              <a:solidFill>
                <a:schemeClr val="tx1">
                  <a:lumMod val="15000"/>
                  <a:lumOff val="85000"/>
                </a:schemeClr>
              </a:solidFill>
              <a:round/>
            </a:ln>
            <a:effectLst/>
          </c:spPr>
        </c:majorGridlines>
        <c:title>
          <c:tx>
            <c:rich>
              <a:bodyPr/>
              <a:lstStyle/>
              <a:p>
                <a:pPr>
                  <a:defRPr sz="1000" b="0" i="0" u="none" strike="noStrike" baseline="0">
                    <a:solidFill>
                      <a:srgbClr val="333333"/>
                    </a:solidFill>
                    <a:latin typeface="Calibri"/>
                    <a:ea typeface="Calibri"/>
                    <a:cs typeface="Calibri"/>
                  </a:defRPr>
                </a:pPr>
                <a:r>
                  <a:rPr lang="en-ZA"/>
                  <a:t>R/kl</a:t>
                </a:r>
              </a:p>
            </c:rich>
          </c:tx>
          <c:overlay val="0"/>
          <c:spPr>
            <a:noFill/>
            <a:ln w="25400">
              <a:noFill/>
            </a:ln>
          </c:spPr>
        </c:title>
        <c:numFmt formatCode="_(* #,##0.00_);_(* \(#,##0.00\);_(* &quot;-&quot;??_);_(@_)" sourceLinked="1"/>
        <c:majorTickMark val="none"/>
        <c:minorTickMark val="none"/>
        <c:tickLblPos val="nextTo"/>
        <c:spPr>
          <a:ln w="6350">
            <a:noFill/>
          </a:ln>
        </c:spPr>
        <c:txPr>
          <a:bodyPr rot="0" vert="horz"/>
          <a:lstStyle/>
          <a:p>
            <a:pPr>
              <a:defRPr sz="900" b="0" i="0" u="none" strike="noStrike" baseline="0">
                <a:solidFill>
                  <a:srgbClr val="333333"/>
                </a:solidFill>
                <a:latin typeface="Calibri"/>
                <a:ea typeface="Calibri"/>
                <a:cs typeface="Calibri"/>
              </a:defRPr>
            </a:pPr>
            <a:endParaRPr lang="en-US"/>
          </a:p>
        </c:txPr>
        <c:crossAx val="1407191855"/>
        <c:crosses val="autoZero"/>
        <c:crossBetween val="between"/>
      </c:valAx>
      <c:spPr>
        <a:noFill/>
        <a:ln w="25400">
          <a:noFill/>
        </a:ln>
      </c:spPr>
    </c:plotArea>
    <c:legend>
      <c:legendPos val="r"/>
      <c:layout>
        <c:manualLayout>
          <c:xMode val="edge"/>
          <c:yMode val="edge"/>
          <c:x val="0.16605689049016475"/>
          <c:y val="0.9270571043484428"/>
          <c:w val="0.65869231290738117"/>
          <c:h val="5.9461445697666204E-2"/>
        </c:manualLayout>
      </c:layout>
      <c:overlay val="0"/>
      <c:spPr>
        <a:noFill/>
        <a:ln w="25400">
          <a:noFill/>
        </a:ln>
      </c:spPr>
      <c:txPr>
        <a:bodyPr/>
        <a:lstStyle/>
        <a:p>
          <a:pPr>
            <a:defRPr sz="690" b="0" i="0" u="none" strike="noStrike" baseline="0">
              <a:solidFill>
                <a:srgbClr val="333333"/>
              </a:solidFill>
              <a:latin typeface="Calibri"/>
              <a:ea typeface="Calibri"/>
              <a:cs typeface="Calibri"/>
            </a:defRPr>
          </a:pPr>
          <a:endParaRPr lang="en-US"/>
        </a:p>
      </c:txPr>
    </c:legend>
    <c:plotVisOnly val="1"/>
    <c:dispBlanksAs val="gap"/>
    <c:showDLblsOverMax val="0"/>
  </c:chart>
  <c:spPr>
    <a:solidFill>
      <a:schemeClr val="bg1"/>
    </a:solidFill>
    <a:ln w="9525" cap="flat" cmpd="sng" algn="ctr">
      <a:noFill/>
      <a:round/>
    </a:ln>
    <a:effectLst/>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charts/chart9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2.3871527777777776E-2"/>
          <c:y val="4.7786414907172239E-2"/>
          <c:w val="0.57559123468941387"/>
          <c:h val="0.83529592857692603"/>
        </c:manualLayout>
      </c:layout>
      <c:barChart>
        <c:barDir val="col"/>
        <c:grouping val="stacked"/>
        <c:varyColors val="0"/>
        <c:ser>
          <c:idx val="0"/>
          <c:order val="0"/>
          <c:tx>
            <c:strRef>
              <c:f>'Water report'!$I$1096</c:f>
              <c:strCache>
                <c:ptCount val="1"/>
                <c:pt idx="0">
                  <c:v>Fixed cost</c:v>
                </c:pt>
              </c:strCache>
            </c:strRef>
          </c:tx>
          <c:spPr>
            <a:solidFill>
              <a:srgbClr val="4472C4"/>
            </a:solidFill>
            <a:ln w="25400">
              <a:noFill/>
            </a:ln>
          </c:spPr>
          <c:invertIfNegative val="0"/>
          <c:dPt>
            <c:idx val="0"/>
            <c:invertIfNegative val="0"/>
            <c:bubble3D val="0"/>
            <c:spPr>
              <a:solidFill>
                <a:srgbClr val="5B9BD5"/>
              </a:solidFill>
              <a:ln w="25400">
                <a:noFill/>
              </a:ln>
            </c:spPr>
            <c:extLst>
              <c:ext xmlns:c16="http://schemas.microsoft.com/office/drawing/2014/chart" uri="{C3380CC4-5D6E-409C-BE32-E72D297353CC}">
                <c16:uniqueId val="{00000000-BD6F-41DC-8DD3-8BADFA008F0E}"/>
              </c:ext>
            </c:extLst>
          </c:dPt>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'Water report'!$J$1095:$K$1095</c:f>
              <c:strCache>
                <c:ptCount val="2"/>
                <c:pt idx="0">
                  <c:v>Expenditure R'000</c:v>
                </c:pt>
                <c:pt idx="1">
                  <c:v>Revenue R'000</c:v>
                </c:pt>
              </c:strCache>
            </c:strRef>
          </c:cat>
          <c:val>
            <c:numRef>
              <c:f>'Water report'!$J$1096:$K$1096</c:f>
              <c:numCache>
                <c:formatCode>General</c:formatCode>
                <c:ptCount val="2"/>
                <c:pt idx="0" formatCode="_-* #\ ##0_-;\-* #\ ##0_-;_-* &quot;-&quot;??_-;_-@_-">
                  <c:v>0</c:v>
                </c:pt>
              </c:numCache>
            </c:numRef>
          </c:val>
          <c:extLst>
            <c:ext xmlns:c16="http://schemas.microsoft.com/office/drawing/2014/chart" uri="{C3380CC4-5D6E-409C-BE32-E72D297353CC}">
              <c16:uniqueId val="{00000001-BD6F-41DC-8DD3-8BADFA008F0E}"/>
            </c:ext>
          </c:extLst>
        </c:ser>
        <c:ser>
          <c:idx val="1"/>
          <c:order val="1"/>
          <c:tx>
            <c:strRef>
              <c:f>'Water report'!$I$1097</c:f>
              <c:strCache>
                <c:ptCount val="1"/>
                <c:pt idx="0">
                  <c:v>Variable cost</c:v>
                </c:pt>
              </c:strCache>
            </c:strRef>
          </c:tx>
          <c:spPr>
            <a:solidFill>
              <a:schemeClr val="accent5">
                <a:lumMod val="60000"/>
                <a:lumOff val="40000"/>
              </a:schemeClr>
            </a:solidFill>
            <a:ln>
              <a:noFill/>
            </a:ln>
            <a:effectLst/>
          </c:spPr>
          <c:invertIfNegative val="0"/>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'Water report'!$J$1095:$K$1095</c:f>
              <c:strCache>
                <c:ptCount val="2"/>
                <c:pt idx="0">
                  <c:v>Expenditure R'000</c:v>
                </c:pt>
                <c:pt idx="1">
                  <c:v>Revenue R'000</c:v>
                </c:pt>
              </c:strCache>
            </c:strRef>
          </c:cat>
          <c:val>
            <c:numRef>
              <c:f>'Water report'!$J$1097:$K$1097</c:f>
              <c:numCache>
                <c:formatCode>General</c:formatCode>
                <c:ptCount val="2"/>
                <c:pt idx="0" formatCode="_-* #\ ##0_-;\-* #\ ##0_-;_-* &quot;-&quot;??_-;_-@_-">
                  <c:v>0</c:v>
                </c:pt>
              </c:numCache>
            </c:numRef>
          </c:val>
          <c:extLst>
            <c:ext xmlns:c16="http://schemas.microsoft.com/office/drawing/2014/chart" uri="{C3380CC4-5D6E-409C-BE32-E72D297353CC}">
              <c16:uniqueId val="{00000002-BD6F-41DC-8DD3-8BADFA008F0E}"/>
            </c:ext>
          </c:extLst>
        </c:ser>
        <c:ser>
          <c:idx val="2"/>
          <c:order val="2"/>
          <c:tx>
            <c:strRef>
              <c:f>'Water report'!$I$1098</c:f>
              <c:strCache>
                <c:ptCount val="1"/>
                <c:pt idx="0">
                  <c:v>Surplus</c:v>
                </c:pt>
              </c:strCache>
            </c:strRef>
          </c:tx>
          <c:spPr>
            <a:solidFill>
              <a:srgbClr val="A5A5A5"/>
            </a:solidFill>
            <a:ln w="25400">
              <a:noFill/>
            </a:ln>
          </c:spPr>
          <c:invertIfNegative val="0"/>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'Water report'!$J$1095:$K$1095</c:f>
              <c:strCache>
                <c:ptCount val="2"/>
                <c:pt idx="0">
                  <c:v>Expenditure R'000</c:v>
                </c:pt>
                <c:pt idx="1">
                  <c:v>Revenue R'000</c:v>
                </c:pt>
              </c:strCache>
            </c:strRef>
          </c:cat>
          <c:val>
            <c:numRef>
              <c:f>'Water report'!$J$1098:$K$1098</c:f>
              <c:numCache>
                <c:formatCode>General</c:formatCode>
                <c:ptCount val="2"/>
                <c:pt idx="0" formatCode="_-* #\ ##0_-;\-* #\ ##0_-;_-* &quot;-&quot;??_-;_-@_-">
                  <c:v>0</c:v>
                </c:pt>
              </c:numCache>
            </c:numRef>
          </c:val>
          <c:extLst>
            <c:ext xmlns:c16="http://schemas.microsoft.com/office/drawing/2014/chart" uri="{C3380CC4-5D6E-409C-BE32-E72D297353CC}">
              <c16:uniqueId val="{00000003-BD6F-41DC-8DD3-8BADFA008F0E}"/>
            </c:ext>
          </c:extLst>
        </c:ser>
        <c:ser>
          <c:idx val="4"/>
          <c:order val="3"/>
          <c:tx>
            <c:strRef>
              <c:f>'Water report'!$I$1099</c:f>
              <c:strCache>
                <c:ptCount val="1"/>
                <c:pt idx="0">
                  <c:v>Tariff revenue</c:v>
                </c:pt>
              </c:strCache>
            </c:strRef>
          </c:tx>
          <c:spPr>
            <a:solidFill>
              <a:srgbClr val="5B9BD5"/>
            </a:solidFill>
            <a:ln w="25400">
              <a:noFill/>
            </a:ln>
          </c:spPr>
          <c:invertIfNegative val="0"/>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'Water report'!$J$1095:$K$1095</c:f>
              <c:strCache>
                <c:ptCount val="2"/>
                <c:pt idx="0">
                  <c:v>Expenditure R'000</c:v>
                </c:pt>
                <c:pt idx="1">
                  <c:v>Revenue R'000</c:v>
                </c:pt>
              </c:strCache>
            </c:strRef>
          </c:cat>
          <c:val>
            <c:numRef>
              <c:f>'Water report'!$J$1099:$K$1099</c:f>
              <c:numCache>
                <c:formatCode>_-* #\ ##0_-;\-* #\ ##0_-;_-* "-"??_-;_-@_-</c:formatCode>
                <c:ptCount val="2"/>
                <c:pt idx="1">
                  <c:v>0</c:v>
                </c:pt>
              </c:numCache>
            </c:numRef>
          </c:val>
          <c:extLst>
            <c:ext xmlns:c16="http://schemas.microsoft.com/office/drawing/2014/chart" uri="{C3380CC4-5D6E-409C-BE32-E72D297353CC}">
              <c16:uniqueId val="{00000004-BD6F-41DC-8DD3-8BADFA008F0E}"/>
            </c:ext>
          </c:extLst>
        </c:ser>
        <c:ser>
          <c:idx val="5"/>
          <c:order val="4"/>
          <c:tx>
            <c:strRef>
              <c:f>'Water report'!$I$1100</c:f>
              <c:strCache>
                <c:ptCount val="1"/>
                <c:pt idx="0">
                  <c:v>External grants &amp; subsidies</c:v>
                </c:pt>
              </c:strCache>
            </c:strRef>
          </c:tx>
          <c:spPr>
            <a:solidFill>
              <a:srgbClr val="A5A5A5"/>
            </a:solidFill>
            <a:ln w="25400">
              <a:noFill/>
            </a:ln>
          </c:spPr>
          <c:invertIfNegative val="0"/>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'Water report'!$J$1095:$K$1095</c:f>
              <c:strCache>
                <c:ptCount val="2"/>
                <c:pt idx="0">
                  <c:v>Expenditure R'000</c:v>
                </c:pt>
                <c:pt idx="1">
                  <c:v>Revenue R'000</c:v>
                </c:pt>
              </c:strCache>
            </c:strRef>
          </c:cat>
          <c:val>
            <c:numRef>
              <c:f>'Water report'!$J$1100:$K$1100</c:f>
              <c:numCache>
                <c:formatCode>_-* #\ ##0_-;\-* #\ ##0_-;_-* "-"??_-;_-@_-</c:formatCode>
                <c:ptCount val="2"/>
                <c:pt idx="1">
                  <c:v>0</c:v>
                </c:pt>
              </c:numCache>
            </c:numRef>
          </c:val>
          <c:extLst>
            <c:ext xmlns:c16="http://schemas.microsoft.com/office/drawing/2014/chart" uri="{C3380CC4-5D6E-409C-BE32-E72D297353CC}">
              <c16:uniqueId val="{00000005-BD6F-41DC-8DD3-8BADFA008F0E}"/>
            </c:ext>
          </c:extLst>
        </c:ser>
        <c:ser>
          <c:idx val="3"/>
          <c:order val="5"/>
          <c:tx>
            <c:strRef>
              <c:f>'Water report'!$I$1101</c:f>
              <c:strCache>
                <c:ptCount val="1"/>
                <c:pt idx="0">
                  <c:v>Other non-tariff revenue</c:v>
                </c:pt>
              </c:strCache>
            </c:strRef>
          </c:tx>
          <c:spPr>
            <a:solidFill>
              <a:schemeClr val="accent3">
                <a:lumMod val="40000"/>
                <a:lumOff val="60000"/>
              </a:schemeClr>
            </a:solidFill>
            <a:ln>
              <a:noFill/>
            </a:ln>
            <a:effectLst/>
          </c:spPr>
          <c:invertIfNegative val="0"/>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'Water report'!$J$1095:$K$1095</c:f>
              <c:strCache>
                <c:ptCount val="2"/>
                <c:pt idx="0">
                  <c:v>Expenditure R'000</c:v>
                </c:pt>
                <c:pt idx="1">
                  <c:v>Revenue R'000</c:v>
                </c:pt>
              </c:strCache>
            </c:strRef>
          </c:cat>
          <c:val>
            <c:numRef>
              <c:f>'Water report'!$J$1101:$K$1101</c:f>
              <c:numCache>
                <c:formatCode>_-* #\ ##0_-;\-* #\ ##0_-;_-* "-"??_-;_-@_-</c:formatCode>
                <c:ptCount val="2"/>
                <c:pt idx="1">
                  <c:v>0</c:v>
                </c:pt>
              </c:numCache>
            </c:numRef>
          </c:val>
          <c:extLst>
            <c:ext xmlns:c16="http://schemas.microsoft.com/office/drawing/2014/chart" uri="{C3380CC4-5D6E-409C-BE32-E72D297353CC}">
              <c16:uniqueId val="{00000006-BD6F-41DC-8DD3-8BADFA008F0E}"/>
            </c:ext>
          </c:extLst>
        </c:ser>
        <c:ser>
          <c:idx val="6"/>
          <c:order val="6"/>
          <c:tx>
            <c:strRef>
              <c:f>'Water report'!$I$1102</c:f>
              <c:strCache>
                <c:ptCount val="1"/>
                <c:pt idx="0">
                  <c:v>Deficit</c:v>
                </c:pt>
              </c:strCache>
            </c:strRef>
          </c:tx>
          <c:spPr>
            <a:solidFill>
              <a:srgbClr val="ED7D31"/>
            </a:solidFill>
            <a:ln w="25400">
              <a:noFill/>
            </a:ln>
          </c:spPr>
          <c:invertIfNegative val="0"/>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'Water report'!$J$1095:$K$1095</c:f>
              <c:strCache>
                <c:ptCount val="2"/>
                <c:pt idx="0">
                  <c:v>Expenditure R'000</c:v>
                </c:pt>
                <c:pt idx="1">
                  <c:v>Revenue R'000</c:v>
                </c:pt>
              </c:strCache>
            </c:strRef>
          </c:cat>
          <c:val>
            <c:numRef>
              <c:f>'Water report'!$J$1102:$K$1102</c:f>
              <c:numCache>
                <c:formatCode>_-* #\ ##0_-;\-* #\ ##0_-;_-* "-"??_-;_-@_-</c:formatCode>
                <c:ptCount val="2"/>
                <c:pt idx="1">
                  <c:v>0</c:v>
                </c:pt>
              </c:numCache>
            </c:numRef>
          </c:val>
          <c:extLst>
            <c:ext xmlns:c16="http://schemas.microsoft.com/office/drawing/2014/chart" uri="{C3380CC4-5D6E-409C-BE32-E72D297353CC}">
              <c16:uniqueId val="{00000007-BD6F-41DC-8DD3-8BADFA008F0E}"/>
            </c:ext>
          </c:extLst>
        </c:ser>
        <c:dLbls>
          <c:showLegendKey val="0"/>
          <c:showVal val="0"/>
          <c:showCatName val="0"/>
          <c:showSerName val="0"/>
          <c:showPercent val="0"/>
          <c:showBubbleSize val="0"/>
        </c:dLbls>
        <c:gapWidth val="25"/>
        <c:overlap val="100"/>
        <c:axId val="1407173135"/>
        <c:axId val="1"/>
      </c:barChart>
      <c:catAx>
        <c:axId val="1407173135"/>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0" vert="horz"/>
          <a:lstStyle/>
          <a:p>
            <a:pPr>
              <a:defRPr sz="1100" b="0" i="0" u="none" strike="noStrike" baseline="0">
                <a:solidFill>
                  <a:srgbClr val="000000"/>
                </a:solidFill>
                <a:latin typeface="Calibri"/>
                <a:ea typeface="Calibri"/>
                <a:cs typeface="Calibri"/>
              </a:defRPr>
            </a:pPr>
            <a:endParaRPr lang="en-US"/>
          </a:p>
        </c:txPr>
        <c:crossAx val="1"/>
        <c:crosses val="autoZero"/>
        <c:auto val="1"/>
        <c:lblAlgn val="ctr"/>
        <c:lblOffset val="100"/>
        <c:noMultiLvlLbl val="0"/>
      </c:catAx>
      <c:valAx>
        <c:axId val="1"/>
        <c:scaling>
          <c:orientation val="minMax"/>
        </c:scaling>
        <c:delete val="1"/>
        <c:axPos val="l"/>
        <c:majorGridlines>
          <c:spPr>
            <a:ln w="9525" cap="flat" cmpd="sng" algn="ctr">
              <a:solidFill>
                <a:schemeClr val="tx1">
                  <a:lumMod val="15000"/>
                  <a:lumOff val="85000"/>
                </a:schemeClr>
              </a:solidFill>
              <a:round/>
            </a:ln>
            <a:effectLst/>
          </c:spPr>
        </c:majorGridlines>
        <c:numFmt formatCode="_-* #\ ##0_-;\-* #\ ##0_-;_-* &quot;-&quot;??_-;_-@_-" sourceLinked="1"/>
        <c:majorTickMark val="out"/>
        <c:minorTickMark val="none"/>
        <c:tickLblPos val="nextTo"/>
        <c:crossAx val="1407173135"/>
        <c:crosses val="autoZero"/>
        <c:crossBetween val="between"/>
      </c:valAx>
    </c:plotArea>
    <c:legend>
      <c:legendPos val="r"/>
      <c:layout>
        <c:manualLayout>
          <c:xMode val="edge"/>
          <c:yMode val="edge"/>
          <c:x val="0.63196485855934681"/>
          <c:y val="0.17846767615586512"/>
          <c:w val="0.34896963400408276"/>
          <c:h val="0.70771685846961441"/>
        </c:manualLayout>
      </c:layout>
      <c:overlay val="0"/>
      <c:spPr>
        <a:noFill/>
        <a:ln w="25400">
          <a:noFill/>
        </a:ln>
      </c:spPr>
      <c:txPr>
        <a:bodyPr/>
        <a:lstStyle/>
        <a:p>
          <a:pPr>
            <a:defRPr sz="850" b="0" i="0" u="none" strike="noStrike" baseline="0">
              <a:solidFill>
                <a:srgbClr val="000000"/>
              </a:solidFill>
              <a:latin typeface="Calibri"/>
              <a:ea typeface="Calibri"/>
              <a:cs typeface="Calibri"/>
            </a:defRPr>
          </a:pPr>
          <a:endParaRPr lang="en-US"/>
        </a:p>
      </c:txPr>
    </c:legend>
    <c:plotVisOnly val="1"/>
    <c:dispBlanksAs val="gap"/>
    <c:showDLblsOverMax val="0"/>
  </c:chart>
  <c:spPr>
    <a:solidFill>
      <a:schemeClr val="bg1"/>
    </a:solidFill>
    <a:ln w="9525" cap="flat" cmpd="sng" algn="ctr">
      <a:noFill/>
      <a:round/>
    </a:ln>
    <a:effectLst/>
  </c:spPr>
  <c:txPr>
    <a:bodyPr/>
    <a:lstStyle/>
    <a:p>
      <a:pPr>
        <a:defRPr sz="11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charts/chart9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ser>
          <c:idx val="0"/>
          <c:order val="0"/>
          <c:tx>
            <c:strRef>
              <c:f>'Water report'!$K$1119</c:f>
              <c:strCache>
                <c:ptCount val="1"/>
                <c:pt idx="0">
                  <c:v>Tariff </c:v>
                </c:pt>
              </c:strCache>
            </c:strRef>
          </c:tx>
          <c:spPr>
            <a:solidFill>
              <a:srgbClr val="4472C4"/>
            </a:solidFill>
            <a:ln w="25400">
              <a:noFill/>
            </a:ln>
          </c:spPr>
          <c:invertIfNegative val="0"/>
          <c:dLbls>
            <c:spPr>
              <a:noFill/>
              <a:ln w="25400">
                <a:noFill/>
              </a:ln>
            </c:spPr>
            <c:txPr>
              <a:bodyPr wrap="square" lIns="38100" tIns="19050" rIns="38100" bIns="19050" anchor="ctr">
                <a:spAutoFit/>
              </a:bodyPr>
              <a:lstStyle/>
              <a:p>
                <a:pPr>
                  <a:defRPr sz="900" b="0" i="0" u="none" strike="noStrike" baseline="0">
                    <a:solidFill>
                      <a:srgbClr val="333333"/>
                    </a:solidFill>
                    <a:latin typeface="Calibri"/>
                    <a:ea typeface="Calibri"/>
                    <a:cs typeface="Calibri"/>
                  </a:defRPr>
                </a:pPr>
                <a:endParaRPr lang="en-US"/>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'Water report'!$J$1120:$J$1129</c:f>
              <c:strCache>
                <c:ptCount val="10"/>
                <c:pt idx="0">
                  <c:v>0</c:v>
                </c:pt>
                <c:pt idx="1">
                  <c:v>0</c:v>
                </c:pt>
                <c:pt idx="2">
                  <c:v>0</c:v>
                </c:pt>
                <c:pt idx="3">
                  <c:v>0</c:v>
                </c:pt>
                <c:pt idx="4">
                  <c:v>0</c:v>
                </c:pt>
                <c:pt idx="5">
                  <c:v>0</c:v>
                </c:pt>
                <c:pt idx="6">
                  <c:v>0</c:v>
                </c:pt>
                <c:pt idx="7">
                  <c:v>0</c:v>
                </c:pt>
                <c:pt idx="8">
                  <c:v>0</c:v>
                </c:pt>
                <c:pt idx="9">
                  <c:v>More</c:v>
                </c:pt>
              </c:strCache>
            </c:strRef>
          </c:cat>
          <c:val>
            <c:numRef>
              <c:f>'Water report'!$K$1120:$K$1129</c:f>
              <c:numCache>
                <c:formatCode>_(* #,##0.00_);_(* \(#,##0.00\);_(* "-"??_);_(@_)</c:formatCode>
                <c:ptCount val="10"/>
                <c:pt idx="0">
                  <c:v>0</c:v>
                </c:pt>
                <c:pt idx="1">
                  <c:v>0</c:v>
                </c:pt>
                <c:pt idx="2">
                  <c:v>0</c:v>
                </c:pt>
                <c:pt idx="3">
                  <c:v>0</c:v>
                </c:pt>
                <c:pt idx="4">
                  <c:v>0</c:v>
                </c:pt>
                <c:pt idx="5">
                  <c:v>0</c:v>
                </c:pt>
                <c:pt idx="6">
                  <c:v>0</c:v>
                </c:pt>
                <c:pt idx="7">
                  <c:v>0</c:v>
                </c:pt>
                <c:pt idx="8">
                  <c:v>0</c:v>
                </c:pt>
                <c:pt idx="9">
                  <c:v>0</c:v>
                </c:pt>
              </c:numCache>
            </c:numRef>
          </c:val>
          <c:extLst>
            <c:ext xmlns:c16="http://schemas.microsoft.com/office/drawing/2014/chart" uri="{C3380CC4-5D6E-409C-BE32-E72D297353CC}">
              <c16:uniqueId val="{00000000-5C76-490F-9B09-4A19D1129F9C}"/>
            </c:ext>
          </c:extLst>
        </c:ser>
        <c:dLbls>
          <c:showLegendKey val="0"/>
          <c:showVal val="0"/>
          <c:showCatName val="0"/>
          <c:showSerName val="0"/>
          <c:showPercent val="0"/>
          <c:showBubbleSize val="0"/>
        </c:dLbls>
        <c:gapWidth val="50"/>
        <c:overlap val="-27"/>
        <c:axId val="1407164015"/>
        <c:axId val="1"/>
      </c:barChart>
      <c:lineChart>
        <c:grouping val="standard"/>
        <c:varyColors val="0"/>
        <c:ser>
          <c:idx val="1"/>
          <c:order val="1"/>
          <c:tx>
            <c:strRef>
              <c:f>'Water report'!$L$1119</c:f>
              <c:strCache>
                <c:ptCount val="1"/>
                <c:pt idx="0">
                  <c:v>Total cost per kl </c:v>
                </c:pt>
              </c:strCache>
            </c:strRef>
          </c:tx>
          <c:spPr>
            <a:ln w="28575" cap="rnd">
              <a:solidFill>
                <a:schemeClr val="accent2"/>
              </a:solidFill>
              <a:round/>
            </a:ln>
            <a:effectLst/>
          </c:spPr>
          <c:marker>
            <c:symbol val="none"/>
          </c:marker>
          <c:val>
            <c:numRef>
              <c:f>'Water report'!$L$1120:$L$1129</c:f>
              <c:numCache>
                <c:formatCode>_(* #,##0.00_);_(* \(#,##0.00\);_(* "-"??_);_(@_)</c:formatCode>
                <c:ptCount val="10"/>
                <c:pt idx="0">
                  <c:v>0</c:v>
                </c:pt>
                <c:pt idx="1">
                  <c:v>0</c:v>
                </c:pt>
                <c:pt idx="2">
                  <c:v>0</c:v>
                </c:pt>
                <c:pt idx="3">
                  <c:v>0</c:v>
                </c:pt>
                <c:pt idx="4">
                  <c:v>0</c:v>
                </c:pt>
                <c:pt idx="5">
                  <c:v>0</c:v>
                </c:pt>
                <c:pt idx="6">
                  <c:v>0</c:v>
                </c:pt>
                <c:pt idx="7">
                  <c:v>0</c:v>
                </c:pt>
                <c:pt idx="8">
                  <c:v>0</c:v>
                </c:pt>
                <c:pt idx="9">
                  <c:v>0</c:v>
                </c:pt>
              </c:numCache>
            </c:numRef>
          </c:val>
          <c:smooth val="0"/>
          <c:extLst>
            <c:ext xmlns:c16="http://schemas.microsoft.com/office/drawing/2014/chart" uri="{C3380CC4-5D6E-409C-BE32-E72D297353CC}">
              <c16:uniqueId val="{00000001-5C76-490F-9B09-4A19D1129F9C}"/>
            </c:ext>
          </c:extLst>
        </c:ser>
        <c:ser>
          <c:idx val="2"/>
          <c:order val="2"/>
          <c:tx>
            <c:strRef>
              <c:f>'Water report'!$M$1119</c:f>
              <c:strCache>
                <c:ptCount val="1"/>
                <c:pt idx="0">
                  <c:v>Variable cost per kl</c:v>
                </c:pt>
              </c:strCache>
            </c:strRef>
          </c:tx>
          <c:spPr>
            <a:ln w="28575" cap="rnd">
              <a:solidFill>
                <a:schemeClr val="accent3"/>
              </a:solidFill>
              <a:round/>
            </a:ln>
            <a:effectLst/>
          </c:spPr>
          <c:marker>
            <c:symbol val="none"/>
          </c:marker>
          <c:val>
            <c:numRef>
              <c:f>'Water report'!$M$1120:$M$1129</c:f>
              <c:numCache>
                <c:formatCode>_(* #,##0.00_);_(* \(#,##0.00\);_(* "-"??_);_(@_)</c:formatCode>
                <c:ptCount val="10"/>
                <c:pt idx="0" formatCode="_-* #\ ##0_-;\-* #\ ##0_-;_-* &quot;-&quot;??_-;_-@_-">
                  <c:v>0</c:v>
                </c:pt>
                <c:pt idx="1">
                  <c:v>0</c:v>
                </c:pt>
                <c:pt idx="2">
                  <c:v>0</c:v>
                </c:pt>
                <c:pt idx="3">
                  <c:v>0</c:v>
                </c:pt>
                <c:pt idx="4">
                  <c:v>0</c:v>
                </c:pt>
                <c:pt idx="5">
                  <c:v>0</c:v>
                </c:pt>
                <c:pt idx="6">
                  <c:v>0</c:v>
                </c:pt>
                <c:pt idx="7">
                  <c:v>0</c:v>
                </c:pt>
                <c:pt idx="8">
                  <c:v>0</c:v>
                </c:pt>
                <c:pt idx="9">
                  <c:v>0</c:v>
                </c:pt>
              </c:numCache>
            </c:numRef>
          </c:val>
          <c:smooth val="0"/>
          <c:extLst>
            <c:ext xmlns:c16="http://schemas.microsoft.com/office/drawing/2014/chart" uri="{C3380CC4-5D6E-409C-BE32-E72D297353CC}">
              <c16:uniqueId val="{00000002-5C76-490F-9B09-4A19D1129F9C}"/>
            </c:ext>
          </c:extLst>
        </c:ser>
        <c:dLbls>
          <c:showLegendKey val="0"/>
          <c:showVal val="0"/>
          <c:showCatName val="0"/>
          <c:showSerName val="0"/>
          <c:showPercent val="0"/>
          <c:showBubbleSize val="0"/>
        </c:dLbls>
        <c:marker val="1"/>
        <c:smooth val="0"/>
        <c:axId val="1407164015"/>
        <c:axId val="1"/>
      </c:lineChart>
      <c:catAx>
        <c:axId val="1407164015"/>
        <c:scaling>
          <c:orientation val="minMax"/>
        </c:scaling>
        <c:delete val="0"/>
        <c:axPos val="b"/>
        <c:title>
          <c:tx>
            <c:rich>
              <a:bodyPr/>
              <a:lstStyle/>
              <a:p>
                <a:pPr>
                  <a:defRPr sz="1000" b="0" i="0" u="none" strike="noStrike" baseline="0">
                    <a:solidFill>
                      <a:srgbClr val="333333"/>
                    </a:solidFill>
                    <a:latin typeface="Calibri"/>
                    <a:ea typeface="Calibri"/>
                    <a:cs typeface="Calibri"/>
                  </a:defRPr>
                </a:pPr>
                <a:r>
                  <a:rPr lang="en-ZA"/>
                  <a:t>Block size</a:t>
                </a:r>
              </a:p>
            </c:rich>
          </c:tx>
          <c:overlay val="0"/>
          <c:spPr>
            <a:noFill/>
            <a:ln w="25400">
              <a:noFill/>
            </a:ln>
          </c:spPr>
        </c:title>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0" vert="horz"/>
          <a:lstStyle/>
          <a:p>
            <a:pPr>
              <a:defRPr sz="900" b="0" i="0" u="none" strike="noStrike" baseline="0">
                <a:solidFill>
                  <a:srgbClr val="333333"/>
                </a:solidFill>
                <a:latin typeface="Calibri"/>
                <a:ea typeface="Calibri"/>
                <a:cs typeface="Calibri"/>
              </a:defRPr>
            </a:pPr>
            <a:endParaRPr lang="en-US"/>
          </a:p>
        </c:txPr>
        <c:crossAx val="1"/>
        <c:crosses val="autoZero"/>
        <c:auto val="1"/>
        <c:lblAlgn val="ctr"/>
        <c:lblOffset val="100"/>
        <c:noMultiLvlLbl val="0"/>
      </c:catAx>
      <c:valAx>
        <c:axId val="1"/>
        <c:scaling>
          <c:orientation val="minMax"/>
        </c:scaling>
        <c:delete val="0"/>
        <c:axPos val="l"/>
        <c:majorGridlines>
          <c:spPr>
            <a:ln w="9525" cap="flat" cmpd="sng" algn="ctr">
              <a:solidFill>
                <a:schemeClr val="tx1">
                  <a:lumMod val="15000"/>
                  <a:lumOff val="85000"/>
                </a:schemeClr>
              </a:solidFill>
              <a:round/>
            </a:ln>
            <a:effectLst/>
          </c:spPr>
        </c:majorGridlines>
        <c:title>
          <c:tx>
            <c:rich>
              <a:bodyPr/>
              <a:lstStyle/>
              <a:p>
                <a:pPr>
                  <a:defRPr sz="1000" b="0" i="0" u="none" strike="noStrike" baseline="0">
                    <a:solidFill>
                      <a:srgbClr val="333333"/>
                    </a:solidFill>
                    <a:latin typeface="Calibri"/>
                    <a:ea typeface="Calibri"/>
                    <a:cs typeface="Calibri"/>
                  </a:defRPr>
                </a:pPr>
                <a:r>
                  <a:rPr lang="en-ZA"/>
                  <a:t>R/kl</a:t>
                </a:r>
              </a:p>
            </c:rich>
          </c:tx>
          <c:overlay val="0"/>
          <c:spPr>
            <a:noFill/>
            <a:ln w="25400">
              <a:noFill/>
            </a:ln>
          </c:spPr>
        </c:title>
        <c:numFmt formatCode="_(* #,##0.00_);_(* \(#,##0.00\);_(* &quot;-&quot;??_);_(@_)" sourceLinked="1"/>
        <c:majorTickMark val="none"/>
        <c:minorTickMark val="none"/>
        <c:tickLblPos val="nextTo"/>
        <c:spPr>
          <a:ln w="6350">
            <a:noFill/>
          </a:ln>
        </c:spPr>
        <c:txPr>
          <a:bodyPr rot="0" vert="horz"/>
          <a:lstStyle/>
          <a:p>
            <a:pPr>
              <a:defRPr sz="900" b="0" i="0" u="none" strike="noStrike" baseline="0">
                <a:solidFill>
                  <a:srgbClr val="333333"/>
                </a:solidFill>
                <a:latin typeface="Calibri"/>
                <a:ea typeface="Calibri"/>
                <a:cs typeface="Calibri"/>
              </a:defRPr>
            </a:pPr>
            <a:endParaRPr lang="en-US"/>
          </a:p>
        </c:txPr>
        <c:crossAx val="1407164015"/>
        <c:crosses val="autoZero"/>
        <c:crossBetween val="between"/>
      </c:valAx>
      <c:spPr>
        <a:noFill/>
        <a:ln w="25400">
          <a:noFill/>
        </a:ln>
      </c:spPr>
    </c:plotArea>
    <c:legend>
      <c:legendPos val="r"/>
      <c:layout>
        <c:manualLayout>
          <c:xMode val="edge"/>
          <c:yMode val="edge"/>
          <c:x val="0.16605689049016475"/>
          <c:y val="0.9270571043484428"/>
          <c:w val="0.65869231290738117"/>
          <c:h val="5.9461445697666204E-2"/>
        </c:manualLayout>
      </c:layout>
      <c:overlay val="0"/>
      <c:spPr>
        <a:noFill/>
        <a:ln w="25400">
          <a:noFill/>
        </a:ln>
      </c:spPr>
      <c:txPr>
        <a:bodyPr/>
        <a:lstStyle/>
        <a:p>
          <a:pPr>
            <a:defRPr sz="690" b="0" i="0" u="none" strike="noStrike" baseline="0">
              <a:solidFill>
                <a:srgbClr val="333333"/>
              </a:solidFill>
              <a:latin typeface="Calibri"/>
              <a:ea typeface="Calibri"/>
              <a:cs typeface="Calibri"/>
            </a:defRPr>
          </a:pPr>
          <a:endParaRPr lang="en-US"/>
        </a:p>
      </c:txPr>
    </c:legend>
    <c:plotVisOnly val="1"/>
    <c:dispBlanksAs val="gap"/>
    <c:showDLblsOverMax val="0"/>
  </c:chart>
  <c:spPr>
    <a:solidFill>
      <a:schemeClr val="bg1"/>
    </a:solidFill>
    <a:ln w="9525" cap="flat" cmpd="sng" algn="ctr">
      <a:noFill/>
      <a:round/>
    </a:ln>
    <a:effectLst/>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charts/chart9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2.3871527777777776E-2"/>
          <c:y val="4.7786414907172239E-2"/>
          <c:w val="0.57559123468941387"/>
          <c:h val="0.83529592857692603"/>
        </c:manualLayout>
      </c:layout>
      <c:barChart>
        <c:barDir val="col"/>
        <c:grouping val="stacked"/>
        <c:varyColors val="0"/>
        <c:ser>
          <c:idx val="0"/>
          <c:order val="0"/>
          <c:tx>
            <c:strRef>
              <c:f>'Water report'!$I$1161</c:f>
              <c:strCache>
                <c:ptCount val="1"/>
                <c:pt idx="0">
                  <c:v>Fixed cost</c:v>
                </c:pt>
              </c:strCache>
            </c:strRef>
          </c:tx>
          <c:spPr>
            <a:solidFill>
              <a:srgbClr val="4472C4"/>
            </a:solidFill>
            <a:ln w="25400">
              <a:noFill/>
            </a:ln>
          </c:spPr>
          <c:invertIfNegative val="0"/>
          <c:dPt>
            <c:idx val="0"/>
            <c:invertIfNegative val="0"/>
            <c:bubble3D val="0"/>
            <c:spPr>
              <a:solidFill>
                <a:srgbClr val="5B9BD5"/>
              </a:solidFill>
              <a:ln w="25400">
                <a:noFill/>
              </a:ln>
            </c:spPr>
            <c:extLst>
              <c:ext xmlns:c16="http://schemas.microsoft.com/office/drawing/2014/chart" uri="{C3380CC4-5D6E-409C-BE32-E72D297353CC}">
                <c16:uniqueId val="{00000000-8673-415F-AA7B-89C1E0B4E313}"/>
              </c:ext>
            </c:extLst>
          </c:dPt>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'Water report'!$J$1160:$K$1160</c:f>
              <c:strCache>
                <c:ptCount val="2"/>
                <c:pt idx="0">
                  <c:v>Expenditure R'000</c:v>
                </c:pt>
                <c:pt idx="1">
                  <c:v>Revenue R'000</c:v>
                </c:pt>
              </c:strCache>
            </c:strRef>
          </c:cat>
          <c:val>
            <c:numRef>
              <c:f>'Water report'!$J$1161:$K$1161</c:f>
              <c:numCache>
                <c:formatCode>General</c:formatCode>
                <c:ptCount val="2"/>
                <c:pt idx="0" formatCode="_-* #\ ##0_-;\-* #\ ##0_-;_-* &quot;-&quot;??_-;_-@_-">
                  <c:v>0</c:v>
                </c:pt>
              </c:numCache>
            </c:numRef>
          </c:val>
          <c:extLst>
            <c:ext xmlns:c16="http://schemas.microsoft.com/office/drawing/2014/chart" uri="{C3380CC4-5D6E-409C-BE32-E72D297353CC}">
              <c16:uniqueId val="{00000001-8673-415F-AA7B-89C1E0B4E313}"/>
            </c:ext>
          </c:extLst>
        </c:ser>
        <c:ser>
          <c:idx val="1"/>
          <c:order val="1"/>
          <c:tx>
            <c:strRef>
              <c:f>'Water report'!$I$1162</c:f>
              <c:strCache>
                <c:ptCount val="1"/>
                <c:pt idx="0">
                  <c:v>Variable cost</c:v>
                </c:pt>
              </c:strCache>
            </c:strRef>
          </c:tx>
          <c:spPr>
            <a:solidFill>
              <a:schemeClr val="accent5">
                <a:lumMod val="60000"/>
                <a:lumOff val="40000"/>
              </a:schemeClr>
            </a:solidFill>
            <a:ln>
              <a:noFill/>
            </a:ln>
            <a:effectLst/>
          </c:spPr>
          <c:invertIfNegative val="0"/>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'Water report'!$J$1160:$K$1160</c:f>
              <c:strCache>
                <c:ptCount val="2"/>
                <c:pt idx="0">
                  <c:v>Expenditure R'000</c:v>
                </c:pt>
                <c:pt idx="1">
                  <c:v>Revenue R'000</c:v>
                </c:pt>
              </c:strCache>
            </c:strRef>
          </c:cat>
          <c:val>
            <c:numRef>
              <c:f>'Water report'!$J$1162:$K$1162</c:f>
              <c:numCache>
                <c:formatCode>General</c:formatCode>
                <c:ptCount val="2"/>
                <c:pt idx="0" formatCode="_-* #\ ##0_-;\-* #\ ##0_-;_-* &quot;-&quot;??_-;_-@_-">
                  <c:v>0</c:v>
                </c:pt>
              </c:numCache>
            </c:numRef>
          </c:val>
          <c:extLst>
            <c:ext xmlns:c16="http://schemas.microsoft.com/office/drawing/2014/chart" uri="{C3380CC4-5D6E-409C-BE32-E72D297353CC}">
              <c16:uniqueId val="{00000002-8673-415F-AA7B-89C1E0B4E313}"/>
            </c:ext>
          </c:extLst>
        </c:ser>
        <c:ser>
          <c:idx val="2"/>
          <c:order val="2"/>
          <c:tx>
            <c:strRef>
              <c:f>'Water report'!$I$1163</c:f>
              <c:strCache>
                <c:ptCount val="1"/>
                <c:pt idx="0">
                  <c:v>Surplus</c:v>
                </c:pt>
              </c:strCache>
            </c:strRef>
          </c:tx>
          <c:spPr>
            <a:solidFill>
              <a:srgbClr val="A5A5A5"/>
            </a:solidFill>
            <a:ln w="25400">
              <a:noFill/>
            </a:ln>
          </c:spPr>
          <c:invertIfNegative val="0"/>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'Water report'!$J$1160:$K$1160</c:f>
              <c:strCache>
                <c:ptCount val="2"/>
                <c:pt idx="0">
                  <c:v>Expenditure R'000</c:v>
                </c:pt>
                <c:pt idx="1">
                  <c:v>Revenue R'000</c:v>
                </c:pt>
              </c:strCache>
            </c:strRef>
          </c:cat>
          <c:val>
            <c:numRef>
              <c:f>'Water report'!$J$1163:$K$1163</c:f>
              <c:numCache>
                <c:formatCode>General</c:formatCode>
                <c:ptCount val="2"/>
                <c:pt idx="0" formatCode="_-* #\ ##0_-;\-* #\ ##0_-;_-* &quot;-&quot;??_-;_-@_-">
                  <c:v>0</c:v>
                </c:pt>
              </c:numCache>
            </c:numRef>
          </c:val>
          <c:extLst>
            <c:ext xmlns:c16="http://schemas.microsoft.com/office/drawing/2014/chart" uri="{C3380CC4-5D6E-409C-BE32-E72D297353CC}">
              <c16:uniqueId val="{00000003-8673-415F-AA7B-89C1E0B4E313}"/>
            </c:ext>
          </c:extLst>
        </c:ser>
        <c:ser>
          <c:idx val="4"/>
          <c:order val="3"/>
          <c:tx>
            <c:strRef>
              <c:f>'Water report'!$I$1164</c:f>
              <c:strCache>
                <c:ptCount val="1"/>
                <c:pt idx="0">
                  <c:v>Tariff revenue</c:v>
                </c:pt>
              </c:strCache>
            </c:strRef>
          </c:tx>
          <c:spPr>
            <a:solidFill>
              <a:srgbClr val="5B9BD5"/>
            </a:solidFill>
            <a:ln w="25400">
              <a:noFill/>
            </a:ln>
          </c:spPr>
          <c:invertIfNegative val="0"/>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'Water report'!$J$1160:$K$1160</c:f>
              <c:strCache>
                <c:ptCount val="2"/>
                <c:pt idx="0">
                  <c:v>Expenditure R'000</c:v>
                </c:pt>
                <c:pt idx="1">
                  <c:v>Revenue R'000</c:v>
                </c:pt>
              </c:strCache>
            </c:strRef>
          </c:cat>
          <c:val>
            <c:numRef>
              <c:f>'Water report'!$J$1164:$K$1164</c:f>
              <c:numCache>
                <c:formatCode>_-* #\ ##0_-;\-* #\ ##0_-;_-* "-"??_-;_-@_-</c:formatCode>
                <c:ptCount val="2"/>
                <c:pt idx="1">
                  <c:v>0</c:v>
                </c:pt>
              </c:numCache>
            </c:numRef>
          </c:val>
          <c:extLst>
            <c:ext xmlns:c16="http://schemas.microsoft.com/office/drawing/2014/chart" uri="{C3380CC4-5D6E-409C-BE32-E72D297353CC}">
              <c16:uniqueId val="{00000004-8673-415F-AA7B-89C1E0B4E313}"/>
            </c:ext>
          </c:extLst>
        </c:ser>
        <c:ser>
          <c:idx val="5"/>
          <c:order val="4"/>
          <c:tx>
            <c:strRef>
              <c:f>'Water report'!$I$1165</c:f>
              <c:strCache>
                <c:ptCount val="1"/>
                <c:pt idx="0">
                  <c:v>External grants &amp; subsidies</c:v>
                </c:pt>
              </c:strCache>
            </c:strRef>
          </c:tx>
          <c:spPr>
            <a:solidFill>
              <a:srgbClr val="A5A5A5"/>
            </a:solidFill>
            <a:ln w="25400">
              <a:noFill/>
            </a:ln>
          </c:spPr>
          <c:invertIfNegative val="0"/>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'Water report'!$J$1160:$K$1160</c:f>
              <c:strCache>
                <c:ptCount val="2"/>
                <c:pt idx="0">
                  <c:v>Expenditure R'000</c:v>
                </c:pt>
                <c:pt idx="1">
                  <c:v>Revenue R'000</c:v>
                </c:pt>
              </c:strCache>
            </c:strRef>
          </c:cat>
          <c:val>
            <c:numRef>
              <c:f>'Water report'!$J$1165:$K$1165</c:f>
              <c:numCache>
                <c:formatCode>_-* #\ ##0_-;\-* #\ ##0_-;_-* "-"??_-;_-@_-</c:formatCode>
                <c:ptCount val="2"/>
                <c:pt idx="1">
                  <c:v>0</c:v>
                </c:pt>
              </c:numCache>
            </c:numRef>
          </c:val>
          <c:extLst>
            <c:ext xmlns:c16="http://schemas.microsoft.com/office/drawing/2014/chart" uri="{C3380CC4-5D6E-409C-BE32-E72D297353CC}">
              <c16:uniqueId val="{00000005-8673-415F-AA7B-89C1E0B4E313}"/>
            </c:ext>
          </c:extLst>
        </c:ser>
        <c:ser>
          <c:idx val="3"/>
          <c:order val="5"/>
          <c:tx>
            <c:strRef>
              <c:f>'Water report'!$I$1166</c:f>
              <c:strCache>
                <c:ptCount val="1"/>
                <c:pt idx="0">
                  <c:v>Other non-tariff revenue</c:v>
                </c:pt>
              </c:strCache>
            </c:strRef>
          </c:tx>
          <c:spPr>
            <a:solidFill>
              <a:schemeClr val="accent3">
                <a:lumMod val="40000"/>
                <a:lumOff val="60000"/>
              </a:schemeClr>
            </a:solidFill>
            <a:ln>
              <a:noFill/>
            </a:ln>
            <a:effectLst/>
          </c:spPr>
          <c:invertIfNegative val="0"/>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'Water report'!$J$1160:$K$1160</c:f>
              <c:strCache>
                <c:ptCount val="2"/>
                <c:pt idx="0">
                  <c:v>Expenditure R'000</c:v>
                </c:pt>
                <c:pt idx="1">
                  <c:v>Revenue R'000</c:v>
                </c:pt>
              </c:strCache>
            </c:strRef>
          </c:cat>
          <c:val>
            <c:numRef>
              <c:f>'Water report'!$J$1166:$K$1166</c:f>
              <c:numCache>
                <c:formatCode>_-* #\ ##0_-;\-* #\ ##0_-;_-* "-"??_-;_-@_-</c:formatCode>
                <c:ptCount val="2"/>
                <c:pt idx="1">
                  <c:v>0</c:v>
                </c:pt>
              </c:numCache>
            </c:numRef>
          </c:val>
          <c:extLst>
            <c:ext xmlns:c16="http://schemas.microsoft.com/office/drawing/2014/chart" uri="{C3380CC4-5D6E-409C-BE32-E72D297353CC}">
              <c16:uniqueId val="{00000006-8673-415F-AA7B-89C1E0B4E313}"/>
            </c:ext>
          </c:extLst>
        </c:ser>
        <c:ser>
          <c:idx val="6"/>
          <c:order val="6"/>
          <c:tx>
            <c:strRef>
              <c:f>'Water report'!$I$1167</c:f>
              <c:strCache>
                <c:ptCount val="1"/>
                <c:pt idx="0">
                  <c:v>Deficit</c:v>
                </c:pt>
              </c:strCache>
            </c:strRef>
          </c:tx>
          <c:spPr>
            <a:solidFill>
              <a:srgbClr val="ED7D31"/>
            </a:solidFill>
            <a:ln w="25400">
              <a:noFill/>
            </a:ln>
          </c:spPr>
          <c:invertIfNegative val="0"/>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'Water report'!$J$1160:$K$1160</c:f>
              <c:strCache>
                <c:ptCount val="2"/>
                <c:pt idx="0">
                  <c:v>Expenditure R'000</c:v>
                </c:pt>
                <c:pt idx="1">
                  <c:v>Revenue R'000</c:v>
                </c:pt>
              </c:strCache>
            </c:strRef>
          </c:cat>
          <c:val>
            <c:numRef>
              <c:f>'Water report'!$J$1167:$K$1167</c:f>
              <c:numCache>
                <c:formatCode>_-* #\ ##0_-;\-* #\ ##0_-;_-* "-"??_-;_-@_-</c:formatCode>
                <c:ptCount val="2"/>
                <c:pt idx="1">
                  <c:v>0</c:v>
                </c:pt>
              </c:numCache>
            </c:numRef>
          </c:val>
          <c:extLst>
            <c:ext xmlns:c16="http://schemas.microsoft.com/office/drawing/2014/chart" uri="{C3380CC4-5D6E-409C-BE32-E72D297353CC}">
              <c16:uniqueId val="{00000007-8673-415F-AA7B-89C1E0B4E313}"/>
            </c:ext>
          </c:extLst>
        </c:ser>
        <c:dLbls>
          <c:showLegendKey val="0"/>
          <c:showVal val="0"/>
          <c:showCatName val="0"/>
          <c:showSerName val="0"/>
          <c:showPercent val="0"/>
          <c:showBubbleSize val="0"/>
        </c:dLbls>
        <c:gapWidth val="25"/>
        <c:overlap val="100"/>
        <c:axId val="1407174575"/>
        <c:axId val="1"/>
      </c:barChart>
      <c:catAx>
        <c:axId val="1407174575"/>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0" vert="horz"/>
          <a:lstStyle/>
          <a:p>
            <a:pPr>
              <a:defRPr sz="1100" b="0" i="0" u="none" strike="noStrike" baseline="0">
                <a:solidFill>
                  <a:srgbClr val="000000"/>
                </a:solidFill>
                <a:latin typeface="Calibri"/>
                <a:ea typeface="Calibri"/>
                <a:cs typeface="Calibri"/>
              </a:defRPr>
            </a:pPr>
            <a:endParaRPr lang="en-US"/>
          </a:p>
        </c:txPr>
        <c:crossAx val="1"/>
        <c:crosses val="autoZero"/>
        <c:auto val="1"/>
        <c:lblAlgn val="ctr"/>
        <c:lblOffset val="100"/>
        <c:noMultiLvlLbl val="0"/>
      </c:catAx>
      <c:valAx>
        <c:axId val="1"/>
        <c:scaling>
          <c:orientation val="minMax"/>
        </c:scaling>
        <c:delete val="1"/>
        <c:axPos val="l"/>
        <c:majorGridlines>
          <c:spPr>
            <a:ln w="9525" cap="flat" cmpd="sng" algn="ctr">
              <a:solidFill>
                <a:schemeClr val="tx1">
                  <a:lumMod val="15000"/>
                  <a:lumOff val="85000"/>
                </a:schemeClr>
              </a:solidFill>
              <a:round/>
            </a:ln>
            <a:effectLst/>
          </c:spPr>
        </c:majorGridlines>
        <c:numFmt formatCode="_-* #\ ##0_-;\-* #\ ##0_-;_-* &quot;-&quot;??_-;_-@_-" sourceLinked="1"/>
        <c:majorTickMark val="out"/>
        <c:minorTickMark val="none"/>
        <c:tickLblPos val="nextTo"/>
        <c:crossAx val="1407174575"/>
        <c:crosses val="autoZero"/>
        <c:crossBetween val="between"/>
      </c:valAx>
    </c:plotArea>
    <c:legend>
      <c:legendPos val="r"/>
      <c:layout>
        <c:manualLayout>
          <c:xMode val="edge"/>
          <c:yMode val="edge"/>
          <c:x val="0.63196485855934681"/>
          <c:y val="0.17846767615586512"/>
          <c:w val="0.34896963400408276"/>
          <c:h val="0.70771685846961441"/>
        </c:manualLayout>
      </c:layout>
      <c:overlay val="0"/>
      <c:spPr>
        <a:noFill/>
        <a:ln w="25400">
          <a:noFill/>
        </a:ln>
      </c:spPr>
      <c:txPr>
        <a:bodyPr/>
        <a:lstStyle/>
        <a:p>
          <a:pPr>
            <a:defRPr sz="850" b="0" i="0" u="none" strike="noStrike" baseline="0">
              <a:solidFill>
                <a:srgbClr val="000000"/>
              </a:solidFill>
              <a:latin typeface="Calibri"/>
              <a:ea typeface="Calibri"/>
              <a:cs typeface="Calibri"/>
            </a:defRPr>
          </a:pPr>
          <a:endParaRPr lang="en-US"/>
        </a:p>
      </c:txPr>
    </c:legend>
    <c:plotVisOnly val="1"/>
    <c:dispBlanksAs val="gap"/>
    <c:showDLblsOverMax val="0"/>
  </c:chart>
  <c:spPr>
    <a:solidFill>
      <a:schemeClr val="bg1"/>
    </a:solidFill>
    <a:ln w="9525" cap="flat" cmpd="sng" algn="ctr">
      <a:noFill/>
      <a:round/>
    </a:ln>
    <a:effectLst/>
  </c:spPr>
  <c:txPr>
    <a:bodyPr/>
    <a:lstStyle/>
    <a:p>
      <a:pPr>
        <a:defRPr sz="11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charts/chart9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ser>
          <c:idx val="0"/>
          <c:order val="0"/>
          <c:tx>
            <c:strRef>
              <c:f>'Water report'!$K$1186</c:f>
              <c:strCache>
                <c:ptCount val="1"/>
                <c:pt idx="0">
                  <c:v>Tariff </c:v>
                </c:pt>
              </c:strCache>
            </c:strRef>
          </c:tx>
          <c:spPr>
            <a:solidFill>
              <a:srgbClr val="4472C4"/>
            </a:solidFill>
            <a:ln w="25400">
              <a:noFill/>
            </a:ln>
          </c:spPr>
          <c:invertIfNegative val="0"/>
          <c:dLbls>
            <c:spPr>
              <a:noFill/>
              <a:ln w="25400">
                <a:noFill/>
              </a:ln>
            </c:spPr>
            <c:txPr>
              <a:bodyPr wrap="square" lIns="38100" tIns="19050" rIns="38100" bIns="19050" anchor="ctr">
                <a:spAutoFit/>
              </a:bodyPr>
              <a:lstStyle/>
              <a:p>
                <a:pPr>
                  <a:defRPr sz="900" b="0" i="0" u="none" strike="noStrike" baseline="0">
                    <a:solidFill>
                      <a:srgbClr val="333333"/>
                    </a:solidFill>
                    <a:latin typeface="Calibri"/>
                    <a:ea typeface="Calibri"/>
                    <a:cs typeface="Calibri"/>
                  </a:defRPr>
                </a:pPr>
                <a:endParaRPr lang="en-US"/>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'Water report'!$J$1187:$J$1196</c:f>
              <c:strCache>
                <c:ptCount val="10"/>
                <c:pt idx="0">
                  <c:v>0</c:v>
                </c:pt>
                <c:pt idx="1">
                  <c:v>0</c:v>
                </c:pt>
                <c:pt idx="2">
                  <c:v>0</c:v>
                </c:pt>
                <c:pt idx="3">
                  <c:v>0</c:v>
                </c:pt>
                <c:pt idx="4">
                  <c:v>0</c:v>
                </c:pt>
                <c:pt idx="5">
                  <c:v>0</c:v>
                </c:pt>
                <c:pt idx="6">
                  <c:v>0</c:v>
                </c:pt>
                <c:pt idx="7">
                  <c:v>0</c:v>
                </c:pt>
                <c:pt idx="8">
                  <c:v>0</c:v>
                </c:pt>
                <c:pt idx="9">
                  <c:v>More</c:v>
                </c:pt>
              </c:strCache>
            </c:strRef>
          </c:cat>
          <c:val>
            <c:numRef>
              <c:f>'Water report'!$K$1187:$K$1196</c:f>
              <c:numCache>
                <c:formatCode>_(* #,##0.00_);_(* \(#,##0.00\);_(* "-"??_);_(@_)</c:formatCode>
                <c:ptCount val="10"/>
                <c:pt idx="0">
                  <c:v>0</c:v>
                </c:pt>
                <c:pt idx="1">
                  <c:v>0</c:v>
                </c:pt>
                <c:pt idx="2">
                  <c:v>0</c:v>
                </c:pt>
                <c:pt idx="3">
                  <c:v>0</c:v>
                </c:pt>
                <c:pt idx="4">
                  <c:v>0</c:v>
                </c:pt>
                <c:pt idx="5">
                  <c:v>0</c:v>
                </c:pt>
                <c:pt idx="6">
                  <c:v>0</c:v>
                </c:pt>
                <c:pt idx="7">
                  <c:v>0</c:v>
                </c:pt>
                <c:pt idx="8">
                  <c:v>0</c:v>
                </c:pt>
                <c:pt idx="9">
                  <c:v>0</c:v>
                </c:pt>
              </c:numCache>
            </c:numRef>
          </c:val>
          <c:extLst>
            <c:ext xmlns:c16="http://schemas.microsoft.com/office/drawing/2014/chart" uri="{C3380CC4-5D6E-409C-BE32-E72D297353CC}">
              <c16:uniqueId val="{00000000-6C0D-4DE0-A5D4-CE58F5084EC2}"/>
            </c:ext>
          </c:extLst>
        </c:ser>
        <c:dLbls>
          <c:showLegendKey val="0"/>
          <c:showVal val="0"/>
          <c:showCatName val="0"/>
          <c:showSerName val="0"/>
          <c:showPercent val="0"/>
          <c:showBubbleSize val="0"/>
        </c:dLbls>
        <c:gapWidth val="50"/>
        <c:overlap val="-27"/>
        <c:axId val="1407164495"/>
        <c:axId val="1"/>
      </c:barChart>
      <c:lineChart>
        <c:grouping val="standard"/>
        <c:varyColors val="0"/>
        <c:ser>
          <c:idx val="1"/>
          <c:order val="1"/>
          <c:tx>
            <c:strRef>
              <c:f>'Water report'!$L$1186</c:f>
              <c:strCache>
                <c:ptCount val="1"/>
                <c:pt idx="0">
                  <c:v>Total cost per kl </c:v>
                </c:pt>
              </c:strCache>
            </c:strRef>
          </c:tx>
          <c:spPr>
            <a:ln w="28575" cap="rnd">
              <a:solidFill>
                <a:schemeClr val="accent2"/>
              </a:solidFill>
              <a:round/>
            </a:ln>
            <a:effectLst/>
          </c:spPr>
          <c:marker>
            <c:symbol val="none"/>
          </c:marker>
          <c:val>
            <c:numRef>
              <c:f>'Water report'!$L$1187:$L$1196</c:f>
              <c:numCache>
                <c:formatCode>_(* #,##0.00_);_(* \(#,##0.00\);_(* "-"??_);_(@_)</c:formatCode>
                <c:ptCount val="10"/>
                <c:pt idx="0">
                  <c:v>0</c:v>
                </c:pt>
                <c:pt idx="1">
                  <c:v>0</c:v>
                </c:pt>
                <c:pt idx="2">
                  <c:v>0</c:v>
                </c:pt>
                <c:pt idx="3">
                  <c:v>0</c:v>
                </c:pt>
                <c:pt idx="4">
                  <c:v>0</c:v>
                </c:pt>
                <c:pt idx="5">
                  <c:v>0</c:v>
                </c:pt>
                <c:pt idx="6">
                  <c:v>0</c:v>
                </c:pt>
                <c:pt idx="7">
                  <c:v>0</c:v>
                </c:pt>
                <c:pt idx="8">
                  <c:v>0</c:v>
                </c:pt>
                <c:pt idx="9">
                  <c:v>0</c:v>
                </c:pt>
              </c:numCache>
            </c:numRef>
          </c:val>
          <c:smooth val="0"/>
          <c:extLst>
            <c:ext xmlns:c16="http://schemas.microsoft.com/office/drawing/2014/chart" uri="{C3380CC4-5D6E-409C-BE32-E72D297353CC}">
              <c16:uniqueId val="{00000001-6C0D-4DE0-A5D4-CE58F5084EC2}"/>
            </c:ext>
          </c:extLst>
        </c:ser>
        <c:ser>
          <c:idx val="2"/>
          <c:order val="2"/>
          <c:tx>
            <c:strRef>
              <c:f>'Water report'!$M$1186</c:f>
              <c:strCache>
                <c:ptCount val="1"/>
                <c:pt idx="0">
                  <c:v>Variable cost per kl</c:v>
                </c:pt>
              </c:strCache>
            </c:strRef>
          </c:tx>
          <c:spPr>
            <a:ln w="28575" cap="rnd">
              <a:solidFill>
                <a:schemeClr val="accent3"/>
              </a:solidFill>
              <a:round/>
            </a:ln>
            <a:effectLst/>
          </c:spPr>
          <c:marker>
            <c:symbol val="none"/>
          </c:marker>
          <c:val>
            <c:numRef>
              <c:f>'Water report'!$M$1187:$M$1196</c:f>
              <c:numCache>
                <c:formatCode>_(* #,##0.00_);_(* \(#,##0.00\);_(* "-"??_);_(@_)</c:formatCode>
                <c:ptCount val="10"/>
                <c:pt idx="0" formatCode="_-* #\ ##0_-;\-* #\ ##0_-;_-* &quot;-&quot;??_-;_-@_-">
                  <c:v>0</c:v>
                </c:pt>
                <c:pt idx="1">
                  <c:v>0</c:v>
                </c:pt>
                <c:pt idx="2">
                  <c:v>0</c:v>
                </c:pt>
                <c:pt idx="3">
                  <c:v>0</c:v>
                </c:pt>
                <c:pt idx="4">
                  <c:v>0</c:v>
                </c:pt>
                <c:pt idx="5">
                  <c:v>0</c:v>
                </c:pt>
                <c:pt idx="6">
                  <c:v>0</c:v>
                </c:pt>
                <c:pt idx="7">
                  <c:v>0</c:v>
                </c:pt>
                <c:pt idx="8">
                  <c:v>0</c:v>
                </c:pt>
                <c:pt idx="9">
                  <c:v>0</c:v>
                </c:pt>
              </c:numCache>
            </c:numRef>
          </c:val>
          <c:smooth val="0"/>
          <c:extLst>
            <c:ext xmlns:c16="http://schemas.microsoft.com/office/drawing/2014/chart" uri="{C3380CC4-5D6E-409C-BE32-E72D297353CC}">
              <c16:uniqueId val="{00000002-6C0D-4DE0-A5D4-CE58F5084EC2}"/>
            </c:ext>
          </c:extLst>
        </c:ser>
        <c:dLbls>
          <c:showLegendKey val="0"/>
          <c:showVal val="0"/>
          <c:showCatName val="0"/>
          <c:showSerName val="0"/>
          <c:showPercent val="0"/>
          <c:showBubbleSize val="0"/>
        </c:dLbls>
        <c:marker val="1"/>
        <c:smooth val="0"/>
        <c:axId val="1407164495"/>
        <c:axId val="1"/>
      </c:lineChart>
      <c:catAx>
        <c:axId val="1407164495"/>
        <c:scaling>
          <c:orientation val="minMax"/>
        </c:scaling>
        <c:delete val="0"/>
        <c:axPos val="b"/>
        <c:title>
          <c:tx>
            <c:rich>
              <a:bodyPr/>
              <a:lstStyle/>
              <a:p>
                <a:pPr>
                  <a:defRPr sz="1000" b="0" i="0" u="none" strike="noStrike" baseline="0">
                    <a:solidFill>
                      <a:srgbClr val="333333"/>
                    </a:solidFill>
                    <a:latin typeface="Calibri"/>
                    <a:ea typeface="Calibri"/>
                    <a:cs typeface="Calibri"/>
                  </a:defRPr>
                </a:pPr>
                <a:r>
                  <a:rPr lang="en-ZA"/>
                  <a:t>Block size</a:t>
                </a:r>
              </a:p>
            </c:rich>
          </c:tx>
          <c:overlay val="0"/>
          <c:spPr>
            <a:noFill/>
            <a:ln w="25400">
              <a:noFill/>
            </a:ln>
          </c:spPr>
        </c:title>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0" vert="horz"/>
          <a:lstStyle/>
          <a:p>
            <a:pPr>
              <a:defRPr sz="900" b="0" i="0" u="none" strike="noStrike" baseline="0">
                <a:solidFill>
                  <a:srgbClr val="333333"/>
                </a:solidFill>
                <a:latin typeface="Calibri"/>
                <a:ea typeface="Calibri"/>
                <a:cs typeface="Calibri"/>
              </a:defRPr>
            </a:pPr>
            <a:endParaRPr lang="en-US"/>
          </a:p>
        </c:txPr>
        <c:crossAx val="1"/>
        <c:crosses val="autoZero"/>
        <c:auto val="1"/>
        <c:lblAlgn val="ctr"/>
        <c:lblOffset val="100"/>
        <c:noMultiLvlLbl val="0"/>
      </c:catAx>
      <c:valAx>
        <c:axId val="1"/>
        <c:scaling>
          <c:orientation val="minMax"/>
        </c:scaling>
        <c:delete val="0"/>
        <c:axPos val="l"/>
        <c:majorGridlines>
          <c:spPr>
            <a:ln w="9525" cap="flat" cmpd="sng" algn="ctr">
              <a:solidFill>
                <a:schemeClr val="tx1">
                  <a:lumMod val="15000"/>
                  <a:lumOff val="85000"/>
                </a:schemeClr>
              </a:solidFill>
              <a:round/>
            </a:ln>
            <a:effectLst/>
          </c:spPr>
        </c:majorGridlines>
        <c:title>
          <c:tx>
            <c:rich>
              <a:bodyPr/>
              <a:lstStyle/>
              <a:p>
                <a:pPr>
                  <a:defRPr sz="1000" b="0" i="0" u="none" strike="noStrike" baseline="0">
                    <a:solidFill>
                      <a:srgbClr val="333333"/>
                    </a:solidFill>
                    <a:latin typeface="Calibri"/>
                    <a:ea typeface="Calibri"/>
                    <a:cs typeface="Calibri"/>
                  </a:defRPr>
                </a:pPr>
                <a:r>
                  <a:rPr lang="en-ZA"/>
                  <a:t>R/kl</a:t>
                </a:r>
              </a:p>
            </c:rich>
          </c:tx>
          <c:overlay val="0"/>
          <c:spPr>
            <a:noFill/>
            <a:ln w="25400">
              <a:noFill/>
            </a:ln>
          </c:spPr>
        </c:title>
        <c:numFmt formatCode="_(* #,##0.00_);_(* \(#,##0.00\);_(* &quot;-&quot;??_);_(@_)" sourceLinked="1"/>
        <c:majorTickMark val="none"/>
        <c:minorTickMark val="none"/>
        <c:tickLblPos val="nextTo"/>
        <c:spPr>
          <a:ln w="6350">
            <a:noFill/>
          </a:ln>
        </c:spPr>
        <c:txPr>
          <a:bodyPr rot="0" vert="horz"/>
          <a:lstStyle/>
          <a:p>
            <a:pPr>
              <a:defRPr sz="900" b="0" i="0" u="none" strike="noStrike" baseline="0">
                <a:solidFill>
                  <a:srgbClr val="333333"/>
                </a:solidFill>
                <a:latin typeface="Calibri"/>
                <a:ea typeface="Calibri"/>
                <a:cs typeface="Calibri"/>
              </a:defRPr>
            </a:pPr>
            <a:endParaRPr lang="en-US"/>
          </a:p>
        </c:txPr>
        <c:crossAx val="1407164495"/>
        <c:crosses val="autoZero"/>
        <c:crossBetween val="between"/>
      </c:valAx>
      <c:spPr>
        <a:noFill/>
        <a:ln w="25400">
          <a:noFill/>
        </a:ln>
      </c:spPr>
    </c:plotArea>
    <c:legend>
      <c:legendPos val="r"/>
      <c:layout>
        <c:manualLayout>
          <c:xMode val="edge"/>
          <c:yMode val="edge"/>
          <c:x val="0.16605689049016475"/>
          <c:y val="0.9270571043484428"/>
          <c:w val="0.65869231290738117"/>
          <c:h val="5.9461445697666204E-2"/>
        </c:manualLayout>
      </c:layout>
      <c:overlay val="0"/>
      <c:spPr>
        <a:noFill/>
        <a:ln w="25400">
          <a:noFill/>
        </a:ln>
      </c:spPr>
      <c:txPr>
        <a:bodyPr/>
        <a:lstStyle/>
        <a:p>
          <a:pPr>
            <a:defRPr sz="690" b="0" i="0" u="none" strike="noStrike" baseline="0">
              <a:solidFill>
                <a:srgbClr val="333333"/>
              </a:solidFill>
              <a:latin typeface="Calibri"/>
              <a:ea typeface="Calibri"/>
              <a:cs typeface="Calibri"/>
            </a:defRPr>
          </a:pPr>
          <a:endParaRPr lang="en-US"/>
        </a:p>
      </c:txPr>
    </c:legend>
    <c:plotVisOnly val="1"/>
    <c:dispBlanksAs val="gap"/>
    <c:showDLblsOverMax val="0"/>
  </c:chart>
  <c:spPr>
    <a:solidFill>
      <a:schemeClr val="bg1"/>
    </a:solidFill>
    <a:ln w="9525" cap="flat" cmpd="sng" algn="ctr">
      <a:noFill/>
      <a:round/>
    </a:ln>
    <a:effectLst/>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charts/chart9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2.3871527777777776E-2"/>
          <c:y val="4.7786414907172239E-2"/>
          <c:w val="0.57559123468941387"/>
          <c:h val="0.83529592857692603"/>
        </c:manualLayout>
      </c:layout>
      <c:barChart>
        <c:barDir val="col"/>
        <c:grouping val="stacked"/>
        <c:varyColors val="0"/>
        <c:ser>
          <c:idx val="0"/>
          <c:order val="0"/>
          <c:tx>
            <c:strRef>
              <c:f>'Water report'!$I$1230</c:f>
              <c:strCache>
                <c:ptCount val="1"/>
                <c:pt idx="0">
                  <c:v>Fixed cost</c:v>
                </c:pt>
              </c:strCache>
            </c:strRef>
          </c:tx>
          <c:spPr>
            <a:solidFill>
              <a:srgbClr val="4472C4"/>
            </a:solidFill>
            <a:ln w="25400">
              <a:noFill/>
            </a:ln>
          </c:spPr>
          <c:invertIfNegative val="0"/>
          <c:dPt>
            <c:idx val="0"/>
            <c:invertIfNegative val="0"/>
            <c:bubble3D val="0"/>
            <c:spPr>
              <a:solidFill>
                <a:srgbClr val="5B9BD5"/>
              </a:solidFill>
              <a:ln w="25400">
                <a:noFill/>
              </a:ln>
            </c:spPr>
            <c:extLst>
              <c:ext xmlns:c16="http://schemas.microsoft.com/office/drawing/2014/chart" uri="{C3380CC4-5D6E-409C-BE32-E72D297353CC}">
                <c16:uniqueId val="{00000000-4A71-44A5-9256-0DF1CA5D0AFC}"/>
              </c:ext>
            </c:extLst>
          </c:dPt>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'Water report'!$J$1229:$K$1229</c:f>
              <c:strCache>
                <c:ptCount val="2"/>
                <c:pt idx="0">
                  <c:v>Expenditure R'000</c:v>
                </c:pt>
                <c:pt idx="1">
                  <c:v>Revenue R'000</c:v>
                </c:pt>
              </c:strCache>
            </c:strRef>
          </c:cat>
          <c:val>
            <c:numRef>
              <c:f>'Water report'!$J$1230:$K$1230</c:f>
              <c:numCache>
                <c:formatCode>General</c:formatCode>
                <c:ptCount val="2"/>
                <c:pt idx="0" formatCode="_-* #\ ##0_-;\-* #\ ##0_-;_-* &quot;-&quot;??_-;_-@_-">
                  <c:v>0</c:v>
                </c:pt>
              </c:numCache>
            </c:numRef>
          </c:val>
          <c:extLst>
            <c:ext xmlns:c16="http://schemas.microsoft.com/office/drawing/2014/chart" uri="{C3380CC4-5D6E-409C-BE32-E72D297353CC}">
              <c16:uniqueId val="{00000001-4A71-44A5-9256-0DF1CA5D0AFC}"/>
            </c:ext>
          </c:extLst>
        </c:ser>
        <c:ser>
          <c:idx val="1"/>
          <c:order val="1"/>
          <c:tx>
            <c:strRef>
              <c:f>'Water report'!$I$1231</c:f>
              <c:strCache>
                <c:ptCount val="1"/>
                <c:pt idx="0">
                  <c:v>Variable cost</c:v>
                </c:pt>
              </c:strCache>
            </c:strRef>
          </c:tx>
          <c:spPr>
            <a:solidFill>
              <a:schemeClr val="accent5">
                <a:lumMod val="60000"/>
                <a:lumOff val="40000"/>
              </a:schemeClr>
            </a:solidFill>
            <a:ln>
              <a:noFill/>
            </a:ln>
            <a:effectLst/>
          </c:spPr>
          <c:invertIfNegative val="0"/>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'Water report'!$J$1229:$K$1229</c:f>
              <c:strCache>
                <c:ptCount val="2"/>
                <c:pt idx="0">
                  <c:v>Expenditure R'000</c:v>
                </c:pt>
                <c:pt idx="1">
                  <c:v>Revenue R'000</c:v>
                </c:pt>
              </c:strCache>
            </c:strRef>
          </c:cat>
          <c:val>
            <c:numRef>
              <c:f>'Water report'!$J$1231:$K$1231</c:f>
              <c:numCache>
                <c:formatCode>General</c:formatCode>
                <c:ptCount val="2"/>
                <c:pt idx="0" formatCode="_-* #\ ##0_-;\-* #\ ##0_-;_-* &quot;-&quot;??_-;_-@_-">
                  <c:v>0</c:v>
                </c:pt>
              </c:numCache>
            </c:numRef>
          </c:val>
          <c:extLst>
            <c:ext xmlns:c16="http://schemas.microsoft.com/office/drawing/2014/chart" uri="{C3380CC4-5D6E-409C-BE32-E72D297353CC}">
              <c16:uniqueId val="{00000002-4A71-44A5-9256-0DF1CA5D0AFC}"/>
            </c:ext>
          </c:extLst>
        </c:ser>
        <c:ser>
          <c:idx val="2"/>
          <c:order val="2"/>
          <c:tx>
            <c:strRef>
              <c:f>'Water report'!$I$1232</c:f>
              <c:strCache>
                <c:ptCount val="1"/>
                <c:pt idx="0">
                  <c:v>Surplus</c:v>
                </c:pt>
              </c:strCache>
            </c:strRef>
          </c:tx>
          <c:spPr>
            <a:solidFill>
              <a:srgbClr val="A5A5A5"/>
            </a:solidFill>
            <a:ln w="25400">
              <a:noFill/>
            </a:ln>
          </c:spPr>
          <c:invertIfNegative val="0"/>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'Water report'!$J$1229:$K$1229</c:f>
              <c:strCache>
                <c:ptCount val="2"/>
                <c:pt idx="0">
                  <c:v>Expenditure R'000</c:v>
                </c:pt>
                <c:pt idx="1">
                  <c:v>Revenue R'000</c:v>
                </c:pt>
              </c:strCache>
            </c:strRef>
          </c:cat>
          <c:val>
            <c:numRef>
              <c:f>'Water report'!$J$1232:$K$1232</c:f>
              <c:numCache>
                <c:formatCode>General</c:formatCode>
                <c:ptCount val="2"/>
                <c:pt idx="0" formatCode="_-* #\ ##0_-;\-* #\ ##0_-;_-* &quot;-&quot;??_-;_-@_-">
                  <c:v>0</c:v>
                </c:pt>
              </c:numCache>
            </c:numRef>
          </c:val>
          <c:extLst>
            <c:ext xmlns:c16="http://schemas.microsoft.com/office/drawing/2014/chart" uri="{C3380CC4-5D6E-409C-BE32-E72D297353CC}">
              <c16:uniqueId val="{00000003-4A71-44A5-9256-0DF1CA5D0AFC}"/>
            </c:ext>
          </c:extLst>
        </c:ser>
        <c:ser>
          <c:idx val="4"/>
          <c:order val="3"/>
          <c:tx>
            <c:strRef>
              <c:f>'Water report'!$I$1233</c:f>
              <c:strCache>
                <c:ptCount val="1"/>
                <c:pt idx="0">
                  <c:v>Tariff revenue</c:v>
                </c:pt>
              </c:strCache>
            </c:strRef>
          </c:tx>
          <c:spPr>
            <a:solidFill>
              <a:srgbClr val="5B9BD5"/>
            </a:solidFill>
            <a:ln w="25400">
              <a:noFill/>
            </a:ln>
          </c:spPr>
          <c:invertIfNegative val="0"/>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'Water report'!$J$1229:$K$1229</c:f>
              <c:strCache>
                <c:ptCount val="2"/>
                <c:pt idx="0">
                  <c:v>Expenditure R'000</c:v>
                </c:pt>
                <c:pt idx="1">
                  <c:v>Revenue R'000</c:v>
                </c:pt>
              </c:strCache>
            </c:strRef>
          </c:cat>
          <c:val>
            <c:numRef>
              <c:f>'Water report'!$J$1233:$K$1233</c:f>
              <c:numCache>
                <c:formatCode>_-* #\ ##0_-;\-* #\ ##0_-;_-* "-"??_-;_-@_-</c:formatCode>
                <c:ptCount val="2"/>
                <c:pt idx="1">
                  <c:v>0</c:v>
                </c:pt>
              </c:numCache>
            </c:numRef>
          </c:val>
          <c:extLst>
            <c:ext xmlns:c16="http://schemas.microsoft.com/office/drawing/2014/chart" uri="{C3380CC4-5D6E-409C-BE32-E72D297353CC}">
              <c16:uniqueId val="{00000004-4A71-44A5-9256-0DF1CA5D0AFC}"/>
            </c:ext>
          </c:extLst>
        </c:ser>
        <c:ser>
          <c:idx val="5"/>
          <c:order val="4"/>
          <c:tx>
            <c:strRef>
              <c:f>'Water report'!$I$1234</c:f>
              <c:strCache>
                <c:ptCount val="1"/>
                <c:pt idx="0">
                  <c:v>External grants &amp; subsidies</c:v>
                </c:pt>
              </c:strCache>
            </c:strRef>
          </c:tx>
          <c:spPr>
            <a:solidFill>
              <a:srgbClr val="A5A5A5"/>
            </a:solidFill>
            <a:ln w="25400">
              <a:noFill/>
            </a:ln>
          </c:spPr>
          <c:invertIfNegative val="0"/>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'Water report'!$J$1229:$K$1229</c:f>
              <c:strCache>
                <c:ptCount val="2"/>
                <c:pt idx="0">
                  <c:v>Expenditure R'000</c:v>
                </c:pt>
                <c:pt idx="1">
                  <c:v>Revenue R'000</c:v>
                </c:pt>
              </c:strCache>
            </c:strRef>
          </c:cat>
          <c:val>
            <c:numRef>
              <c:f>'Water report'!$J$1234:$K$1234</c:f>
              <c:numCache>
                <c:formatCode>_-* #\ ##0_-;\-* #\ ##0_-;_-* "-"??_-;_-@_-</c:formatCode>
                <c:ptCount val="2"/>
                <c:pt idx="1">
                  <c:v>0</c:v>
                </c:pt>
              </c:numCache>
            </c:numRef>
          </c:val>
          <c:extLst>
            <c:ext xmlns:c16="http://schemas.microsoft.com/office/drawing/2014/chart" uri="{C3380CC4-5D6E-409C-BE32-E72D297353CC}">
              <c16:uniqueId val="{00000005-4A71-44A5-9256-0DF1CA5D0AFC}"/>
            </c:ext>
          </c:extLst>
        </c:ser>
        <c:ser>
          <c:idx val="3"/>
          <c:order val="5"/>
          <c:tx>
            <c:strRef>
              <c:f>'Water report'!$I$1235</c:f>
              <c:strCache>
                <c:ptCount val="1"/>
                <c:pt idx="0">
                  <c:v>Other non-tariff revenue</c:v>
                </c:pt>
              </c:strCache>
            </c:strRef>
          </c:tx>
          <c:spPr>
            <a:solidFill>
              <a:schemeClr val="accent3">
                <a:lumMod val="40000"/>
                <a:lumOff val="60000"/>
              </a:schemeClr>
            </a:solidFill>
            <a:ln>
              <a:noFill/>
            </a:ln>
            <a:effectLst/>
          </c:spPr>
          <c:invertIfNegative val="0"/>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'Water report'!$J$1229:$K$1229</c:f>
              <c:strCache>
                <c:ptCount val="2"/>
                <c:pt idx="0">
                  <c:v>Expenditure R'000</c:v>
                </c:pt>
                <c:pt idx="1">
                  <c:v>Revenue R'000</c:v>
                </c:pt>
              </c:strCache>
            </c:strRef>
          </c:cat>
          <c:val>
            <c:numRef>
              <c:f>'Water report'!$J$1235:$K$1235</c:f>
              <c:numCache>
                <c:formatCode>_-* #\ ##0_-;\-* #\ ##0_-;_-* "-"??_-;_-@_-</c:formatCode>
                <c:ptCount val="2"/>
                <c:pt idx="1">
                  <c:v>0</c:v>
                </c:pt>
              </c:numCache>
            </c:numRef>
          </c:val>
          <c:extLst>
            <c:ext xmlns:c16="http://schemas.microsoft.com/office/drawing/2014/chart" uri="{C3380CC4-5D6E-409C-BE32-E72D297353CC}">
              <c16:uniqueId val="{00000006-4A71-44A5-9256-0DF1CA5D0AFC}"/>
            </c:ext>
          </c:extLst>
        </c:ser>
        <c:ser>
          <c:idx val="6"/>
          <c:order val="6"/>
          <c:tx>
            <c:strRef>
              <c:f>'Water report'!$I$1236</c:f>
              <c:strCache>
                <c:ptCount val="1"/>
                <c:pt idx="0">
                  <c:v>Deficit</c:v>
                </c:pt>
              </c:strCache>
            </c:strRef>
          </c:tx>
          <c:spPr>
            <a:solidFill>
              <a:srgbClr val="ED7D31"/>
            </a:solidFill>
            <a:ln w="25400">
              <a:noFill/>
            </a:ln>
          </c:spPr>
          <c:invertIfNegative val="0"/>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'Water report'!$J$1229:$K$1229</c:f>
              <c:strCache>
                <c:ptCount val="2"/>
                <c:pt idx="0">
                  <c:v>Expenditure R'000</c:v>
                </c:pt>
                <c:pt idx="1">
                  <c:v>Revenue R'000</c:v>
                </c:pt>
              </c:strCache>
            </c:strRef>
          </c:cat>
          <c:val>
            <c:numRef>
              <c:f>'Water report'!$J$1236:$K$1236</c:f>
              <c:numCache>
                <c:formatCode>_-* #\ ##0_-;\-* #\ ##0_-;_-* "-"??_-;_-@_-</c:formatCode>
                <c:ptCount val="2"/>
                <c:pt idx="1">
                  <c:v>0</c:v>
                </c:pt>
              </c:numCache>
            </c:numRef>
          </c:val>
          <c:extLst>
            <c:ext xmlns:c16="http://schemas.microsoft.com/office/drawing/2014/chart" uri="{C3380CC4-5D6E-409C-BE32-E72D297353CC}">
              <c16:uniqueId val="{00000007-4A71-44A5-9256-0DF1CA5D0AFC}"/>
            </c:ext>
          </c:extLst>
        </c:ser>
        <c:dLbls>
          <c:showLegendKey val="0"/>
          <c:showVal val="0"/>
          <c:showCatName val="0"/>
          <c:showSerName val="0"/>
          <c:showPercent val="0"/>
          <c:showBubbleSize val="0"/>
        </c:dLbls>
        <c:gapWidth val="25"/>
        <c:overlap val="100"/>
        <c:axId val="1407171215"/>
        <c:axId val="1"/>
      </c:barChart>
      <c:catAx>
        <c:axId val="1407171215"/>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0" vert="horz"/>
          <a:lstStyle/>
          <a:p>
            <a:pPr>
              <a:defRPr sz="1100" b="0" i="0" u="none" strike="noStrike" baseline="0">
                <a:solidFill>
                  <a:srgbClr val="000000"/>
                </a:solidFill>
                <a:latin typeface="Calibri"/>
                <a:ea typeface="Calibri"/>
                <a:cs typeface="Calibri"/>
              </a:defRPr>
            </a:pPr>
            <a:endParaRPr lang="en-US"/>
          </a:p>
        </c:txPr>
        <c:crossAx val="1"/>
        <c:crosses val="autoZero"/>
        <c:auto val="1"/>
        <c:lblAlgn val="ctr"/>
        <c:lblOffset val="100"/>
        <c:noMultiLvlLbl val="0"/>
      </c:catAx>
      <c:valAx>
        <c:axId val="1"/>
        <c:scaling>
          <c:orientation val="minMax"/>
        </c:scaling>
        <c:delete val="1"/>
        <c:axPos val="l"/>
        <c:majorGridlines>
          <c:spPr>
            <a:ln w="9525" cap="flat" cmpd="sng" algn="ctr">
              <a:solidFill>
                <a:schemeClr val="tx1">
                  <a:lumMod val="15000"/>
                  <a:lumOff val="85000"/>
                </a:schemeClr>
              </a:solidFill>
              <a:round/>
            </a:ln>
            <a:effectLst/>
          </c:spPr>
        </c:majorGridlines>
        <c:numFmt formatCode="_-* #\ ##0_-;\-* #\ ##0_-;_-* &quot;-&quot;??_-;_-@_-" sourceLinked="1"/>
        <c:majorTickMark val="out"/>
        <c:minorTickMark val="none"/>
        <c:tickLblPos val="nextTo"/>
        <c:crossAx val="1407171215"/>
        <c:crosses val="autoZero"/>
        <c:crossBetween val="between"/>
      </c:valAx>
    </c:plotArea>
    <c:legend>
      <c:legendPos val="r"/>
      <c:layout>
        <c:manualLayout>
          <c:xMode val="edge"/>
          <c:yMode val="edge"/>
          <c:x val="0.63277835098198931"/>
          <c:y val="0.17846767615586512"/>
          <c:w val="0.35001104172323283"/>
          <c:h val="0.70771685846961441"/>
        </c:manualLayout>
      </c:layout>
      <c:overlay val="0"/>
      <c:spPr>
        <a:noFill/>
        <a:ln w="25400">
          <a:noFill/>
        </a:ln>
      </c:spPr>
      <c:txPr>
        <a:bodyPr/>
        <a:lstStyle/>
        <a:p>
          <a:pPr>
            <a:defRPr sz="850" b="0" i="0" u="none" strike="noStrike" baseline="0">
              <a:solidFill>
                <a:srgbClr val="000000"/>
              </a:solidFill>
              <a:latin typeface="Calibri"/>
              <a:ea typeface="Calibri"/>
              <a:cs typeface="Calibri"/>
            </a:defRPr>
          </a:pPr>
          <a:endParaRPr lang="en-US"/>
        </a:p>
      </c:txPr>
    </c:legend>
    <c:plotVisOnly val="1"/>
    <c:dispBlanksAs val="gap"/>
    <c:showDLblsOverMax val="0"/>
  </c:chart>
  <c:spPr>
    <a:solidFill>
      <a:schemeClr val="bg1"/>
    </a:solidFill>
    <a:ln w="9525" cap="flat" cmpd="sng" algn="ctr">
      <a:noFill/>
      <a:round/>
    </a:ln>
    <a:effectLst/>
  </c:spPr>
  <c:txPr>
    <a:bodyPr/>
    <a:lstStyle/>
    <a:p>
      <a:pPr>
        <a:defRPr sz="11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charts/chart9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ser>
          <c:idx val="0"/>
          <c:order val="0"/>
          <c:tx>
            <c:strRef>
              <c:f>'Water report'!$K$1253</c:f>
              <c:strCache>
                <c:ptCount val="1"/>
                <c:pt idx="0">
                  <c:v>Tariff </c:v>
                </c:pt>
              </c:strCache>
            </c:strRef>
          </c:tx>
          <c:spPr>
            <a:solidFill>
              <a:srgbClr val="4472C4"/>
            </a:solidFill>
            <a:ln w="25400">
              <a:noFill/>
            </a:ln>
          </c:spPr>
          <c:invertIfNegative val="0"/>
          <c:dLbls>
            <c:spPr>
              <a:noFill/>
              <a:ln w="25400">
                <a:noFill/>
              </a:ln>
            </c:spPr>
            <c:txPr>
              <a:bodyPr wrap="square" lIns="38100" tIns="19050" rIns="38100" bIns="19050" anchor="ctr">
                <a:spAutoFit/>
              </a:bodyPr>
              <a:lstStyle/>
              <a:p>
                <a:pPr>
                  <a:defRPr sz="900" b="0" i="0" u="none" strike="noStrike" baseline="0">
                    <a:solidFill>
                      <a:srgbClr val="333333"/>
                    </a:solidFill>
                    <a:latin typeface="Calibri"/>
                    <a:ea typeface="Calibri"/>
                    <a:cs typeface="Calibri"/>
                  </a:defRPr>
                </a:pPr>
                <a:endParaRPr lang="en-US"/>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'Water report'!$J$1254:$J$1263</c:f>
              <c:strCache>
                <c:ptCount val="10"/>
                <c:pt idx="0">
                  <c:v>0</c:v>
                </c:pt>
                <c:pt idx="1">
                  <c:v>0</c:v>
                </c:pt>
                <c:pt idx="2">
                  <c:v>0</c:v>
                </c:pt>
                <c:pt idx="3">
                  <c:v>0</c:v>
                </c:pt>
                <c:pt idx="4">
                  <c:v>0</c:v>
                </c:pt>
                <c:pt idx="5">
                  <c:v>0</c:v>
                </c:pt>
                <c:pt idx="6">
                  <c:v>0</c:v>
                </c:pt>
                <c:pt idx="7">
                  <c:v>0</c:v>
                </c:pt>
                <c:pt idx="8">
                  <c:v>0</c:v>
                </c:pt>
                <c:pt idx="9">
                  <c:v>More</c:v>
                </c:pt>
              </c:strCache>
            </c:strRef>
          </c:cat>
          <c:val>
            <c:numRef>
              <c:f>'Water report'!$K$1254:$K$1263</c:f>
              <c:numCache>
                <c:formatCode>_(* #,##0.00_);_(* \(#,##0.00\);_(* "-"??_);_(@_)</c:formatCode>
                <c:ptCount val="10"/>
                <c:pt idx="0">
                  <c:v>0</c:v>
                </c:pt>
                <c:pt idx="1">
                  <c:v>0</c:v>
                </c:pt>
                <c:pt idx="2">
                  <c:v>0</c:v>
                </c:pt>
                <c:pt idx="3">
                  <c:v>0</c:v>
                </c:pt>
                <c:pt idx="4">
                  <c:v>0</c:v>
                </c:pt>
                <c:pt idx="5">
                  <c:v>0</c:v>
                </c:pt>
                <c:pt idx="6">
                  <c:v>0</c:v>
                </c:pt>
                <c:pt idx="7">
                  <c:v>0</c:v>
                </c:pt>
                <c:pt idx="8">
                  <c:v>0</c:v>
                </c:pt>
                <c:pt idx="9">
                  <c:v>0</c:v>
                </c:pt>
              </c:numCache>
            </c:numRef>
          </c:val>
          <c:extLst>
            <c:ext xmlns:c16="http://schemas.microsoft.com/office/drawing/2014/chart" uri="{C3380CC4-5D6E-409C-BE32-E72D297353CC}">
              <c16:uniqueId val="{00000000-9FFC-43F9-9794-2024EE09CE6D}"/>
            </c:ext>
          </c:extLst>
        </c:ser>
        <c:dLbls>
          <c:showLegendKey val="0"/>
          <c:showVal val="0"/>
          <c:showCatName val="0"/>
          <c:showSerName val="0"/>
          <c:showPercent val="0"/>
          <c:showBubbleSize val="0"/>
        </c:dLbls>
        <c:gapWidth val="50"/>
        <c:overlap val="-27"/>
        <c:axId val="1407221615"/>
        <c:axId val="1"/>
      </c:barChart>
      <c:lineChart>
        <c:grouping val="standard"/>
        <c:varyColors val="0"/>
        <c:ser>
          <c:idx val="1"/>
          <c:order val="1"/>
          <c:tx>
            <c:strRef>
              <c:f>'Water report'!$L$1253</c:f>
              <c:strCache>
                <c:ptCount val="1"/>
                <c:pt idx="0">
                  <c:v>Total cost per kl </c:v>
                </c:pt>
              </c:strCache>
            </c:strRef>
          </c:tx>
          <c:spPr>
            <a:ln w="28575" cap="rnd">
              <a:solidFill>
                <a:schemeClr val="accent2"/>
              </a:solidFill>
              <a:round/>
            </a:ln>
            <a:effectLst/>
          </c:spPr>
          <c:marker>
            <c:symbol val="none"/>
          </c:marker>
          <c:val>
            <c:numRef>
              <c:f>'Water report'!$L$1254:$L$1263</c:f>
              <c:numCache>
                <c:formatCode>_(* #,##0.00_);_(* \(#,##0.00\);_(* "-"??_);_(@_)</c:formatCode>
                <c:ptCount val="10"/>
                <c:pt idx="0">
                  <c:v>0</c:v>
                </c:pt>
                <c:pt idx="1">
                  <c:v>0</c:v>
                </c:pt>
                <c:pt idx="2">
                  <c:v>0</c:v>
                </c:pt>
                <c:pt idx="3">
                  <c:v>0</c:v>
                </c:pt>
                <c:pt idx="4">
                  <c:v>0</c:v>
                </c:pt>
                <c:pt idx="5">
                  <c:v>0</c:v>
                </c:pt>
                <c:pt idx="6">
                  <c:v>0</c:v>
                </c:pt>
                <c:pt idx="7">
                  <c:v>0</c:v>
                </c:pt>
                <c:pt idx="8">
                  <c:v>0</c:v>
                </c:pt>
                <c:pt idx="9">
                  <c:v>0</c:v>
                </c:pt>
              </c:numCache>
            </c:numRef>
          </c:val>
          <c:smooth val="0"/>
          <c:extLst>
            <c:ext xmlns:c16="http://schemas.microsoft.com/office/drawing/2014/chart" uri="{C3380CC4-5D6E-409C-BE32-E72D297353CC}">
              <c16:uniqueId val="{00000001-9FFC-43F9-9794-2024EE09CE6D}"/>
            </c:ext>
          </c:extLst>
        </c:ser>
        <c:ser>
          <c:idx val="2"/>
          <c:order val="2"/>
          <c:tx>
            <c:strRef>
              <c:f>'Water report'!$M$1253</c:f>
              <c:strCache>
                <c:ptCount val="1"/>
                <c:pt idx="0">
                  <c:v>Variable cost per kl</c:v>
                </c:pt>
              </c:strCache>
            </c:strRef>
          </c:tx>
          <c:spPr>
            <a:ln w="28575" cap="rnd">
              <a:solidFill>
                <a:schemeClr val="accent3"/>
              </a:solidFill>
              <a:round/>
            </a:ln>
            <a:effectLst/>
          </c:spPr>
          <c:marker>
            <c:symbol val="none"/>
          </c:marker>
          <c:val>
            <c:numRef>
              <c:f>'Water report'!$M$1254:$M$1263</c:f>
              <c:numCache>
                <c:formatCode>_(* #,##0.00_);_(* \(#,##0.00\);_(* "-"??_);_(@_)</c:formatCode>
                <c:ptCount val="10"/>
                <c:pt idx="0" formatCode="_-* #\ ##0_-;\-* #\ ##0_-;_-* &quot;-&quot;??_-;_-@_-">
                  <c:v>0</c:v>
                </c:pt>
                <c:pt idx="1">
                  <c:v>0</c:v>
                </c:pt>
                <c:pt idx="2">
                  <c:v>0</c:v>
                </c:pt>
                <c:pt idx="3">
                  <c:v>0</c:v>
                </c:pt>
                <c:pt idx="4">
                  <c:v>0</c:v>
                </c:pt>
                <c:pt idx="5">
                  <c:v>0</c:v>
                </c:pt>
                <c:pt idx="6">
                  <c:v>0</c:v>
                </c:pt>
                <c:pt idx="7">
                  <c:v>0</c:v>
                </c:pt>
                <c:pt idx="8">
                  <c:v>0</c:v>
                </c:pt>
                <c:pt idx="9">
                  <c:v>0</c:v>
                </c:pt>
              </c:numCache>
            </c:numRef>
          </c:val>
          <c:smooth val="0"/>
          <c:extLst>
            <c:ext xmlns:c16="http://schemas.microsoft.com/office/drawing/2014/chart" uri="{C3380CC4-5D6E-409C-BE32-E72D297353CC}">
              <c16:uniqueId val="{00000002-9FFC-43F9-9794-2024EE09CE6D}"/>
            </c:ext>
          </c:extLst>
        </c:ser>
        <c:dLbls>
          <c:showLegendKey val="0"/>
          <c:showVal val="0"/>
          <c:showCatName val="0"/>
          <c:showSerName val="0"/>
          <c:showPercent val="0"/>
          <c:showBubbleSize val="0"/>
        </c:dLbls>
        <c:marker val="1"/>
        <c:smooth val="0"/>
        <c:axId val="1407221615"/>
        <c:axId val="1"/>
      </c:lineChart>
      <c:catAx>
        <c:axId val="1407221615"/>
        <c:scaling>
          <c:orientation val="minMax"/>
        </c:scaling>
        <c:delete val="0"/>
        <c:axPos val="b"/>
        <c:title>
          <c:tx>
            <c:rich>
              <a:bodyPr/>
              <a:lstStyle/>
              <a:p>
                <a:pPr>
                  <a:defRPr sz="1000" b="0" i="0" u="none" strike="noStrike" baseline="0">
                    <a:solidFill>
                      <a:srgbClr val="333333"/>
                    </a:solidFill>
                    <a:latin typeface="Calibri"/>
                    <a:ea typeface="Calibri"/>
                    <a:cs typeface="Calibri"/>
                  </a:defRPr>
                </a:pPr>
                <a:r>
                  <a:rPr lang="en-ZA"/>
                  <a:t>Block size</a:t>
                </a:r>
              </a:p>
            </c:rich>
          </c:tx>
          <c:overlay val="0"/>
          <c:spPr>
            <a:noFill/>
            <a:ln w="25400">
              <a:noFill/>
            </a:ln>
          </c:spPr>
        </c:title>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0" vert="horz"/>
          <a:lstStyle/>
          <a:p>
            <a:pPr>
              <a:defRPr sz="900" b="0" i="0" u="none" strike="noStrike" baseline="0">
                <a:solidFill>
                  <a:srgbClr val="333333"/>
                </a:solidFill>
                <a:latin typeface="Calibri"/>
                <a:ea typeface="Calibri"/>
                <a:cs typeface="Calibri"/>
              </a:defRPr>
            </a:pPr>
            <a:endParaRPr lang="en-US"/>
          </a:p>
        </c:txPr>
        <c:crossAx val="1"/>
        <c:crosses val="autoZero"/>
        <c:auto val="1"/>
        <c:lblAlgn val="ctr"/>
        <c:lblOffset val="100"/>
        <c:noMultiLvlLbl val="0"/>
      </c:catAx>
      <c:valAx>
        <c:axId val="1"/>
        <c:scaling>
          <c:orientation val="minMax"/>
        </c:scaling>
        <c:delete val="0"/>
        <c:axPos val="l"/>
        <c:majorGridlines>
          <c:spPr>
            <a:ln w="9525" cap="flat" cmpd="sng" algn="ctr">
              <a:solidFill>
                <a:schemeClr val="tx1">
                  <a:lumMod val="15000"/>
                  <a:lumOff val="85000"/>
                </a:schemeClr>
              </a:solidFill>
              <a:round/>
            </a:ln>
            <a:effectLst/>
          </c:spPr>
        </c:majorGridlines>
        <c:title>
          <c:tx>
            <c:rich>
              <a:bodyPr/>
              <a:lstStyle/>
              <a:p>
                <a:pPr>
                  <a:defRPr sz="1000" b="0" i="0" u="none" strike="noStrike" baseline="0">
                    <a:solidFill>
                      <a:srgbClr val="333333"/>
                    </a:solidFill>
                    <a:latin typeface="Calibri"/>
                    <a:ea typeface="Calibri"/>
                    <a:cs typeface="Calibri"/>
                  </a:defRPr>
                </a:pPr>
                <a:r>
                  <a:rPr lang="en-ZA"/>
                  <a:t>R/kl</a:t>
                </a:r>
              </a:p>
            </c:rich>
          </c:tx>
          <c:overlay val="0"/>
          <c:spPr>
            <a:noFill/>
            <a:ln w="25400">
              <a:noFill/>
            </a:ln>
          </c:spPr>
        </c:title>
        <c:numFmt formatCode="_(* #,##0.00_);_(* \(#,##0.00\);_(* &quot;-&quot;??_);_(@_)" sourceLinked="1"/>
        <c:majorTickMark val="none"/>
        <c:minorTickMark val="none"/>
        <c:tickLblPos val="nextTo"/>
        <c:spPr>
          <a:ln w="6350">
            <a:noFill/>
          </a:ln>
        </c:spPr>
        <c:txPr>
          <a:bodyPr rot="0" vert="horz"/>
          <a:lstStyle/>
          <a:p>
            <a:pPr>
              <a:defRPr sz="900" b="0" i="0" u="none" strike="noStrike" baseline="0">
                <a:solidFill>
                  <a:srgbClr val="333333"/>
                </a:solidFill>
                <a:latin typeface="Calibri"/>
                <a:ea typeface="Calibri"/>
                <a:cs typeface="Calibri"/>
              </a:defRPr>
            </a:pPr>
            <a:endParaRPr lang="en-US"/>
          </a:p>
        </c:txPr>
        <c:crossAx val="1407221615"/>
        <c:crosses val="autoZero"/>
        <c:crossBetween val="between"/>
      </c:valAx>
      <c:spPr>
        <a:noFill/>
        <a:ln w="25400">
          <a:noFill/>
        </a:ln>
      </c:spPr>
    </c:plotArea>
    <c:legend>
      <c:legendPos val="r"/>
      <c:layout>
        <c:manualLayout>
          <c:xMode val="edge"/>
          <c:yMode val="edge"/>
          <c:x val="0.16605689049016475"/>
          <c:y val="0.9270571043484428"/>
          <c:w val="0.65869231290738117"/>
          <c:h val="5.9461445697666204E-2"/>
        </c:manualLayout>
      </c:layout>
      <c:overlay val="0"/>
      <c:spPr>
        <a:noFill/>
        <a:ln w="25400">
          <a:noFill/>
        </a:ln>
      </c:spPr>
      <c:txPr>
        <a:bodyPr/>
        <a:lstStyle/>
        <a:p>
          <a:pPr>
            <a:defRPr sz="690" b="0" i="0" u="none" strike="noStrike" baseline="0">
              <a:solidFill>
                <a:srgbClr val="333333"/>
              </a:solidFill>
              <a:latin typeface="Calibri"/>
              <a:ea typeface="Calibri"/>
              <a:cs typeface="Calibri"/>
            </a:defRPr>
          </a:pPr>
          <a:endParaRPr lang="en-US"/>
        </a:p>
      </c:txPr>
    </c:legend>
    <c:plotVisOnly val="1"/>
    <c:dispBlanksAs val="gap"/>
    <c:showDLblsOverMax val="0"/>
  </c:chart>
  <c:spPr>
    <a:solidFill>
      <a:schemeClr val="bg1"/>
    </a:solidFill>
    <a:ln w="9525" cap="flat" cmpd="sng" algn="ctr">
      <a:noFill/>
      <a:round/>
    </a:ln>
    <a:effectLst/>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charts/chart9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2.3871527777777776E-2"/>
          <c:y val="4.7786414907172239E-2"/>
          <c:w val="0.57559123468941387"/>
          <c:h val="0.83529592857692603"/>
        </c:manualLayout>
      </c:layout>
      <c:barChart>
        <c:barDir val="col"/>
        <c:grouping val="stacked"/>
        <c:varyColors val="0"/>
        <c:ser>
          <c:idx val="0"/>
          <c:order val="0"/>
          <c:tx>
            <c:strRef>
              <c:f>'Water report'!$I$1296</c:f>
              <c:strCache>
                <c:ptCount val="1"/>
                <c:pt idx="0">
                  <c:v>Fixed cost</c:v>
                </c:pt>
              </c:strCache>
            </c:strRef>
          </c:tx>
          <c:spPr>
            <a:solidFill>
              <a:srgbClr val="4472C4"/>
            </a:solidFill>
            <a:ln w="25400">
              <a:noFill/>
            </a:ln>
          </c:spPr>
          <c:invertIfNegative val="0"/>
          <c:dPt>
            <c:idx val="0"/>
            <c:invertIfNegative val="0"/>
            <c:bubble3D val="0"/>
            <c:spPr>
              <a:solidFill>
                <a:srgbClr val="5B9BD5"/>
              </a:solidFill>
              <a:ln w="25400">
                <a:noFill/>
              </a:ln>
            </c:spPr>
            <c:extLst>
              <c:ext xmlns:c16="http://schemas.microsoft.com/office/drawing/2014/chart" uri="{C3380CC4-5D6E-409C-BE32-E72D297353CC}">
                <c16:uniqueId val="{00000000-FD00-4AA0-9DC9-5399020CFCA2}"/>
              </c:ext>
            </c:extLst>
          </c:dPt>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'Water report'!$J$1295:$K$1295</c:f>
              <c:strCache>
                <c:ptCount val="2"/>
                <c:pt idx="0">
                  <c:v>Expenditure R'000</c:v>
                </c:pt>
                <c:pt idx="1">
                  <c:v>Revenue R'000</c:v>
                </c:pt>
              </c:strCache>
            </c:strRef>
          </c:cat>
          <c:val>
            <c:numRef>
              <c:f>'Water report'!$J$1296:$K$1296</c:f>
              <c:numCache>
                <c:formatCode>General</c:formatCode>
                <c:ptCount val="2"/>
                <c:pt idx="0" formatCode="_-* #\ ##0_-;\-* #\ ##0_-;_-* &quot;-&quot;??_-;_-@_-">
                  <c:v>0</c:v>
                </c:pt>
              </c:numCache>
            </c:numRef>
          </c:val>
          <c:extLst>
            <c:ext xmlns:c16="http://schemas.microsoft.com/office/drawing/2014/chart" uri="{C3380CC4-5D6E-409C-BE32-E72D297353CC}">
              <c16:uniqueId val="{00000001-FD00-4AA0-9DC9-5399020CFCA2}"/>
            </c:ext>
          </c:extLst>
        </c:ser>
        <c:ser>
          <c:idx val="1"/>
          <c:order val="1"/>
          <c:tx>
            <c:strRef>
              <c:f>'Water report'!$I$1297</c:f>
              <c:strCache>
                <c:ptCount val="1"/>
                <c:pt idx="0">
                  <c:v>Variable cost</c:v>
                </c:pt>
              </c:strCache>
            </c:strRef>
          </c:tx>
          <c:spPr>
            <a:solidFill>
              <a:schemeClr val="accent5">
                <a:lumMod val="60000"/>
                <a:lumOff val="40000"/>
              </a:schemeClr>
            </a:solidFill>
            <a:ln>
              <a:noFill/>
            </a:ln>
            <a:effectLst/>
          </c:spPr>
          <c:invertIfNegative val="0"/>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'Water report'!$J$1295:$K$1295</c:f>
              <c:strCache>
                <c:ptCount val="2"/>
                <c:pt idx="0">
                  <c:v>Expenditure R'000</c:v>
                </c:pt>
                <c:pt idx="1">
                  <c:v>Revenue R'000</c:v>
                </c:pt>
              </c:strCache>
            </c:strRef>
          </c:cat>
          <c:val>
            <c:numRef>
              <c:f>'Water report'!$J$1297:$K$1297</c:f>
              <c:numCache>
                <c:formatCode>General</c:formatCode>
                <c:ptCount val="2"/>
                <c:pt idx="0" formatCode="_-* #\ ##0_-;\-* #\ ##0_-;_-* &quot;-&quot;??_-;_-@_-">
                  <c:v>0</c:v>
                </c:pt>
              </c:numCache>
            </c:numRef>
          </c:val>
          <c:extLst>
            <c:ext xmlns:c16="http://schemas.microsoft.com/office/drawing/2014/chart" uri="{C3380CC4-5D6E-409C-BE32-E72D297353CC}">
              <c16:uniqueId val="{00000002-FD00-4AA0-9DC9-5399020CFCA2}"/>
            </c:ext>
          </c:extLst>
        </c:ser>
        <c:ser>
          <c:idx val="2"/>
          <c:order val="2"/>
          <c:tx>
            <c:strRef>
              <c:f>'Water report'!$I$1298</c:f>
              <c:strCache>
                <c:ptCount val="1"/>
                <c:pt idx="0">
                  <c:v>Surplus</c:v>
                </c:pt>
              </c:strCache>
            </c:strRef>
          </c:tx>
          <c:spPr>
            <a:solidFill>
              <a:srgbClr val="A5A5A5"/>
            </a:solidFill>
            <a:ln w="25400">
              <a:noFill/>
            </a:ln>
          </c:spPr>
          <c:invertIfNegative val="0"/>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'Water report'!$J$1295:$K$1295</c:f>
              <c:strCache>
                <c:ptCount val="2"/>
                <c:pt idx="0">
                  <c:v>Expenditure R'000</c:v>
                </c:pt>
                <c:pt idx="1">
                  <c:v>Revenue R'000</c:v>
                </c:pt>
              </c:strCache>
            </c:strRef>
          </c:cat>
          <c:val>
            <c:numRef>
              <c:f>'Water report'!$J$1298:$K$1298</c:f>
              <c:numCache>
                <c:formatCode>General</c:formatCode>
                <c:ptCount val="2"/>
                <c:pt idx="0" formatCode="_-* #\ ##0_-;\-* #\ ##0_-;_-* &quot;-&quot;??_-;_-@_-">
                  <c:v>0</c:v>
                </c:pt>
              </c:numCache>
            </c:numRef>
          </c:val>
          <c:extLst>
            <c:ext xmlns:c16="http://schemas.microsoft.com/office/drawing/2014/chart" uri="{C3380CC4-5D6E-409C-BE32-E72D297353CC}">
              <c16:uniqueId val="{00000003-FD00-4AA0-9DC9-5399020CFCA2}"/>
            </c:ext>
          </c:extLst>
        </c:ser>
        <c:ser>
          <c:idx val="4"/>
          <c:order val="3"/>
          <c:tx>
            <c:strRef>
              <c:f>'Water report'!$I$1299</c:f>
              <c:strCache>
                <c:ptCount val="1"/>
                <c:pt idx="0">
                  <c:v>Tariff revenue</c:v>
                </c:pt>
              </c:strCache>
            </c:strRef>
          </c:tx>
          <c:spPr>
            <a:solidFill>
              <a:srgbClr val="5B9BD5"/>
            </a:solidFill>
            <a:ln w="25400">
              <a:noFill/>
            </a:ln>
          </c:spPr>
          <c:invertIfNegative val="0"/>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'Water report'!$J$1295:$K$1295</c:f>
              <c:strCache>
                <c:ptCount val="2"/>
                <c:pt idx="0">
                  <c:v>Expenditure R'000</c:v>
                </c:pt>
                <c:pt idx="1">
                  <c:v>Revenue R'000</c:v>
                </c:pt>
              </c:strCache>
            </c:strRef>
          </c:cat>
          <c:val>
            <c:numRef>
              <c:f>'Water report'!$J$1299:$K$1299</c:f>
              <c:numCache>
                <c:formatCode>_-* #\ ##0_-;\-* #\ ##0_-;_-* "-"??_-;_-@_-</c:formatCode>
                <c:ptCount val="2"/>
                <c:pt idx="1">
                  <c:v>0</c:v>
                </c:pt>
              </c:numCache>
            </c:numRef>
          </c:val>
          <c:extLst>
            <c:ext xmlns:c16="http://schemas.microsoft.com/office/drawing/2014/chart" uri="{C3380CC4-5D6E-409C-BE32-E72D297353CC}">
              <c16:uniqueId val="{00000004-FD00-4AA0-9DC9-5399020CFCA2}"/>
            </c:ext>
          </c:extLst>
        </c:ser>
        <c:ser>
          <c:idx val="5"/>
          <c:order val="4"/>
          <c:tx>
            <c:strRef>
              <c:f>'Water report'!$I$1300</c:f>
              <c:strCache>
                <c:ptCount val="1"/>
                <c:pt idx="0">
                  <c:v>External grants &amp; subsidies</c:v>
                </c:pt>
              </c:strCache>
            </c:strRef>
          </c:tx>
          <c:spPr>
            <a:solidFill>
              <a:srgbClr val="A5A5A5"/>
            </a:solidFill>
            <a:ln w="25400">
              <a:noFill/>
            </a:ln>
          </c:spPr>
          <c:invertIfNegative val="0"/>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'Water report'!$J$1295:$K$1295</c:f>
              <c:strCache>
                <c:ptCount val="2"/>
                <c:pt idx="0">
                  <c:v>Expenditure R'000</c:v>
                </c:pt>
                <c:pt idx="1">
                  <c:v>Revenue R'000</c:v>
                </c:pt>
              </c:strCache>
            </c:strRef>
          </c:cat>
          <c:val>
            <c:numRef>
              <c:f>'Water report'!$J$1300:$K$1300</c:f>
              <c:numCache>
                <c:formatCode>_-* #\ ##0_-;\-* #\ ##0_-;_-* "-"??_-;_-@_-</c:formatCode>
                <c:ptCount val="2"/>
                <c:pt idx="1">
                  <c:v>0</c:v>
                </c:pt>
              </c:numCache>
            </c:numRef>
          </c:val>
          <c:extLst>
            <c:ext xmlns:c16="http://schemas.microsoft.com/office/drawing/2014/chart" uri="{C3380CC4-5D6E-409C-BE32-E72D297353CC}">
              <c16:uniqueId val="{00000005-FD00-4AA0-9DC9-5399020CFCA2}"/>
            </c:ext>
          </c:extLst>
        </c:ser>
        <c:ser>
          <c:idx val="3"/>
          <c:order val="5"/>
          <c:tx>
            <c:strRef>
              <c:f>'Water report'!$I$1301</c:f>
              <c:strCache>
                <c:ptCount val="1"/>
                <c:pt idx="0">
                  <c:v>Other non-tariff revenue</c:v>
                </c:pt>
              </c:strCache>
            </c:strRef>
          </c:tx>
          <c:spPr>
            <a:solidFill>
              <a:schemeClr val="accent3">
                <a:lumMod val="40000"/>
                <a:lumOff val="60000"/>
              </a:schemeClr>
            </a:solidFill>
            <a:ln>
              <a:noFill/>
            </a:ln>
            <a:effectLst/>
          </c:spPr>
          <c:invertIfNegative val="0"/>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'Water report'!$J$1295:$K$1295</c:f>
              <c:strCache>
                <c:ptCount val="2"/>
                <c:pt idx="0">
                  <c:v>Expenditure R'000</c:v>
                </c:pt>
                <c:pt idx="1">
                  <c:v>Revenue R'000</c:v>
                </c:pt>
              </c:strCache>
            </c:strRef>
          </c:cat>
          <c:val>
            <c:numRef>
              <c:f>'Water report'!$J$1301:$K$1301</c:f>
              <c:numCache>
                <c:formatCode>_-* #\ ##0_-;\-* #\ ##0_-;_-* "-"??_-;_-@_-</c:formatCode>
                <c:ptCount val="2"/>
                <c:pt idx="1">
                  <c:v>0</c:v>
                </c:pt>
              </c:numCache>
            </c:numRef>
          </c:val>
          <c:extLst>
            <c:ext xmlns:c16="http://schemas.microsoft.com/office/drawing/2014/chart" uri="{C3380CC4-5D6E-409C-BE32-E72D297353CC}">
              <c16:uniqueId val="{00000006-FD00-4AA0-9DC9-5399020CFCA2}"/>
            </c:ext>
          </c:extLst>
        </c:ser>
        <c:ser>
          <c:idx val="6"/>
          <c:order val="6"/>
          <c:tx>
            <c:strRef>
              <c:f>'Water report'!$I$1302</c:f>
              <c:strCache>
                <c:ptCount val="1"/>
                <c:pt idx="0">
                  <c:v>Deficit</c:v>
                </c:pt>
              </c:strCache>
            </c:strRef>
          </c:tx>
          <c:spPr>
            <a:solidFill>
              <a:srgbClr val="ED7D31"/>
            </a:solidFill>
            <a:ln w="25400">
              <a:noFill/>
            </a:ln>
          </c:spPr>
          <c:invertIfNegative val="0"/>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'Water report'!$J$1295:$K$1295</c:f>
              <c:strCache>
                <c:ptCount val="2"/>
                <c:pt idx="0">
                  <c:v>Expenditure R'000</c:v>
                </c:pt>
                <c:pt idx="1">
                  <c:v>Revenue R'000</c:v>
                </c:pt>
              </c:strCache>
            </c:strRef>
          </c:cat>
          <c:val>
            <c:numRef>
              <c:f>'Water report'!$J$1302:$K$1302</c:f>
              <c:numCache>
                <c:formatCode>_-* #\ ##0_-;\-* #\ ##0_-;_-* "-"??_-;_-@_-</c:formatCode>
                <c:ptCount val="2"/>
                <c:pt idx="1">
                  <c:v>0</c:v>
                </c:pt>
              </c:numCache>
            </c:numRef>
          </c:val>
          <c:extLst>
            <c:ext xmlns:c16="http://schemas.microsoft.com/office/drawing/2014/chart" uri="{C3380CC4-5D6E-409C-BE32-E72D297353CC}">
              <c16:uniqueId val="{00000007-FD00-4AA0-9DC9-5399020CFCA2}"/>
            </c:ext>
          </c:extLst>
        </c:ser>
        <c:dLbls>
          <c:showLegendKey val="0"/>
          <c:showVal val="0"/>
          <c:showCatName val="0"/>
          <c:showSerName val="0"/>
          <c:showPercent val="0"/>
          <c:showBubbleSize val="0"/>
        </c:dLbls>
        <c:gapWidth val="25"/>
        <c:overlap val="100"/>
        <c:axId val="1407215855"/>
        <c:axId val="1"/>
      </c:barChart>
      <c:catAx>
        <c:axId val="1407215855"/>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0" vert="horz"/>
          <a:lstStyle/>
          <a:p>
            <a:pPr>
              <a:defRPr sz="1100" b="0" i="0" u="none" strike="noStrike" baseline="0">
                <a:solidFill>
                  <a:srgbClr val="000000"/>
                </a:solidFill>
                <a:latin typeface="Calibri"/>
                <a:ea typeface="Calibri"/>
                <a:cs typeface="Calibri"/>
              </a:defRPr>
            </a:pPr>
            <a:endParaRPr lang="en-US"/>
          </a:p>
        </c:txPr>
        <c:crossAx val="1"/>
        <c:crosses val="autoZero"/>
        <c:auto val="1"/>
        <c:lblAlgn val="ctr"/>
        <c:lblOffset val="100"/>
        <c:noMultiLvlLbl val="0"/>
      </c:catAx>
      <c:valAx>
        <c:axId val="1"/>
        <c:scaling>
          <c:orientation val="minMax"/>
        </c:scaling>
        <c:delete val="1"/>
        <c:axPos val="l"/>
        <c:majorGridlines>
          <c:spPr>
            <a:ln w="9525" cap="flat" cmpd="sng" algn="ctr">
              <a:solidFill>
                <a:schemeClr val="tx1">
                  <a:lumMod val="15000"/>
                  <a:lumOff val="85000"/>
                </a:schemeClr>
              </a:solidFill>
              <a:round/>
            </a:ln>
            <a:effectLst/>
          </c:spPr>
        </c:majorGridlines>
        <c:numFmt formatCode="_-* #\ ##0_-;\-* #\ ##0_-;_-* &quot;-&quot;??_-;_-@_-" sourceLinked="1"/>
        <c:majorTickMark val="out"/>
        <c:minorTickMark val="none"/>
        <c:tickLblPos val="nextTo"/>
        <c:crossAx val="1407215855"/>
        <c:crosses val="autoZero"/>
        <c:crossBetween val="between"/>
      </c:valAx>
    </c:plotArea>
    <c:legend>
      <c:legendPos val="r"/>
      <c:layout>
        <c:manualLayout>
          <c:xMode val="edge"/>
          <c:yMode val="edge"/>
          <c:x val="0.63433525748622843"/>
          <c:y val="0.17846767615586512"/>
          <c:w val="0.34836447003916537"/>
          <c:h val="0.70771685846961441"/>
        </c:manualLayout>
      </c:layout>
      <c:overlay val="0"/>
      <c:spPr>
        <a:noFill/>
        <a:ln w="25400">
          <a:noFill/>
        </a:ln>
      </c:spPr>
      <c:txPr>
        <a:bodyPr/>
        <a:lstStyle/>
        <a:p>
          <a:pPr>
            <a:defRPr sz="850" b="0" i="0" u="none" strike="noStrike" baseline="0">
              <a:solidFill>
                <a:srgbClr val="000000"/>
              </a:solidFill>
              <a:latin typeface="Calibri"/>
              <a:ea typeface="Calibri"/>
              <a:cs typeface="Calibri"/>
            </a:defRPr>
          </a:pPr>
          <a:endParaRPr lang="en-US"/>
        </a:p>
      </c:txPr>
    </c:legend>
    <c:plotVisOnly val="1"/>
    <c:dispBlanksAs val="gap"/>
    <c:showDLblsOverMax val="0"/>
  </c:chart>
  <c:spPr>
    <a:solidFill>
      <a:schemeClr val="bg1"/>
    </a:solidFill>
    <a:ln w="9525" cap="flat" cmpd="sng" algn="ctr">
      <a:noFill/>
      <a:round/>
    </a:ln>
    <a:effectLst/>
  </c:spPr>
  <c:txPr>
    <a:bodyPr/>
    <a:lstStyle/>
    <a:p>
      <a:pPr>
        <a:defRPr sz="11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charts/chart10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ser>
          <c:idx val="0"/>
          <c:order val="0"/>
          <c:tx>
            <c:strRef>
              <c:f>'Water report'!$K$1320</c:f>
              <c:strCache>
                <c:ptCount val="1"/>
                <c:pt idx="0">
                  <c:v>Tariff </c:v>
                </c:pt>
              </c:strCache>
            </c:strRef>
          </c:tx>
          <c:spPr>
            <a:solidFill>
              <a:srgbClr val="4472C4"/>
            </a:solidFill>
            <a:ln w="25400">
              <a:noFill/>
            </a:ln>
          </c:spPr>
          <c:invertIfNegative val="0"/>
          <c:dLbls>
            <c:spPr>
              <a:noFill/>
              <a:ln w="25400">
                <a:noFill/>
              </a:ln>
            </c:spPr>
            <c:txPr>
              <a:bodyPr wrap="square" lIns="38100" tIns="19050" rIns="38100" bIns="19050" anchor="ctr">
                <a:spAutoFit/>
              </a:bodyPr>
              <a:lstStyle/>
              <a:p>
                <a:pPr>
                  <a:defRPr sz="900" b="0" i="0" u="none" strike="noStrike" baseline="0">
                    <a:solidFill>
                      <a:srgbClr val="333333"/>
                    </a:solidFill>
                    <a:latin typeface="Calibri"/>
                    <a:ea typeface="Calibri"/>
                    <a:cs typeface="Calibri"/>
                  </a:defRPr>
                </a:pPr>
                <a:endParaRPr lang="en-US"/>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numRef>
              <c:f>'Water report'!$J$1321:$J$1330</c:f>
              <c:numCache>
                <c:formatCode>General</c:formatCode>
                <c:ptCount val="10"/>
                <c:pt idx="0">
                  <c:v>0</c:v>
                </c:pt>
                <c:pt idx="1">
                  <c:v>0</c:v>
                </c:pt>
                <c:pt idx="2">
                  <c:v>0</c:v>
                </c:pt>
                <c:pt idx="3">
                  <c:v>0</c:v>
                </c:pt>
                <c:pt idx="4">
                  <c:v>0</c:v>
                </c:pt>
                <c:pt idx="5">
                  <c:v>0</c:v>
                </c:pt>
                <c:pt idx="6">
                  <c:v>0</c:v>
                </c:pt>
                <c:pt idx="7">
                  <c:v>0</c:v>
                </c:pt>
                <c:pt idx="8">
                  <c:v>0</c:v>
                </c:pt>
                <c:pt idx="9">
                  <c:v>0</c:v>
                </c:pt>
              </c:numCache>
            </c:numRef>
          </c:cat>
          <c:val>
            <c:numRef>
              <c:f>'Water report'!$K$1321:$K$1330</c:f>
              <c:numCache>
                <c:formatCode>_(* #,##0.00_);_(* \(#,##0.00\);_(* "-"??_);_(@_)</c:formatCode>
                <c:ptCount val="10"/>
                <c:pt idx="0">
                  <c:v>0</c:v>
                </c:pt>
                <c:pt idx="1">
                  <c:v>0</c:v>
                </c:pt>
                <c:pt idx="2">
                  <c:v>0</c:v>
                </c:pt>
                <c:pt idx="3">
                  <c:v>0</c:v>
                </c:pt>
                <c:pt idx="4">
                  <c:v>0</c:v>
                </c:pt>
                <c:pt idx="5">
                  <c:v>0</c:v>
                </c:pt>
                <c:pt idx="6">
                  <c:v>0</c:v>
                </c:pt>
                <c:pt idx="7">
                  <c:v>0</c:v>
                </c:pt>
                <c:pt idx="8">
                  <c:v>0</c:v>
                </c:pt>
                <c:pt idx="9">
                  <c:v>0</c:v>
                </c:pt>
              </c:numCache>
            </c:numRef>
          </c:val>
          <c:extLst>
            <c:ext xmlns:c16="http://schemas.microsoft.com/office/drawing/2014/chart" uri="{C3380CC4-5D6E-409C-BE32-E72D297353CC}">
              <c16:uniqueId val="{00000000-138D-46A4-8C5D-AF697275EB29}"/>
            </c:ext>
          </c:extLst>
        </c:ser>
        <c:dLbls>
          <c:showLegendKey val="0"/>
          <c:showVal val="0"/>
          <c:showCatName val="0"/>
          <c:showSerName val="0"/>
          <c:showPercent val="0"/>
          <c:showBubbleSize val="0"/>
        </c:dLbls>
        <c:gapWidth val="50"/>
        <c:overlap val="-27"/>
        <c:axId val="1407217775"/>
        <c:axId val="1"/>
      </c:barChart>
      <c:lineChart>
        <c:grouping val="standard"/>
        <c:varyColors val="0"/>
        <c:ser>
          <c:idx val="1"/>
          <c:order val="1"/>
          <c:tx>
            <c:strRef>
              <c:f>'Water report'!$L$1320</c:f>
              <c:strCache>
                <c:ptCount val="1"/>
                <c:pt idx="0">
                  <c:v>Total cost per kl </c:v>
                </c:pt>
              </c:strCache>
            </c:strRef>
          </c:tx>
          <c:spPr>
            <a:ln w="28575" cap="rnd">
              <a:solidFill>
                <a:schemeClr val="accent2"/>
              </a:solidFill>
              <a:round/>
            </a:ln>
            <a:effectLst/>
          </c:spPr>
          <c:marker>
            <c:symbol val="none"/>
          </c:marker>
          <c:val>
            <c:numRef>
              <c:f>'Water report'!$L$1321:$L$1330</c:f>
              <c:numCache>
                <c:formatCode>_(* #,##0.00_);_(* \(#,##0.00\);_(* "-"??_);_(@_)</c:formatCode>
                <c:ptCount val="10"/>
                <c:pt idx="0">
                  <c:v>0</c:v>
                </c:pt>
                <c:pt idx="1">
                  <c:v>0</c:v>
                </c:pt>
                <c:pt idx="2">
                  <c:v>0</c:v>
                </c:pt>
                <c:pt idx="3">
                  <c:v>0</c:v>
                </c:pt>
                <c:pt idx="4">
                  <c:v>0</c:v>
                </c:pt>
                <c:pt idx="5">
                  <c:v>0</c:v>
                </c:pt>
                <c:pt idx="6">
                  <c:v>0</c:v>
                </c:pt>
                <c:pt idx="7">
                  <c:v>0</c:v>
                </c:pt>
                <c:pt idx="8">
                  <c:v>0</c:v>
                </c:pt>
                <c:pt idx="9">
                  <c:v>0</c:v>
                </c:pt>
              </c:numCache>
            </c:numRef>
          </c:val>
          <c:smooth val="0"/>
          <c:extLst>
            <c:ext xmlns:c16="http://schemas.microsoft.com/office/drawing/2014/chart" uri="{C3380CC4-5D6E-409C-BE32-E72D297353CC}">
              <c16:uniqueId val="{00000001-138D-46A4-8C5D-AF697275EB29}"/>
            </c:ext>
          </c:extLst>
        </c:ser>
        <c:ser>
          <c:idx val="2"/>
          <c:order val="2"/>
          <c:tx>
            <c:strRef>
              <c:f>'Water report'!$M$1320</c:f>
              <c:strCache>
                <c:ptCount val="1"/>
                <c:pt idx="0">
                  <c:v>Variable cost per kl</c:v>
                </c:pt>
              </c:strCache>
            </c:strRef>
          </c:tx>
          <c:spPr>
            <a:ln w="28575" cap="rnd">
              <a:solidFill>
                <a:schemeClr val="accent3"/>
              </a:solidFill>
              <a:round/>
            </a:ln>
            <a:effectLst/>
          </c:spPr>
          <c:marker>
            <c:symbol val="none"/>
          </c:marker>
          <c:val>
            <c:numRef>
              <c:f>'Water report'!$M$1321:$M$1330</c:f>
              <c:numCache>
                <c:formatCode>_(* #,##0.00_);_(* \(#,##0.00\);_(* "-"??_);_(@_)</c:formatCode>
                <c:ptCount val="10"/>
                <c:pt idx="0" formatCode="_-* #\ ##0_-;\-* #\ ##0_-;_-* &quot;-&quot;??_-;_-@_-">
                  <c:v>0</c:v>
                </c:pt>
                <c:pt idx="1">
                  <c:v>0</c:v>
                </c:pt>
                <c:pt idx="2">
                  <c:v>0</c:v>
                </c:pt>
                <c:pt idx="3">
                  <c:v>0</c:v>
                </c:pt>
                <c:pt idx="4">
                  <c:v>0</c:v>
                </c:pt>
                <c:pt idx="5">
                  <c:v>0</c:v>
                </c:pt>
                <c:pt idx="6">
                  <c:v>0</c:v>
                </c:pt>
                <c:pt idx="7">
                  <c:v>0</c:v>
                </c:pt>
                <c:pt idx="8">
                  <c:v>0</c:v>
                </c:pt>
                <c:pt idx="9">
                  <c:v>0</c:v>
                </c:pt>
              </c:numCache>
            </c:numRef>
          </c:val>
          <c:smooth val="0"/>
          <c:extLst>
            <c:ext xmlns:c16="http://schemas.microsoft.com/office/drawing/2014/chart" uri="{C3380CC4-5D6E-409C-BE32-E72D297353CC}">
              <c16:uniqueId val="{00000002-138D-46A4-8C5D-AF697275EB29}"/>
            </c:ext>
          </c:extLst>
        </c:ser>
        <c:dLbls>
          <c:showLegendKey val="0"/>
          <c:showVal val="0"/>
          <c:showCatName val="0"/>
          <c:showSerName val="0"/>
          <c:showPercent val="0"/>
          <c:showBubbleSize val="0"/>
        </c:dLbls>
        <c:marker val="1"/>
        <c:smooth val="0"/>
        <c:axId val="1407217775"/>
        <c:axId val="1"/>
      </c:lineChart>
      <c:catAx>
        <c:axId val="1407217775"/>
        <c:scaling>
          <c:orientation val="minMax"/>
        </c:scaling>
        <c:delete val="0"/>
        <c:axPos val="b"/>
        <c:title>
          <c:tx>
            <c:rich>
              <a:bodyPr/>
              <a:lstStyle/>
              <a:p>
                <a:pPr>
                  <a:defRPr sz="1000" b="0" i="0" u="none" strike="noStrike" baseline="0">
                    <a:solidFill>
                      <a:srgbClr val="333333"/>
                    </a:solidFill>
                    <a:latin typeface="Calibri"/>
                    <a:ea typeface="Calibri"/>
                    <a:cs typeface="Calibri"/>
                  </a:defRPr>
                </a:pPr>
                <a:r>
                  <a:rPr lang="en-ZA"/>
                  <a:t>Block size</a:t>
                </a:r>
              </a:p>
            </c:rich>
          </c:tx>
          <c:overlay val="0"/>
          <c:spPr>
            <a:noFill/>
            <a:ln w="25400">
              <a:noFill/>
            </a:ln>
          </c:spPr>
        </c:title>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0" vert="horz"/>
          <a:lstStyle/>
          <a:p>
            <a:pPr>
              <a:defRPr sz="900" b="0" i="0" u="none" strike="noStrike" baseline="0">
                <a:solidFill>
                  <a:srgbClr val="333333"/>
                </a:solidFill>
                <a:latin typeface="Calibri"/>
                <a:ea typeface="Calibri"/>
                <a:cs typeface="Calibri"/>
              </a:defRPr>
            </a:pPr>
            <a:endParaRPr lang="en-US"/>
          </a:p>
        </c:txPr>
        <c:crossAx val="1"/>
        <c:crosses val="autoZero"/>
        <c:auto val="1"/>
        <c:lblAlgn val="ctr"/>
        <c:lblOffset val="100"/>
        <c:noMultiLvlLbl val="0"/>
      </c:catAx>
      <c:valAx>
        <c:axId val="1"/>
        <c:scaling>
          <c:orientation val="minMax"/>
        </c:scaling>
        <c:delete val="0"/>
        <c:axPos val="l"/>
        <c:majorGridlines>
          <c:spPr>
            <a:ln w="9525" cap="flat" cmpd="sng" algn="ctr">
              <a:solidFill>
                <a:schemeClr val="tx1">
                  <a:lumMod val="15000"/>
                  <a:lumOff val="85000"/>
                </a:schemeClr>
              </a:solidFill>
              <a:round/>
            </a:ln>
            <a:effectLst/>
          </c:spPr>
        </c:majorGridlines>
        <c:title>
          <c:tx>
            <c:rich>
              <a:bodyPr/>
              <a:lstStyle/>
              <a:p>
                <a:pPr>
                  <a:defRPr sz="1000" b="0" i="0" u="none" strike="noStrike" baseline="0">
                    <a:solidFill>
                      <a:srgbClr val="333333"/>
                    </a:solidFill>
                    <a:latin typeface="Calibri"/>
                    <a:ea typeface="Calibri"/>
                    <a:cs typeface="Calibri"/>
                  </a:defRPr>
                </a:pPr>
                <a:r>
                  <a:rPr lang="en-ZA"/>
                  <a:t>R/kl</a:t>
                </a:r>
              </a:p>
            </c:rich>
          </c:tx>
          <c:overlay val="0"/>
          <c:spPr>
            <a:noFill/>
            <a:ln w="25400">
              <a:noFill/>
            </a:ln>
          </c:spPr>
        </c:title>
        <c:numFmt formatCode="_(* #,##0.00_);_(* \(#,##0.00\);_(* &quot;-&quot;??_);_(@_)" sourceLinked="1"/>
        <c:majorTickMark val="none"/>
        <c:minorTickMark val="none"/>
        <c:tickLblPos val="nextTo"/>
        <c:spPr>
          <a:ln w="6350">
            <a:noFill/>
          </a:ln>
        </c:spPr>
        <c:txPr>
          <a:bodyPr rot="0" vert="horz"/>
          <a:lstStyle/>
          <a:p>
            <a:pPr>
              <a:defRPr sz="900" b="0" i="0" u="none" strike="noStrike" baseline="0">
                <a:solidFill>
                  <a:srgbClr val="333333"/>
                </a:solidFill>
                <a:latin typeface="Calibri"/>
                <a:ea typeface="Calibri"/>
                <a:cs typeface="Calibri"/>
              </a:defRPr>
            </a:pPr>
            <a:endParaRPr lang="en-US"/>
          </a:p>
        </c:txPr>
        <c:crossAx val="1407217775"/>
        <c:crosses val="autoZero"/>
        <c:crossBetween val="between"/>
      </c:valAx>
      <c:spPr>
        <a:noFill/>
        <a:ln w="25400">
          <a:noFill/>
        </a:ln>
      </c:spPr>
    </c:plotArea>
    <c:legend>
      <c:legendPos val="r"/>
      <c:layout>
        <c:manualLayout>
          <c:xMode val="edge"/>
          <c:yMode val="edge"/>
          <c:x val="0.16605689049016475"/>
          <c:y val="0.9270571043484428"/>
          <c:w val="0.65869231290738117"/>
          <c:h val="5.9461445697666204E-2"/>
        </c:manualLayout>
      </c:layout>
      <c:overlay val="0"/>
      <c:spPr>
        <a:noFill/>
        <a:ln w="25400">
          <a:noFill/>
        </a:ln>
      </c:spPr>
      <c:txPr>
        <a:bodyPr/>
        <a:lstStyle/>
        <a:p>
          <a:pPr>
            <a:defRPr sz="690" b="0" i="0" u="none" strike="noStrike" baseline="0">
              <a:solidFill>
                <a:srgbClr val="333333"/>
              </a:solidFill>
              <a:latin typeface="Calibri"/>
              <a:ea typeface="Calibri"/>
              <a:cs typeface="Calibri"/>
            </a:defRPr>
          </a:pPr>
          <a:endParaRPr lang="en-US"/>
        </a:p>
      </c:txPr>
    </c:legend>
    <c:plotVisOnly val="1"/>
    <c:dispBlanksAs val="gap"/>
    <c:showDLblsOverMax val="0"/>
  </c:chart>
  <c:spPr>
    <a:solidFill>
      <a:schemeClr val="bg1"/>
    </a:solidFill>
    <a:ln w="9525" cap="flat" cmpd="sng" algn="ctr">
      <a:noFill/>
      <a:round/>
    </a:ln>
    <a:effectLst/>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charts/chart10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ser>
          <c:idx val="0"/>
          <c:order val="0"/>
          <c:tx>
            <c:v>Tariff</c:v>
          </c:tx>
          <c:spPr>
            <a:solidFill>
              <a:srgbClr val="4472C4"/>
            </a:solidFill>
            <a:ln w="25400">
              <a:noFill/>
            </a:ln>
          </c:spPr>
          <c:invertIfNegative val="0"/>
          <c:dLbls>
            <c:spPr>
              <a:noFill/>
              <a:ln w="25400">
                <a:noFill/>
              </a:ln>
            </c:spPr>
            <c:txPr>
              <a:bodyPr wrap="square" lIns="38100" tIns="19050" rIns="38100" bIns="19050" anchor="ctr">
                <a:spAutoFit/>
              </a:bodyPr>
              <a:lstStyle/>
              <a:p>
                <a:pPr>
                  <a:defRPr sz="900" b="0" i="0" u="none" strike="noStrike" baseline="0">
                    <a:solidFill>
                      <a:srgbClr val="333333"/>
                    </a:solidFill>
                    <a:latin typeface="Calibri"/>
                    <a:ea typeface="Calibri"/>
                    <a:cs typeface="Calibri"/>
                  </a:defRPr>
                </a:pPr>
                <a:endParaRPr lang="en-US"/>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'Water report'!$J$51:$J$60</c:f>
              <c:strCache>
                <c:ptCount val="10"/>
                <c:pt idx="0">
                  <c:v>6</c:v>
                </c:pt>
                <c:pt idx="1">
                  <c:v>15</c:v>
                </c:pt>
                <c:pt idx="2">
                  <c:v>30</c:v>
                </c:pt>
                <c:pt idx="3">
                  <c:v>40</c:v>
                </c:pt>
                <c:pt idx="4">
                  <c:v>more</c:v>
                </c:pt>
                <c:pt idx="5">
                  <c:v>0</c:v>
                </c:pt>
                <c:pt idx="6">
                  <c:v>0</c:v>
                </c:pt>
                <c:pt idx="7">
                  <c:v>0</c:v>
                </c:pt>
                <c:pt idx="8">
                  <c:v>0</c:v>
                </c:pt>
                <c:pt idx="9">
                  <c:v>0</c:v>
                </c:pt>
              </c:strCache>
            </c:strRef>
          </c:cat>
          <c:val>
            <c:numRef>
              <c:f>'Water report'!$K$113:$K$122</c:f>
              <c:numCache>
                <c:formatCode>_(* #,##0.00_);_(* \(#,##0.00\);_(* "-"??_);_(@_)</c:formatCode>
                <c:ptCount val="10"/>
                <c:pt idx="0">
                  <c:v>9.6424905692326135</c:v>
                </c:pt>
                <c:pt idx="1">
                  <c:v>0</c:v>
                </c:pt>
                <c:pt idx="2">
                  <c:v>0</c:v>
                </c:pt>
                <c:pt idx="3">
                  <c:v>0</c:v>
                </c:pt>
                <c:pt idx="4">
                  <c:v>0</c:v>
                </c:pt>
                <c:pt idx="5">
                  <c:v>0</c:v>
                </c:pt>
                <c:pt idx="6">
                  <c:v>0</c:v>
                </c:pt>
                <c:pt idx="7">
                  <c:v>0</c:v>
                </c:pt>
                <c:pt idx="8">
                  <c:v>0</c:v>
                </c:pt>
                <c:pt idx="9">
                  <c:v>0</c:v>
                </c:pt>
              </c:numCache>
            </c:numRef>
          </c:val>
          <c:extLst>
            <c:ext xmlns:c16="http://schemas.microsoft.com/office/drawing/2014/chart" uri="{C3380CC4-5D6E-409C-BE32-E72D297353CC}">
              <c16:uniqueId val="{00000000-EB87-4508-8C08-B865596769BA}"/>
            </c:ext>
          </c:extLst>
        </c:ser>
        <c:dLbls>
          <c:showLegendKey val="0"/>
          <c:showVal val="0"/>
          <c:showCatName val="0"/>
          <c:showSerName val="0"/>
          <c:showPercent val="0"/>
          <c:showBubbleSize val="0"/>
        </c:dLbls>
        <c:gapWidth val="50"/>
        <c:axId val="1407215375"/>
        <c:axId val="1"/>
      </c:barChart>
      <c:lineChart>
        <c:grouping val="standard"/>
        <c:varyColors val="0"/>
        <c:ser>
          <c:idx val="1"/>
          <c:order val="1"/>
          <c:tx>
            <c:strRef>
              <c:f>'Water report'!$L$50</c:f>
              <c:strCache>
                <c:ptCount val="1"/>
                <c:pt idx="0">
                  <c:v>Total cost per kl </c:v>
                </c:pt>
              </c:strCache>
            </c:strRef>
          </c:tx>
          <c:spPr>
            <a:ln w="28575" cap="rnd">
              <a:solidFill>
                <a:schemeClr val="accent2"/>
              </a:solidFill>
              <a:round/>
            </a:ln>
            <a:effectLst/>
          </c:spPr>
          <c:marker>
            <c:symbol val="none"/>
          </c:marker>
          <c:val>
            <c:numRef>
              <c:f>'Water report'!$M$114:$M$123</c:f>
              <c:numCache>
                <c:formatCode>_(* #,##0.00_);_(* \(#,##0.00\);_(* "-"??_);_(@_)</c:formatCode>
                <c:ptCount val="10"/>
                <c:pt idx="0">
                  <c:v>59.745916645209405</c:v>
                </c:pt>
                <c:pt idx="1">
                  <c:v>59.745916645209405</c:v>
                </c:pt>
                <c:pt idx="2">
                  <c:v>59.745916645209405</c:v>
                </c:pt>
                <c:pt idx="3">
                  <c:v>59.745916645209405</c:v>
                </c:pt>
                <c:pt idx="4">
                  <c:v>59.745916645209405</c:v>
                </c:pt>
                <c:pt idx="5">
                  <c:v>59.745916645209405</c:v>
                </c:pt>
                <c:pt idx="6">
                  <c:v>59.745916645209405</c:v>
                </c:pt>
                <c:pt idx="7">
                  <c:v>59.745916645209405</c:v>
                </c:pt>
                <c:pt idx="8">
                  <c:v>59.745916645209405</c:v>
                </c:pt>
                <c:pt idx="9">
                  <c:v>59.745916645209405</c:v>
                </c:pt>
              </c:numCache>
            </c:numRef>
          </c:val>
          <c:smooth val="0"/>
          <c:extLst>
            <c:ext xmlns:c16="http://schemas.microsoft.com/office/drawing/2014/chart" uri="{C3380CC4-5D6E-409C-BE32-E72D297353CC}">
              <c16:uniqueId val="{00000001-EB87-4508-8C08-B865596769BA}"/>
            </c:ext>
          </c:extLst>
        </c:ser>
        <c:ser>
          <c:idx val="2"/>
          <c:order val="2"/>
          <c:tx>
            <c:strRef>
              <c:f>'Water report'!$M$50</c:f>
              <c:strCache>
                <c:ptCount val="1"/>
                <c:pt idx="0">
                  <c:v>Variable cost per kl</c:v>
                </c:pt>
              </c:strCache>
            </c:strRef>
          </c:tx>
          <c:spPr>
            <a:ln w="28575" cap="rnd">
              <a:solidFill>
                <a:schemeClr val="accent3"/>
              </a:solidFill>
              <a:round/>
            </a:ln>
            <a:effectLst/>
          </c:spPr>
          <c:marker>
            <c:symbol val="none"/>
          </c:marker>
          <c:val>
            <c:numRef>
              <c:f>'Water report'!$N$114:$N$123</c:f>
              <c:numCache>
                <c:formatCode>_(* #,##0.00_);_(* \(#,##0.00\);_(* "-"??_);_(@_)</c:formatCode>
                <c:ptCount val="10"/>
                <c:pt idx="0">
                  <c:v>23.021901145481429</c:v>
                </c:pt>
                <c:pt idx="1">
                  <c:v>23.021901145481429</c:v>
                </c:pt>
                <c:pt idx="2">
                  <c:v>23.021901145481429</c:v>
                </c:pt>
                <c:pt idx="3">
                  <c:v>23.021901145481429</c:v>
                </c:pt>
                <c:pt idx="4">
                  <c:v>23.021901145481429</c:v>
                </c:pt>
                <c:pt idx="5">
                  <c:v>23.021901145481429</c:v>
                </c:pt>
                <c:pt idx="6">
                  <c:v>23.021901145481429</c:v>
                </c:pt>
                <c:pt idx="7">
                  <c:v>23.021901145481429</c:v>
                </c:pt>
                <c:pt idx="8">
                  <c:v>23.021901145481429</c:v>
                </c:pt>
                <c:pt idx="9">
                  <c:v>23.021901145481429</c:v>
                </c:pt>
              </c:numCache>
            </c:numRef>
          </c:val>
          <c:smooth val="0"/>
          <c:extLst>
            <c:ext xmlns:c16="http://schemas.microsoft.com/office/drawing/2014/chart" uri="{C3380CC4-5D6E-409C-BE32-E72D297353CC}">
              <c16:uniqueId val="{00000002-EB87-4508-8C08-B865596769BA}"/>
            </c:ext>
          </c:extLst>
        </c:ser>
        <c:dLbls>
          <c:showLegendKey val="0"/>
          <c:showVal val="0"/>
          <c:showCatName val="0"/>
          <c:showSerName val="0"/>
          <c:showPercent val="0"/>
          <c:showBubbleSize val="0"/>
        </c:dLbls>
        <c:marker val="1"/>
        <c:smooth val="0"/>
        <c:axId val="3"/>
        <c:axId val="4"/>
      </c:lineChart>
      <c:catAx>
        <c:axId val="1407215375"/>
        <c:scaling>
          <c:orientation val="minMax"/>
        </c:scaling>
        <c:delete val="0"/>
        <c:axPos val="b"/>
        <c:title>
          <c:tx>
            <c:rich>
              <a:bodyPr/>
              <a:lstStyle/>
              <a:p>
                <a:pPr>
                  <a:defRPr sz="1000" b="0" i="0" u="none" strike="noStrike" baseline="0">
                    <a:solidFill>
                      <a:srgbClr val="333333"/>
                    </a:solidFill>
                    <a:latin typeface="Calibri"/>
                    <a:ea typeface="Calibri"/>
                    <a:cs typeface="Calibri"/>
                  </a:defRPr>
                </a:pPr>
                <a:r>
                  <a:rPr lang="en-ZA"/>
                  <a:t>Block size</a:t>
                </a:r>
              </a:p>
            </c:rich>
          </c:tx>
          <c:overlay val="0"/>
          <c:spPr>
            <a:noFill/>
            <a:ln w="25400">
              <a:noFill/>
            </a:ln>
          </c:spPr>
        </c:title>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0" vert="horz"/>
          <a:lstStyle/>
          <a:p>
            <a:pPr>
              <a:defRPr sz="900" b="0" i="0" u="none" strike="noStrike" baseline="0">
                <a:solidFill>
                  <a:srgbClr val="333333"/>
                </a:solidFill>
                <a:latin typeface="Calibri"/>
                <a:ea typeface="Calibri"/>
                <a:cs typeface="Calibri"/>
              </a:defRPr>
            </a:pPr>
            <a:endParaRPr lang="en-US"/>
          </a:p>
        </c:txPr>
        <c:crossAx val="1"/>
        <c:crosses val="autoZero"/>
        <c:auto val="1"/>
        <c:lblAlgn val="ctr"/>
        <c:lblOffset val="100"/>
        <c:noMultiLvlLbl val="0"/>
      </c:catAx>
      <c:valAx>
        <c:axId val="1"/>
        <c:scaling>
          <c:orientation val="minMax"/>
        </c:scaling>
        <c:delete val="0"/>
        <c:axPos val="l"/>
        <c:majorGridlines>
          <c:spPr>
            <a:ln w="9525" cap="flat" cmpd="sng" algn="ctr">
              <a:solidFill>
                <a:schemeClr val="tx1">
                  <a:lumMod val="15000"/>
                  <a:lumOff val="85000"/>
                </a:schemeClr>
              </a:solidFill>
              <a:round/>
            </a:ln>
            <a:effectLst/>
          </c:spPr>
        </c:majorGridlines>
        <c:title>
          <c:tx>
            <c:rich>
              <a:bodyPr/>
              <a:lstStyle/>
              <a:p>
                <a:pPr>
                  <a:defRPr sz="1000" b="0" i="0" u="none" strike="noStrike" baseline="0">
                    <a:solidFill>
                      <a:srgbClr val="333333"/>
                    </a:solidFill>
                    <a:latin typeface="Calibri"/>
                    <a:ea typeface="Calibri"/>
                    <a:cs typeface="Calibri"/>
                  </a:defRPr>
                </a:pPr>
                <a:r>
                  <a:rPr lang="en-ZA"/>
                  <a:t>R/kl</a:t>
                </a:r>
              </a:p>
            </c:rich>
          </c:tx>
          <c:overlay val="0"/>
          <c:spPr>
            <a:noFill/>
            <a:ln w="25400">
              <a:noFill/>
            </a:ln>
          </c:spPr>
        </c:title>
        <c:numFmt formatCode="_(* #,##0.00_);_(* \(#,##0.00\);_(* &quot;-&quot;??_);_(@_)" sourceLinked="1"/>
        <c:majorTickMark val="none"/>
        <c:minorTickMark val="none"/>
        <c:tickLblPos val="nextTo"/>
        <c:spPr>
          <a:ln w="6350">
            <a:noFill/>
          </a:ln>
        </c:spPr>
        <c:txPr>
          <a:bodyPr rot="0" vert="horz"/>
          <a:lstStyle/>
          <a:p>
            <a:pPr>
              <a:defRPr sz="900" b="0" i="0" u="none" strike="noStrike" baseline="0">
                <a:solidFill>
                  <a:srgbClr val="333333"/>
                </a:solidFill>
                <a:latin typeface="Calibri"/>
                <a:ea typeface="Calibri"/>
                <a:cs typeface="Calibri"/>
              </a:defRPr>
            </a:pPr>
            <a:endParaRPr lang="en-US"/>
          </a:p>
        </c:txPr>
        <c:crossAx val="1407215375"/>
        <c:crosses val="autoZero"/>
        <c:crossBetween val="between"/>
      </c:valAx>
      <c:catAx>
        <c:axId val="3"/>
        <c:scaling>
          <c:orientation val="minMax"/>
        </c:scaling>
        <c:delete val="1"/>
        <c:axPos val="b"/>
        <c:majorTickMark val="out"/>
        <c:minorTickMark val="none"/>
        <c:tickLblPos val="nextTo"/>
        <c:crossAx val="4"/>
        <c:crosses val="autoZero"/>
        <c:auto val="1"/>
        <c:lblAlgn val="ctr"/>
        <c:lblOffset val="100"/>
        <c:noMultiLvlLbl val="0"/>
      </c:catAx>
      <c:valAx>
        <c:axId val="4"/>
        <c:scaling>
          <c:orientation val="minMax"/>
        </c:scaling>
        <c:delete val="1"/>
        <c:axPos val="r"/>
        <c:numFmt formatCode="_(* #,##0.00_);_(* \(#,##0.00\);_(* &quot;-&quot;??_);_(@_)" sourceLinked="1"/>
        <c:majorTickMark val="out"/>
        <c:minorTickMark val="none"/>
        <c:tickLblPos val="nextTo"/>
        <c:crossAx val="3"/>
        <c:crosses val="max"/>
        <c:crossBetween val="between"/>
      </c:valAx>
      <c:spPr>
        <a:noFill/>
        <a:ln w="25400">
          <a:noFill/>
        </a:ln>
      </c:spPr>
    </c:plotArea>
    <c:legend>
      <c:legendPos val="r"/>
      <c:layout>
        <c:manualLayout>
          <c:xMode val="edge"/>
          <c:yMode val="edge"/>
          <c:x val="0.16821245773113852"/>
          <c:y val="0.91870505644625755"/>
          <c:w val="0.65621358328360535"/>
          <c:h val="6.6267273819688222E-2"/>
        </c:manualLayout>
      </c:layout>
      <c:overlay val="0"/>
      <c:spPr>
        <a:noFill/>
        <a:ln w="25400">
          <a:noFill/>
        </a:ln>
      </c:spPr>
      <c:txPr>
        <a:bodyPr/>
        <a:lstStyle/>
        <a:p>
          <a:pPr>
            <a:defRPr sz="690" b="0" i="0" u="none" strike="noStrike" baseline="0">
              <a:solidFill>
                <a:srgbClr val="333333"/>
              </a:solidFill>
              <a:latin typeface="Calibri"/>
              <a:ea typeface="Calibri"/>
              <a:cs typeface="Calibri"/>
            </a:defRPr>
          </a:pPr>
          <a:endParaRPr lang="en-US"/>
        </a:p>
      </c:txPr>
    </c:legend>
    <c:plotVisOnly val="1"/>
    <c:dispBlanksAs val="gap"/>
    <c:showDLblsOverMax val="0"/>
  </c:chart>
  <c:spPr>
    <a:solidFill>
      <a:schemeClr val="bg1"/>
    </a:solidFill>
    <a:ln w="9525" cap="flat" cmpd="sng" algn="ctr">
      <a:noFill/>
      <a:round/>
    </a:ln>
    <a:effectLst/>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charts/chart10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2.3871527777777776E-2"/>
          <c:y val="4.7786414907172239E-2"/>
          <c:w val="0.57559123468941387"/>
          <c:h val="0.83529592857692603"/>
        </c:manualLayout>
      </c:layout>
      <c:barChart>
        <c:barDir val="col"/>
        <c:grouping val="stacked"/>
        <c:varyColors val="0"/>
        <c:ser>
          <c:idx val="0"/>
          <c:order val="0"/>
          <c:tx>
            <c:strRef>
              <c:f>'Sanitation report'!$I$34</c:f>
              <c:strCache>
                <c:ptCount val="1"/>
                <c:pt idx="0">
                  <c:v>Fixed cost</c:v>
                </c:pt>
              </c:strCache>
            </c:strRef>
          </c:tx>
          <c:spPr>
            <a:solidFill>
              <a:srgbClr val="4472C4"/>
            </a:solidFill>
            <a:ln w="25400">
              <a:noFill/>
            </a:ln>
          </c:spPr>
          <c:invertIfNegative val="0"/>
          <c:dPt>
            <c:idx val="0"/>
            <c:invertIfNegative val="0"/>
            <c:bubble3D val="0"/>
            <c:spPr>
              <a:solidFill>
                <a:srgbClr val="5B9BD5"/>
              </a:solidFill>
              <a:ln w="25400">
                <a:noFill/>
              </a:ln>
            </c:spPr>
            <c:extLst>
              <c:ext xmlns:c16="http://schemas.microsoft.com/office/drawing/2014/chart" uri="{C3380CC4-5D6E-409C-BE32-E72D297353CC}">
                <c16:uniqueId val="{00000000-B350-4B1F-8919-7A9019BDF35D}"/>
              </c:ext>
            </c:extLst>
          </c:dPt>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'Sanitation report'!$J$33:$K$33</c:f>
              <c:strCache>
                <c:ptCount val="2"/>
                <c:pt idx="0">
                  <c:v>Expenditure R'000</c:v>
                </c:pt>
                <c:pt idx="1">
                  <c:v>Revenue R'000</c:v>
                </c:pt>
              </c:strCache>
            </c:strRef>
          </c:cat>
          <c:val>
            <c:numRef>
              <c:f>'Sanitation report'!$J$34:$K$34</c:f>
              <c:numCache>
                <c:formatCode>General</c:formatCode>
                <c:ptCount val="2"/>
                <c:pt idx="0" formatCode="_-* #\ ##0_-;\-* #\ ##0_-;_-* &quot;-&quot;??_-;_-@_-">
                  <c:v>62182.642276347571</c:v>
                </c:pt>
              </c:numCache>
            </c:numRef>
          </c:val>
          <c:extLst>
            <c:ext xmlns:c16="http://schemas.microsoft.com/office/drawing/2014/chart" uri="{C3380CC4-5D6E-409C-BE32-E72D297353CC}">
              <c16:uniqueId val="{00000001-B350-4B1F-8919-7A9019BDF35D}"/>
            </c:ext>
          </c:extLst>
        </c:ser>
        <c:ser>
          <c:idx val="1"/>
          <c:order val="1"/>
          <c:tx>
            <c:strRef>
              <c:f>'Sanitation report'!$I$35</c:f>
              <c:strCache>
                <c:ptCount val="1"/>
                <c:pt idx="0">
                  <c:v>Variable cost</c:v>
                </c:pt>
              </c:strCache>
            </c:strRef>
          </c:tx>
          <c:spPr>
            <a:solidFill>
              <a:schemeClr val="accent5">
                <a:lumMod val="60000"/>
                <a:lumOff val="40000"/>
              </a:schemeClr>
            </a:solidFill>
            <a:ln>
              <a:noFill/>
            </a:ln>
            <a:effectLst/>
          </c:spPr>
          <c:invertIfNegative val="0"/>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'Sanitation report'!$J$33:$K$33</c:f>
              <c:strCache>
                <c:ptCount val="2"/>
                <c:pt idx="0">
                  <c:v>Expenditure R'000</c:v>
                </c:pt>
                <c:pt idx="1">
                  <c:v>Revenue R'000</c:v>
                </c:pt>
              </c:strCache>
            </c:strRef>
          </c:cat>
          <c:val>
            <c:numRef>
              <c:f>'Sanitation report'!$J$35:$K$35</c:f>
              <c:numCache>
                <c:formatCode>General</c:formatCode>
                <c:ptCount val="2"/>
                <c:pt idx="0" formatCode="_-* #\ ##0_-;\-* #\ ##0_-;_-* &quot;-&quot;??_-;_-@_-">
                  <c:v>7970.1822353746493</c:v>
                </c:pt>
              </c:numCache>
            </c:numRef>
          </c:val>
          <c:extLst>
            <c:ext xmlns:c16="http://schemas.microsoft.com/office/drawing/2014/chart" uri="{C3380CC4-5D6E-409C-BE32-E72D297353CC}">
              <c16:uniqueId val="{00000002-B350-4B1F-8919-7A9019BDF35D}"/>
            </c:ext>
          </c:extLst>
        </c:ser>
        <c:ser>
          <c:idx val="2"/>
          <c:order val="2"/>
          <c:tx>
            <c:strRef>
              <c:f>'Sanitation report'!$I$36</c:f>
              <c:strCache>
                <c:ptCount val="1"/>
                <c:pt idx="0">
                  <c:v>Surplus</c:v>
                </c:pt>
              </c:strCache>
            </c:strRef>
          </c:tx>
          <c:spPr>
            <a:solidFill>
              <a:srgbClr val="A5A5A5"/>
            </a:solidFill>
            <a:ln w="25400">
              <a:noFill/>
            </a:ln>
          </c:spPr>
          <c:invertIfNegative val="0"/>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'Sanitation report'!$J$33:$K$33</c:f>
              <c:strCache>
                <c:ptCount val="2"/>
                <c:pt idx="0">
                  <c:v>Expenditure R'000</c:v>
                </c:pt>
                <c:pt idx="1">
                  <c:v>Revenue R'000</c:v>
                </c:pt>
              </c:strCache>
            </c:strRef>
          </c:cat>
          <c:val>
            <c:numRef>
              <c:f>'Sanitation report'!$J$36:$K$36</c:f>
              <c:numCache>
                <c:formatCode>General</c:formatCode>
                <c:ptCount val="2"/>
                <c:pt idx="0" formatCode="_-* #\ ##0_-;\-* #\ ##0_-;_-* &quot;-&quot;??_-;_-@_-">
                  <c:v>0</c:v>
                </c:pt>
              </c:numCache>
            </c:numRef>
          </c:val>
          <c:extLst>
            <c:ext xmlns:c16="http://schemas.microsoft.com/office/drawing/2014/chart" uri="{C3380CC4-5D6E-409C-BE32-E72D297353CC}">
              <c16:uniqueId val="{00000003-B350-4B1F-8919-7A9019BDF35D}"/>
            </c:ext>
          </c:extLst>
        </c:ser>
        <c:ser>
          <c:idx val="4"/>
          <c:order val="3"/>
          <c:tx>
            <c:strRef>
              <c:f>'Sanitation report'!$I$37</c:f>
              <c:strCache>
                <c:ptCount val="1"/>
                <c:pt idx="0">
                  <c:v>Tariff revenue</c:v>
                </c:pt>
              </c:strCache>
            </c:strRef>
          </c:tx>
          <c:spPr>
            <a:solidFill>
              <a:srgbClr val="5B9BD5"/>
            </a:solidFill>
            <a:ln w="25400">
              <a:noFill/>
            </a:ln>
          </c:spPr>
          <c:invertIfNegative val="0"/>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'Sanitation report'!$J$33:$K$33</c:f>
              <c:strCache>
                <c:ptCount val="2"/>
                <c:pt idx="0">
                  <c:v>Expenditure R'000</c:v>
                </c:pt>
                <c:pt idx="1">
                  <c:v>Revenue R'000</c:v>
                </c:pt>
              </c:strCache>
            </c:strRef>
          </c:cat>
          <c:val>
            <c:numRef>
              <c:f>'Sanitation report'!$J$37:$K$37</c:f>
              <c:numCache>
                <c:formatCode>_-* #\ ##0_-;\-* #\ ##0_-;_-* "-"??_-;_-@_-</c:formatCode>
                <c:ptCount val="2"/>
                <c:pt idx="1">
                  <c:v>44382.263884618194</c:v>
                </c:pt>
              </c:numCache>
            </c:numRef>
          </c:val>
          <c:extLst>
            <c:ext xmlns:c16="http://schemas.microsoft.com/office/drawing/2014/chart" uri="{C3380CC4-5D6E-409C-BE32-E72D297353CC}">
              <c16:uniqueId val="{00000004-B350-4B1F-8919-7A9019BDF35D}"/>
            </c:ext>
          </c:extLst>
        </c:ser>
        <c:ser>
          <c:idx val="5"/>
          <c:order val="4"/>
          <c:tx>
            <c:strRef>
              <c:f>'Sanitation report'!$I$38</c:f>
              <c:strCache>
                <c:ptCount val="1"/>
                <c:pt idx="0">
                  <c:v>External grants &amp; subsidies</c:v>
                </c:pt>
              </c:strCache>
            </c:strRef>
          </c:tx>
          <c:spPr>
            <a:solidFill>
              <a:srgbClr val="A5A5A5"/>
            </a:solidFill>
            <a:ln w="25400">
              <a:noFill/>
            </a:ln>
          </c:spPr>
          <c:invertIfNegative val="0"/>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'Sanitation report'!$J$33:$K$33</c:f>
              <c:strCache>
                <c:ptCount val="2"/>
                <c:pt idx="0">
                  <c:v>Expenditure R'000</c:v>
                </c:pt>
                <c:pt idx="1">
                  <c:v>Revenue R'000</c:v>
                </c:pt>
              </c:strCache>
            </c:strRef>
          </c:cat>
          <c:val>
            <c:numRef>
              <c:f>'Sanitation report'!$J$38:$K$38</c:f>
              <c:numCache>
                <c:formatCode>_-* #\ ##0_-;\-* #\ ##0_-;_-* "-"??_-;_-@_-</c:formatCode>
                <c:ptCount val="2"/>
                <c:pt idx="1">
                  <c:v>15438.142202261301</c:v>
                </c:pt>
              </c:numCache>
            </c:numRef>
          </c:val>
          <c:extLst>
            <c:ext xmlns:c16="http://schemas.microsoft.com/office/drawing/2014/chart" uri="{C3380CC4-5D6E-409C-BE32-E72D297353CC}">
              <c16:uniqueId val="{00000005-B350-4B1F-8919-7A9019BDF35D}"/>
            </c:ext>
          </c:extLst>
        </c:ser>
        <c:ser>
          <c:idx val="3"/>
          <c:order val="5"/>
          <c:tx>
            <c:strRef>
              <c:f>'Sanitation report'!$I$39</c:f>
              <c:strCache>
                <c:ptCount val="1"/>
                <c:pt idx="0">
                  <c:v>Other non-tariff revenue</c:v>
                </c:pt>
              </c:strCache>
            </c:strRef>
          </c:tx>
          <c:spPr>
            <a:solidFill>
              <a:schemeClr val="accent3">
                <a:lumMod val="40000"/>
                <a:lumOff val="60000"/>
              </a:schemeClr>
            </a:solidFill>
            <a:ln>
              <a:noFill/>
            </a:ln>
            <a:effectLst/>
          </c:spPr>
          <c:invertIfNegative val="0"/>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'Sanitation report'!$J$33:$K$33</c:f>
              <c:strCache>
                <c:ptCount val="2"/>
                <c:pt idx="0">
                  <c:v>Expenditure R'000</c:v>
                </c:pt>
                <c:pt idx="1">
                  <c:v>Revenue R'000</c:v>
                </c:pt>
              </c:strCache>
            </c:strRef>
          </c:cat>
          <c:val>
            <c:numRef>
              <c:f>'Sanitation report'!$J$39:$K$39</c:f>
              <c:numCache>
                <c:formatCode>_-* #\ ##0_-;\-* #\ ##0_-;_-* "-"??_-;_-@_-</c:formatCode>
                <c:ptCount val="2"/>
                <c:pt idx="1">
                  <c:v>10332.418424842734</c:v>
                </c:pt>
              </c:numCache>
            </c:numRef>
          </c:val>
          <c:extLst>
            <c:ext xmlns:c16="http://schemas.microsoft.com/office/drawing/2014/chart" uri="{C3380CC4-5D6E-409C-BE32-E72D297353CC}">
              <c16:uniqueId val="{00000006-B350-4B1F-8919-7A9019BDF35D}"/>
            </c:ext>
          </c:extLst>
        </c:ser>
        <c:ser>
          <c:idx val="6"/>
          <c:order val="6"/>
          <c:tx>
            <c:strRef>
              <c:f>'Sanitation report'!$I$40</c:f>
              <c:strCache>
                <c:ptCount val="1"/>
                <c:pt idx="0">
                  <c:v>Deficit</c:v>
                </c:pt>
              </c:strCache>
            </c:strRef>
          </c:tx>
          <c:spPr>
            <a:solidFill>
              <a:srgbClr val="ED7D31"/>
            </a:solidFill>
            <a:ln w="25400">
              <a:noFill/>
            </a:ln>
          </c:spPr>
          <c:invertIfNegative val="0"/>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'Sanitation report'!$J$33:$K$33</c:f>
              <c:strCache>
                <c:ptCount val="2"/>
                <c:pt idx="0">
                  <c:v>Expenditure R'000</c:v>
                </c:pt>
                <c:pt idx="1">
                  <c:v>Revenue R'000</c:v>
                </c:pt>
              </c:strCache>
            </c:strRef>
          </c:cat>
          <c:val>
            <c:numRef>
              <c:f>'Sanitation report'!$J$40:$K$40</c:f>
              <c:numCache>
                <c:formatCode>_-* #\ ##0_-;\-* #\ ##0_-;_-* "-"??_-;_-@_-</c:formatCode>
                <c:ptCount val="2"/>
                <c:pt idx="1">
                  <c:v>0</c:v>
                </c:pt>
              </c:numCache>
            </c:numRef>
          </c:val>
          <c:extLst>
            <c:ext xmlns:c16="http://schemas.microsoft.com/office/drawing/2014/chart" uri="{C3380CC4-5D6E-409C-BE32-E72D297353CC}">
              <c16:uniqueId val="{00000007-B350-4B1F-8919-7A9019BDF35D}"/>
            </c:ext>
          </c:extLst>
        </c:ser>
        <c:dLbls>
          <c:showLegendKey val="0"/>
          <c:showVal val="0"/>
          <c:showCatName val="0"/>
          <c:showSerName val="0"/>
          <c:showPercent val="0"/>
          <c:showBubbleSize val="0"/>
        </c:dLbls>
        <c:gapWidth val="25"/>
        <c:overlap val="100"/>
        <c:axId val="1396779375"/>
        <c:axId val="1"/>
      </c:barChart>
      <c:catAx>
        <c:axId val="1396779375"/>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0" vert="horz"/>
          <a:lstStyle/>
          <a:p>
            <a:pPr>
              <a:defRPr sz="1100" b="0" i="0" u="none" strike="noStrike" baseline="0">
                <a:solidFill>
                  <a:srgbClr val="000000"/>
                </a:solidFill>
                <a:latin typeface="Calibri"/>
                <a:ea typeface="Calibri"/>
                <a:cs typeface="Calibri"/>
              </a:defRPr>
            </a:pPr>
            <a:endParaRPr lang="en-US"/>
          </a:p>
        </c:txPr>
        <c:crossAx val="1"/>
        <c:crosses val="autoZero"/>
        <c:auto val="1"/>
        <c:lblAlgn val="ctr"/>
        <c:lblOffset val="100"/>
        <c:noMultiLvlLbl val="0"/>
      </c:catAx>
      <c:valAx>
        <c:axId val="1"/>
        <c:scaling>
          <c:orientation val="minMax"/>
        </c:scaling>
        <c:delete val="1"/>
        <c:axPos val="l"/>
        <c:majorGridlines>
          <c:spPr>
            <a:ln w="9525" cap="flat" cmpd="sng" algn="ctr">
              <a:solidFill>
                <a:schemeClr val="tx1">
                  <a:lumMod val="15000"/>
                  <a:lumOff val="85000"/>
                </a:schemeClr>
              </a:solidFill>
              <a:round/>
            </a:ln>
            <a:effectLst/>
          </c:spPr>
        </c:majorGridlines>
        <c:numFmt formatCode="_-* #\ ##0_-;\-* #\ ##0_-;_-* &quot;-&quot;??_-;_-@_-" sourceLinked="1"/>
        <c:majorTickMark val="out"/>
        <c:minorTickMark val="none"/>
        <c:tickLblPos val="nextTo"/>
        <c:crossAx val="1396779375"/>
        <c:crosses val="autoZero"/>
        <c:crossBetween val="between"/>
      </c:valAx>
    </c:plotArea>
    <c:legend>
      <c:legendPos val="r"/>
      <c:layout>
        <c:manualLayout>
          <c:xMode val="edge"/>
          <c:yMode val="edge"/>
          <c:x val="0.63060873861355571"/>
          <c:y val="0.19876461094537096"/>
          <c:w val="0.34824665740311866"/>
          <c:h val="0.70809931367274737"/>
        </c:manualLayout>
      </c:layout>
      <c:overlay val="0"/>
      <c:spPr>
        <a:noFill/>
        <a:ln w="25400">
          <a:noFill/>
        </a:ln>
      </c:spPr>
      <c:txPr>
        <a:bodyPr/>
        <a:lstStyle/>
        <a:p>
          <a:pPr>
            <a:defRPr sz="850" b="0" i="0" u="none" strike="noStrike" baseline="0">
              <a:solidFill>
                <a:srgbClr val="000000"/>
              </a:solidFill>
              <a:latin typeface="Calibri"/>
              <a:ea typeface="Calibri"/>
              <a:cs typeface="Calibri"/>
            </a:defRPr>
          </a:pPr>
          <a:endParaRPr lang="en-US"/>
        </a:p>
      </c:txPr>
    </c:legend>
    <c:plotVisOnly val="1"/>
    <c:dispBlanksAs val="gap"/>
    <c:showDLblsOverMax val="0"/>
  </c:chart>
  <c:spPr>
    <a:solidFill>
      <a:schemeClr val="bg1"/>
    </a:solidFill>
    <a:ln w="9525" cap="flat" cmpd="sng" algn="ctr">
      <a:noFill/>
      <a:round/>
    </a:ln>
    <a:effectLst/>
  </c:spPr>
  <c:txPr>
    <a:bodyPr/>
    <a:lstStyle/>
    <a:p>
      <a:pPr>
        <a:defRPr sz="1100" b="0" i="0" u="none" strike="noStrike" baseline="0">
          <a:solidFill>
            <a:srgbClr val="000000"/>
          </a:solidFill>
          <a:latin typeface="Calibri"/>
          <a:ea typeface="Calibri"/>
          <a:cs typeface="Calibri"/>
        </a:defRPr>
      </a:pPr>
      <a:endParaRPr lang="en-US"/>
    </a:p>
  </c:txPr>
  <c:printSettings>
    <c:headerFooter/>
    <c:pageMargins b="0.75" l="0.7" r="0.7" t="0.75" header="0.3" footer="0.3"/>
    <c:pageSetup orientation="portrait"/>
  </c:printSettings>
</c:chartSpace>
</file>

<file path=xl/charts/chart10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ser>
          <c:idx val="0"/>
          <c:order val="0"/>
          <c:tx>
            <c:strRef>
              <c:f>'Sanitation report'!$K$54</c:f>
              <c:strCache>
                <c:ptCount val="1"/>
                <c:pt idx="0">
                  <c:v>Tariff </c:v>
                </c:pt>
              </c:strCache>
            </c:strRef>
          </c:tx>
          <c:spPr>
            <a:solidFill>
              <a:srgbClr val="4472C4"/>
            </a:solidFill>
            <a:ln w="25400">
              <a:noFill/>
            </a:ln>
          </c:spPr>
          <c:invertIfNegative val="0"/>
          <c:dLbls>
            <c:spPr>
              <a:noFill/>
              <a:ln w="25400">
                <a:noFill/>
              </a:ln>
            </c:spPr>
            <c:txPr>
              <a:bodyPr wrap="square" lIns="38100" tIns="19050" rIns="38100" bIns="19050" anchor="ctr">
                <a:spAutoFit/>
              </a:bodyPr>
              <a:lstStyle/>
              <a:p>
                <a:pPr>
                  <a:defRPr sz="900" b="0" i="0" u="none" strike="noStrike" baseline="0">
                    <a:solidFill>
                      <a:srgbClr val="333333"/>
                    </a:solidFill>
                    <a:latin typeface="Calibri"/>
                    <a:ea typeface="Calibri"/>
                    <a:cs typeface="Calibri"/>
                  </a:defRPr>
                </a:pPr>
                <a:endParaRPr lang="en-US"/>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numRef>
              <c:f>'Sanitation report'!$J$55:$J$64</c:f>
              <c:numCache>
                <c:formatCode>General</c:formatCode>
                <c:ptCount val="10"/>
                <c:pt idx="0">
                  <c:v>0</c:v>
                </c:pt>
                <c:pt idx="1">
                  <c:v>0</c:v>
                </c:pt>
                <c:pt idx="2">
                  <c:v>0</c:v>
                </c:pt>
                <c:pt idx="3">
                  <c:v>0</c:v>
                </c:pt>
                <c:pt idx="4">
                  <c:v>0</c:v>
                </c:pt>
                <c:pt idx="5">
                  <c:v>0</c:v>
                </c:pt>
                <c:pt idx="6">
                  <c:v>0</c:v>
                </c:pt>
                <c:pt idx="7">
                  <c:v>0</c:v>
                </c:pt>
                <c:pt idx="8">
                  <c:v>0</c:v>
                </c:pt>
                <c:pt idx="9">
                  <c:v>0</c:v>
                </c:pt>
              </c:numCache>
            </c:numRef>
          </c:cat>
          <c:val>
            <c:numRef>
              <c:f>'Sanitation report'!$K$55:$K$64</c:f>
              <c:numCache>
                <c:formatCode>_(* #,##0.00_);_(* \(#,##0.00\);_(* "-"??_);_(@_)</c:formatCode>
                <c:ptCount val="10"/>
                <c:pt idx="0">
                  <c:v>30.430839490593527</c:v>
                </c:pt>
                <c:pt idx="1">
                  <c:v>0</c:v>
                </c:pt>
                <c:pt idx="2">
                  <c:v>0</c:v>
                </c:pt>
                <c:pt idx="3">
                  <c:v>0</c:v>
                </c:pt>
                <c:pt idx="4">
                  <c:v>0</c:v>
                </c:pt>
                <c:pt idx="5">
                  <c:v>0</c:v>
                </c:pt>
                <c:pt idx="6">
                  <c:v>0</c:v>
                </c:pt>
                <c:pt idx="7">
                  <c:v>0</c:v>
                </c:pt>
                <c:pt idx="8">
                  <c:v>0</c:v>
                </c:pt>
                <c:pt idx="9">
                  <c:v>0</c:v>
                </c:pt>
              </c:numCache>
            </c:numRef>
          </c:val>
          <c:extLst>
            <c:ext xmlns:c16="http://schemas.microsoft.com/office/drawing/2014/chart" uri="{C3380CC4-5D6E-409C-BE32-E72D297353CC}">
              <c16:uniqueId val="{00000000-103F-4B5D-B929-75B375E7987D}"/>
            </c:ext>
          </c:extLst>
        </c:ser>
        <c:dLbls>
          <c:showLegendKey val="0"/>
          <c:showVal val="0"/>
          <c:showCatName val="0"/>
          <c:showSerName val="0"/>
          <c:showPercent val="0"/>
          <c:showBubbleSize val="0"/>
        </c:dLbls>
        <c:gapWidth val="50"/>
        <c:axId val="1396779855"/>
        <c:axId val="1"/>
      </c:barChart>
      <c:lineChart>
        <c:grouping val="standard"/>
        <c:varyColors val="0"/>
        <c:ser>
          <c:idx val="1"/>
          <c:order val="1"/>
          <c:tx>
            <c:strRef>
              <c:f>'Sanitation report'!$L$54</c:f>
              <c:strCache>
                <c:ptCount val="1"/>
                <c:pt idx="0">
                  <c:v>Total cost per kl </c:v>
                </c:pt>
              </c:strCache>
            </c:strRef>
          </c:tx>
          <c:spPr>
            <a:ln w="28575" cap="rnd">
              <a:solidFill>
                <a:schemeClr val="accent2"/>
              </a:solidFill>
              <a:round/>
            </a:ln>
            <a:effectLst/>
          </c:spPr>
          <c:marker>
            <c:symbol val="none"/>
          </c:marker>
          <c:cat>
            <c:numRef>
              <c:f>'Sanitation report'!$J$55:$J$64</c:f>
              <c:numCache>
                <c:formatCode>General</c:formatCode>
                <c:ptCount val="10"/>
                <c:pt idx="0">
                  <c:v>0</c:v>
                </c:pt>
                <c:pt idx="1">
                  <c:v>0</c:v>
                </c:pt>
                <c:pt idx="2">
                  <c:v>0</c:v>
                </c:pt>
                <c:pt idx="3">
                  <c:v>0</c:v>
                </c:pt>
                <c:pt idx="4">
                  <c:v>0</c:v>
                </c:pt>
                <c:pt idx="5">
                  <c:v>0</c:v>
                </c:pt>
                <c:pt idx="6">
                  <c:v>0</c:v>
                </c:pt>
                <c:pt idx="7">
                  <c:v>0</c:v>
                </c:pt>
                <c:pt idx="8">
                  <c:v>0</c:v>
                </c:pt>
                <c:pt idx="9">
                  <c:v>0</c:v>
                </c:pt>
              </c:numCache>
            </c:numRef>
          </c:cat>
          <c:val>
            <c:numRef>
              <c:f>'Sanitation report'!$L$55:$L$64</c:f>
              <c:numCache>
                <c:formatCode>_(* #,##0.00_);_(* \(#,##0.00\);_(* "-"??_);_(@_)</c:formatCode>
                <c:ptCount val="10"/>
                <c:pt idx="0">
                  <c:v>48.100505825433274</c:v>
                </c:pt>
                <c:pt idx="1">
                  <c:v>48.100505825433274</c:v>
                </c:pt>
                <c:pt idx="2">
                  <c:v>48.100505825433274</c:v>
                </c:pt>
                <c:pt idx="3">
                  <c:v>48.100505825433274</c:v>
                </c:pt>
                <c:pt idx="4">
                  <c:v>48.100505825433274</c:v>
                </c:pt>
                <c:pt idx="5">
                  <c:v>48.100505825433274</c:v>
                </c:pt>
                <c:pt idx="6">
                  <c:v>48.100505825433274</c:v>
                </c:pt>
                <c:pt idx="7">
                  <c:v>48.100505825433274</c:v>
                </c:pt>
                <c:pt idx="8">
                  <c:v>48.100505825433274</c:v>
                </c:pt>
                <c:pt idx="9">
                  <c:v>48.100505825433274</c:v>
                </c:pt>
              </c:numCache>
            </c:numRef>
          </c:val>
          <c:smooth val="0"/>
          <c:extLst>
            <c:ext xmlns:c16="http://schemas.microsoft.com/office/drawing/2014/chart" uri="{C3380CC4-5D6E-409C-BE32-E72D297353CC}">
              <c16:uniqueId val="{00000001-103F-4B5D-B929-75B375E7987D}"/>
            </c:ext>
          </c:extLst>
        </c:ser>
        <c:ser>
          <c:idx val="2"/>
          <c:order val="2"/>
          <c:tx>
            <c:strRef>
              <c:f>'Sanitation report'!$M$54</c:f>
              <c:strCache>
                <c:ptCount val="1"/>
                <c:pt idx="0">
                  <c:v>Variable cost per kl treated</c:v>
                </c:pt>
              </c:strCache>
            </c:strRef>
          </c:tx>
          <c:spPr>
            <a:ln w="28575" cap="rnd">
              <a:solidFill>
                <a:schemeClr val="accent3"/>
              </a:solidFill>
              <a:round/>
            </a:ln>
            <a:effectLst/>
          </c:spPr>
          <c:marker>
            <c:symbol val="none"/>
          </c:marker>
          <c:cat>
            <c:numRef>
              <c:f>'Sanitation report'!$J$55:$J$64</c:f>
              <c:numCache>
                <c:formatCode>General</c:formatCode>
                <c:ptCount val="10"/>
                <c:pt idx="0">
                  <c:v>0</c:v>
                </c:pt>
                <c:pt idx="1">
                  <c:v>0</c:v>
                </c:pt>
                <c:pt idx="2">
                  <c:v>0</c:v>
                </c:pt>
                <c:pt idx="3">
                  <c:v>0</c:v>
                </c:pt>
                <c:pt idx="4">
                  <c:v>0</c:v>
                </c:pt>
                <c:pt idx="5">
                  <c:v>0</c:v>
                </c:pt>
                <c:pt idx="6">
                  <c:v>0</c:v>
                </c:pt>
                <c:pt idx="7">
                  <c:v>0</c:v>
                </c:pt>
                <c:pt idx="8">
                  <c:v>0</c:v>
                </c:pt>
                <c:pt idx="9">
                  <c:v>0</c:v>
                </c:pt>
              </c:numCache>
            </c:numRef>
          </c:cat>
          <c:val>
            <c:numRef>
              <c:f>'Sanitation report'!$M$55:$M$64</c:f>
              <c:numCache>
                <c:formatCode>_(* #,##0.00_);_(* \(#,##0.00\);_(* "-"??_);_(@_)</c:formatCode>
                <c:ptCount val="10"/>
                <c:pt idx="0">
                  <c:v>5.4647806372834458</c:v>
                </c:pt>
                <c:pt idx="1">
                  <c:v>5.4647806372834458</c:v>
                </c:pt>
                <c:pt idx="2">
                  <c:v>5.4647806372834458</c:v>
                </c:pt>
                <c:pt idx="3">
                  <c:v>5.4647806372834458</c:v>
                </c:pt>
                <c:pt idx="4">
                  <c:v>5.4647806372834458</c:v>
                </c:pt>
                <c:pt idx="5">
                  <c:v>5.4647806372834458</c:v>
                </c:pt>
                <c:pt idx="6">
                  <c:v>5.4647806372834458</c:v>
                </c:pt>
                <c:pt idx="7">
                  <c:v>5.4647806372834458</c:v>
                </c:pt>
                <c:pt idx="8">
                  <c:v>5.4647806372834458</c:v>
                </c:pt>
                <c:pt idx="9">
                  <c:v>5.4647806372834458</c:v>
                </c:pt>
              </c:numCache>
            </c:numRef>
          </c:val>
          <c:smooth val="0"/>
          <c:extLst>
            <c:ext xmlns:c16="http://schemas.microsoft.com/office/drawing/2014/chart" uri="{C3380CC4-5D6E-409C-BE32-E72D297353CC}">
              <c16:uniqueId val="{00000002-103F-4B5D-B929-75B375E7987D}"/>
            </c:ext>
          </c:extLst>
        </c:ser>
        <c:dLbls>
          <c:showLegendKey val="0"/>
          <c:showVal val="0"/>
          <c:showCatName val="0"/>
          <c:showSerName val="0"/>
          <c:showPercent val="0"/>
          <c:showBubbleSize val="0"/>
        </c:dLbls>
        <c:marker val="1"/>
        <c:smooth val="0"/>
        <c:axId val="1396779855"/>
        <c:axId val="1"/>
      </c:lineChart>
      <c:catAx>
        <c:axId val="1396779855"/>
        <c:scaling>
          <c:orientation val="minMax"/>
        </c:scaling>
        <c:delete val="0"/>
        <c:axPos val="b"/>
        <c:title>
          <c:tx>
            <c:rich>
              <a:bodyPr/>
              <a:lstStyle/>
              <a:p>
                <a:pPr>
                  <a:defRPr sz="1000" b="0" i="0" u="none" strike="noStrike" baseline="0">
                    <a:solidFill>
                      <a:srgbClr val="333333"/>
                    </a:solidFill>
                    <a:latin typeface="Calibri"/>
                    <a:ea typeface="Calibri"/>
                    <a:cs typeface="Calibri"/>
                  </a:defRPr>
                </a:pPr>
                <a:r>
                  <a:rPr lang="en-ZA"/>
                  <a:t>Block size</a:t>
                </a:r>
              </a:p>
            </c:rich>
          </c:tx>
          <c:overlay val="0"/>
          <c:spPr>
            <a:noFill/>
            <a:ln w="25400">
              <a:noFill/>
            </a:ln>
          </c:spPr>
        </c:title>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0" vert="horz"/>
          <a:lstStyle/>
          <a:p>
            <a:pPr>
              <a:defRPr sz="900" b="0" i="0" u="none" strike="noStrike" baseline="0">
                <a:solidFill>
                  <a:srgbClr val="333333"/>
                </a:solidFill>
                <a:latin typeface="Calibri"/>
                <a:ea typeface="Calibri"/>
                <a:cs typeface="Calibri"/>
              </a:defRPr>
            </a:pPr>
            <a:endParaRPr lang="en-US"/>
          </a:p>
        </c:txPr>
        <c:crossAx val="1"/>
        <c:crosses val="autoZero"/>
        <c:auto val="1"/>
        <c:lblAlgn val="ctr"/>
        <c:lblOffset val="100"/>
        <c:noMultiLvlLbl val="0"/>
      </c:catAx>
      <c:valAx>
        <c:axId val="1"/>
        <c:scaling>
          <c:orientation val="minMax"/>
        </c:scaling>
        <c:delete val="0"/>
        <c:axPos val="l"/>
        <c:majorGridlines>
          <c:spPr>
            <a:ln w="9525" cap="flat" cmpd="sng" algn="ctr">
              <a:solidFill>
                <a:schemeClr val="tx1">
                  <a:lumMod val="15000"/>
                  <a:lumOff val="85000"/>
                </a:schemeClr>
              </a:solidFill>
              <a:round/>
            </a:ln>
            <a:effectLst/>
          </c:spPr>
        </c:majorGridlines>
        <c:title>
          <c:tx>
            <c:rich>
              <a:bodyPr/>
              <a:lstStyle/>
              <a:p>
                <a:pPr>
                  <a:defRPr sz="1000" b="0" i="0" u="none" strike="noStrike" baseline="0">
                    <a:solidFill>
                      <a:srgbClr val="333333"/>
                    </a:solidFill>
                    <a:latin typeface="Calibri"/>
                    <a:ea typeface="Calibri"/>
                    <a:cs typeface="Calibri"/>
                  </a:defRPr>
                </a:pPr>
                <a:r>
                  <a:rPr lang="en-ZA"/>
                  <a:t>R/kl</a:t>
                </a:r>
              </a:p>
            </c:rich>
          </c:tx>
          <c:overlay val="0"/>
          <c:spPr>
            <a:noFill/>
            <a:ln w="25400">
              <a:noFill/>
            </a:ln>
          </c:spPr>
        </c:title>
        <c:numFmt formatCode="_(* #,##0.00_);_(* \(#,##0.00\);_(* &quot;-&quot;??_);_(@_)" sourceLinked="1"/>
        <c:majorTickMark val="none"/>
        <c:minorTickMark val="none"/>
        <c:tickLblPos val="nextTo"/>
        <c:spPr>
          <a:ln w="6350">
            <a:noFill/>
          </a:ln>
        </c:spPr>
        <c:txPr>
          <a:bodyPr rot="0" vert="horz"/>
          <a:lstStyle/>
          <a:p>
            <a:pPr>
              <a:defRPr sz="900" b="0" i="0" u="none" strike="noStrike" baseline="0">
                <a:solidFill>
                  <a:srgbClr val="333333"/>
                </a:solidFill>
                <a:latin typeface="Calibri"/>
                <a:ea typeface="Calibri"/>
                <a:cs typeface="Calibri"/>
              </a:defRPr>
            </a:pPr>
            <a:endParaRPr lang="en-US"/>
          </a:p>
        </c:txPr>
        <c:crossAx val="1396779855"/>
        <c:crosses val="autoZero"/>
        <c:crossBetween val="between"/>
      </c:valAx>
      <c:spPr>
        <a:noFill/>
        <a:ln w="25400">
          <a:noFill/>
        </a:ln>
      </c:spPr>
    </c:plotArea>
    <c:legend>
      <c:legendPos val="r"/>
      <c:layout>
        <c:manualLayout>
          <c:xMode val="edge"/>
          <c:yMode val="edge"/>
          <c:x val="0.12362011021685021"/>
          <c:y val="0.92626106162959132"/>
          <c:w val="0.74541089190419463"/>
          <c:h val="6.0111297563214428E-2"/>
        </c:manualLayout>
      </c:layout>
      <c:overlay val="0"/>
      <c:spPr>
        <a:noFill/>
        <a:ln w="25400">
          <a:noFill/>
        </a:ln>
      </c:spPr>
      <c:txPr>
        <a:bodyPr/>
        <a:lstStyle/>
        <a:p>
          <a:pPr>
            <a:defRPr sz="690" b="0" i="0" u="none" strike="noStrike" baseline="0">
              <a:solidFill>
                <a:srgbClr val="333333"/>
              </a:solidFill>
              <a:latin typeface="Calibri"/>
              <a:ea typeface="Calibri"/>
              <a:cs typeface="Calibri"/>
            </a:defRPr>
          </a:pPr>
          <a:endParaRPr lang="en-US"/>
        </a:p>
      </c:txPr>
    </c:legend>
    <c:plotVisOnly val="1"/>
    <c:dispBlanksAs val="gap"/>
    <c:showDLblsOverMax val="0"/>
  </c:chart>
  <c:spPr>
    <a:solidFill>
      <a:schemeClr val="bg1"/>
    </a:solidFill>
    <a:ln w="9525" cap="flat" cmpd="sng" algn="ctr">
      <a:noFill/>
      <a:round/>
    </a:ln>
    <a:effectLst/>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charts/chart10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2.3871527777777776E-2"/>
          <c:y val="4.7786414907172239E-2"/>
          <c:w val="0.57559123468941387"/>
          <c:h val="0.83529592857692603"/>
        </c:manualLayout>
      </c:layout>
      <c:barChart>
        <c:barDir val="col"/>
        <c:grouping val="stacked"/>
        <c:varyColors val="0"/>
        <c:ser>
          <c:idx val="0"/>
          <c:order val="0"/>
          <c:tx>
            <c:strRef>
              <c:f>'Sanitation report'!$I$98</c:f>
              <c:strCache>
                <c:ptCount val="1"/>
                <c:pt idx="0">
                  <c:v>Fixed cost</c:v>
                </c:pt>
              </c:strCache>
            </c:strRef>
          </c:tx>
          <c:spPr>
            <a:solidFill>
              <a:srgbClr val="4472C4"/>
            </a:solidFill>
            <a:ln w="25400">
              <a:noFill/>
            </a:ln>
          </c:spPr>
          <c:invertIfNegative val="0"/>
          <c:dPt>
            <c:idx val="0"/>
            <c:invertIfNegative val="0"/>
            <c:bubble3D val="0"/>
            <c:spPr>
              <a:solidFill>
                <a:srgbClr val="5B9BD5"/>
              </a:solidFill>
              <a:ln w="25400">
                <a:noFill/>
              </a:ln>
            </c:spPr>
            <c:extLst>
              <c:ext xmlns:c16="http://schemas.microsoft.com/office/drawing/2014/chart" uri="{C3380CC4-5D6E-409C-BE32-E72D297353CC}">
                <c16:uniqueId val="{00000000-2D31-4DC3-9FDD-09C814080D90}"/>
              </c:ext>
            </c:extLst>
          </c:dPt>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'Sanitation report'!$J$97:$K$97</c:f>
              <c:strCache>
                <c:ptCount val="2"/>
                <c:pt idx="0">
                  <c:v>Expenditure R'000</c:v>
                </c:pt>
                <c:pt idx="1">
                  <c:v>Revenue R'000</c:v>
                </c:pt>
              </c:strCache>
            </c:strRef>
          </c:cat>
          <c:val>
            <c:numRef>
              <c:f>'Sanitation report'!$J$98:$K$98</c:f>
              <c:numCache>
                <c:formatCode>General</c:formatCode>
                <c:ptCount val="2"/>
                <c:pt idx="0" formatCode="_-* #\ ##0_-;\-* #\ ##0_-;_-* &quot;-&quot;??_-;_-@_-">
                  <c:v>2672.3611153658676</c:v>
                </c:pt>
              </c:numCache>
            </c:numRef>
          </c:val>
          <c:extLst>
            <c:ext xmlns:c16="http://schemas.microsoft.com/office/drawing/2014/chart" uri="{C3380CC4-5D6E-409C-BE32-E72D297353CC}">
              <c16:uniqueId val="{00000001-2D31-4DC3-9FDD-09C814080D90}"/>
            </c:ext>
          </c:extLst>
        </c:ser>
        <c:ser>
          <c:idx val="1"/>
          <c:order val="1"/>
          <c:tx>
            <c:strRef>
              <c:f>'Sanitation report'!$I$99</c:f>
              <c:strCache>
                <c:ptCount val="1"/>
                <c:pt idx="0">
                  <c:v>Variable cost</c:v>
                </c:pt>
              </c:strCache>
            </c:strRef>
          </c:tx>
          <c:spPr>
            <a:solidFill>
              <a:schemeClr val="accent5">
                <a:lumMod val="60000"/>
                <a:lumOff val="40000"/>
              </a:schemeClr>
            </a:solidFill>
            <a:ln>
              <a:noFill/>
            </a:ln>
            <a:effectLst/>
          </c:spPr>
          <c:invertIfNegative val="0"/>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'Sanitation report'!$J$97:$K$97</c:f>
              <c:strCache>
                <c:ptCount val="2"/>
                <c:pt idx="0">
                  <c:v>Expenditure R'000</c:v>
                </c:pt>
                <c:pt idx="1">
                  <c:v>Revenue R'000</c:v>
                </c:pt>
              </c:strCache>
            </c:strRef>
          </c:cat>
          <c:val>
            <c:numRef>
              <c:f>'Sanitation report'!$J$99:$K$99</c:f>
              <c:numCache>
                <c:formatCode>General</c:formatCode>
                <c:ptCount val="2"/>
                <c:pt idx="0" formatCode="_-* #\ ##0_-;\-* #\ ##0_-;_-* &quot;-&quot;??_-;_-@_-">
                  <c:v>3250.152332327561</c:v>
                </c:pt>
              </c:numCache>
            </c:numRef>
          </c:val>
          <c:extLst>
            <c:ext xmlns:c16="http://schemas.microsoft.com/office/drawing/2014/chart" uri="{C3380CC4-5D6E-409C-BE32-E72D297353CC}">
              <c16:uniqueId val="{00000002-2D31-4DC3-9FDD-09C814080D90}"/>
            </c:ext>
          </c:extLst>
        </c:ser>
        <c:ser>
          <c:idx val="2"/>
          <c:order val="2"/>
          <c:tx>
            <c:strRef>
              <c:f>'Sanitation report'!$I$100</c:f>
              <c:strCache>
                <c:ptCount val="1"/>
                <c:pt idx="0">
                  <c:v>Surplus</c:v>
                </c:pt>
              </c:strCache>
            </c:strRef>
          </c:tx>
          <c:spPr>
            <a:solidFill>
              <a:srgbClr val="A5A5A5"/>
            </a:solidFill>
            <a:ln w="25400">
              <a:noFill/>
            </a:ln>
          </c:spPr>
          <c:invertIfNegative val="0"/>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'Sanitation report'!$J$97:$K$97</c:f>
              <c:strCache>
                <c:ptCount val="2"/>
                <c:pt idx="0">
                  <c:v>Expenditure R'000</c:v>
                </c:pt>
                <c:pt idx="1">
                  <c:v>Revenue R'000</c:v>
                </c:pt>
              </c:strCache>
            </c:strRef>
          </c:cat>
          <c:val>
            <c:numRef>
              <c:f>'Sanitation report'!$J$100:$K$100</c:f>
              <c:numCache>
                <c:formatCode>General</c:formatCode>
                <c:ptCount val="2"/>
                <c:pt idx="0" formatCode="_-* #\ ##0_-;\-* #\ ##0_-;_-* &quot;-&quot;??_-;_-@_-">
                  <c:v>0</c:v>
                </c:pt>
              </c:numCache>
            </c:numRef>
          </c:val>
          <c:extLst>
            <c:ext xmlns:c16="http://schemas.microsoft.com/office/drawing/2014/chart" uri="{C3380CC4-5D6E-409C-BE32-E72D297353CC}">
              <c16:uniqueId val="{00000003-2D31-4DC3-9FDD-09C814080D90}"/>
            </c:ext>
          </c:extLst>
        </c:ser>
        <c:ser>
          <c:idx val="4"/>
          <c:order val="3"/>
          <c:tx>
            <c:strRef>
              <c:f>'Sanitation report'!$I$101</c:f>
              <c:strCache>
                <c:ptCount val="1"/>
                <c:pt idx="0">
                  <c:v>Tariff revenue</c:v>
                </c:pt>
              </c:strCache>
            </c:strRef>
          </c:tx>
          <c:spPr>
            <a:solidFill>
              <a:srgbClr val="5B9BD5"/>
            </a:solidFill>
            <a:ln w="25400">
              <a:noFill/>
            </a:ln>
          </c:spPr>
          <c:invertIfNegative val="0"/>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'Sanitation report'!$J$97:$K$97</c:f>
              <c:strCache>
                <c:ptCount val="2"/>
                <c:pt idx="0">
                  <c:v>Expenditure R'000</c:v>
                </c:pt>
                <c:pt idx="1">
                  <c:v>Revenue R'000</c:v>
                </c:pt>
              </c:strCache>
            </c:strRef>
          </c:cat>
          <c:val>
            <c:numRef>
              <c:f>'Sanitation report'!$J$101:$K$101</c:f>
              <c:numCache>
                <c:formatCode>_-* #\ ##0_-;\-* #\ ##0_-;_-* "-"??_-;_-@_-</c:formatCode>
                <c:ptCount val="2"/>
                <c:pt idx="1">
                  <c:v>5050.21945961457</c:v>
                </c:pt>
              </c:numCache>
            </c:numRef>
          </c:val>
          <c:extLst>
            <c:ext xmlns:c16="http://schemas.microsoft.com/office/drawing/2014/chart" uri="{C3380CC4-5D6E-409C-BE32-E72D297353CC}">
              <c16:uniqueId val="{00000004-2D31-4DC3-9FDD-09C814080D90}"/>
            </c:ext>
          </c:extLst>
        </c:ser>
        <c:ser>
          <c:idx val="5"/>
          <c:order val="4"/>
          <c:tx>
            <c:strRef>
              <c:f>'Sanitation report'!$I$102</c:f>
              <c:strCache>
                <c:ptCount val="1"/>
                <c:pt idx="0">
                  <c:v>External grants &amp; subsidies</c:v>
                </c:pt>
              </c:strCache>
            </c:strRef>
          </c:tx>
          <c:spPr>
            <a:solidFill>
              <a:srgbClr val="A5A5A5"/>
            </a:solidFill>
            <a:ln w="25400">
              <a:noFill/>
            </a:ln>
          </c:spPr>
          <c:invertIfNegative val="0"/>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'Sanitation report'!$J$97:$K$97</c:f>
              <c:strCache>
                <c:ptCount val="2"/>
                <c:pt idx="0">
                  <c:v>Expenditure R'000</c:v>
                </c:pt>
                <c:pt idx="1">
                  <c:v>Revenue R'000</c:v>
                </c:pt>
              </c:strCache>
            </c:strRef>
          </c:cat>
          <c:val>
            <c:numRef>
              <c:f>'Sanitation report'!$J$102:$K$102</c:f>
              <c:numCache>
                <c:formatCode>_-* #\ ##0_-;\-* #\ ##0_-;_-* "-"??_-;_-@_-</c:formatCode>
                <c:ptCount val="2"/>
                <c:pt idx="1">
                  <c:v>0</c:v>
                </c:pt>
              </c:numCache>
            </c:numRef>
          </c:val>
          <c:extLst>
            <c:ext xmlns:c16="http://schemas.microsoft.com/office/drawing/2014/chart" uri="{C3380CC4-5D6E-409C-BE32-E72D297353CC}">
              <c16:uniqueId val="{00000005-2D31-4DC3-9FDD-09C814080D90}"/>
            </c:ext>
          </c:extLst>
        </c:ser>
        <c:ser>
          <c:idx val="3"/>
          <c:order val="5"/>
          <c:tx>
            <c:strRef>
              <c:f>'Sanitation report'!$I$103</c:f>
              <c:strCache>
                <c:ptCount val="1"/>
                <c:pt idx="0">
                  <c:v>Other non-tariff revenue</c:v>
                </c:pt>
              </c:strCache>
            </c:strRef>
          </c:tx>
          <c:spPr>
            <a:solidFill>
              <a:schemeClr val="accent3">
                <a:lumMod val="40000"/>
                <a:lumOff val="60000"/>
              </a:schemeClr>
            </a:solidFill>
            <a:ln>
              <a:noFill/>
            </a:ln>
            <a:effectLst/>
          </c:spPr>
          <c:invertIfNegative val="0"/>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'Sanitation report'!$J$97:$K$97</c:f>
              <c:strCache>
                <c:ptCount val="2"/>
                <c:pt idx="0">
                  <c:v>Expenditure R'000</c:v>
                </c:pt>
                <c:pt idx="1">
                  <c:v>Revenue R'000</c:v>
                </c:pt>
              </c:strCache>
            </c:strRef>
          </c:cat>
          <c:val>
            <c:numRef>
              <c:f>'Sanitation report'!$J$103:$K$103</c:f>
              <c:numCache>
                <c:formatCode>_-* #\ ##0_-;\-* #\ ##0_-;_-* "-"??_-;_-@_-</c:formatCode>
                <c:ptCount val="2"/>
                <c:pt idx="1">
                  <c:v>872.29398807885798</c:v>
                </c:pt>
              </c:numCache>
            </c:numRef>
          </c:val>
          <c:extLst>
            <c:ext xmlns:c16="http://schemas.microsoft.com/office/drawing/2014/chart" uri="{C3380CC4-5D6E-409C-BE32-E72D297353CC}">
              <c16:uniqueId val="{00000006-2D31-4DC3-9FDD-09C814080D90}"/>
            </c:ext>
          </c:extLst>
        </c:ser>
        <c:ser>
          <c:idx val="6"/>
          <c:order val="6"/>
          <c:tx>
            <c:strRef>
              <c:f>'Sanitation report'!$I$104</c:f>
              <c:strCache>
                <c:ptCount val="1"/>
                <c:pt idx="0">
                  <c:v>Deficit</c:v>
                </c:pt>
              </c:strCache>
            </c:strRef>
          </c:tx>
          <c:spPr>
            <a:solidFill>
              <a:srgbClr val="ED7D31"/>
            </a:solidFill>
            <a:ln w="25400">
              <a:noFill/>
            </a:ln>
          </c:spPr>
          <c:invertIfNegative val="0"/>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'Sanitation report'!$J$97:$K$97</c:f>
              <c:strCache>
                <c:ptCount val="2"/>
                <c:pt idx="0">
                  <c:v>Expenditure R'000</c:v>
                </c:pt>
                <c:pt idx="1">
                  <c:v>Revenue R'000</c:v>
                </c:pt>
              </c:strCache>
            </c:strRef>
          </c:cat>
          <c:val>
            <c:numRef>
              <c:f>'Sanitation report'!$J$104:$K$104</c:f>
              <c:numCache>
                <c:formatCode>_-* #\ ##0_-;\-* #\ ##0_-;_-* "-"??_-;_-@_-</c:formatCode>
                <c:ptCount val="2"/>
                <c:pt idx="1">
                  <c:v>0</c:v>
                </c:pt>
              </c:numCache>
            </c:numRef>
          </c:val>
          <c:extLst>
            <c:ext xmlns:c16="http://schemas.microsoft.com/office/drawing/2014/chart" uri="{C3380CC4-5D6E-409C-BE32-E72D297353CC}">
              <c16:uniqueId val="{00000007-2D31-4DC3-9FDD-09C814080D90}"/>
            </c:ext>
          </c:extLst>
        </c:ser>
        <c:dLbls>
          <c:showLegendKey val="0"/>
          <c:showVal val="0"/>
          <c:showCatName val="0"/>
          <c:showSerName val="0"/>
          <c:showPercent val="0"/>
          <c:showBubbleSize val="0"/>
        </c:dLbls>
        <c:gapWidth val="25"/>
        <c:overlap val="100"/>
        <c:axId val="1396784175"/>
        <c:axId val="1"/>
      </c:barChart>
      <c:catAx>
        <c:axId val="1396784175"/>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0" vert="horz"/>
          <a:lstStyle/>
          <a:p>
            <a:pPr>
              <a:defRPr sz="1100" b="0" i="0" u="none" strike="noStrike" baseline="0">
                <a:solidFill>
                  <a:srgbClr val="000000"/>
                </a:solidFill>
                <a:latin typeface="Calibri"/>
                <a:ea typeface="Calibri"/>
                <a:cs typeface="Calibri"/>
              </a:defRPr>
            </a:pPr>
            <a:endParaRPr lang="en-US"/>
          </a:p>
        </c:txPr>
        <c:crossAx val="1"/>
        <c:crosses val="autoZero"/>
        <c:auto val="1"/>
        <c:lblAlgn val="ctr"/>
        <c:lblOffset val="100"/>
        <c:noMultiLvlLbl val="0"/>
      </c:catAx>
      <c:valAx>
        <c:axId val="1"/>
        <c:scaling>
          <c:orientation val="minMax"/>
        </c:scaling>
        <c:delete val="1"/>
        <c:axPos val="l"/>
        <c:majorGridlines>
          <c:spPr>
            <a:ln w="9525" cap="flat" cmpd="sng" algn="ctr">
              <a:solidFill>
                <a:schemeClr val="tx1">
                  <a:lumMod val="15000"/>
                  <a:lumOff val="85000"/>
                </a:schemeClr>
              </a:solidFill>
              <a:round/>
            </a:ln>
            <a:effectLst/>
          </c:spPr>
        </c:majorGridlines>
        <c:numFmt formatCode="_-* #\ ##0_-;\-* #\ ##0_-;_-* &quot;-&quot;??_-;_-@_-" sourceLinked="1"/>
        <c:majorTickMark val="out"/>
        <c:minorTickMark val="none"/>
        <c:tickLblPos val="nextTo"/>
        <c:crossAx val="1396784175"/>
        <c:crosses val="autoZero"/>
        <c:crossBetween val="between"/>
      </c:valAx>
    </c:plotArea>
    <c:legend>
      <c:legendPos val="r"/>
      <c:layout>
        <c:manualLayout>
          <c:xMode val="edge"/>
          <c:yMode val="edge"/>
          <c:x val="0.63060873861355571"/>
          <c:y val="0.19876461094537096"/>
          <c:w val="0.34824665740311866"/>
          <c:h val="0.70809931367274737"/>
        </c:manualLayout>
      </c:layout>
      <c:overlay val="0"/>
      <c:spPr>
        <a:noFill/>
        <a:ln w="25400">
          <a:noFill/>
        </a:ln>
      </c:spPr>
      <c:txPr>
        <a:bodyPr/>
        <a:lstStyle/>
        <a:p>
          <a:pPr>
            <a:defRPr sz="850" b="0" i="0" u="none" strike="noStrike" baseline="0">
              <a:solidFill>
                <a:srgbClr val="000000"/>
              </a:solidFill>
              <a:latin typeface="Calibri"/>
              <a:ea typeface="Calibri"/>
              <a:cs typeface="Calibri"/>
            </a:defRPr>
          </a:pPr>
          <a:endParaRPr lang="en-US"/>
        </a:p>
      </c:txPr>
    </c:legend>
    <c:plotVisOnly val="1"/>
    <c:dispBlanksAs val="gap"/>
    <c:showDLblsOverMax val="0"/>
  </c:chart>
  <c:spPr>
    <a:solidFill>
      <a:schemeClr val="bg1"/>
    </a:solidFill>
    <a:ln w="9525" cap="flat" cmpd="sng" algn="ctr">
      <a:noFill/>
      <a:round/>
    </a:ln>
    <a:effectLst/>
  </c:spPr>
  <c:txPr>
    <a:bodyPr/>
    <a:lstStyle/>
    <a:p>
      <a:pPr>
        <a:defRPr sz="1100" b="0" i="0" u="none" strike="noStrike" baseline="0">
          <a:solidFill>
            <a:srgbClr val="000000"/>
          </a:solidFill>
          <a:latin typeface="Calibri"/>
          <a:ea typeface="Calibri"/>
          <a:cs typeface="Calibri"/>
        </a:defRPr>
      </a:pPr>
      <a:endParaRPr lang="en-US"/>
    </a:p>
  </c:txPr>
  <c:printSettings>
    <c:headerFooter/>
    <c:pageMargins b="0.75" l="0.7" r="0.7" t="0.75" header="0.3" footer="0.3"/>
    <c:pageSetup orientation="portrait"/>
  </c:printSettings>
</c:chartSpace>
</file>

<file path=xl/charts/chart10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ser>
          <c:idx val="0"/>
          <c:order val="0"/>
          <c:tx>
            <c:strRef>
              <c:f>'Sanitation report'!$K$119</c:f>
              <c:strCache>
                <c:ptCount val="1"/>
                <c:pt idx="0">
                  <c:v>Tariff </c:v>
                </c:pt>
              </c:strCache>
            </c:strRef>
          </c:tx>
          <c:spPr>
            <a:solidFill>
              <a:srgbClr val="4472C4"/>
            </a:solidFill>
            <a:ln w="25400">
              <a:noFill/>
            </a:ln>
          </c:spPr>
          <c:invertIfNegative val="0"/>
          <c:dLbls>
            <c:spPr>
              <a:noFill/>
              <a:ln w="25400">
                <a:noFill/>
              </a:ln>
            </c:spPr>
            <c:txPr>
              <a:bodyPr wrap="square" lIns="38100" tIns="19050" rIns="38100" bIns="19050" anchor="ctr">
                <a:spAutoFit/>
              </a:bodyPr>
              <a:lstStyle/>
              <a:p>
                <a:pPr>
                  <a:defRPr sz="900" b="0" i="0" u="none" strike="noStrike" baseline="0">
                    <a:solidFill>
                      <a:srgbClr val="333333"/>
                    </a:solidFill>
                    <a:latin typeface="Calibri"/>
                    <a:ea typeface="Calibri"/>
                    <a:cs typeface="Calibri"/>
                  </a:defRPr>
                </a:pPr>
                <a:endParaRPr lang="en-US"/>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numRef>
              <c:f>'Sanitation report'!$J$120:$J$129</c:f>
              <c:numCache>
                <c:formatCode>General</c:formatCode>
                <c:ptCount val="10"/>
                <c:pt idx="0">
                  <c:v>0</c:v>
                </c:pt>
                <c:pt idx="1">
                  <c:v>0</c:v>
                </c:pt>
                <c:pt idx="2">
                  <c:v>0</c:v>
                </c:pt>
                <c:pt idx="3">
                  <c:v>0</c:v>
                </c:pt>
                <c:pt idx="4">
                  <c:v>0</c:v>
                </c:pt>
                <c:pt idx="5">
                  <c:v>0</c:v>
                </c:pt>
                <c:pt idx="6">
                  <c:v>0</c:v>
                </c:pt>
                <c:pt idx="7">
                  <c:v>0</c:v>
                </c:pt>
                <c:pt idx="8">
                  <c:v>0</c:v>
                </c:pt>
                <c:pt idx="9">
                  <c:v>0</c:v>
                </c:pt>
              </c:numCache>
            </c:numRef>
          </c:cat>
          <c:val>
            <c:numRef>
              <c:f>'Sanitation report'!$K$120:$K$129</c:f>
              <c:numCache>
                <c:formatCode>_(* #,##0.00_);_(* \(#,##0.00\);_(* "-"??_);_(@_)</c:formatCode>
                <c:ptCount val="10"/>
                <c:pt idx="0">
                  <c:v>8.4913993853234313</c:v>
                </c:pt>
                <c:pt idx="1">
                  <c:v>0</c:v>
                </c:pt>
                <c:pt idx="2">
                  <c:v>0</c:v>
                </c:pt>
                <c:pt idx="3">
                  <c:v>0</c:v>
                </c:pt>
                <c:pt idx="4">
                  <c:v>0</c:v>
                </c:pt>
                <c:pt idx="5">
                  <c:v>0</c:v>
                </c:pt>
                <c:pt idx="6">
                  <c:v>0</c:v>
                </c:pt>
                <c:pt idx="7">
                  <c:v>0</c:v>
                </c:pt>
                <c:pt idx="8">
                  <c:v>0</c:v>
                </c:pt>
                <c:pt idx="9">
                  <c:v>0</c:v>
                </c:pt>
              </c:numCache>
            </c:numRef>
          </c:val>
          <c:extLst>
            <c:ext xmlns:c16="http://schemas.microsoft.com/office/drawing/2014/chart" uri="{C3380CC4-5D6E-409C-BE32-E72D297353CC}">
              <c16:uniqueId val="{00000000-1BC5-4365-8B18-5E01ABE7D7AC}"/>
            </c:ext>
          </c:extLst>
        </c:ser>
        <c:dLbls>
          <c:showLegendKey val="0"/>
          <c:showVal val="0"/>
          <c:showCatName val="0"/>
          <c:showSerName val="0"/>
          <c:showPercent val="0"/>
          <c:showBubbleSize val="0"/>
        </c:dLbls>
        <c:gapWidth val="50"/>
        <c:axId val="1396782255"/>
        <c:axId val="1"/>
      </c:barChart>
      <c:lineChart>
        <c:grouping val="standard"/>
        <c:varyColors val="0"/>
        <c:ser>
          <c:idx val="1"/>
          <c:order val="1"/>
          <c:tx>
            <c:strRef>
              <c:f>'Sanitation report'!$L$119</c:f>
              <c:strCache>
                <c:ptCount val="1"/>
                <c:pt idx="0">
                  <c:v>Total cost per kl </c:v>
                </c:pt>
              </c:strCache>
            </c:strRef>
          </c:tx>
          <c:spPr>
            <a:ln w="28575" cap="rnd">
              <a:solidFill>
                <a:schemeClr val="accent2"/>
              </a:solidFill>
              <a:round/>
            </a:ln>
            <a:effectLst/>
          </c:spPr>
          <c:marker>
            <c:symbol val="none"/>
          </c:marker>
          <c:cat>
            <c:numRef>
              <c:f>'Sanitation report'!$J$120:$J$129</c:f>
              <c:numCache>
                <c:formatCode>General</c:formatCode>
                <c:ptCount val="10"/>
                <c:pt idx="0">
                  <c:v>0</c:v>
                </c:pt>
                <c:pt idx="1">
                  <c:v>0</c:v>
                </c:pt>
                <c:pt idx="2">
                  <c:v>0</c:v>
                </c:pt>
                <c:pt idx="3">
                  <c:v>0</c:v>
                </c:pt>
                <c:pt idx="4">
                  <c:v>0</c:v>
                </c:pt>
                <c:pt idx="5">
                  <c:v>0</c:v>
                </c:pt>
                <c:pt idx="6">
                  <c:v>0</c:v>
                </c:pt>
                <c:pt idx="7">
                  <c:v>0</c:v>
                </c:pt>
                <c:pt idx="8">
                  <c:v>0</c:v>
                </c:pt>
                <c:pt idx="9">
                  <c:v>0</c:v>
                </c:pt>
              </c:numCache>
            </c:numRef>
          </c:cat>
          <c:val>
            <c:numRef>
              <c:f>'Sanitation report'!$L$120:$L$129</c:f>
              <c:numCache>
                <c:formatCode>_(* #,##0.00_);_(* \(#,##0.00\);_(* "-"??_);_(@_)</c:formatCode>
                <c:ptCount val="10"/>
                <c:pt idx="0">
                  <c:v>9.9580676545790894</c:v>
                </c:pt>
                <c:pt idx="1">
                  <c:v>9.9580676545790894</c:v>
                </c:pt>
                <c:pt idx="2">
                  <c:v>9.9580676545790894</c:v>
                </c:pt>
                <c:pt idx="3">
                  <c:v>9.9580676545790894</c:v>
                </c:pt>
                <c:pt idx="4">
                  <c:v>9.9580676545790894</c:v>
                </c:pt>
                <c:pt idx="5">
                  <c:v>9.9580676545790894</c:v>
                </c:pt>
                <c:pt idx="6">
                  <c:v>9.9580676545790894</c:v>
                </c:pt>
                <c:pt idx="7">
                  <c:v>9.9580676545790894</c:v>
                </c:pt>
                <c:pt idx="8">
                  <c:v>9.9580676545790894</c:v>
                </c:pt>
                <c:pt idx="9">
                  <c:v>9.9580676545790894</c:v>
                </c:pt>
              </c:numCache>
            </c:numRef>
          </c:val>
          <c:smooth val="0"/>
          <c:extLst>
            <c:ext xmlns:c16="http://schemas.microsoft.com/office/drawing/2014/chart" uri="{C3380CC4-5D6E-409C-BE32-E72D297353CC}">
              <c16:uniqueId val="{00000001-1BC5-4365-8B18-5E01ABE7D7AC}"/>
            </c:ext>
          </c:extLst>
        </c:ser>
        <c:ser>
          <c:idx val="2"/>
          <c:order val="2"/>
          <c:tx>
            <c:strRef>
              <c:f>'Sanitation report'!$M$119</c:f>
              <c:strCache>
                <c:ptCount val="1"/>
                <c:pt idx="0">
                  <c:v>Variable cost per kl treated</c:v>
                </c:pt>
              </c:strCache>
            </c:strRef>
          </c:tx>
          <c:spPr>
            <a:ln w="28575" cap="rnd">
              <a:solidFill>
                <a:schemeClr val="accent3"/>
              </a:solidFill>
              <a:round/>
            </a:ln>
            <a:effectLst/>
          </c:spPr>
          <c:marker>
            <c:symbol val="none"/>
          </c:marker>
          <c:cat>
            <c:numRef>
              <c:f>'Sanitation report'!$J$120:$J$129</c:f>
              <c:numCache>
                <c:formatCode>General</c:formatCode>
                <c:ptCount val="10"/>
                <c:pt idx="0">
                  <c:v>0</c:v>
                </c:pt>
                <c:pt idx="1">
                  <c:v>0</c:v>
                </c:pt>
                <c:pt idx="2">
                  <c:v>0</c:v>
                </c:pt>
                <c:pt idx="3">
                  <c:v>0</c:v>
                </c:pt>
                <c:pt idx="4">
                  <c:v>0</c:v>
                </c:pt>
                <c:pt idx="5">
                  <c:v>0</c:v>
                </c:pt>
                <c:pt idx="6">
                  <c:v>0</c:v>
                </c:pt>
                <c:pt idx="7">
                  <c:v>0</c:v>
                </c:pt>
                <c:pt idx="8">
                  <c:v>0</c:v>
                </c:pt>
                <c:pt idx="9">
                  <c:v>0</c:v>
                </c:pt>
              </c:numCache>
            </c:numRef>
          </c:cat>
          <c:val>
            <c:numRef>
              <c:f>'Sanitation report'!$M$120:$M$129</c:f>
              <c:numCache>
                <c:formatCode>_(* #,##0.00_);_(* \(#,##0.00\);_(* "-"??_);_(@_)</c:formatCode>
                <c:ptCount val="10"/>
                <c:pt idx="0">
                  <c:v>5.4647806372834458</c:v>
                </c:pt>
                <c:pt idx="1">
                  <c:v>5.4647806372834458</c:v>
                </c:pt>
                <c:pt idx="2">
                  <c:v>5.4647806372834458</c:v>
                </c:pt>
                <c:pt idx="3">
                  <c:v>5.4647806372834458</c:v>
                </c:pt>
                <c:pt idx="4">
                  <c:v>5.4647806372834458</c:v>
                </c:pt>
                <c:pt idx="5">
                  <c:v>5.4647806372834458</c:v>
                </c:pt>
                <c:pt idx="6">
                  <c:v>5.4647806372834458</c:v>
                </c:pt>
                <c:pt idx="7">
                  <c:v>5.4647806372834458</c:v>
                </c:pt>
                <c:pt idx="8">
                  <c:v>5.4647806372834458</c:v>
                </c:pt>
                <c:pt idx="9">
                  <c:v>5.4647806372834458</c:v>
                </c:pt>
              </c:numCache>
            </c:numRef>
          </c:val>
          <c:smooth val="0"/>
          <c:extLst>
            <c:ext xmlns:c16="http://schemas.microsoft.com/office/drawing/2014/chart" uri="{C3380CC4-5D6E-409C-BE32-E72D297353CC}">
              <c16:uniqueId val="{00000002-1BC5-4365-8B18-5E01ABE7D7AC}"/>
            </c:ext>
          </c:extLst>
        </c:ser>
        <c:dLbls>
          <c:showLegendKey val="0"/>
          <c:showVal val="0"/>
          <c:showCatName val="0"/>
          <c:showSerName val="0"/>
          <c:showPercent val="0"/>
          <c:showBubbleSize val="0"/>
        </c:dLbls>
        <c:marker val="1"/>
        <c:smooth val="0"/>
        <c:axId val="1396782255"/>
        <c:axId val="1"/>
      </c:lineChart>
      <c:catAx>
        <c:axId val="1396782255"/>
        <c:scaling>
          <c:orientation val="minMax"/>
        </c:scaling>
        <c:delete val="0"/>
        <c:axPos val="b"/>
        <c:title>
          <c:tx>
            <c:rich>
              <a:bodyPr/>
              <a:lstStyle/>
              <a:p>
                <a:pPr>
                  <a:defRPr sz="1000" b="0" i="0" u="none" strike="noStrike" baseline="0">
                    <a:solidFill>
                      <a:srgbClr val="333333"/>
                    </a:solidFill>
                    <a:latin typeface="Calibri"/>
                    <a:ea typeface="Calibri"/>
                    <a:cs typeface="Calibri"/>
                  </a:defRPr>
                </a:pPr>
                <a:r>
                  <a:rPr lang="en-ZA"/>
                  <a:t>Block size</a:t>
                </a:r>
              </a:p>
            </c:rich>
          </c:tx>
          <c:overlay val="0"/>
          <c:spPr>
            <a:noFill/>
            <a:ln w="25400">
              <a:noFill/>
            </a:ln>
          </c:spPr>
        </c:title>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0" vert="horz"/>
          <a:lstStyle/>
          <a:p>
            <a:pPr>
              <a:defRPr sz="900" b="0" i="0" u="none" strike="noStrike" baseline="0">
                <a:solidFill>
                  <a:srgbClr val="333333"/>
                </a:solidFill>
                <a:latin typeface="Calibri"/>
                <a:ea typeface="Calibri"/>
                <a:cs typeface="Calibri"/>
              </a:defRPr>
            </a:pPr>
            <a:endParaRPr lang="en-US"/>
          </a:p>
        </c:txPr>
        <c:crossAx val="1"/>
        <c:crosses val="autoZero"/>
        <c:auto val="1"/>
        <c:lblAlgn val="ctr"/>
        <c:lblOffset val="100"/>
        <c:noMultiLvlLbl val="0"/>
      </c:catAx>
      <c:valAx>
        <c:axId val="1"/>
        <c:scaling>
          <c:orientation val="minMax"/>
        </c:scaling>
        <c:delete val="0"/>
        <c:axPos val="l"/>
        <c:majorGridlines>
          <c:spPr>
            <a:ln w="9525" cap="flat" cmpd="sng" algn="ctr">
              <a:solidFill>
                <a:schemeClr val="tx1">
                  <a:lumMod val="15000"/>
                  <a:lumOff val="85000"/>
                </a:schemeClr>
              </a:solidFill>
              <a:round/>
            </a:ln>
            <a:effectLst/>
          </c:spPr>
        </c:majorGridlines>
        <c:title>
          <c:tx>
            <c:rich>
              <a:bodyPr/>
              <a:lstStyle/>
              <a:p>
                <a:pPr>
                  <a:defRPr sz="1000" b="0" i="0" u="none" strike="noStrike" baseline="0">
                    <a:solidFill>
                      <a:srgbClr val="333333"/>
                    </a:solidFill>
                    <a:latin typeface="Calibri"/>
                    <a:ea typeface="Calibri"/>
                    <a:cs typeface="Calibri"/>
                  </a:defRPr>
                </a:pPr>
                <a:r>
                  <a:rPr lang="en-ZA"/>
                  <a:t>R/kl</a:t>
                </a:r>
              </a:p>
            </c:rich>
          </c:tx>
          <c:overlay val="0"/>
          <c:spPr>
            <a:noFill/>
            <a:ln w="25400">
              <a:noFill/>
            </a:ln>
          </c:spPr>
        </c:title>
        <c:numFmt formatCode="_(* #,##0.00_);_(* \(#,##0.00\);_(* &quot;-&quot;??_);_(@_)" sourceLinked="1"/>
        <c:majorTickMark val="none"/>
        <c:minorTickMark val="none"/>
        <c:tickLblPos val="nextTo"/>
        <c:spPr>
          <a:ln w="6350">
            <a:noFill/>
          </a:ln>
        </c:spPr>
        <c:txPr>
          <a:bodyPr rot="0" vert="horz"/>
          <a:lstStyle/>
          <a:p>
            <a:pPr>
              <a:defRPr sz="900" b="0" i="0" u="none" strike="noStrike" baseline="0">
                <a:solidFill>
                  <a:srgbClr val="333333"/>
                </a:solidFill>
                <a:latin typeface="Calibri"/>
                <a:ea typeface="Calibri"/>
                <a:cs typeface="Calibri"/>
              </a:defRPr>
            </a:pPr>
            <a:endParaRPr lang="en-US"/>
          </a:p>
        </c:txPr>
        <c:crossAx val="1396782255"/>
        <c:crosses val="autoZero"/>
        <c:crossBetween val="between"/>
      </c:valAx>
      <c:spPr>
        <a:noFill/>
        <a:ln w="25400">
          <a:noFill/>
        </a:ln>
      </c:spPr>
    </c:plotArea>
    <c:legend>
      <c:legendPos val="r"/>
      <c:layout>
        <c:manualLayout>
          <c:xMode val="edge"/>
          <c:yMode val="edge"/>
          <c:x val="0.12362011021685021"/>
          <c:y val="0.92626106162959132"/>
          <c:w val="0.74541089190419463"/>
          <c:h val="6.0111297563214428E-2"/>
        </c:manualLayout>
      </c:layout>
      <c:overlay val="0"/>
      <c:spPr>
        <a:noFill/>
        <a:ln w="25400">
          <a:noFill/>
        </a:ln>
      </c:spPr>
      <c:txPr>
        <a:bodyPr/>
        <a:lstStyle/>
        <a:p>
          <a:pPr>
            <a:defRPr sz="690" b="0" i="0" u="none" strike="noStrike" baseline="0">
              <a:solidFill>
                <a:srgbClr val="333333"/>
              </a:solidFill>
              <a:latin typeface="Calibri"/>
              <a:ea typeface="Calibri"/>
              <a:cs typeface="Calibri"/>
            </a:defRPr>
          </a:pPr>
          <a:endParaRPr lang="en-US"/>
        </a:p>
      </c:txPr>
    </c:legend>
    <c:plotVisOnly val="1"/>
    <c:dispBlanksAs val="gap"/>
    <c:showDLblsOverMax val="0"/>
  </c:chart>
  <c:spPr>
    <a:solidFill>
      <a:schemeClr val="bg1"/>
    </a:solidFill>
    <a:ln w="9525" cap="flat" cmpd="sng" algn="ctr">
      <a:noFill/>
      <a:round/>
    </a:ln>
    <a:effectLst/>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charts/chart10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2.3871527777777776E-2"/>
          <c:y val="4.7786414907172239E-2"/>
          <c:w val="0.57559123468941387"/>
          <c:h val="0.83529592857692603"/>
        </c:manualLayout>
      </c:layout>
      <c:barChart>
        <c:barDir val="col"/>
        <c:grouping val="stacked"/>
        <c:varyColors val="0"/>
        <c:ser>
          <c:idx val="0"/>
          <c:order val="0"/>
          <c:tx>
            <c:strRef>
              <c:f>'Sanitation report'!$I$163</c:f>
              <c:strCache>
                <c:ptCount val="1"/>
                <c:pt idx="0">
                  <c:v>Fixed cost</c:v>
                </c:pt>
              </c:strCache>
            </c:strRef>
          </c:tx>
          <c:spPr>
            <a:solidFill>
              <a:srgbClr val="4472C4"/>
            </a:solidFill>
            <a:ln w="25400">
              <a:noFill/>
            </a:ln>
          </c:spPr>
          <c:invertIfNegative val="0"/>
          <c:dPt>
            <c:idx val="0"/>
            <c:invertIfNegative val="0"/>
            <c:bubble3D val="0"/>
            <c:spPr>
              <a:solidFill>
                <a:srgbClr val="5B9BD5"/>
              </a:solidFill>
              <a:ln w="25400">
                <a:noFill/>
              </a:ln>
            </c:spPr>
            <c:extLst>
              <c:ext xmlns:c16="http://schemas.microsoft.com/office/drawing/2014/chart" uri="{C3380CC4-5D6E-409C-BE32-E72D297353CC}">
                <c16:uniqueId val="{00000000-A7F0-4930-99AE-585FA94421AD}"/>
              </c:ext>
            </c:extLst>
          </c:dPt>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'Sanitation report'!$J$162:$K$162</c:f>
              <c:strCache>
                <c:ptCount val="2"/>
                <c:pt idx="0">
                  <c:v>Expenditure R'000</c:v>
                </c:pt>
                <c:pt idx="1">
                  <c:v>Revenue R'000</c:v>
                </c:pt>
              </c:strCache>
            </c:strRef>
          </c:cat>
          <c:val>
            <c:numRef>
              <c:f>'Sanitation report'!$J$163:$K$163</c:f>
              <c:numCache>
                <c:formatCode>General</c:formatCode>
                <c:ptCount val="2"/>
                <c:pt idx="0" formatCode="_-* #\ ##0_-;\-* #\ ##0_-;_-* &quot;-&quot;??_-;_-@_-">
                  <c:v>63.273174040696034</c:v>
                </c:pt>
              </c:numCache>
            </c:numRef>
          </c:val>
          <c:extLst>
            <c:ext xmlns:c16="http://schemas.microsoft.com/office/drawing/2014/chart" uri="{C3380CC4-5D6E-409C-BE32-E72D297353CC}">
              <c16:uniqueId val="{00000001-A7F0-4930-99AE-585FA94421AD}"/>
            </c:ext>
          </c:extLst>
        </c:ser>
        <c:ser>
          <c:idx val="1"/>
          <c:order val="1"/>
          <c:tx>
            <c:strRef>
              <c:f>'Sanitation report'!$I$164</c:f>
              <c:strCache>
                <c:ptCount val="1"/>
                <c:pt idx="0">
                  <c:v>Variable cost</c:v>
                </c:pt>
              </c:strCache>
            </c:strRef>
          </c:tx>
          <c:spPr>
            <a:solidFill>
              <a:schemeClr val="accent5">
                <a:lumMod val="60000"/>
                <a:lumOff val="40000"/>
              </a:schemeClr>
            </a:solidFill>
            <a:ln>
              <a:noFill/>
            </a:ln>
            <a:effectLst/>
          </c:spPr>
          <c:invertIfNegative val="0"/>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'Sanitation report'!$J$162:$K$162</c:f>
              <c:strCache>
                <c:ptCount val="2"/>
                <c:pt idx="0">
                  <c:v>Expenditure R'000</c:v>
                </c:pt>
                <c:pt idx="1">
                  <c:v>Revenue R'000</c:v>
                </c:pt>
              </c:strCache>
            </c:strRef>
          </c:cat>
          <c:val>
            <c:numRef>
              <c:f>'Sanitation report'!$J$164:$K$164</c:f>
              <c:numCache>
                <c:formatCode>General</c:formatCode>
                <c:ptCount val="2"/>
                <c:pt idx="0" formatCode="_-* #\ ##0_-;\-* #\ ##0_-;_-* &quot;-&quot;??_-;_-@_-">
                  <c:v>61.459500237438164</c:v>
                </c:pt>
              </c:numCache>
            </c:numRef>
          </c:val>
          <c:extLst>
            <c:ext xmlns:c16="http://schemas.microsoft.com/office/drawing/2014/chart" uri="{C3380CC4-5D6E-409C-BE32-E72D297353CC}">
              <c16:uniqueId val="{00000002-A7F0-4930-99AE-585FA94421AD}"/>
            </c:ext>
          </c:extLst>
        </c:ser>
        <c:ser>
          <c:idx val="2"/>
          <c:order val="2"/>
          <c:tx>
            <c:strRef>
              <c:f>'Sanitation report'!$I$165</c:f>
              <c:strCache>
                <c:ptCount val="1"/>
                <c:pt idx="0">
                  <c:v>Surplus</c:v>
                </c:pt>
              </c:strCache>
            </c:strRef>
          </c:tx>
          <c:spPr>
            <a:solidFill>
              <a:srgbClr val="A5A5A5"/>
            </a:solidFill>
            <a:ln w="25400">
              <a:noFill/>
            </a:ln>
          </c:spPr>
          <c:invertIfNegative val="0"/>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'Sanitation report'!$J$162:$K$162</c:f>
              <c:strCache>
                <c:ptCount val="2"/>
                <c:pt idx="0">
                  <c:v>Expenditure R'000</c:v>
                </c:pt>
                <c:pt idx="1">
                  <c:v>Revenue R'000</c:v>
                </c:pt>
              </c:strCache>
            </c:strRef>
          </c:cat>
          <c:val>
            <c:numRef>
              <c:f>'Sanitation report'!$J$165:$K$165</c:f>
              <c:numCache>
                <c:formatCode>General</c:formatCode>
                <c:ptCount val="2"/>
                <c:pt idx="0" formatCode="_-* #\ ##0_-;\-* #\ ##0_-;_-* &quot;-&quot;??_-;_-@_-">
                  <c:v>0</c:v>
                </c:pt>
              </c:numCache>
            </c:numRef>
          </c:val>
          <c:extLst>
            <c:ext xmlns:c16="http://schemas.microsoft.com/office/drawing/2014/chart" uri="{C3380CC4-5D6E-409C-BE32-E72D297353CC}">
              <c16:uniqueId val="{00000003-A7F0-4930-99AE-585FA94421AD}"/>
            </c:ext>
          </c:extLst>
        </c:ser>
        <c:ser>
          <c:idx val="4"/>
          <c:order val="3"/>
          <c:tx>
            <c:strRef>
              <c:f>'Sanitation report'!$I$166</c:f>
              <c:strCache>
                <c:ptCount val="1"/>
                <c:pt idx="0">
                  <c:v>Tariff revenue</c:v>
                </c:pt>
              </c:strCache>
            </c:strRef>
          </c:tx>
          <c:spPr>
            <a:solidFill>
              <a:srgbClr val="5B9BD5"/>
            </a:solidFill>
            <a:ln w="25400">
              <a:noFill/>
            </a:ln>
          </c:spPr>
          <c:invertIfNegative val="0"/>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'Sanitation report'!$J$162:$K$162</c:f>
              <c:strCache>
                <c:ptCount val="2"/>
                <c:pt idx="0">
                  <c:v>Expenditure R'000</c:v>
                </c:pt>
                <c:pt idx="1">
                  <c:v>Revenue R'000</c:v>
                </c:pt>
              </c:strCache>
            </c:strRef>
          </c:cat>
          <c:val>
            <c:numRef>
              <c:f>'Sanitation report'!$J$166:$K$166</c:f>
              <c:numCache>
                <c:formatCode>_-* #\ ##0_-;\-* #\ ##0_-;_-* "-"??_-;_-@_-</c:formatCode>
                <c:ptCount val="2"/>
                <c:pt idx="1">
                  <c:v>78.912267658178934</c:v>
                </c:pt>
              </c:numCache>
            </c:numRef>
          </c:val>
          <c:extLst>
            <c:ext xmlns:c16="http://schemas.microsoft.com/office/drawing/2014/chart" uri="{C3380CC4-5D6E-409C-BE32-E72D297353CC}">
              <c16:uniqueId val="{00000004-A7F0-4930-99AE-585FA94421AD}"/>
            </c:ext>
          </c:extLst>
        </c:ser>
        <c:ser>
          <c:idx val="5"/>
          <c:order val="4"/>
          <c:tx>
            <c:strRef>
              <c:f>'Sanitation report'!$I$167</c:f>
              <c:strCache>
                <c:ptCount val="1"/>
                <c:pt idx="0">
                  <c:v>External grants &amp; subsidies</c:v>
                </c:pt>
              </c:strCache>
            </c:strRef>
          </c:tx>
          <c:spPr>
            <a:solidFill>
              <a:srgbClr val="A5A5A5"/>
            </a:solidFill>
            <a:ln w="25400">
              <a:noFill/>
            </a:ln>
          </c:spPr>
          <c:invertIfNegative val="0"/>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'Sanitation report'!$J$162:$K$162</c:f>
              <c:strCache>
                <c:ptCount val="2"/>
                <c:pt idx="0">
                  <c:v>Expenditure R'000</c:v>
                </c:pt>
                <c:pt idx="1">
                  <c:v>Revenue R'000</c:v>
                </c:pt>
              </c:strCache>
            </c:strRef>
          </c:cat>
          <c:val>
            <c:numRef>
              <c:f>'Sanitation report'!$J$167:$K$167</c:f>
              <c:numCache>
                <c:formatCode>_-* #\ ##0_-;\-* #\ ##0_-;_-* "-"??_-;_-@_-</c:formatCode>
                <c:ptCount val="2"/>
                <c:pt idx="1">
                  <c:v>27.449226402173014</c:v>
                </c:pt>
              </c:numCache>
            </c:numRef>
          </c:val>
          <c:extLst>
            <c:ext xmlns:c16="http://schemas.microsoft.com/office/drawing/2014/chart" uri="{C3380CC4-5D6E-409C-BE32-E72D297353CC}">
              <c16:uniqueId val="{00000005-A7F0-4930-99AE-585FA94421AD}"/>
            </c:ext>
          </c:extLst>
        </c:ser>
        <c:ser>
          <c:idx val="3"/>
          <c:order val="5"/>
          <c:tx>
            <c:strRef>
              <c:f>'Sanitation report'!$I$168</c:f>
              <c:strCache>
                <c:ptCount val="1"/>
                <c:pt idx="0">
                  <c:v>Other non-tariff revenue</c:v>
                </c:pt>
              </c:strCache>
            </c:strRef>
          </c:tx>
          <c:spPr>
            <a:solidFill>
              <a:schemeClr val="accent3">
                <a:lumMod val="40000"/>
                <a:lumOff val="60000"/>
              </a:schemeClr>
            </a:solidFill>
            <a:ln>
              <a:noFill/>
            </a:ln>
            <a:effectLst/>
          </c:spPr>
          <c:invertIfNegative val="0"/>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'Sanitation report'!$J$162:$K$162</c:f>
              <c:strCache>
                <c:ptCount val="2"/>
                <c:pt idx="0">
                  <c:v>Expenditure R'000</c:v>
                </c:pt>
                <c:pt idx="1">
                  <c:v>Revenue R'000</c:v>
                </c:pt>
              </c:strCache>
            </c:strRef>
          </c:cat>
          <c:val>
            <c:numRef>
              <c:f>'Sanitation report'!$J$168:$K$168</c:f>
              <c:numCache>
                <c:formatCode>_-* #\ ##0_-;\-* #\ ##0_-;_-* "-"??_-;_-@_-</c:formatCode>
                <c:ptCount val="2"/>
                <c:pt idx="1">
                  <c:v>18.37118021778225</c:v>
                </c:pt>
              </c:numCache>
            </c:numRef>
          </c:val>
          <c:extLst>
            <c:ext xmlns:c16="http://schemas.microsoft.com/office/drawing/2014/chart" uri="{C3380CC4-5D6E-409C-BE32-E72D297353CC}">
              <c16:uniqueId val="{00000006-A7F0-4930-99AE-585FA94421AD}"/>
            </c:ext>
          </c:extLst>
        </c:ser>
        <c:ser>
          <c:idx val="6"/>
          <c:order val="6"/>
          <c:tx>
            <c:strRef>
              <c:f>'Sanitation report'!$I$169</c:f>
              <c:strCache>
                <c:ptCount val="1"/>
                <c:pt idx="0">
                  <c:v>Deficit</c:v>
                </c:pt>
              </c:strCache>
            </c:strRef>
          </c:tx>
          <c:spPr>
            <a:solidFill>
              <a:srgbClr val="ED7D31"/>
            </a:solidFill>
            <a:ln w="25400">
              <a:noFill/>
            </a:ln>
          </c:spPr>
          <c:invertIfNegative val="0"/>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'Sanitation report'!$J$162:$K$162</c:f>
              <c:strCache>
                <c:ptCount val="2"/>
                <c:pt idx="0">
                  <c:v>Expenditure R'000</c:v>
                </c:pt>
                <c:pt idx="1">
                  <c:v>Revenue R'000</c:v>
                </c:pt>
              </c:strCache>
            </c:strRef>
          </c:cat>
          <c:val>
            <c:numRef>
              <c:f>'Sanitation report'!$J$169:$K$169</c:f>
              <c:numCache>
                <c:formatCode>_-* #\ ##0_-;\-* #\ ##0_-;_-* "-"??_-;_-@_-</c:formatCode>
                <c:ptCount val="2"/>
                <c:pt idx="1">
                  <c:v>0</c:v>
                </c:pt>
              </c:numCache>
            </c:numRef>
          </c:val>
          <c:extLst>
            <c:ext xmlns:c16="http://schemas.microsoft.com/office/drawing/2014/chart" uri="{C3380CC4-5D6E-409C-BE32-E72D297353CC}">
              <c16:uniqueId val="{00000007-A7F0-4930-99AE-585FA94421AD}"/>
            </c:ext>
          </c:extLst>
        </c:ser>
        <c:dLbls>
          <c:showLegendKey val="0"/>
          <c:showVal val="0"/>
          <c:showCatName val="0"/>
          <c:showSerName val="0"/>
          <c:showPercent val="0"/>
          <c:showBubbleSize val="0"/>
        </c:dLbls>
        <c:gapWidth val="25"/>
        <c:overlap val="100"/>
        <c:axId val="1396794255"/>
        <c:axId val="1"/>
      </c:barChart>
      <c:catAx>
        <c:axId val="1396794255"/>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0" vert="horz"/>
          <a:lstStyle/>
          <a:p>
            <a:pPr>
              <a:defRPr sz="1100" b="0" i="0" u="none" strike="noStrike" baseline="0">
                <a:solidFill>
                  <a:srgbClr val="000000"/>
                </a:solidFill>
                <a:latin typeface="Calibri"/>
                <a:ea typeface="Calibri"/>
                <a:cs typeface="Calibri"/>
              </a:defRPr>
            </a:pPr>
            <a:endParaRPr lang="en-US"/>
          </a:p>
        </c:txPr>
        <c:crossAx val="1"/>
        <c:crosses val="autoZero"/>
        <c:auto val="1"/>
        <c:lblAlgn val="ctr"/>
        <c:lblOffset val="100"/>
        <c:noMultiLvlLbl val="0"/>
      </c:catAx>
      <c:valAx>
        <c:axId val="1"/>
        <c:scaling>
          <c:orientation val="minMax"/>
        </c:scaling>
        <c:delete val="1"/>
        <c:axPos val="l"/>
        <c:majorGridlines>
          <c:spPr>
            <a:ln w="9525" cap="flat" cmpd="sng" algn="ctr">
              <a:solidFill>
                <a:schemeClr val="tx1">
                  <a:lumMod val="15000"/>
                  <a:lumOff val="85000"/>
                </a:schemeClr>
              </a:solidFill>
              <a:round/>
            </a:ln>
            <a:effectLst/>
          </c:spPr>
        </c:majorGridlines>
        <c:numFmt formatCode="_-* #\ ##0_-;\-* #\ ##0_-;_-* &quot;-&quot;??_-;_-@_-" sourceLinked="1"/>
        <c:majorTickMark val="out"/>
        <c:minorTickMark val="none"/>
        <c:tickLblPos val="nextTo"/>
        <c:crossAx val="1396794255"/>
        <c:crosses val="autoZero"/>
        <c:crossBetween val="between"/>
      </c:valAx>
    </c:plotArea>
    <c:legend>
      <c:legendPos val="r"/>
      <c:layout>
        <c:manualLayout>
          <c:xMode val="edge"/>
          <c:yMode val="edge"/>
          <c:x val="0.63060873861355571"/>
          <c:y val="0.19876461094537096"/>
          <c:w val="0.34824665740311866"/>
          <c:h val="0.70809931367274737"/>
        </c:manualLayout>
      </c:layout>
      <c:overlay val="0"/>
      <c:spPr>
        <a:noFill/>
        <a:ln w="25400">
          <a:noFill/>
        </a:ln>
      </c:spPr>
      <c:txPr>
        <a:bodyPr/>
        <a:lstStyle/>
        <a:p>
          <a:pPr>
            <a:defRPr sz="850" b="0" i="0" u="none" strike="noStrike" baseline="0">
              <a:solidFill>
                <a:srgbClr val="000000"/>
              </a:solidFill>
              <a:latin typeface="Calibri"/>
              <a:ea typeface="Calibri"/>
              <a:cs typeface="Calibri"/>
            </a:defRPr>
          </a:pPr>
          <a:endParaRPr lang="en-US"/>
        </a:p>
      </c:txPr>
    </c:legend>
    <c:plotVisOnly val="1"/>
    <c:dispBlanksAs val="gap"/>
    <c:showDLblsOverMax val="0"/>
  </c:chart>
  <c:spPr>
    <a:solidFill>
      <a:schemeClr val="bg1"/>
    </a:solidFill>
    <a:ln w="9525" cap="flat" cmpd="sng" algn="ctr">
      <a:noFill/>
      <a:round/>
    </a:ln>
    <a:effectLst/>
  </c:spPr>
  <c:txPr>
    <a:bodyPr/>
    <a:lstStyle/>
    <a:p>
      <a:pPr>
        <a:defRPr sz="1100" b="0" i="0" u="none" strike="noStrike" baseline="0">
          <a:solidFill>
            <a:srgbClr val="000000"/>
          </a:solidFill>
          <a:latin typeface="Calibri"/>
          <a:ea typeface="Calibri"/>
          <a:cs typeface="Calibri"/>
        </a:defRPr>
      </a:pPr>
      <a:endParaRPr lang="en-US"/>
    </a:p>
  </c:txPr>
  <c:printSettings>
    <c:headerFooter/>
    <c:pageMargins b="0.75" l="0.7" r="0.7" t="0.75" header="0.3" footer="0.3"/>
    <c:pageSetup orientation="portrait"/>
  </c:printSettings>
</c:chartSpace>
</file>

<file path=xl/charts/chart10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ser>
          <c:idx val="0"/>
          <c:order val="0"/>
          <c:tx>
            <c:strRef>
              <c:f>'Sanitation report'!$K$184</c:f>
              <c:strCache>
                <c:ptCount val="1"/>
                <c:pt idx="0">
                  <c:v>Tariff </c:v>
                </c:pt>
              </c:strCache>
            </c:strRef>
          </c:tx>
          <c:spPr>
            <a:solidFill>
              <a:srgbClr val="4472C4"/>
            </a:solidFill>
            <a:ln w="25400">
              <a:noFill/>
            </a:ln>
          </c:spPr>
          <c:invertIfNegative val="0"/>
          <c:dLbls>
            <c:spPr>
              <a:noFill/>
              <a:ln w="25400">
                <a:noFill/>
              </a:ln>
            </c:spPr>
            <c:txPr>
              <a:bodyPr wrap="square" lIns="38100" tIns="19050" rIns="38100" bIns="19050" anchor="ctr">
                <a:spAutoFit/>
              </a:bodyPr>
              <a:lstStyle/>
              <a:p>
                <a:pPr>
                  <a:defRPr sz="900" b="0" i="0" u="none" strike="noStrike" baseline="0">
                    <a:solidFill>
                      <a:srgbClr val="333333"/>
                    </a:solidFill>
                    <a:latin typeface="Calibri"/>
                    <a:ea typeface="Calibri"/>
                    <a:cs typeface="Calibri"/>
                  </a:defRPr>
                </a:pPr>
                <a:endParaRPr lang="en-US"/>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numRef>
              <c:f>'Sanitation report'!$J$185:$J$194</c:f>
              <c:numCache>
                <c:formatCode>General</c:formatCode>
                <c:ptCount val="10"/>
                <c:pt idx="0">
                  <c:v>0</c:v>
                </c:pt>
                <c:pt idx="1">
                  <c:v>0</c:v>
                </c:pt>
                <c:pt idx="2">
                  <c:v>0</c:v>
                </c:pt>
                <c:pt idx="3">
                  <c:v>0</c:v>
                </c:pt>
                <c:pt idx="4">
                  <c:v>0</c:v>
                </c:pt>
                <c:pt idx="5">
                  <c:v>0</c:v>
                </c:pt>
                <c:pt idx="6">
                  <c:v>0</c:v>
                </c:pt>
                <c:pt idx="7">
                  <c:v>0</c:v>
                </c:pt>
                <c:pt idx="8">
                  <c:v>0</c:v>
                </c:pt>
                <c:pt idx="9">
                  <c:v>0</c:v>
                </c:pt>
              </c:numCache>
            </c:numRef>
          </c:cat>
          <c:val>
            <c:numRef>
              <c:f>'Sanitation report'!$K$185:$K$194</c:f>
              <c:numCache>
                <c:formatCode>_(* #,##0.00_);_(* \(#,##0.00\);_(* "-"??_);_(@_)</c:formatCode>
                <c:ptCount val="10"/>
                <c:pt idx="0">
                  <c:v>7.0166244547471166</c:v>
                </c:pt>
                <c:pt idx="1">
                  <c:v>0</c:v>
                </c:pt>
                <c:pt idx="2">
                  <c:v>0</c:v>
                </c:pt>
                <c:pt idx="3">
                  <c:v>0</c:v>
                </c:pt>
                <c:pt idx="4">
                  <c:v>0</c:v>
                </c:pt>
                <c:pt idx="5">
                  <c:v>0</c:v>
                </c:pt>
                <c:pt idx="6">
                  <c:v>0</c:v>
                </c:pt>
                <c:pt idx="7">
                  <c:v>0</c:v>
                </c:pt>
                <c:pt idx="8">
                  <c:v>0</c:v>
                </c:pt>
                <c:pt idx="9">
                  <c:v>0</c:v>
                </c:pt>
              </c:numCache>
            </c:numRef>
          </c:val>
          <c:extLst>
            <c:ext xmlns:c16="http://schemas.microsoft.com/office/drawing/2014/chart" uri="{C3380CC4-5D6E-409C-BE32-E72D297353CC}">
              <c16:uniqueId val="{00000000-5DB8-4B6A-95C5-7DDD6FE6E516}"/>
            </c:ext>
          </c:extLst>
        </c:ser>
        <c:dLbls>
          <c:showLegendKey val="0"/>
          <c:showVal val="0"/>
          <c:showCatName val="0"/>
          <c:showSerName val="0"/>
          <c:showPercent val="0"/>
          <c:showBubbleSize val="0"/>
        </c:dLbls>
        <c:gapWidth val="50"/>
        <c:axId val="1396803375"/>
        <c:axId val="1"/>
      </c:barChart>
      <c:lineChart>
        <c:grouping val="standard"/>
        <c:varyColors val="0"/>
        <c:ser>
          <c:idx val="1"/>
          <c:order val="1"/>
          <c:tx>
            <c:strRef>
              <c:f>'Sanitation report'!$L$184</c:f>
              <c:strCache>
                <c:ptCount val="1"/>
                <c:pt idx="0">
                  <c:v>Total cost per kl </c:v>
                </c:pt>
              </c:strCache>
            </c:strRef>
          </c:tx>
          <c:spPr>
            <a:ln w="28575" cap="rnd">
              <a:solidFill>
                <a:schemeClr val="accent2"/>
              </a:solidFill>
              <a:round/>
            </a:ln>
            <a:effectLst/>
          </c:spPr>
          <c:marker>
            <c:symbol val="none"/>
          </c:marker>
          <c:cat>
            <c:numRef>
              <c:f>'Sanitation report'!$J$185:$J$194</c:f>
              <c:numCache>
                <c:formatCode>General</c:formatCode>
                <c:ptCount val="10"/>
                <c:pt idx="0">
                  <c:v>0</c:v>
                </c:pt>
                <c:pt idx="1">
                  <c:v>0</c:v>
                </c:pt>
                <c:pt idx="2">
                  <c:v>0</c:v>
                </c:pt>
                <c:pt idx="3">
                  <c:v>0</c:v>
                </c:pt>
                <c:pt idx="4">
                  <c:v>0</c:v>
                </c:pt>
                <c:pt idx="5">
                  <c:v>0</c:v>
                </c:pt>
                <c:pt idx="6">
                  <c:v>0</c:v>
                </c:pt>
                <c:pt idx="7">
                  <c:v>0</c:v>
                </c:pt>
                <c:pt idx="8">
                  <c:v>0</c:v>
                </c:pt>
                <c:pt idx="9">
                  <c:v>0</c:v>
                </c:pt>
              </c:numCache>
            </c:numRef>
          </c:cat>
          <c:val>
            <c:numRef>
              <c:f>'Sanitation report'!$L$185:$L$194</c:f>
              <c:numCache>
                <c:formatCode>_(* #,##0.00_);_(* \(#,##0.00\);_(* "-"??_);_(@_)</c:formatCode>
                <c:ptCount val="10"/>
                <c:pt idx="0">
                  <c:v>11.090827302505632</c:v>
                </c:pt>
                <c:pt idx="1">
                  <c:v>11.090827302505632</c:v>
                </c:pt>
                <c:pt idx="2">
                  <c:v>11.090827302505632</c:v>
                </c:pt>
                <c:pt idx="3">
                  <c:v>11.090827302505632</c:v>
                </c:pt>
                <c:pt idx="4">
                  <c:v>11.090827302505632</c:v>
                </c:pt>
                <c:pt idx="5">
                  <c:v>11.090827302505632</c:v>
                </c:pt>
                <c:pt idx="6">
                  <c:v>11.090827302505632</c:v>
                </c:pt>
                <c:pt idx="7">
                  <c:v>11.090827302505632</c:v>
                </c:pt>
                <c:pt idx="8">
                  <c:v>11.090827302505632</c:v>
                </c:pt>
                <c:pt idx="9">
                  <c:v>11.090827302505632</c:v>
                </c:pt>
              </c:numCache>
            </c:numRef>
          </c:val>
          <c:smooth val="0"/>
          <c:extLst>
            <c:ext xmlns:c16="http://schemas.microsoft.com/office/drawing/2014/chart" uri="{C3380CC4-5D6E-409C-BE32-E72D297353CC}">
              <c16:uniqueId val="{00000001-5DB8-4B6A-95C5-7DDD6FE6E516}"/>
            </c:ext>
          </c:extLst>
        </c:ser>
        <c:ser>
          <c:idx val="2"/>
          <c:order val="2"/>
          <c:tx>
            <c:strRef>
              <c:f>'Sanitation report'!$M$184</c:f>
              <c:strCache>
                <c:ptCount val="1"/>
                <c:pt idx="0">
                  <c:v>Variable cost per kl treated</c:v>
                </c:pt>
              </c:strCache>
            </c:strRef>
          </c:tx>
          <c:spPr>
            <a:ln w="28575" cap="rnd">
              <a:solidFill>
                <a:schemeClr val="accent3"/>
              </a:solidFill>
              <a:round/>
            </a:ln>
            <a:effectLst/>
          </c:spPr>
          <c:marker>
            <c:symbol val="none"/>
          </c:marker>
          <c:cat>
            <c:numRef>
              <c:f>'Sanitation report'!$J$185:$J$194</c:f>
              <c:numCache>
                <c:formatCode>General</c:formatCode>
                <c:ptCount val="10"/>
                <c:pt idx="0">
                  <c:v>0</c:v>
                </c:pt>
                <c:pt idx="1">
                  <c:v>0</c:v>
                </c:pt>
                <c:pt idx="2">
                  <c:v>0</c:v>
                </c:pt>
                <c:pt idx="3">
                  <c:v>0</c:v>
                </c:pt>
                <c:pt idx="4">
                  <c:v>0</c:v>
                </c:pt>
                <c:pt idx="5">
                  <c:v>0</c:v>
                </c:pt>
                <c:pt idx="6">
                  <c:v>0</c:v>
                </c:pt>
                <c:pt idx="7">
                  <c:v>0</c:v>
                </c:pt>
                <c:pt idx="8">
                  <c:v>0</c:v>
                </c:pt>
                <c:pt idx="9">
                  <c:v>0</c:v>
                </c:pt>
              </c:numCache>
            </c:numRef>
          </c:cat>
          <c:val>
            <c:numRef>
              <c:f>'Sanitation report'!$M$185:$M$194</c:f>
              <c:numCache>
                <c:formatCode>_(* #,##0.00_);_(* \(#,##0.00\);_(* "-"??_);_(@_)</c:formatCode>
                <c:ptCount val="10"/>
                <c:pt idx="0">
                  <c:v>5.4647806372834458</c:v>
                </c:pt>
                <c:pt idx="1">
                  <c:v>5.4647806372834458</c:v>
                </c:pt>
                <c:pt idx="2">
                  <c:v>5.4647806372834458</c:v>
                </c:pt>
                <c:pt idx="3">
                  <c:v>5.4647806372834458</c:v>
                </c:pt>
                <c:pt idx="4">
                  <c:v>5.4647806372834458</c:v>
                </c:pt>
                <c:pt idx="5">
                  <c:v>5.4647806372834458</c:v>
                </c:pt>
                <c:pt idx="6">
                  <c:v>5.4647806372834458</c:v>
                </c:pt>
                <c:pt idx="7">
                  <c:v>5.4647806372834458</c:v>
                </c:pt>
                <c:pt idx="8">
                  <c:v>5.4647806372834458</c:v>
                </c:pt>
                <c:pt idx="9">
                  <c:v>5.4647806372834458</c:v>
                </c:pt>
              </c:numCache>
            </c:numRef>
          </c:val>
          <c:smooth val="0"/>
          <c:extLst>
            <c:ext xmlns:c16="http://schemas.microsoft.com/office/drawing/2014/chart" uri="{C3380CC4-5D6E-409C-BE32-E72D297353CC}">
              <c16:uniqueId val="{00000002-5DB8-4B6A-95C5-7DDD6FE6E516}"/>
            </c:ext>
          </c:extLst>
        </c:ser>
        <c:dLbls>
          <c:showLegendKey val="0"/>
          <c:showVal val="0"/>
          <c:showCatName val="0"/>
          <c:showSerName val="0"/>
          <c:showPercent val="0"/>
          <c:showBubbleSize val="0"/>
        </c:dLbls>
        <c:marker val="1"/>
        <c:smooth val="0"/>
        <c:axId val="1396803375"/>
        <c:axId val="1"/>
      </c:lineChart>
      <c:catAx>
        <c:axId val="1396803375"/>
        <c:scaling>
          <c:orientation val="minMax"/>
        </c:scaling>
        <c:delete val="0"/>
        <c:axPos val="b"/>
        <c:title>
          <c:tx>
            <c:rich>
              <a:bodyPr/>
              <a:lstStyle/>
              <a:p>
                <a:pPr>
                  <a:defRPr sz="1000" b="0" i="0" u="none" strike="noStrike" baseline="0">
                    <a:solidFill>
                      <a:srgbClr val="333333"/>
                    </a:solidFill>
                    <a:latin typeface="Calibri"/>
                    <a:ea typeface="Calibri"/>
                    <a:cs typeface="Calibri"/>
                  </a:defRPr>
                </a:pPr>
                <a:r>
                  <a:rPr lang="en-ZA"/>
                  <a:t>Block size</a:t>
                </a:r>
              </a:p>
            </c:rich>
          </c:tx>
          <c:overlay val="0"/>
          <c:spPr>
            <a:noFill/>
            <a:ln w="25400">
              <a:noFill/>
            </a:ln>
          </c:spPr>
        </c:title>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0" vert="horz"/>
          <a:lstStyle/>
          <a:p>
            <a:pPr>
              <a:defRPr sz="900" b="0" i="0" u="none" strike="noStrike" baseline="0">
                <a:solidFill>
                  <a:srgbClr val="333333"/>
                </a:solidFill>
                <a:latin typeface="Calibri"/>
                <a:ea typeface="Calibri"/>
                <a:cs typeface="Calibri"/>
              </a:defRPr>
            </a:pPr>
            <a:endParaRPr lang="en-US"/>
          </a:p>
        </c:txPr>
        <c:crossAx val="1"/>
        <c:crosses val="autoZero"/>
        <c:auto val="1"/>
        <c:lblAlgn val="ctr"/>
        <c:lblOffset val="100"/>
        <c:noMultiLvlLbl val="0"/>
      </c:catAx>
      <c:valAx>
        <c:axId val="1"/>
        <c:scaling>
          <c:orientation val="minMax"/>
        </c:scaling>
        <c:delete val="0"/>
        <c:axPos val="l"/>
        <c:majorGridlines>
          <c:spPr>
            <a:ln w="9525" cap="flat" cmpd="sng" algn="ctr">
              <a:solidFill>
                <a:schemeClr val="tx1">
                  <a:lumMod val="15000"/>
                  <a:lumOff val="85000"/>
                </a:schemeClr>
              </a:solidFill>
              <a:round/>
            </a:ln>
            <a:effectLst/>
          </c:spPr>
        </c:majorGridlines>
        <c:title>
          <c:tx>
            <c:rich>
              <a:bodyPr/>
              <a:lstStyle/>
              <a:p>
                <a:pPr>
                  <a:defRPr sz="1000" b="0" i="0" u="none" strike="noStrike" baseline="0">
                    <a:solidFill>
                      <a:srgbClr val="333333"/>
                    </a:solidFill>
                    <a:latin typeface="Calibri"/>
                    <a:ea typeface="Calibri"/>
                    <a:cs typeface="Calibri"/>
                  </a:defRPr>
                </a:pPr>
                <a:r>
                  <a:rPr lang="en-ZA"/>
                  <a:t>R/kl</a:t>
                </a:r>
              </a:p>
            </c:rich>
          </c:tx>
          <c:overlay val="0"/>
          <c:spPr>
            <a:noFill/>
            <a:ln w="25400">
              <a:noFill/>
            </a:ln>
          </c:spPr>
        </c:title>
        <c:numFmt formatCode="_(* #,##0.00_);_(* \(#,##0.00\);_(* &quot;-&quot;??_);_(@_)" sourceLinked="1"/>
        <c:majorTickMark val="none"/>
        <c:minorTickMark val="none"/>
        <c:tickLblPos val="nextTo"/>
        <c:spPr>
          <a:ln w="6350">
            <a:noFill/>
          </a:ln>
        </c:spPr>
        <c:txPr>
          <a:bodyPr rot="0" vert="horz"/>
          <a:lstStyle/>
          <a:p>
            <a:pPr>
              <a:defRPr sz="900" b="0" i="0" u="none" strike="noStrike" baseline="0">
                <a:solidFill>
                  <a:srgbClr val="333333"/>
                </a:solidFill>
                <a:latin typeface="Calibri"/>
                <a:ea typeface="Calibri"/>
                <a:cs typeface="Calibri"/>
              </a:defRPr>
            </a:pPr>
            <a:endParaRPr lang="en-US"/>
          </a:p>
        </c:txPr>
        <c:crossAx val="1396803375"/>
        <c:crosses val="autoZero"/>
        <c:crossBetween val="between"/>
      </c:valAx>
      <c:spPr>
        <a:noFill/>
        <a:ln w="25400">
          <a:noFill/>
        </a:ln>
      </c:spPr>
    </c:plotArea>
    <c:legend>
      <c:legendPos val="r"/>
      <c:layout>
        <c:manualLayout>
          <c:xMode val="edge"/>
          <c:yMode val="edge"/>
          <c:x val="0.12362011021685021"/>
          <c:y val="0.92626106162959132"/>
          <c:w val="0.74541089190419463"/>
          <c:h val="6.0111297563214428E-2"/>
        </c:manualLayout>
      </c:layout>
      <c:overlay val="0"/>
      <c:spPr>
        <a:noFill/>
        <a:ln w="25400">
          <a:noFill/>
        </a:ln>
      </c:spPr>
      <c:txPr>
        <a:bodyPr/>
        <a:lstStyle/>
        <a:p>
          <a:pPr>
            <a:defRPr sz="690" b="0" i="0" u="none" strike="noStrike" baseline="0">
              <a:solidFill>
                <a:srgbClr val="333333"/>
              </a:solidFill>
              <a:latin typeface="Calibri"/>
              <a:ea typeface="Calibri"/>
              <a:cs typeface="Calibri"/>
            </a:defRPr>
          </a:pPr>
          <a:endParaRPr lang="en-US"/>
        </a:p>
      </c:txPr>
    </c:legend>
    <c:plotVisOnly val="1"/>
    <c:dispBlanksAs val="gap"/>
    <c:showDLblsOverMax val="0"/>
  </c:chart>
  <c:spPr>
    <a:solidFill>
      <a:schemeClr val="bg1"/>
    </a:solidFill>
    <a:ln w="9525" cap="flat" cmpd="sng" algn="ctr">
      <a:noFill/>
      <a:round/>
    </a:ln>
    <a:effectLst/>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charts/chart10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2.3871527777777776E-2"/>
          <c:y val="4.7786414907172239E-2"/>
          <c:w val="0.57559123468941387"/>
          <c:h val="0.83529592857692603"/>
        </c:manualLayout>
      </c:layout>
      <c:barChart>
        <c:barDir val="col"/>
        <c:grouping val="stacked"/>
        <c:varyColors val="0"/>
        <c:ser>
          <c:idx val="0"/>
          <c:order val="0"/>
          <c:tx>
            <c:strRef>
              <c:f>'Sanitation report'!$I$228</c:f>
              <c:strCache>
                <c:ptCount val="1"/>
                <c:pt idx="0">
                  <c:v>Fixed cost</c:v>
                </c:pt>
              </c:strCache>
            </c:strRef>
          </c:tx>
          <c:spPr>
            <a:solidFill>
              <a:srgbClr val="4472C4"/>
            </a:solidFill>
            <a:ln w="25400">
              <a:noFill/>
            </a:ln>
          </c:spPr>
          <c:invertIfNegative val="0"/>
          <c:dPt>
            <c:idx val="0"/>
            <c:invertIfNegative val="0"/>
            <c:bubble3D val="0"/>
            <c:spPr>
              <a:solidFill>
                <a:srgbClr val="5B9BD5"/>
              </a:solidFill>
              <a:ln w="25400">
                <a:noFill/>
              </a:ln>
            </c:spPr>
            <c:extLst>
              <c:ext xmlns:c16="http://schemas.microsoft.com/office/drawing/2014/chart" uri="{C3380CC4-5D6E-409C-BE32-E72D297353CC}">
                <c16:uniqueId val="{00000000-FBCB-4532-96E5-26BE612DE137}"/>
              </c:ext>
            </c:extLst>
          </c:dPt>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'Sanitation report'!$J$227:$K$227</c:f>
              <c:strCache>
                <c:ptCount val="2"/>
                <c:pt idx="0">
                  <c:v>Expenditure R'000</c:v>
                </c:pt>
                <c:pt idx="1">
                  <c:v>Revenue R'000</c:v>
                </c:pt>
              </c:strCache>
            </c:strRef>
          </c:cat>
          <c:val>
            <c:numRef>
              <c:f>'Sanitation report'!$J$228:$K$228</c:f>
              <c:numCache>
                <c:formatCode>General</c:formatCode>
                <c:ptCount val="2"/>
                <c:pt idx="0" formatCode="_-* #\ ##0_-;\-* #\ ##0_-;_-* &quot;-&quot;??_-;_-@_-">
                  <c:v>11.165854242475769</c:v>
                </c:pt>
              </c:numCache>
            </c:numRef>
          </c:val>
          <c:extLst>
            <c:ext xmlns:c16="http://schemas.microsoft.com/office/drawing/2014/chart" uri="{C3380CC4-5D6E-409C-BE32-E72D297353CC}">
              <c16:uniqueId val="{00000001-FBCB-4532-96E5-26BE612DE137}"/>
            </c:ext>
          </c:extLst>
        </c:ser>
        <c:ser>
          <c:idx val="1"/>
          <c:order val="1"/>
          <c:tx>
            <c:strRef>
              <c:f>'Sanitation report'!$I$229</c:f>
              <c:strCache>
                <c:ptCount val="1"/>
                <c:pt idx="0">
                  <c:v>Variable cost</c:v>
                </c:pt>
              </c:strCache>
            </c:strRef>
          </c:tx>
          <c:spPr>
            <a:solidFill>
              <a:schemeClr val="accent5">
                <a:lumMod val="60000"/>
                <a:lumOff val="40000"/>
              </a:schemeClr>
            </a:solidFill>
            <a:ln>
              <a:noFill/>
            </a:ln>
            <a:effectLst/>
          </c:spPr>
          <c:invertIfNegative val="0"/>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'Sanitation report'!$J$227:$K$227</c:f>
              <c:strCache>
                <c:ptCount val="2"/>
                <c:pt idx="0">
                  <c:v>Expenditure R'000</c:v>
                </c:pt>
                <c:pt idx="1">
                  <c:v>Revenue R'000</c:v>
                </c:pt>
              </c:strCache>
            </c:strRef>
          </c:cat>
          <c:val>
            <c:numRef>
              <c:f>'Sanitation report'!$J$229:$K$229</c:f>
              <c:numCache>
                <c:formatCode>General</c:formatCode>
                <c:ptCount val="2"/>
                <c:pt idx="0" formatCode="_-* #\ ##0_-;\-* #\ ##0_-;_-* &quot;-&quot;??_-;_-@_-">
                  <c:v>14.433789559725634</c:v>
                </c:pt>
              </c:numCache>
            </c:numRef>
          </c:val>
          <c:extLst>
            <c:ext xmlns:c16="http://schemas.microsoft.com/office/drawing/2014/chart" uri="{C3380CC4-5D6E-409C-BE32-E72D297353CC}">
              <c16:uniqueId val="{00000002-FBCB-4532-96E5-26BE612DE137}"/>
            </c:ext>
          </c:extLst>
        </c:ser>
        <c:ser>
          <c:idx val="2"/>
          <c:order val="2"/>
          <c:tx>
            <c:strRef>
              <c:f>'Sanitation report'!$I$230</c:f>
              <c:strCache>
                <c:ptCount val="1"/>
                <c:pt idx="0">
                  <c:v>Surplus</c:v>
                </c:pt>
              </c:strCache>
            </c:strRef>
          </c:tx>
          <c:spPr>
            <a:solidFill>
              <a:srgbClr val="A5A5A5"/>
            </a:solidFill>
            <a:ln w="25400">
              <a:noFill/>
            </a:ln>
          </c:spPr>
          <c:invertIfNegative val="0"/>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'Sanitation report'!$J$227:$K$227</c:f>
              <c:strCache>
                <c:ptCount val="2"/>
                <c:pt idx="0">
                  <c:v>Expenditure R'000</c:v>
                </c:pt>
                <c:pt idx="1">
                  <c:v>Revenue R'000</c:v>
                </c:pt>
              </c:strCache>
            </c:strRef>
          </c:cat>
          <c:val>
            <c:numRef>
              <c:f>'Sanitation report'!$J$230:$K$230</c:f>
              <c:numCache>
                <c:formatCode>General</c:formatCode>
                <c:ptCount val="2"/>
                <c:pt idx="0" formatCode="_-* #\ ##0_-;\-* #\ ##0_-;_-* &quot;-&quot;??_-;_-@_-">
                  <c:v>0</c:v>
                </c:pt>
              </c:numCache>
            </c:numRef>
          </c:val>
          <c:extLst>
            <c:ext xmlns:c16="http://schemas.microsoft.com/office/drawing/2014/chart" uri="{C3380CC4-5D6E-409C-BE32-E72D297353CC}">
              <c16:uniqueId val="{00000003-FBCB-4532-96E5-26BE612DE137}"/>
            </c:ext>
          </c:extLst>
        </c:ser>
        <c:ser>
          <c:idx val="4"/>
          <c:order val="3"/>
          <c:tx>
            <c:strRef>
              <c:f>'Sanitation report'!$I$231</c:f>
              <c:strCache>
                <c:ptCount val="1"/>
                <c:pt idx="0">
                  <c:v>Tariff revenue</c:v>
                </c:pt>
              </c:strCache>
            </c:strRef>
          </c:tx>
          <c:spPr>
            <a:solidFill>
              <a:srgbClr val="5B9BD5"/>
            </a:solidFill>
            <a:ln w="25400">
              <a:noFill/>
            </a:ln>
          </c:spPr>
          <c:invertIfNegative val="0"/>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'Sanitation report'!$J$227:$K$227</c:f>
              <c:strCache>
                <c:ptCount val="2"/>
                <c:pt idx="0">
                  <c:v>Expenditure R'000</c:v>
                </c:pt>
                <c:pt idx="1">
                  <c:v>Revenue R'000</c:v>
                </c:pt>
              </c:strCache>
            </c:strRef>
          </c:cat>
          <c:val>
            <c:numRef>
              <c:f>'Sanitation report'!$J$231:$K$231</c:f>
              <c:numCache>
                <c:formatCode>_-* #\ ##0_-;\-* #\ ##0_-;_-* "-"??_-;_-@_-</c:formatCode>
                <c:ptCount val="2"/>
                <c:pt idx="1">
                  <c:v>16.195643646417746</c:v>
                </c:pt>
              </c:numCache>
            </c:numRef>
          </c:val>
          <c:extLst>
            <c:ext xmlns:c16="http://schemas.microsoft.com/office/drawing/2014/chart" uri="{C3380CC4-5D6E-409C-BE32-E72D297353CC}">
              <c16:uniqueId val="{00000004-FBCB-4532-96E5-26BE612DE137}"/>
            </c:ext>
          </c:extLst>
        </c:ser>
        <c:ser>
          <c:idx val="5"/>
          <c:order val="4"/>
          <c:tx>
            <c:strRef>
              <c:f>'Sanitation report'!$I$232</c:f>
              <c:strCache>
                <c:ptCount val="1"/>
                <c:pt idx="0">
                  <c:v>External grants &amp; subsidies</c:v>
                </c:pt>
              </c:strCache>
            </c:strRef>
          </c:tx>
          <c:spPr>
            <a:solidFill>
              <a:srgbClr val="A5A5A5"/>
            </a:solidFill>
            <a:ln w="25400">
              <a:noFill/>
            </a:ln>
          </c:spPr>
          <c:invertIfNegative val="0"/>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'Sanitation report'!$J$227:$K$227</c:f>
              <c:strCache>
                <c:ptCount val="2"/>
                <c:pt idx="0">
                  <c:v>Expenditure R'000</c:v>
                </c:pt>
                <c:pt idx="1">
                  <c:v>Revenue R'000</c:v>
                </c:pt>
              </c:strCache>
            </c:strRef>
          </c:cat>
          <c:val>
            <c:numRef>
              <c:f>'Sanitation report'!$J$232:$K$232</c:f>
              <c:numCache>
                <c:formatCode>_-* #\ ##0_-;\-* #\ ##0_-;_-* "-"??_-;_-@_-</c:formatCode>
                <c:ptCount val="2"/>
                <c:pt idx="1">
                  <c:v>5.6335713365266482</c:v>
                </c:pt>
              </c:numCache>
            </c:numRef>
          </c:val>
          <c:extLst>
            <c:ext xmlns:c16="http://schemas.microsoft.com/office/drawing/2014/chart" uri="{C3380CC4-5D6E-409C-BE32-E72D297353CC}">
              <c16:uniqueId val="{00000005-FBCB-4532-96E5-26BE612DE137}"/>
            </c:ext>
          </c:extLst>
        </c:ser>
        <c:ser>
          <c:idx val="3"/>
          <c:order val="5"/>
          <c:tx>
            <c:strRef>
              <c:f>'Sanitation report'!$I$233</c:f>
              <c:strCache>
                <c:ptCount val="1"/>
                <c:pt idx="0">
                  <c:v>Other non-tariff revenue</c:v>
                </c:pt>
              </c:strCache>
            </c:strRef>
          </c:tx>
          <c:spPr>
            <a:solidFill>
              <a:schemeClr val="accent3">
                <a:lumMod val="40000"/>
                <a:lumOff val="60000"/>
              </a:schemeClr>
            </a:solidFill>
            <a:ln>
              <a:noFill/>
            </a:ln>
            <a:effectLst/>
          </c:spPr>
          <c:invertIfNegative val="0"/>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'Sanitation report'!$J$227:$K$227</c:f>
              <c:strCache>
                <c:ptCount val="2"/>
                <c:pt idx="0">
                  <c:v>Expenditure R'000</c:v>
                </c:pt>
                <c:pt idx="1">
                  <c:v>Revenue R'000</c:v>
                </c:pt>
              </c:strCache>
            </c:strRef>
          </c:cat>
          <c:val>
            <c:numRef>
              <c:f>'Sanitation report'!$J$233:$K$233</c:f>
              <c:numCache>
                <c:formatCode>_-* #\ ##0_-;\-* #\ ##0_-;_-* "-"??_-;_-@_-</c:formatCode>
                <c:ptCount val="2"/>
                <c:pt idx="1">
                  <c:v>3.7704288192570079</c:v>
                </c:pt>
              </c:numCache>
            </c:numRef>
          </c:val>
          <c:extLst>
            <c:ext xmlns:c16="http://schemas.microsoft.com/office/drawing/2014/chart" uri="{C3380CC4-5D6E-409C-BE32-E72D297353CC}">
              <c16:uniqueId val="{00000006-FBCB-4532-96E5-26BE612DE137}"/>
            </c:ext>
          </c:extLst>
        </c:ser>
        <c:ser>
          <c:idx val="6"/>
          <c:order val="6"/>
          <c:tx>
            <c:strRef>
              <c:f>'Sanitation report'!$I$234</c:f>
              <c:strCache>
                <c:ptCount val="1"/>
                <c:pt idx="0">
                  <c:v>Deficit</c:v>
                </c:pt>
              </c:strCache>
            </c:strRef>
          </c:tx>
          <c:spPr>
            <a:solidFill>
              <a:srgbClr val="ED7D31"/>
            </a:solidFill>
            <a:ln w="25400">
              <a:noFill/>
            </a:ln>
          </c:spPr>
          <c:invertIfNegative val="0"/>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'Sanitation report'!$J$227:$K$227</c:f>
              <c:strCache>
                <c:ptCount val="2"/>
                <c:pt idx="0">
                  <c:v>Expenditure R'000</c:v>
                </c:pt>
                <c:pt idx="1">
                  <c:v>Revenue R'000</c:v>
                </c:pt>
              </c:strCache>
            </c:strRef>
          </c:cat>
          <c:val>
            <c:numRef>
              <c:f>'Sanitation report'!$J$234:$K$234</c:f>
              <c:numCache>
                <c:formatCode>_-* #\ ##0_-;\-* #\ ##0_-;_-* "-"??_-;_-@_-</c:formatCode>
                <c:ptCount val="2"/>
                <c:pt idx="1">
                  <c:v>0</c:v>
                </c:pt>
              </c:numCache>
            </c:numRef>
          </c:val>
          <c:extLst>
            <c:ext xmlns:c16="http://schemas.microsoft.com/office/drawing/2014/chart" uri="{C3380CC4-5D6E-409C-BE32-E72D297353CC}">
              <c16:uniqueId val="{00000007-FBCB-4532-96E5-26BE612DE137}"/>
            </c:ext>
          </c:extLst>
        </c:ser>
        <c:dLbls>
          <c:showLegendKey val="0"/>
          <c:showVal val="0"/>
          <c:showCatName val="0"/>
          <c:showSerName val="0"/>
          <c:showPercent val="0"/>
          <c:showBubbleSize val="0"/>
        </c:dLbls>
        <c:gapWidth val="25"/>
        <c:overlap val="100"/>
        <c:axId val="1396791375"/>
        <c:axId val="1"/>
      </c:barChart>
      <c:catAx>
        <c:axId val="1396791375"/>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0" vert="horz"/>
          <a:lstStyle/>
          <a:p>
            <a:pPr>
              <a:defRPr sz="1100" b="0" i="0" u="none" strike="noStrike" baseline="0">
                <a:solidFill>
                  <a:srgbClr val="000000"/>
                </a:solidFill>
                <a:latin typeface="Calibri"/>
                <a:ea typeface="Calibri"/>
                <a:cs typeface="Calibri"/>
              </a:defRPr>
            </a:pPr>
            <a:endParaRPr lang="en-US"/>
          </a:p>
        </c:txPr>
        <c:crossAx val="1"/>
        <c:crosses val="autoZero"/>
        <c:auto val="1"/>
        <c:lblAlgn val="ctr"/>
        <c:lblOffset val="100"/>
        <c:noMultiLvlLbl val="0"/>
      </c:catAx>
      <c:valAx>
        <c:axId val="1"/>
        <c:scaling>
          <c:orientation val="minMax"/>
        </c:scaling>
        <c:delete val="1"/>
        <c:axPos val="l"/>
        <c:majorGridlines>
          <c:spPr>
            <a:ln w="9525" cap="flat" cmpd="sng" algn="ctr">
              <a:solidFill>
                <a:schemeClr val="tx1">
                  <a:lumMod val="15000"/>
                  <a:lumOff val="85000"/>
                </a:schemeClr>
              </a:solidFill>
              <a:round/>
            </a:ln>
            <a:effectLst/>
          </c:spPr>
        </c:majorGridlines>
        <c:numFmt formatCode="_-* #\ ##0_-;\-* #\ ##0_-;_-* &quot;-&quot;??_-;_-@_-" sourceLinked="1"/>
        <c:majorTickMark val="out"/>
        <c:minorTickMark val="none"/>
        <c:tickLblPos val="nextTo"/>
        <c:crossAx val="1396791375"/>
        <c:crosses val="autoZero"/>
        <c:crossBetween val="between"/>
      </c:valAx>
    </c:plotArea>
    <c:legend>
      <c:legendPos val="r"/>
      <c:layout>
        <c:manualLayout>
          <c:xMode val="edge"/>
          <c:yMode val="edge"/>
          <c:x val="0.63060873861355571"/>
          <c:y val="0.19876461094537096"/>
          <c:w val="0.34824665740311866"/>
          <c:h val="0.70809931367274737"/>
        </c:manualLayout>
      </c:layout>
      <c:overlay val="0"/>
      <c:spPr>
        <a:noFill/>
        <a:ln w="25400">
          <a:noFill/>
        </a:ln>
      </c:spPr>
      <c:txPr>
        <a:bodyPr/>
        <a:lstStyle/>
        <a:p>
          <a:pPr>
            <a:defRPr sz="850" b="0" i="0" u="none" strike="noStrike" baseline="0">
              <a:solidFill>
                <a:srgbClr val="000000"/>
              </a:solidFill>
              <a:latin typeface="Calibri"/>
              <a:ea typeface="Calibri"/>
              <a:cs typeface="Calibri"/>
            </a:defRPr>
          </a:pPr>
          <a:endParaRPr lang="en-US"/>
        </a:p>
      </c:txPr>
    </c:legend>
    <c:plotVisOnly val="1"/>
    <c:dispBlanksAs val="gap"/>
    <c:showDLblsOverMax val="0"/>
  </c:chart>
  <c:spPr>
    <a:solidFill>
      <a:schemeClr val="bg1"/>
    </a:solidFill>
    <a:ln w="9525" cap="flat" cmpd="sng" algn="ctr">
      <a:noFill/>
      <a:round/>
    </a:ln>
    <a:effectLst/>
  </c:spPr>
  <c:txPr>
    <a:bodyPr/>
    <a:lstStyle/>
    <a:p>
      <a:pPr>
        <a:defRPr sz="1100" b="0" i="0" u="none" strike="noStrike" baseline="0">
          <a:solidFill>
            <a:srgbClr val="000000"/>
          </a:solidFill>
          <a:latin typeface="Calibri"/>
          <a:ea typeface="Calibri"/>
          <a:cs typeface="Calibri"/>
        </a:defRPr>
      </a:pPr>
      <a:endParaRPr lang="en-US"/>
    </a:p>
  </c:txPr>
  <c:printSettings>
    <c:headerFooter/>
    <c:pageMargins b="0.75" l="0.7" r="0.7" t="0.75" header="0.3" footer="0.3"/>
    <c:pageSetup orientation="portrait"/>
  </c:printSettings>
</c:chartSpace>
</file>

<file path=xl/charts/chart10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ser>
          <c:idx val="0"/>
          <c:order val="0"/>
          <c:tx>
            <c:strRef>
              <c:f>'Sanitation report'!$K$249</c:f>
              <c:strCache>
                <c:ptCount val="1"/>
                <c:pt idx="0">
                  <c:v>Tariff </c:v>
                </c:pt>
              </c:strCache>
            </c:strRef>
          </c:tx>
          <c:spPr>
            <a:solidFill>
              <a:srgbClr val="4472C4"/>
            </a:solidFill>
            <a:ln w="25400">
              <a:noFill/>
            </a:ln>
          </c:spPr>
          <c:invertIfNegative val="0"/>
          <c:dLbls>
            <c:spPr>
              <a:noFill/>
              <a:ln w="25400">
                <a:noFill/>
              </a:ln>
            </c:spPr>
            <c:txPr>
              <a:bodyPr wrap="square" lIns="38100" tIns="19050" rIns="38100" bIns="19050" anchor="ctr">
                <a:spAutoFit/>
              </a:bodyPr>
              <a:lstStyle/>
              <a:p>
                <a:pPr>
                  <a:defRPr sz="900" b="0" i="0" u="none" strike="noStrike" baseline="0">
                    <a:solidFill>
                      <a:srgbClr val="333333"/>
                    </a:solidFill>
                    <a:latin typeface="Calibri"/>
                    <a:ea typeface="Calibri"/>
                    <a:cs typeface="Calibri"/>
                  </a:defRPr>
                </a:pPr>
                <a:endParaRPr lang="en-US"/>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numRef>
              <c:f>'Sanitation report'!$J$250:$J$259</c:f>
              <c:numCache>
                <c:formatCode>General</c:formatCode>
                <c:ptCount val="10"/>
                <c:pt idx="0">
                  <c:v>0</c:v>
                </c:pt>
                <c:pt idx="1">
                  <c:v>0</c:v>
                </c:pt>
                <c:pt idx="2">
                  <c:v>0</c:v>
                </c:pt>
                <c:pt idx="3">
                  <c:v>0</c:v>
                </c:pt>
                <c:pt idx="4">
                  <c:v>0</c:v>
                </c:pt>
                <c:pt idx="5">
                  <c:v>0</c:v>
                </c:pt>
                <c:pt idx="6">
                  <c:v>0</c:v>
                </c:pt>
                <c:pt idx="7">
                  <c:v>0</c:v>
                </c:pt>
                <c:pt idx="8">
                  <c:v>0</c:v>
                </c:pt>
                <c:pt idx="9">
                  <c:v>0</c:v>
                </c:pt>
              </c:numCache>
            </c:numRef>
          </c:cat>
          <c:val>
            <c:numRef>
              <c:f>'Sanitation report'!$K$250:$K$259</c:f>
              <c:numCache>
                <c:formatCode>_(* #,##0.00_);_(* \(#,##0.00\);_(* "-"??_);_(@_)</c:formatCode>
                <c:ptCount val="10"/>
                <c:pt idx="0">
                  <c:v>6.1318366490697764</c:v>
                </c:pt>
                <c:pt idx="1">
                  <c:v>0</c:v>
                </c:pt>
                <c:pt idx="2">
                  <c:v>0</c:v>
                </c:pt>
                <c:pt idx="3">
                  <c:v>0</c:v>
                </c:pt>
                <c:pt idx="4">
                  <c:v>0</c:v>
                </c:pt>
                <c:pt idx="5">
                  <c:v>0</c:v>
                </c:pt>
                <c:pt idx="6">
                  <c:v>0</c:v>
                </c:pt>
                <c:pt idx="7">
                  <c:v>0</c:v>
                </c:pt>
                <c:pt idx="8">
                  <c:v>0</c:v>
                </c:pt>
                <c:pt idx="9">
                  <c:v>0</c:v>
                </c:pt>
              </c:numCache>
            </c:numRef>
          </c:val>
          <c:extLst>
            <c:ext xmlns:c16="http://schemas.microsoft.com/office/drawing/2014/chart" uri="{C3380CC4-5D6E-409C-BE32-E72D297353CC}">
              <c16:uniqueId val="{00000000-A6BA-4F04-BA4A-1CF23C276D20}"/>
            </c:ext>
          </c:extLst>
        </c:ser>
        <c:dLbls>
          <c:showLegendKey val="0"/>
          <c:showVal val="0"/>
          <c:showCatName val="0"/>
          <c:showSerName val="0"/>
          <c:showPercent val="0"/>
          <c:showBubbleSize val="0"/>
        </c:dLbls>
        <c:gapWidth val="50"/>
        <c:axId val="1396776015"/>
        <c:axId val="1"/>
      </c:barChart>
      <c:lineChart>
        <c:grouping val="standard"/>
        <c:varyColors val="0"/>
        <c:ser>
          <c:idx val="1"/>
          <c:order val="1"/>
          <c:tx>
            <c:strRef>
              <c:f>'Sanitation report'!$L$249</c:f>
              <c:strCache>
                <c:ptCount val="1"/>
                <c:pt idx="0">
                  <c:v>Total cost per kl </c:v>
                </c:pt>
              </c:strCache>
            </c:strRef>
          </c:tx>
          <c:spPr>
            <a:ln w="28575" cap="rnd">
              <a:solidFill>
                <a:schemeClr val="accent2"/>
              </a:solidFill>
              <a:round/>
            </a:ln>
            <a:effectLst/>
          </c:spPr>
          <c:marker>
            <c:symbol val="none"/>
          </c:marker>
          <c:cat>
            <c:numRef>
              <c:f>'Sanitation report'!$J$250:$J$259</c:f>
              <c:numCache>
                <c:formatCode>General</c:formatCode>
                <c:ptCount val="10"/>
                <c:pt idx="0">
                  <c:v>0</c:v>
                </c:pt>
                <c:pt idx="1">
                  <c:v>0</c:v>
                </c:pt>
                <c:pt idx="2">
                  <c:v>0</c:v>
                </c:pt>
                <c:pt idx="3">
                  <c:v>0</c:v>
                </c:pt>
                <c:pt idx="4">
                  <c:v>0</c:v>
                </c:pt>
                <c:pt idx="5">
                  <c:v>0</c:v>
                </c:pt>
                <c:pt idx="6">
                  <c:v>0</c:v>
                </c:pt>
                <c:pt idx="7">
                  <c:v>0</c:v>
                </c:pt>
                <c:pt idx="8">
                  <c:v>0</c:v>
                </c:pt>
                <c:pt idx="9">
                  <c:v>0</c:v>
                </c:pt>
              </c:numCache>
            </c:numRef>
          </c:cat>
          <c:val>
            <c:numRef>
              <c:f>'Sanitation report'!$L$250:$L$259</c:f>
              <c:numCache>
                <c:formatCode>_(* #,##0.00_);_(* \(#,##0.00\);_(* "-"??_);_(@_)</c:formatCode>
                <c:ptCount val="10"/>
                <c:pt idx="0">
                  <c:v>9.6922874753539521</c:v>
                </c:pt>
                <c:pt idx="1">
                  <c:v>9.6922874753539521</c:v>
                </c:pt>
                <c:pt idx="2">
                  <c:v>9.6922874753539521</c:v>
                </c:pt>
                <c:pt idx="3">
                  <c:v>9.6922874753539521</c:v>
                </c:pt>
                <c:pt idx="4">
                  <c:v>9.6922874753539521</c:v>
                </c:pt>
                <c:pt idx="5">
                  <c:v>9.6922874753539521</c:v>
                </c:pt>
                <c:pt idx="6">
                  <c:v>9.6922874753539521</c:v>
                </c:pt>
                <c:pt idx="7">
                  <c:v>9.6922874753539521</c:v>
                </c:pt>
                <c:pt idx="8">
                  <c:v>9.6922874753539521</c:v>
                </c:pt>
                <c:pt idx="9">
                  <c:v>9.6922874753539521</c:v>
                </c:pt>
              </c:numCache>
            </c:numRef>
          </c:val>
          <c:smooth val="0"/>
          <c:extLst>
            <c:ext xmlns:c16="http://schemas.microsoft.com/office/drawing/2014/chart" uri="{C3380CC4-5D6E-409C-BE32-E72D297353CC}">
              <c16:uniqueId val="{00000001-A6BA-4F04-BA4A-1CF23C276D20}"/>
            </c:ext>
          </c:extLst>
        </c:ser>
        <c:ser>
          <c:idx val="2"/>
          <c:order val="2"/>
          <c:tx>
            <c:strRef>
              <c:f>'Sanitation report'!$M$249</c:f>
              <c:strCache>
                <c:ptCount val="1"/>
                <c:pt idx="0">
                  <c:v>Variable cost per kl treated</c:v>
                </c:pt>
              </c:strCache>
            </c:strRef>
          </c:tx>
          <c:spPr>
            <a:ln w="28575" cap="rnd">
              <a:solidFill>
                <a:schemeClr val="accent3"/>
              </a:solidFill>
              <a:round/>
            </a:ln>
            <a:effectLst/>
          </c:spPr>
          <c:marker>
            <c:symbol val="none"/>
          </c:marker>
          <c:cat>
            <c:numRef>
              <c:f>'Sanitation report'!$J$250:$J$259</c:f>
              <c:numCache>
                <c:formatCode>General</c:formatCode>
                <c:ptCount val="10"/>
                <c:pt idx="0">
                  <c:v>0</c:v>
                </c:pt>
                <c:pt idx="1">
                  <c:v>0</c:v>
                </c:pt>
                <c:pt idx="2">
                  <c:v>0</c:v>
                </c:pt>
                <c:pt idx="3">
                  <c:v>0</c:v>
                </c:pt>
                <c:pt idx="4">
                  <c:v>0</c:v>
                </c:pt>
                <c:pt idx="5">
                  <c:v>0</c:v>
                </c:pt>
                <c:pt idx="6">
                  <c:v>0</c:v>
                </c:pt>
                <c:pt idx="7">
                  <c:v>0</c:v>
                </c:pt>
                <c:pt idx="8">
                  <c:v>0</c:v>
                </c:pt>
                <c:pt idx="9">
                  <c:v>0</c:v>
                </c:pt>
              </c:numCache>
            </c:numRef>
          </c:cat>
          <c:val>
            <c:numRef>
              <c:f>'Sanitation report'!$M$250:$M$259</c:f>
              <c:numCache>
                <c:formatCode>_(* #,##0.00_);_(* \(#,##0.00\);_(* "-"??_);_(@_)</c:formatCode>
                <c:ptCount val="10"/>
                <c:pt idx="0">
                  <c:v>5.4647806372834458</c:v>
                </c:pt>
                <c:pt idx="1">
                  <c:v>5.4647806372834458</c:v>
                </c:pt>
                <c:pt idx="2">
                  <c:v>5.4647806372834458</c:v>
                </c:pt>
                <c:pt idx="3">
                  <c:v>5.4647806372834458</c:v>
                </c:pt>
                <c:pt idx="4">
                  <c:v>5.4647806372834458</c:v>
                </c:pt>
                <c:pt idx="5">
                  <c:v>5.4647806372834458</c:v>
                </c:pt>
                <c:pt idx="6">
                  <c:v>5.4647806372834458</c:v>
                </c:pt>
                <c:pt idx="7">
                  <c:v>5.4647806372834458</c:v>
                </c:pt>
                <c:pt idx="8">
                  <c:v>5.4647806372834458</c:v>
                </c:pt>
                <c:pt idx="9">
                  <c:v>5.4647806372834458</c:v>
                </c:pt>
              </c:numCache>
            </c:numRef>
          </c:val>
          <c:smooth val="0"/>
          <c:extLst>
            <c:ext xmlns:c16="http://schemas.microsoft.com/office/drawing/2014/chart" uri="{C3380CC4-5D6E-409C-BE32-E72D297353CC}">
              <c16:uniqueId val="{00000002-A6BA-4F04-BA4A-1CF23C276D20}"/>
            </c:ext>
          </c:extLst>
        </c:ser>
        <c:dLbls>
          <c:showLegendKey val="0"/>
          <c:showVal val="0"/>
          <c:showCatName val="0"/>
          <c:showSerName val="0"/>
          <c:showPercent val="0"/>
          <c:showBubbleSize val="0"/>
        </c:dLbls>
        <c:marker val="1"/>
        <c:smooth val="0"/>
        <c:axId val="1396776015"/>
        <c:axId val="1"/>
      </c:lineChart>
      <c:catAx>
        <c:axId val="1396776015"/>
        <c:scaling>
          <c:orientation val="minMax"/>
        </c:scaling>
        <c:delete val="0"/>
        <c:axPos val="b"/>
        <c:title>
          <c:tx>
            <c:rich>
              <a:bodyPr/>
              <a:lstStyle/>
              <a:p>
                <a:pPr>
                  <a:defRPr sz="1000" b="0" i="0" u="none" strike="noStrike" baseline="0">
                    <a:solidFill>
                      <a:srgbClr val="333333"/>
                    </a:solidFill>
                    <a:latin typeface="Calibri"/>
                    <a:ea typeface="Calibri"/>
                    <a:cs typeface="Calibri"/>
                  </a:defRPr>
                </a:pPr>
                <a:r>
                  <a:rPr lang="en-ZA"/>
                  <a:t>Block size</a:t>
                </a:r>
              </a:p>
            </c:rich>
          </c:tx>
          <c:overlay val="0"/>
          <c:spPr>
            <a:noFill/>
            <a:ln w="25400">
              <a:noFill/>
            </a:ln>
          </c:spPr>
        </c:title>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0" vert="horz"/>
          <a:lstStyle/>
          <a:p>
            <a:pPr>
              <a:defRPr sz="900" b="0" i="0" u="none" strike="noStrike" baseline="0">
                <a:solidFill>
                  <a:srgbClr val="333333"/>
                </a:solidFill>
                <a:latin typeface="Calibri"/>
                <a:ea typeface="Calibri"/>
                <a:cs typeface="Calibri"/>
              </a:defRPr>
            </a:pPr>
            <a:endParaRPr lang="en-US"/>
          </a:p>
        </c:txPr>
        <c:crossAx val="1"/>
        <c:crosses val="autoZero"/>
        <c:auto val="1"/>
        <c:lblAlgn val="ctr"/>
        <c:lblOffset val="100"/>
        <c:noMultiLvlLbl val="0"/>
      </c:catAx>
      <c:valAx>
        <c:axId val="1"/>
        <c:scaling>
          <c:orientation val="minMax"/>
        </c:scaling>
        <c:delete val="0"/>
        <c:axPos val="l"/>
        <c:majorGridlines>
          <c:spPr>
            <a:ln w="9525" cap="flat" cmpd="sng" algn="ctr">
              <a:solidFill>
                <a:schemeClr val="tx1">
                  <a:lumMod val="15000"/>
                  <a:lumOff val="85000"/>
                </a:schemeClr>
              </a:solidFill>
              <a:round/>
            </a:ln>
            <a:effectLst/>
          </c:spPr>
        </c:majorGridlines>
        <c:title>
          <c:tx>
            <c:rich>
              <a:bodyPr/>
              <a:lstStyle/>
              <a:p>
                <a:pPr>
                  <a:defRPr sz="1000" b="0" i="0" u="none" strike="noStrike" baseline="0">
                    <a:solidFill>
                      <a:srgbClr val="333333"/>
                    </a:solidFill>
                    <a:latin typeface="Calibri"/>
                    <a:ea typeface="Calibri"/>
                    <a:cs typeface="Calibri"/>
                  </a:defRPr>
                </a:pPr>
                <a:r>
                  <a:rPr lang="en-ZA"/>
                  <a:t>R/kl</a:t>
                </a:r>
              </a:p>
            </c:rich>
          </c:tx>
          <c:overlay val="0"/>
          <c:spPr>
            <a:noFill/>
            <a:ln w="25400">
              <a:noFill/>
            </a:ln>
          </c:spPr>
        </c:title>
        <c:numFmt formatCode="_(* #,##0.00_);_(* \(#,##0.00\);_(* &quot;-&quot;??_);_(@_)" sourceLinked="1"/>
        <c:majorTickMark val="none"/>
        <c:minorTickMark val="none"/>
        <c:tickLblPos val="nextTo"/>
        <c:spPr>
          <a:ln w="6350">
            <a:noFill/>
          </a:ln>
        </c:spPr>
        <c:txPr>
          <a:bodyPr rot="0" vert="horz"/>
          <a:lstStyle/>
          <a:p>
            <a:pPr>
              <a:defRPr sz="900" b="0" i="0" u="none" strike="noStrike" baseline="0">
                <a:solidFill>
                  <a:srgbClr val="333333"/>
                </a:solidFill>
                <a:latin typeface="Calibri"/>
                <a:ea typeface="Calibri"/>
                <a:cs typeface="Calibri"/>
              </a:defRPr>
            </a:pPr>
            <a:endParaRPr lang="en-US"/>
          </a:p>
        </c:txPr>
        <c:crossAx val="1396776015"/>
        <c:crosses val="autoZero"/>
        <c:crossBetween val="between"/>
      </c:valAx>
      <c:spPr>
        <a:noFill/>
        <a:ln w="25400">
          <a:noFill/>
        </a:ln>
      </c:spPr>
    </c:plotArea>
    <c:legend>
      <c:legendPos val="r"/>
      <c:layout>
        <c:manualLayout>
          <c:xMode val="edge"/>
          <c:yMode val="edge"/>
          <c:x val="0.12362011021685021"/>
          <c:y val="0.92626106162959132"/>
          <c:w val="0.74541089190419463"/>
          <c:h val="6.0111297563214428E-2"/>
        </c:manualLayout>
      </c:layout>
      <c:overlay val="0"/>
      <c:spPr>
        <a:noFill/>
        <a:ln w="25400">
          <a:noFill/>
        </a:ln>
      </c:spPr>
      <c:txPr>
        <a:bodyPr/>
        <a:lstStyle/>
        <a:p>
          <a:pPr>
            <a:defRPr sz="690" b="0" i="0" u="none" strike="noStrike" baseline="0">
              <a:solidFill>
                <a:srgbClr val="333333"/>
              </a:solidFill>
              <a:latin typeface="Calibri"/>
              <a:ea typeface="Calibri"/>
              <a:cs typeface="Calibri"/>
            </a:defRPr>
          </a:pPr>
          <a:endParaRPr lang="en-US"/>
        </a:p>
      </c:txPr>
    </c:legend>
    <c:plotVisOnly val="1"/>
    <c:dispBlanksAs val="gap"/>
    <c:showDLblsOverMax val="0"/>
  </c:chart>
  <c:spPr>
    <a:solidFill>
      <a:schemeClr val="bg1"/>
    </a:solidFill>
    <a:ln w="9525" cap="flat" cmpd="sng" algn="ctr">
      <a:noFill/>
      <a:round/>
    </a:ln>
    <a:effectLst/>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charts/chart11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2.3871527777777776E-2"/>
          <c:y val="4.7786414907172239E-2"/>
          <c:w val="0.57559123468941387"/>
          <c:h val="0.83529592857692603"/>
        </c:manualLayout>
      </c:layout>
      <c:barChart>
        <c:barDir val="col"/>
        <c:grouping val="stacked"/>
        <c:varyColors val="0"/>
        <c:ser>
          <c:idx val="0"/>
          <c:order val="0"/>
          <c:tx>
            <c:strRef>
              <c:f>'Sanitation report'!$I$291</c:f>
              <c:strCache>
                <c:ptCount val="1"/>
                <c:pt idx="0">
                  <c:v>Fixed cost</c:v>
                </c:pt>
              </c:strCache>
            </c:strRef>
          </c:tx>
          <c:spPr>
            <a:solidFill>
              <a:srgbClr val="4472C4"/>
            </a:solidFill>
            <a:ln w="25400">
              <a:noFill/>
            </a:ln>
          </c:spPr>
          <c:invertIfNegative val="0"/>
          <c:dPt>
            <c:idx val="0"/>
            <c:invertIfNegative val="0"/>
            <c:bubble3D val="0"/>
            <c:spPr>
              <a:solidFill>
                <a:srgbClr val="5B9BD5"/>
              </a:solidFill>
              <a:ln w="25400">
                <a:noFill/>
              </a:ln>
            </c:spPr>
            <c:extLst>
              <c:ext xmlns:c16="http://schemas.microsoft.com/office/drawing/2014/chart" uri="{C3380CC4-5D6E-409C-BE32-E72D297353CC}">
                <c16:uniqueId val="{00000000-3CF0-4A51-9356-B46E53980A9F}"/>
              </c:ext>
            </c:extLst>
          </c:dPt>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'Sanitation report'!$J$290:$K$290</c:f>
              <c:strCache>
                <c:ptCount val="2"/>
                <c:pt idx="0">
                  <c:v>Expenditure R'000</c:v>
                </c:pt>
                <c:pt idx="1">
                  <c:v>Revenue R'000</c:v>
                </c:pt>
              </c:strCache>
            </c:strRef>
          </c:cat>
          <c:val>
            <c:numRef>
              <c:f>'Sanitation report'!$J$291:$K$291</c:f>
              <c:numCache>
                <c:formatCode>General</c:formatCode>
                <c:ptCount val="2"/>
                <c:pt idx="0" formatCode="_-* #\ ##0_-;\-* #\ ##0_-;_-* &quot;-&quot;??_-;_-@_-">
                  <c:v>219.59513343535681</c:v>
                </c:pt>
              </c:numCache>
            </c:numRef>
          </c:val>
          <c:extLst>
            <c:ext xmlns:c16="http://schemas.microsoft.com/office/drawing/2014/chart" uri="{C3380CC4-5D6E-409C-BE32-E72D297353CC}">
              <c16:uniqueId val="{00000001-3CF0-4A51-9356-B46E53980A9F}"/>
            </c:ext>
          </c:extLst>
        </c:ser>
        <c:ser>
          <c:idx val="1"/>
          <c:order val="1"/>
          <c:tx>
            <c:strRef>
              <c:f>'Sanitation report'!$I$292</c:f>
              <c:strCache>
                <c:ptCount val="1"/>
                <c:pt idx="0">
                  <c:v>Variable cost</c:v>
                </c:pt>
              </c:strCache>
            </c:strRef>
          </c:tx>
          <c:spPr>
            <a:solidFill>
              <a:schemeClr val="accent5">
                <a:lumMod val="60000"/>
                <a:lumOff val="40000"/>
              </a:schemeClr>
            </a:solidFill>
            <a:ln>
              <a:noFill/>
            </a:ln>
            <a:effectLst/>
          </c:spPr>
          <c:invertIfNegative val="0"/>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'Sanitation report'!$J$290:$K$290</c:f>
              <c:strCache>
                <c:ptCount val="2"/>
                <c:pt idx="0">
                  <c:v>Expenditure R'000</c:v>
                </c:pt>
                <c:pt idx="1">
                  <c:v>Revenue R'000</c:v>
                </c:pt>
              </c:strCache>
            </c:strRef>
          </c:cat>
          <c:val>
            <c:numRef>
              <c:f>'Sanitation report'!$J$292:$K$292</c:f>
              <c:numCache>
                <c:formatCode>General</c:formatCode>
                <c:ptCount val="2"/>
                <c:pt idx="0" formatCode="_-* #\ ##0_-;\-* #\ ##0_-;_-* &quot;-&quot;??_-;_-@_-">
                  <c:v>335.66221556422374</c:v>
                </c:pt>
              </c:numCache>
            </c:numRef>
          </c:val>
          <c:extLst>
            <c:ext xmlns:c16="http://schemas.microsoft.com/office/drawing/2014/chart" uri="{C3380CC4-5D6E-409C-BE32-E72D297353CC}">
              <c16:uniqueId val="{00000002-3CF0-4A51-9356-B46E53980A9F}"/>
            </c:ext>
          </c:extLst>
        </c:ser>
        <c:ser>
          <c:idx val="2"/>
          <c:order val="2"/>
          <c:tx>
            <c:strRef>
              <c:f>'Sanitation report'!$I$293</c:f>
              <c:strCache>
                <c:ptCount val="1"/>
                <c:pt idx="0">
                  <c:v>Surplus</c:v>
                </c:pt>
              </c:strCache>
            </c:strRef>
          </c:tx>
          <c:spPr>
            <a:solidFill>
              <a:srgbClr val="A5A5A5"/>
            </a:solidFill>
            <a:ln w="25400">
              <a:noFill/>
            </a:ln>
          </c:spPr>
          <c:invertIfNegative val="0"/>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'Sanitation report'!$J$290:$K$290</c:f>
              <c:strCache>
                <c:ptCount val="2"/>
                <c:pt idx="0">
                  <c:v>Expenditure R'000</c:v>
                </c:pt>
                <c:pt idx="1">
                  <c:v>Revenue R'000</c:v>
                </c:pt>
              </c:strCache>
            </c:strRef>
          </c:cat>
          <c:val>
            <c:numRef>
              <c:f>'Sanitation report'!$J$293:$K$293</c:f>
              <c:numCache>
                <c:formatCode>General</c:formatCode>
                <c:ptCount val="2"/>
                <c:pt idx="0" formatCode="_-* #\ ##0_-;\-* #\ ##0_-;_-* &quot;-&quot;??_-;_-@_-">
                  <c:v>0</c:v>
                </c:pt>
              </c:numCache>
            </c:numRef>
          </c:val>
          <c:extLst>
            <c:ext xmlns:c16="http://schemas.microsoft.com/office/drawing/2014/chart" uri="{C3380CC4-5D6E-409C-BE32-E72D297353CC}">
              <c16:uniqueId val="{00000003-3CF0-4A51-9356-B46E53980A9F}"/>
            </c:ext>
          </c:extLst>
        </c:ser>
        <c:ser>
          <c:idx val="4"/>
          <c:order val="3"/>
          <c:tx>
            <c:strRef>
              <c:f>'Sanitation report'!$I$294</c:f>
              <c:strCache>
                <c:ptCount val="1"/>
                <c:pt idx="0">
                  <c:v>Tariff revenue</c:v>
                </c:pt>
              </c:strCache>
            </c:strRef>
          </c:tx>
          <c:spPr>
            <a:solidFill>
              <a:srgbClr val="5B9BD5"/>
            </a:solidFill>
            <a:ln w="25400">
              <a:noFill/>
            </a:ln>
          </c:spPr>
          <c:invertIfNegative val="0"/>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'Sanitation report'!$J$290:$K$290</c:f>
              <c:strCache>
                <c:ptCount val="2"/>
                <c:pt idx="0">
                  <c:v>Expenditure R'000</c:v>
                </c:pt>
                <c:pt idx="1">
                  <c:v>Revenue R'000</c:v>
                </c:pt>
              </c:strCache>
            </c:strRef>
          </c:cat>
          <c:val>
            <c:numRef>
              <c:f>'Sanitation report'!$J$294:$K$294</c:f>
              <c:numCache>
                <c:formatCode>_-* #\ ##0_-;\-* #\ ##0_-;_-* "-"??_-;_-@_-</c:formatCode>
                <c:ptCount val="2"/>
                <c:pt idx="1">
                  <c:v>473.4765895894738</c:v>
                </c:pt>
              </c:numCache>
            </c:numRef>
          </c:val>
          <c:extLst>
            <c:ext xmlns:c16="http://schemas.microsoft.com/office/drawing/2014/chart" uri="{C3380CC4-5D6E-409C-BE32-E72D297353CC}">
              <c16:uniqueId val="{00000004-3CF0-4A51-9356-B46E53980A9F}"/>
            </c:ext>
          </c:extLst>
        </c:ser>
        <c:ser>
          <c:idx val="5"/>
          <c:order val="4"/>
          <c:tx>
            <c:strRef>
              <c:f>'Sanitation report'!$I$295</c:f>
              <c:strCache>
                <c:ptCount val="1"/>
                <c:pt idx="0">
                  <c:v>External grants &amp; subsidies</c:v>
                </c:pt>
              </c:strCache>
            </c:strRef>
          </c:tx>
          <c:spPr>
            <a:solidFill>
              <a:srgbClr val="A5A5A5"/>
            </a:solidFill>
            <a:ln w="25400">
              <a:noFill/>
            </a:ln>
          </c:spPr>
          <c:invertIfNegative val="0"/>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'Sanitation report'!$J$290:$K$290</c:f>
              <c:strCache>
                <c:ptCount val="2"/>
                <c:pt idx="0">
                  <c:v>Expenditure R'000</c:v>
                </c:pt>
                <c:pt idx="1">
                  <c:v>Revenue R'000</c:v>
                </c:pt>
              </c:strCache>
            </c:strRef>
          </c:cat>
          <c:val>
            <c:numRef>
              <c:f>'Sanitation report'!$J$295:$K$295</c:f>
              <c:numCache>
                <c:formatCode>_-* #\ ##0_-;\-* #\ ##0_-;_-* "-"??_-;_-@_-</c:formatCode>
                <c:ptCount val="2"/>
                <c:pt idx="1">
                  <c:v>0</c:v>
                </c:pt>
              </c:numCache>
            </c:numRef>
          </c:val>
          <c:extLst>
            <c:ext xmlns:c16="http://schemas.microsoft.com/office/drawing/2014/chart" uri="{C3380CC4-5D6E-409C-BE32-E72D297353CC}">
              <c16:uniqueId val="{00000005-3CF0-4A51-9356-B46E53980A9F}"/>
            </c:ext>
          </c:extLst>
        </c:ser>
        <c:ser>
          <c:idx val="3"/>
          <c:order val="5"/>
          <c:tx>
            <c:strRef>
              <c:f>'Sanitation report'!$I$296</c:f>
              <c:strCache>
                <c:ptCount val="1"/>
                <c:pt idx="0">
                  <c:v>Other non-tariff revenue</c:v>
                </c:pt>
              </c:strCache>
            </c:strRef>
          </c:tx>
          <c:spPr>
            <a:solidFill>
              <a:schemeClr val="accent3">
                <a:lumMod val="40000"/>
                <a:lumOff val="60000"/>
              </a:schemeClr>
            </a:solidFill>
            <a:ln>
              <a:noFill/>
            </a:ln>
            <a:effectLst/>
          </c:spPr>
          <c:invertIfNegative val="0"/>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'Sanitation report'!$J$290:$K$290</c:f>
              <c:strCache>
                <c:ptCount val="2"/>
                <c:pt idx="0">
                  <c:v>Expenditure R'000</c:v>
                </c:pt>
                <c:pt idx="1">
                  <c:v>Revenue R'000</c:v>
                </c:pt>
              </c:strCache>
            </c:strRef>
          </c:cat>
          <c:val>
            <c:numRef>
              <c:f>'Sanitation report'!$J$296:$K$296</c:f>
              <c:numCache>
                <c:formatCode>_-* #\ ##0_-;\-* #\ ##0_-;_-* "-"??_-;_-@_-</c:formatCode>
                <c:ptCount val="2"/>
                <c:pt idx="1">
                  <c:v>81.78075941010681</c:v>
                </c:pt>
              </c:numCache>
            </c:numRef>
          </c:val>
          <c:extLst>
            <c:ext xmlns:c16="http://schemas.microsoft.com/office/drawing/2014/chart" uri="{C3380CC4-5D6E-409C-BE32-E72D297353CC}">
              <c16:uniqueId val="{00000006-3CF0-4A51-9356-B46E53980A9F}"/>
            </c:ext>
          </c:extLst>
        </c:ser>
        <c:ser>
          <c:idx val="6"/>
          <c:order val="6"/>
          <c:tx>
            <c:strRef>
              <c:f>'Sanitation report'!$I$297</c:f>
              <c:strCache>
                <c:ptCount val="1"/>
                <c:pt idx="0">
                  <c:v>Deficit</c:v>
                </c:pt>
              </c:strCache>
            </c:strRef>
          </c:tx>
          <c:spPr>
            <a:solidFill>
              <a:srgbClr val="ED7D31"/>
            </a:solidFill>
            <a:ln w="25400">
              <a:noFill/>
            </a:ln>
          </c:spPr>
          <c:invertIfNegative val="0"/>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'Sanitation report'!$J$290:$K$290</c:f>
              <c:strCache>
                <c:ptCount val="2"/>
                <c:pt idx="0">
                  <c:v>Expenditure R'000</c:v>
                </c:pt>
                <c:pt idx="1">
                  <c:v>Revenue R'000</c:v>
                </c:pt>
              </c:strCache>
            </c:strRef>
          </c:cat>
          <c:val>
            <c:numRef>
              <c:f>'Sanitation report'!$J$297:$K$297</c:f>
              <c:numCache>
                <c:formatCode>_-* #\ ##0_-;\-* #\ ##0_-;_-* "-"??_-;_-@_-</c:formatCode>
                <c:ptCount val="2"/>
                <c:pt idx="1">
                  <c:v>0</c:v>
                </c:pt>
              </c:numCache>
            </c:numRef>
          </c:val>
          <c:extLst>
            <c:ext xmlns:c16="http://schemas.microsoft.com/office/drawing/2014/chart" uri="{C3380CC4-5D6E-409C-BE32-E72D297353CC}">
              <c16:uniqueId val="{00000007-3CF0-4A51-9356-B46E53980A9F}"/>
            </c:ext>
          </c:extLst>
        </c:ser>
        <c:dLbls>
          <c:showLegendKey val="0"/>
          <c:showVal val="0"/>
          <c:showCatName val="0"/>
          <c:showSerName val="0"/>
          <c:showPercent val="0"/>
          <c:showBubbleSize val="0"/>
        </c:dLbls>
        <c:gapWidth val="25"/>
        <c:overlap val="100"/>
        <c:axId val="1396824015"/>
        <c:axId val="1"/>
      </c:barChart>
      <c:catAx>
        <c:axId val="1396824015"/>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0" vert="horz"/>
          <a:lstStyle/>
          <a:p>
            <a:pPr>
              <a:defRPr sz="1100" b="0" i="0" u="none" strike="noStrike" baseline="0">
                <a:solidFill>
                  <a:srgbClr val="000000"/>
                </a:solidFill>
                <a:latin typeface="Calibri"/>
                <a:ea typeface="Calibri"/>
                <a:cs typeface="Calibri"/>
              </a:defRPr>
            </a:pPr>
            <a:endParaRPr lang="en-US"/>
          </a:p>
        </c:txPr>
        <c:crossAx val="1"/>
        <c:crosses val="autoZero"/>
        <c:auto val="1"/>
        <c:lblAlgn val="ctr"/>
        <c:lblOffset val="100"/>
        <c:noMultiLvlLbl val="0"/>
      </c:catAx>
      <c:valAx>
        <c:axId val="1"/>
        <c:scaling>
          <c:orientation val="minMax"/>
        </c:scaling>
        <c:delete val="1"/>
        <c:axPos val="l"/>
        <c:majorGridlines>
          <c:spPr>
            <a:ln w="9525" cap="flat" cmpd="sng" algn="ctr">
              <a:solidFill>
                <a:schemeClr val="tx1">
                  <a:lumMod val="15000"/>
                  <a:lumOff val="85000"/>
                </a:schemeClr>
              </a:solidFill>
              <a:round/>
            </a:ln>
            <a:effectLst/>
          </c:spPr>
        </c:majorGridlines>
        <c:numFmt formatCode="_-* #\ ##0_-;\-* #\ ##0_-;_-* &quot;-&quot;??_-;_-@_-" sourceLinked="1"/>
        <c:majorTickMark val="out"/>
        <c:minorTickMark val="none"/>
        <c:tickLblPos val="nextTo"/>
        <c:crossAx val="1396824015"/>
        <c:crosses val="autoZero"/>
        <c:crossBetween val="between"/>
      </c:valAx>
    </c:plotArea>
    <c:legend>
      <c:legendPos val="r"/>
      <c:layout>
        <c:manualLayout>
          <c:xMode val="edge"/>
          <c:yMode val="edge"/>
          <c:x val="0.63060873861355571"/>
          <c:y val="0.17846767615586512"/>
          <c:w val="0.34824665740311866"/>
          <c:h val="0.70771685846961441"/>
        </c:manualLayout>
      </c:layout>
      <c:overlay val="0"/>
      <c:spPr>
        <a:noFill/>
        <a:ln w="25400">
          <a:noFill/>
        </a:ln>
      </c:spPr>
      <c:txPr>
        <a:bodyPr/>
        <a:lstStyle/>
        <a:p>
          <a:pPr>
            <a:defRPr sz="850" b="0" i="0" u="none" strike="noStrike" baseline="0">
              <a:solidFill>
                <a:srgbClr val="000000"/>
              </a:solidFill>
              <a:latin typeface="Calibri"/>
              <a:ea typeface="Calibri"/>
              <a:cs typeface="Calibri"/>
            </a:defRPr>
          </a:pPr>
          <a:endParaRPr lang="en-US"/>
        </a:p>
      </c:txPr>
    </c:legend>
    <c:plotVisOnly val="1"/>
    <c:dispBlanksAs val="gap"/>
    <c:showDLblsOverMax val="0"/>
  </c:chart>
  <c:spPr>
    <a:solidFill>
      <a:schemeClr val="bg1"/>
    </a:solidFill>
    <a:ln w="9525" cap="flat" cmpd="sng" algn="ctr">
      <a:noFill/>
      <a:round/>
    </a:ln>
    <a:effectLst/>
  </c:spPr>
  <c:txPr>
    <a:bodyPr/>
    <a:lstStyle/>
    <a:p>
      <a:pPr>
        <a:defRPr sz="1100" b="0" i="0" u="none" strike="noStrike" baseline="0">
          <a:solidFill>
            <a:srgbClr val="000000"/>
          </a:solidFill>
          <a:latin typeface="Calibri"/>
          <a:ea typeface="Calibri"/>
          <a:cs typeface="Calibri"/>
        </a:defRPr>
      </a:pPr>
      <a:endParaRPr lang="en-US"/>
    </a:p>
  </c:txPr>
  <c:printSettings>
    <c:headerFooter/>
    <c:pageMargins b="0.75" l="0.7" r="0.7" t="0.75" header="0.3" footer="0.3"/>
    <c:pageSetup orientation="portrait"/>
  </c:printSettings>
</c:chartSpace>
</file>

<file path=xl/charts/chart11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ser>
          <c:idx val="0"/>
          <c:order val="0"/>
          <c:tx>
            <c:strRef>
              <c:f>'Sanitation report'!$K$315</c:f>
              <c:strCache>
                <c:ptCount val="1"/>
                <c:pt idx="0">
                  <c:v>Tariff </c:v>
                </c:pt>
              </c:strCache>
            </c:strRef>
          </c:tx>
          <c:spPr>
            <a:solidFill>
              <a:srgbClr val="4472C4"/>
            </a:solidFill>
            <a:ln w="25400">
              <a:noFill/>
            </a:ln>
          </c:spPr>
          <c:invertIfNegative val="0"/>
          <c:dLbls>
            <c:spPr>
              <a:noFill/>
              <a:ln w="25400">
                <a:noFill/>
              </a:ln>
            </c:spPr>
            <c:txPr>
              <a:bodyPr wrap="square" lIns="38100" tIns="19050" rIns="38100" bIns="19050" anchor="ctr">
                <a:spAutoFit/>
              </a:bodyPr>
              <a:lstStyle/>
              <a:p>
                <a:pPr>
                  <a:defRPr sz="900" b="0" i="0" u="none" strike="noStrike" baseline="0">
                    <a:solidFill>
                      <a:srgbClr val="333333"/>
                    </a:solidFill>
                    <a:latin typeface="Calibri"/>
                    <a:ea typeface="Calibri"/>
                    <a:cs typeface="Calibri"/>
                  </a:defRPr>
                </a:pPr>
                <a:endParaRPr lang="en-US"/>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numRef>
              <c:f>'Sanitation report'!$J$316:$J$325</c:f>
              <c:numCache>
                <c:formatCode>General</c:formatCode>
                <c:ptCount val="10"/>
                <c:pt idx="0">
                  <c:v>0</c:v>
                </c:pt>
                <c:pt idx="1">
                  <c:v>0</c:v>
                </c:pt>
                <c:pt idx="2">
                  <c:v>0</c:v>
                </c:pt>
                <c:pt idx="3">
                  <c:v>0</c:v>
                </c:pt>
                <c:pt idx="4">
                  <c:v>0</c:v>
                </c:pt>
                <c:pt idx="5">
                  <c:v>0</c:v>
                </c:pt>
                <c:pt idx="6">
                  <c:v>0</c:v>
                </c:pt>
                <c:pt idx="7">
                  <c:v>0</c:v>
                </c:pt>
                <c:pt idx="8">
                  <c:v>0</c:v>
                </c:pt>
                <c:pt idx="9">
                  <c:v>0</c:v>
                </c:pt>
              </c:numCache>
            </c:numRef>
          </c:cat>
          <c:val>
            <c:numRef>
              <c:f>'Sanitation report'!$K$316:$K$325</c:f>
              <c:numCache>
                <c:formatCode>_(* #,##0.00_);_(* \(#,##0.00\);_(* "-"??_);_(@_)</c:formatCode>
                <c:ptCount val="10"/>
                <c:pt idx="0">
                  <c:v>7.7084806660357916</c:v>
                </c:pt>
                <c:pt idx="1">
                  <c:v>0</c:v>
                </c:pt>
                <c:pt idx="2">
                  <c:v>0</c:v>
                </c:pt>
                <c:pt idx="3">
                  <c:v>0</c:v>
                </c:pt>
                <c:pt idx="4">
                  <c:v>0</c:v>
                </c:pt>
                <c:pt idx="5">
                  <c:v>0</c:v>
                </c:pt>
                <c:pt idx="6">
                  <c:v>0</c:v>
                </c:pt>
                <c:pt idx="7">
                  <c:v>0</c:v>
                </c:pt>
                <c:pt idx="8">
                  <c:v>0</c:v>
                </c:pt>
                <c:pt idx="9">
                  <c:v>0</c:v>
                </c:pt>
              </c:numCache>
            </c:numRef>
          </c:val>
          <c:extLst>
            <c:ext xmlns:c16="http://schemas.microsoft.com/office/drawing/2014/chart" uri="{C3380CC4-5D6E-409C-BE32-E72D297353CC}">
              <c16:uniqueId val="{00000000-05AE-472C-B72C-2A0FCF84D979}"/>
            </c:ext>
          </c:extLst>
        </c:ser>
        <c:dLbls>
          <c:showLegendKey val="0"/>
          <c:showVal val="0"/>
          <c:showCatName val="0"/>
          <c:showSerName val="0"/>
          <c:showPercent val="0"/>
          <c:showBubbleSize val="0"/>
        </c:dLbls>
        <c:gapWidth val="50"/>
        <c:axId val="1396826895"/>
        <c:axId val="1"/>
      </c:barChart>
      <c:lineChart>
        <c:grouping val="standard"/>
        <c:varyColors val="0"/>
        <c:ser>
          <c:idx val="1"/>
          <c:order val="1"/>
          <c:tx>
            <c:strRef>
              <c:f>'Sanitation report'!$L$315</c:f>
              <c:strCache>
                <c:ptCount val="1"/>
                <c:pt idx="0">
                  <c:v>Total cost per kl </c:v>
                </c:pt>
              </c:strCache>
            </c:strRef>
          </c:tx>
          <c:spPr>
            <a:ln w="28575" cap="rnd">
              <a:solidFill>
                <a:schemeClr val="accent2"/>
              </a:solidFill>
              <a:round/>
            </a:ln>
            <a:effectLst/>
          </c:spPr>
          <c:marker>
            <c:symbol val="none"/>
          </c:marker>
          <c:cat>
            <c:numRef>
              <c:f>'Sanitation report'!$J$316:$J$325</c:f>
              <c:numCache>
                <c:formatCode>General</c:formatCode>
                <c:ptCount val="10"/>
                <c:pt idx="0">
                  <c:v>0</c:v>
                </c:pt>
                <c:pt idx="1">
                  <c:v>0</c:v>
                </c:pt>
                <c:pt idx="2">
                  <c:v>0</c:v>
                </c:pt>
                <c:pt idx="3">
                  <c:v>0</c:v>
                </c:pt>
                <c:pt idx="4">
                  <c:v>0</c:v>
                </c:pt>
                <c:pt idx="5">
                  <c:v>0</c:v>
                </c:pt>
                <c:pt idx="6">
                  <c:v>0</c:v>
                </c:pt>
                <c:pt idx="7">
                  <c:v>0</c:v>
                </c:pt>
                <c:pt idx="8">
                  <c:v>0</c:v>
                </c:pt>
                <c:pt idx="9">
                  <c:v>0</c:v>
                </c:pt>
              </c:numCache>
            </c:numRef>
          </c:cat>
          <c:val>
            <c:numRef>
              <c:f>'Sanitation report'!$L$316:$L$325</c:f>
              <c:numCache>
                <c:formatCode>_(* #,##0.00_);_(* \(#,##0.00\);_(* "-"??_);_(@_)</c:formatCode>
                <c:ptCount val="10"/>
                <c:pt idx="0">
                  <c:v>9.0399201006932124</c:v>
                </c:pt>
                <c:pt idx="1">
                  <c:v>9.0399201006932124</c:v>
                </c:pt>
                <c:pt idx="2">
                  <c:v>9.0399201006932124</c:v>
                </c:pt>
                <c:pt idx="3">
                  <c:v>9.0399201006932124</c:v>
                </c:pt>
                <c:pt idx="4">
                  <c:v>9.0399201006932124</c:v>
                </c:pt>
                <c:pt idx="5">
                  <c:v>9.0399201006932124</c:v>
                </c:pt>
                <c:pt idx="6">
                  <c:v>9.0399201006932124</c:v>
                </c:pt>
                <c:pt idx="7">
                  <c:v>9.0399201006932124</c:v>
                </c:pt>
                <c:pt idx="8">
                  <c:v>9.0399201006932124</c:v>
                </c:pt>
                <c:pt idx="9">
                  <c:v>9.0399201006932124</c:v>
                </c:pt>
              </c:numCache>
            </c:numRef>
          </c:val>
          <c:smooth val="0"/>
          <c:extLst>
            <c:ext xmlns:c16="http://schemas.microsoft.com/office/drawing/2014/chart" uri="{C3380CC4-5D6E-409C-BE32-E72D297353CC}">
              <c16:uniqueId val="{00000001-05AE-472C-B72C-2A0FCF84D979}"/>
            </c:ext>
          </c:extLst>
        </c:ser>
        <c:ser>
          <c:idx val="2"/>
          <c:order val="2"/>
          <c:tx>
            <c:strRef>
              <c:f>'Sanitation report'!$M$315</c:f>
              <c:strCache>
                <c:ptCount val="1"/>
                <c:pt idx="0">
                  <c:v>Variable cost per kl treated</c:v>
                </c:pt>
              </c:strCache>
            </c:strRef>
          </c:tx>
          <c:spPr>
            <a:ln w="28575" cap="rnd">
              <a:solidFill>
                <a:schemeClr val="accent3"/>
              </a:solidFill>
              <a:round/>
            </a:ln>
            <a:effectLst/>
          </c:spPr>
          <c:marker>
            <c:symbol val="none"/>
          </c:marker>
          <c:cat>
            <c:numRef>
              <c:f>'Sanitation report'!$J$316:$J$325</c:f>
              <c:numCache>
                <c:formatCode>General</c:formatCode>
                <c:ptCount val="10"/>
                <c:pt idx="0">
                  <c:v>0</c:v>
                </c:pt>
                <c:pt idx="1">
                  <c:v>0</c:v>
                </c:pt>
                <c:pt idx="2">
                  <c:v>0</c:v>
                </c:pt>
                <c:pt idx="3">
                  <c:v>0</c:v>
                </c:pt>
                <c:pt idx="4">
                  <c:v>0</c:v>
                </c:pt>
                <c:pt idx="5">
                  <c:v>0</c:v>
                </c:pt>
                <c:pt idx="6">
                  <c:v>0</c:v>
                </c:pt>
                <c:pt idx="7">
                  <c:v>0</c:v>
                </c:pt>
                <c:pt idx="8">
                  <c:v>0</c:v>
                </c:pt>
                <c:pt idx="9">
                  <c:v>0</c:v>
                </c:pt>
              </c:numCache>
            </c:numRef>
          </c:cat>
          <c:val>
            <c:numRef>
              <c:f>'Sanitation report'!$M$316:$M$325</c:f>
              <c:numCache>
                <c:formatCode>_(* #,##0.00_);_(* \(#,##0.00\);_(* "-"??_);_(@_)</c:formatCode>
                <c:ptCount val="10"/>
                <c:pt idx="0">
                  <c:v>5.4647806372834458</c:v>
                </c:pt>
                <c:pt idx="1">
                  <c:v>5.4647806372834458</c:v>
                </c:pt>
                <c:pt idx="2">
                  <c:v>5.4647806372834458</c:v>
                </c:pt>
                <c:pt idx="3">
                  <c:v>5.4647806372834458</c:v>
                </c:pt>
                <c:pt idx="4">
                  <c:v>5.4647806372834458</c:v>
                </c:pt>
                <c:pt idx="5">
                  <c:v>5.4647806372834458</c:v>
                </c:pt>
                <c:pt idx="6">
                  <c:v>5.4647806372834458</c:v>
                </c:pt>
                <c:pt idx="7">
                  <c:v>5.4647806372834458</c:v>
                </c:pt>
                <c:pt idx="8">
                  <c:v>5.4647806372834458</c:v>
                </c:pt>
                <c:pt idx="9">
                  <c:v>5.4647806372834458</c:v>
                </c:pt>
              </c:numCache>
            </c:numRef>
          </c:val>
          <c:smooth val="0"/>
          <c:extLst>
            <c:ext xmlns:c16="http://schemas.microsoft.com/office/drawing/2014/chart" uri="{C3380CC4-5D6E-409C-BE32-E72D297353CC}">
              <c16:uniqueId val="{00000002-05AE-472C-B72C-2A0FCF84D979}"/>
            </c:ext>
          </c:extLst>
        </c:ser>
        <c:dLbls>
          <c:showLegendKey val="0"/>
          <c:showVal val="0"/>
          <c:showCatName val="0"/>
          <c:showSerName val="0"/>
          <c:showPercent val="0"/>
          <c:showBubbleSize val="0"/>
        </c:dLbls>
        <c:marker val="1"/>
        <c:smooth val="0"/>
        <c:axId val="1396826895"/>
        <c:axId val="1"/>
      </c:lineChart>
      <c:catAx>
        <c:axId val="1396826895"/>
        <c:scaling>
          <c:orientation val="minMax"/>
        </c:scaling>
        <c:delete val="0"/>
        <c:axPos val="b"/>
        <c:title>
          <c:tx>
            <c:rich>
              <a:bodyPr/>
              <a:lstStyle/>
              <a:p>
                <a:pPr>
                  <a:defRPr sz="1000" b="0" i="0" u="none" strike="noStrike" baseline="0">
                    <a:solidFill>
                      <a:srgbClr val="333333"/>
                    </a:solidFill>
                    <a:latin typeface="Calibri"/>
                    <a:ea typeface="Calibri"/>
                    <a:cs typeface="Calibri"/>
                  </a:defRPr>
                </a:pPr>
                <a:r>
                  <a:rPr lang="en-ZA"/>
                  <a:t>Block size</a:t>
                </a:r>
              </a:p>
            </c:rich>
          </c:tx>
          <c:overlay val="0"/>
          <c:spPr>
            <a:noFill/>
            <a:ln w="25400">
              <a:noFill/>
            </a:ln>
          </c:spPr>
        </c:title>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0" vert="horz"/>
          <a:lstStyle/>
          <a:p>
            <a:pPr>
              <a:defRPr sz="900" b="0" i="0" u="none" strike="noStrike" baseline="0">
                <a:solidFill>
                  <a:srgbClr val="333333"/>
                </a:solidFill>
                <a:latin typeface="Calibri"/>
                <a:ea typeface="Calibri"/>
                <a:cs typeface="Calibri"/>
              </a:defRPr>
            </a:pPr>
            <a:endParaRPr lang="en-US"/>
          </a:p>
        </c:txPr>
        <c:crossAx val="1"/>
        <c:crosses val="autoZero"/>
        <c:auto val="1"/>
        <c:lblAlgn val="ctr"/>
        <c:lblOffset val="100"/>
        <c:noMultiLvlLbl val="0"/>
      </c:catAx>
      <c:valAx>
        <c:axId val="1"/>
        <c:scaling>
          <c:orientation val="minMax"/>
        </c:scaling>
        <c:delete val="0"/>
        <c:axPos val="l"/>
        <c:majorGridlines>
          <c:spPr>
            <a:ln w="9525" cap="flat" cmpd="sng" algn="ctr">
              <a:solidFill>
                <a:schemeClr val="tx1">
                  <a:lumMod val="15000"/>
                  <a:lumOff val="85000"/>
                </a:schemeClr>
              </a:solidFill>
              <a:round/>
            </a:ln>
            <a:effectLst/>
          </c:spPr>
        </c:majorGridlines>
        <c:title>
          <c:tx>
            <c:rich>
              <a:bodyPr/>
              <a:lstStyle/>
              <a:p>
                <a:pPr>
                  <a:defRPr sz="1000" b="0" i="0" u="none" strike="noStrike" baseline="0">
                    <a:solidFill>
                      <a:srgbClr val="333333"/>
                    </a:solidFill>
                    <a:latin typeface="Calibri"/>
                    <a:ea typeface="Calibri"/>
                    <a:cs typeface="Calibri"/>
                  </a:defRPr>
                </a:pPr>
                <a:r>
                  <a:rPr lang="en-ZA"/>
                  <a:t>R/kl</a:t>
                </a:r>
              </a:p>
            </c:rich>
          </c:tx>
          <c:overlay val="0"/>
          <c:spPr>
            <a:noFill/>
            <a:ln w="25400">
              <a:noFill/>
            </a:ln>
          </c:spPr>
        </c:title>
        <c:numFmt formatCode="_(* #,##0.00_);_(* \(#,##0.00\);_(* &quot;-&quot;??_);_(@_)" sourceLinked="1"/>
        <c:majorTickMark val="none"/>
        <c:minorTickMark val="none"/>
        <c:tickLblPos val="nextTo"/>
        <c:spPr>
          <a:ln w="6350">
            <a:noFill/>
          </a:ln>
        </c:spPr>
        <c:txPr>
          <a:bodyPr rot="0" vert="horz"/>
          <a:lstStyle/>
          <a:p>
            <a:pPr>
              <a:defRPr sz="900" b="0" i="0" u="none" strike="noStrike" baseline="0">
                <a:solidFill>
                  <a:srgbClr val="333333"/>
                </a:solidFill>
                <a:latin typeface="Calibri"/>
                <a:ea typeface="Calibri"/>
                <a:cs typeface="Calibri"/>
              </a:defRPr>
            </a:pPr>
            <a:endParaRPr lang="en-US"/>
          </a:p>
        </c:txPr>
        <c:crossAx val="1396826895"/>
        <c:crosses val="autoZero"/>
        <c:crossBetween val="between"/>
      </c:valAx>
    </c:plotArea>
    <c:legend>
      <c:legendPos val="r"/>
      <c:layout>
        <c:manualLayout>
          <c:xMode val="edge"/>
          <c:yMode val="edge"/>
          <c:x val="0.12362011021685021"/>
          <c:y val="0.92626106162959132"/>
          <c:w val="0.74541089190419463"/>
          <c:h val="6.0111297563214428E-2"/>
        </c:manualLayout>
      </c:layout>
      <c:overlay val="0"/>
      <c:spPr>
        <a:noFill/>
        <a:ln w="25400">
          <a:noFill/>
        </a:ln>
      </c:spPr>
      <c:txPr>
        <a:bodyPr/>
        <a:lstStyle/>
        <a:p>
          <a:pPr>
            <a:defRPr sz="690" b="0" i="0" u="none" strike="noStrike" baseline="0">
              <a:solidFill>
                <a:srgbClr val="333333"/>
              </a:solidFill>
              <a:latin typeface="Calibri"/>
              <a:ea typeface="Calibri"/>
              <a:cs typeface="Calibri"/>
            </a:defRPr>
          </a:pPr>
          <a:endParaRPr lang="en-US"/>
        </a:p>
      </c:txPr>
    </c:legend>
    <c:plotVisOnly val="1"/>
    <c:dispBlanksAs val="gap"/>
    <c:showDLblsOverMax val="0"/>
  </c:chart>
  <c:spPr>
    <a:solidFill>
      <a:schemeClr val="bg1"/>
    </a:solidFill>
    <a:ln w="9525" cap="flat" cmpd="sng" algn="ctr">
      <a:noFill/>
      <a:round/>
    </a:ln>
    <a:effectLst/>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charts/chart11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2.3871527777777776E-2"/>
          <c:y val="4.7786414907172239E-2"/>
          <c:w val="0.57559123468941387"/>
          <c:h val="0.83529592857692603"/>
        </c:manualLayout>
      </c:layout>
      <c:barChart>
        <c:barDir val="col"/>
        <c:grouping val="stacked"/>
        <c:varyColors val="0"/>
        <c:ser>
          <c:idx val="0"/>
          <c:order val="0"/>
          <c:tx>
            <c:strRef>
              <c:f>'Sanitation report'!$I$357</c:f>
              <c:strCache>
                <c:ptCount val="1"/>
                <c:pt idx="0">
                  <c:v>Fixed cost</c:v>
                </c:pt>
              </c:strCache>
            </c:strRef>
          </c:tx>
          <c:spPr>
            <a:solidFill>
              <a:srgbClr val="4472C4"/>
            </a:solidFill>
            <a:ln w="25400">
              <a:noFill/>
            </a:ln>
          </c:spPr>
          <c:invertIfNegative val="0"/>
          <c:dPt>
            <c:idx val="0"/>
            <c:invertIfNegative val="0"/>
            <c:bubble3D val="0"/>
            <c:spPr>
              <a:solidFill>
                <a:srgbClr val="5B9BD5"/>
              </a:solidFill>
              <a:ln w="25400">
                <a:noFill/>
              </a:ln>
            </c:spPr>
            <c:extLst>
              <c:ext xmlns:c16="http://schemas.microsoft.com/office/drawing/2014/chart" uri="{C3380CC4-5D6E-409C-BE32-E72D297353CC}">
                <c16:uniqueId val="{00000000-1042-4C2A-92F1-895E5C6FE1B4}"/>
              </c:ext>
            </c:extLst>
          </c:dPt>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'Sanitation report'!$J$356:$K$356</c:f>
              <c:strCache>
                <c:ptCount val="2"/>
                <c:pt idx="0">
                  <c:v>Expenditure R'000</c:v>
                </c:pt>
                <c:pt idx="1">
                  <c:v>Revenue R'000</c:v>
                </c:pt>
              </c:strCache>
            </c:strRef>
          </c:cat>
          <c:val>
            <c:numRef>
              <c:f>'Sanitation report'!$J$357:$K$357</c:f>
              <c:numCache>
                <c:formatCode>General</c:formatCode>
                <c:ptCount val="2"/>
                <c:pt idx="0" formatCode="_-* #\ ##0_-;\-* #\ ##0_-;_-* &quot;-&quot;??_-;_-@_-">
                  <c:v>66.995125454854616</c:v>
                </c:pt>
              </c:numCache>
            </c:numRef>
          </c:val>
          <c:extLst>
            <c:ext xmlns:c16="http://schemas.microsoft.com/office/drawing/2014/chart" uri="{C3380CC4-5D6E-409C-BE32-E72D297353CC}">
              <c16:uniqueId val="{00000001-1042-4C2A-92F1-895E5C6FE1B4}"/>
            </c:ext>
          </c:extLst>
        </c:ser>
        <c:ser>
          <c:idx val="1"/>
          <c:order val="1"/>
          <c:tx>
            <c:strRef>
              <c:f>'Sanitation report'!$I$358</c:f>
              <c:strCache>
                <c:ptCount val="1"/>
                <c:pt idx="0">
                  <c:v>Variable cost</c:v>
                </c:pt>
              </c:strCache>
            </c:strRef>
          </c:tx>
          <c:spPr>
            <a:solidFill>
              <a:schemeClr val="accent5">
                <a:lumMod val="60000"/>
                <a:lumOff val="40000"/>
              </a:schemeClr>
            </a:solidFill>
            <a:ln>
              <a:noFill/>
            </a:ln>
            <a:effectLst/>
          </c:spPr>
          <c:invertIfNegative val="0"/>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'Sanitation report'!$J$356:$K$356</c:f>
              <c:strCache>
                <c:ptCount val="2"/>
                <c:pt idx="0">
                  <c:v>Expenditure R'000</c:v>
                </c:pt>
                <c:pt idx="1">
                  <c:v>Revenue R'000</c:v>
                </c:pt>
              </c:strCache>
            </c:strRef>
          </c:cat>
          <c:val>
            <c:numRef>
              <c:f>'Sanitation report'!$J$358:$K$358</c:f>
              <c:numCache>
                <c:formatCode>General</c:formatCode>
                <c:ptCount val="2"/>
                <c:pt idx="0" formatCode="_-* #\ ##0_-;\-* #\ ##0_-;_-* &quot;-&quot;??_-;_-@_-">
                  <c:v>0</c:v>
                </c:pt>
              </c:numCache>
            </c:numRef>
          </c:val>
          <c:extLst>
            <c:ext xmlns:c16="http://schemas.microsoft.com/office/drawing/2014/chart" uri="{C3380CC4-5D6E-409C-BE32-E72D297353CC}">
              <c16:uniqueId val="{00000002-1042-4C2A-92F1-895E5C6FE1B4}"/>
            </c:ext>
          </c:extLst>
        </c:ser>
        <c:ser>
          <c:idx val="2"/>
          <c:order val="2"/>
          <c:tx>
            <c:strRef>
              <c:f>'Sanitation report'!$I$359</c:f>
              <c:strCache>
                <c:ptCount val="1"/>
                <c:pt idx="0">
                  <c:v>Surplus</c:v>
                </c:pt>
              </c:strCache>
            </c:strRef>
          </c:tx>
          <c:spPr>
            <a:solidFill>
              <a:srgbClr val="A5A5A5"/>
            </a:solidFill>
            <a:ln w="25400">
              <a:noFill/>
            </a:ln>
          </c:spPr>
          <c:invertIfNegative val="0"/>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'Sanitation report'!$J$356:$K$356</c:f>
              <c:strCache>
                <c:ptCount val="2"/>
                <c:pt idx="0">
                  <c:v>Expenditure R'000</c:v>
                </c:pt>
                <c:pt idx="1">
                  <c:v>Revenue R'000</c:v>
                </c:pt>
              </c:strCache>
            </c:strRef>
          </c:cat>
          <c:val>
            <c:numRef>
              <c:f>'Sanitation report'!$J$359:$K$359</c:f>
              <c:numCache>
                <c:formatCode>General</c:formatCode>
                <c:ptCount val="2"/>
                <c:pt idx="0" formatCode="_-* #\ ##0_-;\-* #\ ##0_-;_-* &quot;-&quot;??_-;_-@_-">
                  <c:v>0</c:v>
                </c:pt>
              </c:numCache>
            </c:numRef>
          </c:val>
          <c:extLst>
            <c:ext xmlns:c16="http://schemas.microsoft.com/office/drawing/2014/chart" uri="{C3380CC4-5D6E-409C-BE32-E72D297353CC}">
              <c16:uniqueId val="{00000003-1042-4C2A-92F1-895E5C6FE1B4}"/>
            </c:ext>
          </c:extLst>
        </c:ser>
        <c:ser>
          <c:idx val="4"/>
          <c:order val="3"/>
          <c:tx>
            <c:strRef>
              <c:f>'Sanitation report'!$I$360</c:f>
              <c:strCache>
                <c:ptCount val="1"/>
                <c:pt idx="0">
                  <c:v>Tariff revenue</c:v>
                </c:pt>
              </c:strCache>
            </c:strRef>
          </c:tx>
          <c:spPr>
            <a:solidFill>
              <a:srgbClr val="5B9BD5"/>
            </a:solidFill>
            <a:ln w="25400">
              <a:noFill/>
            </a:ln>
          </c:spPr>
          <c:invertIfNegative val="0"/>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'Sanitation report'!$J$356:$K$356</c:f>
              <c:strCache>
                <c:ptCount val="2"/>
                <c:pt idx="0">
                  <c:v>Expenditure R'000</c:v>
                </c:pt>
                <c:pt idx="1">
                  <c:v>Revenue R'000</c:v>
                </c:pt>
              </c:strCache>
            </c:strRef>
          </c:cat>
          <c:val>
            <c:numRef>
              <c:f>'Sanitation report'!$J$360:$K$360</c:f>
              <c:numCache>
                <c:formatCode>_-* #\ ##0_-;\-* #\ ##0_-;_-* "-"??_-;_-@_-</c:formatCode>
                <c:ptCount val="2"/>
                <c:pt idx="1">
                  <c:v>57.127786920128571</c:v>
                </c:pt>
              </c:numCache>
            </c:numRef>
          </c:val>
          <c:extLst>
            <c:ext xmlns:c16="http://schemas.microsoft.com/office/drawing/2014/chart" uri="{C3380CC4-5D6E-409C-BE32-E72D297353CC}">
              <c16:uniqueId val="{00000004-1042-4C2A-92F1-895E5C6FE1B4}"/>
            </c:ext>
          </c:extLst>
        </c:ser>
        <c:ser>
          <c:idx val="5"/>
          <c:order val="4"/>
          <c:tx>
            <c:strRef>
              <c:f>'Sanitation report'!$I$361</c:f>
              <c:strCache>
                <c:ptCount val="1"/>
                <c:pt idx="0">
                  <c:v>External grants &amp; subsidies</c:v>
                </c:pt>
              </c:strCache>
            </c:strRef>
          </c:tx>
          <c:spPr>
            <a:solidFill>
              <a:srgbClr val="A5A5A5"/>
            </a:solidFill>
            <a:ln w="25400">
              <a:noFill/>
            </a:ln>
          </c:spPr>
          <c:invertIfNegative val="0"/>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'Sanitation report'!$J$356:$K$356</c:f>
              <c:strCache>
                <c:ptCount val="2"/>
                <c:pt idx="0">
                  <c:v>Expenditure R'000</c:v>
                </c:pt>
                <c:pt idx="1">
                  <c:v>Revenue R'000</c:v>
                </c:pt>
              </c:strCache>
            </c:strRef>
          </c:cat>
          <c:val>
            <c:numRef>
              <c:f>'Sanitation report'!$J$361:$K$361</c:f>
              <c:numCache>
                <c:formatCode>_-* #\ ##0_-;\-* #\ ##0_-;_-* "-"??_-;_-@_-</c:formatCode>
                <c:ptCount val="2"/>
                <c:pt idx="1">
                  <c:v>0</c:v>
                </c:pt>
              </c:numCache>
            </c:numRef>
          </c:val>
          <c:extLst>
            <c:ext xmlns:c16="http://schemas.microsoft.com/office/drawing/2014/chart" uri="{C3380CC4-5D6E-409C-BE32-E72D297353CC}">
              <c16:uniqueId val="{00000005-1042-4C2A-92F1-895E5C6FE1B4}"/>
            </c:ext>
          </c:extLst>
        </c:ser>
        <c:ser>
          <c:idx val="3"/>
          <c:order val="5"/>
          <c:tx>
            <c:strRef>
              <c:f>'Sanitation report'!$I$362</c:f>
              <c:strCache>
                <c:ptCount val="1"/>
                <c:pt idx="0">
                  <c:v>Other non-tariff revenue</c:v>
                </c:pt>
              </c:strCache>
            </c:strRef>
          </c:tx>
          <c:spPr>
            <a:solidFill>
              <a:schemeClr val="accent3">
                <a:lumMod val="40000"/>
                <a:lumOff val="60000"/>
              </a:schemeClr>
            </a:solidFill>
            <a:ln>
              <a:noFill/>
            </a:ln>
            <a:effectLst/>
          </c:spPr>
          <c:invertIfNegative val="0"/>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'Sanitation report'!$J$356:$K$356</c:f>
              <c:strCache>
                <c:ptCount val="2"/>
                <c:pt idx="0">
                  <c:v>Expenditure R'000</c:v>
                </c:pt>
                <c:pt idx="1">
                  <c:v>Revenue R'000</c:v>
                </c:pt>
              </c:strCache>
            </c:strRef>
          </c:cat>
          <c:val>
            <c:numRef>
              <c:f>'Sanitation report'!$J$362:$K$362</c:f>
              <c:numCache>
                <c:formatCode>_-* #\ ##0_-;\-* #\ ##0_-;_-* "-"??_-;_-@_-</c:formatCode>
                <c:ptCount val="2"/>
                <c:pt idx="1">
                  <c:v>9.8673385347260414</c:v>
                </c:pt>
              </c:numCache>
            </c:numRef>
          </c:val>
          <c:extLst>
            <c:ext xmlns:c16="http://schemas.microsoft.com/office/drawing/2014/chart" uri="{C3380CC4-5D6E-409C-BE32-E72D297353CC}">
              <c16:uniqueId val="{00000006-1042-4C2A-92F1-895E5C6FE1B4}"/>
            </c:ext>
          </c:extLst>
        </c:ser>
        <c:ser>
          <c:idx val="6"/>
          <c:order val="6"/>
          <c:tx>
            <c:strRef>
              <c:f>'Sanitation report'!$I$363</c:f>
              <c:strCache>
                <c:ptCount val="1"/>
                <c:pt idx="0">
                  <c:v>Deficit</c:v>
                </c:pt>
              </c:strCache>
            </c:strRef>
          </c:tx>
          <c:spPr>
            <a:solidFill>
              <a:srgbClr val="ED7D31"/>
            </a:solidFill>
            <a:ln w="25400">
              <a:noFill/>
            </a:ln>
          </c:spPr>
          <c:invertIfNegative val="0"/>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'Sanitation report'!$J$356:$K$356</c:f>
              <c:strCache>
                <c:ptCount val="2"/>
                <c:pt idx="0">
                  <c:v>Expenditure R'000</c:v>
                </c:pt>
                <c:pt idx="1">
                  <c:v>Revenue R'000</c:v>
                </c:pt>
              </c:strCache>
            </c:strRef>
          </c:cat>
          <c:val>
            <c:numRef>
              <c:f>'Sanitation report'!$J$363:$K$363</c:f>
              <c:numCache>
                <c:formatCode>_-* #\ ##0_-;\-* #\ ##0_-;_-* "-"??_-;_-@_-</c:formatCode>
                <c:ptCount val="2"/>
                <c:pt idx="1">
                  <c:v>0</c:v>
                </c:pt>
              </c:numCache>
            </c:numRef>
          </c:val>
          <c:extLst>
            <c:ext xmlns:c16="http://schemas.microsoft.com/office/drawing/2014/chart" uri="{C3380CC4-5D6E-409C-BE32-E72D297353CC}">
              <c16:uniqueId val="{00000007-1042-4C2A-92F1-895E5C6FE1B4}"/>
            </c:ext>
          </c:extLst>
        </c:ser>
        <c:dLbls>
          <c:showLegendKey val="0"/>
          <c:showVal val="0"/>
          <c:showCatName val="0"/>
          <c:showSerName val="0"/>
          <c:showPercent val="0"/>
          <c:showBubbleSize val="0"/>
        </c:dLbls>
        <c:gapWidth val="25"/>
        <c:overlap val="100"/>
        <c:axId val="1396816815"/>
        <c:axId val="1"/>
      </c:barChart>
      <c:catAx>
        <c:axId val="1396816815"/>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0" vert="horz"/>
          <a:lstStyle/>
          <a:p>
            <a:pPr>
              <a:defRPr sz="1100" b="0" i="0" u="none" strike="noStrike" baseline="0">
                <a:solidFill>
                  <a:srgbClr val="000000"/>
                </a:solidFill>
                <a:latin typeface="Calibri"/>
                <a:ea typeface="Calibri"/>
                <a:cs typeface="Calibri"/>
              </a:defRPr>
            </a:pPr>
            <a:endParaRPr lang="en-US"/>
          </a:p>
        </c:txPr>
        <c:crossAx val="1"/>
        <c:crosses val="autoZero"/>
        <c:auto val="1"/>
        <c:lblAlgn val="ctr"/>
        <c:lblOffset val="100"/>
        <c:noMultiLvlLbl val="0"/>
      </c:catAx>
      <c:valAx>
        <c:axId val="1"/>
        <c:scaling>
          <c:orientation val="minMax"/>
        </c:scaling>
        <c:delete val="1"/>
        <c:axPos val="l"/>
        <c:majorGridlines>
          <c:spPr>
            <a:ln w="9525" cap="flat" cmpd="sng" algn="ctr">
              <a:solidFill>
                <a:schemeClr val="tx1">
                  <a:lumMod val="15000"/>
                  <a:lumOff val="85000"/>
                </a:schemeClr>
              </a:solidFill>
              <a:round/>
            </a:ln>
            <a:effectLst/>
          </c:spPr>
        </c:majorGridlines>
        <c:numFmt formatCode="_-* #\ ##0_-;\-* #\ ##0_-;_-* &quot;-&quot;??_-;_-@_-" sourceLinked="1"/>
        <c:majorTickMark val="out"/>
        <c:minorTickMark val="none"/>
        <c:tickLblPos val="nextTo"/>
        <c:crossAx val="1396816815"/>
        <c:crosses val="autoZero"/>
        <c:crossBetween val="between"/>
      </c:valAx>
    </c:plotArea>
    <c:legend>
      <c:legendPos val="r"/>
      <c:layout>
        <c:manualLayout>
          <c:xMode val="edge"/>
          <c:yMode val="edge"/>
          <c:x val="0.63060873861355571"/>
          <c:y val="0.19876461094537096"/>
          <c:w val="0.34824665740311866"/>
          <c:h val="0.70809931367274737"/>
        </c:manualLayout>
      </c:layout>
      <c:overlay val="0"/>
      <c:spPr>
        <a:noFill/>
        <a:ln w="25400">
          <a:noFill/>
        </a:ln>
      </c:spPr>
      <c:txPr>
        <a:bodyPr/>
        <a:lstStyle/>
        <a:p>
          <a:pPr>
            <a:defRPr sz="850" b="0" i="0" u="none" strike="noStrike" baseline="0">
              <a:solidFill>
                <a:srgbClr val="000000"/>
              </a:solidFill>
              <a:latin typeface="Calibri"/>
              <a:ea typeface="Calibri"/>
              <a:cs typeface="Calibri"/>
            </a:defRPr>
          </a:pPr>
          <a:endParaRPr lang="en-US"/>
        </a:p>
      </c:txPr>
    </c:legend>
    <c:plotVisOnly val="1"/>
    <c:dispBlanksAs val="gap"/>
    <c:showDLblsOverMax val="0"/>
  </c:chart>
  <c:spPr>
    <a:solidFill>
      <a:schemeClr val="bg1"/>
    </a:solidFill>
    <a:ln w="9525" cap="flat" cmpd="sng" algn="ctr">
      <a:noFill/>
      <a:round/>
    </a:ln>
    <a:effectLst/>
  </c:spPr>
  <c:txPr>
    <a:bodyPr/>
    <a:lstStyle/>
    <a:p>
      <a:pPr>
        <a:defRPr sz="1100" b="0" i="0" u="none" strike="noStrike" baseline="0">
          <a:solidFill>
            <a:srgbClr val="000000"/>
          </a:solidFill>
          <a:latin typeface="Calibri"/>
          <a:ea typeface="Calibri"/>
          <a:cs typeface="Calibri"/>
        </a:defRPr>
      </a:pPr>
      <a:endParaRPr lang="en-US"/>
    </a:p>
  </c:txPr>
  <c:printSettings>
    <c:headerFooter/>
    <c:pageMargins b="0.75" l="0.7" r="0.7" t="0.75" header="0.3" footer="0.3"/>
    <c:pageSetup orientation="portrait"/>
  </c:printSettings>
</c:chartSpace>
</file>

<file path=xl/charts/chart11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ser>
          <c:idx val="0"/>
          <c:order val="0"/>
          <c:tx>
            <c:strRef>
              <c:f>'Sanitation report'!$K$315</c:f>
              <c:strCache>
                <c:ptCount val="1"/>
                <c:pt idx="0">
                  <c:v>Tariff </c:v>
                </c:pt>
              </c:strCache>
            </c:strRef>
          </c:tx>
          <c:spPr>
            <a:solidFill>
              <a:srgbClr val="4472C4"/>
            </a:solidFill>
            <a:ln w="25400">
              <a:noFill/>
            </a:ln>
          </c:spPr>
          <c:invertIfNegative val="0"/>
          <c:dLbls>
            <c:spPr>
              <a:noFill/>
              <a:ln w="25400">
                <a:noFill/>
              </a:ln>
            </c:spPr>
            <c:txPr>
              <a:bodyPr wrap="square" lIns="38100" tIns="19050" rIns="38100" bIns="19050" anchor="ctr">
                <a:spAutoFit/>
              </a:bodyPr>
              <a:lstStyle/>
              <a:p>
                <a:pPr>
                  <a:defRPr sz="900" b="0" i="0" u="none" strike="noStrike" baseline="0">
                    <a:solidFill>
                      <a:srgbClr val="333333"/>
                    </a:solidFill>
                    <a:latin typeface="Calibri"/>
                    <a:ea typeface="Calibri"/>
                    <a:cs typeface="Calibri"/>
                  </a:defRPr>
                </a:pPr>
                <a:endParaRPr lang="en-US"/>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numRef>
              <c:f>'Sanitation report'!$J$316:$J$325</c:f>
              <c:numCache>
                <c:formatCode>General</c:formatCode>
                <c:ptCount val="10"/>
                <c:pt idx="0">
                  <c:v>0</c:v>
                </c:pt>
                <c:pt idx="1">
                  <c:v>0</c:v>
                </c:pt>
                <c:pt idx="2">
                  <c:v>0</c:v>
                </c:pt>
                <c:pt idx="3">
                  <c:v>0</c:v>
                </c:pt>
                <c:pt idx="4">
                  <c:v>0</c:v>
                </c:pt>
                <c:pt idx="5">
                  <c:v>0</c:v>
                </c:pt>
                <c:pt idx="6">
                  <c:v>0</c:v>
                </c:pt>
                <c:pt idx="7">
                  <c:v>0</c:v>
                </c:pt>
                <c:pt idx="8">
                  <c:v>0</c:v>
                </c:pt>
                <c:pt idx="9">
                  <c:v>0</c:v>
                </c:pt>
              </c:numCache>
            </c:numRef>
          </c:cat>
          <c:val>
            <c:numRef>
              <c:f>'Sanitation report'!$K$316:$K$325</c:f>
              <c:numCache>
                <c:formatCode>_(* #,##0.00_);_(* \(#,##0.00\);_(* "-"??_);_(@_)</c:formatCode>
                <c:ptCount val="10"/>
                <c:pt idx="0">
                  <c:v>7.7084806660357916</c:v>
                </c:pt>
                <c:pt idx="1">
                  <c:v>0</c:v>
                </c:pt>
                <c:pt idx="2">
                  <c:v>0</c:v>
                </c:pt>
                <c:pt idx="3">
                  <c:v>0</c:v>
                </c:pt>
                <c:pt idx="4">
                  <c:v>0</c:v>
                </c:pt>
                <c:pt idx="5">
                  <c:v>0</c:v>
                </c:pt>
                <c:pt idx="6">
                  <c:v>0</c:v>
                </c:pt>
                <c:pt idx="7">
                  <c:v>0</c:v>
                </c:pt>
                <c:pt idx="8">
                  <c:v>0</c:v>
                </c:pt>
                <c:pt idx="9">
                  <c:v>0</c:v>
                </c:pt>
              </c:numCache>
            </c:numRef>
          </c:val>
          <c:extLst>
            <c:ext xmlns:c16="http://schemas.microsoft.com/office/drawing/2014/chart" uri="{C3380CC4-5D6E-409C-BE32-E72D297353CC}">
              <c16:uniqueId val="{00000000-B420-4D1A-AACD-01FDFC3D710F}"/>
            </c:ext>
          </c:extLst>
        </c:ser>
        <c:dLbls>
          <c:showLegendKey val="0"/>
          <c:showVal val="0"/>
          <c:showCatName val="0"/>
          <c:showSerName val="0"/>
          <c:showPercent val="0"/>
          <c:showBubbleSize val="0"/>
        </c:dLbls>
        <c:gapWidth val="50"/>
        <c:axId val="1396822095"/>
        <c:axId val="1"/>
      </c:barChart>
      <c:lineChart>
        <c:grouping val="standard"/>
        <c:varyColors val="0"/>
        <c:ser>
          <c:idx val="1"/>
          <c:order val="1"/>
          <c:tx>
            <c:strRef>
              <c:f>'Sanitation report'!$L$315</c:f>
              <c:strCache>
                <c:ptCount val="1"/>
                <c:pt idx="0">
                  <c:v>Total cost per kl </c:v>
                </c:pt>
              </c:strCache>
            </c:strRef>
          </c:tx>
          <c:spPr>
            <a:ln w="28575" cap="rnd">
              <a:solidFill>
                <a:schemeClr val="accent2"/>
              </a:solidFill>
              <a:round/>
            </a:ln>
            <a:effectLst/>
          </c:spPr>
          <c:marker>
            <c:symbol val="none"/>
          </c:marker>
          <c:cat>
            <c:numRef>
              <c:f>'Sanitation report'!$J$316:$J$325</c:f>
              <c:numCache>
                <c:formatCode>General</c:formatCode>
                <c:ptCount val="10"/>
                <c:pt idx="0">
                  <c:v>0</c:v>
                </c:pt>
                <c:pt idx="1">
                  <c:v>0</c:v>
                </c:pt>
                <c:pt idx="2">
                  <c:v>0</c:v>
                </c:pt>
                <c:pt idx="3">
                  <c:v>0</c:v>
                </c:pt>
                <c:pt idx="4">
                  <c:v>0</c:v>
                </c:pt>
                <c:pt idx="5">
                  <c:v>0</c:v>
                </c:pt>
                <c:pt idx="6">
                  <c:v>0</c:v>
                </c:pt>
                <c:pt idx="7">
                  <c:v>0</c:v>
                </c:pt>
                <c:pt idx="8">
                  <c:v>0</c:v>
                </c:pt>
                <c:pt idx="9">
                  <c:v>0</c:v>
                </c:pt>
              </c:numCache>
            </c:numRef>
          </c:cat>
          <c:val>
            <c:numRef>
              <c:f>'Sanitation report'!$L$316:$L$325</c:f>
              <c:numCache>
                <c:formatCode>_(* #,##0.00_);_(* \(#,##0.00\);_(* "-"??_);_(@_)</c:formatCode>
                <c:ptCount val="10"/>
                <c:pt idx="0">
                  <c:v>9.0399201006932124</c:v>
                </c:pt>
                <c:pt idx="1">
                  <c:v>9.0399201006932124</c:v>
                </c:pt>
                <c:pt idx="2">
                  <c:v>9.0399201006932124</c:v>
                </c:pt>
                <c:pt idx="3">
                  <c:v>9.0399201006932124</c:v>
                </c:pt>
                <c:pt idx="4">
                  <c:v>9.0399201006932124</c:v>
                </c:pt>
                <c:pt idx="5">
                  <c:v>9.0399201006932124</c:v>
                </c:pt>
                <c:pt idx="6">
                  <c:v>9.0399201006932124</c:v>
                </c:pt>
                <c:pt idx="7">
                  <c:v>9.0399201006932124</c:v>
                </c:pt>
                <c:pt idx="8">
                  <c:v>9.0399201006932124</c:v>
                </c:pt>
                <c:pt idx="9">
                  <c:v>9.0399201006932124</c:v>
                </c:pt>
              </c:numCache>
            </c:numRef>
          </c:val>
          <c:smooth val="0"/>
          <c:extLst>
            <c:ext xmlns:c16="http://schemas.microsoft.com/office/drawing/2014/chart" uri="{C3380CC4-5D6E-409C-BE32-E72D297353CC}">
              <c16:uniqueId val="{00000001-B420-4D1A-AACD-01FDFC3D710F}"/>
            </c:ext>
          </c:extLst>
        </c:ser>
        <c:ser>
          <c:idx val="2"/>
          <c:order val="2"/>
          <c:tx>
            <c:strRef>
              <c:f>'Sanitation report'!$M$315</c:f>
              <c:strCache>
                <c:ptCount val="1"/>
                <c:pt idx="0">
                  <c:v>Variable cost per kl treated</c:v>
                </c:pt>
              </c:strCache>
            </c:strRef>
          </c:tx>
          <c:spPr>
            <a:ln w="28575" cap="rnd">
              <a:solidFill>
                <a:schemeClr val="accent3"/>
              </a:solidFill>
              <a:round/>
            </a:ln>
            <a:effectLst/>
          </c:spPr>
          <c:marker>
            <c:symbol val="none"/>
          </c:marker>
          <c:cat>
            <c:numRef>
              <c:f>'Sanitation report'!$J$316:$J$325</c:f>
              <c:numCache>
                <c:formatCode>General</c:formatCode>
                <c:ptCount val="10"/>
                <c:pt idx="0">
                  <c:v>0</c:v>
                </c:pt>
                <c:pt idx="1">
                  <c:v>0</c:v>
                </c:pt>
                <c:pt idx="2">
                  <c:v>0</c:v>
                </c:pt>
                <c:pt idx="3">
                  <c:v>0</c:v>
                </c:pt>
                <c:pt idx="4">
                  <c:v>0</c:v>
                </c:pt>
                <c:pt idx="5">
                  <c:v>0</c:v>
                </c:pt>
                <c:pt idx="6">
                  <c:v>0</c:v>
                </c:pt>
                <c:pt idx="7">
                  <c:v>0</c:v>
                </c:pt>
                <c:pt idx="8">
                  <c:v>0</c:v>
                </c:pt>
                <c:pt idx="9">
                  <c:v>0</c:v>
                </c:pt>
              </c:numCache>
            </c:numRef>
          </c:cat>
          <c:val>
            <c:numRef>
              <c:f>'Sanitation report'!$M$316:$M$325</c:f>
              <c:numCache>
                <c:formatCode>_(* #,##0.00_);_(* \(#,##0.00\);_(* "-"??_);_(@_)</c:formatCode>
                <c:ptCount val="10"/>
                <c:pt idx="0">
                  <c:v>5.4647806372834458</c:v>
                </c:pt>
                <c:pt idx="1">
                  <c:v>5.4647806372834458</c:v>
                </c:pt>
                <c:pt idx="2">
                  <c:v>5.4647806372834458</c:v>
                </c:pt>
                <c:pt idx="3">
                  <c:v>5.4647806372834458</c:v>
                </c:pt>
                <c:pt idx="4">
                  <c:v>5.4647806372834458</c:v>
                </c:pt>
                <c:pt idx="5">
                  <c:v>5.4647806372834458</c:v>
                </c:pt>
                <c:pt idx="6">
                  <c:v>5.4647806372834458</c:v>
                </c:pt>
                <c:pt idx="7">
                  <c:v>5.4647806372834458</c:v>
                </c:pt>
                <c:pt idx="8">
                  <c:v>5.4647806372834458</c:v>
                </c:pt>
                <c:pt idx="9">
                  <c:v>5.4647806372834458</c:v>
                </c:pt>
              </c:numCache>
            </c:numRef>
          </c:val>
          <c:smooth val="0"/>
          <c:extLst>
            <c:ext xmlns:c16="http://schemas.microsoft.com/office/drawing/2014/chart" uri="{C3380CC4-5D6E-409C-BE32-E72D297353CC}">
              <c16:uniqueId val="{00000002-B420-4D1A-AACD-01FDFC3D710F}"/>
            </c:ext>
          </c:extLst>
        </c:ser>
        <c:dLbls>
          <c:showLegendKey val="0"/>
          <c:showVal val="0"/>
          <c:showCatName val="0"/>
          <c:showSerName val="0"/>
          <c:showPercent val="0"/>
          <c:showBubbleSize val="0"/>
        </c:dLbls>
        <c:marker val="1"/>
        <c:smooth val="0"/>
        <c:axId val="1396822095"/>
        <c:axId val="1"/>
      </c:lineChart>
      <c:catAx>
        <c:axId val="1396822095"/>
        <c:scaling>
          <c:orientation val="minMax"/>
        </c:scaling>
        <c:delete val="0"/>
        <c:axPos val="b"/>
        <c:title>
          <c:tx>
            <c:rich>
              <a:bodyPr/>
              <a:lstStyle/>
              <a:p>
                <a:pPr>
                  <a:defRPr sz="1000" b="0" i="0" u="none" strike="noStrike" baseline="0">
                    <a:solidFill>
                      <a:srgbClr val="333333"/>
                    </a:solidFill>
                    <a:latin typeface="Calibri"/>
                    <a:ea typeface="Calibri"/>
                    <a:cs typeface="Calibri"/>
                  </a:defRPr>
                </a:pPr>
                <a:r>
                  <a:rPr lang="en-ZA"/>
                  <a:t>Block size</a:t>
                </a:r>
              </a:p>
            </c:rich>
          </c:tx>
          <c:overlay val="0"/>
          <c:spPr>
            <a:noFill/>
            <a:ln w="25400">
              <a:noFill/>
            </a:ln>
          </c:spPr>
        </c:title>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0" vert="horz"/>
          <a:lstStyle/>
          <a:p>
            <a:pPr>
              <a:defRPr sz="900" b="0" i="0" u="none" strike="noStrike" baseline="0">
                <a:solidFill>
                  <a:srgbClr val="333333"/>
                </a:solidFill>
                <a:latin typeface="Calibri"/>
                <a:ea typeface="Calibri"/>
                <a:cs typeface="Calibri"/>
              </a:defRPr>
            </a:pPr>
            <a:endParaRPr lang="en-US"/>
          </a:p>
        </c:txPr>
        <c:crossAx val="1"/>
        <c:crosses val="autoZero"/>
        <c:auto val="1"/>
        <c:lblAlgn val="ctr"/>
        <c:lblOffset val="100"/>
        <c:noMultiLvlLbl val="0"/>
      </c:catAx>
      <c:valAx>
        <c:axId val="1"/>
        <c:scaling>
          <c:orientation val="minMax"/>
        </c:scaling>
        <c:delete val="0"/>
        <c:axPos val="l"/>
        <c:majorGridlines>
          <c:spPr>
            <a:ln w="9525" cap="flat" cmpd="sng" algn="ctr">
              <a:solidFill>
                <a:schemeClr val="tx1">
                  <a:lumMod val="15000"/>
                  <a:lumOff val="85000"/>
                </a:schemeClr>
              </a:solidFill>
              <a:round/>
            </a:ln>
            <a:effectLst/>
          </c:spPr>
        </c:majorGridlines>
        <c:title>
          <c:tx>
            <c:rich>
              <a:bodyPr/>
              <a:lstStyle/>
              <a:p>
                <a:pPr>
                  <a:defRPr sz="1000" b="0" i="0" u="none" strike="noStrike" baseline="0">
                    <a:solidFill>
                      <a:srgbClr val="333333"/>
                    </a:solidFill>
                    <a:latin typeface="Calibri"/>
                    <a:ea typeface="Calibri"/>
                    <a:cs typeface="Calibri"/>
                  </a:defRPr>
                </a:pPr>
                <a:r>
                  <a:rPr lang="en-ZA"/>
                  <a:t>R/kl</a:t>
                </a:r>
              </a:p>
            </c:rich>
          </c:tx>
          <c:overlay val="0"/>
          <c:spPr>
            <a:noFill/>
            <a:ln w="25400">
              <a:noFill/>
            </a:ln>
          </c:spPr>
        </c:title>
        <c:numFmt formatCode="_(* #,##0.00_);_(* \(#,##0.00\);_(* &quot;-&quot;??_);_(@_)" sourceLinked="1"/>
        <c:majorTickMark val="none"/>
        <c:minorTickMark val="none"/>
        <c:tickLblPos val="nextTo"/>
        <c:spPr>
          <a:ln w="6350">
            <a:noFill/>
          </a:ln>
        </c:spPr>
        <c:txPr>
          <a:bodyPr rot="0" vert="horz"/>
          <a:lstStyle/>
          <a:p>
            <a:pPr>
              <a:defRPr sz="900" b="0" i="0" u="none" strike="noStrike" baseline="0">
                <a:solidFill>
                  <a:srgbClr val="333333"/>
                </a:solidFill>
                <a:latin typeface="Calibri"/>
                <a:ea typeface="Calibri"/>
                <a:cs typeface="Calibri"/>
              </a:defRPr>
            </a:pPr>
            <a:endParaRPr lang="en-US"/>
          </a:p>
        </c:txPr>
        <c:crossAx val="1396822095"/>
        <c:crosses val="autoZero"/>
        <c:crossBetween val="between"/>
      </c:valAx>
    </c:plotArea>
    <c:legend>
      <c:legendPos val="r"/>
      <c:layout>
        <c:manualLayout>
          <c:xMode val="edge"/>
          <c:yMode val="edge"/>
          <c:x val="0.12362011021685021"/>
          <c:y val="0.92994800178279602"/>
          <c:w val="0.74541089190419463"/>
          <c:h val="5.930117225912801E-2"/>
        </c:manualLayout>
      </c:layout>
      <c:overlay val="0"/>
      <c:spPr>
        <a:noFill/>
        <a:ln w="25400">
          <a:noFill/>
        </a:ln>
      </c:spPr>
      <c:txPr>
        <a:bodyPr/>
        <a:lstStyle/>
        <a:p>
          <a:pPr>
            <a:defRPr sz="690" b="0" i="0" u="none" strike="noStrike" baseline="0">
              <a:solidFill>
                <a:srgbClr val="333333"/>
              </a:solidFill>
              <a:latin typeface="Calibri"/>
              <a:ea typeface="Calibri"/>
              <a:cs typeface="Calibri"/>
            </a:defRPr>
          </a:pPr>
          <a:endParaRPr lang="en-US"/>
        </a:p>
      </c:txPr>
    </c:legend>
    <c:plotVisOnly val="1"/>
    <c:dispBlanksAs val="gap"/>
    <c:showDLblsOverMax val="0"/>
  </c:chart>
  <c:spPr>
    <a:solidFill>
      <a:schemeClr val="bg1"/>
    </a:solidFill>
    <a:ln w="9525" cap="flat" cmpd="sng" algn="ctr">
      <a:noFill/>
      <a:round/>
    </a:ln>
    <a:effectLst/>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charts/chart11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2.3871527777777776E-2"/>
          <c:y val="4.7786414907172239E-2"/>
          <c:w val="0.57559123468941387"/>
          <c:h val="0.83529592857692603"/>
        </c:manualLayout>
      </c:layout>
      <c:barChart>
        <c:barDir val="col"/>
        <c:grouping val="stacked"/>
        <c:varyColors val="0"/>
        <c:ser>
          <c:idx val="0"/>
          <c:order val="0"/>
          <c:tx>
            <c:strRef>
              <c:f>'Sanitation report'!$I$424</c:f>
              <c:strCache>
                <c:ptCount val="1"/>
                <c:pt idx="0">
                  <c:v>Fixed cost</c:v>
                </c:pt>
              </c:strCache>
            </c:strRef>
          </c:tx>
          <c:spPr>
            <a:solidFill>
              <a:srgbClr val="4472C4"/>
            </a:solidFill>
            <a:ln w="25400">
              <a:noFill/>
            </a:ln>
          </c:spPr>
          <c:invertIfNegative val="0"/>
          <c:dPt>
            <c:idx val="0"/>
            <c:invertIfNegative val="0"/>
            <c:bubble3D val="0"/>
            <c:spPr>
              <a:solidFill>
                <a:srgbClr val="5B9BD5"/>
              </a:solidFill>
              <a:ln w="25400">
                <a:noFill/>
              </a:ln>
            </c:spPr>
            <c:extLst>
              <c:ext xmlns:c16="http://schemas.microsoft.com/office/drawing/2014/chart" uri="{C3380CC4-5D6E-409C-BE32-E72D297353CC}">
                <c16:uniqueId val="{00000000-EAEB-438C-ACCA-5E053493E67F}"/>
              </c:ext>
            </c:extLst>
          </c:dPt>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'Sanitation report'!$J$423:$K$423</c:f>
              <c:strCache>
                <c:ptCount val="2"/>
                <c:pt idx="0">
                  <c:v>Expenditure R'000</c:v>
                </c:pt>
                <c:pt idx="1">
                  <c:v>Revenue R'000</c:v>
                </c:pt>
              </c:strCache>
            </c:strRef>
          </c:cat>
          <c:val>
            <c:numRef>
              <c:f>'Sanitation report'!$J$424:$K$424</c:f>
              <c:numCache>
                <c:formatCode>General</c:formatCode>
                <c:ptCount val="2"/>
                <c:pt idx="0" formatCode="_-* #\ ##0_-;\-* #\ ##0_-;_-* &quot;-&quot;??_-;_-@_-">
                  <c:v>33.497562727427308</c:v>
                </c:pt>
              </c:numCache>
            </c:numRef>
          </c:val>
          <c:extLst>
            <c:ext xmlns:c16="http://schemas.microsoft.com/office/drawing/2014/chart" uri="{C3380CC4-5D6E-409C-BE32-E72D297353CC}">
              <c16:uniqueId val="{00000001-EAEB-438C-ACCA-5E053493E67F}"/>
            </c:ext>
          </c:extLst>
        </c:ser>
        <c:ser>
          <c:idx val="1"/>
          <c:order val="1"/>
          <c:tx>
            <c:strRef>
              <c:f>'Sanitation report'!$I$425</c:f>
              <c:strCache>
                <c:ptCount val="1"/>
                <c:pt idx="0">
                  <c:v>Variable cost</c:v>
                </c:pt>
              </c:strCache>
            </c:strRef>
          </c:tx>
          <c:spPr>
            <a:solidFill>
              <a:schemeClr val="accent5">
                <a:lumMod val="60000"/>
                <a:lumOff val="40000"/>
              </a:schemeClr>
            </a:solidFill>
            <a:ln>
              <a:noFill/>
            </a:ln>
            <a:effectLst/>
          </c:spPr>
          <c:invertIfNegative val="0"/>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'Sanitation report'!$J$423:$K$423</c:f>
              <c:strCache>
                <c:ptCount val="2"/>
                <c:pt idx="0">
                  <c:v>Expenditure R'000</c:v>
                </c:pt>
                <c:pt idx="1">
                  <c:v>Revenue R'000</c:v>
                </c:pt>
              </c:strCache>
            </c:strRef>
          </c:cat>
          <c:val>
            <c:numRef>
              <c:f>'Sanitation report'!$J$425:$K$425</c:f>
              <c:numCache>
                <c:formatCode>General</c:formatCode>
                <c:ptCount val="2"/>
                <c:pt idx="0" formatCode="_-* #\ ##0_-;\-* #\ ##0_-;_-* &quot;-&quot;??_-;_-@_-">
                  <c:v>7.2836815034652487</c:v>
                </c:pt>
              </c:numCache>
            </c:numRef>
          </c:val>
          <c:extLst>
            <c:ext xmlns:c16="http://schemas.microsoft.com/office/drawing/2014/chart" uri="{C3380CC4-5D6E-409C-BE32-E72D297353CC}">
              <c16:uniqueId val="{00000002-EAEB-438C-ACCA-5E053493E67F}"/>
            </c:ext>
          </c:extLst>
        </c:ser>
        <c:ser>
          <c:idx val="2"/>
          <c:order val="2"/>
          <c:tx>
            <c:strRef>
              <c:f>'Sanitation report'!$I$426</c:f>
              <c:strCache>
                <c:ptCount val="1"/>
                <c:pt idx="0">
                  <c:v>Surplus</c:v>
                </c:pt>
              </c:strCache>
            </c:strRef>
          </c:tx>
          <c:spPr>
            <a:solidFill>
              <a:srgbClr val="A5A5A5"/>
            </a:solidFill>
            <a:ln w="25400">
              <a:noFill/>
            </a:ln>
          </c:spPr>
          <c:invertIfNegative val="0"/>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'Sanitation report'!$J$423:$K$423</c:f>
              <c:strCache>
                <c:ptCount val="2"/>
                <c:pt idx="0">
                  <c:v>Expenditure R'000</c:v>
                </c:pt>
                <c:pt idx="1">
                  <c:v>Revenue R'000</c:v>
                </c:pt>
              </c:strCache>
            </c:strRef>
          </c:cat>
          <c:val>
            <c:numRef>
              <c:f>'Sanitation report'!$J$426:$K$426</c:f>
              <c:numCache>
                <c:formatCode>General</c:formatCode>
                <c:ptCount val="2"/>
                <c:pt idx="0" formatCode="_-* #\ ##0_-;\-* #\ ##0_-;_-* &quot;-&quot;??_-;_-@_-">
                  <c:v>0</c:v>
                </c:pt>
              </c:numCache>
            </c:numRef>
          </c:val>
          <c:extLst>
            <c:ext xmlns:c16="http://schemas.microsoft.com/office/drawing/2014/chart" uri="{C3380CC4-5D6E-409C-BE32-E72D297353CC}">
              <c16:uniqueId val="{00000003-EAEB-438C-ACCA-5E053493E67F}"/>
            </c:ext>
          </c:extLst>
        </c:ser>
        <c:ser>
          <c:idx val="4"/>
          <c:order val="3"/>
          <c:tx>
            <c:strRef>
              <c:f>'Sanitation report'!$I$427</c:f>
              <c:strCache>
                <c:ptCount val="1"/>
                <c:pt idx="0">
                  <c:v>Tariff revenue</c:v>
                </c:pt>
              </c:strCache>
            </c:strRef>
          </c:tx>
          <c:spPr>
            <a:solidFill>
              <a:srgbClr val="5B9BD5"/>
            </a:solidFill>
            <a:ln w="25400">
              <a:noFill/>
            </a:ln>
          </c:spPr>
          <c:invertIfNegative val="0"/>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'Sanitation report'!$J$423:$K$423</c:f>
              <c:strCache>
                <c:ptCount val="2"/>
                <c:pt idx="0">
                  <c:v>Expenditure R'000</c:v>
                </c:pt>
                <c:pt idx="1">
                  <c:v>Revenue R'000</c:v>
                </c:pt>
              </c:strCache>
            </c:strRef>
          </c:cat>
          <c:val>
            <c:numRef>
              <c:f>'Sanitation report'!$J$427:$K$427</c:f>
              <c:numCache>
                <c:formatCode>_-* #\ ##0_-;\-* #\ ##0_-;_-* "-"??_-;_-@_-</c:formatCode>
                <c:ptCount val="2"/>
                <c:pt idx="1">
                  <c:v>34.774802120940493</c:v>
                </c:pt>
              </c:numCache>
            </c:numRef>
          </c:val>
          <c:extLst>
            <c:ext xmlns:c16="http://schemas.microsoft.com/office/drawing/2014/chart" uri="{C3380CC4-5D6E-409C-BE32-E72D297353CC}">
              <c16:uniqueId val="{00000004-EAEB-438C-ACCA-5E053493E67F}"/>
            </c:ext>
          </c:extLst>
        </c:ser>
        <c:ser>
          <c:idx val="5"/>
          <c:order val="4"/>
          <c:tx>
            <c:strRef>
              <c:f>'Sanitation report'!$I$428</c:f>
              <c:strCache>
                <c:ptCount val="1"/>
                <c:pt idx="0">
                  <c:v>External grants &amp; subsidies</c:v>
                </c:pt>
              </c:strCache>
            </c:strRef>
          </c:tx>
          <c:spPr>
            <a:solidFill>
              <a:srgbClr val="A5A5A5"/>
            </a:solidFill>
            <a:ln w="25400">
              <a:noFill/>
            </a:ln>
          </c:spPr>
          <c:invertIfNegative val="0"/>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'Sanitation report'!$J$423:$K$423</c:f>
              <c:strCache>
                <c:ptCount val="2"/>
                <c:pt idx="0">
                  <c:v>Expenditure R'000</c:v>
                </c:pt>
                <c:pt idx="1">
                  <c:v>Revenue R'000</c:v>
                </c:pt>
              </c:strCache>
            </c:strRef>
          </c:cat>
          <c:val>
            <c:numRef>
              <c:f>'Sanitation report'!$J$428:$K$428</c:f>
              <c:numCache>
                <c:formatCode>_-* #\ ##0_-;\-* #\ ##0_-;_-* "-"??_-;_-@_-</c:formatCode>
                <c:ptCount val="2"/>
                <c:pt idx="1">
                  <c:v>0</c:v>
                </c:pt>
              </c:numCache>
            </c:numRef>
          </c:val>
          <c:extLst>
            <c:ext xmlns:c16="http://schemas.microsoft.com/office/drawing/2014/chart" uri="{C3380CC4-5D6E-409C-BE32-E72D297353CC}">
              <c16:uniqueId val="{00000005-EAEB-438C-ACCA-5E053493E67F}"/>
            </c:ext>
          </c:extLst>
        </c:ser>
        <c:ser>
          <c:idx val="3"/>
          <c:order val="5"/>
          <c:tx>
            <c:strRef>
              <c:f>'Sanitation report'!$I$429</c:f>
              <c:strCache>
                <c:ptCount val="1"/>
                <c:pt idx="0">
                  <c:v>Other non-tariff revenue</c:v>
                </c:pt>
              </c:strCache>
            </c:strRef>
          </c:tx>
          <c:spPr>
            <a:solidFill>
              <a:schemeClr val="accent3">
                <a:lumMod val="40000"/>
                <a:lumOff val="60000"/>
              </a:schemeClr>
            </a:solidFill>
            <a:ln>
              <a:noFill/>
            </a:ln>
            <a:effectLst/>
          </c:spPr>
          <c:invertIfNegative val="0"/>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'Sanitation report'!$J$423:$K$423</c:f>
              <c:strCache>
                <c:ptCount val="2"/>
                <c:pt idx="0">
                  <c:v>Expenditure R'000</c:v>
                </c:pt>
                <c:pt idx="1">
                  <c:v>Revenue R'000</c:v>
                </c:pt>
              </c:strCache>
            </c:strRef>
          </c:cat>
          <c:val>
            <c:numRef>
              <c:f>'Sanitation report'!$J$429:$K$429</c:f>
              <c:numCache>
                <c:formatCode>_-* #\ ##0_-;\-* #\ ##0_-;_-* "-"??_-;_-@_-</c:formatCode>
                <c:ptCount val="2"/>
                <c:pt idx="1">
                  <c:v>6.0064421099520633</c:v>
                </c:pt>
              </c:numCache>
            </c:numRef>
          </c:val>
          <c:extLst>
            <c:ext xmlns:c16="http://schemas.microsoft.com/office/drawing/2014/chart" uri="{C3380CC4-5D6E-409C-BE32-E72D297353CC}">
              <c16:uniqueId val="{00000006-EAEB-438C-ACCA-5E053493E67F}"/>
            </c:ext>
          </c:extLst>
        </c:ser>
        <c:ser>
          <c:idx val="6"/>
          <c:order val="6"/>
          <c:tx>
            <c:strRef>
              <c:f>'Sanitation report'!$I$430</c:f>
              <c:strCache>
                <c:ptCount val="1"/>
                <c:pt idx="0">
                  <c:v>Deficit</c:v>
                </c:pt>
              </c:strCache>
            </c:strRef>
          </c:tx>
          <c:spPr>
            <a:solidFill>
              <a:srgbClr val="ED7D31"/>
            </a:solidFill>
            <a:ln w="25400">
              <a:noFill/>
            </a:ln>
          </c:spPr>
          <c:invertIfNegative val="0"/>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'Sanitation report'!$J$423:$K$423</c:f>
              <c:strCache>
                <c:ptCount val="2"/>
                <c:pt idx="0">
                  <c:v>Expenditure R'000</c:v>
                </c:pt>
                <c:pt idx="1">
                  <c:v>Revenue R'000</c:v>
                </c:pt>
              </c:strCache>
            </c:strRef>
          </c:cat>
          <c:val>
            <c:numRef>
              <c:f>'Sanitation report'!$J$430:$K$430</c:f>
              <c:numCache>
                <c:formatCode>_-* #\ ##0_-;\-* #\ ##0_-;_-* "-"??_-;_-@_-</c:formatCode>
                <c:ptCount val="2"/>
                <c:pt idx="1">
                  <c:v>0</c:v>
                </c:pt>
              </c:numCache>
            </c:numRef>
          </c:val>
          <c:extLst>
            <c:ext xmlns:c16="http://schemas.microsoft.com/office/drawing/2014/chart" uri="{C3380CC4-5D6E-409C-BE32-E72D297353CC}">
              <c16:uniqueId val="{00000007-EAEB-438C-ACCA-5E053493E67F}"/>
            </c:ext>
          </c:extLst>
        </c:ser>
        <c:dLbls>
          <c:showLegendKey val="0"/>
          <c:showVal val="0"/>
          <c:showCatName val="0"/>
          <c:showSerName val="0"/>
          <c:showPercent val="0"/>
          <c:showBubbleSize val="0"/>
        </c:dLbls>
        <c:gapWidth val="25"/>
        <c:overlap val="100"/>
        <c:axId val="1396833135"/>
        <c:axId val="1"/>
      </c:barChart>
      <c:catAx>
        <c:axId val="1396833135"/>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0" vert="horz"/>
          <a:lstStyle/>
          <a:p>
            <a:pPr>
              <a:defRPr sz="1100" b="0" i="0" u="none" strike="noStrike" baseline="0">
                <a:solidFill>
                  <a:srgbClr val="000000"/>
                </a:solidFill>
                <a:latin typeface="Calibri"/>
                <a:ea typeface="Calibri"/>
                <a:cs typeface="Calibri"/>
              </a:defRPr>
            </a:pPr>
            <a:endParaRPr lang="en-US"/>
          </a:p>
        </c:txPr>
        <c:crossAx val="1"/>
        <c:crosses val="autoZero"/>
        <c:auto val="1"/>
        <c:lblAlgn val="ctr"/>
        <c:lblOffset val="100"/>
        <c:noMultiLvlLbl val="0"/>
      </c:catAx>
      <c:valAx>
        <c:axId val="1"/>
        <c:scaling>
          <c:orientation val="minMax"/>
        </c:scaling>
        <c:delete val="1"/>
        <c:axPos val="l"/>
        <c:majorGridlines>
          <c:spPr>
            <a:ln w="9525" cap="flat" cmpd="sng" algn="ctr">
              <a:solidFill>
                <a:schemeClr val="tx1">
                  <a:lumMod val="15000"/>
                  <a:lumOff val="85000"/>
                </a:schemeClr>
              </a:solidFill>
              <a:round/>
            </a:ln>
            <a:effectLst/>
          </c:spPr>
        </c:majorGridlines>
        <c:numFmt formatCode="_-* #\ ##0_-;\-* #\ ##0_-;_-* &quot;-&quot;??_-;_-@_-" sourceLinked="1"/>
        <c:majorTickMark val="out"/>
        <c:minorTickMark val="none"/>
        <c:tickLblPos val="nextTo"/>
        <c:crossAx val="1396833135"/>
        <c:crosses val="autoZero"/>
        <c:crossBetween val="between"/>
      </c:valAx>
    </c:plotArea>
    <c:legend>
      <c:legendPos val="r"/>
      <c:layout>
        <c:manualLayout>
          <c:xMode val="edge"/>
          <c:yMode val="edge"/>
          <c:x val="0.63060873861355571"/>
          <c:y val="0.19876461094537096"/>
          <c:w val="0.34824665740311866"/>
          <c:h val="0.70809931367274737"/>
        </c:manualLayout>
      </c:layout>
      <c:overlay val="0"/>
      <c:spPr>
        <a:noFill/>
        <a:ln w="25400">
          <a:noFill/>
        </a:ln>
      </c:spPr>
      <c:txPr>
        <a:bodyPr/>
        <a:lstStyle/>
        <a:p>
          <a:pPr>
            <a:defRPr sz="850" b="0" i="0" u="none" strike="noStrike" baseline="0">
              <a:solidFill>
                <a:srgbClr val="000000"/>
              </a:solidFill>
              <a:latin typeface="Calibri"/>
              <a:ea typeface="Calibri"/>
              <a:cs typeface="Calibri"/>
            </a:defRPr>
          </a:pPr>
          <a:endParaRPr lang="en-US"/>
        </a:p>
      </c:txPr>
    </c:legend>
    <c:plotVisOnly val="1"/>
    <c:dispBlanksAs val="gap"/>
    <c:showDLblsOverMax val="0"/>
  </c:chart>
  <c:spPr>
    <a:solidFill>
      <a:schemeClr val="bg1"/>
    </a:solidFill>
    <a:ln w="9525" cap="flat" cmpd="sng" algn="ctr">
      <a:noFill/>
      <a:round/>
    </a:ln>
    <a:effectLst/>
  </c:spPr>
  <c:txPr>
    <a:bodyPr/>
    <a:lstStyle/>
    <a:p>
      <a:pPr>
        <a:defRPr sz="1100" b="0" i="0" u="none" strike="noStrike" baseline="0">
          <a:solidFill>
            <a:srgbClr val="000000"/>
          </a:solidFill>
          <a:latin typeface="Calibri"/>
          <a:ea typeface="Calibri"/>
          <a:cs typeface="Calibri"/>
        </a:defRPr>
      </a:pPr>
      <a:endParaRPr lang="en-US"/>
    </a:p>
  </c:txPr>
  <c:printSettings>
    <c:headerFooter/>
    <c:pageMargins b="0.75" l="0.7" r="0.7" t="0.75" header="0.3" footer="0.3"/>
    <c:pageSetup orientation="portrait"/>
  </c:printSettings>
</c:chartSpace>
</file>

<file path=xl/charts/chart11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ser>
          <c:idx val="0"/>
          <c:order val="0"/>
          <c:tx>
            <c:strRef>
              <c:f>'Sanitation report'!$K$446</c:f>
              <c:strCache>
                <c:ptCount val="1"/>
                <c:pt idx="0">
                  <c:v>Tariff </c:v>
                </c:pt>
              </c:strCache>
            </c:strRef>
          </c:tx>
          <c:spPr>
            <a:solidFill>
              <a:srgbClr val="4472C4"/>
            </a:solidFill>
            <a:ln w="25400">
              <a:noFill/>
            </a:ln>
          </c:spPr>
          <c:invertIfNegative val="0"/>
          <c:dLbls>
            <c:spPr>
              <a:noFill/>
              <a:ln w="25400">
                <a:noFill/>
              </a:ln>
            </c:spPr>
            <c:txPr>
              <a:bodyPr wrap="square" lIns="38100" tIns="19050" rIns="38100" bIns="19050" anchor="ctr">
                <a:spAutoFit/>
              </a:bodyPr>
              <a:lstStyle/>
              <a:p>
                <a:pPr>
                  <a:defRPr sz="900" b="0" i="0" u="none" strike="noStrike" baseline="0">
                    <a:solidFill>
                      <a:srgbClr val="333333"/>
                    </a:solidFill>
                    <a:latin typeface="Calibri"/>
                    <a:ea typeface="Calibri"/>
                    <a:cs typeface="Calibri"/>
                  </a:defRPr>
                </a:pPr>
                <a:endParaRPr lang="en-US"/>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numRef>
              <c:f>'Sanitation report'!$J$447:$J$456</c:f>
              <c:numCache>
                <c:formatCode>General</c:formatCode>
                <c:ptCount val="10"/>
                <c:pt idx="0">
                  <c:v>0</c:v>
                </c:pt>
                <c:pt idx="1">
                  <c:v>0</c:v>
                </c:pt>
                <c:pt idx="2">
                  <c:v>0</c:v>
                </c:pt>
                <c:pt idx="3">
                  <c:v>0</c:v>
                </c:pt>
                <c:pt idx="4">
                  <c:v>0</c:v>
                </c:pt>
                <c:pt idx="5">
                  <c:v>0</c:v>
                </c:pt>
                <c:pt idx="6">
                  <c:v>0</c:v>
                </c:pt>
                <c:pt idx="7">
                  <c:v>0</c:v>
                </c:pt>
                <c:pt idx="8">
                  <c:v>0</c:v>
                </c:pt>
                <c:pt idx="9">
                  <c:v>0</c:v>
                </c:pt>
              </c:numCache>
            </c:numRef>
          </c:cat>
          <c:val>
            <c:numRef>
              <c:f>'Sanitation report'!$K$447:$K$456</c:f>
              <c:numCache>
                <c:formatCode>_(* #,##0.00_);_(* \(#,##0.00\);_(* "-"??_);_(@_)</c:formatCode>
                <c:ptCount val="10"/>
                <c:pt idx="0">
                  <c:v>26.090743424938058</c:v>
                </c:pt>
                <c:pt idx="1">
                  <c:v>0</c:v>
                </c:pt>
                <c:pt idx="2">
                  <c:v>0</c:v>
                </c:pt>
                <c:pt idx="3">
                  <c:v>0</c:v>
                </c:pt>
                <c:pt idx="4">
                  <c:v>0</c:v>
                </c:pt>
                <c:pt idx="5">
                  <c:v>0</c:v>
                </c:pt>
                <c:pt idx="6">
                  <c:v>0</c:v>
                </c:pt>
                <c:pt idx="7">
                  <c:v>0</c:v>
                </c:pt>
                <c:pt idx="8">
                  <c:v>0</c:v>
                </c:pt>
                <c:pt idx="9">
                  <c:v>0</c:v>
                </c:pt>
              </c:numCache>
            </c:numRef>
          </c:val>
          <c:extLst>
            <c:ext xmlns:c16="http://schemas.microsoft.com/office/drawing/2014/chart" uri="{C3380CC4-5D6E-409C-BE32-E72D297353CC}">
              <c16:uniqueId val="{00000000-B1E5-4FB3-A20E-23C4B16D7628}"/>
            </c:ext>
          </c:extLst>
        </c:ser>
        <c:dLbls>
          <c:showLegendKey val="0"/>
          <c:showVal val="0"/>
          <c:showCatName val="0"/>
          <c:showSerName val="0"/>
          <c:showPercent val="0"/>
          <c:showBubbleSize val="0"/>
        </c:dLbls>
        <c:gapWidth val="50"/>
        <c:axId val="1396808175"/>
        <c:axId val="1"/>
      </c:barChart>
      <c:lineChart>
        <c:grouping val="standard"/>
        <c:varyColors val="0"/>
        <c:ser>
          <c:idx val="1"/>
          <c:order val="1"/>
          <c:tx>
            <c:strRef>
              <c:f>'Sanitation report'!$L$446</c:f>
              <c:strCache>
                <c:ptCount val="1"/>
                <c:pt idx="0">
                  <c:v>Total cost per kl </c:v>
                </c:pt>
              </c:strCache>
            </c:strRef>
          </c:tx>
          <c:spPr>
            <a:ln w="28575" cap="rnd">
              <a:solidFill>
                <a:schemeClr val="accent2"/>
              </a:solidFill>
              <a:round/>
            </a:ln>
            <a:effectLst/>
          </c:spPr>
          <c:marker>
            <c:symbol val="none"/>
          </c:marker>
          <c:cat>
            <c:numRef>
              <c:f>'Sanitation report'!$J$447:$J$456</c:f>
              <c:numCache>
                <c:formatCode>General</c:formatCode>
                <c:ptCount val="10"/>
                <c:pt idx="0">
                  <c:v>0</c:v>
                </c:pt>
                <c:pt idx="1">
                  <c:v>0</c:v>
                </c:pt>
                <c:pt idx="2">
                  <c:v>0</c:v>
                </c:pt>
                <c:pt idx="3">
                  <c:v>0</c:v>
                </c:pt>
                <c:pt idx="4">
                  <c:v>0</c:v>
                </c:pt>
                <c:pt idx="5">
                  <c:v>0</c:v>
                </c:pt>
                <c:pt idx="6">
                  <c:v>0</c:v>
                </c:pt>
                <c:pt idx="7">
                  <c:v>0</c:v>
                </c:pt>
                <c:pt idx="8">
                  <c:v>0</c:v>
                </c:pt>
                <c:pt idx="9">
                  <c:v>0</c:v>
                </c:pt>
              </c:numCache>
            </c:numRef>
          </c:cat>
          <c:val>
            <c:numRef>
              <c:f>'Sanitation report'!$L$447:$L$456</c:f>
              <c:numCache>
                <c:formatCode>_(* #,##0.00_);_(* \(#,##0.00\);_(* "-"??_);_(@_)</c:formatCode>
                <c:ptCount val="10"/>
                <c:pt idx="0">
                  <c:v>30.597240383353089</c:v>
                </c:pt>
                <c:pt idx="1">
                  <c:v>30.597240383353089</c:v>
                </c:pt>
                <c:pt idx="2">
                  <c:v>30.597240383353089</c:v>
                </c:pt>
                <c:pt idx="3">
                  <c:v>30.597240383353089</c:v>
                </c:pt>
                <c:pt idx="4">
                  <c:v>30.597240383353089</c:v>
                </c:pt>
                <c:pt idx="5">
                  <c:v>30.597240383353089</c:v>
                </c:pt>
                <c:pt idx="6">
                  <c:v>30.597240383353089</c:v>
                </c:pt>
                <c:pt idx="7">
                  <c:v>30.597240383353089</c:v>
                </c:pt>
                <c:pt idx="8">
                  <c:v>30.597240383353089</c:v>
                </c:pt>
                <c:pt idx="9">
                  <c:v>30.597240383353089</c:v>
                </c:pt>
              </c:numCache>
            </c:numRef>
          </c:val>
          <c:smooth val="0"/>
          <c:extLst>
            <c:ext xmlns:c16="http://schemas.microsoft.com/office/drawing/2014/chart" uri="{C3380CC4-5D6E-409C-BE32-E72D297353CC}">
              <c16:uniqueId val="{00000001-B1E5-4FB3-A20E-23C4B16D7628}"/>
            </c:ext>
          </c:extLst>
        </c:ser>
        <c:ser>
          <c:idx val="2"/>
          <c:order val="2"/>
          <c:tx>
            <c:strRef>
              <c:f>'Sanitation report'!$M$446</c:f>
              <c:strCache>
                <c:ptCount val="1"/>
                <c:pt idx="0">
                  <c:v>Variable cost per kl treated</c:v>
                </c:pt>
              </c:strCache>
            </c:strRef>
          </c:tx>
          <c:spPr>
            <a:ln w="28575" cap="rnd">
              <a:solidFill>
                <a:schemeClr val="accent3"/>
              </a:solidFill>
              <a:round/>
            </a:ln>
            <a:effectLst/>
          </c:spPr>
          <c:marker>
            <c:symbol val="none"/>
          </c:marker>
          <c:cat>
            <c:numRef>
              <c:f>'Sanitation report'!$J$447:$J$456</c:f>
              <c:numCache>
                <c:formatCode>General</c:formatCode>
                <c:ptCount val="10"/>
                <c:pt idx="0">
                  <c:v>0</c:v>
                </c:pt>
                <c:pt idx="1">
                  <c:v>0</c:v>
                </c:pt>
                <c:pt idx="2">
                  <c:v>0</c:v>
                </c:pt>
                <c:pt idx="3">
                  <c:v>0</c:v>
                </c:pt>
                <c:pt idx="4">
                  <c:v>0</c:v>
                </c:pt>
                <c:pt idx="5">
                  <c:v>0</c:v>
                </c:pt>
                <c:pt idx="6">
                  <c:v>0</c:v>
                </c:pt>
                <c:pt idx="7">
                  <c:v>0</c:v>
                </c:pt>
                <c:pt idx="8">
                  <c:v>0</c:v>
                </c:pt>
                <c:pt idx="9">
                  <c:v>0</c:v>
                </c:pt>
              </c:numCache>
            </c:numRef>
          </c:cat>
          <c:val>
            <c:numRef>
              <c:f>'Sanitation report'!$M$447:$M$456</c:f>
              <c:numCache>
                <c:formatCode>_(* #,##0.00_);_(* \(#,##0.00\);_(* "-"??_);_(@_)</c:formatCode>
                <c:ptCount val="10"/>
                <c:pt idx="0">
                  <c:v>5.4647806372834458</c:v>
                </c:pt>
                <c:pt idx="1">
                  <c:v>5.4647806372834458</c:v>
                </c:pt>
                <c:pt idx="2">
                  <c:v>5.4647806372834458</c:v>
                </c:pt>
                <c:pt idx="3">
                  <c:v>5.4647806372834458</c:v>
                </c:pt>
                <c:pt idx="4">
                  <c:v>5.4647806372834458</c:v>
                </c:pt>
                <c:pt idx="5">
                  <c:v>5.4647806372834458</c:v>
                </c:pt>
                <c:pt idx="6">
                  <c:v>5.4647806372834458</c:v>
                </c:pt>
                <c:pt idx="7">
                  <c:v>5.4647806372834458</c:v>
                </c:pt>
                <c:pt idx="8">
                  <c:v>5.4647806372834458</c:v>
                </c:pt>
                <c:pt idx="9">
                  <c:v>5.4647806372834458</c:v>
                </c:pt>
              </c:numCache>
            </c:numRef>
          </c:val>
          <c:smooth val="0"/>
          <c:extLst>
            <c:ext xmlns:c16="http://schemas.microsoft.com/office/drawing/2014/chart" uri="{C3380CC4-5D6E-409C-BE32-E72D297353CC}">
              <c16:uniqueId val="{00000002-B1E5-4FB3-A20E-23C4B16D7628}"/>
            </c:ext>
          </c:extLst>
        </c:ser>
        <c:dLbls>
          <c:showLegendKey val="0"/>
          <c:showVal val="0"/>
          <c:showCatName val="0"/>
          <c:showSerName val="0"/>
          <c:showPercent val="0"/>
          <c:showBubbleSize val="0"/>
        </c:dLbls>
        <c:marker val="1"/>
        <c:smooth val="0"/>
        <c:axId val="1396808175"/>
        <c:axId val="1"/>
      </c:lineChart>
      <c:catAx>
        <c:axId val="1396808175"/>
        <c:scaling>
          <c:orientation val="minMax"/>
        </c:scaling>
        <c:delete val="0"/>
        <c:axPos val="b"/>
        <c:title>
          <c:tx>
            <c:rich>
              <a:bodyPr/>
              <a:lstStyle/>
              <a:p>
                <a:pPr>
                  <a:defRPr sz="1000" b="0" i="0" u="none" strike="noStrike" baseline="0">
                    <a:solidFill>
                      <a:srgbClr val="333333"/>
                    </a:solidFill>
                    <a:latin typeface="Calibri"/>
                    <a:ea typeface="Calibri"/>
                    <a:cs typeface="Calibri"/>
                  </a:defRPr>
                </a:pPr>
                <a:r>
                  <a:rPr lang="en-ZA"/>
                  <a:t>Block size</a:t>
                </a:r>
              </a:p>
            </c:rich>
          </c:tx>
          <c:overlay val="0"/>
          <c:spPr>
            <a:noFill/>
            <a:ln w="25400">
              <a:noFill/>
            </a:ln>
          </c:spPr>
        </c:title>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0" vert="horz"/>
          <a:lstStyle/>
          <a:p>
            <a:pPr>
              <a:defRPr sz="900" b="0" i="0" u="none" strike="noStrike" baseline="0">
                <a:solidFill>
                  <a:srgbClr val="333333"/>
                </a:solidFill>
                <a:latin typeface="Calibri"/>
                <a:ea typeface="Calibri"/>
                <a:cs typeface="Calibri"/>
              </a:defRPr>
            </a:pPr>
            <a:endParaRPr lang="en-US"/>
          </a:p>
        </c:txPr>
        <c:crossAx val="1"/>
        <c:crosses val="autoZero"/>
        <c:auto val="1"/>
        <c:lblAlgn val="ctr"/>
        <c:lblOffset val="100"/>
        <c:noMultiLvlLbl val="0"/>
      </c:catAx>
      <c:valAx>
        <c:axId val="1"/>
        <c:scaling>
          <c:orientation val="minMax"/>
        </c:scaling>
        <c:delete val="0"/>
        <c:axPos val="l"/>
        <c:majorGridlines>
          <c:spPr>
            <a:ln w="9525" cap="flat" cmpd="sng" algn="ctr">
              <a:solidFill>
                <a:schemeClr val="tx1">
                  <a:lumMod val="15000"/>
                  <a:lumOff val="85000"/>
                </a:schemeClr>
              </a:solidFill>
              <a:round/>
            </a:ln>
            <a:effectLst/>
          </c:spPr>
        </c:majorGridlines>
        <c:title>
          <c:tx>
            <c:rich>
              <a:bodyPr/>
              <a:lstStyle/>
              <a:p>
                <a:pPr>
                  <a:defRPr sz="1000" b="0" i="0" u="none" strike="noStrike" baseline="0">
                    <a:solidFill>
                      <a:srgbClr val="333333"/>
                    </a:solidFill>
                    <a:latin typeface="Calibri"/>
                    <a:ea typeface="Calibri"/>
                    <a:cs typeface="Calibri"/>
                  </a:defRPr>
                </a:pPr>
                <a:r>
                  <a:rPr lang="en-ZA"/>
                  <a:t>R/kl</a:t>
                </a:r>
              </a:p>
            </c:rich>
          </c:tx>
          <c:overlay val="0"/>
          <c:spPr>
            <a:noFill/>
            <a:ln w="25400">
              <a:noFill/>
            </a:ln>
          </c:spPr>
        </c:title>
        <c:numFmt formatCode="_(* #,##0.00_);_(* \(#,##0.00\);_(* &quot;-&quot;??_);_(@_)" sourceLinked="1"/>
        <c:majorTickMark val="none"/>
        <c:minorTickMark val="none"/>
        <c:tickLblPos val="nextTo"/>
        <c:spPr>
          <a:ln w="6350">
            <a:noFill/>
          </a:ln>
        </c:spPr>
        <c:txPr>
          <a:bodyPr rot="0" vert="horz"/>
          <a:lstStyle/>
          <a:p>
            <a:pPr>
              <a:defRPr sz="900" b="0" i="0" u="none" strike="noStrike" baseline="0">
                <a:solidFill>
                  <a:srgbClr val="333333"/>
                </a:solidFill>
                <a:latin typeface="Calibri"/>
                <a:ea typeface="Calibri"/>
                <a:cs typeface="Calibri"/>
              </a:defRPr>
            </a:pPr>
            <a:endParaRPr lang="en-US"/>
          </a:p>
        </c:txPr>
        <c:crossAx val="1396808175"/>
        <c:crosses val="autoZero"/>
        <c:crossBetween val="between"/>
      </c:valAx>
    </c:plotArea>
    <c:legend>
      <c:legendPos val="r"/>
      <c:layout>
        <c:manualLayout>
          <c:xMode val="edge"/>
          <c:yMode val="edge"/>
          <c:x val="0.12362011021685021"/>
          <c:y val="0.92994800178279602"/>
          <c:w val="0.74541089190419463"/>
          <c:h val="5.930117225912801E-2"/>
        </c:manualLayout>
      </c:layout>
      <c:overlay val="0"/>
      <c:spPr>
        <a:noFill/>
        <a:ln w="25400">
          <a:noFill/>
        </a:ln>
      </c:spPr>
      <c:txPr>
        <a:bodyPr/>
        <a:lstStyle/>
        <a:p>
          <a:pPr>
            <a:defRPr sz="690" b="0" i="0" u="none" strike="noStrike" baseline="0">
              <a:solidFill>
                <a:srgbClr val="333333"/>
              </a:solidFill>
              <a:latin typeface="Calibri"/>
              <a:ea typeface="Calibri"/>
              <a:cs typeface="Calibri"/>
            </a:defRPr>
          </a:pPr>
          <a:endParaRPr lang="en-US"/>
        </a:p>
      </c:txPr>
    </c:legend>
    <c:plotVisOnly val="1"/>
    <c:dispBlanksAs val="gap"/>
    <c:showDLblsOverMax val="0"/>
  </c:chart>
  <c:spPr>
    <a:solidFill>
      <a:schemeClr val="bg1"/>
    </a:solidFill>
    <a:ln w="9525" cap="flat" cmpd="sng" algn="ctr">
      <a:noFill/>
      <a:round/>
    </a:ln>
    <a:effectLst/>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charts/chart11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2.3871527777777776E-2"/>
          <c:y val="4.7786414907172239E-2"/>
          <c:w val="0.57559123468941387"/>
          <c:h val="0.83529592857692603"/>
        </c:manualLayout>
      </c:layout>
      <c:barChart>
        <c:barDir val="col"/>
        <c:grouping val="stacked"/>
        <c:varyColors val="0"/>
        <c:ser>
          <c:idx val="0"/>
          <c:order val="0"/>
          <c:tx>
            <c:strRef>
              <c:f>'Sanitation report'!$I$492</c:f>
              <c:strCache>
                <c:ptCount val="1"/>
                <c:pt idx="0">
                  <c:v>Fixed cost</c:v>
                </c:pt>
              </c:strCache>
            </c:strRef>
          </c:tx>
          <c:spPr>
            <a:solidFill>
              <a:srgbClr val="4472C4"/>
            </a:solidFill>
            <a:ln w="25400">
              <a:noFill/>
            </a:ln>
          </c:spPr>
          <c:invertIfNegative val="0"/>
          <c:dPt>
            <c:idx val="0"/>
            <c:invertIfNegative val="0"/>
            <c:bubble3D val="0"/>
            <c:spPr>
              <a:solidFill>
                <a:srgbClr val="5B9BD5"/>
              </a:solidFill>
              <a:ln w="25400">
                <a:noFill/>
              </a:ln>
            </c:spPr>
            <c:extLst>
              <c:ext xmlns:c16="http://schemas.microsoft.com/office/drawing/2014/chart" uri="{C3380CC4-5D6E-409C-BE32-E72D297353CC}">
                <c16:uniqueId val="{00000000-9F0A-495E-8400-9EF526846AB6}"/>
              </c:ext>
            </c:extLst>
          </c:dPt>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'Sanitation report'!$J$491:$K$491</c:f>
              <c:strCache>
                <c:ptCount val="2"/>
                <c:pt idx="0">
                  <c:v>Expenditure R'000</c:v>
                </c:pt>
                <c:pt idx="1">
                  <c:v>Revenue R'000</c:v>
                </c:pt>
              </c:strCache>
            </c:strRef>
          </c:cat>
          <c:val>
            <c:numRef>
              <c:f>'Sanitation report'!$J$492:$K$492</c:f>
              <c:numCache>
                <c:formatCode>General</c:formatCode>
                <c:ptCount val="2"/>
                <c:pt idx="0" formatCode="_-* #\ ##0_-;\-* #\ ##0_-;_-* &quot;-&quot;??_-;_-@_-">
                  <c:v>301.47806454684581</c:v>
                </c:pt>
              </c:numCache>
            </c:numRef>
          </c:val>
          <c:extLst>
            <c:ext xmlns:c16="http://schemas.microsoft.com/office/drawing/2014/chart" uri="{C3380CC4-5D6E-409C-BE32-E72D297353CC}">
              <c16:uniqueId val="{00000001-9F0A-495E-8400-9EF526846AB6}"/>
            </c:ext>
          </c:extLst>
        </c:ser>
        <c:ser>
          <c:idx val="1"/>
          <c:order val="1"/>
          <c:tx>
            <c:strRef>
              <c:f>'Sanitation report'!$I$493</c:f>
              <c:strCache>
                <c:ptCount val="1"/>
                <c:pt idx="0">
                  <c:v>Variable cost</c:v>
                </c:pt>
              </c:strCache>
            </c:strRef>
          </c:tx>
          <c:spPr>
            <a:solidFill>
              <a:schemeClr val="accent5">
                <a:lumMod val="60000"/>
                <a:lumOff val="40000"/>
              </a:schemeClr>
            </a:solidFill>
            <a:ln>
              <a:noFill/>
            </a:ln>
            <a:effectLst/>
          </c:spPr>
          <c:invertIfNegative val="0"/>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'Sanitation report'!$J$491:$K$491</c:f>
              <c:strCache>
                <c:ptCount val="2"/>
                <c:pt idx="0">
                  <c:v>Expenditure R'000</c:v>
                </c:pt>
                <c:pt idx="1">
                  <c:v>Revenue R'000</c:v>
                </c:pt>
              </c:strCache>
            </c:strRef>
          </c:cat>
          <c:val>
            <c:numRef>
              <c:f>'Sanitation report'!$J$493:$K$493</c:f>
              <c:numCache>
                <c:formatCode>General</c:formatCode>
                <c:ptCount val="2"/>
                <c:pt idx="0" formatCode="_-* #\ ##0_-;\-* #\ ##0_-;_-* &quot;-&quot;??_-;_-@_-">
                  <c:v>0</c:v>
                </c:pt>
              </c:numCache>
            </c:numRef>
          </c:val>
          <c:extLst>
            <c:ext xmlns:c16="http://schemas.microsoft.com/office/drawing/2014/chart" uri="{C3380CC4-5D6E-409C-BE32-E72D297353CC}">
              <c16:uniqueId val="{00000002-9F0A-495E-8400-9EF526846AB6}"/>
            </c:ext>
          </c:extLst>
        </c:ser>
        <c:ser>
          <c:idx val="2"/>
          <c:order val="2"/>
          <c:tx>
            <c:strRef>
              <c:f>'Sanitation report'!$I$494</c:f>
              <c:strCache>
                <c:ptCount val="1"/>
                <c:pt idx="0">
                  <c:v>Surplus</c:v>
                </c:pt>
              </c:strCache>
            </c:strRef>
          </c:tx>
          <c:spPr>
            <a:solidFill>
              <a:srgbClr val="A5A5A5"/>
            </a:solidFill>
            <a:ln w="25400">
              <a:noFill/>
            </a:ln>
          </c:spPr>
          <c:invertIfNegative val="0"/>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'Sanitation report'!$J$491:$K$491</c:f>
              <c:strCache>
                <c:ptCount val="2"/>
                <c:pt idx="0">
                  <c:v>Expenditure R'000</c:v>
                </c:pt>
                <c:pt idx="1">
                  <c:v>Revenue R'000</c:v>
                </c:pt>
              </c:strCache>
            </c:strRef>
          </c:cat>
          <c:val>
            <c:numRef>
              <c:f>'Sanitation report'!$J$494:$K$494</c:f>
              <c:numCache>
                <c:formatCode>General</c:formatCode>
                <c:ptCount val="2"/>
                <c:pt idx="0" formatCode="_-* #\ ##0_-;\-* #\ ##0_-;_-* &quot;-&quot;??_-;_-@_-">
                  <c:v>0</c:v>
                </c:pt>
              </c:numCache>
            </c:numRef>
          </c:val>
          <c:extLst>
            <c:ext xmlns:c16="http://schemas.microsoft.com/office/drawing/2014/chart" uri="{C3380CC4-5D6E-409C-BE32-E72D297353CC}">
              <c16:uniqueId val="{00000003-9F0A-495E-8400-9EF526846AB6}"/>
            </c:ext>
          </c:extLst>
        </c:ser>
        <c:ser>
          <c:idx val="4"/>
          <c:order val="3"/>
          <c:tx>
            <c:strRef>
              <c:f>'Sanitation report'!$I$495</c:f>
              <c:strCache>
                <c:ptCount val="1"/>
                <c:pt idx="0">
                  <c:v>Tariff revenue</c:v>
                </c:pt>
              </c:strCache>
            </c:strRef>
          </c:tx>
          <c:spPr>
            <a:solidFill>
              <a:srgbClr val="5B9BD5"/>
            </a:solidFill>
            <a:ln w="25400">
              <a:noFill/>
            </a:ln>
          </c:spPr>
          <c:invertIfNegative val="0"/>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'Sanitation report'!$J$491:$K$491</c:f>
              <c:strCache>
                <c:ptCount val="2"/>
                <c:pt idx="0">
                  <c:v>Expenditure R'000</c:v>
                </c:pt>
                <c:pt idx="1">
                  <c:v>Revenue R'000</c:v>
                </c:pt>
              </c:strCache>
            </c:strRef>
          </c:cat>
          <c:val>
            <c:numRef>
              <c:f>'Sanitation report'!$J$495:$K$495</c:f>
              <c:numCache>
                <c:formatCode>_-* #\ ##0_-;\-* #\ ##0_-;_-* "-"??_-;_-@_-</c:formatCode>
                <c:ptCount val="2"/>
                <c:pt idx="1">
                  <c:v>257.07504114057861</c:v>
                </c:pt>
              </c:numCache>
            </c:numRef>
          </c:val>
          <c:extLst>
            <c:ext xmlns:c16="http://schemas.microsoft.com/office/drawing/2014/chart" uri="{C3380CC4-5D6E-409C-BE32-E72D297353CC}">
              <c16:uniqueId val="{00000004-9F0A-495E-8400-9EF526846AB6}"/>
            </c:ext>
          </c:extLst>
        </c:ser>
        <c:ser>
          <c:idx val="5"/>
          <c:order val="4"/>
          <c:tx>
            <c:strRef>
              <c:f>'Sanitation report'!$I$496</c:f>
              <c:strCache>
                <c:ptCount val="1"/>
                <c:pt idx="0">
                  <c:v>External grants &amp; subsidies</c:v>
                </c:pt>
              </c:strCache>
            </c:strRef>
          </c:tx>
          <c:spPr>
            <a:solidFill>
              <a:srgbClr val="A5A5A5"/>
            </a:solidFill>
            <a:ln w="25400">
              <a:noFill/>
            </a:ln>
          </c:spPr>
          <c:invertIfNegative val="0"/>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'Sanitation report'!$J$491:$K$491</c:f>
              <c:strCache>
                <c:ptCount val="2"/>
                <c:pt idx="0">
                  <c:v>Expenditure R'000</c:v>
                </c:pt>
                <c:pt idx="1">
                  <c:v>Revenue R'000</c:v>
                </c:pt>
              </c:strCache>
            </c:strRef>
          </c:cat>
          <c:val>
            <c:numRef>
              <c:f>'Sanitation report'!$J$496:$K$496</c:f>
              <c:numCache>
                <c:formatCode>_-* #\ ##0_-;\-* #\ ##0_-;_-* "-"??_-;_-@_-</c:formatCode>
                <c:ptCount val="2"/>
                <c:pt idx="1">
                  <c:v>0</c:v>
                </c:pt>
              </c:numCache>
            </c:numRef>
          </c:val>
          <c:extLst>
            <c:ext xmlns:c16="http://schemas.microsoft.com/office/drawing/2014/chart" uri="{C3380CC4-5D6E-409C-BE32-E72D297353CC}">
              <c16:uniqueId val="{00000005-9F0A-495E-8400-9EF526846AB6}"/>
            </c:ext>
          </c:extLst>
        </c:ser>
        <c:ser>
          <c:idx val="3"/>
          <c:order val="5"/>
          <c:tx>
            <c:strRef>
              <c:f>'Sanitation report'!$I$497</c:f>
              <c:strCache>
                <c:ptCount val="1"/>
                <c:pt idx="0">
                  <c:v>Other non-tariff revenue</c:v>
                </c:pt>
              </c:strCache>
            </c:strRef>
          </c:tx>
          <c:spPr>
            <a:solidFill>
              <a:schemeClr val="accent3">
                <a:lumMod val="40000"/>
                <a:lumOff val="60000"/>
              </a:schemeClr>
            </a:solidFill>
            <a:ln>
              <a:noFill/>
            </a:ln>
            <a:effectLst/>
          </c:spPr>
          <c:invertIfNegative val="0"/>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'Sanitation report'!$J$491:$K$491</c:f>
              <c:strCache>
                <c:ptCount val="2"/>
                <c:pt idx="0">
                  <c:v>Expenditure R'000</c:v>
                </c:pt>
                <c:pt idx="1">
                  <c:v>Revenue R'000</c:v>
                </c:pt>
              </c:strCache>
            </c:strRef>
          </c:cat>
          <c:val>
            <c:numRef>
              <c:f>'Sanitation report'!$J$497:$K$497</c:f>
              <c:numCache>
                <c:formatCode>_-* #\ ##0_-;\-* #\ ##0_-;_-* "-"??_-;_-@_-</c:formatCode>
                <c:ptCount val="2"/>
                <c:pt idx="1">
                  <c:v>44.403023406267188</c:v>
                </c:pt>
              </c:numCache>
            </c:numRef>
          </c:val>
          <c:extLst>
            <c:ext xmlns:c16="http://schemas.microsoft.com/office/drawing/2014/chart" uri="{C3380CC4-5D6E-409C-BE32-E72D297353CC}">
              <c16:uniqueId val="{00000006-9F0A-495E-8400-9EF526846AB6}"/>
            </c:ext>
          </c:extLst>
        </c:ser>
        <c:ser>
          <c:idx val="6"/>
          <c:order val="6"/>
          <c:tx>
            <c:strRef>
              <c:f>'Sanitation report'!$I$498</c:f>
              <c:strCache>
                <c:ptCount val="1"/>
                <c:pt idx="0">
                  <c:v>Deficit</c:v>
                </c:pt>
              </c:strCache>
            </c:strRef>
          </c:tx>
          <c:spPr>
            <a:solidFill>
              <a:srgbClr val="ED7D31"/>
            </a:solidFill>
            <a:ln w="25400">
              <a:noFill/>
            </a:ln>
          </c:spPr>
          <c:invertIfNegative val="0"/>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'Sanitation report'!$J$491:$K$491</c:f>
              <c:strCache>
                <c:ptCount val="2"/>
                <c:pt idx="0">
                  <c:v>Expenditure R'000</c:v>
                </c:pt>
                <c:pt idx="1">
                  <c:v>Revenue R'000</c:v>
                </c:pt>
              </c:strCache>
            </c:strRef>
          </c:cat>
          <c:val>
            <c:numRef>
              <c:f>'Sanitation report'!$J$498:$K$498</c:f>
              <c:numCache>
                <c:formatCode>_-* #\ ##0_-;\-* #\ ##0_-;_-* "-"??_-;_-@_-</c:formatCode>
                <c:ptCount val="2"/>
                <c:pt idx="1">
                  <c:v>0</c:v>
                </c:pt>
              </c:numCache>
            </c:numRef>
          </c:val>
          <c:extLst>
            <c:ext xmlns:c16="http://schemas.microsoft.com/office/drawing/2014/chart" uri="{C3380CC4-5D6E-409C-BE32-E72D297353CC}">
              <c16:uniqueId val="{00000007-9F0A-495E-8400-9EF526846AB6}"/>
            </c:ext>
          </c:extLst>
        </c:ser>
        <c:dLbls>
          <c:showLegendKey val="0"/>
          <c:showVal val="0"/>
          <c:showCatName val="0"/>
          <c:showSerName val="0"/>
          <c:showPercent val="0"/>
          <c:showBubbleSize val="0"/>
        </c:dLbls>
        <c:gapWidth val="25"/>
        <c:overlap val="100"/>
        <c:axId val="1396834575"/>
        <c:axId val="1"/>
      </c:barChart>
      <c:catAx>
        <c:axId val="1396834575"/>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0" vert="horz"/>
          <a:lstStyle/>
          <a:p>
            <a:pPr>
              <a:defRPr sz="1100" b="0" i="0" u="none" strike="noStrike" baseline="0">
                <a:solidFill>
                  <a:srgbClr val="000000"/>
                </a:solidFill>
                <a:latin typeface="Calibri"/>
                <a:ea typeface="Calibri"/>
                <a:cs typeface="Calibri"/>
              </a:defRPr>
            </a:pPr>
            <a:endParaRPr lang="en-US"/>
          </a:p>
        </c:txPr>
        <c:crossAx val="1"/>
        <c:crosses val="autoZero"/>
        <c:auto val="1"/>
        <c:lblAlgn val="ctr"/>
        <c:lblOffset val="100"/>
        <c:noMultiLvlLbl val="0"/>
      </c:catAx>
      <c:valAx>
        <c:axId val="1"/>
        <c:scaling>
          <c:orientation val="minMax"/>
        </c:scaling>
        <c:delete val="1"/>
        <c:axPos val="l"/>
        <c:majorGridlines>
          <c:spPr>
            <a:ln w="9525" cap="flat" cmpd="sng" algn="ctr">
              <a:solidFill>
                <a:schemeClr val="tx1">
                  <a:lumMod val="15000"/>
                  <a:lumOff val="85000"/>
                </a:schemeClr>
              </a:solidFill>
              <a:round/>
            </a:ln>
            <a:effectLst/>
          </c:spPr>
        </c:majorGridlines>
        <c:numFmt formatCode="_-* #\ ##0_-;\-* #\ ##0_-;_-* &quot;-&quot;??_-;_-@_-" sourceLinked="1"/>
        <c:majorTickMark val="out"/>
        <c:minorTickMark val="none"/>
        <c:tickLblPos val="nextTo"/>
        <c:crossAx val="1396834575"/>
        <c:crosses val="autoZero"/>
        <c:crossBetween val="between"/>
      </c:valAx>
    </c:plotArea>
    <c:legend>
      <c:legendPos val="r"/>
      <c:layout>
        <c:manualLayout>
          <c:xMode val="edge"/>
          <c:yMode val="edge"/>
          <c:x val="0.63060873861355571"/>
          <c:y val="0.19876461094537096"/>
          <c:w val="0.34824665740311866"/>
          <c:h val="0.70809931367274737"/>
        </c:manualLayout>
      </c:layout>
      <c:overlay val="0"/>
      <c:spPr>
        <a:noFill/>
        <a:ln w="25400">
          <a:noFill/>
        </a:ln>
      </c:spPr>
      <c:txPr>
        <a:bodyPr/>
        <a:lstStyle/>
        <a:p>
          <a:pPr>
            <a:defRPr sz="850" b="0" i="0" u="none" strike="noStrike" baseline="0">
              <a:solidFill>
                <a:srgbClr val="000000"/>
              </a:solidFill>
              <a:latin typeface="Calibri"/>
              <a:ea typeface="Calibri"/>
              <a:cs typeface="Calibri"/>
            </a:defRPr>
          </a:pPr>
          <a:endParaRPr lang="en-US"/>
        </a:p>
      </c:txPr>
    </c:legend>
    <c:plotVisOnly val="1"/>
    <c:dispBlanksAs val="gap"/>
    <c:showDLblsOverMax val="0"/>
  </c:chart>
  <c:spPr>
    <a:solidFill>
      <a:schemeClr val="bg1"/>
    </a:solidFill>
    <a:ln w="9525" cap="flat" cmpd="sng" algn="ctr">
      <a:noFill/>
      <a:round/>
    </a:ln>
    <a:effectLst/>
  </c:spPr>
  <c:txPr>
    <a:bodyPr/>
    <a:lstStyle/>
    <a:p>
      <a:pPr>
        <a:defRPr sz="1100" b="0" i="0" u="none" strike="noStrike" baseline="0">
          <a:solidFill>
            <a:srgbClr val="000000"/>
          </a:solidFill>
          <a:latin typeface="Calibri"/>
          <a:ea typeface="Calibri"/>
          <a:cs typeface="Calibri"/>
        </a:defRPr>
      </a:pPr>
      <a:endParaRPr lang="en-US"/>
    </a:p>
  </c:txPr>
  <c:printSettings>
    <c:headerFooter/>
    <c:pageMargins b="0.75" l="0.7" r="0.7" t="0.75" header="0.3" footer="0.3"/>
    <c:pageSetup orientation="portrait"/>
  </c:printSettings>
</c:chartSpace>
</file>

<file path=xl/charts/chart11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ser>
          <c:idx val="0"/>
          <c:order val="0"/>
          <c:tx>
            <c:strRef>
              <c:f>'Sanitation report'!$K$512</c:f>
              <c:strCache>
                <c:ptCount val="1"/>
                <c:pt idx="0">
                  <c:v>Tariff </c:v>
                </c:pt>
              </c:strCache>
            </c:strRef>
          </c:tx>
          <c:spPr>
            <a:solidFill>
              <a:srgbClr val="4472C4"/>
            </a:solidFill>
            <a:ln w="25400">
              <a:noFill/>
            </a:ln>
          </c:spPr>
          <c:invertIfNegative val="0"/>
          <c:dLbls>
            <c:spPr>
              <a:noFill/>
              <a:ln w="25400">
                <a:noFill/>
              </a:ln>
            </c:spPr>
            <c:txPr>
              <a:bodyPr wrap="square" lIns="38100" tIns="19050" rIns="38100" bIns="19050" anchor="ctr">
                <a:spAutoFit/>
              </a:bodyPr>
              <a:lstStyle/>
              <a:p>
                <a:pPr>
                  <a:defRPr sz="900" b="0" i="0" u="none" strike="noStrike" baseline="0">
                    <a:solidFill>
                      <a:srgbClr val="333333"/>
                    </a:solidFill>
                    <a:latin typeface="Calibri"/>
                    <a:ea typeface="Calibri"/>
                    <a:cs typeface="Calibri"/>
                  </a:defRPr>
                </a:pPr>
                <a:endParaRPr lang="en-US"/>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numRef>
              <c:f>'Sanitation report'!$J$513:$J$522</c:f>
              <c:numCache>
                <c:formatCode>General</c:formatCode>
                <c:ptCount val="10"/>
                <c:pt idx="0">
                  <c:v>0</c:v>
                </c:pt>
                <c:pt idx="1">
                  <c:v>0</c:v>
                </c:pt>
                <c:pt idx="2">
                  <c:v>0</c:v>
                </c:pt>
                <c:pt idx="3">
                  <c:v>0</c:v>
                </c:pt>
                <c:pt idx="4">
                  <c:v>0</c:v>
                </c:pt>
                <c:pt idx="5">
                  <c:v>0</c:v>
                </c:pt>
                <c:pt idx="6">
                  <c:v>0</c:v>
                </c:pt>
                <c:pt idx="7">
                  <c:v>0</c:v>
                </c:pt>
                <c:pt idx="8">
                  <c:v>0</c:v>
                </c:pt>
                <c:pt idx="9">
                  <c:v>0</c:v>
                </c:pt>
              </c:numCache>
            </c:numRef>
          </c:cat>
          <c:val>
            <c:numRef>
              <c:f>'Sanitation report'!$K$513:$K$522</c:f>
              <c:numCache>
                <c:formatCode>_(* #,##0.00_);_(* \(#,##0.00\);_(* "-"??_);_(@_)</c:formatCode>
                <c:ptCount val="10"/>
                <c:pt idx="0">
                  <c:v>0</c:v>
                </c:pt>
                <c:pt idx="1">
                  <c:v>0</c:v>
                </c:pt>
                <c:pt idx="2">
                  <c:v>0</c:v>
                </c:pt>
                <c:pt idx="3">
                  <c:v>0</c:v>
                </c:pt>
                <c:pt idx="4">
                  <c:v>0</c:v>
                </c:pt>
                <c:pt idx="5">
                  <c:v>0</c:v>
                </c:pt>
                <c:pt idx="6">
                  <c:v>0</c:v>
                </c:pt>
                <c:pt idx="7">
                  <c:v>0</c:v>
                </c:pt>
                <c:pt idx="8">
                  <c:v>0</c:v>
                </c:pt>
                <c:pt idx="9">
                  <c:v>0</c:v>
                </c:pt>
              </c:numCache>
            </c:numRef>
          </c:val>
          <c:extLst>
            <c:ext xmlns:c16="http://schemas.microsoft.com/office/drawing/2014/chart" uri="{C3380CC4-5D6E-409C-BE32-E72D297353CC}">
              <c16:uniqueId val="{00000000-7D79-40DE-924A-516388A5613C}"/>
            </c:ext>
          </c:extLst>
        </c:ser>
        <c:dLbls>
          <c:showLegendKey val="0"/>
          <c:showVal val="0"/>
          <c:showCatName val="0"/>
          <c:showSerName val="0"/>
          <c:showPercent val="0"/>
          <c:showBubbleSize val="0"/>
        </c:dLbls>
        <c:gapWidth val="50"/>
        <c:axId val="1396841775"/>
        <c:axId val="1"/>
      </c:barChart>
      <c:lineChart>
        <c:grouping val="standard"/>
        <c:varyColors val="0"/>
        <c:ser>
          <c:idx val="1"/>
          <c:order val="1"/>
          <c:tx>
            <c:strRef>
              <c:f>'Sanitation report'!$L$512</c:f>
              <c:strCache>
                <c:ptCount val="1"/>
                <c:pt idx="0">
                  <c:v>Total cost per kl </c:v>
                </c:pt>
              </c:strCache>
            </c:strRef>
          </c:tx>
          <c:spPr>
            <a:ln w="28575" cap="rnd">
              <a:solidFill>
                <a:schemeClr val="accent2"/>
              </a:solidFill>
              <a:round/>
            </a:ln>
            <a:effectLst/>
          </c:spPr>
          <c:marker>
            <c:symbol val="none"/>
          </c:marker>
          <c:cat>
            <c:numRef>
              <c:f>'Sanitation report'!$J$513:$J$522</c:f>
              <c:numCache>
                <c:formatCode>General</c:formatCode>
                <c:ptCount val="10"/>
                <c:pt idx="0">
                  <c:v>0</c:v>
                </c:pt>
                <c:pt idx="1">
                  <c:v>0</c:v>
                </c:pt>
                <c:pt idx="2">
                  <c:v>0</c:v>
                </c:pt>
                <c:pt idx="3">
                  <c:v>0</c:v>
                </c:pt>
                <c:pt idx="4">
                  <c:v>0</c:v>
                </c:pt>
                <c:pt idx="5">
                  <c:v>0</c:v>
                </c:pt>
                <c:pt idx="6">
                  <c:v>0</c:v>
                </c:pt>
                <c:pt idx="7">
                  <c:v>0</c:v>
                </c:pt>
                <c:pt idx="8">
                  <c:v>0</c:v>
                </c:pt>
                <c:pt idx="9">
                  <c:v>0</c:v>
                </c:pt>
              </c:numCache>
            </c:numRef>
          </c:cat>
          <c:val>
            <c:numRef>
              <c:f>'Sanitation report'!$L$513:$L$522</c:f>
              <c:numCache>
                <c:formatCode>_(* #,##0.00_);_(* \(#,##0.00\);_(* "-"??_);_(@_)</c:formatCode>
                <c:ptCount val="10"/>
                <c:pt idx="0">
                  <c:v>0</c:v>
                </c:pt>
                <c:pt idx="1">
                  <c:v>0</c:v>
                </c:pt>
                <c:pt idx="2">
                  <c:v>0</c:v>
                </c:pt>
                <c:pt idx="3">
                  <c:v>0</c:v>
                </c:pt>
                <c:pt idx="4">
                  <c:v>0</c:v>
                </c:pt>
                <c:pt idx="5">
                  <c:v>0</c:v>
                </c:pt>
                <c:pt idx="6">
                  <c:v>0</c:v>
                </c:pt>
                <c:pt idx="7">
                  <c:v>0</c:v>
                </c:pt>
                <c:pt idx="8">
                  <c:v>0</c:v>
                </c:pt>
                <c:pt idx="9">
                  <c:v>0</c:v>
                </c:pt>
              </c:numCache>
            </c:numRef>
          </c:val>
          <c:smooth val="0"/>
          <c:extLst>
            <c:ext xmlns:c16="http://schemas.microsoft.com/office/drawing/2014/chart" uri="{C3380CC4-5D6E-409C-BE32-E72D297353CC}">
              <c16:uniqueId val="{00000001-7D79-40DE-924A-516388A5613C}"/>
            </c:ext>
          </c:extLst>
        </c:ser>
        <c:ser>
          <c:idx val="2"/>
          <c:order val="2"/>
          <c:tx>
            <c:strRef>
              <c:f>'Sanitation report'!$M$512</c:f>
              <c:strCache>
                <c:ptCount val="1"/>
                <c:pt idx="0">
                  <c:v>Variable cost per kl treated</c:v>
                </c:pt>
              </c:strCache>
            </c:strRef>
          </c:tx>
          <c:spPr>
            <a:ln w="28575" cap="rnd">
              <a:solidFill>
                <a:schemeClr val="accent3"/>
              </a:solidFill>
              <a:round/>
            </a:ln>
            <a:effectLst/>
          </c:spPr>
          <c:marker>
            <c:symbol val="none"/>
          </c:marker>
          <c:cat>
            <c:numRef>
              <c:f>'Sanitation report'!$J$513:$J$522</c:f>
              <c:numCache>
                <c:formatCode>General</c:formatCode>
                <c:ptCount val="10"/>
                <c:pt idx="0">
                  <c:v>0</c:v>
                </c:pt>
                <c:pt idx="1">
                  <c:v>0</c:v>
                </c:pt>
                <c:pt idx="2">
                  <c:v>0</c:v>
                </c:pt>
                <c:pt idx="3">
                  <c:v>0</c:v>
                </c:pt>
                <c:pt idx="4">
                  <c:v>0</c:v>
                </c:pt>
                <c:pt idx="5">
                  <c:v>0</c:v>
                </c:pt>
                <c:pt idx="6">
                  <c:v>0</c:v>
                </c:pt>
                <c:pt idx="7">
                  <c:v>0</c:v>
                </c:pt>
                <c:pt idx="8">
                  <c:v>0</c:v>
                </c:pt>
                <c:pt idx="9">
                  <c:v>0</c:v>
                </c:pt>
              </c:numCache>
            </c:numRef>
          </c:cat>
          <c:val>
            <c:numRef>
              <c:f>'Sanitation report'!$M$513:$M$522</c:f>
              <c:numCache>
                <c:formatCode>_(* #,##0.00_);_(* \(#,##0.00\);_(* "-"??_);_(@_)</c:formatCode>
                <c:ptCount val="10"/>
                <c:pt idx="0">
                  <c:v>0</c:v>
                </c:pt>
                <c:pt idx="1">
                  <c:v>0</c:v>
                </c:pt>
                <c:pt idx="2">
                  <c:v>0</c:v>
                </c:pt>
                <c:pt idx="3">
                  <c:v>0</c:v>
                </c:pt>
                <c:pt idx="4">
                  <c:v>0</c:v>
                </c:pt>
                <c:pt idx="5">
                  <c:v>0</c:v>
                </c:pt>
                <c:pt idx="6">
                  <c:v>0</c:v>
                </c:pt>
                <c:pt idx="7">
                  <c:v>0</c:v>
                </c:pt>
                <c:pt idx="8">
                  <c:v>0</c:v>
                </c:pt>
                <c:pt idx="9">
                  <c:v>0</c:v>
                </c:pt>
              </c:numCache>
            </c:numRef>
          </c:val>
          <c:smooth val="0"/>
          <c:extLst>
            <c:ext xmlns:c16="http://schemas.microsoft.com/office/drawing/2014/chart" uri="{C3380CC4-5D6E-409C-BE32-E72D297353CC}">
              <c16:uniqueId val="{00000002-7D79-40DE-924A-516388A5613C}"/>
            </c:ext>
          </c:extLst>
        </c:ser>
        <c:dLbls>
          <c:showLegendKey val="0"/>
          <c:showVal val="0"/>
          <c:showCatName val="0"/>
          <c:showSerName val="0"/>
          <c:showPercent val="0"/>
          <c:showBubbleSize val="0"/>
        </c:dLbls>
        <c:marker val="1"/>
        <c:smooth val="0"/>
        <c:axId val="1396841775"/>
        <c:axId val="1"/>
      </c:lineChart>
      <c:catAx>
        <c:axId val="1396841775"/>
        <c:scaling>
          <c:orientation val="minMax"/>
        </c:scaling>
        <c:delete val="0"/>
        <c:axPos val="b"/>
        <c:title>
          <c:tx>
            <c:rich>
              <a:bodyPr/>
              <a:lstStyle/>
              <a:p>
                <a:pPr>
                  <a:defRPr sz="1000" b="0" i="0" u="none" strike="noStrike" baseline="0">
                    <a:solidFill>
                      <a:srgbClr val="333333"/>
                    </a:solidFill>
                    <a:latin typeface="Calibri"/>
                    <a:ea typeface="Calibri"/>
                    <a:cs typeface="Calibri"/>
                  </a:defRPr>
                </a:pPr>
                <a:r>
                  <a:rPr lang="en-ZA"/>
                  <a:t>Block size</a:t>
                </a:r>
              </a:p>
            </c:rich>
          </c:tx>
          <c:overlay val="0"/>
          <c:spPr>
            <a:noFill/>
            <a:ln w="25400">
              <a:noFill/>
            </a:ln>
          </c:spPr>
        </c:title>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0" vert="horz"/>
          <a:lstStyle/>
          <a:p>
            <a:pPr>
              <a:defRPr sz="900" b="0" i="0" u="none" strike="noStrike" baseline="0">
                <a:solidFill>
                  <a:srgbClr val="333333"/>
                </a:solidFill>
                <a:latin typeface="Calibri"/>
                <a:ea typeface="Calibri"/>
                <a:cs typeface="Calibri"/>
              </a:defRPr>
            </a:pPr>
            <a:endParaRPr lang="en-US"/>
          </a:p>
        </c:txPr>
        <c:crossAx val="1"/>
        <c:crosses val="autoZero"/>
        <c:auto val="1"/>
        <c:lblAlgn val="ctr"/>
        <c:lblOffset val="100"/>
        <c:noMultiLvlLbl val="0"/>
      </c:catAx>
      <c:valAx>
        <c:axId val="1"/>
        <c:scaling>
          <c:orientation val="minMax"/>
        </c:scaling>
        <c:delete val="0"/>
        <c:axPos val="l"/>
        <c:majorGridlines>
          <c:spPr>
            <a:ln w="9525" cap="flat" cmpd="sng" algn="ctr">
              <a:solidFill>
                <a:schemeClr val="tx1">
                  <a:lumMod val="15000"/>
                  <a:lumOff val="85000"/>
                </a:schemeClr>
              </a:solidFill>
              <a:round/>
            </a:ln>
            <a:effectLst/>
          </c:spPr>
        </c:majorGridlines>
        <c:title>
          <c:tx>
            <c:rich>
              <a:bodyPr/>
              <a:lstStyle/>
              <a:p>
                <a:pPr>
                  <a:defRPr sz="1000" b="0" i="0" u="none" strike="noStrike" baseline="0">
                    <a:solidFill>
                      <a:srgbClr val="333333"/>
                    </a:solidFill>
                    <a:latin typeface="Calibri"/>
                    <a:ea typeface="Calibri"/>
                    <a:cs typeface="Calibri"/>
                  </a:defRPr>
                </a:pPr>
                <a:r>
                  <a:rPr lang="en-ZA"/>
                  <a:t>R/kl</a:t>
                </a:r>
              </a:p>
            </c:rich>
          </c:tx>
          <c:overlay val="0"/>
          <c:spPr>
            <a:noFill/>
            <a:ln w="25400">
              <a:noFill/>
            </a:ln>
          </c:spPr>
        </c:title>
        <c:numFmt formatCode="_(* #,##0.00_);_(* \(#,##0.00\);_(* &quot;-&quot;??_);_(@_)" sourceLinked="1"/>
        <c:majorTickMark val="none"/>
        <c:minorTickMark val="none"/>
        <c:tickLblPos val="nextTo"/>
        <c:spPr>
          <a:ln w="6350">
            <a:noFill/>
          </a:ln>
        </c:spPr>
        <c:txPr>
          <a:bodyPr rot="0" vert="horz"/>
          <a:lstStyle/>
          <a:p>
            <a:pPr>
              <a:defRPr sz="900" b="0" i="0" u="none" strike="noStrike" baseline="0">
                <a:solidFill>
                  <a:srgbClr val="333333"/>
                </a:solidFill>
                <a:latin typeface="Calibri"/>
                <a:ea typeface="Calibri"/>
                <a:cs typeface="Calibri"/>
              </a:defRPr>
            </a:pPr>
            <a:endParaRPr lang="en-US"/>
          </a:p>
        </c:txPr>
        <c:crossAx val="1396841775"/>
        <c:crosses val="autoZero"/>
        <c:crossBetween val="between"/>
      </c:valAx>
    </c:plotArea>
    <c:legend>
      <c:legendPos val="r"/>
      <c:layout>
        <c:manualLayout>
          <c:xMode val="edge"/>
          <c:yMode val="edge"/>
          <c:x val="0.12362011021685021"/>
          <c:y val="0.92994800178279602"/>
          <c:w val="0.74541089190419463"/>
          <c:h val="5.930117225912801E-2"/>
        </c:manualLayout>
      </c:layout>
      <c:overlay val="0"/>
      <c:spPr>
        <a:noFill/>
        <a:ln w="25400">
          <a:noFill/>
        </a:ln>
      </c:spPr>
      <c:txPr>
        <a:bodyPr/>
        <a:lstStyle/>
        <a:p>
          <a:pPr>
            <a:defRPr sz="690" b="0" i="0" u="none" strike="noStrike" baseline="0">
              <a:solidFill>
                <a:srgbClr val="333333"/>
              </a:solidFill>
              <a:latin typeface="Calibri"/>
              <a:ea typeface="Calibri"/>
              <a:cs typeface="Calibri"/>
            </a:defRPr>
          </a:pPr>
          <a:endParaRPr lang="en-US"/>
        </a:p>
      </c:txPr>
    </c:legend>
    <c:plotVisOnly val="1"/>
    <c:dispBlanksAs val="gap"/>
    <c:showDLblsOverMax val="0"/>
  </c:chart>
  <c:spPr>
    <a:solidFill>
      <a:schemeClr val="bg1"/>
    </a:solidFill>
    <a:ln w="9525" cap="flat" cmpd="sng" algn="ctr">
      <a:noFill/>
      <a:round/>
    </a:ln>
    <a:effectLst/>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charts/chart11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2.3871527777777776E-2"/>
          <c:y val="4.7786414907172239E-2"/>
          <c:w val="0.57559123468941387"/>
          <c:h val="0.83529592857692603"/>
        </c:manualLayout>
      </c:layout>
      <c:barChart>
        <c:barDir val="col"/>
        <c:grouping val="stacked"/>
        <c:varyColors val="0"/>
        <c:ser>
          <c:idx val="0"/>
          <c:order val="0"/>
          <c:tx>
            <c:strRef>
              <c:f>'Sanitation report'!$I$557</c:f>
              <c:strCache>
                <c:ptCount val="1"/>
                <c:pt idx="0">
                  <c:v>Fixed cost</c:v>
                </c:pt>
              </c:strCache>
            </c:strRef>
          </c:tx>
          <c:spPr>
            <a:solidFill>
              <a:srgbClr val="4472C4"/>
            </a:solidFill>
            <a:ln w="25400">
              <a:noFill/>
            </a:ln>
          </c:spPr>
          <c:invertIfNegative val="0"/>
          <c:dPt>
            <c:idx val="0"/>
            <c:invertIfNegative val="0"/>
            <c:bubble3D val="0"/>
            <c:spPr>
              <a:solidFill>
                <a:srgbClr val="5B9BD5"/>
              </a:solidFill>
              <a:ln w="25400">
                <a:noFill/>
              </a:ln>
            </c:spPr>
            <c:extLst>
              <c:ext xmlns:c16="http://schemas.microsoft.com/office/drawing/2014/chart" uri="{C3380CC4-5D6E-409C-BE32-E72D297353CC}">
                <c16:uniqueId val="{00000000-2A86-497F-B9A5-C1D3C325E3D4}"/>
              </c:ext>
            </c:extLst>
          </c:dPt>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'Sanitation report'!$J$556:$K$556</c:f>
              <c:strCache>
                <c:ptCount val="2"/>
                <c:pt idx="0">
                  <c:v>Expenditure R'000</c:v>
                </c:pt>
                <c:pt idx="1">
                  <c:v>Revenue R'000</c:v>
                </c:pt>
              </c:strCache>
            </c:strRef>
          </c:cat>
          <c:val>
            <c:numRef>
              <c:f>'Sanitation report'!$J$557:$K$557</c:f>
              <c:numCache>
                <c:formatCode>General</c:formatCode>
                <c:ptCount val="2"/>
                <c:pt idx="0" formatCode="_-* #\ ##0_-;\-* #\ ##0_-;_-* &quot;-&quot;??_-;_-@_-">
                  <c:v>115.38049383891628</c:v>
                </c:pt>
              </c:numCache>
            </c:numRef>
          </c:val>
          <c:extLst>
            <c:ext xmlns:c16="http://schemas.microsoft.com/office/drawing/2014/chart" uri="{C3380CC4-5D6E-409C-BE32-E72D297353CC}">
              <c16:uniqueId val="{00000001-2A86-497F-B9A5-C1D3C325E3D4}"/>
            </c:ext>
          </c:extLst>
        </c:ser>
        <c:ser>
          <c:idx val="1"/>
          <c:order val="1"/>
          <c:tx>
            <c:strRef>
              <c:f>'Sanitation report'!$I$558</c:f>
              <c:strCache>
                <c:ptCount val="1"/>
                <c:pt idx="0">
                  <c:v>Variable cost</c:v>
                </c:pt>
              </c:strCache>
            </c:strRef>
          </c:tx>
          <c:spPr>
            <a:solidFill>
              <a:schemeClr val="accent5">
                <a:lumMod val="60000"/>
                <a:lumOff val="40000"/>
              </a:schemeClr>
            </a:solidFill>
            <a:ln>
              <a:noFill/>
            </a:ln>
            <a:effectLst/>
          </c:spPr>
          <c:invertIfNegative val="0"/>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'Sanitation report'!$J$556:$K$556</c:f>
              <c:strCache>
                <c:ptCount val="2"/>
                <c:pt idx="0">
                  <c:v>Expenditure R'000</c:v>
                </c:pt>
                <c:pt idx="1">
                  <c:v>Revenue R'000</c:v>
                </c:pt>
              </c:strCache>
            </c:strRef>
          </c:cat>
          <c:val>
            <c:numRef>
              <c:f>'Sanitation report'!$J$558:$K$558</c:f>
              <c:numCache>
                <c:formatCode>General</c:formatCode>
                <c:ptCount val="2"/>
                <c:pt idx="0" formatCode="_-* #\ ##0_-;\-* #\ ##0_-;_-* &quot;-&quot;??_-;_-@_-">
                  <c:v>25.693245432935665</c:v>
                </c:pt>
              </c:numCache>
            </c:numRef>
          </c:val>
          <c:extLst>
            <c:ext xmlns:c16="http://schemas.microsoft.com/office/drawing/2014/chart" uri="{C3380CC4-5D6E-409C-BE32-E72D297353CC}">
              <c16:uniqueId val="{00000002-2A86-497F-B9A5-C1D3C325E3D4}"/>
            </c:ext>
          </c:extLst>
        </c:ser>
        <c:ser>
          <c:idx val="2"/>
          <c:order val="2"/>
          <c:tx>
            <c:strRef>
              <c:f>'Sanitation report'!$I$559</c:f>
              <c:strCache>
                <c:ptCount val="1"/>
                <c:pt idx="0">
                  <c:v>Surplus</c:v>
                </c:pt>
              </c:strCache>
            </c:strRef>
          </c:tx>
          <c:spPr>
            <a:solidFill>
              <a:srgbClr val="A5A5A5"/>
            </a:solidFill>
            <a:ln w="25400">
              <a:noFill/>
            </a:ln>
          </c:spPr>
          <c:invertIfNegative val="0"/>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'Sanitation report'!$J$556:$K$556</c:f>
              <c:strCache>
                <c:ptCount val="2"/>
                <c:pt idx="0">
                  <c:v>Expenditure R'000</c:v>
                </c:pt>
                <c:pt idx="1">
                  <c:v>Revenue R'000</c:v>
                </c:pt>
              </c:strCache>
            </c:strRef>
          </c:cat>
          <c:val>
            <c:numRef>
              <c:f>'Sanitation report'!$J$559:$K$559</c:f>
              <c:numCache>
                <c:formatCode>General</c:formatCode>
                <c:ptCount val="2"/>
                <c:pt idx="0" formatCode="_-* #\ ##0_-;\-* #\ ##0_-;_-* &quot;-&quot;??_-;_-@_-">
                  <c:v>0</c:v>
                </c:pt>
              </c:numCache>
            </c:numRef>
          </c:val>
          <c:extLst>
            <c:ext xmlns:c16="http://schemas.microsoft.com/office/drawing/2014/chart" uri="{C3380CC4-5D6E-409C-BE32-E72D297353CC}">
              <c16:uniqueId val="{00000003-2A86-497F-B9A5-C1D3C325E3D4}"/>
            </c:ext>
          </c:extLst>
        </c:ser>
        <c:ser>
          <c:idx val="4"/>
          <c:order val="3"/>
          <c:tx>
            <c:strRef>
              <c:f>'Sanitation report'!$I$560</c:f>
              <c:strCache>
                <c:ptCount val="1"/>
                <c:pt idx="0">
                  <c:v>Tariff revenue</c:v>
                </c:pt>
              </c:strCache>
            </c:strRef>
          </c:tx>
          <c:spPr>
            <a:solidFill>
              <a:srgbClr val="5B9BD5"/>
            </a:solidFill>
            <a:ln w="25400">
              <a:noFill/>
            </a:ln>
          </c:spPr>
          <c:invertIfNegative val="0"/>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'Sanitation report'!$J$556:$K$556</c:f>
              <c:strCache>
                <c:ptCount val="2"/>
                <c:pt idx="0">
                  <c:v>Expenditure R'000</c:v>
                </c:pt>
                <c:pt idx="1">
                  <c:v>Revenue R'000</c:v>
                </c:pt>
              </c:strCache>
            </c:strRef>
          </c:cat>
          <c:val>
            <c:numRef>
              <c:f>'Sanitation report'!$J$560:$K$560</c:f>
              <c:numCache>
                <c:formatCode>_-* #\ ##0_-;\-* #\ ##0_-;_-* "-"??_-;_-@_-</c:formatCode>
                <c:ptCount val="2"/>
                <c:pt idx="1">
                  <c:v>120.29577469153232</c:v>
                </c:pt>
              </c:numCache>
            </c:numRef>
          </c:val>
          <c:extLst>
            <c:ext xmlns:c16="http://schemas.microsoft.com/office/drawing/2014/chart" uri="{C3380CC4-5D6E-409C-BE32-E72D297353CC}">
              <c16:uniqueId val="{00000004-2A86-497F-B9A5-C1D3C325E3D4}"/>
            </c:ext>
          </c:extLst>
        </c:ser>
        <c:ser>
          <c:idx val="5"/>
          <c:order val="4"/>
          <c:tx>
            <c:strRef>
              <c:f>'Sanitation report'!$I$561</c:f>
              <c:strCache>
                <c:ptCount val="1"/>
                <c:pt idx="0">
                  <c:v>External grants &amp; subsidies</c:v>
                </c:pt>
              </c:strCache>
            </c:strRef>
          </c:tx>
          <c:spPr>
            <a:solidFill>
              <a:srgbClr val="A5A5A5"/>
            </a:solidFill>
            <a:ln w="25400">
              <a:noFill/>
            </a:ln>
          </c:spPr>
          <c:invertIfNegative val="0"/>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'Sanitation report'!$J$556:$K$556</c:f>
              <c:strCache>
                <c:ptCount val="2"/>
                <c:pt idx="0">
                  <c:v>Expenditure R'000</c:v>
                </c:pt>
                <c:pt idx="1">
                  <c:v>Revenue R'000</c:v>
                </c:pt>
              </c:strCache>
            </c:strRef>
          </c:cat>
          <c:val>
            <c:numRef>
              <c:f>'Sanitation report'!$J$561:$K$561</c:f>
              <c:numCache>
                <c:formatCode>_-* #\ ##0_-;\-* #\ ##0_-;_-* "-"??_-;_-@_-</c:formatCode>
                <c:ptCount val="2"/>
                <c:pt idx="1">
                  <c:v>0</c:v>
                </c:pt>
              </c:numCache>
            </c:numRef>
          </c:val>
          <c:extLst>
            <c:ext xmlns:c16="http://schemas.microsoft.com/office/drawing/2014/chart" uri="{C3380CC4-5D6E-409C-BE32-E72D297353CC}">
              <c16:uniqueId val="{00000005-2A86-497F-B9A5-C1D3C325E3D4}"/>
            </c:ext>
          </c:extLst>
        </c:ser>
        <c:ser>
          <c:idx val="3"/>
          <c:order val="5"/>
          <c:tx>
            <c:strRef>
              <c:f>'Sanitation report'!$I$562</c:f>
              <c:strCache>
                <c:ptCount val="1"/>
                <c:pt idx="0">
                  <c:v>Other non-tariff revenue</c:v>
                </c:pt>
              </c:strCache>
            </c:strRef>
          </c:tx>
          <c:spPr>
            <a:solidFill>
              <a:schemeClr val="accent3">
                <a:lumMod val="40000"/>
                <a:lumOff val="60000"/>
              </a:schemeClr>
            </a:solidFill>
            <a:ln>
              <a:noFill/>
            </a:ln>
            <a:effectLst/>
          </c:spPr>
          <c:invertIfNegative val="0"/>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'Sanitation report'!$J$556:$K$556</c:f>
              <c:strCache>
                <c:ptCount val="2"/>
                <c:pt idx="0">
                  <c:v>Expenditure R'000</c:v>
                </c:pt>
                <c:pt idx="1">
                  <c:v>Revenue R'000</c:v>
                </c:pt>
              </c:strCache>
            </c:strRef>
          </c:cat>
          <c:val>
            <c:numRef>
              <c:f>'Sanitation report'!$J$562:$K$562</c:f>
              <c:numCache>
                <c:formatCode>_-* #\ ##0_-;\-* #\ ##0_-;_-* "-"??_-;_-@_-</c:formatCode>
                <c:ptCount val="2"/>
                <c:pt idx="1">
                  <c:v>20.77796458031963</c:v>
                </c:pt>
              </c:numCache>
            </c:numRef>
          </c:val>
          <c:extLst>
            <c:ext xmlns:c16="http://schemas.microsoft.com/office/drawing/2014/chart" uri="{C3380CC4-5D6E-409C-BE32-E72D297353CC}">
              <c16:uniqueId val="{00000006-2A86-497F-B9A5-C1D3C325E3D4}"/>
            </c:ext>
          </c:extLst>
        </c:ser>
        <c:ser>
          <c:idx val="6"/>
          <c:order val="6"/>
          <c:tx>
            <c:strRef>
              <c:f>'Sanitation report'!$I$563</c:f>
              <c:strCache>
                <c:ptCount val="1"/>
                <c:pt idx="0">
                  <c:v>Deficit</c:v>
                </c:pt>
              </c:strCache>
            </c:strRef>
          </c:tx>
          <c:spPr>
            <a:solidFill>
              <a:srgbClr val="ED7D31"/>
            </a:solidFill>
            <a:ln w="25400">
              <a:noFill/>
            </a:ln>
          </c:spPr>
          <c:invertIfNegative val="0"/>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'Sanitation report'!$J$556:$K$556</c:f>
              <c:strCache>
                <c:ptCount val="2"/>
                <c:pt idx="0">
                  <c:v>Expenditure R'000</c:v>
                </c:pt>
                <c:pt idx="1">
                  <c:v>Revenue R'000</c:v>
                </c:pt>
              </c:strCache>
            </c:strRef>
          </c:cat>
          <c:val>
            <c:numRef>
              <c:f>'Sanitation report'!$J$563:$K$563</c:f>
              <c:numCache>
                <c:formatCode>_-* #\ ##0_-;\-* #\ ##0_-;_-* "-"??_-;_-@_-</c:formatCode>
                <c:ptCount val="2"/>
                <c:pt idx="1">
                  <c:v>0</c:v>
                </c:pt>
              </c:numCache>
            </c:numRef>
          </c:val>
          <c:extLst>
            <c:ext xmlns:c16="http://schemas.microsoft.com/office/drawing/2014/chart" uri="{C3380CC4-5D6E-409C-BE32-E72D297353CC}">
              <c16:uniqueId val="{00000007-2A86-497F-B9A5-C1D3C325E3D4}"/>
            </c:ext>
          </c:extLst>
        </c:ser>
        <c:dLbls>
          <c:showLegendKey val="0"/>
          <c:showVal val="0"/>
          <c:showCatName val="0"/>
          <c:showSerName val="0"/>
          <c:showPercent val="0"/>
          <c:showBubbleSize val="0"/>
        </c:dLbls>
        <c:gapWidth val="25"/>
        <c:overlap val="100"/>
        <c:axId val="1396857615"/>
        <c:axId val="1"/>
      </c:barChart>
      <c:catAx>
        <c:axId val="1396857615"/>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0" vert="horz"/>
          <a:lstStyle/>
          <a:p>
            <a:pPr>
              <a:defRPr sz="1100" b="0" i="0" u="none" strike="noStrike" baseline="0">
                <a:solidFill>
                  <a:srgbClr val="000000"/>
                </a:solidFill>
                <a:latin typeface="Calibri"/>
                <a:ea typeface="Calibri"/>
                <a:cs typeface="Calibri"/>
              </a:defRPr>
            </a:pPr>
            <a:endParaRPr lang="en-US"/>
          </a:p>
        </c:txPr>
        <c:crossAx val="1"/>
        <c:crosses val="autoZero"/>
        <c:auto val="1"/>
        <c:lblAlgn val="ctr"/>
        <c:lblOffset val="100"/>
        <c:noMultiLvlLbl val="0"/>
      </c:catAx>
      <c:valAx>
        <c:axId val="1"/>
        <c:scaling>
          <c:orientation val="minMax"/>
        </c:scaling>
        <c:delete val="1"/>
        <c:axPos val="l"/>
        <c:majorGridlines>
          <c:spPr>
            <a:ln w="9525" cap="flat" cmpd="sng" algn="ctr">
              <a:solidFill>
                <a:schemeClr val="tx1">
                  <a:lumMod val="15000"/>
                  <a:lumOff val="85000"/>
                </a:schemeClr>
              </a:solidFill>
              <a:round/>
            </a:ln>
            <a:effectLst/>
          </c:spPr>
        </c:majorGridlines>
        <c:numFmt formatCode="_-* #\ ##0_-;\-* #\ ##0_-;_-* &quot;-&quot;??_-;_-@_-" sourceLinked="1"/>
        <c:majorTickMark val="out"/>
        <c:minorTickMark val="none"/>
        <c:tickLblPos val="nextTo"/>
        <c:crossAx val="1396857615"/>
        <c:crosses val="autoZero"/>
        <c:crossBetween val="between"/>
      </c:valAx>
    </c:plotArea>
    <c:legend>
      <c:legendPos val="r"/>
      <c:layout>
        <c:manualLayout>
          <c:xMode val="edge"/>
          <c:yMode val="edge"/>
          <c:x val="0.63060873861355571"/>
          <c:y val="0.19876461094537096"/>
          <c:w val="0.34824665740311866"/>
          <c:h val="0.70809931367274737"/>
        </c:manualLayout>
      </c:layout>
      <c:overlay val="0"/>
      <c:spPr>
        <a:noFill/>
        <a:ln w="25400">
          <a:noFill/>
        </a:ln>
      </c:spPr>
      <c:txPr>
        <a:bodyPr/>
        <a:lstStyle/>
        <a:p>
          <a:pPr>
            <a:defRPr sz="850" b="0" i="0" u="none" strike="noStrike" baseline="0">
              <a:solidFill>
                <a:srgbClr val="000000"/>
              </a:solidFill>
              <a:latin typeface="Calibri"/>
              <a:ea typeface="Calibri"/>
              <a:cs typeface="Calibri"/>
            </a:defRPr>
          </a:pPr>
          <a:endParaRPr lang="en-US"/>
        </a:p>
      </c:txPr>
    </c:legend>
    <c:plotVisOnly val="1"/>
    <c:dispBlanksAs val="gap"/>
    <c:showDLblsOverMax val="0"/>
  </c:chart>
  <c:spPr>
    <a:solidFill>
      <a:schemeClr val="bg1"/>
    </a:solidFill>
    <a:ln w="9525" cap="flat" cmpd="sng" algn="ctr">
      <a:noFill/>
      <a:round/>
    </a:ln>
    <a:effectLst/>
  </c:spPr>
  <c:txPr>
    <a:bodyPr/>
    <a:lstStyle/>
    <a:p>
      <a:pPr>
        <a:defRPr sz="1100" b="0" i="0" u="none" strike="noStrike" baseline="0">
          <a:solidFill>
            <a:srgbClr val="000000"/>
          </a:solidFill>
          <a:latin typeface="Calibri"/>
          <a:ea typeface="Calibri"/>
          <a:cs typeface="Calibri"/>
        </a:defRPr>
      </a:pPr>
      <a:endParaRPr lang="en-US"/>
    </a:p>
  </c:txPr>
  <c:printSettings>
    <c:headerFooter/>
    <c:pageMargins b="0.75" l="0.7" r="0.7" t="0.75" header="0.3" footer="0.3"/>
    <c:pageSetup orientation="portrait"/>
  </c:printSettings>
</c:chartSpace>
</file>

<file path=xl/charts/chart11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ser>
          <c:idx val="0"/>
          <c:order val="0"/>
          <c:tx>
            <c:strRef>
              <c:f>'Sanitation report'!$K$578</c:f>
              <c:strCache>
                <c:ptCount val="1"/>
                <c:pt idx="0">
                  <c:v>Tariff </c:v>
                </c:pt>
              </c:strCache>
            </c:strRef>
          </c:tx>
          <c:spPr>
            <a:solidFill>
              <a:srgbClr val="4472C4"/>
            </a:solidFill>
            <a:ln w="25400">
              <a:noFill/>
            </a:ln>
          </c:spPr>
          <c:invertIfNegative val="0"/>
          <c:dLbls>
            <c:spPr>
              <a:noFill/>
              <a:ln w="25400">
                <a:noFill/>
              </a:ln>
            </c:spPr>
            <c:txPr>
              <a:bodyPr wrap="square" lIns="38100" tIns="19050" rIns="38100" bIns="19050" anchor="ctr">
                <a:spAutoFit/>
              </a:bodyPr>
              <a:lstStyle/>
              <a:p>
                <a:pPr>
                  <a:defRPr sz="900" b="0" i="0" u="none" strike="noStrike" baseline="0">
                    <a:solidFill>
                      <a:srgbClr val="333333"/>
                    </a:solidFill>
                    <a:latin typeface="Calibri"/>
                    <a:ea typeface="Calibri"/>
                    <a:cs typeface="Calibri"/>
                  </a:defRPr>
                </a:pPr>
                <a:endParaRPr lang="en-US"/>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numRef>
              <c:f>'Sanitation report'!$J$579:$J$588</c:f>
              <c:numCache>
                <c:formatCode>General</c:formatCode>
                <c:ptCount val="10"/>
                <c:pt idx="0">
                  <c:v>0</c:v>
                </c:pt>
                <c:pt idx="1">
                  <c:v>0</c:v>
                </c:pt>
                <c:pt idx="2">
                  <c:v>0</c:v>
                </c:pt>
                <c:pt idx="3">
                  <c:v>0</c:v>
                </c:pt>
                <c:pt idx="4">
                  <c:v>0</c:v>
                </c:pt>
                <c:pt idx="5">
                  <c:v>0</c:v>
                </c:pt>
                <c:pt idx="6">
                  <c:v>0</c:v>
                </c:pt>
                <c:pt idx="7">
                  <c:v>0</c:v>
                </c:pt>
                <c:pt idx="8">
                  <c:v>0</c:v>
                </c:pt>
                <c:pt idx="9">
                  <c:v>0</c:v>
                </c:pt>
              </c:numCache>
            </c:numRef>
          </c:cat>
          <c:val>
            <c:numRef>
              <c:f>'Sanitation report'!$K$579:$K$588</c:f>
              <c:numCache>
                <c:formatCode>_(* #,##0.00_);_(* \(#,##0.00\);_(* "-"??_);_(@_)</c:formatCode>
                <c:ptCount val="10"/>
                <c:pt idx="0">
                  <c:v>25.58610285326596</c:v>
                </c:pt>
                <c:pt idx="1">
                  <c:v>0</c:v>
                </c:pt>
                <c:pt idx="2">
                  <c:v>0</c:v>
                </c:pt>
                <c:pt idx="3">
                  <c:v>0</c:v>
                </c:pt>
                <c:pt idx="4">
                  <c:v>0</c:v>
                </c:pt>
                <c:pt idx="5">
                  <c:v>0</c:v>
                </c:pt>
                <c:pt idx="6">
                  <c:v>0</c:v>
                </c:pt>
                <c:pt idx="7">
                  <c:v>0</c:v>
                </c:pt>
                <c:pt idx="8">
                  <c:v>0</c:v>
                </c:pt>
                <c:pt idx="9">
                  <c:v>0</c:v>
                </c:pt>
              </c:numCache>
            </c:numRef>
          </c:val>
          <c:extLst>
            <c:ext xmlns:c16="http://schemas.microsoft.com/office/drawing/2014/chart" uri="{C3380CC4-5D6E-409C-BE32-E72D297353CC}">
              <c16:uniqueId val="{00000000-8153-411F-8D66-040518A3F42E}"/>
            </c:ext>
          </c:extLst>
        </c:ser>
        <c:dLbls>
          <c:showLegendKey val="0"/>
          <c:showVal val="0"/>
          <c:showCatName val="0"/>
          <c:showSerName val="0"/>
          <c:showPercent val="0"/>
          <c:showBubbleSize val="0"/>
        </c:dLbls>
        <c:gapWidth val="50"/>
        <c:axId val="1396852815"/>
        <c:axId val="1"/>
      </c:barChart>
      <c:lineChart>
        <c:grouping val="standard"/>
        <c:varyColors val="0"/>
        <c:ser>
          <c:idx val="1"/>
          <c:order val="1"/>
          <c:tx>
            <c:strRef>
              <c:f>'Sanitation report'!$L$578</c:f>
              <c:strCache>
                <c:ptCount val="1"/>
                <c:pt idx="0">
                  <c:v>Total cost per kl </c:v>
                </c:pt>
              </c:strCache>
            </c:strRef>
          </c:tx>
          <c:spPr>
            <a:ln w="28575" cap="rnd">
              <a:solidFill>
                <a:schemeClr val="accent2"/>
              </a:solidFill>
              <a:round/>
            </a:ln>
            <a:effectLst/>
          </c:spPr>
          <c:marker>
            <c:symbol val="none"/>
          </c:marker>
          <c:cat>
            <c:numRef>
              <c:f>'Sanitation report'!$J$579:$J$588</c:f>
              <c:numCache>
                <c:formatCode>General</c:formatCode>
                <c:ptCount val="10"/>
                <c:pt idx="0">
                  <c:v>0</c:v>
                </c:pt>
                <c:pt idx="1">
                  <c:v>0</c:v>
                </c:pt>
                <c:pt idx="2">
                  <c:v>0</c:v>
                </c:pt>
                <c:pt idx="3">
                  <c:v>0</c:v>
                </c:pt>
                <c:pt idx="4">
                  <c:v>0</c:v>
                </c:pt>
                <c:pt idx="5">
                  <c:v>0</c:v>
                </c:pt>
                <c:pt idx="6">
                  <c:v>0</c:v>
                </c:pt>
                <c:pt idx="7">
                  <c:v>0</c:v>
                </c:pt>
                <c:pt idx="8">
                  <c:v>0</c:v>
                </c:pt>
                <c:pt idx="9">
                  <c:v>0</c:v>
                </c:pt>
              </c:numCache>
            </c:numRef>
          </c:cat>
          <c:val>
            <c:numRef>
              <c:f>'Sanitation report'!$L$579:$L$588</c:f>
              <c:numCache>
                <c:formatCode>_(* #,##0.00_);_(* \(#,##0.00\);_(* "-"??_);_(@_)</c:formatCode>
                <c:ptCount val="10"/>
                <c:pt idx="0">
                  <c:v>30.005436285356957</c:v>
                </c:pt>
                <c:pt idx="1">
                  <c:v>30.005436285356957</c:v>
                </c:pt>
                <c:pt idx="2">
                  <c:v>30.005436285356957</c:v>
                </c:pt>
                <c:pt idx="3">
                  <c:v>30.005436285356957</c:v>
                </c:pt>
                <c:pt idx="4">
                  <c:v>30.005436285356957</c:v>
                </c:pt>
                <c:pt idx="5">
                  <c:v>30.005436285356957</c:v>
                </c:pt>
                <c:pt idx="6">
                  <c:v>30.005436285356957</c:v>
                </c:pt>
                <c:pt idx="7">
                  <c:v>30.005436285356957</c:v>
                </c:pt>
                <c:pt idx="8">
                  <c:v>30.005436285356957</c:v>
                </c:pt>
                <c:pt idx="9">
                  <c:v>30.005436285356957</c:v>
                </c:pt>
              </c:numCache>
            </c:numRef>
          </c:val>
          <c:smooth val="0"/>
          <c:extLst>
            <c:ext xmlns:c16="http://schemas.microsoft.com/office/drawing/2014/chart" uri="{C3380CC4-5D6E-409C-BE32-E72D297353CC}">
              <c16:uniqueId val="{00000001-8153-411F-8D66-040518A3F42E}"/>
            </c:ext>
          </c:extLst>
        </c:ser>
        <c:ser>
          <c:idx val="2"/>
          <c:order val="2"/>
          <c:tx>
            <c:strRef>
              <c:f>'Sanitation report'!$M$578</c:f>
              <c:strCache>
                <c:ptCount val="1"/>
                <c:pt idx="0">
                  <c:v>Variable cost per kl treated</c:v>
                </c:pt>
              </c:strCache>
            </c:strRef>
          </c:tx>
          <c:spPr>
            <a:ln w="28575" cap="rnd">
              <a:solidFill>
                <a:schemeClr val="accent3"/>
              </a:solidFill>
              <a:round/>
            </a:ln>
            <a:effectLst/>
          </c:spPr>
          <c:marker>
            <c:symbol val="none"/>
          </c:marker>
          <c:cat>
            <c:numRef>
              <c:f>'Sanitation report'!$J$579:$J$588</c:f>
              <c:numCache>
                <c:formatCode>General</c:formatCode>
                <c:ptCount val="10"/>
                <c:pt idx="0">
                  <c:v>0</c:v>
                </c:pt>
                <c:pt idx="1">
                  <c:v>0</c:v>
                </c:pt>
                <c:pt idx="2">
                  <c:v>0</c:v>
                </c:pt>
                <c:pt idx="3">
                  <c:v>0</c:v>
                </c:pt>
                <c:pt idx="4">
                  <c:v>0</c:v>
                </c:pt>
                <c:pt idx="5">
                  <c:v>0</c:v>
                </c:pt>
                <c:pt idx="6">
                  <c:v>0</c:v>
                </c:pt>
                <c:pt idx="7">
                  <c:v>0</c:v>
                </c:pt>
                <c:pt idx="8">
                  <c:v>0</c:v>
                </c:pt>
                <c:pt idx="9">
                  <c:v>0</c:v>
                </c:pt>
              </c:numCache>
            </c:numRef>
          </c:cat>
          <c:val>
            <c:numRef>
              <c:f>'Sanitation report'!$M$579:$M$588</c:f>
              <c:numCache>
                <c:formatCode>_(* #,##0.00_);_(* \(#,##0.00\);_(* "-"??_);_(@_)</c:formatCode>
                <c:ptCount val="10"/>
                <c:pt idx="0">
                  <c:v>5.4647806372834458</c:v>
                </c:pt>
                <c:pt idx="1">
                  <c:v>5.4647806372834458</c:v>
                </c:pt>
                <c:pt idx="2">
                  <c:v>5.4647806372834458</c:v>
                </c:pt>
                <c:pt idx="3">
                  <c:v>5.4647806372834458</c:v>
                </c:pt>
                <c:pt idx="4">
                  <c:v>5.4647806372834458</c:v>
                </c:pt>
                <c:pt idx="5">
                  <c:v>5.4647806372834458</c:v>
                </c:pt>
                <c:pt idx="6">
                  <c:v>5.4647806372834458</c:v>
                </c:pt>
                <c:pt idx="7">
                  <c:v>5.4647806372834458</c:v>
                </c:pt>
                <c:pt idx="8">
                  <c:v>5.4647806372834458</c:v>
                </c:pt>
                <c:pt idx="9">
                  <c:v>5.4647806372834458</c:v>
                </c:pt>
              </c:numCache>
            </c:numRef>
          </c:val>
          <c:smooth val="0"/>
          <c:extLst>
            <c:ext xmlns:c16="http://schemas.microsoft.com/office/drawing/2014/chart" uri="{C3380CC4-5D6E-409C-BE32-E72D297353CC}">
              <c16:uniqueId val="{00000002-8153-411F-8D66-040518A3F42E}"/>
            </c:ext>
          </c:extLst>
        </c:ser>
        <c:dLbls>
          <c:showLegendKey val="0"/>
          <c:showVal val="0"/>
          <c:showCatName val="0"/>
          <c:showSerName val="0"/>
          <c:showPercent val="0"/>
          <c:showBubbleSize val="0"/>
        </c:dLbls>
        <c:marker val="1"/>
        <c:smooth val="0"/>
        <c:axId val="1396852815"/>
        <c:axId val="1"/>
      </c:lineChart>
      <c:catAx>
        <c:axId val="1396852815"/>
        <c:scaling>
          <c:orientation val="minMax"/>
        </c:scaling>
        <c:delete val="0"/>
        <c:axPos val="b"/>
        <c:title>
          <c:tx>
            <c:rich>
              <a:bodyPr/>
              <a:lstStyle/>
              <a:p>
                <a:pPr>
                  <a:defRPr sz="1000" b="0" i="0" u="none" strike="noStrike" baseline="0">
                    <a:solidFill>
                      <a:srgbClr val="333333"/>
                    </a:solidFill>
                    <a:latin typeface="Calibri"/>
                    <a:ea typeface="Calibri"/>
                    <a:cs typeface="Calibri"/>
                  </a:defRPr>
                </a:pPr>
                <a:r>
                  <a:rPr lang="en-ZA"/>
                  <a:t>Block size</a:t>
                </a:r>
              </a:p>
            </c:rich>
          </c:tx>
          <c:overlay val="0"/>
          <c:spPr>
            <a:noFill/>
            <a:ln w="25400">
              <a:noFill/>
            </a:ln>
          </c:spPr>
        </c:title>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0" vert="horz"/>
          <a:lstStyle/>
          <a:p>
            <a:pPr>
              <a:defRPr sz="900" b="0" i="0" u="none" strike="noStrike" baseline="0">
                <a:solidFill>
                  <a:srgbClr val="333333"/>
                </a:solidFill>
                <a:latin typeface="Calibri"/>
                <a:ea typeface="Calibri"/>
                <a:cs typeface="Calibri"/>
              </a:defRPr>
            </a:pPr>
            <a:endParaRPr lang="en-US"/>
          </a:p>
        </c:txPr>
        <c:crossAx val="1"/>
        <c:crosses val="autoZero"/>
        <c:auto val="1"/>
        <c:lblAlgn val="ctr"/>
        <c:lblOffset val="100"/>
        <c:noMultiLvlLbl val="0"/>
      </c:catAx>
      <c:valAx>
        <c:axId val="1"/>
        <c:scaling>
          <c:orientation val="minMax"/>
        </c:scaling>
        <c:delete val="0"/>
        <c:axPos val="l"/>
        <c:majorGridlines>
          <c:spPr>
            <a:ln w="9525" cap="flat" cmpd="sng" algn="ctr">
              <a:solidFill>
                <a:schemeClr val="tx1">
                  <a:lumMod val="15000"/>
                  <a:lumOff val="85000"/>
                </a:schemeClr>
              </a:solidFill>
              <a:round/>
            </a:ln>
            <a:effectLst/>
          </c:spPr>
        </c:majorGridlines>
        <c:title>
          <c:tx>
            <c:rich>
              <a:bodyPr/>
              <a:lstStyle/>
              <a:p>
                <a:pPr>
                  <a:defRPr sz="1000" b="0" i="0" u="none" strike="noStrike" baseline="0">
                    <a:solidFill>
                      <a:srgbClr val="333333"/>
                    </a:solidFill>
                    <a:latin typeface="Calibri"/>
                    <a:ea typeface="Calibri"/>
                    <a:cs typeface="Calibri"/>
                  </a:defRPr>
                </a:pPr>
                <a:r>
                  <a:rPr lang="en-ZA"/>
                  <a:t>R/kl</a:t>
                </a:r>
              </a:p>
            </c:rich>
          </c:tx>
          <c:overlay val="0"/>
          <c:spPr>
            <a:noFill/>
            <a:ln w="25400">
              <a:noFill/>
            </a:ln>
          </c:spPr>
        </c:title>
        <c:numFmt formatCode="_(* #,##0.00_);_(* \(#,##0.00\);_(* &quot;-&quot;??_);_(@_)" sourceLinked="1"/>
        <c:majorTickMark val="none"/>
        <c:minorTickMark val="none"/>
        <c:tickLblPos val="nextTo"/>
        <c:spPr>
          <a:ln w="6350">
            <a:noFill/>
          </a:ln>
        </c:spPr>
        <c:txPr>
          <a:bodyPr rot="0" vert="horz"/>
          <a:lstStyle/>
          <a:p>
            <a:pPr>
              <a:defRPr sz="900" b="0" i="0" u="none" strike="noStrike" baseline="0">
                <a:solidFill>
                  <a:srgbClr val="333333"/>
                </a:solidFill>
                <a:latin typeface="Calibri"/>
                <a:ea typeface="Calibri"/>
                <a:cs typeface="Calibri"/>
              </a:defRPr>
            </a:pPr>
            <a:endParaRPr lang="en-US"/>
          </a:p>
        </c:txPr>
        <c:crossAx val="1396852815"/>
        <c:crosses val="autoZero"/>
        <c:crossBetween val="between"/>
      </c:valAx>
    </c:plotArea>
    <c:legend>
      <c:legendPos val="r"/>
      <c:layout>
        <c:manualLayout>
          <c:xMode val="edge"/>
          <c:yMode val="edge"/>
          <c:x val="0.12362011021685021"/>
          <c:y val="0.92994800178279602"/>
          <c:w val="0.74541089190419463"/>
          <c:h val="5.930117225912801E-2"/>
        </c:manualLayout>
      </c:layout>
      <c:overlay val="0"/>
      <c:spPr>
        <a:noFill/>
        <a:ln w="25400">
          <a:noFill/>
        </a:ln>
      </c:spPr>
      <c:txPr>
        <a:bodyPr/>
        <a:lstStyle/>
        <a:p>
          <a:pPr>
            <a:defRPr sz="690" b="0" i="0" u="none" strike="noStrike" baseline="0">
              <a:solidFill>
                <a:srgbClr val="333333"/>
              </a:solidFill>
              <a:latin typeface="Calibri"/>
              <a:ea typeface="Calibri"/>
              <a:cs typeface="Calibri"/>
            </a:defRPr>
          </a:pPr>
          <a:endParaRPr lang="en-US"/>
        </a:p>
      </c:txPr>
    </c:legend>
    <c:plotVisOnly val="1"/>
    <c:dispBlanksAs val="gap"/>
    <c:showDLblsOverMax val="0"/>
  </c:chart>
  <c:spPr>
    <a:solidFill>
      <a:schemeClr val="bg1"/>
    </a:solidFill>
    <a:ln w="9525" cap="flat" cmpd="sng" algn="ctr">
      <a:noFill/>
      <a:round/>
    </a:ln>
    <a:effectLst/>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charts/chart12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2.3871527777777776E-2"/>
          <c:y val="4.7786414907172239E-2"/>
          <c:w val="0.57559123468941387"/>
          <c:h val="0.83529592857692603"/>
        </c:manualLayout>
      </c:layout>
      <c:barChart>
        <c:barDir val="col"/>
        <c:grouping val="stacked"/>
        <c:varyColors val="0"/>
        <c:ser>
          <c:idx val="0"/>
          <c:order val="0"/>
          <c:tx>
            <c:strRef>
              <c:f>'Sanitation report'!$I$624</c:f>
              <c:strCache>
                <c:ptCount val="1"/>
                <c:pt idx="0">
                  <c:v>Fixed cost</c:v>
                </c:pt>
              </c:strCache>
            </c:strRef>
          </c:tx>
          <c:spPr>
            <a:solidFill>
              <a:srgbClr val="4472C4"/>
            </a:solidFill>
            <a:ln w="25400">
              <a:noFill/>
            </a:ln>
          </c:spPr>
          <c:invertIfNegative val="0"/>
          <c:dPt>
            <c:idx val="0"/>
            <c:invertIfNegative val="0"/>
            <c:bubble3D val="0"/>
            <c:spPr>
              <a:solidFill>
                <a:srgbClr val="5B9BD5"/>
              </a:solidFill>
              <a:ln w="25400">
                <a:noFill/>
              </a:ln>
            </c:spPr>
            <c:extLst>
              <c:ext xmlns:c16="http://schemas.microsoft.com/office/drawing/2014/chart" uri="{C3380CC4-5D6E-409C-BE32-E72D297353CC}">
                <c16:uniqueId val="{00000000-9009-4200-9120-A3DE907AACD1}"/>
              </c:ext>
            </c:extLst>
          </c:dPt>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'Sanitation report'!$J$623:$K$623</c:f>
              <c:strCache>
                <c:ptCount val="2"/>
                <c:pt idx="0">
                  <c:v>Expenditure R'000</c:v>
                </c:pt>
                <c:pt idx="1">
                  <c:v>Revenue R'000</c:v>
                </c:pt>
              </c:strCache>
            </c:strRef>
          </c:cat>
          <c:val>
            <c:numRef>
              <c:f>'Sanitation report'!$J$624:$K$624</c:f>
              <c:numCache>
                <c:formatCode>General</c:formatCode>
                <c:ptCount val="2"/>
                <c:pt idx="0" formatCode="_-* #\ ##0_-;\-* #\ ##0_-;_-* &quot;-&quot;??_-;_-@_-">
                  <c:v>0</c:v>
                </c:pt>
              </c:numCache>
            </c:numRef>
          </c:val>
          <c:extLst>
            <c:ext xmlns:c16="http://schemas.microsoft.com/office/drawing/2014/chart" uri="{C3380CC4-5D6E-409C-BE32-E72D297353CC}">
              <c16:uniqueId val="{00000001-9009-4200-9120-A3DE907AACD1}"/>
            </c:ext>
          </c:extLst>
        </c:ser>
        <c:ser>
          <c:idx val="1"/>
          <c:order val="1"/>
          <c:tx>
            <c:strRef>
              <c:f>'Sanitation report'!$I$625</c:f>
              <c:strCache>
                <c:ptCount val="1"/>
                <c:pt idx="0">
                  <c:v>Variable cost</c:v>
                </c:pt>
              </c:strCache>
            </c:strRef>
          </c:tx>
          <c:spPr>
            <a:solidFill>
              <a:schemeClr val="accent5">
                <a:lumMod val="60000"/>
                <a:lumOff val="40000"/>
              </a:schemeClr>
            </a:solidFill>
            <a:ln>
              <a:noFill/>
            </a:ln>
            <a:effectLst/>
          </c:spPr>
          <c:invertIfNegative val="0"/>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'Sanitation report'!$J$623:$K$623</c:f>
              <c:strCache>
                <c:ptCount val="2"/>
                <c:pt idx="0">
                  <c:v>Expenditure R'000</c:v>
                </c:pt>
                <c:pt idx="1">
                  <c:v>Revenue R'000</c:v>
                </c:pt>
              </c:strCache>
            </c:strRef>
          </c:cat>
          <c:val>
            <c:numRef>
              <c:f>'Sanitation report'!$J$625:$K$625</c:f>
              <c:numCache>
                <c:formatCode>General</c:formatCode>
                <c:ptCount val="2"/>
                <c:pt idx="0" formatCode="_-* #\ ##0_-;\-* #\ ##0_-;_-* &quot;-&quot;??_-;_-@_-">
                  <c:v>0</c:v>
                </c:pt>
              </c:numCache>
            </c:numRef>
          </c:val>
          <c:extLst>
            <c:ext xmlns:c16="http://schemas.microsoft.com/office/drawing/2014/chart" uri="{C3380CC4-5D6E-409C-BE32-E72D297353CC}">
              <c16:uniqueId val="{00000002-9009-4200-9120-A3DE907AACD1}"/>
            </c:ext>
          </c:extLst>
        </c:ser>
        <c:ser>
          <c:idx val="2"/>
          <c:order val="2"/>
          <c:tx>
            <c:strRef>
              <c:f>'Sanitation report'!$I$626</c:f>
              <c:strCache>
                <c:ptCount val="1"/>
                <c:pt idx="0">
                  <c:v>Surplus</c:v>
                </c:pt>
              </c:strCache>
            </c:strRef>
          </c:tx>
          <c:spPr>
            <a:solidFill>
              <a:srgbClr val="A5A5A5"/>
            </a:solidFill>
            <a:ln w="25400">
              <a:noFill/>
            </a:ln>
          </c:spPr>
          <c:invertIfNegative val="0"/>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'Sanitation report'!$J$623:$K$623</c:f>
              <c:strCache>
                <c:ptCount val="2"/>
                <c:pt idx="0">
                  <c:v>Expenditure R'000</c:v>
                </c:pt>
                <c:pt idx="1">
                  <c:v>Revenue R'000</c:v>
                </c:pt>
              </c:strCache>
            </c:strRef>
          </c:cat>
          <c:val>
            <c:numRef>
              <c:f>'Sanitation report'!$J$626:$K$626</c:f>
              <c:numCache>
                <c:formatCode>General</c:formatCode>
                <c:ptCount val="2"/>
                <c:pt idx="0" formatCode="_-* #\ ##0_-;\-* #\ ##0_-;_-* &quot;-&quot;??_-;_-@_-">
                  <c:v>0</c:v>
                </c:pt>
              </c:numCache>
            </c:numRef>
          </c:val>
          <c:extLst>
            <c:ext xmlns:c16="http://schemas.microsoft.com/office/drawing/2014/chart" uri="{C3380CC4-5D6E-409C-BE32-E72D297353CC}">
              <c16:uniqueId val="{00000003-9009-4200-9120-A3DE907AACD1}"/>
            </c:ext>
          </c:extLst>
        </c:ser>
        <c:ser>
          <c:idx val="4"/>
          <c:order val="3"/>
          <c:tx>
            <c:strRef>
              <c:f>'Sanitation report'!$I$627</c:f>
              <c:strCache>
                <c:ptCount val="1"/>
                <c:pt idx="0">
                  <c:v>Tariff revenue</c:v>
                </c:pt>
              </c:strCache>
            </c:strRef>
          </c:tx>
          <c:spPr>
            <a:solidFill>
              <a:srgbClr val="5B9BD5"/>
            </a:solidFill>
            <a:ln w="25400">
              <a:noFill/>
            </a:ln>
          </c:spPr>
          <c:invertIfNegative val="0"/>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'Sanitation report'!$J$623:$K$623</c:f>
              <c:strCache>
                <c:ptCount val="2"/>
                <c:pt idx="0">
                  <c:v>Expenditure R'000</c:v>
                </c:pt>
                <c:pt idx="1">
                  <c:v>Revenue R'000</c:v>
                </c:pt>
              </c:strCache>
            </c:strRef>
          </c:cat>
          <c:val>
            <c:numRef>
              <c:f>'Sanitation report'!$J$627:$K$627</c:f>
              <c:numCache>
                <c:formatCode>_-* #\ ##0_-;\-* #\ ##0_-;_-* "-"??_-;_-@_-</c:formatCode>
                <c:ptCount val="2"/>
                <c:pt idx="1">
                  <c:v>0</c:v>
                </c:pt>
              </c:numCache>
            </c:numRef>
          </c:val>
          <c:extLst>
            <c:ext xmlns:c16="http://schemas.microsoft.com/office/drawing/2014/chart" uri="{C3380CC4-5D6E-409C-BE32-E72D297353CC}">
              <c16:uniqueId val="{00000004-9009-4200-9120-A3DE907AACD1}"/>
            </c:ext>
          </c:extLst>
        </c:ser>
        <c:ser>
          <c:idx val="5"/>
          <c:order val="4"/>
          <c:tx>
            <c:strRef>
              <c:f>'Sanitation report'!$I$628</c:f>
              <c:strCache>
                <c:ptCount val="1"/>
                <c:pt idx="0">
                  <c:v>External grants &amp; subsidies</c:v>
                </c:pt>
              </c:strCache>
            </c:strRef>
          </c:tx>
          <c:spPr>
            <a:solidFill>
              <a:srgbClr val="A5A5A5"/>
            </a:solidFill>
            <a:ln w="25400">
              <a:noFill/>
            </a:ln>
          </c:spPr>
          <c:invertIfNegative val="0"/>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'Sanitation report'!$J$623:$K$623</c:f>
              <c:strCache>
                <c:ptCount val="2"/>
                <c:pt idx="0">
                  <c:v>Expenditure R'000</c:v>
                </c:pt>
                <c:pt idx="1">
                  <c:v>Revenue R'000</c:v>
                </c:pt>
              </c:strCache>
            </c:strRef>
          </c:cat>
          <c:val>
            <c:numRef>
              <c:f>'Sanitation report'!$J$628:$K$628</c:f>
              <c:numCache>
                <c:formatCode>_-* #\ ##0_-;\-* #\ ##0_-;_-* "-"??_-;_-@_-</c:formatCode>
                <c:ptCount val="2"/>
                <c:pt idx="1">
                  <c:v>0</c:v>
                </c:pt>
              </c:numCache>
            </c:numRef>
          </c:val>
          <c:extLst>
            <c:ext xmlns:c16="http://schemas.microsoft.com/office/drawing/2014/chart" uri="{C3380CC4-5D6E-409C-BE32-E72D297353CC}">
              <c16:uniqueId val="{00000005-9009-4200-9120-A3DE907AACD1}"/>
            </c:ext>
          </c:extLst>
        </c:ser>
        <c:ser>
          <c:idx val="3"/>
          <c:order val="5"/>
          <c:tx>
            <c:strRef>
              <c:f>'Sanitation report'!$I$629</c:f>
              <c:strCache>
                <c:ptCount val="1"/>
                <c:pt idx="0">
                  <c:v>Other non-tariff revenue</c:v>
                </c:pt>
              </c:strCache>
            </c:strRef>
          </c:tx>
          <c:spPr>
            <a:solidFill>
              <a:schemeClr val="accent3">
                <a:lumMod val="40000"/>
                <a:lumOff val="60000"/>
              </a:schemeClr>
            </a:solidFill>
            <a:ln>
              <a:noFill/>
            </a:ln>
            <a:effectLst/>
          </c:spPr>
          <c:invertIfNegative val="0"/>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'Sanitation report'!$J$623:$K$623</c:f>
              <c:strCache>
                <c:ptCount val="2"/>
                <c:pt idx="0">
                  <c:v>Expenditure R'000</c:v>
                </c:pt>
                <c:pt idx="1">
                  <c:v>Revenue R'000</c:v>
                </c:pt>
              </c:strCache>
            </c:strRef>
          </c:cat>
          <c:val>
            <c:numRef>
              <c:f>'Sanitation report'!$J$629:$K$629</c:f>
              <c:numCache>
                <c:formatCode>_-* #\ ##0_-;\-* #\ ##0_-;_-* "-"??_-;_-@_-</c:formatCode>
                <c:ptCount val="2"/>
                <c:pt idx="1">
                  <c:v>0</c:v>
                </c:pt>
              </c:numCache>
            </c:numRef>
          </c:val>
          <c:extLst>
            <c:ext xmlns:c16="http://schemas.microsoft.com/office/drawing/2014/chart" uri="{C3380CC4-5D6E-409C-BE32-E72D297353CC}">
              <c16:uniqueId val="{00000006-9009-4200-9120-A3DE907AACD1}"/>
            </c:ext>
          </c:extLst>
        </c:ser>
        <c:ser>
          <c:idx val="6"/>
          <c:order val="6"/>
          <c:tx>
            <c:strRef>
              <c:f>'Sanitation report'!$I$630</c:f>
              <c:strCache>
                <c:ptCount val="1"/>
                <c:pt idx="0">
                  <c:v>Deficit</c:v>
                </c:pt>
              </c:strCache>
            </c:strRef>
          </c:tx>
          <c:spPr>
            <a:solidFill>
              <a:srgbClr val="ED7D31"/>
            </a:solidFill>
            <a:ln w="25400">
              <a:noFill/>
            </a:ln>
          </c:spPr>
          <c:invertIfNegative val="0"/>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'Sanitation report'!$J$623:$K$623</c:f>
              <c:strCache>
                <c:ptCount val="2"/>
                <c:pt idx="0">
                  <c:v>Expenditure R'000</c:v>
                </c:pt>
                <c:pt idx="1">
                  <c:v>Revenue R'000</c:v>
                </c:pt>
              </c:strCache>
            </c:strRef>
          </c:cat>
          <c:val>
            <c:numRef>
              <c:f>'Sanitation report'!$J$630:$K$630</c:f>
              <c:numCache>
                <c:formatCode>_-* #\ ##0_-;\-* #\ ##0_-;_-* "-"??_-;_-@_-</c:formatCode>
                <c:ptCount val="2"/>
                <c:pt idx="1">
                  <c:v>0</c:v>
                </c:pt>
              </c:numCache>
            </c:numRef>
          </c:val>
          <c:extLst>
            <c:ext xmlns:c16="http://schemas.microsoft.com/office/drawing/2014/chart" uri="{C3380CC4-5D6E-409C-BE32-E72D297353CC}">
              <c16:uniqueId val="{00000007-9009-4200-9120-A3DE907AACD1}"/>
            </c:ext>
          </c:extLst>
        </c:ser>
        <c:dLbls>
          <c:showLegendKey val="0"/>
          <c:showVal val="0"/>
          <c:showCatName val="0"/>
          <c:showSerName val="0"/>
          <c:showPercent val="0"/>
          <c:showBubbleSize val="0"/>
        </c:dLbls>
        <c:gapWidth val="25"/>
        <c:overlap val="100"/>
        <c:axId val="1396836975"/>
        <c:axId val="1"/>
      </c:barChart>
      <c:catAx>
        <c:axId val="1396836975"/>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0" vert="horz"/>
          <a:lstStyle/>
          <a:p>
            <a:pPr>
              <a:defRPr sz="1100" b="0" i="0" u="none" strike="noStrike" baseline="0">
                <a:solidFill>
                  <a:srgbClr val="000000"/>
                </a:solidFill>
                <a:latin typeface="Calibri"/>
                <a:ea typeface="Calibri"/>
                <a:cs typeface="Calibri"/>
              </a:defRPr>
            </a:pPr>
            <a:endParaRPr lang="en-US"/>
          </a:p>
        </c:txPr>
        <c:crossAx val="1"/>
        <c:crosses val="autoZero"/>
        <c:auto val="1"/>
        <c:lblAlgn val="ctr"/>
        <c:lblOffset val="100"/>
        <c:noMultiLvlLbl val="0"/>
      </c:catAx>
      <c:valAx>
        <c:axId val="1"/>
        <c:scaling>
          <c:orientation val="minMax"/>
        </c:scaling>
        <c:delete val="1"/>
        <c:axPos val="l"/>
        <c:majorGridlines>
          <c:spPr>
            <a:ln w="9525" cap="flat" cmpd="sng" algn="ctr">
              <a:solidFill>
                <a:schemeClr val="tx1">
                  <a:lumMod val="15000"/>
                  <a:lumOff val="85000"/>
                </a:schemeClr>
              </a:solidFill>
              <a:round/>
            </a:ln>
            <a:effectLst/>
          </c:spPr>
        </c:majorGridlines>
        <c:numFmt formatCode="_-* #\ ##0_-;\-* #\ ##0_-;_-* &quot;-&quot;??_-;_-@_-" sourceLinked="1"/>
        <c:majorTickMark val="out"/>
        <c:minorTickMark val="none"/>
        <c:tickLblPos val="nextTo"/>
        <c:crossAx val="1396836975"/>
        <c:crosses val="autoZero"/>
        <c:crossBetween val="between"/>
      </c:valAx>
    </c:plotArea>
    <c:legend>
      <c:legendPos val="r"/>
      <c:layout>
        <c:manualLayout>
          <c:xMode val="edge"/>
          <c:yMode val="edge"/>
          <c:x val="0.63060873861355571"/>
          <c:y val="0.19876461094537096"/>
          <c:w val="0.34824665740311866"/>
          <c:h val="0.70809931367274737"/>
        </c:manualLayout>
      </c:layout>
      <c:overlay val="0"/>
      <c:spPr>
        <a:noFill/>
        <a:ln w="25400">
          <a:noFill/>
        </a:ln>
      </c:spPr>
      <c:txPr>
        <a:bodyPr/>
        <a:lstStyle/>
        <a:p>
          <a:pPr>
            <a:defRPr sz="850" b="0" i="0" u="none" strike="noStrike" baseline="0">
              <a:solidFill>
                <a:srgbClr val="000000"/>
              </a:solidFill>
              <a:latin typeface="Calibri"/>
              <a:ea typeface="Calibri"/>
              <a:cs typeface="Calibri"/>
            </a:defRPr>
          </a:pPr>
          <a:endParaRPr lang="en-US"/>
        </a:p>
      </c:txPr>
    </c:legend>
    <c:plotVisOnly val="1"/>
    <c:dispBlanksAs val="gap"/>
    <c:showDLblsOverMax val="0"/>
  </c:chart>
  <c:spPr>
    <a:solidFill>
      <a:schemeClr val="bg1"/>
    </a:solidFill>
    <a:ln w="9525" cap="flat" cmpd="sng" algn="ctr">
      <a:noFill/>
      <a:round/>
    </a:ln>
    <a:effectLst/>
  </c:spPr>
  <c:txPr>
    <a:bodyPr/>
    <a:lstStyle/>
    <a:p>
      <a:pPr>
        <a:defRPr sz="1100" b="0" i="0" u="none" strike="noStrike" baseline="0">
          <a:solidFill>
            <a:srgbClr val="000000"/>
          </a:solidFill>
          <a:latin typeface="Calibri"/>
          <a:ea typeface="Calibri"/>
          <a:cs typeface="Calibri"/>
        </a:defRPr>
      </a:pPr>
      <a:endParaRPr lang="en-US"/>
    </a:p>
  </c:txPr>
  <c:printSettings>
    <c:headerFooter/>
    <c:pageMargins b="0.75" l="0.7" r="0.7" t="0.75" header="0.3" footer="0.3"/>
    <c:pageSetup orientation="portrait"/>
  </c:printSettings>
</c:chartSpace>
</file>

<file path=xl/charts/chart12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ser>
          <c:idx val="0"/>
          <c:order val="0"/>
          <c:tx>
            <c:strRef>
              <c:f>'Sanitation report'!$K$644</c:f>
              <c:strCache>
                <c:ptCount val="1"/>
                <c:pt idx="0">
                  <c:v>Tariff </c:v>
                </c:pt>
              </c:strCache>
            </c:strRef>
          </c:tx>
          <c:spPr>
            <a:solidFill>
              <a:srgbClr val="4472C4"/>
            </a:solidFill>
            <a:ln w="25400">
              <a:noFill/>
            </a:ln>
          </c:spPr>
          <c:invertIfNegative val="0"/>
          <c:dLbls>
            <c:spPr>
              <a:noFill/>
              <a:ln w="25400">
                <a:noFill/>
              </a:ln>
            </c:spPr>
            <c:txPr>
              <a:bodyPr wrap="square" lIns="38100" tIns="19050" rIns="38100" bIns="19050" anchor="ctr">
                <a:spAutoFit/>
              </a:bodyPr>
              <a:lstStyle/>
              <a:p>
                <a:pPr>
                  <a:defRPr sz="900" b="0" i="0" u="none" strike="noStrike" baseline="0">
                    <a:solidFill>
                      <a:srgbClr val="333333"/>
                    </a:solidFill>
                    <a:latin typeface="Calibri"/>
                    <a:ea typeface="Calibri"/>
                    <a:cs typeface="Calibri"/>
                  </a:defRPr>
                </a:pPr>
                <a:endParaRPr lang="en-US"/>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'Sanitation report'!$J$645:$J$654</c:f>
              <c:strCache>
                <c:ptCount val="10"/>
                <c:pt idx="0">
                  <c:v>0</c:v>
                </c:pt>
                <c:pt idx="1">
                  <c:v>0</c:v>
                </c:pt>
                <c:pt idx="2">
                  <c:v>0</c:v>
                </c:pt>
                <c:pt idx="3">
                  <c:v>0</c:v>
                </c:pt>
                <c:pt idx="4">
                  <c:v>0</c:v>
                </c:pt>
                <c:pt idx="5">
                  <c:v>0</c:v>
                </c:pt>
                <c:pt idx="6">
                  <c:v>0</c:v>
                </c:pt>
                <c:pt idx="7">
                  <c:v>0</c:v>
                </c:pt>
                <c:pt idx="8">
                  <c:v>0</c:v>
                </c:pt>
                <c:pt idx="9">
                  <c:v>More</c:v>
                </c:pt>
              </c:strCache>
            </c:strRef>
          </c:cat>
          <c:val>
            <c:numRef>
              <c:f>'Sanitation report'!$K$645:$K$654</c:f>
              <c:numCache>
                <c:formatCode>_(* #,##0.00_);_(* \(#,##0.00\);_(* "-"??_);_(@_)</c:formatCode>
                <c:ptCount val="10"/>
                <c:pt idx="0">
                  <c:v>0</c:v>
                </c:pt>
                <c:pt idx="1">
                  <c:v>0</c:v>
                </c:pt>
                <c:pt idx="2">
                  <c:v>0</c:v>
                </c:pt>
                <c:pt idx="3">
                  <c:v>0</c:v>
                </c:pt>
                <c:pt idx="4">
                  <c:v>0</c:v>
                </c:pt>
                <c:pt idx="5">
                  <c:v>0</c:v>
                </c:pt>
                <c:pt idx="6">
                  <c:v>0</c:v>
                </c:pt>
                <c:pt idx="7">
                  <c:v>0</c:v>
                </c:pt>
                <c:pt idx="8">
                  <c:v>0</c:v>
                </c:pt>
                <c:pt idx="9">
                  <c:v>0</c:v>
                </c:pt>
              </c:numCache>
            </c:numRef>
          </c:val>
          <c:extLst>
            <c:ext xmlns:c16="http://schemas.microsoft.com/office/drawing/2014/chart" uri="{C3380CC4-5D6E-409C-BE32-E72D297353CC}">
              <c16:uniqueId val="{00000000-4722-470F-AF5D-624F7416C0F7}"/>
            </c:ext>
          </c:extLst>
        </c:ser>
        <c:dLbls>
          <c:showLegendKey val="0"/>
          <c:showVal val="0"/>
          <c:showCatName val="0"/>
          <c:showSerName val="0"/>
          <c:showPercent val="0"/>
          <c:showBubbleSize val="0"/>
        </c:dLbls>
        <c:gapWidth val="50"/>
        <c:axId val="1396850415"/>
        <c:axId val="1"/>
      </c:barChart>
      <c:lineChart>
        <c:grouping val="standard"/>
        <c:varyColors val="0"/>
        <c:ser>
          <c:idx val="1"/>
          <c:order val="1"/>
          <c:tx>
            <c:strRef>
              <c:f>'Sanitation report'!$L$644</c:f>
              <c:strCache>
                <c:ptCount val="1"/>
                <c:pt idx="0">
                  <c:v>Total cost per kl </c:v>
                </c:pt>
              </c:strCache>
            </c:strRef>
          </c:tx>
          <c:spPr>
            <a:ln w="28575" cap="rnd">
              <a:solidFill>
                <a:schemeClr val="accent2"/>
              </a:solidFill>
              <a:round/>
            </a:ln>
            <a:effectLst/>
          </c:spPr>
          <c:marker>
            <c:symbol val="none"/>
          </c:marker>
          <c:cat>
            <c:strRef>
              <c:f>'Sanitation report'!$J$645:$J$654</c:f>
              <c:strCache>
                <c:ptCount val="10"/>
                <c:pt idx="0">
                  <c:v>0</c:v>
                </c:pt>
                <c:pt idx="1">
                  <c:v>0</c:v>
                </c:pt>
                <c:pt idx="2">
                  <c:v>0</c:v>
                </c:pt>
                <c:pt idx="3">
                  <c:v>0</c:v>
                </c:pt>
                <c:pt idx="4">
                  <c:v>0</c:v>
                </c:pt>
                <c:pt idx="5">
                  <c:v>0</c:v>
                </c:pt>
                <c:pt idx="6">
                  <c:v>0</c:v>
                </c:pt>
                <c:pt idx="7">
                  <c:v>0</c:v>
                </c:pt>
                <c:pt idx="8">
                  <c:v>0</c:v>
                </c:pt>
                <c:pt idx="9">
                  <c:v>More</c:v>
                </c:pt>
              </c:strCache>
            </c:strRef>
          </c:cat>
          <c:val>
            <c:numRef>
              <c:f>'Sanitation report'!$L$645:$L$654</c:f>
              <c:numCache>
                <c:formatCode>_(* #,##0.00_);_(* \(#,##0.00\);_(* "-"??_);_(@_)</c:formatCode>
                <c:ptCount val="10"/>
                <c:pt idx="0">
                  <c:v>0</c:v>
                </c:pt>
                <c:pt idx="1">
                  <c:v>0</c:v>
                </c:pt>
                <c:pt idx="2">
                  <c:v>0</c:v>
                </c:pt>
                <c:pt idx="3">
                  <c:v>0</c:v>
                </c:pt>
                <c:pt idx="4">
                  <c:v>0</c:v>
                </c:pt>
                <c:pt idx="5">
                  <c:v>0</c:v>
                </c:pt>
                <c:pt idx="6">
                  <c:v>0</c:v>
                </c:pt>
                <c:pt idx="7">
                  <c:v>0</c:v>
                </c:pt>
                <c:pt idx="8">
                  <c:v>0</c:v>
                </c:pt>
                <c:pt idx="9">
                  <c:v>0</c:v>
                </c:pt>
              </c:numCache>
            </c:numRef>
          </c:val>
          <c:smooth val="0"/>
          <c:extLst>
            <c:ext xmlns:c16="http://schemas.microsoft.com/office/drawing/2014/chart" uri="{C3380CC4-5D6E-409C-BE32-E72D297353CC}">
              <c16:uniqueId val="{00000001-4722-470F-AF5D-624F7416C0F7}"/>
            </c:ext>
          </c:extLst>
        </c:ser>
        <c:ser>
          <c:idx val="2"/>
          <c:order val="2"/>
          <c:tx>
            <c:strRef>
              <c:f>'Sanitation report'!$M$644</c:f>
              <c:strCache>
                <c:ptCount val="1"/>
                <c:pt idx="0">
                  <c:v>Variable cost per kl treated</c:v>
                </c:pt>
              </c:strCache>
            </c:strRef>
          </c:tx>
          <c:spPr>
            <a:ln w="28575" cap="rnd">
              <a:solidFill>
                <a:schemeClr val="accent3"/>
              </a:solidFill>
              <a:round/>
            </a:ln>
            <a:effectLst/>
          </c:spPr>
          <c:marker>
            <c:symbol val="none"/>
          </c:marker>
          <c:cat>
            <c:strRef>
              <c:f>'Sanitation report'!$J$645:$J$654</c:f>
              <c:strCache>
                <c:ptCount val="10"/>
                <c:pt idx="0">
                  <c:v>0</c:v>
                </c:pt>
                <c:pt idx="1">
                  <c:v>0</c:v>
                </c:pt>
                <c:pt idx="2">
                  <c:v>0</c:v>
                </c:pt>
                <c:pt idx="3">
                  <c:v>0</c:v>
                </c:pt>
                <c:pt idx="4">
                  <c:v>0</c:v>
                </c:pt>
                <c:pt idx="5">
                  <c:v>0</c:v>
                </c:pt>
                <c:pt idx="6">
                  <c:v>0</c:v>
                </c:pt>
                <c:pt idx="7">
                  <c:v>0</c:v>
                </c:pt>
                <c:pt idx="8">
                  <c:v>0</c:v>
                </c:pt>
                <c:pt idx="9">
                  <c:v>More</c:v>
                </c:pt>
              </c:strCache>
            </c:strRef>
          </c:cat>
          <c:val>
            <c:numRef>
              <c:f>'Sanitation report'!$M$645:$M$654</c:f>
              <c:numCache>
                <c:formatCode>_(* #,##0.00_);_(* \(#,##0.00\);_(* "-"??_);_(@_)</c:formatCode>
                <c:ptCount val="10"/>
                <c:pt idx="0">
                  <c:v>0</c:v>
                </c:pt>
                <c:pt idx="1">
                  <c:v>0</c:v>
                </c:pt>
                <c:pt idx="2">
                  <c:v>0</c:v>
                </c:pt>
                <c:pt idx="3">
                  <c:v>0</c:v>
                </c:pt>
                <c:pt idx="4">
                  <c:v>0</c:v>
                </c:pt>
                <c:pt idx="5">
                  <c:v>0</c:v>
                </c:pt>
                <c:pt idx="6">
                  <c:v>0</c:v>
                </c:pt>
                <c:pt idx="7">
                  <c:v>0</c:v>
                </c:pt>
                <c:pt idx="8">
                  <c:v>0</c:v>
                </c:pt>
                <c:pt idx="9">
                  <c:v>0</c:v>
                </c:pt>
              </c:numCache>
            </c:numRef>
          </c:val>
          <c:smooth val="0"/>
          <c:extLst>
            <c:ext xmlns:c16="http://schemas.microsoft.com/office/drawing/2014/chart" uri="{C3380CC4-5D6E-409C-BE32-E72D297353CC}">
              <c16:uniqueId val="{00000002-4722-470F-AF5D-624F7416C0F7}"/>
            </c:ext>
          </c:extLst>
        </c:ser>
        <c:dLbls>
          <c:showLegendKey val="0"/>
          <c:showVal val="0"/>
          <c:showCatName val="0"/>
          <c:showSerName val="0"/>
          <c:showPercent val="0"/>
          <c:showBubbleSize val="0"/>
        </c:dLbls>
        <c:marker val="1"/>
        <c:smooth val="0"/>
        <c:axId val="1396850415"/>
        <c:axId val="1"/>
      </c:lineChart>
      <c:catAx>
        <c:axId val="1396850415"/>
        <c:scaling>
          <c:orientation val="minMax"/>
        </c:scaling>
        <c:delete val="0"/>
        <c:axPos val="b"/>
        <c:title>
          <c:tx>
            <c:rich>
              <a:bodyPr/>
              <a:lstStyle/>
              <a:p>
                <a:pPr>
                  <a:defRPr sz="1000" b="0" i="0" u="none" strike="noStrike" baseline="0">
                    <a:solidFill>
                      <a:srgbClr val="333333"/>
                    </a:solidFill>
                    <a:latin typeface="Calibri"/>
                    <a:ea typeface="Calibri"/>
                    <a:cs typeface="Calibri"/>
                  </a:defRPr>
                </a:pPr>
                <a:r>
                  <a:rPr lang="en-ZA"/>
                  <a:t>Block size</a:t>
                </a:r>
              </a:p>
            </c:rich>
          </c:tx>
          <c:overlay val="0"/>
          <c:spPr>
            <a:noFill/>
            <a:ln w="25400">
              <a:noFill/>
            </a:ln>
          </c:spPr>
        </c:title>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0" vert="horz"/>
          <a:lstStyle/>
          <a:p>
            <a:pPr>
              <a:defRPr sz="900" b="0" i="0" u="none" strike="noStrike" baseline="0">
                <a:solidFill>
                  <a:srgbClr val="333333"/>
                </a:solidFill>
                <a:latin typeface="Calibri"/>
                <a:ea typeface="Calibri"/>
                <a:cs typeface="Calibri"/>
              </a:defRPr>
            </a:pPr>
            <a:endParaRPr lang="en-US"/>
          </a:p>
        </c:txPr>
        <c:crossAx val="1"/>
        <c:crosses val="autoZero"/>
        <c:auto val="1"/>
        <c:lblAlgn val="ctr"/>
        <c:lblOffset val="100"/>
        <c:noMultiLvlLbl val="0"/>
      </c:catAx>
      <c:valAx>
        <c:axId val="1"/>
        <c:scaling>
          <c:orientation val="minMax"/>
        </c:scaling>
        <c:delete val="0"/>
        <c:axPos val="l"/>
        <c:majorGridlines>
          <c:spPr>
            <a:ln w="9525" cap="flat" cmpd="sng" algn="ctr">
              <a:solidFill>
                <a:schemeClr val="tx1">
                  <a:lumMod val="15000"/>
                  <a:lumOff val="85000"/>
                </a:schemeClr>
              </a:solidFill>
              <a:round/>
            </a:ln>
            <a:effectLst/>
          </c:spPr>
        </c:majorGridlines>
        <c:title>
          <c:tx>
            <c:rich>
              <a:bodyPr/>
              <a:lstStyle/>
              <a:p>
                <a:pPr>
                  <a:defRPr sz="1000" b="0" i="0" u="none" strike="noStrike" baseline="0">
                    <a:solidFill>
                      <a:srgbClr val="333333"/>
                    </a:solidFill>
                    <a:latin typeface="Calibri"/>
                    <a:ea typeface="Calibri"/>
                    <a:cs typeface="Calibri"/>
                  </a:defRPr>
                </a:pPr>
                <a:r>
                  <a:rPr lang="en-ZA"/>
                  <a:t>R/kl</a:t>
                </a:r>
              </a:p>
            </c:rich>
          </c:tx>
          <c:overlay val="0"/>
          <c:spPr>
            <a:noFill/>
            <a:ln w="25400">
              <a:noFill/>
            </a:ln>
          </c:spPr>
        </c:title>
        <c:numFmt formatCode="_(* #,##0.00_);_(* \(#,##0.00\);_(* &quot;-&quot;??_);_(@_)" sourceLinked="1"/>
        <c:majorTickMark val="none"/>
        <c:minorTickMark val="none"/>
        <c:tickLblPos val="nextTo"/>
        <c:spPr>
          <a:ln w="6350">
            <a:noFill/>
          </a:ln>
        </c:spPr>
        <c:txPr>
          <a:bodyPr rot="0" vert="horz"/>
          <a:lstStyle/>
          <a:p>
            <a:pPr>
              <a:defRPr sz="900" b="0" i="0" u="none" strike="noStrike" baseline="0">
                <a:solidFill>
                  <a:srgbClr val="333333"/>
                </a:solidFill>
                <a:latin typeface="Calibri"/>
                <a:ea typeface="Calibri"/>
                <a:cs typeface="Calibri"/>
              </a:defRPr>
            </a:pPr>
            <a:endParaRPr lang="en-US"/>
          </a:p>
        </c:txPr>
        <c:crossAx val="1396850415"/>
        <c:crosses val="autoZero"/>
        <c:crossBetween val="between"/>
      </c:valAx>
    </c:plotArea>
    <c:legend>
      <c:legendPos val="r"/>
      <c:layout>
        <c:manualLayout>
          <c:xMode val="edge"/>
          <c:yMode val="edge"/>
          <c:x val="0.12362011021685021"/>
          <c:y val="0.92994800178279602"/>
          <c:w val="0.74541089190419463"/>
          <c:h val="5.930117225912801E-2"/>
        </c:manualLayout>
      </c:layout>
      <c:overlay val="0"/>
      <c:spPr>
        <a:noFill/>
        <a:ln w="25400">
          <a:noFill/>
        </a:ln>
      </c:spPr>
      <c:txPr>
        <a:bodyPr/>
        <a:lstStyle/>
        <a:p>
          <a:pPr>
            <a:defRPr sz="690" b="0" i="0" u="none" strike="noStrike" baseline="0">
              <a:solidFill>
                <a:srgbClr val="333333"/>
              </a:solidFill>
              <a:latin typeface="Calibri"/>
              <a:ea typeface="Calibri"/>
              <a:cs typeface="Calibri"/>
            </a:defRPr>
          </a:pPr>
          <a:endParaRPr lang="en-US"/>
        </a:p>
      </c:txPr>
    </c:legend>
    <c:plotVisOnly val="1"/>
    <c:dispBlanksAs val="gap"/>
    <c:showDLblsOverMax val="0"/>
  </c:chart>
  <c:spPr>
    <a:solidFill>
      <a:schemeClr val="bg1"/>
    </a:solidFill>
    <a:ln w="9525" cap="flat" cmpd="sng" algn="ctr">
      <a:noFill/>
      <a:round/>
    </a:ln>
    <a:effectLst/>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charts/chart12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2.3871527777777776E-2"/>
          <c:y val="4.7786414907172239E-2"/>
          <c:w val="0.57559123468941387"/>
          <c:h val="0.83529592857692603"/>
        </c:manualLayout>
      </c:layout>
      <c:barChart>
        <c:barDir val="col"/>
        <c:grouping val="stacked"/>
        <c:varyColors val="0"/>
        <c:ser>
          <c:idx val="0"/>
          <c:order val="0"/>
          <c:tx>
            <c:strRef>
              <c:f>'Sanitation report'!$I$689</c:f>
              <c:strCache>
                <c:ptCount val="1"/>
                <c:pt idx="0">
                  <c:v>Fixed cost</c:v>
                </c:pt>
              </c:strCache>
            </c:strRef>
          </c:tx>
          <c:spPr>
            <a:solidFill>
              <a:srgbClr val="4472C4"/>
            </a:solidFill>
            <a:ln w="25400">
              <a:noFill/>
            </a:ln>
          </c:spPr>
          <c:invertIfNegative val="0"/>
          <c:dPt>
            <c:idx val="0"/>
            <c:invertIfNegative val="0"/>
            <c:bubble3D val="0"/>
            <c:spPr>
              <a:solidFill>
                <a:srgbClr val="5B9BD5"/>
              </a:solidFill>
              <a:ln w="25400">
                <a:noFill/>
              </a:ln>
            </c:spPr>
            <c:extLst>
              <c:ext xmlns:c16="http://schemas.microsoft.com/office/drawing/2014/chart" uri="{C3380CC4-5D6E-409C-BE32-E72D297353CC}">
                <c16:uniqueId val="{00000000-F69C-405E-9C0C-1351A2E21349}"/>
              </c:ext>
            </c:extLst>
          </c:dPt>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'Sanitation report'!$J$688:$K$688</c:f>
              <c:strCache>
                <c:ptCount val="2"/>
                <c:pt idx="0">
                  <c:v>Expenditure R'000</c:v>
                </c:pt>
                <c:pt idx="1">
                  <c:v>Revenue R'000</c:v>
                </c:pt>
              </c:strCache>
            </c:strRef>
          </c:cat>
          <c:val>
            <c:numRef>
              <c:f>'Sanitation report'!$J$689:$K$689</c:f>
              <c:numCache>
                <c:formatCode>General</c:formatCode>
                <c:ptCount val="2"/>
                <c:pt idx="0" formatCode="_-* #\ ##0_-;\-* #\ ##0_-;_-* &quot;-&quot;??_-;_-@_-">
                  <c:v>0</c:v>
                </c:pt>
              </c:numCache>
            </c:numRef>
          </c:val>
          <c:extLst>
            <c:ext xmlns:c16="http://schemas.microsoft.com/office/drawing/2014/chart" uri="{C3380CC4-5D6E-409C-BE32-E72D297353CC}">
              <c16:uniqueId val="{00000001-F69C-405E-9C0C-1351A2E21349}"/>
            </c:ext>
          </c:extLst>
        </c:ser>
        <c:ser>
          <c:idx val="1"/>
          <c:order val="1"/>
          <c:tx>
            <c:strRef>
              <c:f>'Sanitation report'!$I$690</c:f>
              <c:strCache>
                <c:ptCount val="1"/>
                <c:pt idx="0">
                  <c:v>Variable cost</c:v>
                </c:pt>
              </c:strCache>
            </c:strRef>
          </c:tx>
          <c:spPr>
            <a:solidFill>
              <a:schemeClr val="accent5">
                <a:lumMod val="60000"/>
                <a:lumOff val="40000"/>
              </a:schemeClr>
            </a:solidFill>
            <a:ln>
              <a:noFill/>
            </a:ln>
            <a:effectLst/>
          </c:spPr>
          <c:invertIfNegative val="0"/>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'Sanitation report'!$J$688:$K$688</c:f>
              <c:strCache>
                <c:ptCount val="2"/>
                <c:pt idx="0">
                  <c:v>Expenditure R'000</c:v>
                </c:pt>
                <c:pt idx="1">
                  <c:v>Revenue R'000</c:v>
                </c:pt>
              </c:strCache>
            </c:strRef>
          </c:cat>
          <c:val>
            <c:numRef>
              <c:f>'Sanitation report'!$J$690:$K$690</c:f>
              <c:numCache>
                <c:formatCode>General</c:formatCode>
                <c:ptCount val="2"/>
                <c:pt idx="0" formatCode="_-* #\ ##0_-;\-* #\ ##0_-;_-* &quot;-&quot;??_-;_-@_-">
                  <c:v>0</c:v>
                </c:pt>
              </c:numCache>
            </c:numRef>
          </c:val>
          <c:extLst>
            <c:ext xmlns:c16="http://schemas.microsoft.com/office/drawing/2014/chart" uri="{C3380CC4-5D6E-409C-BE32-E72D297353CC}">
              <c16:uniqueId val="{00000002-F69C-405E-9C0C-1351A2E21349}"/>
            </c:ext>
          </c:extLst>
        </c:ser>
        <c:ser>
          <c:idx val="2"/>
          <c:order val="2"/>
          <c:tx>
            <c:strRef>
              <c:f>'Sanitation report'!$I$691</c:f>
              <c:strCache>
                <c:ptCount val="1"/>
                <c:pt idx="0">
                  <c:v>Surplus</c:v>
                </c:pt>
              </c:strCache>
            </c:strRef>
          </c:tx>
          <c:spPr>
            <a:solidFill>
              <a:srgbClr val="A5A5A5"/>
            </a:solidFill>
            <a:ln w="25400">
              <a:noFill/>
            </a:ln>
          </c:spPr>
          <c:invertIfNegative val="0"/>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'Sanitation report'!$J$688:$K$688</c:f>
              <c:strCache>
                <c:ptCount val="2"/>
                <c:pt idx="0">
                  <c:v>Expenditure R'000</c:v>
                </c:pt>
                <c:pt idx="1">
                  <c:v>Revenue R'000</c:v>
                </c:pt>
              </c:strCache>
            </c:strRef>
          </c:cat>
          <c:val>
            <c:numRef>
              <c:f>'Sanitation report'!$J$691:$K$691</c:f>
              <c:numCache>
                <c:formatCode>General</c:formatCode>
                <c:ptCount val="2"/>
                <c:pt idx="0" formatCode="_-* #\ ##0_-;\-* #\ ##0_-;_-* &quot;-&quot;??_-;_-@_-">
                  <c:v>0</c:v>
                </c:pt>
              </c:numCache>
            </c:numRef>
          </c:val>
          <c:extLst>
            <c:ext xmlns:c16="http://schemas.microsoft.com/office/drawing/2014/chart" uri="{C3380CC4-5D6E-409C-BE32-E72D297353CC}">
              <c16:uniqueId val="{00000003-F69C-405E-9C0C-1351A2E21349}"/>
            </c:ext>
          </c:extLst>
        </c:ser>
        <c:ser>
          <c:idx val="4"/>
          <c:order val="3"/>
          <c:tx>
            <c:strRef>
              <c:f>'Sanitation report'!$I$692</c:f>
              <c:strCache>
                <c:ptCount val="1"/>
                <c:pt idx="0">
                  <c:v>Tariff revenue</c:v>
                </c:pt>
              </c:strCache>
            </c:strRef>
          </c:tx>
          <c:spPr>
            <a:solidFill>
              <a:srgbClr val="5B9BD5"/>
            </a:solidFill>
            <a:ln w="25400">
              <a:noFill/>
            </a:ln>
          </c:spPr>
          <c:invertIfNegative val="0"/>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'Sanitation report'!$J$688:$K$688</c:f>
              <c:strCache>
                <c:ptCount val="2"/>
                <c:pt idx="0">
                  <c:v>Expenditure R'000</c:v>
                </c:pt>
                <c:pt idx="1">
                  <c:v>Revenue R'000</c:v>
                </c:pt>
              </c:strCache>
            </c:strRef>
          </c:cat>
          <c:val>
            <c:numRef>
              <c:f>'Sanitation report'!$J$692:$K$692</c:f>
              <c:numCache>
                <c:formatCode>_-* #\ ##0_-;\-* #\ ##0_-;_-* "-"??_-;_-@_-</c:formatCode>
                <c:ptCount val="2"/>
                <c:pt idx="1">
                  <c:v>0</c:v>
                </c:pt>
              </c:numCache>
            </c:numRef>
          </c:val>
          <c:extLst>
            <c:ext xmlns:c16="http://schemas.microsoft.com/office/drawing/2014/chart" uri="{C3380CC4-5D6E-409C-BE32-E72D297353CC}">
              <c16:uniqueId val="{00000004-F69C-405E-9C0C-1351A2E21349}"/>
            </c:ext>
          </c:extLst>
        </c:ser>
        <c:ser>
          <c:idx val="5"/>
          <c:order val="4"/>
          <c:tx>
            <c:strRef>
              <c:f>'Sanitation report'!$I$693</c:f>
              <c:strCache>
                <c:ptCount val="1"/>
                <c:pt idx="0">
                  <c:v>External grants &amp; subsidies</c:v>
                </c:pt>
              </c:strCache>
            </c:strRef>
          </c:tx>
          <c:spPr>
            <a:solidFill>
              <a:srgbClr val="A5A5A5"/>
            </a:solidFill>
            <a:ln w="25400">
              <a:noFill/>
            </a:ln>
          </c:spPr>
          <c:invertIfNegative val="0"/>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'Sanitation report'!$J$688:$K$688</c:f>
              <c:strCache>
                <c:ptCount val="2"/>
                <c:pt idx="0">
                  <c:v>Expenditure R'000</c:v>
                </c:pt>
                <c:pt idx="1">
                  <c:v>Revenue R'000</c:v>
                </c:pt>
              </c:strCache>
            </c:strRef>
          </c:cat>
          <c:val>
            <c:numRef>
              <c:f>'Sanitation report'!$J$693:$K$693</c:f>
              <c:numCache>
                <c:formatCode>_-* #\ ##0_-;\-* #\ ##0_-;_-* "-"??_-;_-@_-</c:formatCode>
                <c:ptCount val="2"/>
                <c:pt idx="1">
                  <c:v>0</c:v>
                </c:pt>
              </c:numCache>
            </c:numRef>
          </c:val>
          <c:extLst>
            <c:ext xmlns:c16="http://schemas.microsoft.com/office/drawing/2014/chart" uri="{C3380CC4-5D6E-409C-BE32-E72D297353CC}">
              <c16:uniqueId val="{00000005-F69C-405E-9C0C-1351A2E21349}"/>
            </c:ext>
          </c:extLst>
        </c:ser>
        <c:ser>
          <c:idx val="3"/>
          <c:order val="5"/>
          <c:tx>
            <c:strRef>
              <c:f>'Sanitation report'!$I$694</c:f>
              <c:strCache>
                <c:ptCount val="1"/>
                <c:pt idx="0">
                  <c:v>Other non-tariff revenue</c:v>
                </c:pt>
              </c:strCache>
            </c:strRef>
          </c:tx>
          <c:spPr>
            <a:solidFill>
              <a:schemeClr val="accent3">
                <a:lumMod val="40000"/>
                <a:lumOff val="60000"/>
              </a:schemeClr>
            </a:solidFill>
            <a:ln>
              <a:noFill/>
            </a:ln>
            <a:effectLst/>
          </c:spPr>
          <c:invertIfNegative val="0"/>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'Sanitation report'!$J$688:$K$688</c:f>
              <c:strCache>
                <c:ptCount val="2"/>
                <c:pt idx="0">
                  <c:v>Expenditure R'000</c:v>
                </c:pt>
                <c:pt idx="1">
                  <c:v>Revenue R'000</c:v>
                </c:pt>
              </c:strCache>
            </c:strRef>
          </c:cat>
          <c:val>
            <c:numRef>
              <c:f>'Sanitation report'!$J$694:$K$694</c:f>
              <c:numCache>
                <c:formatCode>_-* #\ ##0_-;\-* #\ ##0_-;_-* "-"??_-;_-@_-</c:formatCode>
                <c:ptCount val="2"/>
                <c:pt idx="1">
                  <c:v>0</c:v>
                </c:pt>
              </c:numCache>
            </c:numRef>
          </c:val>
          <c:extLst>
            <c:ext xmlns:c16="http://schemas.microsoft.com/office/drawing/2014/chart" uri="{C3380CC4-5D6E-409C-BE32-E72D297353CC}">
              <c16:uniqueId val="{00000006-F69C-405E-9C0C-1351A2E21349}"/>
            </c:ext>
          </c:extLst>
        </c:ser>
        <c:ser>
          <c:idx val="6"/>
          <c:order val="6"/>
          <c:tx>
            <c:strRef>
              <c:f>'Sanitation report'!$I$695</c:f>
              <c:strCache>
                <c:ptCount val="1"/>
                <c:pt idx="0">
                  <c:v>Deficit</c:v>
                </c:pt>
              </c:strCache>
            </c:strRef>
          </c:tx>
          <c:spPr>
            <a:solidFill>
              <a:srgbClr val="ED7D31"/>
            </a:solidFill>
            <a:ln w="25400">
              <a:noFill/>
            </a:ln>
          </c:spPr>
          <c:invertIfNegative val="0"/>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'Sanitation report'!$J$688:$K$688</c:f>
              <c:strCache>
                <c:ptCount val="2"/>
                <c:pt idx="0">
                  <c:v>Expenditure R'000</c:v>
                </c:pt>
                <c:pt idx="1">
                  <c:v>Revenue R'000</c:v>
                </c:pt>
              </c:strCache>
            </c:strRef>
          </c:cat>
          <c:val>
            <c:numRef>
              <c:f>'Sanitation report'!$J$695:$K$695</c:f>
              <c:numCache>
                <c:formatCode>_-* #\ ##0_-;\-* #\ ##0_-;_-* "-"??_-;_-@_-</c:formatCode>
                <c:ptCount val="2"/>
                <c:pt idx="1">
                  <c:v>0</c:v>
                </c:pt>
              </c:numCache>
            </c:numRef>
          </c:val>
          <c:extLst>
            <c:ext xmlns:c16="http://schemas.microsoft.com/office/drawing/2014/chart" uri="{C3380CC4-5D6E-409C-BE32-E72D297353CC}">
              <c16:uniqueId val="{00000007-F69C-405E-9C0C-1351A2E21349}"/>
            </c:ext>
          </c:extLst>
        </c:ser>
        <c:dLbls>
          <c:showLegendKey val="0"/>
          <c:showVal val="0"/>
          <c:showCatName val="0"/>
          <c:showSerName val="0"/>
          <c:showPercent val="0"/>
          <c:showBubbleSize val="0"/>
        </c:dLbls>
        <c:gapWidth val="25"/>
        <c:overlap val="100"/>
        <c:axId val="1396860495"/>
        <c:axId val="1"/>
      </c:barChart>
      <c:catAx>
        <c:axId val="1396860495"/>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0" vert="horz"/>
          <a:lstStyle/>
          <a:p>
            <a:pPr>
              <a:defRPr sz="1100" b="0" i="0" u="none" strike="noStrike" baseline="0">
                <a:solidFill>
                  <a:srgbClr val="000000"/>
                </a:solidFill>
                <a:latin typeface="Calibri"/>
                <a:ea typeface="Calibri"/>
                <a:cs typeface="Calibri"/>
              </a:defRPr>
            </a:pPr>
            <a:endParaRPr lang="en-US"/>
          </a:p>
        </c:txPr>
        <c:crossAx val="1"/>
        <c:crosses val="autoZero"/>
        <c:auto val="1"/>
        <c:lblAlgn val="ctr"/>
        <c:lblOffset val="100"/>
        <c:noMultiLvlLbl val="0"/>
      </c:catAx>
      <c:valAx>
        <c:axId val="1"/>
        <c:scaling>
          <c:orientation val="minMax"/>
        </c:scaling>
        <c:delete val="1"/>
        <c:axPos val="l"/>
        <c:majorGridlines>
          <c:spPr>
            <a:ln w="9525" cap="flat" cmpd="sng" algn="ctr">
              <a:solidFill>
                <a:schemeClr val="tx1">
                  <a:lumMod val="15000"/>
                  <a:lumOff val="85000"/>
                </a:schemeClr>
              </a:solidFill>
              <a:round/>
            </a:ln>
            <a:effectLst/>
          </c:spPr>
        </c:majorGridlines>
        <c:numFmt formatCode="_-* #\ ##0_-;\-* #\ ##0_-;_-* &quot;-&quot;??_-;_-@_-" sourceLinked="1"/>
        <c:majorTickMark val="out"/>
        <c:minorTickMark val="none"/>
        <c:tickLblPos val="nextTo"/>
        <c:crossAx val="1396860495"/>
        <c:crosses val="autoZero"/>
        <c:crossBetween val="between"/>
      </c:valAx>
    </c:plotArea>
    <c:legend>
      <c:legendPos val="r"/>
      <c:layout>
        <c:manualLayout>
          <c:xMode val="edge"/>
          <c:yMode val="edge"/>
          <c:x val="0.63060873861355571"/>
          <c:y val="0.19876461094537096"/>
          <c:w val="0.34824665740311866"/>
          <c:h val="0.70809931367274737"/>
        </c:manualLayout>
      </c:layout>
      <c:overlay val="0"/>
      <c:spPr>
        <a:noFill/>
        <a:ln w="25400">
          <a:noFill/>
        </a:ln>
      </c:spPr>
      <c:txPr>
        <a:bodyPr/>
        <a:lstStyle/>
        <a:p>
          <a:pPr>
            <a:defRPr sz="850" b="0" i="0" u="none" strike="noStrike" baseline="0">
              <a:solidFill>
                <a:srgbClr val="000000"/>
              </a:solidFill>
              <a:latin typeface="Calibri"/>
              <a:ea typeface="Calibri"/>
              <a:cs typeface="Calibri"/>
            </a:defRPr>
          </a:pPr>
          <a:endParaRPr lang="en-US"/>
        </a:p>
      </c:txPr>
    </c:legend>
    <c:plotVisOnly val="1"/>
    <c:dispBlanksAs val="gap"/>
    <c:showDLblsOverMax val="0"/>
  </c:chart>
  <c:spPr>
    <a:solidFill>
      <a:schemeClr val="bg1"/>
    </a:solidFill>
    <a:ln w="9525" cap="flat" cmpd="sng" algn="ctr">
      <a:noFill/>
      <a:round/>
    </a:ln>
    <a:effectLst/>
  </c:spPr>
  <c:txPr>
    <a:bodyPr/>
    <a:lstStyle/>
    <a:p>
      <a:pPr>
        <a:defRPr sz="1100" b="0" i="0" u="none" strike="noStrike" baseline="0">
          <a:solidFill>
            <a:srgbClr val="000000"/>
          </a:solidFill>
          <a:latin typeface="Calibri"/>
          <a:ea typeface="Calibri"/>
          <a:cs typeface="Calibri"/>
        </a:defRPr>
      </a:pPr>
      <a:endParaRPr lang="en-US"/>
    </a:p>
  </c:txPr>
  <c:printSettings>
    <c:headerFooter/>
    <c:pageMargins b="0.75" l="0.7" r="0.7" t="0.75" header="0.3" footer="0.3"/>
    <c:pageSetup orientation="portrait"/>
  </c:printSettings>
</c:chartSpace>
</file>

<file path=xl/charts/chart12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ser>
          <c:idx val="0"/>
          <c:order val="0"/>
          <c:tx>
            <c:strRef>
              <c:f>'Sanitation report'!$K$711</c:f>
              <c:strCache>
                <c:ptCount val="1"/>
                <c:pt idx="0">
                  <c:v>Tariff </c:v>
                </c:pt>
              </c:strCache>
            </c:strRef>
          </c:tx>
          <c:spPr>
            <a:solidFill>
              <a:srgbClr val="4472C4"/>
            </a:solidFill>
            <a:ln w="25400">
              <a:noFill/>
            </a:ln>
          </c:spPr>
          <c:invertIfNegative val="0"/>
          <c:dLbls>
            <c:spPr>
              <a:noFill/>
              <a:ln w="25400">
                <a:noFill/>
              </a:ln>
            </c:spPr>
            <c:txPr>
              <a:bodyPr wrap="square" lIns="38100" tIns="19050" rIns="38100" bIns="19050" anchor="ctr">
                <a:spAutoFit/>
              </a:bodyPr>
              <a:lstStyle/>
              <a:p>
                <a:pPr>
                  <a:defRPr sz="900" b="0" i="0" u="none" strike="noStrike" baseline="0">
                    <a:solidFill>
                      <a:srgbClr val="333333"/>
                    </a:solidFill>
                    <a:latin typeface="Calibri"/>
                    <a:ea typeface="Calibri"/>
                    <a:cs typeface="Calibri"/>
                  </a:defRPr>
                </a:pPr>
                <a:endParaRPr lang="en-US"/>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'Sanitation report'!$J$712:$J$721</c:f>
              <c:strCache>
                <c:ptCount val="10"/>
                <c:pt idx="0">
                  <c:v>0</c:v>
                </c:pt>
                <c:pt idx="1">
                  <c:v>0</c:v>
                </c:pt>
                <c:pt idx="2">
                  <c:v>0</c:v>
                </c:pt>
                <c:pt idx="3">
                  <c:v>0</c:v>
                </c:pt>
                <c:pt idx="4">
                  <c:v>0</c:v>
                </c:pt>
                <c:pt idx="5">
                  <c:v>0</c:v>
                </c:pt>
                <c:pt idx="6">
                  <c:v>0</c:v>
                </c:pt>
                <c:pt idx="7">
                  <c:v>0</c:v>
                </c:pt>
                <c:pt idx="8">
                  <c:v>0</c:v>
                </c:pt>
                <c:pt idx="9">
                  <c:v>More</c:v>
                </c:pt>
              </c:strCache>
            </c:strRef>
          </c:cat>
          <c:val>
            <c:numRef>
              <c:f>'Sanitation report'!$K$712:$K$721</c:f>
              <c:numCache>
                <c:formatCode>_(* #,##0.00_);_(* \(#,##0.00\);_(* "-"??_);_(@_)</c:formatCode>
                <c:ptCount val="10"/>
                <c:pt idx="0">
                  <c:v>0</c:v>
                </c:pt>
                <c:pt idx="1">
                  <c:v>0</c:v>
                </c:pt>
                <c:pt idx="2">
                  <c:v>0</c:v>
                </c:pt>
                <c:pt idx="3">
                  <c:v>0</c:v>
                </c:pt>
                <c:pt idx="4">
                  <c:v>0</c:v>
                </c:pt>
                <c:pt idx="5">
                  <c:v>0</c:v>
                </c:pt>
                <c:pt idx="6">
                  <c:v>0</c:v>
                </c:pt>
                <c:pt idx="7">
                  <c:v>0</c:v>
                </c:pt>
                <c:pt idx="8">
                  <c:v>0</c:v>
                </c:pt>
                <c:pt idx="9">
                  <c:v>0</c:v>
                </c:pt>
              </c:numCache>
            </c:numRef>
          </c:val>
          <c:extLst>
            <c:ext xmlns:c16="http://schemas.microsoft.com/office/drawing/2014/chart" uri="{C3380CC4-5D6E-409C-BE32-E72D297353CC}">
              <c16:uniqueId val="{00000000-CD29-42DF-8328-3BD4BE0315E5}"/>
            </c:ext>
          </c:extLst>
        </c:ser>
        <c:dLbls>
          <c:showLegendKey val="0"/>
          <c:showVal val="0"/>
          <c:showCatName val="0"/>
          <c:showSerName val="0"/>
          <c:showPercent val="0"/>
          <c:showBubbleSize val="0"/>
        </c:dLbls>
        <c:gapWidth val="50"/>
        <c:axId val="1396852335"/>
        <c:axId val="1"/>
      </c:barChart>
      <c:lineChart>
        <c:grouping val="standard"/>
        <c:varyColors val="0"/>
        <c:ser>
          <c:idx val="1"/>
          <c:order val="1"/>
          <c:tx>
            <c:strRef>
              <c:f>'Sanitation report'!$L$711</c:f>
              <c:strCache>
                <c:ptCount val="1"/>
                <c:pt idx="0">
                  <c:v>Total cost per kl </c:v>
                </c:pt>
              </c:strCache>
            </c:strRef>
          </c:tx>
          <c:spPr>
            <a:ln w="28575" cap="rnd">
              <a:solidFill>
                <a:schemeClr val="accent2"/>
              </a:solidFill>
              <a:round/>
            </a:ln>
            <a:effectLst/>
          </c:spPr>
          <c:marker>
            <c:symbol val="none"/>
          </c:marker>
          <c:cat>
            <c:strRef>
              <c:f>'Sanitation report'!$J$712:$J$721</c:f>
              <c:strCache>
                <c:ptCount val="10"/>
                <c:pt idx="0">
                  <c:v>0</c:v>
                </c:pt>
                <c:pt idx="1">
                  <c:v>0</c:v>
                </c:pt>
                <c:pt idx="2">
                  <c:v>0</c:v>
                </c:pt>
                <c:pt idx="3">
                  <c:v>0</c:v>
                </c:pt>
                <c:pt idx="4">
                  <c:v>0</c:v>
                </c:pt>
                <c:pt idx="5">
                  <c:v>0</c:v>
                </c:pt>
                <c:pt idx="6">
                  <c:v>0</c:v>
                </c:pt>
                <c:pt idx="7">
                  <c:v>0</c:v>
                </c:pt>
                <c:pt idx="8">
                  <c:v>0</c:v>
                </c:pt>
                <c:pt idx="9">
                  <c:v>More</c:v>
                </c:pt>
              </c:strCache>
            </c:strRef>
          </c:cat>
          <c:val>
            <c:numRef>
              <c:f>'Sanitation report'!$L$712:$L$721</c:f>
              <c:numCache>
                <c:formatCode>_(* #,##0.00_);_(* \(#,##0.00\);_(* "-"??_);_(@_)</c:formatCode>
                <c:ptCount val="10"/>
                <c:pt idx="0">
                  <c:v>0</c:v>
                </c:pt>
                <c:pt idx="1">
                  <c:v>0</c:v>
                </c:pt>
                <c:pt idx="2">
                  <c:v>0</c:v>
                </c:pt>
                <c:pt idx="3">
                  <c:v>0</c:v>
                </c:pt>
                <c:pt idx="4">
                  <c:v>0</c:v>
                </c:pt>
                <c:pt idx="5">
                  <c:v>0</c:v>
                </c:pt>
                <c:pt idx="6">
                  <c:v>0</c:v>
                </c:pt>
                <c:pt idx="7">
                  <c:v>0</c:v>
                </c:pt>
                <c:pt idx="8">
                  <c:v>0</c:v>
                </c:pt>
                <c:pt idx="9">
                  <c:v>0</c:v>
                </c:pt>
              </c:numCache>
            </c:numRef>
          </c:val>
          <c:smooth val="0"/>
          <c:extLst>
            <c:ext xmlns:c16="http://schemas.microsoft.com/office/drawing/2014/chart" uri="{C3380CC4-5D6E-409C-BE32-E72D297353CC}">
              <c16:uniqueId val="{00000001-CD29-42DF-8328-3BD4BE0315E5}"/>
            </c:ext>
          </c:extLst>
        </c:ser>
        <c:ser>
          <c:idx val="2"/>
          <c:order val="2"/>
          <c:tx>
            <c:strRef>
              <c:f>'Sanitation report'!$M$711</c:f>
              <c:strCache>
                <c:ptCount val="1"/>
                <c:pt idx="0">
                  <c:v>Variable cost per kl treated</c:v>
                </c:pt>
              </c:strCache>
            </c:strRef>
          </c:tx>
          <c:spPr>
            <a:ln w="28575" cap="rnd">
              <a:solidFill>
                <a:schemeClr val="accent3"/>
              </a:solidFill>
              <a:round/>
            </a:ln>
            <a:effectLst/>
          </c:spPr>
          <c:marker>
            <c:symbol val="none"/>
          </c:marker>
          <c:cat>
            <c:strRef>
              <c:f>'Sanitation report'!$J$712:$J$721</c:f>
              <c:strCache>
                <c:ptCount val="10"/>
                <c:pt idx="0">
                  <c:v>0</c:v>
                </c:pt>
                <c:pt idx="1">
                  <c:v>0</c:v>
                </c:pt>
                <c:pt idx="2">
                  <c:v>0</c:v>
                </c:pt>
                <c:pt idx="3">
                  <c:v>0</c:v>
                </c:pt>
                <c:pt idx="4">
                  <c:v>0</c:v>
                </c:pt>
                <c:pt idx="5">
                  <c:v>0</c:v>
                </c:pt>
                <c:pt idx="6">
                  <c:v>0</c:v>
                </c:pt>
                <c:pt idx="7">
                  <c:v>0</c:v>
                </c:pt>
                <c:pt idx="8">
                  <c:v>0</c:v>
                </c:pt>
                <c:pt idx="9">
                  <c:v>More</c:v>
                </c:pt>
              </c:strCache>
            </c:strRef>
          </c:cat>
          <c:val>
            <c:numRef>
              <c:f>'Sanitation report'!$M$712:$M$721</c:f>
              <c:numCache>
                <c:formatCode>_(* #,##0.00_);_(* \(#,##0.00\);_(* "-"??_);_(@_)</c:formatCode>
                <c:ptCount val="10"/>
                <c:pt idx="0">
                  <c:v>0</c:v>
                </c:pt>
                <c:pt idx="1">
                  <c:v>0</c:v>
                </c:pt>
                <c:pt idx="2">
                  <c:v>0</c:v>
                </c:pt>
                <c:pt idx="3">
                  <c:v>0</c:v>
                </c:pt>
                <c:pt idx="4">
                  <c:v>0</c:v>
                </c:pt>
                <c:pt idx="5">
                  <c:v>0</c:v>
                </c:pt>
                <c:pt idx="6">
                  <c:v>0</c:v>
                </c:pt>
                <c:pt idx="7">
                  <c:v>0</c:v>
                </c:pt>
                <c:pt idx="8">
                  <c:v>0</c:v>
                </c:pt>
                <c:pt idx="9">
                  <c:v>0</c:v>
                </c:pt>
              </c:numCache>
            </c:numRef>
          </c:val>
          <c:smooth val="0"/>
          <c:extLst>
            <c:ext xmlns:c16="http://schemas.microsoft.com/office/drawing/2014/chart" uri="{C3380CC4-5D6E-409C-BE32-E72D297353CC}">
              <c16:uniqueId val="{00000002-CD29-42DF-8328-3BD4BE0315E5}"/>
            </c:ext>
          </c:extLst>
        </c:ser>
        <c:dLbls>
          <c:showLegendKey val="0"/>
          <c:showVal val="0"/>
          <c:showCatName val="0"/>
          <c:showSerName val="0"/>
          <c:showPercent val="0"/>
          <c:showBubbleSize val="0"/>
        </c:dLbls>
        <c:marker val="1"/>
        <c:smooth val="0"/>
        <c:axId val="1396852335"/>
        <c:axId val="1"/>
      </c:lineChart>
      <c:catAx>
        <c:axId val="1396852335"/>
        <c:scaling>
          <c:orientation val="minMax"/>
        </c:scaling>
        <c:delete val="0"/>
        <c:axPos val="b"/>
        <c:title>
          <c:tx>
            <c:rich>
              <a:bodyPr/>
              <a:lstStyle/>
              <a:p>
                <a:pPr>
                  <a:defRPr sz="1000" b="0" i="0" u="none" strike="noStrike" baseline="0">
                    <a:solidFill>
                      <a:srgbClr val="333333"/>
                    </a:solidFill>
                    <a:latin typeface="Calibri"/>
                    <a:ea typeface="Calibri"/>
                    <a:cs typeface="Calibri"/>
                  </a:defRPr>
                </a:pPr>
                <a:r>
                  <a:rPr lang="en-ZA"/>
                  <a:t>Block size</a:t>
                </a:r>
              </a:p>
            </c:rich>
          </c:tx>
          <c:overlay val="0"/>
          <c:spPr>
            <a:noFill/>
            <a:ln w="25400">
              <a:noFill/>
            </a:ln>
          </c:spPr>
        </c:title>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0" vert="horz"/>
          <a:lstStyle/>
          <a:p>
            <a:pPr>
              <a:defRPr sz="900" b="0" i="0" u="none" strike="noStrike" baseline="0">
                <a:solidFill>
                  <a:srgbClr val="333333"/>
                </a:solidFill>
                <a:latin typeface="Calibri"/>
                <a:ea typeface="Calibri"/>
                <a:cs typeface="Calibri"/>
              </a:defRPr>
            </a:pPr>
            <a:endParaRPr lang="en-US"/>
          </a:p>
        </c:txPr>
        <c:crossAx val="1"/>
        <c:crosses val="autoZero"/>
        <c:auto val="1"/>
        <c:lblAlgn val="ctr"/>
        <c:lblOffset val="100"/>
        <c:noMultiLvlLbl val="0"/>
      </c:catAx>
      <c:valAx>
        <c:axId val="1"/>
        <c:scaling>
          <c:orientation val="minMax"/>
        </c:scaling>
        <c:delete val="0"/>
        <c:axPos val="l"/>
        <c:majorGridlines>
          <c:spPr>
            <a:ln w="9525" cap="flat" cmpd="sng" algn="ctr">
              <a:solidFill>
                <a:schemeClr val="tx1">
                  <a:lumMod val="15000"/>
                  <a:lumOff val="85000"/>
                </a:schemeClr>
              </a:solidFill>
              <a:round/>
            </a:ln>
            <a:effectLst/>
          </c:spPr>
        </c:majorGridlines>
        <c:title>
          <c:tx>
            <c:rich>
              <a:bodyPr/>
              <a:lstStyle/>
              <a:p>
                <a:pPr>
                  <a:defRPr sz="1000" b="0" i="0" u="none" strike="noStrike" baseline="0">
                    <a:solidFill>
                      <a:srgbClr val="333333"/>
                    </a:solidFill>
                    <a:latin typeface="Calibri"/>
                    <a:ea typeface="Calibri"/>
                    <a:cs typeface="Calibri"/>
                  </a:defRPr>
                </a:pPr>
                <a:r>
                  <a:rPr lang="en-ZA"/>
                  <a:t>R/kl</a:t>
                </a:r>
              </a:p>
            </c:rich>
          </c:tx>
          <c:overlay val="0"/>
          <c:spPr>
            <a:noFill/>
            <a:ln w="25400">
              <a:noFill/>
            </a:ln>
          </c:spPr>
        </c:title>
        <c:numFmt formatCode="_(* #,##0.00_);_(* \(#,##0.00\);_(* &quot;-&quot;??_);_(@_)" sourceLinked="1"/>
        <c:majorTickMark val="none"/>
        <c:minorTickMark val="none"/>
        <c:tickLblPos val="nextTo"/>
        <c:spPr>
          <a:ln w="6350">
            <a:noFill/>
          </a:ln>
        </c:spPr>
        <c:txPr>
          <a:bodyPr rot="0" vert="horz"/>
          <a:lstStyle/>
          <a:p>
            <a:pPr>
              <a:defRPr sz="900" b="0" i="0" u="none" strike="noStrike" baseline="0">
                <a:solidFill>
                  <a:srgbClr val="333333"/>
                </a:solidFill>
                <a:latin typeface="Calibri"/>
                <a:ea typeface="Calibri"/>
                <a:cs typeface="Calibri"/>
              </a:defRPr>
            </a:pPr>
            <a:endParaRPr lang="en-US"/>
          </a:p>
        </c:txPr>
        <c:crossAx val="1396852335"/>
        <c:crosses val="autoZero"/>
        <c:crossBetween val="between"/>
      </c:valAx>
    </c:plotArea>
    <c:legend>
      <c:legendPos val="r"/>
      <c:layout>
        <c:manualLayout>
          <c:xMode val="edge"/>
          <c:yMode val="edge"/>
          <c:x val="0.12362011021685021"/>
          <c:y val="0.92994800178279602"/>
          <c:w val="0.74541089190419463"/>
          <c:h val="5.930117225912801E-2"/>
        </c:manualLayout>
      </c:layout>
      <c:overlay val="0"/>
      <c:spPr>
        <a:noFill/>
        <a:ln w="25400">
          <a:noFill/>
        </a:ln>
      </c:spPr>
      <c:txPr>
        <a:bodyPr/>
        <a:lstStyle/>
        <a:p>
          <a:pPr>
            <a:defRPr sz="690" b="0" i="0" u="none" strike="noStrike" baseline="0">
              <a:solidFill>
                <a:srgbClr val="333333"/>
              </a:solidFill>
              <a:latin typeface="Calibri"/>
              <a:ea typeface="Calibri"/>
              <a:cs typeface="Calibri"/>
            </a:defRPr>
          </a:pPr>
          <a:endParaRPr lang="en-US"/>
        </a:p>
      </c:txPr>
    </c:legend>
    <c:plotVisOnly val="1"/>
    <c:dispBlanksAs val="gap"/>
    <c:showDLblsOverMax val="0"/>
  </c:chart>
  <c:spPr>
    <a:solidFill>
      <a:schemeClr val="bg1"/>
    </a:solidFill>
    <a:ln w="9525" cap="flat" cmpd="sng" algn="ctr">
      <a:noFill/>
      <a:round/>
    </a:ln>
    <a:effectLst/>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charts/chart12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2.3871527777777776E-2"/>
          <c:y val="4.7786414907172239E-2"/>
          <c:w val="0.57559123468941387"/>
          <c:h val="0.83529592857692603"/>
        </c:manualLayout>
      </c:layout>
      <c:barChart>
        <c:barDir val="col"/>
        <c:grouping val="stacked"/>
        <c:varyColors val="0"/>
        <c:ser>
          <c:idx val="0"/>
          <c:order val="0"/>
          <c:tx>
            <c:strRef>
              <c:f>'Sanitation report'!$I$758</c:f>
              <c:strCache>
                <c:ptCount val="1"/>
                <c:pt idx="0">
                  <c:v>Fixed cost</c:v>
                </c:pt>
              </c:strCache>
            </c:strRef>
          </c:tx>
          <c:spPr>
            <a:solidFill>
              <a:srgbClr val="4472C4"/>
            </a:solidFill>
            <a:ln w="25400">
              <a:noFill/>
            </a:ln>
          </c:spPr>
          <c:invertIfNegative val="0"/>
          <c:dPt>
            <c:idx val="0"/>
            <c:invertIfNegative val="0"/>
            <c:bubble3D val="0"/>
            <c:spPr>
              <a:solidFill>
                <a:srgbClr val="5B9BD5"/>
              </a:solidFill>
              <a:ln w="25400">
                <a:noFill/>
              </a:ln>
            </c:spPr>
            <c:extLst>
              <c:ext xmlns:c16="http://schemas.microsoft.com/office/drawing/2014/chart" uri="{C3380CC4-5D6E-409C-BE32-E72D297353CC}">
                <c16:uniqueId val="{00000000-2D49-4A5E-99EE-141747943077}"/>
              </c:ext>
            </c:extLst>
          </c:dPt>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'Sanitation report'!$J$757:$K$757</c:f>
              <c:strCache>
                <c:ptCount val="2"/>
                <c:pt idx="0">
                  <c:v>Expenditure R'000</c:v>
                </c:pt>
                <c:pt idx="1">
                  <c:v>Revenue R'000</c:v>
                </c:pt>
              </c:strCache>
            </c:strRef>
          </c:cat>
          <c:val>
            <c:numRef>
              <c:f>'Sanitation report'!$J$758:$K$758</c:f>
              <c:numCache>
                <c:formatCode>General</c:formatCode>
                <c:ptCount val="2"/>
                <c:pt idx="0" formatCode="_-* #\ ##0_-;\-* #\ ##0_-;_-* &quot;-&quot;??_-;_-@_-">
                  <c:v>0</c:v>
                </c:pt>
              </c:numCache>
            </c:numRef>
          </c:val>
          <c:extLst>
            <c:ext xmlns:c16="http://schemas.microsoft.com/office/drawing/2014/chart" uri="{C3380CC4-5D6E-409C-BE32-E72D297353CC}">
              <c16:uniqueId val="{00000001-2D49-4A5E-99EE-141747943077}"/>
            </c:ext>
          </c:extLst>
        </c:ser>
        <c:ser>
          <c:idx val="1"/>
          <c:order val="1"/>
          <c:tx>
            <c:strRef>
              <c:f>'Sanitation report'!$I$759</c:f>
              <c:strCache>
                <c:ptCount val="1"/>
                <c:pt idx="0">
                  <c:v>Variable cost</c:v>
                </c:pt>
              </c:strCache>
            </c:strRef>
          </c:tx>
          <c:spPr>
            <a:solidFill>
              <a:schemeClr val="accent5">
                <a:lumMod val="60000"/>
                <a:lumOff val="40000"/>
              </a:schemeClr>
            </a:solidFill>
            <a:ln>
              <a:noFill/>
            </a:ln>
            <a:effectLst/>
          </c:spPr>
          <c:invertIfNegative val="0"/>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'Sanitation report'!$J$757:$K$757</c:f>
              <c:strCache>
                <c:ptCount val="2"/>
                <c:pt idx="0">
                  <c:v>Expenditure R'000</c:v>
                </c:pt>
                <c:pt idx="1">
                  <c:v>Revenue R'000</c:v>
                </c:pt>
              </c:strCache>
            </c:strRef>
          </c:cat>
          <c:val>
            <c:numRef>
              <c:f>'Sanitation report'!$J$759:$K$759</c:f>
              <c:numCache>
                <c:formatCode>General</c:formatCode>
                <c:ptCount val="2"/>
                <c:pt idx="0" formatCode="_-* #\ ##0_-;\-* #\ ##0_-;_-* &quot;-&quot;??_-;_-@_-">
                  <c:v>0</c:v>
                </c:pt>
              </c:numCache>
            </c:numRef>
          </c:val>
          <c:extLst>
            <c:ext xmlns:c16="http://schemas.microsoft.com/office/drawing/2014/chart" uri="{C3380CC4-5D6E-409C-BE32-E72D297353CC}">
              <c16:uniqueId val="{00000002-2D49-4A5E-99EE-141747943077}"/>
            </c:ext>
          </c:extLst>
        </c:ser>
        <c:ser>
          <c:idx val="2"/>
          <c:order val="2"/>
          <c:tx>
            <c:strRef>
              <c:f>'Sanitation report'!$I$760</c:f>
              <c:strCache>
                <c:ptCount val="1"/>
                <c:pt idx="0">
                  <c:v>Surplus</c:v>
                </c:pt>
              </c:strCache>
            </c:strRef>
          </c:tx>
          <c:spPr>
            <a:solidFill>
              <a:srgbClr val="A5A5A5"/>
            </a:solidFill>
            <a:ln w="25400">
              <a:noFill/>
            </a:ln>
          </c:spPr>
          <c:invertIfNegative val="0"/>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'Sanitation report'!$J$757:$K$757</c:f>
              <c:strCache>
                <c:ptCount val="2"/>
                <c:pt idx="0">
                  <c:v>Expenditure R'000</c:v>
                </c:pt>
                <c:pt idx="1">
                  <c:v>Revenue R'000</c:v>
                </c:pt>
              </c:strCache>
            </c:strRef>
          </c:cat>
          <c:val>
            <c:numRef>
              <c:f>'Sanitation report'!$J$760:$K$760</c:f>
              <c:numCache>
                <c:formatCode>General</c:formatCode>
                <c:ptCount val="2"/>
                <c:pt idx="0" formatCode="_-* #\ ##0_-;\-* #\ ##0_-;_-* &quot;-&quot;??_-;_-@_-">
                  <c:v>0</c:v>
                </c:pt>
              </c:numCache>
            </c:numRef>
          </c:val>
          <c:extLst>
            <c:ext xmlns:c16="http://schemas.microsoft.com/office/drawing/2014/chart" uri="{C3380CC4-5D6E-409C-BE32-E72D297353CC}">
              <c16:uniqueId val="{00000003-2D49-4A5E-99EE-141747943077}"/>
            </c:ext>
          </c:extLst>
        </c:ser>
        <c:ser>
          <c:idx val="4"/>
          <c:order val="3"/>
          <c:tx>
            <c:strRef>
              <c:f>'Sanitation report'!$I$761</c:f>
              <c:strCache>
                <c:ptCount val="1"/>
                <c:pt idx="0">
                  <c:v>Tariff revenue</c:v>
                </c:pt>
              </c:strCache>
            </c:strRef>
          </c:tx>
          <c:spPr>
            <a:solidFill>
              <a:srgbClr val="5B9BD5"/>
            </a:solidFill>
            <a:ln w="25400">
              <a:noFill/>
            </a:ln>
          </c:spPr>
          <c:invertIfNegative val="0"/>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'Sanitation report'!$J$757:$K$757</c:f>
              <c:strCache>
                <c:ptCount val="2"/>
                <c:pt idx="0">
                  <c:v>Expenditure R'000</c:v>
                </c:pt>
                <c:pt idx="1">
                  <c:v>Revenue R'000</c:v>
                </c:pt>
              </c:strCache>
            </c:strRef>
          </c:cat>
          <c:val>
            <c:numRef>
              <c:f>'Sanitation report'!$J$761:$K$761</c:f>
              <c:numCache>
                <c:formatCode>_-* #\ ##0_-;\-* #\ ##0_-;_-* "-"??_-;_-@_-</c:formatCode>
                <c:ptCount val="2"/>
                <c:pt idx="1">
                  <c:v>0</c:v>
                </c:pt>
              </c:numCache>
            </c:numRef>
          </c:val>
          <c:extLst>
            <c:ext xmlns:c16="http://schemas.microsoft.com/office/drawing/2014/chart" uri="{C3380CC4-5D6E-409C-BE32-E72D297353CC}">
              <c16:uniqueId val="{00000004-2D49-4A5E-99EE-141747943077}"/>
            </c:ext>
          </c:extLst>
        </c:ser>
        <c:ser>
          <c:idx val="5"/>
          <c:order val="4"/>
          <c:tx>
            <c:strRef>
              <c:f>'Sanitation report'!$I$762</c:f>
              <c:strCache>
                <c:ptCount val="1"/>
                <c:pt idx="0">
                  <c:v>External grants &amp; subsidies</c:v>
                </c:pt>
              </c:strCache>
            </c:strRef>
          </c:tx>
          <c:spPr>
            <a:solidFill>
              <a:srgbClr val="A5A5A5"/>
            </a:solidFill>
            <a:ln w="25400">
              <a:noFill/>
            </a:ln>
          </c:spPr>
          <c:invertIfNegative val="0"/>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'Sanitation report'!$J$757:$K$757</c:f>
              <c:strCache>
                <c:ptCount val="2"/>
                <c:pt idx="0">
                  <c:v>Expenditure R'000</c:v>
                </c:pt>
                <c:pt idx="1">
                  <c:v>Revenue R'000</c:v>
                </c:pt>
              </c:strCache>
            </c:strRef>
          </c:cat>
          <c:val>
            <c:numRef>
              <c:f>'Sanitation report'!$J$762:$K$762</c:f>
              <c:numCache>
                <c:formatCode>_-* #\ ##0_-;\-* #\ ##0_-;_-* "-"??_-;_-@_-</c:formatCode>
                <c:ptCount val="2"/>
                <c:pt idx="1">
                  <c:v>0</c:v>
                </c:pt>
              </c:numCache>
            </c:numRef>
          </c:val>
          <c:extLst>
            <c:ext xmlns:c16="http://schemas.microsoft.com/office/drawing/2014/chart" uri="{C3380CC4-5D6E-409C-BE32-E72D297353CC}">
              <c16:uniqueId val="{00000005-2D49-4A5E-99EE-141747943077}"/>
            </c:ext>
          </c:extLst>
        </c:ser>
        <c:ser>
          <c:idx val="3"/>
          <c:order val="5"/>
          <c:tx>
            <c:strRef>
              <c:f>'Sanitation report'!$I$763</c:f>
              <c:strCache>
                <c:ptCount val="1"/>
                <c:pt idx="0">
                  <c:v>Other non-tariff revenue</c:v>
                </c:pt>
              </c:strCache>
            </c:strRef>
          </c:tx>
          <c:spPr>
            <a:solidFill>
              <a:schemeClr val="accent3">
                <a:lumMod val="40000"/>
                <a:lumOff val="60000"/>
              </a:schemeClr>
            </a:solidFill>
            <a:ln>
              <a:noFill/>
            </a:ln>
            <a:effectLst/>
          </c:spPr>
          <c:invertIfNegative val="0"/>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'Sanitation report'!$J$757:$K$757</c:f>
              <c:strCache>
                <c:ptCount val="2"/>
                <c:pt idx="0">
                  <c:v>Expenditure R'000</c:v>
                </c:pt>
                <c:pt idx="1">
                  <c:v>Revenue R'000</c:v>
                </c:pt>
              </c:strCache>
            </c:strRef>
          </c:cat>
          <c:val>
            <c:numRef>
              <c:f>'Sanitation report'!$J$763:$K$763</c:f>
              <c:numCache>
                <c:formatCode>_-* #\ ##0_-;\-* #\ ##0_-;_-* "-"??_-;_-@_-</c:formatCode>
                <c:ptCount val="2"/>
                <c:pt idx="1">
                  <c:v>0</c:v>
                </c:pt>
              </c:numCache>
            </c:numRef>
          </c:val>
          <c:extLst>
            <c:ext xmlns:c16="http://schemas.microsoft.com/office/drawing/2014/chart" uri="{C3380CC4-5D6E-409C-BE32-E72D297353CC}">
              <c16:uniqueId val="{00000006-2D49-4A5E-99EE-141747943077}"/>
            </c:ext>
          </c:extLst>
        </c:ser>
        <c:ser>
          <c:idx val="6"/>
          <c:order val="6"/>
          <c:tx>
            <c:strRef>
              <c:f>'Sanitation report'!$I$764</c:f>
              <c:strCache>
                <c:ptCount val="1"/>
                <c:pt idx="0">
                  <c:v>Deficit</c:v>
                </c:pt>
              </c:strCache>
            </c:strRef>
          </c:tx>
          <c:spPr>
            <a:solidFill>
              <a:srgbClr val="ED7D31"/>
            </a:solidFill>
            <a:ln w="25400">
              <a:noFill/>
            </a:ln>
          </c:spPr>
          <c:invertIfNegative val="0"/>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'Sanitation report'!$J$757:$K$757</c:f>
              <c:strCache>
                <c:ptCount val="2"/>
                <c:pt idx="0">
                  <c:v>Expenditure R'000</c:v>
                </c:pt>
                <c:pt idx="1">
                  <c:v>Revenue R'000</c:v>
                </c:pt>
              </c:strCache>
            </c:strRef>
          </c:cat>
          <c:val>
            <c:numRef>
              <c:f>'Sanitation report'!$J$764:$K$764</c:f>
              <c:numCache>
                <c:formatCode>_-* #\ ##0_-;\-* #\ ##0_-;_-* "-"??_-;_-@_-</c:formatCode>
                <c:ptCount val="2"/>
                <c:pt idx="1">
                  <c:v>0</c:v>
                </c:pt>
              </c:numCache>
            </c:numRef>
          </c:val>
          <c:extLst>
            <c:ext xmlns:c16="http://schemas.microsoft.com/office/drawing/2014/chart" uri="{C3380CC4-5D6E-409C-BE32-E72D297353CC}">
              <c16:uniqueId val="{00000007-2D49-4A5E-99EE-141747943077}"/>
            </c:ext>
          </c:extLst>
        </c:ser>
        <c:dLbls>
          <c:showLegendKey val="0"/>
          <c:showVal val="0"/>
          <c:showCatName val="0"/>
          <c:showSerName val="0"/>
          <c:showPercent val="0"/>
          <c:showBubbleSize val="0"/>
        </c:dLbls>
        <c:gapWidth val="25"/>
        <c:overlap val="100"/>
        <c:axId val="1396870095"/>
        <c:axId val="1"/>
      </c:barChart>
      <c:catAx>
        <c:axId val="1396870095"/>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0" vert="horz"/>
          <a:lstStyle/>
          <a:p>
            <a:pPr>
              <a:defRPr sz="1100" b="0" i="0" u="none" strike="noStrike" baseline="0">
                <a:solidFill>
                  <a:srgbClr val="000000"/>
                </a:solidFill>
                <a:latin typeface="Calibri"/>
                <a:ea typeface="Calibri"/>
                <a:cs typeface="Calibri"/>
              </a:defRPr>
            </a:pPr>
            <a:endParaRPr lang="en-US"/>
          </a:p>
        </c:txPr>
        <c:crossAx val="1"/>
        <c:crosses val="autoZero"/>
        <c:auto val="1"/>
        <c:lblAlgn val="ctr"/>
        <c:lblOffset val="100"/>
        <c:noMultiLvlLbl val="0"/>
      </c:catAx>
      <c:valAx>
        <c:axId val="1"/>
        <c:scaling>
          <c:orientation val="minMax"/>
        </c:scaling>
        <c:delete val="1"/>
        <c:axPos val="l"/>
        <c:majorGridlines>
          <c:spPr>
            <a:ln w="9525" cap="flat" cmpd="sng" algn="ctr">
              <a:solidFill>
                <a:schemeClr val="tx1">
                  <a:lumMod val="15000"/>
                  <a:lumOff val="85000"/>
                </a:schemeClr>
              </a:solidFill>
              <a:round/>
            </a:ln>
            <a:effectLst/>
          </c:spPr>
        </c:majorGridlines>
        <c:numFmt formatCode="_-* #\ ##0_-;\-* #\ ##0_-;_-* &quot;-&quot;??_-;_-@_-" sourceLinked="1"/>
        <c:majorTickMark val="out"/>
        <c:minorTickMark val="none"/>
        <c:tickLblPos val="nextTo"/>
        <c:crossAx val="1396870095"/>
        <c:crosses val="autoZero"/>
        <c:crossBetween val="between"/>
      </c:valAx>
    </c:plotArea>
    <c:legend>
      <c:legendPos val="r"/>
      <c:layout>
        <c:manualLayout>
          <c:xMode val="edge"/>
          <c:yMode val="edge"/>
          <c:x val="0.63060873861355571"/>
          <c:y val="0.19876461094537096"/>
          <c:w val="0.34824665740311866"/>
          <c:h val="0.70809931367274737"/>
        </c:manualLayout>
      </c:layout>
      <c:overlay val="0"/>
      <c:spPr>
        <a:noFill/>
        <a:ln w="25400">
          <a:noFill/>
        </a:ln>
      </c:spPr>
      <c:txPr>
        <a:bodyPr/>
        <a:lstStyle/>
        <a:p>
          <a:pPr>
            <a:defRPr sz="850" b="0" i="0" u="none" strike="noStrike" baseline="0">
              <a:solidFill>
                <a:srgbClr val="000000"/>
              </a:solidFill>
              <a:latin typeface="Calibri"/>
              <a:ea typeface="Calibri"/>
              <a:cs typeface="Calibri"/>
            </a:defRPr>
          </a:pPr>
          <a:endParaRPr lang="en-US"/>
        </a:p>
      </c:txPr>
    </c:legend>
    <c:plotVisOnly val="1"/>
    <c:dispBlanksAs val="gap"/>
    <c:showDLblsOverMax val="0"/>
  </c:chart>
  <c:spPr>
    <a:solidFill>
      <a:schemeClr val="bg1"/>
    </a:solidFill>
    <a:ln w="9525" cap="flat" cmpd="sng" algn="ctr">
      <a:noFill/>
      <a:round/>
    </a:ln>
    <a:effectLst/>
  </c:spPr>
  <c:txPr>
    <a:bodyPr/>
    <a:lstStyle/>
    <a:p>
      <a:pPr>
        <a:defRPr sz="1100" b="0" i="0" u="none" strike="noStrike" baseline="0">
          <a:solidFill>
            <a:srgbClr val="000000"/>
          </a:solidFill>
          <a:latin typeface="Calibri"/>
          <a:ea typeface="Calibri"/>
          <a:cs typeface="Calibri"/>
        </a:defRPr>
      </a:pPr>
      <a:endParaRPr lang="en-US"/>
    </a:p>
  </c:txPr>
  <c:printSettings>
    <c:headerFooter/>
    <c:pageMargins b="0.75" l="0.7" r="0.7" t="0.75" header="0.3" footer="0.3"/>
    <c:pageSetup orientation="portrait"/>
  </c:printSettings>
</c:chartSpace>
</file>

<file path=xl/charts/chart12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ser>
          <c:idx val="0"/>
          <c:order val="0"/>
          <c:tx>
            <c:strRef>
              <c:f>'Sanitation report'!$K$315</c:f>
              <c:strCache>
                <c:ptCount val="1"/>
                <c:pt idx="0">
                  <c:v>Tariff </c:v>
                </c:pt>
              </c:strCache>
            </c:strRef>
          </c:tx>
          <c:spPr>
            <a:solidFill>
              <a:srgbClr val="4472C4"/>
            </a:solidFill>
            <a:ln w="25400">
              <a:noFill/>
            </a:ln>
          </c:spPr>
          <c:invertIfNegative val="0"/>
          <c:dLbls>
            <c:spPr>
              <a:noFill/>
              <a:ln w="25400">
                <a:noFill/>
              </a:ln>
            </c:spPr>
            <c:txPr>
              <a:bodyPr wrap="square" lIns="38100" tIns="19050" rIns="38100" bIns="19050" anchor="ctr">
                <a:spAutoFit/>
              </a:bodyPr>
              <a:lstStyle/>
              <a:p>
                <a:pPr>
                  <a:defRPr sz="900" b="0" i="0" u="none" strike="noStrike" baseline="0">
                    <a:solidFill>
                      <a:srgbClr val="333333"/>
                    </a:solidFill>
                    <a:latin typeface="Calibri"/>
                    <a:ea typeface="Calibri"/>
                    <a:cs typeface="Calibri"/>
                  </a:defRPr>
                </a:pPr>
                <a:endParaRPr lang="en-US"/>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numRef>
              <c:f>'Sanitation report'!$J$316:$J$325</c:f>
              <c:numCache>
                <c:formatCode>General</c:formatCode>
                <c:ptCount val="10"/>
                <c:pt idx="0">
                  <c:v>0</c:v>
                </c:pt>
                <c:pt idx="1">
                  <c:v>0</c:v>
                </c:pt>
                <c:pt idx="2">
                  <c:v>0</c:v>
                </c:pt>
                <c:pt idx="3">
                  <c:v>0</c:v>
                </c:pt>
                <c:pt idx="4">
                  <c:v>0</c:v>
                </c:pt>
                <c:pt idx="5">
                  <c:v>0</c:v>
                </c:pt>
                <c:pt idx="6">
                  <c:v>0</c:v>
                </c:pt>
                <c:pt idx="7">
                  <c:v>0</c:v>
                </c:pt>
                <c:pt idx="8">
                  <c:v>0</c:v>
                </c:pt>
                <c:pt idx="9">
                  <c:v>0</c:v>
                </c:pt>
              </c:numCache>
            </c:numRef>
          </c:cat>
          <c:val>
            <c:numRef>
              <c:f>'Sanitation report'!$K$316:$K$325</c:f>
              <c:numCache>
                <c:formatCode>_(* #,##0.00_);_(* \(#,##0.00\);_(* "-"??_);_(@_)</c:formatCode>
                <c:ptCount val="10"/>
                <c:pt idx="0">
                  <c:v>7.7084806660357916</c:v>
                </c:pt>
                <c:pt idx="1">
                  <c:v>0</c:v>
                </c:pt>
                <c:pt idx="2">
                  <c:v>0</c:v>
                </c:pt>
                <c:pt idx="3">
                  <c:v>0</c:v>
                </c:pt>
                <c:pt idx="4">
                  <c:v>0</c:v>
                </c:pt>
                <c:pt idx="5">
                  <c:v>0</c:v>
                </c:pt>
                <c:pt idx="6">
                  <c:v>0</c:v>
                </c:pt>
                <c:pt idx="7">
                  <c:v>0</c:v>
                </c:pt>
                <c:pt idx="8">
                  <c:v>0</c:v>
                </c:pt>
                <c:pt idx="9">
                  <c:v>0</c:v>
                </c:pt>
              </c:numCache>
            </c:numRef>
          </c:val>
          <c:extLst>
            <c:ext xmlns:c16="http://schemas.microsoft.com/office/drawing/2014/chart" uri="{C3380CC4-5D6E-409C-BE32-E72D297353CC}">
              <c16:uniqueId val="{00000000-544F-47F7-AFFD-E4CB0376A37E}"/>
            </c:ext>
          </c:extLst>
        </c:ser>
        <c:dLbls>
          <c:showLegendKey val="0"/>
          <c:showVal val="0"/>
          <c:showCatName val="0"/>
          <c:showSerName val="0"/>
          <c:showPercent val="0"/>
          <c:showBubbleSize val="0"/>
        </c:dLbls>
        <c:gapWidth val="50"/>
        <c:axId val="1396873935"/>
        <c:axId val="1"/>
      </c:barChart>
      <c:lineChart>
        <c:grouping val="standard"/>
        <c:varyColors val="0"/>
        <c:ser>
          <c:idx val="1"/>
          <c:order val="1"/>
          <c:tx>
            <c:strRef>
              <c:f>'Sanitation report'!$L$315</c:f>
              <c:strCache>
                <c:ptCount val="1"/>
                <c:pt idx="0">
                  <c:v>Total cost per kl </c:v>
                </c:pt>
              </c:strCache>
            </c:strRef>
          </c:tx>
          <c:spPr>
            <a:ln w="28575" cap="rnd">
              <a:solidFill>
                <a:schemeClr val="accent2"/>
              </a:solidFill>
              <a:round/>
            </a:ln>
            <a:effectLst/>
          </c:spPr>
          <c:marker>
            <c:symbol val="none"/>
          </c:marker>
          <c:cat>
            <c:numRef>
              <c:f>'Sanitation report'!$J$316:$J$325</c:f>
              <c:numCache>
                <c:formatCode>General</c:formatCode>
                <c:ptCount val="10"/>
                <c:pt idx="0">
                  <c:v>0</c:v>
                </c:pt>
                <c:pt idx="1">
                  <c:v>0</c:v>
                </c:pt>
                <c:pt idx="2">
                  <c:v>0</c:v>
                </c:pt>
                <c:pt idx="3">
                  <c:v>0</c:v>
                </c:pt>
                <c:pt idx="4">
                  <c:v>0</c:v>
                </c:pt>
                <c:pt idx="5">
                  <c:v>0</c:v>
                </c:pt>
                <c:pt idx="6">
                  <c:v>0</c:v>
                </c:pt>
                <c:pt idx="7">
                  <c:v>0</c:v>
                </c:pt>
                <c:pt idx="8">
                  <c:v>0</c:v>
                </c:pt>
                <c:pt idx="9">
                  <c:v>0</c:v>
                </c:pt>
              </c:numCache>
            </c:numRef>
          </c:cat>
          <c:val>
            <c:numRef>
              <c:f>'Sanitation report'!$L$316:$L$325</c:f>
              <c:numCache>
                <c:formatCode>_(* #,##0.00_);_(* \(#,##0.00\);_(* "-"??_);_(@_)</c:formatCode>
                <c:ptCount val="10"/>
                <c:pt idx="0">
                  <c:v>9.0399201006932124</c:v>
                </c:pt>
                <c:pt idx="1">
                  <c:v>9.0399201006932124</c:v>
                </c:pt>
                <c:pt idx="2">
                  <c:v>9.0399201006932124</c:v>
                </c:pt>
                <c:pt idx="3">
                  <c:v>9.0399201006932124</c:v>
                </c:pt>
                <c:pt idx="4">
                  <c:v>9.0399201006932124</c:v>
                </c:pt>
                <c:pt idx="5">
                  <c:v>9.0399201006932124</c:v>
                </c:pt>
                <c:pt idx="6">
                  <c:v>9.0399201006932124</c:v>
                </c:pt>
                <c:pt idx="7">
                  <c:v>9.0399201006932124</c:v>
                </c:pt>
                <c:pt idx="8">
                  <c:v>9.0399201006932124</c:v>
                </c:pt>
                <c:pt idx="9">
                  <c:v>9.0399201006932124</c:v>
                </c:pt>
              </c:numCache>
            </c:numRef>
          </c:val>
          <c:smooth val="0"/>
          <c:extLst>
            <c:ext xmlns:c16="http://schemas.microsoft.com/office/drawing/2014/chart" uri="{C3380CC4-5D6E-409C-BE32-E72D297353CC}">
              <c16:uniqueId val="{00000001-544F-47F7-AFFD-E4CB0376A37E}"/>
            </c:ext>
          </c:extLst>
        </c:ser>
        <c:ser>
          <c:idx val="2"/>
          <c:order val="2"/>
          <c:tx>
            <c:strRef>
              <c:f>'Sanitation report'!$M$315</c:f>
              <c:strCache>
                <c:ptCount val="1"/>
                <c:pt idx="0">
                  <c:v>Variable cost per kl treated</c:v>
                </c:pt>
              </c:strCache>
            </c:strRef>
          </c:tx>
          <c:spPr>
            <a:ln w="28575" cap="rnd">
              <a:solidFill>
                <a:schemeClr val="accent3"/>
              </a:solidFill>
              <a:round/>
            </a:ln>
            <a:effectLst/>
          </c:spPr>
          <c:marker>
            <c:symbol val="none"/>
          </c:marker>
          <c:cat>
            <c:numRef>
              <c:f>'Sanitation report'!$J$316:$J$325</c:f>
              <c:numCache>
                <c:formatCode>General</c:formatCode>
                <c:ptCount val="10"/>
                <c:pt idx="0">
                  <c:v>0</c:v>
                </c:pt>
                <c:pt idx="1">
                  <c:v>0</c:v>
                </c:pt>
                <c:pt idx="2">
                  <c:v>0</c:v>
                </c:pt>
                <c:pt idx="3">
                  <c:v>0</c:v>
                </c:pt>
                <c:pt idx="4">
                  <c:v>0</c:v>
                </c:pt>
                <c:pt idx="5">
                  <c:v>0</c:v>
                </c:pt>
                <c:pt idx="6">
                  <c:v>0</c:v>
                </c:pt>
                <c:pt idx="7">
                  <c:v>0</c:v>
                </c:pt>
                <c:pt idx="8">
                  <c:v>0</c:v>
                </c:pt>
                <c:pt idx="9">
                  <c:v>0</c:v>
                </c:pt>
              </c:numCache>
            </c:numRef>
          </c:cat>
          <c:val>
            <c:numRef>
              <c:f>'Sanitation report'!$M$316:$M$325</c:f>
              <c:numCache>
                <c:formatCode>_(* #,##0.00_);_(* \(#,##0.00\);_(* "-"??_);_(@_)</c:formatCode>
                <c:ptCount val="10"/>
                <c:pt idx="0">
                  <c:v>5.4647806372834458</c:v>
                </c:pt>
                <c:pt idx="1">
                  <c:v>5.4647806372834458</c:v>
                </c:pt>
                <c:pt idx="2">
                  <c:v>5.4647806372834458</c:v>
                </c:pt>
                <c:pt idx="3">
                  <c:v>5.4647806372834458</c:v>
                </c:pt>
                <c:pt idx="4">
                  <c:v>5.4647806372834458</c:v>
                </c:pt>
                <c:pt idx="5">
                  <c:v>5.4647806372834458</c:v>
                </c:pt>
                <c:pt idx="6">
                  <c:v>5.4647806372834458</c:v>
                </c:pt>
                <c:pt idx="7">
                  <c:v>5.4647806372834458</c:v>
                </c:pt>
                <c:pt idx="8">
                  <c:v>5.4647806372834458</c:v>
                </c:pt>
                <c:pt idx="9">
                  <c:v>5.4647806372834458</c:v>
                </c:pt>
              </c:numCache>
            </c:numRef>
          </c:val>
          <c:smooth val="0"/>
          <c:extLst>
            <c:ext xmlns:c16="http://schemas.microsoft.com/office/drawing/2014/chart" uri="{C3380CC4-5D6E-409C-BE32-E72D297353CC}">
              <c16:uniqueId val="{00000002-544F-47F7-AFFD-E4CB0376A37E}"/>
            </c:ext>
          </c:extLst>
        </c:ser>
        <c:dLbls>
          <c:showLegendKey val="0"/>
          <c:showVal val="0"/>
          <c:showCatName val="0"/>
          <c:showSerName val="0"/>
          <c:showPercent val="0"/>
          <c:showBubbleSize val="0"/>
        </c:dLbls>
        <c:marker val="1"/>
        <c:smooth val="0"/>
        <c:axId val="1396873935"/>
        <c:axId val="1"/>
      </c:lineChart>
      <c:catAx>
        <c:axId val="1396873935"/>
        <c:scaling>
          <c:orientation val="minMax"/>
        </c:scaling>
        <c:delete val="0"/>
        <c:axPos val="b"/>
        <c:title>
          <c:tx>
            <c:rich>
              <a:bodyPr/>
              <a:lstStyle/>
              <a:p>
                <a:pPr>
                  <a:defRPr sz="1000" b="0" i="0" u="none" strike="noStrike" baseline="0">
                    <a:solidFill>
                      <a:srgbClr val="333333"/>
                    </a:solidFill>
                    <a:latin typeface="Calibri"/>
                    <a:ea typeface="Calibri"/>
                    <a:cs typeface="Calibri"/>
                  </a:defRPr>
                </a:pPr>
                <a:r>
                  <a:rPr lang="en-ZA"/>
                  <a:t>Block size</a:t>
                </a:r>
              </a:p>
            </c:rich>
          </c:tx>
          <c:overlay val="0"/>
          <c:spPr>
            <a:noFill/>
            <a:ln w="25400">
              <a:noFill/>
            </a:ln>
          </c:spPr>
        </c:title>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0" vert="horz"/>
          <a:lstStyle/>
          <a:p>
            <a:pPr>
              <a:defRPr sz="900" b="0" i="0" u="none" strike="noStrike" baseline="0">
                <a:solidFill>
                  <a:srgbClr val="333333"/>
                </a:solidFill>
                <a:latin typeface="Calibri"/>
                <a:ea typeface="Calibri"/>
                <a:cs typeface="Calibri"/>
              </a:defRPr>
            </a:pPr>
            <a:endParaRPr lang="en-US"/>
          </a:p>
        </c:txPr>
        <c:crossAx val="1"/>
        <c:crosses val="autoZero"/>
        <c:auto val="1"/>
        <c:lblAlgn val="ctr"/>
        <c:lblOffset val="100"/>
        <c:noMultiLvlLbl val="0"/>
      </c:catAx>
      <c:valAx>
        <c:axId val="1"/>
        <c:scaling>
          <c:orientation val="minMax"/>
        </c:scaling>
        <c:delete val="0"/>
        <c:axPos val="l"/>
        <c:majorGridlines>
          <c:spPr>
            <a:ln w="9525" cap="flat" cmpd="sng" algn="ctr">
              <a:solidFill>
                <a:schemeClr val="tx1">
                  <a:lumMod val="15000"/>
                  <a:lumOff val="85000"/>
                </a:schemeClr>
              </a:solidFill>
              <a:round/>
            </a:ln>
            <a:effectLst/>
          </c:spPr>
        </c:majorGridlines>
        <c:title>
          <c:tx>
            <c:rich>
              <a:bodyPr/>
              <a:lstStyle/>
              <a:p>
                <a:pPr>
                  <a:defRPr sz="1000" b="0" i="0" u="none" strike="noStrike" baseline="0">
                    <a:solidFill>
                      <a:srgbClr val="333333"/>
                    </a:solidFill>
                    <a:latin typeface="Calibri"/>
                    <a:ea typeface="Calibri"/>
                    <a:cs typeface="Calibri"/>
                  </a:defRPr>
                </a:pPr>
                <a:r>
                  <a:rPr lang="en-ZA"/>
                  <a:t>R/kl</a:t>
                </a:r>
              </a:p>
            </c:rich>
          </c:tx>
          <c:overlay val="0"/>
          <c:spPr>
            <a:noFill/>
            <a:ln w="25400">
              <a:noFill/>
            </a:ln>
          </c:spPr>
        </c:title>
        <c:numFmt formatCode="_(* #,##0.00_);_(* \(#,##0.00\);_(* &quot;-&quot;??_);_(@_)" sourceLinked="1"/>
        <c:majorTickMark val="none"/>
        <c:minorTickMark val="none"/>
        <c:tickLblPos val="nextTo"/>
        <c:spPr>
          <a:ln w="6350">
            <a:noFill/>
          </a:ln>
        </c:spPr>
        <c:txPr>
          <a:bodyPr rot="0" vert="horz"/>
          <a:lstStyle/>
          <a:p>
            <a:pPr>
              <a:defRPr sz="900" b="0" i="0" u="none" strike="noStrike" baseline="0">
                <a:solidFill>
                  <a:srgbClr val="333333"/>
                </a:solidFill>
                <a:latin typeface="Calibri"/>
                <a:ea typeface="Calibri"/>
                <a:cs typeface="Calibri"/>
              </a:defRPr>
            </a:pPr>
            <a:endParaRPr lang="en-US"/>
          </a:p>
        </c:txPr>
        <c:crossAx val="1396873935"/>
        <c:crosses val="autoZero"/>
        <c:crossBetween val="between"/>
      </c:valAx>
    </c:plotArea>
    <c:legend>
      <c:legendPos val="r"/>
      <c:layout>
        <c:manualLayout>
          <c:xMode val="edge"/>
          <c:yMode val="edge"/>
          <c:x val="0.12362011021685021"/>
          <c:y val="0.92994800178279602"/>
          <c:w val="0.74541089190419463"/>
          <c:h val="5.930117225912801E-2"/>
        </c:manualLayout>
      </c:layout>
      <c:overlay val="0"/>
      <c:spPr>
        <a:noFill/>
        <a:ln w="25400">
          <a:noFill/>
        </a:ln>
      </c:spPr>
      <c:txPr>
        <a:bodyPr/>
        <a:lstStyle/>
        <a:p>
          <a:pPr>
            <a:defRPr sz="690" b="0" i="0" u="none" strike="noStrike" baseline="0">
              <a:solidFill>
                <a:srgbClr val="333333"/>
              </a:solidFill>
              <a:latin typeface="Calibri"/>
              <a:ea typeface="Calibri"/>
              <a:cs typeface="Calibri"/>
            </a:defRPr>
          </a:pPr>
          <a:endParaRPr lang="en-US"/>
        </a:p>
      </c:txPr>
    </c:legend>
    <c:plotVisOnly val="1"/>
    <c:dispBlanksAs val="gap"/>
    <c:showDLblsOverMax val="0"/>
  </c:chart>
  <c:spPr>
    <a:solidFill>
      <a:schemeClr val="bg1"/>
    </a:solidFill>
    <a:ln w="9525" cap="flat" cmpd="sng" algn="ctr">
      <a:noFill/>
      <a:round/>
    </a:ln>
    <a:effectLst/>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charts/chart12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2.3871527777777776E-2"/>
          <c:y val="4.7786414907172239E-2"/>
          <c:w val="0.57559123468941387"/>
          <c:h val="0.83529592857692603"/>
        </c:manualLayout>
      </c:layout>
      <c:barChart>
        <c:barDir val="col"/>
        <c:grouping val="stacked"/>
        <c:varyColors val="0"/>
        <c:ser>
          <c:idx val="0"/>
          <c:order val="0"/>
          <c:tx>
            <c:strRef>
              <c:f>'Sanitation report'!$I$824</c:f>
              <c:strCache>
                <c:ptCount val="1"/>
                <c:pt idx="0">
                  <c:v>Fixed cost</c:v>
                </c:pt>
              </c:strCache>
            </c:strRef>
          </c:tx>
          <c:spPr>
            <a:solidFill>
              <a:srgbClr val="4472C4"/>
            </a:solidFill>
            <a:ln w="25400">
              <a:noFill/>
            </a:ln>
          </c:spPr>
          <c:invertIfNegative val="0"/>
          <c:dPt>
            <c:idx val="0"/>
            <c:invertIfNegative val="0"/>
            <c:bubble3D val="0"/>
            <c:spPr>
              <a:solidFill>
                <a:srgbClr val="5B9BD5"/>
              </a:solidFill>
              <a:ln w="25400">
                <a:noFill/>
              </a:ln>
            </c:spPr>
            <c:extLst>
              <c:ext xmlns:c16="http://schemas.microsoft.com/office/drawing/2014/chart" uri="{C3380CC4-5D6E-409C-BE32-E72D297353CC}">
                <c16:uniqueId val="{00000000-AA43-4B4B-820E-744C78C2100D}"/>
              </c:ext>
            </c:extLst>
          </c:dPt>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'Sanitation report'!$J$823:$K$823</c:f>
              <c:strCache>
                <c:ptCount val="2"/>
                <c:pt idx="0">
                  <c:v>Expenditure R'000</c:v>
                </c:pt>
                <c:pt idx="1">
                  <c:v>Revenue R'000</c:v>
                </c:pt>
              </c:strCache>
            </c:strRef>
          </c:cat>
          <c:val>
            <c:numRef>
              <c:f>'Sanitation report'!$J$824:$K$824</c:f>
              <c:numCache>
                <c:formatCode>General</c:formatCode>
                <c:ptCount val="2"/>
                <c:pt idx="0" formatCode="_-* #\ ##0_-;\-* #\ ##0_-;_-* &quot;-&quot;??_-;_-@_-">
                  <c:v>0</c:v>
                </c:pt>
              </c:numCache>
            </c:numRef>
          </c:val>
          <c:extLst>
            <c:ext xmlns:c16="http://schemas.microsoft.com/office/drawing/2014/chart" uri="{C3380CC4-5D6E-409C-BE32-E72D297353CC}">
              <c16:uniqueId val="{00000001-AA43-4B4B-820E-744C78C2100D}"/>
            </c:ext>
          </c:extLst>
        </c:ser>
        <c:ser>
          <c:idx val="1"/>
          <c:order val="1"/>
          <c:tx>
            <c:strRef>
              <c:f>'Sanitation report'!$I$825</c:f>
              <c:strCache>
                <c:ptCount val="1"/>
                <c:pt idx="0">
                  <c:v>Variable cost</c:v>
                </c:pt>
              </c:strCache>
            </c:strRef>
          </c:tx>
          <c:spPr>
            <a:solidFill>
              <a:schemeClr val="accent5">
                <a:lumMod val="60000"/>
                <a:lumOff val="40000"/>
              </a:schemeClr>
            </a:solidFill>
            <a:ln>
              <a:noFill/>
            </a:ln>
            <a:effectLst/>
          </c:spPr>
          <c:invertIfNegative val="0"/>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'Sanitation report'!$J$823:$K$823</c:f>
              <c:strCache>
                <c:ptCount val="2"/>
                <c:pt idx="0">
                  <c:v>Expenditure R'000</c:v>
                </c:pt>
                <c:pt idx="1">
                  <c:v>Revenue R'000</c:v>
                </c:pt>
              </c:strCache>
            </c:strRef>
          </c:cat>
          <c:val>
            <c:numRef>
              <c:f>'Sanitation report'!$J$825:$K$825</c:f>
              <c:numCache>
                <c:formatCode>General</c:formatCode>
                <c:ptCount val="2"/>
                <c:pt idx="0" formatCode="_-* #\ ##0_-;\-* #\ ##0_-;_-* &quot;-&quot;??_-;_-@_-">
                  <c:v>0</c:v>
                </c:pt>
              </c:numCache>
            </c:numRef>
          </c:val>
          <c:extLst>
            <c:ext xmlns:c16="http://schemas.microsoft.com/office/drawing/2014/chart" uri="{C3380CC4-5D6E-409C-BE32-E72D297353CC}">
              <c16:uniqueId val="{00000002-AA43-4B4B-820E-744C78C2100D}"/>
            </c:ext>
          </c:extLst>
        </c:ser>
        <c:ser>
          <c:idx val="2"/>
          <c:order val="2"/>
          <c:tx>
            <c:strRef>
              <c:f>'Sanitation report'!$I$826</c:f>
              <c:strCache>
                <c:ptCount val="1"/>
                <c:pt idx="0">
                  <c:v>Surplus</c:v>
                </c:pt>
              </c:strCache>
            </c:strRef>
          </c:tx>
          <c:spPr>
            <a:solidFill>
              <a:srgbClr val="A5A5A5"/>
            </a:solidFill>
            <a:ln w="25400">
              <a:noFill/>
            </a:ln>
          </c:spPr>
          <c:invertIfNegative val="0"/>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'Sanitation report'!$J$823:$K$823</c:f>
              <c:strCache>
                <c:ptCount val="2"/>
                <c:pt idx="0">
                  <c:v>Expenditure R'000</c:v>
                </c:pt>
                <c:pt idx="1">
                  <c:v>Revenue R'000</c:v>
                </c:pt>
              </c:strCache>
            </c:strRef>
          </c:cat>
          <c:val>
            <c:numRef>
              <c:f>'Sanitation report'!$J$826:$K$826</c:f>
              <c:numCache>
                <c:formatCode>General</c:formatCode>
                <c:ptCount val="2"/>
                <c:pt idx="0" formatCode="_-* #\ ##0_-;\-* #\ ##0_-;_-* &quot;-&quot;??_-;_-@_-">
                  <c:v>0</c:v>
                </c:pt>
              </c:numCache>
            </c:numRef>
          </c:val>
          <c:extLst>
            <c:ext xmlns:c16="http://schemas.microsoft.com/office/drawing/2014/chart" uri="{C3380CC4-5D6E-409C-BE32-E72D297353CC}">
              <c16:uniqueId val="{00000003-AA43-4B4B-820E-744C78C2100D}"/>
            </c:ext>
          </c:extLst>
        </c:ser>
        <c:ser>
          <c:idx val="4"/>
          <c:order val="3"/>
          <c:tx>
            <c:strRef>
              <c:f>'Sanitation report'!$I$827</c:f>
              <c:strCache>
                <c:ptCount val="1"/>
                <c:pt idx="0">
                  <c:v>Tariff revenue</c:v>
                </c:pt>
              </c:strCache>
            </c:strRef>
          </c:tx>
          <c:spPr>
            <a:solidFill>
              <a:srgbClr val="5B9BD5"/>
            </a:solidFill>
            <a:ln w="25400">
              <a:noFill/>
            </a:ln>
          </c:spPr>
          <c:invertIfNegative val="0"/>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'Sanitation report'!$J$823:$K$823</c:f>
              <c:strCache>
                <c:ptCount val="2"/>
                <c:pt idx="0">
                  <c:v>Expenditure R'000</c:v>
                </c:pt>
                <c:pt idx="1">
                  <c:v>Revenue R'000</c:v>
                </c:pt>
              </c:strCache>
            </c:strRef>
          </c:cat>
          <c:val>
            <c:numRef>
              <c:f>'Sanitation report'!$J$827:$K$827</c:f>
              <c:numCache>
                <c:formatCode>_-* #\ ##0_-;\-* #\ ##0_-;_-* "-"??_-;_-@_-</c:formatCode>
                <c:ptCount val="2"/>
                <c:pt idx="1">
                  <c:v>0</c:v>
                </c:pt>
              </c:numCache>
            </c:numRef>
          </c:val>
          <c:extLst>
            <c:ext xmlns:c16="http://schemas.microsoft.com/office/drawing/2014/chart" uri="{C3380CC4-5D6E-409C-BE32-E72D297353CC}">
              <c16:uniqueId val="{00000004-AA43-4B4B-820E-744C78C2100D}"/>
            </c:ext>
          </c:extLst>
        </c:ser>
        <c:ser>
          <c:idx val="5"/>
          <c:order val="4"/>
          <c:tx>
            <c:strRef>
              <c:f>'Sanitation report'!$I$828</c:f>
              <c:strCache>
                <c:ptCount val="1"/>
                <c:pt idx="0">
                  <c:v>External grants &amp; subsidies</c:v>
                </c:pt>
              </c:strCache>
            </c:strRef>
          </c:tx>
          <c:spPr>
            <a:solidFill>
              <a:srgbClr val="A5A5A5"/>
            </a:solidFill>
            <a:ln w="25400">
              <a:noFill/>
            </a:ln>
          </c:spPr>
          <c:invertIfNegative val="0"/>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'Sanitation report'!$J$823:$K$823</c:f>
              <c:strCache>
                <c:ptCount val="2"/>
                <c:pt idx="0">
                  <c:v>Expenditure R'000</c:v>
                </c:pt>
                <c:pt idx="1">
                  <c:v>Revenue R'000</c:v>
                </c:pt>
              </c:strCache>
            </c:strRef>
          </c:cat>
          <c:val>
            <c:numRef>
              <c:f>'Sanitation report'!$J$828:$K$828</c:f>
              <c:numCache>
                <c:formatCode>_-* #\ ##0_-;\-* #\ ##0_-;_-* "-"??_-;_-@_-</c:formatCode>
                <c:ptCount val="2"/>
                <c:pt idx="1">
                  <c:v>0</c:v>
                </c:pt>
              </c:numCache>
            </c:numRef>
          </c:val>
          <c:extLst>
            <c:ext xmlns:c16="http://schemas.microsoft.com/office/drawing/2014/chart" uri="{C3380CC4-5D6E-409C-BE32-E72D297353CC}">
              <c16:uniqueId val="{00000005-AA43-4B4B-820E-744C78C2100D}"/>
            </c:ext>
          </c:extLst>
        </c:ser>
        <c:ser>
          <c:idx val="3"/>
          <c:order val="5"/>
          <c:tx>
            <c:strRef>
              <c:f>'Sanitation report'!$I$829</c:f>
              <c:strCache>
                <c:ptCount val="1"/>
                <c:pt idx="0">
                  <c:v>Other non-tariff revenue</c:v>
                </c:pt>
              </c:strCache>
            </c:strRef>
          </c:tx>
          <c:spPr>
            <a:solidFill>
              <a:schemeClr val="accent3">
                <a:lumMod val="40000"/>
                <a:lumOff val="60000"/>
              </a:schemeClr>
            </a:solidFill>
            <a:ln>
              <a:noFill/>
            </a:ln>
            <a:effectLst/>
          </c:spPr>
          <c:invertIfNegative val="0"/>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'Sanitation report'!$J$823:$K$823</c:f>
              <c:strCache>
                <c:ptCount val="2"/>
                <c:pt idx="0">
                  <c:v>Expenditure R'000</c:v>
                </c:pt>
                <c:pt idx="1">
                  <c:v>Revenue R'000</c:v>
                </c:pt>
              </c:strCache>
            </c:strRef>
          </c:cat>
          <c:val>
            <c:numRef>
              <c:f>'Sanitation report'!$J$829:$K$829</c:f>
              <c:numCache>
                <c:formatCode>_-* #\ ##0_-;\-* #\ ##0_-;_-* "-"??_-;_-@_-</c:formatCode>
                <c:ptCount val="2"/>
                <c:pt idx="1">
                  <c:v>0</c:v>
                </c:pt>
              </c:numCache>
            </c:numRef>
          </c:val>
          <c:extLst>
            <c:ext xmlns:c16="http://schemas.microsoft.com/office/drawing/2014/chart" uri="{C3380CC4-5D6E-409C-BE32-E72D297353CC}">
              <c16:uniqueId val="{00000006-AA43-4B4B-820E-744C78C2100D}"/>
            </c:ext>
          </c:extLst>
        </c:ser>
        <c:ser>
          <c:idx val="6"/>
          <c:order val="6"/>
          <c:tx>
            <c:strRef>
              <c:f>'Sanitation report'!$I$830</c:f>
              <c:strCache>
                <c:ptCount val="1"/>
                <c:pt idx="0">
                  <c:v>Deficit</c:v>
                </c:pt>
              </c:strCache>
            </c:strRef>
          </c:tx>
          <c:spPr>
            <a:solidFill>
              <a:srgbClr val="ED7D31"/>
            </a:solidFill>
            <a:ln w="25400">
              <a:noFill/>
            </a:ln>
          </c:spPr>
          <c:invertIfNegative val="0"/>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'Sanitation report'!$J$823:$K$823</c:f>
              <c:strCache>
                <c:ptCount val="2"/>
                <c:pt idx="0">
                  <c:v>Expenditure R'000</c:v>
                </c:pt>
                <c:pt idx="1">
                  <c:v>Revenue R'000</c:v>
                </c:pt>
              </c:strCache>
            </c:strRef>
          </c:cat>
          <c:val>
            <c:numRef>
              <c:f>'Sanitation report'!$J$830:$K$830</c:f>
              <c:numCache>
                <c:formatCode>_-* #\ ##0_-;\-* #\ ##0_-;_-* "-"??_-;_-@_-</c:formatCode>
                <c:ptCount val="2"/>
                <c:pt idx="1">
                  <c:v>0</c:v>
                </c:pt>
              </c:numCache>
            </c:numRef>
          </c:val>
          <c:extLst>
            <c:ext xmlns:c16="http://schemas.microsoft.com/office/drawing/2014/chart" uri="{C3380CC4-5D6E-409C-BE32-E72D297353CC}">
              <c16:uniqueId val="{00000007-AA43-4B4B-820E-744C78C2100D}"/>
            </c:ext>
          </c:extLst>
        </c:ser>
        <c:dLbls>
          <c:showLegendKey val="0"/>
          <c:showVal val="0"/>
          <c:showCatName val="0"/>
          <c:showSerName val="0"/>
          <c:showPercent val="0"/>
          <c:showBubbleSize val="0"/>
        </c:dLbls>
        <c:gapWidth val="25"/>
        <c:overlap val="100"/>
        <c:axId val="1399600879"/>
        <c:axId val="1"/>
      </c:barChart>
      <c:catAx>
        <c:axId val="1399600879"/>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0" vert="horz"/>
          <a:lstStyle/>
          <a:p>
            <a:pPr>
              <a:defRPr sz="1100" b="0" i="0" u="none" strike="noStrike" baseline="0">
                <a:solidFill>
                  <a:srgbClr val="000000"/>
                </a:solidFill>
                <a:latin typeface="Calibri"/>
                <a:ea typeface="Calibri"/>
                <a:cs typeface="Calibri"/>
              </a:defRPr>
            </a:pPr>
            <a:endParaRPr lang="en-US"/>
          </a:p>
        </c:txPr>
        <c:crossAx val="1"/>
        <c:crosses val="autoZero"/>
        <c:auto val="1"/>
        <c:lblAlgn val="ctr"/>
        <c:lblOffset val="100"/>
        <c:noMultiLvlLbl val="0"/>
      </c:catAx>
      <c:valAx>
        <c:axId val="1"/>
        <c:scaling>
          <c:orientation val="minMax"/>
        </c:scaling>
        <c:delete val="1"/>
        <c:axPos val="l"/>
        <c:majorGridlines>
          <c:spPr>
            <a:ln w="9525" cap="flat" cmpd="sng" algn="ctr">
              <a:solidFill>
                <a:schemeClr val="tx1">
                  <a:lumMod val="15000"/>
                  <a:lumOff val="85000"/>
                </a:schemeClr>
              </a:solidFill>
              <a:round/>
            </a:ln>
            <a:effectLst/>
          </c:spPr>
        </c:majorGridlines>
        <c:numFmt formatCode="_-* #\ ##0_-;\-* #\ ##0_-;_-* &quot;-&quot;??_-;_-@_-" sourceLinked="1"/>
        <c:majorTickMark val="out"/>
        <c:minorTickMark val="none"/>
        <c:tickLblPos val="nextTo"/>
        <c:crossAx val="1399600879"/>
        <c:crosses val="autoZero"/>
        <c:crossBetween val="between"/>
      </c:valAx>
    </c:plotArea>
    <c:legend>
      <c:legendPos val="r"/>
      <c:layout>
        <c:manualLayout>
          <c:xMode val="edge"/>
          <c:yMode val="edge"/>
          <c:x val="0.63060873861355571"/>
          <c:y val="0.19063156167979003"/>
          <c:w val="0.34824665740311866"/>
          <c:h val="0.70627362204724409"/>
        </c:manualLayout>
      </c:layout>
      <c:overlay val="0"/>
      <c:spPr>
        <a:noFill/>
        <a:ln w="25400">
          <a:noFill/>
        </a:ln>
      </c:spPr>
      <c:txPr>
        <a:bodyPr/>
        <a:lstStyle/>
        <a:p>
          <a:pPr>
            <a:defRPr sz="850" b="0" i="0" u="none" strike="noStrike" baseline="0">
              <a:solidFill>
                <a:srgbClr val="000000"/>
              </a:solidFill>
              <a:latin typeface="Calibri"/>
              <a:ea typeface="Calibri"/>
              <a:cs typeface="Calibri"/>
            </a:defRPr>
          </a:pPr>
          <a:endParaRPr lang="en-US"/>
        </a:p>
      </c:txPr>
    </c:legend>
    <c:plotVisOnly val="1"/>
    <c:dispBlanksAs val="gap"/>
    <c:showDLblsOverMax val="0"/>
  </c:chart>
  <c:spPr>
    <a:solidFill>
      <a:schemeClr val="bg1"/>
    </a:solidFill>
    <a:ln w="9525" cap="flat" cmpd="sng" algn="ctr">
      <a:noFill/>
      <a:round/>
    </a:ln>
    <a:effectLst/>
  </c:spPr>
  <c:txPr>
    <a:bodyPr/>
    <a:lstStyle/>
    <a:p>
      <a:pPr>
        <a:defRPr sz="1100" b="0" i="0" u="none" strike="noStrike" baseline="0">
          <a:solidFill>
            <a:srgbClr val="000000"/>
          </a:solidFill>
          <a:latin typeface="Calibri"/>
          <a:ea typeface="Calibri"/>
          <a:cs typeface="Calibri"/>
        </a:defRPr>
      </a:pPr>
      <a:endParaRPr lang="en-US"/>
    </a:p>
  </c:txPr>
  <c:printSettings>
    <c:headerFooter/>
    <c:pageMargins b="0.75" l="0.7" r="0.7" t="0.75" header="0.3" footer="0.3"/>
    <c:pageSetup orientation="portrait"/>
  </c:printSettings>
</c:chartSpace>
</file>

<file path=xl/charts/chart12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ser>
          <c:idx val="0"/>
          <c:order val="0"/>
          <c:tx>
            <c:strRef>
              <c:f>'Sanitation report'!$K$845</c:f>
              <c:strCache>
                <c:ptCount val="1"/>
                <c:pt idx="0">
                  <c:v>Tariff </c:v>
                </c:pt>
              </c:strCache>
            </c:strRef>
          </c:tx>
          <c:spPr>
            <a:solidFill>
              <a:srgbClr val="4472C4"/>
            </a:solidFill>
            <a:ln w="25400">
              <a:noFill/>
            </a:ln>
          </c:spPr>
          <c:invertIfNegative val="0"/>
          <c:dLbls>
            <c:spPr>
              <a:noFill/>
              <a:ln w="25400">
                <a:noFill/>
              </a:ln>
            </c:spPr>
            <c:txPr>
              <a:bodyPr wrap="square" lIns="38100" tIns="19050" rIns="38100" bIns="19050" anchor="ctr">
                <a:spAutoFit/>
              </a:bodyPr>
              <a:lstStyle/>
              <a:p>
                <a:pPr>
                  <a:defRPr sz="900" b="0" i="0" u="none" strike="noStrike" baseline="0">
                    <a:solidFill>
                      <a:srgbClr val="333333"/>
                    </a:solidFill>
                    <a:latin typeface="Calibri"/>
                    <a:ea typeface="Calibri"/>
                    <a:cs typeface="Calibri"/>
                  </a:defRPr>
                </a:pPr>
                <a:endParaRPr lang="en-US"/>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'Sanitation report'!$J$846:$J$855</c:f>
              <c:strCache>
                <c:ptCount val="10"/>
                <c:pt idx="0">
                  <c:v>0</c:v>
                </c:pt>
                <c:pt idx="1">
                  <c:v>0</c:v>
                </c:pt>
                <c:pt idx="2">
                  <c:v>0</c:v>
                </c:pt>
                <c:pt idx="3">
                  <c:v>0</c:v>
                </c:pt>
                <c:pt idx="4">
                  <c:v>0</c:v>
                </c:pt>
                <c:pt idx="5">
                  <c:v>0</c:v>
                </c:pt>
                <c:pt idx="6">
                  <c:v>0</c:v>
                </c:pt>
                <c:pt idx="7">
                  <c:v>0</c:v>
                </c:pt>
                <c:pt idx="8">
                  <c:v>0</c:v>
                </c:pt>
                <c:pt idx="9">
                  <c:v>More</c:v>
                </c:pt>
              </c:strCache>
            </c:strRef>
          </c:cat>
          <c:val>
            <c:numRef>
              <c:f>'Sanitation report'!$K$846:$K$855</c:f>
              <c:numCache>
                <c:formatCode>_(* #,##0.00_);_(* \(#,##0.00\);_(* "-"??_);_(@_)</c:formatCode>
                <c:ptCount val="10"/>
                <c:pt idx="0">
                  <c:v>0</c:v>
                </c:pt>
                <c:pt idx="1">
                  <c:v>0</c:v>
                </c:pt>
                <c:pt idx="2">
                  <c:v>0</c:v>
                </c:pt>
                <c:pt idx="3">
                  <c:v>0</c:v>
                </c:pt>
                <c:pt idx="4">
                  <c:v>0</c:v>
                </c:pt>
                <c:pt idx="5">
                  <c:v>0</c:v>
                </c:pt>
                <c:pt idx="6">
                  <c:v>0</c:v>
                </c:pt>
                <c:pt idx="7">
                  <c:v>0</c:v>
                </c:pt>
                <c:pt idx="8">
                  <c:v>0</c:v>
                </c:pt>
                <c:pt idx="9">
                  <c:v>0</c:v>
                </c:pt>
              </c:numCache>
            </c:numRef>
          </c:val>
          <c:extLst>
            <c:ext xmlns:c16="http://schemas.microsoft.com/office/drawing/2014/chart" uri="{C3380CC4-5D6E-409C-BE32-E72D297353CC}">
              <c16:uniqueId val="{00000000-0573-447B-AF4A-28479AF10F65}"/>
            </c:ext>
          </c:extLst>
        </c:ser>
        <c:dLbls>
          <c:showLegendKey val="0"/>
          <c:showVal val="0"/>
          <c:showCatName val="0"/>
          <c:showSerName val="0"/>
          <c:showPercent val="0"/>
          <c:showBubbleSize val="0"/>
        </c:dLbls>
        <c:gapWidth val="50"/>
        <c:axId val="1399581679"/>
        <c:axId val="1"/>
      </c:barChart>
      <c:lineChart>
        <c:grouping val="standard"/>
        <c:varyColors val="0"/>
        <c:ser>
          <c:idx val="1"/>
          <c:order val="1"/>
          <c:tx>
            <c:strRef>
              <c:f>'Sanitation report'!$L$845</c:f>
              <c:strCache>
                <c:ptCount val="1"/>
                <c:pt idx="0">
                  <c:v>Total cost per kl </c:v>
                </c:pt>
              </c:strCache>
            </c:strRef>
          </c:tx>
          <c:spPr>
            <a:ln w="28575" cap="rnd">
              <a:solidFill>
                <a:schemeClr val="accent2"/>
              </a:solidFill>
              <a:round/>
            </a:ln>
            <a:effectLst/>
          </c:spPr>
          <c:marker>
            <c:symbol val="none"/>
          </c:marker>
          <c:cat>
            <c:strRef>
              <c:f>'Sanitation report'!$J$846:$J$855</c:f>
              <c:strCache>
                <c:ptCount val="10"/>
                <c:pt idx="0">
                  <c:v>0</c:v>
                </c:pt>
                <c:pt idx="1">
                  <c:v>0</c:v>
                </c:pt>
                <c:pt idx="2">
                  <c:v>0</c:v>
                </c:pt>
                <c:pt idx="3">
                  <c:v>0</c:v>
                </c:pt>
                <c:pt idx="4">
                  <c:v>0</c:v>
                </c:pt>
                <c:pt idx="5">
                  <c:v>0</c:v>
                </c:pt>
                <c:pt idx="6">
                  <c:v>0</c:v>
                </c:pt>
                <c:pt idx="7">
                  <c:v>0</c:v>
                </c:pt>
                <c:pt idx="8">
                  <c:v>0</c:v>
                </c:pt>
                <c:pt idx="9">
                  <c:v>More</c:v>
                </c:pt>
              </c:strCache>
            </c:strRef>
          </c:cat>
          <c:val>
            <c:numRef>
              <c:f>'Sanitation report'!$L$846:$L$855</c:f>
              <c:numCache>
                <c:formatCode>_(* #,##0.00_);_(* \(#,##0.00\);_(* "-"??_);_(@_)</c:formatCode>
                <c:ptCount val="10"/>
                <c:pt idx="0">
                  <c:v>0</c:v>
                </c:pt>
                <c:pt idx="1">
                  <c:v>0</c:v>
                </c:pt>
                <c:pt idx="2">
                  <c:v>0</c:v>
                </c:pt>
                <c:pt idx="3">
                  <c:v>0</c:v>
                </c:pt>
                <c:pt idx="4">
                  <c:v>0</c:v>
                </c:pt>
                <c:pt idx="5">
                  <c:v>0</c:v>
                </c:pt>
                <c:pt idx="6">
                  <c:v>0</c:v>
                </c:pt>
                <c:pt idx="7">
                  <c:v>0</c:v>
                </c:pt>
                <c:pt idx="8">
                  <c:v>0</c:v>
                </c:pt>
                <c:pt idx="9">
                  <c:v>0</c:v>
                </c:pt>
              </c:numCache>
            </c:numRef>
          </c:val>
          <c:smooth val="0"/>
          <c:extLst>
            <c:ext xmlns:c16="http://schemas.microsoft.com/office/drawing/2014/chart" uri="{C3380CC4-5D6E-409C-BE32-E72D297353CC}">
              <c16:uniqueId val="{00000001-0573-447B-AF4A-28479AF10F65}"/>
            </c:ext>
          </c:extLst>
        </c:ser>
        <c:ser>
          <c:idx val="2"/>
          <c:order val="2"/>
          <c:tx>
            <c:strRef>
              <c:f>'Sanitation report'!$M$845</c:f>
              <c:strCache>
                <c:ptCount val="1"/>
                <c:pt idx="0">
                  <c:v>Variable cost per kl treated</c:v>
                </c:pt>
              </c:strCache>
            </c:strRef>
          </c:tx>
          <c:spPr>
            <a:ln w="28575" cap="rnd">
              <a:solidFill>
                <a:schemeClr val="accent3"/>
              </a:solidFill>
              <a:round/>
            </a:ln>
            <a:effectLst/>
          </c:spPr>
          <c:marker>
            <c:symbol val="none"/>
          </c:marker>
          <c:cat>
            <c:strRef>
              <c:f>'Sanitation report'!$J$846:$J$855</c:f>
              <c:strCache>
                <c:ptCount val="10"/>
                <c:pt idx="0">
                  <c:v>0</c:v>
                </c:pt>
                <c:pt idx="1">
                  <c:v>0</c:v>
                </c:pt>
                <c:pt idx="2">
                  <c:v>0</c:v>
                </c:pt>
                <c:pt idx="3">
                  <c:v>0</c:v>
                </c:pt>
                <c:pt idx="4">
                  <c:v>0</c:v>
                </c:pt>
                <c:pt idx="5">
                  <c:v>0</c:v>
                </c:pt>
                <c:pt idx="6">
                  <c:v>0</c:v>
                </c:pt>
                <c:pt idx="7">
                  <c:v>0</c:v>
                </c:pt>
                <c:pt idx="8">
                  <c:v>0</c:v>
                </c:pt>
                <c:pt idx="9">
                  <c:v>More</c:v>
                </c:pt>
              </c:strCache>
            </c:strRef>
          </c:cat>
          <c:val>
            <c:numRef>
              <c:f>'Sanitation report'!$M$846:$M$855</c:f>
              <c:numCache>
                <c:formatCode>_(* #,##0.00_);_(* \(#,##0.00\);_(* "-"??_);_(@_)</c:formatCode>
                <c:ptCount val="10"/>
                <c:pt idx="0">
                  <c:v>0</c:v>
                </c:pt>
                <c:pt idx="1">
                  <c:v>0</c:v>
                </c:pt>
                <c:pt idx="2">
                  <c:v>0</c:v>
                </c:pt>
                <c:pt idx="3">
                  <c:v>0</c:v>
                </c:pt>
                <c:pt idx="4">
                  <c:v>0</c:v>
                </c:pt>
                <c:pt idx="5">
                  <c:v>0</c:v>
                </c:pt>
                <c:pt idx="6">
                  <c:v>0</c:v>
                </c:pt>
                <c:pt idx="7">
                  <c:v>0</c:v>
                </c:pt>
                <c:pt idx="8">
                  <c:v>0</c:v>
                </c:pt>
                <c:pt idx="9">
                  <c:v>0</c:v>
                </c:pt>
              </c:numCache>
            </c:numRef>
          </c:val>
          <c:smooth val="0"/>
          <c:extLst>
            <c:ext xmlns:c16="http://schemas.microsoft.com/office/drawing/2014/chart" uri="{C3380CC4-5D6E-409C-BE32-E72D297353CC}">
              <c16:uniqueId val="{00000002-0573-447B-AF4A-28479AF10F65}"/>
            </c:ext>
          </c:extLst>
        </c:ser>
        <c:dLbls>
          <c:showLegendKey val="0"/>
          <c:showVal val="0"/>
          <c:showCatName val="0"/>
          <c:showSerName val="0"/>
          <c:showPercent val="0"/>
          <c:showBubbleSize val="0"/>
        </c:dLbls>
        <c:marker val="1"/>
        <c:smooth val="0"/>
        <c:axId val="1399581679"/>
        <c:axId val="1"/>
      </c:lineChart>
      <c:catAx>
        <c:axId val="1399581679"/>
        <c:scaling>
          <c:orientation val="minMax"/>
        </c:scaling>
        <c:delete val="0"/>
        <c:axPos val="b"/>
        <c:title>
          <c:tx>
            <c:rich>
              <a:bodyPr/>
              <a:lstStyle/>
              <a:p>
                <a:pPr>
                  <a:defRPr sz="1000" b="0" i="0" u="none" strike="noStrike" baseline="0">
                    <a:solidFill>
                      <a:srgbClr val="333333"/>
                    </a:solidFill>
                    <a:latin typeface="Calibri"/>
                    <a:ea typeface="Calibri"/>
                    <a:cs typeface="Calibri"/>
                  </a:defRPr>
                </a:pPr>
                <a:r>
                  <a:rPr lang="en-ZA"/>
                  <a:t>Block size</a:t>
                </a:r>
              </a:p>
            </c:rich>
          </c:tx>
          <c:overlay val="0"/>
          <c:spPr>
            <a:noFill/>
            <a:ln w="25400">
              <a:noFill/>
            </a:ln>
          </c:spPr>
        </c:title>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0" vert="horz"/>
          <a:lstStyle/>
          <a:p>
            <a:pPr>
              <a:defRPr sz="900" b="0" i="0" u="none" strike="noStrike" baseline="0">
                <a:solidFill>
                  <a:srgbClr val="333333"/>
                </a:solidFill>
                <a:latin typeface="Calibri"/>
                <a:ea typeface="Calibri"/>
                <a:cs typeface="Calibri"/>
              </a:defRPr>
            </a:pPr>
            <a:endParaRPr lang="en-US"/>
          </a:p>
        </c:txPr>
        <c:crossAx val="1"/>
        <c:crosses val="autoZero"/>
        <c:auto val="1"/>
        <c:lblAlgn val="ctr"/>
        <c:lblOffset val="100"/>
        <c:noMultiLvlLbl val="0"/>
      </c:catAx>
      <c:valAx>
        <c:axId val="1"/>
        <c:scaling>
          <c:orientation val="minMax"/>
        </c:scaling>
        <c:delete val="0"/>
        <c:axPos val="l"/>
        <c:majorGridlines>
          <c:spPr>
            <a:ln w="9525" cap="flat" cmpd="sng" algn="ctr">
              <a:solidFill>
                <a:schemeClr val="tx1">
                  <a:lumMod val="15000"/>
                  <a:lumOff val="85000"/>
                </a:schemeClr>
              </a:solidFill>
              <a:round/>
            </a:ln>
            <a:effectLst/>
          </c:spPr>
        </c:majorGridlines>
        <c:title>
          <c:tx>
            <c:rich>
              <a:bodyPr/>
              <a:lstStyle/>
              <a:p>
                <a:pPr>
                  <a:defRPr sz="1000" b="0" i="0" u="none" strike="noStrike" baseline="0">
                    <a:solidFill>
                      <a:srgbClr val="333333"/>
                    </a:solidFill>
                    <a:latin typeface="Calibri"/>
                    <a:ea typeface="Calibri"/>
                    <a:cs typeface="Calibri"/>
                  </a:defRPr>
                </a:pPr>
                <a:r>
                  <a:rPr lang="en-ZA"/>
                  <a:t>R/kl</a:t>
                </a:r>
              </a:p>
            </c:rich>
          </c:tx>
          <c:overlay val="0"/>
          <c:spPr>
            <a:noFill/>
            <a:ln w="25400">
              <a:noFill/>
            </a:ln>
          </c:spPr>
        </c:title>
        <c:numFmt formatCode="_(* #,##0.00_);_(* \(#,##0.00\);_(* &quot;-&quot;??_);_(@_)" sourceLinked="1"/>
        <c:majorTickMark val="none"/>
        <c:minorTickMark val="none"/>
        <c:tickLblPos val="nextTo"/>
        <c:spPr>
          <a:ln w="6350">
            <a:noFill/>
          </a:ln>
        </c:spPr>
        <c:txPr>
          <a:bodyPr rot="0" vert="horz"/>
          <a:lstStyle/>
          <a:p>
            <a:pPr>
              <a:defRPr sz="900" b="0" i="0" u="none" strike="noStrike" baseline="0">
                <a:solidFill>
                  <a:srgbClr val="333333"/>
                </a:solidFill>
                <a:latin typeface="Calibri"/>
                <a:ea typeface="Calibri"/>
                <a:cs typeface="Calibri"/>
              </a:defRPr>
            </a:pPr>
            <a:endParaRPr lang="en-US"/>
          </a:p>
        </c:txPr>
        <c:crossAx val="1399581679"/>
        <c:crosses val="autoZero"/>
        <c:crossBetween val="between"/>
      </c:valAx>
    </c:plotArea>
    <c:legend>
      <c:legendPos val="r"/>
      <c:layout>
        <c:manualLayout>
          <c:xMode val="edge"/>
          <c:yMode val="edge"/>
          <c:x val="0.12362011021685021"/>
          <c:y val="0.92994800178279602"/>
          <c:w val="0.74541089190419463"/>
          <c:h val="5.930117225912801E-2"/>
        </c:manualLayout>
      </c:layout>
      <c:overlay val="0"/>
      <c:spPr>
        <a:noFill/>
        <a:ln w="25400">
          <a:noFill/>
        </a:ln>
      </c:spPr>
      <c:txPr>
        <a:bodyPr/>
        <a:lstStyle/>
        <a:p>
          <a:pPr>
            <a:defRPr sz="690" b="0" i="0" u="none" strike="noStrike" baseline="0">
              <a:solidFill>
                <a:srgbClr val="333333"/>
              </a:solidFill>
              <a:latin typeface="Calibri"/>
              <a:ea typeface="Calibri"/>
              <a:cs typeface="Calibri"/>
            </a:defRPr>
          </a:pPr>
          <a:endParaRPr lang="en-US"/>
        </a:p>
      </c:txPr>
    </c:legend>
    <c:plotVisOnly val="1"/>
    <c:dispBlanksAs val="gap"/>
    <c:showDLblsOverMax val="0"/>
  </c:chart>
  <c:spPr>
    <a:solidFill>
      <a:schemeClr val="bg1"/>
    </a:solidFill>
    <a:ln w="9525" cap="flat" cmpd="sng" algn="ctr">
      <a:noFill/>
      <a:round/>
    </a:ln>
    <a:effectLst/>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charts/chart12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2.3871527777777776E-2"/>
          <c:y val="4.7786414907172239E-2"/>
          <c:w val="0.57559123468941387"/>
          <c:h val="0.83529592857692603"/>
        </c:manualLayout>
      </c:layout>
      <c:barChart>
        <c:barDir val="col"/>
        <c:grouping val="stacked"/>
        <c:varyColors val="0"/>
        <c:ser>
          <c:idx val="0"/>
          <c:order val="0"/>
          <c:tx>
            <c:strRef>
              <c:f>'Sanitation report'!$I$890</c:f>
              <c:strCache>
                <c:ptCount val="1"/>
                <c:pt idx="0">
                  <c:v>Fixed cost</c:v>
                </c:pt>
              </c:strCache>
            </c:strRef>
          </c:tx>
          <c:spPr>
            <a:solidFill>
              <a:srgbClr val="4472C4"/>
            </a:solidFill>
            <a:ln w="25400">
              <a:noFill/>
            </a:ln>
          </c:spPr>
          <c:invertIfNegative val="0"/>
          <c:dPt>
            <c:idx val="0"/>
            <c:invertIfNegative val="0"/>
            <c:bubble3D val="0"/>
            <c:spPr>
              <a:solidFill>
                <a:srgbClr val="5B9BD5"/>
              </a:solidFill>
              <a:ln w="25400">
                <a:noFill/>
              </a:ln>
            </c:spPr>
            <c:extLst>
              <c:ext xmlns:c16="http://schemas.microsoft.com/office/drawing/2014/chart" uri="{C3380CC4-5D6E-409C-BE32-E72D297353CC}">
                <c16:uniqueId val="{00000000-E59F-4114-A926-28C7312DFCC4}"/>
              </c:ext>
            </c:extLst>
          </c:dPt>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'Sanitation report'!$J$889:$K$889</c:f>
              <c:strCache>
                <c:ptCount val="2"/>
                <c:pt idx="0">
                  <c:v>Expenditure R'000</c:v>
                </c:pt>
                <c:pt idx="1">
                  <c:v>Revenue R'000</c:v>
                </c:pt>
              </c:strCache>
            </c:strRef>
          </c:cat>
          <c:val>
            <c:numRef>
              <c:f>'Sanitation report'!$J$890:$K$890</c:f>
              <c:numCache>
                <c:formatCode>General</c:formatCode>
                <c:ptCount val="2"/>
                <c:pt idx="0" formatCode="_-* #\ ##0_-;\-* #\ ##0_-;_-* &quot;-&quot;??_-;_-@_-">
                  <c:v>0</c:v>
                </c:pt>
              </c:numCache>
            </c:numRef>
          </c:val>
          <c:extLst>
            <c:ext xmlns:c16="http://schemas.microsoft.com/office/drawing/2014/chart" uri="{C3380CC4-5D6E-409C-BE32-E72D297353CC}">
              <c16:uniqueId val="{00000001-E59F-4114-A926-28C7312DFCC4}"/>
            </c:ext>
          </c:extLst>
        </c:ser>
        <c:ser>
          <c:idx val="1"/>
          <c:order val="1"/>
          <c:tx>
            <c:strRef>
              <c:f>'Sanitation report'!$I$891</c:f>
              <c:strCache>
                <c:ptCount val="1"/>
                <c:pt idx="0">
                  <c:v>Variable cost</c:v>
                </c:pt>
              </c:strCache>
            </c:strRef>
          </c:tx>
          <c:spPr>
            <a:solidFill>
              <a:schemeClr val="accent5">
                <a:lumMod val="60000"/>
                <a:lumOff val="40000"/>
              </a:schemeClr>
            </a:solidFill>
            <a:ln>
              <a:noFill/>
            </a:ln>
            <a:effectLst/>
          </c:spPr>
          <c:invertIfNegative val="0"/>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'Sanitation report'!$J$889:$K$889</c:f>
              <c:strCache>
                <c:ptCount val="2"/>
                <c:pt idx="0">
                  <c:v>Expenditure R'000</c:v>
                </c:pt>
                <c:pt idx="1">
                  <c:v>Revenue R'000</c:v>
                </c:pt>
              </c:strCache>
            </c:strRef>
          </c:cat>
          <c:val>
            <c:numRef>
              <c:f>'Sanitation report'!$J$891:$K$891</c:f>
              <c:numCache>
                <c:formatCode>General</c:formatCode>
                <c:ptCount val="2"/>
                <c:pt idx="0" formatCode="_-* #\ ##0_-;\-* #\ ##0_-;_-* &quot;-&quot;??_-;_-@_-">
                  <c:v>0</c:v>
                </c:pt>
              </c:numCache>
            </c:numRef>
          </c:val>
          <c:extLst>
            <c:ext xmlns:c16="http://schemas.microsoft.com/office/drawing/2014/chart" uri="{C3380CC4-5D6E-409C-BE32-E72D297353CC}">
              <c16:uniqueId val="{00000002-E59F-4114-A926-28C7312DFCC4}"/>
            </c:ext>
          </c:extLst>
        </c:ser>
        <c:ser>
          <c:idx val="2"/>
          <c:order val="2"/>
          <c:tx>
            <c:strRef>
              <c:f>'Sanitation report'!$I$892</c:f>
              <c:strCache>
                <c:ptCount val="1"/>
                <c:pt idx="0">
                  <c:v>Surplus</c:v>
                </c:pt>
              </c:strCache>
            </c:strRef>
          </c:tx>
          <c:spPr>
            <a:solidFill>
              <a:srgbClr val="A5A5A5"/>
            </a:solidFill>
            <a:ln w="25400">
              <a:noFill/>
            </a:ln>
          </c:spPr>
          <c:invertIfNegative val="0"/>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'Sanitation report'!$J$889:$K$889</c:f>
              <c:strCache>
                <c:ptCount val="2"/>
                <c:pt idx="0">
                  <c:v>Expenditure R'000</c:v>
                </c:pt>
                <c:pt idx="1">
                  <c:v>Revenue R'000</c:v>
                </c:pt>
              </c:strCache>
            </c:strRef>
          </c:cat>
          <c:val>
            <c:numRef>
              <c:f>'Sanitation report'!$J$892:$K$892</c:f>
              <c:numCache>
                <c:formatCode>General</c:formatCode>
                <c:ptCount val="2"/>
                <c:pt idx="0" formatCode="_-* #\ ##0_-;\-* #\ ##0_-;_-* &quot;-&quot;??_-;_-@_-">
                  <c:v>0</c:v>
                </c:pt>
              </c:numCache>
            </c:numRef>
          </c:val>
          <c:extLst>
            <c:ext xmlns:c16="http://schemas.microsoft.com/office/drawing/2014/chart" uri="{C3380CC4-5D6E-409C-BE32-E72D297353CC}">
              <c16:uniqueId val="{00000003-E59F-4114-A926-28C7312DFCC4}"/>
            </c:ext>
          </c:extLst>
        </c:ser>
        <c:ser>
          <c:idx val="4"/>
          <c:order val="3"/>
          <c:tx>
            <c:strRef>
              <c:f>'Sanitation report'!$I$893</c:f>
              <c:strCache>
                <c:ptCount val="1"/>
                <c:pt idx="0">
                  <c:v>Tariff revenue</c:v>
                </c:pt>
              </c:strCache>
            </c:strRef>
          </c:tx>
          <c:spPr>
            <a:solidFill>
              <a:srgbClr val="5B9BD5"/>
            </a:solidFill>
            <a:ln w="25400">
              <a:noFill/>
            </a:ln>
          </c:spPr>
          <c:invertIfNegative val="0"/>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'Sanitation report'!$J$889:$K$889</c:f>
              <c:strCache>
                <c:ptCount val="2"/>
                <c:pt idx="0">
                  <c:v>Expenditure R'000</c:v>
                </c:pt>
                <c:pt idx="1">
                  <c:v>Revenue R'000</c:v>
                </c:pt>
              </c:strCache>
            </c:strRef>
          </c:cat>
          <c:val>
            <c:numRef>
              <c:f>'Sanitation report'!$J$893:$K$893</c:f>
              <c:numCache>
                <c:formatCode>_-* #\ ##0_-;\-* #\ ##0_-;_-* "-"??_-;_-@_-</c:formatCode>
                <c:ptCount val="2"/>
                <c:pt idx="1">
                  <c:v>0</c:v>
                </c:pt>
              </c:numCache>
            </c:numRef>
          </c:val>
          <c:extLst>
            <c:ext xmlns:c16="http://schemas.microsoft.com/office/drawing/2014/chart" uri="{C3380CC4-5D6E-409C-BE32-E72D297353CC}">
              <c16:uniqueId val="{00000004-E59F-4114-A926-28C7312DFCC4}"/>
            </c:ext>
          </c:extLst>
        </c:ser>
        <c:ser>
          <c:idx val="5"/>
          <c:order val="4"/>
          <c:tx>
            <c:strRef>
              <c:f>'Sanitation report'!$I$894</c:f>
              <c:strCache>
                <c:ptCount val="1"/>
                <c:pt idx="0">
                  <c:v>External grants &amp; subsidies</c:v>
                </c:pt>
              </c:strCache>
            </c:strRef>
          </c:tx>
          <c:spPr>
            <a:solidFill>
              <a:srgbClr val="A5A5A5"/>
            </a:solidFill>
            <a:ln w="25400">
              <a:noFill/>
            </a:ln>
          </c:spPr>
          <c:invertIfNegative val="0"/>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'Sanitation report'!$J$889:$K$889</c:f>
              <c:strCache>
                <c:ptCount val="2"/>
                <c:pt idx="0">
                  <c:v>Expenditure R'000</c:v>
                </c:pt>
                <c:pt idx="1">
                  <c:v>Revenue R'000</c:v>
                </c:pt>
              </c:strCache>
            </c:strRef>
          </c:cat>
          <c:val>
            <c:numRef>
              <c:f>'Sanitation report'!$J$894:$K$894</c:f>
              <c:numCache>
                <c:formatCode>_-* #\ ##0_-;\-* #\ ##0_-;_-* "-"??_-;_-@_-</c:formatCode>
                <c:ptCount val="2"/>
                <c:pt idx="1">
                  <c:v>0</c:v>
                </c:pt>
              </c:numCache>
            </c:numRef>
          </c:val>
          <c:extLst>
            <c:ext xmlns:c16="http://schemas.microsoft.com/office/drawing/2014/chart" uri="{C3380CC4-5D6E-409C-BE32-E72D297353CC}">
              <c16:uniqueId val="{00000005-E59F-4114-A926-28C7312DFCC4}"/>
            </c:ext>
          </c:extLst>
        </c:ser>
        <c:ser>
          <c:idx val="3"/>
          <c:order val="5"/>
          <c:tx>
            <c:strRef>
              <c:f>'Sanitation report'!$I$895</c:f>
              <c:strCache>
                <c:ptCount val="1"/>
                <c:pt idx="0">
                  <c:v>Other non-tariff revenue</c:v>
                </c:pt>
              </c:strCache>
            </c:strRef>
          </c:tx>
          <c:spPr>
            <a:solidFill>
              <a:schemeClr val="accent3">
                <a:lumMod val="40000"/>
                <a:lumOff val="60000"/>
              </a:schemeClr>
            </a:solidFill>
            <a:ln>
              <a:noFill/>
            </a:ln>
            <a:effectLst/>
          </c:spPr>
          <c:invertIfNegative val="0"/>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'Sanitation report'!$J$889:$K$889</c:f>
              <c:strCache>
                <c:ptCount val="2"/>
                <c:pt idx="0">
                  <c:v>Expenditure R'000</c:v>
                </c:pt>
                <c:pt idx="1">
                  <c:v>Revenue R'000</c:v>
                </c:pt>
              </c:strCache>
            </c:strRef>
          </c:cat>
          <c:val>
            <c:numRef>
              <c:f>'Sanitation report'!$J$895:$K$895</c:f>
              <c:numCache>
                <c:formatCode>_-* #\ ##0_-;\-* #\ ##0_-;_-* "-"??_-;_-@_-</c:formatCode>
                <c:ptCount val="2"/>
                <c:pt idx="1">
                  <c:v>0</c:v>
                </c:pt>
              </c:numCache>
            </c:numRef>
          </c:val>
          <c:extLst>
            <c:ext xmlns:c16="http://schemas.microsoft.com/office/drawing/2014/chart" uri="{C3380CC4-5D6E-409C-BE32-E72D297353CC}">
              <c16:uniqueId val="{00000006-E59F-4114-A926-28C7312DFCC4}"/>
            </c:ext>
          </c:extLst>
        </c:ser>
        <c:ser>
          <c:idx val="6"/>
          <c:order val="6"/>
          <c:tx>
            <c:strRef>
              <c:f>'Sanitation report'!$I$896</c:f>
              <c:strCache>
                <c:ptCount val="1"/>
                <c:pt idx="0">
                  <c:v>Deficit</c:v>
                </c:pt>
              </c:strCache>
            </c:strRef>
          </c:tx>
          <c:spPr>
            <a:solidFill>
              <a:srgbClr val="ED7D31"/>
            </a:solidFill>
            <a:ln w="25400">
              <a:noFill/>
            </a:ln>
          </c:spPr>
          <c:invertIfNegative val="0"/>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'Sanitation report'!$J$889:$K$889</c:f>
              <c:strCache>
                <c:ptCount val="2"/>
                <c:pt idx="0">
                  <c:v>Expenditure R'000</c:v>
                </c:pt>
                <c:pt idx="1">
                  <c:v>Revenue R'000</c:v>
                </c:pt>
              </c:strCache>
            </c:strRef>
          </c:cat>
          <c:val>
            <c:numRef>
              <c:f>'Sanitation report'!$J$896:$K$896</c:f>
              <c:numCache>
                <c:formatCode>_-* #\ ##0_-;\-* #\ ##0_-;_-* "-"??_-;_-@_-</c:formatCode>
                <c:ptCount val="2"/>
                <c:pt idx="1">
                  <c:v>0</c:v>
                </c:pt>
              </c:numCache>
            </c:numRef>
          </c:val>
          <c:extLst>
            <c:ext xmlns:c16="http://schemas.microsoft.com/office/drawing/2014/chart" uri="{C3380CC4-5D6E-409C-BE32-E72D297353CC}">
              <c16:uniqueId val="{00000007-E59F-4114-A926-28C7312DFCC4}"/>
            </c:ext>
          </c:extLst>
        </c:ser>
        <c:dLbls>
          <c:showLegendKey val="0"/>
          <c:showVal val="0"/>
          <c:showCatName val="0"/>
          <c:showSerName val="0"/>
          <c:showPercent val="0"/>
          <c:showBubbleSize val="0"/>
        </c:dLbls>
        <c:gapWidth val="25"/>
        <c:overlap val="100"/>
        <c:axId val="1399599439"/>
        <c:axId val="1"/>
      </c:barChart>
      <c:catAx>
        <c:axId val="1399599439"/>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0" vert="horz"/>
          <a:lstStyle/>
          <a:p>
            <a:pPr>
              <a:defRPr sz="1100" b="0" i="0" u="none" strike="noStrike" baseline="0">
                <a:solidFill>
                  <a:srgbClr val="000000"/>
                </a:solidFill>
                <a:latin typeface="Calibri"/>
                <a:ea typeface="Calibri"/>
                <a:cs typeface="Calibri"/>
              </a:defRPr>
            </a:pPr>
            <a:endParaRPr lang="en-US"/>
          </a:p>
        </c:txPr>
        <c:crossAx val="1"/>
        <c:crosses val="autoZero"/>
        <c:auto val="1"/>
        <c:lblAlgn val="ctr"/>
        <c:lblOffset val="100"/>
        <c:noMultiLvlLbl val="0"/>
      </c:catAx>
      <c:valAx>
        <c:axId val="1"/>
        <c:scaling>
          <c:orientation val="minMax"/>
        </c:scaling>
        <c:delete val="1"/>
        <c:axPos val="l"/>
        <c:majorGridlines>
          <c:spPr>
            <a:ln w="9525" cap="flat" cmpd="sng" algn="ctr">
              <a:solidFill>
                <a:schemeClr val="tx1">
                  <a:lumMod val="15000"/>
                  <a:lumOff val="85000"/>
                </a:schemeClr>
              </a:solidFill>
              <a:round/>
            </a:ln>
            <a:effectLst/>
          </c:spPr>
        </c:majorGridlines>
        <c:numFmt formatCode="_-* #\ ##0_-;\-* #\ ##0_-;_-* &quot;-&quot;??_-;_-@_-" sourceLinked="1"/>
        <c:majorTickMark val="out"/>
        <c:minorTickMark val="none"/>
        <c:tickLblPos val="nextTo"/>
        <c:crossAx val="1399599439"/>
        <c:crosses val="autoZero"/>
        <c:crossBetween val="between"/>
      </c:valAx>
    </c:plotArea>
    <c:legend>
      <c:legendPos val="r"/>
      <c:layout>
        <c:manualLayout>
          <c:xMode val="edge"/>
          <c:yMode val="edge"/>
          <c:x val="0.63060873861355571"/>
          <c:y val="0.19876461094537096"/>
          <c:w val="0.34824665740311866"/>
          <c:h val="0.70809931367274737"/>
        </c:manualLayout>
      </c:layout>
      <c:overlay val="0"/>
      <c:spPr>
        <a:noFill/>
        <a:ln w="25400">
          <a:noFill/>
        </a:ln>
      </c:spPr>
      <c:txPr>
        <a:bodyPr/>
        <a:lstStyle/>
        <a:p>
          <a:pPr>
            <a:defRPr sz="850" b="0" i="0" u="none" strike="noStrike" baseline="0">
              <a:solidFill>
                <a:srgbClr val="000000"/>
              </a:solidFill>
              <a:latin typeface="Calibri"/>
              <a:ea typeface="Calibri"/>
              <a:cs typeface="Calibri"/>
            </a:defRPr>
          </a:pPr>
          <a:endParaRPr lang="en-US"/>
        </a:p>
      </c:txPr>
    </c:legend>
    <c:plotVisOnly val="1"/>
    <c:dispBlanksAs val="gap"/>
    <c:showDLblsOverMax val="0"/>
  </c:chart>
  <c:spPr>
    <a:solidFill>
      <a:schemeClr val="bg1"/>
    </a:solidFill>
    <a:ln w="9525" cap="flat" cmpd="sng" algn="ctr">
      <a:noFill/>
      <a:round/>
    </a:ln>
    <a:effectLst/>
  </c:spPr>
  <c:txPr>
    <a:bodyPr/>
    <a:lstStyle/>
    <a:p>
      <a:pPr>
        <a:defRPr sz="1100" b="0" i="0" u="none" strike="noStrike" baseline="0">
          <a:solidFill>
            <a:srgbClr val="000000"/>
          </a:solidFill>
          <a:latin typeface="Calibri"/>
          <a:ea typeface="Calibri"/>
          <a:cs typeface="Calibri"/>
        </a:defRPr>
      </a:pPr>
      <a:endParaRPr lang="en-US"/>
    </a:p>
  </c:txPr>
  <c:printSettings>
    <c:headerFooter/>
    <c:pageMargins b="0.75" l="0.7" r="0.7" t="0.75" header="0.3" footer="0.3"/>
    <c:pageSetup orientation="portrait"/>
  </c:printSettings>
</c:chartSpace>
</file>

<file path=xl/charts/chart12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ser>
          <c:idx val="0"/>
          <c:order val="0"/>
          <c:tx>
            <c:strRef>
              <c:f>'Sanitation report'!$K$913</c:f>
              <c:strCache>
                <c:ptCount val="1"/>
                <c:pt idx="0">
                  <c:v>Tariff </c:v>
                </c:pt>
              </c:strCache>
            </c:strRef>
          </c:tx>
          <c:spPr>
            <a:solidFill>
              <a:srgbClr val="4472C4"/>
            </a:solidFill>
            <a:ln w="25400">
              <a:noFill/>
            </a:ln>
          </c:spPr>
          <c:invertIfNegative val="0"/>
          <c:dLbls>
            <c:spPr>
              <a:noFill/>
              <a:ln w="25400">
                <a:noFill/>
              </a:ln>
            </c:spPr>
            <c:txPr>
              <a:bodyPr wrap="square" lIns="38100" tIns="19050" rIns="38100" bIns="19050" anchor="ctr">
                <a:spAutoFit/>
              </a:bodyPr>
              <a:lstStyle/>
              <a:p>
                <a:pPr>
                  <a:defRPr sz="900" b="0" i="0" u="none" strike="noStrike" baseline="0">
                    <a:solidFill>
                      <a:srgbClr val="333333"/>
                    </a:solidFill>
                    <a:latin typeface="Calibri"/>
                    <a:ea typeface="Calibri"/>
                    <a:cs typeface="Calibri"/>
                  </a:defRPr>
                </a:pPr>
                <a:endParaRPr lang="en-US"/>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'Sanitation report'!$J$914:$J$923</c:f>
              <c:strCache>
                <c:ptCount val="10"/>
                <c:pt idx="0">
                  <c:v>0</c:v>
                </c:pt>
                <c:pt idx="1">
                  <c:v>0</c:v>
                </c:pt>
                <c:pt idx="2">
                  <c:v>0</c:v>
                </c:pt>
                <c:pt idx="3">
                  <c:v>0</c:v>
                </c:pt>
                <c:pt idx="4">
                  <c:v>0</c:v>
                </c:pt>
                <c:pt idx="5">
                  <c:v>0</c:v>
                </c:pt>
                <c:pt idx="6">
                  <c:v>0</c:v>
                </c:pt>
                <c:pt idx="7">
                  <c:v>0</c:v>
                </c:pt>
                <c:pt idx="8">
                  <c:v>0</c:v>
                </c:pt>
                <c:pt idx="9">
                  <c:v>More</c:v>
                </c:pt>
              </c:strCache>
            </c:strRef>
          </c:cat>
          <c:val>
            <c:numRef>
              <c:f>'Sanitation report'!$K$914:$K$923</c:f>
              <c:numCache>
                <c:formatCode>_(* #,##0.00_);_(* \(#,##0.00\);_(* "-"??_);_(@_)</c:formatCode>
                <c:ptCount val="10"/>
                <c:pt idx="0">
                  <c:v>0</c:v>
                </c:pt>
                <c:pt idx="1">
                  <c:v>0</c:v>
                </c:pt>
                <c:pt idx="2">
                  <c:v>0</c:v>
                </c:pt>
                <c:pt idx="3">
                  <c:v>0</c:v>
                </c:pt>
                <c:pt idx="4">
                  <c:v>0</c:v>
                </c:pt>
                <c:pt idx="5">
                  <c:v>0</c:v>
                </c:pt>
                <c:pt idx="6">
                  <c:v>0</c:v>
                </c:pt>
                <c:pt idx="7">
                  <c:v>0</c:v>
                </c:pt>
                <c:pt idx="8">
                  <c:v>0</c:v>
                </c:pt>
                <c:pt idx="9">
                  <c:v>0</c:v>
                </c:pt>
              </c:numCache>
            </c:numRef>
          </c:val>
          <c:extLst>
            <c:ext xmlns:c16="http://schemas.microsoft.com/office/drawing/2014/chart" uri="{C3380CC4-5D6E-409C-BE32-E72D297353CC}">
              <c16:uniqueId val="{00000000-D96C-4C71-BD35-0A19AF8F0C76}"/>
            </c:ext>
          </c:extLst>
        </c:ser>
        <c:dLbls>
          <c:showLegendKey val="0"/>
          <c:showVal val="0"/>
          <c:showCatName val="0"/>
          <c:showSerName val="0"/>
          <c:showPercent val="0"/>
          <c:showBubbleSize val="0"/>
        </c:dLbls>
        <c:gapWidth val="50"/>
        <c:axId val="1399584559"/>
        <c:axId val="1"/>
      </c:barChart>
      <c:lineChart>
        <c:grouping val="standard"/>
        <c:varyColors val="0"/>
        <c:ser>
          <c:idx val="1"/>
          <c:order val="1"/>
          <c:tx>
            <c:strRef>
              <c:f>'Sanitation report'!$L$913</c:f>
              <c:strCache>
                <c:ptCount val="1"/>
                <c:pt idx="0">
                  <c:v>Total cost per kl </c:v>
                </c:pt>
              </c:strCache>
            </c:strRef>
          </c:tx>
          <c:spPr>
            <a:ln w="28575" cap="rnd">
              <a:solidFill>
                <a:schemeClr val="accent2"/>
              </a:solidFill>
              <a:round/>
            </a:ln>
            <a:effectLst/>
          </c:spPr>
          <c:marker>
            <c:symbol val="none"/>
          </c:marker>
          <c:cat>
            <c:strRef>
              <c:f>'Sanitation report'!$J$914:$J$923</c:f>
              <c:strCache>
                <c:ptCount val="10"/>
                <c:pt idx="0">
                  <c:v>0</c:v>
                </c:pt>
                <c:pt idx="1">
                  <c:v>0</c:v>
                </c:pt>
                <c:pt idx="2">
                  <c:v>0</c:v>
                </c:pt>
                <c:pt idx="3">
                  <c:v>0</c:v>
                </c:pt>
                <c:pt idx="4">
                  <c:v>0</c:v>
                </c:pt>
                <c:pt idx="5">
                  <c:v>0</c:v>
                </c:pt>
                <c:pt idx="6">
                  <c:v>0</c:v>
                </c:pt>
                <c:pt idx="7">
                  <c:v>0</c:v>
                </c:pt>
                <c:pt idx="8">
                  <c:v>0</c:v>
                </c:pt>
                <c:pt idx="9">
                  <c:v>More</c:v>
                </c:pt>
              </c:strCache>
            </c:strRef>
          </c:cat>
          <c:val>
            <c:numRef>
              <c:f>'Sanitation report'!$L$914:$L$923</c:f>
              <c:numCache>
                <c:formatCode>_(* #,##0.00_);_(* \(#,##0.00\);_(* "-"??_);_(@_)</c:formatCode>
                <c:ptCount val="10"/>
                <c:pt idx="0">
                  <c:v>0</c:v>
                </c:pt>
                <c:pt idx="1">
                  <c:v>0</c:v>
                </c:pt>
                <c:pt idx="2">
                  <c:v>0</c:v>
                </c:pt>
                <c:pt idx="3">
                  <c:v>0</c:v>
                </c:pt>
                <c:pt idx="4">
                  <c:v>0</c:v>
                </c:pt>
                <c:pt idx="5">
                  <c:v>0</c:v>
                </c:pt>
                <c:pt idx="6">
                  <c:v>0</c:v>
                </c:pt>
                <c:pt idx="7">
                  <c:v>0</c:v>
                </c:pt>
                <c:pt idx="8">
                  <c:v>0</c:v>
                </c:pt>
                <c:pt idx="9">
                  <c:v>0</c:v>
                </c:pt>
              </c:numCache>
            </c:numRef>
          </c:val>
          <c:smooth val="0"/>
          <c:extLst>
            <c:ext xmlns:c16="http://schemas.microsoft.com/office/drawing/2014/chart" uri="{C3380CC4-5D6E-409C-BE32-E72D297353CC}">
              <c16:uniqueId val="{00000001-D96C-4C71-BD35-0A19AF8F0C76}"/>
            </c:ext>
          </c:extLst>
        </c:ser>
        <c:ser>
          <c:idx val="2"/>
          <c:order val="2"/>
          <c:tx>
            <c:strRef>
              <c:f>'Sanitation report'!$M$913</c:f>
              <c:strCache>
                <c:ptCount val="1"/>
                <c:pt idx="0">
                  <c:v>Variable cost per kl treated</c:v>
                </c:pt>
              </c:strCache>
            </c:strRef>
          </c:tx>
          <c:spPr>
            <a:ln w="28575" cap="rnd">
              <a:solidFill>
                <a:schemeClr val="accent3"/>
              </a:solidFill>
              <a:round/>
            </a:ln>
            <a:effectLst/>
          </c:spPr>
          <c:marker>
            <c:symbol val="none"/>
          </c:marker>
          <c:cat>
            <c:strRef>
              <c:f>'Sanitation report'!$J$914:$J$923</c:f>
              <c:strCache>
                <c:ptCount val="10"/>
                <c:pt idx="0">
                  <c:v>0</c:v>
                </c:pt>
                <c:pt idx="1">
                  <c:v>0</c:v>
                </c:pt>
                <c:pt idx="2">
                  <c:v>0</c:v>
                </c:pt>
                <c:pt idx="3">
                  <c:v>0</c:v>
                </c:pt>
                <c:pt idx="4">
                  <c:v>0</c:v>
                </c:pt>
                <c:pt idx="5">
                  <c:v>0</c:v>
                </c:pt>
                <c:pt idx="6">
                  <c:v>0</c:v>
                </c:pt>
                <c:pt idx="7">
                  <c:v>0</c:v>
                </c:pt>
                <c:pt idx="8">
                  <c:v>0</c:v>
                </c:pt>
                <c:pt idx="9">
                  <c:v>More</c:v>
                </c:pt>
              </c:strCache>
            </c:strRef>
          </c:cat>
          <c:val>
            <c:numRef>
              <c:f>'Sanitation report'!$M$914:$M$923</c:f>
              <c:numCache>
                <c:formatCode>_(* #,##0.00_);_(* \(#,##0.00\);_(* "-"??_);_(@_)</c:formatCode>
                <c:ptCount val="10"/>
                <c:pt idx="0">
                  <c:v>0</c:v>
                </c:pt>
                <c:pt idx="1">
                  <c:v>0</c:v>
                </c:pt>
                <c:pt idx="2">
                  <c:v>0</c:v>
                </c:pt>
                <c:pt idx="3">
                  <c:v>0</c:v>
                </c:pt>
                <c:pt idx="4">
                  <c:v>0</c:v>
                </c:pt>
                <c:pt idx="5">
                  <c:v>0</c:v>
                </c:pt>
                <c:pt idx="6">
                  <c:v>0</c:v>
                </c:pt>
                <c:pt idx="7">
                  <c:v>0</c:v>
                </c:pt>
                <c:pt idx="8">
                  <c:v>0</c:v>
                </c:pt>
                <c:pt idx="9">
                  <c:v>0</c:v>
                </c:pt>
              </c:numCache>
            </c:numRef>
          </c:val>
          <c:smooth val="0"/>
          <c:extLst>
            <c:ext xmlns:c16="http://schemas.microsoft.com/office/drawing/2014/chart" uri="{C3380CC4-5D6E-409C-BE32-E72D297353CC}">
              <c16:uniqueId val="{00000002-D96C-4C71-BD35-0A19AF8F0C76}"/>
            </c:ext>
          </c:extLst>
        </c:ser>
        <c:dLbls>
          <c:showLegendKey val="0"/>
          <c:showVal val="0"/>
          <c:showCatName val="0"/>
          <c:showSerName val="0"/>
          <c:showPercent val="0"/>
          <c:showBubbleSize val="0"/>
        </c:dLbls>
        <c:marker val="1"/>
        <c:smooth val="0"/>
        <c:axId val="1399584559"/>
        <c:axId val="1"/>
      </c:lineChart>
      <c:catAx>
        <c:axId val="1399584559"/>
        <c:scaling>
          <c:orientation val="minMax"/>
        </c:scaling>
        <c:delete val="0"/>
        <c:axPos val="b"/>
        <c:title>
          <c:tx>
            <c:rich>
              <a:bodyPr/>
              <a:lstStyle/>
              <a:p>
                <a:pPr>
                  <a:defRPr sz="1000" b="0" i="0" u="none" strike="noStrike" baseline="0">
                    <a:solidFill>
                      <a:srgbClr val="333333"/>
                    </a:solidFill>
                    <a:latin typeface="Calibri"/>
                    <a:ea typeface="Calibri"/>
                    <a:cs typeface="Calibri"/>
                  </a:defRPr>
                </a:pPr>
                <a:r>
                  <a:rPr lang="en-ZA"/>
                  <a:t>Block size</a:t>
                </a:r>
              </a:p>
            </c:rich>
          </c:tx>
          <c:overlay val="0"/>
          <c:spPr>
            <a:noFill/>
            <a:ln w="25400">
              <a:noFill/>
            </a:ln>
          </c:spPr>
        </c:title>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0" vert="horz"/>
          <a:lstStyle/>
          <a:p>
            <a:pPr>
              <a:defRPr sz="900" b="0" i="0" u="none" strike="noStrike" baseline="0">
                <a:solidFill>
                  <a:srgbClr val="333333"/>
                </a:solidFill>
                <a:latin typeface="Calibri"/>
                <a:ea typeface="Calibri"/>
                <a:cs typeface="Calibri"/>
              </a:defRPr>
            </a:pPr>
            <a:endParaRPr lang="en-US"/>
          </a:p>
        </c:txPr>
        <c:crossAx val="1"/>
        <c:crosses val="autoZero"/>
        <c:auto val="1"/>
        <c:lblAlgn val="ctr"/>
        <c:lblOffset val="100"/>
        <c:noMultiLvlLbl val="0"/>
      </c:catAx>
      <c:valAx>
        <c:axId val="1"/>
        <c:scaling>
          <c:orientation val="minMax"/>
        </c:scaling>
        <c:delete val="0"/>
        <c:axPos val="l"/>
        <c:majorGridlines>
          <c:spPr>
            <a:ln w="9525" cap="flat" cmpd="sng" algn="ctr">
              <a:solidFill>
                <a:schemeClr val="tx1">
                  <a:lumMod val="15000"/>
                  <a:lumOff val="85000"/>
                </a:schemeClr>
              </a:solidFill>
              <a:round/>
            </a:ln>
            <a:effectLst/>
          </c:spPr>
        </c:majorGridlines>
        <c:title>
          <c:tx>
            <c:rich>
              <a:bodyPr/>
              <a:lstStyle/>
              <a:p>
                <a:pPr>
                  <a:defRPr sz="1000" b="0" i="0" u="none" strike="noStrike" baseline="0">
                    <a:solidFill>
                      <a:srgbClr val="333333"/>
                    </a:solidFill>
                    <a:latin typeface="Calibri"/>
                    <a:ea typeface="Calibri"/>
                    <a:cs typeface="Calibri"/>
                  </a:defRPr>
                </a:pPr>
                <a:r>
                  <a:rPr lang="en-ZA"/>
                  <a:t>R/kl</a:t>
                </a:r>
              </a:p>
            </c:rich>
          </c:tx>
          <c:overlay val="0"/>
          <c:spPr>
            <a:noFill/>
            <a:ln w="25400">
              <a:noFill/>
            </a:ln>
          </c:spPr>
        </c:title>
        <c:numFmt formatCode="_(* #,##0.00_);_(* \(#,##0.00\);_(* &quot;-&quot;??_);_(@_)" sourceLinked="1"/>
        <c:majorTickMark val="none"/>
        <c:minorTickMark val="none"/>
        <c:tickLblPos val="nextTo"/>
        <c:spPr>
          <a:ln w="6350">
            <a:noFill/>
          </a:ln>
        </c:spPr>
        <c:txPr>
          <a:bodyPr rot="0" vert="horz"/>
          <a:lstStyle/>
          <a:p>
            <a:pPr>
              <a:defRPr sz="900" b="0" i="0" u="none" strike="noStrike" baseline="0">
                <a:solidFill>
                  <a:srgbClr val="333333"/>
                </a:solidFill>
                <a:latin typeface="Calibri"/>
                <a:ea typeface="Calibri"/>
                <a:cs typeface="Calibri"/>
              </a:defRPr>
            </a:pPr>
            <a:endParaRPr lang="en-US"/>
          </a:p>
        </c:txPr>
        <c:crossAx val="1399584559"/>
        <c:crosses val="autoZero"/>
        <c:crossBetween val="between"/>
      </c:valAx>
    </c:plotArea>
    <c:legend>
      <c:legendPos val="r"/>
      <c:layout>
        <c:manualLayout>
          <c:xMode val="edge"/>
          <c:yMode val="edge"/>
          <c:x val="0.12362011021685021"/>
          <c:y val="0.92994800178279602"/>
          <c:w val="0.74541089190419463"/>
          <c:h val="5.930117225912801E-2"/>
        </c:manualLayout>
      </c:layout>
      <c:overlay val="0"/>
      <c:spPr>
        <a:noFill/>
        <a:ln w="25400">
          <a:noFill/>
        </a:ln>
      </c:spPr>
      <c:txPr>
        <a:bodyPr/>
        <a:lstStyle/>
        <a:p>
          <a:pPr>
            <a:defRPr sz="690" b="0" i="0" u="none" strike="noStrike" baseline="0">
              <a:solidFill>
                <a:srgbClr val="333333"/>
              </a:solidFill>
              <a:latin typeface="Calibri"/>
              <a:ea typeface="Calibri"/>
              <a:cs typeface="Calibri"/>
            </a:defRPr>
          </a:pPr>
          <a:endParaRPr lang="en-US"/>
        </a:p>
      </c:txPr>
    </c:legend>
    <c:plotVisOnly val="1"/>
    <c:dispBlanksAs val="gap"/>
    <c:showDLblsOverMax val="0"/>
  </c:chart>
  <c:spPr>
    <a:solidFill>
      <a:schemeClr val="bg1"/>
    </a:solidFill>
    <a:ln w="9525" cap="flat" cmpd="sng" algn="ctr">
      <a:noFill/>
      <a:round/>
    </a:ln>
    <a:effectLst/>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charts/chart13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2.3871527777777776E-2"/>
          <c:y val="4.7786414907172239E-2"/>
          <c:w val="0.57559123468941387"/>
          <c:h val="0.83529592857692603"/>
        </c:manualLayout>
      </c:layout>
      <c:barChart>
        <c:barDir val="col"/>
        <c:grouping val="stacked"/>
        <c:varyColors val="0"/>
        <c:ser>
          <c:idx val="0"/>
          <c:order val="0"/>
          <c:tx>
            <c:strRef>
              <c:f>'Sanitation report'!$I$958</c:f>
              <c:strCache>
                <c:ptCount val="1"/>
                <c:pt idx="0">
                  <c:v>Fixed cost</c:v>
                </c:pt>
              </c:strCache>
            </c:strRef>
          </c:tx>
          <c:spPr>
            <a:solidFill>
              <a:srgbClr val="4472C4"/>
            </a:solidFill>
            <a:ln w="25400">
              <a:noFill/>
            </a:ln>
          </c:spPr>
          <c:invertIfNegative val="0"/>
          <c:dPt>
            <c:idx val="0"/>
            <c:invertIfNegative val="0"/>
            <c:bubble3D val="0"/>
            <c:spPr>
              <a:solidFill>
                <a:srgbClr val="5B9BD5"/>
              </a:solidFill>
              <a:ln w="25400">
                <a:noFill/>
              </a:ln>
            </c:spPr>
            <c:extLst>
              <c:ext xmlns:c16="http://schemas.microsoft.com/office/drawing/2014/chart" uri="{C3380CC4-5D6E-409C-BE32-E72D297353CC}">
                <c16:uniqueId val="{00000000-B9DE-48DB-9B10-A62DE01C5652}"/>
              </c:ext>
            </c:extLst>
          </c:dPt>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'Sanitation report'!$J$957:$K$957</c:f>
              <c:strCache>
                <c:ptCount val="2"/>
                <c:pt idx="0">
                  <c:v>Expenditure R'000</c:v>
                </c:pt>
                <c:pt idx="1">
                  <c:v>Revenue R'000</c:v>
                </c:pt>
              </c:strCache>
            </c:strRef>
          </c:cat>
          <c:val>
            <c:numRef>
              <c:f>'Sanitation report'!$J$958:$K$958</c:f>
              <c:numCache>
                <c:formatCode>General</c:formatCode>
                <c:ptCount val="2"/>
                <c:pt idx="0" formatCode="_-* #\ ##0_-;\-* #\ ##0_-;_-* &quot;-&quot;??_-;_-@_-">
                  <c:v>0</c:v>
                </c:pt>
              </c:numCache>
            </c:numRef>
          </c:val>
          <c:extLst>
            <c:ext xmlns:c16="http://schemas.microsoft.com/office/drawing/2014/chart" uri="{C3380CC4-5D6E-409C-BE32-E72D297353CC}">
              <c16:uniqueId val="{00000001-B9DE-48DB-9B10-A62DE01C5652}"/>
            </c:ext>
          </c:extLst>
        </c:ser>
        <c:ser>
          <c:idx val="1"/>
          <c:order val="1"/>
          <c:tx>
            <c:strRef>
              <c:f>'Sanitation report'!$I$959</c:f>
              <c:strCache>
                <c:ptCount val="1"/>
                <c:pt idx="0">
                  <c:v>Variable cost</c:v>
                </c:pt>
              </c:strCache>
            </c:strRef>
          </c:tx>
          <c:spPr>
            <a:solidFill>
              <a:schemeClr val="accent5">
                <a:lumMod val="60000"/>
                <a:lumOff val="40000"/>
              </a:schemeClr>
            </a:solidFill>
            <a:ln>
              <a:noFill/>
            </a:ln>
            <a:effectLst/>
          </c:spPr>
          <c:invertIfNegative val="0"/>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'Sanitation report'!$J$957:$K$957</c:f>
              <c:strCache>
                <c:ptCount val="2"/>
                <c:pt idx="0">
                  <c:v>Expenditure R'000</c:v>
                </c:pt>
                <c:pt idx="1">
                  <c:v>Revenue R'000</c:v>
                </c:pt>
              </c:strCache>
            </c:strRef>
          </c:cat>
          <c:val>
            <c:numRef>
              <c:f>'Sanitation report'!$J$959:$K$959</c:f>
              <c:numCache>
                <c:formatCode>General</c:formatCode>
                <c:ptCount val="2"/>
                <c:pt idx="0" formatCode="_-* #\ ##0_-;\-* #\ ##0_-;_-* &quot;-&quot;??_-;_-@_-">
                  <c:v>0</c:v>
                </c:pt>
              </c:numCache>
            </c:numRef>
          </c:val>
          <c:extLst>
            <c:ext xmlns:c16="http://schemas.microsoft.com/office/drawing/2014/chart" uri="{C3380CC4-5D6E-409C-BE32-E72D297353CC}">
              <c16:uniqueId val="{00000002-B9DE-48DB-9B10-A62DE01C5652}"/>
            </c:ext>
          </c:extLst>
        </c:ser>
        <c:ser>
          <c:idx val="2"/>
          <c:order val="2"/>
          <c:tx>
            <c:strRef>
              <c:f>'Sanitation report'!$I$960</c:f>
              <c:strCache>
                <c:ptCount val="1"/>
                <c:pt idx="0">
                  <c:v>Surplus</c:v>
                </c:pt>
              </c:strCache>
            </c:strRef>
          </c:tx>
          <c:spPr>
            <a:solidFill>
              <a:srgbClr val="A5A5A5"/>
            </a:solidFill>
            <a:ln w="25400">
              <a:noFill/>
            </a:ln>
          </c:spPr>
          <c:invertIfNegative val="0"/>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'Sanitation report'!$J$957:$K$957</c:f>
              <c:strCache>
                <c:ptCount val="2"/>
                <c:pt idx="0">
                  <c:v>Expenditure R'000</c:v>
                </c:pt>
                <c:pt idx="1">
                  <c:v>Revenue R'000</c:v>
                </c:pt>
              </c:strCache>
            </c:strRef>
          </c:cat>
          <c:val>
            <c:numRef>
              <c:f>'Sanitation report'!$J$960:$K$960</c:f>
              <c:numCache>
                <c:formatCode>General</c:formatCode>
                <c:ptCount val="2"/>
                <c:pt idx="0" formatCode="_-* #\ ##0_-;\-* #\ ##0_-;_-* &quot;-&quot;??_-;_-@_-">
                  <c:v>0</c:v>
                </c:pt>
              </c:numCache>
            </c:numRef>
          </c:val>
          <c:extLst>
            <c:ext xmlns:c16="http://schemas.microsoft.com/office/drawing/2014/chart" uri="{C3380CC4-5D6E-409C-BE32-E72D297353CC}">
              <c16:uniqueId val="{00000003-B9DE-48DB-9B10-A62DE01C5652}"/>
            </c:ext>
          </c:extLst>
        </c:ser>
        <c:ser>
          <c:idx val="4"/>
          <c:order val="3"/>
          <c:tx>
            <c:strRef>
              <c:f>'Sanitation report'!$I$961</c:f>
              <c:strCache>
                <c:ptCount val="1"/>
                <c:pt idx="0">
                  <c:v>Tariff revenue</c:v>
                </c:pt>
              </c:strCache>
            </c:strRef>
          </c:tx>
          <c:spPr>
            <a:solidFill>
              <a:srgbClr val="5B9BD5"/>
            </a:solidFill>
            <a:ln w="25400">
              <a:noFill/>
            </a:ln>
          </c:spPr>
          <c:invertIfNegative val="0"/>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'Sanitation report'!$J$957:$K$957</c:f>
              <c:strCache>
                <c:ptCount val="2"/>
                <c:pt idx="0">
                  <c:v>Expenditure R'000</c:v>
                </c:pt>
                <c:pt idx="1">
                  <c:v>Revenue R'000</c:v>
                </c:pt>
              </c:strCache>
            </c:strRef>
          </c:cat>
          <c:val>
            <c:numRef>
              <c:f>'Sanitation report'!$J$961:$K$961</c:f>
              <c:numCache>
                <c:formatCode>_-* #\ ##0_-;\-* #\ ##0_-;_-* "-"??_-;_-@_-</c:formatCode>
                <c:ptCount val="2"/>
                <c:pt idx="1">
                  <c:v>0</c:v>
                </c:pt>
              </c:numCache>
            </c:numRef>
          </c:val>
          <c:extLst>
            <c:ext xmlns:c16="http://schemas.microsoft.com/office/drawing/2014/chart" uri="{C3380CC4-5D6E-409C-BE32-E72D297353CC}">
              <c16:uniqueId val="{00000004-B9DE-48DB-9B10-A62DE01C5652}"/>
            </c:ext>
          </c:extLst>
        </c:ser>
        <c:ser>
          <c:idx val="5"/>
          <c:order val="4"/>
          <c:tx>
            <c:strRef>
              <c:f>'Sanitation report'!$I$962</c:f>
              <c:strCache>
                <c:ptCount val="1"/>
                <c:pt idx="0">
                  <c:v>External grants &amp; subsidies</c:v>
                </c:pt>
              </c:strCache>
            </c:strRef>
          </c:tx>
          <c:spPr>
            <a:solidFill>
              <a:srgbClr val="A5A5A5"/>
            </a:solidFill>
            <a:ln w="25400">
              <a:noFill/>
            </a:ln>
          </c:spPr>
          <c:invertIfNegative val="0"/>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'Sanitation report'!$J$957:$K$957</c:f>
              <c:strCache>
                <c:ptCount val="2"/>
                <c:pt idx="0">
                  <c:v>Expenditure R'000</c:v>
                </c:pt>
                <c:pt idx="1">
                  <c:v>Revenue R'000</c:v>
                </c:pt>
              </c:strCache>
            </c:strRef>
          </c:cat>
          <c:val>
            <c:numRef>
              <c:f>'Sanitation report'!$J$962:$K$962</c:f>
              <c:numCache>
                <c:formatCode>_-* #\ ##0_-;\-* #\ ##0_-;_-* "-"??_-;_-@_-</c:formatCode>
                <c:ptCount val="2"/>
                <c:pt idx="1">
                  <c:v>0</c:v>
                </c:pt>
              </c:numCache>
            </c:numRef>
          </c:val>
          <c:extLst>
            <c:ext xmlns:c16="http://schemas.microsoft.com/office/drawing/2014/chart" uri="{C3380CC4-5D6E-409C-BE32-E72D297353CC}">
              <c16:uniqueId val="{00000005-B9DE-48DB-9B10-A62DE01C5652}"/>
            </c:ext>
          </c:extLst>
        </c:ser>
        <c:ser>
          <c:idx val="3"/>
          <c:order val="5"/>
          <c:tx>
            <c:strRef>
              <c:f>'Sanitation report'!$I$963</c:f>
              <c:strCache>
                <c:ptCount val="1"/>
                <c:pt idx="0">
                  <c:v>Other non-tariff revenue</c:v>
                </c:pt>
              </c:strCache>
            </c:strRef>
          </c:tx>
          <c:spPr>
            <a:solidFill>
              <a:schemeClr val="accent3">
                <a:lumMod val="40000"/>
                <a:lumOff val="60000"/>
              </a:schemeClr>
            </a:solidFill>
            <a:ln>
              <a:noFill/>
            </a:ln>
            <a:effectLst/>
          </c:spPr>
          <c:invertIfNegative val="0"/>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'Sanitation report'!$J$957:$K$957</c:f>
              <c:strCache>
                <c:ptCount val="2"/>
                <c:pt idx="0">
                  <c:v>Expenditure R'000</c:v>
                </c:pt>
                <c:pt idx="1">
                  <c:v>Revenue R'000</c:v>
                </c:pt>
              </c:strCache>
            </c:strRef>
          </c:cat>
          <c:val>
            <c:numRef>
              <c:f>'Sanitation report'!$J$963:$K$963</c:f>
              <c:numCache>
                <c:formatCode>_-* #\ ##0_-;\-* #\ ##0_-;_-* "-"??_-;_-@_-</c:formatCode>
                <c:ptCount val="2"/>
                <c:pt idx="1">
                  <c:v>0</c:v>
                </c:pt>
              </c:numCache>
            </c:numRef>
          </c:val>
          <c:extLst>
            <c:ext xmlns:c16="http://schemas.microsoft.com/office/drawing/2014/chart" uri="{C3380CC4-5D6E-409C-BE32-E72D297353CC}">
              <c16:uniqueId val="{00000006-B9DE-48DB-9B10-A62DE01C5652}"/>
            </c:ext>
          </c:extLst>
        </c:ser>
        <c:ser>
          <c:idx val="6"/>
          <c:order val="6"/>
          <c:tx>
            <c:strRef>
              <c:f>'Sanitation report'!$I$964</c:f>
              <c:strCache>
                <c:ptCount val="1"/>
                <c:pt idx="0">
                  <c:v>Deficit</c:v>
                </c:pt>
              </c:strCache>
            </c:strRef>
          </c:tx>
          <c:spPr>
            <a:solidFill>
              <a:srgbClr val="ED7D31"/>
            </a:solidFill>
            <a:ln w="25400">
              <a:noFill/>
            </a:ln>
          </c:spPr>
          <c:invertIfNegative val="0"/>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'Sanitation report'!$J$957:$K$957</c:f>
              <c:strCache>
                <c:ptCount val="2"/>
                <c:pt idx="0">
                  <c:v>Expenditure R'000</c:v>
                </c:pt>
                <c:pt idx="1">
                  <c:v>Revenue R'000</c:v>
                </c:pt>
              </c:strCache>
            </c:strRef>
          </c:cat>
          <c:val>
            <c:numRef>
              <c:f>'Sanitation report'!$J$964:$K$964</c:f>
              <c:numCache>
                <c:formatCode>_-* #\ ##0_-;\-* #\ ##0_-;_-* "-"??_-;_-@_-</c:formatCode>
                <c:ptCount val="2"/>
                <c:pt idx="1">
                  <c:v>0</c:v>
                </c:pt>
              </c:numCache>
            </c:numRef>
          </c:val>
          <c:extLst>
            <c:ext xmlns:c16="http://schemas.microsoft.com/office/drawing/2014/chart" uri="{C3380CC4-5D6E-409C-BE32-E72D297353CC}">
              <c16:uniqueId val="{00000007-B9DE-48DB-9B10-A62DE01C5652}"/>
            </c:ext>
          </c:extLst>
        </c:ser>
        <c:dLbls>
          <c:showLegendKey val="0"/>
          <c:showVal val="0"/>
          <c:showCatName val="0"/>
          <c:showSerName val="0"/>
          <c:showPercent val="0"/>
          <c:showBubbleSize val="0"/>
        </c:dLbls>
        <c:gapWidth val="25"/>
        <c:overlap val="100"/>
        <c:axId val="1399589359"/>
        <c:axId val="1"/>
      </c:barChart>
      <c:catAx>
        <c:axId val="1399589359"/>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0" vert="horz"/>
          <a:lstStyle/>
          <a:p>
            <a:pPr>
              <a:defRPr sz="1100" b="0" i="0" u="none" strike="noStrike" baseline="0">
                <a:solidFill>
                  <a:srgbClr val="000000"/>
                </a:solidFill>
                <a:latin typeface="Calibri"/>
                <a:ea typeface="Calibri"/>
                <a:cs typeface="Calibri"/>
              </a:defRPr>
            </a:pPr>
            <a:endParaRPr lang="en-US"/>
          </a:p>
        </c:txPr>
        <c:crossAx val="1"/>
        <c:crosses val="autoZero"/>
        <c:auto val="1"/>
        <c:lblAlgn val="ctr"/>
        <c:lblOffset val="100"/>
        <c:noMultiLvlLbl val="0"/>
      </c:catAx>
      <c:valAx>
        <c:axId val="1"/>
        <c:scaling>
          <c:orientation val="minMax"/>
        </c:scaling>
        <c:delete val="1"/>
        <c:axPos val="l"/>
        <c:majorGridlines>
          <c:spPr>
            <a:ln w="9525" cap="flat" cmpd="sng" algn="ctr">
              <a:solidFill>
                <a:schemeClr val="tx1">
                  <a:lumMod val="15000"/>
                  <a:lumOff val="85000"/>
                </a:schemeClr>
              </a:solidFill>
              <a:round/>
            </a:ln>
            <a:effectLst/>
          </c:spPr>
        </c:majorGridlines>
        <c:numFmt formatCode="_-* #\ ##0_-;\-* #\ ##0_-;_-* &quot;-&quot;??_-;_-@_-" sourceLinked="1"/>
        <c:majorTickMark val="out"/>
        <c:minorTickMark val="none"/>
        <c:tickLblPos val="nextTo"/>
        <c:crossAx val="1399589359"/>
        <c:crosses val="autoZero"/>
        <c:crossBetween val="between"/>
      </c:valAx>
    </c:plotArea>
    <c:legend>
      <c:legendPos val="r"/>
      <c:layout>
        <c:manualLayout>
          <c:xMode val="edge"/>
          <c:yMode val="edge"/>
          <c:x val="0.63060873861355571"/>
          <c:y val="0.19876461094537096"/>
          <c:w val="0.34824665740311866"/>
          <c:h val="0.70809931367274737"/>
        </c:manualLayout>
      </c:layout>
      <c:overlay val="0"/>
      <c:spPr>
        <a:noFill/>
        <a:ln w="25400">
          <a:noFill/>
        </a:ln>
      </c:spPr>
      <c:txPr>
        <a:bodyPr/>
        <a:lstStyle/>
        <a:p>
          <a:pPr>
            <a:defRPr sz="850" b="0" i="0" u="none" strike="noStrike" baseline="0">
              <a:solidFill>
                <a:srgbClr val="000000"/>
              </a:solidFill>
              <a:latin typeface="Calibri"/>
              <a:ea typeface="Calibri"/>
              <a:cs typeface="Calibri"/>
            </a:defRPr>
          </a:pPr>
          <a:endParaRPr lang="en-US"/>
        </a:p>
      </c:txPr>
    </c:legend>
    <c:plotVisOnly val="1"/>
    <c:dispBlanksAs val="gap"/>
    <c:showDLblsOverMax val="0"/>
  </c:chart>
  <c:spPr>
    <a:solidFill>
      <a:schemeClr val="bg1"/>
    </a:solidFill>
    <a:ln w="9525" cap="flat" cmpd="sng" algn="ctr">
      <a:noFill/>
      <a:round/>
    </a:ln>
    <a:effectLst/>
  </c:spPr>
  <c:txPr>
    <a:bodyPr/>
    <a:lstStyle/>
    <a:p>
      <a:pPr>
        <a:defRPr sz="1100" b="0" i="0" u="none" strike="noStrike" baseline="0">
          <a:solidFill>
            <a:srgbClr val="000000"/>
          </a:solidFill>
          <a:latin typeface="Calibri"/>
          <a:ea typeface="Calibri"/>
          <a:cs typeface="Calibri"/>
        </a:defRPr>
      </a:pPr>
      <a:endParaRPr lang="en-US"/>
    </a:p>
  </c:txPr>
  <c:printSettings>
    <c:headerFooter/>
    <c:pageMargins b="0.75" l="0.7" r="0.7" t="0.75" header="0.3" footer="0.3"/>
    <c:pageSetup orientation="portrait"/>
  </c:printSettings>
</c:chartSpace>
</file>

<file path=xl/charts/chart13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ser>
          <c:idx val="0"/>
          <c:order val="0"/>
          <c:tx>
            <c:strRef>
              <c:f>'Sanitation report'!$K$981</c:f>
              <c:strCache>
                <c:ptCount val="1"/>
                <c:pt idx="0">
                  <c:v>Tariff </c:v>
                </c:pt>
              </c:strCache>
            </c:strRef>
          </c:tx>
          <c:spPr>
            <a:solidFill>
              <a:srgbClr val="4472C4"/>
            </a:solidFill>
            <a:ln w="25400">
              <a:noFill/>
            </a:ln>
          </c:spPr>
          <c:invertIfNegative val="0"/>
          <c:dLbls>
            <c:spPr>
              <a:noFill/>
              <a:ln w="25400">
                <a:noFill/>
              </a:ln>
            </c:spPr>
            <c:txPr>
              <a:bodyPr wrap="square" lIns="38100" tIns="19050" rIns="38100" bIns="19050" anchor="ctr">
                <a:spAutoFit/>
              </a:bodyPr>
              <a:lstStyle/>
              <a:p>
                <a:pPr>
                  <a:defRPr sz="900" b="0" i="0" u="none" strike="noStrike" baseline="0">
                    <a:solidFill>
                      <a:srgbClr val="333333"/>
                    </a:solidFill>
                    <a:latin typeface="Calibri"/>
                    <a:ea typeface="Calibri"/>
                    <a:cs typeface="Calibri"/>
                  </a:defRPr>
                </a:pPr>
                <a:endParaRPr lang="en-US"/>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'Sanitation report'!$J$982:$J$991</c:f>
              <c:strCache>
                <c:ptCount val="10"/>
                <c:pt idx="0">
                  <c:v>0</c:v>
                </c:pt>
                <c:pt idx="1">
                  <c:v>0</c:v>
                </c:pt>
                <c:pt idx="2">
                  <c:v>0</c:v>
                </c:pt>
                <c:pt idx="3">
                  <c:v>0</c:v>
                </c:pt>
                <c:pt idx="4">
                  <c:v>0</c:v>
                </c:pt>
                <c:pt idx="5">
                  <c:v>0</c:v>
                </c:pt>
                <c:pt idx="6">
                  <c:v>0</c:v>
                </c:pt>
                <c:pt idx="7">
                  <c:v>0</c:v>
                </c:pt>
                <c:pt idx="8">
                  <c:v>0</c:v>
                </c:pt>
                <c:pt idx="9">
                  <c:v>More</c:v>
                </c:pt>
              </c:strCache>
            </c:strRef>
          </c:cat>
          <c:val>
            <c:numRef>
              <c:f>'Sanitation report'!$K$982:$K$991</c:f>
              <c:numCache>
                <c:formatCode>_(* #,##0.00_);_(* \(#,##0.00\);_(* "-"??_);_(@_)</c:formatCode>
                <c:ptCount val="10"/>
                <c:pt idx="0">
                  <c:v>0</c:v>
                </c:pt>
                <c:pt idx="1">
                  <c:v>0</c:v>
                </c:pt>
                <c:pt idx="2">
                  <c:v>0</c:v>
                </c:pt>
                <c:pt idx="3">
                  <c:v>0</c:v>
                </c:pt>
                <c:pt idx="4">
                  <c:v>0</c:v>
                </c:pt>
                <c:pt idx="5">
                  <c:v>0</c:v>
                </c:pt>
                <c:pt idx="6">
                  <c:v>0</c:v>
                </c:pt>
                <c:pt idx="7">
                  <c:v>0</c:v>
                </c:pt>
                <c:pt idx="8">
                  <c:v>0</c:v>
                </c:pt>
                <c:pt idx="9">
                  <c:v>0</c:v>
                </c:pt>
              </c:numCache>
            </c:numRef>
          </c:val>
          <c:extLst>
            <c:ext xmlns:c16="http://schemas.microsoft.com/office/drawing/2014/chart" uri="{C3380CC4-5D6E-409C-BE32-E72D297353CC}">
              <c16:uniqueId val="{00000000-D563-401F-BD10-0EE6EA98AA25}"/>
            </c:ext>
          </c:extLst>
        </c:ser>
        <c:dLbls>
          <c:showLegendKey val="0"/>
          <c:showVal val="0"/>
          <c:showCatName val="0"/>
          <c:showSerName val="0"/>
          <c:showPercent val="0"/>
          <c:showBubbleSize val="0"/>
        </c:dLbls>
        <c:gapWidth val="50"/>
        <c:axId val="1399591279"/>
        <c:axId val="1"/>
      </c:barChart>
      <c:lineChart>
        <c:grouping val="standard"/>
        <c:varyColors val="0"/>
        <c:ser>
          <c:idx val="1"/>
          <c:order val="1"/>
          <c:tx>
            <c:strRef>
              <c:f>'Sanitation report'!$L$981</c:f>
              <c:strCache>
                <c:ptCount val="1"/>
                <c:pt idx="0">
                  <c:v>Total cost per kl </c:v>
                </c:pt>
              </c:strCache>
            </c:strRef>
          </c:tx>
          <c:spPr>
            <a:ln w="28575" cap="rnd">
              <a:solidFill>
                <a:schemeClr val="accent2"/>
              </a:solidFill>
              <a:round/>
            </a:ln>
            <a:effectLst/>
          </c:spPr>
          <c:marker>
            <c:symbol val="none"/>
          </c:marker>
          <c:val>
            <c:numRef>
              <c:f>'Sanitation report'!$L$982:$L$991</c:f>
              <c:numCache>
                <c:formatCode>_(* #,##0.00_);_(* \(#,##0.00\);_(* "-"??_);_(@_)</c:formatCode>
                <c:ptCount val="10"/>
                <c:pt idx="0">
                  <c:v>0</c:v>
                </c:pt>
                <c:pt idx="1">
                  <c:v>0</c:v>
                </c:pt>
                <c:pt idx="2">
                  <c:v>0</c:v>
                </c:pt>
                <c:pt idx="3">
                  <c:v>0</c:v>
                </c:pt>
                <c:pt idx="4">
                  <c:v>0</c:v>
                </c:pt>
                <c:pt idx="5">
                  <c:v>0</c:v>
                </c:pt>
                <c:pt idx="6">
                  <c:v>0</c:v>
                </c:pt>
                <c:pt idx="7">
                  <c:v>0</c:v>
                </c:pt>
                <c:pt idx="8">
                  <c:v>0</c:v>
                </c:pt>
                <c:pt idx="9">
                  <c:v>0</c:v>
                </c:pt>
              </c:numCache>
            </c:numRef>
          </c:val>
          <c:smooth val="0"/>
          <c:extLst>
            <c:ext xmlns:c16="http://schemas.microsoft.com/office/drawing/2014/chart" uri="{C3380CC4-5D6E-409C-BE32-E72D297353CC}">
              <c16:uniqueId val="{00000001-D563-401F-BD10-0EE6EA98AA25}"/>
            </c:ext>
          </c:extLst>
        </c:ser>
        <c:ser>
          <c:idx val="2"/>
          <c:order val="2"/>
          <c:tx>
            <c:strRef>
              <c:f>'Sanitation report'!$M$981</c:f>
              <c:strCache>
                <c:ptCount val="1"/>
                <c:pt idx="0">
                  <c:v>Variable cost per kl treated</c:v>
                </c:pt>
              </c:strCache>
            </c:strRef>
          </c:tx>
          <c:spPr>
            <a:ln w="28575" cap="rnd">
              <a:solidFill>
                <a:schemeClr val="accent3"/>
              </a:solidFill>
              <a:round/>
            </a:ln>
            <a:effectLst/>
          </c:spPr>
          <c:marker>
            <c:symbol val="none"/>
          </c:marker>
          <c:val>
            <c:numRef>
              <c:f>'Sanitation report'!$M$982:$M$991</c:f>
              <c:numCache>
                <c:formatCode>_(* #,##0.00_);_(* \(#,##0.00\);_(* "-"??_);_(@_)</c:formatCode>
                <c:ptCount val="10"/>
                <c:pt idx="0">
                  <c:v>0</c:v>
                </c:pt>
                <c:pt idx="1">
                  <c:v>0</c:v>
                </c:pt>
                <c:pt idx="2">
                  <c:v>0</c:v>
                </c:pt>
                <c:pt idx="3">
                  <c:v>0</c:v>
                </c:pt>
                <c:pt idx="4">
                  <c:v>0</c:v>
                </c:pt>
                <c:pt idx="5">
                  <c:v>0</c:v>
                </c:pt>
                <c:pt idx="6">
                  <c:v>0</c:v>
                </c:pt>
                <c:pt idx="7">
                  <c:v>0</c:v>
                </c:pt>
                <c:pt idx="8">
                  <c:v>0</c:v>
                </c:pt>
                <c:pt idx="9">
                  <c:v>0</c:v>
                </c:pt>
              </c:numCache>
            </c:numRef>
          </c:val>
          <c:smooth val="0"/>
          <c:extLst>
            <c:ext xmlns:c16="http://schemas.microsoft.com/office/drawing/2014/chart" uri="{C3380CC4-5D6E-409C-BE32-E72D297353CC}">
              <c16:uniqueId val="{00000002-D563-401F-BD10-0EE6EA98AA25}"/>
            </c:ext>
          </c:extLst>
        </c:ser>
        <c:dLbls>
          <c:showLegendKey val="0"/>
          <c:showVal val="0"/>
          <c:showCatName val="0"/>
          <c:showSerName val="0"/>
          <c:showPercent val="0"/>
          <c:showBubbleSize val="0"/>
        </c:dLbls>
        <c:marker val="1"/>
        <c:smooth val="0"/>
        <c:axId val="1399591279"/>
        <c:axId val="1"/>
      </c:lineChart>
      <c:catAx>
        <c:axId val="1399591279"/>
        <c:scaling>
          <c:orientation val="minMax"/>
        </c:scaling>
        <c:delete val="0"/>
        <c:axPos val="b"/>
        <c:title>
          <c:tx>
            <c:rich>
              <a:bodyPr/>
              <a:lstStyle/>
              <a:p>
                <a:pPr>
                  <a:defRPr sz="1000" b="0" i="0" u="none" strike="noStrike" baseline="0">
                    <a:solidFill>
                      <a:srgbClr val="333333"/>
                    </a:solidFill>
                    <a:latin typeface="Calibri"/>
                    <a:ea typeface="Calibri"/>
                    <a:cs typeface="Calibri"/>
                  </a:defRPr>
                </a:pPr>
                <a:r>
                  <a:rPr lang="en-ZA"/>
                  <a:t>Block size</a:t>
                </a:r>
              </a:p>
            </c:rich>
          </c:tx>
          <c:overlay val="0"/>
          <c:spPr>
            <a:noFill/>
            <a:ln w="25400">
              <a:noFill/>
            </a:ln>
          </c:spPr>
        </c:title>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0" vert="horz"/>
          <a:lstStyle/>
          <a:p>
            <a:pPr>
              <a:defRPr sz="900" b="0" i="0" u="none" strike="noStrike" baseline="0">
                <a:solidFill>
                  <a:srgbClr val="333333"/>
                </a:solidFill>
                <a:latin typeface="Calibri"/>
                <a:ea typeface="Calibri"/>
                <a:cs typeface="Calibri"/>
              </a:defRPr>
            </a:pPr>
            <a:endParaRPr lang="en-US"/>
          </a:p>
        </c:txPr>
        <c:crossAx val="1"/>
        <c:crosses val="autoZero"/>
        <c:auto val="1"/>
        <c:lblAlgn val="ctr"/>
        <c:lblOffset val="100"/>
        <c:noMultiLvlLbl val="0"/>
      </c:catAx>
      <c:valAx>
        <c:axId val="1"/>
        <c:scaling>
          <c:orientation val="minMax"/>
        </c:scaling>
        <c:delete val="0"/>
        <c:axPos val="l"/>
        <c:majorGridlines>
          <c:spPr>
            <a:ln w="9525" cap="flat" cmpd="sng" algn="ctr">
              <a:solidFill>
                <a:schemeClr val="tx1">
                  <a:lumMod val="15000"/>
                  <a:lumOff val="85000"/>
                </a:schemeClr>
              </a:solidFill>
              <a:round/>
            </a:ln>
            <a:effectLst/>
          </c:spPr>
        </c:majorGridlines>
        <c:title>
          <c:tx>
            <c:rich>
              <a:bodyPr/>
              <a:lstStyle/>
              <a:p>
                <a:pPr>
                  <a:defRPr sz="1000" b="0" i="0" u="none" strike="noStrike" baseline="0">
                    <a:solidFill>
                      <a:srgbClr val="333333"/>
                    </a:solidFill>
                    <a:latin typeface="Calibri"/>
                    <a:ea typeface="Calibri"/>
                    <a:cs typeface="Calibri"/>
                  </a:defRPr>
                </a:pPr>
                <a:r>
                  <a:rPr lang="en-ZA"/>
                  <a:t>R/kl</a:t>
                </a:r>
              </a:p>
            </c:rich>
          </c:tx>
          <c:overlay val="0"/>
          <c:spPr>
            <a:noFill/>
            <a:ln w="25400">
              <a:noFill/>
            </a:ln>
          </c:spPr>
        </c:title>
        <c:numFmt formatCode="_(* #,##0.00_);_(* \(#,##0.00\);_(* &quot;-&quot;??_);_(@_)" sourceLinked="1"/>
        <c:majorTickMark val="none"/>
        <c:minorTickMark val="none"/>
        <c:tickLblPos val="nextTo"/>
        <c:spPr>
          <a:ln w="6350">
            <a:noFill/>
          </a:ln>
        </c:spPr>
        <c:txPr>
          <a:bodyPr rot="0" vert="horz"/>
          <a:lstStyle/>
          <a:p>
            <a:pPr>
              <a:defRPr sz="900" b="0" i="0" u="none" strike="noStrike" baseline="0">
                <a:solidFill>
                  <a:srgbClr val="333333"/>
                </a:solidFill>
                <a:latin typeface="Calibri"/>
                <a:ea typeface="Calibri"/>
                <a:cs typeface="Calibri"/>
              </a:defRPr>
            </a:pPr>
            <a:endParaRPr lang="en-US"/>
          </a:p>
        </c:txPr>
        <c:crossAx val="1399591279"/>
        <c:crosses val="autoZero"/>
        <c:crossBetween val="between"/>
      </c:valAx>
    </c:plotArea>
    <c:legend>
      <c:legendPos val="r"/>
      <c:layout>
        <c:manualLayout>
          <c:xMode val="edge"/>
          <c:yMode val="edge"/>
          <c:x val="0.12362011021685021"/>
          <c:y val="0.92994800178279602"/>
          <c:w val="0.74541089190419463"/>
          <c:h val="5.930117225912801E-2"/>
        </c:manualLayout>
      </c:layout>
      <c:overlay val="0"/>
      <c:spPr>
        <a:noFill/>
        <a:ln w="25400">
          <a:noFill/>
        </a:ln>
      </c:spPr>
      <c:txPr>
        <a:bodyPr/>
        <a:lstStyle/>
        <a:p>
          <a:pPr>
            <a:defRPr sz="690" b="0" i="0" u="none" strike="noStrike" baseline="0">
              <a:solidFill>
                <a:srgbClr val="333333"/>
              </a:solidFill>
              <a:latin typeface="Calibri"/>
              <a:ea typeface="Calibri"/>
              <a:cs typeface="Calibri"/>
            </a:defRPr>
          </a:pPr>
          <a:endParaRPr lang="en-US"/>
        </a:p>
      </c:txPr>
    </c:legend>
    <c:plotVisOnly val="1"/>
    <c:dispBlanksAs val="gap"/>
    <c:showDLblsOverMax val="0"/>
  </c:chart>
  <c:spPr>
    <a:solidFill>
      <a:schemeClr val="bg1"/>
    </a:solidFill>
    <a:ln w="9525" cap="flat" cmpd="sng" algn="ctr">
      <a:noFill/>
      <a:round/>
    </a:ln>
    <a:effectLst/>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charts/chart13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2.3871527777777776E-2"/>
          <c:y val="4.7786414907172239E-2"/>
          <c:w val="0.57559123468941387"/>
          <c:h val="0.83529592857692603"/>
        </c:manualLayout>
      </c:layout>
      <c:barChart>
        <c:barDir val="col"/>
        <c:grouping val="stacked"/>
        <c:varyColors val="0"/>
        <c:ser>
          <c:idx val="0"/>
          <c:order val="0"/>
          <c:tx>
            <c:strRef>
              <c:f>'Sanitation report'!$I$1026</c:f>
              <c:strCache>
                <c:ptCount val="1"/>
                <c:pt idx="0">
                  <c:v>Fixed cost</c:v>
                </c:pt>
              </c:strCache>
            </c:strRef>
          </c:tx>
          <c:spPr>
            <a:solidFill>
              <a:srgbClr val="4472C4"/>
            </a:solidFill>
            <a:ln w="25400">
              <a:noFill/>
            </a:ln>
          </c:spPr>
          <c:invertIfNegative val="0"/>
          <c:dPt>
            <c:idx val="0"/>
            <c:invertIfNegative val="0"/>
            <c:bubble3D val="0"/>
            <c:spPr>
              <a:solidFill>
                <a:srgbClr val="5B9BD5"/>
              </a:solidFill>
              <a:ln w="25400">
                <a:noFill/>
              </a:ln>
            </c:spPr>
            <c:extLst>
              <c:ext xmlns:c16="http://schemas.microsoft.com/office/drawing/2014/chart" uri="{C3380CC4-5D6E-409C-BE32-E72D297353CC}">
                <c16:uniqueId val="{00000000-61BA-41C6-B18D-F4CE799AE12F}"/>
              </c:ext>
            </c:extLst>
          </c:dPt>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'Sanitation report'!$J$1025:$K$1025</c:f>
              <c:strCache>
                <c:ptCount val="2"/>
                <c:pt idx="0">
                  <c:v>Expenditure R'000</c:v>
                </c:pt>
                <c:pt idx="1">
                  <c:v>Revenue R'000</c:v>
                </c:pt>
              </c:strCache>
            </c:strRef>
          </c:cat>
          <c:val>
            <c:numRef>
              <c:f>'Sanitation report'!$J$1026:$K$1026</c:f>
              <c:numCache>
                <c:formatCode>General</c:formatCode>
                <c:ptCount val="2"/>
                <c:pt idx="0" formatCode="_-* #\ ##0_-;\-* #\ ##0_-;_-* &quot;-&quot;??_-;_-@_-">
                  <c:v>0</c:v>
                </c:pt>
              </c:numCache>
            </c:numRef>
          </c:val>
          <c:extLst>
            <c:ext xmlns:c16="http://schemas.microsoft.com/office/drawing/2014/chart" uri="{C3380CC4-5D6E-409C-BE32-E72D297353CC}">
              <c16:uniqueId val="{00000001-61BA-41C6-B18D-F4CE799AE12F}"/>
            </c:ext>
          </c:extLst>
        </c:ser>
        <c:ser>
          <c:idx val="1"/>
          <c:order val="1"/>
          <c:tx>
            <c:strRef>
              <c:f>'Sanitation report'!$I$1027</c:f>
              <c:strCache>
                <c:ptCount val="1"/>
                <c:pt idx="0">
                  <c:v>Variable cost</c:v>
                </c:pt>
              </c:strCache>
            </c:strRef>
          </c:tx>
          <c:spPr>
            <a:solidFill>
              <a:schemeClr val="accent5">
                <a:lumMod val="60000"/>
                <a:lumOff val="40000"/>
              </a:schemeClr>
            </a:solidFill>
            <a:ln>
              <a:noFill/>
            </a:ln>
            <a:effectLst/>
          </c:spPr>
          <c:invertIfNegative val="0"/>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'Sanitation report'!$J$1025:$K$1025</c:f>
              <c:strCache>
                <c:ptCount val="2"/>
                <c:pt idx="0">
                  <c:v>Expenditure R'000</c:v>
                </c:pt>
                <c:pt idx="1">
                  <c:v>Revenue R'000</c:v>
                </c:pt>
              </c:strCache>
            </c:strRef>
          </c:cat>
          <c:val>
            <c:numRef>
              <c:f>'Sanitation report'!$J$1027:$K$1027</c:f>
              <c:numCache>
                <c:formatCode>General</c:formatCode>
                <c:ptCount val="2"/>
                <c:pt idx="0" formatCode="_-* #\ ##0_-;\-* #\ ##0_-;_-* &quot;-&quot;??_-;_-@_-">
                  <c:v>0</c:v>
                </c:pt>
              </c:numCache>
            </c:numRef>
          </c:val>
          <c:extLst>
            <c:ext xmlns:c16="http://schemas.microsoft.com/office/drawing/2014/chart" uri="{C3380CC4-5D6E-409C-BE32-E72D297353CC}">
              <c16:uniqueId val="{00000002-61BA-41C6-B18D-F4CE799AE12F}"/>
            </c:ext>
          </c:extLst>
        </c:ser>
        <c:ser>
          <c:idx val="2"/>
          <c:order val="2"/>
          <c:tx>
            <c:strRef>
              <c:f>'Sanitation report'!$I$1028</c:f>
              <c:strCache>
                <c:ptCount val="1"/>
                <c:pt idx="0">
                  <c:v>Surplus</c:v>
                </c:pt>
              </c:strCache>
            </c:strRef>
          </c:tx>
          <c:spPr>
            <a:solidFill>
              <a:srgbClr val="A5A5A5"/>
            </a:solidFill>
            <a:ln w="25400">
              <a:noFill/>
            </a:ln>
          </c:spPr>
          <c:invertIfNegative val="0"/>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'Sanitation report'!$J$1025:$K$1025</c:f>
              <c:strCache>
                <c:ptCount val="2"/>
                <c:pt idx="0">
                  <c:v>Expenditure R'000</c:v>
                </c:pt>
                <c:pt idx="1">
                  <c:v>Revenue R'000</c:v>
                </c:pt>
              </c:strCache>
            </c:strRef>
          </c:cat>
          <c:val>
            <c:numRef>
              <c:f>'Sanitation report'!$J$1028:$K$1028</c:f>
              <c:numCache>
                <c:formatCode>General</c:formatCode>
                <c:ptCount val="2"/>
                <c:pt idx="0" formatCode="_-* #\ ##0_-;\-* #\ ##0_-;_-* &quot;-&quot;??_-;_-@_-">
                  <c:v>0</c:v>
                </c:pt>
              </c:numCache>
            </c:numRef>
          </c:val>
          <c:extLst>
            <c:ext xmlns:c16="http://schemas.microsoft.com/office/drawing/2014/chart" uri="{C3380CC4-5D6E-409C-BE32-E72D297353CC}">
              <c16:uniqueId val="{00000003-61BA-41C6-B18D-F4CE799AE12F}"/>
            </c:ext>
          </c:extLst>
        </c:ser>
        <c:ser>
          <c:idx val="4"/>
          <c:order val="3"/>
          <c:tx>
            <c:strRef>
              <c:f>'Sanitation report'!$I$1029</c:f>
              <c:strCache>
                <c:ptCount val="1"/>
                <c:pt idx="0">
                  <c:v>Tariff revenue</c:v>
                </c:pt>
              </c:strCache>
            </c:strRef>
          </c:tx>
          <c:spPr>
            <a:solidFill>
              <a:srgbClr val="5B9BD5"/>
            </a:solidFill>
            <a:ln w="25400">
              <a:noFill/>
            </a:ln>
          </c:spPr>
          <c:invertIfNegative val="0"/>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'Sanitation report'!$J$1025:$K$1025</c:f>
              <c:strCache>
                <c:ptCount val="2"/>
                <c:pt idx="0">
                  <c:v>Expenditure R'000</c:v>
                </c:pt>
                <c:pt idx="1">
                  <c:v>Revenue R'000</c:v>
                </c:pt>
              </c:strCache>
            </c:strRef>
          </c:cat>
          <c:val>
            <c:numRef>
              <c:f>'Sanitation report'!$J$1029:$K$1029</c:f>
              <c:numCache>
                <c:formatCode>_-* #\ ##0_-;\-* #\ ##0_-;_-* "-"??_-;_-@_-</c:formatCode>
                <c:ptCount val="2"/>
                <c:pt idx="1">
                  <c:v>0</c:v>
                </c:pt>
              </c:numCache>
            </c:numRef>
          </c:val>
          <c:extLst>
            <c:ext xmlns:c16="http://schemas.microsoft.com/office/drawing/2014/chart" uri="{C3380CC4-5D6E-409C-BE32-E72D297353CC}">
              <c16:uniqueId val="{00000004-61BA-41C6-B18D-F4CE799AE12F}"/>
            </c:ext>
          </c:extLst>
        </c:ser>
        <c:ser>
          <c:idx val="5"/>
          <c:order val="4"/>
          <c:tx>
            <c:strRef>
              <c:f>'Sanitation report'!$I$1030</c:f>
              <c:strCache>
                <c:ptCount val="1"/>
                <c:pt idx="0">
                  <c:v>External grants &amp; subsidies</c:v>
                </c:pt>
              </c:strCache>
            </c:strRef>
          </c:tx>
          <c:spPr>
            <a:solidFill>
              <a:srgbClr val="A5A5A5"/>
            </a:solidFill>
            <a:ln w="25400">
              <a:noFill/>
            </a:ln>
          </c:spPr>
          <c:invertIfNegative val="0"/>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'Sanitation report'!$J$1025:$K$1025</c:f>
              <c:strCache>
                <c:ptCount val="2"/>
                <c:pt idx="0">
                  <c:v>Expenditure R'000</c:v>
                </c:pt>
                <c:pt idx="1">
                  <c:v>Revenue R'000</c:v>
                </c:pt>
              </c:strCache>
            </c:strRef>
          </c:cat>
          <c:val>
            <c:numRef>
              <c:f>'Sanitation report'!$J$1030:$K$1030</c:f>
              <c:numCache>
                <c:formatCode>_-* #\ ##0_-;\-* #\ ##0_-;_-* "-"??_-;_-@_-</c:formatCode>
                <c:ptCount val="2"/>
                <c:pt idx="1">
                  <c:v>0</c:v>
                </c:pt>
              </c:numCache>
            </c:numRef>
          </c:val>
          <c:extLst>
            <c:ext xmlns:c16="http://schemas.microsoft.com/office/drawing/2014/chart" uri="{C3380CC4-5D6E-409C-BE32-E72D297353CC}">
              <c16:uniqueId val="{00000005-61BA-41C6-B18D-F4CE799AE12F}"/>
            </c:ext>
          </c:extLst>
        </c:ser>
        <c:ser>
          <c:idx val="3"/>
          <c:order val="5"/>
          <c:tx>
            <c:strRef>
              <c:f>'Sanitation report'!$I$1031</c:f>
              <c:strCache>
                <c:ptCount val="1"/>
                <c:pt idx="0">
                  <c:v>Other non-tariff revenue</c:v>
                </c:pt>
              </c:strCache>
            </c:strRef>
          </c:tx>
          <c:spPr>
            <a:solidFill>
              <a:schemeClr val="accent3">
                <a:lumMod val="40000"/>
                <a:lumOff val="60000"/>
              </a:schemeClr>
            </a:solidFill>
            <a:ln>
              <a:noFill/>
            </a:ln>
            <a:effectLst/>
          </c:spPr>
          <c:invertIfNegative val="0"/>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'Sanitation report'!$J$1025:$K$1025</c:f>
              <c:strCache>
                <c:ptCount val="2"/>
                <c:pt idx="0">
                  <c:v>Expenditure R'000</c:v>
                </c:pt>
                <c:pt idx="1">
                  <c:v>Revenue R'000</c:v>
                </c:pt>
              </c:strCache>
            </c:strRef>
          </c:cat>
          <c:val>
            <c:numRef>
              <c:f>'Sanitation report'!$J$1031:$K$1031</c:f>
              <c:numCache>
                <c:formatCode>_-* #\ ##0_-;\-* #\ ##0_-;_-* "-"??_-;_-@_-</c:formatCode>
                <c:ptCount val="2"/>
                <c:pt idx="1">
                  <c:v>0</c:v>
                </c:pt>
              </c:numCache>
            </c:numRef>
          </c:val>
          <c:extLst>
            <c:ext xmlns:c16="http://schemas.microsoft.com/office/drawing/2014/chart" uri="{C3380CC4-5D6E-409C-BE32-E72D297353CC}">
              <c16:uniqueId val="{00000006-61BA-41C6-B18D-F4CE799AE12F}"/>
            </c:ext>
          </c:extLst>
        </c:ser>
        <c:ser>
          <c:idx val="6"/>
          <c:order val="6"/>
          <c:tx>
            <c:strRef>
              <c:f>'Sanitation report'!$I$1032</c:f>
              <c:strCache>
                <c:ptCount val="1"/>
                <c:pt idx="0">
                  <c:v>Deficit</c:v>
                </c:pt>
              </c:strCache>
            </c:strRef>
          </c:tx>
          <c:spPr>
            <a:solidFill>
              <a:srgbClr val="ED7D31"/>
            </a:solidFill>
            <a:ln w="25400">
              <a:noFill/>
            </a:ln>
          </c:spPr>
          <c:invertIfNegative val="0"/>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'Sanitation report'!$J$1025:$K$1025</c:f>
              <c:strCache>
                <c:ptCount val="2"/>
                <c:pt idx="0">
                  <c:v>Expenditure R'000</c:v>
                </c:pt>
                <c:pt idx="1">
                  <c:v>Revenue R'000</c:v>
                </c:pt>
              </c:strCache>
            </c:strRef>
          </c:cat>
          <c:val>
            <c:numRef>
              <c:f>'Sanitation report'!$J$1032:$K$1032</c:f>
              <c:numCache>
                <c:formatCode>_-* #\ ##0_-;\-* #\ ##0_-;_-* "-"??_-;_-@_-</c:formatCode>
                <c:ptCount val="2"/>
                <c:pt idx="1">
                  <c:v>0</c:v>
                </c:pt>
              </c:numCache>
            </c:numRef>
          </c:val>
          <c:extLst>
            <c:ext xmlns:c16="http://schemas.microsoft.com/office/drawing/2014/chart" uri="{C3380CC4-5D6E-409C-BE32-E72D297353CC}">
              <c16:uniqueId val="{00000007-61BA-41C6-B18D-F4CE799AE12F}"/>
            </c:ext>
          </c:extLst>
        </c:ser>
        <c:dLbls>
          <c:showLegendKey val="0"/>
          <c:showVal val="0"/>
          <c:showCatName val="0"/>
          <c:showSerName val="0"/>
          <c:showPercent val="0"/>
          <c:showBubbleSize val="0"/>
        </c:dLbls>
        <c:gapWidth val="25"/>
        <c:overlap val="100"/>
        <c:axId val="1399633999"/>
        <c:axId val="1"/>
      </c:barChart>
      <c:catAx>
        <c:axId val="1399633999"/>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0" vert="horz"/>
          <a:lstStyle/>
          <a:p>
            <a:pPr>
              <a:defRPr sz="1100" b="0" i="0" u="none" strike="noStrike" baseline="0">
                <a:solidFill>
                  <a:srgbClr val="000000"/>
                </a:solidFill>
                <a:latin typeface="Calibri"/>
                <a:ea typeface="Calibri"/>
                <a:cs typeface="Calibri"/>
              </a:defRPr>
            </a:pPr>
            <a:endParaRPr lang="en-US"/>
          </a:p>
        </c:txPr>
        <c:crossAx val="1"/>
        <c:crosses val="autoZero"/>
        <c:auto val="1"/>
        <c:lblAlgn val="ctr"/>
        <c:lblOffset val="100"/>
        <c:noMultiLvlLbl val="0"/>
      </c:catAx>
      <c:valAx>
        <c:axId val="1"/>
        <c:scaling>
          <c:orientation val="minMax"/>
        </c:scaling>
        <c:delete val="1"/>
        <c:axPos val="l"/>
        <c:majorGridlines>
          <c:spPr>
            <a:ln w="9525" cap="flat" cmpd="sng" algn="ctr">
              <a:solidFill>
                <a:schemeClr val="tx1">
                  <a:lumMod val="15000"/>
                  <a:lumOff val="85000"/>
                </a:schemeClr>
              </a:solidFill>
              <a:round/>
            </a:ln>
            <a:effectLst/>
          </c:spPr>
        </c:majorGridlines>
        <c:numFmt formatCode="_-* #\ ##0_-;\-* #\ ##0_-;_-* &quot;-&quot;??_-;_-@_-" sourceLinked="1"/>
        <c:majorTickMark val="out"/>
        <c:minorTickMark val="none"/>
        <c:tickLblPos val="nextTo"/>
        <c:crossAx val="1399633999"/>
        <c:crosses val="autoZero"/>
        <c:crossBetween val="between"/>
      </c:valAx>
    </c:plotArea>
    <c:legend>
      <c:legendPos val="r"/>
      <c:layout>
        <c:manualLayout>
          <c:xMode val="edge"/>
          <c:yMode val="edge"/>
          <c:x val="0.63060873861355571"/>
          <c:y val="0.19876461094537096"/>
          <c:w val="0.34824665740311866"/>
          <c:h val="0.70809931367274737"/>
        </c:manualLayout>
      </c:layout>
      <c:overlay val="0"/>
      <c:spPr>
        <a:noFill/>
        <a:ln w="25400">
          <a:noFill/>
        </a:ln>
      </c:spPr>
      <c:txPr>
        <a:bodyPr/>
        <a:lstStyle/>
        <a:p>
          <a:pPr>
            <a:defRPr sz="850" b="0" i="0" u="none" strike="noStrike" baseline="0">
              <a:solidFill>
                <a:srgbClr val="000000"/>
              </a:solidFill>
              <a:latin typeface="Calibri"/>
              <a:ea typeface="Calibri"/>
              <a:cs typeface="Calibri"/>
            </a:defRPr>
          </a:pPr>
          <a:endParaRPr lang="en-US"/>
        </a:p>
      </c:txPr>
    </c:legend>
    <c:plotVisOnly val="1"/>
    <c:dispBlanksAs val="gap"/>
    <c:showDLblsOverMax val="0"/>
  </c:chart>
  <c:spPr>
    <a:solidFill>
      <a:schemeClr val="bg1"/>
    </a:solidFill>
    <a:ln w="9525" cap="flat" cmpd="sng" algn="ctr">
      <a:noFill/>
      <a:round/>
    </a:ln>
    <a:effectLst/>
  </c:spPr>
  <c:txPr>
    <a:bodyPr/>
    <a:lstStyle/>
    <a:p>
      <a:pPr>
        <a:defRPr sz="1100" b="0" i="0" u="none" strike="noStrike" baseline="0">
          <a:solidFill>
            <a:srgbClr val="000000"/>
          </a:solidFill>
          <a:latin typeface="Calibri"/>
          <a:ea typeface="Calibri"/>
          <a:cs typeface="Calibri"/>
        </a:defRPr>
      </a:pPr>
      <a:endParaRPr lang="en-US"/>
    </a:p>
  </c:txPr>
  <c:printSettings>
    <c:headerFooter/>
    <c:pageMargins b="0.75" l="0.7" r="0.7" t="0.75" header="0.3" footer="0.3"/>
    <c:pageSetup orientation="portrait"/>
  </c:printSettings>
</c:chartSpace>
</file>

<file path=xl/charts/chart13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ser>
          <c:idx val="0"/>
          <c:order val="0"/>
          <c:tx>
            <c:strRef>
              <c:f>'Sanitation report'!$K$1049</c:f>
              <c:strCache>
                <c:ptCount val="1"/>
                <c:pt idx="0">
                  <c:v>Tariff </c:v>
                </c:pt>
              </c:strCache>
            </c:strRef>
          </c:tx>
          <c:spPr>
            <a:solidFill>
              <a:srgbClr val="4472C4"/>
            </a:solidFill>
            <a:ln w="25400">
              <a:noFill/>
            </a:ln>
          </c:spPr>
          <c:invertIfNegative val="0"/>
          <c:dLbls>
            <c:spPr>
              <a:noFill/>
              <a:ln w="25400">
                <a:noFill/>
              </a:ln>
            </c:spPr>
            <c:txPr>
              <a:bodyPr wrap="square" lIns="38100" tIns="19050" rIns="38100" bIns="19050" anchor="ctr">
                <a:spAutoFit/>
              </a:bodyPr>
              <a:lstStyle/>
              <a:p>
                <a:pPr>
                  <a:defRPr sz="900" b="0" i="0" u="none" strike="noStrike" baseline="0">
                    <a:solidFill>
                      <a:srgbClr val="333333"/>
                    </a:solidFill>
                    <a:latin typeface="Calibri"/>
                    <a:ea typeface="Calibri"/>
                    <a:cs typeface="Calibri"/>
                  </a:defRPr>
                </a:pPr>
                <a:endParaRPr lang="en-US"/>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'Sanitation report'!$J$1050:$J$1059</c:f>
              <c:strCache>
                <c:ptCount val="10"/>
                <c:pt idx="0">
                  <c:v>0</c:v>
                </c:pt>
                <c:pt idx="1">
                  <c:v>0</c:v>
                </c:pt>
                <c:pt idx="2">
                  <c:v>0</c:v>
                </c:pt>
                <c:pt idx="3">
                  <c:v>0</c:v>
                </c:pt>
                <c:pt idx="4">
                  <c:v>0</c:v>
                </c:pt>
                <c:pt idx="5">
                  <c:v>0</c:v>
                </c:pt>
                <c:pt idx="6">
                  <c:v>0</c:v>
                </c:pt>
                <c:pt idx="7">
                  <c:v>0</c:v>
                </c:pt>
                <c:pt idx="8">
                  <c:v>0</c:v>
                </c:pt>
                <c:pt idx="9">
                  <c:v>More</c:v>
                </c:pt>
              </c:strCache>
            </c:strRef>
          </c:cat>
          <c:val>
            <c:numRef>
              <c:f>'Sanitation report'!$K$1050:$K$1059</c:f>
              <c:numCache>
                <c:formatCode>_(* #,##0.00_);_(* \(#,##0.00\);_(* "-"??_);_(@_)</c:formatCode>
                <c:ptCount val="10"/>
                <c:pt idx="0">
                  <c:v>0</c:v>
                </c:pt>
                <c:pt idx="1">
                  <c:v>0</c:v>
                </c:pt>
                <c:pt idx="2">
                  <c:v>0</c:v>
                </c:pt>
                <c:pt idx="3">
                  <c:v>0</c:v>
                </c:pt>
                <c:pt idx="4">
                  <c:v>0</c:v>
                </c:pt>
                <c:pt idx="5">
                  <c:v>0</c:v>
                </c:pt>
                <c:pt idx="6">
                  <c:v>0</c:v>
                </c:pt>
                <c:pt idx="7">
                  <c:v>0</c:v>
                </c:pt>
                <c:pt idx="8">
                  <c:v>0</c:v>
                </c:pt>
                <c:pt idx="9">
                  <c:v>0</c:v>
                </c:pt>
              </c:numCache>
            </c:numRef>
          </c:val>
          <c:extLst>
            <c:ext xmlns:c16="http://schemas.microsoft.com/office/drawing/2014/chart" uri="{C3380CC4-5D6E-409C-BE32-E72D297353CC}">
              <c16:uniqueId val="{00000000-EFC5-49E5-81C2-934508D5E0CA}"/>
            </c:ext>
          </c:extLst>
        </c:ser>
        <c:dLbls>
          <c:showLegendKey val="0"/>
          <c:showVal val="0"/>
          <c:showCatName val="0"/>
          <c:showSerName val="0"/>
          <c:showPercent val="0"/>
          <c:showBubbleSize val="0"/>
        </c:dLbls>
        <c:gapWidth val="50"/>
        <c:axId val="1399627759"/>
        <c:axId val="1"/>
      </c:barChart>
      <c:lineChart>
        <c:grouping val="standard"/>
        <c:varyColors val="0"/>
        <c:ser>
          <c:idx val="1"/>
          <c:order val="1"/>
          <c:tx>
            <c:strRef>
              <c:f>'Sanitation report'!$L$1049</c:f>
              <c:strCache>
                <c:ptCount val="1"/>
                <c:pt idx="0">
                  <c:v>Total cost per kl </c:v>
                </c:pt>
              </c:strCache>
            </c:strRef>
          </c:tx>
          <c:spPr>
            <a:ln w="28575" cap="rnd">
              <a:solidFill>
                <a:schemeClr val="accent2"/>
              </a:solidFill>
              <a:round/>
            </a:ln>
            <a:effectLst/>
          </c:spPr>
          <c:marker>
            <c:symbol val="none"/>
          </c:marker>
          <c:val>
            <c:numRef>
              <c:f>'Sanitation report'!$L$1050:$L$1059</c:f>
              <c:numCache>
                <c:formatCode>_(* #,##0.00_);_(* \(#,##0.00\);_(* "-"??_);_(@_)</c:formatCode>
                <c:ptCount val="10"/>
                <c:pt idx="0">
                  <c:v>0</c:v>
                </c:pt>
                <c:pt idx="1">
                  <c:v>0</c:v>
                </c:pt>
                <c:pt idx="2">
                  <c:v>0</c:v>
                </c:pt>
                <c:pt idx="3">
                  <c:v>0</c:v>
                </c:pt>
                <c:pt idx="4">
                  <c:v>0</c:v>
                </c:pt>
                <c:pt idx="5">
                  <c:v>0</c:v>
                </c:pt>
                <c:pt idx="6">
                  <c:v>0</c:v>
                </c:pt>
                <c:pt idx="7">
                  <c:v>0</c:v>
                </c:pt>
                <c:pt idx="8">
                  <c:v>0</c:v>
                </c:pt>
                <c:pt idx="9">
                  <c:v>0</c:v>
                </c:pt>
              </c:numCache>
            </c:numRef>
          </c:val>
          <c:smooth val="0"/>
          <c:extLst>
            <c:ext xmlns:c16="http://schemas.microsoft.com/office/drawing/2014/chart" uri="{C3380CC4-5D6E-409C-BE32-E72D297353CC}">
              <c16:uniqueId val="{00000001-EFC5-49E5-81C2-934508D5E0CA}"/>
            </c:ext>
          </c:extLst>
        </c:ser>
        <c:ser>
          <c:idx val="2"/>
          <c:order val="2"/>
          <c:tx>
            <c:strRef>
              <c:f>'Sanitation report'!$M$1049</c:f>
              <c:strCache>
                <c:ptCount val="1"/>
                <c:pt idx="0">
                  <c:v>Variable cost per kl treated</c:v>
                </c:pt>
              </c:strCache>
            </c:strRef>
          </c:tx>
          <c:spPr>
            <a:ln w="28575" cap="rnd">
              <a:solidFill>
                <a:schemeClr val="accent3"/>
              </a:solidFill>
              <a:round/>
            </a:ln>
            <a:effectLst/>
          </c:spPr>
          <c:marker>
            <c:symbol val="none"/>
          </c:marker>
          <c:val>
            <c:numRef>
              <c:f>'Sanitation report'!$M$1050:$M$1059</c:f>
              <c:numCache>
                <c:formatCode>_(* #,##0.00_);_(* \(#,##0.00\);_(* "-"??_);_(@_)</c:formatCode>
                <c:ptCount val="10"/>
                <c:pt idx="0">
                  <c:v>0</c:v>
                </c:pt>
                <c:pt idx="1">
                  <c:v>0</c:v>
                </c:pt>
                <c:pt idx="2">
                  <c:v>0</c:v>
                </c:pt>
                <c:pt idx="3">
                  <c:v>0</c:v>
                </c:pt>
                <c:pt idx="4">
                  <c:v>0</c:v>
                </c:pt>
                <c:pt idx="5">
                  <c:v>0</c:v>
                </c:pt>
                <c:pt idx="6">
                  <c:v>0</c:v>
                </c:pt>
                <c:pt idx="7">
                  <c:v>0</c:v>
                </c:pt>
                <c:pt idx="8">
                  <c:v>0</c:v>
                </c:pt>
                <c:pt idx="9">
                  <c:v>0</c:v>
                </c:pt>
              </c:numCache>
            </c:numRef>
          </c:val>
          <c:smooth val="0"/>
          <c:extLst>
            <c:ext xmlns:c16="http://schemas.microsoft.com/office/drawing/2014/chart" uri="{C3380CC4-5D6E-409C-BE32-E72D297353CC}">
              <c16:uniqueId val="{00000002-EFC5-49E5-81C2-934508D5E0CA}"/>
            </c:ext>
          </c:extLst>
        </c:ser>
        <c:dLbls>
          <c:showLegendKey val="0"/>
          <c:showVal val="0"/>
          <c:showCatName val="0"/>
          <c:showSerName val="0"/>
          <c:showPercent val="0"/>
          <c:showBubbleSize val="0"/>
        </c:dLbls>
        <c:marker val="1"/>
        <c:smooth val="0"/>
        <c:axId val="1399627759"/>
        <c:axId val="1"/>
      </c:lineChart>
      <c:catAx>
        <c:axId val="1399627759"/>
        <c:scaling>
          <c:orientation val="minMax"/>
        </c:scaling>
        <c:delete val="0"/>
        <c:axPos val="b"/>
        <c:title>
          <c:tx>
            <c:rich>
              <a:bodyPr/>
              <a:lstStyle/>
              <a:p>
                <a:pPr>
                  <a:defRPr sz="1000" b="0" i="0" u="none" strike="noStrike" baseline="0">
                    <a:solidFill>
                      <a:srgbClr val="333333"/>
                    </a:solidFill>
                    <a:latin typeface="Calibri"/>
                    <a:ea typeface="Calibri"/>
                    <a:cs typeface="Calibri"/>
                  </a:defRPr>
                </a:pPr>
                <a:r>
                  <a:rPr lang="en-ZA"/>
                  <a:t>Block size</a:t>
                </a:r>
              </a:p>
            </c:rich>
          </c:tx>
          <c:overlay val="0"/>
          <c:spPr>
            <a:noFill/>
            <a:ln w="25400">
              <a:noFill/>
            </a:ln>
          </c:spPr>
        </c:title>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0" vert="horz"/>
          <a:lstStyle/>
          <a:p>
            <a:pPr>
              <a:defRPr sz="900" b="0" i="0" u="none" strike="noStrike" baseline="0">
                <a:solidFill>
                  <a:srgbClr val="333333"/>
                </a:solidFill>
                <a:latin typeface="Calibri"/>
                <a:ea typeface="Calibri"/>
                <a:cs typeface="Calibri"/>
              </a:defRPr>
            </a:pPr>
            <a:endParaRPr lang="en-US"/>
          </a:p>
        </c:txPr>
        <c:crossAx val="1"/>
        <c:crosses val="autoZero"/>
        <c:auto val="1"/>
        <c:lblAlgn val="ctr"/>
        <c:lblOffset val="100"/>
        <c:noMultiLvlLbl val="0"/>
      </c:catAx>
      <c:valAx>
        <c:axId val="1"/>
        <c:scaling>
          <c:orientation val="minMax"/>
        </c:scaling>
        <c:delete val="0"/>
        <c:axPos val="l"/>
        <c:majorGridlines>
          <c:spPr>
            <a:ln w="9525" cap="flat" cmpd="sng" algn="ctr">
              <a:solidFill>
                <a:schemeClr val="tx1">
                  <a:lumMod val="15000"/>
                  <a:lumOff val="85000"/>
                </a:schemeClr>
              </a:solidFill>
              <a:round/>
            </a:ln>
            <a:effectLst/>
          </c:spPr>
        </c:majorGridlines>
        <c:title>
          <c:tx>
            <c:rich>
              <a:bodyPr/>
              <a:lstStyle/>
              <a:p>
                <a:pPr>
                  <a:defRPr sz="1000" b="0" i="0" u="none" strike="noStrike" baseline="0">
                    <a:solidFill>
                      <a:srgbClr val="333333"/>
                    </a:solidFill>
                    <a:latin typeface="Calibri"/>
                    <a:ea typeface="Calibri"/>
                    <a:cs typeface="Calibri"/>
                  </a:defRPr>
                </a:pPr>
                <a:r>
                  <a:rPr lang="en-ZA"/>
                  <a:t>R/kl</a:t>
                </a:r>
              </a:p>
            </c:rich>
          </c:tx>
          <c:overlay val="0"/>
          <c:spPr>
            <a:noFill/>
            <a:ln w="25400">
              <a:noFill/>
            </a:ln>
          </c:spPr>
        </c:title>
        <c:numFmt formatCode="_(* #,##0.00_);_(* \(#,##0.00\);_(* &quot;-&quot;??_);_(@_)" sourceLinked="1"/>
        <c:majorTickMark val="none"/>
        <c:minorTickMark val="none"/>
        <c:tickLblPos val="nextTo"/>
        <c:spPr>
          <a:ln w="6350">
            <a:noFill/>
          </a:ln>
        </c:spPr>
        <c:txPr>
          <a:bodyPr rot="0" vert="horz"/>
          <a:lstStyle/>
          <a:p>
            <a:pPr>
              <a:defRPr sz="900" b="0" i="0" u="none" strike="noStrike" baseline="0">
                <a:solidFill>
                  <a:srgbClr val="333333"/>
                </a:solidFill>
                <a:latin typeface="Calibri"/>
                <a:ea typeface="Calibri"/>
                <a:cs typeface="Calibri"/>
              </a:defRPr>
            </a:pPr>
            <a:endParaRPr lang="en-US"/>
          </a:p>
        </c:txPr>
        <c:crossAx val="1399627759"/>
        <c:crosses val="autoZero"/>
        <c:crossBetween val="between"/>
      </c:valAx>
    </c:plotArea>
    <c:legend>
      <c:legendPos val="r"/>
      <c:layout>
        <c:manualLayout>
          <c:xMode val="edge"/>
          <c:yMode val="edge"/>
          <c:x val="0.12362011021685021"/>
          <c:y val="0.92994800178279602"/>
          <c:w val="0.74541089190419463"/>
          <c:h val="5.930117225912801E-2"/>
        </c:manualLayout>
      </c:layout>
      <c:overlay val="0"/>
      <c:spPr>
        <a:noFill/>
        <a:ln w="25400">
          <a:noFill/>
        </a:ln>
      </c:spPr>
      <c:txPr>
        <a:bodyPr/>
        <a:lstStyle/>
        <a:p>
          <a:pPr>
            <a:defRPr sz="690" b="0" i="0" u="none" strike="noStrike" baseline="0">
              <a:solidFill>
                <a:srgbClr val="333333"/>
              </a:solidFill>
              <a:latin typeface="Calibri"/>
              <a:ea typeface="Calibri"/>
              <a:cs typeface="Calibri"/>
            </a:defRPr>
          </a:pPr>
          <a:endParaRPr lang="en-US"/>
        </a:p>
      </c:txPr>
    </c:legend>
    <c:plotVisOnly val="1"/>
    <c:dispBlanksAs val="gap"/>
    <c:showDLblsOverMax val="0"/>
  </c:chart>
  <c:spPr>
    <a:solidFill>
      <a:schemeClr val="bg1"/>
    </a:solidFill>
    <a:ln w="9525" cap="flat" cmpd="sng" algn="ctr">
      <a:noFill/>
      <a:round/>
    </a:ln>
    <a:effectLst/>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charts/chart13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2.3871527777777776E-2"/>
          <c:y val="4.7786414907172239E-2"/>
          <c:w val="0.57559123468941387"/>
          <c:h val="0.83529592857692603"/>
        </c:manualLayout>
      </c:layout>
      <c:barChart>
        <c:barDir val="col"/>
        <c:grouping val="stacked"/>
        <c:varyColors val="0"/>
        <c:ser>
          <c:idx val="0"/>
          <c:order val="0"/>
          <c:tx>
            <c:strRef>
              <c:f>'Sanitation report'!$I$1094</c:f>
              <c:strCache>
                <c:ptCount val="1"/>
                <c:pt idx="0">
                  <c:v>Fixed cost</c:v>
                </c:pt>
              </c:strCache>
            </c:strRef>
          </c:tx>
          <c:spPr>
            <a:solidFill>
              <a:srgbClr val="4472C4"/>
            </a:solidFill>
            <a:ln w="25400">
              <a:noFill/>
            </a:ln>
          </c:spPr>
          <c:invertIfNegative val="0"/>
          <c:dPt>
            <c:idx val="0"/>
            <c:invertIfNegative val="0"/>
            <c:bubble3D val="0"/>
            <c:spPr>
              <a:solidFill>
                <a:srgbClr val="5B9BD5"/>
              </a:solidFill>
              <a:ln w="25400">
                <a:noFill/>
              </a:ln>
            </c:spPr>
            <c:extLst>
              <c:ext xmlns:c16="http://schemas.microsoft.com/office/drawing/2014/chart" uri="{C3380CC4-5D6E-409C-BE32-E72D297353CC}">
                <c16:uniqueId val="{00000000-791D-4B43-9D70-2BDB818C0F33}"/>
              </c:ext>
            </c:extLst>
          </c:dPt>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'Sanitation report'!$J$1093:$K$1093</c:f>
              <c:strCache>
                <c:ptCount val="2"/>
                <c:pt idx="0">
                  <c:v>Expenditure R'000</c:v>
                </c:pt>
                <c:pt idx="1">
                  <c:v>Revenue R'000</c:v>
                </c:pt>
              </c:strCache>
            </c:strRef>
          </c:cat>
          <c:val>
            <c:numRef>
              <c:f>'Sanitation report'!$J$1094:$K$1094</c:f>
              <c:numCache>
                <c:formatCode>General</c:formatCode>
                <c:ptCount val="2"/>
                <c:pt idx="0" formatCode="_-* #\ ##0_-;\-* #\ ##0_-;_-* &quot;-&quot;??_-;_-@_-">
                  <c:v>0</c:v>
                </c:pt>
              </c:numCache>
            </c:numRef>
          </c:val>
          <c:extLst>
            <c:ext xmlns:c16="http://schemas.microsoft.com/office/drawing/2014/chart" uri="{C3380CC4-5D6E-409C-BE32-E72D297353CC}">
              <c16:uniqueId val="{00000001-791D-4B43-9D70-2BDB818C0F33}"/>
            </c:ext>
          </c:extLst>
        </c:ser>
        <c:ser>
          <c:idx val="1"/>
          <c:order val="1"/>
          <c:tx>
            <c:strRef>
              <c:f>'Sanitation report'!$I$1095</c:f>
              <c:strCache>
                <c:ptCount val="1"/>
                <c:pt idx="0">
                  <c:v>Variable cost</c:v>
                </c:pt>
              </c:strCache>
            </c:strRef>
          </c:tx>
          <c:spPr>
            <a:solidFill>
              <a:schemeClr val="accent5">
                <a:lumMod val="60000"/>
                <a:lumOff val="40000"/>
              </a:schemeClr>
            </a:solidFill>
            <a:ln>
              <a:noFill/>
            </a:ln>
            <a:effectLst/>
          </c:spPr>
          <c:invertIfNegative val="0"/>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'Sanitation report'!$J$1093:$K$1093</c:f>
              <c:strCache>
                <c:ptCount val="2"/>
                <c:pt idx="0">
                  <c:v>Expenditure R'000</c:v>
                </c:pt>
                <c:pt idx="1">
                  <c:v>Revenue R'000</c:v>
                </c:pt>
              </c:strCache>
            </c:strRef>
          </c:cat>
          <c:val>
            <c:numRef>
              <c:f>'Sanitation report'!$J$1095:$K$1095</c:f>
              <c:numCache>
                <c:formatCode>General</c:formatCode>
                <c:ptCount val="2"/>
                <c:pt idx="0" formatCode="_-* #\ ##0_-;\-* #\ ##0_-;_-* &quot;-&quot;??_-;_-@_-">
                  <c:v>0</c:v>
                </c:pt>
              </c:numCache>
            </c:numRef>
          </c:val>
          <c:extLst>
            <c:ext xmlns:c16="http://schemas.microsoft.com/office/drawing/2014/chart" uri="{C3380CC4-5D6E-409C-BE32-E72D297353CC}">
              <c16:uniqueId val="{00000002-791D-4B43-9D70-2BDB818C0F33}"/>
            </c:ext>
          </c:extLst>
        </c:ser>
        <c:ser>
          <c:idx val="2"/>
          <c:order val="2"/>
          <c:tx>
            <c:strRef>
              <c:f>'Sanitation report'!$I$1096</c:f>
              <c:strCache>
                <c:ptCount val="1"/>
                <c:pt idx="0">
                  <c:v>Surplus</c:v>
                </c:pt>
              </c:strCache>
            </c:strRef>
          </c:tx>
          <c:spPr>
            <a:solidFill>
              <a:srgbClr val="A5A5A5"/>
            </a:solidFill>
            <a:ln w="25400">
              <a:noFill/>
            </a:ln>
          </c:spPr>
          <c:invertIfNegative val="0"/>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'Sanitation report'!$J$1093:$K$1093</c:f>
              <c:strCache>
                <c:ptCount val="2"/>
                <c:pt idx="0">
                  <c:v>Expenditure R'000</c:v>
                </c:pt>
                <c:pt idx="1">
                  <c:v>Revenue R'000</c:v>
                </c:pt>
              </c:strCache>
            </c:strRef>
          </c:cat>
          <c:val>
            <c:numRef>
              <c:f>'Sanitation report'!$J$1096:$K$1096</c:f>
              <c:numCache>
                <c:formatCode>General</c:formatCode>
                <c:ptCount val="2"/>
                <c:pt idx="0" formatCode="_-* #\ ##0_-;\-* #\ ##0_-;_-* &quot;-&quot;??_-;_-@_-">
                  <c:v>0</c:v>
                </c:pt>
              </c:numCache>
            </c:numRef>
          </c:val>
          <c:extLst>
            <c:ext xmlns:c16="http://schemas.microsoft.com/office/drawing/2014/chart" uri="{C3380CC4-5D6E-409C-BE32-E72D297353CC}">
              <c16:uniqueId val="{00000003-791D-4B43-9D70-2BDB818C0F33}"/>
            </c:ext>
          </c:extLst>
        </c:ser>
        <c:ser>
          <c:idx val="4"/>
          <c:order val="3"/>
          <c:tx>
            <c:strRef>
              <c:f>'Sanitation report'!$I$1097</c:f>
              <c:strCache>
                <c:ptCount val="1"/>
                <c:pt idx="0">
                  <c:v>Tariff revenue</c:v>
                </c:pt>
              </c:strCache>
            </c:strRef>
          </c:tx>
          <c:spPr>
            <a:solidFill>
              <a:srgbClr val="5B9BD5"/>
            </a:solidFill>
            <a:ln w="25400">
              <a:noFill/>
            </a:ln>
          </c:spPr>
          <c:invertIfNegative val="0"/>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'Sanitation report'!$J$1093:$K$1093</c:f>
              <c:strCache>
                <c:ptCount val="2"/>
                <c:pt idx="0">
                  <c:v>Expenditure R'000</c:v>
                </c:pt>
                <c:pt idx="1">
                  <c:v>Revenue R'000</c:v>
                </c:pt>
              </c:strCache>
            </c:strRef>
          </c:cat>
          <c:val>
            <c:numRef>
              <c:f>'Sanitation report'!$J$1097:$K$1097</c:f>
              <c:numCache>
                <c:formatCode>_-* #\ ##0_-;\-* #\ ##0_-;_-* "-"??_-;_-@_-</c:formatCode>
                <c:ptCount val="2"/>
                <c:pt idx="1">
                  <c:v>0</c:v>
                </c:pt>
              </c:numCache>
            </c:numRef>
          </c:val>
          <c:extLst>
            <c:ext xmlns:c16="http://schemas.microsoft.com/office/drawing/2014/chart" uri="{C3380CC4-5D6E-409C-BE32-E72D297353CC}">
              <c16:uniqueId val="{00000004-791D-4B43-9D70-2BDB818C0F33}"/>
            </c:ext>
          </c:extLst>
        </c:ser>
        <c:ser>
          <c:idx val="5"/>
          <c:order val="4"/>
          <c:tx>
            <c:strRef>
              <c:f>'Sanitation report'!$I$1098</c:f>
              <c:strCache>
                <c:ptCount val="1"/>
                <c:pt idx="0">
                  <c:v>External grants &amp; subsidies</c:v>
                </c:pt>
              </c:strCache>
            </c:strRef>
          </c:tx>
          <c:spPr>
            <a:solidFill>
              <a:srgbClr val="A5A5A5"/>
            </a:solidFill>
            <a:ln w="25400">
              <a:noFill/>
            </a:ln>
          </c:spPr>
          <c:invertIfNegative val="0"/>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'Sanitation report'!$J$1093:$K$1093</c:f>
              <c:strCache>
                <c:ptCount val="2"/>
                <c:pt idx="0">
                  <c:v>Expenditure R'000</c:v>
                </c:pt>
                <c:pt idx="1">
                  <c:v>Revenue R'000</c:v>
                </c:pt>
              </c:strCache>
            </c:strRef>
          </c:cat>
          <c:val>
            <c:numRef>
              <c:f>'Sanitation report'!$J$1098:$K$1098</c:f>
              <c:numCache>
                <c:formatCode>_-* #\ ##0_-;\-* #\ ##0_-;_-* "-"??_-;_-@_-</c:formatCode>
                <c:ptCount val="2"/>
                <c:pt idx="1">
                  <c:v>0</c:v>
                </c:pt>
              </c:numCache>
            </c:numRef>
          </c:val>
          <c:extLst>
            <c:ext xmlns:c16="http://schemas.microsoft.com/office/drawing/2014/chart" uri="{C3380CC4-5D6E-409C-BE32-E72D297353CC}">
              <c16:uniqueId val="{00000005-791D-4B43-9D70-2BDB818C0F33}"/>
            </c:ext>
          </c:extLst>
        </c:ser>
        <c:ser>
          <c:idx val="3"/>
          <c:order val="5"/>
          <c:tx>
            <c:strRef>
              <c:f>'Sanitation report'!$I$1099</c:f>
              <c:strCache>
                <c:ptCount val="1"/>
                <c:pt idx="0">
                  <c:v>Other non-tariff revenue</c:v>
                </c:pt>
              </c:strCache>
            </c:strRef>
          </c:tx>
          <c:spPr>
            <a:solidFill>
              <a:schemeClr val="accent3">
                <a:lumMod val="40000"/>
                <a:lumOff val="60000"/>
              </a:schemeClr>
            </a:solidFill>
            <a:ln>
              <a:noFill/>
            </a:ln>
            <a:effectLst/>
          </c:spPr>
          <c:invertIfNegative val="0"/>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'Sanitation report'!$J$1093:$K$1093</c:f>
              <c:strCache>
                <c:ptCount val="2"/>
                <c:pt idx="0">
                  <c:v>Expenditure R'000</c:v>
                </c:pt>
                <c:pt idx="1">
                  <c:v>Revenue R'000</c:v>
                </c:pt>
              </c:strCache>
            </c:strRef>
          </c:cat>
          <c:val>
            <c:numRef>
              <c:f>'Sanitation report'!$J$1099:$K$1099</c:f>
              <c:numCache>
                <c:formatCode>_-* #\ ##0_-;\-* #\ ##0_-;_-* "-"??_-;_-@_-</c:formatCode>
                <c:ptCount val="2"/>
                <c:pt idx="1">
                  <c:v>0</c:v>
                </c:pt>
              </c:numCache>
            </c:numRef>
          </c:val>
          <c:extLst>
            <c:ext xmlns:c16="http://schemas.microsoft.com/office/drawing/2014/chart" uri="{C3380CC4-5D6E-409C-BE32-E72D297353CC}">
              <c16:uniqueId val="{00000006-791D-4B43-9D70-2BDB818C0F33}"/>
            </c:ext>
          </c:extLst>
        </c:ser>
        <c:ser>
          <c:idx val="6"/>
          <c:order val="6"/>
          <c:tx>
            <c:strRef>
              <c:f>'Sanitation report'!$I$1100</c:f>
              <c:strCache>
                <c:ptCount val="1"/>
                <c:pt idx="0">
                  <c:v>Deficit</c:v>
                </c:pt>
              </c:strCache>
            </c:strRef>
          </c:tx>
          <c:spPr>
            <a:solidFill>
              <a:srgbClr val="ED7D31"/>
            </a:solidFill>
            <a:ln w="25400">
              <a:noFill/>
            </a:ln>
          </c:spPr>
          <c:invertIfNegative val="0"/>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'Sanitation report'!$J$1093:$K$1093</c:f>
              <c:strCache>
                <c:ptCount val="2"/>
                <c:pt idx="0">
                  <c:v>Expenditure R'000</c:v>
                </c:pt>
                <c:pt idx="1">
                  <c:v>Revenue R'000</c:v>
                </c:pt>
              </c:strCache>
            </c:strRef>
          </c:cat>
          <c:val>
            <c:numRef>
              <c:f>'Sanitation report'!$J$1100:$K$1100</c:f>
              <c:numCache>
                <c:formatCode>_-* #\ ##0_-;\-* #\ ##0_-;_-* "-"??_-;_-@_-</c:formatCode>
                <c:ptCount val="2"/>
                <c:pt idx="1">
                  <c:v>0</c:v>
                </c:pt>
              </c:numCache>
            </c:numRef>
          </c:val>
          <c:extLst>
            <c:ext xmlns:c16="http://schemas.microsoft.com/office/drawing/2014/chart" uri="{C3380CC4-5D6E-409C-BE32-E72D297353CC}">
              <c16:uniqueId val="{00000007-791D-4B43-9D70-2BDB818C0F33}"/>
            </c:ext>
          </c:extLst>
        </c:ser>
        <c:dLbls>
          <c:showLegendKey val="0"/>
          <c:showVal val="0"/>
          <c:showCatName val="0"/>
          <c:showSerName val="0"/>
          <c:showPercent val="0"/>
          <c:showBubbleSize val="0"/>
        </c:dLbls>
        <c:gapWidth val="25"/>
        <c:overlap val="100"/>
        <c:axId val="1399626319"/>
        <c:axId val="1"/>
      </c:barChart>
      <c:catAx>
        <c:axId val="1399626319"/>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0" vert="horz"/>
          <a:lstStyle/>
          <a:p>
            <a:pPr>
              <a:defRPr sz="1100" b="0" i="0" u="none" strike="noStrike" baseline="0">
                <a:solidFill>
                  <a:srgbClr val="000000"/>
                </a:solidFill>
                <a:latin typeface="Calibri"/>
                <a:ea typeface="Calibri"/>
                <a:cs typeface="Calibri"/>
              </a:defRPr>
            </a:pPr>
            <a:endParaRPr lang="en-US"/>
          </a:p>
        </c:txPr>
        <c:crossAx val="1"/>
        <c:crosses val="autoZero"/>
        <c:auto val="1"/>
        <c:lblAlgn val="ctr"/>
        <c:lblOffset val="100"/>
        <c:noMultiLvlLbl val="0"/>
      </c:catAx>
      <c:valAx>
        <c:axId val="1"/>
        <c:scaling>
          <c:orientation val="minMax"/>
        </c:scaling>
        <c:delete val="1"/>
        <c:axPos val="l"/>
        <c:majorGridlines>
          <c:spPr>
            <a:ln w="9525" cap="flat" cmpd="sng" algn="ctr">
              <a:solidFill>
                <a:schemeClr val="tx1">
                  <a:lumMod val="15000"/>
                  <a:lumOff val="85000"/>
                </a:schemeClr>
              </a:solidFill>
              <a:round/>
            </a:ln>
            <a:effectLst/>
          </c:spPr>
        </c:majorGridlines>
        <c:numFmt formatCode="_-* #\ ##0_-;\-* #\ ##0_-;_-* &quot;-&quot;??_-;_-@_-" sourceLinked="1"/>
        <c:majorTickMark val="out"/>
        <c:minorTickMark val="none"/>
        <c:tickLblPos val="nextTo"/>
        <c:crossAx val="1399626319"/>
        <c:crosses val="autoZero"/>
        <c:crossBetween val="between"/>
      </c:valAx>
    </c:plotArea>
    <c:legend>
      <c:legendPos val="r"/>
      <c:layout>
        <c:manualLayout>
          <c:xMode val="edge"/>
          <c:yMode val="edge"/>
          <c:x val="0.63060873861355571"/>
          <c:y val="0.19876461094537096"/>
          <c:w val="0.34824665740311866"/>
          <c:h val="0.70809931367274737"/>
        </c:manualLayout>
      </c:layout>
      <c:overlay val="0"/>
      <c:spPr>
        <a:noFill/>
        <a:ln w="25400">
          <a:noFill/>
        </a:ln>
      </c:spPr>
      <c:txPr>
        <a:bodyPr/>
        <a:lstStyle/>
        <a:p>
          <a:pPr>
            <a:defRPr sz="850" b="0" i="0" u="none" strike="noStrike" baseline="0">
              <a:solidFill>
                <a:srgbClr val="000000"/>
              </a:solidFill>
              <a:latin typeface="Calibri"/>
              <a:ea typeface="Calibri"/>
              <a:cs typeface="Calibri"/>
            </a:defRPr>
          </a:pPr>
          <a:endParaRPr lang="en-US"/>
        </a:p>
      </c:txPr>
    </c:legend>
    <c:plotVisOnly val="1"/>
    <c:dispBlanksAs val="gap"/>
    <c:showDLblsOverMax val="0"/>
  </c:chart>
  <c:spPr>
    <a:solidFill>
      <a:schemeClr val="bg1"/>
    </a:solidFill>
    <a:ln w="9525" cap="flat" cmpd="sng" algn="ctr">
      <a:noFill/>
      <a:round/>
    </a:ln>
    <a:effectLst/>
  </c:spPr>
  <c:txPr>
    <a:bodyPr/>
    <a:lstStyle/>
    <a:p>
      <a:pPr>
        <a:defRPr sz="1100" b="0" i="0" u="none" strike="noStrike" baseline="0">
          <a:solidFill>
            <a:srgbClr val="000000"/>
          </a:solidFill>
          <a:latin typeface="Calibri"/>
          <a:ea typeface="Calibri"/>
          <a:cs typeface="Calibri"/>
        </a:defRPr>
      </a:pPr>
      <a:endParaRPr lang="en-US"/>
    </a:p>
  </c:txPr>
  <c:printSettings>
    <c:headerFooter/>
    <c:pageMargins b="0.75" l="0.7" r="0.7" t="0.75" header="0.3" footer="0.3"/>
    <c:pageSetup orientation="portrait"/>
  </c:printSettings>
</c:chartSpace>
</file>

<file path=xl/charts/chart13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ser>
          <c:idx val="0"/>
          <c:order val="0"/>
          <c:tx>
            <c:strRef>
              <c:f>'Sanitation report'!$K$1116</c:f>
              <c:strCache>
                <c:ptCount val="1"/>
                <c:pt idx="0">
                  <c:v>Tariff </c:v>
                </c:pt>
              </c:strCache>
            </c:strRef>
          </c:tx>
          <c:spPr>
            <a:solidFill>
              <a:srgbClr val="4472C4"/>
            </a:solidFill>
            <a:ln w="25400">
              <a:noFill/>
            </a:ln>
          </c:spPr>
          <c:invertIfNegative val="0"/>
          <c:dLbls>
            <c:spPr>
              <a:noFill/>
              <a:ln w="25400">
                <a:noFill/>
              </a:ln>
            </c:spPr>
            <c:txPr>
              <a:bodyPr wrap="square" lIns="38100" tIns="19050" rIns="38100" bIns="19050" anchor="ctr">
                <a:spAutoFit/>
              </a:bodyPr>
              <a:lstStyle/>
              <a:p>
                <a:pPr>
                  <a:defRPr sz="900" b="0" i="0" u="none" strike="noStrike" baseline="0">
                    <a:solidFill>
                      <a:srgbClr val="333333"/>
                    </a:solidFill>
                    <a:latin typeface="Calibri"/>
                    <a:ea typeface="Calibri"/>
                    <a:cs typeface="Calibri"/>
                  </a:defRPr>
                </a:pPr>
                <a:endParaRPr lang="en-US"/>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'Sanitation report'!$J$1117:$J$1126</c:f>
              <c:strCache>
                <c:ptCount val="10"/>
                <c:pt idx="0">
                  <c:v>0</c:v>
                </c:pt>
                <c:pt idx="1">
                  <c:v>0</c:v>
                </c:pt>
                <c:pt idx="2">
                  <c:v>0</c:v>
                </c:pt>
                <c:pt idx="3">
                  <c:v>0</c:v>
                </c:pt>
                <c:pt idx="4">
                  <c:v>0</c:v>
                </c:pt>
                <c:pt idx="5">
                  <c:v>0</c:v>
                </c:pt>
                <c:pt idx="6">
                  <c:v>0</c:v>
                </c:pt>
                <c:pt idx="7">
                  <c:v>0</c:v>
                </c:pt>
                <c:pt idx="8">
                  <c:v>0</c:v>
                </c:pt>
                <c:pt idx="9">
                  <c:v>More</c:v>
                </c:pt>
              </c:strCache>
            </c:strRef>
          </c:cat>
          <c:val>
            <c:numRef>
              <c:f>'Sanitation report'!$K$1117:$K$1126</c:f>
              <c:numCache>
                <c:formatCode>_(* #,##0.00_);_(* \(#,##0.00\);_(* "-"??_);_(@_)</c:formatCode>
                <c:ptCount val="10"/>
                <c:pt idx="0">
                  <c:v>0</c:v>
                </c:pt>
                <c:pt idx="1">
                  <c:v>0</c:v>
                </c:pt>
                <c:pt idx="2">
                  <c:v>0</c:v>
                </c:pt>
                <c:pt idx="3">
                  <c:v>0</c:v>
                </c:pt>
                <c:pt idx="4">
                  <c:v>0</c:v>
                </c:pt>
                <c:pt idx="5">
                  <c:v>0</c:v>
                </c:pt>
                <c:pt idx="6">
                  <c:v>0</c:v>
                </c:pt>
                <c:pt idx="7">
                  <c:v>0</c:v>
                </c:pt>
                <c:pt idx="8">
                  <c:v>0</c:v>
                </c:pt>
                <c:pt idx="9">
                  <c:v>0</c:v>
                </c:pt>
              </c:numCache>
            </c:numRef>
          </c:val>
          <c:extLst>
            <c:ext xmlns:c16="http://schemas.microsoft.com/office/drawing/2014/chart" uri="{C3380CC4-5D6E-409C-BE32-E72D297353CC}">
              <c16:uniqueId val="{00000000-03A3-4644-879D-30AC28C0CDA5}"/>
            </c:ext>
          </c:extLst>
        </c:ser>
        <c:dLbls>
          <c:showLegendKey val="0"/>
          <c:showVal val="0"/>
          <c:showCatName val="0"/>
          <c:showSerName val="0"/>
          <c:showPercent val="0"/>
          <c:showBubbleSize val="0"/>
        </c:dLbls>
        <c:gapWidth val="50"/>
        <c:axId val="1399611919"/>
        <c:axId val="1"/>
      </c:barChart>
      <c:lineChart>
        <c:grouping val="standard"/>
        <c:varyColors val="0"/>
        <c:ser>
          <c:idx val="1"/>
          <c:order val="1"/>
          <c:tx>
            <c:strRef>
              <c:f>'Sanitation report'!$L$1116</c:f>
              <c:strCache>
                <c:ptCount val="1"/>
                <c:pt idx="0">
                  <c:v>Total cost per kl </c:v>
                </c:pt>
              </c:strCache>
            </c:strRef>
          </c:tx>
          <c:spPr>
            <a:ln w="28575" cap="rnd">
              <a:solidFill>
                <a:schemeClr val="accent2"/>
              </a:solidFill>
              <a:round/>
            </a:ln>
            <a:effectLst/>
          </c:spPr>
          <c:marker>
            <c:symbol val="none"/>
          </c:marker>
          <c:val>
            <c:numRef>
              <c:f>'Sanitation report'!$L$1117:$L$1126</c:f>
              <c:numCache>
                <c:formatCode>_(* #,##0.00_);_(* \(#,##0.00\);_(* "-"??_);_(@_)</c:formatCode>
                <c:ptCount val="10"/>
                <c:pt idx="0">
                  <c:v>0</c:v>
                </c:pt>
                <c:pt idx="1">
                  <c:v>0</c:v>
                </c:pt>
                <c:pt idx="2">
                  <c:v>0</c:v>
                </c:pt>
                <c:pt idx="3">
                  <c:v>0</c:v>
                </c:pt>
                <c:pt idx="4">
                  <c:v>0</c:v>
                </c:pt>
                <c:pt idx="5">
                  <c:v>0</c:v>
                </c:pt>
                <c:pt idx="6">
                  <c:v>0</c:v>
                </c:pt>
                <c:pt idx="7">
                  <c:v>0</c:v>
                </c:pt>
                <c:pt idx="8">
                  <c:v>0</c:v>
                </c:pt>
                <c:pt idx="9">
                  <c:v>0</c:v>
                </c:pt>
              </c:numCache>
            </c:numRef>
          </c:val>
          <c:smooth val="0"/>
          <c:extLst>
            <c:ext xmlns:c16="http://schemas.microsoft.com/office/drawing/2014/chart" uri="{C3380CC4-5D6E-409C-BE32-E72D297353CC}">
              <c16:uniqueId val="{00000001-03A3-4644-879D-30AC28C0CDA5}"/>
            </c:ext>
          </c:extLst>
        </c:ser>
        <c:ser>
          <c:idx val="2"/>
          <c:order val="2"/>
          <c:tx>
            <c:strRef>
              <c:f>'Sanitation report'!$M$1116</c:f>
              <c:strCache>
                <c:ptCount val="1"/>
                <c:pt idx="0">
                  <c:v>Variable cost per kl treated</c:v>
                </c:pt>
              </c:strCache>
            </c:strRef>
          </c:tx>
          <c:spPr>
            <a:ln w="28575" cap="rnd">
              <a:solidFill>
                <a:schemeClr val="accent3"/>
              </a:solidFill>
              <a:round/>
            </a:ln>
            <a:effectLst/>
          </c:spPr>
          <c:marker>
            <c:symbol val="none"/>
          </c:marker>
          <c:val>
            <c:numRef>
              <c:f>'Sanitation report'!$M$1117:$M$1126</c:f>
              <c:numCache>
                <c:formatCode>_(* #,##0.00_);_(* \(#,##0.00\);_(* "-"??_);_(@_)</c:formatCode>
                <c:ptCount val="10"/>
                <c:pt idx="0">
                  <c:v>0</c:v>
                </c:pt>
                <c:pt idx="1">
                  <c:v>0</c:v>
                </c:pt>
                <c:pt idx="2">
                  <c:v>0</c:v>
                </c:pt>
                <c:pt idx="3">
                  <c:v>0</c:v>
                </c:pt>
                <c:pt idx="4">
                  <c:v>0</c:v>
                </c:pt>
                <c:pt idx="5">
                  <c:v>0</c:v>
                </c:pt>
                <c:pt idx="6">
                  <c:v>0</c:v>
                </c:pt>
                <c:pt idx="7">
                  <c:v>0</c:v>
                </c:pt>
                <c:pt idx="8">
                  <c:v>0</c:v>
                </c:pt>
                <c:pt idx="9">
                  <c:v>0</c:v>
                </c:pt>
              </c:numCache>
            </c:numRef>
          </c:val>
          <c:smooth val="0"/>
          <c:extLst>
            <c:ext xmlns:c16="http://schemas.microsoft.com/office/drawing/2014/chart" uri="{C3380CC4-5D6E-409C-BE32-E72D297353CC}">
              <c16:uniqueId val="{00000002-03A3-4644-879D-30AC28C0CDA5}"/>
            </c:ext>
          </c:extLst>
        </c:ser>
        <c:dLbls>
          <c:showLegendKey val="0"/>
          <c:showVal val="0"/>
          <c:showCatName val="0"/>
          <c:showSerName val="0"/>
          <c:showPercent val="0"/>
          <c:showBubbleSize val="0"/>
        </c:dLbls>
        <c:marker val="1"/>
        <c:smooth val="0"/>
        <c:axId val="1399611919"/>
        <c:axId val="1"/>
      </c:lineChart>
      <c:catAx>
        <c:axId val="1399611919"/>
        <c:scaling>
          <c:orientation val="minMax"/>
        </c:scaling>
        <c:delete val="0"/>
        <c:axPos val="b"/>
        <c:title>
          <c:tx>
            <c:rich>
              <a:bodyPr/>
              <a:lstStyle/>
              <a:p>
                <a:pPr>
                  <a:defRPr sz="1000" b="0" i="0" u="none" strike="noStrike" baseline="0">
                    <a:solidFill>
                      <a:srgbClr val="333333"/>
                    </a:solidFill>
                    <a:latin typeface="Calibri"/>
                    <a:ea typeface="Calibri"/>
                    <a:cs typeface="Calibri"/>
                  </a:defRPr>
                </a:pPr>
                <a:r>
                  <a:rPr lang="en-ZA"/>
                  <a:t>Block size</a:t>
                </a:r>
              </a:p>
            </c:rich>
          </c:tx>
          <c:overlay val="0"/>
          <c:spPr>
            <a:noFill/>
            <a:ln w="25400">
              <a:noFill/>
            </a:ln>
          </c:spPr>
        </c:title>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0" vert="horz"/>
          <a:lstStyle/>
          <a:p>
            <a:pPr>
              <a:defRPr sz="900" b="0" i="0" u="none" strike="noStrike" baseline="0">
                <a:solidFill>
                  <a:srgbClr val="333333"/>
                </a:solidFill>
                <a:latin typeface="Calibri"/>
                <a:ea typeface="Calibri"/>
                <a:cs typeface="Calibri"/>
              </a:defRPr>
            </a:pPr>
            <a:endParaRPr lang="en-US"/>
          </a:p>
        </c:txPr>
        <c:crossAx val="1"/>
        <c:crosses val="autoZero"/>
        <c:auto val="1"/>
        <c:lblAlgn val="ctr"/>
        <c:lblOffset val="100"/>
        <c:noMultiLvlLbl val="0"/>
      </c:catAx>
      <c:valAx>
        <c:axId val="1"/>
        <c:scaling>
          <c:orientation val="minMax"/>
        </c:scaling>
        <c:delete val="0"/>
        <c:axPos val="l"/>
        <c:majorGridlines>
          <c:spPr>
            <a:ln w="9525" cap="flat" cmpd="sng" algn="ctr">
              <a:solidFill>
                <a:schemeClr val="tx1">
                  <a:lumMod val="15000"/>
                  <a:lumOff val="85000"/>
                </a:schemeClr>
              </a:solidFill>
              <a:round/>
            </a:ln>
            <a:effectLst/>
          </c:spPr>
        </c:majorGridlines>
        <c:title>
          <c:tx>
            <c:rich>
              <a:bodyPr/>
              <a:lstStyle/>
              <a:p>
                <a:pPr>
                  <a:defRPr sz="1000" b="0" i="0" u="none" strike="noStrike" baseline="0">
                    <a:solidFill>
                      <a:srgbClr val="333333"/>
                    </a:solidFill>
                    <a:latin typeface="Calibri"/>
                    <a:ea typeface="Calibri"/>
                    <a:cs typeface="Calibri"/>
                  </a:defRPr>
                </a:pPr>
                <a:r>
                  <a:rPr lang="en-ZA"/>
                  <a:t>R/kl</a:t>
                </a:r>
              </a:p>
            </c:rich>
          </c:tx>
          <c:overlay val="0"/>
          <c:spPr>
            <a:noFill/>
            <a:ln w="25400">
              <a:noFill/>
            </a:ln>
          </c:spPr>
        </c:title>
        <c:numFmt formatCode="_(* #,##0.00_);_(* \(#,##0.00\);_(* &quot;-&quot;??_);_(@_)" sourceLinked="1"/>
        <c:majorTickMark val="none"/>
        <c:minorTickMark val="none"/>
        <c:tickLblPos val="nextTo"/>
        <c:spPr>
          <a:ln w="6350">
            <a:noFill/>
          </a:ln>
        </c:spPr>
        <c:txPr>
          <a:bodyPr rot="0" vert="horz"/>
          <a:lstStyle/>
          <a:p>
            <a:pPr>
              <a:defRPr sz="900" b="0" i="0" u="none" strike="noStrike" baseline="0">
                <a:solidFill>
                  <a:srgbClr val="333333"/>
                </a:solidFill>
                <a:latin typeface="Calibri"/>
                <a:ea typeface="Calibri"/>
                <a:cs typeface="Calibri"/>
              </a:defRPr>
            </a:pPr>
            <a:endParaRPr lang="en-US"/>
          </a:p>
        </c:txPr>
        <c:crossAx val="1399611919"/>
        <c:crosses val="autoZero"/>
        <c:crossBetween val="between"/>
      </c:valAx>
    </c:plotArea>
    <c:legend>
      <c:legendPos val="r"/>
      <c:layout>
        <c:manualLayout>
          <c:xMode val="edge"/>
          <c:yMode val="edge"/>
          <c:x val="0.12362011021685021"/>
          <c:y val="0.92994800178279602"/>
          <c:w val="0.74541089190419463"/>
          <c:h val="5.930117225912801E-2"/>
        </c:manualLayout>
      </c:layout>
      <c:overlay val="0"/>
      <c:spPr>
        <a:noFill/>
        <a:ln w="25400">
          <a:noFill/>
        </a:ln>
      </c:spPr>
      <c:txPr>
        <a:bodyPr/>
        <a:lstStyle/>
        <a:p>
          <a:pPr>
            <a:defRPr sz="690" b="0" i="0" u="none" strike="noStrike" baseline="0">
              <a:solidFill>
                <a:srgbClr val="333333"/>
              </a:solidFill>
              <a:latin typeface="Calibri"/>
              <a:ea typeface="Calibri"/>
              <a:cs typeface="Calibri"/>
            </a:defRPr>
          </a:pPr>
          <a:endParaRPr lang="en-US"/>
        </a:p>
      </c:txPr>
    </c:legend>
    <c:plotVisOnly val="1"/>
    <c:dispBlanksAs val="gap"/>
    <c:showDLblsOverMax val="0"/>
  </c:chart>
  <c:spPr>
    <a:solidFill>
      <a:schemeClr val="bg1"/>
    </a:solidFill>
    <a:ln w="9525" cap="flat" cmpd="sng" algn="ctr">
      <a:noFill/>
      <a:round/>
    </a:ln>
    <a:effectLst/>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charts/chart13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2.3871527777777776E-2"/>
          <c:y val="4.7786414907172239E-2"/>
          <c:w val="0.57559123468941387"/>
          <c:h val="0.83529592857692603"/>
        </c:manualLayout>
      </c:layout>
      <c:barChart>
        <c:barDir val="col"/>
        <c:grouping val="stacked"/>
        <c:varyColors val="0"/>
        <c:ser>
          <c:idx val="0"/>
          <c:order val="0"/>
          <c:tx>
            <c:strRef>
              <c:f>'Sanitation report'!$I$1161</c:f>
              <c:strCache>
                <c:ptCount val="1"/>
                <c:pt idx="0">
                  <c:v>Fixed cost</c:v>
                </c:pt>
              </c:strCache>
            </c:strRef>
          </c:tx>
          <c:spPr>
            <a:solidFill>
              <a:srgbClr val="4472C4"/>
            </a:solidFill>
            <a:ln w="25400">
              <a:noFill/>
            </a:ln>
          </c:spPr>
          <c:invertIfNegative val="0"/>
          <c:dPt>
            <c:idx val="0"/>
            <c:invertIfNegative val="0"/>
            <c:bubble3D val="0"/>
            <c:spPr>
              <a:solidFill>
                <a:srgbClr val="5B9BD5"/>
              </a:solidFill>
              <a:ln w="25400">
                <a:noFill/>
              </a:ln>
            </c:spPr>
            <c:extLst>
              <c:ext xmlns:c16="http://schemas.microsoft.com/office/drawing/2014/chart" uri="{C3380CC4-5D6E-409C-BE32-E72D297353CC}">
                <c16:uniqueId val="{00000000-0E0D-4138-ACCE-9C6E494E956F}"/>
              </c:ext>
            </c:extLst>
          </c:dPt>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'Sanitation report'!$J$1160:$K$1160</c:f>
              <c:strCache>
                <c:ptCount val="2"/>
                <c:pt idx="0">
                  <c:v>Expenditure R'000</c:v>
                </c:pt>
                <c:pt idx="1">
                  <c:v>Revenue R'000</c:v>
                </c:pt>
              </c:strCache>
            </c:strRef>
          </c:cat>
          <c:val>
            <c:numRef>
              <c:f>'Sanitation report'!$J$1161:$K$1161</c:f>
              <c:numCache>
                <c:formatCode>General</c:formatCode>
                <c:ptCount val="2"/>
                <c:pt idx="0" formatCode="_-* #\ ##0_-;\-* #\ ##0_-;_-* &quot;-&quot;??_-;_-@_-">
                  <c:v>0</c:v>
                </c:pt>
              </c:numCache>
            </c:numRef>
          </c:val>
          <c:extLst>
            <c:ext xmlns:c16="http://schemas.microsoft.com/office/drawing/2014/chart" uri="{C3380CC4-5D6E-409C-BE32-E72D297353CC}">
              <c16:uniqueId val="{00000001-0E0D-4138-ACCE-9C6E494E956F}"/>
            </c:ext>
          </c:extLst>
        </c:ser>
        <c:ser>
          <c:idx val="1"/>
          <c:order val="1"/>
          <c:tx>
            <c:strRef>
              <c:f>'Sanitation report'!$I$1162</c:f>
              <c:strCache>
                <c:ptCount val="1"/>
                <c:pt idx="0">
                  <c:v>Variable cost</c:v>
                </c:pt>
              </c:strCache>
            </c:strRef>
          </c:tx>
          <c:spPr>
            <a:solidFill>
              <a:schemeClr val="accent5">
                <a:lumMod val="60000"/>
                <a:lumOff val="40000"/>
              </a:schemeClr>
            </a:solidFill>
            <a:ln>
              <a:noFill/>
            </a:ln>
            <a:effectLst/>
          </c:spPr>
          <c:invertIfNegative val="0"/>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'Sanitation report'!$J$1160:$K$1160</c:f>
              <c:strCache>
                <c:ptCount val="2"/>
                <c:pt idx="0">
                  <c:v>Expenditure R'000</c:v>
                </c:pt>
                <c:pt idx="1">
                  <c:v>Revenue R'000</c:v>
                </c:pt>
              </c:strCache>
            </c:strRef>
          </c:cat>
          <c:val>
            <c:numRef>
              <c:f>'Sanitation report'!$J$1162:$K$1162</c:f>
              <c:numCache>
                <c:formatCode>General</c:formatCode>
                <c:ptCount val="2"/>
                <c:pt idx="0" formatCode="_-* #\ ##0_-;\-* #\ ##0_-;_-* &quot;-&quot;??_-;_-@_-">
                  <c:v>0</c:v>
                </c:pt>
              </c:numCache>
            </c:numRef>
          </c:val>
          <c:extLst>
            <c:ext xmlns:c16="http://schemas.microsoft.com/office/drawing/2014/chart" uri="{C3380CC4-5D6E-409C-BE32-E72D297353CC}">
              <c16:uniqueId val="{00000002-0E0D-4138-ACCE-9C6E494E956F}"/>
            </c:ext>
          </c:extLst>
        </c:ser>
        <c:ser>
          <c:idx val="2"/>
          <c:order val="2"/>
          <c:tx>
            <c:strRef>
              <c:f>'Sanitation report'!$I$1163</c:f>
              <c:strCache>
                <c:ptCount val="1"/>
                <c:pt idx="0">
                  <c:v>Surplus</c:v>
                </c:pt>
              </c:strCache>
            </c:strRef>
          </c:tx>
          <c:spPr>
            <a:solidFill>
              <a:srgbClr val="A5A5A5"/>
            </a:solidFill>
            <a:ln w="25400">
              <a:noFill/>
            </a:ln>
          </c:spPr>
          <c:invertIfNegative val="0"/>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'Sanitation report'!$J$1160:$K$1160</c:f>
              <c:strCache>
                <c:ptCount val="2"/>
                <c:pt idx="0">
                  <c:v>Expenditure R'000</c:v>
                </c:pt>
                <c:pt idx="1">
                  <c:v>Revenue R'000</c:v>
                </c:pt>
              </c:strCache>
            </c:strRef>
          </c:cat>
          <c:val>
            <c:numRef>
              <c:f>'Sanitation report'!$J$1163:$K$1163</c:f>
              <c:numCache>
                <c:formatCode>General</c:formatCode>
                <c:ptCount val="2"/>
                <c:pt idx="0" formatCode="_-* #\ ##0_-;\-* #\ ##0_-;_-* &quot;-&quot;??_-;_-@_-">
                  <c:v>0</c:v>
                </c:pt>
              </c:numCache>
            </c:numRef>
          </c:val>
          <c:extLst>
            <c:ext xmlns:c16="http://schemas.microsoft.com/office/drawing/2014/chart" uri="{C3380CC4-5D6E-409C-BE32-E72D297353CC}">
              <c16:uniqueId val="{00000003-0E0D-4138-ACCE-9C6E494E956F}"/>
            </c:ext>
          </c:extLst>
        </c:ser>
        <c:ser>
          <c:idx val="4"/>
          <c:order val="3"/>
          <c:tx>
            <c:strRef>
              <c:f>'Sanitation report'!$I$1164</c:f>
              <c:strCache>
                <c:ptCount val="1"/>
                <c:pt idx="0">
                  <c:v>Tariff revenue</c:v>
                </c:pt>
              </c:strCache>
            </c:strRef>
          </c:tx>
          <c:spPr>
            <a:solidFill>
              <a:srgbClr val="5B9BD5"/>
            </a:solidFill>
            <a:ln w="25400">
              <a:noFill/>
            </a:ln>
          </c:spPr>
          <c:invertIfNegative val="0"/>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'Sanitation report'!$J$1160:$K$1160</c:f>
              <c:strCache>
                <c:ptCount val="2"/>
                <c:pt idx="0">
                  <c:v>Expenditure R'000</c:v>
                </c:pt>
                <c:pt idx="1">
                  <c:v>Revenue R'000</c:v>
                </c:pt>
              </c:strCache>
            </c:strRef>
          </c:cat>
          <c:val>
            <c:numRef>
              <c:f>'Sanitation report'!$J$1164:$K$1164</c:f>
              <c:numCache>
                <c:formatCode>_-* #\ ##0_-;\-* #\ ##0_-;_-* "-"??_-;_-@_-</c:formatCode>
                <c:ptCount val="2"/>
                <c:pt idx="1">
                  <c:v>0</c:v>
                </c:pt>
              </c:numCache>
            </c:numRef>
          </c:val>
          <c:extLst>
            <c:ext xmlns:c16="http://schemas.microsoft.com/office/drawing/2014/chart" uri="{C3380CC4-5D6E-409C-BE32-E72D297353CC}">
              <c16:uniqueId val="{00000004-0E0D-4138-ACCE-9C6E494E956F}"/>
            </c:ext>
          </c:extLst>
        </c:ser>
        <c:ser>
          <c:idx val="5"/>
          <c:order val="4"/>
          <c:tx>
            <c:strRef>
              <c:f>'Sanitation report'!$I$1165</c:f>
              <c:strCache>
                <c:ptCount val="1"/>
                <c:pt idx="0">
                  <c:v>External grants &amp; subsidies</c:v>
                </c:pt>
              </c:strCache>
            </c:strRef>
          </c:tx>
          <c:spPr>
            <a:solidFill>
              <a:srgbClr val="A5A5A5"/>
            </a:solidFill>
            <a:ln w="25400">
              <a:noFill/>
            </a:ln>
          </c:spPr>
          <c:invertIfNegative val="0"/>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'Sanitation report'!$J$1160:$K$1160</c:f>
              <c:strCache>
                <c:ptCount val="2"/>
                <c:pt idx="0">
                  <c:v>Expenditure R'000</c:v>
                </c:pt>
                <c:pt idx="1">
                  <c:v>Revenue R'000</c:v>
                </c:pt>
              </c:strCache>
            </c:strRef>
          </c:cat>
          <c:val>
            <c:numRef>
              <c:f>'Sanitation report'!$J$1165:$K$1165</c:f>
              <c:numCache>
                <c:formatCode>_-* #\ ##0_-;\-* #\ ##0_-;_-* "-"??_-;_-@_-</c:formatCode>
                <c:ptCount val="2"/>
                <c:pt idx="1">
                  <c:v>0</c:v>
                </c:pt>
              </c:numCache>
            </c:numRef>
          </c:val>
          <c:extLst>
            <c:ext xmlns:c16="http://schemas.microsoft.com/office/drawing/2014/chart" uri="{C3380CC4-5D6E-409C-BE32-E72D297353CC}">
              <c16:uniqueId val="{00000005-0E0D-4138-ACCE-9C6E494E956F}"/>
            </c:ext>
          </c:extLst>
        </c:ser>
        <c:ser>
          <c:idx val="3"/>
          <c:order val="5"/>
          <c:tx>
            <c:strRef>
              <c:f>'Sanitation report'!$I$1166</c:f>
              <c:strCache>
                <c:ptCount val="1"/>
                <c:pt idx="0">
                  <c:v>Other non-tariff revenue</c:v>
                </c:pt>
              </c:strCache>
            </c:strRef>
          </c:tx>
          <c:spPr>
            <a:solidFill>
              <a:schemeClr val="accent3">
                <a:lumMod val="40000"/>
                <a:lumOff val="60000"/>
              </a:schemeClr>
            </a:solidFill>
            <a:ln>
              <a:noFill/>
            </a:ln>
            <a:effectLst/>
          </c:spPr>
          <c:invertIfNegative val="0"/>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'Sanitation report'!$J$1160:$K$1160</c:f>
              <c:strCache>
                <c:ptCount val="2"/>
                <c:pt idx="0">
                  <c:v>Expenditure R'000</c:v>
                </c:pt>
                <c:pt idx="1">
                  <c:v>Revenue R'000</c:v>
                </c:pt>
              </c:strCache>
            </c:strRef>
          </c:cat>
          <c:val>
            <c:numRef>
              <c:f>'Sanitation report'!$J$1166:$K$1166</c:f>
              <c:numCache>
                <c:formatCode>_-* #\ ##0_-;\-* #\ ##0_-;_-* "-"??_-;_-@_-</c:formatCode>
                <c:ptCount val="2"/>
                <c:pt idx="1">
                  <c:v>0</c:v>
                </c:pt>
              </c:numCache>
            </c:numRef>
          </c:val>
          <c:extLst>
            <c:ext xmlns:c16="http://schemas.microsoft.com/office/drawing/2014/chart" uri="{C3380CC4-5D6E-409C-BE32-E72D297353CC}">
              <c16:uniqueId val="{00000006-0E0D-4138-ACCE-9C6E494E956F}"/>
            </c:ext>
          </c:extLst>
        </c:ser>
        <c:ser>
          <c:idx val="6"/>
          <c:order val="6"/>
          <c:tx>
            <c:strRef>
              <c:f>'Sanitation report'!$I$1167</c:f>
              <c:strCache>
                <c:ptCount val="1"/>
                <c:pt idx="0">
                  <c:v>Deficit</c:v>
                </c:pt>
              </c:strCache>
            </c:strRef>
          </c:tx>
          <c:spPr>
            <a:solidFill>
              <a:srgbClr val="ED7D31"/>
            </a:solidFill>
            <a:ln w="25400">
              <a:noFill/>
            </a:ln>
          </c:spPr>
          <c:invertIfNegative val="0"/>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'Sanitation report'!$J$1160:$K$1160</c:f>
              <c:strCache>
                <c:ptCount val="2"/>
                <c:pt idx="0">
                  <c:v>Expenditure R'000</c:v>
                </c:pt>
                <c:pt idx="1">
                  <c:v>Revenue R'000</c:v>
                </c:pt>
              </c:strCache>
            </c:strRef>
          </c:cat>
          <c:val>
            <c:numRef>
              <c:f>'Sanitation report'!$J$1167:$K$1167</c:f>
              <c:numCache>
                <c:formatCode>_-* #\ ##0_-;\-* #\ ##0_-;_-* "-"??_-;_-@_-</c:formatCode>
                <c:ptCount val="2"/>
                <c:pt idx="1">
                  <c:v>0</c:v>
                </c:pt>
              </c:numCache>
            </c:numRef>
          </c:val>
          <c:extLst>
            <c:ext xmlns:c16="http://schemas.microsoft.com/office/drawing/2014/chart" uri="{C3380CC4-5D6E-409C-BE32-E72D297353CC}">
              <c16:uniqueId val="{00000007-0E0D-4138-ACCE-9C6E494E956F}"/>
            </c:ext>
          </c:extLst>
        </c:ser>
        <c:dLbls>
          <c:showLegendKey val="0"/>
          <c:showVal val="0"/>
          <c:showCatName val="0"/>
          <c:showSerName val="0"/>
          <c:showPercent val="0"/>
          <c:showBubbleSize val="0"/>
        </c:dLbls>
        <c:gapWidth val="25"/>
        <c:overlap val="100"/>
        <c:axId val="1399637359"/>
        <c:axId val="1"/>
      </c:barChart>
      <c:catAx>
        <c:axId val="1399637359"/>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0" vert="horz"/>
          <a:lstStyle/>
          <a:p>
            <a:pPr>
              <a:defRPr sz="1100" b="0" i="0" u="none" strike="noStrike" baseline="0">
                <a:solidFill>
                  <a:srgbClr val="000000"/>
                </a:solidFill>
                <a:latin typeface="Calibri"/>
                <a:ea typeface="Calibri"/>
                <a:cs typeface="Calibri"/>
              </a:defRPr>
            </a:pPr>
            <a:endParaRPr lang="en-US"/>
          </a:p>
        </c:txPr>
        <c:crossAx val="1"/>
        <c:crosses val="autoZero"/>
        <c:auto val="1"/>
        <c:lblAlgn val="ctr"/>
        <c:lblOffset val="100"/>
        <c:noMultiLvlLbl val="0"/>
      </c:catAx>
      <c:valAx>
        <c:axId val="1"/>
        <c:scaling>
          <c:orientation val="minMax"/>
        </c:scaling>
        <c:delete val="1"/>
        <c:axPos val="l"/>
        <c:majorGridlines>
          <c:spPr>
            <a:ln w="9525" cap="flat" cmpd="sng" algn="ctr">
              <a:solidFill>
                <a:schemeClr val="tx1">
                  <a:lumMod val="15000"/>
                  <a:lumOff val="85000"/>
                </a:schemeClr>
              </a:solidFill>
              <a:round/>
            </a:ln>
            <a:effectLst/>
          </c:spPr>
        </c:majorGridlines>
        <c:numFmt formatCode="_-* #\ ##0_-;\-* #\ ##0_-;_-* &quot;-&quot;??_-;_-@_-" sourceLinked="1"/>
        <c:majorTickMark val="out"/>
        <c:minorTickMark val="none"/>
        <c:tickLblPos val="nextTo"/>
        <c:crossAx val="1399637359"/>
        <c:crosses val="autoZero"/>
        <c:crossBetween val="between"/>
      </c:valAx>
    </c:plotArea>
    <c:legend>
      <c:legendPos val="r"/>
      <c:layout>
        <c:manualLayout>
          <c:xMode val="edge"/>
          <c:yMode val="edge"/>
          <c:x val="0.63060873861355571"/>
          <c:y val="0.19876461094537096"/>
          <c:w val="0.34824665740311866"/>
          <c:h val="0.70809931367274737"/>
        </c:manualLayout>
      </c:layout>
      <c:overlay val="0"/>
      <c:spPr>
        <a:noFill/>
        <a:ln w="25400">
          <a:noFill/>
        </a:ln>
      </c:spPr>
      <c:txPr>
        <a:bodyPr/>
        <a:lstStyle/>
        <a:p>
          <a:pPr>
            <a:defRPr sz="850" b="0" i="0" u="none" strike="noStrike" baseline="0">
              <a:solidFill>
                <a:srgbClr val="000000"/>
              </a:solidFill>
              <a:latin typeface="Calibri"/>
              <a:ea typeface="Calibri"/>
              <a:cs typeface="Calibri"/>
            </a:defRPr>
          </a:pPr>
          <a:endParaRPr lang="en-US"/>
        </a:p>
      </c:txPr>
    </c:legend>
    <c:plotVisOnly val="1"/>
    <c:dispBlanksAs val="gap"/>
    <c:showDLblsOverMax val="0"/>
  </c:chart>
  <c:spPr>
    <a:solidFill>
      <a:schemeClr val="bg1"/>
    </a:solidFill>
    <a:ln w="9525" cap="flat" cmpd="sng" algn="ctr">
      <a:noFill/>
      <a:round/>
    </a:ln>
    <a:effectLst/>
  </c:spPr>
  <c:txPr>
    <a:bodyPr/>
    <a:lstStyle/>
    <a:p>
      <a:pPr>
        <a:defRPr sz="1100" b="0" i="0" u="none" strike="noStrike" baseline="0">
          <a:solidFill>
            <a:srgbClr val="000000"/>
          </a:solidFill>
          <a:latin typeface="Calibri"/>
          <a:ea typeface="Calibri"/>
          <a:cs typeface="Calibri"/>
        </a:defRPr>
      </a:pPr>
      <a:endParaRPr lang="en-US"/>
    </a:p>
  </c:txPr>
  <c:printSettings>
    <c:headerFooter/>
    <c:pageMargins b="0.75" l="0.7" r="0.7" t="0.75" header="0.3" footer="0.3"/>
    <c:pageSetup orientation="portrait"/>
  </c:printSettings>
</c:chartSpace>
</file>

<file path=xl/charts/chart13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ser>
          <c:idx val="0"/>
          <c:order val="0"/>
          <c:tx>
            <c:strRef>
              <c:f>'Sanitation report'!$K$1183</c:f>
              <c:strCache>
                <c:ptCount val="1"/>
                <c:pt idx="0">
                  <c:v>Tariff </c:v>
                </c:pt>
              </c:strCache>
            </c:strRef>
          </c:tx>
          <c:spPr>
            <a:solidFill>
              <a:srgbClr val="4472C4"/>
            </a:solidFill>
            <a:ln w="25400">
              <a:noFill/>
            </a:ln>
          </c:spPr>
          <c:invertIfNegative val="0"/>
          <c:dLbls>
            <c:spPr>
              <a:noFill/>
              <a:ln w="25400">
                <a:noFill/>
              </a:ln>
            </c:spPr>
            <c:txPr>
              <a:bodyPr wrap="square" lIns="38100" tIns="19050" rIns="38100" bIns="19050" anchor="ctr">
                <a:spAutoFit/>
              </a:bodyPr>
              <a:lstStyle/>
              <a:p>
                <a:pPr>
                  <a:defRPr sz="900" b="0" i="0" u="none" strike="noStrike" baseline="0">
                    <a:solidFill>
                      <a:srgbClr val="333333"/>
                    </a:solidFill>
                    <a:latin typeface="Calibri"/>
                    <a:ea typeface="Calibri"/>
                    <a:cs typeface="Calibri"/>
                  </a:defRPr>
                </a:pPr>
                <a:endParaRPr lang="en-US"/>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'Sanitation report'!$J$1184:$J$1193</c:f>
              <c:strCache>
                <c:ptCount val="10"/>
                <c:pt idx="0">
                  <c:v>0</c:v>
                </c:pt>
                <c:pt idx="1">
                  <c:v>0</c:v>
                </c:pt>
                <c:pt idx="2">
                  <c:v>0</c:v>
                </c:pt>
                <c:pt idx="3">
                  <c:v>0</c:v>
                </c:pt>
                <c:pt idx="4">
                  <c:v>0</c:v>
                </c:pt>
                <c:pt idx="5">
                  <c:v>0</c:v>
                </c:pt>
                <c:pt idx="6">
                  <c:v>0</c:v>
                </c:pt>
                <c:pt idx="7">
                  <c:v>0</c:v>
                </c:pt>
                <c:pt idx="8">
                  <c:v>0</c:v>
                </c:pt>
                <c:pt idx="9">
                  <c:v>More</c:v>
                </c:pt>
              </c:strCache>
            </c:strRef>
          </c:cat>
          <c:val>
            <c:numRef>
              <c:f>'Sanitation report'!$K$1184:$K$1193</c:f>
              <c:numCache>
                <c:formatCode>_(* #,##0.00_);_(* \(#,##0.00\);_(* "-"??_);_(@_)</c:formatCode>
                <c:ptCount val="10"/>
                <c:pt idx="0">
                  <c:v>0</c:v>
                </c:pt>
                <c:pt idx="1">
                  <c:v>0</c:v>
                </c:pt>
                <c:pt idx="2">
                  <c:v>0</c:v>
                </c:pt>
                <c:pt idx="3">
                  <c:v>0</c:v>
                </c:pt>
                <c:pt idx="4">
                  <c:v>0</c:v>
                </c:pt>
                <c:pt idx="5">
                  <c:v>0</c:v>
                </c:pt>
                <c:pt idx="6">
                  <c:v>0</c:v>
                </c:pt>
                <c:pt idx="7">
                  <c:v>0</c:v>
                </c:pt>
                <c:pt idx="8">
                  <c:v>0</c:v>
                </c:pt>
                <c:pt idx="9">
                  <c:v>0</c:v>
                </c:pt>
              </c:numCache>
            </c:numRef>
          </c:val>
          <c:extLst>
            <c:ext xmlns:c16="http://schemas.microsoft.com/office/drawing/2014/chart" uri="{C3380CC4-5D6E-409C-BE32-E72D297353CC}">
              <c16:uniqueId val="{00000000-4FDA-4AC6-940B-59033758552E}"/>
            </c:ext>
          </c:extLst>
        </c:ser>
        <c:dLbls>
          <c:showLegendKey val="0"/>
          <c:showVal val="0"/>
          <c:showCatName val="0"/>
          <c:showSerName val="0"/>
          <c:showPercent val="0"/>
          <c:showBubbleSize val="0"/>
        </c:dLbls>
        <c:gapWidth val="50"/>
        <c:axId val="1399613839"/>
        <c:axId val="1"/>
      </c:barChart>
      <c:lineChart>
        <c:grouping val="standard"/>
        <c:varyColors val="0"/>
        <c:ser>
          <c:idx val="1"/>
          <c:order val="1"/>
          <c:tx>
            <c:strRef>
              <c:f>'Sanitation report'!$L$1183</c:f>
              <c:strCache>
                <c:ptCount val="1"/>
                <c:pt idx="0">
                  <c:v>Total cost per kl </c:v>
                </c:pt>
              </c:strCache>
            </c:strRef>
          </c:tx>
          <c:spPr>
            <a:ln w="28575" cap="rnd">
              <a:solidFill>
                <a:schemeClr val="accent2"/>
              </a:solidFill>
              <a:round/>
            </a:ln>
            <a:effectLst/>
          </c:spPr>
          <c:marker>
            <c:symbol val="none"/>
          </c:marker>
          <c:val>
            <c:numRef>
              <c:f>'Sanitation report'!$L$1184:$L$1193</c:f>
              <c:numCache>
                <c:formatCode>_(* #,##0.00_);_(* \(#,##0.00\);_(* "-"??_);_(@_)</c:formatCode>
                <c:ptCount val="10"/>
                <c:pt idx="0">
                  <c:v>0</c:v>
                </c:pt>
                <c:pt idx="1">
                  <c:v>0</c:v>
                </c:pt>
                <c:pt idx="2">
                  <c:v>0</c:v>
                </c:pt>
                <c:pt idx="3">
                  <c:v>0</c:v>
                </c:pt>
                <c:pt idx="4">
                  <c:v>0</c:v>
                </c:pt>
                <c:pt idx="5">
                  <c:v>0</c:v>
                </c:pt>
                <c:pt idx="6">
                  <c:v>0</c:v>
                </c:pt>
                <c:pt idx="7">
                  <c:v>0</c:v>
                </c:pt>
                <c:pt idx="8">
                  <c:v>0</c:v>
                </c:pt>
                <c:pt idx="9">
                  <c:v>0</c:v>
                </c:pt>
              </c:numCache>
            </c:numRef>
          </c:val>
          <c:smooth val="0"/>
          <c:extLst>
            <c:ext xmlns:c16="http://schemas.microsoft.com/office/drawing/2014/chart" uri="{C3380CC4-5D6E-409C-BE32-E72D297353CC}">
              <c16:uniqueId val="{00000001-4FDA-4AC6-940B-59033758552E}"/>
            </c:ext>
          </c:extLst>
        </c:ser>
        <c:ser>
          <c:idx val="2"/>
          <c:order val="2"/>
          <c:tx>
            <c:strRef>
              <c:f>'Sanitation report'!$M$1183</c:f>
              <c:strCache>
                <c:ptCount val="1"/>
                <c:pt idx="0">
                  <c:v>Variable cost per kl treated</c:v>
                </c:pt>
              </c:strCache>
            </c:strRef>
          </c:tx>
          <c:spPr>
            <a:ln w="28575" cap="rnd">
              <a:solidFill>
                <a:schemeClr val="accent3"/>
              </a:solidFill>
              <a:round/>
            </a:ln>
            <a:effectLst/>
          </c:spPr>
          <c:marker>
            <c:symbol val="none"/>
          </c:marker>
          <c:val>
            <c:numRef>
              <c:f>'Sanitation report'!$M$1184:$M$1193</c:f>
              <c:numCache>
                <c:formatCode>_(* #,##0.00_);_(* \(#,##0.00\);_(* "-"??_);_(@_)</c:formatCode>
                <c:ptCount val="10"/>
                <c:pt idx="0">
                  <c:v>0</c:v>
                </c:pt>
                <c:pt idx="1">
                  <c:v>0</c:v>
                </c:pt>
                <c:pt idx="2">
                  <c:v>0</c:v>
                </c:pt>
                <c:pt idx="3">
                  <c:v>0</c:v>
                </c:pt>
                <c:pt idx="4">
                  <c:v>0</c:v>
                </c:pt>
                <c:pt idx="5">
                  <c:v>0</c:v>
                </c:pt>
                <c:pt idx="6">
                  <c:v>0</c:v>
                </c:pt>
                <c:pt idx="7">
                  <c:v>0</c:v>
                </c:pt>
                <c:pt idx="8">
                  <c:v>0</c:v>
                </c:pt>
                <c:pt idx="9">
                  <c:v>0</c:v>
                </c:pt>
              </c:numCache>
            </c:numRef>
          </c:val>
          <c:smooth val="0"/>
          <c:extLst>
            <c:ext xmlns:c16="http://schemas.microsoft.com/office/drawing/2014/chart" uri="{C3380CC4-5D6E-409C-BE32-E72D297353CC}">
              <c16:uniqueId val="{00000002-4FDA-4AC6-940B-59033758552E}"/>
            </c:ext>
          </c:extLst>
        </c:ser>
        <c:dLbls>
          <c:showLegendKey val="0"/>
          <c:showVal val="0"/>
          <c:showCatName val="0"/>
          <c:showSerName val="0"/>
          <c:showPercent val="0"/>
          <c:showBubbleSize val="0"/>
        </c:dLbls>
        <c:marker val="1"/>
        <c:smooth val="0"/>
        <c:axId val="1399613839"/>
        <c:axId val="1"/>
      </c:lineChart>
      <c:catAx>
        <c:axId val="1399613839"/>
        <c:scaling>
          <c:orientation val="minMax"/>
        </c:scaling>
        <c:delete val="0"/>
        <c:axPos val="b"/>
        <c:title>
          <c:tx>
            <c:rich>
              <a:bodyPr/>
              <a:lstStyle/>
              <a:p>
                <a:pPr>
                  <a:defRPr sz="1000" b="0" i="0" u="none" strike="noStrike" baseline="0">
                    <a:solidFill>
                      <a:srgbClr val="333333"/>
                    </a:solidFill>
                    <a:latin typeface="Calibri"/>
                    <a:ea typeface="Calibri"/>
                    <a:cs typeface="Calibri"/>
                  </a:defRPr>
                </a:pPr>
                <a:r>
                  <a:rPr lang="en-ZA"/>
                  <a:t>Block size</a:t>
                </a:r>
              </a:p>
            </c:rich>
          </c:tx>
          <c:overlay val="0"/>
          <c:spPr>
            <a:noFill/>
            <a:ln w="25400">
              <a:noFill/>
            </a:ln>
          </c:spPr>
        </c:title>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0" vert="horz"/>
          <a:lstStyle/>
          <a:p>
            <a:pPr>
              <a:defRPr sz="900" b="0" i="0" u="none" strike="noStrike" baseline="0">
                <a:solidFill>
                  <a:srgbClr val="333333"/>
                </a:solidFill>
                <a:latin typeface="Calibri"/>
                <a:ea typeface="Calibri"/>
                <a:cs typeface="Calibri"/>
              </a:defRPr>
            </a:pPr>
            <a:endParaRPr lang="en-US"/>
          </a:p>
        </c:txPr>
        <c:crossAx val="1"/>
        <c:crosses val="autoZero"/>
        <c:auto val="1"/>
        <c:lblAlgn val="ctr"/>
        <c:lblOffset val="100"/>
        <c:noMultiLvlLbl val="0"/>
      </c:catAx>
      <c:valAx>
        <c:axId val="1"/>
        <c:scaling>
          <c:orientation val="minMax"/>
        </c:scaling>
        <c:delete val="0"/>
        <c:axPos val="l"/>
        <c:majorGridlines>
          <c:spPr>
            <a:ln w="9525" cap="flat" cmpd="sng" algn="ctr">
              <a:solidFill>
                <a:schemeClr val="tx1">
                  <a:lumMod val="15000"/>
                  <a:lumOff val="85000"/>
                </a:schemeClr>
              </a:solidFill>
              <a:round/>
            </a:ln>
            <a:effectLst/>
          </c:spPr>
        </c:majorGridlines>
        <c:title>
          <c:tx>
            <c:rich>
              <a:bodyPr/>
              <a:lstStyle/>
              <a:p>
                <a:pPr>
                  <a:defRPr sz="1000" b="0" i="0" u="none" strike="noStrike" baseline="0">
                    <a:solidFill>
                      <a:srgbClr val="333333"/>
                    </a:solidFill>
                    <a:latin typeface="Calibri"/>
                    <a:ea typeface="Calibri"/>
                    <a:cs typeface="Calibri"/>
                  </a:defRPr>
                </a:pPr>
                <a:r>
                  <a:rPr lang="en-ZA"/>
                  <a:t>R/kl</a:t>
                </a:r>
              </a:p>
            </c:rich>
          </c:tx>
          <c:overlay val="0"/>
          <c:spPr>
            <a:noFill/>
            <a:ln w="25400">
              <a:noFill/>
            </a:ln>
          </c:spPr>
        </c:title>
        <c:numFmt formatCode="_(* #,##0.00_);_(* \(#,##0.00\);_(* &quot;-&quot;??_);_(@_)" sourceLinked="1"/>
        <c:majorTickMark val="none"/>
        <c:minorTickMark val="none"/>
        <c:tickLblPos val="nextTo"/>
        <c:spPr>
          <a:ln w="6350">
            <a:noFill/>
          </a:ln>
        </c:spPr>
        <c:txPr>
          <a:bodyPr rot="0" vert="horz"/>
          <a:lstStyle/>
          <a:p>
            <a:pPr>
              <a:defRPr sz="900" b="0" i="0" u="none" strike="noStrike" baseline="0">
                <a:solidFill>
                  <a:srgbClr val="333333"/>
                </a:solidFill>
                <a:latin typeface="Calibri"/>
                <a:ea typeface="Calibri"/>
                <a:cs typeface="Calibri"/>
              </a:defRPr>
            </a:pPr>
            <a:endParaRPr lang="en-US"/>
          </a:p>
        </c:txPr>
        <c:crossAx val="1399613839"/>
        <c:crosses val="autoZero"/>
        <c:crossBetween val="between"/>
      </c:valAx>
    </c:plotArea>
    <c:legend>
      <c:legendPos val="r"/>
      <c:layout>
        <c:manualLayout>
          <c:xMode val="edge"/>
          <c:yMode val="edge"/>
          <c:x val="0.12362011021685021"/>
          <c:y val="0.92994800178279602"/>
          <c:w val="0.74541089190419463"/>
          <c:h val="5.930117225912801E-2"/>
        </c:manualLayout>
      </c:layout>
      <c:overlay val="0"/>
      <c:spPr>
        <a:noFill/>
        <a:ln w="25400">
          <a:noFill/>
        </a:ln>
      </c:spPr>
      <c:txPr>
        <a:bodyPr/>
        <a:lstStyle/>
        <a:p>
          <a:pPr>
            <a:defRPr sz="690" b="0" i="0" u="none" strike="noStrike" baseline="0">
              <a:solidFill>
                <a:srgbClr val="333333"/>
              </a:solidFill>
              <a:latin typeface="Calibri"/>
              <a:ea typeface="Calibri"/>
              <a:cs typeface="Calibri"/>
            </a:defRPr>
          </a:pPr>
          <a:endParaRPr lang="en-US"/>
        </a:p>
      </c:txPr>
    </c:legend>
    <c:plotVisOnly val="1"/>
    <c:dispBlanksAs val="gap"/>
    <c:showDLblsOverMax val="0"/>
  </c:chart>
  <c:spPr>
    <a:solidFill>
      <a:schemeClr val="bg1"/>
    </a:solidFill>
    <a:ln w="9525" cap="flat" cmpd="sng" algn="ctr">
      <a:noFill/>
      <a:round/>
    </a:ln>
    <a:effectLst/>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charts/chart13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2.3871527777777776E-2"/>
          <c:y val="4.7786414907172239E-2"/>
          <c:w val="0.57559123468941387"/>
          <c:h val="0.83529592857692603"/>
        </c:manualLayout>
      </c:layout>
      <c:barChart>
        <c:barDir val="col"/>
        <c:grouping val="stacked"/>
        <c:varyColors val="0"/>
        <c:ser>
          <c:idx val="0"/>
          <c:order val="0"/>
          <c:tx>
            <c:strRef>
              <c:f>'Sanitation report'!$I$1228</c:f>
              <c:strCache>
                <c:ptCount val="1"/>
                <c:pt idx="0">
                  <c:v>Fixed cost</c:v>
                </c:pt>
              </c:strCache>
            </c:strRef>
          </c:tx>
          <c:spPr>
            <a:solidFill>
              <a:srgbClr val="4472C4"/>
            </a:solidFill>
            <a:ln w="25400">
              <a:noFill/>
            </a:ln>
          </c:spPr>
          <c:invertIfNegative val="0"/>
          <c:dPt>
            <c:idx val="0"/>
            <c:invertIfNegative val="0"/>
            <c:bubble3D val="0"/>
            <c:spPr>
              <a:solidFill>
                <a:srgbClr val="5B9BD5"/>
              </a:solidFill>
              <a:ln w="25400">
                <a:noFill/>
              </a:ln>
            </c:spPr>
            <c:extLst>
              <c:ext xmlns:c16="http://schemas.microsoft.com/office/drawing/2014/chart" uri="{C3380CC4-5D6E-409C-BE32-E72D297353CC}">
                <c16:uniqueId val="{00000000-53D2-4C95-B39F-1BB9CE7A6B53}"/>
              </c:ext>
            </c:extLst>
          </c:dPt>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'Sanitation report'!$J$1227:$K$1227</c:f>
              <c:strCache>
                <c:ptCount val="2"/>
                <c:pt idx="0">
                  <c:v>Expenditure R'000</c:v>
                </c:pt>
                <c:pt idx="1">
                  <c:v>Revenue R'000</c:v>
                </c:pt>
              </c:strCache>
            </c:strRef>
          </c:cat>
          <c:val>
            <c:numRef>
              <c:f>'Sanitation report'!$J$1228:$K$1228</c:f>
              <c:numCache>
                <c:formatCode>General</c:formatCode>
                <c:ptCount val="2"/>
                <c:pt idx="0" formatCode="_-* #\ ##0_-;\-* #\ ##0_-;_-* &quot;-&quot;??_-;_-@_-">
                  <c:v>0</c:v>
                </c:pt>
              </c:numCache>
            </c:numRef>
          </c:val>
          <c:extLst>
            <c:ext xmlns:c16="http://schemas.microsoft.com/office/drawing/2014/chart" uri="{C3380CC4-5D6E-409C-BE32-E72D297353CC}">
              <c16:uniqueId val="{00000001-53D2-4C95-B39F-1BB9CE7A6B53}"/>
            </c:ext>
          </c:extLst>
        </c:ser>
        <c:ser>
          <c:idx val="1"/>
          <c:order val="1"/>
          <c:tx>
            <c:strRef>
              <c:f>'Sanitation report'!$I$1229</c:f>
              <c:strCache>
                <c:ptCount val="1"/>
                <c:pt idx="0">
                  <c:v>Variable cost</c:v>
                </c:pt>
              </c:strCache>
            </c:strRef>
          </c:tx>
          <c:spPr>
            <a:solidFill>
              <a:schemeClr val="accent5">
                <a:lumMod val="60000"/>
                <a:lumOff val="40000"/>
              </a:schemeClr>
            </a:solidFill>
            <a:ln>
              <a:noFill/>
            </a:ln>
            <a:effectLst/>
          </c:spPr>
          <c:invertIfNegative val="0"/>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'Sanitation report'!$J$1227:$K$1227</c:f>
              <c:strCache>
                <c:ptCount val="2"/>
                <c:pt idx="0">
                  <c:v>Expenditure R'000</c:v>
                </c:pt>
                <c:pt idx="1">
                  <c:v>Revenue R'000</c:v>
                </c:pt>
              </c:strCache>
            </c:strRef>
          </c:cat>
          <c:val>
            <c:numRef>
              <c:f>'Sanitation report'!$J$1229:$K$1229</c:f>
              <c:numCache>
                <c:formatCode>General</c:formatCode>
                <c:ptCount val="2"/>
                <c:pt idx="0" formatCode="_-* #\ ##0_-;\-* #\ ##0_-;_-* &quot;-&quot;??_-;_-@_-">
                  <c:v>0</c:v>
                </c:pt>
              </c:numCache>
            </c:numRef>
          </c:val>
          <c:extLst>
            <c:ext xmlns:c16="http://schemas.microsoft.com/office/drawing/2014/chart" uri="{C3380CC4-5D6E-409C-BE32-E72D297353CC}">
              <c16:uniqueId val="{00000002-53D2-4C95-B39F-1BB9CE7A6B53}"/>
            </c:ext>
          </c:extLst>
        </c:ser>
        <c:ser>
          <c:idx val="2"/>
          <c:order val="2"/>
          <c:tx>
            <c:strRef>
              <c:f>'Sanitation report'!$I$1230</c:f>
              <c:strCache>
                <c:ptCount val="1"/>
                <c:pt idx="0">
                  <c:v>Surplus</c:v>
                </c:pt>
              </c:strCache>
            </c:strRef>
          </c:tx>
          <c:spPr>
            <a:solidFill>
              <a:srgbClr val="A5A5A5"/>
            </a:solidFill>
            <a:ln w="25400">
              <a:noFill/>
            </a:ln>
          </c:spPr>
          <c:invertIfNegative val="0"/>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'Sanitation report'!$J$1227:$K$1227</c:f>
              <c:strCache>
                <c:ptCount val="2"/>
                <c:pt idx="0">
                  <c:v>Expenditure R'000</c:v>
                </c:pt>
                <c:pt idx="1">
                  <c:v>Revenue R'000</c:v>
                </c:pt>
              </c:strCache>
            </c:strRef>
          </c:cat>
          <c:val>
            <c:numRef>
              <c:f>'Sanitation report'!$J$1230:$K$1230</c:f>
              <c:numCache>
                <c:formatCode>General</c:formatCode>
                <c:ptCount val="2"/>
                <c:pt idx="0" formatCode="_-* #\ ##0_-;\-* #\ ##0_-;_-* &quot;-&quot;??_-;_-@_-">
                  <c:v>0</c:v>
                </c:pt>
              </c:numCache>
            </c:numRef>
          </c:val>
          <c:extLst>
            <c:ext xmlns:c16="http://schemas.microsoft.com/office/drawing/2014/chart" uri="{C3380CC4-5D6E-409C-BE32-E72D297353CC}">
              <c16:uniqueId val="{00000003-53D2-4C95-B39F-1BB9CE7A6B53}"/>
            </c:ext>
          </c:extLst>
        </c:ser>
        <c:ser>
          <c:idx val="4"/>
          <c:order val="3"/>
          <c:tx>
            <c:strRef>
              <c:f>'Sanitation report'!$I$1231</c:f>
              <c:strCache>
                <c:ptCount val="1"/>
                <c:pt idx="0">
                  <c:v>Tariff revenue</c:v>
                </c:pt>
              </c:strCache>
            </c:strRef>
          </c:tx>
          <c:spPr>
            <a:solidFill>
              <a:srgbClr val="5B9BD5"/>
            </a:solidFill>
            <a:ln w="25400">
              <a:noFill/>
            </a:ln>
          </c:spPr>
          <c:invertIfNegative val="0"/>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'Sanitation report'!$J$1227:$K$1227</c:f>
              <c:strCache>
                <c:ptCount val="2"/>
                <c:pt idx="0">
                  <c:v>Expenditure R'000</c:v>
                </c:pt>
                <c:pt idx="1">
                  <c:v>Revenue R'000</c:v>
                </c:pt>
              </c:strCache>
            </c:strRef>
          </c:cat>
          <c:val>
            <c:numRef>
              <c:f>'Sanitation report'!$J$1231:$K$1231</c:f>
              <c:numCache>
                <c:formatCode>_-* #\ ##0_-;\-* #\ ##0_-;_-* "-"??_-;_-@_-</c:formatCode>
                <c:ptCount val="2"/>
                <c:pt idx="1">
                  <c:v>0</c:v>
                </c:pt>
              </c:numCache>
            </c:numRef>
          </c:val>
          <c:extLst>
            <c:ext xmlns:c16="http://schemas.microsoft.com/office/drawing/2014/chart" uri="{C3380CC4-5D6E-409C-BE32-E72D297353CC}">
              <c16:uniqueId val="{00000004-53D2-4C95-B39F-1BB9CE7A6B53}"/>
            </c:ext>
          </c:extLst>
        </c:ser>
        <c:ser>
          <c:idx val="5"/>
          <c:order val="4"/>
          <c:tx>
            <c:strRef>
              <c:f>'Sanitation report'!$I$1232</c:f>
              <c:strCache>
                <c:ptCount val="1"/>
                <c:pt idx="0">
                  <c:v>External grants &amp; subsidies</c:v>
                </c:pt>
              </c:strCache>
            </c:strRef>
          </c:tx>
          <c:spPr>
            <a:solidFill>
              <a:srgbClr val="A5A5A5"/>
            </a:solidFill>
            <a:ln w="25400">
              <a:noFill/>
            </a:ln>
          </c:spPr>
          <c:invertIfNegative val="0"/>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'Sanitation report'!$J$1227:$K$1227</c:f>
              <c:strCache>
                <c:ptCount val="2"/>
                <c:pt idx="0">
                  <c:v>Expenditure R'000</c:v>
                </c:pt>
                <c:pt idx="1">
                  <c:v>Revenue R'000</c:v>
                </c:pt>
              </c:strCache>
            </c:strRef>
          </c:cat>
          <c:val>
            <c:numRef>
              <c:f>'Sanitation report'!$J$1232:$K$1232</c:f>
              <c:numCache>
                <c:formatCode>_-* #\ ##0_-;\-* #\ ##0_-;_-* "-"??_-;_-@_-</c:formatCode>
                <c:ptCount val="2"/>
                <c:pt idx="1">
                  <c:v>0</c:v>
                </c:pt>
              </c:numCache>
            </c:numRef>
          </c:val>
          <c:extLst>
            <c:ext xmlns:c16="http://schemas.microsoft.com/office/drawing/2014/chart" uri="{C3380CC4-5D6E-409C-BE32-E72D297353CC}">
              <c16:uniqueId val="{00000005-53D2-4C95-B39F-1BB9CE7A6B53}"/>
            </c:ext>
          </c:extLst>
        </c:ser>
        <c:ser>
          <c:idx val="3"/>
          <c:order val="5"/>
          <c:tx>
            <c:strRef>
              <c:f>'Sanitation report'!$I$1233</c:f>
              <c:strCache>
                <c:ptCount val="1"/>
                <c:pt idx="0">
                  <c:v>Other non-tariff revenue</c:v>
                </c:pt>
              </c:strCache>
            </c:strRef>
          </c:tx>
          <c:spPr>
            <a:solidFill>
              <a:schemeClr val="accent3">
                <a:lumMod val="40000"/>
                <a:lumOff val="60000"/>
              </a:schemeClr>
            </a:solidFill>
            <a:ln>
              <a:noFill/>
            </a:ln>
            <a:effectLst/>
          </c:spPr>
          <c:invertIfNegative val="0"/>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'Sanitation report'!$J$1227:$K$1227</c:f>
              <c:strCache>
                <c:ptCount val="2"/>
                <c:pt idx="0">
                  <c:v>Expenditure R'000</c:v>
                </c:pt>
                <c:pt idx="1">
                  <c:v>Revenue R'000</c:v>
                </c:pt>
              </c:strCache>
            </c:strRef>
          </c:cat>
          <c:val>
            <c:numRef>
              <c:f>'Sanitation report'!$J$1233:$K$1233</c:f>
              <c:numCache>
                <c:formatCode>_-* #\ ##0_-;\-* #\ ##0_-;_-* "-"??_-;_-@_-</c:formatCode>
                <c:ptCount val="2"/>
                <c:pt idx="1">
                  <c:v>0</c:v>
                </c:pt>
              </c:numCache>
            </c:numRef>
          </c:val>
          <c:extLst>
            <c:ext xmlns:c16="http://schemas.microsoft.com/office/drawing/2014/chart" uri="{C3380CC4-5D6E-409C-BE32-E72D297353CC}">
              <c16:uniqueId val="{00000006-53D2-4C95-B39F-1BB9CE7A6B53}"/>
            </c:ext>
          </c:extLst>
        </c:ser>
        <c:ser>
          <c:idx val="6"/>
          <c:order val="6"/>
          <c:tx>
            <c:strRef>
              <c:f>'Sanitation report'!$I$1234</c:f>
              <c:strCache>
                <c:ptCount val="1"/>
                <c:pt idx="0">
                  <c:v>Deficit</c:v>
                </c:pt>
              </c:strCache>
            </c:strRef>
          </c:tx>
          <c:spPr>
            <a:solidFill>
              <a:srgbClr val="ED7D31"/>
            </a:solidFill>
            <a:ln w="25400">
              <a:noFill/>
            </a:ln>
          </c:spPr>
          <c:invertIfNegative val="0"/>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'Sanitation report'!$J$1227:$K$1227</c:f>
              <c:strCache>
                <c:ptCount val="2"/>
                <c:pt idx="0">
                  <c:v>Expenditure R'000</c:v>
                </c:pt>
                <c:pt idx="1">
                  <c:v>Revenue R'000</c:v>
                </c:pt>
              </c:strCache>
            </c:strRef>
          </c:cat>
          <c:val>
            <c:numRef>
              <c:f>'Sanitation report'!$J$1234:$K$1234</c:f>
              <c:numCache>
                <c:formatCode>_-* #\ ##0_-;\-* #\ ##0_-;_-* "-"??_-;_-@_-</c:formatCode>
                <c:ptCount val="2"/>
                <c:pt idx="1">
                  <c:v>0</c:v>
                </c:pt>
              </c:numCache>
            </c:numRef>
          </c:val>
          <c:extLst>
            <c:ext xmlns:c16="http://schemas.microsoft.com/office/drawing/2014/chart" uri="{C3380CC4-5D6E-409C-BE32-E72D297353CC}">
              <c16:uniqueId val="{00000007-53D2-4C95-B39F-1BB9CE7A6B53}"/>
            </c:ext>
          </c:extLst>
        </c:ser>
        <c:dLbls>
          <c:showLegendKey val="0"/>
          <c:showVal val="0"/>
          <c:showCatName val="0"/>
          <c:showSerName val="0"/>
          <c:showPercent val="0"/>
          <c:showBubbleSize val="0"/>
        </c:dLbls>
        <c:gapWidth val="25"/>
        <c:overlap val="100"/>
        <c:axId val="1399634479"/>
        <c:axId val="1"/>
      </c:barChart>
      <c:catAx>
        <c:axId val="1399634479"/>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0" vert="horz"/>
          <a:lstStyle/>
          <a:p>
            <a:pPr>
              <a:defRPr sz="1100" b="0" i="0" u="none" strike="noStrike" baseline="0">
                <a:solidFill>
                  <a:srgbClr val="000000"/>
                </a:solidFill>
                <a:latin typeface="Calibri"/>
                <a:ea typeface="Calibri"/>
                <a:cs typeface="Calibri"/>
              </a:defRPr>
            </a:pPr>
            <a:endParaRPr lang="en-US"/>
          </a:p>
        </c:txPr>
        <c:crossAx val="1"/>
        <c:crosses val="autoZero"/>
        <c:auto val="1"/>
        <c:lblAlgn val="ctr"/>
        <c:lblOffset val="100"/>
        <c:noMultiLvlLbl val="0"/>
      </c:catAx>
      <c:valAx>
        <c:axId val="1"/>
        <c:scaling>
          <c:orientation val="minMax"/>
        </c:scaling>
        <c:delete val="1"/>
        <c:axPos val="l"/>
        <c:majorGridlines>
          <c:spPr>
            <a:ln w="9525" cap="flat" cmpd="sng" algn="ctr">
              <a:solidFill>
                <a:schemeClr val="tx1">
                  <a:lumMod val="15000"/>
                  <a:lumOff val="85000"/>
                </a:schemeClr>
              </a:solidFill>
              <a:round/>
            </a:ln>
            <a:effectLst/>
          </c:spPr>
        </c:majorGridlines>
        <c:numFmt formatCode="_-* #\ ##0_-;\-* #\ ##0_-;_-* &quot;-&quot;??_-;_-@_-" sourceLinked="1"/>
        <c:majorTickMark val="out"/>
        <c:minorTickMark val="none"/>
        <c:tickLblPos val="nextTo"/>
        <c:crossAx val="1399634479"/>
        <c:crosses val="autoZero"/>
        <c:crossBetween val="between"/>
      </c:valAx>
    </c:plotArea>
    <c:legend>
      <c:legendPos val="r"/>
      <c:layout>
        <c:manualLayout>
          <c:xMode val="edge"/>
          <c:yMode val="edge"/>
          <c:x val="0.63060873861355571"/>
          <c:y val="0.19876461094537096"/>
          <c:w val="0.34824665740311866"/>
          <c:h val="0.70809931367274737"/>
        </c:manualLayout>
      </c:layout>
      <c:overlay val="0"/>
      <c:spPr>
        <a:noFill/>
        <a:ln w="25400">
          <a:noFill/>
        </a:ln>
      </c:spPr>
      <c:txPr>
        <a:bodyPr/>
        <a:lstStyle/>
        <a:p>
          <a:pPr>
            <a:defRPr sz="850" b="0" i="0" u="none" strike="noStrike" baseline="0">
              <a:solidFill>
                <a:srgbClr val="000000"/>
              </a:solidFill>
              <a:latin typeface="Calibri"/>
              <a:ea typeface="Calibri"/>
              <a:cs typeface="Calibri"/>
            </a:defRPr>
          </a:pPr>
          <a:endParaRPr lang="en-US"/>
        </a:p>
      </c:txPr>
    </c:legend>
    <c:plotVisOnly val="1"/>
    <c:dispBlanksAs val="gap"/>
    <c:showDLblsOverMax val="0"/>
  </c:chart>
  <c:spPr>
    <a:solidFill>
      <a:schemeClr val="bg1"/>
    </a:solidFill>
    <a:ln w="9525" cap="flat" cmpd="sng" algn="ctr">
      <a:noFill/>
      <a:round/>
    </a:ln>
    <a:effectLst/>
  </c:spPr>
  <c:txPr>
    <a:bodyPr/>
    <a:lstStyle/>
    <a:p>
      <a:pPr>
        <a:defRPr sz="1100" b="0" i="0" u="none" strike="noStrike" baseline="0">
          <a:solidFill>
            <a:srgbClr val="000000"/>
          </a:solidFill>
          <a:latin typeface="Calibri"/>
          <a:ea typeface="Calibri"/>
          <a:cs typeface="Calibri"/>
        </a:defRPr>
      </a:pPr>
      <a:endParaRPr lang="en-US"/>
    </a:p>
  </c:txPr>
  <c:printSettings>
    <c:headerFooter/>
    <c:pageMargins b="0.75" l="0.7" r="0.7" t="0.75" header="0.3" footer="0.3"/>
    <c:pageSetup orientation="portrait"/>
  </c:printSettings>
</c:chartSpace>
</file>

<file path=xl/charts/chart13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ser>
          <c:idx val="0"/>
          <c:order val="0"/>
          <c:tx>
            <c:strRef>
              <c:f>'Sanitation report'!$K$1250</c:f>
              <c:strCache>
                <c:ptCount val="1"/>
                <c:pt idx="0">
                  <c:v>Tariff </c:v>
                </c:pt>
              </c:strCache>
            </c:strRef>
          </c:tx>
          <c:spPr>
            <a:solidFill>
              <a:srgbClr val="4472C4"/>
            </a:solidFill>
            <a:ln w="25400">
              <a:noFill/>
            </a:ln>
          </c:spPr>
          <c:invertIfNegative val="0"/>
          <c:dLbls>
            <c:spPr>
              <a:noFill/>
              <a:ln w="25400">
                <a:noFill/>
              </a:ln>
            </c:spPr>
            <c:txPr>
              <a:bodyPr wrap="square" lIns="38100" tIns="19050" rIns="38100" bIns="19050" anchor="ctr">
                <a:spAutoFit/>
              </a:bodyPr>
              <a:lstStyle/>
              <a:p>
                <a:pPr>
                  <a:defRPr sz="900" b="0" i="0" u="none" strike="noStrike" baseline="0">
                    <a:solidFill>
                      <a:srgbClr val="333333"/>
                    </a:solidFill>
                    <a:latin typeface="Calibri"/>
                    <a:ea typeface="Calibri"/>
                    <a:cs typeface="Calibri"/>
                  </a:defRPr>
                </a:pPr>
                <a:endParaRPr lang="en-US"/>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'Sanitation report'!$J$1251:$J$1260</c:f>
              <c:strCache>
                <c:ptCount val="10"/>
                <c:pt idx="0">
                  <c:v>0</c:v>
                </c:pt>
                <c:pt idx="1">
                  <c:v>0</c:v>
                </c:pt>
                <c:pt idx="2">
                  <c:v>0</c:v>
                </c:pt>
                <c:pt idx="3">
                  <c:v>0</c:v>
                </c:pt>
                <c:pt idx="4">
                  <c:v>0</c:v>
                </c:pt>
                <c:pt idx="5">
                  <c:v>0</c:v>
                </c:pt>
                <c:pt idx="6">
                  <c:v>0</c:v>
                </c:pt>
                <c:pt idx="7">
                  <c:v>0</c:v>
                </c:pt>
                <c:pt idx="8">
                  <c:v>0</c:v>
                </c:pt>
                <c:pt idx="9">
                  <c:v>More</c:v>
                </c:pt>
              </c:strCache>
            </c:strRef>
          </c:cat>
          <c:val>
            <c:numRef>
              <c:f>'Sanitation report'!$K$1251:$K$1260</c:f>
              <c:numCache>
                <c:formatCode>_(* #,##0.00_);_(* \(#,##0.00\);_(* "-"??_);_(@_)</c:formatCode>
                <c:ptCount val="10"/>
                <c:pt idx="0">
                  <c:v>0</c:v>
                </c:pt>
                <c:pt idx="1">
                  <c:v>0</c:v>
                </c:pt>
                <c:pt idx="2">
                  <c:v>0</c:v>
                </c:pt>
                <c:pt idx="3">
                  <c:v>0</c:v>
                </c:pt>
                <c:pt idx="4">
                  <c:v>0</c:v>
                </c:pt>
                <c:pt idx="5">
                  <c:v>0</c:v>
                </c:pt>
                <c:pt idx="6">
                  <c:v>0</c:v>
                </c:pt>
                <c:pt idx="7">
                  <c:v>0</c:v>
                </c:pt>
                <c:pt idx="8">
                  <c:v>0</c:v>
                </c:pt>
                <c:pt idx="9">
                  <c:v>0</c:v>
                </c:pt>
              </c:numCache>
            </c:numRef>
          </c:val>
          <c:extLst>
            <c:ext xmlns:c16="http://schemas.microsoft.com/office/drawing/2014/chart" uri="{C3380CC4-5D6E-409C-BE32-E72D297353CC}">
              <c16:uniqueId val="{00000000-CF3B-4F1B-B655-89A31D47485A}"/>
            </c:ext>
          </c:extLst>
        </c:ser>
        <c:dLbls>
          <c:showLegendKey val="0"/>
          <c:showVal val="0"/>
          <c:showCatName val="0"/>
          <c:showSerName val="0"/>
          <c:showPercent val="0"/>
          <c:showBubbleSize val="0"/>
        </c:dLbls>
        <c:gapWidth val="50"/>
        <c:axId val="1399623919"/>
        <c:axId val="1"/>
      </c:barChart>
      <c:lineChart>
        <c:grouping val="standard"/>
        <c:varyColors val="0"/>
        <c:ser>
          <c:idx val="1"/>
          <c:order val="1"/>
          <c:tx>
            <c:strRef>
              <c:f>'Sanitation report'!$L$1250</c:f>
              <c:strCache>
                <c:ptCount val="1"/>
                <c:pt idx="0">
                  <c:v>Total cost per kl </c:v>
                </c:pt>
              </c:strCache>
            </c:strRef>
          </c:tx>
          <c:spPr>
            <a:ln w="28575" cap="rnd">
              <a:solidFill>
                <a:schemeClr val="accent2"/>
              </a:solidFill>
              <a:round/>
            </a:ln>
            <a:effectLst/>
          </c:spPr>
          <c:marker>
            <c:symbol val="none"/>
          </c:marker>
          <c:val>
            <c:numRef>
              <c:f>'Sanitation report'!$L$1251:$L$1260</c:f>
              <c:numCache>
                <c:formatCode>_(* #,##0.00_);_(* \(#,##0.00\);_(* "-"??_);_(@_)</c:formatCode>
                <c:ptCount val="10"/>
                <c:pt idx="0">
                  <c:v>0</c:v>
                </c:pt>
                <c:pt idx="1">
                  <c:v>0</c:v>
                </c:pt>
                <c:pt idx="2">
                  <c:v>0</c:v>
                </c:pt>
                <c:pt idx="3">
                  <c:v>0</c:v>
                </c:pt>
                <c:pt idx="4">
                  <c:v>0</c:v>
                </c:pt>
                <c:pt idx="5">
                  <c:v>0</c:v>
                </c:pt>
                <c:pt idx="6">
                  <c:v>0</c:v>
                </c:pt>
                <c:pt idx="7">
                  <c:v>0</c:v>
                </c:pt>
                <c:pt idx="8">
                  <c:v>0</c:v>
                </c:pt>
                <c:pt idx="9">
                  <c:v>0</c:v>
                </c:pt>
              </c:numCache>
            </c:numRef>
          </c:val>
          <c:smooth val="0"/>
          <c:extLst>
            <c:ext xmlns:c16="http://schemas.microsoft.com/office/drawing/2014/chart" uri="{C3380CC4-5D6E-409C-BE32-E72D297353CC}">
              <c16:uniqueId val="{00000001-CF3B-4F1B-B655-89A31D47485A}"/>
            </c:ext>
          </c:extLst>
        </c:ser>
        <c:ser>
          <c:idx val="2"/>
          <c:order val="2"/>
          <c:tx>
            <c:strRef>
              <c:f>'Sanitation report'!$M$1250</c:f>
              <c:strCache>
                <c:ptCount val="1"/>
                <c:pt idx="0">
                  <c:v>Variable cost per kl treated</c:v>
                </c:pt>
              </c:strCache>
            </c:strRef>
          </c:tx>
          <c:spPr>
            <a:ln w="28575" cap="rnd">
              <a:solidFill>
                <a:schemeClr val="accent3"/>
              </a:solidFill>
              <a:round/>
            </a:ln>
            <a:effectLst/>
          </c:spPr>
          <c:marker>
            <c:symbol val="none"/>
          </c:marker>
          <c:val>
            <c:numRef>
              <c:f>'Sanitation report'!$M$1251:$M$1260</c:f>
              <c:numCache>
                <c:formatCode>_(* #,##0.00_);_(* \(#,##0.00\);_(* "-"??_);_(@_)</c:formatCode>
                <c:ptCount val="10"/>
                <c:pt idx="0">
                  <c:v>0</c:v>
                </c:pt>
                <c:pt idx="1">
                  <c:v>0</c:v>
                </c:pt>
                <c:pt idx="2">
                  <c:v>0</c:v>
                </c:pt>
                <c:pt idx="3">
                  <c:v>0</c:v>
                </c:pt>
                <c:pt idx="4">
                  <c:v>0</c:v>
                </c:pt>
                <c:pt idx="5">
                  <c:v>0</c:v>
                </c:pt>
                <c:pt idx="6">
                  <c:v>0</c:v>
                </c:pt>
                <c:pt idx="7">
                  <c:v>0</c:v>
                </c:pt>
                <c:pt idx="8">
                  <c:v>0</c:v>
                </c:pt>
                <c:pt idx="9">
                  <c:v>0</c:v>
                </c:pt>
              </c:numCache>
            </c:numRef>
          </c:val>
          <c:smooth val="0"/>
          <c:extLst>
            <c:ext xmlns:c16="http://schemas.microsoft.com/office/drawing/2014/chart" uri="{C3380CC4-5D6E-409C-BE32-E72D297353CC}">
              <c16:uniqueId val="{00000002-CF3B-4F1B-B655-89A31D47485A}"/>
            </c:ext>
          </c:extLst>
        </c:ser>
        <c:dLbls>
          <c:showLegendKey val="0"/>
          <c:showVal val="0"/>
          <c:showCatName val="0"/>
          <c:showSerName val="0"/>
          <c:showPercent val="0"/>
          <c:showBubbleSize val="0"/>
        </c:dLbls>
        <c:marker val="1"/>
        <c:smooth val="0"/>
        <c:axId val="1399623919"/>
        <c:axId val="1"/>
      </c:lineChart>
      <c:catAx>
        <c:axId val="1399623919"/>
        <c:scaling>
          <c:orientation val="minMax"/>
        </c:scaling>
        <c:delete val="0"/>
        <c:axPos val="b"/>
        <c:title>
          <c:tx>
            <c:rich>
              <a:bodyPr/>
              <a:lstStyle/>
              <a:p>
                <a:pPr>
                  <a:defRPr sz="1000" b="0" i="0" u="none" strike="noStrike" baseline="0">
                    <a:solidFill>
                      <a:srgbClr val="333333"/>
                    </a:solidFill>
                    <a:latin typeface="Calibri"/>
                    <a:ea typeface="Calibri"/>
                    <a:cs typeface="Calibri"/>
                  </a:defRPr>
                </a:pPr>
                <a:r>
                  <a:rPr lang="en-ZA"/>
                  <a:t>Block size</a:t>
                </a:r>
              </a:p>
            </c:rich>
          </c:tx>
          <c:overlay val="0"/>
          <c:spPr>
            <a:noFill/>
            <a:ln w="25400">
              <a:noFill/>
            </a:ln>
          </c:spPr>
        </c:title>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0" vert="horz"/>
          <a:lstStyle/>
          <a:p>
            <a:pPr>
              <a:defRPr sz="900" b="0" i="0" u="none" strike="noStrike" baseline="0">
                <a:solidFill>
                  <a:srgbClr val="333333"/>
                </a:solidFill>
                <a:latin typeface="Calibri"/>
                <a:ea typeface="Calibri"/>
                <a:cs typeface="Calibri"/>
              </a:defRPr>
            </a:pPr>
            <a:endParaRPr lang="en-US"/>
          </a:p>
        </c:txPr>
        <c:crossAx val="1"/>
        <c:crosses val="autoZero"/>
        <c:auto val="1"/>
        <c:lblAlgn val="ctr"/>
        <c:lblOffset val="100"/>
        <c:noMultiLvlLbl val="0"/>
      </c:catAx>
      <c:valAx>
        <c:axId val="1"/>
        <c:scaling>
          <c:orientation val="minMax"/>
        </c:scaling>
        <c:delete val="0"/>
        <c:axPos val="l"/>
        <c:majorGridlines>
          <c:spPr>
            <a:ln w="9525" cap="flat" cmpd="sng" algn="ctr">
              <a:solidFill>
                <a:schemeClr val="tx1">
                  <a:lumMod val="15000"/>
                  <a:lumOff val="85000"/>
                </a:schemeClr>
              </a:solidFill>
              <a:round/>
            </a:ln>
            <a:effectLst/>
          </c:spPr>
        </c:majorGridlines>
        <c:title>
          <c:tx>
            <c:rich>
              <a:bodyPr/>
              <a:lstStyle/>
              <a:p>
                <a:pPr>
                  <a:defRPr sz="1000" b="0" i="0" u="none" strike="noStrike" baseline="0">
                    <a:solidFill>
                      <a:srgbClr val="333333"/>
                    </a:solidFill>
                    <a:latin typeface="Calibri"/>
                    <a:ea typeface="Calibri"/>
                    <a:cs typeface="Calibri"/>
                  </a:defRPr>
                </a:pPr>
                <a:r>
                  <a:rPr lang="en-ZA"/>
                  <a:t>R/kl</a:t>
                </a:r>
              </a:p>
            </c:rich>
          </c:tx>
          <c:overlay val="0"/>
          <c:spPr>
            <a:noFill/>
            <a:ln w="25400">
              <a:noFill/>
            </a:ln>
          </c:spPr>
        </c:title>
        <c:numFmt formatCode="_(* #,##0.00_);_(* \(#,##0.00\);_(* &quot;-&quot;??_);_(@_)" sourceLinked="1"/>
        <c:majorTickMark val="none"/>
        <c:minorTickMark val="none"/>
        <c:tickLblPos val="nextTo"/>
        <c:spPr>
          <a:ln w="6350">
            <a:noFill/>
          </a:ln>
        </c:spPr>
        <c:txPr>
          <a:bodyPr rot="0" vert="horz"/>
          <a:lstStyle/>
          <a:p>
            <a:pPr>
              <a:defRPr sz="900" b="0" i="0" u="none" strike="noStrike" baseline="0">
                <a:solidFill>
                  <a:srgbClr val="333333"/>
                </a:solidFill>
                <a:latin typeface="Calibri"/>
                <a:ea typeface="Calibri"/>
                <a:cs typeface="Calibri"/>
              </a:defRPr>
            </a:pPr>
            <a:endParaRPr lang="en-US"/>
          </a:p>
        </c:txPr>
        <c:crossAx val="1399623919"/>
        <c:crosses val="autoZero"/>
        <c:crossBetween val="between"/>
      </c:valAx>
    </c:plotArea>
    <c:legend>
      <c:legendPos val="r"/>
      <c:layout>
        <c:manualLayout>
          <c:xMode val="edge"/>
          <c:yMode val="edge"/>
          <c:x val="0.12362011021685021"/>
          <c:y val="0.92994800178279602"/>
          <c:w val="0.74541089190419463"/>
          <c:h val="5.930117225912801E-2"/>
        </c:manualLayout>
      </c:layout>
      <c:overlay val="0"/>
      <c:spPr>
        <a:noFill/>
        <a:ln w="25400">
          <a:noFill/>
        </a:ln>
      </c:spPr>
      <c:txPr>
        <a:bodyPr/>
        <a:lstStyle/>
        <a:p>
          <a:pPr>
            <a:defRPr sz="690" b="0" i="0" u="none" strike="noStrike" baseline="0">
              <a:solidFill>
                <a:srgbClr val="333333"/>
              </a:solidFill>
              <a:latin typeface="Calibri"/>
              <a:ea typeface="Calibri"/>
              <a:cs typeface="Calibri"/>
            </a:defRPr>
          </a:pPr>
          <a:endParaRPr lang="en-US"/>
        </a:p>
      </c:txPr>
    </c:legend>
    <c:plotVisOnly val="1"/>
    <c:dispBlanksAs val="gap"/>
    <c:showDLblsOverMax val="0"/>
  </c:chart>
  <c:spPr>
    <a:solidFill>
      <a:schemeClr val="bg1"/>
    </a:solidFill>
    <a:ln w="9525" cap="flat" cmpd="sng" algn="ctr">
      <a:noFill/>
      <a:round/>
    </a:ln>
    <a:effectLst/>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charts/chart14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2.3871527777777776E-2"/>
          <c:y val="4.7786414907172239E-2"/>
          <c:w val="0.57559123468941387"/>
          <c:h val="0.83529592857692603"/>
        </c:manualLayout>
      </c:layout>
      <c:barChart>
        <c:barDir val="col"/>
        <c:grouping val="stacked"/>
        <c:varyColors val="0"/>
        <c:ser>
          <c:idx val="0"/>
          <c:order val="0"/>
          <c:tx>
            <c:strRef>
              <c:f>'Sanitation report'!$I$1295</c:f>
              <c:strCache>
                <c:ptCount val="1"/>
                <c:pt idx="0">
                  <c:v>Fixed cost</c:v>
                </c:pt>
              </c:strCache>
            </c:strRef>
          </c:tx>
          <c:spPr>
            <a:solidFill>
              <a:srgbClr val="4472C4"/>
            </a:solidFill>
            <a:ln w="25400">
              <a:noFill/>
            </a:ln>
          </c:spPr>
          <c:invertIfNegative val="0"/>
          <c:dPt>
            <c:idx val="0"/>
            <c:invertIfNegative val="0"/>
            <c:bubble3D val="0"/>
            <c:spPr>
              <a:solidFill>
                <a:srgbClr val="5B9BD5"/>
              </a:solidFill>
              <a:ln w="25400">
                <a:noFill/>
              </a:ln>
            </c:spPr>
            <c:extLst>
              <c:ext xmlns:c16="http://schemas.microsoft.com/office/drawing/2014/chart" uri="{C3380CC4-5D6E-409C-BE32-E72D297353CC}">
                <c16:uniqueId val="{00000000-0777-4039-A8BF-9CEEA77C73E6}"/>
              </c:ext>
            </c:extLst>
          </c:dPt>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'Sanitation report'!$J$1294:$K$1294</c:f>
              <c:strCache>
                <c:ptCount val="2"/>
                <c:pt idx="0">
                  <c:v>Expenditure R'000</c:v>
                </c:pt>
                <c:pt idx="1">
                  <c:v>Revenue R'000</c:v>
                </c:pt>
              </c:strCache>
            </c:strRef>
          </c:cat>
          <c:val>
            <c:numRef>
              <c:f>'Sanitation report'!$J$1295:$K$1295</c:f>
              <c:numCache>
                <c:formatCode>General</c:formatCode>
                <c:ptCount val="2"/>
                <c:pt idx="0" formatCode="_-* #\ ##0_-;\-* #\ ##0_-;_-* &quot;-&quot;??_-;_-@_-">
                  <c:v>0</c:v>
                </c:pt>
              </c:numCache>
            </c:numRef>
          </c:val>
          <c:extLst>
            <c:ext xmlns:c16="http://schemas.microsoft.com/office/drawing/2014/chart" uri="{C3380CC4-5D6E-409C-BE32-E72D297353CC}">
              <c16:uniqueId val="{00000001-0777-4039-A8BF-9CEEA77C73E6}"/>
            </c:ext>
          </c:extLst>
        </c:ser>
        <c:ser>
          <c:idx val="1"/>
          <c:order val="1"/>
          <c:tx>
            <c:strRef>
              <c:f>'Sanitation report'!$I$1296</c:f>
              <c:strCache>
                <c:ptCount val="1"/>
                <c:pt idx="0">
                  <c:v>Variable cost</c:v>
                </c:pt>
              </c:strCache>
            </c:strRef>
          </c:tx>
          <c:spPr>
            <a:solidFill>
              <a:schemeClr val="accent5">
                <a:lumMod val="60000"/>
                <a:lumOff val="40000"/>
              </a:schemeClr>
            </a:solidFill>
            <a:ln>
              <a:noFill/>
            </a:ln>
            <a:effectLst/>
          </c:spPr>
          <c:invertIfNegative val="0"/>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'Sanitation report'!$J$1294:$K$1294</c:f>
              <c:strCache>
                <c:ptCount val="2"/>
                <c:pt idx="0">
                  <c:v>Expenditure R'000</c:v>
                </c:pt>
                <c:pt idx="1">
                  <c:v>Revenue R'000</c:v>
                </c:pt>
              </c:strCache>
            </c:strRef>
          </c:cat>
          <c:val>
            <c:numRef>
              <c:f>'Sanitation report'!$J$1296:$K$1296</c:f>
              <c:numCache>
                <c:formatCode>General</c:formatCode>
                <c:ptCount val="2"/>
                <c:pt idx="0" formatCode="_-* #\ ##0_-;\-* #\ ##0_-;_-* &quot;-&quot;??_-;_-@_-">
                  <c:v>0</c:v>
                </c:pt>
              </c:numCache>
            </c:numRef>
          </c:val>
          <c:extLst>
            <c:ext xmlns:c16="http://schemas.microsoft.com/office/drawing/2014/chart" uri="{C3380CC4-5D6E-409C-BE32-E72D297353CC}">
              <c16:uniqueId val="{00000002-0777-4039-A8BF-9CEEA77C73E6}"/>
            </c:ext>
          </c:extLst>
        </c:ser>
        <c:ser>
          <c:idx val="2"/>
          <c:order val="2"/>
          <c:tx>
            <c:strRef>
              <c:f>'Sanitation report'!$I$1297</c:f>
              <c:strCache>
                <c:ptCount val="1"/>
                <c:pt idx="0">
                  <c:v>Surplus</c:v>
                </c:pt>
              </c:strCache>
            </c:strRef>
          </c:tx>
          <c:spPr>
            <a:solidFill>
              <a:srgbClr val="A5A5A5"/>
            </a:solidFill>
            <a:ln w="25400">
              <a:noFill/>
            </a:ln>
          </c:spPr>
          <c:invertIfNegative val="0"/>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'Sanitation report'!$J$1294:$K$1294</c:f>
              <c:strCache>
                <c:ptCount val="2"/>
                <c:pt idx="0">
                  <c:v>Expenditure R'000</c:v>
                </c:pt>
                <c:pt idx="1">
                  <c:v>Revenue R'000</c:v>
                </c:pt>
              </c:strCache>
            </c:strRef>
          </c:cat>
          <c:val>
            <c:numRef>
              <c:f>'Sanitation report'!$J$1297:$K$1297</c:f>
              <c:numCache>
                <c:formatCode>General</c:formatCode>
                <c:ptCount val="2"/>
                <c:pt idx="0" formatCode="_-* #\ ##0_-;\-* #\ ##0_-;_-* &quot;-&quot;??_-;_-@_-">
                  <c:v>0</c:v>
                </c:pt>
              </c:numCache>
            </c:numRef>
          </c:val>
          <c:extLst>
            <c:ext xmlns:c16="http://schemas.microsoft.com/office/drawing/2014/chart" uri="{C3380CC4-5D6E-409C-BE32-E72D297353CC}">
              <c16:uniqueId val="{00000003-0777-4039-A8BF-9CEEA77C73E6}"/>
            </c:ext>
          </c:extLst>
        </c:ser>
        <c:ser>
          <c:idx val="4"/>
          <c:order val="3"/>
          <c:tx>
            <c:strRef>
              <c:f>'Sanitation report'!$I$1298</c:f>
              <c:strCache>
                <c:ptCount val="1"/>
                <c:pt idx="0">
                  <c:v>Tariff revenue</c:v>
                </c:pt>
              </c:strCache>
            </c:strRef>
          </c:tx>
          <c:spPr>
            <a:solidFill>
              <a:srgbClr val="5B9BD5"/>
            </a:solidFill>
            <a:ln w="25400">
              <a:noFill/>
            </a:ln>
          </c:spPr>
          <c:invertIfNegative val="0"/>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'Sanitation report'!$J$1294:$K$1294</c:f>
              <c:strCache>
                <c:ptCount val="2"/>
                <c:pt idx="0">
                  <c:v>Expenditure R'000</c:v>
                </c:pt>
                <c:pt idx="1">
                  <c:v>Revenue R'000</c:v>
                </c:pt>
              </c:strCache>
            </c:strRef>
          </c:cat>
          <c:val>
            <c:numRef>
              <c:f>'Sanitation report'!$J$1298:$K$1298</c:f>
              <c:numCache>
                <c:formatCode>_-* #\ ##0_-;\-* #\ ##0_-;_-* "-"??_-;_-@_-</c:formatCode>
                <c:ptCount val="2"/>
                <c:pt idx="1">
                  <c:v>0</c:v>
                </c:pt>
              </c:numCache>
            </c:numRef>
          </c:val>
          <c:extLst>
            <c:ext xmlns:c16="http://schemas.microsoft.com/office/drawing/2014/chart" uri="{C3380CC4-5D6E-409C-BE32-E72D297353CC}">
              <c16:uniqueId val="{00000004-0777-4039-A8BF-9CEEA77C73E6}"/>
            </c:ext>
          </c:extLst>
        </c:ser>
        <c:ser>
          <c:idx val="5"/>
          <c:order val="4"/>
          <c:tx>
            <c:strRef>
              <c:f>'Sanitation report'!$I$1299</c:f>
              <c:strCache>
                <c:ptCount val="1"/>
                <c:pt idx="0">
                  <c:v>External grants &amp; subsidies</c:v>
                </c:pt>
              </c:strCache>
            </c:strRef>
          </c:tx>
          <c:spPr>
            <a:solidFill>
              <a:srgbClr val="A5A5A5"/>
            </a:solidFill>
            <a:ln w="25400">
              <a:noFill/>
            </a:ln>
          </c:spPr>
          <c:invertIfNegative val="0"/>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'Sanitation report'!$J$1294:$K$1294</c:f>
              <c:strCache>
                <c:ptCount val="2"/>
                <c:pt idx="0">
                  <c:v>Expenditure R'000</c:v>
                </c:pt>
                <c:pt idx="1">
                  <c:v>Revenue R'000</c:v>
                </c:pt>
              </c:strCache>
            </c:strRef>
          </c:cat>
          <c:val>
            <c:numRef>
              <c:f>'Sanitation report'!$J$1299:$K$1299</c:f>
              <c:numCache>
                <c:formatCode>_-* #\ ##0_-;\-* #\ ##0_-;_-* "-"??_-;_-@_-</c:formatCode>
                <c:ptCount val="2"/>
                <c:pt idx="1">
                  <c:v>0</c:v>
                </c:pt>
              </c:numCache>
            </c:numRef>
          </c:val>
          <c:extLst>
            <c:ext xmlns:c16="http://schemas.microsoft.com/office/drawing/2014/chart" uri="{C3380CC4-5D6E-409C-BE32-E72D297353CC}">
              <c16:uniqueId val="{00000005-0777-4039-A8BF-9CEEA77C73E6}"/>
            </c:ext>
          </c:extLst>
        </c:ser>
        <c:ser>
          <c:idx val="3"/>
          <c:order val="5"/>
          <c:tx>
            <c:strRef>
              <c:f>'Sanitation report'!$I$1300</c:f>
              <c:strCache>
                <c:ptCount val="1"/>
                <c:pt idx="0">
                  <c:v>Other non-tariff revenue</c:v>
                </c:pt>
              </c:strCache>
            </c:strRef>
          </c:tx>
          <c:spPr>
            <a:solidFill>
              <a:schemeClr val="accent3">
                <a:lumMod val="40000"/>
                <a:lumOff val="60000"/>
              </a:schemeClr>
            </a:solidFill>
            <a:ln>
              <a:noFill/>
            </a:ln>
            <a:effectLst/>
          </c:spPr>
          <c:invertIfNegative val="0"/>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'Sanitation report'!$J$1294:$K$1294</c:f>
              <c:strCache>
                <c:ptCount val="2"/>
                <c:pt idx="0">
                  <c:v>Expenditure R'000</c:v>
                </c:pt>
                <c:pt idx="1">
                  <c:v>Revenue R'000</c:v>
                </c:pt>
              </c:strCache>
            </c:strRef>
          </c:cat>
          <c:val>
            <c:numRef>
              <c:f>'Sanitation report'!$J$1300:$K$1300</c:f>
              <c:numCache>
                <c:formatCode>_-* #\ ##0_-;\-* #\ ##0_-;_-* "-"??_-;_-@_-</c:formatCode>
                <c:ptCount val="2"/>
                <c:pt idx="1">
                  <c:v>0</c:v>
                </c:pt>
              </c:numCache>
            </c:numRef>
          </c:val>
          <c:extLst>
            <c:ext xmlns:c16="http://schemas.microsoft.com/office/drawing/2014/chart" uri="{C3380CC4-5D6E-409C-BE32-E72D297353CC}">
              <c16:uniqueId val="{00000006-0777-4039-A8BF-9CEEA77C73E6}"/>
            </c:ext>
          </c:extLst>
        </c:ser>
        <c:ser>
          <c:idx val="6"/>
          <c:order val="6"/>
          <c:tx>
            <c:strRef>
              <c:f>'Sanitation report'!$I$1301</c:f>
              <c:strCache>
                <c:ptCount val="1"/>
                <c:pt idx="0">
                  <c:v>Deficit</c:v>
                </c:pt>
              </c:strCache>
            </c:strRef>
          </c:tx>
          <c:spPr>
            <a:solidFill>
              <a:srgbClr val="ED7D31"/>
            </a:solidFill>
            <a:ln w="25400">
              <a:noFill/>
            </a:ln>
          </c:spPr>
          <c:invertIfNegative val="0"/>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'Sanitation report'!$J$1294:$K$1294</c:f>
              <c:strCache>
                <c:ptCount val="2"/>
                <c:pt idx="0">
                  <c:v>Expenditure R'000</c:v>
                </c:pt>
                <c:pt idx="1">
                  <c:v>Revenue R'000</c:v>
                </c:pt>
              </c:strCache>
            </c:strRef>
          </c:cat>
          <c:val>
            <c:numRef>
              <c:f>'Sanitation report'!$J$1301:$K$1301</c:f>
              <c:numCache>
                <c:formatCode>_-* #\ ##0_-;\-* #\ ##0_-;_-* "-"??_-;_-@_-</c:formatCode>
                <c:ptCount val="2"/>
                <c:pt idx="1">
                  <c:v>0</c:v>
                </c:pt>
              </c:numCache>
            </c:numRef>
          </c:val>
          <c:extLst>
            <c:ext xmlns:c16="http://schemas.microsoft.com/office/drawing/2014/chart" uri="{C3380CC4-5D6E-409C-BE32-E72D297353CC}">
              <c16:uniqueId val="{00000007-0777-4039-A8BF-9CEEA77C73E6}"/>
            </c:ext>
          </c:extLst>
        </c:ser>
        <c:dLbls>
          <c:showLegendKey val="0"/>
          <c:showVal val="0"/>
          <c:showCatName val="0"/>
          <c:showSerName val="0"/>
          <c:showPercent val="0"/>
          <c:showBubbleSize val="0"/>
        </c:dLbls>
        <c:gapWidth val="25"/>
        <c:overlap val="100"/>
        <c:axId val="1399652719"/>
        <c:axId val="1"/>
      </c:barChart>
      <c:catAx>
        <c:axId val="1399652719"/>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0" vert="horz"/>
          <a:lstStyle/>
          <a:p>
            <a:pPr>
              <a:defRPr sz="1100" b="0" i="0" u="none" strike="noStrike" baseline="0">
                <a:solidFill>
                  <a:srgbClr val="000000"/>
                </a:solidFill>
                <a:latin typeface="Calibri"/>
                <a:ea typeface="Calibri"/>
                <a:cs typeface="Calibri"/>
              </a:defRPr>
            </a:pPr>
            <a:endParaRPr lang="en-US"/>
          </a:p>
        </c:txPr>
        <c:crossAx val="1"/>
        <c:crosses val="autoZero"/>
        <c:auto val="1"/>
        <c:lblAlgn val="ctr"/>
        <c:lblOffset val="100"/>
        <c:noMultiLvlLbl val="0"/>
      </c:catAx>
      <c:valAx>
        <c:axId val="1"/>
        <c:scaling>
          <c:orientation val="minMax"/>
        </c:scaling>
        <c:delete val="1"/>
        <c:axPos val="l"/>
        <c:majorGridlines>
          <c:spPr>
            <a:ln w="9525" cap="flat" cmpd="sng" algn="ctr">
              <a:solidFill>
                <a:schemeClr val="tx1">
                  <a:lumMod val="15000"/>
                  <a:lumOff val="85000"/>
                </a:schemeClr>
              </a:solidFill>
              <a:round/>
            </a:ln>
            <a:effectLst/>
          </c:spPr>
        </c:majorGridlines>
        <c:numFmt formatCode="_-* #\ ##0_-;\-* #\ ##0_-;_-* &quot;-&quot;??_-;_-@_-" sourceLinked="1"/>
        <c:majorTickMark val="out"/>
        <c:minorTickMark val="none"/>
        <c:tickLblPos val="nextTo"/>
        <c:crossAx val="1399652719"/>
        <c:crosses val="autoZero"/>
        <c:crossBetween val="between"/>
      </c:valAx>
    </c:plotArea>
    <c:legend>
      <c:legendPos val="r"/>
      <c:layout>
        <c:manualLayout>
          <c:xMode val="edge"/>
          <c:yMode val="edge"/>
          <c:x val="0.63060873861355571"/>
          <c:y val="0.19876461094537096"/>
          <c:w val="0.34824665740311866"/>
          <c:h val="0.70809931367274737"/>
        </c:manualLayout>
      </c:layout>
      <c:overlay val="0"/>
      <c:spPr>
        <a:noFill/>
        <a:ln w="25400">
          <a:noFill/>
        </a:ln>
      </c:spPr>
      <c:txPr>
        <a:bodyPr/>
        <a:lstStyle/>
        <a:p>
          <a:pPr>
            <a:defRPr sz="850" b="0" i="0" u="none" strike="noStrike" baseline="0">
              <a:solidFill>
                <a:srgbClr val="000000"/>
              </a:solidFill>
              <a:latin typeface="Calibri"/>
              <a:ea typeface="Calibri"/>
              <a:cs typeface="Calibri"/>
            </a:defRPr>
          </a:pPr>
          <a:endParaRPr lang="en-US"/>
        </a:p>
      </c:txPr>
    </c:legend>
    <c:plotVisOnly val="1"/>
    <c:dispBlanksAs val="gap"/>
    <c:showDLblsOverMax val="0"/>
  </c:chart>
  <c:spPr>
    <a:solidFill>
      <a:schemeClr val="bg1"/>
    </a:solidFill>
    <a:ln w="9525" cap="flat" cmpd="sng" algn="ctr">
      <a:noFill/>
      <a:round/>
    </a:ln>
    <a:effectLst/>
  </c:spPr>
  <c:txPr>
    <a:bodyPr/>
    <a:lstStyle/>
    <a:p>
      <a:pPr>
        <a:defRPr sz="1100" b="0" i="0" u="none" strike="noStrike" baseline="0">
          <a:solidFill>
            <a:srgbClr val="000000"/>
          </a:solidFill>
          <a:latin typeface="Calibri"/>
          <a:ea typeface="Calibri"/>
          <a:cs typeface="Calibri"/>
        </a:defRPr>
      </a:pPr>
      <a:endParaRPr lang="en-US"/>
    </a:p>
  </c:txPr>
  <c:printSettings>
    <c:headerFooter/>
    <c:pageMargins b="0.75" l="0.7" r="0.7" t="0.75" header="0.3" footer="0.3"/>
    <c:pageSetup orientation="portrait"/>
  </c:printSettings>
</c:chartSpace>
</file>

<file path=xl/charts/chart14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ser>
          <c:idx val="0"/>
          <c:order val="0"/>
          <c:tx>
            <c:strRef>
              <c:f>'Sanitation report'!$K$1317</c:f>
              <c:strCache>
                <c:ptCount val="1"/>
                <c:pt idx="0">
                  <c:v>Tariff </c:v>
                </c:pt>
              </c:strCache>
            </c:strRef>
          </c:tx>
          <c:spPr>
            <a:solidFill>
              <a:srgbClr val="4472C4"/>
            </a:solidFill>
            <a:ln w="25400">
              <a:noFill/>
            </a:ln>
          </c:spPr>
          <c:invertIfNegative val="0"/>
          <c:dLbls>
            <c:spPr>
              <a:noFill/>
              <a:ln w="25400">
                <a:noFill/>
              </a:ln>
            </c:spPr>
            <c:txPr>
              <a:bodyPr wrap="square" lIns="38100" tIns="19050" rIns="38100" bIns="19050" anchor="ctr">
                <a:spAutoFit/>
              </a:bodyPr>
              <a:lstStyle/>
              <a:p>
                <a:pPr>
                  <a:defRPr sz="900" b="0" i="0" u="none" strike="noStrike" baseline="0">
                    <a:solidFill>
                      <a:srgbClr val="333333"/>
                    </a:solidFill>
                    <a:latin typeface="Calibri"/>
                    <a:ea typeface="Calibri"/>
                    <a:cs typeface="Calibri"/>
                  </a:defRPr>
                </a:pPr>
                <a:endParaRPr lang="en-US"/>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'Sanitation report'!$J$1318:$J$1327</c:f>
              <c:strCache>
                <c:ptCount val="10"/>
                <c:pt idx="0">
                  <c:v>0</c:v>
                </c:pt>
                <c:pt idx="1">
                  <c:v>0</c:v>
                </c:pt>
                <c:pt idx="2">
                  <c:v>0</c:v>
                </c:pt>
                <c:pt idx="3">
                  <c:v>0</c:v>
                </c:pt>
                <c:pt idx="4">
                  <c:v>0</c:v>
                </c:pt>
                <c:pt idx="5">
                  <c:v>0</c:v>
                </c:pt>
                <c:pt idx="6">
                  <c:v>0</c:v>
                </c:pt>
                <c:pt idx="7">
                  <c:v>0</c:v>
                </c:pt>
                <c:pt idx="8">
                  <c:v>0</c:v>
                </c:pt>
                <c:pt idx="9">
                  <c:v>More</c:v>
                </c:pt>
              </c:strCache>
            </c:strRef>
          </c:cat>
          <c:val>
            <c:numRef>
              <c:f>'Sanitation report'!$K$1318:$K$1327</c:f>
              <c:numCache>
                <c:formatCode>_(* #,##0.00_);_(* \(#,##0.00\);_(* "-"??_);_(@_)</c:formatCode>
                <c:ptCount val="10"/>
                <c:pt idx="0">
                  <c:v>0</c:v>
                </c:pt>
                <c:pt idx="1">
                  <c:v>0</c:v>
                </c:pt>
                <c:pt idx="2">
                  <c:v>0</c:v>
                </c:pt>
                <c:pt idx="3">
                  <c:v>0</c:v>
                </c:pt>
                <c:pt idx="4">
                  <c:v>0</c:v>
                </c:pt>
                <c:pt idx="5">
                  <c:v>0</c:v>
                </c:pt>
                <c:pt idx="6">
                  <c:v>0</c:v>
                </c:pt>
                <c:pt idx="7">
                  <c:v>0</c:v>
                </c:pt>
                <c:pt idx="8">
                  <c:v>0</c:v>
                </c:pt>
                <c:pt idx="9">
                  <c:v>0</c:v>
                </c:pt>
              </c:numCache>
            </c:numRef>
          </c:val>
          <c:extLst>
            <c:ext xmlns:c16="http://schemas.microsoft.com/office/drawing/2014/chart" uri="{C3380CC4-5D6E-409C-BE32-E72D297353CC}">
              <c16:uniqueId val="{00000000-7FDD-4567-9C12-7C31A138402D}"/>
            </c:ext>
          </c:extLst>
        </c:ser>
        <c:dLbls>
          <c:showLegendKey val="0"/>
          <c:showVal val="0"/>
          <c:showCatName val="0"/>
          <c:showSerName val="0"/>
          <c:showPercent val="0"/>
          <c:showBubbleSize val="0"/>
        </c:dLbls>
        <c:gapWidth val="50"/>
        <c:axId val="1399659439"/>
        <c:axId val="1"/>
      </c:barChart>
      <c:lineChart>
        <c:grouping val="standard"/>
        <c:varyColors val="0"/>
        <c:ser>
          <c:idx val="1"/>
          <c:order val="1"/>
          <c:tx>
            <c:strRef>
              <c:f>'Sanitation report'!$L$1317</c:f>
              <c:strCache>
                <c:ptCount val="1"/>
                <c:pt idx="0">
                  <c:v>Total cost per kl </c:v>
                </c:pt>
              </c:strCache>
            </c:strRef>
          </c:tx>
          <c:spPr>
            <a:ln w="28575" cap="rnd">
              <a:solidFill>
                <a:schemeClr val="accent2"/>
              </a:solidFill>
              <a:round/>
            </a:ln>
            <a:effectLst/>
          </c:spPr>
          <c:marker>
            <c:symbol val="none"/>
          </c:marker>
          <c:val>
            <c:numRef>
              <c:f>'Sanitation report'!$L$1318:$L$1327</c:f>
              <c:numCache>
                <c:formatCode>_(* #,##0.00_);_(* \(#,##0.00\);_(* "-"??_);_(@_)</c:formatCode>
                <c:ptCount val="10"/>
                <c:pt idx="0">
                  <c:v>0</c:v>
                </c:pt>
                <c:pt idx="1">
                  <c:v>0</c:v>
                </c:pt>
                <c:pt idx="2">
                  <c:v>0</c:v>
                </c:pt>
                <c:pt idx="3">
                  <c:v>0</c:v>
                </c:pt>
                <c:pt idx="4">
                  <c:v>0</c:v>
                </c:pt>
                <c:pt idx="5">
                  <c:v>0</c:v>
                </c:pt>
                <c:pt idx="6">
                  <c:v>0</c:v>
                </c:pt>
                <c:pt idx="7">
                  <c:v>0</c:v>
                </c:pt>
                <c:pt idx="8">
                  <c:v>0</c:v>
                </c:pt>
                <c:pt idx="9">
                  <c:v>0</c:v>
                </c:pt>
              </c:numCache>
            </c:numRef>
          </c:val>
          <c:smooth val="0"/>
          <c:extLst>
            <c:ext xmlns:c16="http://schemas.microsoft.com/office/drawing/2014/chart" uri="{C3380CC4-5D6E-409C-BE32-E72D297353CC}">
              <c16:uniqueId val="{00000001-7FDD-4567-9C12-7C31A138402D}"/>
            </c:ext>
          </c:extLst>
        </c:ser>
        <c:ser>
          <c:idx val="2"/>
          <c:order val="2"/>
          <c:tx>
            <c:strRef>
              <c:f>'Sanitation report'!$M$1317</c:f>
              <c:strCache>
                <c:ptCount val="1"/>
                <c:pt idx="0">
                  <c:v>Variable cost per kl treated</c:v>
                </c:pt>
              </c:strCache>
            </c:strRef>
          </c:tx>
          <c:spPr>
            <a:ln w="28575" cap="rnd">
              <a:solidFill>
                <a:schemeClr val="accent3"/>
              </a:solidFill>
              <a:round/>
            </a:ln>
            <a:effectLst/>
          </c:spPr>
          <c:marker>
            <c:symbol val="none"/>
          </c:marker>
          <c:val>
            <c:numRef>
              <c:f>'Sanitation report'!$M$1318:$M$1327</c:f>
              <c:numCache>
                <c:formatCode>_(* #,##0.00_);_(* \(#,##0.00\);_(* "-"??_);_(@_)</c:formatCode>
                <c:ptCount val="10"/>
                <c:pt idx="0">
                  <c:v>0</c:v>
                </c:pt>
                <c:pt idx="1">
                  <c:v>0</c:v>
                </c:pt>
                <c:pt idx="2">
                  <c:v>0</c:v>
                </c:pt>
                <c:pt idx="3">
                  <c:v>0</c:v>
                </c:pt>
                <c:pt idx="4">
                  <c:v>0</c:v>
                </c:pt>
                <c:pt idx="5">
                  <c:v>0</c:v>
                </c:pt>
                <c:pt idx="6">
                  <c:v>0</c:v>
                </c:pt>
                <c:pt idx="7">
                  <c:v>0</c:v>
                </c:pt>
                <c:pt idx="8">
                  <c:v>0</c:v>
                </c:pt>
                <c:pt idx="9">
                  <c:v>0</c:v>
                </c:pt>
              </c:numCache>
            </c:numRef>
          </c:val>
          <c:smooth val="0"/>
          <c:extLst>
            <c:ext xmlns:c16="http://schemas.microsoft.com/office/drawing/2014/chart" uri="{C3380CC4-5D6E-409C-BE32-E72D297353CC}">
              <c16:uniqueId val="{00000002-7FDD-4567-9C12-7C31A138402D}"/>
            </c:ext>
          </c:extLst>
        </c:ser>
        <c:dLbls>
          <c:showLegendKey val="0"/>
          <c:showVal val="0"/>
          <c:showCatName val="0"/>
          <c:showSerName val="0"/>
          <c:showPercent val="0"/>
          <c:showBubbleSize val="0"/>
        </c:dLbls>
        <c:marker val="1"/>
        <c:smooth val="0"/>
        <c:axId val="1399659439"/>
        <c:axId val="1"/>
      </c:lineChart>
      <c:catAx>
        <c:axId val="1399659439"/>
        <c:scaling>
          <c:orientation val="minMax"/>
        </c:scaling>
        <c:delete val="0"/>
        <c:axPos val="b"/>
        <c:title>
          <c:tx>
            <c:rich>
              <a:bodyPr/>
              <a:lstStyle/>
              <a:p>
                <a:pPr>
                  <a:defRPr sz="1000" b="0" i="0" u="none" strike="noStrike" baseline="0">
                    <a:solidFill>
                      <a:srgbClr val="333333"/>
                    </a:solidFill>
                    <a:latin typeface="Calibri"/>
                    <a:ea typeface="Calibri"/>
                    <a:cs typeface="Calibri"/>
                  </a:defRPr>
                </a:pPr>
                <a:r>
                  <a:rPr lang="en-ZA"/>
                  <a:t>Block size</a:t>
                </a:r>
              </a:p>
            </c:rich>
          </c:tx>
          <c:overlay val="0"/>
          <c:spPr>
            <a:noFill/>
            <a:ln w="25400">
              <a:noFill/>
            </a:ln>
          </c:spPr>
        </c:title>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0" vert="horz"/>
          <a:lstStyle/>
          <a:p>
            <a:pPr>
              <a:defRPr sz="900" b="0" i="0" u="none" strike="noStrike" baseline="0">
                <a:solidFill>
                  <a:srgbClr val="333333"/>
                </a:solidFill>
                <a:latin typeface="Calibri"/>
                <a:ea typeface="Calibri"/>
                <a:cs typeface="Calibri"/>
              </a:defRPr>
            </a:pPr>
            <a:endParaRPr lang="en-US"/>
          </a:p>
        </c:txPr>
        <c:crossAx val="1"/>
        <c:crosses val="autoZero"/>
        <c:auto val="1"/>
        <c:lblAlgn val="ctr"/>
        <c:lblOffset val="100"/>
        <c:noMultiLvlLbl val="0"/>
      </c:catAx>
      <c:valAx>
        <c:axId val="1"/>
        <c:scaling>
          <c:orientation val="minMax"/>
        </c:scaling>
        <c:delete val="0"/>
        <c:axPos val="l"/>
        <c:majorGridlines>
          <c:spPr>
            <a:ln w="9525" cap="flat" cmpd="sng" algn="ctr">
              <a:solidFill>
                <a:schemeClr val="tx1">
                  <a:lumMod val="15000"/>
                  <a:lumOff val="85000"/>
                </a:schemeClr>
              </a:solidFill>
              <a:round/>
            </a:ln>
            <a:effectLst/>
          </c:spPr>
        </c:majorGridlines>
        <c:title>
          <c:tx>
            <c:rich>
              <a:bodyPr/>
              <a:lstStyle/>
              <a:p>
                <a:pPr>
                  <a:defRPr sz="1000" b="0" i="0" u="none" strike="noStrike" baseline="0">
                    <a:solidFill>
                      <a:srgbClr val="333333"/>
                    </a:solidFill>
                    <a:latin typeface="Calibri"/>
                    <a:ea typeface="Calibri"/>
                    <a:cs typeface="Calibri"/>
                  </a:defRPr>
                </a:pPr>
                <a:r>
                  <a:rPr lang="en-ZA"/>
                  <a:t>R/kl</a:t>
                </a:r>
              </a:p>
            </c:rich>
          </c:tx>
          <c:overlay val="0"/>
          <c:spPr>
            <a:noFill/>
            <a:ln w="25400">
              <a:noFill/>
            </a:ln>
          </c:spPr>
        </c:title>
        <c:numFmt formatCode="_(* #,##0.00_);_(* \(#,##0.00\);_(* &quot;-&quot;??_);_(@_)" sourceLinked="1"/>
        <c:majorTickMark val="none"/>
        <c:minorTickMark val="none"/>
        <c:tickLblPos val="nextTo"/>
        <c:spPr>
          <a:ln w="6350">
            <a:noFill/>
          </a:ln>
        </c:spPr>
        <c:txPr>
          <a:bodyPr rot="0" vert="horz"/>
          <a:lstStyle/>
          <a:p>
            <a:pPr>
              <a:defRPr sz="900" b="0" i="0" u="none" strike="noStrike" baseline="0">
                <a:solidFill>
                  <a:srgbClr val="333333"/>
                </a:solidFill>
                <a:latin typeface="Calibri"/>
                <a:ea typeface="Calibri"/>
                <a:cs typeface="Calibri"/>
              </a:defRPr>
            </a:pPr>
            <a:endParaRPr lang="en-US"/>
          </a:p>
        </c:txPr>
        <c:crossAx val="1399659439"/>
        <c:crosses val="autoZero"/>
        <c:crossBetween val="between"/>
      </c:valAx>
    </c:plotArea>
    <c:legend>
      <c:legendPos val="r"/>
      <c:layout>
        <c:manualLayout>
          <c:xMode val="edge"/>
          <c:yMode val="edge"/>
          <c:x val="0.12362011021685021"/>
          <c:y val="0.92994800178279602"/>
          <c:w val="0.74541089190419463"/>
          <c:h val="5.930117225912801E-2"/>
        </c:manualLayout>
      </c:layout>
      <c:overlay val="0"/>
      <c:spPr>
        <a:noFill/>
        <a:ln w="25400">
          <a:noFill/>
        </a:ln>
      </c:spPr>
      <c:txPr>
        <a:bodyPr/>
        <a:lstStyle/>
        <a:p>
          <a:pPr>
            <a:defRPr sz="690" b="0" i="0" u="none" strike="noStrike" baseline="0">
              <a:solidFill>
                <a:srgbClr val="333333"/>
              </a:solidFill>
              <a:latin typeface="Calibri"/>
              <a:ea typeface="Calibri"/>
              <a:cs typeface="Calibri"/>
            </a:defRPr>
          </a:pPr>
          <a:endParaRPr lang="en-US"/>
        </a:p>
      </c:txPr>
    </c:legend>
    <c:plotVisOnly val="1"/>
    <c:dispBlanksAs val="gap"/>
    <c:showDLblsOverMax val="0"/>
  </c:chart>
  <c:spPr>
    <a:solidFill>
      <a:schemeClr val="bg1"/>
    </a:solidFill>
    <a:ln w="9525" cap="flat" cmpd="sng" algn="ctr">
      <a:noFill/>
      <a:round/>
    </a:ln>
    <a:effectLst/>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charts/chart14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2.3871527777777776E-2"/>
          <c:y val="4.7786414907172239E-2"/>
          <c:w val="0.57559123468941387"/>
          <c:h val="0.83529592857692603"/>
        </c:manualLayout>
      </c:layout>
      <c:barChart>
        <c:barDir val="col"/>
        <c:grouping val="stacked"/>
        <c:varyColors val="0"/>
        <c:ser>
          <c:idx val="0"/>
          <c:order val="0"/>
          <c:tx>
            <c:strRef>
              <c:f>'Electricity report'!$J$34</c:f>
              <c:strCache>
                <c:ptCount val="1"/>
                <c:pt idx="0">
                  <c:v>Customer costs </c:v>
                </c:pt>
              </c:strCache>
            </c:strRef>
          </c:tx>
          <c:spPr>
            <a:solidFill>
              <a:srgbClr val="4472C4"/>
            </a:solidFill>
            <a:ln w="25400">
              <a:noFill/>
            </a:ln>
          </c:spPr>
          <c:invertIfNegative val="0"/>
          <c:dPt>
            <c:idx val="0"/>
            <c:invertIfNegative val="0"/>
            <c:bubble3D val="0"/>
            <c:spPr>
              <a:solidFill>
                <a:srgbClr val="5B9BD5"/>
              </a:solidFill>
              <a:ln w="25400">
                <a:noFill/>
              </a:ln>
            </c:spPr>
            <c:extLst>
              <c:ext xmlns:c16="http://schemas.microsoft.com/office/drawing/2014/chart" uri="{C3380CC4-5D6E-409C-BE32-E72D297353CC}">
                <c16:uniqueId val="{00000000-9EBF-47AC-A378-F8C546107A5E}"/>
              </c:ext>
            </c:extLst>
          </c:dPt>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'Electricity report'!$K$33:$L$33</c:f>
              <c:strCache>
                <c:ptCount val="2"/>
                <c:pt idx="0">
                  <c:v>Expenditure R'000</c:v>
                </c:pt>
                <c:pt idx="1">
                  <c:v>Revenue R'000</c:v>
                </c:pt>
              </c:strCache>
            </c:strRef>
          </c:cat>
          <c:val>
            <c:numRef>
              <c:f>'Electricity report'!$K$34:$L$34</c:f>
              <c:numCache>
                <c:formatCode>General</c:formatCode>
                <c:ptCount val="2"/>
                <c:pt idx="0" formatCode="_-* #\ ##0_-;\-* #\ ##0_-;_-* &quot;-&quot;??_-;_-@_-">
                  <c:v>#N/A</c:v>
                </c:pt>
              </c:numCache>
            </c:numRef>
          </c:val>
          <c:extLst>
            <c:ext xmlns:c16="http://schemas.microsoft.com/office/drawing/2014/chart" uri="{C3380CC4-5D6E-409C-BE32-E72D297353CC}">
              <c16:uniqueId val="{00000001-9EBF-47AC-A378-F8C546107A5E}"/>
            </c:ext>
          </c:extLst>
        </c:ser>
        <c:ser>
          <c:idx val="1"/>
          <c:order val="1"/>
          <c:tx>
            <c:strRef>
              <c:f>'Electricity report'!$J$35</c:f>
              <c:strCache>
                <c:ptCount val="1"/>
                <c:pt idx="0">
                  <c:v>Energy costs</c:v>
                </c:pt>
              </c:strCache>
            </c:strRef>
          </c:tx>
          <c:spPr>
            <a:solidFill>
              <a:schemeClr val="accent5">
                <a:lumMod val="60000"/>
                <a:lumOff val="40000"/>
              </a:schemeClr>
            </a:solidFill>
            <a:ln>
              <a:noFill/>
            </a:ln>
            <a:effectLst/>
          </c:spPr>
          <c:invertIfNegative val="0"/>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'Electricity report'!$K$33:$L$33</c:f>
              <c:strCache>
                <c:ptCount val="2"/>
                <c:pt idx="0">
                  <c:v>Expenditure R'000</c:v>
                </c:pt>
                <c:pt idx="1">
                  <c:v>Revenue R'000</c:v>
                </c:pt>
              </c:strCache>
            </c:strRef>
          </c:cat>
          <c:val>
            <c:numRef>
              <c:f>'Electricity report'!$K$35:$L$35</c:f>
              <c:numCache>
                <c:formatCode>General</c:formatCode>
                <c:ptCount val="2"/>
                <c:pt idx="0" formatCode="_-* #\ ##0_-;\-* #\ ##0_-;_-* &quot;-&quot;??_-;_-@_-">
                  <c:v>#N/A</c:v>
                </c:pt>
              </c:numCache>
            </c:numRef>
          </c:val>
          <c:extLst>
            <c:ext xmlns:c16="http://schemas.microsoft.com/office/drawing/2014/chart" uri="{C3380CC4-5D6E-409C-BE32-E72D297353CC}">
              <c16:uniqueId val="{00000002-9EBF-47AC-A378-F8C546107A5E}"/>
            </c:ext>
          </c:extLst>
        </c:ser>
        <c:ser>
          <c:idx val="2"/>
          <c:order val="2"/>
          <c:tx>
            <c:strRef>
              <c:f>'Electricity report'!$J$36</c:f>
              <c:strCache>
                <c:ptCount val="1"/>
                <c:pt idx="0">
                  <c:v>Demand cost</c:v>
                </c:pt>
              </c:strCache>
            </c:strRef>
          </c:tx>
          <c:spPr>
            <a:solidFill>
              <a:srgbClr val="A5A5A5"/>
            </a:solidFill>
            <a:ln w="25400">
              <a:noFill/>
            </a:ln>
          </c:spPr>
          <c:invertIfNegative val="0"/>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'Electricity report'!$K$33:$L$33</c:f>
              <c:strCache>
                <c:ptCount val="2"/>
                <c:pt idx="0">
                  <c:v>Expenditure R'000</c:v>
                </c:pt>
                <c:pt idx="1">
                  <c:v>Revenue R'000</c:v>
                </c:pt>
              </c:strCache>
            </c:strRef>
          </c:cat>
          <c:val>
            <c:numRef>
              <c:f>'Electricity report'!$K$36:$L$36</c:f>
              <c:numCache>
                <c:formatCode>General</c:formatCode>
                <c:ptCount val="2"/>
                <c:pt idx="0" formatCode="_-* #\ ##0_-;\-* #\ ##0_-;_-* &quot;-&quot;??_-;_-@_-">
                  <c:v>#N/A</c:v>
                </c:pt>
              </c:numCache>
            </c:numRef>
          </c:val>
          <c:extLst>
            <c:ext xmlns:c16="http://schemas.microsoft.com/office/drawing/2014/chart" uri="{C3380CC4-5D6E-409C-BE32-E72D297353CC}">
              <c16:uniqueId val="{00000003-9EBF-47AC-A378-F8C546107A5E}"/>
            </c:ext>
          </c:extLst>
        </c:ser>
        <c:ser>
          <c:idx val="4"/>
          <c:order val="3"/>
          <c:tx>
            <c:strRef>
              <c:f>'Electricity report'!$J$37</c:f>
              <c:strCache>
                <c:ptCount val="1"/>
                <c:pt idx="0">
                  <c:v>Surplus</c:v>
                </c:pt>
              </c:strCache>
            </c:strRef>
          </c:tx>
          <c:spPr>
            <a:solidFill>
              <a:srgbClr val="5B9BD5"/>
            </a:solidFill>
            <a:ln w="25400">
              <a:noFill/>
            </a:ln>
          </c:spPr>
          <c:invertIfNegative val="0"/>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'Electricity report'!$K$33:$L$33</c:f>
              <c:strCache>
                <c:ptCount val="2"/>
                <c:pt idx="0">
                  <c:v>Expenditure R'000</c:v>
                </c:pt>
                <c:pt idx="1">
                  <c:v>Revenue R'000</c:v>
                </c:pt>
              </c:strCache>
            </c:strRef>
          </c:cat>
          <c:val>
            <c:numRef>
              <c:f>'Electricity report'!$K$37:$L$37</c:f>
              <c:numCache>
                <c:formatCode>General</c:formatCode>
                <c:ptCount val="2"/>
                <c:pt idx="0" formatCode="_-* #\ ##0_-;\-* #\ ##0_-;_-* &quot;-&quot;??_-;_-@_-">
                  <c:v>0</c:v>
                </c:pt>
              </c:numCache>
            </c:numRef>
          </c:val>
          <c:extLst>
            <c:ext xmlns:c16="http://schemas.microsoft.com/office/drawing/2014/chart" uri="{C3380CC4-5D6E-409C-BE32-E72D297353CC}">
              <c16:uniqueId val="{00000004-9EBF-47AC-A378-F8C546107A5E}"/>
            </c:ext>
          </c:extLst>
        </c:ser>
        <c:ser>
          <c:idx val="5"/>
          <c:order val="4"/>
          <c:tx>
            <c:strRef>
              <c:f>'Electricity report'!$J$38</c:f>
              <c:strCache>
                <c:ptCount val="1"/>
                <c:pt idx="0">
                  <c:v>Tariff revenue</c:v>
                </c:pt>
              </c:strCache>
            </c:strRef>
          </c:tx>
          <c:spPr>
            <a:solidFill>
              <a:srgbClr val="A5A5A5"/>
            </a:solidFill>
            <a:ln w="25400">
              <a:noFill/>
            </a:ln>
          </c:spPr>
          <c:invertIfNegative val="0"/>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'Electricity report'!$K$33:$L$33</c:f>
              <c:strCache>
                <c:ptCount val="2"/>
                <c:pt idx="0">
                  <c:v>Expenditure R'000</c:v>
                </c:pt>
                <c:pt idx="1">
                  <c:v>Revenue R'000</c:v>
                </c:pt>
              </c:strCache>
            </c:strRef>
          </c:cat>
          <c:val>
            <c:numRef>
              <c:f>'Electricity report'!$K$38:$L$38</c:f>
              <c:numCache>
                <c:formatCode>_-* #\ ##0_-;\-* #\ ##0_-;_-* "-"??_-;_-@_-</c:formatCode>
                <c:ptCount val="2"/>
                <c:pt idx="1">
                  <c:v>#N/A</c:v>
                </c:pt>
              </c:numCache>
            </c:numRef>
          </c:val>
          <c:extLst>
            <c:ext xmlns:c16="http://schemas.microsoft.com/office/drawing/2014/chart" uri="{C3380CC4-5D6E-409C-BE32-E72D297353CC}">
              <c16:uniqueId val="{00000005-9EBF-47AC-A378-F8C546107A5E}"/>
            </c:ext>
          </c:extLst>
        </c:ser>
        <c:ser>
          <c:idx val="3"/>
          <c:order val="5"/>
          <c:tx>
            <c:strRef>
              <c:f>'Electricity report'!$J$39</c:f>
              <c:strCache>
                <c:ptCount val="1"/>
                <c:pt idx="0">
                  <c:v>External grants &amp; subsidies</c:v>
                </c:pt>
              </c:strCache>
            </c:strRef>
          </c:tx>
          <c:spPr>
            <a:solidFill>
              <a:schemeClr val="accent3">
                <a:lumMod val="40000"/>
                <a:lumOff val="60000"/>
              </a:schemeClr>
            </a:solidFill>
            <a:ln>
              <a:noFill/>
            </a:ln>
            <a:effectLst/>
          </c:spPr>
          <c:invertIfNegative val="0"/>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'Electricity report'!$K$33:$L$33</c:f>
              <c:strCache>
                <c:ptCount val="2"/>
                <c:pt idx="0">
                  <c:v>Expenditure R'000</c:v>
                </c:pt>
                <c:pt idx="1">
                  <c:v>Revenue R'000</c:v>
                </c:pt>
              </c:strCache>
            </c:strRef>
          </c:cat>
          <c:val>
            <c:numRef>
              <c:f>'Electricity report'!$K$39:$L$39</c:f>
              <c:numCache>
                <c:formatCode>_-* #\ ##0_-;\-* #\ ##0_-;_-* "-"??_-;_-@_-</c:formatCode>
                <c:ptCount val="2"/>
                <c:pt idx="1">
                  <c:v>#N/A</c:v>
                </c:pt>
              </c:numCache>
            </c:numRef>
          </c:val>
          <c:extLst>
            <c:ext xmlns:c16="http://schemas.microsoft.com/office/drawing/2014/chart" uri="{C3380CC4-5D6E-409C-BE32-E72D297353CC}">
              <c16:uniqueId val="{00000006-9EBF-47AC-A378-F8C546107A5E}"/>
            </c:ext>
          </c:extLst>
        </c:ser>
        <c:ser>
          <c:idx val="6"/>
          <c:order val="6"/>
          <c:tx>
            <c:strRef>
              <c:f>'Electricity report'!$J$40</c:f>
              <c:strCache>
                <c:ptCount val="1"/>
                <c:pt idx="0">
                  <c:v>Other non-tariff revenue</c:v>
                </c:pt>
              </c:strCache>
            </c:strRef>
          </c:tx>
          <c:spPr>
            <a:solidFill>
              <a:srgbClr val="ED7D31"/>
            </a:solidFill>
            <a:ln w="25400">
              <a:noFill/>
            </a:ln>
          </c:spPr>
          <c:invertIfNegative val="0"/>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'Electricity report'!$K$33:$L$33</c:f>
              <c:strCache>
                <c:ptCount val="2"/>
                <c:pt idx="0">
                  <c:v>Expenditure R'000</c:v>
                </c:pt>
                <c:pt idx="1">
                  <c:v>Revenue R'000</c:v>
                </c:pt>
              </c:strCache>
            </c:strRef>
          </c:cat>
          <c:val>
            <c:numRef>
              <c:f>'Electricity report'!$K$40:$L$40</c:f>
              <c:numCache>
                <c:formatCode>_-* #\ ##0_-;\-* #\ ##0_-;_-* "-"??_-;_-@_-</c:formatCode>
                <c:ptCount val="2"/>
                <c:pt idx="1">
                  <c:v>#N/A</c:v>
                </c:pt>
              </c:numCache>
            </c:numRef>
          </c:val>
          <c:extLst>
            <c:ext xmlns:c16="http://schemas.microsoft.com/office/drawing/2014/chart" uri="{C3380CC4-5D6E-409C-BE32-E72D297353CC}">
              <c16:uniqueId val="{00000007-9EBF-47AC-A378-F8C546107A5E}"/>
            </c:ext>
          </c:extLst>
        </c:ser>
        <c:ser>
          <c:idx val="7"/>
          <c:order val="7"/>
          <c:tx>
            <c:strRef>
              <c:f>'Electricity report'!$J$41</c:f>
              <c:strCache>
                <c:ptCount val="1"/>
                <c:pt idx="0">
                  <c:v>Deficit</c:v>
                </c:pt>
              </c:strCache>
            </c:strRef>
          </c:tx>
          <c:spPr>
            <a:solidFill>
              <a:srgbClr val="4472C4"/>
            </a:solidFill>
            <a:ln w="25400">
              <a:noFill/>
            </a:ln>
          </c:spPr>
          <c:invertIfNegative val="0"/>
          <c:dPt>
            <c:idx val="0"/>
            <c:invertIfNegative val="0"/>
            <c:bubble3D val="0"/>
            <c:spPr>
              <a:solidFill>
                <a:srgbClr val="5B9BD5"/>
              </a:solidFill>
              <a:ln w="25400">
                <a:noFill/>
              </a:ln>
            </c:spPr>
            <c:extLst>
              <c:ext xmlns:c16="http://schemas.microsoft.com/office/drawing/2014/chart" uri="{C3380CC4-5D6E-409C-BE32-E72D297353CC}">
                <c16:uniqueId val="{00000008-9EBF-47AC-A378-F8C546107A5E}"/>
              </c:ext>
            </c:extLst>
          </c:dPt>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'Electricity report'!$K$33:$L$33</c:f>
              <c:strCache>
                <c:ptCount val="2"/>
                <c:pt idx="0">
                  <c:v>Expenditure R'000</c:v>
                </c:pt>
                <c:pt idx="1">
                  <c:v>Revenue R'000</c:v>
                </c:pt>
              </c:strCache>
            </c:strRef>
          </c:cat>
          <c:val>
            <c:numRef>
              <c:f>'Electricity report'!$K$41:$L$41</c:f>
              <c:numCache>
                <c:formatCode>_-* #\ ##0_-;\-* #\ ##0_-;_-* "-"??_-;_-@_-</c:formatCode>
                <c:ptCount val="2"/>
                <c:pt idx="1">
                  <c:v>#N/A</c:v>
                </c:pt>
              </c:numCache>
            </c:numRef>
          </c:val>
          <c:extLst>
            <c:ext xmlns:c16="http://schemas.microsoft.com/office/drawing/2014/chart" uri="{C3380CC4-5D6E-409C-BE32-E72D297353CC}">
              <c16:uniqueId val="{00000009-9EBF-47AC-A378-F8C546107A5E}"/>
            </c:ext>
          </c:extLst>
        </c:ser>
        <c:dLbls>
          <c:showLegendKey val="0"/>
          <c:showVal val="0"/>
          <c:showCatName val="0"/>
          <c:showSerName val="0"/>
          <c:showPercent val="0"/>
          <c:showBubbleSize val="0"/>
        </c:dLbls>
        <c:gapWidth val="25"/>
        <c:overlap val="100"/>
        <c:axId val="1361796047"/>
        <c:axId val="1"/>
      </c:barChart>
      <c:catAx>
        <c:axId val="1361796047"/>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0" vert="horz"/>
          <a:lstStyle/>
          <a:p>
            <a:pPr>
              <a:defRPr sz="1100" b="0" i="0" u="none" strike="noStrike" baseline="0">
                <a:solidFill>
                  <a:srgbClr val="000000"/>
                </a:solidFill>
                <a:latin typeface="Calibri"/>
                <a:ea typeface="Calibri"/>
                <a:cs typeface="Calibri"/>
              </a:defRPr>
            </a:pPr>
            <a:endParaRPr lang="en-US"/>
          </a:p>
        </c:txPr>
        <c:crossAx val="1"/>
        <c:crosses val="autoZero"/>
        <c:auto val="1"/>
        <c:lblAlgn val="ctr"/>
        <c:lblOffset val="100"/>
        <c:noMultiLvlLbl val="0"/>
      </c:catAx>
      <c:valAx>
        <c:axId val="1"/>
        <c:scaling>
          <c:orientation val="minMax"/>
        </c:scaling>
        <c:delete val="1"/>
        <c:axPos val="l"/>
        <c:majorGridlines>
          <c:spPr>
            <a:ln w="9525" cap="flat" cmpd="sng" algn="ctr">
              <a:solidFill>
                <a:schemeClr val="tx1">
                  <a:lumMod val="15000"/>
                  <a:lumOff val="85000"/>
                </a:schemeClr>
              </a:solidFill>
              <a:round/>
            </a:ln>
            <a:effectLst/>
          </c:spPr>
        </c:majorGridlines>
        <c:numFmt formatCode="_-* #\ ##0_-;\-* #\ ##0_-;_-* &quot;-&quot;??_-;_-@_-" sourceLinked="1"/>
        <c:majorTickMark val="out"/>
        <c:minorTickMark val="none"/>
        <c:tickLblPos val="nextTo"/>
        <c:crossAx val="1361796047"/>
        <c:crosses val="autoZero"/>
        <c:crossBetween val="between"/>
      </c:valAx>
    </c:plotArea>
    <c:legend>
      <c:legendPos val="r"/>
      <c:layout>
        <c:manualLayout>
          <c:xMode val="edge"/>
          <c:yMode val="edge"/>
          <c:x val="0.62756225894298434"/>
          <c:y val="0.19394543863835201"/>
          <c:w val="0.35681835545204743"/>
          <c:h val="0.67880919430525732"/>
        </c:manualLayout>
      </c:layout>
      <c:overlay val="0"/>
      <c:spPr>
        <a:noFill/>
        <a:ln w="25400">
          <a:noFill/>
        </a:ln>
      </c:spPr>
      <c:txPr>
        <a:bodyPr/>
        <a:lstStyle/>
        <a:p>
          <a:pPr>
            <a:defRPr sz="850" b="0" i="0" u="none" strike="noStrike" baseline="0">
              <a:solidFill>
                <a:srgbClr val="000000"/>
              </a:solidFill>
              <a:latin typeface="Calibri"/>
              <a:ea typeface="Calibri"/>
              <a:cs typeface="Calibri"/>
            </a:defRPr>
          </a:pPr>
          <a:endParaRPr lang="en-US"/>
        </a:p>
      </c:txPr>
    </c:legend>
    <c:plotVisOnly val="1"/>
    <c:dispBlanksAs val="gap"/>
    <c:showDLblsOverMax val="0"/>
  </c:chart>
  <c:spPr>
    <a:solidFill>
      <a:schemeClr val="bg1"/>
    </a:solidFill>
    <a:ln w="9525" cap="flat" cmpd="sng" algn="ctr">
      <a:noFill/>
      <a:round/>
    </a:ln>
    <a:effectLst/>
  </c:spPr>
  <c:txPr>
    <a:bodyPr/>
    <a:lstStyle/>
    <a:p>
      <a:pPr>
        <a:defRPr sz="11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charts/chart14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ser>
          <c:idx val="0"/>
          <c:order val="0"/>
          <c:tx>
            <c:strRef>
              <c:f>'Electricity report'!$L$58</c:f>
              <c:strCache>
                <c:ptCount val="1"/>
                <c:pt idx="0">
                  <c:v>Low Season Tariff</c:v>
                </c:pt>
              </c:strCache>
            </c:strRef>
          </c:tx>
          <c:spPr>
            <a:solidFill>
              <a:srgbClr val="4472C4"/>
            </a:solidFill>
            <a:ln w="25400">
              <a:noFill/>
            </a:ln>
          </c:spPr>
          <c:invertIfNegative val="0"/>
          <c:dLbls>
            <c:spPr>
              <a:noFill/>
              <a:ln w="25400">
                <a:noFill/>
              </a:ln>
            </c:spPr>
            <c:txPr>
              <a:bodyPr wrap="square" lIns="38100" tIns="19050" rIns="38100" bIns="19050" anchor="ctr">
                <a:spAutoFit/>
              </a:bodyPr>
              <a:lstStyle/>
              <a:p>
                <a:pPr>
                  <a:defRPr sz="900" b="0" i="0" u="none" strike="noStrike" baseline="0">
                    <a:solidFill>
                      <a:srgbClr val="333333"/>
                    </a:solidFill>
                    <a:latin typeface="Calibri"/>
                    <a:ea typeface="Calibri"/>
                    <a:cs typeface="Calibri"/>
                  </a:defRPr>
                </a:pPr>
                <a:endParaRPr lang="en-US"/>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'Electricity report'!$K$59:$K$63</c:f>
              <c:strCache>
                <c:ptCount val="5"/>
                <c:pt idx="0">
                  <c:v>more</c:v>
                </c:pt>
                <c:pt idx="1">
                  <c:v>0</c:v>
                </c:pt>
                <c:pt idx="2">
                  <c:v>0</c:v>
                </c:pt>
                <c:pt idx="3">
                  <c:v>0</c:v>
                </c:pt>
                <c:pt idx="4">
                  <c:v>0</c:v>
                </c:pt>
              </c:strCache>
            </c:strRef>
          </c:cat>
          <c:val>
            <c:numRef>
              <c:f>'Electricity report'!$L$59:$L$63</c:f>
              <c:numCache>
                <c:formatCode>_(* #,##0.00_);_(* \(#,##0.00\);_(* "-"??_);_(@_)</c:formatCode>
                <c:ptCount val="5"/>
                <c:pt idx="0">
                  <c:v>2.5551974602507785</c:v>
                </c:pt>
                <c:pt idx="1">
                  <c:v>0</c:v>
                </c:pt>
                <c:pt idx="2">
                  <c:v>0</c:v>
                </c:pt>
                <c:pt idx="3">
                  <c:v>0</c:v>
                </c:pt>
                <c:pt idx="4">
                  <c:v>0</c:v>
                </c:pt>
              </c:numCache>
            </c:numRef>
          </c:val>
          <c:extLst>
            <c:ext xmlns:c16="http://schemas.microsoft.com/office/drawing/2014/chart" uri="{C3380CC4-5D6E-409C-BE32-E72D297353CC}">
              <c16:uniqueId val="{00000000-318B-48A0-92DA-91345C3C5C8B}"/>
            </c:ext>
          </c:extLst>
        </c:ser>
        <c:ser>
          <c:idx val="1"/>
          <c:order val="1"/>
          <c:tx>
            <c:strRef>
              <c:f>'Electricity report'!$M$58</c:f>
              <c:strCache>
                <c:ptCount val="1"/>
                <c:pt idx="0">
                  <c:v>High Season Tariff</c:v>
                </c:pt>
              </c:strCache>
            </c:strRef>
          </c:tx>
          <c:spPr>
            <a:solidFill>
              <a:srgbClr val="ED7D31"/>
            </a:solidFill>
            <a:ln w="25400">
              <a:noFill/>
            </a:ln>
          </c:spPr>
          <c:invertIfNegative val="0"/>
          <c:dLbls>
            <c:spPr>
              <a:noFill/>
              <a:ln w="25400">
                <a:noFill/>
              </a:ln>
            </c:spPr>
            <c:txPr>
              <a:bodyPr wrap="square" lIns="38100" tIns="19050" rIns="38100" bIns="19050" anchor="ctr">
                <a:spAutoFit/>
              </a:bodyPr>
              <a:lstStyle/>
              <a:p>
                <a:pPr>
                  <a:defRPr sz="900" b="0" i="0" u="none" strike="noStrike" baseline="0">
                    <a:solidFill>
                      <a:srgbClr val="333333"/>
                    </a:solidFill>
                    <a:latin typeface="Calibri"/>
                    <a:ea typeface="Calibri"/>
                    <a:cs typeface="Calibri"/>
                  </a:defRPr>
                </a:pPr>
                <a:endParaRPr lang="en-US"/>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'Electricity report'!$K$59:$K$63</c:f>
              <c:strCache>
                <c:ptCount val="5"/>
                <c:pt idx="0">
                  <c:v>more</c:v>
                </c:pt>
                <c:pt idx="1">
                  <c:v>0</c:v>
                </c:pt>
                <c:pt idx="2">
                  <c:v>0</c:v>
                </c:pt>
                <c:pt idx="3">
                  <c:v>0</c:v>
                </c:pt>
                <c:pt idx="4">
                  <c:v>0</c:v>
                </c:pt>
              </c:strCache>
            </c:strRef>
          </c:cat>
          <c:val>
            <c:numRef>
              <c:f>'Electricity report'!$M$59:$M$63</c:f>
              <c:numCache>
                <c:formatCode>_(* #,##0.00_);_(* \(#,##0.00\);_(* "-"??_);_(@_)</c:formatCode>
                <c:ptCount val="5"/>
                <c:pt idx="0">
                  <c:v>3.2172584268423674</c:v>
                </c:pt>
                <c:pt idx="1">
                  <c:v>#N/A</c:v>
                </c:pt>
                <c:pt idx="2">
                  <c:v>#N/A</c:v>
                </c:pt>
                <c:pt idx="3">
                  <c:v>#N/A</c:v>
                </c:pt>
                <c:pt idx="4">
                  <c:v>#N/A</c:v>
                </c:pt>
              </c:numCache>
            </c:numRef>
          </c:val>
          <c:extLst>
            <c:ext xmlns:c16="http://schemas.microsoft.com/office/drawing/2014/chart" uri="{C3380CC4-5D6E-409C-BE32-E72D297353CC}">
              <c16:uniqueId val="{00000001-318B-48A0-92DA-91345C3C5C8B}"/>
            </c:ext>
          </c:extLst>
        </c:ser>
        <c:dLbls>
          <c:showLegendKey val="0"/>
          <c:showVal val="0"/>
          <c:showCatName val="0"/>
          <c:showSerName val="0"/>
          <c:showPercent val="0"/>
          <c:showBubbleSize val="0"/>
        </c:dLbls>
        <c:gapWidth val="150"/>
        <c:axId val="1361816687"/>
        <c:axId val="1"/>
      </c:barChart>
      <c:lineChart>
        <c:grouping val="standard"/>
        <c:varyColors val="0"/>
        <c:ser>
          <c:idx val="2"/>
          <c:order val="2"/>
          <c:tx>
            <c:strRef>
              <c:f>'Electricity report'!$N$58</c:f>
              <c:strCache>
                <c:ptCount val="1"/>
                <c:pt idx="0">
                  <c:v>Total cost per kl </c:v>
                </c:pt>
              </c:strCache>
            </c:strRef>
          </c:tx>
          <c:spPr>
            <a:ln w="28575" cap="rnd">
              <a:solidFill>
                <a:schemeClr val="accent3"/>
              </a:solidFill>
              <a:round/>
            </a:ln>
            <a:effectLst/>
          </c:spPr>
          <c:marker>
            <c:symbol val="none"/>
          </c:marker>
          <c:cat>
            <c:strRef>
              <c:f>'Electricity report'!$K$59:$K$63</c:f>
              <c:strCache>
                <c:ptCount val="5"/>
                <c:pt idx="0">
                  <c:v>more</c:v>
                </c:pt>
                <c:pt idx="1">
                  <c:v>0</c:v>
                </c:pt>
                <c:pt idx="2">
                  <c:v>0</c:v>
                </c:pt>
                <c:pt idx="3">
                  <c:v>0</c:v>
                </c:pt>
                <c:pt idx="4">
                  <c:v>0</c:v>
                </c:pt>
              </c:strCache>
            </c:strRef>
          </c:cat>
          <c:val>
            <c:numRef>
              <c:f>'Electricity report'!$N$59:$N$63</c:f>
              <c:numCache>
                <c:formatCode>_(* #,##0.00_);_(* \(#,##0.00\);_(* "-"??_);_(@_)</c:formatCode>
                <c:ptCount val="5"/>
                <c:pt idx="0">
                  <c:v>#N/A</c:v>
                </c:pt>
                <c:pt idx="1">
                  <c:v>#N/A</c:v>
                </c:pt>
                <c:pt idx="2">
                  <c:v>#N/A</c:v>
                </c:pt>
                <c:pt idx="3">
                  <c:v>#N/A</c:v>
                </c:pt>
                <c:pt idx="4">
                  <c:v>#N/A</c:v>
                </c:pt>
              </c:numCache>
            </c:numRef>
          </c:val>
          <c:smooth val="0"/>
          <c:extLst>
            <c:ext xmlns:c16="http://schemas.microsoft.com/office/drawing/2014/chart" uri="{C3380CC4-5D6E-409C-BE32-E72D297353CC}">
              <c16:uniqueId val="{00000002-318B-48A0-92DA-91345C3C5C8B}"/>
            </c:ext>
          </c:extLst>
        </c:ser>
        <c:ser>
          <c:idx val="3"/>
          <c:order val="3"/>
          <c:tx>
            <c:strRef>
              <c:f>'Electricity report'!$O$58</c:f>
              <c:strCache>
                <c:ptCount val="1"/>
                <c:pt idx="0">
                  <c:v>Variable cost per kWh</c:v>
                </c:pt>
              </c:strCache>
            </c:strRef>
          </c:tx>
          <c:spPr>
            <a:ln w="28575" cap="rnd">
              <a:solidFill>
                <a:schemeClr val="accent4"/>
              </a:solidFill>
              <a:round/>
            </a:ln>
            <a:effectLst/>
          </c:spPr>
          <c:marker>
            <c:symbol val="none"/>
          </c:marker>
          <c:cat>
            <c:strRef>
              <c:f>'Electricity report'!$K$59:$K$63</c:f>
              <c:strCache>
                <c:ptCount val="5"/>
                <c:pt idx="0">
                  <c:v>more</c:v>
                </c:pt>
                <c:pt idx="1">
                  <c:v>0</c:v>
                </c:pt>
                <c:pt idx="2">
                  <c:v>0</c:v>
                </c:pt>
                <c:pt idx="3">
                  <c:v>0</c:v>
                </c:pt>
                <c:pt idx="4">
                  <c:v>0</c:v>
                </c:pt>
              </c:strCache>
            </c:strRef>
          </c:cat>
          <c:val>
            <c:numRef>
              <c:f>'Electricity report'!$O$59:$O$63</c:f>
              <c:numCache>
                <c:formatCode>_(* #,##0.00_);_(* \(#,##0.00\);_(* "-"??_);_(@_)</c:formatCode>
                <c:ptCount val="5"/>
                <c:pt idx="0">
                  <c:v>2.9819428113304203</c:v>
                </c:pt>
                <c:pt idx="1">
                  <c:v>2.9819428113304203</c:v>
                </c:pt>
                <c:pt idx="2">
                  <c:v>2.9819428113304203</c:v>
                </c:pt>
                <c:pt idx="3">
                  <c:v>2.9819428113304203</c:v>
                </c:pt>
                <c:pt idx="4">
                  <c:v>2.9819428113304203</c:v>
                </c:pt>
              </c:numCache>
            </c:numRef>
          </c:val>
          <c:smooth val="0"/>
          <c:extLst>
            <c:ext xmlns:c16="http://schemas.microsoft.com/office/drawing/2014/chart" uri="{C3380CC4-5D6E-409C-BE32-E72D297353CC}">
              <c16:uniqueId val="{00000003-318B-48A0-92DA-91345C3C5C8B}"/>
            </c:ext>
          </c:extLst>
        </c:ser>
        <c:dLbls>
          <c:showLegendKey val="0"/>
          <c:showVal val="0"/>
          <c:showCatName val="0"/>
          <c:showSerName val="0"/>
          <c:showPercent val="0"/>
          <c:showBubbleSize val="0"/>
        </c:dLbls>
        <c:marker val="1"/>
        <c:smooth val="0"/>
        <c:axId val="1361816687"/>
        <c:axId val="1"/>
      </c:lineChart>
      <c:catAx>
        <c:axId val="1361816687"/>
        <c:scaling>
          <c:orientation val="minMax"/>
        </c:scaling>
        <c:delete val="0"/>
        <c:axPos val="b"/>
        <c:title>
          <c:tx>
            <c:rich>
              <a:bodyPr/>
              <a:lstStyle/>
              <a:p>
                <a:pPr>
                  <a:defRPr sz="1000" b="0" i="0" u="none" strike="noStrike" baseline="0">
                    <a:solidFill>
                      <a:srgbClr val="333333"/>
                    </a:solidFill>
                    <a:latin typeface="Calibri"/>
                    <a:ea typeface="Calibri"/>
                    <a:cs typeface="Calibri"/>
                  </a:defRPr>
                </a:pPr>
                <a:r>
                  <a:rPr lang="en-ZA"/>
                  <a:t>Block size</a:t>
                </a:r>
              </a:p>
            </c:rich>
          </c:tx>
          <c:overlay val="0"/>
          <c:spPr>
            <a:noFill/>
            <a:ln w="25400">
              <a:noFill/>
            </a:ln>
          </c:spPr>
        </c:title>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0" vert="horz"/>
          <a:lstStyle/>
          <a:p>
            <a:pPr>
              <a:defRPr sz="900" b="0" i="0" u="none" strike="noStrike" baseline="0">
                <a:solidFill>
                  <a:srgbClr val="333333"/>
                </a:solidFill>
                <a:latin typeface="Calibri"/>
                <a:ea typeface="Calibri"/>
                <a:cs typeface="Calibri"/>
              </a:defRPr>
            </a:pPr>
            <a:endParaRPr lang="en-US"/>
          </a:p>
        </c:txPr>
        <c:crossAx val="1"/>
        <c:crosses val="autoZero"/>
        <c:auto val="1"/>
        <c:lblAlgn val="ctr"/>
        <c:lblOffset val="100"/>
        <c:noMultiLvlLbl val="0"/>
      </c:catAx>
      <c:valAx>
        <c:axId val="1"/>
        <c:scaling>
          <c:orientation val="minMax"/>
        </c:scaling>
        <c:delete val="0"/>
        <c:axPos val="l"/>
        <c:majorGridlines>
          <c:spPr>
            <a:ln w="9525" cap="flat" cmpd="sng" algn="ctr">
              <a:solidFill>
                <a:schemeClr val="tx1">
                  <a:lumMod val="15000"/>
                  <a:lumOff val="85000"/>
                </a:schemeClr>
              </a:solidFill>
              <a:round/>
            </a:ln>
            <a:effectLst/>
          </c:spPr>
        </c:majorGridlines>
        <c:title>
          <c:tx>
            <c:rich>
              <a:bodyPr/>
              <a:lstStyle/>
              <a:p>
                <a:pPr>
                  <a:defRPr sz="1000" b="0" i="0" u="none" strike="noStrike" baseline="0">
                    <a:solidFill>
                      <a:srgbClr val="333333"/>
                    </a:solidFill>
                    <a:latin typeface="Calibri"/>
                    <a:ea typeface="Calibri"/>
                    <a:cs typeface="Calibri"/>
                  </a:defRPr>
                </a:pPr>
                <a:r>
                  <a:rPr lang="en-ZA"/>
                  <a:t>R/kWh</a:t>
                </a:r>
              </a:p>
            </c:rich>
          </c:tx>
          <c:overlay val="0"/>
          <c:spPr>
            <a:noFill/>
            <a:ln w="25400">
              <a:noFill/>
            </a:ln>
          </c:spPr>
        </c:title>
        <c:numFmt formatCode="_(* #,##0.00_);_(* \(#,##0.00\);_(* &quot;-&quot;??_);_(@_)" sourceLinked="1"/>
        <c:majorTickMark val="none"/>
        <c:minorTickMark val="none"/>
        <c:tickLblPos val="nextTo"/>
        <c:spPr>
          <a:ln w="6350">
            <a:noFill/>
          </a:ln>
        </c:spPr>
        <c:txPr>
          <a:bodyPr rot="0" vert="horz"/>
          <a:lstStyle/>
          <a:p>
            <a:pPr>
              <a:defRPr sz="900" b="0" i="0" u="none" strike="noStrike" baseline="0">
                <a:solidFill>
                  <a:srgbClr val="333333"/>
                </a:solidFill>
                <a:latin typeface="Calibri"/>
                <a:ea typeface="Calibri"/>
                <a:cs typeface="Calibri"/>
              </a:defRPr>
            </a:pPr>
            <a:endParaRPr lang="en-US"/>
          </a:p>
        </c:txPr>
        <c:crossAx val="1361816687"/>
        <c:crosses val="autoZero"/>
        <c:crossBetween val="between"/>
      </c:valAx>
      <c:spPr>
        <a:noFill/>
        <a:ln w="25400">
          <a:noFill/>
        </a:ln>
      </c:spPr>
    </c:plotArea>
    <c:legend>
      <c:legendPos val="r"/>
      <c:layout>
        <c:manualLayout>
          <c:xMode val="edge"/>
          <c:yMode val="edge"/>
          <c:x val="3.801774364981237E-2"/>
          <c:y val="0.93512694326670698"/>
          <c:w val="0.8992025335676016"/>
          <c:h val="5.2886381990712716E-2"/>
        </c:manualLayout>
      </c:layout>
      <c:overlay val="0"/>
      <c:spPr>
        <a:noFill/>
        <a:ln w="25400">
          <a:noFill/>
        </a:ln>
      </c:spPr>
      <c:txPr>
        <a:bodyPr/>
        <a:lstStyle/>
        <a:p>
          <a:pPr>
            <a:defRPr sz="690" b="0" i="0" u="none" strike="noStrike" baseline="0">
              <a:solidFill>
                <a:srgbClr val="333333"/>
              </a:solidFill>
              <a:latin typeface="Calibri"/>
              <a:ea typeface="Calibri"/>
              <a:cs typeface="Calibri"/>
            </a:defRPr>
          </a:pPr>
          <a:endParaRPr lang="en-US"/>
        </a:p>
      </c:txPr>
    </c:legend>
    <c:plotVisOnly val="1"/>
    <c:dispBlanksAs val="gap"/>
    <c:showDLblsOverMax val="0"/>
  </c:chart>
  <c:spPr>
    <a:solidFill>
      <a:schemeClr val="bg1"/>
    </a:solidFill>
    <a:ln w="9525" cap="flat" cmpd="sng" algn="ctr">
      <a:noFill/>
      <a:round/>
    </a:ln>
    <a:effectLst/>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charts/chart14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2.3871527777777776E-2"/>
          <c:y val="4.7786414907172239E-2"/>
          <c:w val="0.57559123468941387"/>
          <c:h val="0.83529592857692603"/>
        </c:manualLayout>
      </c:layout>
      <c:barChart>
        <c:barDir val="col"/>
        <c:grouping val="stacked"/>
        <c:varyColors val="0"/>
        <c:ser>
          <c:idx val="0"/>
          <c:order val="0"/>
          <c:tx>
            <c:strRef>
              <c:f>'Electricity report'!$J$106</c:f>
              <c:strCache>
                <c:ptCount val="1"/>
                <c:pt idx="0">
                  <c:v>Customer costs </c:v>
                </c:pt>
              </c:strCache>
            </c:strRef>
          </c:tx>
          <c:spPr>
            <a:solidFill>
              <a:srgbClr val="4472C4"/>
            </a:solidFill>
            <a:ln w="25400">
              <a:noFill/>
            </a:ln>
          </c:spPr>
          <c:invertIfNegative val="0"/>
          <c:dPt>
            <c:idx val="0"/>
            <c:invertIfNegative val="0"/>
            <c:bubble3D val="0"/>
            <c:spPr>
              <a:solidFill>
                <a:srgbClr val="5B9BD5"/>
              </a:solidFill>
              <a:ln w="25400">
                <a:noFill/>
              </a:ln>
            </c:spPr>
            <c:extLst>
              <c:ext xmlns:c16="http://schemas.microsoft.com/office/drawing/2014/chart" uri="{C3380CC4-5D6E-409C-BE32-E72D297353CC}">
                <c16:uniqueId val="{00000000-6183-4A7A-A18D-8B81B0912B53}"/>
              </c:ext>
            </c:extLst>
          </c:dPt>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'Electricity report'!$K$105:$L$105</c:f>
              <c:strCache>
                <c:ptCount val="2"/>
                <c:pt idx="0">
                  <c:v>Expenditure R'000</c:v>
                </c:pt>
                <c:pt idx="1">
                  <c:v>Revenue R'000</c:v>
                </c:pt>
              </c:strCache>
            </c:strRef>
          </c:cat>
          <c:val>
            <c:numRef>
              <c:f>'Electricity report'!$K$106:$L$106</c:f>
              <c:numCache>
                <c:formatCode>General</c:formatCode>
                <c:ptCount val="2"/>
                <c:pt idx="0" formatCode="_-* #\ ##0_-;\-* #\ ##0_-;_-* &quot;-&quot;??_-;_-@_-">
                  <c:v>33.440230838899581</c:v>
                </c:pt>
              </c:numCache>
            </c:numRef>
          </c:val>
          <c:extLst>
            <c:ext xmlns:c16="http://schemas.microsoft.com/office/drawing/2014/chart" uri="{C3380CC4-5D6E-409C-BE32-E72D297353CC}">
              <c16:uniqueId val="{00000001-6183-4A7A-A18D-8B81B0912B53}"/>
            </c:ext>
          </c:extLst>
        </c:ser>
        <c:ser>
          <c:idx val="1"/>
          <c:order val="1"/>
          <c:tx>
            <c:strRef>
              <c:f>'Electricity report'!$J$107</c:f>
              <c:strCache>
                <c:ptCount val="1"/>
                <c:pt idx="0">
                  <c:v>Energy costs</c:v>
                </c:pt>
              </c:strCache>
            </c:strRef>
          </c:tx>
          <c:spPr>
            <a:solidFill>
              <a:schemeClr val="accent5">
                <a:lumMod val="60000"/>
                <a:lumOff val="40000"/>
              </a:schemeClr>
            </a:solidFill>
            <a:ln>
              <a:noFill/>
            </a:ln>
            <a:effectLst/>
          </c:spPr>
          <c:invertIfNegative val="0"/>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'Electricity report'!$K$105:$L$105</c:f>
              <c:strCache>
                <c:ptCount val="2"/>
                <c:pt idx="0">
                  <c:v>Expenditure R'000</c:v>
                </c:pt>
                <c:pt idx="1">
                  <c:v>Revenue R'000</c:v>
                </c:pt>
              </c:strCache>
            </c:strRef>
          </c:cat>
          <c:val>
            <c:numRef>
              <c:f>'Electricity report'!$K$107:$L$107</c:f>
              <c:numCache>
                <c:formatCode>General</c:formatCode>
                <c:ptCount val="2"/>
                <c:pt idx="0" formatCode="_-* #\ ##0_-;\-* #\ ##0_-;_-* &quot;-&quot;??_-;_-@_-">
                  <c:v>10662.768483956277</c:v>
                </c:pt>
              </c:numCache>
            </c:numRef>
          </c:val>
          <c:extLst>
            <c:ext xmlns:c16="http://schemas.microsoft.com/office/drawing/2014/chart" uri="{C3380CC4-5D6E-409C-BE32-E72D297353CC}">
              <c16:uniqueId val="{00000002-6183-4A7A-A18D-8B81B0912B53}"/>
            </c:ext>
          </c:extLst>
        </c:ser>
        <c:ser>
          <c:idx val="2"/>
          <c:order val="2"/>
          <c:tx>
            <c:strRef>
              <c:f>'Electricity report'!$J$108</c:f>
              <c:strCache>
                <c:ptCount val="1"/>
                <c:pt idx="0">
                  <c:v>Demand cost</c:v>
                </c:pt>
              </c:strCache>
            </c:strRef>
          </c:tx>
          <c:spPr>
            <a:solidFill>
              <a:srgbClr val="A5A5A5"/>
            </a:solidFill>
            <a:ln w="25400">
              <a:noFill/>
            </a:ln>
          </c:spPr>
          <c:invertIfNegative val="0"/>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'Electricity report'!$K$105:$L$105</c:f>
              <c:strCache>
                <c:ptCount val="2"/>
                <c:pt idx="0">
                  <c:v>Expenditure R'000</c:v>
                </c:pt>
                <c:pt idx="1">
                  <c:v>Revenue R'000</c:v>
                </c:pt>
              </c:strCache>
            </c:strRef>
          </c:cat>
          <c:val>
            <c:numRef>
              <c:f>'Electricity report'!$K$108:$L$108</c:f>
              <c:numCache>
                <c:formatCode>General</c:formatCode>
                <c:ptCount val="2"/>
                <c:pt idx="0" formatCode="_-* #\ ##0_-;\-* #\ ##0_-;_-* &quot;-&quot;??_-;_-@_-">
                  <c:v>0</c:v>
                </c:pt>
              </c:numCache>
            </c:numRef>
          </c:val>
          <c:extLst>
            <c:ext xmlns:c16="http://schemas.microsoft.com/office/drawing/2014/chart" uri="{C3380CC4-5D6E-409C-BE32-E72D297353CC}">
              <c16:uniqueId val="{00000003-6183-4A7A-A18D-8B81B0912B53}"/>
            </c:ext>
          </c:extLst>
        </c:ser>
        <c:ser>
          <c:idx val="4"/>
          <c:order val="3"/>
          <c:tx>
            <c:strRef>
              <c:f>'Electricity report'!$J$109</c:f>
              <c:strCache>
                <c:ptCount val="1"/>
                <c:pt idx="0">
                  <c:v>Surplus</c:v>
                </c:pt>
              </c:strCache>
            </c:strRef>
          </c:tx>
          <c:spPr>
            <a:solidFill>
              <a:srgbClr val="5B9BD5"/>
            </a:solidFill>
            <a:ln w="25400">
              <a:noFill/>
            </a:ln>
          </c:spPr>
          <c:invertIfNegative val="0"/>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'Electricity report'!$K$105:$L$105</c:f>
              <c:strCache>
                <c:ptCount val="2"/>
                <c:pt idx="0">
                  <c:v>Expenditure R'000</c:v>
                </c:pt>
                <c:pt idx="1">
                  <c:v>Revenue R'000</c:v>
                </c:pt>
              </c:strCache>
            </c:strRef>
          </c:cat>
          <c:val>
            <c:numRef>
              <c:f>'Electricity report'!$K$109:$L$109</c:f>
              <c:numCache>
                <c:formatCode>General</c:formatCode>
                <c:ptCount val="2"/>
                <c:pt idx="0" formatCode="_-* #\ ##0_-;\-* #\ ##0_-;_-* &quot;-&quot;??_-;_-@_-">
                  <c:v>0</c:v>
                </c:pt>
              </c:numCache>
            </c:numRef>
          </c:val>
          <c:extLst>
            <c:ext xmlns:c16="http://schemas.microsoft.com/office/drawing/2014/chart" uri="{C3380CC4-5D6E-409C-BE32-E72D297353CC}">
              <c16:uniqueId val="{00000004-6183-4A7A-A18D-8B81B0912B53}"/>
            </c:ext>
          </c:extLst>
        </c:ser>
        <c:ser>
          <c:idx val="5"/>
          <c:order val="4"/>
          <c:tx>
            <c:strRef>
              <c:f>'Electricity report'!$J$110</c:f>
              <c:strCache>
                <c:ptCount val="1"/>
                <c:pt idx="0">
                  <c:v>Tariff revenue</c:v>
                </c:pt>
              </c:strCache>
            </c:strRef>
          </c:tx>
          <c:spPr>
            <a:solidFill>
              <a:srgbClr val="A5A5A5"/>
            </a:solidFill>
            <a:ln w="25400">
              <a:noFill/>
            </a:ln>
          </c:spPr>
          <c:invertIfNegative val="0"/>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'Electricity report'!$K$105:$L$105</c:f>
              <c:strCache>
                <c:ptCount val="2"/>
                <c:pt idx="0">
                  <c:v>Expenditure R'000</c:v>
                </c:pt>
                <c:pt idx="1">
                  <c:v>Revenue R'000</c:v>
                </c:pt>
              </c:strCache>
            </c:strRef>
          </c:cat>
          <c:val>
            <c:numRef>
              <c:f>'Electricity report'!$K$110:$L$110</c:f>
              <c:numCache>
                <c:formatCode>_-* #\ ##0_-;\-* #\ ##0_-;_-* "-"??_-;_-@_-</c:formatCode>
                <c:ptCount val="2"/>
                <c:pt idx="1">
                  <c:v>9694.0041701979571</c:v>
                </c:pt>
              </c:numCache>
            </c:numRef>
          </c:val>
          <c:extLst>
            <c:ext xmlns:c16="http://schemas.microsoft.com/office/drawing/2014/chart" uri="{C3380CC4-5D6E-409C-BE32-E72D297353CC}">
              <c16:uniqueId val="{00000005-6183-4A7A-A18D-8B81B0912B53}"/>
            </c:ext>
          </c:extLst>
        </c:ser>
        <c:ser>
          <c:idx val="3"/>
          <c:order val="5"/>
          <c:tx>
            <c:strRef>
              <c:f>'Electricity report'!$J$111</c:f>
              <c:strCache>
                <c:ptCount val="1"/>
                <c:pt idx="0">
                  <c:v>External grants &amp; subsidies</c:v>
                </c:pt>
              </c:strCache>
            </c:strRef>
          </c:tx>
          <c:spPr>
            <a:solidFill>
              <a:schemeClr val="accent3">
                <a:lumMod val="40000"/>
                <a:lumOff val="60000"/>
              </a:schemeClr>
            </a:solidFill>
            <a:ln>
              <a:noFill/>
            </a:ln>
            <a:effectLst/>
          </c:spPr>
          <c:invertIfNegative val="0"/>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'Electricity report'!$K$105:$L$105</c:f>
              <c:strCache>
                <c:ptCount val="2"/>
                <c:pt idx="0">
                  <c:v>Expenditure R'000</c:v>
                </c:pt>
                <c:pt idx="1">
                  <c:v>Revenue R'000</c:v>
                </c:pt>
              </c:strCache>
            </c:strRef>
          </c:cat>
          <c:val>
            <c:numRef>
              <c:f>'Electricity report'!$K$111:$L$111</c:f>
              <c:numCache>
                <c:formatCode>_-* #\ ##0_-;\-* #\ ##0_-;_-* "-"??_-;_-@_-</c:formatCode>
                <c:ptCount val="2"/>
                <c:pt idx="1">
                  <c:v>0</c:v>
                </c:pt>
              </c:numCache>
            </c:numRef>
          </c:val>
          <c:extLst>
            <c:ext xmlns:c16="http://schemas.microsoft.com/office/drawing/2014/chart" uri="{C3380CC4-5D6E-409C-BE32-E72D297353CC}">
              <c16:uniqueId val="{00000006-6183-4A7A-A18D-8B81B0912B53}"/>
            </c:ext>
          </c:extLst>
        </c:ser>
        <c:ser>
          <c:idx val="6"/>
          <c:order val="6"/>
          <c:tx>
            <c:strRef>
              <c:f>'Electricity report'!$J$112</c:f>
              <c:strCache>
                <c:ptCount val="1"/>
                <c:pt idx="0">
                  <c:v>Other non-tariff revenue</c:v>
                </c:pt>
              </c:strCache>
            </c:strRef>
          </c:tx>
          <c:spPr>
            <a:solidFill>
              <a:srgbClr val="ED7D31"/>
            </a:solidFill>
            <a:ln w="25400">
              <a:noFill/>
            </a:ln>
          </c:spPr>
          <c:invertIfNegative val="0"/>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'Electricity report'!$K$105:$L$105</c:f>
              <c:strCache>
                <c:ptCount val="2"/>
                <c:pt idx="0">
                  <c:v>Expenditure R'000</c:v>
                </c:pt>
                <c:pt idx="1">
                  <c:v>Revenue R'000</c:v>
                </c:pt>
              </c:strCache>
            </c:strRef>
          </c:cat>
          <c:val>
            <c:numRef>
              <c:f>'Electricity report'!$K$112:$L$112</c:f>
              <c:numCache>
                <c:formatCode>_-* #\ ##0_-;\-* #\ ##0_-;_-* "-"??_-;_-@_-</c:formatCode>
                <c:ptCount val="2"/>
                <c:pt idx="1">
                  <c:v>1002.2045445972213</c:v>
                </c:pt>
              </c:numCache>
            </c:numRef>
          </c:val>
          <c:extLst>
            <c:ext xmlns:c16="http://schemas.microsoft.com/office/drawing/2014/chart" uri="{C3380CC4-5D6E-409C-BE32-E72D297353CC}">
              <c16:uniqueId val="{00000007-6183-4A7A-A18D-8B81B0912B53}"/>
            </c:ext>
          </c:extLst>
        </c:ser>
        <c:ser>
          <c:idx val="7"/>
          <c:order val="7"/>
          <c:tx>
            <c:strRef>
              <c:f>'Electricity report'!$J$113</c:f>
              <c:strCache>
                <c:ptCount val="1"/>
                <c:pt idx="0">
                  <c:v>Deficit</c:v>
                </c:pt>
              </c:strCache>
            </c:strRef>
          </c:tx>
          <c:spPr>
            <a:solidFill>
              <a:srgbClr val="4472C4"/>
            </a:solidFill>
            <a:ln w="25400">
              <a:noFill/>
            </a:ln>
          </c:spPr>
          <c:invertIfNegative val="0"/>
          <c:dPt>
            <c:idx val="0"/>
            <c:invertIfNegative val="0"/>
            <c:bubble3D val="0"/>
            <c:spPr>
              <a:solidFill>
                <a:srgbClr val="5B9BD5"/>
              </a:solidFill>
              <a:ln w="25400">
                <a:noFill/>
              </a:ln>
            </c:spPr>
            <c:extLst>
              <c:ext xmlns:c16="http://schemas.microsoft.com/office/drawing/2014/chart" uri="{C3380CC4-5D6E-409C-BE32-E72D297353CC}">
                <c16:uniqueId val="{00000008-6183-4A7A-A18D-8B81B0912B53}"/>
              </c:ext>
            </c:extLst>
          </c:dPt>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'Electricity report'!$K$105:$L$105</c:f>
              <c:strCache>
                <c:ptCount val="2"/>
                <c:pt idx="0">
                  <c:v>Expenditure R'000</c:v>
                </c:pt>
                <c:pt idx="1">
                  <c:v>Revenue R'000</c:v>
                </c:pt>
              </c:strCache>
            </c:strRef>
          </c:cat>
          <c:val>
            <c:numRef>
              <c:f>'Electricity report'!$K$113:$L$113</c:f>
              <c:numCache>
                <c:formatCode>_-* #\ ##0_-;\-* #\ ##0_-;_-* "-"??_-;_-@_-</c:formatCode>
                <c:ptCount val="2"/>
                <c:pt idx="1">
                  <c:v>0</c:v>
                </c:pt>
              </c:numCache>
            </c:numRef>
          </c:val>
          <c:extLst>
            <c:ext xmlns:c16="http://schemas.microsoft.com/office/drawing/2014/chart" uri="{C3380CC4-5D6E-409C-BE32-E72D297353CC}">
              <c16:uniqueId val="{00000009-6183-4A7A-A18D-8B81B0912B53}"/>
            </c:ext>
          </c:extLst>
        </c:ser>
        <c:dLbls>
          <c:showLegendKey val="0"/>
          <c:showVal val="0"/>
          <c:showCatName val="0"/>
          <c:showSerName val="0"/>
          <c:showPercent val="0"/>
          <c:showBubbleSize val="0"/>
        </c:dLbls>
        <c:gapWidth val="25"/>
        <c:overlap val="100"/>
        <c:axId val="1361819087"/>
        <c:axId val="1"/>
      </c:barChart>
      <c:catAx>
        <c:axId val="1361819087"/>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0" vert="horz"/>
          <a:lstStyle/>
          <a:p>
            <a:pPr>
              <a:defRPr sz="1100" b="0" i="0" u="none" strike="noStrike" baseline="0">
                <a:solidFill>
                  <a:srgbClr val="000000"/>
                </a:solidFill>
                <a:latin typeface="Calibri"/>
                <a:ea typeface="Calibri"/>
                <a:cs typeface="Calibri"/>
              </a:defRPr>
            </a:pPr>
            <a:endParaRPr lang="en-US"/>
          </a:p>
        </c:txPr>
        <c:crossAx val="1"/>
        <c:crosses val="autoZero"/>
        <c:auto val="1"/>
        <c:lblAlgn val="ctr"/>
        <c:lblOffset val="100"/>
        <c:noMultiLvlLbl val="0"/>
      </c:catAx>
      <c:valAx>
        <c:axId val="1"/>
        <c:scaling>
          <c:orientation val="minMax"/>
        </c:scaling>
        <c:delete val="1"/>
        <c:axPos val="l"/>
        <c:majorGridlines>
          <c:spPr>
            <a:ln w="9525" cap="flat" cmpd="sng" algn="ctr">
              <a:solidFill>
                <a:schemeClr val="tx1">
                  <a:lumMod val="15000"/>
                  <a:lumOff val="85000"/>
                </a:schemeClr>
              </a:solidFill>
              <a:round/>
            </a:ln>
            <a:effectLst/>
          </c:spPr>
        </c:majorGridlines>
        <c:numFmt formatCode="_-* #\ ##0_-;\-* #\ ##0_-;_-* &quot;-&quot;??_-;_-@_-" sourceLinked="1"/>
        <c:majorTickMark val="out"/>
        <c:minorTickMark val="none"/>
        <c:tickLblPos val="nextTo"/>
        <c:crossAx val="1361819087"/>
        <c:crosses val="autoZero"/>
        <c:crossBetween val="between"/>
      </c:valAx>
    </c:plotArea>
    <c:legend>
      <c:legendPos val="r"/>
      <c:layout>
        <c:manualLayout>
          <c:xMode val="edge"/>
          <c:yMode val="edge"/>
          <c:x val="0.63225725892244689"/>
          <c:y val="0.1812752257931505"/>
          <c:w val="0.34899346501875061"/>
          <c:h val="0.70697306341239063"/>
        </c:manualLayout>
      </c:layout>
      <c:overlay val="0"/>
      <c:spPr>
        <a:noFill/>
        <a:ln w="25400">
          <a:noFill/>
        </a:ln>
      </c:spPr>
      <c:txPr>
        <a:bodyPr/>
        <a:lstStyle/>
        <a:p>
          <a:pPr>
            <a:defRPr sz="850" b="0" i="0" u="none" strike="noStrike" baseline="0">
              <a:solidFill>
                <a:srgbClr val="000000"/>
              </a:solidFill>
              <a:latin typeface="Calibri"/>
              <a:ea typeface="Calibri"/>
              <a:cs typeface="Calibri"/>
            </a:defRPr>
          </a:pPr>
          <a:endParaRPr lang="en-US"/>
        </a:p>
      </c:txPr>
    </c:legend>
    <c:plotVisOnly val="1"/>
    <c:dispBlanksAs val="gap"/>
    <c:showDLblsOverMax val="0"/>
  </c:chart>
  <c:spPr>
    <a:solidFill>
      <a:schemeClr val="bg1"/>
    </a:solidFill>
    <a:ln w="9525" cap="flat" cmpd="sng" algn="ctr">
      <a:noFill/>
      <a:round/>
    </a:ln>
    <a:effectLst/>
  </c:spPr>
  <c:txPr>
    <a:bodyPr/>
    <a:lstStyle/>
    <a:p>
      <a:pPr>
        <a:defRPr sz="11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charts/chart14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ser>
          <c:idx val="0"/>
          <c:order val="0"/>
          <c:tx>
            <c:strRef>
              <c:f>'Electricity report'!$L$131</c:f>
              <c:strCache>
                <c:ptCount val="1"/>
                <c:pt idx="0">
                  <c:v>Low Season Tariff</c:v>
                </c:pt>
              </c:strCache>
            </c:strRef>
          </c:tx>
          <c:spPr>
            <a:solidFill>
              <a:srgbClr val="4472C4"/>
            </a:solidFill>
            <a:ln w="25400">
              <a:noFill/>
            </a:ln>
          </c:spPr>
          <c:invertIfNegative val="0"/>
          <c:dLbls>
            <c:spPr>
              <a:noFill/>
              <a:ln w="25400">
                <a:noFill/>
              </a:ln>
            </c:spPr>
            <c:txPr>
              <a:bodyPr wrap="square" lIns="38100" tIns="19050" rIns="38100" bIns="19050" anchor="ctr">
                <a:spAutoFit/>
              </a:bodyPr>
              <a:lstStyle/>
              <a:p>
                <a:pPr>
                  <a:defRPr sz="900" b="0" i="0" u="none" strike="noStrike" baseline="0">
                    <a:solidFill>
                      <a:srgbClr val="333333"/>
                    </a:solidFill>
                    <a:latin typeface="Calibri"/>
                    <a:ea typeface="Calibri"/>
                    <a:cs typeface="Calibri"/>
                  </a:defRPr>
                </a:pPr>
                <a:endParaRPr lang="en-US"/>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numRef>
              <c:f>'Electricity report'!$K$132:$K$136</c:f>
              <c:numCache>
                <c:formatCode>General</c:formatCode>
                <c:ptCount val="5"/>
                <c:pt idx="0">
                  <c:v>0</c:v>
                </c:pt>
                <c:pt idx="1">
                  <c:v>0</c:v>
                </c:pt>
                <c:pt idx="2">
                  <c:v>0</c:v>
                </c:pt>
                <c:pt idx="3">
                  <c:v>0</c:v>
                </c:pt>
                <c:pt idx="4">
                  <c:v>0</c:v>
                </c:pt>
              </c:numCache>
            </c:numRef>
          </c:cat>
          <c:val>
            <c:numRef>
              <c:f>'Electricity report'!$L$132:$L$136</c:f>
              <c:numCache>
                <c:formatCode>_(* #,##0.00_);_(* \(#,##0.00\);_(* "-"??_);_(@_)</c:formatCode>
                <c:ptCount val="5"/>
                <c:pt idx="0">
                  <c:v>2.5212233858303432</c:v>
                </c:pt>
                <c:pt idx="1">
                  <c:v>0</c:v>
                </c:pt>
                <c:pt idx="2">
                  <c:v>0</c:v>
                </c:pt>
                <c:pt idx="3">
                  <c:v>0</c:v>
                </c:pt>
                <c:pt idx="4">
                  <c:v>0</c:v>
                </c:pt>
              </c:numCache>
            </c:numRef>
          </c:val>
          <c:extLst>
            <c:ext xmlns:c16="http://schemas.microsoft.com/office/drawing/2014/chart" uri="{C3380CC4-5D6E-409C-BE32-E72D297353CC}">
              <c16:uniqueId val="{00000000-60AD-48BC-A5AA-90B16A3CFF38}"/>
            </c:ext>
          </c:extLst>
        </c:ser>
        <c:ser>
          <c:idx val="1"/>
          <c:order val="1"/>
          <c:tx>
            <c:strRef>
              <c:f>'Electricity report'!$M$131</c:f>
              <c:strCache>
                <c:ptCount val="1"/>
                <c:pt idx="0">
                  <c:v>High Season Tariff</c:v>
                </c:pt>
              </c:strCache>
            </c:strRef>
          </c:tx>
          <c:spPr>
            <a:solidFill>
              <a:srgbClr val="ED7D31"/>
            </a:solidFill>
            <a:ln w="25400">
              <a:noFill/>
            </a:ln>
          </c:spPr>
          <c:invertIfNegative val="0"/>
          <c:dLbls>
            <c:spPr>
              <a:noFill/>
              <a:ln w="25400">
                <a:noFill/>
              </a:ln>
            </c:spPr>
            <c:txPr>
              <a:bodyPr wrap="square" lIns="38100" tIns="19050" rIns="38100" bIns="19050" anchor="ctr">
                <a:spAutoFit/>
              </a:bodyPr>
              <a:lstStyle/>
              <a:p>
                <a:pPr>
                  <a:defRPr sz="900" b="0" i="0" u="none" strike="noStrike" baseline="0">
                    <a:solidFill>
                      <a:srgbClr val="333333"/>
                    </a:solidFill>
                    <a:latin typeface="Calibri"/>
                    <a:ea typeface="Calibri"/>
                    <a:cs typeface="Calibri"/>
                  </a:defRPr>
                </a:pPr>
                <a:endParaRPr lang="en-US"/>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'Electricity report'!$M$132:$M$136</c:f>
              <c:numCache>
                <c:formatCode>_(* #,##0.00_);_(* \(#,##0.00\);_(* "-"??_);_(@_)</c:formatCode>
                <c:ptCount val="5"/>
                <c:pt idx="0">
                  <c:v>3.1918000814117646</c:v>
                </c:pt>
                <c:pt idx="1">
                  <c:v>#N/A</c:v>
                </c:pt>
                <c:pt idx="2">
                  <c:v>#N/A</c:v>
                </c:pt>
                <c:pt idx="3">
                  <c:v>#N/A</c:v>
                </c:pt>
                <c:pt idx="4">
                  <c:v>#N/A</c:v>
                </c:pt>
              </c:numCache>
            </c:numRef>
          </c:val>
          <c:extLst>
            <c:ext xmlns:c16="http://schemas.microsoft.com/office/drawing/2014/chart" uri="{C3380CC4-5D6E-409C-BE32-E72D297353CC}">
              <c16:uniqueId val="{00000001-60AD-48BC-A5AA-90B16A3CFF38}"/>
            </c:ext>
          </c:extLst>
        </c:ser>
        <c:dLbls>
          <c:showLegendKey val="0"/>
          <c:showVal val="0"/>
          <c:showCatName val="0"/>
          <c:showSerName val="0"/>
          <c:showPercent val="0"/>
          <c:showBubbleSize val="0"/>
        </c:dLbls>
        <c:gapWidth val="50"/>
        <c:axId val="1361805647"/>
        <c:axId val="1"/>
      </c:barChart>
      <c:lineChart>
        <c:grouping val="standard"/>
        <c:varyColors val="0"/>
        <c:ser>
          <c:idx val="2"/>
          <c:order val="2"/>
          <c:tx>
            <c:strRef>
              <c:f>'Electricity report'!$N$131</c:f>
              <c:strCache>
                <c:ptCount val="1"/>
                <c:pt idx="0">
                  <c:v>Total cost per kl </c:v>
                </c:pt>
              </c:strCache>
            </c:strRef>
          </c:tx>
          <c:spPr>
            <a:ln w="28575" cap="rnd">
              <a:solidFill>
                <a:schemeClr val="accent3"/>
              </a:solidFill>
              <a:round/>
            </a:ln>
            <a:effectLst/>
          </c:spPr>
          <c:marker>
            <c:symbol val="none"/>
          </c:marker>
          <c:val>
            <c:numRef>
              <c:f>'Electricity report'!$N$132:$N$136</c:f>
              <c:numCache>
                <c:formatCode>_(* #,##0.00_);_(* \(#,##0.00\);_(* "-"??_);_(@_)</c:formatCode>
                <c:ptCount val="5"/>
                <c:pt idx="0">
                  <c:v>2.9912946842618569</c:v>
                </c:pt>
                <c:pt idx="1">
                  <c:v>2.9912946842618569</c:v>
                </c:pt>
                <c:pt idx="2">
                  <c:v>2.9912946842618569</c:v>
                </c:pt>
                <c:pt idx="3">
                  <c:v>2.9912946842618569</c:v>
                </c:pt>
                <c:pt idx="4">
                  <c:v>2.9912946842618569</c:v>
                </c:pt>
              </c:numCache>
            </c:numRef>
          </c:val>
          <c:smooth val="0"/>
          <c:extLst>
            <c:ext xmlns:c16="http://schemas.microsoft.com/office/drawing/2014/chart" uri="{C3380CC4-5D6E-409C-BE32-E72D297353CC}">
              <c16:uniqueId val="{00000002-60AD-48BC-A5AA-90B16A3CFF38}"/>
            </c:ext>
          </c:extLst>
        </c:ser>
        <c:ser>
          <c:idx val="3"/>
          <c:order val="3"/>
          <c:tx>
            <c:strRef>
              <c:f>'Electricity report'!$O$131</c:f>
              <c:strCache>
                <c:ptCount val="1"/>
                <c:pt idx="0">
                  <c:v>Variable cost per kWh</c:v>
                </c:pt>
              </c:strCache>
            </c:strRef>
          </c:tx>
          <c:spPr>
            <a:ln w="28575" cap="rnd">
              <a:solidFill>
                <a:schemeClr val="accent4"/>
              </a:solidFill>
              <a:round/>
            </a:ln>
            <a:effectLst/>
          </c:spPr>
          <c:marker>
            <c:symbol val="none"/>
          </c:marker>
          <c:val>
            <c:numRef>
              <c:f>'Electricity report'!$O$132:$O$136</c:f>
              <c:numCache>
                <c:formatCode>_(* #,##0.00_);_(* \(#,##0.00\);_(* "-"??_);_(@_)</c:formatCode>
                <c:ptCount val="5"/>
                <c:pt idx="0">
                  <c:v>2.9819428113304198</c:v>
                </c:pt>
                <c:pt idx="1">
                  <c:v>2.9819428113304198</c:v>
                </c:pt>
                <c:pt idx="2">
                  <c:v>2.9819428113304198</c:v>
                </c:pt>
                <c:pt idx="3">
                  <c:v>2.9819428113304198</c:v>
                </c:pt>
                <c:pt idx="4">
                  <c:v>2.9819428113304198</c:v>
                </c:pt>
              </c:numCache>
            </c:numRef>
          </c:val>
          <c:smooth val="0"/>
          <c:extLst>
            <c:ext xmlns:c16="http://schemas.microsoft.com/office/drawing/2014/chart" uri="{C3380CC4-5D6E-409C-BE32-E72D297353CC}">
              <c16:uniqueId val="{00000003-60AD-48BC-A5AA-90B16A3CFF38}"/>
            </c:ext>
          </c:extLst>
        </c:ser>
        <c:dLbls>
          <c:showLegendKey val="0"/>
          <c:showVal val="0"/>
          <c:showCatName val="0"/>
          <c:showSerName val="0"/>
          <c:showPercent val="0"/>
          <c:showBubbleSize val="0"/>
        </c:dLbls>
        <c:marker val="1"/>
        <c:smooth val="0"/>
        <c:axId val="1361805647"/>
        <c:axId val="1"/>
      </c:lineChart>
      <c:catAx>
        <c:axId val="1361805647"/>
        <c:scaling>
          <c:orientation val="minMax"/>
        </c:scaling>
        <c:delete val="0"/>
        <c:axPos val="b"/>
        <c:title>
          <c:tx>
            <c:rich>
              <a:bodyPr/>
              <a:lstStyle/>
              <a:p>
                <a:pPr>
                  <a:defRPr sz="1000" b="0" i="0" u="none" strike="noStrike" baseline="0">
                    <a:solidFill>
                      <a:srgbClr val="333333"/>
                    </a:solidFill>
                    <a:latin typeface="Calibri"/>
                    <a:ea typeface="Calibri"/>
                    <a:cs typeface="Calibri"/>
                  </a:defRPr>
                </a:pPr>
                <a:r>
                  <a:rPr lang="en-ZA"/>
                  <a:t>Block size</a:t>
                </a:r>
              </a:p>
            </c:rich>
          </c:tx>
          <c:overlay val="0"/>
          <c:spPr>
            <a:noFill/>
            <a:ln w="25400">
              <a:noFill/>
            </a:ln>
          </c:spPr>
        </c:title>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0" vert="horz"/>
          <a:lstStyle/>
          <a:p>
            <a:pPr>
              <a:defRPr sz="900" b="0" i="0" u="none" strike="noStrike" baseline="0">
                <a:solidFill>
                  <a:srgbClr val="333333"/>
                </a:solidFill>
                <a:latin typeface="Calibri"/>
                <a:ea typeface="Calibri"/>
                <a:cs typeface="Calibri"/>
              </a:defRPr>
            </a:pPr>
            <a:endParaRPr lang="en-US"/>
          </a:p>
        </c:txPr>
        <c:crossAx val="1"/>
        <c:crosses val="autoZero"/>
        <c:auto val="1"/>
        <c:lblAlgn val="ctr"/>
        <c:lblOffset val="100"/>
        <c:noMultiLvlLbl val="0"/>
      </c:catAx>
      <c:valAx>
        <c:axId val="1"/>
        <c:scaling>
          <c:orientation val="minMax"/>
        </c:scaling>
        <c:delete val="0"/>
        <c:axPos val="l"/>
        <c:majorGridlines>
          <c:spPr>
            <a:ln w="9525" cap="flat" cmpd="sng" algn="ctr">
              <a:solidFill>
                <a:schemeClr val="tx1">
                  <a:lumMod val="15000"/>
                  <a:lumOff val="85000"/>
                </a:schemeClr>
              </a:solidFill>
              <a:round/>
            </a:ln>
            <a:effectLst/>
          </c:spPr>
        </c:majorGridlines>
        <c:title>
          <c:tx>
            <c:rich>
              <a:bodyPr/>
              <a:lstStyle/>
              <a:p>
                <a:pPr>
                  <a:defRPr sz="1000" b="0" i="0" u="none" strike="noStrike" baseline="0">
                    <a:solidFill>
                      <a:srgbClr val="333333"/>
                    </a:solidFill>
                    <a:latin typeface="Calibri"/>
                    <a:ea typeface="Calibri"/>
                    <a:cs typeface="Calibri"/>
                  </a:defRPr>
                </a:pPr>
                <a:r>
                  <a:rPr lang="en-ZA"/>
                  <a:t>R/kWh</a:t>
                </a:r>
              </a:p>
            </c:rich>
          </c:tx>
          <c:overlay val="0"/>
          <c:spPr>
            <a:noFill/>
            <a:ln w="25400">
              <a:noFill/>
            </a:ln>
          </c:spPr>
        </c:title>
        <c:numFmt formatCode="_(* #,##0.00_);_(* \(#,##0.00\);_(* &quot;-&quot;??_);_(@_)" sourceLinked="1"/>
        <c:majorTickMark val="none"/>
        <c:minorTickMark val="none"/>
        <c:tickLblPos val="nextTo"/>
        <c:spPr>
          <a:ln w="6350">
            <a:noFill/>
          </a:ln>
        </c:spPr>
        <c:txPr>
          <a:bodyPr rot="0" vert="horz"/>
          <a:lstStyle/>
          <a:p>
            <a:pPr>
              <a:defRPr sz="900" b="0" i="0" u="none" strike="noStrike" baseline="0">
                <a:solidFill>
                  <a:srgbClr val="333333"/>
                </a:solidFill>
                <a:latin typeface="Calibri"/>
                <a:ea typeface="Calibri"/>
                <a:cs typeface="Calibri"/>
              </a:defRPr>
            </a:pPr>
            <a:endParaRPr lang="en-US"/>
          </a:p>
        </c:txPr>
        <c:crossAx val="1361805647"/>
        <c:crosses val="autoZero"/>
        <c:crossBetween val="between"/>
      </c:valAx>
      <c:spPr>
        <a:noFill/>
        <a:ln w="25400">
          <a:noFill/>
        </a:ln>
      </c:spPr>
    </c:plotArea>
    <c:legend>
      <c:legendPos val="r"/>
      <c:layout>
        <c:manualLayout>
          <c:xMode val="edge"/>
          <c:yMode val="edge"/>
          <c:x val="4.7023424579764522E-2"/>
          <c:y val="0.92826131183362848"/>
          <c:w val="0.90128222216737008"/>
          <c:h val="5.2633337100804978E-2"/>
        </c:manualLayout>
      </c:layout>
      <c:overlay val="0"/>
      <c:spPr>
        <a:noFill/>
        <a:ln w="25400">
          <a:noFill/>
        </a:ln>
      </c:spPr>
      <c:txPr>
        <a:bodyPr/>
        <a:lstStyle/>
        <a:p>
          <a:pPr>
            <a:defRPr sz="690" b="0" i="0" u="none" strike="noStrike" baseline="0">
              <a:solidFill>
                <a:srgbClr val="333333"/>
              </a:solidFill>
              <a:latin typeface="Calibri"/>
              <a:ea typeface="Calibri"/>
              <a:cs typeface="Calibri"/>
            </a:defRPr>
          </a:pPr>
          <a:endParaRPr lang="en-US"/>
        </a:p>
      </c:txPr>
    </c:legend>
    <c:plotVisOnly val="1"/>
    <c:dispBlanksAs val="gap"/>
    <c:showDLblsOverMax val="0"/>
  </c:chart>
  <c:spPr>
    <a:solidFill>
      <a:schemeClr val="bg1"/>
    </a:solidFill>
    <a:ln w="9525" cap="flat" cmpd="sng" algn="ctr">
      <a:noFill/>
      <a:round/>
    </a:ln>
    <a:effectLst/>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charts/chart14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2.3871527777777776E-2"/>
          <c:y val="4.7786414907172239E-2"/>
          <c:w val="0.57559123468941387"/>
          <c:h val="0.83529592857692603"/>
        </c:manualLayout>
      </c:layout>
      <c:barChart>
        <c:barDir val="col"/>
        <c:grouping val="stacked"/>
        <c:varyColors val="0"/>
        <c:ser>
          <c:idx val="0"/>
          <c:order val="0"/>
          <c:tx>
            <c:strRef>
              <c:f>'Electricity report'!$J$177</c:f>
              <c:strCache>
                <c:ptCount val="1"/>
                <c:pt idx="0">
                  <c:v>Customer costs </c:v>
                </c:pt>
              </c:strCache>
            </c:strRef>
          </c:tx>
          <c:spPr>
            <a:solidFill>
              <a:srgbClr val="4472C4"/>
            </a:solidFill>
            <a:ln w="25400">
              <a:noFill/>
            </a:ln>
          </c:spPr>
          <c:invertIfNegative val="0"/>
          <c:dPt>
            <c:idx val="0"/>
            <c:invertIfNegative val="0"/>
            <c:bubble3D val="0"/>
            <c:spPr>
              <a:solidFill>
                <a:srgbClr val="5B9BD5"/>
              </a:solidFill>
              <a:ln w="25400">
                <a:noFill/>
              </a:ln>
            </c:spPr>
            <c:extLst>
              <c:ext xmlns:c16="http://schemas.microsoft.com/office/drawing/2014/chart" uri="{C3380CC4-5D6E-409C-BE32-E72D297353CC}">
                <c16:uniqueId val="{00000000-05B0-4FE6-8456-F4DD003CC758}"/>
              </c:ext>
            </c:extLst>
          </c:dPt>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'Electricity report'!$K$176:$L$176</c:f>
              <c:strCache>
                <c:ptCount val="2"/>
                <c:pt idx="0">
                  <c:v>Expenditure R'000</c:v>
                </c:pt>
                <c:pt idx="1">
                  <c:v>Revenue R'000</c:v>
                </c:pt>
              </c:strCache>
            </c:strRef>
          </c:cat>
          <c:val>
            <c:numRef>
              <c:f>'Electricity report'!$K$177:$L$177</c:f>
              <c:numCache>
                <c:formatCode>General</c:formatCode>
                <c:ptCount val="2"/>
                <c:pt idx="0" formatCode="_-* #\ ##0_-;\-* #\ ##0_-;_-* &quot;-&quot;??_-;_-@_-">
                  <c:v>3270.4545760443789</c:v>
                </c:pt>
              </c:numCache>
            </c:numRef>
          </c:val>
          <c:extLst>
            <c:ext xmlns:c16="http://schemas.microsoft.com/office/drawing/2014/chart" uri="{C3380CC4-5D6E-409C-BE32-E72D297353CC}">
              <c16:uniqueId val="{00000001-05B0-4FE6-8456-F4DD003CC758}"/>
            </c:ext>
          </c:extLst>
        </c:ser>
        <c:ser>
          <c:idx val="1"/>
          <c:order val="1"/>
          <c:tx>
            <c:strRef>
              <c:f>'Electricity report'!$J$178</c:f>
              <c:strCache>
                <c:ptCount val="1"/>
                <c:pt idx="0">
                  <c:v>Energy costs</c:v>
                </c:pt>
              </c:strCache>
            </c:strRef>
          </c:tx>
          <c:spPr>
            <a:solidFill>
              <a:schemeClr val="accent5">
                <a:lumMod val="60000"/>
                <a:lumOff val="40000"/>
              </a:schemeClr>
            </a:solidFill>
            <a:ln>
              <a:noFill/>
            </a:ln>
            <a:effectLst/>
          </c:spPr>
          <c:invertIfNegative val="0"/>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'Electricity report'!$K$176:$L$176</c:f>
              <c:strCache>
                <c:ptCount val="2"/>
                <c:pt idx="0">
                  <c:v>Expenditure R'000</c:v>
                </c:pt>
                <c:pt idx="1">
                  <c:v>Revenue R'000</c:v>
                </c:pt>
              </c:strCache>
            </c:strRef>
          </c:cat>
          <c:val>
            <c:numRef>
              <c:f>'Electricity report'!$K$178:$L$178</c:f>
              <c:numCache>
                <c:formatCode>General</c:formatCode>
                <c:ptCount val="2"/>
                <c:pt idx="0" formatCode="_-* #\ ##0_-;\-* #\ ##0_-;_-* &quot;-&quot;??_-;_-@_-">
                  <c:v>15830.042994284253</c:v>
                </c:pt>
              </c:numCache>
            </c:numRef>
          </c:val>
          <c:extLst>
            <c:ext xmlns:c16="http://schemas.microsoft.com/office/drawing/2014/chart" uri="{C3380CC4-5D6E-409C-BE32-E72D297353CC}">
              <c16:uniqueId val="{00000002-05B0-4FE6-8456-F4DD003CC758}"/>
            </c:ext>
          </c:extLst>
        </c:ser>
        <c:ser>
          <c:idx val="2"/>
          <c:order val="2"/>
          <c:tx>
            <c:strRef>
              <c:f>'Electricity report'!$J$179</c:f>
              <c:strCache>
                <c:ptCount val="1"/>
                <c:pt idx="0">
                  <c:v>Demand cost</c:v>
                </c:pt>
              </c:strCache>
            </c:strRef>
          </c:tx>
          <c:spPr>
            <a:solidFill>
              <a:srgbClr val="A5A5A5"/>
            </a:solidFill>
            <a:ln w="25400">
              <a:noFill/>
            </a:ln>
          </c:spPr>
          <c:invertIfNegative val="0"/>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'Electricity report'!$K$176:$L$176</c:f>
              <c:strCache>
                <c:ptCount val="2"/>
                <c:pt idx="0">
                  <c:v>Expenditure R'000</c:v>
                </c:pt>
                <c:pt idx="1">
                  <c:v>Revenue R'000</c:v>
                </c:pt>
              </c:strCache>
            </c:strRef>
          </c:cat>
          <c:val>
            <c:numRef>
              <c:f>'Electricity report'!$K$179:$L$179</c:f>
              <c:numCache>
                <c:formatCode>General</c:formatCode>
                <c:ptCount val="2"/>
                <c:pt idx="0" formatCode="_-* #\ ##0_-;\-* #\ ##0_-;_-* &quot;-&quot;??_-;_-@_-">
                  <c:v>0</c:v>
                </c:pt>
              </c:numCache>
            </c:numRef>
          </c:val>
          <c:extLst>
            <c:ext xmlns:c16="http://schemas.microsoft.com/office/drawing/2014/chart" uri="{C3380CC4-5D6E-409C-BE32-E72D297353CC}">
              <c16:uniqueId val="{00000003-05B0-4FE6-8456-F4DD003CC758}"/>
            </c:ext>
          </c:extLst>
        </c:ser>
        <c:ser>
          <c:idx val="4"/>
          <c:order val="3"/>
          <c:tx>
            <c:strRef>
              <c:f>'Electricity report'!$J$180</c:f>
              <c:strCache>
                <c:ptCount val="1"/>
                <c:pt idx="0">
                  <c:v>Surplus</c:v>
                </c:pt>
              </c:strCache>
            </c:strRef>
          </c:tx>
          <c:spPr>
            <a:solidFill>
              <a:srgbClr val="5B9BD5"/>
            </a:solidFill>
            <a:ln w="25400">
              <a:noFill/>
            </a:ln>
          </c:spPr>
          <c:invertIfNegative val="0"/>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'Electricity report'!$K$176:$L$176</c:f>
              <c:strCache>
                <c:ptCount val="2"/>
                <c:pt idx="0">
                  <c:v>Expenditure R'000</c:v>
                </c:pt>
                <c:pt idx="1">
                  <c:v>Revenue R'000</c:v>
                </c:pt>
              </c:strCache>
            </c:strRef>
          </c:cat>
          <c:val>
            <c:numRef>
              <c:f>'Electricity report'!$K$180:$L$180</c:f>
              <c:numCache>
                <c:formatCode>General</c:formatCode>
                <c:ptCount val="2"/>
                <c:pt idx="0" formatCode="_-* #\ ##0_-;\-* #\ ##0_-;_-* &quot;-&quot;??_-;_-@_-">
                  <c:v>0</c:v>
                </c:pt>
              </c:numCache>
            </c:numRef>
          </c:val>
          <c:extLst>
            <c:ext xmlns:c16="http://schemas.microsoft.com/office/drawing/2014/chart" uri="{C3380CC4-5D6E-409C-BE32-E72D297353CC}">
              <c16:uniqueId val="{00000004-05B0-4FE6-8456-F4DD003CC758}"/>
            </c:ext>
          </c:extLst>
        </c:ser>
        <c:ser>
          <c:idx val="5"/>
          <c:order val="4"/>
          <c:tx>
            <c:strRef>
              <c:f>'Electricity report'!$J$181</c:f>
              <c:strCache>
                <c:ptCount val="1"/>
                <c:pt idx="0">
                  <c:v>Tariff revenue</c:v>
                </c:pt>
              </c:strCache>
            </c:strRef>
          </c:tx>
          <c:spPr>
            <a:solidFill>
              <a:srgbClr val="A5A5A5"/>
            </a:solidFill>
            <a:ln w="25400">
              <a:noFill/>
            </a:ln>
          </c:spPr>
          <c:invertIfNegative val="0"/>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'Electricity report'!$K$176:$L$176</c:f>
              <c:strCache>
                <c:ptCount val="2"/>
                <c:pt idx="0">
                  <c:v>Expenditure R'000</c:v>
                </c:pt>
                <c:pt idx="1">
                  <c:v>Revenue R'000</c:v>
                </c:pt>
              </c:strCache>
            </c:strRef>
          </c:cat>
          <c:val>
            <c:numRef>
              <c:f>'Electricity report'!$K$181:$L$181</c:f>
              <c:numCache>
                <c:formatCode>_-* #\ ##0_-;\-* #\ ##0_-;_-* "-"??_-;_-@_-</c:formatCode>
                <c:ptCount val="2"/>
                <c:pt idx="1">
                  <c:v>17310.834898304183</c:v>
                </c:pt>
              </c:numCache>
            </c:numRef>
          </c:val>
          <c:extLst>
            <c:ext xmlns:c16="http://schemas.microsoft.com/office/drawing/2014/chart" uri="{C3380CC4-5D6E-409C-BE32-E72D297353CC}">
              <c16:uniqueId val="{00000005-05B0-4FE6-8456-F4DD003CC758}"/>
            </c:ext>
          </c:extLst>
        </c:ser>
        <c:ser>
          <c:idx val="3"/>
          <c:order val="5"/>
          <c:tx>
            <c:strRef>
              <c:f>'Electricity report'!$J$182</c:f>
              <c:strCache>
                <c:ptCount val="1"/>
                <c:pt idx="0">
                  <c:v>External grants &amp; subsidies</c:v>
                </c:pt>
              </c:strCache>
            </c:strRef>
          </c:tx>
          <c:spPr>
            <a:solidFill>
              <a:schemeClr val="accent3">
                <a:lumMod val="40000"/>
                <a:lumOff val="60000"/>
              </a:schemeClr>
            </a:solidFill>
            <a:ln>
              <a:noFill/>
            </a:ln>
            <a:effectLst/>
          </c:spPr>
          <c:invertIfNegative val="0"/>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'Electricity report'!$K$176:$L$176</c:f>
              <c:strCache>
                <c:ptCount val="2"/>
                <c:pt idx="0">
                  <c:v>Expenditure R'000</c:v>
                </c:pt>
                <c:pt idx="1">
                  <c:v>Revenue R'000</c:v>
                </c:pt>
              </c:strCache>
            </c:strRef>
          </c:cat>
          <c:val>
            <c:numRef>
              <c:f>'Electricity report'!$K$182:$L$182</c:f>
              <c:numCache>
                <c:formatCode>_-* #\ ##0_-;\-* #\ ##0_-;_-* "-"??_-;_-@_-</c:formatCode>
                <c:ptCount val="2"/>
                <c:pt idx="1">
                  <c:v>0</c:v>
                </c:pt>
              </c:numCache>
            </c:numRef>
          </c:val>
          <c:extLst>
            <c:ext xmlns:c16="http://schemas.microsoft.com/office/drawing/2014/chart" uri="{C3380CC4-5D6E-409C-BE32-E72D297353CC}">
              <c16:uniqueId val="{00000006-05B0-4FE6-8456-F4DD003CC758}"/>
            </c:ext>
          </c:extLst>
        </c:ser>
        <c:ser>
          <c:idx val="6"/>
          <c:order val="6"/>
          <c:tx>
            <c:strRef>
              <c:f>'Electricity report'!$J$183</c:f>
              <c:strCache>
                <c:ptCount val="1"/>
                <c:pt idx="0">
                  <c:v>Other non-tariff revenue</c:v>
                </c:pt>
              </c:strCache>
            </c:strRef>
          </c:tx>
          <c:spPr>
            <a:solidFill>
              <a:srgbClr val="ED7D31"/>
            </a:solidFill>
            <a:ln w="25400">
              <a:noFill/>
            </a:ln>
          </c:spPr>
          <c:invertIfNegative val="0"/>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'Electricity report'!$K$176:$L$176</c:f>
              <c:strCache>
                <c:ptCount val="2"/>
                <c:pt idx="0">
                  <c:v>Expenditure R'000</c:v>
                </c:pt>
                <c:pt idx="1">
                  <c:v>Revenue R'000</c:v>
                </c:pt>
              </c:strCache>
            </c:strRef>
          </c:cat>
          <c:val>
            <c:numRef>
              <c:f>'Electricity report'!$K$183:$L$183</c:f>
              <c:numCache>
                <c:formatCode>_-* #\ ##0_-;\-* #\ ##0_-;_-* "-"??_-;_-@_-</c:formatCode>
                <c:ptCount val="2"/>
                <c:pt idx="1">
                  <c:v>1789.6626720244492</c:v>
                </c:pt>
              </c:numCache>
            </c:numRef>
          </c:val>
          <c:extLst>
            <c:ext xmlns:c16="http://schemas.microsoft.com/office/drawing/2014/chart" uri="{C3380CC4-5D6E-409C-BE32-E72D297353CC}">
              <c16:uniqueId val="{00000007-05B0-4FE6-8456-F4DD003CC758}"/>
            </c:ext>
          </c:extLst>
        </c:ser>
        <c:ser>
          <c:idx val="7"/>
          <c:order val="7"/>
          <c:tx>
            <c:strRef>
              <c:f>'Electricity report'!$J$184</c:f>
              <c:strCache>
                <c:ptCount val="1"/>
                <c:pt idx="0">
                  <c:v>Deficit</c:v>
                </c:pt>
              </c:strCache>
            </c:strRef>
          </c:tx>
          <c:spPr>
            <a:solidFill>
              <a:srgbClr val="4472C4"/>
            </a:solidFill>
            <a:ln w="25400">
              <a:noFill/>
            </a:ln>
          </c:spPr>
          <c:invertIfNegative val="0"/>
          <c:dPt>
            <c:idx val="0"/>
            <c:invertIfNegative val="0"/>
            <c:bubble3D val="0"/>
            <c:spPr>
              <a:solidFill>
                <a:srgbClr val="5B9BD5"/>
              </a:solidFill>
              <a:ln w="25400">
                <a:noFill/>
              </a:ln>
            </c:spPr>
            <c:extLst>
              <c:ext xmlns:c16="http://schemas.microsoft.com/office/drawing/2014/chart" uri="{C3380CC4-5D6E-409C-BE32-E72D297353CC}">
                <c16:uniqueId val="{00000008-05B0-4FE6-8456-F4DD003CC758}"/>
              </c:ext>
            </c:extLst>
          </c:dPt>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'Electricity report'!$K$176:$L$176</c:f>
              <c:strCache>
                <c:ptCount val="2"/>
                <c:pt idx="0">
                  <c:v>Expenditure R'000</c:v>
                </c:pt>
                <c:pt idx="1">
                  <c:v>Revenue R'000</c:v>
                </c:pt>
              </c:strCache>
            </c:strRef>
          </c:cat>
          <c:val>
            <c:numRef>
              <c:f>'Electricity report'!$K$184:$L$184</c:f>
              <c:numCache>
                <c:formatCode>_-* #\ ##0_-;\-* #\ ##0_-;_-* "-"??_-;_-@_-</c:formatCode>
                <c:ptCount val="2"/>
                <c:pt idx="1">
                  <c:v>0</c:v>
                </c:pt>
              </c:numCache>
            </c:numRef>
          </c:val>
          <c:extLst>
            <c:ext xmlns:c16="http://schemas.microsoft.com/office/drawing/2014/chart" uri="{C3380CC4-5D6E-409C-BE32-E72D297353CC}">
              <c16:uniqueId val="{00000009-05B0-4FE6-8456-F4DD003CC758}"/>
            </c:ext>
          </c:extLst>
        </c:ser>
        <c:dLbls>
          <c:showLegendKey val="0"/>
          <c:showVal val="0"/>
          <c:showCatName val="0"/>
          <c:showSerName val="0"/>
          <c:showPercent val="0"/>
          <c:showBubbleSize val="0"/>
        </c:dLbls>
        <c:gapWidth val="25"/>
        <c:overlap val="100"/>
        <c:axId val="1361795087"/>
        <c:axId val="1"/>
      </c:barChart>
      <c:catAx>
        <c:axId val="1361795087"/>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0" vert="horz"/>
          <a:lstStyle/>
          <a:p>
            <a:pPr>
              <a:defRPr sz="1100" b="0" i="0" u="none" strike="noStrike" baseline="0">
                <a:solidFill>
                  <a:srgbClr val="000000"/>
                </a:solidFill>
                <a:latin typeface="Calibri"/>
                <a:ea typeface="Calibri"/>
                <a:cs typeface="Calibri"/>
              </a:defRPr>
            </a:pPr>
            <a:endParaRPr lang="en-US"/>
          </a:p>
        </c:txPr>
        <c:crossAx val="1"/>
        <c:crosses val="autoZero"/>
        <c:auto val="1"/>
        <c:lblAlgn val="ctr"/>
        <c:lblOffset val="100"/>
        <c:noMultiLvlLbl val="0"/>
      </c:catAx>
      <c:valAx>
        <c:axId val="1"/>
        <c:scaling>
          <c:orientation val="minMax"/>
        </c:scaling>
        <c:delete val="1"/>
        <c:axPos val="l"/>
        <c:majorGridlines>
          <c:spPr>
            <a:ln w="9525" cap="flat" cmpd="sng" algn="ctr">
              <a:solidFill>
                <a:schemeClr val="tx1">
                  <a:lumMod val="15000"/>
                  <a:lumOff val="85000"/>
                </a:schemeClr>
              </a:solidFill>
              <a:round/>
            </a:ln>
            <a:effectLst/>
          </c:spPr>
        </c:majorGridlines>
        <c:numFmt formatCode="_-* #\ ##0_-;\-* #\ ##0_-;_-* &quot;-&quot;??_-;_-@_-" sourceLinked="1"/>
        <c:majorTickMark val="out"/>
        <c:minorTickMark val="none"/>
        <c:tickLblPos val="nextTo"/>
        <c:crossAx val="1361795087"/>
        <c:crosses val="autoZero"/>
        <c:crossBetween val="between"/>
      </c:valAx>
    </c:plotArea>
    <c:legend>
      <c:legendPos val="r"/>
      <c:layout>
        <c:manualLayout>
          <c:xMode val="edge"/>
          <c:yMode val="edge"/>
          <c:x val="0.63225725892244689"/>
          <c:y val="0.1812752257931505"/>
          <c:w val="0.34899346501875061"/>
          <c:h val="0.70697306341239063"/>
        </c:manualLayout>
      </c:layout>
      <c:overlay val="0"/>
      <c:spPr>
        <a:noFill/>
        <a:ln w="25400">
          <a:noFill/>
        </a:ln>
      </c:spPr>
      <c:txPr>
        <a:bodyPr/>
        <a:lstStyle/>
        <a:p>
          <a:pPr>
            <a:defRPr sz="850" b="0" i="0" u="none" strike="noStrike" baseline="0">
              <a:solidFill>
                <a:srgbClr val="000000"/>
              </a:solidFill>
              <a:latin typeface="Calibri"/>
              <a:ea typeface="Calibri"/>
              <a:cs typeface="Calibri"/>
            </a:defRPr>
          </a:pPr>
          <a:endParaRPr lang="en-US"/>
        </a:p>
      </c:txPr>
    </c:legend>
    <c:plotVisOnly val="1"/>
    <c:dispBlanksAs val="gap"/>
    <c:showDLblsOverMax val="0"/>
  </c:chart>
  <c:spPr>
    <a:solidFill>
      <a:schemeClr val="bg1"/>
    </a:solidFill>
    <a:ln w="9525" cap="flat" cmpd="sng" algn="ctr">
      <a:noFill/>
      <a:round/>
    </a:ln>
    <a:effectLst/>
  </c:spPr>
  <c:txPr>
    <a:bodyPr/>
    <a:lstStyle/>
    <a:p>
      <a:pPr>
        <a:defRPr sz="11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charts/chart14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ser>
          <c:idx val="0"/>
          <c:order val="0"/>
          <c:tx>
            <c:strRef>
              <c:f>'Electricity report'!$L$203</c:f>
              <c:strCache>
                <c:ptCount val="1"/>
                <c:pt idx="0">
                  <c:v>Annual Tariff</c:v>
                </c:pt>
              </c:strCache>
            </c:strRef>
          </c:tx>
          <c:spPr>
            <a:solidFill>
              <a:srgbClr val="4472C4"/>
            </a:solidFill>
            <a:ln w="25400">
              <a:noFill/>
            </a:ln>
          </c:spPr>
          <c:invertIfNegative val="0"/>
          <c:dLbls>
            <c:spPr>
              <a:noFill/>
              <a:ln w="25400">
                <a:noFill/>
              </a:ln>
            </c:spPr>
            <c:txPr>
              <a:bodyPr wrap="square" lIns="38100" tIns="19050" rIns="38100" bIns="19050" anchor="ctr">
                <a:spAutoFit/>
              </a:bodyPr>
              <a:lstStyle/>
              <a:p>
                <a:pPr>
                  <a:defRPr sz="900" b="0" i="0" u="none" strike="noStrike" baseline="0">
                    <a:solidFill>
                      <a:srgbClr val="333333"/>
                    </a:solidFill>
                    <a:latin typeface="Calibri"/>
                    <a:ea typeface="Calibri"/>
                    <a:cs typeface="Calibri"/>
                  </a:defRPr>
                </a:pPr>
                <a:endParaRPr lang="en-US"/>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'Electricity report'!$K$204:$K$208</c:f>
              <c:strCache>
                <c:ptCount val="5"/>
                <c:pt idx="0">
                  <c:v>more</c:v>
                </c:pt>
                <c:pt idx="1">
                  <c:v>0</c:v>
                </c:pt>
                <c:pt idx="2">
                  <c:v>0</c:v>
                </c:pt>
                <c:pt idx="3">
                  <c:v>0</c:v>
                </c:pt>
                <c:pt idx="4">
                  <c:v>0</c:v>
                </c:pt>
              </c:strCache>
            </c:strRef>
          </c:cat>
          <c:val>
            <c:numRef>
              <c:f>'Electricity report'!$L$204:$L$208</c:f>
              <c:numCache>
                <c:formatCode>_(* #,##0.00_);_(* \(#,##0.00\);_(* "-"??_);_(@_)</c:formatCode>
                <c:ptCount val="5"/>
                <c:pt idx="0">
                  <c:v>3.2608831006816787</c:v>
                </c:pt>
                <c:pt idx="1">
                  <c:v>0</c:v>
                </c:pt>
                <c:pt idx="2">
                  <c:v>0</c:v>
                </c:pt>
                <c:pt idx="3">
                  <c:v>0</c:v>
                </c:pt>
                <c:pt idx="4">
                  <c:v>0</c:v>
                </c:pt>
              </c:numCache>
            </c:numRef>
          </c:val>
          <c:extLst>
            <c:ext xmlns:c16="http://schemas.microsoft.com/office/drawing/2014/chart" uri="{C3380CC4-5D6E-409C-BE32-E72D297353CC}">
              <c16:uniqueId val="{00000000-1984-4B36-84D1-4CDCE8FCFDFE}"/>
            </c:ext>
          </c:extLst>
        </c:ser>
        <c:ser>
          <c:idx val="1"/>
          <c:order val="1"/>
          <c:tx>
            <c:strRef>
              <c:f>'Electricity report'!$M$203</c:f>
              <c:strCache>
                <c:ptCount val="1"/>
              </c:strCache>
            </c:strRef>
          </c:tx>
          <c:spPr>
            <a:solidFill>
              <a:srgbClr val="ED7D31"/>
            </a:solidFill>
            <a:ln w="25400">
              <a:noFill/>
            </a:ln>
          </c:spPr>
          <c:invertIfNegative val="0"/>
          <c:dLbls>
            <c:spPr>
              <a:noFill/>
              <a:ln w="25400">
                <a:noFill/>
              </a:ln>
            </c:spPr>
            <c:txPr>
              <a:bodyPr wrap="square" lIns="38100" tIns="19050" rIns="38100" bIns="19050" anchor="ctr">
                <a:spAutoFit/>
              </a:bodyPr>
              <a:lstStyle/>
              <a:p>
                <a:pPr>
                  <a:defRPr sz="900" b="0" i="0" u="none" strike="noStrike" baseline="0">
                    <a:solidFill>
                      <a:srgbClr val="333333"/>
                    </a:solidFill>
                    <a:latin typeface="Calibri"/>
                    <a:ea typeface="Calibri"/>
                    <a:cs typeface="Calibri"/>
                  </a:defRPr>
                </a:pPr>
                <a:endParaRPr lang="en-US"/>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'Electricity report'!$M$204:$M$208</c:f>
              <c:numCache>
                <c:formatCode>_(* #,##0.00_);_(* \(#,##0.00\);_(* "-"??_);_(@_)</c:formatCode>
                <c:ptCount val="5"/>
                <c:pt idx="0">
                  <c:v>0</c:v>
                </c:pt>
                <c:pt idx="1">
                  <c:v>0</c:v>
                </c:pt>
                <c:pt idx="2">
                  <c:v>0</c:v>
                </c:pt>
                <c:pt idx="3">
                  <c:v>0</c:v>
                </c:pt>
                <c:pt idx="4">
                  <c:v>0</c:v>
                </c:pt>
              </c:numCache>
            </c:numRef>
          </c:val>
          <c:extLst>
            <c:ext xmlns:c16="http://schemas.microsoft.com/office/drawing/2014/chart" uri="{C3380CC4-5D6E-409C-BE32-E72D297353CC}">
              <c16:uniqueId val="{00000001-1984-4B36-84D1-4CDCE8FCFDFE}"/>
            </c:ext>
          </c:extLst>
        </c:ser>
        <c:dLbls>
          <c:showLegendKey val="0"/>
          <c:showVal val="0"/>
          <c:showCatName val="0"/>
          <c:showSerName val="0"/>
          <c:showPercent val="0"/>
          <c:showBubbleSize val="0"/>
        </c:dLbls>
        <c:gapWidth val="50"/>
        <c:axId val="1361813327"/>
        <c:axId val="1"/>
      </c:barChart>
      <c:lineChart>
        <c:grouping val="standard"/>
        <c:varyColors val="0"/>
        <c:ser>
          <c:idx val="2"/>
          <c:order val="2"/>
          <c:tx>
            <c:strRef>
              <c:f>'Electricity report'!$N$203</c:f>
              <c:strCache>
                <c:ptCount val="1"/>
                <c:pt idx="0">
                  <c:v>Total cost per kl </c:v>
                </c:pt>
              </c:strCache>
            </c:strRef>
          </c:tx>
          <c:spPr>
            <a:ln w="28575" cap="rnd">
              <a:solidFill>
                <a:schemeClr val="accent3"/>
              </a:solidFill>
              <a:round/>
            </a:ln>
            <a:effectLst/>
          </c:spPr>
          <c:marker>
            <c:symbol val="none"/>
          </c:marker>
          <c:val>
            <c:numRef>
              <c:f>'Electricity report'!$N$204:$N$208</c:f>
              <c:numCache>
                <c:formatCode>_(* #,##0.00_);_(* \(#,##0.00\);_(* "-"??_);_(@_)</c:formatCode>
                <c:ptCount val="5"/>
                <c:pt idx="0">
                  <c:v>3.5980061104850383</c:v>
                </c:pt>
                <c:pt idx="1">
                  <c:v>3.5980061104850383</c:v>
                </c:pt>
                <c:pt idx="2">
                  <c:v>3.5980061104850383</c:v>
                </c:pt>
                <c:pt idx="3">
                  <c:v>3.5980061104850383</c:v>
                </c:pt>
                <c:pt idx="4">
                  <c:v>3.5980061104850383</c:v>
                </c:pt>
              </c:numCache>
            </c:numRef>
          </c:val>
          <c:smooth val="0"/>
          <c:extLst>
            <c:ext xmlns:c16="http://schemas.microsoft.com/office/drawing/2014/chart" uri="{C3380CC4-5D6E-409C-BE32-E72D297353CC}">
              <c16:uniqueId val="{00000002-1984-4B36-84D1-4CDCE8FCFDFE}"/>
            </c:ext>
          </c:extLst>
        </c:ser>
        <c:ser>
          <c:idx val="3"/>
          <c:order val="3"/>
          <c:tx>
            <c:strRef>
              <c:f>'Electricity report'!$O$203</c:f>
              <c:strCache>
                <c:ptCount val="1"/>
                <c:pt idx="0">
                  <c:v>Variable cost per kWh</c:v>
                </c:pt>
              </c:strCache>
            </c:strRef>
          </c:tx>
          <c:spPr>
            <a:ln w="28575" cap="rnd">
              <a:solidFill>
                <a:schemeClr val="accent4"/>
              </a:solidFill>
              <a:round/>
            </a:ln>
            <a:effectLst/>
          </c:spPr>
          <c:marker>
            <c:symbol val="none"/>
          </c:marker>
          <c:val>
            <c:numRef>
              <c:f>'Electricity report'!$O$204:$O$208</c:f>
              <c:numCache>
                <c:formatCode>_(* #,##0.00_);_(* \(#,##0.00\);_(* "-"??_);_(@_)</c:formatCode>
                <c:ptCount val="5"/>
                <c:pt idx="0">
                  <c:v>2.9819428113304203</c:v>
                </c:pt>
                <c:pt idx="1">
                  <c:v>2.9819428113304203</c:v>
                </c:pt>
                <c:pt idx="2">
                  <c:v>2.9819428113304203</c:v>
                </c:pt>
                <c:pt idx="3">
                  <c:v>2.9819428113304203</c:v>
                </c:pt>
                <c:pt idx="4">
                  <c:v>2.9819428113304203</c:v>
                </c:pt>
              </c:numCache>
            </c:numRef>
          </c:val>
          <c:smooth val="0"/>
          <c:extLst>
            <c:ext xmlns:c16="http://schemas.microsoft.com/office/drawing/2014/chart" uri="{C3380CC4-5D6E-409C-BE32-E72D297353CC}">
              <c16:uniqueId val="{00000003-1984-4B36-84D1-4CDCE8FCFDFE}"/>
            </c:ext>
          </c:extLst>
        </c:ser>
        <c:dLbls>
          <c:showLegendKey val="0"/>
          <c:showVal val="0"/>
          <c:showCatName val="0"/>
          <c:showSerName val="0"/>
          <c:showPercent val="0"/>
          <c:showBubbleSize val="0"/>
        </c:dLbls>
        <c:marker val="1"/>
        <c:smooth val="0"/>
        <c:axId val="1361813327"/>
        <c:axId val="1"/>
      </c:lineChart>
      <c:catAx>
        <c:axId val="1361813327"/>
        <c:scaling>
          <c:orientation val="minMax"/>
        </c:scaling>
        <c:delete val="0"/>
        <c:axPos val="b"/>
        <c:title>
          <c:tx>
            <c:rich>
              <a:bodyPr/>
              <a:lstStyle/>
              <a:p>
                <a:pPr>
                  <a:defRPr sz="1000" b="0" i="0" u="none" strike="noStrike" baseline="0">
                    <a:solidFill>
                      <a:srgbClr val="333333"/>
                    </a:solidFill>
                    <a:latin typeface="Calibri"/>
                    <a:ea typeface="Calibri"/>
                    <a:cs typeface="Calibri"/>
                  </a:defRPr>
                </a:pPr>
                <a:r>
                  <a:rPr lang="en-ZA"/>
                  <a:t>Block size</a:t>
                </a:r>
              </a:p>
            </c:rich>
          </c:tx>
          <c:overlay val="0"/>
          <c:spPr>
            <a:noFill/>
            <a:ln w="25400">
              <a:noFill/>
            </a:ln>
          </c:spPr>
        </c:title>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0" vert="horz"/>
          <a:lstStyle/>
          <a:p>
            <a:pPr>
              <a:defRPr sz="900" b="0" i="0" u="none" strike="noStrike" baseline="0">
                <a:solidFill>
                  <a:srgbClr val="333333"/>
                </a:solidFill>
                <a:latin typeface="Calibri"/>
                <a:ea typeface="Calibri"/>
                <a:cs typeface="Calibri"/>
              </a:defRPr>
            </a:pPr>
            <a:endParaRPr lang="en-US"/>
          </a:p>
        </c:txPr>
        <c:crossAx val="1"/>
        <c:crosses val="autoZero"/>
        <c:auto val="1"/>
        <c:lblAlgn val="ctr"/>
        <c:lblOffset val="100"/>
        <c:noMultiLvlLbl val="0"/>
      </c:catAx>
      <c:valAx>
        <c:axId val="1"/>
        <c:scaling>
          <c:orientation val="minMax"/>
        </c:scaling>
        <c:delete val="0"/>
        <c:axPos val="l"/>
        <c:majorGridlines>
          <c:spPr>
            <a:ln w="9525" cap="flat" cmpd="sng" algn="ctr">
              <a:solidFill>
                <a:schemeClr val="tx1">
                  <a:lumMod val="15000"/>
                  <a:lumOff val="85000"/>
                </a:schemeClr>
              </a:solidFill>
              <a:round/>
            </a:ln>
            <a:effectLst/>
          </c:spPr>
        </c:majorGridlines>
        <c:title>
          <c:tx>
            <c:rich>
              <a:bodyPr/>
              <a:lstStyle/>
              <a:p>
                <a:pPr>
                  <a:defRPr sz="1000" b="0" i="0" u="none" strike="noStrike" baseline="0">
                    <a:solidFill>
                      <a:srgbClr val="333333"/>
                    </a:solidFill>
                    <a:latin typeface="Calibri"/>
                    <a:ea typeface="Calibri"/>
                    <a:cs typeface="Calibri"/>
                  </a:defRPr>
                </a:pPr>
                <a:r>
                  <a:rPr lang="en-ZA"/>
                  <a:t>R/kWh</a:t>
                </a:r>
              </a:p>
            </c:rich>
          </c:tx>
          <c:overlay val="0"/>
          <c:spPr>
            <a:noFill/>
            <a:ln w="25400">
              <a:noFill/>
            </a:ln>
          </c:spPr>
        </c:title>
        <c:numFmt formatCode="_(* #,##0.00_);_(* \(#,##0.00\);_(* &quot;-&quot;??_);_(@_)" sourceLinked="1"/>
        <c:majorTickMark val="none"/>
        <c:minorTickMark val="none"/>
        <c:tickLblPos val="nextTo"/>
        <c:spPr>
          <a:ln w="6350">
            <a:noFill/>
          </a:ln>
        </c:spPr>
        <c:txPr>
          <a:bodyPr rot="0" vert="horz"/>
          <a:lstStyle/>
          <a:p>
            <a:pPr>
              <a:defRPr sz="900" b="0" i="0" u="none" strike="noStrike" baseline="0">
                <a:solidFill>
                  <a:srgbClr val="333333"/>
                </a:solidFill>
                <a:latin typeface="Calibri"/>
                <a:ea typeface="Calibri"/>
                <a:cs typeface="Calibri"/>
              </a:defRPr>
            </a:pPr>
            <a:endParaRPr lang="en-US"/>
          </a:p>
        </c:txPr>
        <c:crossAx val="1361813327"/>
        <c:crosses val="autoZero"/>
        <c:crossBetween val="between"/>
      </c:valAx>
      <c:spPr>
        <a:noFill/>
        <a:ln w="25400">
          <a:noFill/>
        </a:ln>
      </c:spPr>
    </c:plotArea>
    <c:legend>
      <c:legendPos val="r"/>
      <c:layout>
        <c:manualLayout>
          <c:xMode val="edge"/>
          <c:yMode val="edge"/>
          <c:x val="4.7023424579764522E-2"/>
          <c:y val="0.92826131183362848"/>
          <c:w val="0.90128222216737008"/>
          <c:h val="5.2633337100804978E-2"/>
        </c:manualLayout>
      </c:layout>
      <c:overlay val="0"/>
      <c:spPr>
        <a:noFill/>
        <a:ln w="25400">
          <a:noFill/>
        </a:ln>
      </c:spPr>
      <c:txPr>
        <a:bodyPr/>
        <a:lstStyle/>
        <a:p>
          <a:pPr>
            <a:defRPr sz="690" b="0" i="0" u="none" strike="noStrike" baseline="0">
              <a:solidFill>
                <a:srgbClr val="333333"/>
              </a:solidFill>
              <a:latin typeface="Calibri"/>
              <a:ea typeface="Calibri"/>
              <a:cs typeface="Calibri"/>
            </a:defRPr>
          </a:pPr>
          <a:endParaRPr lang="en-US"/>
        </a:p>
      </c:txPr>
    </c:legend>
    <c:plotVisOnly val="1"/>
    <c:dispBlanksAs val="gap"/>
    <c:showDLblsOverMax val="0"/>
  </c:chart>
  <c:spPr>
    <a:solidFill>
      <a:schemeClr val="bg1"/>
    </a:solidFill>
    <a:ln w="9525" cap="flat" cmpd="sng" algn="ctr">
      <a:noFill/>
      <a:round/>
    </a:ln>
    <a:effectLst/>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charts/chart14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2.3871527777777776E-2"/>
          <c:y val="4.7786414907172239E-2"/>
          <c:w val="0.57559123468941387"/>
          <c:h val="0.83529592857692603"/>
        </c:manualLayout>
      </c:layout>
      <c:barChart>
        <c:barDir val="col"/>
        <c:grouping val="stacked"/>
        <c:varyColors val="0"/>
        <c:ser>
          <c:idx val="0"/>
          <c:order val="0"/>
          <c:tx>
            <c:strRef>
              <c:f>'Electricity report'!$J$251</c:f>
              <c:strCache>
                <c:ptCount val="1"/>
                <c:pt idx="0">
                  <c:v>Customer costs </c:v>
                </c:pt>
              </c:strCache>
            </c:strRef>
          </c:tx>
          <c:spPr>
            <a:solidFill>
              <a:srgbClr val="4472C4"/>
            </a:solidFill>
            <a:ln w="25400">
              <a:noFill/>
            </a:ln>
          </c:spPr>
          <c:invertIfNegative val="0"/>
          <c:dPt>
            <c:idx val="0"/>
            <c:invertIfNegative val="0"/>
            <c:bubble3D val="0"/>
            <c:spPr>
              <a:solidFill>
                <a:srgbClr val="5B9BD5"/>
              </a:solidFill>
              <a:ln w="25400">
                <a:noFill/>
              </a:ln>
            </c:spPr>
            <c:extLst>
              <c:ext xmlns:c16="http://schemas.microsoft.com/office/drawing/2014/chart" uri="{C3380CC4-5D6E-409C-BE32-E72D297353CC}">
                <c16:uniqueId val="{00000000-9130-45AF-89F2-0079A8D26388}"/>
              </c:ext>
            </c:extLst>
          </c:dPt>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'Electricity report'!$K$250:$L$250</c:f>
              <c:strCache>
                <c:ptCount val="2"/>
                <c:pt idx="0">
                  <c:v>Expenditure R'000</c:v>
                </c:pt>
                <c:pt idx="1">
                  <c:v>Revenue R'000</c:v>
                </c:pt>
              </c:strCache>
            </c:strRef>
          </c:cat>
          <c:val>
            <c:numRef>
              <c:f>'Electricity report'!$K$251:$L$251</c:f>
              <c:numCache>
                <c:formatCode>General</c:formatCode>
                <c:ptCount val="2"/>
                <c:pt idx="0" formatCode="_-* #\ ##0_-;\-* #\ ##0_-;_-* &quot;-&quot;??_-;_-@_-">
                  <c:v>13.376092335559834</c:v>
                </c:pt>
              </c:numCache>
            </c:numRef>
          </c:val>
          <c:extLst>
            <c:ext xmlns:c16="http://schemas.microsoft.com/office/drawing/2014/chart" uri="{C3380CC4-5D6E-409C-BE32-E72D297353CC}">
              <c16:uniqueId val="{00000001-9130-45AF-89F2-0079A8D26388}"/>
            </c:ext>
          </c:extLst>
        </c:ser>
        <c:ser>
          <c:idx val="1"/>
          <c:order val="1"/>
          <c:tx>
            <c:strRef>
              <c:f>'Electricity report'!$J$252</c:f>
              <c:strCache>
                <c:ptCount val="1"/>
                <c:pt idx="0">
                  <c:v>Energy costs</c:v>
                </c:pt>
              </c:strCache>
            </c:strRef>
          </c:tx>
          <c:spPr>
            <a:solidFill>
              <a:schemeClr val="accent5">
                <a:lumMod val="60000"/>
                <a:lumOff val="40000"/>
              </a:schemeClr>
            </a:solidFill>
            <a:ln>
              <a:noFill/>
            </a:ln>
            <a:effectLst/>
          </c:spPr>
          <c:invertIfNegative val="0"/>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'Electricity report'!$K$250:$L$250</c:f>
              <c:strCache>
                <c:ptCount val="2"/>
                <c:pt idx="0">
                  <c:v>Expenditure R'000</c:v>
                </c:pt>
                <c:pt idx="1">
                  <c:v>Revenue R'000</c:v>
                </c:pt>
              </c:strCache>
            </c:strRef>
          </c:cat>
          <c:val>
            <c:numRef>
              <c:f>'Electricity report'!$K$252:$L$252</c:f>
              <c:numCache>
                <c:formatCode>General</c:formatCode>
                <c:ptCount val="2"/>
                <c:pt idx="0" formatCode="_-* #\ ##0_-;\-* #\ ##0_-;_-* &quot;-&quot;??_-;_-@_-">
                  <c:v>34.778399008546693</c:v>
                </c:pt>
              </c:numCache>
            </c:numRef>
          </c:val>
          <c:extLst>
            <c:ext xmlns:c16="http://schemas.microsoft.com/office/drawing/2014/chart" uri="{C3380CC4-5D6E-409C-BE32-E72D297353CC}">
              <c16:uniqueId val="{00000002-9130-45AF-89F2-0079A8D26388}"/>
            </c:ext>
          </c:extLst>
        </c:ser>
        <c:ser>
          <c:idx val="2"/>
          <c:order val="2"/>
          <c:tx>
            <c:strRef>
              <c:f>'Electricity report'!$J$253</c:f>
              <c:strCache>
                <c:ptCount val="1"/>
                <c:pt idx="0">
                  <c:v>Demand cost</c:v>
                </c:pt>
              </c:strCache>
            </c:strRef>
          </c:tx>
          <c:spPr>
            <a:solidFill>
              <a:srgbClr val="A5A5A5"/>
            </a:solidFill>
            <a:ln w="25400">
              <a:noFill/>
            </a:ln>
          </c:spPr>
          <c:invertIfNegative val="0"/>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'Electricity report'!$K$250:$L$250</c:f>
              <c:strCache>
                <c:ptCount val="2"/>
                <c:pt idx="0">
                  <c:v>Expenditure R'000</c:v>
                </c:pt>
                <c:pt idx="1">
                  <c:v>Revenue R'000</c:v>
                </c:pt>
              </c:strCache>
            </c:strRef>
          </c:cat>
          <c:val>
            <c:numRef>
              <c:f>'Electricity report'!$K$253:$L$253</c:f>
              <c:numCache>
                <c:formatCode>General</c:formatCode>
                <c:ptCount val="2"/>
                <c:pt idx="0" formatCode="_-* #\ ##0_-;\-* #\ ##0_-;_-* &quot;-&quot;??_-;_-@_-">
                  <c:v>0</c:v>
                </c:pt>
              </c:numCache>
            </c:numRef>
          </c:val>
          <c:extLst>
            <c:ext xmlns:c16="http://schemas.microsoft.com/office/drawing/2014/chart" uri="{C3380CC4-5D6E-409C-BE32-E72D297353CC}">
              <c16:uniqueId val="{00000003-9130-45AF-89F2-0079A8D26388}"/>
            </c:ext>
          </c:extLst>
        </c:ser>
        <c:ser>
          <c:idx val="4"/>
          <c:order val="3"/>
          <c:tx>
            <c:strRef>
              <c:f>'Electricity report'!$J$254</c:f>
              <c:strCache>
                <c:ptCount val="1"/>
                <c:pt idx="0">
                  <c:v>Surplus</c:v>
                </c:pt>
              </c:strCache>
            </c:strRef>
          </c:tx>
          <c:spPr>
            <a:solidFill>
              <a:srgbClr val="5B9BD5"/>
            </a:solidFill>
            <a:ln w="25400">
              <a:noFill/>
            </a:ln>
          </c:spPr>
          <c:invertIfNegative val="0"/>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'Electricity report'!$K$250:$L$250</c:f>
              <c:strCache>
                <c:ptCount val="2"/>
                <c:pt idx="0">
                  <c:v>Expenditure R'000</c:v>
                </c:pt>
                <c:pt idx="1">
                  <c:v>Revenue R'000</c:v>
                </c:pt>
              </c:strCache>
            </c:strRef>
          </c:cat>
          <c:val>
            <c:numRef>
              <c:f>'Electricity report'!$K$254:$L$254</c:f>
              <c:numCache>
                <c:formatCode>General</c:formatCode>
                <c:ptCount val="2"/>
                <c:pt idx="0" formatCode="_-* #\ ##0_-;\-* #\ ##0_-;_-* &quot;-&quot;??_-;_-@_-">
                  <c:v>0</c:v>
                </c:pt>
              </c:numCache>
            </c:numRef>
          </c:val>
          <c:extLst>
            <c:ext xmlns:c16="http://schemas.microsoft.com/office/drawing/2014/chart" uri="{C3380CC4-5D6E-409C-BE32-E72D297353CC}">
              <c16:uniqueId val="{00000004-9130-45AF-89F2-0079A8D26388}"/>
            </c:ext>
          </c:extLst>
        </c:ser>
        <c:ser>
          <c:idx val="5"/>
          <c:order val="4"/>
          <c:tx>
            <c:strRef>
              <c:f>'Electricity report'!$J$255</c:f>
              <c:strCache>
                <c:ptCount val="1"/>
                <c:pt idx="0">
                  <c:v>Tariff revenue</c:v>
                </c:pt>
              </c:strCache>
            </c:strRef>
          </c:tx>
          <c:spPr>
            <a:solidFill>
              <a:srgbClr val="A5A5A5"/>
            </a:solidFill>
            <a:ln w="25400">
              <a:noFill/>
            </a:ln>
          </c:spPr>
          <c:invertIfNegative val="0"/>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'Electricity report'!$K$250:$L$250</c:f>
              <c:strCache>
                <c:ptCount val="2"/>
                <c:pt idx="0">
                  <c:v>Expenditure R'000</c:v>
                </c:pt>
                <c:pt idx="1">
                  <c:v>Revenue R'000</c:v>
                </c:pt>
              </c:strCache>
            </c:strRef>
          </c:cat>
          <c:val>
            <c:numRef>
              <c:f>'Electricity report'!$K$255:$L$255</c:f>
              <c:numCache>
                <c:formatCode>_-* #\ ##0_-;\-* #\ ##0_-;_-* "-"??_-;_-@_-</c:formatCode>
                <c:ptCount val="2"/>
                <c:pt idx="1">
                  <c:v>43.642551519944703</c:v>
                </c:pt>
              </c:numCache>
            </c:numRef>
          </c:val>
          <c:extLst>
            <c:ext xmlns:c16="http://schemas.microsoft.com/office/drawing/2014/chart" uri="{C3380CC4-5D6E-409C-BE32-E72D297353CC}">
              <c16:uniqueId val="{00000005-9130-45AF-89F2-0079A8D26388}"/>
            </c:ext>
          </c:extLst>
        </c:ser>
        <c:ser>
          <c:idx val="3"/>
          <c:order val="5"/>
          <c:tx>
            <c:strRef>
              <c:f>'Electricity report'!$J$256</c:f>
              <c:strCache>
                <c:ptCount val="1"/>
                <c:pt idx="0">
                  <c:v>External grants &amp; subsidies</c:v>
                </c:pt>
              </c:strCache>
            </c:strRef>
          </c:tx>
          <c:spPr>
            <a:solidFill>
              <a:schemeClr val="accent3">
                <a:lumMod val="40000"/>
                <a:lumOff val="60000"/>
              </a:schemeClr>
            </a:solidFill>
            <a:ln>
              <a:noFill/>
            </a:ln>
            <a:effectLst/>
          </c:spPr>
          <c:invertIfNegative val="0"/>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'Electricity report'!$K$250:$L$250</c:f>
              <c:strCache>
                <c:ptCount val="2"/>
                <c:pt idx="0">
                  <c:v>Expenditure R'000</c:v>
                </c:pt>
                <c:pt idx="1">
                  <c:v>Revenue R'000</c:v>
                </c:pt>
              </c:strCache>
            </c:strRef>
          </c:cat>
          <c:val>
            <c:numRef>
              <c:f>'Electricity report'!$K$256:$L$256</c:f>
              <c:numCache>
                <c:formatCode>_-* #\ ##0_-;\-* #\ ##0_-;_-* "-"??_-;_-@_-</c:formatCode>
                <c:ptCount val="2"/>
                <c:pt idx="1">
                  <c:v>0</c:v>
                </c:pt>
              </c:numCache>
            </c:numRef>
          </c:val>
          <c:extLst>
            <c:ext xmlns:c16="http://schemas.microsoft.com/office/drawing/2014/chart" uri="{C3380CC4-5D6E-409C-BE32-E72D297353CC}">
              <c16:uniqueId val="{00000006-9130-45AF-89F2-0079A8D26388}"/>
            </c:ext>
          </c:extLst>
        </c:ser>
        <c:ser>
          <c:idx val="6"/>
          <c:order val="6"/>
          <c:tx>
            <c:strRef>
              <c:f>'Electricity report'!$J$257</c:f>
              <c:strCache>
                <c:ptCount val="1"/>
                <c:pt idx="0">
                  <c:v>Other non-tariff revenue</c:v>
                </c:pt>
              </c:strCache>
            </c:strRef>
          </c:tx>
          <c:spPr>
            <a:solidFill>
              <a:srgbClr val="ED7D31"/>
            </a:solidFill>
            <a:ln w="25400">
              <a:noFill/>
            </a:ln>
          </c:spPr>
          <c:invertIfNegative val="0"/>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'Electricity report'!$K$250:$L$250</c:f>
              <c:strCache>
                <c:ptCount val="2"/>
                <c:pt idx="0">
                  <c:v>Expenditure R'000</c:v>
                </c:pt>
                <c:pt idx="1">
                  <c:v>Revenue R'000</c:v>
                </c:pt>
              </c:strCache>
            </c:strRef>
          </c:cat>
          <c:val>
            <c:numRef>
              <c:f>'Electricity report'!$K$257:$L$257</c:f>
              <c:numCache>
                <c:formatCode>_-* #\ ##0_-;\-* #\ ##0_-;_-* "-"??_-;_-@_-</c:formatCode>
                <c:ptCount val="2"/>
                <c:pt idx="1">
                  <c:v>4.511939824161824</c:v>
                </c:pt>
              </c:numCache>
            </c:numRef>
          </c:val>
          <c:extLst>
            <c:ext xmlns:c16="http://schemas.microsoft.com/office/drawing/2014/chart" uri="{C3380CC4-5D6E-409C-BE32-E72D297353CC}">
              <c16:uniqueId val="{00000007-9130-45AF-89F2-0079A8D26388}"/>
            </c:ext>
          </c:extLst>
        </c:ser>
        <c:ser>
          <c:idx val="7"/>
          <c:order val="7"/>
          <c:tx>
            <c:strRef>
              <c:f>'Electricity report'!$J$258</c:f>
              <c:strCache>
                <c:ptCount val="1"/>
                <c:pt idx="0">
                  <c:v>Deficit</c:v>
                </c:pt>
              </c:strCache>
            </c:strRef>
          </c:tx>
          <c:spPr>
            <a:solidFill>
              <a:srgbClr val="4472C4"/>
            </a:solidFill>
            <a:ln w="25400">
              <a:noFill/>
            </a:ln>
          </c:spPr>
          <c:invertIfNegative val="0"/>
          <c:dPt>
            <c:idx val="0"/>
            <c:invertIfNegative val="0"/>
            <c:bubble3D val="0"/>
            <c:spPr>
              <a:solidFill>
                <a:srgbClr val="5B9BD5"/>
              </a:solidFill>
              <a:ln w="25400">
                <a:noFill/>
              </a:ln>
            </c:spPr>
            <c:extLst>
              <c:ext xmlns:c16="http://schemas.microsoft.com/office/drawing/2014/chart" uri="{C3380CC4-5D6E-409C-BE32-E72D297353CC}">
                <c16:uniqueId val="{00000008-9130-45AF-89F2-0079A8D26388}"/>
              </c:ext>
            </c:extLst>
          </c:dPt>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'Electricity report'!$K$250:$L$250</c:f>
              <c:strCache>
                <c:ptCount val="2"/>
                <c:pt idx="0">
                  <c:v>Expenditure R'000</c:v>
                </c:pt>
                <c:pt idx="1">
                  <c:v>Revenue R'000</c:v>
                </c:pt>
              </c:strCache>
            </c:strRef>
          </c:cat>
          <c:val>
            <c:numRef>
              <c:f>'Electricity report'!$K$258:$L$258</c:f>
              <c:numCache>
                <c:formatCode>_-* #\ ##0_-;\-* #\ ##0_-;_-* "-"??_-;_-@_-</c:formatCode>
                <c:ptCount val="2"/>
                <c:pt idx="1">
                  <c:v>0</c:v>
                </c:pt>
              </c:numCache>
            </c:numRef>
          </c:val>
          <c:extLst>
            <c:ext xmlns:c16="http://schemas.microsoft.com/office/drawing/2014/chart" uri="{C3380CC4-5D6E-409C-BE32-E72D297353CC}">
              <c16:uniqueId val="{00000009-9130-45AF-89F2-0079A8D26388}"/>
            </c:ext>
          </c:extLst>
        </c:ser>
        <c:dLbls>
          <c:showLegendKey val="0"/>
          <c:showVal val="0"/>
          <c:showCatName val="0"/>
          <c:showSerName val="0"/>
          <c:showPercent val="0"/>
          <c:showBubbleSize val="0"/>
        </c:dLbls>
        <c:gapWidth val="25"/>
        <c:overlap val="100"/>
        <c:axId val="1361834447"/>
        <c:axId val="1"/>
      </c:barChart>
      <c:catAx>
        <c:axId val="1361834447"/>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0" vert="horz"/>
          <a:lstStyle/>
          <a:p>
            <a:pPr>
              <a:defRPr sz="1100" b="0" i="0" u="none" strike="noStrike" baseline="0">
                <a:solidFill>
                  <a:srgbClr val="000000"/>
                </a:solidFill>
                <a:latin typeface="Calibri"/>
                <a:ea typeface="Calibri"/>
                <a:cs typeface="Calibri"/>
              </a:defRPr>
            </a:pPr>
            <a:endParaRPr lang="en-US"/>
          </a:p>
        </c:txPr>
        <c:crossAx val="1"/>
        <c:crosses val="autoZero"/>
        <c:auto val="1"/>
        <c:lblAlgn val="ctr"/>
        <c:lblOffset val="100"/>
        <c:noMultiLvlLbl val="0"/>
      </c:catAx>
      <c:valAx>
        <c:axId val="1"/>
        <c:scaling>
          <c:orientation val="minMax"/>
        </c:scaling>
        <c:delete val="1"/>
        <c:axPos val="l"/>
        <c:majorGridlines>
          <c:spPr>
            <a:ln w="9525" cap="flat" cmpd="sng" algn="ctr">
              <a:solidFill>
                <a:schemeClr val="tx1">
                  <a:lumMod val="15000"/>
                  <a:lumOff val="85000"/>
                </a:schemeClr>
              </a:solidFill>
              <a:round/>
            </a:ln>
            <a:effectLst/>
          </c:spPr>
        </c:majorGridlines>
        <c:numFmt formatCode="_-* #\ ##0_-;\-* #\ ##0_-;_-* &quot;-&quot;??_-;_-@_-" sourceLinked="1"/>
        <c:majorTickMark val="out"/>
        <c:minorTickMark val="none"/>
        <c:tickLblPos val="nextTo"/>
        <c:crossAx val="1361834447"/>
        <c:crosses val="autoZero"/>
        <c:crossBetween val="between"/>
      </c:valAx>
    </c:plotArea>
    <c:legend>
      <c:legendPos val="r"/>
      <c:layout>
        <c:manualLayout>
          <c:xMode val="edge"/>
          <c:yMode val="edge"/>
          <c:x val="0.63127017716535438"/>
          <c:y val="0.1812752257931505"/>
          <c:w val="0.34844865485564303"/>
          <c:h val="0.70697306341239063"/>
        </c:manualLayout>
      </c:layout>
      <c:overlay val="0"/>
      <c:spPr>
        <a:noFill/>
        <a:ln w="25400">
          <a:noFill/>
        </a:ln>
      </c:spPr>
      <c:txPr>
        <a:bodyPr/>
        <a:lstStyle/>
        <a:p>
          <a:pPr>
            <a:defRPr sz="850" b="0" i="0" u="none" strike="noStrike" baseline="0">
              <a:solidFill>
                <a:srgbClr val="000000"/>
              </a:solidFill>
              <a:latin typeface="Calibri"/>
              <a:ea typeface="Calibri"/>
              <a:cs typeface="Calibri"/>
            </a:defRPr>
          </a:pPr>
          <a:endParaRPr lang="en-US"/>
        </a:p>
      </c:txPr>
    </c:legend>
    <c:plotVisOnly val="1"/>
    <c:dispBlanksAs val="gap"/>
    <c:showDLblsOverMax val="0"/>
  </c:chart>
  <c:spPr>
    <a:solidFill>
      <a:schemeClr val="bg1"/>
    </a:solidFill>
    <a:ln w="9525" cap="flat" cmpd="sng" algn="ctr">
      <a:noFill/>
      <a:round/>
    </a:ln>
    <a:effectLst/>
  </c:spPr>
  <c:txPr>
    <a:bodyPr/>
    <a:lstStyle/>
    <a:p>
      <a:pPr>
        <a:defRPr sz="11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charts/chart14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ser>
          <c:idx val="0"/>
          <c:order val="0"/>
          <c:tx>
            <c:strRef>
              <c:f>'Electricity report'!$L$275</c:f>
              <c:strCache>
                <c:ptCount val="1"/>
                <c:pt idx="0">
                  <c:v>Low Season Tariff</c:v>
                </c:pt>
              </c:strCache>
            </c:strRef>
          </c:tx>
          <c:spPr>
            <a:solidFill>
              <a:srgbClr val="4472C4"/>
            </a:solidFill>
            <a:ln w="25400">
              <a:noFill/>
            </a:ln>
          </c:spPr>
          <c:invertIfNegative val="0"/>
          <c:dLbls>
            <c:spPr>
              <a:noFill/>
              <a:ln w="25400">
                <a:noFill/>
              </a:ln>
            </c:spPr>
            <c:txPr>
              <a:bodyPr wrap="square" lIns="38100" tIns="19050" rIns="38100" bIns="19050" anchor="ctr">
                <a:spAutoFit/>
              </a:bodyPr>
              <a:lstStyle/>
              <a:p>
                <a:pPr>
                  <a:defRPr sz="900" b="0" i="0" u="none" strike="noStrike" baseline="0">
                    <a:solidFill>
                      <a:srgbClr val="333333"/>
                    </a:solidFill>
                    <a:latin typeface="Calibri"/>
                    <a:ea typeface="Calibri"/>
                    <a:cs typeface="Calibri"/>
                  </a:defRPr>
                </a:pPr>
                <a:endParaRPr lang="en-US"/>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numRef>
              <c:f>'Electricity report'!$K$276:$K$280</c:f>
              <c:numCache>
                <c:formatCode>General</c:formatCode>
                <c:ptCount val="5"/>
                <c:pt idx="0">
                  <c:v>0</c:v>
                </c:pt>
                <c:pt idx="1">
                  <c:v>0</c:v>
                </c:pt>
                <c:pt idx="2">
                  <c:v>0</c:v>
                </c:pt>
                <c:pt idx="3">
                  <c:v>0</c:v>
                </c:pt>
                <c:pt idx="4">
                  <c:v>0</c:v>
                </c:pt>
              </c:numCache>
            </c:numRef>
          </c:cat>
          <c:val>
            <c:numRef>
              <c:f>'Electricity report'!$L$276:$L$280</c:f>
              <c:numCache>
                <c:formatCode>_(* #,##0.00_);_(* \(#,##0.00\);_(* "-"??_);_(@_)</c:formatCode>
                <c:ptCount val="5"/>
                <c:pt idx="0">
                  <c:v>3.3128886177056009</c:v>
                </c:pt>
                <c:pt idx="1">
                  <c:v>0</c:v>
                </c:pt>
                <c:pt idx="2">
                  <c:v>0</c:v>
                </c:pt>
                <c:pt idx="3">
                  <c:v>0</c:v>
                </c:pt>
                <c:pt idx="4">
                  <c:v>0</c:v>
                </c:pt>
              </c:numCache>
            </c:numRef>
          </c:val>
          <c:extLst>
            <c:ext xmlns:c16="http://schemas.microsoft.com/office/drawing/2014/chart" uri="{C3380CC4-5D6E-409C-BE32-E72D297353CC}">
              <c16:uniqueId val="{00000000-F19F-42A4-A31A-9E29D2DAC0A9}"/>
            </c:ext>
          </c:extLst>
        </c:ser>
        <c:ser>
          <c:idx val="1"/>
          <c:order val="1"/>
          <c:tx>
            <c:strRef>
              <c:f>'Electricity report'!$M$275</c:f>
              <c:strCache>
                <c:ptCount val="1"/>
                <c:pt idx="0">
                  <c:v>High Season Tariff</c:v>
                </c:pt>
              </c:strCache>
            </c:strRef>
          </c:tx>
          <c:spPr>
            <a:solidFill>
              <a:srgbClr val="ED7D31"/>
            </a:solidFill>
            <a:ln w="25400">
              <a:noFill/>
            </a:ln>
          </c:spPr>
          <c:invertIfNegative val="0"/>
          <c:dLbls>
            <c:spPr>
              <a:noFill/>
              <a:ln w="25400">
                <a:noFill/>
              </a:ln>
            </c:spPr>
            <c:txPr>
              <a:bodyPr wrap="square" lIns="38100" tIns="19050" rIns="38100" bIns="19050" anchor="ctr">
                <a:spAutoFit/>
              </a:bodyPr>
              <a:lstStyle/>
              <a:p>
                <a:pPr>
                  <a:defRPr sz="900" b="0" i="0" u="none" strike="noStrike" baseline="0">
                    <a:solidFill>
                      <a:srgbClr val="333333"/>
                    </a:solidFill>
                    <a:latin typeface="Calibri"/>
                    <a:ea typeface="Calibri"/>
                    <a:cs typeface="Calibri"/>
                  </a:defRPr>
                </a:pPr>
                <a:endParaRPr lang="en-US"/>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numRef>
              <c:f>'Electricity report'!$K$276:$K$280</c:f>
              <c:numCache>
                <c:formatCode>General</c:formatCode>
                <c:ptCount val="5"/>
                <c:pt idx="0">
                  <c:v>0</c:v>
                </c:pt>
                <c:pt idx="1">
                  <c:v>0</c:v>
                </c:pt>
                <c:pt idx="2">
                  <c:v>0</c:v>
                </c:pt>
                <c:pt idx="3">
                  <c:v>0</c:v>
                </c:pt>
                <c:pt idx="4">
                  <c:v>0</c:v>
                </c:pt>
              </c:numCache>
            </c:numRef>
          </c:cat>
          <c:val>
            <c:numRef>
              <c:f>'Electricity report'!$M$276:$M$280</c:f>
              <c:numCache>
                <c:formatCode>_(* #,##0.00_);_(* \(#,##0.00\);_(* "-"??_);_(@_)</c:formatCode>
                <c:ptCount val="5"/>
                <c:pt idx="0">
                  <c:v>4.193932908488045</c:v>
                </c:pt>
                <c:pt idx="1">
                  <c:v>#N/A</c:v>
                </c:pt>
                <c:pt idx="2">
                  <c:v>#N/A</c:v>
                </c:pt>
                <c:pt idx="3">
                  <c:v>#N/A</c:v>
                </c:pt>
                <c:pt idx="4">
                  <c:v>#N/A</c:v>
                </c:pt>
              </c:numCache>
            </c:numRef>
          </c:val>
          <c:extLst>
            <c:ext xmlns:c16="http://schemas.microsoft.com/office/drawing/2014/chart" uri="{C3380CC4-5D6E-409C-BE32-E72D297353CC}">
              <c16:uniqueId val="{00000001-F19F-42A4-A31A-9E29D2DAC0A9}"/>
            </c:ext>
          </c:extLst>
        </c:ser>
        <c:dLbls>
          <c:showLegendKey val="0"/>
          <c:showVal val="0"/>
          <c:showCatName val="0"/>
          <c:showSerName val="0"/>
          <c:showPercent val="0"/>
          <c:showBubbleSize val="0"/>
        </c:dLbls>
        <c:gapWidth val="50"/>
        <c:axId val="1361845007"/>
        <c:axId val="1"/>
      </c:barChart>
      <c:lineChart>
        <c:grouping val="standard"/>
        <c:varyColors val="0"/>
        <c:ser>
          <c:idx val="2"/>
          <c:order val="2"/>
          <c:tx>
            <c:strRef>
              <c:f>'Electricity report'!$N$275</c:f>
              <c:strCache>
                <c:ptCount val="1"/>
                <c:pt idx="0">
                  <c:v>Total cost per kl </c:v>
                </c:pt>
              </c:strCache>
            </c:strRef>
          </c:tx>
          <c:spPr>
            <a:ln w="28575" cap="rnd">
              <a:solidFill>
                <a:schemeClr val="accent3"/>
              </a:solidFill>
              <a:round/>
            </a:ln>
            <a:effectLst/>
          </c:spPr>
          <c:marker>
            <c:symbol val="none"/>
          </c:marker>
          <c:cat>
            <c:numRef>
              <c:f>'Electricity report'!$K$276:$K$280</c:f>
              <c:numCache>
                <c:formatCode>General</c:formatCode>
                <c:ptCount val="5"/>
                <c:pt idx="0">
                  <c:v>0</c:v>
                </c:pt>
                <c:pt idx="1">
                  <c:v>0</c:v>
                </c:pt>
                <c:pt idx="2">
                  <c:v>0</c:v>
                </c:pt>
                <c:pt idx="3">
                  <c:v>0</c:v>
                </c:pt>
                <c:pt idx="4">
                  <c:v>0</c:v>
                </c:pt>
              </c:numCache>
            </c:numRef>
          </c:cat>
          <c:val>
            <c:numRef>
              <c:f>'Electricity report'!$N$276:$N$280</c:f>
              <c:numCache>
                <c:formatCode>_(* #,##0.00_);_(* \(#,##0.00\);_(* "-"??_);_(@_)</c:formatCode>
                <c:ptCount val="5"/>
                <c:pt idx="0">
                  <c:v>4.1288254603538137</c:v>
                </c:pt>
                <c:pt idx="1">
                  <c:v>4.1288254603538137</c:v>
                </c:pt>
                <c:pt idx="2">
                  <c:v>4.1288254603538137</c:v>
                </c:pt>
                <c:pt idx="3">
                  <c:v>4.1288254603538137</c:v>
                </c:pt>
                <c:pt idx="4">
                  <c:v>4.1288254603538137</c:v>
                </c:pt>
              </c:numCache>
            </c:numRef>
          </c:val>
          <c:smooth val="0"/>
          <c:extLst>
            <c:ext xmlns:c16="http://schemas.microsoft.com/office/drawing/2014/chart" uri="{C3380CC4-5D6E-409C-BE32-E72D297353CC}">
              <c16:uniqueId val="{00000002-F19F-42A4-A31A-9E29D2DAC0A9}"/>
            </c:ext>
          </c:extLst>
        </c:ser>
        <c:ser>
          <c:idx val="3"/>
          <c:order val="3"/>
          <c:tx>
            <c:strRef>
              <c:f>'Electricity report'!$O$275</c:f>
              <c:strCache>
                <c:ptCount val="1"/>
                <c:pt idx="0">
                  <c:v>Variable cost per kWh</c:v>
                </c:pt>
              </c:strCache>
            </c:strRef>
          </c:tx>
          <c:spPr>
            <a:ln w="28575" cap="rnd">
              <a:solidFill>
                <a:schemeClr val="accent4"/>
              </a:solidFill>
              <a:round/>
            </a:ln>
            <a:effectLst/>
          </c:spPr>
          <c:marker>
            <c:symbol val="none"/>
          </c:marker>
          <c:cat>
            <c:numRef>
              <c:f>'Electricity report'!$K$276:$K$280</c:f>
              <c:numCache>
                <c:formatCode>General</c:formatCode>
                <c:ptCount val="5"/>
                <c:pt idx="0">
                  <c:v>0</c:v>
                </c:pt>
                <c:pt idx="1">
                  <c:v>0</c:v>
                </c:pt>
                <c:pt idx="2">
                  <c:v>0</c:v>
                </c:pt>
                <c:pt idx="3">
                  <c:v>0</c:v>
                </c:pt>
                <c:pt idx="4">
                  <c:v>0</c:v>
                </c:pt>
              </c:numCache>
            </c:numRef>
          </c:cat>
          <c:val>
            <c:numRef>
              <c:f>'Electricity report'!$O$276:$O$280</c:f>
              <c:numCache>
                <c:formatCode>_(* #,##0.00_);_(* \(#,##0.00\);_(* "-"??_);_(@_)</c:formatCode>
                <c:ptCount val="5"/>
                <c:pt idx="0">
                  <c:v>2.9819428113304203</c:v>
                </c:pt>
                <c:pt idx="1">
                  <c:v>2.9819428113304203</c:v>
                </c:pt>
                <c:pt idx="2">
                  <c:v>2.9819428113304203</c:v>
                </c:pt>
                <c:pt idx="3">
                  <c:v>2.9819428113304203</c:v>
                </c:pt>
                <c:pt idx="4">
                  <c:v>2.9819428113304203</c:v>
                </c:pt>
              </c:numCache>
            </c:numRef>
          </c:val>
          <c:smooth val="0"/>
          <c:extLst>
            <c:ext xmlns:c16="http://schemas.microsoft.com/office/drawing/2014/chart" uri="{C3380CC4-5D6E-409C-BE32-E72D297353CC}">
              <c16:uniqueId val="{00000003-F19F-42A4-A31A-9E29D2DAC0A9}"/>
            </c:ext>
          </c:extLst>
        </c:ser>
        <c:dLbls>
          <c:showLegendKey val="0"/>
          <c:showVal val="0"/>
          <c:showCatName val="0"/>
          <c:showSerName val="0"/>
          <c:showPercent val="0"/>
          <c:showBubbleSize val="0"/>
        </c:dLbls>
        <c:marker val="1"/>
        <c:smooth val="0"/>
        <c:axId val="1361845007"/>
        <c:axId val="1"/>
      </c:lineChart>
      <c:catAx>
        <c:axId val="1361845007"/>
        <c:scaling>
          <c:orientation val="minMax"/>
        </c:scaling>
        <c:delete val="0"/>
        <c:axPos val="b"/>
        <c:title>
          <c:tx>
            <c:rich>
              <a:bodyPr/>
              <a:lstStyle/>
              <a:p>
                <a:pPr>
                  <a:defRPr sz="1000" b="0" i="0" u="none" strike="noStrike" baseline="0">
                    <a:solidFill>
                      <a:srgbClr val="333333"/>
                    </a:solidFill>
                    <a:latin typeface="Calibri"/>
                    <a:ea typeface="Calibri"/>
                    <a:cs typeface="Calibri"/>
                  </a:defRPr>
                </a:pPr>
                <a:r>
                  <a:rPr lang="en-ZA"/>
                  <a:t>Block size</a:t>
                </a:r>
              </a:p>
            </c:rich>
          </c:tx>
          <c:overlay val="0"/>
          <c:spPr>
            <a:noFill/>
            <a:ln w="25400">
              <a:noFill/>
            </a:ln>
          </c:spPr>
        </c:title>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0" vert="horz"/>
          <a:lstStyle/>
          <a:p>
            <a:pPr>
              <a:defRPr sz="900" b="0" i="0" u="none" strike="noStrike" baseline="0">
                <a:solidFill>
                  <a:srgbClr val="333333"/>
                </a:solidFill>
                <a:latin typeface="Calibri"/>
                <a:ea typeface="Calibri"/>
                <a:cs typeface="Calibri"/>
              </a:defRPr>
            </a:pPr>
            <a:endParaRPr lang="en-US"/>
          </a:p>
        </c:txPr>
        <c:crossAx val="1"/>
        <c:crosses val="autoZero"/>
        <c:auto val="1"/>
        <c:lblAlgn val="ctr"/>
        <c:lblOffset val="100"/>
        <c:noMultiLvlLbl val="0"/>
      </c:catAx>
      <c:valAx>
        <c:axId val="1"/>
        <c:scaling>
          <c:orientation val="minMax"/>
        </c:scaling>
        <c:delete val="0"/>
        <c:axPos val="l"/>
        <c:majorGridlines>
          <c:spPr>
            <a:ln w="9525" cap="flat" cmpd="sng" algn="ctr">
              <a:solidFill>
                <a:schemeClr val="tx1">
                  <a:lumMod val="15000"/>
                  <a:lumOff val="85000"/>
                </a:schemeClr>
              </a:solidFill>
              <a:round/>
            </a:ln>
            <a:effectLst/>
          </c:spPr>
        </c:majorGridlines>
        <c:title>
          <c:tx>
            <c:rich>
              <a:bodyPr/>
              <a:lstStyle/>
              <a:p>
                <a:pPr>
                  <a:defRPr sz="1000" b="0" i="0" u="none" strike="noStrike" baseline="0">
                    <a:solidFill>
                      <a:srgbClr val="333333"/>
                    </a:solidFill>
                    <a:latin typeface="Calibri"/>
                    <a:ea typeface="Calibri"/>
                    <a:cs typeface="Calibri"/>
                  </a:defRPr>
                </a:pPr>
                <a:r>
                  <a:rPr lang="en-ZA"/>
                  <a:t>R/kWh</a:t>
                </a:r>
              </a:p>
            </c:rich>
          </c:tx>
          <c:overlay val="0"/>
          <c:spPr>
            <a:noFill/>
            <a:ln w="25400">
              <a:noFill/>
            </a:ln>
          </c:spPr>
        </c:title>
        <c:numFmt formatCode="_(* #,##0.00_);_(* \(#,##0.00\);_(* &quot;-&quot;??_);_(@_)" sourceLinked="1"/>
        <c:majorTickMark val="none"/>
        <c:minorTickMark val="none"/>
        <c:tickLblPos val="nextTo"/>
        <c:spPr>
          <a:ln w="6350">
            <a:noFill/>
          </a:ln>
        </c:spPr>
        <c:txPr>
          <a:bodyPr rot="0" vert="horz"/>
          <a:lstStyle/>
          <a:p>
            <a:pPr>
              <a:defRPr sz="900" b="0" i="0" u="none" strike="noStrike" baseline="0">
                <a:solidFill>
                  <a:srgbClr val="333333"/>
                </a:solidFill>
                <a:latin typeface="Calibri"/>
                <a:ea typeface="Calibri"/>
                <a:cs typeface="Calibri"/>
              </a:defRPr>
            </a:pPr>
            <a:endParaRPr lang="en-US"/>
          </a:p>
        </c:txPr>
        <c:crossAx val="1361845007"/>
        <c:crosses val="autoZero"/>
        <c:crossBetween val="between"/>
      </c:valAx>
      <c:spPr>
        <a:noFill/>
        <a:ln w="25400">
          <a:noFill/>
        </a:ln>
      </c:spPr>
    </c:plotArea>
    <c:legend>
      <c:legendPos val="r"/>
      <c:layout>
        <c:manualLayout>
          <c:xMode val="edge"/>
          <c:yMode val="edge"/>
          <c:x val="4.7023424579764522E-2"/>
          <c:y val="0.92826131183362848"/>
          <c:w val="0.90128222216737008"/>
          <c:h val="5.2633337100804978E-2"/>
        </c:manualLayout>
      </c:layout>
      <c:overlay val="0"/>
      <c:spPr>
        <a:noFill/>
        <a:ln w="25400">
          <a:noFill/>
        </a:ln>
      </c:spPr>
      <c:txPr>
        <a:bodyPr/>
        <a:lstStyle/>
        <a:p>
          <a:pPr>
            <a:defRPr sz="690" b="0" i="0" u="none" strike="noStrike" baseline="0">
              <a:solidFill>
                <a:srgbClr val="333333"/>
              </a:solidFill>
              <a:latin typeface="Calibri"/>
              <a:ea typeface="Calibri"/>
              <a:cs typeface="Calibri"/>
            </a:defRPr>
          </a:pPr>
          <a:endParaRPr lang="en-US"/>
        </a:p>
      </c:txPr>
    </c:legend>
    <c:plotVisOnly val="1"/>
    <c:dispBlanksAs val="gap"/>
    <c:showDLblsOverMax val="0"/>
  </c:chart>
  <c:spPr>
    <a:solidFill>
      <a:schemeClr val="bg1"/>
    </a:solidFill>
    <a:ln w="9525" cap="flat" cmpd="sng" algn="ctr">
      <a:noFill/>
      <a:round/>
    </a:ln>
    <a:effectLst/>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charts/chart15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2.3871527777777776E-2"/>
          <c:y val="4.7786414907172239E-2"/>
          <c:w val="0.57559123468941387"/>
          <c:h val="0.83529592857692603"/>
        </c:manualLayout>
      </c:layout>
      <c:barChart>
        <c:barDir val="col"/>
        <c:grouping val="stacked"/>
        <c:varyColors val="0"/>
        <c:ser>
          <c:idx val="0"/>
          <c:order val="0"/>
          <c:tx>
            <c:strRef>
              <c:f>'Electricity report'!$J$320</c:f>
              <c:strCache>
                <c:ptCount val="1"/>
                <c:pt idx="0">
                  <c:v>Customer costs </c:v>
                </c:pt>
              </c:strCache>
            </c:strRef>
          </c:tx>
          <c:spPr>
            <a:solidFill>
              <a:srgbClr val="4472C4"/>
            </a:solidFill>
            <a:ln w="25400">
              <a:noFill/>
            </a:ln>
          </c:spPr>
          <c:invertIfNegative val="0"/>
          <c:dPt>
            <c:idx val="0"/>
            <c:invertIfNegative val="0"/>
            <c:bubble3D val="0"/>
            <c:spPr>
              <a:solidFill>
                <a:srgbClr val="5B9BD5"/>
              </a:solidFill>
              <a:ln w="25400">
                <a:noFill/>
              </a:ln>
            </c:spPr>
            <c:extLst>
              <c:ext xmlns:c16="http://schemas.microsoft.com/office/drawing/2014/chart" uri="{C3380CC4-5D6E-409C-BE32-E72D297353CC}">
                <c16:uniqueId val="{00000000-0ADD-4828-B4F8-457E4B486DD3}"/>
              </c:ext>
            </c:extLst>
          </c:dPt>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'Electricity report'!$K$319:$L$319</c:f>
              <c:strCache>
                <c:ptCount val="2"/>
                <c:pt idx="0">
                  <c:v>Expenditure R'000</c:v>
                </c:pt>
                <c:pt idx="1">
                  <c:v>Revenue R'000</c:v>
                </c:pt>
              </c:strCache>
            </c:strRef>
          </c:cat>
          <c:val>
            <c:numRef>
              <c:f>'Electricity report'!$K$320:$L$320</c:f>
              <c:numCache>
                <c:formatCode>General</c:formatCode>
                <c:ptCount val="2"/>
                <c:pt idx="0" formatCode="_-* #\ ##0_-;\-* #\ ##0_-;_-* &quot;-&quot;??_-;_-@_-">
                  <c:v>2113.4225890184534</c:v>
                </c:pt>
              </c:numCache>
            </c:numRef>
          </c:val>
          <c:extLst>
            <c:ext xmlns:c16="http://schemas.microsoft.com/office/drawing/2014/chart" uri="{C3380CC4-5D6E-409C-BE32-E72D297353CC}">
              <c16:uniqueId val="{00000001-0ADD-4828-B4F8-457E4B486DD3}"/>
            </c:ext>
          </c:extLst>
        </c:ser>
        <c:ser>
          <c:idx val="1"/>
          <c:order val="1"/>
          <c:tx>
            <c:strRef>
              <c:f>'Electricity report'!$J$321</c:f>
              <c:strCache>
                <c:ptCount val="1"/>
                <c:pt idx="0">
                  <c:v>Energy costs</c:v>
                </c:pt>
              </c:strCache>
            </c:strRef>
          </c:tx>
          <c:spPr>
            <a:solidFill>
              <a:schemeClr val="accent5">
                <a:lumMod val="60000"/>
                <a:lumOff val="40000"/>
              </a:schemeClr>
            </a:solidFill>
            <a:ln>
              <a:noFill/>
            </a:ln>
            <a:effectLst/>
          </c:spPr>
          <c:invertIfNegative val="0"/>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'Electricity report'!$K$319:$L$319</c:f>
              <c:strCache>
                <c:ptCount val="2"/>
                <c:pt idx="0">
                  <c:v>Expenditure R'000</c:v>
                </c:pt>
                <c:pt idx="1">
                  <c:v>Revenue R'000</c:v>
                </c:pt>
              </c:strCache>
            </c:strRef>
          </c:cat>
          <c:val>
            <c:numRef>
              <c:f>'Electricity report'!$K$321:$L$321</c:f>
              <c:numCache>
                <c:formatCode>General</c:formatCode>
                <c:ptCount val="2"/>
                <c:pt idx="0" formatCode="_-* #\ ##0_-;\-* #\ ##0_-;_-* &quot;-&quot;??_-;_-@_-">
                  <c:v>643.26768520300959</c:v>
                </c:pt>
              </c:numCache>
            </c:numRef>
          </c:val>
          <c:extLst>
            <c:ext xmlns:c16="http://schemas.microsoft.com/office/drawing/2014/chart" uri="{C3380CC4-5D6E-409C-BE32-E72D297353CC}">
              <c16:uniqueId val="{00000002-0ADD-4828-B4F8-457E4B486DD3}"/>
            </c:ext>
          </c:extLst>
        </c:ser>
        <c:ser>
          <c:idx val="2"/>
          <c:order val="2"/>
          <c:tx>
            <c:strRef>
              <c:f>'Electricity report'!$J$322</c:f>
              <c:strCache>
                <c:ptCount val="1"/>
                <c:pt idx="0">
                  <c:v>Demand cost</c:v>
                </c:pt>
              </c:strCache>
            </c:strRef>
          </c:tx>
          <c:spPr>
            <a:solidFill>
              <a:srgbClr val="A5A5A5"/>
            </a:solidFill>
            <a:ln w="25400">
              <a:noFill/>
            </a:ln>
          </c:spPr>
          <c:invertIfNegative val="0"/>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'Electricity report'!$K$319:$L$319</c:f>
              <c:strCache>
                <c:ptCount val="2"/>
                <c:pt idx="0">
                  <c:v>Expenditure R'000</c:v>
                </c:pt>
                <c:pt idx="1">
                  <c:v>Revenue R'000</c:v>
                </c:pt>
              </c:strCache>
            </c:strRef>
          </c:cat>
          <c:val>
            <c:numRef>
              <c:f>'Electricity report'!$K$322:$L$322</c:f>
              <c:numCache>
                <c:formatCode>General</c:formatCode>
                <c:ptCount val="2"/>
                <c:pt idx="0" formatCode="_-* #\ ##0_-;\-* #\ ##0_-;_-* &quot;-&quot;??_-;_-@_-">
                  <c:v>0</c:v>
                </c:pt>
              </c:numCache>
            </c:numRef>
          </c:val>
          <c:extLst>
            <c:ext xmlns:c16="http://schemas.microsoft.com/office/drawing/2014/chart" uri="{C3380CC4-5D6E-409C-BE32-E72D297353CC}">
              <c16:uniqueId val="{00000003-0ADD-4828-B4F8-457E4B486DD3}"/>
            </c:ext>
          </c:extLst>
        </c:ser>
        <c:ser>
          <c:idx val="4"/>
          <c:order val="3"/>
          <c:tx>
            <c:strRef>
              <c:f>'Electricity report'!$J$323</c:f>
              <c:strCache>
                <c:ptCount val="1"/>
                <c:pt idx="0">
                  <c:v>Surplus</c:v>
                </c:pt>
              </c:strCache>
            </c:strRef>
          </c:tx>
          <c:spPr>
            <a:solidFill>
              <a:srgbClr val="5B9BD5"/>
            </a:solidFill>
            <a:ln w="25400">
              <a:noFill/>
            </a:ln>
          </c:spPr>
          <c:invertIfNegative val="0"/>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'Electricity report'!$K$319:$L$319</c:f>
              <c:strCache>
                <c:ptCount val="2"/>
                <c:pt idx="0">
                  <c:v>Expenditure R'000</c:v>
                </c:pt>
                <c:pt idx="1">
                  <c:v>Revenue R'000</c:v>
                </c:pt>
              </c:strCache>
            </c:strRef>
          </c:cat>
          <c:val>
            <c:numRef>
              <c:f>'Electricity report'!$K$323:$L$323</c:f>
              <c:numCache>
                <c:formatCode>General</c:formatCode>
                <c:ptCount val="2"/>
                <c:pt idx="0" formatCode="_-* #\ ##0_-;\-* #\ ##0_-;_-* &quot;-&quot;??_-;_-@_-">
                  <c:v>0</c:v>
                </c:pt>
              </c:numCache>
            </c:numRef>
          </c:val>
          <c:extLst>
            <c:ext xmlns:c16="http://schemas.microsoft.com/office/drawing/2014/chart" uri="{C3380CC4-5D6E-409C-BE32-E72D297353CC}">
              <c16:uniqueId val="{00000004-0ADD-4828-B4F8-457E4B486DD3}"/>
            </c:ext>
          </c:extLst>
        </c:ser>
        <c:ser>
          <c:idx val="5"/>
          <c:order val="4"/>
          <c:tx>
            <c:strRef>
              <c:f>'Electricity report'!$J$324</c:f>
              <c:strCache>
                <c:ptCount val="1"/>
                <c:pt idx="0">
                  <c:v>Tariff revenue</c:v>
                </c:pt>
              </c:strCache>
            </c:strRef>
          </c:tx>
          <c:spPr>
            <a:solidFill>
              <a:srgbClr val="A5A5A5"/>
            </a:solidFill>
            <a:ln w="25400">
              <a:noFill/>
            </a:ln>
          </c:spPr>
          <c:invertIfNegative val="0"/>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'Electricity report'!$K$319:$L$319</c:f>
              <c:strCache>
                <c:ptCount val="2"/>
                <c:pt idx="0">
                  <c:v>Expenditure R'000</c:v>
                </c:pt>
                <c:pt idx="1">
                  <c:v>Revenue R'000</c:v>
                </c:pt>
              </c:strCache>
            </c:strRef>
          </c:cat>
          <c:val>
            <c:numRef>
              <c:f>'Electricity report'!$K$324:$L$324</c:f>
              <c:numCache>
                <c:formatCode>_-* #\ ##0_-;\-* #\ ##0_-;_-* "-"??_-;_-@_-</c:formatCode>
                <c:ptCount val="2"/>
                <c:pt idx="1">
                  <c:v>3209.6162423551223</c:v>
                </c:pt>
              </c:numCache>
            </c:numRef>
          </c:val>
          <c:extLst>
            <c:ext xmlns:c16="http://schemas.microsoft.com/office/drawing/2014/chart" uri="{C3380CC4-5D6E-409C-BE32-E72D297353CC}">
              <c16:uniqueId val="{00000005-0ADD-4828-B4F8-457E4B486DD3}"/>
            </c:ext>
          </c:extLst>
        </c:ser>
        <c:ser>
          <c:idx val="3"/>
          <c:order val="5"/>
          <c:tx>
            <c:strRef>
              <c:f>'Electricity report'!$J$325</c:f>
              <c:strCache>
                <c:ptCount val="1"/>
                <c:pt idx="0">
                  <c:v>External grants &amp; subsidies</c:v>
                </c:pt>
              </c:strCache>
            </c:strRef>
          </c:tx>
          <c:spPr>
            <a:solidFill>
              <a:schemeClr val="accent3">
                <a:lumMod val="40000"/>
                <a:lumOff val="60000"/>
              </a:schemeClr>
            </a:solidFill>
            <a:ln>
              <a:noFill/>
            </a:ln>
            <a:effectLst/>
          </c:spPr>
          <c:invertIfNegative val="0"/>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'Electricity report'!$K$319:$L$319</c:f>
              <c:strCache>
                <c:ptCount val="2"/>
                <c:pt idx="0">
                  <c:v>Expenditure R'000</c:v>
                </c:pt>
                <c:pt idx="1">
                  <c:v>Revenue R'000</c:v>
                </c:pt>
              </c:strCache>
            </c:strRef>
          </c:cat>
          <c:val>
            <c:numRef>
              <c:f>'Electricity report'!$K$325:$L$325</c:f>
              <c:numCache>
                <c:formatCode>_-* #\ ##0_-;\-* #\ ##0_-;_-* "-"??_-;_-@_-</c:formatCode>
                <c:ptCount val="2"/>
                <c:pt idx="1">
                  <c:v>-355.61003020899227</c:v>
                </c:pt>
              </c:numCache>
            </c:numRef>
          </c:val>
          <c:extLst>
            <c:ext xmlns:c16="http://schemas.microsoft.com/office/drawing/2014/chart" uri="{C3380CC4-5D6E-409C-BE32-E72D297353CC}">
              <c16:uniqueId val="{00000006-0ADD-4828-B4F8-457E4B486DD3}"/>
            </c:ext>
          </c:extLst>
        </c:ser>
        <c:ser>
          <c:idx val="6"/>
          <c:order val="6"/>
          <c:tx>
            <c:strRef>
              <c:f>'Electricity report'!$J$326</c:f>
              <c:strCache>
                <c:ptCount val="1"/>
                <c:pt idx="0">
                  <c:v>Other non-tariff revenue</c:v>
                </c:pt>
              </c:strCache>
            </c:strRef>
          </c:tx>
          <c:spPr>
            <a:solidFill>
              <a:srgbClr val="ED7D31"/>
            </a:solidFill>
            <a:ln w="25400">
              <a:noFill/>
            </a:ln>
          </c:spPr>
          <c:invertIfNegative val="0"/>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'Electricity report'!$K$319:$L$319</c:f>
              <c:strCache>
                <c:ptCount val="2"/>
                <c:pt idx="0">
                  <c:v>Expenditure R'000</c:v>
                </c:pt>
                <c:pt idx="1">
                  <c:v>Revenue R'000</c:v>
                </c:pt>
              </c:strCache>
            </c:strRef>
          </c:cat>
          <c:val>
            <c:numRef>
              <c:f>'Electricity report'!$K$326:$L$326</c:f>
              <c:numCache>
                <c:formatCode>_-* #\ ##0_-;\-* #\ ##0_-;_-* "-"??_-;_-@_-</c:formatCode>
                <c:ptCount val="2"/>
                <c:pt idx="1">
                  <c:v>258.29409228432536</c:v>
                </c:pt>
              </c:numCache>
            </c:numRef>
          </c:val>
          <c:extLst>
            <c:ext xmlns:c16="http://schemas.microsoft.com/office/drawing/2014/chart" uri="{C3380CC4-5D6E-409C-BE32-E72D297353CC}">
              <c16:uniqueId val="{00000007-0ADD-4828-B4F8-457E4B486DD3}"/>
            </c:ext>
          </c:extLst>
        </c:ser>
        <c:ser>
          <c:idx val="7"/>
          <c:order val="7"/>
          <c:tx>
            <c:strRef>
              <c:f>'Electricity report'!$J$327</c:f>
              <c:strCache>
                <c:ptCount val="1"/>
                <c:pt idx="0">
                  <c:v>Deficit</c:v>
                </c:pt>
              </c:strCache>
            </c:strRef>
          </c:tx>
          <c:spPr>
            <a:solidFill>
              <a:srgbClr val="4472C4"/>
            </a:solidFill>
            <a:ln w="25400">
              <a:noFill/>
            </a:ln>
          </c:spPr>
          <c:invertIfNegative val="0"/>
          <c:dPt>
            <c:idx val="0"/>
            <c:invertIfNegative val="0"/>
            <c:bubble3D val="0"/>
            <c:spPr>
              <a:solidFill>
                <a:srgbClr val="5B9BD5"/>
              </a:solidFill>
              <a:ln w="25400">
                <a:noFill/>
              </a:ln>
            </c:spPr>
            <c:extLst>
              <c:ext xmlns:c16="http://schemas.microsoft.com/office/drawing/2014/chart" uri="{C3380CC4-5D6E-409C-BE32-E72D297353CC}">
                <c16:uniqueId val="{00000008-0ADD-4828-B4F8-457E4B486DD3}"/>
              </c:ext>
            </c:extLst>
          </c:dPt>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'Electricity report'!$K$319:$L$319</c:f>
              <c:strCache>
                <c:ptCount val="2"/>
                <c:pt idx="0">
                  <c:v>Expenditure R'000</c:v>
                </c:pt>
                <c:pt idx="1">
                  <c:v>Revenue R'000</c:v>
                </c:pt>
              </c:strCache>
            </c:strRef>
          </c:cat>
          <c:val>
            <c:numRef>
              <c:f>'Electricity report'!$K$327:$L$327</c:f>
              <c:numCache>
                <c:formatCode>_-* #\ ##0_-;\-* #\ ##0_-;_-* "-"??_-;_-@_-</c:formatCode>
                <c:ptCount val="2"/>
                <c:pt idx="1">
                  <c:v>-355.61003020899227</c:v>
                </c:pt>
              </c:numCache>
            </c:numRef>
          </c:val>
          <c:extLst>
            <c:ext xmlns:c16="http://schemas.microsoft.com/office/drawing/2014/chart" uri="{C3380CC4-5D6E-409C-BE32-E72D297353CC}">
              <c16:uniqueId val="{00000009-0ADD-4828-B4F8-457E4B486DD3}"/>
            </c:ext>
          </c:extLst>
        </c:ser>
        <c:dLbls>
          <c:showLegendKey val="0"/>
          <c:showVal val="0"/>
          <c:showCatName val="0"/>
          <c:showSerName val="0"/>
          <c:showPercent val="0"/>
          <c:showBubbleSize val="0"/>
        </c:dLbls>
        <c:gapWidth val="25"/>
        <c:overlap val="100"/>
        <c:axId val="1361836847"/>
        <c:axId val="1"/>
      </c:barChart>
      <c:catAx>
        <c:axId val="1361836847"/>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0" vert="horz"/>
          <a:lstStyle/>
          <a:p>
            <a:pPr>
              <a:defRPr sz="1100" b="0" i="0" u="none" strike="noStrike" baseline="0">
                <a:solidFill>
                  <a:srgbClr val="000000"/>
                </a:solidFill>
                <a:latin typeface="Calibri"/>
                <a:ea typeface="Calibri"/>
                <a:cs typeface="Calibri"/>
              </a:defRPr>
            </a:pPr>
            <a:endParaRPr lang="en-US"/>
          </a:p>
        </c:txPr>
        <c:crossAx val="1"/>
        <c:crosses val="autoZero"/>
        <c:auto val="1"/>
        <c:lblAlgn val="ctr"/>
        <c:lblOffset val="100"/>
        <c:noMultiLvlLbl val="0"/>
      </c:catAx>
      <c:valAx>
        <c:axId val="1"/>
        <c:scaling>
          <c:orientation val="minMax"/>
        </c:scaling>
        <c:delete val="1"/>
        <c:axPos val="l"/>
        <c:majorGridlines>
          <c:spPr>
            <a:ln w="9525" cap="flat" cmpd="sng" algn="ctr">
              <a:solidFill>
                <a:schemeClr val="tx1">
                  <a:lumMod val="15000"/>
                  <a:lumOff val="85000"/>
                </a:schemeClr>
              </a:solidFill>
              <a:round/>
            </a:ln>
            <a:effectLst/>
          </c:spPr>
        </c:majorGridlines>
        <c:numFmt formatCode="_-* #\ ##0_-;\-* #\ ##0_-;_-* &quot;-&quot;??_-;_-@_-" sourceLinked="1"/>
        <c:majorTickMark val="out"/>
        <c:minorTickMark val="none"/>
        <c:tickLblPos val="nextTo"/>
        <c:crossAx val="1361836847"/>
        <c:crosses val="autoZero"/>
        <c:crossBetween val="between"/>
      </c:valAx>
    </c:plotArea>
    <c:legend>
      <c:legendPos val="r"/>
      <c:layout>
        <c:manualLayout>
          <c:xMode val="edge"/>
          <c:yMode val="edge"/>
          <c:x val="0.63225725892244689"/>
          <c:y val="0.1812752257931505"/>
          <c:w val="0.34899346501875061"/>
          <c:h val="0.70697306341239063"/>
        </c:manualLayout>
      </c:layout>
      <c:overlay val="0"/>
      <c:spPr>
        <a:noFill/>
        <a:ln w="25400">
          <a:noFill/>
        </a:ln>
      </c:spPr>
      <c:txPr>
        <a:bodyPr/>
        <a:lstStyle/>
        <a:p>
          <a:pPr>
            <a:defRPr sz="850" b="0" i="0" u="none" strike="noStrike" baseline="0">
              <a:solidFill>
                <a:srgbClr val="000000"/>
              </a:solidFill>
              <a:latin typeface="Calibri"/>
              <a:ea typeface="Calibri"/>
              <a:cs typeface="Calibri"/>
            </a:defRPr>
          </a:pPr>
          <a:endParaRPr lang="en-US"/>
        </a:p>
      </c:txPr>
    </c:legend>
    <c:plotVisOnly val="1"/>
    <c:dispBlanksAs val="gap"/>
    <c:showDLblsOverMax val="0"/>
  </c:chart>
  <c:spPr>
    <a:solidFill>
      <a:schemeClr val="bg1"/>
    </a:solidFill>
    <a:ln w="9525" cap="flat" cmpd="sng" algn="ctr">
      <a:noFill/>
      <a:round/>
    </a:ln>
    <a:effectLst/>
  </c:spPr>
  <c:txPr>
    <a:bodyPr/>
    <a:lstStyle/>
    <a:p>
      <a:pPr>
        <a:defRPr sz="11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charts/chart15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ser>
          <c:idx val="0"/>
          <c:order val="0"/>
          <c:tx>
            <c:strRef>
              <c:f>'Electricity report'!$L$344</c:f>
              <c:strCache>
                <c:ptCount val="1"/>
                <c:pt idx="0">
                  <c:v>Annual Tariff</c:v>
                </c:pt>
              </c:strCache>
            </c:strRef>
          </c:tx>
          <c:spPr>
            <a:solidFill>
              <a:srgbClr val="4472C4"/>
            </a:solidFill>
            <a:ln w="25400">
              <a:noFill/>
            </a:ln>
          </c:spPr>
          <c:invertIfNegative val="0"/>
          <c:dLbls>
            <c:spPr>
              <a:noFill/>
              <a:ln w="25400">
                <a:noFill/>
              </a:ln>
            </c:spPr>
            <c:txPr>
              <a:bodyPr wrap="square" lIns="38100" tIns="19050" rIns="38100" bIns="19050" anchor="ctr">
                <a:spAutoFit/>
              </a:bodyPr>
              <a:lstStyle/>
              <a:p>
                <a:pPr>
                  <a:defRPr sz="900" b="0" i="0" u="none" strike="noStrike" baseline="0">
                    <a:solidFill>
                      <a:srgbClr val="333333"/>
                    </a:solidFill>
                    <a:latin typeface="Calibri"/>
                    <a:ea typeface="Calibri"/>
                    <a:cs typeface="Calibri"/>
                  </a:defRPr>
                </a:pPr>
                <a:endParaRPr lang="en-US"/>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numRef>
              <c:f>'Electricity report'!$K$345:$K$349</c:f>
              <c:numCache>
                <c:formatCode>General</c:formatCode>
                <c:ptCount val="5"/>
                <c:pt idx="0">
                  <c:v>0</c:v>
                </c:pt>
                <c:pt idx="1">
                  <c:v>0</c:v>
                </c:pt>
                <c:pt idx="2">
                  <c:v>0</c:v>
                </c:pt>
                <c:pt idx="3">
                  <c:v>0</c:v>
                </c:pt>
                <c:pt idx="4">
                  <c:v>0</c:v>
                </c:pt>
              </c:numCache>
            </c:numRef>
          </c:cat>
          <c:val>
            <c:numRef>
              <c:f>'Electricity report'!$L$345:$L$349</c:f>
              <c:numCache>
                <c:formatCode>_(* #,##0.00_);_(* \(#,##0.00\);_(* "-"??_);_(@_)</c:formatCode>
                <c:ptCount val="5"/>
                <c:pt idx="0">
                  <c:v>14.878552585771075</c:v>
                </c:pt>
                <c:pt idx="1">
                  <c:v>0</c:v>
                </c:pt>
                <c:pt idx="2">
                  <c:v>0</c:v>
                </c:pt>
                <c:pt idx="3">
                  <c:v>0</c:v>
                </c:pt>
                <c:pt idx="4">
                  <c:v>0</c:v>
                </c:pt>
              </c:numCache>
            </c:numRef>
          </c:val>
          <c:extLst>
            <c:ext xmlns:c16="http://schemas.microsoft.com/office/drawing/2014/chart" uri="{C3380CC4-5D6E-409C-BE32-E72D297353CC}">
              <c16:uniqueId val="{00000000-FFD1-482C-B05A-B6B7B28B0B81}"/>
            </c:ext>
          </c:extLst>
        </c:ser>
        <c:ser>
          <c:idx val="1"/>
          <c:order val="1"/>
          <c:tx>
            <c:strRef>
              <c:f>'Electricity report'!$M$344</c:f>
              <c:strCache>
                <c:ptCount val="1"/>
              </c:strCache>
            </c:strRef>
          </c:tx>
          <c:spPr>
            <a:solidFill>
              <a:srgbClr val="ED7D31"/>
            </a:solidFill>
            <a:ln w="25400">
              <a:noFill/>
            </a:ln>
          </c:spPr>
          <c:invertIfNegative val="0"/>
          <c:dLbls>
            <c:spPr>
              <a:noFill/>
              <a:ln w="25400">
                <a:noFill/>
              </a:ln>
            </c:spPr>
            <c:txPr>
              <a:bodyPr wrap="square" lIns="38100" tIns="19050" rIns="38100" bIns="19050" anchor="ctr">
                <a:spAutoFit/>
              </a:bodyPr>
              <a:lstStyle/>
              <a:p>
                <a:pPr>
                  <a:defRPr sz="900" b="0" i="0" u="none" strike="noStrike" baseline="0">
                    <a:solidFill>
                      <a:srgbClr val="333333"/>
                    </a:solidFill>
                    <a:latin typeface="Calibri"/>
                    <a:ea typeface="Calibri"/>
                    <a:cs typeface="Calibri"/>
                  </a:defRPr>
                </a:pPr>
                <a:endParaRPr lang="en-US"/>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numRef>
              <c:f>'Electricity report'!$K$345:$K$349</c:f>
              <c:numCache>
                <c:formatCode>General</c:formatCode>
                <c:ptCount val="5"/>
                <c:pt idx="0">
                  <c:v>0</c:v>
                </c:pt>
                <c:pt idx="1">
                  <c:v>0</c:v>
                </c:pt>
                <c:pt idx="2">
                  <c:v>0</c:v>
                </c:pt>
                <c:pt idx="3">
                  <c:v>0</c:v>
                </c:pt>
                <c:pt idx="4">
                  <c:v>0</c:v>
                </c:pt>
              </c:numCache>
            </c:numRef>
          </c:cat>
          <c:val>
            <c:numRef>
              <c:f>'Electricity report'!$M$345:$M$349</c:f>
              <c:numCache>
                <c:formatCode>_(* #,##0.00_);_(* \(#,##0.00\);_(* "-"??_);_(@_)</c:formatCode>
                <c:ptCount val="5"/>
                <c:pt idx="0">
                  <c:v>0</c:v>
                </c:pt>
                <c:pt idx="1">
                  <c:v>0</c:v>
                </c:pt>
                <c:pt idx="2">
                  <c:v>0</c:v>
                </c:pt>
                <c:pt idx="3">
                  <c:v>0</c:v>
                </c:pt>
                <c:pt idx="4">
                  <c:v>0</c:v>
                </c:pt>
              </c:numCache>
            </c:numRef>
          </c:val>
          <c:extLst>
            <c:ext xmlns:c16="http://schemas.microsoft.com/office/drawing/2014/chart" uri="{C3380CC4-5D6E-409C-BE32-E72D297353CC}">
              <c16:uniqueId val="{00000001-FFD1-482C-B05A-B6B7B28B0B81}"/>
            </c:ext>
          </c:extLst>
        </c:ser>
        <c:dLbls>
          <c:showLegendKey val="0"/>
          <c:showVal val="0"/>
          <c:showCatName val="0"/>
          <c:showSerName val="0"/>
          <c:showPercent val="0"/>
          <c:showBubbleSize val="0"/>
        </c:dLbls>
        <c:gapWidth val="50"/>
        <c:axId val="1361847887"/>
        <c:axId val="1"/>
      </c:barChart>
      <c:lineChart>
        <c:grouping val="standard"/>
        <c:varyColors val="0"/>
        <c:ser>
          <c:idx val="2"/>
          <c:order val="2"/>
          <c:tx>
            <c:strRef>
              <c:f>'Electricity report'!$N$344</c:f>
              <c:strCache>
                <c:ptCount val="1"/>
                <c:pt idx="0">
                  <c:v>Total cost per kl </c:v>
                </c:pt>
              </c:strCache>
            </c:strRef>
          </c:tx>
          <c:spPr>
            <a:ln w="28575" cap="rnd">
              <a:solidFill>
                <a:schemeClr val="accent3"/>
              </a:solidFill>
              <a:round/>
            </a:ln>
            <a:effectLst/>
          </c:spPr>
          <c:marker>
            <c:symbol val="none"/>
          </c:marker>
          <c:cat>
            <c:numRef>
              <c:f>'Electricity report'!$K$345:$K$349</c:f>
              <c:numCache>
                <c:formatCode>General</c:formatCode>
                <c:ptCount val="5"/>
                <c:pt idx="0">
                  <c:v>0</c:v>
                </c:pt>
                <c:pt idx="1">
                  <c:v>0</c:v>
                </c:pt>
                <c:pt idx="2">
                  <c:v>0</c:v>
                </c:pt>
                <c:pt idx="3">
                  <c:v>0</c:v>
                </c:pt>
                <c:pt idx="4">
                  <c:v>0</c:v>
                </c:pt>
              </c:numCache>
            </c:numRef>
          </c:cat>
          <c:val>
            <c:numRef>
              <c:f>'Electricity report'!$N$345:$N$349</c:f>
              <c:numCache>
                <c:formatCode>_(* #,##0.00_);_(* \(#,##0.00\);_(* "-"??_);_(@_)</c:formatCode>
                <c:ptCount val="5"/>
                <c:pt idx="0">
                  <c:v>12.77896113137554</c:v>
                </c:pt>
                <c:pt idx="1">
                  <c:v>12.77896113137554</c:v>
                </c:pt>
                <c:pt idx="2">
                  <c:v>12.77896113137554</c:v>
                </c:pt>
                <c:pt idx="3">
                  <c:v>12.77896113137554</c:v>
                </c:pt>
                <c:pt idx="4">
                  <c:v>12.77896113137554</c:v>
                </c:pt>
              </c:numCache>
            </c:numRef>
          </c:val>
          <c:smooth val="0"/>
          <c:extLst>
            <c:ext xmlns:c16="http://schemas.microsoft.com/office/drawing/2014/chart" uri="{C3380CC4-5D6E-409C-BE32-E72D297353CC}">
              <c16:uniqueId val="{00000002-FFD1-482C-B05A-B6B7B28B0B81}"/>
            </c:ext>
          </c:extLst>
        </c:ser>
        <c:ser>
          <c:idx val="3"/>
          <c:order val="3"/>
          <c:tx>
            <c:strRef>
              <c:f>'Electricity report'!$O$344</c:f>
              <c:strCache>
                <c:ptCount val="1"/>
                <c:pt idx="0">
                  <c:v>Variable cost per kWh</c:v>
                </c:pt>
              </c:strCache>
            </c:strRef>
          </c:tx>
          <c:spPr>
            <a:ln w="28575" cap="rnd">
              <a:solidFill>
                <a:schemeClr val="accent4"/>
              </a:solidFill>
              <a:round/>
            </a:ln>
            <a:effectLst/>
          </c:spPr>
          <c:marker>
            <c:symbol val="none"/>
          </c:marker>
          <c:cat>
            <c:numRef>
              <c:f>'Electricity report'!$K$345:$K$349</c:f>
              <c:numCache>
                <c:formatCode>General</c:formatCode>
                <c:ptCount val="5"/>
                <c:pt idx="0">
                  <c:v>0</c:v>
                </c:pt>
                <c:pt idx="1">
                  <c:v>0</c:v>
                </c:pt>
                <c:pt idx="2">
                  <c:v>0</c:v>
                </c:pt>
                <c:pt idx="3">
                  <c:v>0</c:v>
                </c:pt>
                <c:pt idx="4">
                  <c:v>0</c:v>
                </c:pt>
              </c:numCache>
            </c:numRef>
          </c:cat>
          <c:val>
            <c:numRef>
              <c:f>'Electricity report'!$O$345:$O$349</c:f>
              <c:numCache>
                <c:formatCode>_(* #,##0.00_);_(* \(#,##0.00\);_(* "-"??_);_(@_)</c:formatCode>
                <c:ptCount val="5"/>
                <c:pt idx="0">
                  <c:v>2.9819428113304203</c:v>
                </c:pt>
                <c:pt idx="1">
                  <c:v>2.9819428113304203</c:v>
                </c:pt>
                <c:pt idx="2">
                  <c:v>2.9819428113304203</c:v>
                </c:pt>
                <c:pt idx="3">
                  <c:v>2.9819428113304203</c:v>
                </c:pt>
                <c:pt idx="4">
                  <c:v>2.9819428113304203</c:v>
                </c:pt>
              </c:numCache>
            </c:numRef>
          </c:val>
          <c:smooth val="0"/>
          <c:extLst>
            <c:ext xmlns:c16="http://schemas.microsoft.com/office/drawing/2014/chart" uri="{C3380CC4-5D6E-409C-BE32-E72D297353CC}">
              <c16:uniqueId val="{00000003-FFD1-482C-B05A-B6B7B28B0B81}"/>
            </c:ext>
          </c:extLst>
        </c:ser>
        <c:dLbls>
          <c:showLegendKey val="0"/>
          <c:showVal val="0"/>
          <c:showCatName val="0"/>
          <c:showSerName val="0"/>
          <c:showPercent val="0"/>
          <c:showBubbleSize val="0"/>
        </c:dLbls>
        <c:marker val="1"/>
        <c:smooth val="0"/>
        <c:axId val="1361847887"/>
        <c:axId val="1"/>
      </c:lineChart>
      <c:catAx>
        <c:axId val="1361847887"/>
        <c:scaling>
          <c:orientation val="minMax"/>
        </c:scaling>
        <c:delete val="0"/>
        <c:axPos val="b"/>
        <c:title>
          <c:tx>
            <c:rich>
              <a:bodyPr/>
              <a:lstStyle/>
              <a:p>
                <a:pPr>
                  <a:defRPr sz="1000" b="0" i="0" u="none" strike="noStrike" baseline="0">
                    <a:solidFill>
                      <a:srgbClr val="333333"/>
                    </a:solidFill>
                    <a:latin typeface="Calibri"/>
                    <a:ea typeface="Calibri"/>
                    <a:cs typeface="Calibri"/>
                  </a:defRPr>
                </a:pPr>
                <a:r>
                  <a:rPr lang="en-ZA"/>
                  <a:t>Block size</a:t>
                </a:r>
              </a:p>
            </c:rich>
          </c:tx>
          <c:overlay val="0"/>
          <c:spPr>
            <a:noFill/>
            <a:ln w="25400">
              <a:noFill/>
            </a:ln>
          </c:spPr>
        </c:title>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0" vert="horz"/>
          <a:lstStyle/>
          <a:p>
            <a:pPr>
              <a:defRPr sz="900" b="0" i="0" u="none" strike="noStrike" baseline="0">
                <a:solidFill>
                  <a:srgbClr val="333333"/>
                </a:solidFill>
                <a:latin typeface="Calibri"/>
                <a:ea typeface="Calibri"/>
                <a:cs typeface="Calibri"/>
              </a:defRPr>
            </a:pPr>
            <a:endParaRPr lang="en-US"/>
          </a:p>
        </c:txPr>
        <c:crossAx val="1"/>
        <c:crosses val="autoZero"/>
        <c:auto val="1"/>
        <c:lblAlgn val="ctr"/>
        <c:lblOffset val="100"/>
        <c:noMultiLvlLbl val="0"/>
      </c:catAx>
      <c:valAx>
        <c:axId val="1"/>
        <c:scaling>
          <c:orientation val="minMax"/>
        </c:scaling>
        <c:delete val="0"/>
        <c:axPos val="l"/>
        <c:majorGridlines>
          <c:spPr>
            <a:ln w="9525" cap="flat" cmpd="sng" algn="ctr">
              <a:solidFill>
                <a:schemeClr val="tx1">
                  <a:lumMod val="15000"/>
                  <a:lumOff val="85000"/>
                </a:schemeClr>
              </a:solidFill>
              <a:round/>
            </a:ln>
            <a:effectLst/>
          </c:spPr>
        </c:majorGridlines>
        <c:title>
          <c:tx>
            <c:rich>
              <a:bodyPr/>
              <a:lstStyle/>
              <a:p>
                <a:pPr>
                  <a:defRPr sz="1000" b="0" i="0" u="none" strike="noStrike" baseline="0">
                    <a:solidFill>
                      <a:srgbClr val="333333"/>
                    </a:solidFill>
                    <a:latin typeface="Calibri"/>
                    <a:ea typeface="Calibri"/>
                    <a:cs typeface="Calibri"/>
                  </a:defRPr>
                </a:pPr>
                <a:r>
                  <a:rPr lang="en-ZA"/>
                  <a:t>R/kWh</a:t>
                </a:r>
              </a:p>
            </c:rich>
          </c:tx>
          <c:overlay val="0"/>
          <c:spPr>
            <a:noFill/>
            <a:ln w="25400">
              <a:noFill/>
            </a:ln>
          </c:spPr>
        </c:title>
        <c:numFmt formatCode="_(* #,##0.00_);_(* \(#,##0.00\);_(* &quot;-&quot;??_);_(@_)" sourceLinked="1"/>
        <c:majorTickMark val="none"/>
        <c:minorTickMark val="none"/>
        <c:tickLblPos val="nextTo"/>
        <c:spPr>
          <a:ln w="6350">
            <a:noFill/>
          </a:ln>
        </c:spPr>
        <c:txPr>
          <a:bodyPr rot="0" vert="horz"/>
          <a:lstStyle/>
          <a:p>
            <a:pPr>
              <a:defRPr sz="900" b="0" i="0" u="none" strike="noStrike" baseline="0">
                <a:solidFill>
                  <a:srgbClr val="333333"/>
                </a:solidFill>
                <a:latin typeface="Calibri"/>
                <a:ea typeface="Calibri"/>
                <a:cs typeface="Calibri"/>
              </a:defRPr>
            </a:pPr>
            <a:endParaRPr lang="en-US"/>
          </a:p>
        </c:txPr>
        <c:crossAx val="1361847887"/>
        <c:crosses val="autoZero"/>
        <c:crossBetween val="between"/>
      </c:valAx>
      <c:spPr>
        <a:noFill/>
        <a:ln w="25400">
          <a:noFill/>
        </a:ln>
      </c:spPr>
    </c:plotArea>
    <c:legend>
      <c:legendPos val="r"/>
      <c:layout>
        <c:manualLayout>
          <c:xMode val="edge"/>
          <c:yMode val="edge"/>
          <c:x val="4.7023424579764522E-2"/>
          <c:y val="0.92826131183362848"/>
          <c:w val="0.90128222216737008"/>
          <c:h val="5.2633337100804978E-2"/>
        </c:manualLayout>
      </c:layout>
      <c:overlay val="0"/>
      <c:spPr>
        <a:noFill/>
        <a:ln w="25400">
          <a:noFill/>
        </a:ln>
      </c:spPr>
      <c:txPr>
        <a:bodyPr/>
        <a:lstStyle/>
        <a:p>
          <a:pPr>
            <a:defRPr sz="690" b="0" i="0" u="none" strike="noStrike" baseline="0">
              <a:solidFill>
                <a:srgbClr val="333333"/>
              </a:solidFill>
              <a:latin typeface="Calibri"/>
              <a:ea typeface="Calibri"/>
              <a:cs typeface="Calibri"/>
            </a:defRPr>
          </a:pPr>
          <a:endParaRPr lang="en-US"/>
        </a:p>
      </c:txPr>
    </c:legend>
    <c:plotVisOnly val="1"/>
    <c:dispBlanksAs val="gap"/>
    <c:showDLblsOverMax val="0"/>
  </c:chart>
  <c:spPr>
    <a:solidFill>
      <a:schemeClr val="bg1"/>
    </a:solidFill>
    <a:ln w="9525" cap="flat" cmpd="sng" algn="ctr">
      <a:noFill/>
      <a:round/>
    </a:ln>
    <a:effectLst/>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charts/chart15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2.3871527777777776E-2"/>
          <c:y val="4.7786414907172239E-2"/>
          <c:w val="0.57559123468941387"/>
          <c:h val="0.83529592857692603"/>
        </c:manualLayout>
      </c:layout>
      <c:barChart>
        <c:barDir val="col"/>
        <c:grouping val="stacked"/>
        <c:varyColors val="0"/>
        <c:ser>
          <c:idx val="0"/>
          <c:order val="0"/>
          <c:tx>
            <c:strRef>
              <c:f>'Electricity report'!$J$390</c:f>
              <c:strCache>
                <c:ptCount val="1"/>
                <c:pt idx="0">
                  <c:v>Customer costs </c:v>
                </c:pt>
              </c:strCache>
            </c:strRef>
          </c:tx>
          <c:spPr>
            <a:solidFill>
              <a:srgbClr val="4472C4"/>
            </a:solidFill>
            <a:ln w="25400">
              <a:noFill/>
            </a:ln>
          </c:spPr>
          <c:invertIfNegative val="0"/>
          <c:dPt>
            <c:idx val="0"/>
            <c:invertIfNegative val="0"/>
            <c:bubble3D val="0"/>
            <c:spPr>
              <a:solidFill>
                <a:srgbClr val="5B9BD5"/>
              </a:solidFill>
              <a:ln w="25400">
                <a:noFill/>
              </a:ln>
            </c:spPr>
            <c:extLst>
              <c:ext xmlns:c16="http://schemas.microsoft.com/office/drawing/2014/chart" uri="{C3380CC4-5D6E-409C-BE32-E72D297353CC}">
                <c16:uniqueId val="{00000000-1E9F-4A05-A06D-B807D61EEAF9}"/>
              </c:ext>
            </c:extLst>
          </c:dPt>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'Electricity report'!$K$389:$L$389</c:f>
              <c:strCache>
                <c:ptCount val="2"/>
                <c:pt idx="0">
                  <c:v>Expenditure R'000</c:v>
                </c:pt>
                <c:pt idx="1">
                  <c:v>Revenue R'000</c:v>
                </c:pt>
              </c:strCache>
            </c:strRef>
          </c:cat>
          <c:val>
            <c:numRef>
              <c:f>'Electricity report'!$K$390:$L$390</c:f>
              <c:numCache>
                <c:formatCode>General</c:formatCode>
                <c:ptCount val="2"/>
                <c:pt idx="0" formatCode="_-* #\ ##0_-;\-* #\ ##0_-;_-* &quot;-&quot;??_-;_-@_-">
                  <c:v>10553.736852756709</c:v>
                </c:pt>
              </c:numCache>
            </c:numRef>
          </c:val>
          <c:extLst>
            <c:ext xmlns:c16="http://schemas.microsoft.com/office/drawing/2014/chart" uri="{C3380CC4-5D6E-409C-BE32-E72D297353CC}">
              <c16:uniqueId val="{00000001-1E9F-4A05-A06D-B807D61EEAF9}"/>
            </c:ext>
          </c:extLst>
        </c:ser>
        <c:ser>
          <c:idx val="1"/>
          <c:order val="1"/>
          <c:tx>
            <c:strRef>
              <c:f>'Electricity report'!$J$391</c:f>
              <c:strCache>
                <c:ptCount val="1"/>
                <c:pt idx="0">
                  <c:v>Energy costs</c:v>
                </c:pt>
              </c:strCache>
            </c:strRef>
          </c:tx>
          <c:spPr>
            <a:solidFill>
              <a:schemeClr val="accent5">
                <a:lumMod val="60000"/>
                <a:lumOff val="40000"/>
              </a:schemeClr>
            </a:solidFill>
            <a:ln>
              <a:noFill/>
            </a:ln>
            <a:effectLst/>
          </c:spPr>
          <c:invertIfNegative val="0"/>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'Electricity report'!$K$389:$L$389</c:f>
              <c:strCache>
                <c:ptCount val="2"/>
                <c:pt idx="0">
                  <c:v>Expenditure R'000</c:v>
                </c:pt>
                <c:pt idx="1">
                  <c:v>Revenue R'000</c:v>
                </c:pt>
              </c:strCache>
            </c:strRef>
          </c:cat>
          <c:val>
            <c:numRef>
              <c:f>'Electricity report'!$K$391:$L$391</c:f>
              <c:numCache>
                <c:formatCode>General</c:formatCode>
                <c:ptCount val="2"/>
                <c:pt idx="0" formatCode="_-* #\ ##0_-;\-* #\ ##0_-;_-* &quot;-&quot;??_-;_-@_-">
                  <c:v>31337.491662187469</c:v>
                </c:pt>
              </c:numCache>
            </c:numRef>
          </c:val>
          <c:extLst>
            <c:ext xmlns:c16="http://schemas.microsoft.com/office/drawing/2014/chart" uri="{C3380CC4-5D6E-409C-BE32-E72D297353CC}">
              <c16:uniqueId val="{00000002-1E9F-4A05-A06D-B807D61EEAF9}"/>
            </c:ext>
          </c:extLst>
        </c:ser>
        <c:ser>
          <c:idx val="2"/>
          <c:order val="2"/>
          <c:tx>
            <c:strRef>
              <c:f>'Electricity report'!$J$392</c:f>
              <c:strCache>
                <c:ptCount val="1"/>
                <c:pt idx="0">
                  <c:v>Demand cost</c:v>
                </c:pt>
              </c:strCache>
            </c:strRef>
          </c:tx>
          <c:spPr>
            <a:solidFill>
              <a:srgbClr val="A5A5A5"/>
            </a:solidFill>
            <a:ln w="25400">
              <a:noFill/>
            </a:ln>
          </c:spPr>
          <c:invertIfNegative val="0"/>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'Electricity report'!$K$389:$L$389</c:f>
              <c:strCache>
                <c:ptCount val="2"/>
                <c:pt idx="0">
                  <c:v>Expenditure R'000</c:v>
                </c:pt>
                <c:pt idx="1">
                  <c:v>Revenue R'000</c:v>
                </c:pt>
              </c:strCache>
            </c:strRef>
          </c:cat>
          <c:val>
            <c:numRef>
              <c:f>'Electricity report'!$K$392:$L$392</c:f>
              <c:numCache>
                <c:formatCode>General</c:formatCode>
                <c:ptCount val="2"/>
                <c:pt idx="0" formatCode="_-* #\ ##0_-;\-* #\ ##0_-;_-* &quot;-&quot;??_-;_-@_-">
                  <c:v>0</c:v>
                </c:pt>
              </c:numCache>
            </c:numRef>
          </c:val>
          <c:extLst>
            <c:ext xmlns:c16="http://schemas.microsoft.com/office/drawing/2014/chart" uri="{C3380CC4-5D6E-409C-BE32-E72D297353CC}">
              <c16:uniqueId val="{00000003-1E9F-4A05-A06D-B807D61EEAF9}"/>
            </c:ext>
          </c:extLst>
        </c:ser>
        <c:ser>
          <c:idx val="4"/>
          <c:order val="3"/>
          <c:tx>
            <c:strRef>
              <c:f>'Electricity report'!$J$393</c:f>
              <c:strCache>
                <c:ptCount val="1"/>
                <c:pt idx="0">
                  <c:v>Surplus</c:v>
                </c:pt>
              </c:strCache>
            </c:strRef>
          </c:tx>
          <c:spPr>
            <a:solidFill>
              <a:srgbClr val="5B9BD5"/>
            </a:solidFill>
            <a:ln w="25400">
              <a:noFill/>
            </a:ln>
          </c:spPr>
          <c:invertIfNegative val="0"/>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'Electricity report'!$K$389:$L$389</c:f>
              <c:strCache>
                <c:ptCount val="2"/>
                <c:pt idx="0">
                  <c:v>Expenditure R'000</c:v>
                </c:pt>
                <c:pt idx="1">
                  <c:v>Revenue R'000</c:v>
                </c:pt>
              </c:strCache>
            </c:strRef>
          </c:cat>
          <c:val>
            <c:numRef>
              <c:f>'Electricity report'!$K$393:$L$393</c:f>
              <c:numCache>
                <c:formatCode>General</c:formatCode>
                <c:ptCount val="2"/>
                <c:pt idx="0" formatCode="_-* #\ ##0_-;\-* #\ ##0_-;_-* &quot;-&quot;??_-;_-@_-">
                  <c:v>0</c:v>
                </c:pt>
              </c:numCache>
            </c:numRef>
          </c:val>
          <c:extLst>
            <c:ext xmlns:c16="http://schemas.microsoft.com/office/drawing/2014/chart" uri="{C3380CC4-5D6E-409C-BE32-E72D297353CC}">
              <c16:uniqueId val="{00000004-1E9F-4A05-A06D-B807D61EEAF9}"/>
            </c:ext>
          </c:extLst>
        </c:ser>
        <c:ser>
          <c:idx val="5"/>
          <c:order val="4"/>
          <c:tx>
            <c:strRef>
              <c:f>'Electricity report'!$J$394</c:f>
              <c:strCache>
                <c:ptCount val="1"/>
                <c:pt idx="0">
                  <c:v>Tariff revenue</c:v>
                </c:pt>
              </c:strCache>
            </c:strRef>
          </c:tx>
          <c:spPr>
            <a:solidFill>
              <a:srgbClr val="A5A5A5"/>
            </a:solidFill>
            <a:ln w="25400">
              <a:noFill/>
            </a:ln>
          </c:spPr>
          <c:invertIfNegative val="0"/>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'Electricity report'!$K$389:$L$389</c:f>
              <c:strCache>
                <c:ptCount val="2"/>
                <c:pt idx="0">
                  <c:v>Expenditure R'000</c:v>
                </c:pt>
                <c:pt idx="1">
                  <c:v>Revenue R'000</c:v>
                </c:pt>
              </c:strCache>
            </c:strRef>
          </c:cat>
          <c:val>
            <c:numRef>
              <c:f>'Electricity report'!$K$394:$L$394</c:f>
              <c:numCache>
                <c:formatCode>_-* #\ ##0_-;\-* #\ ##0_-;_-* "-"??_-;_-@_-</c:formatCode>
                <c:ptCount val="2"/>
                <c:pt idx="1">
                  <c:v>48773.984045685807</c:v>
                </c:pt>
              </c:numCache>
            </c:numRef>
          </c:val>
          <c:extLst>
            <c:ext xmlns:c16="http://schemas.microsoft.com/office/drawing/2014/chart" uri="{C3380CC4-5D6E-409C-BE32-E72D297353CC}">
              <c16:uniqueId val="{00000005-1E9F-4A05-A06D-B807D61EEAF9}"/>
            </c:ext>
          </c:extLst>
        </c:ser>
        <c:ser>
          <c:idx val="3"/>
          <c:order val="5"/>
          <c:tx>
            <c:strRef>
              <c:f>'Electricity report'!$J$395</c:f>
              <c:strCache>
                <c:ptCount val="1"/>
                <c:pt idx="0">
                  <c:v>External grants &amp; subsidies</c:v>
                </c:pt>
              </c:strCache>
            </c:strRef>
          </c:tx>
          <c:spPr>
            <a:solidFill>
              <a:schemeClr val="accent3">
                <a:lumMod val="40000"/>
                <a:lumOff val="60000"/>
              </a:schemeClr>
            </a:solidFill>
            <a:ln>
              <a:noFill/>
            </a:ln>
            <a:effectLst/>
          </c:spPr>
          <c:invertIfNegative val="0"/>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'Electricity report'!$K$389:$L$389</c:f>
              <c:strCache>
                <c:ptCount val="2"/>
                <c:pt idx="0">
                  <c:v>Expenditure R'000</c:v>
                </c:pt>
                <c:pt idx="1">
                  <c:v>Revenue R'000</c:v>
                </c:pt>
              </c:strCache>
            </c:strRef>
          </c:cat>
          <c:val>
            <c:numRef>
              <c:f>'Electricity report'!$K$395:$L$395</c:f>
              <c:numCache>
                <c:formatCode>_-* #\ ##0_-;\-* #\ ##0_-;_-* "-"??_-;_-@_-</c:formatCode>
                <c:ptCount val="2"/>
                <c:pt idx="1">
                  <c:v>-5403.9226593557923</c:v>
                </c:pt>
              </c:numCache>
            </c:numRef>
          </c:val>
          <c:extLst>
            <c:ext xmlns:c16="http://schemas.microsoft.com/office/drawing/2014/chart" uri="{C3380CC4-5D6E-409C-BE32-E72D297353CC}">
              <c16:uniqueId val="{00000006-1E9F-4A05-A06D-B807D61EEAF9}"/>
            </c:ext>
          </c:extLst>
        </c:ser>
        <c:ser>
          <c:idx val="6"/>
          <c:order val="6"/>
          <c:tx>
            <c:strRef>
              <c:f>'Electricity report'!$J$396</c:f>
              <c:strCache>
                <c:ptCount val="1"/>
                <c:pt idx="0">
                  <c:v>Other non-tariff revenue</c:v>
                </c:pt>
              </c:strCache>
            </c:strRef>
          </c:tx>
          <c:spPr>
            <a:solidFill>
              <a:srgbClr val="ED7D31"/>
            </a:solidFill>
            <a:ln w="25400">
              <a:noFill/>
            </a:ln>
          </c:spPr>
          <c:invertIfNegative val="0"/>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'Electricity report'!$K$389:$L$389</c:f>
              <c:strCache>
                <c:ptCount val="2"/>
                <c:pt idx="0">
                  <c:v>Expenditure R'000</c:v>
                </c:pt>
                <c:pt idx="1">
                  <c:v>Revenue R'000</c:v>
                </c:pt>
              </c:strCache>
            </c:strRef>
          </c:cat>
          <c:val>
            <c:numRef>
              <c:f>'Electricity report'!$K$396:$L$396</c:f>
              <c:numCache>
                <c:formatCode>_-* #\ ##0_-;\-* #\ ##0_-;_-* "-"??_-;_-@_-</c:formatCode>
                <c:ptCount val="2"/>
                <c:pt idx="1">
                  <c:v>3925.0897879699523</c:v>
                </c:pt>
              </c:numCache>
            </c:numRef>
          </c:val>
          <c:extLst>
            <c:ext xmlns:c16="http://schemas.microsoft.com/office/drawing/2014/chart" uri="{C3380CC4-5D6E-409C-BE32-E72D297353CC}">
              <c16:uniqueId val="{00000007-1E9F-4A05-A06D-B807D61EEAF9}"/>
            </c:ext>
          </c:extLst>
        </c:ser>
        <c:ser>
          <c:idx val="7"/>
          <c:order val="7"/>
          <c:tx>
            <c:strRef>
              <c:f>'Electricity report'!$J$397</c:f>
              <c:strCache>
                <c:ptCount val="1"/>
                <c:pt idx="0">
                  <c:v>Deficit</c:v>
                </c:pt>
              </c:strCache>
            </c:strRef>
          </c:tx>
          <c:spPr>
            <a:solidFill>
              <a:srgbClr val="4472C4"/>
            </a:solidFill>
            <a:ln w="25400">
              <a:noFill/>
            </a:ln>
          </c:spPr>
          <c:invertIfNegative val="0"/>
          <c:dPt>
            <c:idx val="0"/>
            <c:invertIfNegative val="0"/>
            <c:bubble3D val="0"/>
            <c:spPr>
              <a:solidFill>
                <a:srgbClr val="5B9BD5"/>
              </a:solidFill>
              <a:ln w="25400">
                <a:noFill/>
              </a:ln>
            </c:spPr>
            <c:extLst>
              <c:ext xmlns:c16="http://schemas.microsoft.com/office/drawing/2014/chart" uri="{C3380CC4-5D6E-409C-BE32-E72D297353CC}">
                <c16:uniqueId val="{00000008-1E9F-4A05-A06D-B807D61EEAF9}"/>
              </c:ext>
            </c:extLst>
          </c:dPt>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'Electricity report'!$K$389:$L$389</c:f>
              <c:strCache>
                <c:ptCount val="2"/>
                <c:pt idx="0">
                  <c:v>Expenditure R'000</c:v>
                </c:pt>
                <c:pt idx="1">
                  <c:v>Revenue R'000</c:v>
                </c:pt>
              </c:strCache>
            </c:strRef>
          </c:cat>
          <c:val>
            <c:numRef>
              <c:f>'Electricity report'!$K$397:$L$397</c:f>
              <c:numCache>
                <c:formatCode>_-* #\ ##0_-;\-* #\ ##0_-;_-* "-"??_-;_-@_-</c:formatCode>
                <c:ptCount val="2"/>
                <c:pt idx="1">
                  <c:v>-5403.9226593557923</c:v>
                </c:pt>
              </c:numCache>
            </c:numRef>
          </c:val>
          <c:extLst>
            <c:ext xmlns:c16="http://schemas.microsoft.com/office/drawing/2014/chart" uri="{C3380CC4-5D6E-409C-BE32-E72D297353CC}">
              <c16:uniqueId val="{00000009-1E9F-4A05-A06D-B807D61EEAF9}"/>
            </c:ext>
          </c:extLst>
        </c:ser>
        <c:dLbls>
          <c:showLegendKey val="0"/>
          <c:showVal val="0"/>
          <c:showCatName val="0"/>
          <c:showSerName val="0"/>
          <c:showPercent val="0"/>
          <c:showBubbleSize val="0"/>
        </c:dLbls>
        <c:gapWidth val="25"/>
        <c:overlap val="100"/>
        <c:axId val="1361843087"/>
        <c:axId val="1"/>
      </c:barChart>
      <c:catAx>
        <c:axId val="1361843087"/>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0" vert="horz"/>
          <a:lstStyle/>
          <a:p>
            <a:pPr>
              <a:defRPr sz="1100" b="0" i="0" u="none" strike="noStrike" baseline="0">
                <a:solidFill>
                  <a:srgbClr val="000000"/>
                </a:solidFill>
                <a:latin typeface="Calibri"/>
                <a:ea typeface="Calibri"/>
                <a:cs typeface="Calibri"/>
              </a:defRPr>
            </a:pPr>
            <a:endParaRPr lang="en-US"/>
          </a:p>
        </c:txPr>
        <c:crossAx val="1"/>
        <c:crosses val="autoZero"/>
        <c:auto val="1"/>
        <c:lblAlgn val="ctr"/>
        <c:lblOffset val="100"/>
        <c:noMultiLvlLbl val="0"/>
      </c:catAx>
      <c:valAx>
        <c:axId val="1"/>
        <c:scaling>
          <c:orientation val="minMax"/>
        </c:scaling>
        <c:delete val="1"/>
        <c:axPos val="l"/>
        <c:majorGridlines>
          <c:spPr>
            <a:ln w="9525" cap="flat" cmpd="sng" algn="ctr">
              <a:solidFill>
                <a:schemeClr val="tx1">
                  <a:lumMod val="15000"/>
                  <a:lumOff val="85000"/>
                </a:schemeClr>
              </a:solidFill>
              <a:round/>
            </a:ln>
            <a:effectLst/>
          </c:spPr>
        </c:majorGridlines>
        <c:numFmt formatCode="_-* #\ ##0_-;\-* #\ ##0_-;_-* &quot;-&quot;??_-;_-@_-" sourceLinked="1"/>
        <c:majorTickMark val="out"/>
        <c:minorTickMark val="none"/>
        <c:tickLblPos val="nextTo"/>
        <c:crossAx val="1361843087"/>
        <c:crosses val="autoZero"/>
        <c:crossBetween val="between"/>
      </c:valAx>
    </c:plotArea>
    <c:legend>
      <c:legendPos val="r"/>
      <c:layout>
        <c:manualLayout>
          <c:xMode val="edge"/>
          <c:yMode val="edge"/>
          <c:x val="0.63225725892244689"/>
          <c:y val="0.19336013511906178"/>
          <c:w val="0.34899346501875061"/>
          <c:h val="0.70697306341239063"/>
        </c:manualLayout>
      </c:layout>
      <c:overlay val="0"/>
      <c:spPr>
        <a:noFill/>
        <a:ln w="25400">
          <a:noFill/>
        </a:ln>
      </c:spPr>
      <c:txPr>
        <a:bodyPr/>
        <a:lstStyle/>
        <a:p>
          <a:pPr>
            <a:defRPr sz="850" b="0" i="0" u="none" strike="noStrike" baseline="0">
              <a:solidFill>
                <a:srgbClr val="000000"/>
              </a:solidFill>
              <a:latin typeface="Calibri"/>
              <a:ea typeface="Calibri"/>
              <a:cs typeface="Calibri"/>
            </a:defRPr>
          </a:pPr>
          <a:endParaRPr lang="en-US"/>
        </a:p>
      </c:txPr>
    </c:legend>
    <c:plotVisOnly val="1"/>
    <c:dispBlanksAs val="gap"/>
    <c:showDLblsOverMax val="0"/>
  </c:chart>
  <c:spPr>
    <a:solidFill>
      <a:schemeClr val="bg1"/>
    </a:solidFill>
    <a:ln w="9525" cap="flat" cmpd="sng" algn="ctr">
      <a:noFill/>
      <a:round/>
    </a:ln>
    <a:effectLst/>
  </c:spPr>
  <c:txPr>
    <a:bodyPr/>
    <a:lstStyle/>
    <a:p>
      <a:pPr>
        <a:defRPr sz="11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charts/chart15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ser>
          <c:idx val="0"/>
          <c:order val="0"/>
          <c:tx>
            <c:strRef>
              <c:f>'Electricity report'!$L$416</c:f>
              <c:strCache>
                <c:ptCount val="1"/>
                <c:pt idx="0">
                  <c:v>Annual Tariff</c:v>
                </c:pt>
              </c:strCache>
            </c:strRef>
          </c:tx>
          <c:spPr>
            <a:solidFill>
              <a:srgbClr val="4472C4"/>
            </a:solidFill>
            <a:ln w="25400">
              <a:noFill/>
            </a:ln>
          </c:spPr>
          <c:invertIfNegative val="0"/>
          <c:dLbls>
            <c:spPr>
              <a:noFill/>
              <a:ln w="25400">
                <a:noFill/>
              </a:ln>
            </c:spPr>
            <c:txPr>
              <a:bodyPr wrap="square" lIns="38100" tIns="19050" rIns="38100" bIns="19050" anchor="ctr">
                <a:spAutoFit/>
              </a:bodyPr>
              <a:lstStyle/>
              <a:p>
                <a:pPr>
                  <a:defRPr sz="900" b="0" i="0" u="none" strike="noStrike" baseline="0">
                    <a:solidFill>
                      <a:srgbClr val="333333"/>
                    </a:solidFill>
                    <a:latin typeface="Calibri"/>
                    <a:ea typeface="Calibri"/>
                    <a:cs typeface="Calibri"/>
                  </a:defRPr>
                </a:pPr>
                <a:endParaRPr lang="en-US"/>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numRef>
              <c:f>'Electricity report'!$K$417:$K$421</c:f>
              <c:numCache>
                <c:formatCode>General</c:formatCode>
                <c:ptCount val="5"/>
                <c:pt idx="0">
                  <c:v>0</c:v>
                </c:pt>
                <c:pt idx="1">
                  <c:v>0</c:v>
                </c:pt>
                <c:pt idx="2">
                  <c:v>0</c:v>
                </c:pt>
                <c:pt idx="3">
                  <c:v>0</c:v>
                </c:pt>
                <c:pt idx="4">
                  <c:v>0</c:v>
                </c:pt>
              </c:numCache>
            </c:numRef>
          </c:cat>
          <c:val>
            <c:numRef>
              <c:f>'Electricity report'!$L$417:$L$421</c:f>
              <c:numCache>
                <c:formatCode>_(* #,##0.00_);_(* \(#,##0.00\);_(* "-"??_);_(@_)</c:formatCode>
                <c:ptCount val="5"/>
                <c:pt idx="0">
                  <c:v>4.6411254823075101</c:v>
                </c:pt>
                <c:pt idx="1">
                  <c:v>0</c:v>
                </c:pt>
                <c:pt idx="2">
                  <c:v>0</c:v>
                </c:pt>
                <c:pt idx="3">
                  <c:v>0</c:v>
                </c:pt>
                <c:pt idx="4">
                  <c:v>0</c:v>
                </c:pt>
              </c:numCache>
            </c:numRef>
          </c:val>
          <c:extLst>
            <c:ext xmlns:c16="http://schemas.microsoft.com/office/drawing/2014/chart" uri="{C3380CC4-5D6E-409C-BE32-E72D297353CC}">
              <c16:uniqueId val="{00000000-C6E2-4AF2-B0EF-8EAF65BA6FA6}"/>
            </c:ext>
          </c:extLst>
        </c:ser>
        <c:ser>
          <c:idx val="1"/>
          <c:order val="1"/>
          <c:tx>
            <c:strRef>
              <c:f>'Electricity report'!$M$416</c:f>
              <c:strCache>
                <c:ptCount val="1"/>
              </c:strCache>
            </c:strRef>
          </c:tx>
          <c:spPr>
            <a:solidFill>
              <a:srgbClr val="ED7D31"/>
            </a:solidFill>
            <a:ln w="25400">
              <a:noFill/>
            </a:ln>
          </c:spPr>
          <c:invertIfNegative val="0"/>
          <c:dLbls>
            <c:spPr>
              <a:noFill/>
              <a:ln w="25400">
                <a:noFill/>
              </a:ln>
            </c:spPr>
            <c:txPr>
              <a:bodyPr wrap="square" lIns="38100" tIns="19050" rIns="38100" bIns="19050" anchor="ctr">
                <a:spAutoFit/>
              </a:bodyPr>
              <a:lstStyle/>
              <a:p>
                <a:pPr>
                  <a:defRPr sz="900" b="0" i="0" u="none" strike="noStrike" baseline="0">
                    <a:solidFill>
                      <a:srgbClr val="333333"/>
                    </a:solidFill>
                    <a:latin typeface="Calibri"/>
                    <a:ea typeface="Calibri"/>
                    <a:cs typeface="Calibri"/>
                  </a:defRPr>
                </a:pPr>
                <a:endParaRPr lang="en-US"/>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numRef>
              <c:f>'Electricity report'!$K$417:$K$421</c:f>
              <c:numCache>
                <c:formatCode>General</c:formatCode>
                <c:ptCount val="5"/>
                <c:pt idx="0">
                  <c:v>0</c:v>
                </c:pt>
                <c:pt idx="1">
                  <c:v>0</c:v>
                </c:pt>
                <c:pt idx="2">
                  <c:v>0</c:v>
                </c:pt>
                <c:pt idx="3">
                  <c:v>0</c:v>
                </c:pt>
                <c:pt idx="4">
                  <c:v>0</c:v>
                </c:pt>
              </c:numCache>
            </c:numRef>
          </c:cat>
          <c:val>
            <c:numRef>
              <c:f>'Electricity report'!$M$417:$M$421</c:f>
              <c:numCache>
                <c:formatCode>_(* #,##0.00_);_(* \(#,##0.00\);_(* "-"??_);_(@_)</c:formatCode>
                <c:ptCount val="5"/>
                <c:pt idx="0">
                  <c:v>0</c:v>
                </c:pt>
                <c:pt idx="1">
                  <c:v>0</c:v>
                </c:pt>
                <c:pt idx="2">
                  <c:v>0</c:v>
                </c:pt>
                <c:pt idx="3">
                  <c:v>0</c:v>
                </c:pt>
                <c:pt idx="4">
                  <c:v>0</c:v>
                </c:pt>
              </c:numCache>
            </c:numRef>
          </c:val>
          <c:extLst>
            <c:ext xmlns:c16="http://schemas.microsoft.com/office/drawing/2014/chart" uri="{C3380CC4-5D6E-409C-BE32-E72D297353CC}">
              <c16:uniqueId val="{00000001-C6E2-4AF2-B0EF-8EAF65BA6FA6}"/>
            </c:ext>
          </c:extLst>
        </c:ser>
        <c:dLbls>
          <c:showLegendKey val="0"/>
          <c:showVal val="0"/>
          <c:showCatName val="0"/>
          <c:showSerName val="0"/>
          <c:showPercent val="0"/>
          <c:showBubbleSize val="0"/>
        </c:dLbls>
        <c:gapWidth val="50"/>
        <c:axId val="1361823887"/>
        <c:axId val="1"/>
      </c:barChart>
      <c:lineChart>
        <c:grouping val="standard"/>
        <c:varyColors val="0"/>
        <c:ser>
          <c:idx val="2"/>
          <c:order val="2"/>
          <c:tx>
            <c:strRef>
              <c:f>'Electricity report'!$N$416</c:f>
              <c:strCache>
                <c:ptCount val="1"/>
                <c:pt idx="0">
                  <c:v>Total cost per kl </c:v>
                </c:pt>
              </c:strCache>
            </c:strRef>
          </c:tx>
          <c:spPr>
            <a:ln w="28575" cap="rnd">
              <a:solidFill>
                <a:schemeClr val="accent3"/>
              </a:solidFill>
              <a:round/>
            </a:ln>
            <a:effectLst/>
          </c:spPr>
          <c:marker>
            <c:symbol val="none"/>
          </c:marker>
          <c:cat>
            <c:numRef>
              <c:f>'Electricity report'!$K$417:$K$421</c:f>
              <c:numCache>
                <c:formatCode>General</c:formatCode>
                <c:ptCount val="5"/>
                <c:pt idx="0">
                  <c:v>0</c:v>
                </c:pt>
                <c:pt idx="1">
                  <c:v>0</c:v>
                </c:pt>
                <c:pt idx="2">
                  <c:v>0</c:v>
                </c:pt>
                <c:pt idx="3">
                  <c:v>0</c:v>
                </c:pt>
                <c:pt idx="4">
                  <c:v>0</c:v>
                </c:pt>
              </c:numCache>
            </c:numRef>
          </c:cat>
          <c:val>
            <c:numRef>
              <c:f>'Electricity report'!$N$417:$N$421</c:f>
              <c:numCache>
                <c:formatCode>_(* #,##0.00_);_(* \(#,##0.00\);_(* "-"??_);_(@_)</c:formatCode>
                <c:ptCount val="5"/>
                <c:pt idx="0">
                  <c:v>3.9861916542179956</c:v>
                </c:pt>
                <c:pt idx="1">
                  <c:v>3.9861916542179956</c:v>
                </c:pt>
                <c:pt idx="2">
                  <c:v>3.9861916542179956</c:v>
                </c:pt>
                <c:pt idx="3">
                  <c:v>3.9861916542179956</c:v>
                </c:pt>
                <c:pt idx="4">
                  <c:v>3.9861916542179956</c:v>
                </c:pt>
              </c:numCache>
            </c:numRef>
          </c:val>
          <c:smooth val="0"/>
          <c:extLst>
            <c:ext xmlns:c16="http://schemas.microsoft.com/office/drawing/2014/chart" uri="{C3380CC4-5D6E-409C-BE32-E72D297353CC}">
              <c16:uniqueId val="{00000002-C6E2-4AF2-B0EF-8EAF65BA6FA6}"/>
            </c:ext>
          </c:extLst>
        </c:ser>
        <c:ser>
          <c:idx val="3"/>
          <c:order val="3"/>
          <c:tx>
            <c:strRef>
              <c:f>'Electricity report'!$O$416</c:f>
              <c:strCache>
                <c:ptCount val="1"/>
                <c:pt idx="0">
                  <c:v>Variable cost per kWh</c:v>
                </c:pt>
              </c:strCache>
            </c:strRef>
          </c:tx>
          <c:spPr>
            <a:ln w="28575" cap="rnd">
              <a:solidFill>
                <a:schemeClr val="accent4"/>
              </a:solidFill>
              <a:round/>
            </a:ln>
            <a:effectLst/>
          </c:spPr>
          <c:marker>
            <c:symbol val="none"/>
          </c:marker>
          <c:cat>
            <c:numRef>
              <c:f>'Electricity report'!$K$417:$K$421</c:f>
              <c:numCache>
                <c:formatCode>General</c:formatCode>
                <c:ptCount val="5"/>
                <c:pt idx="0">
                  <c:v>0</c:v>
                </c:pt>
                <c:pt idx="1">
                  <c:v>0</c:v>
                </c:pt>
                <c:pt idx="2">
                  <c:v>0</c:v>
                </c:pt>
                <c:pt idx="3">
                  <c:v>0</c:v>
                </c:pt>
                <c:pt idx="4">
                  <c:v>0</c:v>
                </c:pt>
              </c:numCache>
            </c:numRef>
          </c:cat>
          <c:val>
            <c:numRef>
              <c:f>'Electricity report'!$O$417:$O$421</c:f>
              <c:numCache>
                <c:formatCode>_(* #,##0.00_);_(* \(#,##0.00\);_(* "-"??_);_(@_)</c:formatCode>
                <c:ptCount val="5"/>
                <c:pt idx="0">
                  <c:v>2.9819428113304203</c:v>
                </c:pt>
                <c:pt idx="1">
                  <c:v>2.9819428113304203</c:v>
                </c:pt>
                <c:pt idx="2">
                  <c:v>2.9819428113304203</c:v>
                </c:pt>
                <c:pt idx="3">
                  <c:v>2.9819428113304203</c:v>
                </c:pt>
                <c:pt idx="4">
                  <c:v>2.9819428113304203</c:v>
                </c:pt>
              </c:numCache>
            </c:numRef>
          </c:val>
          <c:smooth val="0"/>
          <c:extLst>
            <c:ext xmlns:c16="http://schemas.microsoft.com/office/drawing/2014/chart" uri="{C3380CC4-5D6E-409C-BE32-E72D297353CC}">
              <c16:uniqueId val="{00000003-C6E2-4AF2-B0EF-8EAF65BA6FA6}"/>
            </c:ext>
          </c:extLst>
        </c:ser>
        <c:dLbls>
          <c:showLegendKey val="0"/>
          <c:showVal val="0"/>
          <c:showCatName val="0"/>
          <c:showSerName val="0"/>
          <c:showPercent val="0"/>
          <c:showBubbleSize val="0"/>
        </c:dLbls>
        <c:marker val="1"/>
        <c:smooth val="0"/>
        <c:axId val="1361823887"/>
        <c:axId val="1"/>
      </c:lineChart>
      <c:catAx>
        <c:axId val="1361823887"/>
        <c:scaling>
          <c:orientation val="minMax"/>
        </c:scaling>
        <c:delete val="0"/>
        <c:axPos val="b"/>
        <c:title>
          <c:tx>
            <c:rich>
              <a:bodyPr/>
              <a:lstStyle/>
              <a:p>
                <a:pPr>
                  <a:defRPr sz="1000" b="0" i="0" u="none" strike="noStrike" baseline="0">
                    <a:solidFill>
                      <a:srgbClr val="333333"/>
                    </a:solidFill>
                    <a:latin typeface="Calibri"/>
                    <a:ea typeface="Calibri"/>
                    <a:cs typeface="Calibri"/>
                  </a:defRPr>
                </a:pPr>
                <a:r>
                  <a:rPr lang="en-ZA"/>
                  <a:t>Block size</a:t>
                </a:r>
              </a:p>
            </c:rich>
          </c:tx>
          <c:overlay val="0"/>
          <c:spPr>
            <a:noFill/>
            <a:ln w="25400">
              <a:noFill/>
            </a:ln>
          </c:spPr>
        </c:title>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0" vert="horz"/>
          <a:lstStyle/>
          <a:p>
            <a:pPr>
              <a:defRPr sz="900" b="0" i="0" u="none" strike="noStrike" baseline="0">
                <a:solidFill>
                  <a:srgbClr val="333333"/>
                </a:solidFill>
                <a:latin typeface="Calibri"/>
                <a:ea typeface="Calibri"/>
                <a:cs typeface="Calibri"/>
              </a:defRPr>
            </a:pPr>
            <a:endParaRPr lang="en-US"/>
          </a:p>
        </c:txPr>
        <c:crossAx val="1"/>
        <c:crosses val="autoZero"/>
        <c:auto val="1"/>
        <c:lblAlgn val="ctr"/>
        <c:lblOffset val="100"/>
        <c:noMultiLvlLbl val="0"/>
      </c:catAx>
      <c:valAx>
        <c:axId val="1"/>
        <c:scaling>
          <c:orientation val="minMax"/>
        </c:scaling>
        <c:delete val="0"/>
        <c:axPos val="l"/>
        <c:majorGridlines>
          <c:spPr>
            <a:ln w="9525" cap="flat" cmpd="sng" algn="ctr">
              <a:solidFill>
                <a:schemeClr val="tx1">
                  <a:lumMod val="15000"/>
                  <a:lumOff val="85000"/>
                </a:schemeClr>
              </a:solidFill>
              <a:round/>
            </a:ln>
            <a:effectLst/>
          </c:spPr>
        </c:majorGridlines>
        <c:title>
          <c:tx>
            <c:rich>
              <a:bodyPr/>
              <a:lstStyle/>
              <a:p>
                <a:pPr>
                  <a:defRPr sz="1000" b="0" i="0" u="none" strike="noStrike" baseline="0">
                    <a:solidFill>
                      <a:srgbClr val="333333"/>
                    </a:solidFill>
                    <a:latin typeface="Calibri"/>
                    <a:ea typeface="Calibri"/>
                    <a:cs typeface="Calibri"/>
                  </a:defRPr>
                </a:pPr>
                <a:r>
                  <a:rPr lang="en-ZA"/>
                  <a:t>R/kWh</a:t>
                </a:r>
              </a:p>
            </c:rich>
          </c:tx>
          <c:overlay val="0"/>
          <c:spPr>
            <a:noFill/>
            <a:ln w="25400">
              <a:noFill/>
            </a:ln>
          </c:spPr>
        </c:title>
        <c:numFmt formatCode="_(* #,##0.00_);_(* \(#,##0.00\);_(* &quot;-&quot;??_);_(@_)" sourceLinked="1"/>
        <c:majorTickMark val="none"/>
        <c:minorTickMark val="none"/>
        <c:tickLblPos val="nextTo"/>
        <c:spPr>
          <a:ln w="6350">
            <a:noFill/>
          </a:ln>
        </c:spPr>
        <c:txPr>
          <a:bodyPr rot="0" vert="horz"/>
          <a:lstStyle/>
          <a:p>
            <a:pPr>
              <a:defRPr sz="900" b="0" i="0" u="none" strike="noStrike" baseline="0">
                <a:solidFill>
                  <a:srgbClr val="333333"/>
                </a:solidFill>
                <a:latin typeface="Calibri"/>
                <a:ea typeface="Calibri"/>
                <a:cs typeface="Calibri"/>
              </a:defRPr>
            </a:pPr>
            <a:endParaRPr lang="en-US"/>
          </a:p>
        </c:txPr>
        <c:crossAx val="1361823887"/>
        <c:crosses val="autoZero"/>
        <c:crossBetween val="between"/>
      </c:valAx>
      <c:spPr>
        <a:noFill/>
        <a:ln w="25400">
          <a:noFill/>
        </a:ln>
      </c:spPr>
    </c:plotArea>
    <c:legend>
      <c:legendPos val="r"/>
      <c:layout>
        <c:manualLayout>
          <c:xMode val="edge"/>
          <c:yMode val="edge"/>
          <c:x val="4.7023424579764522E-2"/>
          <c:y val="0.92826131183362848"/>
          <c:w val="0.90128222216737008"/>
          <c:h val="5.2633337100804978E-2"/>
        </c:manualLayout>
      </c:layout>
      <c:overlay val="0"/>
      <c:spPr>
        <a:noFill/>
        <a:ln w="25400">
          <a:noFill/>
        </a:ln>
      </c:spPr>
      <c:txPr>
        <a:bodyPr/>
        <a:lstStyle/>
        <a:p>
          <a:pPr>
            <a:defRPr sz="690" b="0" i="0" u="none" strike="noStrike" baseline="0">
              <a:solidFill>
                <a:srgbClr val="333333"/>
              </a:solidFill>
              <a:latin typeface="Calibri"/>
              <a:ea typeface="Calibri"/>
              <a:cs typeface="Calibri"/>
            </a:defRPr>
          </a:pPr>
          <a:endParaRPr lang="en-US"/>
        </a:p>
      </c:txPr>
    </c:legend>
    <c:plotVisOnly val="1"/>
    <c:dispBlanksAs val="gap"/>
    <c:showDLblsOverMax val="0"/>
  </c:chart>
  <c:spPr>
    <a:solidFill>
      <a:schemeClr val="bg1"/>
    </a:solidFill>
    <a:ln w="9525" cap="flat" cmpd="sng" algn="ctr">
      <a:noFill/>
      <a:round/>
    </a:ln>
    <a:effectLst/>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charts/chart15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2.3871527777777776E-2"/>
          <c:y val="4.7786414907172239E-2"/>
          <c:w val="0.57559123468941387"/>
          <c:h val="0.83529592857692603"/>
        </c:manualLayout>
      </c:layout>
      <c:barChart>
        <c:barDir val="col"/>
        <c:grouping val="stacked"/>
        <c:varyColors val="0"/>
        <c:ser>
          <c:idx val="0"/>
          <c:order val="0"/>
          <c:tx>
            <c:strRef>
              <c:f>'Electricity report'!$J$460</c:f>
              <c:strCache>
                <c:ptCount val="1"/>
                <c:pt idx="0">
                  <c:v>Customer costs </c:v>
                </c:pt>
              </c:strCache>
            </c:strRef>
          </c:tx>
          <c:spPr>
            <a:solidFill>
              <a:srgbClr val="4472C4"/>
            </a:solidFill>
            <a:ln w="25400">
              <a:noFill/>
            </a:ln>
          </c:spPr>
          <c:invertIfNegative val="0"/>
          <c:dPt>
            <c:idx val="0"/>
            <c:invertIfNegative val="0"/>
            <c:bubble3D val="0"/>
            <c:spPr>
              <a:solidFill>
                <a:srgbClr val="5B9BD5"/>
              </a:solidFill>
              <a:ln w="25400">
                <a:noFill/>
              </a:ln>
            </c:spPr>
            <c:extLst>
              <c:ext xmlns:c16="http://schemas.microsoft.com/office/drawing/2014/chart" uri="{C3380CC4-5D6E-409C-BE32-E72D297353CC}">
                <c16:uniqueId val="{00000000-C02B-44FA-A06F-CF2BE1915B43}"/>
              </c:ext>
            </c:extLst>
          </c:dPt>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'Electricity report'!$K$459:$L$459</c:f>
              <c:strCache>
                <c:ptCount val="2"/>
                <c:pt idx="0">
                  <c:v>Expenditure R'000</c:v>
                </c:pt>
                <c:pt idx="1">
                  <c:v>Revenue R'000</c:v>
                </c:pt>
              </c:strCache>
            </c:strRef>
          </c:cat>
          <c:val>
            <c:numRef>
              <c:f>'Electricity report'!$K$460:$L$460</c:f>
              <c:numCache>
                <c:formatCode>General</c:formatCode>
                <c:ptCount val="2"/>
                <c:pt idx="0" formatCode="_-* #\ ##0_-;\-* #\ ##0_-;_-* &quot;-&quot;??_-;_-@_-">
                  <c:v>22204.31327702932</c:v>
                </c:pt>
              </c:numCache>
            </c:numRef>
          </c:val>
          <c:extLst>
            <c:ext xmlns:c16="http://schemas.microsoft.com/office/drawing/2014/chart" uri="{C3380CC4-5D6E-409C-BE32-E72D297353CC}">
              <c16:uniqueId val="{00000001-C02B-44FA-A06F-CF2BE1915B43}"/>
            </c:ext>
          </c:extLst>
        </c:ser>
        <c:ser>
          <c:idx val="1"/>
          <c:order val="1"/>
          <c:tx>
            <c:strRef>
              <c:f>'Electricity report'!$J$461</c:f>
              <c:strCache>
                <c:ptCount val="1"/>
                <c:pt idx="0">
                  <c:v>Energy costs</c:v>
                </c:pt>
              </c:strCache>
            </c:strRef>
          </c:tx>
          <c:spPr>
            <a:solidFill>
              <a:schemeClr val="accent5">
                <a:lumMod val="60000"/>
                <a:lumOff val="40000"/>
              </a:schemeClr>
            </a:solidFill>
            <a:ln>
              <a:noFill/>
            </a:ln>
            <a:effectLst/>
          </c:spPr>
          <c:invertIfNegative val="0"/>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'Electricity report'!$K$459:$L$459</c:f>
              <c:strCache>
                <c:ptCount val="2"/>
                <c:pt idx="0">
                  <c:v>Expenditure R'000</c:v>
                </c:pt>
                <c:pt idx="1">
                  <c:v>Revenue R'000</c:v>
                </c:pt>
              </c:strCache>
            </c:strRef>
          </c:cat>
          <c:val>
            <c:numRef>
              <c:f>'Electricity report'!$K$461:$L$461</c:f>
              <c:numCache>
                <c:formatCode>General</c:formatCode>
                <c:ptCount val="2"/>
                <c:pt idx="0" formatCode="_-* #\ ##0_-;\-* #\ ##0_-;_-* &quot;-&quot;??_-;_-@_-">
                  <c:v>26120.809937807127</c:v>
                </c:pt>
              </c:numCache>
            </c:numRef>
          </c:val>
          <c:extLst>
            <c:ext xmlns:c16="http://schemas.microsoft.com/office/drawing/2014/chart" uri="{C3380CC4-5D6E-409C-BE32-E72D297353CC}">
              <c16:uniqueId val="{00000002-C02B-44FA-A06F-CF2BE1915B43}"/>
            </c:ext>
          </c:extLst>
        </c:ser>
        <c:ser>
          <c:idx val="2"/>
          <c:order val="2"/>
          <c:tx>
            <c:strRef>
              <c:f>'Electricity report'!$J$462</c:f>
              <c:strCache>
                <c:ptCount val="1"/>
                <c:pt idx="0">
                  <c:v>Demand cost</c:v>
                </c:pt>
              </c:strCache>
            </c:strRef>
          </c:tx>
          <c:spPr>
            <a:solidFill>
              <a:srgbClr val="A5A5A5"/>
            </a:solidFill>
            <a:ln w="25400">
              <a:noFill/>
            </a:ln>
          </c:spPr>
          <c:invertIfNegative val="0"/>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'Electricity report'!$K$459:$L$459</c:f>
              <c:strCache>
                <c:ptCount val="2"/>
                <c:pt idx="0">
                  <c:v>Expenditure R'000</c:v>
                </c:pt>
                <c:pt idx="1">
                  <c:v>Revenue R'000</c:v>
                </c:pt>
              </c:strCache>
            </c:strRef>
          </c:cat>
          <c:val>
            <c:numRef>
              <c:f>'Electricity report'!$K$462:$L$462</c:f>
              <c:numCache>
                <c:formatCode>General</c:formatCode>
                <c:ptCount val="2"/>
                <c:pt idx="0" formatCode="_-* #\ ##0_-;\-* #\ ##0_-;_-* &quot;-&quot;??_-;_-@_-">
                  <c:v>0</c:v>
                </c:pt>
              </c:numCache>
            </c:numRef>
          </c:val>
          <c:extLst>
            <c:ext xmlns:c16="http://schemas.microsoft.com/office/drawing/2014/chart" uri="{C3380CC4-5D6E-409C-BE32-E72D297353CC}">
              <c16:uniqueId val="{00000003-C02B-44FA-A06F-CF2BE1915B43}"/>
            </c:ext>
          </c:extLst>
        </c:ser>
        <c:ser>
          <c:idx val="4"/>
          <c:order val="3"/>
          <c:tx>
            <c:strRef>
              <c:f>'Electricity report'!$J$463</c:f>
              <c:strCache>
                <c:ptCount val="1"/>
                <c:pt idx="0">
                  <c:v>Surplus</c:v>
                </c:pt>
              </c:strCache>
            </c:strRef>
          </c:tx>
          <c:spPr>
            <a:solidFill>
              <a:srgbClr val="5B9BD5"/>
            </a:solidFill>
            <a:ln w="25400">
              <a:noFill/>
            </a:ln>
          </c:spPr>
          <c:invertIfNegative val="0"/>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'Electricity report'!$K$459:$L$459</c:f>
              <c:strCache>
                <c:ptCount val="2"/>
                <c:pt idx="0">
                  <c:v>Expenditure R'000</c:v>
                </c:pt>
                <c:pt idx="1">
                  <c:v>Revenue R'000</c:v>
                </c:pt>
              </c:strCache>
            </c:strRef>
          </c:cat>
          <c:val>
            <c:numRef>
              <c:f>'Electricity report'!$K$463:$L$463</c:f>
              <c:numCache>
                <c:formatCode>General</c:formatCode>
                <c:ptCount val="2"/>
                <c:pt idx="0" formatCode="_-* #\ ##0_-;\-* #\ ##0_-;_-* &quot;-&quot;??_-;_-@_-">
                  <c:v>0</c:v>
                </c:pt>
              </c:numCache>
            </c:numRef>
          </c:val>
          <c:extLst>
            <c:ext xmlns:c16="http://schemas.microsoft.com/office/drawing/2014/chart" uri="{C3380CC4-5D6E-409C-BE32-E72D297353CC}">
              <c16:uniqueId val="{00000004-C02B-44FA-A06F-CF2BE1915B43}"/>
            </c:ext>
          </c:extLst>
        </c:ser>
        <c:ser>
          <c:idx val="5"/>
          <c:order val="4"/>
          <c:tx>
            <c:strRef>
              <c:f>'Electricity report'!$J$464</c:f>
              <c:strCache>
                <c:ptCount val="1"/>
                <c:pt idx="0">
                  <c:v>Tariff revenue</c:v>
                </c:pt>
              </c:strCache>
            </c:strRef>
          </c:tx>
          <c:spPr>
            <a:solidFill>
              <a:srgbClr val="A5A5A5"/>
            </a:solidFill>
            <a:ln w="25400">
              <a:noFill/>
            </a:ln>
          </c:spPr>
          <c:invertIfNegative val="0"/>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'Electricity report'!$K$459:$L$459</c:f>
              <c:strCache>
                <c:ptCount val="2"/>
                <c:pt idx="0">
                  <c:v>Expenditure R'000</c:v>
                </c:pt>
                <c:pt idx="1">
                  <c:v>Revenue R'000</c:v>
                </c:pt>
              </c:strCache>
            </c:strRef>
          </c:cat>
          <c:val>
            <c:numRef>
              <c:f>'Electricity report'!$K$464:$L$464</c:f>
              <c:numCache>
                <c:formatCode>_-* #\ ##0_-;\-* #\ ##0_-;_-* "-"??_-;_-@_-</c:formatCode>
                <c:ptCount val="2"/>
                <c:pt idx="1">
                  <c:v>56264.971743318529</c:v>
                </c:pt>
              </c:numCache>
            </c:numRef>
          </c:val>
          <c:extLst>
            <c:ext xmlns:c16="http://schemas.microsoft.com/office/drawing/2014/chart" uri="{C3380CC4-5D6E-409C-BE32-E72D297353CC}">
              <c16:uniqueId val="{00000005-C02B-44FA-A06F-CF2BE1915B43}"/>
            </c:ext>
          </c:extLst>
        </c:ser>
        <c:ser>
          <c:idx val="3"/>
          <c:order val="5"/>
          <c:tx>
            <c:strRef>
              <c:f>'Electricity report'!$J$465</c:f>
              <c:strCache>
                <c:ptCount val="1"/>
                <c:pt idx="0">
                  <c:v>External grants &amp; subsidies</c:v>
                </c:pt>
              </c:strCache>
            </c:strRef>
          </c:tx>
          <c:spPr>
            <a:solidFill>
              <a:schemeClr val="accent3">
                <a:lumMod val="40000"/>
                <a:lumOff val="60000"/>
              </a:schemeClr>
            </a:solidFill>
            <a:ln>
              <a:noFill/>
            </a:ln>
            <a:effectLst/>
          </c:spPr>
          <c:invertIfNegative val="0"/>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'Electricity report'!$K$459:$L$459</c:f>
              <c:strCache>
                <c:ptCount val="2"/>
                <c:pt idx="0">
                  <c:v>Expenditure R'000</c:v>
                </c:pt>
                <c:pt idx="1">
                  <c:v>Revenue R'000</c:v>
                </c:pt>
              </c:strCache>
            </c:strRef>
          </c:cat>
          <c:val>
            <c:numRef>
              <c:f>'Electricity report'!$K$465:$L$465</c:f>
              <c:numCache>
                <c:formatCode>_-* #\ ##0_-;\-* #\ ##0_-;_-* "-"??_-;_-@_-</c:formatCode>
                <c:ptCount val="2"/>
                <c:pt idx="1">
                  <c:v>-6233.8880384865051</c:v>
                </c:pt>
              </c:numCache>
            </c:numRef>
          </c:val>
          <c:extLst>
            <c:ext xmlns:c16="http://schemas.microsoft.com/office/drawing/2014/chart" uri="{C3380CC4-5D6E-409C-BE32-E72D297353CC}">
              <c16:uniqueId val="{00000006-C02B-44FA-A06F-CF2BE1915B43}"/>
            </c:ext>
          </c:extLst>
        </c:ser>
        <c:ser>
          <c:idx val="6"/>
          <c:order val="6"/>
          <c:tx>
            <c:strRef>
              <c:f>'Electricity report'!$J$466</c:f>
              <c:strCache>
                <c:ptCount val="1"/>
                <c:pt idx="0">
                  <c:v>Other non-tariff revenue</c:v>
                </c:pt>
              </c:strCache>
            </c:strRef>
          </c:tx>
          <c:spPr>
            <a:solidFill>
              <a:srgbClr val="ED7D31"/>
            </a:solidFill>
            <a:ln w="25400">
              <a:noFill/>
            </a:ln>
          </c:spPr>
          <c:invertIfNegative val="0"/>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'Electricity report'!$K$459:$L$459</c:f>
              <c:strCache>
                <c:ptCount val="2"/>
                <c:pt idx="0">
                  <c:v>Expenditure R'000</c:v>
                </c:pt>
                <c:pt idx="1">
                  <c:v>Revenue R'000</c:v>
                </c:pt>
              </c:strCache>
            </c:strRef>
          </c:cat>
          <c:val>
            <c:numRef>
              <c:f>'Electricity report'!$K$466:$L$466</c:f>
              <c:numCache>
                <c:formatCode>_-* #\ ##0_-;\-* #\ ##0_-;_-* "-"??_-;_-@_-</c:formatCode>
                <c:ptCount val="2"/>
                <c:pt idx="1">
                  <c:v>4527.9275484909231</c:v>
                </c:pt>
              </c:numCache>
            </c:numRef>
          </c:val>
          <c:extLst>
            <c:ext xmlns:c16="http://schemas.microsoft.com/office/drawing/2014/chart" uri="{C3380CC4-5D6E-409C-BE32-E72D297353CC}">
              <c16:uniqueId val="{00000007-C02B-44FA-A06F-CF2BE1915B43}"/>
            </c:ext>
          </c:extLst>
        </c:ser>
        <c:ser>
          <c:idx val="7"/>
          <c:order val="7"/>
          <c:tx>
            <c:strRef>
              <c:f>'Electricity report'!$J$467</c:f>
              <c:strCache>
                <c:ptCount val="1"/>
                <c:pt idx="0">
                  <c:v>Deficit</c:v>
                </c:pt>
              </c:strCache>
            </c:strRef>
          </c:tx>
          <c:spPr>
            <a:solidFill>
              <a:srgbClr val="4472C4"/>
            </a:solidFill>
            <a:ln w="25400">
              <a:noFill/>
            </a:ln>
          </c:spPr>
          <c:invertIfNegative val="0"/>
          <c:dPt>
            <c:idx val="0"/>
            <c:invertIfNegative val="0"/>
            <c:bubble3D val="0"/>
            <c:spPr>
              <a:solidFill>
                <a:srgbClr val="5B9BD5"/>
              </a:solidFill>
              <a:ln w="25400">
                <a:noFill/>
              </a:ln>
            </c:spPr>
            <c:extLst>
              <c:ext xmlns:c16="http://schemas.microsoft.com/office/drawing/2014/chart" uri="{C3380CC4-5D6E-409C-BE32-E72D297353CC}">
                <c16:uniqueId val="{00000008-C02B-44FA-A06F-CF2BE1915B43}"/>
              </c:ext>
            </c:extLst>
          </c:dPt>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'Electricity report'!$K$459:$L$459</c:f>
              <c:strCache>
                <c:ptCount val="2"/>
                <c:pt idx="0">
                  <c:v>Expenditure R'000</c:v>
                </c:pt>
                <c:pt idx="1">
                  <c:v>Revenue R'000</c:v>
                </c:pt>
              </c:strCache>
            </c:strRef>
          </c:cat>
          <c:val>
            <c:numRef>
              <c:f>'Electricity report'!$K$467:$L$467</c:f>
              <c:numCache>
                <c:formatCode>_-* #\ ##0_-;\-* #\ ##0_-;_-* "-"??_-;_-@_-</c:formatCode>
                <c:ptCount val="2"/>
                <c:pt idx="1">
                  <c:v>-6233.8880384865051</c:v>
                </c:pt>
              </c:numCache>
            </c:numRef>
          </c:val>
          <c:extLst>
            <c:ext xmlns:c16="http://schemas.microsoft.com/office/drawing/2014/chart" uri="{C3380CC4-5D6E-409C-BE32-E72D297353CC}">
              <c16:uniqueId val="{00000009-C02B-44FA-A06F-CF2BE1915B43}"/>
            </c:ext>
          </c:extLst>
        </c:ser>
        <c:dLbls>
          <c:showLegendKey val="0"/>
          <c:showVal val="0"/>
          <c:showCatName val="0"/>
          <c:showSerName val="0"/>
          <c:showPercent val="0"/>
          <c:showBubbleSize val="0"/>
        </c:dLbls>
        <c:gapWidth val="25"/>
        <c:overlap val="100"/>
        <c:axId val="1361856527"/>
        <c:axId val="1"/>
      </c:barChart>
      <c:catAx>
        <c:axId val="1361856527"/>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0" vert="horz"/>
          <a:lstStyle/>
          <a:p>
            <a:pPr>
              <a:defRPr sz="1100" b="0" i="0" u="none" strike="noStrike" baseline="0">
                <a:solidFill>
                  <a:srgbClr val="000000"/>
                </a:solidFill>
                <a:latin typeface="Calibri"/>
                <a:ea typeface="Calibri"/>
                <a:cs typeface="Calibri"/>
              </a:defRPr>
            </a:pPr>
            <a:endParaRPr lang="en-US"/>
          </a:p>
        </c:txPr>
        <c:crossAx val="1"/>
        <c:crosses val="autoZero"/>
        <c:auto val="1"/>
        <c:lblAlgn val="ctr"/>
        <c:lblOffset val="100"/>
        <c:noMultiLvlLbl val="0"/>
      </c:catAx>
      <c:valAx>
        <c:axId val="1"/>
        <c:scaling>
          <c:orientation val="minMax"/>
        </c:scaling>
        <c:delete val="1"/>
        <c:axPos val="l"/>
        <c:majorGridlines>
          <c:spPr>
            <a:ln w="9525" cap="flat" cmpd="sng" algn="ctr">
              <a:solidFill>
                <a:schemeClr val="tx1">
                  <a:lumMod val="15000"/>
                  <a:lumOff val="85000"/>
                </a:schemeClr>
              </a:solidFill>
              <a:round/>
            </a:ln>
            <a:effectLst/>
          </c:spPr>
        </c:majorGridlines>
        <c:numFmt formatCode="_-* #\ ##0_-;\-* #\ ##0_-;_-* &quot;-&quot;??_-;_-@_-" sourceLinked="1"/>
        <c:majorTickMark val="out"/>
        <c:minorTickMark val="none"/>
        <c:tickLblPos val="nextTo"/>
        <c:crossAx val="1361856527"/>
        <c:crosses val="autoZero"/>
        <c:crossBetween val="between"/>
      </c:valAx>
    </c:plotArea>
    <c:legend>
      <c:legendPos val="r"/>
      <c:layout>
        <c:manualLayout>
          <c:xMode val="edge"/>
          <c:yMode val="edge"/>
          <c:x val="0.63225725892244689"/>
          <c:y val="0.1812752257931505"/>
          <c:w val="0.34899346501875061"/>
          <c:h val="0.70697306341239063"/>
        </c:manualLayout>
      </c:layout>
      <c:overlay val="0"/>
      <c:spPr>
        <a:noFill/>
        <a:ln w="25400">
          <a:noFill/>
        </a:ln>
      </c:spPr>
      <c:txPr>
        <a:bodyPr/>
        <a:lstStyle/>
        <a:p>
          <a:pPr>
            <a:defRPr sz="850" b="0" i="0" u="none" strike="noStrike" baseline="0">
              <a:solidFill>
                <a:srgbClr val="000000"/>
              </a:solidFill>
              <a:latin typeface="Calibri"/>
              <a:ea typeface="Calibri"/>
              <a:cs typeface="Calibri"/>
            </a:defRPr>
          </a:pPr>
          <a:endParaRPr lang="en-US"/>
        </a:p>
      </c:txPr>
    </c:legend>
    <c:plotVisOnly val="1"/>
    <c:dispBlanksAs val="gap"/>
    <c:showDLblsOverMax val="0"/>
  </c:chart>
  <c:spPr>
    <a:solidFill>
      <a:schemeClr val="bg1"/>
    </a:solidFill>
    <a:ln w="9525" cap="flat" cmpd="sng" algn="ctr">
      <a:noFill/>
      <a:round/>
    </a:ln>
    <a:effectLst/>
  </c:spPr>
  <c:txPr>
    <a:bodyPr/>
    <a:lstStyle/>
    <a:p>
      <a:pPr>
        <a:defRPr sz="11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charts/chart15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ser>
          <c:idx val="0"/>
          <c:order val="0"/>
          <c:tx>
            <c:strRef>
              <c:f>'Electricity report'!$L$484</c:f>
              <c:strCache>
                <c:ptCount val="1"/>
                <c:pt idx="0">
                  <c:v>Annual Tariff</c:v>
                </c:pt>
              </c:strCache>
            </c:strRef>
          </c:tx>
          <c:spPr>
            <a:solidFill>
              <a:srgbClr val="4472C4"/>
            </a:solidFill>
            <a:ln w="25400">
              <a:noFill/>
            </a:ln>
          </c:spPr>
          <c:invertIfNegative val="0"/>
          <c:dLbls>
            <c:spPr>
              <a:noFill/>
              <a:ln w="25400">
                <a:noFill/>
              </a:ln>
            </c:spPr>
            <c:txPr>
              <a:bodyPr wrap="square" lIns="38100" tIns="19050" rIns="38100" bIns="19050" anchor="ctr">
                <a:spAutoFit/>
              </a:bodyPr>
              <a:lstStyle/>
              <a:p>
                <a:pPr>
                  <a:defRPr sz="900" b="0" i="0" u="none" strike="noStrike" baseline="0">
                    <a:solidFill>
                      <a:srgbClr val="333333"/>
                    </a:solidFill>
                    <a:latin typeface="Calibri"/>
                    <a:ea typeface="Calibri"/>
                    <a:cs typeface="Calibri"/>
                  </a:defRPr>
                </a:pPr>
                <a:endParaRPr lang="en-US"/>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numRef>
              <c:f>'Electricity report'!$K$485:$K$489</c:f>
              <c:numCache>
                <c:formatCode>General</c:formatCode>
                <c:ptCount val="5"/>
                <c:pt idx="0">
                  <c:v>0</c:v>
                </c:pt>
                <c:pt idx="1">
                  <c:v>0</c:v>
                </c:pt>
                <c:pt idx="2">
                  <c:v>0</c:v>
                </c:pt>
                <c:pt idx="3">
                  <c:v>0</c:v>
                </c:pt>
                <c:pt idx="4">
                  <c:v>0</c:v>
                </c:pt>
              </c:numCache>
            </c:numRef>
          </c:cat>
          <c:val>
            <c:numRef>
              <c:f>'Electricity report'!$L$485:$L$489</c:f>
              <c:numCache>
                <c:formatCode>_(* #,##0.00_);_(* \(#,##0.00\);_(* "-"??_);_(@_)</c:formatCode>
                <c:ptCount val="5"/>
                <c:pt idx="0">
                  <c:v>6.4231901085446648</c:v>
                </c:pt>
                <c:pt idx="1">
                  <c:v>0</c:v>
                </c:pt>
                <c:pt idx="2">
                  <c:v>0</c:v>
                </c:pt>
                <c:pt idx="3">
                  <c:v>0</c:v>
                </c:pt>
                <c:pt idx="4">
                  <c:v>0</c:v>
                </c:pt>
              </c:numCache>
            </c:numRef>
          </c:val>
          <c:extLst>
            <c:ext xmlns:c16="http://schemas.microsoft.com/office/drawing/2014/chart" uri="{C3380CC4-5D6E-409C-BE32-E72D297353CC}">
              <c16:uniqueId val="{00000000-AE76-42EE-96FD-DEFAE06EA83C}"/>
            </c:ext>
          </c:extLst>
        </c:ser>
        <c:ser>
          <c:idx val="1"/>
          <c:order val="1"/>
          <c:tx>
            <c:strRef>
              <c:f>'Electricity report'!$M$484</c:f>
              <c:strCache>
                <c:ptCount val="1"/>
              </c:strCache>
            </c:strRef>
          </c:tx>
          <c:spPr>
            <a:solidFill>
              <a:srgbClr val="ED7D31"/>
            </a:solidFill>
            <a:ln w="25400">
              <a:noFill/>
            </a:ln>
          </c:spPr>
          <c:invertIfNegative val="0"/>
          <c:dLbls>
            <c:spPr>
              <a:noFill/>
              <a:ln w="25400">
                <a:noFill/>
              </a:ln>
            </c:spPr>
            <c:txPr>
              <a:bodyPr wrap="square" lIns="38100" tIns="19050" rIns="38100" bIns="19050" anchor="ctr">
                <a:spAutoFit/>
              </a:bodyPr>
              <a:lstStyle/>
              <a:p>
                <a:pPr>
                  <a:defRPr sz="900" b="0" i="0" u="none" strike="noStrike" baseline="0">
                    <a:solidFill>
                      <a:srgbClr val="333333"/>
                    </a:solidFill>
                    <a:latin typeface="Calibri"/>
                    <a:ea typeface="Calibri"/>
                    <a:cs typeface="Calibri"/>
                  </a:defRPr>
                </a:pPr>
                <a:endParaRPr lang="en-US"/>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numRef>
              <c:f>'Electricity report'!$K$485:$K$489</c:f>
              <c:numCache>
                <c:formatCode>General</c:formatCode>
                <c:ptCount val="5"/>
                <c:pt idx="0">
                  <c:v>0</c:v>
                </c:pt>
                <c:pt idx="1">
                  <c:v>0</c:v>
                </c:pt>
                <c:pt idx="2">
                  <c:v>0</c:v>
                </c:pt>
                <c:pt idx="3">
                  <c:v>0</c:v>
                </c:pt>
                <c:pt idx="4">
                  <c:v>0</c:v>
                </c:pt>
              </c:numCache>
            </c:numRef>
          </c:cat>
          <c:val>
            <c:numRef>
              <c:f>'Electricity report'!$M$485:$M$489</c:f>
              <c:numCache>
                <c:formatCode>_(* #,##0.00_);_(* \(#,##0.00\);_(* "-"??_);_(@_)</c:formatCode>
                <c:ptCount val="5"/>
                <c:pt idx="0">
                  <c:v>0</c:v>
                </c:pt>
                <c:pt idx="1">
                  <c:v>0</c:v>
                </c:pt>
                <c:pt idx="2">
                  <c:v>0</c:v>
                </c:pt>
                <c:pt idx="3">
                  <c:v>0</c:v>
                </c:pt>
                <c:pt idx="4">
                  <c:v>0</c:v>
                </c:pt>
              </c:numCache>
            </c:numRef>
          </c:val>
          <c:extLst>
            <c:ext xmlns:c16="http://schemas.microsoft.com/office/drawing/2014/chart" uri="{C3380CC4-5D6E-409C-BE32-E72D297353CC}">
              <c16:uniqueId val="{00000001-AE76-42EE-96FD-DEFAE06EA83C}"/>
            </c:ext>
          </c:extLst>
        </c:ser>
        <c:dLbls>
          <c:showLegendKey val="0"/>
          <c:showVal val="0"/>
          <c:showCatName val="0"/>
          <c:showSerName val="0"/>
          <c:showPercent val="0"/>
          <c:showBubbleSize val="0"/>
        </c:dLbls>
        <c:gapWidth val="50"/>
        <c:axId val="1364662671"/>
        <c:axId val="1"/>
      </c:barChart>
      <c:lineChart>
        <c:grouping val="standard"/>
        <c:varyColors val="0"/>
        <c:ser>
          <c:idx val="2"/>
          <c:order val="2"/>
          <c:tx>
            <c:strRef>
              <c:f>'Electricity report'!$N$484</c:f>
              <c:strCache>
                <c:ptCount val="1"/>
                <c:pt idx="0">
                  <c:v>Total cost per kl </c:v>
                </c:pt>
              </c:strCache>
            </c:strRef>
          </c:tx>
          <c:spPr>
            <a:ln w="28575" cap="rnd">
              <a:solidFill>
                <a:schemeClr val="accent3"/>
              </a:solidFill>
              <a:round/>
            </a:ln>
            <a:effectLst/>
          </c:spPr>
          <c:marker>
            <c:symbol val="none"/>
          </c:marker>
          <c:cat>
            <c:numRef>
              <c:f>'Electricity report'!$K$485:$K$489</c:f>
              <c:numCache>
                <c:formatCode>General</c:formatCode>
                <c:ptCount val="5"/>
                <c:pt idx="0">
                  <c:v>0</c:v>
                </c:pt>
                <c:pt idx="1">
                  <c:v>0</c:v>
                </c:pt>
                <c:pt idx="2">
                  <c:v>0</c:v>
                </c:pt>
                <c:pt idx="3">
                  <c:v>0</c:v>
                </c:pt>
                <c:pt idx="4">
                  <c:v>0</c:v>
                </c:pt>
              </c:numCache>
            </c:numRef>
          </c:cat>
          <c:val>
            <c:numRef>
              <c:f>'Electricity report'!$N$485:$N$489</c:f>
              <c:numCache>
                <c:formatCode>_(* #,##0.00_);_(* \(#,##0.00\);_(* "-"??_);_(@_)</c:formatCode>
                <c:ptCount val="5"/>
                <c:pt idx="0">
                  <c:v>5.5167796909913109</c:v>
                </c:pt>
                <c:pt idx="1">
                  <c:v>5.5167796909913109</c:v>
                </c:pt>
                <c:pt idx="2">
                  <c:v>5.5167796909913109</c:v>
                </c:pt>
                <c:pt idx="3">
                  <c:v>5.5167796909913109</c:v>
                </c:pt>
                <c:pt idx="4">
                  <c:v>5.5167796909913109</c:v>
                </c:pt>
              </c:numCache>
            </c:numRef>
          </c:val>
          <c:smooth val="0"/>
          <c:extLst>
            <c:ext xmlns:c16="http://schemas.microsoft.com/office/drawing/2014/chart" uri="{C3380CC4-5D6E-409C-BE32-E72D297353CC}">
              <c16:uniqueId val="{00000002-AE76-42EE-96FD-DEFAE06EA83C}"/>
            </c:ext>
          </c:extLst>
        </c:ser>
        <c:ser>
          <c:idx val="3"/>
          <c:order val="3"/>
          <c:tx>
            <c:strRef>
              <c:f>'Electricity report'!$O$484</c:f>
              <c:strCache>
                <c:ptCount val="1"/>
                <c:pt idx="0">
                  <c:v>Variable cost per kWh</c:v>
                </c:pt>
              </c:strCache>
            </c:strRef>
          </c:tx>
          <c:spPr>
            <a:ln w="28575" cap="rnd">
              <a:solidFill>
                <a:schemeClr val="accent4"/>
              </a:solidFill>
              <a:round/>
            </a:ln>
            <a:effectLst/>
          </c:spPr>
          <c:marker>
            <c:symbol val="none"/>
          </c:marker>
          <c:cat>
            <c:numRef>
              <c:f>'Electricity report'!$K$485:$K$489</c:f>
              <c:numCache>
                <c:formatCode>General</c:formatCode>
                <c:ptCount val="5"/>
                <c:pt idx="0">
                  <c:v>0</c:v>
                </c:pt>
                <c:pt idx="1">
                  <c:v>0</c:v>
                </c:pt>
                <c:pt idx="2">
                  <c:v>0</c:v>
                </c:pt>
                <c:pt idx="3">
                  <c:v>0</c:v>
                </c:pt>
                <c:pt idx="4">
                  <c:v>0</c:v>
                </c:pt>
              </c:numCache>
            </c:numRef>
          </c:cat>
          <c:val>
            <c:numRef>
              <c:f>'Electricity report'!$O$485:$O$489</c:f>
              <c:numCache>
                <c:formatCode>_(* #,##0.00_);_(* \(#,##0.00\);_(* "-"??_);_(@_)</c:formatCode>
                <c:ptCount val="5"/>
                <c:pt idx="0">
                  <c:v>2.9819428113304203</c:v>
                </c:pt>
                <c:pt idx="1">
                  <c:v>2.9819428113304203</c:v>
                </c:pt>
                <c:pt idx="2">
                  <c:v>2.9819428113304203</c:v>
                </c:pt>
                <c:pt idx="3">
                  <c:v>2.9819428113304203</c:v>
                </c:pt>
                <c:pt idx="4">
                  <c:v>2.9819428113304203</c:v>
                </c:pt>
              </c:numCache>
            </c:numRef>
          </c:val>
          <c:smooth val="0"/>
          <c:extLst>
            <c:ext xmlns:c16="http://schemas.microsoft.com/office/drawing/2014/chart" uri="{C3380CC4-5D6E-409C-BE32-E72D297353CC}">
              <c16:uniqueId val="{00000003-AE76-42EE-96FD-DEFAE06EA83C}"/>
            </c:ext>
          </c:extLst>
        </c:ser>
        <c:dLbls>
          <c:showLegendKey val="0"/>
          <c:showVal val="0"/>
          <c:showCatName val="0"/>
          <c:showSerName val="0"/>
          <c:showPercent val="0"/>
          <c:showBubbleSize val="0"/>
        </c:dLbls>
        <c:marker val="1"/>
        <c:smooth val="0"/>
        <c:axId val="1364662671"/>
        <c:axId val="1"/>
      </c:lineChart>
      <c:catAx>
        <c:axId val="1364662671"/>
        <c:scaling>
          <c:orientation val="minMax"/>
        </c:scaling>
        <c:delete val="0"/>
        <c:axPos val="b"/>
        <c:title>
          <c:tx>
            <c:rich>
              <a:bodyPr/>
              <a:lstStyle/>
              <a:p>
                <a:pPr>
                  <a:defRPr sz="1000" b="0" i="0" u="none" strike="noStrike" baseline="0">
                    <a:solidFill>
                      <a:srgbClr val="333333"/>
                    </a:solidFill>
                    <a:latin typeface="Calibri"/>
                    <a:ea typeface="Calibri"/>
                    <a:cs typeface="Calibri"/>
                  </a:defRPr>
                </a:pPr>
                <a:r>
                  <a:rPr lang="en-ZA"/>
                  <a:t>Block size</a:t>
                </a:r>
              </a:p>
            </c:rich>
          </c:tx>
          <c:overlay val="0"/>
          <c:spPr>
            <a:noFill/>
            <a:ln w="25400">
              <a:noFill/>
            </a:ln>
          </c:spPr>
        </c:title>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0" vert="horz"/>
          <a:lstStyle/>
          <a:p>
            <a:pPr>
              <a:defRPr sz="900" b="0" i="0" u="none" strike="noStrike" baseline="0">
                <a:solidFill>
                  <a:srgbClr val="333333"/>
                </a:solidFill>
                <a:latin typeface="Calibri"/>
                <a:ea typeface="Calibri"/>
                <a:cs typeface="Calibri"/>
              </a:defRPr>
            </a:pPr>
            <a:endParaRPr lang="en-US"/>
          </a:p>
        </c:txPr>
        <c:crossAx val="1"/>
        <c:crosses val="autoZero"/>
        <c:auto val="1"/>
        <c:lblAlgn val="ctr"/>
        <c:lblOffset val="100"/>
        <c:noMultiLvlLbl val="0"/>
      </c:catAx>
      <c:valAx>
        <c:axId val="1"/>
        <c:scaling>
          <c:orientation val="minMax"/>
        </c:scaling>
        <c:delete val="0"/>
        <c:axPos val="l"/>
        <c:majorGridlines>
          <c:spPr>
            <a:ln w="9525" cap="flat" cmpd="sng" algn="ctr">
              <a:solidFill>
                <a:schemeClr val="tx1">
                  <a:lumMod val="15000"/>
                  <a:lumOff val="85000"/>
                </a:schemeClr>
              </a:solidFill>
              <a:round/>
            </a:ln>
            <a:effectLst/>
          </c:spPr>
        </c:majorGridlines>
        <c:title>
          <c:tx>
            <c:rich>
              <a:bodyPr/>
              <a:lstStyle/>
              <a:p>
                <a:pPr>
                  <a:defRPr sz="1000" b="0" i="0" u="none" strike="noStrike" baseline="0">
                    <a:solidFill>
                      <a:srgbClr val="333333"/>
                    </a:solidFill>
                    <a:latin typeface="Calibri"/>
                    <a:ea typeface="Calibri"/>
                    <a:cs typeface="Calibri"/>
                  </a:defRPr>
                </a:pPr>
                <a:r>
                  <a:rPr lang="en-ZA"/>
                  <a:t>R/kWh</a:t>
                </a:r>
              </a:p>
            </c:rich>
          </c:tx>
          <c:overlay val="0"/>
          <c:spPr>
            <a:noFill/>
            <a:ln w="25400">
              <a:noFill/>
            </a:ln>
          </c:spPr>
        </c:title>
        <c:numFmt formatCode="_(* #,##0.00_);_(* \(#,##0.00\);_(* &quot;-&quot;??_);_(@_)" sourceLinked="1"/>
        <c:majorTickMark val="none"/>
        <c:minorTickMark val="none"/>
        <c:tickLblPos val="nextTo"/>
        <c:spPr>
          <a:ln w="6350">
            <a:noFill/>
          </a:ln>
        </c:spPr>
        <c:txPr>
          <a:bodyPr rot="0" vert="horz"/>
          <a:lstStyle/>
          <a:p>
            <a:pPr>
              <a:defRPr sz="900" b="0" i="0" u="none" strike="noStrike" baseline="0">
                <a:solidFill>
                  <a:srgbClr val="333333"/>
                </a:solidFill>
                <a:latin typeface="Calibri"/>
                <a:ea typeface="Calibri"/>
                <a:cs typeface="Calibri"/>
              </a:defRPr>
            </a:pPr>
            <a:endParaRPr lang="en-US"/>
          </a:p>
        </c:txPr>
        <c:crossAx val="1364662671"/>
        <c:crosses val="autoZero"/>
        <c:crossBetween val="between"/>
      </c:valAx>
      <c:spPr>
        <a:noFill/>
        <a:ln w="25400">
          <a:noFill/>
        </a:ln>
      </c:spPr>
    </c:plotArea>
    <c:legend>
      <c:legendPos val="r"/>
      <c:layout>
        <c:manualLayout>
          <c:xMode val="edge"/>
          <c:yMode val="edge"/>
          <c:x val="4.7023424579764522E-2"/>
          <c:y val="0.92826131183362848"/>
          <c:w val="0.90128222216737008"/>
          <c:h val="5.2633337100804978E-2"/>
        </c:manualLayout>
      </c:layout>
      <c:overlay val="0"/>
      <c:spPr>
        <a:noFill/>
        <a:ln w="25400">
          <a:noFill/>
        </a:ln>
      </c:spPr>
      <c:txPr>
        <a:bodyPr/>
        <a:lstStyle/>
        <a:p>
          <a:pPr>
            <a:defRPr sz="690" b="0" i="0" u="none" strike="noStrike" baseline="0">
              <a:solidFill>
                <a:srgbClr val="333333"/>
              </a:solidFill>
              <a:latin typeface="Calibri"/>
              <a:ea typeface="Calibri"/>
              <a:cs typeface="Calibri"/>
            </a:defRPr>
          </a:pPr>
          <a:endParaRPr lang="en-US"/>
        </a:p>
      </c:txPr>
    </c:legend>
    <c:plotVisOnly val="1"/>
    <c:dispBlanksAs val="gap"/>
    <c:showDLblsOverMax val="0"/>
  </c:chart>
  <c:spPr>
    <a:solidFill>
      <a:schemeClr val="bg1"/>
    </a:solidFill>
    <a:ln w="9525" cap="flat" cmpd="sng" algn="ctr">
      <a:noFill/>
      <a:round/>
    </a:ln>
    <a:effectLst/>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charts/chart15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2.3871527777777776E-2"/>
          <c:y val="4.7786414907172239E-2"/>
          <c:w val="0.57559123468941387"/>
          <c:h val="0.83529592857692603"/>
        </c:manualLayout>
      </c:layout>
      <c:barChart>
        <c:barDir val="col"/>
        <c:grouping val="stacked"/>
        <c:varyColors val="0"/>
        <c:ser>
          <c:idx val="0"/>
          <c:order val="0"/>
          <c:tx>
            <c:strRef>
              <c:f>'Electricity report'!$J$531</c:f>
              <c:strCache>
                <c:ptCount val="1"/>
                <c:pt idx="0">
                  <c:v>Customer costs </c:v>
                </c:pt>
              </c:strCache>
            </c:strRef>
          </c:tx>
          <c:spPr>
            <a:solidFill>
              <a:srgbClr val="4472C4"/>
            </a:solidFill>
            <a:ln w="25400">
              <a:noFill/>
            </a:ln>
          </c:spPr>
          <c:invertIfNegative val="0"/>
          <c:dPt>
            <c:idx val="0"/>
            <c:invertIfNegative val="0"/>
            <c:bubble3D val="0"/>
            <c:spPr>
              <a:solidFill>
                <a:srgbClr val="5B9BD5"/>
              </a:solidFill>
              <a:ln w="25400">
                <a:noFill/>
              </a:ln>
            </c:spPr>
            <c:extLst>
              <c:ext xmlns:c16="http://schemas.microsoft.com/office/drawing/2014/chart" uri="{C3380CC4-5D6E-409C-BE32-E72D297353CC}">
                <c16:uniqueId val="{00000000-C8D1-4B52-B07A-8A0485F10429}"/>
              </c:ext>
            </c:extLst>
          </c:dPt>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'Electricity report'!$K$530:$L$530</c:f>
              <c:strCache>
                <c:ptCount val="2"/>
                <c:pt idx="0">
                  <c:v>Expenditure R'000</c:v>
                </c:pt>
                <c:pt idx="1">
                  <c:v>Revenue R'000</c:v>
                </c:pt>
              </c:strCache>
            </c:strRef>
          </c:cat>
          <c:val>
            <c:numRef>
              <c:f>'Electricity report'!$K$531:$L$531</c:f>
              <c:numCache>
                <c:formatCode>General</c:formatCode>
                <c:ptCount val="2"/>
                <c:pt idx="0" formatCode="_-* #\ ##0_-;\-* #\ ##0_-;_-* &quot;-&quot;??_-;_-@_-">
                  <c:v>17529.369005751159</c:v>
                </c:pt>
              </c:numCache>
            </c:numRef>
          </c:val>
          <c:extLst>
            <c:ext xmlns:c16="http://schemas.microsoft.com/office/drawing/2014/chart" uri="{C3380CC4-5D6E-409C-BE32-E72D297353CC}">
              <c16:uniqueId val="{00000001-C8D1-4B52-B07A-8A0485F10429}"/>
            </c:ext>
          </c:extLst>
        </c:ser>
        <c:ser>
          <c:idx val="1"/>
          <c:order val="1"/>
          <c:tx>
            <c:strRef>
              <c:f>'Electricity report'!$J$532</c:f>
              <c:strCache>
                <c:ptCount val="1"/>
                <c:pt idx="0">
                  <c:v>Energy costs</c:v>
                </c:pt>
              </c:strCache>
            </c:strRef>
          </c:tx>
          <c:spPr>
            <a:solidFill>
              <a:schemeClr val="accent5">
                <a:lumMod val="60000"/>
                <a:lumOff val="40000"/>
              </a:schemeClr>
            </a:solidFill>
            <a:ln>
              <a:noFill/>
            </a:ln>
            <a:effectLst/>
          </c:spPr>
          <c:invertIfNegative val="0"/>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'Electricity report'!$K$530:$L$530</c:f>
              <c:strCache>
                <c:ptCount val="2"/>
                <c:pt idx="0">
                  <c:v>Expenditure R'000</c:v>
                </c:pt>
                <c:pt idx="1">
                  <c:v>Revenue R'000</c:v>
                </c:pt>
              </c:strCache>
            </c:strRef>
          </c:cat>
          <c:val>
            <c:numRef>
              <c:f>'Electricity report'!$K$532:$L$532</c:f>
              <c:numCache>
                <c:formatCode>General</c:formatCode>
                <c:ptCount val="2"/>
                <c:pt idx="0" formatCode="_-* #\ ##0_-;\-* #\ ##0_-;_-* &quot;-&quot;??_-;_-@_-">
                  <c:v>11945.623242350272</c:v>
                </c:pt>
              </c:numCache>
            </c:numRef>
          </c:val>
          <c:extLst>
            <c:ext xmlns:c16="http://schemas.microsoft.com/office/drawing/2014/chart" uri="{C3380CC4-5D6E-409C-BE32-E72D297353CC}">
              <c16:uniqueId val="{00000002-C8D1-4B52-B07A-8A0485F10429}"/>
            </c:ext>
          </c:extLst>
        </c:ser>
        <c:ser>
          <c:idx val="2"/>
          <c:order val="2"/>
          <c:tx>
            <c:strRef>
              <c:f>'Electricity report'!$J$533</c:f>
              <c:strCache>
                <c:ptCount val="1"/>
                <c:pt idx="0">
                  <c:v>Demand cost</c:v>
                </c:pt>
              </c:strCache>
            </c:strRef>
          </c:tx>
          <c:spPr>
            <a:solidFill>
              <a:srgbClr val="A5A5A5"/>
            </a:solidFill>
            <a:ln w="25400">
              <a:noFill/>
            </a:ln>
          </c:spPr>
          <c:invertIfNegative val="0"/>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'Electricity report'!$K$530:$L$530</c:f>
              <c:strCache>
                <c:ptCount val="2"/>
                <c:pt idx="0">
                  <c:v>Expenditure R'000</c:v>
                </c:pt>
                <c:pt idx="1">
                  <c:v>Revenue R'000</c:v>
                </c:pt>
              </c:strCache>
            </c:strRef>
          </c:cat>
          <c:val>
            <c:numRef>
              <c:f>'Electricity report'!$K$533:$L$533</c:f>
              <c:numCache>
                <c:formatCode>General</c:formatCode>
                <c:ptCount val="2"/>
                <c:pt idx="0" formatCode="_-* #\ ##0_-;\-* #\ ##0_-;_-* &quot;-&quot;??_-;_-@_-">
                  <c:v>0</c:v>
                </c:pt>
              </c:numCache>
            </c:numRef>
          </c:val>
          <c:extLst>
            <c:ext xmlns:c16="http://schemas.microsoft.com/office/drawing/2014/chart" uri="{C3380CC4-5D6E-409C-BE32-E72D297353CC}">
              <c16:uniqueId val="{00000003-C8D1-4B52-B07A-8A0485F10429}"/>
            </c:ext>
          </c:extLst>
        </c:ser>
        <c:ser>
          <c:idx val="4"/>
          <c:order val="3"/>
          <c:tx>
            <c:strRef>
              <c:f>'Electricity report'!$J$534</c:f>
              <c:strCache>
                <c:ptCount val="1"/>
                <c:pt idx="0">
                  <c:v>Surplus</c:v>
                </c:pt>
              </c:strCache>
            </c:strRef>
          </c:tx>
          <c:spPr>
            <a:solidFill>
              <a:srgbClr val="5B9BD5"/>
            </a:solidFill>
            <a:ln w="25400">
              <a:noFill/>
            </a:ln>
          </c:spPr>
          <c:invertIfNegative val="0"/>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'Electricity report'!$K$530:$L$530</c:f>
              <c:strCache>
                <c:ptCount val="2"/>
                <c:pt idx="0">
                  <c:v>Expenditure R'000</c:v>
                </c:pt>
                <c:pt idx="1">
                  <c:v>Revenue R'000</c:v>
                </c:pt>
              </c:strCache>
            </c:strRef>
          </c:cat>
          <c:val>
            <c:numRef>
              <c:f>'Electricity report'!$K$534:$L$534</c:f>
              <c:numCache>
                <c:formatCode>General</c:formatCode>
                <c:ptCount val="2"/>
                <c:pt idx="0" formatCode="_-* #\ ##0_-;\-* #\ ##0_-;_-* &quot;-&quot;??_-;_-@_-">
                  <c:v>0</c:v>
                </c:pt>
              </c:numCache>
            </c:numRef>
          </c:val>
          <c:extLst>
            <c:ext xmlns:c16="http://schemas.microsoft.com/office/drawing/2014/chart" uri="{C3380CC4-5D6E-409C-BE32-E72D297353CC}">
              <c16:uniqueId val="{00000004-C8D1-4B52-B07A-8A0485F10429}"/>
            </c:ext>
          </c:extLst>
        </c:ser>
        <c:ser>
          <c:idx val="5"/>
          <c:order val="4"/>
          <c:tx>
            <c:strRef>
              <c:f>'Electricity report'!$J$535</c:f>
              <c:strCache>
                <c:ptCount val="1"/>
                <c:pt idx="0">
                  <c:v>Tariff revenue</c:v>
                </c:pt>
              </c:strCache>
            </c:strRef>
          </c:tx>
          <c:spPr>
            <a:solidFill>
              <a:srgbClr val="A5A5A5"/>
            </a:solidFill>
            <a:ln w="25400">
              <a:noFill/>
            </a:ln>
          </c:spPr>
          <c:invertIfNegative val="0"/>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'Electricity report'!$K$530:$L$530</c:f>
              <c:strCache>
                <c:ptCount val="2"/>
                <c:pt idx="0">
                  <c:v>Expenditure R'000</c:v>
                </c:pt>
                <c:pt idx="1">
                  <c:v>Revenue R'000</c:v>
                </c:pt>
              </c:strCache>
            </c:strRef>
          </c:cat>
          <c:val>
            <c:numRef>
              <c:f>'Electricity report'!$K$535:$L$535</c:f>
              <c:numCache>
                <c:formatCode>_-* #\ ##0_-;\-* #\ ##0_-;_-* "-"??_-;_-@_-</c:formatCode>
                <c:ptCount val="2"/>
                <c:pt idx="1">
                  <c:v>11993.420728051289</c:v>
                </c:pt>
              </c:numCache>
            </c:numRef>
          </c:val>
          <c:extLst>
            <c:ext xmlns:c16="http://schemas.microsoft.com/office/drawing/2014/chart" uri="{C3380CC4-5D6E-409C-BE32-E72D297353CC}">
              <c16:uniqueId val="{00000005-C8D1-4B52-B07A-8A0485F10429}"/>
            </c:ext>
          </c:extLst>
        </c:ser>
        <c:ser>
          <c:idx val="3"/>
          <c:order val="5"/>
          <c:tx>
            <c:strRef>
              <c:f>'Electricity report'!$J$536</c:f>
              <c:strCache>
                <c:ptCount val="1"/>
                <c:pt idx="0">
                  <c:v>External grants &amp; subsidies</c:v>
                </c:pt>
              </c:strCache>
            </c:strRef>
          </c:tx>
          <c:spPr>
            <a:solidFill>
              <a:schemeClr val="accent3">
                <a:lumMod val="40000"/>
                <a:lumOff val="60000"/>
              </a:schemeClr>
            </a:solidFill>
            <a:ln>
              <a:noFill/>
            </a:ln>
            <a:effectLst/>
          </c:spPr>
          <c:invertIfNegative val="0"/>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'Electricity report'!$K$530:$L$530</c:f>
              <c:strCache>
                <c:ptCount val="2"/>
                <c:pt idx="0">
                  <c:v>Expenditure R'000</c:v>
                </c:pt>
                <c:pt idx="1">
                  <c:v>Revenue R'000</c:v>
                </c:pt>
              </c:strCache>
            </c:strRef>
          </c:cat>
          <c:val>
            <c:numRef>
              <c:f>'Electricity report'!$K$536:$L$536</c:f>
              <c:numCache>
                <c:formatCode>_-* #\ ##0_-;\-* #\ ##0_-;_-* "-"??_-;_-@_-</c:formatCode>
                <c:ptCount val="2"/>
                <c:pt idx="1">
                  <c:v>14719.848</c:v>
                </c:pt>
              </c:numCache>
            </c:numRef>
          </c:val>
          <c:extLst>
            <c:ext xmlns:c16="http://schemas.microsoft.com/office/drawing/2014/chart" uri="{C3380CC4-5D6E-409C-BE32-E72D297353CC}">
              <c16:uniqueId val="{00000006-C8D1-4B52-B07A-8A0485F10429}"/>
            </c:ext>
          </c:extLst>
        </c:ser>
        <c:ser>
          <c:idx val="6"/>
          <c:order val="6"/>
          <c:tx>
            <c:strRef>
              <c:f>'Electricity report'!$J$537</c:f>
              <c:strCache>
                <c:ptCount val="1"/>
                <c:pt idx="0">
                  <c:v>Other non-tariff revenue</c:v>
                </c:pt>
              </c:strCache>
            </c:strRef>
          </c:tx>
          <c:spPr>
            <a:solidFill>
              <a:srgbClr val="ED7D31"/>
            </a:solidFill>
            <a:ln w="25400">
              <a:noFill/>
            </a:ln>
          </c:spPr>
          <c:invertIfNegative val="0"/>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'Electricity report'!$K$530:$L$530</c:f>
              <c:strCache>
                <c:ptCount val="2"/>
                <c:pt idx="0">
                  <c:v>Expenditure R'000</c:v>
                </c:pt>
                <c:pt idx="1">
                  <c:v>Revenue R'000</c:v>
                </c:pt>
              </c:strCache>
            </c:strRef>
          </c:cat>
          <c:val>
            <c:numRef>
              <c:f>'Electricity report'!$K$537:$L$537</c:f>
              <c:numCache>
                <c:formatCode>_-* #\ ##0_-;\-* #\ ##0_-;_-* "-"??_-;_-@_-</c:formatCode>
                <c:ptCount val="2"/>
                <c:pt idx="1">
                  <c:v>2761.7235200501395</c:v>
                </c:pt>
              </c:numCache>
            </c:numRef>
          </c:val>
          <c:extLst>
            <c:ext xmlns:c16="http://schemas.microsoft.com/office/drawing/2014/chart" uri="{C3380CC4-5D6E-409C-BE32-E72D297353CC}">
              <c16:uniqueId val="{00000007-C8D1-4B52-B07A-8A0485F10429}"/>
            </c:ext>
          </c:extLst>
        </c:ser>
        <c:ser>
          <c:idx val="7"/>
          <c:order val="7"/>
          <c:tx>
            <c:strRef>
              <c:f>'Electricity report'!$J$538</c:f>
              <c:strCache>
                <c:ptCount val="1"/>
                <c:pt idx="0">
                  <c:v>Deficit</c:v>
                </c:pt>
              </c:strCache>
            </c:strRef>
          </c:tx>
          <c:spPr>
            <a:solidFill>
              <a:srgbClr val="4472C4"/>
            </a:solidFill>
            <a:ln w="25400">
              <a:noFill/>
            </a:ln>
          </c:spPr>
          <c:invertIfNegative val="0"/>
          <c:dPt>
            <c:idx val="0"/>
            <c:invertIfNegative val="0"/>
            <c:bubble3D val="0"/>
            <c:spPr>
              <a:solidFill>
                <a:srgbClr val="5B9BD5"/>
              </a:solidFill>
              <a:ln w="25400">
                <a:noFill/>
              </a:ln>
            </c:spPr>
            <c:extLst>
              <c:ext xmlns:c16="http://schemas.microsoft.com/office/drawing/2014/chart" uri="{C3380CC4-5D6E-409C-BE32-E72D297353CC}">
                <c16:uniqueId val="{00000008-C8D1-4B52-B07A-8A0485F10429}"/>
              </c:ext>
            </c:extLst>
          </c:dPt>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'Electricity report'!$K$530:$L$530</c:f>
              <c:strCache>
                <c:ptCount val="2"/>
                <c:pt idx="0">
                  <c:v>Expenditure R'000</c:v>
                </c:pt>
                <c:pt idx="1">
                  <c:v>Revenue R'000</c:v>
                </c:pt>
              </c:strCache>
            </c:strRef>
          </c:cat>
          <c:val>
            <c:numRef>
              <c:f>'Electricity report'!$K$538:$L$538</c:f>
              <c:numCache>
                <c:formatCode>_-* #\ ##0_-;\-* #\ ##0_-;_-* "-"??_-;_-@_-</c:formatCode>
                <c:ptCount val="2"/>
                <c:pt idx="1">
                  <c:v>0</c:v>
                </c:pt>
              </c:numCache>
            </c:numRef>
          </c:val>
          <c:extLst>
            <c:ext xmlns:c16="http://schemas.microsoft.com/office/drawing/2014/chart" uri="{C3380CC4-5D6E-409C-BE32-E72D297353CC}">
              <c16:uniqueId val="{00000009-C8D1-4B52-B07A-8A0485F10429}"/>
            </c:ext>
          </c:extLst>
        </c:ser>
        <c:dLbls>
          <c:showLegendKey val="0"/>
          <c:showVal val="0"/>
          <c:showCatName val="0"/>
          <c:showSerName val="0"/>
          <c:showPercent val="0"/>
          <c:showBubbleSize val="0"/>
        </c:dLbls>
        <c:gapWidth val="25"/>
        <c:overlap val="100"/>
        <c:axId val="1364657391"/>
        <c:axId val="1"/>
      </c:barChart>
      <c:catAx>
        <c:axId val="1364657391"/>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0" vert="horz"/>
          <a:lstStyle/>
          <a:p>
            <a:pPr>
              <a:defRPr sz="1100" b="0" i="0" u="none" strike="noStrike" baseline="0">
                <a:solidFill>
                  <a:srgbClr val="000000"/>
                </a:solidFill>
                <a:latin typeface="Calibri"/>
                <a:ea typeface="Calibri"/>
                <a:cs typeface="Calibri"/>
              </a:defRPr>
            </a:pPr>
            <a:endParaRPr lang="en-US"/>
          </a:p>
        </c:txPr>
        <c:crossAx val="1"/>
        <c:crosses val="autoZero"/>
        <c:auto val="1"/>
        <c:lblAlgn val="ctr"/>
        <c:lblOffset val="100"/>
        <c:noMultiLvlLbl val="0"/>
      </c:catAx>
      <c:valAx>
        <c:axId val="1"/>
        <c:scaling>
          <c:orientation val="minMax"/>
        </c:scaling>
        <c:delete val="1"/>
        <c:axPos val="l"/>
        <c:majorGridlines>
          <c:spPr>
            <a:ln w="9525" cap="flat" cmpd="sng" algn="ctr">
              <a:solidFill>
                <a:schemeClr val="tx1">
                  <a:lumMod val="15000"/>
                  <a:lumOff val="85000"/>
                </a:schemeClr>
              </a:solidFill>
              <a:round/>
            </a:ln>
            <a:effectLst/>
          </c:spPr>
        </c:majorGridlines>
        <c:numFmt formatCode="_-* #\ ##0_-;\-* #\ ##0_-;_-* &quot;-&quot;??_-;_-@_-" sourceLinked="1"/>
        <c:majorTickMark val="out"/>
        <c:minorTickMark val="none"/>
        <c:tickLblPos val="nextTo"/>
        <c:crossAx val="1364657391"/>
        <c:crosses val="autoZero"/>
        <c:crossBetween val="between"/>
      </c:valAx>
    </c:plotArea>
    <c:legend>
      <c:legendPos val="r"/>
      <c:layout>
        <c:manualLayout>
          <c:xMode val="edge"/>
          <c:yMode val="edge"/>
          <c:x val="0.63225725892244689"/>
          <c:y val="0.17808794448639126"/>
          <c:w val="0.34899346501875061"/>
          <c:h val="0.70550210333297381"/>
        </c:manualLayout>
      </c:layout>
      <c:overlay val="0"/>
      <c:spPr>
        <a:noFill/>
        <a:ln w="25400">
          <a:noFill/>
        </a:ln>
      </c:spPr>
      <c:txPr>
        <a:bodyPr/>
        <a:lstStyle/>
        <a:p>
          <a:pPr>
            <a:defRPr sz="850" b="0" i="0" u="none" strike="noStrike" baseline="0">
              <a:solidFill>
                <a:srgbClr val="000000"/>
              </a:solidFill>
              <a:latin typeface="Calibri"/>
              <a:ea typeface="Calibri"/>
              <a:cs typeface="Calibri"/>
            </a:defRPr>
          </a:pPr>
          <a:endParaRPr lang="en-US"/>
        </a:p>
      </c:txPr>
    </c:legend>
    <c:plotVisOnly val="1"/>
    <c:dispBlanksAs val="gap"/>
    <c:showDLblsOverMax val="0"/>
  </c:chart>
  <c:spPr>
    <a:solidFill>
      <a:schemeClr val="bg1"/>
    </a:solidFill>
    <a:ln w="9525" cap="flat" cmpd="sng" algn="ctr">
      <a:noFill/>
      <a:round/>
    </a:ln>
    <a:effectLst/>
  </c:spPr>
  <c:txPr>
    <a:bodyPr/>
    <a:lstStyle/>
    <a:p>
      <a:pPr>
        <a:defRPr sz="11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charts/chart15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ser>
          <c:idx val="0"/>
          <c:order val="0"/>
          <c:tx>
            <c:strRef>
              <c:f>'Electricity report'!$L$553</c:f>
              <c:strCache>
                <c:ptCount val="1"/>
                <c:pt idx="0">
                  <c:v>Annual Tariff</c:v>
                </c:pt>
              </c:strCache>
            </c:strRef>
          </c:tx>
          <c:spPr>
            <a:solidFill>
              <a:srgbClr val="4472C4"/>
            </a:solidFill>
            <a:ln w="25400">
              <a:noFill/>
            </a:ln>
          </c:spPr>
          <c:invertIfNegative val="0"/>
          <c:dLbls>
            <c:spPr>
              <a:noFill/>
              <a:ln w="25400">
                <a:noFill/>
              </a:ln>
            </c:spPr>
            <c:txPr>
              <a:bodyPr wrap="square" lIns="38100" tIns="19050" rIns="38100" bIns="19050" anchor="ctr">
                <a:spAutoFit/>
              </a:bodyPr>
              <a:lstStyle/>
              <a:p>
                <a:pPr>
                  <a:defRPr sz="900" b="0" i="0" u="none" strike="noStrike" baseline="0">
                    <a:solidFill>
                      <a:srgbClr val="333333"/>
                    </a:solidFill>
                    <a:latin typeface="Calibri"/>
                    <a:ea typeface="Calibri"/>
                    <a:cs typeface="Calibri"/>
                  </a:defRPr>
                </a:pPr>
                <a:endParaRPr lang="en-US"/>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numRef>
              <c:f>'Electricity report'!$K$554:$K$558</c:f>
              <c:numCache>
                <c:formatCode>General</c:formatCode>
                <c:ptCount val="5"/>
                <c:pt idx="0">
                  <c:v>0</c:v>
                </c:pt>
                <c:pt idx="1">
                  <c:v>0</c:v>
                </c:pt>
                <c:pt idx="2">
                  <c:v>0</c:v>
                </c:pt>
                <c:pt idx="3">
                  <c:v>0</c:v>
                </c:pt>
                <c:pt idx="4">
                  <c:v>0</c:v>
                </c:pt>
              </c:numCache>
            </c:numRef>
          </c:cat>
          <c:val>
            <c:numRef>
              <c:f>'Electricity report'!$L$554:$L$558</c:f>
              <c:numCache>
                <c:formatCode>_(* #,##0.00_);_(* \(#,##0.00\);_(* "-"??_);_(@_)</c:formatCode>
                <c:ptCount val="5"/>
                <c:pt idx="0">
                  <c:v>2.993874325157218</c:v>
                </c:pt>
                <c:pt idx="1">
                  <c:v>0</c:v>
                </c:pt>
                <c:pt idx="2">
                  <c:v>0</c:v>
                </c:pt>
                <c:pt idx="3">
                  <c:v>0</c:v>
                </c:pt>
                <c:pt idx="4">
                  <c:v>0</c:v>
                </c:pt>
              </c:numCache>
            </c:numRef>
          </c:val>
          <c:extLst>
            <c:ext xmlns:c16="http://schemas.microsoft.com/office/drawing/2014/chart" uri="{C3380CC4-5D6E-409C-BE32-E72D297353CC}">
              <c16:uniqueId val="{00000000-51DA-402D-BF7A-58EA12793466}"/>
            </c:ext>
          </c:extLst>
        </c:ser>
        <c:ser>
          <c:idx val="1"/>
          <c:order val="1"/>
          <c:tx>
            <c:strRef>
              <c:f>'Electricity report'!$M$553</c:f>
              <c:strCache>
                <c:ptCount val="1"/>
              </c:strCache>
            </c:strRef>
          </c:tx>
          <c:spPr>
            <a:solidFill>
              <a:srgbClr val="ED7D31"/>
            </a:solidFill>
            <a:ln w="25400">
              <a:noFill/>
            </a:ln>
          </c:spPr>
          <c:invertIfNegative val="0"/>
          <c:dLbls>
            <c:spPr>
              <a:noFill/>
              <a:ln w="25400">
                <a:noFill/>
              </a:ln>
            </c:spPr>
            <c:txPr>
              <a:bodyPr wrap="square" lIns="38100" tIns="19050" rIns="38100" bIns="19050" anchor="ctr">
                <a:spAutoFit/>
              </a:bodyPr>
              <a:lstStyle/>
              <a:p>
                <a:pPr>
                  <a:defRPr sz="900" b="0" i="0" u="none" strike="noStrike" baseline="0">
                    <a:solidFill>
                      <a:srgbClr val="333333"/>
                    </a:solidFill>
                    <a:latin typeface="Calibri"/>
                    <a:ea typeface="Calibri"/>
                    <a:cs typeface="Calibri"/>
                  </a:defRPr>
                </a:pPr>
                <a:endParaRPr lang="en-US"/>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numRef>
              <c:f>'Electricity report'!$K$554:$K$558</c:f>
              <c:numCache>
                <c:formatCode>General</c:formatCode>
                <c:ptCount val="5"/>
                <c:pt idx="0">
                  <c:v>0</c:v>
                </c:pt>
                <c:pt idx="1">
                  <c:v>0</c:v>
                </c:pt>
                <c:pt idx="2">
                  <c:v>0</c:v>
                </c:pt>
                <c:pt idx="3">
                  <c:v>0</c:v>
                </c:pt>
                <c:pt idx="4">
                  <c:v>0</c:v>
                </c:pt>
              </c:numCache>
            </c:numRef>
          </c:cat>
          <c:val>
            <c:numRef>
              <c:f>'Electricity report'!$M$554:$M$558</c:f>
              <c:numCache>
                <c:formatCode>_(* #,##0.00_);_(* \(#,##0.00\);_(* "-"??_);_(@_)</c:formatCode>
                <c:ptCount val="5"/>
                <c:pt idx="0">
                  <c:v>0</c:v>
                </c:pt>
                <c:pt idx="1">
                  <c:v>0</c:v>
                </c:pt>
                <c:pt idx="2">
                  <c:v>0</c:v>
                </c:pt>
                <c:pt idx="3">
                  <c:v>0</c:v>
                </c:pt>
                <c:pt idx="4">
                  <c:v>0</c:v>
                </c:pt>
              </c:numCache>
            </c:numRef>
          </c:val>
          <c:extLst>
            <c:ext xmlns:c16="http://schemas.microsoft.com/office/drawing/2014/chart" uri="{C3380CC4-5D6E-409C-BE32-E72D297353CC}">
              <c16:uniqueId val="{00000001-51DA-402D-BF7A-58EA12793466}"/>
            </c:ext>
          </c:extLst>
        </c:ser>
        <c:dLbls>
          <c:showLegendKey val="0"/>
          <c:showVal val="0"/>
          <c:showCatName val="0"/>
          <c:showSerName val="0"/>
          <c:showPercent val="0"/>
          <c:showBubbleSize val="0"/>
        </c:dLbls>
        <c:gapWidth val="50"/>
        <c:axId val="1364657871"/>
        <c:axId val="1"/>
      </c:barChart>
      <c:lineChart>
        <c:grouping val="standard"/>
        <c:varyColors val="0"/>
        <c:ser>
          <c:idx val="2"/>
          <c:order val="2"/>
          <c:tx>
            <c:strRef>
              <c:f>'Electricity report'!$N$553</c:f>
              <c:strCache>
                <c:ptCount val="1"/>
                <c:pt idx="0">
                  <c:v>Total cost per kl </c:v>
                </c:pt>
              </c:strCache>
            </c:strRef>
          </c:tx>
          <c:spPr>
            <a:ln w="28575" cap="rnd">
              <a:solidFill>
                <a:schemeClr val="accent3"/>
              </a:solidFill>
              <a:round/>
            </a:ln>
            <a:effectLst/>
          </c:spPr>
          <c:marker>
            <c:symbol val="none"/>
          </c:marker>
          <c:cat>
            <c:numRef>
              <c:f>'Electricity report'!$K$554:$K$558</c:f>
              <c:numCache>
                <c:formatCode>General</c:formatCode>
                <c:ptCount val="5"/>
                <c:pt idx="0">
                  <c:v>0</c:v>
                </c:pt>
                <c:pt idx="1">
                  <c:v>0</c:v>
                </c:pt>
                <c:pt idx="2">
                  <c:v>0</c:v>
                </c:pt>
                <c:pt idx="3">
                  <c:v>0</c:v>
                </c:pt>
                <c:pt idx="4">
                  <c:v>0</c:v>
                </c:pt>
              </c:numCache>
            </c:numRef>
          </c:cat>
          <c:val>
            <c:numRef>
              <c:f>'Electricity report'!$N$554:$N$558</c:f>
              <c:numCache>
                <c:formatCode>_(* #,##0.00_);_(* \(#,##0.00\);_(* "-"??_);_(@_)</c:formatCode>
                <c:ptCount val="5"/>
                <c:pt idx="0">
                  <c:v>7.3577359226133803</c:v>
                </c:pt>
                <c:pt idx="1">
                  <c:v>7.3577359226133803</c:v>
                </c:pt>
                <c:pt idx="2">
                  <c:v>7.3577359226133803</c:v>
                </c:pt>
                <c:pt idx="3">
                  <c:v>7.3577359226133803</c:v>
                </c:pt>
                <c:pt idx="4">
                  <c:v>7.3577359226133803</c:v>
                </c:pt>
              </c:numCache>
            </c:numRef>
          </c:val>
          <c:smooth val="0"/>
          <c:extLst>
            <c:ext xmlns:c16="http://schemas.microsoft.com/office/drawing/2014/chart" uri="{C3380CC4-5D6E-409C-BE32-E72D297353CC}">
              <c16:uniqueId val="{00000002-51DA-402D-BF7A-58EA12793466}"/>
            </c:ext>
          </c:extLst>
        </c:ser>
        <c:ser>
          <c:idx val="3"/>
          <c:order val="3"/>
          <c:tx>
            <c:strRef>
              <c:f>'Electricity report'!$O$553</c:f>
              <c:strCache>
                <c:ptCount val="1"/>
                <c:pt idx="0">
                  <c:v>Variable cost per kWh</c:v>
                </c:pt>
              </c:strCache>
            </c:strRef>
          </c:tx>
          <c:spPr>
            <a:ln w="28575" cap="rnd">
              <a:solidFill>
                <a:schemeClr val="accent4"/>
              </a:solidFill>
              <a:round/>
            </a:ln>
            <a:effectLst/>
          </c:spPr>
          <c:marker>
            <c:symbol val="none"/>
          </c:marker>
          <c:cat>
            <c:numRef>
              <c:f>'Electricity report'!$K$554:$K$558</c:f>
              <c:numCache>
                <c:formatCode>General</c:formatCode>
                <c:ptCount val="5"/>
                <c:pt idx="0">
                  <c:v>0</c:v>
                </c:pt>
                <c:pt idx="1">
                  <c:v>0</c:v>
                </c:pt>
                <c:pt idx="2">
                  <c:v>0</c:v>
                </c:pt>
                <c:pt idx="3">
                  <c:v>0</c:v>
                </c:pt>
                <c:pt idx="4">
                  <c:v>0</c:v>
                </c:pt>
              </c:numCache>
            </c:numRef>
          </c:cat>
          <c:val>
            <c:numRef>
              <c:f>'Electricity report'!$O$554:$O$558</c:f>
              <c:numCache>
                <c:formatCode>_(* #,##0.00_);_(* \(#,##0.00\);_(* "-"??_);_(@_)</c:formatCode>
                <c:ptCount val="5"/>
                <c:pt idx="0">
                  <c:v>2.9819428113304198</c:v>
                </c:pt>
                <c:pt idx="1">
                  <c:v>2.9819428113304198</c:v>
                </c:pt>
                <c:pt idx="2">
                  <c:v>2.9819428113304198</c:v>
                </c:pt>
                <c:pt idx="3">
                  <c:v>2.9819428113304198</c:v>
                </c:pt>
                <c:pt idx="4">
                  <c:v>2.9819428113304198</c:v>
                </c:pt>
              </c:numCache>
            </c:numRef>
          </c:val>
          <c:smooth val="0"/>
          <c:extLst>
            <c:ext xmlns:c16="http://schemas.microsoft.com/office/drawing/2014/chart" uri="{C3380CC4-5D6E-409C-BE32-E72D297353CC}">
              <c16:uniqueId val="{00000003-51DA-402D-BF7A-58EA12793466}"/>
            </c:ext>
          </c:extLst>
        </c:ser>
        <c:dLbls>
          <c:showLegendKey val="0"/>
          <c:showVal val="0"/>
          <c:showCatName val="0"/>
          <c:showSerName val="0"/>
          <c:showPercent val="0"/>
          <c:showBubbleSize val="0"/>
        </c:dLbls>
        <c:marker val="1"/>
        <c:smooth val="0"/>
        <c:axId val="1364657871"/>
        <c:axId val="1"/>
      </c:lineChart>
      <c:catAx>
        <c:axId val="1364657871"/>
        <c:scaling>
          <c:orientation val="minMax"/>
        </c:scaling>
        <c:delete val="0"/>
        <c:axPos val="b"/>
        <c:title>
          <c:tx>
            <c:rich>
              <a:bodyPr/>
              <a:lstStyle/>
              <a:p>
                <a:pPr>
                  <a:defRPr sz="1000" b="0" i="0" u="none" strike="noStrike" baseline="0">
                    <a:solidFill>
                      <a:srgbClr val="333333"/>
                    </a:solidFill>
                    <a:latin typeface="Calibri"/>
                    <a:ea typeface="Calibri"/>
                    <a:cs typeface="Calibri"/>
                  </a:defRPr>
                </a:pPr>
                <a:r>
                  <a:rPr lang="en-ZA"/>
                  <a:t>Block size</a:t>
                </a:r>
              </a:p>
            </c:rich>
          </c:tx>
          <c:overlay val="0"/>
          <c:spPr>
            <a:noFill/>
            <a:ln w="25400">
              <a:noFill/>
            </a:ln>
          </c:spPr>
        </c:title>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0" vert="horz"/>
          <a:lstStyle/>
          <a:p>
            <a:pPr>
              <a:defRPr sz="900" b="0" i="0" u="none" strike="noStrike" baseline="0">
                <a:solidFill>
                  <a:srgbClr val="333333"/>
                </a:solidFill>
                <a:latin typeface="Calibri"/>
                <a:ea typeface="Calibri"/>
                <a:cs typeface="Calibri"/>
              </a:defRPr>
            </a:pPr>
            <a:endParaRPr lang="en-US"/>
          </a:p>
        </c:txPr>
        <c:crossAx val="1"/>
        <c:crosses val="autoZero"/>
        <c:auto val="1"/>
        <c:lblAlgn val="ctr"/>
        <c:lblOffset val="100"/>
        <c:noMultiLvlLbl val="0"/>
      </c:catAx>
      <c:valAx>
        <c:axId val="1"/>
        <c:scaling>
          <c:orientation val="minMax"/>
        </c:scaling>
        <c:delete val="0"/>
        <c:axPos val="l"/>
        <c:majorGridlines>
          <c:spPr>
            <a:ln w="9525" cap="flat" cmpd="sng" algn="ctr">
              <a:solidFill>
                <a:schemeClr val="tx1">
                  <a:lumMod val="15000"/>
                  <a:lumOff val="85000"/>
                </a:schemeClr>
              </a:solidFill>
              <a:round/>
            </a:ln>
            <a:effectLst/>
          </c:spPr>
        </c:majorGridlines>
        <c:title>
          <c:tx>
            <c:rich>
              <a:bodyPr/>
              <a:lstStyle/>
              <a:p>
                <a:pPr>
                  <a:defRPr sz="1000" b="0" i="0" u="none" strike="noStrike" baseline="0">
                    <a:solidFill>
                      <a:srgbClr val="333333"/>
                    </a:solidFill>
                    <a:latin typeface="Calibri"/>
                    <a:ea typeface="Calibri"/>
                    <a:cs typeface="Calibri"/>
                  </a:defRPr>
                </a:pPr>
                <a:r>
                  <a:rPr lang="en-ZA"/>
                  <a:t>R/kWh</a:t>
                </a:r>
              </a:p>
            </c:rich>
          </c:tx>
          <c:overlay val="0"/>
          <c:spPr>
            <a:noFill/>
            <a:ln w="25400">
              <a:noFill/>
            </a:ln>
          </c:spPr>
        </c:title>
        <c:numFmt formatCode="_(* #,##0.00_);_(* \(#,##0.00\);_(* &quot;-&quot;??_);_(@_)" sourceLinked="1"/>
        <c:majorTickMark val="none"/>
        <c:minorTickMark val="none"/>
        <c:tickLblPos val="nextTo"/>
        <c:spPr>
          <a:ln w="6350">
            <a:noFill/>
          </a:ln>
        </c:spPr>
        <c:txPr>
          <a:bodyPr rot="0" vert="horz"/>
          <a:lstStyle/>
          <a:p>
            <a:pPr>
              <a:defRPr sz="900" b="0" i="0" u="none" strike="noStrike" baseline="0">
                <a:solidFill>
                  <a:srgbClr val="333333"/>
                </a:solidFill>
                <a:latin typeface="Calibri"/>
                <a:ea typeface="Calibri"/>
                <a:cs typeface="Calibri"/>
              </a:defRPr>
            </a:pPr>
            <a:endParaRPr lang="en-US"/>
          </a:p>
        </c:txPr>
        <c:crossAx val="1364657871"/>
        <c:crosses val="autoZero"/>
        <c:crossBetween val="between"/>
      </c:valAx>
      <c:spPr>
        <a:noFill/>
        <a:ln w="25400">
          <a:noFill/>
        </a:ln>
      </c:spPr>
    </c:plotArea>
    <c:legend>
      <c:legendPos val="r"/>
      <c:layout>
        <c:manualLayout>
          <c:xMode val="edge"/>
          <c:yMode val="edge"/>
          <c:x val="4.7023424579764522E-2"/>
          <c:y val="0.92826131183362848"/>
          <c:w val="0.90128222216737008"/>
          <c:h val="5.2633337100804978E-2"/>
        </c:manualLayout>
      </c:layout>
      <c:overlay val="0"/>
      <c:spPr>
        <a:noFill/>
        <a:ln w="25400">
          <a:noFill/>
        </a:ln>
      </c:spPr>
      <c:txPr>
        <a:bodyPr/>
        <a:lstStyle/>
        <a:p>
          <a:pPr>
            <a:defRPr sz="690" b="0" i="0" u="none" strike="noStrike" baseline="0">
              <a:solidFill>
                <a:srgbClr val="333333"/>
              </a:solidFill>
              <a:latin typeface="Calibri"/>
              <a:ea typeface="Calibri"/>
              <a:cs typeface="Calibri"/>
            </a:defRPr>
          </a:pPr>
          <a:endParaRPr lang="en-US"/>
        </a:p>
      </c:txPr>
    </c:legend>
    <c:plotVisOnly val="1"/>
    <c:dispBlanksAs val="gap"/>
    <c:showDLblsOverMax val="0"/>
  </c:chart>
  <c:spPr>
    <a:solidFill>
      <a:schemeClr val="bg1"/>
    </a:solidFill>
    <a:ln w="9525" cap="flat" cmpd="sng" algn="ctr">
      <a:noFill/>
      <a:round/>
    </a:ln>
    <a:effectLst/>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charts/chart15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2.3871527777777776E-2"/>
          <c:y val="4.7786414907172239E-2"/>
          <c:w val="0.57559123468941387"/>
          <c:h val="0.83529592857692603"/>
        </c:manualLayout>
      </c:layout>
      <c:barChart>
        <c:barDir val="col"/>
        <c:grouping val="stacked"/>
        <c:varyColors val="0"/>
        <c:ser>
          <c:idx val="0"/>
          <c:order val="0"/>
          <c:tx>
            <c:strRef>
              <c:f>'Electricity report'!$J$600</c:f>
              <c:strCache>
                <c:ptCount val="1"/>
                <c:pt idx="0">
                  <c:v>Customer costs </c:v>
                </c:pt>
              </c:strCache>
            </c:strRef>
          </c:tx>
          <c:spPr>
            <a:solidFill>
              <a:srgbClr val="4472C4"/>
            </a:solidFill>
            <a:ln w="25400">
              <a:noFill/>
            </a:ln>
          </c:spPr>
          <c:invertIfNegative val="0"/>
          <c:dPt>
            <c:idx val="0"/>
            <c:invertIfNegative val="0"/>
            <c:bubble3D val="0"/>
            <c:spPr>
              <a:solidFill>
                <a:srgbClr val="5B9BD5"/>
              </a:solidFill>
              <a:ln w="25400">
                <a:noFill/>
              </a:ln>
            </c:spPr>
            <c:extLst>
              <c:ext xmlns:c16="http://schemas.microsoft.com/office/drawing/2014/chart" uri="{C3380CC4-5D6E-409C-BE32-E72D297353CC}">
                <c16:uniqueId val="{00000000-6CD1-43E2-BD59-1C9721A97C59}"/>
              </c:ext>
            </c:extLst>
          </c:dPt>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'Electricity report'!$K$599:$L$599</c:f>
              <c:strCache>
                <c:ptCount val="2"/>
                <c:pt idx="0">
                  <c:v>Expenditure R'000</c:v>
                </c:pt>
                <c:pt idx="1">
                  <c:v>Revenue R'000</c:v>
                </c:pt>
              </c:strCache>
            </c:strRef>
          </c:cat>
          <c:val>
            <c:numRef>
              <c:f>'Electricity report'!$K$600:$L$600</c:f>
              <c:numCache>
                <c:formatCode>General</c:formatCode>
                <c:ptCount val="2"/>
                <c:pt idx="0" formatCode="_-* #\ ##0_-;\-* #\ ##0_-;_-* &quot;-&quot;??_-;_-@_-">
                  <c:v>3056.4370986754216</c:v>
                </c:pt>
              </c:numCache>
            </c:numRef>
          </c:val>
          <c:extLst>
            <c:ext xmlns:c16="http://schemas.microsoft.com/office/drawing/2014/chart" uri="{C3380CC4-5D6E-409C-BE32-E72D297353CC}">
              <c16:uniqueId val="{00000001-6CD1-43E2-BD59-1C9721A97C59}"/>
            </c:ext>
          </c:extLst>
        </c:ser>
        <c:ser>
          <c:idx val="1"/>
          <c:order val="1"/>
          <c:tx>
            <c:strRef>
              <c:f>'Electricity report'!$J$601</c:f>
              <c:strCache>
                <c:ptCount val="1"/>
                <c:pt idx="0">
                  <c:v>Energy costs</c:v>
                </c:pt>
              </c:strCache>
            </c:strRef>
          </c:tx>
          <c:spPr>
            <a:solidFill>
              <a:schemeClr val="accent5">
                <a:lumMod val="60000"/>
                <a:lumOff val="40000"/>
              </a:schemeClr>
            </a:solidFill>
            <a:ln>
              <a:noFill/>
            </a:ln>
            <a:effectLst/>
          </c:spPr>
          <c:invertIfNegative val="0"/>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'Electricity report'!$K$599:$L$599</c:f>
              <c:strCache>
                <c:ptCount val="2"/>
                <c:pt idx="0">
                  <c:v>Expenditure R'000</c:v>
                </c:pt>
                <c:pt idx="1">
                  <c:v>Revenue R'000</c:v>
                </c:pt>
              </c:strCache>
            </c:strRef>
          </c:cat>
          <c:val>
            <c:numRef>
              <c:f>'Electricity report'!$K$601:$L$601</c:f>
              <c:numCache>
                <c:formatCode>General</c:formatCode>
                <c:ptCount val="2"/>
                <c:pt idx="0" formatCode="_-* #\ ##0_-;\-* #\ ##0_-;_-* &quot;-&quot;??_-;_-@_-">
                  <c:v>14922.793752405441</c:v>
                </c:pt>
              </c:numCache>
            </c:numRef>
          </c:val>
          <c:extLst>
            <c:ext xmlns:c16="http://schemas.microsoft.com/office/drawing/2014/chart" uri="{C3380CC4-5D6E-409C-BE32-E72D297353CC}">
              <c16:uniqueId val="{00000002-6CD1-43E2-BD59-1C9721A97C59}"/>
            </c:ext>
          </c:extLst>
        </c:ser>
        <c:ser>
          <c:idx val="2"/>
          <c:order val="2"/>
          <c:tx>
            <c:strRef>
              <c:f>'Electricity report'!$J$602</c:f>
              <c:strCache>
                <c:ptCount val="1"/>
                <c:pt idx="0">
                  <c:v>Demand cost</c:v>
                </c:pt>
              </c:strCache>
            </c:strRef>
          </c:tx>
          <c:spPr>
            <a:solidFill>
              <a:srgbClr val="A5A5A5"/>
            </a:solidFill>
            <a:ln w="25400">
              <a:noFill/>
            </a:ln>
          </c:spPr>
          <c:invertIfNegative val="0"/>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'Electricity report'!$K$599:$L$599</c:f>
              <c:strCache>
                <c:ptCount val="2"/>
                <c:pt idx="0">
                  <c:v>Expenditure R'000</c:v>
                </c:pt>
                <c:pt idx="1">
                  <c:v>Revenue R'000</c:v>
                </c:pt>
              </c:strCache>
            </c:strRef>
          </c:cat>
          <c:val>
            <c:numRef>
              <c:f>'Electricity report'!$K$602:$L$602</c:f>
              <c:numCache>
                <c:formatCode>General</c:formatCode>
                <c:ptCount val="2"/>
                <c:pt idx="0" formatCode="_-* #\ ##0_-;\-* #\ ##0_-;_-* &quot;-&quot;??_-;_-@_-">
                  <c:v>0</c:v>
                </c:pt>
              </c:numCache>
            </c:numRef>
          </c:val>
          <c:extLst>
            <c:ext xmlns:c16="http://schemas.microsoft.com/office/drawing/2014/chart" uri="{C3380CC4-5D6E-409C-BE32-E72D297353CC}">
              <c16:uniqueId val="{00000003-6CD1-43E2-BD59-1C9721A97C59}"/>
            </c:ext>
          </c:extLst>
        </c:ser>
        <c:ser>
          <c:idx val="4"/>
          <c:order val="3"/>
          <c:tx>
            <c:strRef>
              <c:f>'Electricity report'!$J$603</c:f>
              <c:strCache>
                <c:ptCount val="1"/>
                <c:pt idx="0">
                  <c:v>Surplus</c:v>
                </c:pt>
              </c:strCache>
            </c:strRef>
          </c:tx>
          <c:spPr>
            <a:solidFill>
              <a:srgbClr val="5B9BD5"/>
            </a:solidFill>
            <a:ln w="25400">
              <a:noFill/>
            </a:ln>
          </c:spPr>
          <c:invertIfNegative val="0"/>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'Electricity report'!$K$599:$L$599</c:f>
              <c:strCache>
                <c:ptCount val="2"/>
                <c:pt idx="0">
                  <c:v>Expenditure R'000</c:v>
                </c:pt>
                <c:pt idx="1">
                  <c:v>Revenue R'000</c:v>
                </c:pt>
              </c:strCache>
            </c:strRef>
          </c:cat>
          <c:val>
            <c:numRef>
              <c:f>'Electricity report'!$K$603:$L$603</c:f>
              <c:numCache>
                <c:formatCode>General</c:formatCode>
                <c:ptCount val="2"/>
                <c:pt idx="0" formatCode="_-* #\ ##0_-;\-* #\ ##0_-;_-* &quot;-&quot;??_-;_-@_-">
                  <c:v>0</c:v>
                </c:pt>
              </c:numCache>
            </c:numRef>
          </c:val>
          <c:extLst>
            <c:ext xmlns:c16="http://schemas.microsoft.com/office/drawing/2014/chart" uri="{C3380CC4-5D6E-409C-BE32-E72D297353CC}">
              <c16:uniqueId val="{00000004-6CD1-43E2-BD59-1C9721A97C59}"/>
            </c:ext>
          </c:extLst>
        </c:ser>
        <c:ser>
          <c:idx val="5"/>
          <c:order val="4"/>
          <c:tx>
            <c:strRef>
              <c:f>'Electricity report'!$J$604</c:f>
              <c:strCache>
                <c:ptCount val="1"/>
                <c:pt idx="0">
                  <c:v>Tariff revenue</c:v>
                </c:pt>
              </c:strCache>
            </c:strRef>
          </c:tx>
          <c:spPr>
            <a:solidFill>
              <a:srgbClr val="A5A5A5"/>
            </a:solidFill>
            <a:ln w="25400">
              <a:noFill/>
            </a:ln>
          </c:spPr>
          <c:invertIfNegative val="0"/>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'Electricity report'!$K$599:$L$599</c:f>
              <c:strCache>
                <c:ptCount val="2"/>
                <c:pt idx="0">
                  <c:v>Expenditure R'000</c:v>
                </c:pt>
                <c:pt idx="1">
                  <c:v>Revenue R'000</c:v>
                </c:pt>
              </c:strCache>
            </c:strRef>
          </c:cat>
          <c:val>
            <c:numRef>
              <c:f>'Electricity report'!$K$604:$L$604</c:f>
              <c:numCache>
                <c:formatCode>_-* #\ ##0_-;\-* #\ ##0_-;_-* "-"??_-;_-@_-</c:formatCode>
                <c:ptCount val="2"/>
                <c:pt idx="1">
                  <c:v>16294.62770357573</c:v>
                </c:pt>
              </c:numCache>
            </c:numRef>
          </c:val>
          <c:extLst>
            <c:ext xmlns:c16="http://schemas.microsoft.com/office/drawing/2014/chart" uri="{C3380CC4-5D6E-409C-BE32-E72D297353CC}">
              <c16:uniqueId val="{00000005-6CD1-43E2-BD59-1C9721A97C59}"/>
            </c:ext>
          </c:extLst>
        </c:ser>
        <c:ser>
          <c:idx val="3"/>
          <c:order val="5"/>
          <c:tx>
            <c:strRef>
              <c:f>'Electricity report'!$J$605</c:f>
              <c:strCache>
                <c:ptCount val="1"/>
                <c:pt idx="0">
                  <c:v>External grants &amp; subsidies</c:v>
                </c:pt>
              </c:strCache>
            </c:strRef>
          </c:tx>
          <c:spPr>
            <a:solidFill>
              <a:schemeClr val="accent3">
                <a:lumMod val="40000"/>
                <a:lumOff val="60000"/>
              </a:schemeClr>
            </a:solidFill>
            <a:ln>
              <a:noFill/>
            </a:ln>
            <a:effectLst/>
          </c:spPr>
          <c:invertIfNegative val="0"/>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'Electricity report'!$K$599:$L$599</c:f>
              <c:strCache>
                <c:ptCount val="2"/>
                <c:pt idx="0">
                  <c:v>Expenditure R'000</c:v>
                </c:pt>
                <c:pt idx="1">
                  <c:v>Revenue R'000</c:v>
                </c:pt>
              </c:strCache>
            </c:strRef>
          </c:cat>
          <c:val>
            <c:numRef>
              <c:f>'Electricity report'!$K$605:$L$605</c:f>
              <c:numCache>
                <c:formatCode>_-* #\ ##0_-;\-* #\ ##0_-;_-* "-"??_-;_-@_-</c:formatCode>
                <c:ptCount val="2"/>
                <c:pt idx="1">
                  <c:v>0</c:v>
                </c:pt>
              </c:numCache>
            </c:numRef>
          </c:val>
          <c:extLst>
            <c:ext xmlns:c16="http://schemas.microsoft.com/office/drawing/2014/chart" uri="{C3380CC4-5D6E-409C-BE32-E72D297353CC}">
              <c16:uniqueId val="{00000006-6CD1-43E2-BD59-1C9721A97C59}"/>
            </c:ext>
          </c:extLst>
        </c:ser>
        <c:ser>
          <c:idx val="6"/>
          <c:order val="6"/>
          <c:tx>
            <c:strRef>
              <c:f>'Electricity report'!$J$606</c:f>
              <c:strCache>
                <c:ptCount val="1"/>
                <c:pt idx="0">
                  <c:v>Other non-tariff revenue</c:v>
                </c:pt>
              </c:strCache>
            </c:strRef>
          </c:tx>
          <c:spPr>
            <a:solidFill>
              <a:srgbClr val="ED7D31"/>
            </a:solidFill>
            <a:ln w="25400">
              <a:noFill/>
            </a:ln>
          </c:spPr>
          <c:invertIfNegative val="0"/>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'Electricity report'!$K$599:$L$599</c:f>
              <c:strCache>
                <c:ptCount val="2"/>
                <c:pt idx="0">
                  <c:v>Expenditure R'000</c:v>
                </c:pt>
                <c:pt idx="1">
                  <c:v>Revenue R'000</c:v>
                </c:pt>
              </c:strCache>
            </c:strRef>
          </c:cat>
          <c:val>
            <c:numRef>
              <c:f>'Electricity report'!$K$606:$L$606</c:f>
              <c:numCache>
                <c:formatCode>_-* #\ ##0_-;\-* #\ ##0_-;_-* "-"??_-;_-@_-</c:formatCode>
                <c:ptCount val="2"/>
                <c:pt idx="1">
                  <c:v>1684.603147505135</c:v>
                </c:pt>
              </c:numCache>
            </c:numRef>
          </c:val>
          <c:extLst>
            <c:ext xmlns:c16="http://schemas.microsoft.com/office/drawing/2014/chart" uri="{C3380CC4-5D6E-409C-BE32-E72D297353CC}">
              <c16:uniqueId val="{00000007-6CD1-43E2-BD59-1C9721A97C59}"/>
            </c:ext>
          </c:extLst>
        </c:ser>
        <c:ser>
          <c:idx val="7"/>
          <c:order val="7"/>
          <c:tx>
            <c:strRef>
              <c:f>'Electricity report'!$J$607</c:f>
              <c:strCache>
                <c:ptCount val="1"/>
                <c:pt idx="0">
                  <c:v>Deficit</c:v>
                </c:pt>
              </c:strCache>
            </c:strRef>
          </c:tx>
          <c:spPr>
            <a:solidFill>
              <a:srgbClr val="4472C4"/>
            </a:solidFill>
            <a:ln w="25400">
              <a:noFill/>
            </a:ln>
          </c:spPr>
          <c:invertIfNegative val="0"/>
          <c:dPt>
            <c:idx val="0"/>
            <c:invertIfNegative val="0"/>
            <c:bubble3D val="0"/>
            <c:spPr>
              <a:solidFill>
                <a:srgbClr val="5B9BD5"/>
              </a:solidFill>
              <a:ln w="25400">
                <a:noFill/>
              </a:ln>
            </c:spPr>
            <c:extLst>
              <c:ext xmlns:c16="http://schemas.microsoft.com/office/drawing/2014/chart" uri="{C3380CC4-5D6E-409C-BE32-E72D297353CC}">
                <c16:uniqueId val="{00000008-6CD1-43E2-BD59-1C9721A97C59}"/>
              </c:ext>
            </c:extLst>
          </c:dPt>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'Electricity report'!$K$599:$L$599</c:f>
              <c:strCache>
                <c:ptCount val="2"/>
                <c:pt idx="0">
                  <c:v>Expenditure R'000</c:v>
                </c:pt>
                <c:pt idx="1">
                  <c:v>Revenue R'000</c:v>
                </c:pt>
              </c:strCache>
            </c:strRef>
          </c:cat>
          <c:val>
            <c:numRef>
              <c:f>'Electricity report'!$K$607:$L$607</c:f>
              <c:numCache>
                <c:formatCode>_-* #\ ##0_-;\-* #\ ##0_-;_-* "-"??_-;_-@_-</c:formatCode>
                <c:ptCount val="2"/>
                <c:pt idx="1">
                  <c:v>0</c:v>
                </c:pt>
              </c:numCache>
            </c:numRef>
          </c:val>
          <c:extLst>
            <c:ext xmlns:c16="http://schemas.microsoft.com/office/drawing/2014/chart" uri="{C3380CC4-5D6E-409C-BE32-E72D297353CC}">
              <c16:uniqueId val="{00000009-6CD1-43E2-BD59-1C9721A97C59}"/>
            </c:ext>
          </c:extLst>
        </c:ser>
        <c:dLbls>
          <c:showLegendKey val="0"/>
          <c:showVal val="0"/>
          <c:showCatName val="0"/>
          <c:showSerName val="0"/>
          <c:showPercent val="0"/>
          <c:showBubbleSize val="0"/>
        </c:dLbls>
        <c:gapWidth val="25"/>
        <c:overlap val="100"/>
        <c:axId val="1364643951"/>
        <c:axId val="1"/>
      </c:barChart>
      <c:catAx>
        <c:axId val="1364643951"/>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0" vert="horz"/>
          <a:lstStyle/>
          <a:p>
            <a:pPr>
              <a:defRPr sz="1100" b="0" i="0" u="none" strike="noStrike" baseline="0">
                <a:solidFill>
                  <a:srgbClr val="000000"/>
                </a:solidFill>
                <a:latin typeface="Calibri"/>
                <a:ea typeface="Calibri"/>
                <a:cs typeface="Calibri"/>
              </a:defRPr>
            </a:pPr>
            <a:endParaRPr lang="en-US"/>
          </a:p>
        </c:txPr>
        <c:crossAx val="1"/>
        <c:crosses val="autoZero"/>
        <c:auto val="1"/>
        <c:lblAlgn val="ctr"/>
        <c:lblOffset val="100"/>
        <c:noMultiLvlLbl val="0"/>
      </c:catAx>
      <c:valAx>
        <c:axId val="1"/>
        <c:scaling>
          <c:orientation val="minMax"/>
        </c:scaling>
        <c:delete val="1"/>
        <c:axPos val="l"/>
        <c:majorGridlines>
          <c:spPr>
            <a:ln w="9525" cap="flat" cmpd="sng" algn="ctr">
              <a:solidFill>
                <a:schemeClr val="tx1">
                  <a:lumMod val="15000"/>
                  <a:lumOff val="85000"/>
                </a:schemeClr>
              </a:solidFill>
              <a:round/>
            </a:ln>
            <a:effectLst/>
          </c:spPr>
        </c:majorGridlines>
        <c:numFmt formatCode="_-* #\ ##0_-;\-* #\ ##0_-;_-* &quot;-&quot;??_-;_-@_-" sourceLinked="1"/>
        <c:majorTickMark val="out"/>
        <c:minorTickMark val="none"/>
        <c:tickLblPos val="nextTo"/>
        <c:crossAx val="1364643951"/>
        <c:crosses val="autoZero"/>
        <c:crossBetween val="between"/>
      </c:valAx>
    </c:plotArea>
    <c:legend>
      <c:legendPos val="r"/>
      <c:layout>
        <c:manualLayout>
          <c:xMode val="edge"/>
          <c:yMode val="edge"/>
          <c:x val="0.63382220414936397"/>
          <c:y val="0.19091513560804899"/>
          <c:w val="0.35838346497767593"/>
          <c:h val="0.67880919430525732"/>
        </c:manualLayout>
      </c:layout>
      <c:overlay val="0"/>
      <c:spPr>
        <a:noFill/>
        <a:ln w="25400">
          <a:noFill/>
        </a:ln>
      </c:spPr>
      <c:txPr>
        <a:bodyPr/>
        <a:lstStyle/>
        <a:p>
          <a:pPr>
            <a:defRPr sz="850" b="0" i="0" u="none" strike="noStrike" baseline="0">
              <a:solidFill>
                <a:srgbClr val="000000"/>
              </a:solidFill>
              <a:latin typeface="Calibri"/>
              <a:ea typeface="Calibri"/>
              <a:cs typeface="Calibri"/>
            </a:defRPr>
          </a:pPr>
          <a:endParaRPr lang="en-US"/>
        </a:p>
      </c:txPr>
    </c:legend>
    <c:plotVisOnly val="1"/>
    <c:dispBlanksAs val="gap"/>
    <c:showDLblsOverMax val="0"/>
  </c:chart>
  <c:spPr>
    <a:solidFill>
      <a:schemeClr val="bg1"/>
    </a:solidFill>
    <a:ln w="9525" cap="flat" cmpd="sng" algn="ctr">
      <a:noFill/>
      <a:round/>
    </a:ln>
    <a:effectLst/>
  </c:spPr>
  <c:txPr>
    <a:bodyPr/>
    <a:lstStyle/>
    <a:p>
      <a:pPr>
        <a:defRPr sz="11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charts/chart15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ser>
          <c:idx val="0"/>
          <c:order val="0"/>
          <c:tx>
            <c:strRef>
              <c:f>'Electricity report'!$L$623</c:f>
              <c:strCache>
                <c:ptCount val="1"/>
                <c:pt idx="0">
                  <c:v>Annual Tariff</c:v>
                </c:pt>
              </c:strCache>
            </c:strRef>
          </c:tx>
          <c:spPr>
            <a:solidFill>
              <a:srgbClr val="4472C4"/>
            </a:solidFill>
            <a:ln w="25400">
              <a:noFill/>
            </a:ln>
          </c:spPr>
          <c:invertIfNegative val="0"/>
          <c:dLbls>
            <c:spPr>
              <a:noFill/>
              <a:ln w="25400">
                <a:noFill/>
              </a:ln>
            </c:spPr>
            <c:txPr>
              <a:bodyPr wrap="square" lIns="38100" tIns="19050" rIns="38100" bIns="19050" anchor="ctr">
                <a:spAutoFit/>
              </a:bodyPr>
              <a:lstStyle/>
              <a:p>
                <a:pPr>
                  <a:defRPr sz="900" b="0" i="0" u="none" strike="noStrike" baseline="0">
                    <a:solidFill>
                      <a:srgbClr val="333333"/>
                    </a:solidFill>
                    <a:latin typeface="Calibri"/>
                    <a:ea typeface="Calibri"/>
                    <a:cs typeface="Calibri"/>
                  </a:defRPr>
                </a:pPr>
                <a:endParaRPr lang="en-US"/>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numRef>
              <c:f>'Electricity report'!$K$624:$K$628</c:f>
              <c:numCache>
                <c:formatCode>General</c:formatCode>
                <c:ptCount val="5"/>
                <c:pt idx="0">
                  <c:v>0</c:v>
                </c:pt>
                <c:pt idx="1">
                  <c:v>0</c:v>
                </c:pt>
                <c:pt idx="2">
                  <c:v>0</c:v>
                </c:pt>
                <c:pt idx="3">
                  <c:v>0</c:v>
                </c:pt>
                <c:pt idx="4">
                  <c:v>0</c:v>
                </c:pt>
              </c:numCache>
            </c:numRef>
          </c:cat>
          <c:val>
            <c:numRef>
              <c:f>'Electricity report'!$L$624:$L$628</c:f>
              <c:numCache>
                <c:formatCode>_(* #,##0.00_);_(* \(#,##0.00\);_(* "-"??_);_(@_)</c:formatCode>
                <c:ptCount val="5"/>
                <c:pt idx="0">
                  <c:v>3.2560691215176032</c:v>
                </c:pt>
                <c:pt idx="1">
                  <c:v>0</c:v>
                </c:pt>
                <c:pt idx="2">
                  <c:v>0</c:v>
                </c:pt>
                <c:pt idx="3">
                  <c:v>0</c:v>
                </c:pt>
                <c:pt idx="4">
                  <c:v>0</c:v>
                </c:pt>
              </c:numCache>
            </c:numRef>
          </c:val>
          <c:extLst>
            <c:ext xmlns:c16="http://schemas.microsoft.com/office/drawing/2014/chart" uri="{C3380CC4-5D6E-409C-BE32-E72D297353CC}">
              <c16:uniqueId val="{00000000-E7FB-4EE5-96E7-4254B109FA49}"/>
            </c:ext>
          </c:extLst>
        </c:ser>
        <c:ser>
          <c:idx val="1"/>
          <c:order val="1"/>
          <c:tx>
            <c:strRef>
              <c:f>'Electricity report'!$M$623</c:f>
              <c:strCache>
                <c:ptCount val="1"/>
              </c:strCache>
            </c:strRef>
          </c:tx>
          <c:spPr>
            <a:solidFill>
              <a:srgbClr val="ED7D31"/>
            </a:solidFill>
            <a:ln w="25400">
              <a:noFill/>
            </a:ln>
          </c:spPr>
          <c:invertIfNegative val="0"/>
          <c:dLbls>
            <c:spPr>
              <a:noFill/>
              <a:ln w="25400">
                <a:noFill/>
              </a:ln>
            </c:spPr>
            <c:txPr>
              <a:bodyPr wrap="square" lIns="38100" tIns="19050" rIns="38100" bIns="19050" anchor="ctr">
                <a:spAutoFit/>
              </a:bodyPr>
              <a:lstStyle/>
              <a:p>
                <a:pPr>
                  <a:defRPr sz="900" b="0" i="0" u="none" strike="noStrike" baseline="0">
                    <a:solidFill>
                      <a:srgbClr val="333333"/>
                    </a:solidFill>
                    <a:latin typeface="Calibri"/>
                    <a:ea typeface="Calibri"/>
                    <a:cs typeface="Calibri"/>
                  </a:defRPr>
                </a:pPr>
                <a:endParaRPr lang="en-US"/>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numRef>
              <c:f>'Electricity report'!$K$624:$K$628</c:f>
              <c:numCache>
                <c:formatCode>General</c:formatCode>
                <c:ptCount val="5"/>
                <c:pt idx="0">
                  <c:v>0</c:v>
                </c:pt>
                <c:pt idx="1">
                  <c:v>0</c:v>
                </c:pt>
                <c:pt idx="2">
                  <c:v>0</c:v>
                </c:pt>
                <c:pt idx="3">
                  <c:v>0</c:v>
                </c:pt>
                <c:pt idx="4">
                  <c:v>0</c:v>
                </c:pt>
              </c:numCache>
            </c:numRef>
          </c:cat>
          <c:val>
            <c:numRef>
              <c:f>'Electricity report'!$M$624:$M$628</c:f>
              <c:numCache>
                <c:formatCode>_(* #,##0.00_);_(* \(#,##0.00\);_(* "-"??_);_(@_)</c:formatCode>
                <c:ptCount val="5"/>
                <c:pt idx="0">
                  <c:v>0</c:v>
                </c:pt>
                <c:pt idx="1">
                  <c:v>0</c:v>
                </c:pt>
                <c:pt idx="2">
                  <c:v>0</c:v>
                </c:pt>
                <c:pt idx="3">
                  <c:v>0</c:v>
                </c:pt>
                <c:pt idx="4">
                  <c:v>0</c:v>
                </c:pt>
              </c:numCache>
            </c:numRef>
          </c:val>
          <c:extLst>
            <c:ext xmlns:c16="http://schemas.microsoft.com/office/drawing/2014/chart" uri="{C3380CC4-5D6E-409C-BE32-E72D297353CC}">
              <c16:uniqueId val="{00000001-E7FB-4EE5-96E7-4254B109FA49}"/>
            </c:ext>
          </c:extLst>
        </c:ser>
        <c:dLbls>
          <c:showLegendKey val="0"/>
          <c:showVal val="0"/>
          <c:showCatName val="0"/>
          <c:showSerName val="0"/>
          <c:showPercent val="0"/>
          <c:showBubbleSize val="0"/>
        </c:dLbls>
        <c:gapWidth val="50"/>
        <c:axId val="1364662191"/>
        <c:axId val="1"/>
      </c:barChart>
      <c:lineChart>
        <c:grouping val="standard"/>
        <c:varyColors val="0"/>
        <c:ser>
          <c:idx val="2"/>
          <c:order val="2"/>
          <c:tx>
            <c:strRef>
              <c:f>'Electricity report'!$N$623</c:f>
              <c:strCache>
                <c:ptCount val="1"/>
                <c:pt idx="0">
                  <c:v>Total cost per kl </c:v>
                </c:pt>
              </c:strCache>
            </c:strRef>
          </c:tx>
          <c:spPr>
            <a:ln w="28575" cap="rnd">
              <a:solidFill>
                <a:schemeClr val="accent3"/>
              </a:solidFill>
              <a:round/>
            </a:ln>
            <a:effectLst/>
          </c:spPr>
          <c:marker>
            <c:symbol val="none"/>
          </c:marker>
          <c:cat>
            <c:numRef>
              <c:f>'Electricity report'!$K$624:$K$628</c:f>
              <c:numCache>
                <c:formatCode>General</c:formatCode>
                <c:ptCount val="5"/>
                <c:pt idx="0">
                  <c:v>0</c:v>
                </c:pt>
                <c:pt idx="1">
                  <c:v>0</c:v>
                </c:pt>
                <c:pt idx="2">
                  <c:v>0</c:v>
                </c:pt>
                <c:pt idx="3">
                  <c:v>0</c:v>
                </c:pt>
                <c:pt idx="4">
                  <c:v>0</c:v>
                </c:pt>
              </c:numCache>
            </c:numRef>
          </c:cat>
          <c:val>
            <c:numRef>
              <c:f>'Electricity report'!$N$624:$N$628</c:f>
              <c:numCache>
                <c:formatCode>_(* #,##0.00_);_(* \(#,##0.00\);_(* "-"??_);_(@_)</c:formatCode>
                <c:ptCount val="5"/>
                <c:pt idx="0">
                  <c:v>3.592694443089028</c:v>
                </c:pt>
                <c:pt idx="1">
                  <c:v>3.592694443089028</c:v>
                </c:pt>
                <c:pt idx="2">
                  <c:v>3.592694443089028</c:v>
                </c:pt>
                <c:pt idx="3">
                  <c:v>3.592694443089028</c:v>
                </c:pt>
                <c:pt idx="4">
                  <c:v>3.592694443089028</c:v>
                </c:pt>
              </c:numCache>
            </c:numRef>
          </c:val>
          <c:smooth val="0"/>
          <c:extLst>
            <c:ext xmlns:c16="http://schemas.microsoft.com/office/drawing/2014/chart" uri="{C3380CC4-5D6E-409C-BE32-E72D297353CC}">
              <c16:uniqueId val="{00000002-E7FB-4EE5-96E7-4254B109FA49}"/>
            </c:ext>
          </c:extLst>
        </c:ser>
        <c:ser>
          <c:idx val="3"/>
          <c:order val="3"/>
          <c:tx>
            <c:strRef>
              <c:f>'Electricity report'!$O$623</c:f>
              <c:strCache>
                <c:ptCount val="1"/>
                <c:pt idx="0">
                  <c:v>Variable cost per kWh</c:v>
                </c:pt>
              </c:strCache>
            </c:strRef>
          </c:tx>
          <c:spPr>
            <a:ln w="28575" cap="rnd">
              <a:solidFill>
                <a:schemeClr val="accent4"/>
              </a:solidFill>
              <a:round/>
            </a:ln>
            <a:effectLst/>
          </c:spPr>
          <c:marker>
            <c:symbol val="none"/>
          </c:marker>
          <c:cat>
            <c:numRef>
              <c:f>'Electricity report'!$K$624:$K$628</c:f>
              <c:numCache>
                <c:formatCode>General</c:formatCode>
                <c:ptCount val="5"/>
                <c:pt idx="0">
                  <c:v>0</c:v>
                </c:pt>
                <c:pt idx="1">
                  <c:v>0</c:v>
                </c:pt>
                <c:pt idx="2">
                  <c:v>0</c:v>
                </c:pt>
                <c:pt idx="3">
                  <c:v>0</c:v>
                </c:pt>
                <c:pt idx="4">
                  <c:v>0</c:v>
                </c:pt>
              </c:numCache>
            </c:numRef>
          </c:cat>
          <c:val>
            <c:numRef>
              <c:f>'Electricity report'!$O$624:$O$628</c:f>
              <c:numCache>
                <c:formatCode>_(* #,##0.00_);_(* \(#,##0.00\);_(* "-"??_);_(@_)</c:formatCode>
                <c:ptCount val="5"/>
                <c:pt idx="0">
                  <c:v>2.9819428113304203</c:v>
                </c:pt>
                <c:pt idx="1">
                  <c:v>2.9819428113304203</c:v>
                </c:pt>
                <c:pt idx="2">
                  <c:v>2.9819428113304203</c:v>
                </c:pt>
                <c:pt idx="3">
                  <c:v>2.9819428113304203</c:v>
                </c:pt>
                <c:pt idx="4">
                  <c:v>2.9819428113304203</c:v>
                </c:pt>
              </c:numCache>
            </c:numRef>
          </c:val>
          <c:smooth val="0"/>
          <c:extLst>
            <c:ext xmlns:c16="http://schemas.microsoft.com/office/drawing/2014/chart" uri="{C3380CC4-5D6E-409C-BE32-E72D297353CC}">
              <c16:uniqueId val="{00000003-E7FB-4EE5-96E7-4254B109FA49}"/>
            </c:ext>
          </c:extLst>
        </c:ser>
        <c:dLbls>
          <c:showLegendKey val="0"/>
          <c:showVal val="0"/>
          <c:showCatName val="0"/>
          <c:showSerName val="0"/>
          <c:showPercent val="0"/>
          <c:showBubbleSize val="0"/>
        </c:dLbls>
        <c:marker val="1"/>
        <c:smooth val="0"/>
        <c:axId val="1364662191"/>
        <c:axId val="1"/>
      </c:lineChart>
      <c:catAx>
        <c:axId val="1364662191"/>
        <c:scaling>
          <c:orientation val="minMax"/>
        </c:scaling>
        <c:delete val="0"/>
        <c:axPos val="b"/>
        <c:title>
          <c:tx>
            <c:rich>
              <a:bodyPr/>
              <a:lstStyle/>
              <a:p>
                <a:pPr>
                  <a:defRPr sz="1000" b="0" i="0" u="none" strike="noStrike" baseline="0">
                    <a:solidFill>
                      <a:srgbClr val="333333"/>
                    </a:solidFill>
                    <a:latin typeface="Calibri"/>
                    <a:ea typeface="Calibri"/>
                    <a:cs typeface="Calibri"/>
                  </a:defRPr>
                </a:pPr>
                <a:r>
                  <a:rPr lang="en-ZA"/>
                  <a:t>Block size</a:t>
                </a:r>
              </a:p>
            </c:rich>
          </c:tx>
          <c:overlay val="0"/>
          <c:spPr>
            <a:noFill/>
            <a:ln w="25400">
              <a:noFill/>
            </a:ln>
          </c:spPr>
        </c:title>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0" vert="horz"/>
          <a:lstStyle/>
          <a:p>
            <a:pPr>
              <a:defRPr sz="900" b="0" i="0" u="none" strike="noStrike" baseline="0">
                <a:solidFill>
                  <a:srgbClr val="333333"/>
                </a:solidFill>
                <a:latin typeface="Calibri"/>
                <a:ea typeface="Calibri"/>
                <a:cs typeface="Calibri"/>
              </a:defRPr>
            </a:pPr>
            <a:endParaRPr lang="en-US"/>
          </a:p>
        </c:txPr>
        <c:crossAx val="1"/>
        <c:crosses val="autoZero"/>
        <c:auto val="1"/>
        <c:lblAlgn val="ctr"/>
        <c:lblOffset val="100"/>
        <c:noMultiLvlLbl val="0"/>
      </c:catAx>
      <c:valAx>
        <c:axId val="1"/>
        <c:scaling>
          <c:orientation val="minMax"/>
        </c:scaling>
        <c:delete val="0"/>
        <c:axPos val="l"/>
        <c:majorGridlines>
          <c:spPr>
            <a:ln w="9525" cap="flat" cmpd="sng" algn="ctr">
              <a:solidFill>
                <a:schemeClr val="tx1">
                  <a:lumMod val="15000"/>
                  <a:lumOff val="85000"/>
                </a:schemeClr>
              </a:solidFill>
              <a:round/>
            </a:ln>
            <a:effectLst/>
          </c:spPr>
        </c:majorGridlines>
        <c:title>
          <c:tx>
            <c:rich>
              <a:bodyPr/>
              <a:lstStyle/>
              <a:p>
                <a:pPr>
                  <a:defRPr sz="1000" b="0" i="0" u="none" strike="noStrike" baseline="0">
                    <a:solidFill>
                      <a:srgbClr val="333333"/>
                    </a:solidFill>
                    <a:latin typeface="Calibri"/>
                    <a:ea typeface="Calibri"/>
                    <a:cs typeface="Calibri"/>
                  </a:defRPr>
                </a:pPr>
                <a:r>
                  <a:rPr lang="en-ZA"/>
                  <a:t>R/kWh</a:t>
                </a:r>
              </a:p>
            </c:rich>
          </c:tx>
          <c:overlay val="0"/>
          <c:spPr>
            <a:noFill/>
            <a:ln w="25400">
              <a:noFill/>
            </a:ln>
          </c:spPr>
        </c:title>
        <c:numFmt formatCode="_(* #,##0.00_);_(* \(#,##0.00\);_(* &quot;-&quot;??_);_(@_)" sourceLinked="1"/>
        <c:majorTickMark val="none"/>
        <c:minorTickMark val="none"/>
        <c:tickLblPos val="nextTo"/>
        <c:spPr>
          <a:ln w="6350">
            <a:noFill/>
          </a:ln>
        </c:spPr>
        <c:txPr>
          <a:bodyPr rot="0" vert="horz"/>
          <a:lstStyle/>
          <a:p>
            <a:pPr>
              <a:defRPr sz="900" b="0" i="0" u="none" strike="noStrike" baseline="0">
                <a:solidFill>
                  <a:srgbClr val="333333"/>
                </a:solidFill>
                <a:latin typeface="Calibri"/>
                <a:ea typeface="Calibri"/>
                <a:cs typeface="Calibri"/>
              </a:defRPr>
            </a:pPr>
            <a:endParaRPr lang="en-US"/>
          </a:p>
        </c:txPr>
        <c:crossAx val="1364662191"/>
        <c:crosses val="autoZero"/>
        <c:crossBetween val="between"/>
      </c:valAx>
      <c:spPr>
        <a:noFill/>
        <a:ln w="25400">
          <a:noFill/>
        </a:ln>
      </c:spPr>
    </c:plotArea>
    <c:legend>
      <c:legendPos val="r"/>
      <c:layout>
        <c:manualLayout>
          <c:xMode val="edge"/>
          <c:yMode val="edge"/>
          <c:x val="0.13950287562017133"/>
          <c:y val="0.92826131183362848"/>
          <c:w val="0.71318852384831199"/>
          <c:h val="5.2633337100804978E-2"/>
        </c:manualLayout>
      </c:layout>
      <c:overlay val="0"/>
      <c:spPr>
        <a:noFill/>
        <a:ln w="25400">
          <a:noFill/>
        </a:ln>
      </c:spPr>
      <c:txPr>
        <a:bodyPr/>
        <a:lstStyle/>
        <a:p>
          <a:pPr>
            <a:defRPr sz="690" b="0" i="0" u="none" strike="noStrike" baseline="0">
              <a:solidFill>
                <a:srgbClr val="333333"/>
              </a:solidFill>
              <a:latin typeface="Calibri"/>
              <a:ea typeface="Calibri"/>
              <a:cs typeface="Calibri"/>
            </a:defRPr>
          </a:pPr>
          <a:endParaRPr lang="en-US"/>
        </a:p>
      </c:txPr>
    </c:legend>
    <c:plotVisOnly val="1"/>
    <c:dispBlanksAs val="gap"/>
    <c:showDLblsOverMax val="0"/>
  </c:chart>
  <c:spPr>
    <a:solidFill>
      <a:schemeClr val="bg1"/>
    </a:solidFill>
    <a:ln w="9525" cap="flat" cmpd="sng" algn="ctr">
      <a:noFill/>
      <a:round/>
    </a:ln>
    <a:effectLst/>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charts/chart16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2.3871527777777776E-2"/>
          <c:y val="4.7786414907172239E-2"/>
          <c:w val="0.57559123468941387"/>
          <c:h val="0.83529592857692603"/>
        </c:manualLayout>
      </c:layout>
      <c:barChart>
        <c:barDir val="col"/>
        <c:grouping val="stacked"/>
        <c:varyColors val="0"/>
        <c:ser>
          <c:idx val="0"/>
          <c:order val="0"/>
          <c:tx>
            <c:strRef>
              <c:f>'Electricity report'!$J$669</c:f>
              <c:strCache>
                <c:ptCount val="1"/>
                <c:pt idx="0">
                  <c:v>Customer costs </c:v>
                </c:pt>
              </c:strCache>
            </c:strRef>
          </c:tx>
          <c:spPr>
            <a:solidFill>
              <a:srgbClr val="4472C4"/>
            </a:solidFill>
            <a:ln w="25400">
              <a:noFill/>
            </a:ln>
          </c:spPr>
          <c:invertIfNegative val="0"/>
          <c:dPt>
            <c:idx val="0"/>
            <c:invertIfNegative val="0"/>
            <c:bubble3D val="0"/>
            <c:spPr>
              <a:solidFill>
                <a:srgbClr val="5B9BD5"/>
              </a:solidFill>
              <a:ln w="25400">
                <a:noFill/>
              </a:ln>
            </c:spPr>
            <c:extLst>
              <c:ext xmlns:c16="http://schemas.microsoft.com/office/drawing/2014/chart" uri="{C3380CC4-5D6E-409C-BE32-E72D297353CC}">
                <c16:uniqueId val="{00000000-B489-419C-BC18-B661B4C047D6}"/>
              </c:ext>
            </c:extLst>
          </c:dPt>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'Electricity report'!$K$668:$L$668</c:f>
              <c:strCache>
                <c:ptCount val="2"/>
                <c:pt idx="0">
                  <c:v>Expenditure R'000</c:v>
                </c:pt>
                <c:pt idx="1">
                  <c:v>Revenue R'000</c:v>
                </c:pt>
              </c:strCache>
            </c:strRef>
          </c:cat>
          <c:val>
            <c:numRef>
              <c:f>'Electricity report'!$K$669:$L$669</c:f>
              <c:numCache>
                <c:formatCode>General</c:formatCode>
                <c:ptCount val="2"/>
                <c:pt idx="0" formatCode="_-* #\ ##0_-;\-* #\ ##0_-;_-* &quot;-&quot;??_-;_-@_-">
                  <c:v>0</c:v>
                </c:pt>
              </c:numCache>
            </c:numRef>
          </c:val>
          <c:extLst>
            <c:ext xmlns:c16="http://schemas.microsoft.com/office/drawing/2014/chart" uri="{C3380CC4-5D6E-409C-BE32-E72D297353CC}">
              <c16:uniqueId val="{00000001-B489-419C-BC18-B661B4C047D6}"/>
            </c:ext>
          </c:extLst>
        </c:ser>
        <c:ser>
          <c:idx val="1"/>
          <c:order val="1"/>
          <c:tx>
            <c:strRef>
              <c:f>'Electricity report'!$J$670</c:f>
              <c:strCache>
                <c:ptCount val="1"/>
                <c:pt idx="0">
                  <c:v>Energy costs</c:v>
                </c:pt>
              </c:strCache>
            </c:strRef>
          </c:tx>
          <c:spPr>
            <a:solidFill>
              <a:schemeClr val="accent5">
                <a:lumMod val="60000"/>
                <a:lumOff val="40000"/>
              </a:schemeClr>
            </a:solidFill>
            <a:ln>
              <a:noFill/>
            </a:ln>
            <a:effectLst/>
          </c:spPr>
          <c:invertIfNegative val="0"/>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'Electricity report'!$K$668:$L$668</c:f>
              <c:strCache>
                <c:ptCount val="2"/>
                <c:pt idx="0">
                  <c:v>Expenditure R'000</c:v>
                </c:pt>
                <c:pt idx="1">
                  <c:v>Revenue R'000</c:v>
                </c:pt>
              </c:strCache>
            </c:strRef>
          </c:cat>
          <c:val>
            <c:numRef>
              <c:f>'Electricity report'!$K$670:$L$670</c:f>
              <c:numCache>
                <c:formatCode>General</c:formatCode>
                <c:ptCount val="2"/>
                <c:pt idx="0" formatCode="_-* #\ ##0_-;\-* #\ ##0_-;_-* &quot;-&quot;??_-;_-@_-">
                  <c:v>0</c:v>
                </c:pt>
              </c:numCache>
            </c:numRef>
          </c:val>
          <c:extLst>
            <c:ext xmlns:c16="http://schemas.microsoft.com/office/drawing/2014/chart" uri="{C3380CC4-5D6E-409C-BE32-E72D297353CC}">
              <c16:uniqueId val="{00000002-B489-419C-BC18-B661B4C047D6}"/>
            </c:ext>
          </c:extLst>
        </c:ser>
        <c:ser>
          <c:idx val="2"/>
          <c:order val="2"/>
          <c:tx>
            <c:strRef>
              <c:f>'Electricity report'!$J$671</c:f>
              <c:strCache>
                <c:ptCount val="1"/>
                <c:pt idx="0">
                  <c:v>Demand cost</c:v>
                </c:pt>
              </c:strCache>
            </c:strRef>
          </c:tx>
          <c:spPr>
            <a:solidFill>
              <a:srgbClr val="A5A5A5"/>
            </a:solidFill>
            <a:ln w="25400">
              <a:noFill/>
            </a:ln>
          </c:spPr>
          <c:invertIfNegative val="0"/>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'Electricity report'!$K$668:$L$668</c:f>
              <c:strCache>
                <c:ptCount val="2"/>
                <c:pt idx="0">
                  <c:v>Expenditure R'000</c:v>
                </c:pt>
                <c:pt idx="1">
                  <c:v>Revenue R'000</c:v>
                </c:pt>
              </c:strCache>
            </c:strRef>
          </c:cat>
          <c:val>
            <c:numRef>
              <c:f>'Electricity report'!$K$671:$L$671</c:f>
              <c:numCache>
                <c:formatCode>General</c:formatCode>
                <c:ptCount val="2"/>
                <c:pt idx="0" formatCode="_-* #\ ##0_-;\-* #\ ##0_-;_-* &quot;-&quot;??_-;_-@_-">
                  <c:v>0</c:v>
                </c:pt>
              </c:numCache>
            </c:numRef>
          </c:val>
          <c:extLst>
            <c:ext xmlns:c16="http://schemas.microsoft.com/office/drawing/2014/chart" uri="{C3380CC4-5D6E-409C-BE32-E72D297353CC}">
              <c16:uniqueId val="{00000003-B489-419C-BC18-B661B4C047D6}"/>
            </c:ext>
          </c:extLst>
        </c:ser>
        <c:ser>
          <c:idx val="4"/>
          <c:order val="3"/>
          <c:tx>
            <c:strRef>
              <c:f>'Electricity report'!$J$672</c:f>
              <c:strCache>
                <c:ptCount val="1"/>
                <c:pt idx="0">
                  <c:v>Surplus</c:v>
                </c:pt>
              </c:strCache>
            </c:strRef>
          </c:tx>
          <c:spPr>
            <a:solidFill>
              <a:srgbClr val="5B9BD5"/>
            </a:solidFill>
            <a:ln w="25400">
              <a:noFill/>
            </a:ln>
          </c:spPr>
          <c:invertIfNegative val="0"/>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'Electricity report'!$K$668:$L$668</c:f>
              <c:strCache>
                <c:ptCount val="2"/>
                <c:pt idx="0">
                  <c:v>Expenditure R'000</c:v>
                </c:pt>
                <c:pt idx="1">
                  <c:v>Revenue R'000</c:v>
                </c:pt>
              </c:strCache>
            </c:strRef>
          </c:cat>
          <c:val>
            <c:numRef>
              <c:f>'Electricity report'!$K$672:$L$672</c:f>
              <c:numCache>
                <c:formatCode>General</c:formatCode>
                <c:ptCount val="2"/>
                <c:pt idx="0" formatCode="_-* #\ ##0_-;\-* #\ ##0_-;_-* &quot;-&quot;??_-;_-@_-">
                  <c:v>0</c:v>
                </c:pt>
              </c:numCache>
            </c:numRef>
          </c:val>
          <c:extLst>
            <c:ext xmlns:c16="http://schemas.microsoft.com/office/drawing/2014/chart" uri="{C3380CC4-5D6E-409C-BE32-E72D297353CC}">
              <c16:uniqueId val="{00000004-B489-419C-BC18-B661B4C047D6}"/>
            </c:ext>
          </c:extLst>
        </c:ser>
        <c:ser>
          <c:idx val="5"/>
          <c:order val="4"/>
          <c:tx>
            <c:strRef>
              <c:f>'Electricity report'!$J$673</c:f>
              <c:strCache>
                <c:ptCount val="1"/>
                <c:pt idx="0">
                  <c:v>Tariff revenue</c:v>
                </c:pt>
              </c:strCache>
            </c:strRef>
          </c:tx>
          <c:spPr>
            <a:solidFill>
              <a:srgbClr val="A5A5A5"/>
            </a:solidFill>
            <a:ln w="25400">
              <a:noFill/>
            </a:ln>
          </c:spPr>
          <c:invertIfNegative val="0"/>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'Electricity report'!$K$668:$L$668</c:f>
              <c:strCache>
                <c:ptCount val="2"/>
                <c:pt idx="0">
                  <c:v>Expenditure R'000</c:v>
                </c:pt>
                <c:pt idx="1">
                  <c:v>Revenue R'000</c:v>
                </c:pt>
              </c:strCache>
            </c:strRef>
          </c:cat>
          <c:val>
            <c:numRef>
              <c:f>'Electricity report'!$K$673:$L$673</c:f>
              <c:numCache>
                <c:formatCode>_-* #\ ##0_-;\-* #\ ##0_-;_-* "-"??_-;_-@_-</c:formatCode>
                <c:ptCount val="2"/>
                <c:pt idx="1">
                  <c:v>0</c:v>
                </c:pt>
              </c:numCache>
            </c:numRef>
          </c:val>
          <c:extLst>
            <c:ext xmlns:c16="http://schemas.microsoft.com/office/drawing/2014/chart" uri="{C3380CC4-5D6E-409C-BE32-E72D297353CC}">
              <c16:uniqueId val="{00000005-B489-419C-BC18-B661B4C047D6}"/>
            </c:ext>
          </c:extLst>
        </c:ser>
        <c:ser>
          <c:idx val="3"/>
          <c:order val="5"/>
          <c:tx>
            <c:strRef>
              <c:f>'Electricity report'!$J$674</c:f>
              <c:strCache>
                <c:ptCount val="1"/>
                <c:pt idx="0">
                  <c:v>External grants &amp; subsidies</c:v>
                </c:pt>
              </c:strCache>
            </c:strRef>
          </c:tx>
          <c:spPr>
            <a:solidFill>
              <a:schemeClr val="accent3">
                <a:lumMod val="40000"/>
                <a:lumOff val="60000"/>
              </a:schemeClr>
            </a:solidFill>
            <a:ln>
              <a:noFill/>
            </a:ln>
            <a:effectLst/>
          </c:spPr>
          <c:invertIfNegative val="0"/>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'Electricity report'!$K$668:$L$668</c:f>
              <c:strCache>
                <c:ptCount val="2"/>
                <c:pt idx="0">
                  <c:v>Expenditure R'000</c:v>
                </c:pt>
                <c:pt idx="1">
                  <c:v>Revenue R'000</c:v>
                </c:pt>
              </c:strCache>
            </c:strRef>
          </c:cat>
          <c:val>
            <c:numRef>
              <c:f>'Electricity report'!$K$674:$L$674</c:f>
              <c:numCache>
                <c:formatCode>_-* #\ ##0_-;\-* #\ ##0_-;_-* "-"??_-;_-@_-</c:formatCode>
                <c:ptCount val="2"/>
                <c:pt idx="1">
                  <c:v>0</c:v>
                </c:pt>
              </c:numCache>
            </c:numRef>
          </c:val>
          <c:extLst>
            <c:ext xmlns:c16="http://schemas.microsoft.com/office/drawing/2014/chart" uri="{C3380CC4-5D6E-409C-BE32-E72D297353CC}">
              <c16:uniqueId val="{00000006-B489-419C-BC18-B661B4C047D6}"/>
            </c:ext>
          </c:extLst>
        </c:ser>
        <c:ser>
          <c:idx val="6"/>
          <c:order val="6"/>
          <c:tx>
            <c:strRef>
              <c:f>'Electricity report'!$J$675</c:f>
              <c:strCache>
                <c:ptCount val="1"/>
                <c:pt idx="0">
                  <c:v>Other non-tariff revenue</c:v>
                </c:pt>
              </c:strCache>
            </c:strRef>
          </c:tx>
          <c:spPr>
            <a:solidFill>
              <a:srgbClr val="ED7D31"/>
            </a:solidFill>
            <a:ln w="25400">
              <a:noFill/>
            </a:ln>
          </c:spPr>
          <c:invertIfNegative val="0"/>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'Electricity report'!$K$668:$L$668</c:f>
              <c:strCache>
                <c:ptCount val="2"/>
                <c:pt idx="0">
                  <c:v>Expenditure R'000</c:v>
                </c:pt>
                <c:pt idx="1">
                  <c:v>Revenue R'000</c:v>
                </c:pt>
              </c:strCache>
            </c:strRef>
          </c:cat>
          <c:val>
            <c:numRef>
              <c:f>'Electricity report'!$K$675:$L$675</c:f>
              <c:numCache>
                <c:formatCode>_-* #\ ##0_-;\-* #\ ##0_-;_-* "-"??_-;_-@_-</c:formatCode>
                <c:ptCount val="2"/>
                <c:pt idx="1">
                  <c:v>0</c:v>
                </c:pt>
              </c:numCache>
            </c:numRef>
          </c:val>
          <c:extLst>
            <c:ext xmlns:c16="http://schemas.microsoft.com/office/drawing/2014/chart" uri="{C3380CC4-5D6E-409C-BE32-E72D297353CC}">
              <c16:uniqueId val="{00000007-B489-419C-BC18-B661B4C047D6}"/>
            </c:ext>
          </c:extLst>
        </c:ser>
        <c:ser>
          <c:idx val="7"/>
          <c:order val="7"/>
          <c:tx>
            <c:strRef>
              <c:f>'Electricity report'!$J$676</c:f>
              <c:strCache>
                <c:ptCount val="1"/>
                <c:pt idx="0">
                  <c:v>Deficit</c:v>
                </c:pt>
              </c:strCache>
            </c:strRef>
          </c:tx>
          <c:spPr>
            <a:solidFill>
              <a:srgbClr val="4472C4"/>
            </a:solidFill>
            <a:ln w="25400">
              <a:noFill/>
            </a:ln>
          </c:spPr>
          <c:invertIfNegative val="0"/>
          <c:dPt>
            <c:idx val="0"/>
            <c:invertIfNegative val="0"/>
            <c:bubble3D val="0"/>
            <c:spPr>
              <a:solidFill>
                <a:srgbClr val="5B9BD5"/>
              </a:solidFill>
              <a:ln w="25400">
                <a:noFill/>
              </a:ln>
            </c:spPr>
            <c:extLst>
              <c:ext xmlns:c16="http://schemas.microsoft.com/office/drawing/2014/chart" uri="{C3380CC4-5D6E-409C-BE32-E72D297353CC}">
                <c16:uniqueId val="{00000008-B489-419C-BC18-B661B4C047D6}"/>
              </c:ext>
            </c:extLst>
          </c:dPt>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'Electricity report'!$K$668:$L$668</c:f>
              <c:strCache>
                <c:ptCount val="2"/>
                <c:pt idx="0">
                  <c:v>Expenditure R'000</c:v>
                </c:pt>
                <c:pt idx="1">
                  <c:v>Revenue R'000</c:v>
                </c:pt>
              </c:strCache>
            </c:strRef>
          </c:cat>
          <c:val>
            <c:numRef>
              <c:f>'Electricity report'!$K$676:$L$676</c:f>
              <c:numCache>
                <c:formatCode>_-* #\ ##0_-;\-* #\ ##0_-;_-* "-"??_-;_-@_-</c:formatCode>
                <c:ptCount val="2"/>
                <c:pt idx="1">
                  <c:v>0</c:v>
                </c:pt>
              </c:numCache>
            </c:numRef>
          </c:val>
          <c:extLst>
            <c:ext xmlns:c16="http://schemas.microsoft.com/office/drawing/2014/chart" uri="{C3380CC4-5D6E-409C-BE32-E72D297353CC}">
              <c16:uniqueId val="{00000009-B489-419C-BC18-B661B4C047D6}"/>
            </c:ext>
          </c:extLst>
        </c:ser>
        <c:dLbls>
          <c:showLegendKey val="0"/>
          <c:showVal val="0"/>
          <c:showCatName val="0"/>
          <c:showSerName val="0"/>
          <c:showPercent val="0"/>
          <c:showBubbleSize val="0"/>
        </c:dLbls>
        <c:gapWidth val="25"/>
        <c:overlap val="100"/>
        <c:axId val="1364638671"/>
        <c:axId val="1"/>
      </c:barChart>
      <c:catAx>
        <c:axId val="1364638671"/>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0" vert="horz"/>
          <a:lstStyle/>
          <a:p>
            <a:pPr>
              <a:defRPr sz="1100" b="0" i="0" u="none" strike="noStrike" baseline="0">
                <a:solidFill>
                  <a:srgbClr val="000000"/>
                </a:solidFill>
                <a:latin typeface="Calibri"/>
                <a:ea typeface="Calibri"/>
                <a:cs typeface="Calibri"/>
              </a:defRPr>
            </a:pPr>
            <a:endParaRPr lang="en-US"/>
          </a:p>
        </c:txPr>
        <c:crossAx val="1"/>
        <c:crosses val="autoZero"/>
        <c:auto val="1"/>
        <c:lblAlgn val="ctr"/>
        <c:lblOffset val="100"/>
        <c:noMultiLvlLbl val="0"/>
      </c:catAx>
      <c:valAx>
        <c:axId val="1"/>
        <c:scaling>
          <c:orientation val="minMax"/>
        </c:scaling>
        <c:delete val="1"/>
        <c:axPos val="l"/>
        <c:majorGridlines>
          <c:spPr>
            <a:ln w="9525" cap="flat" cmpd="sng" algn="ctr">
              <a:solidFill>
                <a:schemeClr val="tx1">
                  <a:lumMod val="15000"/>
                  <a:lumOff val="85000"/>
                </a:schemeClr>
              </a:solidFill>
              <a:round/>
            </a:ln>
            <a:effectLst/>
          </c:spPr>
        </c:majorGridlines>
        <c:numFmt formatCode="_-* #\ ##0_-;\-* #\ ##0_-;_-* &quot;-&quot;??_-;_-@_-" sourceLinked="1"/>
        <c:majorTickMark val="out"/>
        <c:minorTickMark val="none"/>
        <c:tickLblPos val="nextTo"/>
        <c:crossAx val="1364638671"/>
        <c:crosses val="autoZero"/>
        <c:crossBetween val="between"/>
      </c:valAx>
    </c:plotArea>
    <c:legend>
      <c:legendPos val="r"/>
      <c:layout>
        <c:manualLayout>
          <c:xMode val="edge"/>
          <c:yMode val="edge"/>
          <c:x val="0.63225725892244689"/>
          <c:y val="0.1812752257931505"/>
          <c:w val="0.34899346501875061"/>
          <c:h val="0.70697306341239063"/>
        </c:manualLayout>
      </c:layout>
      <c:overlay val="0"/>
      <c:spPr>
        <a:noFill/>
        <a:ln w="25400">
          <a:noFill/>
        </a:ln>
      </c:spPr>
      <c:txPr>
        <a:bodyPr/>
        <a:lstStyle/>
        <a:p>
          <a:pPr>
            <a:defRPr sz="850" b="0" i="0" u="none" strike="noStrike" baseline="0">
              <a:solidFill>
                <a:srgbClr val="000000"/>
              </a:solidFill>
              <a:latin typeface="Calibri"/>
              <a:ea typeface="Calibri"/>
              <a:cs typeface="Calibri"/>
            </a:defRPr>
          </a:pPr>
          <a:endParaRPr lang="en-US"/>
        </a:p>
      </c:txPr>
    </c:legend>
    <c:plotVisOnly val="1"/>
    <c:dispBlanksAs val="gap"/>
    <c:showDLblsOverMax val="0"/>
  </c:chart>
  <c:spPr>
    <a:solidFill>
      <a:schemeClr val="bg1"/>
    </a:solidFill>
    <a:ln w="9525" cap="flat" cmpd="sng" algn="ctr">
      <a:noFill/>
      <a:round/>
    </a:ln>
    <a:effectLst/>
  </c:spPr>
  <c:txPr>
    <a:bodyPr/>
    <a:lstStyle/>
    <a:p>
      <a:pPr>
        <a:defRPr sz="11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charts/chart16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ser>
          <c:idx val="0"/>
          <c:order val="0"/>
          <c:tx>
            <c:strRef>
              <c:f>'Electricity report'!$L$693</c:f>
              <c:strCache>
                <c:ptCount val="1"/>
                <c:pt idx="0">
                  <c:v>Annual Tariff</c:v>
                </c:pt>
              </c:strCache>
            </c:strRef>
          </c:tx>
          <c:spPr>
            <a:solidFill>
              <a:srgbClr val="4472C4"/>
            </a:solidFill>
            <a:ln w="25400">
              <a:noFill/>
            </a:ln>
          </c:spPr>
          <c:invertIfNegative val="0"/>
          <c:dLbls>
            <c:spPr>
              <a:noFill/>
              <a:ln w="25400">
                <a:noFill/>
              </a:ln>
            </c:spPr>
            <c:txPr>
              <a:bodyPr wrap="square" lIns="38100" tIns="19050" rIns="38100" bIns="19050" anchor="ctr">
                <a:spAutoFit/>
              </a:bodyPr>
              <a:lstStyle/>
              <a:p>
                <a:pPr>
                  <a:defRPr sz="900" b="0" i="0" u="none" strike="noStrike" baseline="0">
                    <a:solidFill>
                      <a:srgbClr val="333333"/>
                    </a:solidFill>
                    <a:latin typeface="Calibri"/>
                    <a:ea typeface="Calibri"/>
                    <a:cs typeface="Calibri"/>
                  </a:defRPr>
                </a:pPr>
                <a:endParaRPr lang="en-US"/>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'Electricity report'!$K$694:$K$698</c:f>
              <c:strCache>
                <c:ptCount val="5"/>
                <c:pt idx="0">
                  <c:v>0</c:v>
                </c:pt>
                <c:pt idx="1">
                  <c:v>0</c:v>
                </c:pt>
                <c:pt idx="2">
                  <c:v>0</c:v>
                </c:pt>
                <c:pt idx="3">
                  <c:v>0</c:v>
                </c:pt>
                <c:pt idx="4">
                  <c:v>More</c:v>
                </c:pt>
              </c:strCache>
            </c:strRef>
          </c:cat>
          <c:val>
            <c:numRef>
              <c:f>'Electricity report'!$L$694:$L$698</c:f>
              <c:numCache>
                <c:formatCode>_(* #,##0.00_);_(* \(#,##0.00\);_(* "-"??_);_(@_)</c:formatCode>
                <c:ptCount val="5"/>
                <c:pt idx="0">
                  <c:v>0</c:v>
                </c:pt>
                <c:pt idx="1">
                  <c:v>0</c:v>
                </c:pt>
                <c:pt idx="2">
                  <c:v>0</c:v>
                </c:pt>
                <c:pt idx="3">
                  <c:v>0</c:v>
                </c:pt>
                <c:pt idx="4">
                  <c:v>0</c:v>
                </c:pt>
              </c:numCache>
            </c:numRef>
          </c:val>
          <c:extLst>
            <c:ext xmlns:c16="http://schemas.microsoft.com/office/drawing/2014/chart" uri="{C3380CC4-5D6E-409C-BE32-E72D297353CC}">
              <c16:uniqueId val="{00000000-BA28-45D6-AFBD-87B5724FA144}"/>
            </c:ext>
          </c:extLst>
        </c:ser>
        <c:ser>
          <c:idx val="1"/>
          <c:order val="1"/>
          <c:tx>
            <c:strRef>
              <c:f>'Electricity report'!$M$693</c:f>
              <c:strCache>
                <c:ptCount val="1"/>
              </c:strCache>
            </c:strRef>
          </c:tx>
          <c:spPr>
            <a:solidFill>
              <a:srgbClr val="ED7D31"/>
            </a:solidFill>
            <a:ln w="25400">
              <a:noFill/>
            </a:ln>
          </c:spPr>
          <c:invertIfNegative val="0"/>
          <c:dLbls>
            <c:spPr>
              <a:noFill/>
              <a:ln w="25400">
                <a:noFill/>
              </a:ln>
            </c:spPr>
            <c:txPr>
              <a:bodyPr wrap="square" lIns="38100" tIns="19050" rIns="38100" bIns="19050" anchor="ctr">
                <a:spAutoFit/>
              </a:bodyPr>
              <a:lstStyle/>
              <a:p>
                <a:pPr>
                  <a:defRPr sz="900" b="0" i="0" u="none" strike="noStrike" baseline="0">
                    <a:solidFill>
                      <a:srgbClr val="333333"/>
                    </a:solidFill>
                    <a:latin typeface="Calibri"/>
                    <a:ea typeface="Calibri"/>
                    <a:cs typeface="Calibri"/>
                  </a:defRPr>
                </a:pPr>
                <a:endParaRPr lang="en-US"/>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'Electricity report'!$K$694:$K$698</c:f>
              <c:strCache>
                <c:ptCount val="5"/>
                <c:pt idx="0">
                  <c:v>0</c:v>
                </c:pt>
                <c:pt idx="1">
                  <c:v>0</c:v>
                </c:pt>
                <c:pt idx="2">
                  <c:v>0</c:v>
                </c:pt>
                <c:pt idx="3">
                  <c:v>0</c:v>
                </c:pt>
                <c:pt idx="4">
                  <c:v>More</c:v>
                </c:pt>
              </c:strCache>
            </c:strRef>
          </c:cat>
          <c:val>
            <c:numRef>
              <c:f>'Electricity report'!$M$694:$M$698</c:f>
              <c:numCache>
                <c:formatCode>_(* #,##0.00_);_(* \(#,##0.00\);_(* "-"??_);_(@_)</c:formatCode>
                <c:ptCount val="5"/>
                <c:pt idx="0">
                  <c:v>0</c:v>
                </c:pt>
                <c:pt idx="1">
                  <c:v>0</c:v>
                </c:pt>
                <c:pt idx="2">
                  <c:v>0</c:v>
                </c:pt>
                <c:pt idx="3">
                  <c:v>0</c:v>
                </c:pt>
                <c:pt idx="4">
                  <c:v>0</c:v>
                </c:pt>
              </c:numCache>
            </c:numRef>
          </c:val>
          <c:extLst>
            <c:ext xmlns:c16="http://schemas.microsoft.com/office/drawing/2014/chart" uri="{C3380CC4-5D6E-409C-BE32-E72D297353CC}">
              <c16:uniqueId val="{00000001-BA28-45D6-AFBD-87B5724FA144}"/>
            </c:ext>
          </c:extLst>
        </c:ser>
        <c:dLbls>
          <c:showLegendKey val="0"/>
          <c:showVal val="0"/>
          <c:showCatName val="0"/>
          <c:showSerName val="0"/>
          <c:showPercent val="0"/>
          <c:showBubbleSize val="0"/>
        </c:dLbls>
        <c:gapWidth val="50"/>
        <c:axId val="1364643471"/>
        <c:axId val="1"/>
      </c:barChart>
      <c:lineChart>
        <c:grouping val="standard"/>
        <c:varyColors val="0"/>
        <c:ser>
          <c:idx val="2"/>
          <c:order val="2"/>
          <c:tx>
            <c:strRef>
              <c:f>'Electricity report'!$N$693</c:f>
              <c:strCache>
                <c:ptCount val="1"/>
                <c:pt idx="0">
                  <c:v>Total cost per kl </c:v>
                </c:pt>
              </c:strCache>
            </c:strRef>
          </c:tx>
          <c:spPr>
            <a:ln w="28575" cap="rnd">
              <a:solidFill>
                <a:schemeClr val="accent3"/>
              </a:solidFill>
              <a:round/>
            </a:ln>
            <a:effectLst/>
          </c:spPr>
          <c:marker>
            <c:symbol val="none"/>
          </c:marker>
          <c:cat>
            <c:strRef>
              <c:f>'Electricity report'!$K$694:$K$698</c:f>
              <c:strCache>
                <c:ptCount val="5"/>
                <c:pt idx="0">
                  <c:v>0</c:v>
                </c:pt>
                <c:pt idx="1">
                  <c:v>0</c:v>
                </c:pt>
                <c:pt idx="2">
                  <c:v>0</c:v>
                </c:pt>
                <c:pt idx="3">
                  <c:v>0</c:v>
                </c:pt>
                <c:pt idx="4">
                  <c:v>More</c:v>
                </c:pt>
              </c:strCache>
            </c:strRef>
          </c:cat>
          <c:val>
            <c:numRef>
              <c:f>'Electricity report'!$N$694:$N$698</c:f>
              <c:numCache>
                <c:formatCode>_(* #,##0.00_);_(* \(#,##0.00\);_(* "-"??_);_(@_)</c:formatCode>
                <c:ptCount val="5"/>
                <c:pt idx="0">
                  <c:v>0</c:v>
                </c:pt>
                <c:pt idx="1">
                  <c:v>0</c:v>
                </c:pt>
                <c:pt idx="2">
                  <c:v>0</c:v>
                </c:pt>
                <c:pt idx="3">
                  <c:v>0</c:v>
                </c:pt>
                <c:pt idx="4">
                  <c:v>0</c:v>
                </c:pt>
              </c:numCache>
            </c:numRef>
          </c:val>
          <c:smooth val="0"/>
          <c:extLst>
            <c:ext xmlns:c16="http://schemas.microsoft.com/office/drawing/2014/chart" uri="{C3380CC4-5D6E-409C-BE32-E72D297353CC}">
              <c16:uniqueId val="{00000002-BA28-45D6-AFBD-87B5724FA144}"/>
            </c:ext>
          </c:extLst>
        </c:ser>
        <c:ser>
          <c:idx val="3"/>
          <c:order val="3"/>
          <c:tx>
            <c:strRef>
              <c:f>'Electricity report'!$O$693</c:f>
              <c:strCache>
                <c:ptCount val="1"/>
                <c:pt idx="0">
                  <c:v>Variable cost per kWh</c:v>
                </c:pt>
              </c:strCache>
            </c:strRef>
          </c:tx>
          <c:spPr>
            <a:ln w="28575" cap="rnd">
              <a:solidFill>
                <a:schemeClr val="accent4"/>
              </a:solidFill>
              <a:round/>
            </a:ln>
            <a:effectLst/>
          </c:spPr>
          <c:marker>
            <c:symbol val="none"/>
          </c:marker>
          <c:cat>
            <c:strRef>
              <c:f>'Electricity report'!$K$694:$K$698</c:f>
              <c:strCache>
                <c:ptCount val="5"/>
                <c:pt idx="0">
                  <c:v>0</c:v>
                </c:pt>
                <c:pt idx="1">
                  <c:v>0</c:v>
                </c:pt>
                <c:pt idx="2">
                  <c:v>0</c:v>
                </c:pt>
                <c:pt idx="3">
                  <c:v>0</c:v>
                </c:pt>
                <c:pt idx="4">
                  <c:v>More</c:v>
                </c:pt>
              </c:strCache>
            </c:strRef>
          </c:cat>
          <c:val>
            <c:numRef>
              <c:f>'Electricity report'!$O$694:$O$698</c:f>
              <c:numCache>
                <c:formatCode>_(* #,##0.00_);_(* \(#,##0.00\);_(* "-"??_);_(@_)</c:formatCode>
                <c:ptCount val="5"/>
                <c:pt idx="0">
                  <c:v>0</c:v>
                </c:pt>
                <c:pt idx="1">
                  <c:v>0</c:v>
                </c:pt>
                <c:pt idx="2">
                  <c:v>0</c:v>
                </c:pt>
                <c:pt idx="3">
                  <c:v>0</c:v>
                </c:pt>
                <c:pt idx="4">
                  <c:v>0</c:v>
                </c:pt>
              </c:numCache>
            </c:numRef>
          </c:val>
          <c:smooth val="0"/>
          <c:extLst>
            <c:ext xmlns:c16="http://schemas.microsoft.com/office/drawing/2014/chart" uri="{C3380CC4-5D6E-409C-BE32-E72D297353CC}">
              <c16:uniqueId val="{00000003-BA28-45D6-AFBD-87B5724FA144}"/>
            </c:ext>
          </c:extLst>
        </c:ser>
        <c:dLbls>
          <c:showLegendKey val="0"/>
          <c:showVal val="0"/>
          <c:showCatName val="0"/>
          <c:showSerName val="0"/>
          <c:showPercent val="0"/>
          <c:showBubbleSize val="0"/>
        </c:dLbls>
        <c:marker val="1"/>
        <c:smooth val="0"/>
        <c:axId val="1364643471"/>
        <c:axId val="1"/>
      </c:lineChart>
      <c:catAx>
        <c:axId val="1364643471"/>
        <c:scaling>
          <c:orientation val="minMax"/>
        </c:scaling>
        <c:delete val="0"/>
        <c:axPos val="b"/>
        <c:title>
          <c:tx>
            <c:rich>
              <a:bodyPr/>
              <a:lstStyle/>
              <a:p>
                <a:pPr>
                  <a:defRPr sz="1000" b="0" i="0" u="none" strike="noStrike" baseline="0">
                    <a:solidFill>
                      <a:srgbClr val="333333"/>
                    </a:solidFill>
                    <a:latin typeface="Calibri"/>
                    <a:ea typeface="Calibri"/>
                    <a:cs typeface="Calibri"/>
                  </a:defRPr>
                </a:pPr>
                <a:r>
                  <a:rPr lang="en-ZA"/>
                  <a:t>Block size</a:t>
                </a:r>
              </a:p>
            </c:rich>
          </c:tx>
          <c:overlay val="0"/>
          <c:spPr>
            <a:noFill/>
            <a:ln w="25400">
              <a:noFill/>
            </a:ln>
          </c:spPr>
        </c:title>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0" vert="horz"/>
          <a:lstStyle/>
          <a:p>
            <a:pPr>
              <a:defRPr sz="900" b="0" i="0" u="none" strike="noStrike" baseline="0">
                <a:solidFill>
                  <a:srgbClr val="333333"/>
                </a:solidFill>
                <a:latin typeface="Calibri"/>
                <a:ea typeface="Calibri"/>
                <a:cs typeface="Calibri"/>
              </a:defRPr>
            </a:pPr>
            <a:endParaRPr lang="en-US"/>
          </a:p>
        </c:txPr>
        <c:crossAx val="1"/>
        <c:crosses val="autoZero"/>
        <c:auto val="1"/>
        <c:lblAlgn val="ctr"/>
        <c:lblOffset val="100"/>
        <c:noMultiLvlLbl val="0"/>
      </c:catAx>
      <c:valAx>
        <c:axId val="1"/>
        <c:scaling>
          <c:orientation val="minMax"/>
        </c:scaling>
        <c:delete val="0"/>
        <c:axPos val="l"/>
        <c:majorGridlines>
          <c:spPr>
            <a:ln w="9525" cap="flat" cmpd="sng" algn="ctr">
              <a:solidFill>
                <a:schemeClr val="tx1">
                  <a:lumMod val="15000"/>
                  <a:lumOff val="85000"/>
                </a:schemeClr>
              </a:solidFill>
              <a:round/>
            </a:ln>
            <a:effectLst/>
          </c:spPr>
        </c:majorGridlines>
        <c:title>
          <c:tx>
            <c:rich>
              <a:bodyPr/>
              <a:lstStyle/>
              <a:p>
                <a:pPr>
                  <a:defRPr sz="1000" b="0" i="0" u="none" strike="noStrike" baseline="0">
                    <a:solidFill>
                      <a:srgbClr val="333333"/>
                    </a:solidFill>
                    <a:latin typeface="Calibri"/>
                    <a:ea typeface="Calibri"/>
                    <a:cs typeface="Calibri"/>
                  </a:defRPr>
                </a:pPr>
                <a:r>
                  <a:rPr lang="en-ZA"/>
                  <a:t>R/kWh</a:t>
                </a:r>
              </a:p>
            </c:rich>
          </c:tx>
          <c:overlay val="0"/>
          <c:spPr>
            <a:noFill/>
            <a:ln w="25400">
              <a:noFill/>
            </a:ln>
          </c:spPr>
        </c:title>
        <c:numFmt formatCode="_(* #,##0.00_);_(* \(#,##0.00\);_(* &quot;-&quot;??_);_(@_)" sourceLinked="1"/>
        <c:majorTickMark val="none"/>
        <c:minorTickMark val="none"/>
        <c:tickLblPos val="nextTo"/>
        <c:spPr>
          <a:ln w="6350">
            <a:noFill/>
          </a:ln>
        </c:spPr>
        <c:txPr>
          <a:bodyPr rot="0" vert="horz"/>
          <a:lstStyle/>
          <a:p>
            <a:pPr>
              <a:defRPr sz="900" b="0" i="0" u="none" strike="noStrike" baseline="0">
                <a:solidFill>
                  <a:srgbClr val="333333"/>
                </a:solidFill>
                <a:latin typeface="Calibri"/>
                <a:ea typeface="Calibri"/>
                <a:cs typeface="Calibri"/>
              </a:defRPr>
            </a:pPr>
            <a:endParaRPr lang="en-US"/>
          </a:p>
        </c:txPr>
        <c:crossAx val="1364643471"/>
        <c:crosses val="autoZero"/>
        <c:crossBetween val="between"/>
      </c:valAx>
      <c:spPr>
        <a:noFill/>
        <a:ln w="25400">
          <a:noFill/>
        </a:ln>
      </c:spPr>
    </c:plotArea>
    <c:legend>
      <c:legendPos val="r"/>
      <c:layout>
        <c:manualLayout>
          <c:xMode val="edge"/>
          <c:yMode val="edge"/>
          <c:x val="0.13950287562017133"/>
          <c:y val="0.92826131183362848"/>
          <c:w val="0.71318852384831199"/>
          <c:h val="5.2633337100804978E-2"/>
        </c:manualLayout>
      </c:layout>
      <c:overlay val="0"/>
      <c:spPr>
        <a:noFill/>
        <a:ln w="25400">
          <a:noFill/>
        </a:ln>
      </c:spPr>
      <c:txPr>
        <a:bodyPr/>
        <a:lstStyle/>
        <a:p>
          <a:pPr>
            <a:defRPr sz="690" b="0" i="0" u="none" strike="noStrike" baseline="0">
              <a:solidFill>
                <a:srgbClr val="333333"/>
              </a:solidFill>
              <a:latin typeface="Calibri"/>
              <a:ea typeface="Calibri"/>
              <a:cs typeface="Calibri"/>
            </a:defRPr>
          </a:pPr>
          <a:endParaRPr lang="en-US"/>
        </a:p>
      </c:txPr>
    </c:legend>
    <c:plotVisOnly val="1"/>
    <c:dispBlanksAs val="gap"/>
    <c:showDLblsOverMax val="0"/>
  </c:chart>
  <c:spPr>
    <a:solidFill>
      <a:schemeClr val="bg1"/>
    </a:solidFill>
    <a:ln w="9525" cap="flat" cmpd="sng" algn="ctr">
      <a:noFill/>
      <a:round/>
    </a:ln>
    <a:effectLst/>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charts/chart16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2.3871527777777776E-2"/>
          <c:y val="4.7786414907172239E-2"/>
          <c:w val="0.57559123468941387"/>
          <c:h val="0.83529592857692603"/>
        </c:manualLayout>
      </c:layout>
      <c:barChart>
        <c:barDir val="col"/>
        <c:grouping val="stacked"/>
        <c:varyColors val="0"/>
        <c:ser>
          <c:idx val="0"/>
          <c:order val="0"/>
          <c:tx>
            <c:strRef>
              <c:f>'Electricity report'!$J$739</c:f>
              <c:strCache>
                <c:ptCount val="1"/>
                <c:pt idx="0">
                  <c:v>Customer costs </c:v>
                </c:pt>
              </c:strCache>
            </c:strRef>
          </c:tx>
          <c:spPr>
            <a:solidFill>
              <a:srgbClr val="4472C4"/>
            </a:solidFill>
            <a:ln w="25400">
              <a:noFill/>
            </a:ln>
          </c:spPr>
          <c:invertIfNegative val="0"/>
          <c:dPt>
            <c:idx val="0"/>
            <c:invertIfNegative val="0"/>
            <c:bubble3D val="0"/>
            <c:spPr>
              <a:solidFill>
                <a:srgbClr val="5B9BD5"/>
              </a:solidFill>
              <a:ln w="25400">
                <a:noFill/>
              </a:ln>
            </c:spPr>
            <c:extLst>
              <c:ext xmlns:c16="http://schemas.microsoft.com/office/drawing/2014/chart" uri="{C3380CC4-5D6E-409C-BE32-E72D297353CC}">
                <c16:uniqueId val="{00000000-B518-45CF-8ACC-A6C3E1EBFDC8}"/>
              </c:ext>
            </c:extLst>
          </c:dPt>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'Electricity report'!$K$738:$L$738</c:f>
              <c:strCache>
                <c:ptCount val="2"/>
                <c:pt idx="0">
                  <c:v>Expenditure R'000</c:v>
                </c:pt>
                <c:pt idx="1">
                  <c:v>Revenue R'000</c:v>
                </c:pt>
              </c:strCache>
            </c:strRef>
          </c:cat>
          <c:val>
            <c:numRef>
              <c:f>'Electricity report'!$K$739:$L$739</c:f>
              <c:numCache>
                <c:formatCode>General</c:formatCode>
                <c:ptCount val="2"/>
                <c:pt idx="0" formatCode="_-* #\ ##0_-;\-* #\ ##0_-;_-* &quot;-&quot;??_-;_-@_-">
                  <c:v>0</c:v>
                </c:pt>
              </c:numCache>
            </c:numRef>
          </c:val>
          <c:extLst>
            <c:ext xmlns:c16="http://schemas.microsoft.com/office/drawing/2014/chart" uri="{C3380CC4-5D6E-409C-BE32-E72D297353CC}">
              <c16:uniqueId val="{00000001-B518-45CF-8ACC-A6C3E1EBFDC8}"/>
            </c:ext>
          </c:extLst>
        </c:ser>
        <c:ser>
          <c:idx val="1"/>
          <c:order val="1"/>
          <c:tx>
            <c:strRef>
              <c:f>'Electricity report'!$J$740</c:f>
              <c:strCache>
                <c:ptCount val="1"/>
                <c:pt idx="0">
                  <c:v>Energy costs</c:v>
                </c:pt>
              </c:strCache>
            </c:strRef>
          </c:tx>
          <c:spPr>
            <a:solidFill>
              <a:schemeClr val="accent5">
                <a:lumMod val="60000"/>
                <a:lumOff val="40000"/>
              </a:schemeClr>
            </a:solidFill>
            <a:ln>
              <a:noFill/>
            </a:ln>
            <a:effectLst/>
          </c:spPr>
          <c:invertIfNegative val="0"/>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'Electricity report'!$K$738:$L$738</c:f>
              <c:strCache>
                <c:ptCount val="2"/>
                <c:pt idx="0">
                  <c:v>Expenditure R'000</c:v>
                </c:pt>
                <c:pt idx="1">
                  <c:v>Revenue R'000</c:v>
                </c:pt>
              </c:strCache>
            </c:strRef>
          </c:cat>
          <c:val>
            <c:numRef>
              <c:f>'Electricity report'!$K$740:$L$740</c:f>
              <c:numCache>
                <c:formatCode>General</c:formatCode>
                <c:ptCount val="2"/>
                <c:pt idx="0" formatCode="_-* #\ ##0_-;\-* #\ ##0_-;_-* &quot;-&quot;??_-;_-@_-">
                  <c:v>0</c:v>
                </c:pt>
              </c:numCache>
            </c:numRef>
          </c:val>
          <c:extLst>
            <c:ext xmlns:c16="http://schemas.microsoft.com/office/drawing/2014/chart" uri="{C3380CC4-5D6E-409C-BE32-E72D297353CC}">
              <c16:uniqueId val="{00000002-B518-45CF-8ACC-A6C3E1EBFDC8}"/>
            </c:ext>
          </c:extLst>
        </c:ser>
        <c:ser>
          <c:idx val="2"/>
          <c:order val="2"/>
          <c:tx>
            <c:strRef>
              <c:f>'Electricity report'!$J$741</c:f>
              <c:strCache>
                <c:ptCount val="1"/>
                <c:pt idx="0">
                  <c:v>Demand cost</c:v>
                </c:pt>
              </c:strCache>
            </c:strRef>
          </c:tx>
          <c:spPr>
            <a:solidFill>
              <a:srgbClr val="A5A5A5"/>
            </a:solidFill>
            <a:ln w="25400">
              <a:noFill/>
            </a:ln>
          </c:spPr>
          <c:invertIfNegative val="0"/>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'Electricity report'!$K$738:$L$738</c:f>
              <c:strCache>
                <c:ptCount val="2"/>
                <c:pt idx="0">
                  <c:v>Expenditure R'000</c:v>
                </c:pt>
                <c:pt idx="1">
                  <c:v>Revenue R'000</c:v>
                </c:pt>
              </c:strCache>
            </c:strRef>
          </c:cat>
          <c:val>
            <c:numRef>
              <c:f>'Electricity report'!$K$741:$L$741</c:f>
              <c:numCache>
                <c:formatCode>General</c:formatCode>
                <c:ptCount val="2"/>
                <c:pt idx="0" formatCode="_-* #\ ##0_-;\-* #\ ##0_-;_-* &quot;-&quot;??_-;_-@_-">
                  <c:v>0</c:v>
                </c:pt>
              </c:numCache>
            </c:numRef>
          </c:val>
          <c:extLst>
            <c:ext xmlns:c16="http://schemas.microsoft.com/office/drawing/2014/chart" uri="{C3380CC4-5D6E-409C-BE32-E72D297353CC}">
              <c16:uniqueId val="{00000003-B518-45CF-8ACC-A6C3E1EBFDC8}"/>
            </c:ext>
          </c:extLst>
        </c:ser>
        <c:ser>
          <c:idx val="4"/>
          <c:order val="3"/>
          <c:tx>
            <c:strRef>
              <c:f>'Electricity report'!$J$742</c:f>
              <c:strCache>
                <c:ptCount val="1"/>
                <c:pt idx="0">
                  <c:v>Surplus</c:v>
                </c:pt>
              </c:strCache>
            </c:strRef>
          </c:tx>
          <c:spPr>
            <a:solidFill>
              <a:srgbClr val="5B9BD5"/>
            </a:solidFill>
            <a:ln w="25400">
              <a:noFill/>
            </a:ln>
          </c:spPr>
          <c:invertIfNegative val="0"/>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'Electricity report'!$K$738:$L$738</c:f>
              <c:strCache>
                <c:ptCount val="2"/>
                <c:pt idx="0">
                  <c:v>Expenditure R'000</c:v>
                </c:pt>
                <c:pt idx="1">
                  <c:v>Revenue R'000</c:v>
                </c:pt>
              </c:strCache>
            </c:strRef>
          </c:cat>
          <c:val>
            <c:numRef>
              <c:f>'Electricity report'!$K$742:$L$742</c:f>
              <c:numCache>
                <c:formatCode>General</c:formatCode>
                <c:ptCount val="2"/>
                <c:pt idx="0" formatCode="_-* #\ ##0_-;\-* #\ ##0_-;_-* &quot;-&quot;??_-;_-@_-">
                  <c:v>0</c:v>
                </c:pt>
              </c:numCache>
            </c:numRef>
          </c:val>
          <c:extLst>
            <c:ext xmlns:c16="http://schemas.microsoft.com/office/drawing/2014/chart" uri="{C3380CC4-5D6E-409C-BE32-E72D297353CC}">
              <c16:uniqueId val="{00000004-B518-45CF-8ACC-A6C3E1EBFDC8}"/>
            </c:ext>
          </c:extLst>
        </c:ser>
        <c:ser>
          <c:idx val="5"/>
          <c:order val="4"/>
          <c:tx>
            <c:strRef>
              <c:f>'Electricity report'!$J$743</c:f>
              <c:strCache>
                <c:ptCount val="1"/>
                <c:pt idx="0">
                  <c:v>Tariff revenue</c:v>
                </c:pt>
              </c:strCache>
            </c:strRef>
          </c:tx>
          <c:spPr>
            <a:solidFill>
              <a:srgbClr val="A5A5A5"/>
            </a:solidFill>
            <a:ln w="25400">
              <a:noFill/>
            </a:ln>
          </c:spPr>
          <c:invertIfNegative val="0"/>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'Electricity report'!$K$738:$L$738</c:f>
              <c:strCache>
                <c:ptCount val="2"/>
                <c:pt idx="0">
                  <c:v>Expenditure R'000</c:v>
                </c:pt>
                <c:pt idx="1">
                  <c:v>Revenue R'000</c:v>
                </c:pt>
              </c:strCache>
            </c:strRef>
          </c:cat>
          <c:val>
            <c:numRef>
              <c:f>'Electricity report'!$K$743:$L$743</c:f>
              <c:numCache>
                <c:formatCode>_-* #\ ##0_-;\-* #\ ##0_-;_-* "-"??_-;_-@_-</c:formatCode>
                <c:ptCount val="2"/>
                <c:pt idx="1">
                  <c:v>0</c:v>
                </c:pt>
              </c:numCache>
            </c:numRef>
          </c:val>
          <c:extLst>
            <c:ext xmlns:c16="http://schemas.microsoft.com/office/drawing/2014/chart" uri="{C3380CC4-5D6E-409C-BE32-E72D297353CC}">
              <c16:uniqueId val="{00000005-B518-45CF-8ACC-A6C3E1EBFDC8}"/>
            </c:ext>
          </c:extLst>
        </c:ser>
        <c:ser>
          <c:idx val="3"/>
          <c:order val="5"/>
          <c:tx>
            <c:strRef>
              <c:f>'Electricity report'!$J$744</c:f>
              <c:strCache>
                <c:ptCount val="1"/>
                <c:pt idx="0">
                  <c:v>External grants &amp; subsidies</c:v>
                </c:pt>
              </c:strCache>
            </c:strRef>
          </c:tx>
          <c:spPr>
            <a:solidFill>
              <a:schemeClr val="accent3">
                <a:lumMod val="40000"/>
                <a:lumOff val="60000"/>
              </a:schemeClr>
            </a:solidFill>
            <a:ln>
              <a:noFill/>
            </a:ln>
            <a:effectLst/>
          </c:spPr>
          <c:invertIfNegative val="0"/>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'Electricity report'!$K$738:$L$738</c:f>
              <c:strCache>
                <c:ptCount val="2"/>
                <c:pt idx="0">
                  <c:v>Expenditure R'000</c:v>
                </c:pt>
                <c:pt idx="1">
                  <c:v>Revenue R'000</c:v>
                </c:pt>
              </c:strCache>
            </c:strRef>
          </c:cat>
          <c:val>
            <c:numRef>
              <c:f>'Electricity report'!$K$744:$L$744</c:f>
              <c:numCache>
                <c:formatCode>_-* #\ ##0_-;\-* #\ ##0_-;_-* "-"??_-;_-@_-</c:formatCode>
                <c:ptCount val="2"/>
                <c:pt idx="1">
                  <c:v>0</c:v>
                </c:pt>
              </c:numCache>
            </c:numRef>
          </c:val>
          <c:extLst>
            <c:ext xmlns:c16="http://schemas.microsoft.com/office/drawing/2014/chart" uri="{C3380CC4-5D6E-409C-BE32-E72D297353CC}">
              <c16:uniqueId val="{00000006-B518-45CF-8ACC-A6C3E1EBFDC8}"/>
            </c:ext>
          </c:extLst>
        </c:ser>
        <c:ser>
          <c:idx val="6"/>
          <c:order val="6"/>
          <c:tx>
            <c:strRef>
              <c:f>'Electricity report'!$J$745</c:f>
              <c:strCache>
                <c:ptCount val="1"/>
                <c:pt idx="0">
                  <c:v>Other non-tariff revenue</c:v>
                </c:pt>
              </c:strCache>
            </c:strRef>
          </c:tx>
          <c:spPr>
            <a:solidFill>
              <a:srgbClr val="ED7D31"/>
            </a:solidFill>
            <a:ln w="25400">
              <a:noFill/>
            </a:ln>
          </c:spPr>
          <c:invertIfNegative val="0"/>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'Electricity report'!$K$738:$L$738</c:f>
              <c:strCache>
                <c:ptCount val="2"/>
                <c:pt idx="0">
                  <c:v>Expenditure R'000</c:v>
                </c:pt>
                <c:pt idx="1">
                  <c:v>Revenue R'000</c:v>
                </c:pt>
              </c:strCache>
            </c:strRef>
          </c:cat>
          <c:val>
            <c:numRef>
              <c:f>'Electricity report'!$K$745:$L$745</c:f>
              <c:numCache>
                <c:formatCode>_-* #\ ##0_-;\-* #\ ##0_-;_-* "-"??_-;_-@_-</c:formatCode>
                <c:ptCount val="2"/>
                <c:pt idx="1">
                  <c:v>0</c:v>
                </c:pt>
              </c:numCache>
            </c:numRef>
          </c:val>
          <c:extLst>
            <c:ext xmlns:c16="http://schemas.microsoft.com/office/drawing/2014/chart" uri="{C3380CC4-5D6E-409C-BE32-E72D297353CC}">
              <c16:uniqueId val="{00000007-B518-45CF-8ACC-A6C3E1EBFDC8}"/>
            </c:ext>
          </c:extLst>
        </c:ser>
        <c:ser>
          <c:idx val="7"/>
          <c:order val="7"/>
          <c:tx>
            <c:strRef>
              <c:f>'Electricity report'!$J$746</c:f>
              <c:strCache>
                <c:ptCount val="1"/>
                <c:pt idx="0">
                  <c:v>Deficit</c:v>
                </c:pt>
              </c:strCache>
            </c:strRef>
          </c:tx>
          <c:spPr>
            <a:solidFill>
              <a:srgbClr val="4472C4"/>
            </a:solidFill>
            <a:ln w="25400">
              <a:noFill/>
            </a:ln>
          </c:spPr>
          <c:invertIfNegative val="0"/>
          <c:dPt>
            <c:idx val="0"/>
            <c:invertIfNegative val="0"/>
            <c:bubble3D val="0"/>
            <c:spPr>
              <a:solidFill>
                <a:srgbClr val="5B9BD5"/>
              </a:solidFill>
              <a:ln w="25400">
                <a:noFill/>
              </a:ln>
            </c:spPr>
            <c:extLst>
              <c:ext xmlns:c16="http://schemas.microsoft.com/office/drawing/2014/chart" uri="{C3380CC4-5D6E-409C-BE32-E72D297353CC}">
                <c16:uniqueId val="{00000008-B518-45CF-8ACC-A6C3E1EBFDC8}"/>
              </c:ext>
            </c:extLst>
          </c:dPt>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'Electricity report'!$K$738:$L$738</c:f>
              <c:strCache>
                <c:ptCount val="2"/>
                <c:pt idx="0">
                  <c:v>Expenditure R'000</c:v>
                </c:pt>
                <c:pt idx="1">
                  <c:v>Revenue R'000</c:v>
                </c:pt>
              </c:strCache>
            </c:strRef>
          </c:cat>
          <c:val>
            <c:numRef>
              <c:f>'Electricity report'!$K$746:$L$746</c:f>
              <c:numCache>
                <c:formatCode>_-* #\ ##0_-;\-* #\ ##0_-;_-* "-"??_-;_-@_-</c:formatCode>
                <c:ptCount val="2"/>
                <c:pt idx="1">
                  <c:v>0</c:v>
                </c:pt>
              </c:numCache>
            </c:numRef>
          </c:val>
          <c:extLst>
            <c:ext xmlns:c16="http://schemas.microsoft.com/office/drawing/2014/chart" uri="{C3380CC4-5D6E-409C-BE32-E72D297353CC}">
              <c16:uniqueId val="{00000009-B518-45CF-8ACC-A6C3E1EBFDC8}"/>
            </c:ext>
          </c:extLst>
        </c:ser>
        <c:dLbls>
          <c:showLegendKey val="0"/>
          <c:showVal val="0"/>
          <c:showCatName val="0"/>
          <c:showSerName val="0"/>
          <c:showPercent val="0"/>
          <c:showBubbleSize val="0"/>
        </c:dLbls>
        <c:gapWidth val="25"/>
        <c:overlap val="100"/>
        <c:axId val="1364674191"/>
        <c:axId val="1"/>
      </c:barChart>
      <c:catAx>
        <c:axId val="1364674191"/>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0" vert="horz"/>
          <a:lstStyle/>
          <a:p>
            <a:pPr>
              <a:defRPr sz="1100" b="0" i="0" u="none" strike="noStrike" baseline="0">
                <a:solidFill>
                  <a:srgbClr val="000000"/>
                </a:solidFill>
                <a:latin typeface="Calibri"/>
                <a:ea typeface="Calibri"/>
                <a:cs typeface="Calibri"/>
              </a:defRPr>
            </a:pPr>
            <a:endParaRPr lang="en-US"/>
          </a:p>
        </c:txPr>
        <c:crossAx val="1"/>
        <c:crosses val="autoZero"/>
        <c:auto val="1"/>
        <c:lblAlgn val="ctr"/>
        <c:lblOffset val="100"/>
        <c:noMultiLvlLbl val="0"/>
      </c:catAx>
      <c:valAx>
        <c:axId val="1"/>
        <c:scaling>
          <c:orientation val="minMax"/>
        </c:scaling>
        <c:delete val="1"/>
        <c:axPos val="l"/>
        <c:majorGridlines>
          <c:spPr>
            <a:ln w="9525" cap="flat" cmpd="sng" algn="ctr">
              <a:solidFill>
                <a:schemeClr val="tx1">
                  <a:lumMod val="15000"/>
                  <a:lumOff val="85000"/>
                </a:schemeClr>
              </a:solidFill>
              <a:round/>
            </a:ln>
            <a:effectLst/>
          </c:spPr>
        </c:majorGridlines>
        <c:numFmt formatCode="_-* #\ ##0_-;\-* #\ ##0_-;_-* &quot;-&quot;??_-;_-@_-" sourceLinked="1"/>
        <c:majorTickMark val="out"/>
        <c:minorTickMark val="none"/>
        <c:tickLblPos val="nextTo"/>
        <c:crossAx val="1364674191"/>
        <c:crosses val="autoZero"/>
        <c:crossBetween val="between"/>
      </c:valAx>
    </c:plotArea>
    <c:legend>
      <c:legendPos val="r"/>
      <c:layout>
        <c:manualLayout>
          <c:xMode val="edge"/>
          <c:yMode val="edge"/>
          <c:x val="0.63225725892244689"/>
          <c:y val="0.1812752257931505"/>
          <c:w val="0.34899346501875061"/>
          <c:h val="0.70697306341239063"/>
        </c:manualLayout>
      </c:layout>
      <c:overlay val="0"/>
      <c:spPr>
        <a:noFill/>
        <a:ln w="25400">
          <a:noFill/>
        </a:ln>
      </c:spPr>
      <c:txPr>
        <a:bodyPr/>
        <a:lstStyle/>
        <a:p>
          <a:pPr>
            <a:defRPr sz="850" b="0" i="0" u="none" strike="noStrike" baseline="0">
              <a:solidFill>
                <a:srgbClr val="000000"/>
              </a:solidFill>
              <a:latin typeface="Calibri"/>
              <a:ea typeface="Calibri"/>
              <a:cs typeface="Calibri"/>
            </a:defRPr>
          </a:pPr>
          <a:endParaRPr lang="en-US"/>
        </a:p>
      </c:txPr>
    </c:legend>
    <c:plotVisOnly val="1"/>
    <c:dispBlanksAs val="gap"/>
    <c:showDLblsOverMax val="0"/>
  </c:chart>
  <c:spPr>
    <a:solidFill>
      <a:schemeClr val="bg1"/>
    </a:solidFill>
    <a:ln w="9525" cap="flat" cmpd="sng" algn="ctr">
      <a:noFill/>
      <a:round/>
    </a:ln>
    <a:effectLst/>
  </c:spPr>
  <c:txPr>
    <a:bodyPr/>
    <a:lstStyle/>
    <a:p>
      <a:pPr>
        <a:defRPr sz="11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charts/chart16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ser>
          <c:idx val="0"/>
          <c:order val="0"/>
          <c:tx>
            <c:strRef>
              <c:f>'Electricity report'!$L$764</c:f>
              <c:strCache>
                <c:ptCount val="1"/>
                <c:pt idx="0">
                  <c:v>Annual Tariff</c:v>
                </c:pt>
              </c:strCache>
            </c:strRef>
          </c:tx>
          <c:spPr>
            <a:solidFill>
              <a:srgbClr val="4472C4"/>
            </a:solidFill>
            <a:ln w="25400">
              <a:noFill/>
            </a:ln>
          </c:spPr>
          <c:invertIfNegative val="0"/>
          <c:dLbls>
            <c:spPr>
              <a:noFill/>
              <a:ln w="25400">
                <a:noFill/>
              </a:ln>
            </c:spPr>
            <c:txPr>
              <a:bodyPr wrap="square" lIns="38100" tIns="19050" rIns="38100" bIns="19050" anchor="ctr">
                <a:spAutoFit/>
              </a:bodyPr>
              <a:lstStyle/>
              <a:p>
                <a:pPr>
                  <a:defRPr sz="900" b="0" i="0" u="none" strike="noStrike" baseline="0">
                    <a:solidFill>
                      <a:srgbClr val="333333"/>
                    </a:solidFill>
                    <a:latin typeface="Calibri"/>
                    <a:ea typeface="Calibri"/>
                    <a:cs typeface="Calibri"/>
                  </a:defRPr>
                </a:pPr>
                <a:endParaRPr lang="en-US"/>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'Electricity report'!$K$765:$K$769</c:f>
              <c:strCache>
                <c:ptCount val="5"/>
                <c:pt idx="0">
                  <c:v>0</c:v>
                </c:pt>
                <c:pt idx="1">
                  <c:v>0</c:v>
                </c:pt>
                <c:pt idx="2">
                  <c:v>0</c:v>
                </c:pt>
                <c:pt idx="3">
                  <c:v>0</c:v>
                </c:pt>
                <c:pt idx="4">
                  <c:v>More</c:v>
                </c:pt>
              </c:strCache>
            </c:strRef>
          </c:cat>
          <c:val>
            <c:numRef>
              <c:f>'Electricity report'!$L$765:$L$769</c:f>
              <c:numCache>
                <c:formatCode>_(* #,##0.00_);_(* \(#,##0.00\);_(* "-"??_);_(@_)</c:formatCode>
                <c:ptCount val="5"/>
                <c:pt idx="0">
                  <c:v>0</c:v>
                </c:pt>
                <c:pt idx="1">
                  <c:v>0</c:v>
                </c:pt>
                <c:pt idx="2">
                  <c:v>0</c:v>
                </c:pt>
                <c:pt idx="3">
                  <c:v>0</c:v>
                </c:pt>
                <c:pt idx="4">
                  <c:v>0</c:v>
                </c:pt>
              </c:numCache>
            </c:numRef>
          </c:val>
          <c:extLst>
            <c:ext xmlns:c16="http://schemas.microsoft.com/office/drawing/2014/chart" uri="{C3380CC4-5D6E-409C-BE32-E72D297353CC}">
              <c16:uniqueId val="{00000000-617F-4CFF-836C-876CD97B0F1E}"/>
            </c:ext>
          </c:extLst>
        </c:ser>
        <c:ser>
          <c:idx val="1"/>
          <c:order val="1"/>
          <c:tx>
            <c:strRef>
              <c:f>'Electricity report'!$M$764</c:f>
              <c:strCache>
                <c:ptCount val="1"/>
              </c:strCache>
            </c:strRef>
          </c:tx>
          <c:spPr>
            <a:solidFill>
              <a:srgbClr val="ED7D31"/>
            </a:solidFill>
            <a:ln w="25400">
              <a:noFill/>
            </a:ln>
          </c:spPr>
          <c:invertIfNegative val="0"/>
          <c:dLbls>
            <c:spPr>
              <a:noFill/>
              <a:ln w="25400">
                <a:noFill/>
              </a:ln>
            </c:spPr>
            <c:txPr>
              <a:bodyPr wrap="square" lIns="38100" tIns="19050" rIns="38100" bIns="19050" anchor="ctr">
                <a:spAutoFit/>
              </a:bodyPr>
              <a:lstStyle/>
              <a:p>
                <a:pPr>
                  <a:defRPr sz="900" b="0" i="0" u="none" strike="noStrike" baseline="0">
                    <a:solidFill>
                      <a:srgbClr val="333333"/>
                    </a:solidFill>
                    <a:latin typeface="Calibri"/>
                    <a:ea typeface="Calibri"/>
                    <a:cs typeface="Calibri"/>
                  </a:defRPr>
                </a:pPr>
                <a:endParaRPr lang="en-US"/>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'Electricity report'!$K$765:$K$769</c:f>
              <c:strCache>
                <c:ptCount val="5"/>
                <c:pt idx="0">
                  <c:v>0</c:v>
                </c:pt>
                <c:pt idx="1">
                  <c:v>0</c:v>
                </c:pt>
                <c:pt idx="2">
                  <c:v>0</c:v>
                </c:pt>
                <c:pt idx="3">
                  <c:v>0</c:v>
                </c:pt>
                <c:pt idx="4">
                  <c:v>More</c:v>
                </c:pt>
              </c:strCache>
            </c:strRef>
          </c:cat>
          <c:val>
            <c:numRef>
              <c:f>'Electricity report'!$M$765:$M$769</c:f>
              <c:numCache>
                <c:formatCode>_(* #,##0.00_);_(* \(#,##0.00\);_(* "-"??_);_(@_)</c:formatCode>
                <c:ptCount val="5"/>
                <c:pt idx="0">
                  <c:v>0</c:v>
                </c:pt>
                <c:pt idx="1">
                  <c:v>0</c:v>
                </c:pt>
                <c:pt idx="2">
                  <c:v>0</c:v>
                </c:pt>
                <c:pt idx="3">
                  <c:v>0</c:v>
                </c:pt>
                <c:pt idx="4">
                  <c:v>0</c:v>
                </c:pt>
              </c:numCache>
            </c:numRef>
          </c:val>
          <c:extLst>
            <c:ext xmlns:c16="http://schemas.microsoft.com/office/drawing/2014/chart" uri="{C3380CC4-5D6E-409C-BE32-E72D297353CC}">
              <c16:uniqueId val="{00000001-617F-4CFF-836C-876CD97B0F1E}"/>
            </c:ext>
          </c:extLst>
        </c:ser>
        <c:dLbls>
          <c:showLegendKey val="0"/>
          <c:showVal val="0"/>
          <c:showCatName val="0"/>
          <c:showSerName val="0"/>
          <c:showPercent val="0"/>
          <c:showBubbleSize val="0"/>
        </c:dLbls>
        <c:gapWidth val="50"/>
        <c:axId val="1364666991"/>
        <c:axId val="1"/>
      </c:barChart>
      <c:lineChart>
        <c:grouping val="standard"/>
        <c:varyColors val="0"/>
        <c:ser>
          <c:idx val="2"/>
          <c:order val="2"/>
          <c:tx>
            <c:strRef>
              <c:f>'Electricity report'!$N$764</c:f>
              <c:strCache>
                <c:ptCount val="1"/>
                <c:pt idx="0">
                  <c:v>Total cost per kl </c:v>
                </c:pt>
              </c:strCache>
            </c:strRef>
          </c:tx>
          <c:spPr>
            <a:ln w="28575" cap="rnd">
              <a:solidFill>
                <a:schemeClr val="accent3"/>
              </a:solidFill>
              <a:round/>
            </a:ln>
            <a:effectLst/>
          </c:spPr>
          <c:marker>
            <c:symbol val="none"/>
          </c:marker>
          <c:cat>
            <c:strRef>
              <c:f>'Electricity report'!$K$765:$K$769</c:f>
              <c:strCache>
                <c:ptCount val="5"/>
                <c:pt idx="0">
                  <c:v>0</c:v>
                </c:pt>
                <c:pt idx="1">
                  <c:v>0</c:v>
                </c:pt>
                <c:pt idx="2">
                  <c:v>0</c:v>
                </c:pt>
                <c:pt idx="3">
                  <c:v>0</c:v>
                </c:pt>
                <c:pt idx="4">
                  <c:v>More</c:v>
                </c:pt>
              </c:strCache>
            </c:strRef>
          </c:cat>
          <c:val>
            <c:numRef>
              <c:f>'Electricity report'!$N$765:$N$769</c:f>
              <c:numCache>
                <c:formatCode>_(* #,##0.00_);_(* \(#,##0.00\);_(* "-"??_);_(@_)</c:formatCode>
                <c:ptCount val="5"/>
                <c:pt idx="0">
                  <c:v>0</c:v>
                </c:pt>
                <c:pt idx="1">
                  <c:v>0</c:v>
                </c:pt>
                <c:pt idx="2">
                  <c:v>0</c:v>
                </c:pt>
                <c:pt idx="3">
                  <c:v>0</c:v>
                </c:pt>
                <c:pt idx="4">
                  <c:v>0</c:v>
                </c:pt>
              </c:numCache>
            </c:numRef>
          </c:val>
          <c:smooth val="0"/>
          <c:extLst>
            <c:ext xmlns:c16="http://schemas.microsoft.com/office/drawing/2014/chart" uri="{C3380CC4-5D6E-409C-BE32-E72D297353CC}">
              <c16:uniqueId val="{00000002-617F-4CFF-836C-876CD97B0F1E}"/>
            </c:ext>
          </c:extLst>
        </c:ser>
        <c:ser>
          <c:idx val="3"/>
          <c:order val="3"/>
          <c:tx>
            <c:strRef>
              <c:f>'Electricity report'!$O$764</c:f>
              <c:strCache>
                <c:ptCount val="1"/>
                <c:pt idx="0">
                  <c:v>Variable cost per kWh</c:v>
                </c:pt>
              </c:strCache>
            </c:strRef>
          </c:tx>
          <c:spPr>
            <a:ln w="28575" cap="rnd">
              <a:solidFill>
                <a:schemeClr val="accent4"/>
              </a:solidFill>
              <a:round/>
            </a:ln>
            <a:effectLst/>
          </c:spPr>
          <c:marker>
            <c:symbol val="none"/>
          </c:marker>
          <c:cat>
            <c:strRef>
              <c:f>'Electricity report'!$K$765:$K$769</c:f>
              <c:strCache>
                <c:ptCount val="5"/>
                <c:pt idx="0">
                  <c:v>0</c:v>
                </c:pt>
                <c:pt idx="1">
                  <c:v>0</c:v>
                </c:pt>
                <c:pt idx="2">
                  <c:v>0</c:v>
                </c:pt>
                <c:pt idx="3">
                  <c:v>0</c:v>
                </c:pt>
                <c:pt idx="4">
                  <c:v>More</c:v>
                </c:pt>
              </c:strCache>
            </c:strRef>
          </c:cat>
          <c:val>
            <c:numRef>
              <c:f>'Electricity report'!$O$765:$O$769</c:f>
              <c:numCache>
                <c:formatCode>_(* #,##0.00_);_(* \(#,##0.00\);_(* "-"??_);_(@_)</c:formatCode>
                <c:ptCount val="5"/>
                <c:pt idx="0">
                  <c:v>0</c:v>
                </c:pt>
                <c:pt idx="1">
                  <c:v>0</c:v>
                </c:pt>
                <c:pt idx="2">
                  <c:v>0</c:v>
                </c:pt>
                <c:pt idx="3">
                  <c:v>0</c:v>
                </c:pt>
                <c:pt idx="4">
                  <c:v>0</c:v>
                </c:pt>
              </c:numCache>
            </c:numRef>
          </c:val>
          <c:smooth val="0"/>
          <c:extLst>
            <c:ext xmlns:c16="http://schemas.microsoft.com/office/drawing/2014/chart" uri="{C3380CC4-5D6E-409C-BE32-E72D297353CC}">
              <c16:uniqueId val="{00000003-617F-4CFF-836C-876CD97B0F1E}"/>
            </c:ext>
          </c:extLst>
        </c:ser>
        <c:dLbls>
          <c:showLegendKey val="0"/>
          <c:showVal val="0"/>
          <c:showCatName val="0"/>
          <c:showSerName val="0"/>
          <c:showPercent val="0"/>
          <c:showBubbleSize val="0"/>
        </c:dLbls>
        <c:marker val="1"/>
        <c:smooth val="0"/>
        <c:axId val="1364666991"/>
        <c:axId val="1"/>
      </c:lineChart>
      <c:catAx>
        <c:axId val="1364666991"/>
        <c:scaling>
          <c:orientation val="minMax"/>
        </c:scaling>
        <c:delete val="0"/>
        <c:axPos val="b"/>
        <c:title>
          <c:tx>
            <c:rich>
              <a:bodyPr/>
              <a:lstStyle/>
              <a:p>
                <a:pPr>
                  <a:defRPr sz="1000" b="0" i="0" u="none" strike="noStrike" baseline="0">
                    <a:solidFill>
                      <a:srgbClr val="333333"/>
                    </a:solidFill>
                    <a:latin typeface="Calibri"/>
                    <a:ea typeface="Calibri"/>
                    <a:cs typeface="Calibri"/>
                  </a:defRPr>
                </a:pPr>
                <a:r>
                  <a:rPr lang="en-ZA"/>
                  <a:t>Block size</a:t>
                </a:r>
              </a:p>
            </c:rich>
          </c:tx>
          <c:overlay val="0"/>
          <c:spPr>
            <a:noFill/>
            <a:ln w="25400">
              <a:noFill/>
            </a:ln>
          </c:spPr>
        </c:title>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0" vert="horz"/>
          <a:lstStyle/>
          <a:p>
            <a:pPr>
              <a:defRPr sz="900" b="0" i="0" u="none" strike="noStrike" baseline="0">
                <a:solidFill>
                  <a:srgbClr val="333333"/>
                </a:solidFill>
                <a:latin typeface="Calibri"/>
                <a:ea typeface="Calibri"/>
                <a:cs typeface="Calibri"/>
              </a:defRPr>
            </a:pPr>
            <a:endParaRPr lang="en-US"/>
          </a:p>
        </c:txPr>
        <c:crossAx val="1"/>
        <c:crosses val="autoZero"/>
        <c:auto val="1"/>
        <c:lblAlgn val="ctr"/>
        <c:lblOffset val="100"/>
        <c:noMultiLvlLbl val="0"/>
      </c:catAx>
      <c:valAx>
        <c:axId val="1"/>
        <c:scaling>
          <c:orientation val="minMax"/>
        </c:scaling>
        <c:delete val="0"/>
        <c:axPos val="l"/>
        <c:majorGridlines>
          <c:spPr>
            <a:ln w="9525" cap="flat" cmpd="sng" algn="ctr">
              <a:solidFill>
                <a:schemeClr val="tx1">
                  <a:lumMod val="15000"/>
                  <a:lumOff val="85000"/>
                </a:schemeClr>
              </a:solidFill>
              <a:round/>
            </a:ln>
            <a:effectLst/>
          </c:spPr>
        </c:majorGridlines>
        <c:title>
          <c:tx>
            <c:rich>
              <a:bodyPr/>
              <a:lstStyle/>
              <a:p>
                <a:pPr>
                  <a:defRPr sz="1000" b="0" i="0" u="none" strike="noStrike" baseline="0">
                    <a:solidFill>
                      <a:srgbClr val="333333"/>
                    </a:solidFill>
                    <a:latin typeface="Calibri"/>
                    <a:ea typeface="Calibri"/>
                    <a:cs typeface="Calibri"/>
                  </a:defRPr>
                </a:pPr>
                <a:r>
                  <a:rPr lang="en-ZA"/>
                  <a:t>R/kWh</a:t>
                </a:r>
              </a:p>
            </c:rich>
          </c:tx>
          <c:overlay val="0"/>
          <c:spPr>
            <a:noFill/>
            <a:ln w="25400">
              <a:noFill/>
            </a:ln>
          </c:spPr>
        </c:title>
        <c:numFmt formatCode="_(* #,##0.00_);_(* \(#,##0.00\);_(* &quot;-&quot;??_);_(@_)" sourceLinked="1"/>
        <c:majorTickMark val="none"/>
        <c:minorTickMark val="none"/>
        <c:tickLblPos val="nextTo"/>
        <c:spPr>
          <a:ln w="6350">
            <a:noFill/>
          </a:ln>
        </c:spPr>
        <c:txPr>
          <a:bodyPr rot="0" vert="horz"/>
          <a:lstStyle/>
          <a:p>
            <a:pPr>
              <a:defRPr sz="900" b="0" i="0" u="none" strike="noStrike" baseline="0">
                <a:solidFill>
                  <a:srgbClr val="333333"/>
                </a:solidFill>
                <a:latin typeface="Calibri"/>
                <a:ea typeface="Calibri"/>
                <a:cs typeface="Calibri"/>
              </a:defRPr>
            </a:pPr>
            <a:endParaRPr lang="en-US"/>
          </a:p>
        </c:txPr>
        <c:crossAx val="1364666991"/>
        <c:crosses val="autoZero"/>
        <c:crossBetween val="between"/>
      </c:valAx>
      <c:spPr>
        <a:noFill/>
        <a:ln w="25400">
          <a:noFill/>
        </a:ln>
      </c:spPr>
    </c:plotArea>
    <c:legend>
      <c:legendPos val="r"/>
      <c:layout>
        <c:manualLayout>
          <c:xMode val="edge"/>
          <c:yMode val="edge"/>
          <c:x val="0.13950287562017133"/>
          <c:y val="0.92826131183362848"/>
          <c:w val="0.71318852384831199"/>
          <c:h val="5.2633337100804978E-2"/>
        </c:manualLayout>
      </c:layout>
      <c:overlay val="0"/>
      <c:spPr>
        <a:noFill/>
        <a:ln w="25400">
          <a:noFill/>
        </a:ln>
      </c:spPr>
      <c:txPr>
        <a:bodyPr/>
        <a:lstStyle/>
        <a:p>
          <a:pPr>
            <a:defRPr sz="690" b="0" i="0" u="none" strike="noStrike" baseline="0">
              <a:solidFill>
                <a:srgbClr val="333333"/>
              </a:solidFill>
              <a:latin typeface="Calibri"/>
              <a:ea typeface="Calibri"/>
              <a:cs typeface="Calibri"/>
            </a:defRPr>
          </a:pPr>
          <a:endParaRPr lang="en-US"/>
        </a:p>
      </c:txPr>
    </c:legend>
    <c:plotVisOnly val="1"/>
    <c:dispBlanksAs val="gap"/>
    <c:showDLblsOverMax val="0"/>
  </c:chart>
  <c:spPr>
    <a:solidFill>
      <a:schemeClr val="bg1"/>
    </a:solidFill>
    <a:ln w="9525" cap="flat" cmpd="sng" algn="ctr">
      <a:noFill/>
      <a:round/>
    </a:ln>
    <a:effectLst/>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charts/chart16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2.3871527777777776E-2"/>
          <c:y val="4.7786414907172239E-2"/>
          <c:w val="0.57559123468941387"/>
          <c:h val="0.83529592857692603"/>
        </c:manualLayout>
      </c:layout>
      <c:barChart>
        <c:barDir val="col"/>
        <c:grouping val="stacked"/>
        <c:varyColors val="0"/>
        <c:ser>
          <c:idx val="0"/>
          <c:order val="0"/>
          <c:tx>
            <c:strRef>
              <c:f>'Electricity report'!$J$808</c:f>
              <c:strCache>
                <c:ptCount val="1"/>
                <c:pt idx="0">
                  <c:v>Customer costs </c:v>
                </c:pt>
              </c:strCache>
            </c:strRef>
          </c:tx>
          <c:spPr>
            <a:solidFill>
              <a:srgbClr val="4472C4"/>
            </a:solidFill>
            <a:ln w="25400">
              <a:noFill/>
            </a:ln>
          </c:spPr>
          <c:invertIfNegative val="0"/>
          <c:dPt>
            <c:idx val="0"/>
            <c:invertIfNegative val="0"/>
            <c:bubble3D val="0"/>
            <c:spPr>
              <a:solidFill>
                <a:srgbClr val="5B9BD5"/>
              </a:solidFill>
              <a:ln w="25400">
                <a:noFill/>
              </a:ln>
            </c:spPr>
            <c:extLst>
              <c:ext xmlns:c16="http://schemas.microsoft.com/office/drawing/2014/chart" uri="{C3380CC4-5D6E-409C-BE32-E72D297353CC}">
                <c16:uniqueId val="{00000000-62AF-4AD3-B6D0-54CFC90F73E5}"/>
              </c:ext>
            </c:extLst>
          </c:dPt>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'Electricity report'!$K$807:$L$807</c:f>
              <c:strCache>
                <c:ptCount val="2"/>
                <c:pt idx="0">
                  <c:v>Expenditure R'000</c:v>
                </c:pt>
                <c:pt idx="1">
                  <c:v>Revenue R'000</c:v>
                </c:pt>
              </c:strCache>
            </c:strRef>
          </c:cat>
          <c:val>
            <c:numRef>
              <c:f>'Electricity report'!$K$808:$L$808</c:f>
              <c:numCache>
                <c:formatCode>General</c:formatCode>
                <c:ptCount val="2"/>
                <c:pt idx="0" formatCode="_-* #\ ##0_-;\-* #\ ##0_-;_-* &quot;-&quot;??_-;_-@_-">
                  <c:v>0</c:v>
                </c:pt>
              </c:numCache>
            </c:numRef>
          </c:val>
          <c:extLst>
            <c:ext xmlns:c16="http://schemas.microsoft.com/office/drawing/2014/chart" uri="{C3380CC4-5D6E-409C-BE32-E72D297353CC}">
              <c16:uniqueId val="{00000001-62AF-4AD3-B6D0-54CFC90F73E5}"/>
            </c:ext>
          </c:extLst>
        </c:ser>
        <c:ser>
          <c:idx val="1"/>
          <c:order val="1"/>
          <c:tx>
            <c:strRef>
              <c:f>'Electricity report'!$J$809</c:f>
              <c:strCache>
                <c:ptCount val="1"/>
                <c:pt idx="0">
                  <c:v>Energy costs</c:v>
                </c:pt>
              </c:strCache>
            </c:strRef>
          </c:tx>
          <c:spPr>
            <a:solidFill>
              <a:schemeClr val="accent5">
                <a:lumMod val="60000"/>
                <a:lumOff val="40000"/>
              </a:schemeClr>
            </a:solidFill>
            <a:ln>
              <a:noFill/>
            </a:ln>
            <a:effectLst/>
          </c:spPr>
          <c:invertIfNegative val="0"/>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'Electricity report'!$K$807:$L$807</c:f>
              <c:strCache>
                <c:ptCount val="2"/>
                <c:pt idx="0">
                  <c:v>Expenditure R'000</c:v>
                </c:pt>
                <c:pt idx="1">
                  <c:v>Revenue R'000</c:v>
                </c:pt>
              </c:strCache>
            </c:strRef>
          </c:cat>
          <c:val>
            <c:numRef>
              <c:f>'Electricity report'!$K$809:$L$809</c:f>
              <c:numCache>
                <c:formatCode>General</c:formatCode>
                <c:ptCount val="2"/>
                <c:pt idx="0" formatCode="_-* #\ ##0_-;\-* #\ ##0_-;_-* &quot;-&quot;??_-;_-@_-">
                  <c:v>0</c:v>
                </c:pt>
              </c:numCache>
            </c:numRef>
          </c:val>
          <c:extLst>
            <c:ext xmlns:c16="http://schemas.microsoft.com/office/drawing/2014/chart" uri="{C3380CC4-5D6E-409C-BE32-E72D297353CC}">
              <c16:uniqueId val="{00000002-62AF-4AD3-B6D0-54CFC90F73E5}"/>
            </c:ext>
          </c:extLst>
        </c:ser>
        <c:ser>
          <c:idx val="2"/>
          <c:order val="2"/>
          <c:tx>
            <c:strRef>
              <c:f>'Electricity report'!$J$810</c:f>
              <c:strCache>
                <c:ptCount val="1"/>
                <c:pt idx="0">
                  <c:v>Demand cost</c:v>
                </c:pt>
              </c:strCache>
            </c:strRef>
          </c:tx>
          <c:spPr>
            <a:solidFill>
              <a:srgbClr val="A5A5A5"/>
            </a:solidFill>
            <a:ln w="25400">
              <a:noFill/>
            </a:ln>
          </c:spPr>
          <c:invertIfNegative val="0"/>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'Electricity report'!$K$807:$L$807</c:f>
              <c:strCache>
                <c:ptCount val="2"/>
                <c:pt idx="0">
                  <c:v>Expenditure R'000</c:v>
                </c:pt>
                <c:pt idx="1">
                  <c:v>Revenue R'000</c:v>
                </c:pt>
              </c:strCache>
            </c:strRef>
          </c:cat>
          <c:val>
            <c:numRef>
              <c:f>'Electricity report'!$K$810:$L$810</c:f>
              <c:numCache>
                <c:formatCode>General</c:formatCode>
                <c:ptCount val="2"/>
                <c:pt idx="0" formatCode="_-* #\ ##0_-;\-* #\ ##0_-;_-* &quot;-&quot;??_-;_-@_-">
                  <c:v>0</c:v>
                </c:pt>
              </c:numCache>
            </c:numRef>
          </c:val>
          <c:extLst>
            <c:ext xmlns:c16="http://schemas.microsoft.com/office/drawing/2014/chart" uri="{C3380CC4-5D6E-409C-BE32-E72D297353CC}">
              <c16:uniqueId val="{00000003-62AF-4AD3-B6D0-54CFC90F73E5}"/>
            </c:ext>
          </c:extLst>
        </c:ser>
        <c:ser>
          <c:idx val="4"/>
          <c:order val="3"/>
          <c:tx>
            <c:strRef>
              <c:f>'Electricity report'!$J$811</c:f>
              <c:strCache>
                <c:ptCount val="1"/>
                <c:pt idx="0">
                  <c:v>Surplus</c:v>
                </c:pt>
              </c:strCache>
            </c:strRef>
          </c:tx>
          <c:spPr>
            <a:solidFill>
              <a:srgbClr val="5B9BD5"/>
            </a:solidFill>
            <a:ln w="25400">
              <a:noFill/>
            </a:ln>
          </c:spPr>
          <c:invertIfNegative val="0"/>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'Electricity report'!$K$807:$L$807</c:f>
              <c:strCache>
                <c:ptCount val="2"/>
                <c:pt idx="0">
                  <c:v>Expenditure R'000</c:v>
                </c:pt>
                <c:pt idx="1">
                  <c:v>Revenue R'000</c:v>
                </c:pt>
              </c:strCache>
            </c:strRef>
          </c:cat>
          <c:val>
            <c:numRef>
              <c:f>'Electricity report'!$K$811:$L$811</c:f>
              <c:numCache>
                <c:formatCode>General</c:formatCode>
                <c:ptCount val="2"/>
                <c:pt idx="0" formatCode="_-* #\ ##0_-;\-* #\ ##0_-;_-* &quot;-&quot;??_-;_-@_-">
                  <c:v>0</c:v>
                </c:pt>
              </c:numCache>
            </c:numRef>
          </c:val>
          <c:extLst>
            <c:ext xmlns:c16="http://schemas.microsoft.com/office/drawing/2014/chart" uri="{C3380CC4-5D6E-409C-BE32-E72D297353CC}">
              <c16:uniqueId val="{00000004-62AF-4AD3-B6D0-54CFC90F73E5}"/>
            </c:ext>
          </c:extLst>
        </c:ser>
        <c:ser>
          <c:idx val="5"/>
          <c:order val="4"/>
          <c:tx>
            <c:strRef>
              <c:f>'Electricity report'!$J$812</c:f>
              <c:strCache>
                <c:ptCount val="1"/>
                <c:pt idx="0">
                  <c:v>Tariff revenue</c:v>
                </c:pt>
              </c:strCache>
            </c:strRef>
          </c:tx>
          <c:spPr>
            <a:solidFill>
              <a:srgbClr val="A5A5A5"/>
            </a:solidFill>
            <a:ln w="25400">
              <a:noFill/>
            </a:ln>
          </c:spPr>
          <c:invertIfNegative val="0"/>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'Electricity report'!$K$807:$L$807</c:f>
              <c:strCache>
                <c:ptCount val="2"/>
                <c:pt idx="0">
                  <c:v>Expenditure R'000</c:v>
                </c:pt>
                <c:pt idx="1">
                  <c:v>Revenue R'000</c:v>
                </c:pt>
              </c:strCache>
            </c:strRef>
          </c:cat>
          <c:val>
            <c:numRef>
              <c:f>'Electricity report'!$K$812:$L$812</c:f>
              <c:numCache>
                <c:formatCode>_-* #\ ##0_-;\-* #\ ##0_-;_-* "-"??_-;_-@_-</c:formatCode>
                <c:ptCount val="2"/>
                <c:pt idx="1">
                  <c:v>0</c:v>
                </c:pt>
              </c:numCache>
            </c:numRef>
          </c:val>
          <c:extLst>
            <c:ext xmlns:c16="http://schemas.microsoft.com/office/drawing/2014/chart" uri="{C3380CC4-5D6E-409C-BE32-E72D297353CC}">
              <c16:uniqueId val="{00000005-62AF-4AD3-B6D0-54CFC90F73E5}"/>
            </c:ext>
          </c:extLst>
        </c:ser>
        <c:ser>
          <c:idx val="3"/>
          <c:order val="5"/>
          <c:tx>
            <c:strRef>
              <c:f>'Electricity report'!$J$813</c:f>
              <c:strCache>
                <c:ptCount val="1"/>
                <c:pt idx="0">
                  <c:v>External grants &amp; subsidies</c:v>
                </c:pt>
              </c:strCache>
            </c:strRef>
          </c:tx>
          <c:spPr>
            <a:solidFill>
              <a:schemeClr val="accent3">
                <a:lumMod val="40000"/>
                <a:lumOff val="60000"/>
              </a:schemeClr>
            </a:solidFill>
            <a:ln>
              <a:noFill/>
            </a:ln>
            <a:effectLst/>
          </c:spPr>
          <c:invertIfNegative val="0"/>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'Electricity report'!$K$807:$L$807</c:f>
              <c:strCache>
                <c:ptCount val="2"/>
                <c:pt idx="0">
                  <c:v>Expenditure R'000</c:v>
                </c:pt>
                <c:pt idx="1">
                  <c:v>Revenue R'000</c:v>
                </c:pt>
              </c:strCache>
            </c:strRef>
          </c:cat>
          <c:val>
            <c:numRef>
              <c:f>'Electricity report'!$K$813:$L$813</c:f>
              <c:numCache>
                <c:formatCode>_-* #\ ##0_-;\-* #\ ##0_-;_-* "-"??_-;_-@_-</c:formatCode>
                <c:ptCount val="2"/>
                <c:pt idx="1">
                  <c:v>0</c:v>
                </c:pt>
              </c:numCache>
            </c:numRef>
          </c:val>
          <c:extLst>
            <c:ext xmlns:c16="http://schemas.microsoft.com/office/drawing/2014/chart" uri="{C3380CC4-5D6E-409C-BE32-E72D297353CC}">
              <c16:uniqueId val="{00000006-62AF-4AD3-B6D0-54CFC90F73E5}"/>
            </c:ext>
          </c:extLst>
        </c:ser>
        <c:ser>
          <c:idx val="6"/>
          <c:order val="6"/>
          <c:tx>
            <c:strRef>
              <c:f>'Electricity report'!$J$814</c:f>
              <c:strCache>
                <c:ptCount val="1"/>
                <c:pt idx="0">
                  <c:v>Other non-tariff revenue</c:v>
                </c:pt>
              </c:strCache>
            </c:strRef>
          </c:tx>
          <c:spPr>
            <a:solidFill>
              <a:srgbClr val="ED7D31"/>
            </a:solidFill>
            <a:ln w="25400">
              <a:noFill/>
            </a:ln>
          </c:spPr>
          <c:invertIfNegative val="0"/>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'Electricity report'!$K$807:$L$807</c:f>
              <c:strCache>
                <c:ptCount val="2"/>
                <c:pt idx="0">
                  <c:v>Expenditure R'000</c:v>
                </c:pt>
                <c:pt idx="1">
                  <c:v>Revenue R'000</c:v>
                </c:pt>
              </c:strCache>
            </c:strRef>
          </c:cat>
          <c:val>
            <c:numRef>
              <c:f>'Electricity report'!$K$814:$L$814</c:f>
              <c:numCache>
                <c:formatCode>_-* #\ ##0_-;\-* #\ ##0_-;_-* "-"??_-;_-@_-</c:formatCode>
                <c:ptCount val="2"/>
                <c:pt idx="1">
                  <c:v>0</c:v>
                </c:pt>
              </c:numCache>
            </c:numRef>
          </c:val>
          <c:extLst>
            <c:ext xmlns:c16="http://schemas.microsoft.com/office/drawing/2014/chart" uri="{C3380CC4-5D6E-409C-BE32-E72D297353CC}">
              <c16:uniqueId val="{00000007-62AF-4AD3-B6D0-54CFC90F73E5}"/>
            </c:ext>
          </c:extLst>
        </c:ser>
        <c:ser>
          <c:idx val="7"/>
          <c:order val="7"/>
          <c:tx>
            <c:strRef>
              <c:f>'Electricity report'!$J$815</c:f>
              <c:strCache>
                <c:ptCount val="1"/>
                <c:pt idx="0">
                  <c:v>Deficit</c:v>
                </c:pt>
              </c:strCache>
            </c:strRef>
          </c:tx>
          <c:spPr>
            <a:solidFill>
              <a:srgbClr val="4472C4"/>
            </a:solidFill>
            <a:ln w="25400">
              <a:noFill/>
            </a:ln>
          </c:spPr>
          <c:invertIfNegative val="0"/>
          <c:dPt>
            <c:idx val="0"/>
            <c:invertIfNegative val="0"/>
            <c:bubble3D val="0"/>
            <c:spPr>
              <a:solidFill>
                <a:srgbClr val="5B9BD5"/>
              </a:solidFill>
              <a:ln w="25400">
                <a:noFill/>
              </a:ln>
            </c:spPr>
            <c:extLst>
              <c:ext xmlns:c16="http://schemas.microsoft.com/office/drawing/2014/chart" uri="{C3380CC4-5D6E-409C-BE32-E72D297353CC}">
                <c16:uniqueId val="{00000008-62AF-4AD3-B6D0-54CFC90F73E5}"/>
              </c:ext>
            </c:extLst>
          </c:dPt>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'Electricity report'!$K$807:$L$807</c:f>
              <c:strCache>
                <c:ptCount val="2"/>
                <c:pt idx="0">
                  <c:v>Expenditure R'000</c:v>
                </c:pt>
                <c:pt idx="1">
                  <c:v>Revenue R'000</c:v>
                </c:pt>
              </c:strCache>
            </c:strRef>
          </c:cat>
          <c:val>
            <c:numRef>
              <c:f>'Electricity report'!$K$815:$L$815</c:f>
              <c:numCache>
                <c:formatCode>_-* #\ ##0_-;\-* #\ ##0_-;_-* "-"??_-;_-@_-</c:formatCode>
                <c:ptCount val="2"/>
                <c:pt idx="1">
                  <c:v>0</c:v>
                </c:pt>
              </c:numCache>
            </c:numRef>
          </c:val>
          <c:extLst>
            <c:ext xmlns:c16="http://schemas.microsoft.com/office/drawing/2014/chart" uri="{C3380CC4-5D6E-409C-BE32-E72D297353CC}">
              <c16:uniqueId val="{00000009-62AF-4AD3-B6D0-54CFC90F73E5}"/>
            </c:ext>
          </c:extLst>
        </c:ser>
        <c:dLbls>
          <c:showLegendKey val="0"/>
          <c:showVal val="0"/>
          <c:showCatName val="0"/>
          <c:showSerName val="0"/>
          <c:showPercent val="0"/>
          <c:showBubbleSize val="0"/>
        </c:dLbls>
        <c:gapWidth val="25"/>
        <c:overlap val="100"/>
        <c:axId val="1364690511"/>
        <c:axId val="1"/>
      </c:barChart>
      <c:catAx>
        <c:axId val="1364690511"/>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0" vert="horz"/>
          <a:lstStyle/>
          <a:p>
            <a:pPr>
              <a:defRPr sz="1100" b="0" i="0" u="none" strike="noStrike" baseline="0">
                <a:solidFill>
                  <a:srgbClr val="000000"/>
                </a:solidFill>
                <a:latin typeface="Calibri"/>
                <a:ea typeface="Calibri"/>
                <a:cs typeface="Calibri"/>
              </a:defRPr>
            </a:pPr>
            <a:endParaRPr lang="en-US"/>
          </a:p>
        </c:txPr>
        <c:crossAx val="1"/>
        <c:crosses val="autoZero"/>
        <c:auto val="1"/>
        <c:lblAlgn val="ctr"/>
        <c:lblOffset val="100"/>
        <c:noMultiLvlLbl val="0"/>
      </c:catAx>
      <c:valAx>
        <c:axId val="1"/>
        <c:scaling>
          <c:orientation val="minMax"/>
        </c:scaling>
        <c:delete val="1"/>
        <c:axPos val="l"/>
        <c:majorGridlines>
          <c:spPr>
            <a:ln w="9525" cap="flat" cmpd="sng" algn="ctr">
              <a:solidFill>
                <a:schemeClr val="tx1">
                  <a:lumMod val="15000"/>
                  <a:lumOff val="85000"/>
                </a:schemeClr>
              </a:solidFill>
              <a:round/>
            </a:ln>
            <a:effectLst/>
          </c:spPr>
        </c:majorGridlines>
        <c:numFmt formatCode="_-* #\ ##0_-;\-* #\ ##0_-;_-* &quot;-&quot;??_-;_-@_-" sourceLinked="1"/>
        <c:majorTickMark val="out"/>
        <c:minorTickMark val="none"/>
        <c:tickLblPos val="nextTo"/>
        <c:crossAx val="1364690511"/>
        <c:crosses val="autoZero"/>
        <c:crossBetween val="between"/>
      </c:valAx>
    </c:plotArea>
    <c:legend>
      <c:legendPos val="r"/>
      <c:layout>
        <c:manualLayout>
          <c:xMode val="edge"/>
          <c:yMode val="edge"/>
          <c:x val="0.63225725892244689"/>
          <c:y val="0.1812752257931505"/>
          <c:w val="0.34899346501875061"/>
          <c:h val="0.70697306341239063"/>
        </c:manualLayout>
      </c:layout>
      <c:overlay val="0"/>
      <c:spPr>
        <a:noFill/>
        <a:ln w="25400">
          <a:noFill/>
        </a:ln>
      </c:spPr>
      <c:txPr>
        <a:bodyPr/>
        <a:lstStyle/>
        <a:p>
          <a:pPr>
            <a:defRPr sz="850" b="0" i="0" u="none" strike="noStrike" baseline="0">
              <a:solidFill>
                <a:srgbClr val="000000"/>
              </a:solidFill>
              <a:latin typeface="Calibri"/>
              <a:ea typeface="Calibri"/>
              <a:cs typeface="Calibri"/>
            </a:defRPr>
          </a:pPr>
          <a:endParaRPr lang="en-US"/>
        </a:p>
      </c:txPr>
    </c:legend>
    <c:plotVisOnly val="1"/>
    <c:dispBlanksAs val="gap"/>
    <c:showDLblsOverMax val="0"/>
  </c:chart>
  <c:spPr>
    <a:solidFill>
      <a:schemeClr val="bg1"/>
    </a:solidFill>
    <a:ln w="9525" cap="flat" cmpd="sng" algn="ctr">
      <a:noFill/>
      <a:round/>
    </a:ln>
    <a:effectLst/>
  </c:spPr>
  <c:txPr>
    <a:bodyPr/>
    <a:lstStyle/>
    <a:p>
      <a:pPr>
        <a:defRPr sz="11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charts/chart16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ser>
          <c:idx val="0"/>
          <c:order val="0"/>
          <c:tx>
            <c:strRef>
              <c:f>'Electricity report'!$L$834</c:f>
              <c:strCache>
                <c:ptCount val="1"/>
                <c:pt idx="0">
                  <c:v>Annual Tariff</c:v>
                </c:pt>
              </c:strCache>
            </c:strRef>
          </c:tx>
          <c:spPr>
            <a:solidFill>
              <a:srgbClr val="4472C4"/>
            </a:solidFill>
            <a:ln w="25400">
              <a:noFill/>
            </a:ln>
          </c:spPr>
          <c:invertIfNegative val="0"/>
          <c:dLbls>
            <c:spPr>
              <a:noFill/>
              <a:ln w="25400">
                <a:noFill/>
              </a:ln>
            </c:spPr>
            <c:txPr>
              <a:bodyPr wrap="square" lIns="38100" tIns="19050" rIns="38100" bIns="19050" anchor="ctr">
                <a:spAutoFit/>
              </a:bodyPr>
              <a:lstStyle/>
              <a:p>
                <a:pPr>
                  <a:defRPr sz="900" b="0" i="0" u="none" strike="noStrike" baseline="0">
                    <a:solidFill>
                      <a:srgbClr val="333333"/>
                    </a:solidFill>
                    <a:latin typeface="Calibri"/>
                    <a:ea typeface="Calibri"/>
                    <a:cs typeface="Calibri"/>
                  </a:defRPr>
                </a:pPr>
                <a:endParaRPr lang="en-US"/>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'Electricity report'!$K$835:$K$839</c:f>
              <c:strCache>
                <c:ptCount val="5"/>
                <c:pt idx="0">
                  <c:v>0</c:v>
                </c:pt>
                <c:pt idx="1">
                  <c:v>0</c:v>
                </c:pt>
                <c:pt idx="2">
                  <c:v>0</c:v>
                </c:pt>
                <c:pt idx="3">
                  <c:v>0</c:v>
                </c:pt>
                <c:pt idx="4">
                  <c:v>More</c:v>
                </c:pt>
              </c:strCache>
            </c:strRef>
          </c:cat>
          <c:val>
            <c:numRef>
              <c:f>'Electricity report'!$L$835:$L$839</c:f>
              <c:numCache>
                <c:formatCode>_(* #,##0.00_);_(* \(#,##0.00\);_(* "-"??_);_(@_)</c:formatCode>
                <c:ptCount val="5"/>
                <c:pt idx="0">
                  <c:v>0</c:v>
                </c:pt>
                <c:pt idx="1">
                  <c:v>0</c:v>
                </c:pt>
                <c:pt idx="2">
                  <c:v>0</c:v>
                </c:pt>
                <c:pt idx="3">
                  <c:v>0</c:v>
                </c:pt>
                <c:pt idx="4">
                  <c:v>0</c:v>
                </c:pt>
              </c:numCache>
            </c:numRef>
          </c:val>
          <c:extLst>
            <c:ext xmlns:c16="http://schemas.microsoft.com/office/drawing/2014/chart" uri="{C3380CC4-5D6E-409C-BE32-E72D297353CC}">
              <c16:uniqueId val="{00000000-968B-4643-9942-6864D9990595}"/>
            </c:ext>
          </c:extLst>
        </c:ser>
        <c:ser>
          <c:idx val="1"/>
          <c:order val="1"/>
          <c:tx>
            <c:strRef>
              <c:f>'Electricity report'!$M$834</c:f>
              <c:strCache>
                <c:ptCount val="1"/>
              </c:strCache>
            </c:strRef>
          </c:tx>
          <c:spPr>
            <a:solidFill>
              <a:srgbClr val="ED7D31"/>
            </a:solidFill>
            <a:ln w="25400">
              <a:noFill/>
            </a:ln>
          </c:spPr>
          <c:invertIfNegative val="0"/>
          <c:dLbls>
            <c:spPr>
              <a:noFill/>
              <a:ln w="25400">
                <a:noFill/>
              </a:ln>
            </c:spPr>
            <c:txPr>
              <a:bodyPr wrap="square" lIns="38100" tIns="19050" rIns="38100" bIns="19050" anchor="ctr">
                <a:spAutoFit/>
              </a:bodyPr>
              <a:lstStyle/>
              <a:p>
                <a:pPr>
                  <a:defRPr sz="900" b="0" i="0" u="none" strike="noStrike" baseline="0">
                    <a:solidFill>
                      <a:srgbClr val="333333"/>
                    </a:solidFill>
                    <a:latin typeface="Calibri"/>
                    <a:ea typeface="Calibri"/>
                    <a:cs typeface="Calibri"/>
                  </a:defRPr>
                </a:pPr>
                <a:endParaRPr lang="en-US"/>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'Electricity report'!$K$835:$K$839</c:f>
              <c:strCache>
                <c:ptCount val="5"/>
                <c:pt idx="0">
                  <c:v>0</c:v>
                </c:pt>
                <c:pt idx="1">
                  <c:v>0</c:v>
                </c:pt>
                <c:pt idx="2">
                  <c:v>0</c:v>
                </c:pt>
                <c:pt idx="3">
                  <c:v>0</c:v>
                </c:pt>
                <c:pt idx="4">
                  <c:v>More</c:v>
                </c:pt>
              </c:strCache>
            </c:strRef>
          </c:cat>
          <c:val>
            <c:numRef>
              <c:f>'Electricity report'!$M$835:$M$839</c:f>
              <c:numCache>
                <c:formatCode>_(* #,##0.00_);_(* \(#,##0.00\);_(* "-"??_);_(@_)</c:formatCode>
                <c:ptCount val="5"/>
                <c:pt idx="0">
                  <c:v>0</c:v>
                </c:pt>
                <c:pt idx="1">
                  <c:v>0</c:v>
                </c:pt>
                <c:pt idx="2">
                  <c:v>0</c:v>
                </c:pt>
                <c:pt idx="3">
                  <c:v>0</c:v>
                </c:pt>
                <c:pt idx="4">
                  <c:v>0</c:v>
                </c:pt>
              </c:numCache>
            </c:numRef>
          </c:val>
          <c:extLst>
            <c:ext xmlns:c16="http://schemas.microsoft.com/office/drawing/2014/chart" uri="{C3380CC4-5D6E-409C-BE32-E72D297353CC}">
              <c16:uniqueId val="{00000001-968B-4643-9942-6864D9990595}"/>
            </c:ext>
          </c:extLst>
        </c:ser>
        <c:dLbls>
          <c:showLegendKey val="0"/>
          <c:showVal val="0"/>
          <c:showCatName val="0"/>
          <c:showSerName val="0"/>
          <c:showPercent val="0"/>
          <c:showBubbleSize val="0"/>
        </c:dLbls>
        <c:gapWidth val="50"/>
        <c:axId val="1364678031"/>
        <c:axId val="1"/>
      </c:barChart>
      <c:lineChart>
        <c:grouping val="standard"/>
        <c:varyColors val="0"/>
        <c:ser>
          <c:idx val="2"/>
          <c:order val="2"/>
          <c:tx>
            <c:strRef>
              <c:f>'Electricity report'!$N$834</c:f>
              <c:strCache>
                <c:ptCount val="1"/>
                <c:pt idx="0">
                  <c:v>Total cost per kl </c:v>
                </c:pt>
              </c:strCache>
            </c:strRef>
          </c:tx>
          <c:spPr>
            <a:ln w="28575" cap="rnd">
              <a:solidFill>
                <a:schemeClr val="accent3"/>
              </a:solidFill>
              <a:round/>
            </a:ln>
            <a:effectLst/>
          </c:spPr>
          <c:marker>
            <c:symbol val="none"/>
          </c:marker>
          <c:cat>
            <c:strRef>
              <c:f>'Electricity report'!$K$835:$K$839</c:f>
              <c:strCache>
                <c:ptCount val="5"/>
                <c:pt idx="0">
                  <c:v>0</c:v>
                </c:pt>
                <c:pt idx="1">
                  <c:v>0</c:v>
                </c:pt>
                <c:pt idx="2">
                  <c:v>0</c:v>
                </c:pt>
                <c:pt idx="3">
                  <c:v>0</c:v>
                </c:pt>
                <c:pt idx="4">
                  <c:v>More</c:v>
                </c:pt>
              </c:strCache>
            </c:strRef>
          </c:cat>
          <c:val>
            <c:numRef>
              <c:f>'Electricity report'!$N$835:$N$839</c:f>
              <c:numCache>
                <c:formatCode>_(* #,##0.00_);_(* \(#,##0.00\);_(* "-"??_);_(@_)</c:formatCode>
                <c:ptCount val="5"/>
                <c:pt idx="0">
                  <c:v>0</c:v>
                </c:pt>
                <c:pt idx="1">
                  <c:v>0</c:v>
                </c:pt>
                <c:pt idx="2">
                  <c:v>0</c:v>
                </c:pt>
                <c:pt idx="3">
                  <c:v>0</c:v>
                </c:pt>
                <c:pt idx="4">
                  <c:v>0</c:v>
                </c:pt>
              </c:numCache>
            </c:numRef>
          </c:val>
          <c:smooth val="0"/>
          <c:extLst>
            <c:ext xmlns:c16="http://schemas.microsoft.com/office/drawing/2014/chart" uri="{C3380CC4-5D6E-409C-BE32-E72D297353CC}">
              <c16:uniqueId val="{00000002-968B-4643-9942-6864D9990595}"/>
            </c:ext>
          </c:extLst>
        </c:ser>
        <c:ser>
          <c:idx val="3"/>
          <c:order val="3"/>
          <c:tx>
            <c:strRef>
              <c:f>'Electricity report'!$O$834</c:f>
              <c:strCache>
                <c:ptCount val="1"/>
                <c:pt idx="0">
                  <c:v>Variable cost per kWh</c:v>
                </c:pt>
              </c:strCache>
            </c:strRef>
          </c:tx>
          <c:spPr>
            <a:ln w="28575" cap="rnd">
              <a:solidFill>
                <a:schemeClr val="accent4"/>
              </a:solidFill>
              <a:round/>
            </a:ln>
            <a:effectLst/>
          </c:spPr>
          <c:marker>
            <c:symbol val="none"/>
          </c:marker>
          <c:cat>
            <c:strRef>
              <c:f>'Electricity report'!$K$835:$K$839</c:f>
              <c:strCache>
                <c:ptCount val="5"/>
                <c:pt idx="0">
                  <c:v>0</c:v>
                </c:pt>
                <c:pt idx="1">
                  <c:v>0</c:v>
                </c:pt>
                <c:pt idx="2">
                  <c:v>0</c:v>
                </c:pt>
                <c:pt idx="3">
                  <c:v>0</c:v>
                </c:pt>
                <c:pt idx="4">
                  <c:v>More</c:v>
                </c:pt>
              </c:strCache>
            </c:strRef>
          </c:cat>
          <c:val>
            <c:numRef>
              <c:f>'Electricity report'!$O$835:$O$839</c:f>
              <c:numCache>
                <c:formatCode>_(* #,##0.00_);_(* \(#,##0.00\);_(* "-"??_);_(@_)</c:formatCode>
                <c:ptCount val="5"/>
                <c:pt idx="0">
                  <c:v>0</c:v>
                </c:pt>
                <c:pt idx="1">
                  <c:v>0</c:v>
                </c:pt>
                <c:pt idx="2">
                  <c:v>0</c:v>
                </c:pt>
                <c:pt idx="3">
                  <c:v>0</c:v>
                </c:pt>
                <c:pt idx="4">
                  <c:v>0</c:v>
                </c:pt>
              </c:numCache>
            </c:numRef>
          </c:val>
          <c:smooth val="0"/>
          <c:extLst>
            <c:ext xmlns:c16="http://schemas.microsoft.com/office/drawing/2014/chart" uri="{C3380CC4-5D6E-409C-BE32-E72D297353CC}">
              <c16:uniqueId val="{00000003-968B-4643-9942-6864D9990595}"/>
            </c:ext>
          </c:extLst>
        </c:ser>
        <c:dLbls>
          <c:showLegendKey val="0"/>
          <c:showVal val="0"/>
          <c:showCatName val="0"/>
          <c:showSerName val="0"/>
          <c:showPercent val="0"/>
          <c:showBubbleSize val="0"/>
        </c:dLbls>
        <c:marker val="1"/>
        <c:smooth val="0"/>
        <c:axId val="1364678031"/>
        <c:axId val="1"/>
      </c:lineChart>
      <c:catAx>
        <c:axId val="1364678031"/>
        <c:scaling>
          <c:orientation val="minMax"/>
        </c:scaling>
        <c:delete val="0"/>
        <c:axPos val="b"/>
        <c:title>
          <c:tx>
            <c:rich>
              <a:bodyPr/>
              <a:lstStyle/>
              <a:p>
                <a:pPr>
                  <a:defRPr sz="1000" b="0" i="0" u="none" strike="noStrike" baseline="0">
                    <a:solidFill>
                      <a:srgbClr val="333333"/>
                    </a:solidFill>
                    <a:latin typeface="Calibri"/>
                    <a:ea typeface="Calibri"/>
                    <a:cs typeface="Calibri"/>
                  </a:defRPr>
                </a:pPr>
                <a:r>
                  <a:rPr lang="en-ZA"/>
                  <a:t>Block size</a:t>
                </a:r>
              </a:p>
            </c:rich>
          </c:tx>
          <c:overlay val="0"/>
          <c:spPr>
            <a:noFill/>
            <a:ln w="25400">
              <a:noFill/>
            </a:ln>
          </c:spPr>
        </c:title>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0" vert="horz"/>
          <a:lstStyle/>
          <a:p>
            <a:pPr>
              <a:defRPr sz="900" b="0" i="0" u="none" strike="noStrike" baseline="0">
                <a:solidFill>
                  <a:srgbClr val="333333"/>
                </a:solidFill>
                <a:latin typeface="Calibri"/>
                <a:ea typeface="Calibri"/>
                <a:cs typeface="Calibri"/>
              </a:defRPr>
            </a:pPr>
            <a:endParaRPr lang="en-US"/>
          </a:p>
        </c:txPr>
        <c:crossAx val="1"/>
        <c:crosses val="autoZero"/>
        <c:auto val="1"/>
        <c:lblAlgn val="ctr"/>
        <c:lblOffset val="100"/>
        <c:noMultiLvlLbl val="0"/>
      </c:catAx>
      <c:valAx>
        <c:axId val="1"/>
        <c:scaling>
          <c:orientation val="minMax"/>
        </c:scaling>
        <c:delete val="0"/>
        <c:axPos val="l"/>
        <c:majorGridlines>
          <c:spPr>
            <a:ln w="9525" cap="flat" cmpd="sng" algn="ctr">
              <a:solidFill>
                <a:schemeClr val="tx1">
                  <a:lumMod val="15000"/>
                  <a:lumOff val="85000"/>
                </a:schemeClr>
              </a:solidFill>
              <a:round/>
            </a:ln>
            <a:effectLst/>
          </c:spPr>
        </c:majorGridlines>
        <c:title>
          <c:tx>
            <c:rich>
              <a:bodyPr/>
              <a:lstStyle/>
              <a:p>
                <a:pPr>
                  <a:defRPr sz="1000" b="0" i="0" u="none" strike="noStrike" baseline="0">
                    <a:solidFill>
                      <a:srgbClr val="333333"/>
                    </a:solidFill>
                    <a:latin typeface="Calibri"/>
                    <a:ea typeface="Calibri"/>
                    <a:cs typeface="Calibri"/>
                  </a:defRPr>
                </a:pPr>
                <a:r>
                  <a:rPr lang="en-ZA"/>
                  <a:t>R/kWh</a:t>
                </a:r>
              </a:p>
            </c:rich>
          </c:tx>
          <c:overlay val="0"/>
          <c:spPr>
            <a:noFill/>
            <a:ln w="25400">
              <a:noFill/>
            </a:ln>
          </c:spPr>
        </c:title>
        <c:numFmt formatCode="_(* #,##0.00_);_(* \(#,##0.00\);_(* &quot;-&quot;??_);_(@_)" sourceLinked="1"/>
        <c:majorTickMark val="none"/>
        <c:minorTickMark val="none"/>
        <c:tickLblPos val="nextTo"/>
        <c:spPr>
          <a:ln w="6350">
            <a:noFill/>
          </a:ln>
        </c:spPr>
        <c:txPr>
          <a:bodyPr rot="0" vert="horz"/>
          <a:lstStyle/>
          <a:p>
            <a:pPr>
              <a:defRPr sz="900" b="0" i="0" u="none" strike="noStrike" baseline="0">
                <a:solidFill>
                  <a:srgbClr val="333333"/>
                </a:solidFill>
                <a:latin typeface="Calibri"/>
                <a:ea typeface="Calibri"/>
                <a:cs typeface="Calibri"/>
              </a:defRPr>
            </a:pPr>
            <a:endParaRPr lang="en-US"/>
          </a:p>
        </c:txPr>
        <c:crossAx val="1364678031"/>
        <c:crosses val="autoZero"/>
        <c:crossBetween val="between"/>
      </c:valAx>
      <c:spPr>
        <a:noFill/>
        <a:ln w="25400">
          <a:noFill/>
        </a:ln>
      </c:spPr>
    </c:plotArea>
    <c:legend>
      <c:legendPos val="r"/>
      <c:layout>
        <c:manualLayout>
          <c:xMode val="edge"/>
          <c:yMode val="edge"/>
          <c:x val="0.13950287562017133"/>
          <c:y val="0.92826131183362848"/>
          <c:w val="0.71318852384831199"/>
          <c:h val="5.2633337100804978E-2"/>
        </c:manualLayout>
      </c:layout>
      <c:overlay val="0"/>
      <c:spPr>
        <a:noFill/>
        <a:ln w="25400">
          <a:noFill/>
        </a:ln>
      </c:spPr>
      <c:txPr>
        <a:bodyPr/>
        <a:lstStyle/>
        <a:p>
          <a:pPr>
            <a:defRPr sz="690" b="0" i="0" u="none" strike="noStrike" baseline="0">
              <a:solidFill>
                <a:srgbClr val="333333"/>
              </a:solidFill>
              <a:latin typeface="Calibri"/>
              <a:ea typeface="Calibri"/>
              <a:cs typeface="Calibri"/>
            </a:defRPr>
          </a:pPr>
          <a:endParaRPr lang="en-US"/>
        </a:p>
      </c:txPr>
    </c:legend>
    <c:plotVisOnly val="1"/>
    <c:dispBlanksAs val="gap"/>
    <c:showDLblsOverMax val="0"/>
  </c:chart>
  <c:spPr>
    <a:solidFill>
      <a:schemeClr val="bg1"/>
    </a:solidFill>
    <a:ln w="9525" cap="flat" cmpd="sng" algn="ctr">
      <a:noFill/>
      <a:round/>
    </a:ln>
    <a:effectLst/>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charts/chart16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2.3871527777777776E-2"/>
          <c:y val="4.7786414907172239E-2"/>
          <c:w val="0.57559123468941387"/>
          <c:h val="0.83529592857692603"/>
        </c:manualLayout>
      </c:layout>
      <c:barChart>
        <c:barDir val="col"/>
        <c:grouping val="stacked"/>
        <c:varyColors val="0"/>
        <c:ser>
          <c:idx val="0"/>
          <c:order val="0"/>
          <c:tx>
            <c:strRef>
              <c:f>'Electricity report'!$J$879</c:f>
              <c:strCache>
                <c:ptCount val="1"/>
                <c:pt idx="0">
                  <c:v>Customer costs </c:v>
                </c:pt>
              </c:strCache>
            </c:strRef>
          </c:tx>
          <c:spPr>
            <a:solidFill>
              <a:srgbClr val="4472C4"/>
            </a:solidFill>
            <a:ln w="25400">
              <a:noFill/>
            </a:ln>
          </c:spPr>
          <c:invertIfNegative val="0"/>
          <c:dPt>
            <c:idx val="0"/>
            <c:invertIfNegative val="0"/>
            <c:bubble3D val="0"/>
            <c:spPr>
              <a:solidFill>
                <a:srgbClr val="5B9BD5"/>
              </a:solidFill>
              <a:ln w="25400">
                <a:noFill/>
              </a:ln>
            </c:spPr>
            <c:extLst>
              <c:ext xmlns:c16="http://schemas.microsoft.com/office/drawing/2014/chart" uri="{C3380CC4-5D6E-409C-BE32-E72D297353CC}">
                <c16:uniqueId val="{00000000-1D68-4962-8CF3-E5CB8054E187}"/>
              </c:ext>
            </c:extLst>
          </c:dPt>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'Electricity report'!$K$878:$L$878</c:f>
              <c:strCache>
                <c:ptCount val="2"/>
                <c:pt idx="0">
                  <c:v>Expenditure R'000</c:v>
                </c:pt>
                <c:pt idx="1">
                  <c:v>Revenue R'000</c:v>
                </c:pt>
              </c:strCache>
            </c:strRef>
          </c:cat>
          <c:val>
            <c:numRef>
              <c:f>'Electricity report'!$K$879:$L$879</c:f>
              <c:numCache>
                <c:formatCode>General</c:formatCode>
                <c:ptCount val="2"/>
                <c:pt idx="0" formatCode="_-* #\ ##0_-;\-* #\ ##0_-;_-* &quot;-&quot;??_-;_-@_-">
                  <c:v>0</c:v>
                </c:pt>
              </c:numCache>
            </c:numRef>
          </c:val>
          <c:extLst>
            <c:ext xmlns:c16="http://schemas.microsoft.com/office/drawing/2014/chart" uri="{C3380CC4-5D6E-409C-BE32-E72D297353CC}">
              <c16:uniqueId val="{00000001-1D68-4962-8CF3-E5CB8054E187}"/>
            </c:ext>
          </c:extLst>
        </c:ser>
        <c:ser>
          <c:idx val="1"/>
          <c:order val="1"/>
          <c:tx>
            <c:strRef>
              <c:f>'Electricity report'!$J$880</c:f>
              <c:strCache>
                <c:ptCount val="1"/>
                <c:pt idx="0">
                  <c:v>Energy costs</c:v>
                </c:pt>
              </c:strCache>
            </c:strRef>
          </c:tx>
          <c:spPr>
            <a:solidFill>
              <a:schemeClr val="accent5">
                <a:lumMod val="60000"/>
                <a:lumOff val="40000"/>
              </a:schemeClr>
            </a:solidFill>
            <a:ln>
              <a:noFill/>
            </a:ln>
            <a:effectLst/>
          </c:spPr>
          <c:invertIfNegative val="0"/>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'Electricity report'!$K$878:$L$878</c:f>
              <c:strCache>
                <c:ptCount val="2"/>
                <c:pt idx="0">
                  <c:v>Expenditure R'000</c:v>
                </c:pt>
                <c:pt idx="1">
                  <c:v>Revenue R'000</c:v>
                </c:pt>
              </c:strCache>
            </c:strRef>
          </c:cat>
          <c:val>
            <c:numRef>
              <c:f>'Electricity report'!$K$880:$L$880</c:f>
              <c:numCache>
                <c:formatCode>General</c:formatCode>
                <c:ptCount val="2"/>
                <c:pt idx="0" formatCode="_-* #\ ##0_-;\-* #\ ##0_-;_-* &quot;-&quot;??_-;_-@_-">
                  <c:v>0</c:v>
                </c:pt>
              </c:numCache>
            </c:numRef>
          </c:val>
          <c:extLst>
            <c:ext xmlns:c16="http://schemas.microsoft.com/office/drawing/2014/chart" uri="{C3380CC4-5D6E-409C-BE32-E72D297353CC}">
              <c16:uniqueId val="{00000002-1D68-4962-8CF3-E5CB8054E187}"/>
            </c:ext>
          </c:extLst>
        </c:ser>
        <c:ser>
          <c:idx val="2"/>
          <c:order val="2"/>
          <c:tx>
            <c:strRef>
              <c:f>'Electricity report'!$J$881</c:f>
              <c:strCache>
                <c:ptCount val="1"/>
                <c:pt idx="0">
                  <c:v>Demand cost</c:v>
                </c:pt>
              </c:strCache>
            </c:strRef>
          </c:tx>
          <c:spPr>
            <a:solidFill>
              <a:srgbClr val="A5A5A5"/>
            </a:solidFill>
            <a:ln w="25400">
              <a:noFill/>
            </a:ln>
          </c:spPr>
          <c:invertIfNegative val="0"/>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'Electricity report'!$K$878:$L$878</c:f>
              <c:strCache>
                <c:ptCount val="2"/>
                <c:pt idx="0">
                  <c:v>Expenditure R'000</c:v>
                </c:pt>
                <c:pt idx="1">
                  <c:v>Revenue R'000</c:v>
                </c:pt>
              </c:strCache>
            </c:strRef>
          </c:cat>
          <c:val>
            <c:numRef>
              <c:f>'Electricity report'!$K$881:$L$881</c:f>
              <c:numCache>
                <c:formatCode>General</c:formatCode>
                <c:ptCount val="2"/>
                <c:pt idx="0" formatCode="_-* #\ ##0_-;\-* #\ ##0_-;_-* &quot;-&quot;??_-;_-@_-">
                  <c:v>0</c:v>
                </c:pt>
              </c:numCache>
            </c:numRef>
          </c:val>
          <c:extLst>
            <c:ext xmlns:c16="http://schemas.microsoft.com/office/drawing/2014/chart" uri="{C3380CC4-5D6E-409C-BE32-E72D297353CC}">
              <c16:uniqueId val="{00000003-1D68-4962-8CF3-E5CB8054E187}"/>
            </c:ext>
          </c:extLst>
        </c:ser>
        <c:ser>
          <c:idx val="4"/>
          <c:order val="3"/>
          <c:tx>
            <c:strRef>
              <c:f>'Electricity report'!$J$882</c:f>
              <c:strCache>
                <c:ptCount val="1"/>
                <c:pt idx="0">
                  <c:v>Surplus</c:v>
                </c:pt>
              </c:strCache>
            </c:strRef>
          </c:tx>
          <c:spPr>
            <a:solidFill>
              <a:srgbClr val="5B9BD5"/>
            </a:solidFill>
            <a:ln w="25400">
              <a:noFill/>
            </a:ln>
          </c:spPr>
          <c:invertIfNegative val="0"/>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'Electricity report'!$K$878:$L$878</c:f>
              <c:strCache>
                <c:ptCount val="2"/>
                <c:pt idx="0">
                  <c:v>Expenditure R'000</c:v>
                </c:pt>
                <c:pt idx="1">
                  <c:v>Revenue R'000</c:v>
                </c:pt>
              </c:strCache>
            </c:strRef>
          </c:cat>
          <c:val>
            <c:numRef>
              <c:f>'Electricity report'!$K$882:$L$882</c:f>
              <c:numCache>
                <c:formatCode>General</c:formatCode>
                <c:ptCount val="2"/>
                <c:pt idx="0" formatCode="_-* #\ ##0_-;\-* #\ ##0_-;_-* &quot;-&quot;??_-;_-@_-">
                  <c:v>0</c:v>
                </c:pt>
              </c:numCache>
            </c:numRef>
          </c:val>
          <c:extLst>
            <c:ext xmlns:c16="http://schemas.microsoft.com/office/drawing/2014/chart" uri="{C3380CC4-5D6E-409C-BE32-E72D297353CC}">
              <c16:uniqueId val="{00000004-1D68-4962-8CF3-E5CB8054E187}"/>
            </c:ext>
          </c:extLst>
        </c:ser>
        <c:ser>
          <c:idx val="5"/>
          <c:order val="4"/>
          <c:tx>
            <c:strRef>
              <c:f>'Electricity report'!$J$883</c:f>
              <c:strCache>
                <c:ptCount val="1"/>
                <c:pt idx="0">
                  <c:v>Tariff revenue</c:v>
                </c:pt>
              </c:strCache>
            </c:strRef>
          </c:tx>
          <c:spPr>
            <a:solidFill>
              <a:srgbClr val="A5A5A5"/>
            </a:solidFill>
            <a:ln w="25400">
              <a:noFill/>
            </a:ln>
          </c:spPr>
          <c:invertIfNegative val="0"/>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'Electricity report'!$K$878:$L$878</c:f>
              <c:strCache>
                <c:ptCount val="2"/>
                <c:pt idx="0">
                  <c:v>Expenditure R'000</c:v>
                </c:pt>
                <c:pt idx="1">
                  <c:v>Revenue R'000</c:v>
                </c:pt>
              </c:strCache>
            </c:strRef>
          </c:cat>
          <c:val>
            <c:numRef>
              <c:f>'Electricity report'!$K$883:$L$883</c:f>
              <c:numCache>
                <c:formatCode>_-* #\ ##0_-;\-* #\ ##0_-;_-* "-"??_-;_-@_-</c:formatCode>
                <c:ptCount val="2"/>
                <c:pt idx="1">
                  <c:v>0</c:v>
                </c:pt>
              </c:numCache>
            </c:numRef>
          </c:val>
          <c:extLst>
            <c:ext xmlns:c16="http://schemas.microsoft.com/office/drawing/2014/chart" uri="{C3380CC4-5D6E-409C-BE32-E72D297353CC}">
              <c16:uniqueId val="{00000005-1D68-4962-8CF3-E5CB8054E187}"/>
            </c:ext>
          </c:extLst>
        </c:ser>
        <c:ser>
          <c:idx val="3"/>
          <c:order val="5"/>
          <c:tx>
            <c:strRef>
              <c:f>'Electricity report'!$J$884</c:f>
              <c:strCache>
                <c:ptCount val="1"/>
                <c:pt idx="0">
                  <c:v>External grants &amp; subsidies</c:v>
                </c:pt>
              </c:strCache>
            </c:strRef>
          </c:tx>
          <c:spPr>
            <a:solidFill>
              <a:schemeClr val="accent3">
                <a:lumMod val="40000"/>
                <a:lumOff val="60000"/>
              </a:schemeClr>
            </a:solidFill>
            <a:ln>
              <a:noFill/>
            </a:ln>
            <a:effectLst/>
          </c:spPr>
          <c:invertIfNegative val="0"/>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'Electricity report'!$K$878:$L$878</c:f>
              <c:strCache>
                <c:ptCount val="2"/>
                <c:pt idx="0">
                  <c:v>Expenditure R'000</c:v>
                </c:pt>
                <c:pt idx="1">
                  <c:v>Revenue R'000</c:v>
                </c:pt>
              </c:strCache>
            </c:strRef>
          </c:cat>
          <c:val>
            <c:numRef>
              <c:f>'Electricity report'!$K$884:$L$884</c:f>
              <c:numCache>
                <c:formatCode>_-* #\ ##0_-;\-* #\ ##0_-;_-* "-"??_-;_-@_-</c:formatCode>
                <c:ptCount val="2"/>
                <c:pt idx="1">
                  <c:v>0</c:v>
                </c:pt>
              </c:numCache>
            </c:numRef>
          </c:val>
          <c:extLst>
            <c:ext xmlns:c16="http://schemas.microsoft.com/office/drawing/2014/chart" uri="{C3380CC4-5D6E-409C-BE32-E72D297353CC}">
              <c16:uniqueId val="{00000006-1D68-4962-8CF3-E5CB8054E187}"/>
            </c:ext>
          </c:extLst>
        </c:ser>
        <c:ser>
          <c:idx val="6"/>
          <c:order val="6"/>
          <c:tx>
            <c:strRef>
              <c:f>'Electricity report'!$J$885</c:f>
              <c:strCache>
                <c:ptCount val="1"/>
                <c:pt idx="0">
                  <c:v>Other non-tariff revenue</c:v>
                </c:pt>
              </c:strCache>
            </c:strRef>
          </c:tx>
          <c:spPr>
            <a:solidFill>
              <a:srgbClr val="ED7D31"/>
            </a:solidFill>
            <a:ln w="25400">
              <a:noFill/>
            </a:ln>
          </c:spPr>
          <c:invertIfNegative val="0"/>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'Electricity report'!$K$878:$L$878</c:f>
              <c:strCache>
                <c:ptCount val="2"/>
                <c:pt idx="0">
                  <c:v>Expenditure R'000</c:v>
                </c:pt>
                <c:pt idx="1">
                  <c:v>Revenue R'000</c:v>
                </c:pt>
              </c:strCache>
            </c:strRef>
          </c:cat>
          <c:val>
            <c:numRef>
              <c:f>'Electricity report'!$K$885:$L$885</c:f>
              <c:numCache>
                <c:formatCode>_-* #\ ##0_-;\-* #\ ##0_-;_-* "-"??_-;_-@_-</c:formatCode>
                <c:ptCount val="2"/>
                <c:pt idx="1">
                  <c:v>0</c:v>
                </c:pt>
              </c:numCache>
            </c:numRef>
          </c:val>
          <c:extLst>
            <c:ext xmlns:c16="http://schemas.microsoft.com/office/drawing/2014/chart" uri="{C3380CC4-5D6E-409C-BE32-E72D297353CC}">
              <c16:uniqueId val="{00000007-1D68-4962-8CF3-E5CB8054E187}"/>
            </c:ext>
          </c:extLst>
        </c:ser>
        <c:ser>
          <c:idx val="7"/>
          <c:order val="7"/>
          <c:tx>
            <c:strRef>
              <c:f>'Electricity report'!$J$886</c:f>
              <c:strCache>
                <c:ptCount val="1"/>
                <c:pt idx="0">
                  <c:v>Deficit</c:v>
                </c:pt>
              </c:strCache>
            </c:strRef>
          </c:tx>
          <c:spPr>
            <a:solidFill>
              <a:srgbClr val="4472C4"/>
            </a:solidFill>
            <a:ln w="25400">
              <a:noFill/>
            </a:ln>
          </c:spPr>
          <c:invertIfNegative val="0"/>
          <c:dPt>
            <c:idx val="0"/>
            <c:invertIfNegative val="0"/>
            <c:bubble3D val="0"/>
            <c:spPr>
              <a:solidFill>
                <a:srgbClr val="5B9BD5"/>
              </a:solidFill>
              <a:ln w="25400">
                <a:noFill/>
              </a:ln>
            </c:spPr>
            <c:extLst>
              <c:ext xmlns:c16="http://schemas.microsoft.com/office/drawing/2014/chart" uri="{C3380CC4-5D6E-409C-BE32-E72D297353CC}">
                <c16:uniqueId val="{00000008-1D68-4962-8CF3-E5CB8054E187}"/>
              </c:ext>
            </c:extLst>
          </c:dPt>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'Electricity report'!$K$878:$L$878</c:f>
              <c:strCache>
                <c:ptCount val="2"/>
                <c:pt idx="0">
                  <c:v>Expenditure R'000</c:v>
                </c:pt>
                <c:pt idx="1">
                  <c:v>Revenue R'000</c:v>
                </c:pt>
              </c:strCache>
            </c:strRef>
          </c:cat>
          <c:val>
            <c:numRef>
              <c:f>'Electricity report'!$K$886:$L$886</c:f>
              <c:numCache>
                <c:formatCode>_-* #\ ##0_-;\-* #\ ##0_-;_-* "-"??_-;_-@_-</c:formatCode>
                <c:ptCount val="2"/>
                <c:pt idx="1">
                  <c:v>0</c:v>
                </c:pt>
              </c:numCache>
            </c:numRef>
          </c:val>
          <c:extLst>
            <c:ext xmlns:c16="http://schemas.microsoft.com/office/drawing/2014/chart" uri="{C3380CC4-5D6E-409C-BE32-E72D297353CC}">
              <c16:uniqueId val="{00000009-1D68-4962-8CF3-E5CB8054E187}"/>
            </c:ext>
          </c:extLst>
        </c:ser>
        <c:dLbls>
          <c:showLegendKey val="0"/>
          <c:showVal val="0"/>
          <c:showCatName val="0"/>
          <c:showSerName val="0"/>
          <c:showPercent val="0"/>
          <c:showBubbleSize val="0"/>
        </c:dLbls>
        <c:gapWidth val="25"/>
        <c:overlap val="100"/>
        <c:axId val="1364672271"/>
        <c:axId val="1"/>
      </c:barChart>
      <c:catAx>
        <c:axId val="1364672271"/>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0" vert="horz"/>
          <a:lstStyle/>
          <a:p>
            <a:pPr>
              <a:defRPr sz="1100" b="0" i="0" u="none" strike="noStrike" baseline="0">
                <a:solidFill>
                  <a:srgbClr val="000000"/>
                </a:solidFill>
                <a:latin typeface="Calibri"/>
                <a:ea typeface="Calibri"/>
                <a:cs typeface="Calibri"/>
              </a:defRPr>
            </a:pPr>
            <a:endParaRPr lang="en-US"/>
          </a:p>
        </c:txPr>
        <c:crossAx val="1"/>
        <c:crosses val="autoZero"/>
        <c:auto val="1"/>
        <c:lblAlgn val="ctr"/>
        <c:lblOffset val="100"/>
        <c:noMultiLvlLbl val="0"/>
      </c:catAx>
      <c:valAx>
        <c:axId val="1"/>
        <c:scaling>
          <c:orientation val="minMax"/>
        </c:scaling>
        <c:delete val="1"/>
        <c:axPos val="l"/>
        <c:majorGridlines>
          <c:spPr>
            <a:ln w="9525" cap="flat" cmpd="sng" algn="ctr">
              <a:solidFill>
                <a:schemeClr val="tx1">
                  <a:lumMod val="15000"/>
                  <a:lumOff val="85000"/>
                </a:schemeClr>
              </a:solidFill>
              <a:round/>
            </a:ln>
            <a:effectLst/>
          </c:spPr>
        </c:majorGridlines>
        <c:numFmt formatCode="_-* #\ ##0_-;\-* #\ ##0_-;_-* &quot;-&quot;??_-;_-@_-" sourceLinked="1"/>
        <c:majorTickMark val="out"/>
        <c:minorTickMark val="none"/>
        <c:tickLblPos val="nextTo"/>
        <c:crossAx val="1364672271"/>
        <c:crosses val="autoZero"/>
        <c:crossBetween val="between"/>
      </c:valAx>
    </c:plotArea>
    <c:legend>
      <c:legendPos val="r"/>
      <c:layout>
        <c:manualLayout>
          <c:xMode val="edge"/>
          <c:yMode val="edge"/>
          <c:x val="0.63225725892244689"/>
          <c:y val="0.1747044872402998"/>
          <c:w val="0.34899346501875061"/>
          <c:h val="0.71086677418334743"/>
        </c:manualLayout>
      </c:layout>
      <c:overlay val="0"/>
      <c:spPr>
        <a:noFill/>
        <a:ln w="25400">
          <a:noFill/>
        </a:ln>
      </c:spPr>
      <c:txPr>
        <a:bodyPr/>
        <a:lstStyle/>
        <a:p>
          <a:pPr>
            <a:defRPr sz="850" b="0" i="0" u="none" strike="noStrike" baseline="0">
              <a:solidFill>
                <a:srgbClr val="000000"/>
              </a:solidFill>
              <a:latin typeface="Calibri"/>
              <a:ea typeface="Calibri"/>
              <a:cs typeface="Calibri"/>
            </a:defRPr>
          </a:pPr>
          <a:endParaRPr lang="en-US"/>
        </a:p>
      </c:txPr>
    </c:legend>
    <c:plotVisOnly val="1"/>
    <c:dispBlanksAs val="gap"/>
    <c:showDLblsOverMax val="0"/>
  </c:chart>
  <c:spPr>
    <a:solidFill>
      <a:schemeClr val="bg1"/>
    </a:solidFill>
    <a:ln w="9525" cap="flat" cmpd="sng" algn="ctr">
      <a:noFill/>
      <a:round/>
    </a:ln>
    <a:effectLst/>
  </c:spPr>
  <c:txPr>
    <a:bodyPr/>
    <a:lstStyle/>
    <a:p>
      <a:pPr>
        <a:defRPr sz="11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charts/chart16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ser>
          <c:idx val="0"/>
          <c:order val="0"/>
          <c:tx>
            <c:strRef>
              <c:f>'Electricity report'!$L$904</c:f>
              <c:strCache>
                <c:ptCount val="1"/>
                <c:pt idx="0">
                  <c:v>Annual Tariff</c:v>
                </c:pt>
              </c:strCache>
            </c:strRef>
          </c:tx>
          <c:spPr>
            <a:solidFill>
              <a:srgbClr val="4472C4"/>
            </a:solidFill>
            <a:ln w="25400">
              <a:noFill/>
            </a:ln>
          </c:spPr>
          <c:invertIfNegative val="0"/>
          <c:dLbls>
            <c:spPr>
              <a:noFill/>
              <a:ln w="25400">
                <a:noFill/>
              </a:ln>
            </c:spPr>
            <c:txPr>
              <a:bodyPr wrap="square" lIns="38100" tIns="19050" rIns="38100" bIns="19050" anchor="ctr">
                <a:spAutoFit/>
              </a:bodyPr>
              <a:lstStyle/>
              <a:p>
                <a:pPr>
                  <a:defRPr sz="900" b="0" i="0" u="none" strike="noStrike" baseline="0">
                    <a:solidFill>
                      <a:srgbClr val="333333"/>
                    </a:solidFill>
                    <a:latin typeface="Calibri"/>
                    <a:ea typeface="Calibri"/>
                    <a:cs typeface="Calibri"/>
                  </a:defRPr>
                </a:pPr>
                <a:endParaRPr lang="en-US"/>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'Electricity report'!$K$905:$K$909</c:f>
              <c:strCache>
                <c:ptCount val="5"/>
                <c:pt idx="0">
                  <c:v>0</c:v>
                </c:pt>
                <c:pt idx="1">
                  <c:v>0</c:v>
                </c:pt>
                <c:pt idx="2">
                  <c:v>0</c:v>
                </c:pt>
                <c:pt idx="3">
                  <c:v>0</c:v>
                </c:pt>
                <c:pt idx="4">
                  <c:v>More</c:v>
                </c:pt>
              </c:strCache>
            </c:strRef>
          </c:cat>
          <c:val>
            <c:numRef>
              <c:f>'Electricity report'!$L$905:$L$909</c:f>
              <c:numCache>
                <c:formatCode>_(* #,##0.00_);_(* \(#,##0.00\);_(* "-"??_);_(@_)</c:formatCode>
                <c:ptCount val="5"/>
                <c:pt idx="0">
                  <c:v>0</c:v>
                </c:pt>
                <c:pt idx="1">
                  <c:v>0</c:v>
                </c:pt>
                <c:pt idx="2">
                  <c:v>0</c:v>
                </c:pt>
                <c:pt idx="3">
                  <c:v>0</c:v>
                </c:pt>
                <c:pt idx="4">
                  <c:v>0</c:v>
                </c:pt>
              </c:numCache>
            </c:numRef>
          </c:val>
          <c:extLst>
            <c:ext xmlns:c16="http://schemas.microsoft.com/office/drawing/2014/chart" uri="{C3380CC4-5D6E-409C-BE32-E72D297353CC}">
              <c16:uniqueId val="{00000000-A588-4A88-942C-1AC8E68E5BA4}"/>
            </c:ext>
          </c:extLst>
        </c:ser>
        <c:ser>
          <c:idx val="1"/>
          <c:order val="1"/>
          <c:tx>
            <c:strRef>
              <c:f>'Electricity report'!$M$904</c:f>
              <c:strCache>
                <c:ptCount val="1"/>
              </c:strCache>
            </c:strRef>
          </c:tx>
          <c:spPr>
            <a:solidFill>
              <a:srgbClr val="ED7D31"/>
            </a:solidFill>
            <a:ln w="25400">
              <a:noFill/>
            </a:ln>
          </c:spPr>
          <c:invertIfNegative val="0"/>
          <c:dLbls>
            <c:spPr>
              <a:noFill/>
              <a:ln w="25400">
                <a:noFill/>
              </a:ln>
            </c:spPr>
            <c:txPr>
              <a:bodyPr wrap="square" lIns="38100" tIns="19050" rIns="38100" bIns="19050" anchor="ctr">
                <a:spAutoFit/>
              </a:bodyPr>
              <a:lstStyle/>
              <a:p>
                <a:pPr>
                  <a:defRPr sz="900" b="0" i="0" u="none" strike="noStrike" baseline="0">
                    <a:solidFill>
                      <a:srgbClr val="333333"/>
                    </a:solidFill>
                    <a:latin typeface="Calibri"/>
                    <a:ea typeface="Calibri"/>
                    <a:cs typeface="Calibri"/>
                  </a:defRPr>
                </a:pPr>
                <a:endParaRPr lang="en-US"/>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'Electricity report'!$K$905:$K$909</c:f>
              <c:strCache>
                <c:ptCount val="5"/>
                <c:pt idx="0">
                  <c:v>0</c:v>
                </c:pt>
                <c:pt idx="1">
                  <c:v>0</c:v>
                </c:pt>
                <c:pt idx="2">
                  <c:v>0</c:v>
                </c:pt>
                <c:pt idx="3">
                  <c:v>0</c:v>
                </c:pt>
                <c:pt idx="4">
                  <c:v>More</c:v>
                </c:pt>
              </c:strCache>
            </c:strRef>
          </c:cat>
          <c:val>
            <c:numRef>
              <c:f>'Electricity report'!$M$905:$M$909</c:f>
              <c:numCache>
                <c:formatCode>_(* #,##0.00_);_(* \(#,##0.00\);_(* "-"??_);_(@_)</c:formatCode>
                <c:ptCount val="5"/>
                <c:pt idx="0">
                  <c:v>0</c:v>
                </c:pt>
                <c:pt idx="1">
                  <c:v>0</c:v>
                </c:pt>
                <c:pt idx="2">
                  <c:v>0</c:v>
                </c:pt>
                <c:pt idx="3">
                  <c:v>0</c:v>
                </c:pt>
                <c:pt idx="4">
                  <c:v>0</c:v>
                </c:pt>
              </c:numCache>
            </c:numRef>
          </c:val>
          <c:extLst>
            <c:ext xmlns:c16="http://schemas.microsoft.com/office/drawing/2014/chart" uri="{C3380CC4-5D6E-409C-BE32-E72D297353CC}">
              <c16:uniqueId val="{00000001-A588-4A88-942C-1AC8E68E5BA4}"/>
            </c:ext>
          </c:extLst>
        </c:ser>
        <c:dLbls>
          <c:showLegendKey val="0"/>
          <c:showVal val="0"/>
          <c:showCatName val="0"/>
          <c:showSerName val="0"/>
          <c:showPercent val="0"/>
          <c:showBubbleSize val="0"/>
        </c:dLbls>
        <c:gapWidth val="50"/>
        <c:axId val="1364690031"/>
        <c:axId val="1"/>
      </c:barChart>
      <c:lineChart>
        <c:grouping val="standard"/>
        <c:varyColors val="0"/>
        <c:ser>
          <c:idx val="2"/>
          <c:order val="2"/>
          <c:tx>
            <c:strRef>
              <c:f>'Electricity report'!$N$904</c:f>
              <c:strCache>
                <c:ptCount val="1"/>
                <c:pt idx="0">
                  <c:v>Total cost per kl </c:v>
                </c:pt>
              </c:strCache>
            </c:strRef>
          </c:tx>
          <c:spPr>
            <a:ln w="28575" cap="rnd">
              <a:solidFill>
                <a:schemeClr val="accent3"/>
              </a:solidFill>
              <a:round/>
            </a:ln>
            <a:effectLst/>
          </c:spPr>
          <c:marker>
            <c:symbol val="none"/>
          </c:marker>
          <c:cat>
            <c:strRef>
              <c:f>'Electricity report'!$K$905:$K$909</c:f>
              <c:strCache>
                <c:ptCount val="5"/>
                <c:pt idx="0">
                  <c:v>0</c:v>
                </c:pt>
                <c:pt idx="1">
                  <c:v>0</c:v>
                </c:pt>
                <c:pt idx="2">
                  <c:v>0</c:v>
                </c:pt>
                <c:pt idx="3">
                  <c:v>0</c:v>
                </c:pt>
                <c:pt idx="4">
                  <c:v>More</c:v>
                </c:pt>
              </c:strCache>
            </c:strRef>
          </c:cat>
          <c:val>
            <c:numRef>
              <c:f>'Electricity report'!$N$905:$N$909</c:f>
              <c:numCache>
                <c:formatCode>_(* #,##0.00_);_(* \(#,##0.00\);_(* "-"??_);_(@_)</c:formatCode>
                <c:ptCount val="5"/>
                <c:pt idx="0">
                  <c:v>0</c:v>
                </c:pt>
                <c:pt idx="1">
                  <c:v>0</c:v>
                </c:pt>
                <c:pt idx="2">
                  <c:v>0</c:v>
                </c:pt>
                <c:pt idx="3">
                  <c:v>0</c:v>
                </c:pt>
                <c:pt idx="4">
                  <c:v>0</c:v>
                </c:pt>
              </c:numCache>
            </c:numRef>
          </c:val>
          <c:smooth val="0"/>
          <c:extLst>
            <c:ext xmlns:c16="http://schemas.microsoft.com/office/drawing/2014/chart" uri="{C3380CC4-5D6E-409C-BE32-E72D297353CC}">
              <c16:uniqueId val="{00000002-A588-4A88-942C-1AC8E68E5BA4}"/>
            </c:ext>
          </c:extLst>
        </c:ser>
        <c:ser>
          <c:idx val="3"/>
          <c:order val="3"/>
          <c:tx>
            <c:strRef>
              <c:f>'Electricity report'!$O$904</c:f>
              <c:strCache>
                <c:ptCount val="1"/>
                <c:pt idx="0">
                  <c:v>Variable cost per kWh</c:v>
                </c:pt>
              </c:strCache>
            </c:strRef>
          </c:tx>
          <c:spPr>
            <a:ln w="28575" cap="rnd">
              <a:solidFill>
                <a:schemeClr val="accent4"/>
              </a:solidFill>
              <a:round/>
            </a:ln>
            <a:effectLst/>
          </c:spPr>
          <c:marker>
            <c:symbol val="none"/>
          </c:marker>
          <c:cat>
            <c:strRef>
              <c:f>'Electricity report'!$K$905:$K$909</c:f>
              <c:strCache>
                <c:ptCount val="5"/>
                <c:pt idx="0">
                  <c:v>0</c:v>
                </c:pt>
                <c:pt idx="1">
                  <c:v>0</c:v>
                </c:pt>
                <c:pt idx="2">
                  <c:v>0</c:v>
                </c:pt>
                <c:pt idx="3">
                  <c:v>0</c:v>
                </c:pt>
                <c:pt idx="4">
                  <c:v>More</c:v>
                </c:pt>
              </c:strCache>
            </c:strRef>
          </c:cat>
          <c:val>
            <c:numRef>
              <c:f>'Electricity report'!$O$905:$O$909</c:f>
              <c:numCache>
                <c:formatCode>_(* #,##0.00_);_(* \(#,##0.00\);_(* "-"??_);_(@_)</c:formatCode>
                <c:ptCount val="5"/>
                <c:pt idx="0">
                  <c:v>0</c:v>
                </c:pt>
                <c:pt idx="1">
                  <c:v>0</c:v>
                </c:pt>
                <c:pt idx="2">
                  <c:v>0</c:v>
                </c:pt>
                <c:pt idx="3">
                  <c:v>0</c:v>
                </c:pt>
                <c:pt idx="4">
                  <c:v>0</c:v>
                </c:pt>
              </c:numCache>
            </c:numRef>
          </c:val>
          <c:smooth val="0"/>
          <c:extLst>
            <c:ext xmlns:c16="http://schemas.microsoft.com/office/drawing/2014/chart" uri="{C3380CC4-5D6E-409C-BE32-E72D297353CC}">
              <c16:uniqueId val="{00000003-A588-4A88-942C-1AC8E68E5BA4}"/>
            </c:ext>
          </c:extLst>
        </c:ser>
        <c:dLbls>
          <c:showLegendKey val="0"/>
          <c:showVal val="0"/>
          <c:showCatName val="0"/>
          <c:showSerName val="0"/>
          <c:showPercent val="0"/>
          <c:showBubbleSize val="0"/>
        </c:dLbls>
        <c:marker val="1"/>
        <c:smooth val="0"/>
        <c:axId val="1364690031"/>
        <c:axId val="1"/>
      </c:lineChart>
      <c:catAx>
        <c:axId val="1364690031"/>
        <c:scaling>
          <c:orientation val="minMax"/>
        </c:scaling>
        <c:delete val="0"/>
        <c:axPos val="b"/>
        <c:title>
          <c:tx>
            <c:rich>
              <a:bodyPr/>
              <a:lstStyle/>
              <a:p>
                <a:pPr>
                  <a:defRPr sz="1000" b="0" i="0" u="none" strike="noStrike" baseline="0">
                    <a:solidFill>
                      <a:srgbClr val="333333"/>
                    </a:solidFill>
                    <a:latin typeface="Calibri"/>
                    <a:ea typeface="Calibri"/>
                    <a:cs typeface="Calibri"/>
                  </a:defRPr>
                </a:pPr>
                <a:r>
                  <a:rPr lang="en-ZA"/>
                  <a:t>Block size</a:t>
                </a:r>
              </a:p>
            </c:rich>
          </c:tx>
          <c:overlay val="0"/>
          <c:spPr>
            <a:noFill/>
            <a:ln w="25400">
              <a:noFill/>
            </a:ln>
          </c:spPr>
        </c:title>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0" vert="horz"/>
          <a:lstStyle/>
          <a:p>
            <a:pPr>
              <a:defRPr sz="900" b="0" i="0" u="none" strike="noStrike" baseline="0">
                <a:solidFill>
                  <a:srgbClr val="333333"/>
                </a:solidFill>
                <a:latin typeface="Calibri"/>
                <a:ea typeface="Calibri"/>
                <a:cs typeface="Calibri"/>
              </a:defRPr>
            </a:pPr>
            <a:endParaRPr lang="en-US"/>
          </a:p>
        </c:txPr>
        <c:crossAx val="1"/>
        <c:crosses val="autoZero"/>
        <c:auto val="1"/>
        <c:lblAlgn val="ctr"/>
        <c:lblOffset val="100"/>
        <c:noMultiLvlLbl val="0"/>
      </c:catAx>
      <c:valAx>
        <c:axId val="1"/>
        <c:scaling>
          <c:orientation val="minMax"/>
        </c:scaling>
        <c:delete val="0"/>
        <c:axPos val="l"/>
        <c:majorGridlines>
          <c:spPr>
            <a:ln w="9525" cap="flat" cmpd="sng" algn="ctr">
              <a:solidFill>
                <a:schemeClr val="tx1">
                  <a:lumMod val="15000"/>
                  <a:lumOff val="85000"/>
                </a:schemeClr>
              </a:solidFill>
              <a:round/>
            </a:ln>
            <a:effectLst/>
          </c:spPr>
        </c:majorGridlines>
        <c:title>
          <c:tx>
            <c:rich>
              <a:bodyPr/>
              <a:lstStyle/>
              <a:p>
                <a:pPr>
                  <a:defRPr sz="1000" b="0" i="0" u="none" strike="noStrike" baseline="0">
                    <a:solidFill>
                      <a:srgbClr val="333333"/>
                    </a:solidFill>
                    <a:latin typeface="Calibri"/>
                    <a:ea typeface="Calibri"/>
                    <a:cs typeface="Calibri"/>
                  </a:defRPr>
                </a:pPr>
                <a:r>
                  <a:rPr lang="en-ZA"/>
                  <a:t>R/kWh</a:t>
                </a:r>
              </a:p>
            </c:rich>
          </c:tx>
          <c:overlay val="0"/>
          <c:spPr>
            <a:noFill/>
            <a:ln w="25400">
              <a:noFill/>
            </a:ln>
          </c:spPr>
        </c:title>
        <c:numFmt formatCode="_(* #,##0.00_);_(* \(#,##0.00\);_(* &quot;-&quot;??_);_(@_)" sourceLinked="1"/>
        <c:majorTickMark val="none"/>
        <c:minorTickMark val="none"/>
        <c:tickLblPos val="nextTo"/>
        <c:spPr>
          <a:ln w="6350">
            <a:noFill/>
          </a:ln>
        </c:spPr>
        <c:txPr>
          <a:bodyPr rot="0" vert="horz"/>
          <a:lstStyle/>
          <a:p>
            <a:pPr>
              <a:defRPr sz="900" b="0" i="0" u="none" strike="noStrike" baseline="0">
                <a:solidFill>
                  <a:srgbClr val="333333"/>
                </a:solidFill>
                <a:latin typeface="Calibri"/>
                <a:ea typeface="Calibri"/>
                <a:cs typeface="Calibri"/>
              </a:defRPr>
            </a:pPr>
            <a:endParaRPr lang="en-US"/>
          </a:p>
        </c:txPr>
        <c:crossAx val="1364690031"/>
        <c:crosses val="autoZero"/>
        <c:crossBetween val="between"/>
      </c:valAx>
      <c:spPr>
        <a:noFill/>
        <a:ln w="25400">
          <a:noFill/>
        </a:ln>
      </c:spPr>
    </c:plotArea>
    <c:legend>
      <c:legendPos val="r"/>
      <c:layout>
        <c:manualLayout>
          <c:xMode val="edge"/>
          <c:yMode val="edge"/>
          <c:x val="0.13950287562017133"/>
          <c:y val="0.92826131183362848"/>
          <c:w val="0.71318852384831199"/>
          <c:h val="5.2633337100804978E-2"/>
        </c:manualLayout>
      </c:layout>
      <c:overlay val="0"/>
      <c:spPr>
        <a:noFill/>
        <a:ln w="25400">
          <a:noFill/>
        </a:ln>
      </c:spPr>
      <c:txPr>
        <a:bodyPr/>
        <a:lstStyle/>
        <a:p>
          <a:pPr>
            <a:defRPr sz="690" b="0" i="0" u="none" strike="noStrike" baseline="0">
              <a:solidFill>
                <a:srgbClr val="333333"/>
              </a:solidFill>
              <a:latin typeface="Calibri"/>
              <a:ea typeface="Calibri"/>
              <a:cs typeface="Calibri"/>
            </a:defRPr>
          </a:pPr>
          <a:endParaRPr lang="en-US"/>
        </a:p>
      </c:txPr>
    </c:legend>
    <c:plotVisOnly val="1"/>
    <c:dispBlanksAs val="gap"/>
    <c:showDLblsOverMax val="0"/>
  </c:chart>
  <c:spPr>
    <a:solidFill>
      <a:schemeClr val="bg1"/>
    </a:solidFill>
    <a:ln w="9525" cap="flat" cmpd="sng" algn="ctr">
      <a:noFill/>
      <a:round/>
    </a:ln>
    <a:effectLst/>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charts/chart16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2.3871527777777776E-2"/>
          <c:y val="4.7786414907172239E-2"/>
          <c:w val="0.57559123468941387"/>
          <c:h val="0.83529592857692603"/>
        </c:manualLayout>
      </c:layout>
      <c:barChart>
        <c:barDir val="col"/>
        <c:grouping val="stacked"/>
        <c:varyColors val="0"/>
        <c:ser>
          <c:idx val="0"/>
          <c:order val="0"/>
          <c:tx>
            <c:strRef>
              <c:f>'Electricity report'!$J$949</c:f>
              <c:strCache>
                <c:ptCount val="1"/>
                <c:pt idx="0">
                  <c:v>Customer costs </c:v>
                </c:pt>
              </c:strCache>
            </c:strRef>
          </c:tx>
          <c:spPr>
            <a:solidFill>
              <a:srgbClr val="4472C4"/>
            </a:solidFill>
            <a:ln w="25400">
              <a:noFill/>
            </a:ln>
          </c:spPr>
          <c:invertIfNegative val="0"/>
          <c:dPt>
            <c:idx val="0"/>
            <c:invertIfNegative val="0"/>
            <c:bubble3D val="0"/>
            <c:spPr>
              <a:solidFill>
                <a:srgbClr val="5B9BD5"/>
              </a:solidFill>
              <a:ln w="25400">
                <a:noFill/>
              </a:ln>
            </c:spPr>
            <c:extLst>
              <c:ext xmlns:c16="http://schemas.microsoft.com/office/drawing/2014/chart" uri="{C3380CC4-5D6E-409C-BE32-E72D297353CC}">
                <c16:uniqueId val="{00000000-72CA-4F36-9CE0-B32BD915F25F}"/>
              </c:ext>
            </c:extLst>
          </c:dPt>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'Electricity report'!$K$948:$L$948</c:f>
              <c:strCache>
                <c:ptCount val="2"/>
                <c:pt idx="0">
                  <c:v>Expenditure R'000</c:v>
                </c:pt>
                <c:pt idx="1">
                  <c:v>Revenue R'000</c:v>
                </c:pt>
              </c:strCache>
            </c:strRef>
          </c:cat>
          <c:val>
            <c:numRef>
              <c:f>'Electricity report'!$K$949:$L$949</c:f>
              <c:numCache>
                <c:formatCode>General</c:formatCode>
                <c:ptCount val="2"/>
                <c:pt idx="0" formatCode="_-* #\ ##0_-;\-* #\ ##0_-;_-* &quot;-&quot;??_-;_-@_-">
                  <c:v>0</c:v>
                </c:pt>
              </c:numCache>
            </c:numRef>
          </c:val>
          <c:extLst>
            <c:ext xmlns:c16="http://schemas.microsoft.com/office/drawing/2014/chart" uri="{C3380CC4-5D6E-409C-BE32-E72D297353CC}">
              <c16:uniqueId val="{00000001-72CA-4F36-9CE0-B32BD915F25F}"/>
            </c:ext>
          </c:extLst>
        </c:ser>
        <c:ser>
          <c:idx val="1"/>
          <c:order val="1"/>
          <c:tx>
            <c:strRef>
              <c:f>'Electricity report'!$J$950</c:f>
              <c:strCache>
                <c:ptCount val="1"/>
                <c:pt idx="0">
                  <c:v>Energy costs</c:v>
                </c:pt>
              </c:strCache>
            </c:strRef>
          </c:tx>
          <c:spPr>
            <a:solidFill>
              <a:schemeClr val="accent5">
                <a:lumMod val="60000"/>
                <a:lumOff val="40000"/>
              </a:schemeClr>
            </a:solidFill>
            <a:ln>
              <a:noFill/>
            </a:ln>
            <a:effectLst/>
          </c:spPr>
          <c:invertIfNegative val="0"/>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'Electricity report'!$K$948:$L$948</c:f>
              <c:strCache>
                <c:ptCount val="2"/>
                <c:pt idx="0">
                  <c:v>Expenditure R'000</c:v>
                </c:pt>
                <c:pt idx="1">
                  <c:v>Revenue R'000</c:v>
                </c:pt>
              </c:strCache>
            </c:strRef>
          </c:cat>
          <c:val>
            <c:numRef>
              <c:f>'Electricity report'!$K$950:$L$950</c:f>
              <c:numCache>
                <c:formatCode>General</c:formatCode>
                <c:ptCount val="2"/>
                <c:pt idx="0" formatCode="_-* #\ ##0_-;\-* #\ ##0_-;_-* &quot;-&quot;??_-;_-@_-">
                  <c:v>0</c:v>
                </c:pt>
              </c:numCache>
            </c:numRef>
          </c:val>
          <c:extLst>
            <c:ext xmlns:c16="http://schemas.microsoft.com/office/drawing/2014/chart" uri="{C3380CC4-5D6E-409C-BE32-E72D297353CC}">
              <c16:uniqueId val="{00000002-72CA-4F36-9CE0-B32BD915F25F}"/>
            </c:ext>
          </c:extLst>
        </c:ser>
        <c:ser>
          <c:idx val="2"/>
          <c:order val="2"/>
          <c:tx>
            <c:strRef>
              <c:f>'Electricity report'!$J$951</c:f>
              <c:strCache>
                <c:ptCount val="1"/>
                <c:pt idx="0">
                  <c:v>Demand cost</c:v>
                </c:pt>
              </c:strCache>
            </c:strRef>
          </c:tx>
          <c:spPr>
            <a:solidFill>
              <a:srgbClr val="A5A5A5"/>
            </a:solidFill>
            <a:ln w="25400">
              <a:noFill/>
            </a:ln>
          </c:spPr>
          <c:invertIfNegative val="0"/>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'Electricity report'!$K$948:$L$948</c:f>
              <c:strCache>
                <c:ptCount val="2"/>
                <c:pt idx="0">
                  <c:v>Expenditure R'000</c:v>
                </c:pt>
                <c:pt idx="1">
                  <c:v>Revenue R'000</c:v>
                </c:pt>
              </c:strCache>
            </c:strRef>
          </c:cat>
          <c:val>
            <c:numRef>
              <c:f>'Electricity report'!$K$951:$L$951</c:f>
              <c:numCache>
                <c:formatCode>General</c:formatCode>
                <c:ptCount val="2"/>
                <c:pt idx="0" formatCode="_-* #\ ##0_-;\-* #\ ##0_-;_-* &quot;-&quot;??_-;_-@_-">
                  <c:v>0</c:v>
                </c:pt>
              </c:numCache>
            </c:numRef>
          </c:val>
          <c:extLst>
            <c:ext xmlns:c16="http://schemas.microsoft.com/office/drawing/2014/chart" uri="{C3380CC4-5D6E-409C-BE32-E72D297353CC}">
              <c16:uniqueId val="{00000003-72CA-4F36-9CE0-B32BD915F25F}"/>
            </c:ext>
          </c:extLst>
        </c:ser>
        <c:ser>
          <c:idx val="4"/>
          <c:order val="3"/>
          <c:tx>
            <c:strRef>
              <c:f>'Electricity report'!$J$952</c:f>
              <c:strCache>
                <c:ptCount val="1"/>
                <c:pt idx="0">
                  <c:v>Surplus</c:v>
                </c:pt>
              </c:strCache>
            </c:strRef>
          </c:tx>
          <c:spPr>
            <a:solidFill>
              <a:srgbClr val="5B9BD5"/>
            </a:solidFill>
            <a:ln w="25400">
              <a:noFill/>
            </a:ln>
          </c:spPr>
          <c:invertIfNegative val="0"/>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'Electricity report'!$K$948:$L$948</c:f>
              <c:strCache>
                <c:ptCount val="2"/>
                <c:pt idx="0">
                  <c:v>Expenditure R'000</c:v>
                </c:pt>
                <c:pt idx="1">
                  <c:v>Revenue R'000</c:v>
                </c:pt>
              </c:strCache>
            </c:strRef>
          </c:cat>
          <c:val>
            <c:numRef>
              <c:f>'Electricity report'!$K$952:$L$952</c:f>
              <c:numCache>
                <c:formatCode>General</c:formatCode>
                <c:ptCount val="2"/>
                <c:pt idx="0" formatCode="_-* #\ ##0_-;\-* #\ ##0_-;_-* &quot;-&quot;??_-;_-@_-">
                  <c:v>0</c:v>
                </c:pt>
              </c:numCache>
            </c:numRef>
          </c:val>
          <c:extLst>
            <c:ext xmlns:c16="http://schemas.microsoft.com/office/drawing/2014/chart" uri="{C3380CC4-5D6E-409C-BE32-E72D297353CC}">
              <c16:uniqueId val="{00000004-72CA-4F36-9CE0-B32BD915F25F}"/>
            </c:ext>
          </c:extLst>
        </c:ser>
        <c:ser>
          <c:idx val="5"/>
          <c:order val="4"/>
          <c:tx>
            <c:strRef>
              <c:f>'Electricity report'!$J$953</c:f>
              <c:strCache>
                <c:ptCount val="1"/>
                <c:pt idx="0">
                  <c:v>Tariff revenue</c:v>
                </c:pt>
              </c:strCache>
            </c:strRef>
          </c:tx>
          <c:spPr>
            <a:solidFill>
              <a:srgbClr val="A5A5A5"/>
            </a:solidFill>
            <a:ln w="25400">
              <a:noFill/>
            </a:ln>
          </c:spPr>
          <c:invertIfNegative val="0"/>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'Electricity report'!$K$948:$L$948</c:f>
              <c:strCache>
                <c:ptCount val="2"/>
                <c:pt idx="0">
                  <c:v>Expenditure R'000</c:v>
                </c:pt>
                <c:pt idx="1">
                  <c:v>Revenue R'000</c:v>
                </c:pt>
              </c:strCache>
            </c:strRef>
          </c:cat>
          <c:val>
            <c:numRef>
              <c:f>'Electricity report'!$K$953:$L$953</c:f>
              <c:numCache>
                <c:formatCode>_-* #\ ##0_-;\-* #\ ##0_-;_-* "-"??_-;_-@_-</c:formatCode>
                <c:ptCount val="2"/>
                <c:pt idx="1">
                  <c:v>0</c:v>
                </c:pt>
              </c:numCache>
            </c:numRef>
          </c:val>
          <c:extLst>
            <c:ext xmlns:c16="http://schemas.microsoft.com/office/drawing/2014/chart" uri="{C3380CC4-5D6E-409C-BE32-E72D297353CC}">
              <c16:uniqueId val="{00000005-72CA-4F36-9CE0-B32BD915F25F}"/>
            </c:ext>
          </c:extLst>
        </c:ser>
        <c:ser>
          <c:idx val="3"/>
          <c:order val="5"/>
          <c:tx>
            <c:strRef>
              <c:f>'Electricity report'!$J$954</c:f>
              <c:strCache>
                <c:ptCount val="1"/>
                <c:pt idx="0">
                  <c:v>External grants &amp; subsidies</c:v>
                </c:pt>
              </c:strCache>
            </c:strRef>
          </c:tx>
          <c:spPr>
            <a:solidFill>
              <a:schemeClr val="accent3">
                <a:lumMod val="40000"/>
                <a:lumOff val="60000"/>
              </a:schemeClr>
            </a:solidFill>
            <a:ln>
              <a:noFill/>
            </a:ln>
            <a:effectLst/>
          </c:spPr>
          <c:invertIfNegative val="0"/>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'Electricity report'!$K$948:$L$948</c:f>
              <c:strCache>
                <c:ptCount val="2"/>
                <c:pt idx="0">
                  <c:v>Expenditure R'000</c:v>
                </c:pt>
                <c:pt idx="1">
                  <c:v>Revenue R'000</c:v>
                </c:pt>
              </c:strCache>
            </c:strRef>
          </c:cat>
          <c:val>
            <c:numRef>
              <c:f>'Electricity report'!$K$954:$L$954</c:f>
              <c:numCache>
                <c:formatCode>_-* #\ ##0_-;\-* #\ ##0_-;_-* "-"??_-;_-@_-</c:formatCode>
                <c:ptCount val="2"/>
                <c:pt idx="1">
                  <c:v>0</c:v>
                </c:pt>
              </c:numCache>
            </c:numRef>
          </c:val>
          <c:extLst>
            <c:ext xmlns:c16="http://schemas.microsoft.com/office/drawing/2014/chart" uri="{C3380CC4-5D6E-409C-BE32-E72D297353CC}">
              <c16:uniqueId val="{00000006-72CA-4F36-9CE0-B32BD915F25F}"/>
            </c:ext>
          </c:extLst>
        </c:ser>
        <c:ser>
          <c:idx val="6"/>
          <c:order val="6"/>
          <c:tx>
            <c:strRef>
              <c:f>'Electricity report'!$J$955</c:f>
              <c:strCache>
                <c:ptCount val="1"/>
                <c:pt idx="0">
                  <c:v>Other non-tariff revenue</c:v>
                </c:pt>
              </c:strCache>
            </c:strRef>
          </c:tx>
          <c:spPr>
            <a:solidFill>
              <a:srgbClr val="ED7D31"/>
            </a:solidFill>
            <a:ln w="25400">
              <a:noFill/>
            </a:ln>
          </c:spPr>
          <c:invertIfNegative val="0"/>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'Electricity report'!$K$948:$L$948</c:f>
              <c:strCache>
                <c:ptCount val="2"/>
                <c:pt idx="0">
                  <c:v>Expenditure R'000</c:v>
                </c:pt>
                <c:pt idx="1">
                  <c:v>Revenue R'000</c:v>
                </c:pt>
              </c:strCache>
            </c:strRef>
          </c:cat>
          <c:val>
            <c:numRef>
              <c:f>'Electricity report'!$K$955:$L$955</c:f>
              <c:numCache>
                <c:formatCode>_-* #\ ##0_-;\-* #\ ##0_-;_-* "-"??_-;_-@_-</c:formatCode>
                <c:ptCount val="2"/>
                <c:pt idx="1">
                  <c:v>0</c:v>
                </c:pt>
              </c:numCache>
            </c:numRef>
          </c:val>
          <c:extLst>
            <c:ext xmlns:c16="http://schemas.microsoft.com/office/drawing/2014/chart" uri="{C3380CC4-5D6E-409C-BE32-E72D297353CC}">
              <c16:uniqueId val="{00000007-72CA-4F36-9CE0-B32BD915F25F}"/>
            </c:ext>
          </c:extLst>
        </c:ser>
        <c:ser>
          <c:idx val="7"/>
          <c:order val="7"/>
          <c:tx>
            <c:strRef>
              <c:f>'Electricity report'!$J$956</c:f>
              <c:strCache>
                <c:ptCount val="1"/>
                <c:pt idx="0">
                  <c:v>Deficit</c:v>
                </c:pt>
              </c:strCache>
            </c:strRef>
          </c:tx>
          <c:spPr>
            <a:solidFill>
              <a:srgbClr val="4472C4"/>
            </a:solidFill>
            <a:ln w="25400">
              <a:noFill/>
            </a:ln>
          </c:spPr>
          <c:invertIfNegative val="0"/>
          <c:dPt>
            <c:idx val="0"/>
            <c:invertIfNegative val="0"/>
            <c:bubble3D val="0"/>
            <c:spPr>
              <a:solidFill>
                <a:srgbClr val="5B9BD5"/>
              </a:solidFill>
              <a:ln w="25400">
                <a:noFill/>
              </a:ln>
            </c:spPr>
            <c:extLst>
              <c:ext xmlns:c16="http://schemas.microsoft.com/office/drawing/2014/chart" uri="{C3380CC4-5D6E-409C-BE32-E72D297353CC}">
                <c16:uniqueId val="{00000008-72CA-4F36-9CE0-B32BD915F25F}"/>
              </c:ext>
            </c:extLst>
          </c:dPt>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'Electricity report'!$K$948:$L$948</c:f>
              <c:strCache>
                <c:ptCount val="2"/>
                <c:pt idx="0">
                  <c:v>Expenditure R'000</c:v>
                </c:pt>
                <c:pt idx="1">
                  <c:v>Revenue R'000</c:v>
                </c:pt>
              </c:strCache>
            </c:strRef>
          </c:cat>
          <c:val>
            <c:numRef>
              <c:f>'Electricity report'!$K$956:$L$956</c:f>
              <c:numCache>
                <c:formatCode>_-* #\ ##0_-;\-* #\ ##0_-;_-* "-"??_-;_-@_-</c:formatCode>
                <c:ptCount val="2"/>
                <c:pt idx="1">
                  <c:v>0</c:v>
                </c:pt>
              </c:numCache>
            </c:numRef>
          </c:val>
          <c:extLst>
            <c:ext xmlns:c16="http://schemas.microsoft.com/office/drawing/2014/chart" uri="{C3380CC4-5D6E-409C-BE32-E72D297353CC}">
              <c16:uniqueId val="{00000009-72CA-4F36-9CE0-B32BD915F25F}"/>
            </c:ext>
          </c:extLst>
        </c:ser>
        <c:dLbls>
          <c:showLegendKey val="0"/>
          <c:showVal val="0"/>
          <c:showCatName val="0"/>
          <c:showSerName val="0"/>
          <c:showPercent val="0"/>
          <c:showBubbleSize val="0"/>
        </c:dLbls>
        <c:gapWidth val="25"/>
        <c:overlap val="100"/>
        <c:axId val="1364721711"/>
        <c:axId val="1"/>
      </c:barChart>
      <c:catAx>
        <c:axId val="1364721711"/>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0" vert="horz"/>
          <a:lstStyle/>
          <a:p>
            <a:pPr>
              <a:defRPr sz="1100" b="0" i="0" u="none" strike="noStrike" baseline="0">
                <a:solidFill>
                  <a:srgbClr val="000000"/>
                </a:solidFill>
                <a:latin typeface="Calibri"/>
                <a:ea typeface="Calibri"/>
                <a:cs typeface="Calibri"/>
              </a:defRPr>
            </a:pPr>
            <a:endParaRPr lang="en-US"/>
          </a:p>
        </c:txPr>
        <c:crossAx val="1"/>
        <c:crosses val="autoZero"/>
        <c:auto val="1"/>
        <c:lblAlgn val="ctr"/>
        <c:lblOffset val="100"/>
        <c:noMultiLvlLbl val="0"/>
      </c:catAx>
      <c:valAx>
        <c:axId val="1"/>
        <c:scaling>
          <c:orientation val="minMax"/>
        </c:scaling>
        <c:delete val="1"/>
        <c:axPos val="l"/>
        <c:majorGridlines>
          <c:spPr>
            <a:ln w="9525" cap="flat" cmpd="sng" algn="ctr">
              <a:solidFill>
                <a:schemeClr val="tx1">
                  <a:lumMod val="15000"/>
                  <a:lumOff val="85000"/>
                </a:schemeClr>
              </a:solidFill>
              <a:round/>
            </a:ln>
            <a:effectLst/>
          </c:spPr>
        </c:majorGridlines>
        <c:numFmt formatCode="_-* #\ ##0_-;\-* #\ ##0_-;_-* &quot;-&quot;??_-;_-@_-" sourceLinked="1"/>
        <c:majorTickMark val="out"/>
        <c:minorTickMark val="none"/>
        <c:tickLblPos val="nextTo"/>
        <c:crossAx val="1364721711"/>
        <c:crosses val="autoZero"/>
        <c:crossBetween val="between"/>
      </c:valAx>
    </c:plotArea>
    <c:legend>
      <c:legendPos val="r"/>
      <c:layout>
        <c:manualLayout>
          <c:xMode val="edge"/>
          <c:yMode val="edge"/>
          <c:x val="0.63127017716535438"/>
          <c:y val="0.1812752257931505"/>
          <c:w val="0.34844865485564303"/>
          <c:h val="0.70697306341239063"/>
        </c:manualLayout>
      </c:layout>
      <c:overlay val="0"/>
      <c:spPr>
        <a:noFill/>
        <a:ln w="25400">
          <a:noFill/>
        </a:ln>
      </c:spPr>
      <c:txPr>
        <a:bodyPr/>
        <a:lstStyle/>
        <a:p>
          <a:pPr>
            <a:defRPr sz="850" b="0" i="0" u="none" strike="noStrike" baseline="0">
              <a:solidFill>
                <a:srgbClr val="000000"/>
              </a:solidFill>
              <a:latin typeface="Calibri"/>
              <a:ea typeface="Calibri"/>
              <a:cs typeface="Calibri"/>
            </a:defRPr>
          </a:pPr>
          <a:endParaRPr lang="en-US"/>
        </a:p>
      </c:txPr>
    </c:legend>
    <c:plotVisOnly val="1"/>
    <c:dispBlanksAs val="gap"/>
    <c:showDLblsOverMax val="0"/>
  </c:chart>
  <c:spPr>
    <a:solidFill>
      <a:schemeClr val="bg1"/>
    </a:solidFill>
    <a:ln w="9525" cap="flat" cmpd="sng" algn="ctr">
      <a:noFill/>
      <a:round/>
    </a:ln>
    <a:effectLst/>
  </c:spPr>
  <c:txPr>
    <a:bodyPr/>
    <a:lstStyle/>
    <a:p>
      <a:pPr>
        <a:defRPr sz="11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charts/chart16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ser>
          <c:idx val="0"/>
          <c:order val="0"/>
          <c:tx>
            <c:strRef>
              <c:f>'Electricity report'!$L$974</c:f>
              <c:strCache>
                <c:ptCount val="1"/>
                <c:pt idx="0">
                  <c:v>Annual Tariff</c:v>
                </c:pt>
              </c:strCache>
            </c:strRef>
          </c:tx>
          <c:spPr>
            <a:solidFill>
              <a:srgbClr val="4472C4"/>
            </a:solidFill>
            <a:ln w="25400">
              <a:noFill/>
            </a:ln>
          </c:spPr>
          <c:invertIfNegative val="0"/>
          <c:dLbls>
            <c:spPr>
              <a:noFill/>
              <a:ln w="25400">
                <a:noFill/>
              </a:ln>
            </c:spPr>
            <c:txPr>
              <a:bodyPr wrap="square" lIns="38100" tIns="19050" rIns="38100" bIns="19050" anchor="ctr">
                <a:spAutoFit/>
              </a:bodyPr>
              <a:lstStyle/>
              <a:p>
                <a:pPr>
                  <a:defRPr sz="900" b="0" i="0" u="none" strike="noStrike" baseline="0">
                    <a:solidFill>
                      <a:srgbClr val="333333"/>
                    </a:solidFill>
                    <a:latin typeface="Calibri"/>
                    <a:ea typeface="Calibri"/>
                    <a:cs typeface="Calibri"/>
                  </a:defRPr>
                </a:pPr>
                <a:endParaRPr lang="en-US"/>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'Electricity report'!$K$975:$K$979</c:f>
              <c:strCache>
                <c:ptCount val="5"/>
                <c:pt idx="0">
                  <c:v>0</c:v>
                </c:pt>
                <c:pt idx="1">
                  <c:v>0</c:v>
                </c:pt>
                <c:pt idx="2">
                  <c:v>0</c:v>
                </c:pt>
                <c:pt idx="3">
                  <c:v>0</c:v>
                </c:pt>
                <c:pt idx="4">
                  <c:v>More</c:v>
                </c:pt>
              </c:strCache>
            </c:strRef>
          </c:cat>
          <c:val>
            <c:numRef>
              <c:f>'Electricity report'!$L$975:$L$979</c:f>
              <c:numCache>
                <c:formatCode>_(* #,##0.00_);_(* \(#,##0.00\);_(* "-"??_);_(@_)</c:formatCode>
                <c:ptCount val="5"/>
                <c:pt idx="0">
                  <c:v>0</c:v>
                </c:pt>
                <c:pt idx="1">
                  <c:v>0</c:v>
                </c:pt>
                <c:pt idx="2">
                  <c:v>0</c:v>
                </c:pt>
                <c:pt idx="3">
                  <c:v>0</c:v>
                </c:pt>
                <c:pt idx="4">
                  <c:v>0</c:v>
                </c:pt>
              </c:numCache>
            </c:numRef>
          </c:val>
          <c:extLst>
            <c:ext xmlns:c16="http://schemas.microsoft.com/office/drawing/2014/chart" uri="{C3380CC4-5D6E-409C-BE32-E72D297353CC}">
              <c16:uniqueId val="{00000000-C4C2-4119-9CCC-4C95D3BB8F81}"/>
            </c:ext>
          </c:extLst>
        </c:ser>
        <c:ser>
          <c:idx val="1"/>
          <c:order val="1"/>
          <c:tx>
            <c:strRef>
              <c:f>'Electricity report'!$M$974</c:f>
              <c:strCache>
                <c:ptCount val="1"/>
              </c:strCache>
            </c:strRef>
          </c:tx>
          <c:spPr>
            <a:solidFill>
              <a:srgbClr val="ED7D31"/>
            </a:solidFill>
            <a:ln w="25400">
              <a:noFill/>
            </a:ln>
          </c:spPr>
          <c:invertIfNegative val="0"/>
          <c:dLbls>
            <c:spPr>
              <a:noFill/>
              <a:ln w="25400">
                <a:noFill/>
              </a:ln>
            </c:spPr>
            <c:txPr>
              <a:bodyPr wrap="square" lIns="38100" tIns="19050" rIns="38100" bIns="19050" anchor="ctr">
                <a:spAutoFit/>
              </a:bodyPr>
              <a:lstStyle/>
              <a:p>
                <a:pPr>
                  <a:defRPr sz="900" b="0" i="0" u="none" strike="noStrike" baseline="0">
                    <a:solidFill>
                      <a:srgbClr val="333333"/>
                    </a:solidFill>
                    <a:latin typeface="Calibri"/>
                    <a:ea typeface="Calibri"/>
                    <a:cs typeface="Calibri"/>
                  </a:defRPr>
                </a:pPr>
                <a:endParaRPr lang="en-US"/>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'Electricity report'!$K$975:$K$979</c:f>
              <c:strCache>
                <c:ptCount val="5"/>
                <c:pt idx="0">
                  <c:v>0</c:v>
                </c:pt>
                <c:pt idx="1">
                  <c:v>0</c:v>
                </c:pt>
                <c:pt idx="2">
                  <c:v>0</c:v>
                </c:pt>
                <c:pt idx="3">
                  <c:v>0</c:v>
                </c:pt>
                <c:pt idx="4">
                  <c:v>More</c:v>
                </c:pt>
              </c:strCache>
            </c:strRef>
          </c:cat>
          <c:val>
            <c:numRef>
              <c:f>'Electricity report'!$M$975:$M$979</c:f>
              <c:numCache>
                <c:formatCode>_(* #,##0.00_);_(* \(#,##0.00\);_(* "-"??_);_(@_)</c:formatCode>
                <c:ptCount val="5"/>
                <c:pt idx="0">
                  <c:v>0</c:v>
                </c:pt>
                <c:pt idx="1">
                  <c:v>0</c:v>
                </c:pt>
                <c:pt idx="2">
                  <c:v>0</c:v>
                </c:pt>
                <c:pt idx="3">
                  <c:v>0</c:v>
                </c:pt>
                <c:pt idx="4">
                  <c:v>0</c:v>
                </c:pt>
              </c:numCache>
            </c:numRef>
          </c:val>
          <c:extLst>
            <c:ext xmlns:c16="http://schemas.microsoft.com/office/drawing/2014/chart" uri="{C3380CC4-5D6E-409C-BE32-E72D297353CC}">
              <c16:uniqueId val="{00000001-C4C2-4119-9CCC-4C95D3BB8F81}"/>
            </c:ext>
          </c:extLst>
        </c:ser>
        <c:dLbls>
          <c:showLegendKey val="0"/>
          <c:showVal val="0"/>
          <c:showCatName val="0"/>
          <c:showSerName val="0"/>
          <c:showPercent val="0"/>
          <c:showBubbleSize val="0"/>
        </c:dLbls>
        <c:gapWidth val="50"/>
        <c:axId val="1364714991"/>
        <c:axId val="1"/>
      </c:barChart>
      <c:lineChart>
        <c:grouping val="standard"/>
        <c:varyColors val="0"/>
        <c:ser>
          <c:idx val="2"/>
          <c:order val="2"/>
          <c:tx>
            <c:strRef>
              <c:f>'Electricity report'!$N$974</c:f>
              <c:strCache>
                <c:ptCount val="1"/>
                <c:pt idx="0">
                  <c:v>Total cost per kl </c:v>
                </c:pt>
              </c:strCache>
            </c:strRef>
          </c:tx>
          <c:spPr>
            <a:ln w="28575" cap="rnd">
              <a:solidFill>
                <a:schemeClr val="accent3"/>
              </a:solidFill>
              <a:round/>
            </a:ln>
            <a:effectLst/>
          </c:spPr>
          <c:marker>
            <c:symbol val="none"/>
          </c:marker>
          <c:cat>
            <c:strRef>
              <c:f>'Electricity report'!$K$975:$K$979</c:f>
              <c:strCache>
                <c:ptCount val="5"/>
                <c:pt idx="0">
                  <c:v>0</c:v>
                </c:pt>
                <c:pt idx="1">
                  <c:v>0</c:v>
                </c:pt>
                <c:pt idx="2">
                  <c:v>0</c:v>
                </c:pt>
                <c:pt idx="3">
                  <c:v>0</c:v>
                </c:pt>
                <c:pt idx="4">
                  <c:v>More</c:v>
                </c:pt>
              </c:strCache>
            </c:strRef>
          </c:cat>
          <c:val>
            <c:numRef>
              <c:f>'Electricity report'!$N$975:$N$979</c:f>
              <c:numCache>
                <c:formatCode>_(* #,##0.00_);_(* \(#,##0.00\);_(* "-"??_);_(@_)</c:formatCode>
                <c:ptCount val="5"/>
                <c:pt idx="0">
                  <c:v>0</c:v>
                </c:pt>
                <c:pt idx="1">
                  <c:v>0</c:v>
                </c:pt>
                <c:pt idx="2">
                  <c:v>0</c:v>
                </c:pt>
                <c:pt idx="3">
                  <c:v>0</c:v>
                </c:pt>
                <c:pt idx="4">
                  <c:v>0</c:v>
                </c:pt>
              </c:numCache>
            </c:numRef>
          </c:val>
          <c:smooth val="0"/>
          <c:extLst>
            <c:ext xmlns:c16="http://schemas.microsoft.com/office/drawing/2014/chart" uri="{C3380CC4-5D6E-409C-BE32-E72D297353CC}">
              <c16:uniqueId val="{00000002-C4C2-4119-9CCC-4C95D3BB8F81}"/>
            </c:ext>
          </c:extLst>
        </c:ser>
        <c:ser>
          <c:idx val="3"/>
          <c:order val="3"/>
          <c:tx>
            <c:strRef>
              <c:f>'Electricity report'!$O$974</c:f>
              <c:strCache>
                <c:ptCount val="1"/>
                <c:pt idx="0">
                  <c:v>Variable cost per kWh</c:v>
                </c:pt>
              </c:strCache>
            </c:strRef>
          </c:tx>
          <c:spPr>
            <a:ln w="28575" cap="rnd">
              <a:solidFill>
                <a:schemeClr val="accent4"/>
              </a:solidFill>
              <a:round/>
            </a:ln>
            <a:effectLst/>
          </c:spPr>
          <c:marker>
            <c:symbol val="none"/>
          </c:marker>
          <c:cat>
            <c:strRef>
              <c:f>'Electricity report'!$K$975:$K$979</c:f>
              <c:strCache>
                <c:ptCount val="5"/>
                <c:pt idx="0">
                  <c:v>0</c:v>
                </c:pt>
                <c:pt idx="1">
                  <c:v>0</c:v>
                </c:pt>
                <c:pt idx="2">
                  <c:v>0</c:v>
                </c:pt>
                <c:pt idx="3">
                  <c:v>0</c:v>
                </c:pt>
                <c:pt idx="4">
                  <c:v>More</c:v>
                </c:pt>
              </c:strCache>
            </c:strRef>
          </c:cat>
          <c:val>
            <c:numRef>
              <c:f>'Electricity report'!$O$975:$O$979</c:f>
              <c:numCache>
                <c:formatCode>_(* #,##0.00_);_(* \(#,##0.00\);_(* "-"??_);_(@_)</c:formatCode>
                <c:ptCount val="5"/>
                <c:pt idx="0">
                  <c:v>0</c:v>
                </c:pt>
                <c:pt idx="1">
                  <c:v>0</c:v>
                </c:pt>
                <c:pt idx="2">
                  <c:v>0</c:v>
                </c:pt>
                <c:pt idx="3">
                  <c:v>0</c:v>
                </c:pt>
                <c:pt idx="4">
                  <c:v>0</c:v>
                </c:pt>
              </c:numCache>
            </c:numRef>
          </c:val>
          <c:smooth val="0"/>
          <c:extLst>
            <c:ext xmlns:c16="http://schemas.microsoft.com/office/drawing/2014/chart" uri="{C3380CC4-5D6E-409C-BE32-E72D297353CC}">
              <c16:uniqueId val="{00000003-C4C2-4119-9CCC-4C95D3BB8F81}"/>
            </c:ext>
          </c:extLst>
        </c:ser>
        <c:dLbls>
          <c:showLegendKey val="0"/>
          <c:showVal val="0"/>
          <c:showCatName val="0"/>
          <c:showSerName val="0"/>
          <c:showPercent val="0"/>
          <c:showBubbleSize val="0"/>
        </c:dLbls>
        <c:marker val="1"/>
        <c:smooth val="0"/>
        <c:axId val="1364714991"/>
        <c:axId val="1"/>
      </c:lineChart>
      <c:catAx>
        <c:axId val="1364714991"/>
        <c:scaling>
          <c:orientation val="minMax"/>
        </c:scaling>
        <c:delete val="0"/>
        <c:axPos val="b"/>
        <c:title>
          <c:tx>
            <c:rich>
              <a:bodyPr/>
              <a:lstStyle/>
              <a:p>
                <a:pPr>
                  <a:defRPr sz="1000" b="0" i="0" u="none" strike="noStrike" baseline="0">
                    <a:solidFill>
                      <a:srgbClr val="333333"/>
                    </a:solidFill>
                    <a:latin typeface="Calibri"/>
                    <a:ea typeface="Calibri"/>
                    <a:cs typeface="Calibri"/>
                  </a:defRPr>
                </a:pPr>
                <a:r>
                  <a:rPr lang="en-ZA"/>
                  <a:t>Block size</a:t>
                </a:r>
              </a:p>
            </c:rich>
          </c:tx>
          <c:overlay val="0"/>
          <c:spPr>
            <a:noFill/>
            <a:ln w="25400">
              <a:noFill/>
            </a:ln>
          </c:spPr>
        </c:title>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0" vert="horz"/>
          <a:lstStyle/>
          <a:p>
            <a:pPr>
              <a:defRPr sz="900" b="0" i="0" u="none" strike="noStrike" baseline="0">
                <a:solidFill>
                  <a:srgbClr val="333333"/>
                </a:solidFill>
                <a:latin typeface="Calibri"/>
                <a:ea typeface="Calibri"/>
                <a:cs typeface="Calibri"/>
              </a:defRPr>
            </a:pPr>
            <a:endParaRPr lang="en-US"/>
          </a:p>
        </c:txPr>
        <c:crossAx val="1"/>
        <c:crosses val="autoZero"/>
        <c:auto val="1"/>
        <c:lblAlgn val="ctr"/>
        <c:lblOffset val="100"/>
        <c:noMultiLvlLbl val="0"/>
      </c:catAx>
      <c:valAx>
        <c:axId val="1"/>
        <c:scaling>
          <c:orientation val="minMax"/>
        </c:scaling>
        <c:delete val="0"/>
        <c:axPos val="l"/>
        <c:majorGridlines>
          <c:spPr>
            <a:ln w="9525" cap="flat" cmpd="sng" algn="ctr">
              <a:solidFill>
                <a:schemeClr val="tx1">
                  <a:lumMod val="15000"/>
                  <a:lumOff val="85000"/>
                </a:schemeClr>
              </a:solidFill>
              <a:round/>
            </a:ln>
            <a:effectLst/>
          </c:spPr>
        </c:majorGridlines>
        <c:title>
          <c:tx>
            <c:rich>
              <a:bodyPr/>
              <a:lstStyle/>
              <a:p>
                <a:pPr>
                  <a:defRPr sz="1000" b="0" i="0" u="none" strike="noStrike" baseline="0">
                    <a:solidFill>
                      <a:srgbClr val="333333"/>
                    </a:solidFill>
                    <a:latin typeface="Calibri"/>
                    <a:ea typeface="Calibri"/>
                    <a:cs typeface="Calibri"/>
                  </a:defRPr>
                </a:pPr>
                <a:r>
                  <a:rPr lang="en-ZA"/>
                  <a:t>R/kWh</a:t>
                </a:r>
              </a:p>
            </c:rich>
          </c:tx>
          <c:overlay val="0"/>
          <c:spPr>
            <a:noFill/>
            <a:ln w="25400">
              <a:noFill/>
            </a:ln>
          </c:spPr>
        </c:title>
        <c:numFmt formatCode="_(* #,##0.00_);_(* \(#,##0.00\);_(* &quot;-&quot;??_);_(@_)" sourceLinked="1"/>
        <c:majorTickMark val="none"/>
        <c:minorTickMark val="none"/>
        <c:tickLblPos val="nextTo"/>
        <c:spPr>
          <a:ln w="6350">
            <a:noFill/>
          </a:ln>
        </c:spPr>
        <c:txPr>
          <a:bodyPr rot="0" vert="horz"/>
          <a:lstStyle/>
          <a:p>
            <a:pPr>
              <a:defRPr sz="900" b="0" i="0" u="none" strike="noStrike" baseline="0">
                <a:solidFill>
                  <a:srgbClr val="333333"/>
                </a:solidFill>
                <a:latin typeface="Calibri"/>
                <a:ea typeface="Calibri"/>
                <a:cs typeface="Calibri"/>
              </a:defRPr>
            </a:pPr>
            <a:endParaRPr lang="en-US"/>
          </a:p>
        </c:txPr>
        <c:crossAx val="1364714991"/>
        <c:crosses val="autoZero"/>
        <c:crossBetween val="between"/>
      </c:valAx>
      <c:spPr>
        <a:noFill/>
        <a:ln w="25400">
          <a:noFill/>
        </a:ln>
      </c:spPr>
    </c:plotArea>
    <c:legend>
      <c:legendPos val="r"/>
      <c:layout>
        <c:manualLayout>
          <c:xMode val="edge"/>
          <c:yMode val="edge"/>
          <c:x val="0.13950287562017133"/>
          <c:y val="0.92826131183362848"/>
          <c:w val="0.71318852384831199"/>
          <c:h val="5.2633337100804978E-2"/>
        </c:manualLayout>
      </c:layout>
      <c:overlay val="0"/>
      <c:spPr>
        <a:noFill/>
        <a:ln w="25400">
          <a:noFill/>
        </a:ln>
      </c:spPr>
      <c:txPr>
        <a:bodyPr/>
        <a:lstStyle/>
        <a:p>
          <a:pPr>
            <a:defRPr sz="690" b="0" i="0" u="none" strike="noStrike" baseline="0">
              <a:solidFill>
                <a:srgbClr val="333333"/>
              </a:solidFill>
              <a:latin typeface="Calibri"/>
              <a:ea typeface="Calibri"/>
              <a:cs typeface="Calibri"/>
            </a:defRPr>
          </a:pPr>
          <a:endParaRPr lang="en-US"/>
        </a:p>
      </c:txPr>
    </c:legend>
    <c:plotVisOnly val="1"/>
    <c:dispBlanksAs val="gap"/>
    <c:showDLblsOverMax val="0"/>
  </c:chart>
  <c:spPr>
    <a:solidFill>
      <a:schemeClr val="bg1"/>
    </a:solidFill>
    <a:ln w="9525" cap="flat" cmpd="sng" algn="ctr">
      <a:noFill/>
      <a:round/>
    </a:ln>
    <a:effectLst/>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charts/chart17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2.3871527777777776E-2"/>
          <c:y val="4.7786414907172239E-2"/>
          <c:w val="0.57559123468941387"/>
          <c:h val="0.83529592857692603"/>
        </c:manualLayout>
      </c:layout>
      <c:barChart>
        <c:barDir val="col"/>
        <c:grouping val="stacked"/>
        <c:varyColors val="0"/>
        <c:ser>
          <c:idx val="0"/>
          <c:order val="0"/>
          <c:tx>
            <c:strRef>
              <c:f>'Electricity report'!$J$1020</c:f>
              <c:strCache>
                <c:ptCount val="1"/>
                <c:pt idx="0">
                  <c:v>Customer costs </c:v>
                </c:pt>
              </c:strCache>
            </c:strRef>
          </c:tx>
          <c:spPr>
            <a:solidFill>
              <a:srgbClr val="4472C4"/>
            </a:solidFill>
            <a:ln w="25400">
              <a:noFill/>
            </a:ln>
          </c:spPr>
          <c:invertIfNegative val="0"/>
          <c:dPt>
            <c:idx val="0"/>
            <c:invertIfNegative val="0"/>
            <c:bubble3D val="0"/>
            <c:spPr>
              <a:solidFill>
                <a:srgbClr val="5B9BD5"/>
              </a:solidFill>
              <a:ln w="25400">
                <a:noFill/>
              </a:ln>
            </c:spPr>
            <c:extLst>
              <c:ext xmlns:c16="http://schemas.microsoft.com/office/drawing/2014/chart" uri="{C3380CC4-5D6E-409C-BE32-E72D297353CC}">
                <c16:uniqueId val="{00000000-C432-4278-AF09-35FCBE1E6FD2}"/>
              </c:ext>
            </c:extLst>
          </c:dPt>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'Electricity report'!$K$1019:$L$1019</c:f>
              <c:strCache>
                <c:ptCount val="2"/>
                <c:pt idx="0">
                  <c:v>Expenditure R'000</c:v>
                </c:pt>
                <c:pt idx="1">
                  <c:v>Revenue R'000</c:v>
                </c:pt>
              </c:strCache>
            </c:strRef>
          </c:cat>
          <c:val>
            <c:numRef>
              <c:f>'Electricity report'!$K$1020:$L$1020</c:f>
              <c:numCache>
                <c:formatCode>General</c:formatCode>
                <c:ptCount val="2"/>
                <c:pt idx="0" formatCode="_-* #\ ##0_-;\-* #\ ##0_-;_-* &quot;-&quot;??_-;_-@_-">
                  <c:v>0</c:v>
                </c:pt>
              </c:numCache>
            </c:numRef>
          </c:val>
          <c:extLst>
            <c:ext xmlns:c16="http://schemas.microsoft.com/office/drawing/2014/chart" uri="{C3380CC4-5D6E-409C-BE32-E72D297353CC}">
              <c16:uniqueId val="{00000001-C432-4278-AF09-35FCBE1E6FD2}"/>
            </c:ext>
          </c:extLst>
        </c:ser>
        <c:ser>
          <c:idx val="1"/>
          <c:order val="1"/>
          <c:tx>
            <c:strRef>
              <c:f>'Electricity report'!$J$1021</c:f>
              <c:strCache>
                <c:ptCount val="1"/>
                <c:pt idx="0">
                  <c:v>Energy costs</c:v>
                </c:pt>
              </c:strCache>
            </c:strRef>
          </c:tx>
          <c:spPr>
            <a:solidFill>
              <a:schemeClr val="accent5">
                <a:lumMod val="60000"/>
                <a:lumOff val="40000"/>
              </a:schemeClr>
            </a:solidFill>
            <a:ln>
              <a:noFill/>
            </a:ln>
            <a:effectLst/>
          </c:spPr>
          <c:invertIfNegative val="0"/>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'Electricity report'!$K$1019:$L$1019</c:f>
              <c:strCache>
                <c:ptCount val="2"/>
                <c:pt idx="0">
                  <c:v>Expenditure R'000</c:v>
                </c:pt>
                <c:pt idx="1">
                  <c:v>Revenue R'000</c:v>
                </c:pt>
              </c:strCache>
            </c:strRef>
          </c:cat>
          <c:val>
            <c:numRef>
              <c:f>'Electricity report'!$K$1021:$L$1021</c:f>
              <c:numCache>
                <c:formatCode>General</c:formatCode>
                <c:ptCount val="2"/>
                <c:pt idx="0" formatCode="_-* #\ ##0_-;\-* #\ ##0_-;_-* &quot;-&quot;??_-;_-@_-">
                  <c:v>0</c:v>
                </c:pt>
              </c:numCache>
            </c:numRef>
          </c:val>
          <c:extLst>
            <c:ext xmlns:c16="http://schemas.microsoft.com/office/drawing/2014/chart" uri="{C3380CC4-5D6E-409C-BE32-E72D297353CC}">
              <c16:uniqueId val="{00000002-C432-4278-AF09-35FCBE1E6FD2}"/>
            </c:ext>
          </c:extLst>
        </c:ser>
        <c:ser>
          <c:idx val="2"/>
          <c:order val="2"/>
          <c:tx>
            <c:strRef>
              <c:f>'Electricity report'!$J$1022</c:f>
              <c:strCache>
                <c:ptCount val="1"/>
                <c:pt idx="0">
                  <c:v>Demand cost</c:v>
                </c:pt>
              </c:strCache>
            </c:strRef>
          </c:tx>
          <c:spPr>
            <a:solidFill>
              <a:srgbClr val="A5A5A5"/>
            </a:solidFill>
            <a:ln w="25400">
              <a:noFill/>
            </a:ln>
          </c:spPr>
          <c:invertIfNegative val="0"/>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'Electricity report'!$K$1019:$L$1019</c:f>
              <c:strCache>
                <c:ptCount val="2"/>
                <c:pt idx="0">
                  <c:v>Expenditure R'000</c:v>
                </c:pt>
                <c:pt idx="1">
                  <c:v>Revenue R'000</c:v>
                </c:pt>
              </c:strCache>
            </c:strRef>
          </c:cat>
          <c:val>
            <c:numRef>
              <c:f>'Electricity report'!$K$1022:$L$1022</c:f>
              <c:numCache>
                <c:formatCode>General</c:formatCode>
                <c:ptCount val="2"/>
                <c:pt idx="0" formatCode="_-* #\ ##0_-;\-* #\ ##0_-;_-* &quot;-&quot;??_-;_-@_-">
                  <c:v>0</c:v>
                </c:pt>
              </c:numCache>
            </c:numRef>
          </c:val>
          <c:extLst>
            <c:ext xmlns:c16="http://schemas.microsoft.com/office/drawing/2014/chart" uri="{C3380CC4-5D6E-409C-BE32-E72D297353CC}">
              <c16:uniqueId val="{00000003-C432-4278-AF09-35FCBE1E6FD2}"/>
            </c:ext>
          </c:extLst>
        </c:ser>
        <c:ser>
          <c:idx val="4"/>
          <c:order val="3"/>
          <c:tx>
            <c:strRef>
              <c:f>'Electricity report'!$J$1023</c:f>
              <c:strCache>
                <c:ptCount val="1"/>
                <c:pt idx="0">
                  <c:v>Surplus</c:v>
                </c:pt>
              </c:strCache>
            </c:strRef>
          </c:tx>
          <c:spPr>
            <a:solidFill>
              <a:srgbClr val="5B9BD5"/>
            </a:solidFill>
            <a:ln w="25400">
              <a:noFill/>
            </a:ln>
          </c:spPr>
          <c:invertIfNegative val="0"/>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'Electricity report'!$K$1019:$L$1019</c:f>
              <c:strCache>
                <c:ptCount val="2"/>
                <c:pt idx="0">
                  <c:v>Expenditure R'000</c:v>
                </c:pt>
                <c:pt idx="1">
                  <c:v>Revenue R'000</c:v>
                </c:pt>
              </c:strCache>
            </c:strRef>
          </c:cat>
          <c:val>
            <c:numRef>
              <c:f>'Electricity report'!$K$1023:$L$1023</c:f>
              <c:numCache>
                <c:formatCode>General</c:formatCode>
                <c:ptCount val="2"/>
                <c:pt idx="0" formatCode="_-* #\ ##0_-;\-* #\ ##0_-;_-* &quot;-&quot;??_-;_-@_-">
                  <c:v>0</c:v>
                </c:pt>
              </c:numCache>
            </c:numRef>
          </c:val>
          <c:extLst>
            <c:ext xmlns:c16="http://schemas.microsoft.com/office/drawing/2014/chart" uri="{C3380CC4-5D6E-409C-BE32-E72D297353CC}">
              <c16:uniqueId val="{00000004-C432-4278-AF09-35FCBE1E6FD2}"/>
            </c:ext>
          </c:extLst>
        </c:ser>
        <c:ser>
          <c:idx val="5"/>
          <c:order val="4"/>
          <c:tx>
            <c:strRef>
              <c:f>'Electricity report'!$J$1024</c:f>
              <c:strCache>
                <c:ptCount val="1"/>
                <c:pt idx="0">
                  <c:v>Tariff revenue</c:v>
                </c:pt>
              </c:strCache>
            </c:strRef>
          </c:tx>
          <c:spPr>
            <a:solidFill>
              <a:srgbClr val="A5A5A5"/>
            </a:solidFill>
            <a:ln w="25400">
              <a:noFill/>
            </a:ln>
          </c:spPr>
          <c:invertIfNegative val="0"/>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'Electricity report'!$K$1019:$L$1019</c:f>
              <c:strCache>
                <c:ptCount val="2"/>
                <c:pt idx="0">
                  <c:v>Expenditure R'000</c:v>
                </c:pt>
                <c:pt idx="1">
                  <c:v>Revenue R'000</c:v>
                </c:pt>
              </c:strCache>
            </c:strRef>
          </c:cat>
          <c:val>
            <c:numRef>
              <c:f>'Electricity report'!$K$1024:$L$1024</c:f>
              <c:numCache>
                <c:formatCode>_-* #\ ##0_-;\-* #\ ##0_-;_-* "-"??_-;_-@_-</c:formatCode>
                <c:ptCount val="2"/>
                <c:pt idx="1">
                  <c:v>0</c:v>
                </c:pt>
              </c:numCache>
            </c:numRef>
          </c:val>
          <c:extLst>
            <c:ext xmlns:c16="http://schemas.microsoft.com/office/drawing/2014/chart" uri="{C3380CC4-5D6E-409C-BE32-E72D297353CC}">
              <c16:uniqueId val="{00000005-C432-4278-AF09-35FCBE1E6FD2}"/>
            </c:ext>
          </c:extLst>
        </c:ser>
        <c:ser>
          <c:idx val="3"/>
          <c:order val="5"/>
          <c:tx>
            <c:strRef>
              <c:f>'Electricity report'!$J$1025</c:f>
              <c:strCache>
                <c:ptCount val="1"/>
                <c:pt idx="0">
                  <c:v>External grants &amp; subsidies</c:v>
                </c:pt>
              </c:strCache>
            </c:strRef>
          </c:tx>
          <c:spPr>
            <a:solidFill>
              <a:schemeClr val="accent3">
                <a:lumMod val="40000"/>
                <a:lumOff val="60000"/>
              </a:schemeClr>
            </a:solidFill>
            <a:ln>
              <a:noFill/>
            </a:ln>
            <a:effectLst/>
          </c:spPr>
          <c:invertIfNegative val="0"/>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'Electricity report'!$K$1019:$L$1019</c:f>
              <c:strCache>
                <c:ptCount val="2"/>
                <c:pt idx="0">
                  <c:v>Expenditure R'000</c:v>
                </c:pt>
                <c:pt idx="1">
                  <c:v>Revenue R'000</c:v>
                </c:pt>
              </c:strCache>
            </c:strRef>
          </c:cat>
          <c:val>
            <c:numRef>
              <c:f>'Electricity report'!$K$1025:$L$1025</c:f>
              <c:numCache>
                <c:formatCode>_-* #\ ##0_-;\-* #\ ##0_-;_-* "-"??_-;_-@_-</c:formatCode>
                <c:ptCount val="2"/>
                <c:pt idx="1">
                  <c:v>0</c:v>
                </c:pt>
              </c:numCache>
            </c:numRef>
          </c:val>
          <c:extLst>
            <c:ext xmlns:c16="http://schemas.microsoft.com/office/drawing/2014/chart" uri="{C3380CC4-5D6E-409C-BE32-E72D297353CC}">
              <c16:uniqueId val="{00000006-C432-4278-AF09-35FCBE1E6FD2}"/>
            </c:ext>
          </c:extLst>
        </c:ser>
        <c:ser>
          <c:idx val="6"/>
          <c:order val="6"/>
          <c:tx>
            <c:strRef>
              <c:f>'Electricity report'!$J$1026</c:f>
              <c:strCache>
                <c:ptCount val="1"/>
                <c:pt idx="0">
                  <c:v>Other non-tariff revenue</c:v>
                </c:pt>
              </c:strCache>
            </c:strRef>
          </c:tx>
          <c:spPr>
            <a:solidFill>
              <a:srgbClr val="ED7D31"/>
            </a:solidFill>
            <a:ln w="25400">
              <a:noFill/>
            </a:ln>
          </c:spPr>
          <c:invertIfNegative val="0"/>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'Electricity report'!$K$1019:$L$1019</c:f>
              <c:strCache>
                <c:ptCount val="2"/>
                <c:pt idx="0">
                  <c:v>Expenditure R'000</c:v>
                </c:pt>
                <c:pt idx="1">
                  <c:v>Revenue R'000</c:v>
                </c:pt>
              </c:strCache>
            </c:strRef>
          </c:cat>
          <c:val>
            <c:numRef>
              <c:f>'Electricity report'!$K$1026:$L$1026</c:f>
              <c:numCache>
                <c:formatCode>_-* #\ ##0_-;\-* #\ ##0_-;_-* "-"??_-;_-@_-</c:formatCode>
                <c:ptCount val="2"/>
                <c:pt idx="1">
                  <c:v>0</c:v>
                </c:pt>
              </c:numCache>
            </c:numRef>
          </c:val>
          <c:extLst>
            <c:ext xmlns:c16="http://schemas.microsoft.com/office/drawing/2014/chart" uri="{C3380CC4-5D6E-409C-BE32-E72D297353CC}">
              <c16:uniqueId val="{00000007-C432-4278-AF09-35FCBE1E6FD2}"/>
            </c:ext>
          </c:extLst>
        </c:ser>
        <c:ser>
          <c:idx val="7"/>
          <c:order val="7"/>
          <c:tx>
            <c:strRef>
              <c:f>'Electricity report'!$J$1027</c:f>
              <c:strCache>
                <c:ptCount val="1"/>
                <c:pt idx="0">
                  <c:v>Deficit</c:v>
                </c:pt>
              </c:strCache>
            </c:strRef>
          </c:tx>
          <c:spPr>
            <a:solidFill>
              <a:srgbClr val="4472C4"/>
            </a:solidFill>
            <a:ln w="25400">
              <a:noFill/>
            </a:ln>
          </c:spPr>
          <c:invertIfNegative val="0"/>
          <c:dPt>
            <c:idx val="0"/>
            <c:invertIfNegative val="0"/>
            <c:bubble3D val="0"/>
            <c:spPr>
              <a:solidFill>
                <a:srgbClr val="5B9BD5"/>
              </a:solidFill>
              <a:ln w="25400">
                <a:noFill/>
              </a:ln>
            </c:spPr>
            <c:extLst>
              <c:ext xmlns:c16="http://schemas.microsoft.com/office/drawing/2014/chart" uri="{C3380CC4-5D6E-409C-BE32-E72D297353CC}">
                <c16:uniqueId val="{00000008-C432-4278-AF09-35FCBE1E6FD2}"/>
              </c:ext>
            </c:extLst>
          </c:dPt>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'Electricity report'!$K$1019:$L$1019</c:f>
              <c:strCache>
                <c:ptCount val="2"/>
                <c:pt idx="0">
                  <c:v>Expenditure R'000</c:v>
                </c:pt>
                <c:pt idx="1">
                  <c:v>Revenue R'000</c:v>
                </c:pt>
              </c:strCache>
            </c:strRef>
          </c:cat>
          <c:val>
            <c:numRef>
              <c:f>'Electricity report'!$K$1027:$L$1027</c:f>
              <c:numCache>
                <c:formatCode>_-* #\ ##0_-;\-* #\ ##0_-;_-* "-"??_-;_-@_-</c:formatCode>
                <c:ptCount val="2"/>
                <c:pt idx="1">
                  <c:v>0</c:v>
                </c:pt>
              </c:numCache>
            </c:numRef>
          </c:val>
          <c:extLst>
            <c:ext xmlns:c16="http://schemas.microsoft.com/office/drawing/2014/chart" uri="{C3380CC4-5D6E-409C-BE32-E72D297353CC}">
              <c16:uniqueId val="{00000009-C432-4278-AF09-35FCBE1E6FD2}"/>
            </c:ext>
          </c:extLst>
        </c:ser>
        <c:dLbls>
          <c:showLegendKey val="0"/>
          <c:showVal val="0"/>
          <c:showCatName val="0"/>
          <c:showSerName val="0"/>
          <c:showPercent val="0"/>
          <c:showBubbleSize val="0"/>
        </c:dLbls>
        <c:gapWidth val="25"/>
        <c:overlap val="100"/>
        <c:axId val="1364715951"/>
        <c:axId val="1"/>
      </c:barChart>
      <c:catAx>
        <c:axId val="1364715951"/>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0" vert="horz"/>
          <a:lstStyle/>
          <a:p>
            <a:pPr>
              <a:defRPr sz="1100" b="0" i="0" u="none" strike="noStrike" baseline="0">
                <a:solidFill>
                  <a:srgbClr val="000000"/>
                </a:solidFill>
                <a:latin typeface="Calibri"/>
                <a:ea typeface="Calibri"/>
                <a:cs typeface="Calibri"/>
              </a:defRPr>
            </a:pPr>
            <a:endParaRPr lang="en-US"/>
          </a:p>
        </c:txPr>
        <c:crossAx val="1"/>
        <c:crosses val="autoZero"/>
        <c:auto val="1"/>
        <c:lblAlgn val="ctr"/>
        <c:lblOffset val="100"/>
        <c:noMultiLvlLbl val="0"/>
      </c:catAx>
      <c:valAx>
        <c:axId val="1"/>
        <c:scaling>
          <c:orientation val="minMax"/>
        </c:scaling>
        <c:delete val="1"/>
        <c:axPos val="l"/>
        <c:majorGridlines>
          <c:spPr>
            <a:ln w="9525" cap="flat" cmpd="sng" algn="ctr">
              <a:solidFill>
                <a:schemeClr val="tx1">
                  <a:lumMod val="15000"/>
                  <a:lumOff val="85000"/>
                </a:schemeClr>
              </a:solidFill>
              <a:round/>
            </a:ln>
            <a:effectLst/>
          </c:spPr>
        </c:majorGridlines>
        <c:numFmt formatCode="_-* #\ ##0_-;\-* #\ ##0_-;_-* &quot;-&quot;??_-;_-@_-" sourceLinked="1"/>
        <c:majorTickMark val="out"/>
        <c:minorTickMark val="none"/>
        <c:tickLblPos val="nextTo"/>
        <c:crossAx val="1364715951"/>
        <c:crosses val="autoZero"/>
        <c:crossBetween val="between"/>
      </c:valAx>
    </c:plotArea>
    <c:legend>
      <c:legendPos val="r"/>
      <c:layout>
        <c:manualLayout>
          <c:xMode val="edge"/>
          <c:yMode val="edge"/>
          <c:x val="0.63225725892244689"/>
          <c:y val="0.1812752257931505"/>
          <c:w val="0.34899346501875061"/>
          <c:h val="0.70697306341239063"/>
        </c:manualLayout>
      </c:layout>
      <c:overlay val="0"/>
      <c:spPr>
        <a:noFill/>
        <a:ln w="25400">
          <a:noFill/>
        </a:ln>
      </c:spPr>
      <c:txPr>
        <a:bodyPr/>
        <a:lstStyle/>
        <a:p>
          <a:pPr>
            <a:defRPr sz="850" b="0" i="0" u="none" strike="noStrike" baseline="0">
              <a:solidFill>
                <a:srgbClr val="000000"/>
              </a:solidFill>
              <a:latin typeface="Calibri"/>
              <a:ea typeface="Calibri"/>
              <a:cs typeface="Calibri"/>
            </a:defRPr>
          </a:pPr>
          <a:endParaRPr lang="en-US"/>
        </a:p>
      </c:txPr>
    </c:legend>
    <c:plotVisOnly val="1"/>
    <c:dispBlanksAs val="gap"/>
    <c:showDLblsOverMax val="0"/>
  </c:chart>
  <c:spPr>
    <a:solidFill>
      <a:schemeClr val="bg1"/>
    </a:solidFill>
    <a:ln w="9525" cap="flat" cmpd="sng" algn="ctr">
      <a:noFill/>
      <a:round/>
    </a:ln>
    <a:effectLst/>
  </c:spPr>
  <c:txPr>
    <a:bodyPr/>
    <a:lstStyle/>
    <a:p>
      <a:pPr>
        <a:defRPr sz="11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charts/chart17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ser>
          <c:idx val="0"/>
          <c:order val="0"/>
          <c:tx>
            <c:strRef>
              <c:f>'Electricity report'!$L$1043</c:f>
              <c:strCache>
                <c:ptCount val="1"/>
                <c:pt idx="0">
                  <c:v>Annual Tariff</c:v>
                </c:pt>
              </c:strCache>
            </c:strRef>
          </c:tx>
          <c:spPr>
            <a:solidFill>
              <a:srgbClr val="4472C4"/>
            </a:solidFill>
            <a:ln w="25400">
              <a:noFill/>
            </a:ln>
          </c:spPr>
          <c:invertIfNegative val="0"/>
          <c:dLbls>
            <c:spPr>
              <a:noFill/>
              <a:ln w="25400">
                <a:noFill/>
              </a:ln>
            </c:spPr>
            <c:txPr>
              <a:bodyPr wrap="square" lIns="38100" tIns="19050" rIns="38100" bIns="19050" anchor="ctr">
                <a:spAutoFit/>
              </a:bodyPr>
              <a:lstStyle/>
              <a:p>
                <a:pPr>
                  <a:defRPr sz="900" b="0" i="0" u="none" strike="noStrike" baseline="0">
                    <a:solidFill>
                      <a:srgbClr val="333333"/>
                    </a:solidFill>
                    <a:latin typeface="Calibri"/>
                    <a:ea typeface="Calibri"/>
                    <a:cs typeface="Calibri"/>
                  </a:defRPr>
                </a:pPr>
                <a:endParaRPr lang="en-US"/>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'Electricity report'!$K$1044:$K$1048</c:f>
              <c:strCache>
                <c:ptCount val="5"/>
                <c:pt idx="0">
                  <c:v>0</c:v>
                </c:pt>
                <c:pt idx="1">
                  <c:v>0</c:v>
                </c:pt>
                <c:pt idx="2">
                  <c:v>0</c:v>
                </c:pt>
                <c:pt idx="3">
                  <c:v>0</c:v>
                </c:pt>
                <c:pt idx="4">
                  <c:v>More</c:v>
                </c:pt>
              </c:strCache>
            </c:strRef>
          </c:cat>
          <c:val>
            <c:numRef>
              <c:f>'Electricity report'!$L$1044:$L$1048</c:f>
              <c:numCache>
                <c:formatCode>_(* #,##0.00_);_(* \(#,##0.00\);_(* "-"??_);_(@_)</c:formatCode>
                <c:ptCount val="5"/>
                <c:pt idx="0">
                  <c:v>0</c:v>
                </c:pt>
                <c:pt idx="1">
                  <c:v>0</c:v>
                </c:pt>
                <c:pt idx="2">
                  <c:v>0</c:v>
                </c:pt>
                <c:pt idx="3">
                  <c:v>0</c:v>
                </c:pt>
                <c:pt idx="4">
                  <c:v>0</c:v>
                </c:pt>
              </c:numCache>
            </c:numRef>
          </c:val>
          <c:extLst>
            <c:ext xmlns:c16="http://schemas.microsoft.com/office/drawing/2014/chart" uri="{C3380CC4-5D6E-409C-BE32-E72D297353CC}">
              <c16:uniqueId val="{00000000-9B44-417F-90DD-2D9A526C9D99}"/>
            </c:ext>
          </c:extLst>
        </c:ser>
        <c:ser>
          <c:idx val="1"/>
          <c:order val="1"/>
          <c:tx>
            <c:strRef>
              <c:f>'Electricity report'!$M$1043</c:f>
              <c:strCache>
                <c:ptCount val="1"/>
              </c:strCache>
            </c:strRef>
          </c:tx>
          <c:spPr>
            <a:solidFill>
              <a:srgbClr val="ED7D31"/>
            </a:solidFill>
            <a:ln w="25400">
              <a:noFill/>
            </a:ln>
          </c:spPr>
          <c:invertIfNegative val="0"/>
          <c:dLbls>
            <c:spPr>
              <a:noFill/>
              <a:ln w="25400">
                <a:noFill/>
              </a:ln>
            </c:spPr>
            <c:txPr>
              <a:bodyPr wrap="square" lIns="38100" tIns="19050" rIns="38100" bIns="19050" anchor="ctr">
                <a:spAutoFit/>
              </a:bodyPr>
              <a:lstStyle/>
              <a:p>
                <a:pPr>
                  <a:defRPr sz="900" b="0" i="0" u="none" strike="noStrike" baseline="0">
                    <a:solidFill>
                      <a:srgbClr val="333333"/>
                    </a:solidFill>
                    <a:latin typeface="Calibri"/>
                    <a:ea typeface="Calibri"/>
                    <a:cs typeface="Calibri"/>
                  </a:defRPr>
                </a:pPr>
                <a:endParaRPr lang="en-US"/>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'Electricity report'!$K$1044:$K$1048</c:f>
              <c:strCache>
                <c:ptCount val="5"/>
                <c:pt idx="0">
                  <c:v>0</c:v>
                </c:pt>
                <c:pt idx="1">
                  <c:v>0</c:v>
                </c:pt>
                <c:pt idx="2">
                  <c:v>0</c:v>
                </c:pt>
                <c:pt idx="3">
                  <c:v>0</c:v>
                </c:pt>
                <c:pt idx="4">
                  <c:v>More</c:v>
                </c:pt>
              </c:strCache>
            </c:strRef>
          </c:cat>
          <c:val>
            <c:numRef>
              <c:f>'Electricity report'!$M$1044:$M$1048</c:f>
              <c:numCache>
                <c:formatCode>_(* #,##0.00_);_(* \(#,##0.00\);_(* "-"??_);_(@_)</c:formatCode>
                <c:ptCount val="5"/>
                <c:pt idx="0">
                  <c:v>0</c:v>
                </c:pt>
                <c:pt idx="1">
                  <c:v>0</c:v>
                </c:pt>
                <c:pt idx="2">
                  <c:v>0</c:v>
                </c:pt>
                <c:pt idx="3">
                  <c:v>0</c:v>
                </c:pt>
                <c:pt idx="4">
                  <c:v>0</c:v>
                </c:pt>
              </c:numCache>
            </c:numRef>
          </c:val>
          <c:extLst>
            <c:ext xmlns:c16="http://schemas.microsoft.com/office/drawing/2014/chart" uri="{C3380CC4-5D6E-409C-BE32-E72D297353CC}">
              <c16:uniqueId val="{00000001-9B44-417F-90DD-2D9A526C9D99}"/>
            </c:ext>
          </c:extLst>
        </c:ser>
        <c:dLbls>
          <c:showLegendKey val="0"/>
          <c:showVal val="0"/>
          <c:showCatName val="0"/>
          <c:showSerName val="0"/>
          <c:showPercent val="0"/>
          <c:showBubbleSize val="0"/>
        </c:dLbls>
        <c:gapWidth val="50"/>
        <c:axId val="1364700591"/>
        <c:axId val="1"/>
      </c:barChart>
      <c:lineChart>
        <c:grouping val="standard"/>
        <c:varyColors val="0"/>
        <c:ser>
          <c:idx val="2"/>
          <c:order val="2"/>
          <c:tx>
            <c:strRef>
              <c:f>'Electricity report'!$N$1043</c:f>
              <c:strCache>
                <c:ptCount val="1"/>
                <c:pt idx="0">
                  <c:v>Total cost per kl </c:v>
                </c:pt>
              </c:strCache>
            </c:strRef>
          </c:tx>
          <c:spPr>
            <a:ln w="28575" cap="rnd">
              <a:solidFill>
                <a:schemeClr val="accent3"/>
              </a:solidFill>
              <a:round/>
            </a:ln>
            <a:effectLst/>
          </c:spPr>
          <c:marker>
            <c:symbol val="none"/>
          </c:marker>
          <c:cat>
            <c:strRef>
              <c:f>'Electricity report'!$K$1044:$K$1048</c:f>
              <c:strCache>
                <c:ptCount val="5"/>
                <c:pt idx="0">
                  <c:v>0</c:v>
                </c:pt>
                <c:pt idx="1">
                  <c:v>0</c:v>
                </c:pt>
                <c:pt idx="2">
                  <c:v>0</c:v>
                </c:pt>
                <c:pt idx="3">
                  <c:v>0</c:v>
                </c:pt>
                <c:pt idx="4">
                  <c:v>More</c:v>
                </c:pt>
              </c:strCache>
            </c:strRef>
          </c:cat>
          <c:val>
            <c:numRef>
              <c:f>'Electricity report'!$N$1044:$N$1048</c:f>
              <c:numCache>
                <c:formatCode>_(* #,##0.00_);_(* \(#,##0.00\);_(* "-"??_);_(@_)</c:formatCode>
                <c:ptCount val="5"/>
                <c:pt idx="0">
                  <c:v>0</c:v>
                </c:pt>
                <c:pt idx="1">
                  <c:v>0</c:v>
                </c:pt>
                <c:pt idx="2">
                  <c:v>0</c:v>
                </c:pt>
                <c:pt idx="3">
                  <c:v>0</c:v>
                </c:pt>
                <c:pt idx="4">
                  <c:v>0</c:v>
                </c:pt>
              </c:numCache>
            </c:numRef>
          </c:val>
          <c:smooth val="0"/>
          <c:extLst>
            <c:ext xmlns:c16="http://schemas.microsoft.com/office/drawing/2014/chart" uri="{C3380CC4-5D6E-409C-BE32-E72D297353CC}">
              <c16:uniqueId val="{00000002-9B44-417F-90DD-2D9A526C9D99}"/>
            </c:ext>
          </c:extLst>
        </c:ser>
        <c:ser>
          <c:idx val="3"/>
          <c:order val="3"/>
          <c:tx>
            <c:strRef>
              <c:f>'Electricity report'!$O$1043</c:f>
              <c:strCache>
                <c:ptCount val="1"/>
                <c:pt idx="0">
                  <c:v>Variable cost per kWh</c:v>
                </c:pt>
              </c:strCache>
            </c:strRef>
          </c:tx>
          <c:spPr>
            <a:ln w="28575" cap="rnd">
              <a:solidFill>
                <a:schemeClr val="accent4"/>
              </a:solidFill>
              <a:round/>
            </a:ln>
            <a:effectLst/>
          </c:spPr>
          <c:marker>
            <c:symbol val="none"/>
          </c:marker>
          <c:cat>
            <c:strRef>
              <c:f>'Electricity report'!$K$1044:$K$1048</c:f>
              <c:strCache>
                <c:ptCount val="5"/>
                <c:pt idx="0">
                  <c:v>0</c:v>
                </c:pt>
                <c:pt idx="1">
                  <c:v>0</c:v>
                </c:pt>
                <c:pt idx="2">
                  <c:v>0</c:v>
                </c:pt>
                <c:pt idx="3">
                  <c:v>0</c:v>
                </c:pt>
                <c:pt idx="4">
                  <c:v>More</c:v>
                </c:pt>
              </c:strCache>
            </c:strRef>
          </c:cat>
          <c:val>
            <c:numRef>
              <c:f>'Electricity report'!$O$1044:$O$1048</c:f>
              <c:numCache>
                <c:formatCode>_(* #,##0.00_);_(* \(#,##0.00\);_(* "-"??_);_(@_)</c:formatCode>
                <c:ptCount val="5"/>
                <c:pt idx="0">
                  <c:v>0</c:v>
                </c:pt>
                <c:pt idx="1">
                  <c:v>0</c:v>
                </c:pt>
                <c:pt idx="2">
                  <c:v>0</c:v>
                </c:pt>
                <c:pt idx="3">
                  <c:v>0</c:v>
                </c:pt>
                <c:pt idx="4">
                  <c:v>0</c:v>
                </c:pt>
              </c:numCache>
            </c:numRef>
          </c:val>
          <c:smooth val="0"/>
          <c:extLst>
            <c:ext xmlns:c16="http://schemas.microsoft.com/office/drawing/2014/chart" uri="{C3380CC4-5D6E-409C-BE32-E72D297353CC}">
              <c16:uniqueId val="{00000003-9B44-417F-90DD-2D9A526C9D99}"/>
            </c:ext>
          </c:extLst>
        </c:ser>
        <c:dLbls>
          <c:showLegendKey val="0"/>
          <c:showVal val="0"/>
          <c:showCatName val="0"/>
          <c:showSerName val="0"/>
          <c:showPercent val="0"/>
          <c:showBubbleSize val="0"/>
        </c:dLbls>
        <c:marker val="1"/>
        <c:smooth val="0"/>
        <c:axId val="1364700591"/>
        <c:axId val="1"/>
      </c:lineChart>
      <c:catAx>
        <c:axId val="1364700591"/>
        <c:scaling>
          <c:orientation val="minMax"/>
        </c:scaling>
        <c:delete val="0"/>
        <c:axPos val="b"/>
        <c:title>
          <c:tx>
            <c:rich>
              <a:bodyPr/>
              <a:lstStyle/>
              <a:p>
                <a:pPr>
                  <a:defRPr sz="1000" b="0" i="0" u="none" strike="noStrike" baseline="0">
                    <a:solidFill>
                      <a:srgbClr val="333333"/>
                    </a:solidFill>
                    <a:latin typeface="Calibri"/>
                    <a:ea typeface="Calibri"/>
                    <a:cs typeface="Calibri"/>
                  </a:defRPr>
                </a:pPr>
                <a:r>
                  <a:rPr lang="en-ZA"/>
                  <a:t>Block size</a:t>
                </a:r>
              </a:p>
            </c:rich>
          </c:tx>
          <c:overlay val="0"/>
          <c:spPr>
            <a:noFill/>
            <a:ln w="25400">
              <a:noFill/>
            </a:ln>
          </c:spPr>
        </c:title>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0" vert="horz"/>
          <a:lstStyle/>
          <a:p>
            <a:pPr>
              <a:defRPr sz="900" b="0" i="0" u="none" strike="noStrike" baseline="0">
                <a:solidFill>
                  <a:srgbClr val="333333"/>
                </a:solidFill>
                <a:latin typeface="Calibri"/>
                <a:ea typeface="Calibri"/>
                <a:cs typeface="Calibri"/>
              </a:defRPr>
            </a:pPr>
            <a:endParaRPr lang="en-US"/>
          </a:p>
        </c:txPr>
        <c:crossAx val="1"/>
        <c:crosses val="autoZero"/>
        <c:auto val="1"/>
        <c:lblAlgn val="ctr"/>
        <c:lblOffset val="100"/>
        <c:noMultiLvlLbl val="0"/>
      </c:catAx>
      <c:valAx>
        <c:axId val="1"/>
        <c:scaling>
          <c:orientation val="minMax"/>
        </c:scaling>
        <c:delete val="0"/>
        <c:axPos val="l"/>
        <c:majorGridlines>
          <c:spPr>
            <a:ln w="9525" cap="flat" cmpd="sng" algn="ctr">
              <a:solidFill>
                <a:schemeClr val="tx1">
                  <a:lumMod val="15000"/>
                  <a:lumOff val="85000"/>
                </a:schemeClr>
              </a:solidFill>
              <a:round/>
            </a:ln>
            <a:effectLst/>
          </c:spPr>
        </c:majorGridlines>
        <c:title>
          <c:tx>
            <c:rich>
              <a:bodyPr/>
              <a:lstStyle/>
              <a:p>
                <a:pPr>
                  <a:defRPr sz="1000" b="0" i="0" u="none" strike="noStrike" baseline="0">
                    <a:solidFill>
                      <a:srgbClr val="333333"/>
                    </a:solidFill>
                    <a:latin typeface="Calibri"/>
                    <a:ea typeface="Calibri"/>
                    <a:cs typeface="Calibri"/>
                  </a:defRPr>
                </a:pPr>
                <a:r>
                  <a:rPr lang="en-ZA"/>
                  <a:t>R/kWh</a:t>
                </a:r>
              </a:p>
            </c:rich>
          </c:tx>
          <c:overlay val="0"/>
          <c:spPr>
            <a:noFill/>
            <a:ln w="25400">
              <a:noFill/>
            </a:ln>
          </c:spPr>
        </c:title>
        <c:numFmt formatCode="_(* #,##0.00_);_(* \(#,##0.00\);_(* &quot;-&quot;??_);_(@_)" sourceLinked="1"/>
        <c:majorTickMark val="none"/>
        <c:minorTickMark val="none"/>
        <c:tickLblPos val="nextTo"/>
        <c:spPr>
          <a:ln w="6350">
            <a:noFill/>
          </a:ln>
        </c:spPr>
        <c:txPr>
          <a:bodyPr rot="0" vert="horz"/>
          <a:lstStyle/>
          <a:p>
            <a:pPr>
              <a:defRPr sz="900" b="0" i="0" u="none" strike="noStrike" baseline="0">
                <a:solidFill>
                  <a:srgbClr val="333333"/>
                </a:solidFill>
                <a:latin typeface="Calibri"/>
                <a:ea typeface="Calibri"/>
                <a:cs typeface="Calibri"/>
              </a:defRPr>
            </a:pPr>
            <a:endParaRPr lang="en-US"/>
          </a:p>
        </c:txPr>
        <c:crossAx val="1364700591"/>
        <c:crosses val="autoZero"/>
        <c:crossBetween val="between"/>
      </c:valAx>
      <c:spPr>
        <a:noFill/>
        <a:ln w="25400">
          <a:noFill/>
        </a:ln>
      </c:spPr>
    </c:plotArea>
    <c:legend>
      <c:legendPos val="r"/>
      <c:layout>
        <c:manualLayout>
          <c:xMode val="edge"/>
          <c:yMode val="edge"/>
          <c:x val="0.13950287562017133"/>
          <c:y val="0.92826131183362848"/>
          <c:w val="0.71318852384831199"/>
          <c:h val="5.2633337100804978E-2"/>
        </c:manualLayout>
      </c:layout>
      <c:overlay val="0"/>
      <c:spPr>
        <a:noFill/>
        <a:ln w="25400">
          <a:noFill/>
        </a:ln>
      </c:spPr>
      <c:txPr>
        <a:bodyPr/>
        <a:lstStyle/>
        <a:p>
          <a:pPr>
            <a:defRPr sz="690" b="0" i="0" u="none" strike="noStrike" baseline="0">
              <a:solidFill>
                <a:srgbClr val="333333"/>
              </a:solidFill>
              <a:latin typeface="Calibri"/>
              <a:ea typeface="Calibri"/>
              <a:cs typeface="Calibri"/>
            </a:defRPr>
          </a:pPr>
          <a:endParaRPr lang="en-US"/>
        </a:p>
      </c:txPr>
    </c:legend>
    <c:plotVisOnly val="1"/>
    <c:dispBlanksAs val="gap"/>
    <c:showDLblsOverMax val="0"/>
  </c:chart>
  <c:spPr>
    <a:solidFill>
      <a:schemeClr val="bg1"/>
    </a:solidFill>
    <a:ln w="9525" cap="flat" cmpd="sng" algn="ctr">
      <a:noFill/>
      <a:round/>
    </a:ln>
    <a:effectLst/>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charts/chart17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2.3871527777777776E-2"/>
          <c:y val="4.7786414907172239E-2"/>
          <c:w val="0.57559123468941387"/>
          <c:h val="0.83529592857692603"/>
        </c:manualLayout>
      </c:layout>
      <c:barChart>
        <c:barDir val="col"/>
        <c:grouping val="stacked"/>
        <c:varyColors val="0"/>
        <c:ser>
          <c:idx val="0"/>
          <c:order val="0"/>
          <c:tx>
            <c:strRef>
              <c:f>'Electricity report'!$J$1090</c:f>
              <c:strCache>
                <c:ptCount val="1"/>
                <c:pt idx="0">
                  <c:v>Customer costs </c:v>
                </c:pt>
              </c:strCache>
            </c:strRef>
          </c:tx>
          <c:spPr>
            <a:solidFill>
              <a:srgbClr val="4472C4"/>
            </a:solidFill>
            <a:ln w="25400">
              <a:noFill/>
            </a:ln>
          </c:spPr>
          <c:invertIfNegative val="0"/>
          <c:dPt>
            <c:idx val="0"/>
            <c:invertIfNegative val="0"/>
            <c:bubble3D val="0"/>
            <c:spPr>
              <a:solidFill>
                <a:srgbClr val="5B9BD5"/>
              </a:solidFill>
              <a:ln w="25400">
                <a:noFill/>
              </a:ln>
            </c:spPr>
            <c:extLst>
              <c:ext xmlns:c16="http://schemas.microsoft.com/office/drawing/2014/chart" uri="{C3380CC4-5D6E-409C-BE32-E72D297353CC}">
                <c16:uniqueId val="{00000000-CA83-447E-BF25-498D6774ADB8}"/>
              </c:ext>
            </c:extLst>
          </c:dPt>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'Electricity report'!$K$1089:$L$1089</c:f>
              <c:strCache>
                <c:ptCount val="2"/>
                <c:pt idx="0">
                  <c:v>Expenditure R'000</c:v>
                </c:pt>
                <c:pt idx="1">
                  <c:v>Revenue R'000</c:v>
                </c:pt>
              </c:strCache>
            </c:strRef>
          </c:cat>
          <c:val>
            <c:numRef>
              <c:f>'Electricity report'!$K$1090:$L$1090</c:f>
              <c:numCache>
                <c:formatCode>General</c:formatCode>
                <c:ptCount val="2"/>
                <c:pt idx="0" formatCode="_-* #\ ##0_-;\-* #\ ##0_-;_-* &quot;-&quot;??_-;_-@_-">
                  <c:v>0</c:v>
                </c:pt>
              </c:numCache>
            </c:numRef>
          </c:val>
          <c:extLst>
            <c:ext xmlns:c16="http://schemas.microsoft.com/office/drawing/2014/chart" uri="{C3380CC4-5D6E-409C-BE32-E72D297353CC}">
              <c16:uniqueId val="{00000001-CA83-447E-BF25-498D6774ADB8}"/>
            </c:ext>
          </c:extLst>
        </c:ser>
        <c:ser>
          <c:idx val="1"/>
          <c:order val="1"/>
          <c:tx>
            <c:strRef>
              <c:f>'Electricity report'!$J$1091</c:f>
              <c:strCache>
                <c:ptCount val="1"/>
                <c:pt idx="0">
                  <c:v>Energy costs</c:v>
                </c:pt>
              </c:strCache>
            </c:strRef>
          </c:tx>
          <c:spPr>
            <a:solidFill>
              <a:schemeClr val="accent5">
                <a:lumMod val="60000"/>
                <a:lumOff val="40000"/>
              </a:schemeClr>
            </a:solidFill>
            <a:ln>
              <a:noFill/>
            </a:ln>
            <a:effectLst/>
          </c:spPr>
          <c:invertIfNegative val="0"/>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'Electricity report'!$K$1089:$L$1089</c:f>
              <c:strCache>
                <c:ptCount val="2"/>
                <c:pt idx="0">
                  <c:v>Expenditure R'000</c:v>
                </c:pt>
                <c:pt idx="1">
                  <c:v>Revenue R'000</c:v>
                </c:pt>
              </c:strCache>
            </c:strRef>
          </c:cat>
          <c:val>
            <c:numRef>
              <c:f>'Electricity report'!$K$1091:$L$1091</c:f>
              <c:numCache>
                <c:formatCode>General</c:formatCode>
                <c:ptCount val="2"/>
                <c:pt idx="0" formatCode="_-* #\ ##0_-;\-* #\ ##0_-;_-* &quot;-&quot;??_-;_-@_-">
                  <c:v>0</c:v>
                </c:pt>
              </c:numCache>
            </c:numRef>
          </c:val>
          <c:extLst>
            <c:ext xmlns:c16="http://schemas.microsoft.com/office/drawing/2014/chart" uri="{C3380CC4-5D6E-409C-BE32-E72D297353CC}">
              <c16:uniqueId val="{00000002-CA83-447E-BF25-498D6774ADB8}"/>
            </c:ext>
          </c:extLst>
        </c:ser>
        <c:ser>
          <c:idx val="2"/>
          <c:order val="2"/>
          <c:tx>
            <c:strRef>
              <c:f>'Electricity report'!$J$1092</c:f>
              <c:strCache>
                <c:ptCount val="1"/>
                <c:pt idx="0">
                  <c:v>Demand cost</c:v>
                </c:pt>
              </c:strCache>
            </c:strRef>
          </c:tx>
          <c:spPr>
            <a:solidFill>
              <a:srgbClr val="A5A5A5"/>
            </a:solidFill>
            <a:ln w="25400">
              <a:noFill/>
            </a:ln>
          </c:spPr>
          <c:invertIfNegative val="0"/>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'Electricity report'!$K$1089:$L$1089</c:f>
              <c:strCache>
                <c:ptCount val="2"/>
                <c:pt idx="0">
                  <c:v>Expenditure R'000</c:v>
                </c:pt>
                <c:pt idx="1">
                  <c:v>Revenue R'000</c:v>
                </c:pt>
              </c:strCache>
            </c:strRef>
          </c:cat>
          <c:val>
            <c:numRef>
              <c:f>'Electricity report'!$K$1092:$L$1092</c:f>
              <c:numCache>
                <c:formatCode>General</c:formatCode>
                <c:ptCount val="2"/>
                <c:pt idx="0" formatCode="_-* #\ ##0_-;\-* #\ ##0_-;_-* &quot;-&quot;??_-;_-@_-">
                  <c:v>0</c:v>
                </c:pt>
              </c:numCache>
            </c:numRef>
          </c:val>
          <c:extLst>
            <c:ext xmlns:c16="http://schemas.microsoft.com/office/drawing/2014/chart" uri="{C3380CC4-5D6E-409C-BE32-E72D297353CC}">
              <c16:uniqueId val="{00000003-CA83-447E-BF25-498D6774ADB8}"/>
            </c:ext>
          </c:extLst>
        </c:ser>
        <c:ser>
          <c:idx val="4"/>
          <c:order val="3"/>
          <c:tx>
            <c:strRef>
              <c:f>'Electricity report'!$J$1093</c:f>
              <c:strCache>
                <c:ptCount val="1"/>
                <c:pt idx="0">
                  <c:v>Surplus</c:v>
                </c:pt>
              </c:strCache>
            </c:strRef>
          </c:tx>
          <c:spPr>
            <a:solidFill>
              <a:srgbClr val="5B9BD5"/>
            </a:solidFill>
            <a:ln w="25400">
              <a:noFill/>
            </a:ln>
          </c:spPr>
          <c:invertIfNegative val="0"/>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'Electricity report'!$K$1089:$L$1089</c:f>
              <c:strCache>
                <c:ptCount val="2"/>
                <c:pt idx="0">
                  <c:v>Expenditure R'000</c:v>
                </c:pt>
                <c:pt idx="1">
                  <c:v>Revenue R'000</c:v>
                </c:pt>
              </c:strCache>
            </c:strRef>
          </c:cat>
          <c:val>
            <c:numRef>
              <c:f>'Electricity report'!$K$1093:$L$1093</c:f>
              <c:numCache>
                <c:formatCode>General</c:formatCode>
                <c:ptCount val="2"/>
                <c:pt idx="0" formatCode="_-* #\ ##0_-;\-* #\ ##0_-;_-* &quot;-&quot;??_-;_-@_-">
                  <c:v>0</c:v>
                </c:pt>
              </c:numCache>
            </c:numRef>
          </c:val>
          <c:extLst>
            <c:ext xmlns:c16="http://schemas.microsoft.com/office/drawing/2014/chart" uri="{C3380CC4-5D6E-409C-BE32-E72D297353CC}">
              <c16:uniqueId val="{00000004-CA83-447E-BF25-498D6774ADB8}"/>
            </c:ext>
          </c:extLst>
        </c:ser>
        <c:ser>
          <c:idx val="5"/>
          <c:order val="4"/>
          <c:tx>
            <c:strRef>
              <c:f>'Electricity report'!$J$1094</c:f>
              <c:strCache>
                <c:ptCount val="1"/>
                <c:pt idx="0">
                  <c:v>Tariff revenue</c:v>
                </c:pt>
              </c:strCache>
            </c:strRef>
          </c:tx>
          <c:spPr>
            <a:solidFill>
              <a:srgbClr val="A5A5A5"/>
            </a:solidFill>
            <a:ln w="25400">
              <a:noFill/>
            </a:ln>
          </c:spPr>
          <c:invertIfNegative val="0"/>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'Electricity report'!$K$1089:$L$1089</c:f>
              <c:strCache>
                <c:ptCount val="2"/>
                <c:pt idx="0">
                  <c:v>Expenditure R'000</c:v>
                </c:pt>
                <c:pt idx="1">
                  <c:v>Revenue R'000</c:v>
                </c:pt>
              </c:strCache>
            </c:strRef>
          </c:cat>
          <c:val>
            <c:numRef>
              <c:f>'Electricity report'!$K$1094:$L$1094</c:f>
              <c:numCache>
                <c:formatCode>_-* #\ ##0_-;\-* #\ ##0_-;_-* "-"??_-;_-@_-</c:formatCode>
                <c:ptCount val="2"/>
                <c:pt idx="1">
                  <c:v>0</c:v>
                </c:pt>
              </c:numCache>
            </c:numRef>
          </c:val>
          <c:extLst>
            <c:ext xmlns:c16="http://schemas.microsoft.com/office/drawing/2014/chart" uri="{C3380CC4-5D6E-409C-BE32-E72D297353CC}">
              <c16:uniqueId val="{00000005-CA83-447E-BF25-498D6774ADB8}"/>
            </c:ext>
          </c:extLst>
        </c:ser>
        <c:ser>
          <c:idx val="3"/>
          <c:order val="5"/>
          <c:tx>
            <c:strRef>
              <c:f>'Electricity report'!$J$1095</c:f>
              <c:strCache>
                <c:ptCount val="1"/>
                <c:pt idx="0">
                  <c:v>External grants &amp; subsidies</c:v>
                </c:pt>
              </c:strCache>
            </c:strRef>
          </c:tx>
          <c:spPr>
            <a:solidFill>
              <a:schemeClr val="accent3">
                <a:lumMod val="40000"/>
                <a:lumOff val="60000"/>
              </a:schemeClr>
            </a:solidFill>
            <a:ln>
              <a:noFill/>
            </a:ln>
            <a:effectLst/>
          </c:spPr>
          <c:invertIfNegative val="0"/>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'Electricity report'!$K$1089:$L$1089</c:f>
              <c:strCache>
                <c:ptCount val="2"/>
                <c:pt idx="0">
                  <c:v>Expenditure R'000</c:v>
                </c:pt>
                <c:pt idx="1">
                  <c:v>Revenue R'000</c:v>
                </c:pt>
              </c:strCache>
            </c:strRef>
          </c:cat>
          <c:val>
            <c:numRef>
              <c:f>'Electricity report'!$K$1095:$L$1095</c:f>
              <c:numCache>
                <c:formatCode>_-* #\ ##0_-;\-* #\ ##0_-;_-* "-"??_-;_-@_-</c:formatCode>
                <c:ptCount val="2"/>
                <c:pt idx="1">
                  <c:v>0</c:v>
                </c:pt>
              </c:numCache>
            </c:numRef>
          </c:val>
          <c:extLst>
            <c:ext xmlns:c16="http://schemas.microsoft.com/office/drawing/2014/chart" uri="{C3380CC4-5D6E-409C-BE32-E72D297353CC}">
              <c16:uniqueId val="{00000006-CA83-447E-BF25-498D6774ADB8}"/>
            </c:ext>
          </c:extLst>
        </c:ser>
        <c:ser>
          <c:idx val="6"/>
          <c:order val="6"/>
          <c:tx>
            <c:strRef>
              <c:f>'Electricity report'!$J$1096</c:f>
              <c:strCache>
                <c:ptCount val="1"/>
                <c:pt idx="0">
                  <c:v>Other non-tariff revenue</c:v>
                </c:pt>
              </c:strCache>
            </c:strRef>
          </c:tx>
          <c:spPr>
            <a:solidFill>
              <a:srgbClr val="ED7D31"/>
            </a:solidFill>
            <a:ln w="25400">
              <a:noFill/>
            </a:ln>
          </c:spPr>
          <c:invertIfNegative val="0"/>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'Electricity report'!$K$1089:$L$1089</c:f>
              <c:strCache>
                <c:ptCount val="2"/>
                <c:pt idx="0">
                  <c:v>Expenditure R'000</c:v>
                </c:pt>
                <c:pt idx="1">
                  <c:v>Revenue R'000</c:v>
                </c:pt>
              </c:strCache>
            </c:strRef>
          </c:cat>
          <c:val>
            <c:numRef>
              <c:f>'Electricity report'!$K$1096:$L$1096</c:f>
              <c:numCache>
                <c:formatCode>_-* #\ ##0_-;\-* #\ ##0_-;_-* "-"??_-;_-@_-</c:formatCode>
                <c:ptCount val="2"/>
                <c:pt idx="1">
                  <c:v>0</c:v>
                </c:pt>
              </c:numCache>
            </c:numRef>
          </c:val>
          <c:extLst>
            <c:ext xmlns:c16="http://schemas.microsoft.com/office/drawing/2014/chart" uri="{C3380CC4-5D6E-409C-BE32-E72D297353CC}">
              <c16:uniqueId val="{00000007-CA83-447E-BF25-498D6774ADB8}"/>
            </c:ext>
          </c:extLst>
        </c:ser>
        <c:ser>
          <c:idx val="7"/>
          <c:order val="7"/>
          <c:tx>
            <c:strRef>
              <c:f>'Electricity report'!$J$1097</c:f>
              <c:strCache>
                <c:ptCount val="1"/>
                <c:pt idx="0">
                  <c:v>Deficit</c:v>
                </c:pt>
              </c:strCache>
            </c:strRef>
          </c:tx>
          <c:spPr>
            <a:solidFill>
              <a:srgbClr val="4472C4"/>
            </a:solidFill>
            <a:ln w="25400">
              <a:noFill/>
            </a:ln>
          </c:spPr>
          <c:invertIfNegative val="0"/>
          <c:dPt>
            <c:idx val="0"/>
            <c:invertIfNegative val="0"/>
            <c:bubble3D val="0"/>
            <c:spPr>
              <a:solidFill>
                <a:srgbClr val="5B9BD5"/>
              </a:solidFill>
              <a:ln w="25400">
                <a:noFill/>
              </a:ln>
            </c:spPr>
            <c:extLst>
              <c:ext xmlns:c16="http://schemas.microsoft.com/office/drawing/2014/chart" uri="{C3380CC4-5D6E-409C-BE32-E72D297353CC}">
                <c16:uniqueId val="{00000008-CA83-447E-BF25-498D6774ADB8}"/>
              </c:ext>
            </c:extLst>
          </c:dPt>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'Electricity report'!$K$1089:$L$1089</c:f>
              <c:strCache>
                <c:ptCount val="2"/>
                <c:pt idx="0">
                  <c:v>Expenditure R'000</c:v>
                </c:pt>
                <c:pt idx="1">
                  <c:v>Revenue R'000</c:v>
                </c:pt>
              </c:strCache>
            </c:strRef>
          </c:cat>
          <c:val>
            <c:numRef>
              <c:f>'Electricity report'!$K$1097:$L$1097</c:f>
              <c:numCache>
                <c:formatCode>_-* #\ ##0_-;\-* #\ ##0_-;_-* "-"??_-;_-@_-</c:formatCode>
                <c:ptCount val="2"/>
                <c:pt idx="1">
                  <c:v>0</c:v>
                </c:pt>
              </c:numCache>
            </c:numRef>
          </c:val>
          <c:extLst>
            <c:ext xmlns:c16="http://schemas.microsoft.com/office/drawing/2014/chart" uri="{C3380CC4-5D6E-409C-BE32-E72D297353CC}">
              <c16:uniqueId val="{00000009-CA83-447E-BF25-498D6774ADB8}"/>
            </c:ext>
          </c:extLst>
        </c:ser>
        <c:dLbls>
          <c:showLegendKey val="0"/>
          <c:showVal val="0"/>
          <c:showCatName val="0"/>
          <c:showSerName val="0"/>
          <c:showPercent val="0"/>
          <c:showBubbleSize val="0"/>
        </c:dLbls>
        <c:gapWidth val="25"/>
        <c:overlap val="100"/>
        <c:axId val="1364710191"/>
        <c:axId val="1"/>
      </c:barChart>
      <c:catAx>
        <c:axId val="1364710191"/>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0" vert="horz"/>
          <a:lstStyle/>
          <a:p>
            <a:pPr>
              <a:defRPr sz="1100" b="0" i="0" u="none" strike="noStrike" baseline="0">
                <a:solidFill>
                  <a:srgbClr val="000000"/>
                </a:solidFill>
                <a:latin typeface="Calibri"/>
                <a:ea typeface="Calibri"/>
                <a:cs typeface="Calibri"/>
              </a:defRPr>
            </a:pPr>
            <a:endParaRPr lang="en-US"/>
          </a:p>
        </c:txPr>
        <c:crossAx val="1"/>
        <c:crosses val="autoZero"/>
        <c:auto val="1"/>
        <c:lblAlgn val="ctr"/>
        <c:lblOffset val="100"/>
        <c:noMultiLvlLbl val="0"/>
      </c:catAx>
      <c:valAx>
        <c:axId val="1"/>
        <c:scaling>
          <c:orientation val="minMax"/>
        </c:scaling>
        <c:delete val="1"/>
        <c:axPos val="l"/>
        <c:majorGridlines>
          <c:spPr>
            <a:ln w="9525" cap="flat" cmpd="sng" algn="ctr">
              <a:solidFill>
                <a:schemeClr val="tx1">
                  <a:lumMod val="15000"/>
                  <a:lumOff val="85000"/>
                </a:schemeClr>
              </a:solidFill>
              <a:round/>
            </a:ln>
            <a:effectLst/>
          </c:spPr>
        </c:majorGridlines>
        <c:numFmt formatCode="_-* #\ ##0_-;\-* #\ ##0_-;_-* &quot;-&quot;??_-;_-@_-" sourceLinked="1"/>
        <c:majorTickMark val="out"/>
        <c:minorTickMark val="none"/>
        <c:tickLblPos val="nextTo"/>
        <c:crossAx val="1364710191"/>
        <c:crosses val="autoZero"/>
        <c:crossBetween val="between"/>
      </c:valAx>
    </c:plotArea>
    <c:legend>
      <c:legendPos val="r"/>
      <c:layout>
        <c:manualLayout>
          <c:xMode val="edge"/>
          <c:yMode val="edge"/>
          <c:x val="0.63225725892244689"/>
          <c:y val="0.1812752257931505"/>
          <c:w val="0.34899346501875061"/>
          <c:h val="0.70697306341239063"/>
        </c:manualLayout>
      </c:layout>
      <c:overlay val="0"/>
      <c:spPr>
        <a:noFill/>
        <a:ln w="25400">
          <a:noFill/>
        </a:ln>
      </c:spPr>
      <c:txPr>
        <a:bodyPr/>
        <a:lstStyle/>
        <a:p>
          <a:pPr>
            <a:defRPr sz="850" b="0" i="0" u="none" strike="noStrike" baseline="0">
              <a:solidFill>
                <a:srgbClr val="000000"/>
              </a:solidFill>
              <a:latin typeface="Calibri"/>
              <a:ea typeface="Calibri"/>
              <a:cs typeface="Calibri"/>
            </a:defRPr>
          </a:pPr>
          <a:endParaRPr lang="en-US"/>
        </a:p>
      </c:txPr>
    </c:legend>
    <c:plotVisOnly val="1"/>
    <c:dispBlanksAs val="gap"/>
    <c:showDLblsOverMax val="0"/>
  </c:chart>
  <c:spPr>
    <a:solidFill>
      <a:schemeClr val="bg1"/>
    </a:solidFill>
    <a:ln w="9525" cap="flat" cmpd="sng" algn="ctr">
      <a:noFill/>
      <a:round/>
    </a:ln>
    <a:effectLst/>
  </c:spPr>
  <c:txPr>
    <a:bodyPr/>
    <a:lstStyle/>
    <a:p>
      <a:pPr>
        <a:defRPr sz="11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charts/chart17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ser>
          <c:idx val="0"/>
          <c:order val="0"/>
          <c:tx>
            <c:strRef>
              <c:f>'Electricity report'!$L$1113</c:f>
              <c:strCache>
                <c:ptCount val="1"/>
                <c:pt idx="0">
                  <c:v>Low Season Tariff</c:v>
                </c:pt>
              </c:strCache>
            </c:strRef>
          </c:tx>
          <c:spPr>
            <a:solidFill>
              <a:srgbClr val="4472C4"/>
            </a:solidFill>
            <a:ln w="25400">
              <a:noFill/>
            </a:ln>
          </c:spPr>
          <c:invertIfNegative val="0"/>
          <c:dLbls>
            <c:spPr>
              <a:noFill/>
              <a:ln w="25400">
                <a:noFill/>
              </a:ln>
            </c:spPr>
            <c:txPr>
              <a:bodyPr wrap="square" lIns="38100" tIns="19050" rIns="38100" bIns="19050" anchor="ctr">
                <a:spAutoFit/>
              </a:bodyPr>
              <a:lstStyle/>
              <a:p>
                <a:pPr>
                  <a:defRPr sz="900" b="0" i="0" u="none" strike="noStrike" baseline="0">
                    <a:solidFill>
                      <a:srgbClr val="333333"/>
                    </a:solidFill>
                    <a:latin typeface="Calibri"/>
                    <a:ea typeface="Calibri"/>
                    <a:cs typeface="Calibri"/>
                  </a:defRPr>
                </a:pPr>
                <a:endParaRPr lang="en-US"/>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'Electricity report'!$K$1114:$K$1118</c:f>
              <c:strCache>
                <c:ptCount val="5"/>
                <c:pt idx="0">
                  <c:v> -   </c:v>
                </c:pt>
                <c:pt idx="1">
                  <c:v> -   </c:v>
                </c:pt>
                <c:pt idx="2">
                  <c:v> -   </c:v>
                </c:pt>
                <c:pt idx="3">
                  <c:v> -   </c:v>
                </c:pt>
                <c:pt idx="4">
                  <c:v> More </c:v>
                </c:pt>
              </c:strCache>
            </c:strRef>
          </c:cat>
          <c:val>
            <c:numRef>
              <c:f>'Electricity report'!$L$1114:$L$1118</c:f>
              <c:numCache>
                <c:formatCode>_(* #,##0.00_);_(* \(#,##0.00\);_(* "-"??_);_(@_)</c:formatCode>
                <c:ptCount val="5"/>
                <c:pt idx="0">
                  <c:v>0</c:v>
                </c:pt>
                <c:pt idx="1">
                  <c:v>0</c:v>
                </c:pt>
                <c:pt idx="2">
                  <c:v>0</c:v>
                </c:pt>
                <c:pt idx="3">
                  <c:v>0</c:v>
                </c:pt>
                <c:pt idx="4">
                  <c:v>0</c:v>
                </c:pt>
              </c:numCache>
            </c:numRef>
          </c:val>
          <c:extLst>
            <c:ext xmlns:c16="http://schemas.microsoft.com/office/drawing/2014/chart" uri="{C3380CC4-5D6E-409C-BE32-E72D297353CC}">
              <c16:uniqueId val="{00000000-3A76-4101-86A9-01C28190DB26}"/>
            </c:ext>
          </c:extLst>
        </c:ser>
        <c:ser>
          <c:idx val="1"/>
          <c:order val="1"/>
          <c:tx>
            <c:strRef>
              <c:f>'Electricity report'!$M$1113</c:f>
              <c:strCache>
                <c:ptCount val="1"/>
                <c:pt idx="0">
                  <c:v>High Season Tariff</c:v>
                </c:pt>
              </c:strCache>
            </c:strRef>
          </c:tx>
          <c:spPr>
            <a:solidFill>
              <a:srgbClr val="ED7D31"/>
            </a:solidFill>
            <a:ln w="25400">
              <a:noFill/>
            </a:ln>
          </c:spPr>
          <c:invertIfNegative val="0"/>
          <c:dLbls>
            <c:spPr>
              <a:noFill/>
              <a:ln w="25400">
                <a:noFill/>
              </a:ln>
            </c:spPr>
            <c:txPr>
              <a:bodyPr wrap="square" lIns="38100" tIns="19050" rIns="38100" bIns="19050" anchor="ctr">
                <a:spAutoFit/>
              </a:bodyPr>
              <a:lstStyle/>
              <a:p>
                <a:pPr>
                  <a:defRPr sz="900" b="0" i="0" u="none" strike="noStrike" baseline="0">
                    <a:solidFill>
                      <a:srgbClr val="333333"/>
                    </a:solidFill>
                    <a:latin typeface="Calibri"/>
                    <a:ea typeface="Calibri"/>
                    <a:cs typeface="Calibri"/>
                  </a:defRPr>
                </a:pPr>
                <a:endParaRPr lang="en-US"/>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'Electricity report'!$K$1114:$K$1118</c:f>
              <c:strCache>
                <c:ptCount val="5"/>
                <c:pt idx="0">
                  <c:v> -   </c:v>
                </c:pt>
                <c:pt idx="1">
                  <c:v> -   </c:v>
                </c:pt>
                <c:pt idx="2">
                  <c:v> -   </c:v>
                </c:pt>
                <c:pt idx="3">
                  <c:v> -   </c:v>
                </c:pt>
                <c:pt idx="4">
                  <c:v> More </c:v>
                </c:pt>
              </c:strCache>
            </c:strRef>
          </c:cat>
          <c:val>
            <c:numRef>
              <c:f>'Electricity report'!$M$1114:$M$1118</c:f>
              <c:numCache>
                <c:formatCode>_(* #,##0.00_);_(* \(#,##0.00\);_(* "-"??_);_(@_)</c:formatCode>
                <c:ptCount val="5"/>
                <c:pt idx="0">
                  <c:v>0</c:v>
                </c:pt>
                <c:pt idx="1">
                  <c:v>0</c:v>
                </c:pt>
                <c:pt idx="2">
                  <c:v>0</c:v>
                </c:pt>
                <c:pt idx="3">
                  <c:v>0</c:v>
                </c:pt>
                <c:pt idx="4">
                  <c:v>0</c:v>
                </c:pt>
              </c:numCache>
            </c:numRef>
          </c:val>
          <c:extLst>
            <c:ext xmlns:c16="http://schemas.microsoft.com/office/drawing/2014/chart" uri="{C3380CC4-5D6E-409C-BE32-E72D297353CC}">
              <c16:uniqueId val="{00000001-3A76-4101-86A9-01C28190DB26}"/>
            </c:ext>
          </c:extLst>
        </c:ser>
        <c:dLbls>
          <c:showLegendKey val="0"/>
          <c:showVal val="0"/>
          <c:showCatName val="0"/>
          <c:showSerName val="0"/>
          <c:showPercent val="0"/>
          <c:showBubbleSize val="0"/>
        </c:dLbls>
        <c:gapWidth val="50"/>
        <c:axId val="1364726031"/>
        <c:axId val="1"/>
      </c:barChart>
      <c:lineChart>
        <c:grouping val="standard"/>
        <c:varyColors val="0"/>
        <c:ser>
          <c:idx val="2"/>
          <c:order val="2"/>
          <c:tx>
            <c:strRef>
              <c:f>'Electricity report'!$N$1113</c:f>
              <c:strCache>
                <c:ptCount val="1"/>
                <c:pt idx="0">
                  <c:v>Total cost per kl </c:v>
                </c:pt>
              </c:strCache>
            </c:strRef>
          </c:tx>
          <c:spPr>
            <a:ln w="28575" cap="rnd">
              <a:solidFill>
                <a:schemeClr val="accent3"/>
              </a:solidFill>
              <a:round/>
            </a:ln>
            <a:effectLst/>
          </c:spPr>
          <c:marker>
            <c:symbol val="none"/>
          </c:marker>
          <c:cat>
            <c:strRef>
              <c:f>'Electricity report'!$K$1114:$K$1118</c:f>
              <c:strCache>
                <c:ptCount val="5"/>
                <c:pt idx="0">
                  <c:v> -   </c:v>
                </c:pt>
                <c:pt idx="1">
                  <c:v> -   </c:v>
                </c:pt>
                <c:pt idx="2">
                  <c:v> -   </c:v>
                </c:pt>
                <c:pt idx="3">
                  <c:v> -   </c:v>
                </c:pt>
                <c:pt idx="4">
                  <c:v> More </c:v>
                </c:pt>
              </c:strCache>
            </c:strRef>
          </c:cat>
          <c:val>
            <c:numRef>
              <c:f>'Electricity report'!$N$1114:$N$1118</c:f>
              <c:numCache>
                <c:formatCode>_(* #,##0.00_);_(* \(#,##0.00\);_(* "-"??_);_(@_)</c:formatCode>
                <c:ptCount val="5"/>
                <c:pt idx="0">
                  <c:v>0</c:v>
                </c:pt>
                <c:pt idx="1">
                  <c:v>0</c:v>
                </c:pt>
                <c:pt idx="2">
                  <c:v>0</c:v>
                </c:pt>
                <c:pt idx="3">
                  <c:v>0</c:v>
                </c:pt>
                <c:pt idx="4">
                  <c:v>0</c:v>
                </c:pt>
              </c:numCache>
            </c:numRef>
          </c:val>
          <c:smooth val="0"/>
          <c:extLst>
            <c:ext xmlns:c16="http://schemas.microsoft.com/office/drawing/2014/chart" uri="{C3380CC4-5D6E-409C-BE32-E72D297353CC}">
              <c16:uniqueId val="{00000002-3A76-4101-86A9-01C28190DB26}"/>
            </c:ext>
          </c:extLst>
        </c:ser>
        <c:ser>
          <c:idx val="3"/>
          <c:order val="3"/>
          <c:tx>
            <c:strRef>
              <c:f>'Electricity report'!$O$1113</c:f>
              <c:strCache>
                <c:ptCount val="1"/>
                <c:pt idx="0">
                  <c:v>Variable cost per kWh</c:v>
                </c:pt>
              </c:strCache>
            </c:strRef>
          </c:tx>
          <c:spPr>
            <a:ln w="28575" cap="rnd">
              <a:solidFill>
                <a:schemeClr val="accent4"/>
              </a:solidFill>
              <a:round/>
            </a:ln>
            <a:effectLst/>
          </c:spPr>
          <c:marker>
            <c:symbol val="none"/>
          </c:marker>
          <c:cat>
            <c:strRef>
              <c:f>'Electricity report'!$K$1114:$K$1118</c:f>
              <c:strCache>
                <c:ptCount val="5"/>
                <c:pt idx="0">
                  <c:v> -   </c:v>
                </c:pt>
                <c:pt idx="1">
                  <c:v> -   </c:v>
                </c:pt>
                <c:pt idx="2">
                  <c:v> -   </c:v>
                </c:pt>
                <c:pt idx="3">
                  <c:v> -   </c:v>
                </c:pt>
                <c:pt idx="4">
                  <c:v> More </c:v>
                </c:pt>
              </c:strCache>
            </c:strRef>
          </c:cat>
          <c:val>
            <c:numRef>
              <c:f>'Electricity report'!$O$1114:$O$1118</c:f>
              <c:numCache>
                <c:formatCode>_(* #,##0.00_);_(* \(#,##0.00\);_(* "-"??_);_(@_)</c:formatCode>
                <c:ptCount val="5"/>
                <c:pt idx="0">
                  <c:v>0</c:v>
                </c:pt>
                <c:pt idx="1">
                  <c:v>0</c:v>
                </c:pt>
                <c:pt idx="2">
                  <c:v>0</c:v>
                </c:pt>
                <c:pt idx="3">
                  <c:v>0</c:v>
                </c:pt>
                <c:pt idx="4">
                  <c:v>0</c:v>
                </c:pt>
              </c:numCache>
            </c:numRef>
          </c:val>
          <c:smooth val="0"/>
          <c:extLst>
            <c:ext xmlns:c16="http://schemas.microsoft.com/office/drawing/2014/chart" uri="{C3380CC4-5D6E-409C-BE32-E72D297353CC}">
              <c16:uniqueId val="{00000003-3A76-4101-86A9-01C28190DB26}"/>
            </c:ext>
          </c:extLst>
        </c:ser>
        <c:dLbls>
          <c:showLegendKey val="0"/>
          <c:showVal val="0"/>
          <c:showCatName val="0"/>
          <c:showSerName val="0"/>
          <c:showPercent val="0"/>
          <c:showBubbleSize val="0"/>
        </c:dLbls>
        <c:marker val="1"/>
        <c:smooth val="0"/>
        <c:axId val="1364726031"/>
        <c:axId val="1"/>
      </c:lineChart>
      <c:catAx>
        <c:axId val="1364726031"/>
        <c:scaling>
          <c:orientation val="minMax"/>
        </c:scaling>
        <c:delete val="0"/>
        <c:axPos val="b"/>
        <c:title>
          <c:tx>
            <c:rich>
              <a:bodyPr/>
              <a:lstStyle/>
              <a:p>
                <a:pPr>
                  <a:defRPr sz="1000" b="0" i="0" u="none" strike="noStrike" baseline="0">
                    <a:solidFill>
                      <a:srgbClr val="333333"/>
                    </a:solidFill>
                    <a:latin typeface="Calibri"/>
                    <a:ea typeface="Calibri"/>
                    <a:cs typeface="Calibri"/>
                  </a:defRPr>
                </a:pPr>
                <a:r>
                  <a:rPr lang="en-ZA"/>
                  <a:t>Block size</a:t>
                </a:r>
              </a:p>
            </c:rich>
          </c:tx>
          <c:overlay val="0"/>
          <c:spPr>
            <a:noFill/>
            <a:ln w="25400">
              <a:noFill/>
            </a:ln>
          </c:spPr>
        </c:title>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0" vert="horz"/>
          <a:lstStyle/>
          <a:p>
            <a:pPr>
              <a:defRPr sz="900" b="0" i="0" u="none" strike="noStrike" baseline="0">
                <a:solidFill>
                  <a:srgbClr val="333333"/>
                </a:solidFill>
                <a:latin typeface="Calibri"/>
                <a:ea typeface="Calibri"/>
                <a:cs typeface="Calibri"/>
              </a:defRPr>
            </a:pPr>
            <a:endParaRPr lang="en-US"/>
          </a:p>
        </c:txPr>
        <c:crossAx val="1"/>
        <c:crosses val="autoZero"/>
        <c:auto val="1"/>
        <c:lblAlgn val="ctr"/>
        <c:lblOffset val="100"/>
        <c:noMultiLvlLbl val="0"/>
      </c:catAx>
      <c:valAx>
        <c:axId val="1"/>
        <c:scaling>
          <c:orientation val="minMax"/>
        </c:scaling>
        <c:delete val="0"/>
        <c:axPos val="l"/>
        <c:majorGridlines>
          <c:spPr>
            <a:ln w="9525" cap="flat" cmpd="sng" algn="ctr">
              <a:solidFill>
                <a:schemeClr val="tx1">
                  <a:lumMod val="15000"/>
                  <a:lumOff val="85000"/>
                </a:schemeClr>
              </a:solidFill>
              <a:round/>
            </a:ln>
            <a:effectLst/>
          </c:spPr>
        </c:majorGridlines>
        <c:title>
          <c:tx>
            <c:rich>
              <a:bodyPr/>
              <a:lstStyle/>
              <a:p>
                <a:pPr>
                  <a:defRPr sz="1000" b="0" i="0" u="none" strike="noStrike" baseline="0">
                    <a:solidFill>
                      <a:srgbClr val="333333"/>
                    </a:solidFill>
                    <a:latin typeface="Calibri"/>
                    <a:ea typeface="Calibri"/>
                    <a:cs typeface="Calibri"/>
                  </a:defRPr>
                </a:pPr>
                <a:r>
                  <a:rPr lang="en-ZA"/>
                  <a:t>R/kWh</a:t>
                </a:r>
              </a:p>
            </c:rich>
          </c:tx>
          <c:overlay val="0"/>
          <c:spPr>
            <a:noFill/>
            <a:ln w="25400">
              <a:noFill/>
            </a:ln>
          </c:spPr>
        </c:title>
        <c:numFmt formatCode="_(* #,##0.00_);_(* \(#,##0.00\);_(* &quot;-&quot;??_);_(@_)" sourceLinked="1"/>
        <c:majorTickMark val="none"/>
        <c:minorTickMark val="none"/>
        <c:tickLblPos val="nextTo"/>
        <c:spPr>
          <a:ln w="6350">
            <a:noFill/>
          </a:ln>
        </c:spPr>
        <c:txPr>
          <a:bodyPr rot="0" vert="horz"/>
          <a:lstStyle/>
          <a:p>
            <a:pPr>
              <a:defRPr sz="900" b="0" i="0" u="none" strike="noStrike" baseline="0">
                <a:solidFill>
                  <a:srgbClr val="333333"/>
                </a:solidFill>
                <a:latin typeface="Calibri"/>
                <a:ea typeface="Calibri"/>
                <a:cs typeface="Calibri"/>
              </a:defRPr>
            </a:pPr>
            <a:endParaRPr lang="en-US"/>
          </a:p>
        </c:txPr>
        <c:crossAx val="1364726031"/>
        <c:crosses val="autoZero"/>
        <c:crossBetween val="between"/>
      </c:valAx>
      <c:spPr>
        <a:noFill/>
        <a:ln w="25400">
          <a:noFill/>
        </a:ln>
      </c:spPr>
    </c:plotArea>
    <c:legend>
      <c:legendPos val="r"/>
      <c:layout>
        <c:manualLayout>
          <c:xMode val="edge"/>
          <c:yMode val="edge"/>
          <c:x val="4.7023424579764522E-2"/>
          <c:y val="0.92826131183362848"/>
          <c:w val="0.90128222216737008"/>
          <c:h val="5.2633337100804978E-2"/>
        </c:manualLayout>
      </c:layout>
      <c:overlay val="0"/>
      <c:spPr>
        <a:noFill/>
        <a:ln w="25400">
          <a:noFill/>
        </a:ln>
      </c:spPr>
      <c:txPr>
        <a:bodyPr/>
        <a:lstStyle/>
        <a:p>
          <a:pPr>
            <a:defRPr sz="690" b="0" i="0" u="none" strike="noStrike" baseline="0">
              <a:solidFill>
                <a:srgbClr val="333333"/>
              </a:solidFill>
              <a:latin typeface="Calibri"/>
              <a:ea typeface="Calibri"/>
              <a:cs typeface="Calibri"/>
            </a:defRPr>
          </a:pPr>
          <a:endParaRPr lang="en-US"/>
        </a:p>
      </c:txPr>
    </c:legend>
    <c:plotVisOnly val="1"/>
    <c:dispBlanksAs val="gap"/>
    <c:showDLblsOverMax val="0"/>
  </c:chart>
  <c:spPr>
    <a:solidFill>
      <a:schemeClr val="bg1"/>
    </a:solidFill>
    <a:ln w="9525" cap="flat" cmpd="sng" algn="ctr">
      <a:noFill/>
      <a:round/>
    </a:ln>
    <a:effectLst/>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charts/chart17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2.3871527777777776E-2"/>
          <c:y val="4.7786414907172239E-2"/>
          <c:w val="0.57559123468941387"/>
          <c:h val="0.83529592857692603"/>
        </c:manualLayout>
      </c:layout>
      <c:barChart>
        <c:barDir val="col"/>
        <c:grouping val="stacked"/>
        <c:varyColors val="0"/>
        <c:ser>
          <c:idx val="0"/>
          <c:order val="0"/>
          <c:tx>
            <c:strRef>
              <c:f>'Electricity report'!$J$1160</c:f>
              <c:strCache>
                <c:ptCount val="1"/>
                <c:pt idx="0">
                  <c:v>Customer costs </c:v>
                </c:pt>
              </c:strCache>
            </c:strRef>
          </c:tx>
          <c:spPr>
            <a:solidFill>
              <a:srgbClr val="4472C4"/>
            </a:solidFill>
            <a:ln w="25400">
              <a:noFill/>
            </a:ln>
          </c:spPr>
          <c:invertIfNegative val="0"/>
          <c:dPt>
            <c:idx val="0"/>
            <c:invertIfNegative val="0"/>
            <c:bubble3D val="0"/>
            <c:spPr>
              <a:solidFill>
                <a:srgbClr val="5B9BD5"/>
              </a:solidFill>
              <a:ln w="25400">
                <a:noFill/>
              </a:ln>
            </c:spPr>
            <c:extLst>
              <c:ext xmlns:c16="http://schemas.microsoft.com/office/drawing/2014/chart" uri="{C3380CC4-5D6E-409C-BE32-E72D297353CC}">
                <c16:uniqueId val="{00000000-3821-47F7-BEC2-BFDD6804BD4C}"/>
              </c:ext>
            </c:extLst>
          </c:dPt>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'Electricity report'!$K$1159:$L$1159</c:f>
              <c:strCache>
                <c:ptCount val="2"/>
                <c:pt idx="0">
                  <c:v>Expenditure R'000</c:v>
                </c:pt>
                <c:pt idx="1">
                  <c:v>Revenue R'000</c:v>
                </c:pt>
              </c:strCache>
            </c:strRef>
          </c:cat>
          <c:val>
            <c:numRef>
              <c:f>'Electricity report'!$K$1160:$L$1160</c:f>
              <c:numCache>
                <c:formatCode>General</c:formatCode>
                <c:ptCount val="2"/>
                <c:pt idx="0" formatCode="_-* #\ ##0_-;\-* #\ ##0_-;_-* &quot;-&quot;??_-;_-@_-">
                  <c:v>0</c:v>
                </c:pt>
              </c:numCache>
            </c:numRef>
          </c:val>
          <c:extLst>
            <c:ext xmlns:c16="http://schemas.microsoft.com/office/drawing/2014/chart" uri="{C3380CC4-5D6E-409C-BE32-E72D297353CC}">
              <c16:uniqueId val="{00000001-3821-47F7-BEC2-BFDD6804BD4C}"/>
            </c:ext>
          </c:extLst>
        </c:ser>
        <c:ser>
          <c:idx val="1"/>
          <c:order val="1"/>
          <c:tx>
            <c:strRef>
              <c:f>'Electricity report'!$J$1161</c:f>
              <c:strCache>
                <c:ptCount val="1"/>
                <c:pt idx="0">
                  <c:v>Energy costs</c:v>
                </c:pt>
              </c:strCache>
            </c:strRef>
          </c:tx>
          <c:spPr>
            <a:solidFill>
              <a:schemeClr val="accent5">
                <a:lumMod val="60000"/>
                <a:lumOff val="40000"/>
              </a:schemeClr>
            </a:solidFill>
            <a:ln>
              <a:noFill/>
            </a:ln>
            <a:effectLst/>
          </c:spPr>
          <c:invertIfNegative val="0"/>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'Electricity report'!$K$1159:$L$1159</c:f>
              <c:strCache>
                <c:ptCount val="2"/>
                <c:pt idx="0">
                  <c:v>Expenditure R'000</c:v>
                </c:pt>
                <c:pt idx="1">
                  <c:v>Revenue R'000</c:v>
                </c:pt>
              </c:strCache>
            </c:strRef>
          </c:cat>
          <c:val>
            <c:numRef>
              <c:f>'Electricity report'!$K$1161:$L$1161</c:f>
              <c:numCache>
                <c:formatCode>General</c:formatCode>
                <c:ptCount val="2"/>
                <c:pt idx="0" formatCode="_-* #\ ##0_-;\-* #\ ##0_-;_-* &quot;-&quot;??_-;_-@_-">
                  <c:v>0</c:v>
                </c:pt>
              </c:numCache>
            </c:numRef>
          </c:val>
          <c:extLst>
            <c:ext xmlns:c16="http://schemas.microsoft.com/office/drawing/2014/chart" uri="{C3380CC4-5D6E-409C-BE32-E72D297353CC}">
              <c16:uniqueId val="{00000002-3821-47F7-BEC2-BFDD6804BD4C}"/>
            </c:ext>
          </c:extLst>
        </c:ser>
        <c:ser>
          <c:idx val="2"/>
          <c:order val="2"/>
          <c:tx>
            <c:strRef>
              <c:f>'Electricity report'!$J$1162</c:f>
              <c:strCache>
                <c:ptCount val="1"/>
                <c:pt idx="0">
                  <c:v>Demand cost</c:v>
                </c:pt>
              </c:strCache>
            </c:strRef>
          </c:tx>
          <c:spPr>
            <a:solidFill>
              <a:srgbClr val="A5A5A5"/>
            </a:solidFill>
            <a:ln w="25400">
              <a:noFill/>
            </a:ln>
          </c:spPr>
          <c:invertIfNegative val="0"/>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'Electricity report'!$K$1159:$L$1159</c:f>
              <c:strCache>
                <c:ptCount val="2"/>
                <c:pt idx="0">
                  <c:v>Expenditure R'000</c:v>
                </c:pt>
                <c:pt idx="1">
                  <c:v>Revenue R'000</c:v>
                </c:pt>
              </c:strCache>
            </c:strRef>
          </c:cat>
          <c:val>
            <c:numRef>
              <c:f>'Electricity report'!$K$1162:$L$1162</c:f>
              <c:numCache>
                <c:formatCode>General</c:formatCode>
                <c:ptCount val="2"/>
                <c:pt idx="0" formatCode="_-* #\ ##0_-;\-* #\ ##0_-;_-* &quot;-&quot;??_-;_-@_-">
                  <c:v>0</c:v>
                </c:pt>
              </c:numCache>
            </c:numRef>
          </c:val>
          <c:extLst>
            <c:ext xmlns:c16="http://schemas.microsoft.com/office/drawing/2014/chart" uri="{C3380CC4-5D6E-409C-BE32-E72D297353CC}">
              <c16:uniqueId val="{00000003-3821-47F7-BEC2-BFDD6804BD4C}"/>
            </c:ext>
          </c:extLst>
        </c:ser>
        <c:ser>
          <c:idx val="4"/>
          <c:order val="3"/>
          <c:tx>
            <c:strRef>
              <c:f>'Electricity report'!$J$1163</c:f>
              <c:strCache>
                <c:ptCount val="1"/>
                <c:pt idx="0">
                  <c:v>Surplus</c:v>
                </c:pt>
              </c:strCache>
            </c:strRef>
          </c:tx>
          <c:spPr>
            <a:solidFill>
              <a:srgbClr val="5B9BD5"/>
            </a:solidFill>
            <a:ln w="25400">
              <a:noFill/>
            </a:ln>
          </c:spPr>
          <c:invertIfNegative val="0"/>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'Electricity report'!$K$1159:$L$1159</c:f>
              <c:strCache>
                <c:ptCount val="2"/>
                <c:pt idx="0">
                  <c:v>Expenditure R'000</c:v>
                </c:pt>
                <c:pt idx="1">
                  <c:v>Revenue R'000</c:v>
                </c:pt>
              </c:strCache>
            </c:strRef>
          </c:cat>
          <c:val>
            <c:numRef>
              <c:f>'Electricity report'!$K$1163:$L$1163</c:f>
              <c:numCache>
                <c:formatCode>General</c:formatCode>
                <c:ptCount val="2"/>
                <c:pt idx="0" formatCode="_-* #\ ##0_-;\-* #\ ##0_-;_-* &quot;-&quot;??_-;_-@_-">
                  <c:v>0</c:v>
                </c:pt>
              </c:numCache>
            </c:numRef>
          </c:val>
          <c:extLst>
            <c:ext xmlns:c16="http://schemas.microsoft.com/office/drawing/2014/chart" uri="{C3380CC4-5D6E-409C-BE32-E72D297353CC}">
              <c16:uniqueId val="{00000004-3821-47F7-BEC2-BFDD6804BD4C}"/>
            </c:ext>
          </c:extLst>
        </c:ser>
        <c:ser>
          <c:idx val="5"/>
          <c:order val="4"/>
          <c:tx>
            <c:strRef>
              <c:f>'Electricity report'!$J$1164</c:f>
              <c:strCache>
                <c:ptCount val="1"/>
                <c:pt idx="0">
                  <c:v>Tariff revenue</c:v>
                </c:pt>
              </c:strCache>
            </c:strRef>
          </c:tx>
          <c:spPr>
            <a:solidFill>
              <a:srgbClr val="A5A5A5"/>
            </a:solidFill>
            <a:ln w="25400">
              <a:noFill/>
            </a:ln>
          </c:spPr>
          <c:invertIfNegative val="0"/>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'Electricity report'!$K$1159:$L$1159</c:f>
              <c:strCache>
                <c:ptCount val="2"/>
                <c:pt idx="0">
                  <c:v>Expenditure R'000</c:v>
                </c:pt>
                <c:pt idx="1">
                  <c:v>Revenue R'000</c:v>
                </c:pt>
              </c:strCache>
            </c:strRef>
          </c:cat>
          <c:val>
            <c:numRef>
              <c:f>'Electricity report'!$K$1164:$L$1164</c:f>
              <c:numCache>
                <c:formatCode>_-* #\ ##0_-;\-* #\ ##0_-;_-* "-"??_-;_-@_-</c:formatCode>
                <c:ptCount val="2"/>
                <c:pt idx="1">
                  <c:v>0</c:v>
                </c:pt>
              </c:numCache>
            </c:numRef>
          </c:val>
          <c:extLst>
            <c:ext xmlns:c16="http://schemas.microsoft.com/office/drawing/2014/chart" uri="{C3380CC4-5D6E-409C-BE32-E72D297353CC}">
              <c16:uniqueId val="{00000005-3821-47F7-BEC2-BFDD6804BD4C}"/>
            </c:ext>
          </c:extLst>
        </c:ser>
        <c:ser>
          <c:idx val="3"/>
          <c:order val="5"/>
          <c:tx>
            <c:strRef>
              <c:f>'Electricity report'!$J$1165</c:f>
              <c:strCache>
                <c:ptCount val="1"/>
                <c:pt idx="0">
                  <c:v>External grants &amp; subsidies</c:v>
                </c:pt>
              </c:strCache>
            </c:strRef>
          </c:tx>
          <c:spPr>
            <a:solidFill>
              <a:schemeClr val="accent3">
                <a:lumMod val="40000"/>
                <a:lumOff val="60000"/>
              </a:schemeClr>
            </a:solidFill>
            <a:ln>
              <a:noFill/>
            </a:ln>
            <a:effectLst/>
          </c:spPr>
          <c:invertIfNegative val="0"/>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'Electricity report'!$K$1159:$L$1159</c:f>
              <c:strCache>
                <c:ptCount val="2"/>
                <c:pt idx="0">
                  <c:v>Expenditure R'000</c:v>
                </c:pt>
                <c:pt idx="1">
                  <c:v>Revenue R'000</c:v>
                </c:pt>
              </c:strCache>
            </c:strRef>
          </c:cat>
          <c:val>
            <c:numRef>
              <c:f>'Electricity report'!$K$1165:$L$1165</c:f>
              <c:numCache>
                <c:formatCode>_-* #\ ##0_-;\-* #\ ##0_-;_-* "-"??_-;_-@_-</c:formatCode>
                <c:ptCount val="2"/>
                <c:pt idx="1">
                  <c:v>0</c:v>
                </c:pt>
              </c:numCache>
            </c:numRef>
          </c:val>
          <c:extLst>
            <c:ext xmlns:c16="http://schemas.microsoft.com/office/drawing/2014/chart" uri="{C3380CC4-5D6E-409C-BE32-E72D297353CC}">
              <c16:uniqueId val="{00000006-3821-47F7-BEC2-BFDD6804BD4C}"/>
            </c:ext>
          </c:extLst>
        </c:ser>
        <c:ser>
          <c:idx val="6"/>
          <c:order val="6"/>
          <c:tx>
            <c:strRef>
              <c:f>'Electricity report'!$J$1166</c:f>
              <c:strCache>
                <c:ptCount val="1"/>
                <c:pt idx="0">
                  <c:v>Other non-tariff revenue</c:v>
                </c:pt>
              </c:strCache>
            </c:strRef>
          </c:tx>
          <c:spPr>
            <a:solidFill>
              <a:srgbClr val="ED7D31"/>
            </a:solidFill>
            <a:ln w="25400">
              <a:noFill/>
            </a:ln>
          </c:spPr>
          <c:invertIfNegative val="0"/>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'Electricity report'!$K$1159:$L$1159</c:f>
              <c:strCache>
                <c:ptCount val="2"/>
                <c:pt idx="0">
                  <c:v>Expenditure R'000</c:v>
                </c:pt>
                <c:pt idx="1">
                  <c:v>Revenue R'000</c:v>
                </c:pt>
              </c:strCache>
            </c:strRef>
          </c:cat>
          <c:val>
            <c:numRef>
              <c:f>'Electricity report'!$K$1166:$L$1166</c:f>
              <c:numCache>
                <c:formatCode>_-* #\ ##0_-;\-* #\ ##0_-;_-* "-"??_-;_-@_-</c:formatCode>
                <c:ptCount val="2"/>
                <c:pt idx="1">
                  <c:v>0</c:v>
                </c:pt>
              </c:numCache>
            </c:numRef>
          </c:val>
          <c:extLst>
            <c:ext xmlns:c16="http://schemas.microsoft.com/office/drawing/2014/chart" uri="{C3380CC4-5D6E-409C-BE32-E72D297353CC}">
              <c16:uniqueId val="{00000007-3821-47F7-BEC2-BFDD6804BD4C}"/>
            </c:ext>
          </c:extLst>
        </c:ser>
        <c:ser>
          <c:idx val="7"/>
          <c:order val="7"/>
          <c:tx>
            <c:strRef>
              <c:f>'Electricity report'!$J$1167</c:f>
              <c:strCache>
                <c:ptCount val="1"/>
                <c:pt idx="0">
                  <c:v>Deficit</c:v>
                </c:pt>
              </c:strCache>
            </c:strRef>
          </c:tx>
          <c:spPr>
            <a:solidFill>
              <a:srgbClr val="4472C4"/>
            </a:solidFill>
            <a:ln w="25400">
              <a:noFill/>
            </a:ln>
          </c:spPr>
          <c:invertIfNegative val="0"/>
          <c:dPt>
            <c:idx val="0"/>
            <c:invertIfNegative val="0"/>
            <c:bubble3D val="0"/>
            <c:spPr>
              <a:solidFill>
                <a:srgbClr val="5B9BD5"/>
              </a:solidFill>
              <a:ln w="25400">
                <a:noFill/>
              </a:ln>
            </c:spPr>
            <c:extLst>
              <c:ext xmlns:c16="http://schemas.microsoft.com/office/drawing/2014/chart" uri="{C3380CC4-5D6E-409C-BE32-E72D297353CC}">
                <c16:uniqueId val="{00000008-3821-47F7-BEC2-BFDD6804BD4C}"/>
              </c:ext>
            </c:extLst>
          </c:dPt>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'Electricity report'!$K$1159:$L$1159</c:f>
              <c:strCache>
                <c:ptCount val="2"/>
                <c:pt idx="0">
                  <c:v>Expenditure R'000</c:v>
                </c:pt>
                <c:pt idx="1">
                  <c:v>Revenue R'000</c:v>
                </c:pt>
              </c:strCache>
            </c:strRef>
          </c:cat>
          <c:val>
            <c:numRef>
              <c:f>'Electricity report'!$K$1167:$L$1167</c:f>
              <c:numCache>
                <c:formatCode>_-* #\ ##0_-;\-* #\ ##0_-;_-* "-"??_-;_-@_-</c:formatCode>
                <c:ptCount val="2"/>
                <c:pt idx="1">
                  <c:v>0</c:v>
                </c:pt>
              </c:numCache>
            </c:numRef>
          </c:val>
          <c:extLst>
            <c:ext xmlns:c16="http://schemas.microsoft.com/office/drawing/2014/chart" uri="{C3380CC4-5D6E-409C-BE32-E72D297353CC}">
              <c16:uniqueId val="{00000009-3821-47F7-BEC2-BFDD6804BD4C}"/>
            </c:ext>
          </c:extLst>
        </c:ser>
        <c:dLbls>
          <c:showLegendKey val="0"/>
          <c:showVal val="0"/>
          <c:showCatName val="0"/>
          <c:showSerName val="0"/>
          <c:showPercent val="0"/>
          <c:showBubbleSize val="0"/>
        </c:dLbls>
        <c:gapWidth val="25"/>
        <c:overlap val="100"/>
        <c:axId val="1364747151"/>
        <c:axId val="1"/>
      </c:barChart>
      <c:catAx>
        <c:axId val="1364747151"/>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0" vert="horz"/>
          <a:lstStyle/>
          <a:p>
            <a:pPr>
              <a:defRPr sz="1100" b="0" i="0" u="none" strike="noStrike" baseline="0">
                <a:solidFill>
                  <a:srgbClr val="000000"/>
                </a:solidFill>
                <a:latin typeface="Calibri"/>
                <a:ea typeface="Calibri"/>
                <a:cs typeface="Calibri"/>
              </a:defRPr>
            </a:pPr>
            <a:endParaRPr lang="en-US"/>
          </a:p>
        </c:txPr>
        <c:crossAx val="1"/>
        <c:crosses val="autoZero"/>
        <c:auto val="1"/>
        <c:lblAlgn val="ctr"/>
        <c:lblOffset val="100"/>
        <c:noMultiLvlLbl val="0"/>
      </c:catAx>
      <c:valAx>
        <c:axId val="1"/>
        <c:scaling>
          <c:orientation val="minMax"/>
        </c:scaling>
        <c:delete val="1"/>
        <c:axPos val="l"/>
        <c:majorGridlines>
          <c:spPr>
            <a:ln w="9525" cap="flat" cmpd="sng" algn="ctr">
              <a:solidFill>
                <a:schemeClr val="tx1">
                  <a:lumMod val="15000"/>
                  <a:lumOff val="85000"/>
                </a:schemeClr>
              </a:solidFill>
              <a:round/>
            </a:ln>
            <a:effectLst/>
          </c:spPr>
        </c:majorGridlines>
        <c:numFmt formatCode="_-* #\ ##0_-;\-* #\ ##0_-;_-* &quot;-&quot;??_-;_-@_-" sourceLinked="1"/>
        <c:majorTickMark val="out"/>
        <c:minorTickMark val="none"/>
        <c:tickLblPos val="nextTo"/>
        <c:crossAx val="1364747151"/>
        <c:crosses val="autoZero"/>
        <c:crossBetween val="between"/>
      </c:valAx>
    </c:plotArea>
    <c:legend>
      <c:legendPos val="r"/>
      <c:layout>
        <c:manualLayout>
          <c:xMode val="edge"/>
          <c:yMode val="edge"/>
          <c:x val="0.63225725892244689"/>
          <c:y val="0.19336013511906178"/>
          <c:w val="0.34899346501875061"/>
          <c:h val="0.70697306341239063"/>
        </c:manualLayout>
      </c:layout>
      <c:overlay val="0"/>
      <c:spPr>
        <a:noFill/>
        <a:ln w="25400">
          <a:noFill/>
        </a:ln>
      </c:spPr>
      <c:txPr>
        <a:bodyPr/>
        <a:lstStyle/>
        <a:p>
          <a:pPr>
            <a:defRPr sz="850" b="0" i="0" u="none" strike="noStrike" baseline="0">
              <a:solidFill>
                <a:srgbClr val="000000"/>
              </a:solidFill>
              <a:latin typeface="Calibri"/>
              <a:ea typeface="Calibri"/>
              <a:cs typeface="Calibri"/>
            </a:defRPr>
          </a:pPr>
          <a:endParaRPr lang="en-US"/>
        </a:p>
      </c:txPr>
    </c:legend>
    <c:plotVisOnly val="1"/>
    <c:dispBlanksAs val="gap"/>
    <c:showDLblsOverMax val="0"/>
  </c:chart>
  <c:spPr>
    <a:solidFill>
      <a:schemeClr val="bg1"/>
    </a:solidFill>
    <a:ln w="9525" cap="flat" cmpd="sng" algn="ctr">
      <a:noFill/>
      <a:round/>
    </a:ln>
    <a:effectLst/>
  </c:spPr>
  <c:txPr>
    <a:bodyPr/>
    <a:lstStyle/>
    <a:p>
      <a:pPr>
        <a:defRPr sz="11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charts/chart17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ser>
          <c:idx val="0"/>
          <c:order val="0"/>
          <c:tx>
            <c:strRef>
              <c:f>'Electricity report'!$L$1183</c:f>
              <c:strCache>
                <c:ptCount val="1"/>
                <c:pt idx="0">
                  <c:v>Low Season Tariff</c:v>
                </c:pt>
              </c:strCache>
            </c:strRef>
          </c:tx>
          <c:spPr>
            <a:solidFill>
              <a:srgbClr val="4472C4"/>
            </a:solidFill>
            <a:ln w="25400">
              <a:noFill/>
            </a:ln>
          </c:spPr>
          <c:invertIfNegative val="0"/>
          <c:dLbls>
            <c:spPr>
              <a:noFill/>
              <a:ln w="25400">
                <a:noFill/>
              </a:ln>
            </c:spPr>
            <c:txPr>
              <a:bodyPr wrap="square" lIns="38100" tIns="19050" rIns="38100" bIns="19050" anchor="ctr">
                <a:spAutoFit/>
              </a:bodyPr>
              <a:lstStyle/>
              <a:p>
                <a:pPr>
                  <a:defRPr sz="900" b="0" i="0" u="none" strike="noStrike" baseline="0">
                    <a:solidFill>
                      <a:srgbClr val="333333"/>
                    </a:solidFill>
                    <a:latin typeface="Calibri"/>
                    <a:ea typeface="Calibri"/>
                    <a:cs typeface="Calibri"/>
                  </a:defRPr>
                </a:pPr>
                <a:endParaRPr lang="en-US"/>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'Electricity report'!$K$1184:$K$1188</c:f>
              <c:strCache>
                <c:ptCount val="5"/>
                <c:pt idx="0">
                  <c:v>0</c:v>
                </c:pt>
                <c:pt idx="1">
                  <c:v>0</c:v>
                </c:pt>
                <c:pt idx="2">
                  <c:v>0</c:v>
                </c:pt>
                <c:pt idx="3">
                  <c:v>0</c:v>
                </c:pt>
                <c:pt idx="4">
                  <c:v>More</c:v>
                </c:pt>
              </c:strCache>
            </c:strRef>
          </c:cat>
          <c:val>
            <c:numRef>
              <c:f>'Electricity report'!$L$1184:$L$1188</c:f>
              <c:numCache>
                <c:formatCode>_(* #,##0.00_);_(* \(#,##0.00\);_(* "-"??_);_(@_)</c:formatCode>
                <c:ptCount val="5"/>
                <c:pt idx="0">
                  <c:v>0</c:v>
                </c:pt>
                <c:pt idx="1">
                  <c:v>0</c:v>
                </c:pt>
                <c:pt idx="2">
                  <c:v>0</c:v>
                </c:pt>
                <c:pt idx="3">
                  <c:v>0</c:v>
                </c:pt>
                <c:pt idx="4">
                  <c:v>0</c:v>
                </c:pt>
              </c:numCache>
            </c:numRef>
          </c:val>
          <c:extLst>
            <c:ext xmlns:c16="http://schemas.microsoft.com/office/drawing/2014/chart" uri="{C3380CC4-5D6E-409C-BE32-E72D297353CC}">
              <c16:uniqueId val="{00000000-71BD-4F89-B9D0-1A004BFE7F66}"/>
            </c:ext>
          </c:extLst>
        </c:ser>
        <c:ser>
          <c:idx val="1"/>
          <c:order val="1"/>
          <c:tx>
            <c:strRef>
              <c:f>'Electricity report'!$M$1183</c:f>
              <c:strCache>
                <c:ptCount val="1"/>
                <c:pt idx="0">
                  <c:v>High Season Tariff</c:v>
                </c:pt>
              </c:strCache>
            </c:strRef>
          </c:tx>
          <c:spPr>
            <a:solidFill>
              <a:srgbClr val="ED7D31"/>
            </a:solidFill>
            <a:ln w="25400">
              <a:noFill/>
            </a:ln>
          </c:spPr>
          <c:invertIfNegative val="0"/>
          <c:dLbls>
            <c:spPr>
              <a:noFill/>
              <a:ln w="25400">
                <a:noFill/>
              </a:ln>
            </c:spPr>
            <c:txPr>
              <a:bodyPr wrap="square" lIns="38100" tIns="19050" rIns="38100" bIns="19050" anchor="ctr">
                <a:spAutoFit/>
              </a:bodyPr>
              <a:lstStyle/>
              <a:p>
                <a:pPr>
                  <a:defRPr sz="900" b="0" i="0" u="none" strike="noStrike" baseline="0">
                    <a:solidFill>
                      <a:srgbClr val="333333"/>
                    </a:solidFill>
                    <a:latin typeface="Calibri"/>
                    <a:ea typeface="Calibri"/>
                    <a:cs typeface="Calibri"/>
                  </a:defRPr>
                </a:pPr>
                <a:endParaRPr lang="en-US"/>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'Electricity report'!$K$1184:$K$1188</c:f>
              <c:strCache>
                <c:ptCount val="5"/>
                <c:pt idx="0">
                  <c:v>0</c:v>
                </c:pt>
                <c:pt idx="1">
                  <c:v>0</c:v>
                </c:pt>
                <c:pt idx="2">
                  <c:v>0</c:v>
                </c:pt>
                <c:pt idx="3">
                  <c:v>0</c:v>
                </c:pt>
                <c:pt idx="4">
                  <c:v>More</c:v>
                </c:pt>
              </c:strCache>
            </c:strRef>
          </c:cat>
          <c:val>
            <c:numRef>
              <c:f>'Electricity report'!$M$1184:$M$1188</c:f>
              <c:numCache>
                <c:formatCode>_(* #,##0.00_);_(* \(#,##0.00\);_(* "-"??_);_(@_)</c:formatCode>
                <c:ptCount val="5"/>
                <c:pt idx="0">
                  <c:v>0</c:v>
                </c:pt>
                <c:pt idx="1">
                  <c:v>0</c:v>
                </c:pt>
                <c:pt idx="2">
                  <c:v>0</c:v>
                </c:pt>
                <c:pt idx="3">
                  <c:v>0</c:v>
                </c:pt>
                <c:pt idx="4">
                  <c:v>0</c:v>
                </c:pt>
              </c:numCache>
            </c:numRef>
          </c:val>
          <c:extLst>
            <c:ext xmlns:c16="http://schemas.microsoft.com/office/drawing/2014/chart" uri="{C3380CC4-5D6E-409C-BE32-E72D297353CC}">
              <c16:uniqueId val="{00000001-71BD-4F89-B9D0-1A004BFE7F66}"/>
            </c:ext>
          </c:extLst>
        </c:ser>
        <c:dLbls>
          <c:showLegendKey val="0"/>
          <c:showVal val="0"/>
          <c:showCatName val="0"/>
          <c:showSerName val="0"/>
          <c:showPercent val="0"/>
          <c:showBubbleSize val="0"/>
        </c:dLbls>
        <c:gapWidth val="50"/>
        <c:axId val="1364736591"/>
        <c:axId val="1"/>
      </c:barChart>
      <c:lineChart>
        <c:grouping val="standard"/>
        <c:varyColors val="0"/>
        <c:ser>
          <c:idx val="2"/>
          <c:order val="2"/>
          <c:tx>
            <c:strRef>
              <c:f>'Electricity report'!$N$1183</c:f>
              <c:strCache>
                <c:ptCount val="1"/>
                <c:pt idx="0">
                  <c:v>Total cost per kl </c:v>
                </c:pt>
              </c:strCache>
            </c:strRef>
          </c:tx>
          <c:spPr>
            <a:ln w="28575" cap="rnd">
              <a:solidFill>
                <a:schemeClr val="accent3"/>
              </a:solidFill>
              <a:round/>
            </a:ln>
            <a:effectLst/>
          </c:spPr>
          <c:marker>
            <c:symbol val="none"/>
          </c:marker>
          <c:val>
            <c:numRef>
              <c:f>'Electricity report'!$N$1184:$N$1188</c:f>
              <c:numCache>
                <c:formatCode>_(* #,##0.00_);_(* \(#,##0.00\);_(* "-"??_);_(@_)</c:formatCode>
                <c:ptCount val="5"/>
                <c:pt idx="0">
                  <c:v>0</c:v>
                </c:pt>
                <c:pt idx="1">
                  <c:v>0</c:v>
                </c:pt>
                <c:pt idx="2">
                  <c:v>0</c:v>
                </c:pt>
                <c:pt idx="3">
                  <c:v>0</c:v>
                </c:pt>
                <c:pt idx="4">
                  <c:v>0</c:v>
                </c:pt>
              </c:numCache>
            </c:numRef>
          </c:val>
          <c:smooth val="0"/>
          <c:extLst>
            <c:ext xmlns:c16="http://schemas.microsoft.com/office/drawing/2014/chart" uri="{C3380CC4-5D6E-409C-BE32-E72D297353CC}">
              <c16:uniqueId val="{00000002-71BD-4F89-B9D0-1A004BFE7F66}"/>
            </c:ext>
          </c:extLst>
        </c:ser>
        <c:ser>
          <c:idx val="3"/>
          <c:order val="3"/>
          <c:tx>
            <c:strRef>
              <c:f>'Electricity report'!$O$1183</c:f>
              <c:strCache>
                <c:ptCount val="1"/>
                <c:pt idx="0">
                  <c:v>Variable cost per kWh</c:v>
                </c:pt>
              </c:strCache>
            </c:strRef>
          </c:tx>
          <c:spPr>
            <a:ln w="28575" cap="rnd">
              <a:solidFill>
                <a:schemeClr val="accent4"/>
              </a:solidFill>
              <a:round/>
            </a:ln>
            <a:effectLst/>
          </c:spPr>
          <c:marker>
            <c:symbol val="none"/>
          </c:marker>
          <c:val>
            <c:numRef>
              <c:f>'Electricity report'!$O$1184:$O$1188</c:f>
              <c:numCache>
                <c:formatCode>_(* #,##0.00_);_(* \(#,##0.00\);_(* "-"??_);_(@_)</c:formatCode>
                <c:ptCount val="5"/>
                <c:pt idx="0">
                  <c:v>0</c:v>
                </c:pt>
                <c:pt idx="1">
                  <c:v>0</c:v>
                </c:pt>
                <c:pt idx="2">
                  <c:v>0</c:v>
                </c:pt>
                <c:pt idx="3">
                  <c:v>0</c:v>
                </c:pt>
                <c:pt idx="4">
                  <c:v>0</c:v>
                </c:pt>
              </c:numCache>
            </c:numRef>
          </c:val>
          <c:smooth val="0"/>
          <c:extLst>
            <c:ext xmlns:c16="http://schemas.microsoft.com/office/drawing/2014/chart" uri="{C3380CC4-5D6E-409C-BE32-E72D297353CC}">
              <c16:uniqueId val="{00000003-71BD-4F89-B9D0-1A004BFE7F66}"/>
            </c:ext>
          </c:extLst>
        </c:ser>
        <c:dLbls>
          <c:showLegendKey val="0"/>
          <c:showVal val="0"/>
          <c:showCatName val="0"/>
          <c:showSerName val="0"/>
          <c:showPercent val="0"/>
          <c:showBubbleSize val="0"/>
        </c:dLbls>
        <c:marker val="1"/>
        <c:smooth val="0"/>
        <c:axId val="1364736591"/>
        <c:axId val="1"/>
      </c:lineChart>
      <c:catAx>
        <c:axId val="1364736591"/>
        <c:scaling>
          <c:orientation val="minMax"/>
        </c:scaling>
        <c:delete val="0"/>
        <c:axPos val="b"/>
        <c:title>
          <c:tx>
            <c:rich>
              <a:bodyPr/>
              <a:lstStyle/>
              <a:p>
                <a:pPr>
                  <a:defRPr sz="1000" b="0" i="0" u="none" strike="noStrike" baseline="0">
                    <a:solidFill>
                      <a:srgbClr val="333333"/>
                    </a:solidFill>
                    <a:latin typeface="Calibri"/>
                    <a:ea typeface="Calibri"/>
                    <a:cs typeface="Calibri"/>
                  </a:defRPr>
                </a:pPr>
                <a:r>
                  <a:rPr lang="en-ZA"/>
                  <a:t>Block size</a:t>
                </a:r>
              </a:p>
            </c:rich>
          </c:tx>
          <c:overlay val="0"/>
          <c:spPr>
            <a:noFill/>
            <a:ln w="25400">
              <a:noFill/>
            </a:ln>
          </c:spPr>
        </c:title>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0" vert="horz"/>
          <a:lstStyle/>
          <a:p>
            <a:pPr>
              <a:defRPr sz="900" b="0" i="0" u="none" strike="noStrike" baseline="0">
                <a:solidFill>
                  <a:srgbClr val="333333"/>
                </a:solidFill>
                <a:latin typeface="Calibri"/>
                <a:ea typeface="Calibri"/>
                <a:cs typeface="Calibri"/>
              </a:defRPr>
            </a:pPr>
            <a:endParaRPr lang="en-US"/>
          </a:p>
        </c:txPr>
        <c:crossAx val="1"/>
        <c:crosses val="autoZero"/>
        <c:auto val="1"/>
        <c:lblAlgn val="ctr"/>
        <c:lblOffset val="100"/>
        <c:noMultiLvlLbl val="0"/>
      </c:catAx>
      <c:valAx>
        <c:axId val="1"/>
        <c:scaling>
          <c:orientation val="minMax"/>
        </c:scaling>
        <c:delete val="0"/>
        <c:axPos val="l"/>
        <c:majorGridlines>
          <c:spPr>
            <a:ln w="9525" cap="flat" cmpd="sng" algn="ctr">
              <a:solidFill>
                <a:schemeClr val="tx1">
                  <a:lumMod val="15000"/>
                  <a:lumOff val="85000"/>
                </a:schemeClr>
              </a:solidFill>
              <a:round/>
            </a:ln>
            <a:effectLst/>
          </c:spPr>
        </c:majorGridlines>
        <c:title>
          <c:tx>
            <c:rich>
              <a:bodyPr/>
              <a:lstStyle/>
              <a:p>
                <a:pPr>
                  <a:defRPr sz="1000" b="0" i="0" u="none" strike="noStrike" baseline="0">
                    <a:solidFill>
                      <a:srgbClr val="333333"/>
                    </a:solidFill>
                    <a:latin typeface="Calibri"/>
                    <a:ea typeface="Calibri"/>
                    <a:cs typeface="Calibri"/>
                  </a:defRPr>
                </a:pPr>
                <a:r>
                  <a:rPr lang="en-ZA"/>
                  <a:t>R/kWh</a:t>
                </a:r>
              </a:p>
            </c:rich>
          </c:tx>
          <c:overlay val="0"/>
          <c:spPr>
            <a:noFill/>
            <a:ln w="25400">
              <a:noFill/>
            </a:ln>
          </c:spPr>
        </c:title>
        <c:numFmt formatCode="_(* #,##0.00_);_(* \(#,##0.00\);_(* &quot;-&quot;??_);_(@_)" sourceLinked="1"/>
        <c:majorTickMark val="none"/>
        <c:minorTickMark val="none"/>
        <c:tickLblPos val="nextTo"/>
        <c:spPr>
          <a:ln w="6350">
            <a:noFill/>
          </a:ln>
        </c:spPr>
        <c:txPr>
          <a:bodyPr rot="0" vert="horz"/>
          <a:lstStyle/>
          <a:p>
            <a:pPr>
              <a:defRPr sz="900" b="0" i="0" u="none" strike="noStrike" baseline="0">
                <a:solidFill>
                  <a:srgbClr val="333333"/>
                </a:solidFill>
                <a:latin typeface="Calibri"/>
                <a:ea typeface="Calibri"/>
                <a:cs typeface="Calibri"/>
              </a:defRPr>
            </a:pPr>
            <a:endParaRPr lang="en-US"/>
          </a:p>
        </c:txPr>
        <c:crossAx val="1364736591"/>
        <c:crosses val="autoZero"/>
        <c:crossBetween val="between"/>
      </c:valAx>
      <c:spPr>
        <a:noFill/>
        <a:ln w="25400">
          <a:noFill/>
        </a:ln>
      </c:spPr>
    </c:plotArea>
    <c:legend>
      <c:legendPos val="r"/>
      <c:layout>
        <c:manualLayout>
          <c:xMode val="edge"/>
          <c:yMode val="edge"/>
          <c:x val="4.7023424579764522E-2"/>
          <c:y val="0.92826131183362848"/>
          <c:w val="0.90128222216737008"/>
          <c:h val="5.2633337100804978E-2"/>
        </c:manualLayout>
      </c:layout>
      <c:overlay val="0"/>
      <c:spPr>
        <a:noFill/>
        <a:ln w="25400">
          <a:noFill/>
        </a:ln>
      </c:spPr>
      <c:txPr>
        <a:bodyPr/>
        <a:lstStyle/>
        <a:p>
          <a:pPr>
            <a:defRPr sz="690" b="0" i="0" u="none" strike="noStrike" baseline="0">
              <a:solidFill>
                <a:srgbClr val="333333"/>
              </a:solidFill>
              <a:latin typeface="Calibri"/>
              <a:ea typeface="Calibri"/>
              <a:cs typeface="Calibri"/>
            </a:defRPr>
          </a:pPr>
          <a:endParaRPr lang="en-US"/>
        </a:p>
      </c:txPr>
    </c:legend>
    <c:plotVisOnly val="1"/>
    <c:dispBlanksAs val="gap"/>
    <c:showDLblsOverMax val="0"/>
  </c:chart>
  <c:spPr>
    <a:solidFill>
      <a:schemeClr val="bg1"/>
    </a:solidFill>
    <a:ln w="9525" cap="flat" cmpd="sng" algn="ctr">
      <a:noFill/>
      <a:round/>
    </a:ln>
    <a:effectLst/>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charts/chart17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2.3871527777777776E-2"/>
          <c:y val="4.7786414907172239E-2"/>
          <c:w val="0.57559123468941387"/>
          <c:h val="0.83529592857692603"/>
        </c:manualLayout>
      </c:layout>
      <c:barChart>
        <c:barDir val="col"/>
        <c:grouping val="stacked"/>
        <c:varyColors val="0"/>
        <c:ser>
          <c:idx val="0"/>
          <c:order val="0"/>
          <c:tx>
            <c:strRef>
              <c:f>'Electricity report'!$J$1230</c:f>
              <c:strCache>
                <c:ptCount val="1"/>
                <c:pt idx="0">
                  <c:v>Customer costs </c:v>
                </c:pt>
              </c:strCache>
            </c:strRef>
          </c:tx>
          <c:spPr>
            <a:solidFill>
              <a:srgbClr val="4472C4"/>
            </a:solidFill>
            <a:ln w="25400">
              <a:noFill/>
            </a:ln>
          </c:spPr>
          <c:invertIfNegative val="0"/>
          <c:dPt>
            <c:idx val="0"/>
            <c:invertIfNegative val="0"/>
            <c:bubble3D val="0"/>
            <c:spPr>
              <a:solidFill>
                <a:srgbClr val="5B9BD5"/>
              </a:solidFill>
              <a:ln w="25400">
                <a:noFill/>
              </a:ln>
            </c:spPr>
            <c:extLst>
              <c:ext xmlns:c16="http://schemas.microsoft.com/office/drawing/2014/chart" uri="{C3380CC4-5D6E-409C-BE32-E72D297353CC}">
                <c16:uniqueId val="{00000000-CDA6-4FFF-BFB1-18972FB03354}"/>
              </c:ext>
            </c:extLst>
          </c:dPt>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'Electricity report'!$K$1229:$L$1229</c:f>
              <c:strCache>
                <c:ptCount val="2"/>
                <c:pt idx="0">
                  <c:v>Expenditure R'000</c:v>
                </c:pt>
                <c:pt idx="1">
                  <c:v>Revenue R'000</c:v>
                </c:pt>
              </c:strCache>
            </c:strRef>
          </c:cat>
          <c:val>
            <c:numRef>
              <c:f>'Electricity report'!$K$1230:$L$1230</c:f>
              <c:numCache>
                <c:formatCode>General</c:formatCode>
                <c:ptCount val="2"/>
                <c:pt idx="0" formatCode="_-* #\ ##0_-;\-* #\ ##0_-;_-* &quot;-&quot;??_-;_-@_-">
                  <c:v>0</c:v>
                </c:pt>
              </c:numCache>
            </c:numRef>
          </c:val>
          <c:extLst>
            <c:ext xmlns:c16="http://schemas.microsoft.com/office/drawing/2014/chart" uri="{C3380CC4-5D6E-409C-BE32-E72D297353CC}">
              <c16:uniqueId val="{00000001-CDA6-4FFF-BFB1-18972FB03354}"/>
            </c:ext>
          </c:extLst>
        </c:ser>
        <c:ser>
          <c:idx val="1"/>
          <c:order val="1"/>
          <c:tx>
            <c:strRef>
              <c:f>'Electricity report'!$J$1231</c:f>
              <c:strCache>
                <c:ptCount val="1"/>
                <c:pt idx="0">
                  <c:v>Energy costs</c:v>
                </c:pt>
              </c:strCache>
            </c:strRef>
          </c:tx>
          <c:spPr>
            <a:solidFill>
              <a:schemeClr val="accent5">
                <a:lumMod val="60000"/>
                <a:lumOff val="40000"/>
              </a:schemeClr>
            </a:solidFill>
            <a:ln>
              <a:noFill/>
            </a:ln>
            <a:effectLst/>
          </c:spPr>
          <c:invertIfNegative val="0"/>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'Electricity report'!$K$1229:$L$1229</c:f>
              <c:strCache>
                <c:ptCount val="2"/>
                <c:pt idx="0">
                  <c:v>Expenditure R'000</c:v>
                </c:pt>
                <c:pt idx="1">
                  <c:v>Revenue R'000</c:v>
                </c:pt>
              </c:strCache>
            </c:strRef>
          </c:cat>
          <c:val>
            <c:numRef>
              <c:f>'Electricity report'!$K$1231:$L$1231</c:f>
              <c:numCache>
                <c:formatCode>General</c:formatCode>
                <c:ptCount val="2"/>
                <c:pt idx="0" formatCode="_-* #\ ##0_-;\-* #\ ##0_-;_-* &quot;-&quot;??_-;_-@_-">
                  <c:v>0</c:v>
                </c:pt>
              </c:numCache>
            </c:numRef>
          </c:val>
          <c:extLst>
            <c:ext xmlns:c16="http://schemas.microsoft.com/office/drawing/2014/chart" uri="{C3380CC4-5D6E-409C-BE32-E72D297353CC}">
              <c16:uniqueId val="{00000002-CDA6-4FFF-BFB1-18972FB03354}"/>
            </c:ext>
          </c:extLst>
        </c:ser>
        <c:ser>
          <c:idx val="2"/>
          <c:order val="2"/>
          <c:tx>
            <c:strRef>
              <c:f>'Electricity report'!$J$1232</c:f>
              <c:strCache>
                <c:ptCount val="1"/>
                <c:pt idx="0">
                  <c:v>Demand cost</c:v>
                </c:pt>
              </c:strCache>
            </c:strRef>
          </c:tx>
          <c:spPr>
            <a:solidFill>
              <a:srgbClr val="A5A5A5"/>
            </a:solidFill>
            <a:ln w="25400">
              <a:noFill/>
            </a:ln>
          </c:spPr>
          <c:invertIfNegative val="0"/>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'Electricity report'!$K$1229:$L$1229</c:f>
              <c:strCache>
                <c:ptCount val="2"/>
                <c:pt idx="0">
                  <c:v>Expenditure R'000</c:v>
                </c:pt>
                <c:pt idx="1">
                  <c:v>Revenue R'000</c:v>
                </c:pt>
              </c:strCache>
            </c:strRef>
          </c:cat>
          <c:val>
            <c:numRef>
              <c:f>'Electricity report'!$K$1232:$L$1232</c:f>
              <c:numCache>
                <c:formatCode>General</c:formatCode>
                <c:ptCount val="2"/>
                <c:pt idx="0" formatCode="_-* #\ ##0_-;\-* #\ ##0_-;_-* &quot;-&quot;??_-;_-@_-">
                  <c:v>0</c:v>
                </c:pt>
              </c:numCache>
            </c:numRef>
          </c:val>
          <c:extLst>
            <c:ext xmlns:c16="http://schemas.microsoft.com/office/drawing/2014/chart" uri="{C3380CC4-5D6E-409C-BE32-E72D297353CC}">
              <c16:uniqueId val="{00000003-CDA6-4FFF-BFB1-18972FB03354}"/>
            </c:ext>
          </c:extLst>
        </c:ser>
        <c:ser>
          <c:idx val="4"/>
          <c:order val="3"/>
          <c:tx>
            <c:strRef>
              <c:f>'Electricity report'!$J$1233</c:f>
              <c:strCache>
                <c:ptCount val="1"/>
                <c:pt idx="0">
                  <c:v>Surplus</c:v>
                </c:pt>
              </c:strCache>
            </c:strRef>
          </c:tx>
          <c:spPr>
            <a:solidFill>
              <a:srgbClr val="5B9BD5"/>
            </a:solidFill>
            <a:ln w="25400">
              <a:noFill/>
            </a:ln>
          </c:spPr>
          <c:invertIfNegative val="0"/>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'Electricity report'!$K$1229:$L$1229</c:f>
              <c:strCache>
                <c:ptCount val="2"/>
                <c:pt idx="0">
                  <c:v>Expenditure R'000</c:v>
                </c:pt>
                <c:pt idx="1">
                  <c:v>Revenue R'000</c:v>
                </c:pt>
              </c:strCache>
            </c:strRef>
          </c:cat>
          <c:val>
            <c:numRef>
              <c:f>'Electricity report'!$K$1233:$L$1233</c:f>
              <c:numCache>
                <c:formatCode>General</c:formatCode>
                <c:ptCount val="2"/>
                <c:pt idx="0" formatCode="_-* #\ ##0_-;\-* #\ ##0_-;_-* &quot;-&quot;??_-;_-@_-">
                  <c:v>0</c:v>
                </c:pt>
              </c:numCache>
            </c:numRef>
          </c:val>
          <c:extLst>
            <c:ext xmlns:c16="http://schemas.microsoft.com/office/drawing/2014/chart" uri="{C3380CC4-5D6E-409C-BE32-E72D297353CC}">
              <c16:uniqueId val="{00000004-CDA6-4FFF-BFB1-18972FB03354}"/>
            </c:ext>
          </c:extLst>
        </c:ser>
        <c:ser>
          <c:idx val="5"/>
          <c:order val="4"/>
          <c:tx>
            <c:strRef>
              <c:f>'Electricity report'!$J$1234</c:f>
              <c:strCache>
                <c:ptCount val="1"/>
                <c:pt idx="0">
                  <c:v>Tariff revenue</c:v>
                </c:pt>
              </c:strCache>
            </c:strRef>
          </c:tx>
          <c:spPr>
            <a:solidFill>
              <a:srgbClr val="A5A5A5"/>
            </a:solidFill>
            <a:ln w="25400">
              <a:noFill/>
            </a:ln>
          </c:spPr>
          <c:invertIfNegative val="0"/>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'Electricity report'!$K$1229:$L$1229</c:f>
              <c:strCache>
                <c:ptCount val="2"/>
                <c:pt idx="0">
                  <c:v>Expenditure R'000</c:v>
                </c:pt>
                <c:pt idx="1">
                  <c:v>Revenue R'000</c:v>
                </c:pt>
              </c:strCache>
            </c:strRef>
          </c:cat>
          <c:val>
            <c:numRef>
              <c:f>'Electricity report'!$K$1234:$L$1234</c:f>
              <c:numCache>
                <c:formatCode>_-* #\ ##0_-;\-* #\ ##0_-;_-* "-"??_-;_-@_-</c:formatCode>
                <c:ptCount val="2"/>
                <c:pt idx="1">
                  <c:v>0</c:v>
                </c:pt>
              </c:numCache>
            </c:numRef>
          </c:val>
          <c:extLst>
            <c:ext xmlns:c16="http://schemas.microsoft.com/office/drawing/2014/chart" uri="{C3380CC4-5D6E-409C-BE32-E72D297353CC}">
              <c16:uniqueId val="{00000005-CDA6-4FFF-BFB1-18972FB03354}"/>
            </c:ext>
          </c:extLst>
        </c:ser>
        <c:ser>
          <c:idx val="3"/>
          <c:order val="5"/>
          <c:tx>
            <c:strRef>
              <c:f>'Electricity report'!$J$1235</c:f>
              <c:strCache>
                <c:ptCount val="1"/>
                <c:pt idx="0">
                  <c:v>External grants &amp; subsidies</c:v>
                </c:pt>
              </c:strCache>
            </c:strRef>
          </c:tx>
          <c:spPr>
            <a:solidFill>
              <a:schemeClr val="accent3">
                <a:lumMod val="40000"/>
                <a:lumOff val="60000"/>
              </a:schemeClr>
            </a:solidFill>
            <a:ln>
              <a:noFill/>
            </a:ln>
            <a:effectLst/>
          </c:spPr>
          <c:invertIfNegative val="0"/>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'Electricity report'!$K$1229:$L$1229</c:f>
              <c:strCache>
                <c:ptCount val="2"/>
                <c:pt idx="0">
                  <c:v>Expenditure R'000</c:v>
                </c:pt>
                <c:pt idx="1">
                  <c:v>Revenue R'000</c:v>
                </c:pt>
              </c:strCache>
            </c:strRef>
          </c:cat>
          <c:val>
            <c:numRef>
              <c:f>'Electricity report'!$K$1235:$L$1235</c:f>
              <c:numCache>
                <c:formatCode>_-* #\ ##0_-;\-* #\ ##0_-;_-* "-"??_-;_-@_-</c:formatCode>
                <c:ptCount val="2"/>
                <c:pt idx="1">
                  <c:v>0</c:v>
                </c:pt>
              </c:numCache>
            </c:numRef>
          </c:val>
          <c:extLst>
            <c:ext xmlns:c16="http://schemas.microsoft.com/office/drawing/2014/chart" uri="{C3380CC4-5D6E-409C-BE32-E72D297353CC}">
              <c16:uniqueId val="{00000006-CDA6-4FFF-BFB1-18972FB03354}"/>
            </c:ext>
          </c:extLst>
        </c:ser>
        <c:ser>
          <c:idx val="6"/>
          <c:order val="6"/>
          <c:tx>
            <c:strRef>
              <c:f>'Electricity report'!$J$1236</c:f>
              <c:strCache>
                <c:ptCount val="1"/>
                <c:pt idx="0">
                  <c:v>Other non-tariff revenue</c:v>
                </c:pt>
              </c:strCache>
            </c:strRef>
          </c:tx>
          <c:spPr>
            <a:solidFill>
              <a:srgbClr val="ED7D31"/>
            </a:solidFill>
            <a:ln w="25400">
              <a:noFill/>
            </a:ln>
          </c:spPr>
          <c:invertIfNegative val="0"/>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'Electricity report'!$K$1229:$L$1229</c:f>
              <c:strCache>
                <c:ptCount val="2"/>
                <c:pt idx="0">
                  <c:v>Expenditure R'000</c:v>
                </c:pt>
                <c:pt idx="1">
                  <c:v>Revenue R'000</c:v>
                </c:pt>
              </c:strCache>
            </c:strRef>
          </c:cat>
          <c:val>
            <c:numRef>
              <c:f>'Electricity report'!$K$1236:$L$1236</c:f>
              <c:numCache>
                <c:formatCode>_-* #\ ##0_-;\-* #\ ##0_-;_-* "-"??_-;_-@_-</c:formatCode>
                <c:ptCount val="2"/>
                <c:pt idx="1">
                  <c:v>0</c:v>
                </c:pt>
              </c:numCache>
            </c:numRef>
          </c:val>
          <c:extLst>
            <c:ext xmlns:c16="http://schemas.microsoft.com/office/drawing/2014/chart" uri="{C3380CC4-5D6E-409C-BE32-E72D297353CC}">
              <c16:uniqueId val="{00000007-CDA6-4FFF-BFB1-18972FB03354}"/>
            </c:ext>
          </c:extLst>
        </c:ser>
        <c:ser>
          <c:idx val="7"/>
          <c:order val="7"/>
          <c:tx>
            <c:strRef>
              <c:f>'Electricity report'!$J$1237</c:f>
              <c:strCache>
                <c:ptCount val="1"/>
                <c:pt idx="0">
                  <c:v>Deficit</c:v>
                </c:pt>
              </c:strCache>
            </c:strRef>
          </c:tx>
          <c:spPr>
            <a:solidFill>
              <a:srgbClr val="4472C4"/>
            </a:solidFill>
            <a:ln w="25400">
              <a:noFill/>
            </a:ln>
          </c:spPr>
          <c:invertIfNegative val="0"/>
          <c:dPt>
            <c:idx val="0"/>
            <c:invertIfNegative val="0"/>
            <c:bubble3D val="0"/>
            <c:spPr>
              <a:solidFill>
                <a:srgbClr val="5B9BD5"/>
              </a:solidFill>
              <a:ln w="25400">
                <a:noFill/>
              </a:ln>
            </c:spPr>
            <c:extLst>
              <c:ext xmlns:c16="http://schemas.microsoft.com/office/drawing/2014/chart" uri="{C3380CC4-5D6E-409C-BE32-E72D297353CC}">
                <c16:uniqueId val="{00000008-CDA6-4FFF-BFB1-18972FB03354}"/>
              </c:ext>
            </c:extLst>
          </c:dPt>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'Electricity report'!$K$1229:$L$1229</c:f>
              <c:strCache>
                <c:ptCount val="2"/>
                <c:pt idx="0">
                  <c:v>Expenditure R'000</c:v>
                </c:pt>
                <c:pt idx="1">
                  <c:v>Revenue R'000</c:v>
                </c:pt>
              </c:strCache>
            </c:strRef>
          </c:cat>
          <c:val>
            <c:numRef>
              <c:f>'Electricity report'!$K$1237:$L$1237</c:f>
              <c:numCache>
                <c:formatCode>_-* #\ ##0_-;\-* #\ ##0_-;_-* "-"??_-;_-@_-</c:formatCode>
                <c:ptCount val="2"/>
                <c:pt idx="1">
                  <c:v>0</c:v>
                </c:pt>
              </c:numCache>
            </c:numRef>
          </c:val>
          <c:extLst>
            <c:ext xmlns:c16="http://schemas.microsoft.com/office/drawing/2014/chart" uri="{C3380CC4-5D6E-409C-BE32-E72D297353CC}">
              <c16:uniqueId val="{00000009-CDA6-4FFF-BFB1-18972FB03354}"/>
            </c:ext>
          </c:extLst>
        </c:ser>
        <c:dLbls>
          <c:showLegendKey val="0"/>
          <c:showVal val="0"/>
          <c:showCatName val="0"/>
          <c:showSerName val="0"/>
          <c:showPercent val="0"/>
          <c:showBubbleSize val="0"/>
        </c:dLbls>
        <c:gapWidth val="25"/>
        <c:overlap val="100"/>
        <c:axId val="1364734191"/>
        <c:axId val="1"/>
      </c:barChart>
      <c:catAx>
        <c:axId val="1364734191"/>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0" vert="horz"/>
          <a:lstStyle/>
          <a:p>
            <a:pPr>
              <a:defRPr sz="1100" b="0" i="0" u="none" strike="noStrike" baseline="0">
                <a:solidFill>
                  <a:srgbClr val="000000"/>
                </a:solidFill>
                <a:latin typeface="Calibri"/>
                <a:ea typeface="Calibri"/>
                <a:cs typeface="Calibri"/>
              </a:defRPr>
            </a:pPr>
            <a:endParaRPr lang="en-US"/>
          </a:p>
        </c:txPr>
        <c:crossAx val="1"/>
        <c:crosses val="autoZero"/>
        <c:auto val="1"/>
        <c:lblAlgn val="ctr"/>
        <c:lblOffset val="100"/>
        <c:noMultiLvlLbl val="0"/>
      </c:catAx>
      <c:valAx>
        <c:axId val="1"/>
        <c:scaling>
          <c:orientation val="minMax"/>
        </c:scaling>
        <c:delete val="1"/>
        <c:axPos val="l"/>
        <c:majorGridlines>
          <c:spPr>
            <a:ln w="9525" cap="flat" cmpd="sng" algn="ctr">
              <a:solidFill>
                <a:schemeClr val="tx1">
                  <a:lumMod val="15000"/>
                  <a:lumOff val="85000"/>
                </a:schemeClr>
              </a:solidFill>
              <a:round/>
            </a:ln>
            <a:effectLst/>
          </c:spPr>
        </c:majorGridlines>
        <c:numFmt formatCode="_-* #\ ##0_-;\-* #\ ##0_-;_-* &quot;-&quot;??_-;_-@_-" sourceLinked="1"/>
        <c:majorTickMark val="out"/>
        <c:minorTickMark val="none"/>
        <c:tickLblPos val="nextTo"/>
        <c:crossAx val="1364734191"/>
        <c:crosses val="autoZero"/>
        <c:crossBetween val="between"/>
      </c:valAx>
    </c:plotArea>
    <c:legend>
      <c:legendPos val="r"/>
      <c:layout>
        <c:manualLayout>
          <c:xMode val="edge"/>
          <c:yMode val="edge"/>
          <c:x val="0.63225725892244689"/>
          <c:y val="0.19336013511906178"/>
          <c:w val="0.34899346501875061"/>
          <c:h val="0.70697306341239063"/>
        </c:manualLayout>
      </c:layout>
      <c:overlay val="0"/>
      <c:spPr>
        <a:noFill/>
        <a:ln w="25400">
          <a:noFill/>
        </a:ln>
      </c:spPr>
      <c:txPr>
        <a:bodyPr/>
        <a:lstStyle/>
        <a:p>
          <a:pPr>
            <a:defRPr sz="850" b="0" i="0" u="none" strike="noStrike" baseline="0">
              <a:solidFill>
                <a:srgbClr val="000000"/>
              </a:solidFill>
              <a:latin typeface="Calibri"/>
              <a:ea typeface="Calibri"/>
              <a:cs typeface="Calibri"/>
            </a:defRPr>
          </a:pPr>
          <a:endParaRPr lang="en-US"/>
        </a:p>
      </c:txPr>
    </c:legend>
    <c:plotVisOnly val="1"/>
    <c:dispBlanksAs val="gap"/>
    <c:showDLblsOverMax val="0"/>
  </c:chart>
  <c:spPr>
    <a:solidFill>
      <a:schemeClr val="bg1"/>
    </a:solidFill>
    <a:ln w="9525" cap="flat" cmpd="sng" algn="ctr">
      <a:noFill/>
      <a:round/>
    </a:ln>
    <a:effectLst/>
  </c:spPr>
  <c:txPr>
    <a:bodyPr/>
    <a:lstStyle/>
    <a:p>
      <a:pPr>
        <a:defRPr sz="11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charts/chart17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ser>
          <c:idx val="0"/>
          <c:order val="0"/>
          <c:tx>
            <c:strRef>
              <c:f>'Electricity report'!$L$1253</c:f>
              <c:strCache>
                <c:ptCount val="1"/>
                <c:pt idx="0">
                  <c:v>Low Season Tariff</c:v>
                </c:pt>
              </c:strCache>
            </c:strRef>
          </c:tx>
          <c:spPr>
            <a:solidFill>
              <a:srgbClr val="4472C4"/>
            </a:solidFill>
            <a:ln w="25400">
              <a:noFill/>
            </a:ln>
          </c:spPr>
          <c:invertIfNegative val="0"/>
          <c:dLbls>
            <c:spPr>
              <a:noFill/>
              <a:ln w="25400">
                <a:noFill/>
              </a:ln>
            </c:spPr>
            <c:txPr>
              <a:bodyPr wrap="square" lIns="38100" tIns="19050" rIns="38100" bIns="19050" anchor="ctr">
                <a:spAutoFit/>
              </a:bodyPr>
              <a:lstStyle/>
              <a:p>
                <a:pPr>
                  <a:defRPr sz="900" b="0" i="0" u="none" strike="noStrike" baseline="0">
                    <a:solidFill>
                      <a:srgbClr val="333333"/>
                    </a:solidFill>
                    <a:latin typeface="Calibri"/>
                    <a:ea typeface="Calibri"/>
                    <a:cs typeface="Calibri"/>
                  </a:defRPr>
                </a:pPr>
                <a:endParaRPr lang="en-US"/>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'Electricity report'!$K$1254:$K$1258</c:f>
              <c:strCache>
                <c:ptCount val="5"/>
                <c:pt idx="0">
                  <c:v>0</c:v>
                </c:pt>
                <c:pt idx="1">
                  <c:v>0</c:v>
                </c:pt>
                <c:pt idx="2">
                  <c:v>0</c:v>
                </c:pt>
                <c:pt idx="3">
                  <c:v>0</c:v>
                </c:pt>
                <c:pt idx="4">
                  <c:v>More</c:v>
                </c:pt>
              </c:strCache>
            </c:strRef>
          </c:cat>
          <c:val>
            <c:numRef>
              <c:f>'Electricity report'!$L$1254:$L$1258</c:f>
              <c:numCache>
                <c:formatCode>_(* #,##0.00_);_(* \(#,##0.00\);_(* "-"??_);_(@_)</c:formatCode>
                <c:ptCount val="5"/>
                <c:pt idx="0">
                  <c:v>0</c:v>
                </c:pt>
                <c:pt idx="1">
                  <c:v>0</c:v>
                </c:pt>
                <c:pt idx="2">
                  <c:v>0</c:v>
                </c:pt>
                <c:pt idx="3">
                  <c:v>0</c:v>
                </c:pt>
                <c:pt idx="4">
                  <c:v>0</c:v>
                </c:pt>
              </c:numCache>
            </c:numRef>
          </c:val>
          <c:extLst>
            <c:ext xmlns:c16="http://schemas.microsoft.com/office/drawing/2014/chart" uri="{C3380CC4-5D6E-409C-BE32-E72D297353CC}">
              <c16:uniqueId val="{00000000-A075-411C-A8FA-9330F22A1234}"/>
            </c:ext>
          </c:extLst>
        </c:ser>
        <c:ser>
          <c:idx val="1"/>
          <c:order val="1"/>
          <c:tx>
            <c:strRef>
              <c:f>'Electricity report'!$M$1253</c:f>
              <c:strCache>
                <c:ptCount val="1"/>
                <c:pt idx="0">
                  <c:v>High Season Tariff</c:v>
                </c:pt>
              </c:strCache>
            </c:strRef>
          </c:tx>
          <c:spPr>
            <a:solidFill>
              <a:srgbClr val="ED7D31"/>
            </a:solidFill>
            <a:ln w="25400">
              <a:noFill/>
            </a:ln>
          </c:spPr>
          <c:invertIfNegative val="0"/>
          <c:dLbls>
            <c:spPr>
              <a:noFill/>
              <a:ln w="25400">
                <a:noFill/>
              </a:ln>
            </c:spPr>
            <c:txPr>
              <a:bodyPr wrap="square" lIns="38100" tIns="19050" rIns="38100" bIns="19050" anchor="ctr">
                <a:spAutoFit/>
              </a:bodyPr>
              <a:lstStyle/>
              <a:p>
                <a:pPr>
                  <a:defRPr sz="900" b="0" i="0" u="none" strike="noStrike" baseline="0">
                    <a:solidFill>
                      <a:srgbClr val="333333"/>
                    </a:solidFill>
                    <a:latin typeface="Calibri"/>
                    <a:ea typeface="Calibri"/>
                    <a:cs typeface="Calibri"/>
                  </a:defRPr>
                </a:pPr>
                <a:endParaRPr lang="en-US"/>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'Electricity report'!$K$1254:$K$1258</c:f>
              <c:strCache>
                <c:ptCount val="5"/>
                <c:pt idx="0">
                  <c:v>0</c:v>
                </c:pt>
                <c:pt idx="1">
                  <c:v>0</c:v>
                </c:pt>
                <c:pt idx="2">
                  <c:v>0</c:v>
                </c:pt>
                <c:pt idx="3">
                  <c:v>0</c:v>
                </c:pt>
                <c:pt idx="4">
                  <c:v>More</c:v>
                </c:pt>
              </c:strCache>
            </c:strRef>
          </c:cat>
          <c:val>
            <c:numRef>
              <c:f>'Electricity report'!$M$1254:$M$1258</c:f>
              <c:numCache>
                <c:formatCode>_(* #,##0.00_);_(* \(#,##0.00\);_(* "-"??_);_(@_)</c:formatCode>
                <c:ptCount val="5"/>
                <c:pt idx="0">
                  <c:v>0</c:v>
                </c:pt>
                <c:pt idx="1">
                  <c:v>0</c:v>
                </c:pt>
                <c:pt idx="2">
                  <c:v>0</c:v>
                </c:pt>
                <c:pt idx="3">
                  <c:v>0</c:v>
                </c:pt>
                <c:pt idx="4">
                  <c:v>0</c:v>
                </c:pt>
              </c:numCache>
            </c:numRef>
          </c:val>
          <c:extLst>
            <c:ext xmlns:c16="http://schemas.microsoft.com/office/drawing/2014/chart" uri="{C3380CC4-5D6E-409C-BE32-E72D297353CC}">
              <c16:uniqueId val="{00000001-A075-411C-A8FA-9330F22A1234}"/>
            </c:ext>
          </c:extLst>
        </c:ser>
        <c:dLbls>
          <c:showLegendKey val="0"/>
          <c:showVal val="0"/>
          <c:showCatName val="0"/>
          <c:showSerName val="0"/>
          <c:showPercent val="0"/>
          <c:showBubbleSize val="0"/>
        </c:dLbls>
        <c:gapWidth val="50"/>
        <c:axId val="1364739471"/>
        <c:axId val="1"/>
      </c:barChart>
      <c:lineChart>
        <c:grouping val="standard"/>
        <c:varyColors val="0"/>
        <c:ser>
          <c:idx val="2"/>
          <c:order val="2"/>
          <c:tx>
            <c:strRef>
              <c:f>'Electricity report'!$N$1253</c:f>
              <c:strCache>
                <c:ptCount val="1"/>
                <c:pt idx="0">
                  <c:v>Total cost per kl </c:v>
                </c:pt>
              </c:strCache>
            </c:strRef>
          </c:tx>
          <c:spPr>
            <a:ln w="28575" cap="rnd">
              <a:solidFill>
                <a:schemeClr val="accent3"/>
              </a:solidFill>
              <a:round/>
            </a:ln>
            <a:effectLst/>
          </c:spPr>
          <c:marker>
            <c:symbol val="none"/>
          </c:marker>
          <c:val>
            <c:numRef>
              <c:f>'Electricity report'!$N$1254:$N$1258</c:f>
              <c:numCache>
                <c:formatCode>_(* #,##0.00_);_(* \(#,##0.00\);_(* "-"??_);_(@_)</c:formatCode>
                <c:ptCount val="5"/>
                <c:pt idx="0">
                  <c:v>0</c:v>
                </c:pt>
                <c:pt idx="1">
                  <c:v>0</c:v>
                </c:pt>
                <c:pt idx="2">
                  <c:v>0</c:v>
                </c:pt>
                <c:pt idx="3">
                  <c:v>0</c:v>
                </c:pt>
                <c:pt idx="4">
                  <c:v>0</c:v>
                </c:pt>
              </c:numCache>
            </c:numRef>
          </c:val>
          <c:smooth val="0"/>
          <c:extLst>
            <c:ext xmlns:c16="http://schemas.microsoft.com/office/drawing/2014/chart" uri="{C3380CC4-5D6E-409C-BE32-E72D297353CC}">
              <c16:uniqueId val="{00000002-A075-411C-A8FA-9330F22A1234}"/>
            </c:ext>
          </c:extLst>
        </c:ser>
        <c:ser>
          <c:idx val="3"/>
          <c:order val="3"/>
          <c:tx>
            <c:strRef>
              <c:f>'Electricity report'!$O$1253</c:f>
              <c:strCache>
                <c:ptCount val="1"/>
                <c:pt idx="0">
                  <c:v>Variable cost per kWh</c:v>
                </c:pt>
              </c:strCache>
            </c:strRef>
          </c:tx>
          <c:spPr>
            <a:ln w="28575" cap="rnd">
              <a:solidFill>
                <a:schemeClr val="accent4"/>
              </a:solidFill>
              <a:round/>
            </a:ln>
            <a:effectLst/>
          </c:spPr>
          <c:marker>
            <c:symbol val="none"/>
          </c:marker>
          <c:val>
            <c:numRef>
              <c:f>'Electricity report'!$O$1254:$O$1258</c:f>
              <c:numCache>
                <c:formatCode>_(* #,##0.00_);_(* \(#,##0.00\);_(* "-"??_);_(@_)</c:formatCode>
                <c:ptCount val="5"/>
                <c:pt idx="0">
                  <c:v>0</c:v>
                </c:pt>
                <c:pt idx="1">
                  <c:v>0</c:v>
                </c:pt>
                <c:pt idx="2">
                  <c:v>0</c:v>
                </c:pt>
                <c:pt idx="3">
                  <c:v>0</c:v>
                </c:pt>
                <c:pt idx="4">
                  <c:v>0</c:v>
                </c:pt>
              </c:numCache>
            </c:numRef>
          </c:val>
          <c:smooth val="0"/>
          <c:extLst>
            <c:ext xmlns:c16="http://schemas.microsoft.com/office/drawing/2014/chart" uri="{C3380CC4-5D6E-409C-BE32-E72D297353CC}">
              <c16:uniqueId val="{00000003-A075-411C-A8FA-9330F22A1234}"/>
            </c:ext>
          </c:extLst>
        </c:ser>
        <c:dLbls>
          <c:showLegendKey val="0"/>
          <c:showVal val="0"/>
          <c:showCatName val="0"/>
          <c:showSerName val="0"/>
          <c:showPercent val="0"/>
          <c:showBubbleSize val="0"/>
        </c:dLbls>
        <c:marker val="1"/>
        <c:smooth val="0"/>
        <c:axId val="1364739471"/>
        <c:axId val="1"/>
      </c:lineChart>
      <c:catAx>
        <c:axId val="1364739471"/>
        <c:scaling>
          <c:orientation val="minMax"/>
        </c:scaling>
        <c:delete val="0"/>
        <c:axPos val="b"/>
        <c:title>
          <c:tx>
            <c:rich>
              <a:bodyPr/>
              <a:lstStyle/>
              <a:p>
                <a:pPr>
                  <a:defRPr sz="1000" b="0" i="0" u="none" strike="noStrike" baseline="0">
                    <a:solidFill>
                      <a:srgbClr val="333333"/>
                    </a:solidFill>
                    <a:latin typeface="Calibri"/>
                    <a:ea typeface="Calibri"/>
                    <a:cs typeface="Calibri"/>
                  </a:defRPr>
                </a:pPr>
                <a:r>
                  <a:rPr lang="en-ZA"/>
                  <a:t>Block size</a:t>
                </a:r>
              </a:p>
            </c:rich>
          </c:tx>
          <c:overlay val="0"/>
          <c:spPr>
            <a:noFill/>
            <a:ln w="25400">
              <a:noFill/>
            </a:ln>
          </c:spPr>
        </c:title>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0" vert="horz"/>
          <a:lstStyle/>
          <a:p>
            <a:pPr>
              <a:defRPr sz="900" b="0" i="0" u="none" strike="noStrike" baseline="0">
                <a:solidFill>
                  <a:srgbClr val="333333"/>
                </a:solidFill>
                <a:latin typeface="Calibri"/>
                <a:ea typeface="Calibri"/>
                <a:cs typeface="Calibri"/>
              </a:defRPr>
            </a:pPr>
            <a:endParaRPr lang="en-US"/>
          </a:p>
        </c:txPr>
        <c:crossAx val="1"/>
        <c:crosses val="autoZero"/>
        <c:auto val="1"/>
        <c:lblAlgn val="ctr"/>
        <c:lblOffset val="100"/>
        <c:noMultiLvlLbl val="0"/>
      </c:catAx>
      <c:valAx>
        <c:axId val="1"/>
        <c:scaling>
          <c:orientation val="minMax"/>
        </c:scaling>
        <c:delete val="0"/>
        <c:axPos val="l"/>
        <c:majorGridlines>
          <c:spPr>
            <a:ln w="9525" cap="flat" cmpd="sng" algn="ctr">
              <a:solidFill>
                <a:schemeClr val="tx1">
                  <a:lumMod val="15000"/>
                  <a:lumOff val="85000"/>
                </a:schemeClr>
              </a:solidFill>
              <a:round/>
            </a:ln>
            <a:effectLst/>
          </c:spPr>
        </c:majorGridlines>
        <c:title>
          <c:tx>
            <c:rich>
              <a:bodyPr/>
              <a:lstStyle/>
              <a:p>
                <a:pPr>
                  <a:defRPr sz="1000" b="0" i="0" u="none" strike="noStrike" baseline="0">
                    <a:solidFill>
                      <a:srgbClr val="333333"/>
                    </a:solidFill>
                    <a:latin typeface="Calibri"/>
                    <a:ea typeface="Calibri"/>
                    <a:cs typeface="Calibri"/>
                  </a:defRPr>
                </a:pPr>
                <a:r>
                  <a:rPr lang="en-ZA"/>
                  <a:t>R/kWh</a:t>
                </a:r>
              </a:p>
            </c:rich>
          </c:tx>
          <c:overlay val="0"/>
          <c:spPr>
            <a:noFill/>
            <a:ln w="25400">
              <a:noFill/>
            </a:ln>
          </c:spPr>
        </c:title>
        <c:numFmt formatCode="_(* #,##0.00_);_(* \(#,##0.00\);_(* &quot;-&quot;??_);_(@_)" sourceLinked="1"/>
        <c:majorTickMark val="none"/>
        <c:minorTickMark val="none"/>
        <c:tickLblPos val="nextTo"/>
        <c:spPr>
          <a:ln w="6350">
            <a:noFill/>
          </a:ln>
        </c:spPr>
        <c:txPr>
          <a:bodyPr rot="0" vert="horz"/>
          <a:lstStyle/>
          <a:p>
            <a:pPr>
              <a:defRPr sz="900" b="0" i="0" u="none" strike="noStrike" baseline="0">
                <a:solidFill>
                  <a:srgbClr val="333333"/>
                </a:solidFill>
                <a:latin typeface="Calibri"/>
                <a:ea typeface="Calibri"/>
                <a:cs typeface="Calibri"/>
              </a:defRPr>
            </a:pPr>
            <a:endParaRPr lang="en-US"/>
          </a:p>
        </c:txPr>
        <c:crossAx val="1364739471"/>
        <c:crosses val="autoZero"/>
        <c:crossBetween val="between"/>
      </c:valAx>
      <c:spPr>
        <a:noFill/>
        <a:ln w="25400">
          <a:noFill/>
        </a:ln>
      </c:spPr>
    </c:plotArea>
    <c:legend>
      <c:legendPos val="r"/>
      <c:layout>
        <c:manualLayout>
          <c:xMode val="edge"/>
          <c:yMode val="edge"/>
          <c:x val="4.7023424579764522E-2"/>
          <c:y val="0.92826131183362848"/>
          <c:w val="0.90128222216737008"/>
          <c:h val="5.2633337100804978E-2"/>
        </c:manualLayout>
      </c:layout>
      <c:overlay val="0"/>
      <c:spPr>
        <a:noFill/>
        <a:ln w="25400">
          <a:noFill/>
        </a:ln>
      </c:spPr>
      <c:txPr>
        <a:bodyPr/>
        <a:lstStyle/>
        <a:p>
          <a:pPr>
            <a:defRPr sz="690" b="0" i="0" u="none" strike="noStrike" baseline="0">
              <a:solidFill>
                <a:srgbClr val="333333"/>
              </a:solidFill>
              <a:latin typeface="Calibri"/>
              <a:ea typeface="Calibri"/>
              <a:cs typeface="Calibri"/>
            </a:defRPr>
          </a:pPr>
          <a:endParaRPr lang="en-US"/>
        </a:p>
      </c:txPr>
    </c:legend>
    <c:plotVisOnly val="1"/>
    <c:dispBlanksAs val="gap"/>
    <c:showDLblsOverMax val="0"/>
  </c:chart>
  <c:spPr>
    <a:solidFill>
      <a:schemeClr val="bg1"/>
    </a:solidFill>
    <a:ln w="9525" cap="flat" cmpd="sng" algn="ctr">
      <a:noFill/>
      <a:round/>
    </a:ln>
    <a:effectLst/>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charts/chart17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2.3871527777777776E-2"/>
          <c:y val="4.7786414907172239E-2"/>
          <c:w val="0.57559123468941387"/>
          <c:h val="0.83529592857692603"/>
        </c:manualLayout>
      </c:layout>
      <c:barChart>
        <c:barDir val="col"/>
        <c:grouping val="stacked"/>
        <c:varyColors val="0"/>
        <c:ser>
          <c:idx val="0"/>
          <c:order val="0"/>
          <c:tx>
            <c:strRef>
              <c:f>'Electricity report'!$J$1300</c:f>
              <c:strCache>
                <c:ptCount val="1"/>
                <c:pt idx="0">
                  <c:v>Customer costs </c:v>
                </c:pt>
              </c:strCache>
            </c:strRef>
          </c:tx>
          <c:spPr>
            <a:solidFill>
              <a:srgbClr val="4472C4"/>
            </a:solidFill>
            <a:ln w="25400">
              <a:noFill/>
            </a:ln>
          </c:spPr>
          <c:invertIfNegative val="0"/>
          <c:dPt>
            <c:idx val="0"/>
            <c:invertIfNegative val="0"/>
            <c:bubble3D val="0"/>
            <c:spPr>
              <a:solidFill>
                <a:srgbClr val="5B9BD5"/>
              </a:solidFill>
              <a:ln w="25400">
                <a:noFill/>
              </a:ln>
            </c:spPr>
            <c:extLst>
              <c:ext xmlns:c16="http://schemas.microsoft.com/office/drawing/2014/chart" uri="{C3380CC4-5D6E-409C-BE32-E72D297353CC}">
                <c16:uniqueId val="{00000000-5983-43A8-AAF7-B794081219D7}"/>
              </c:ext>
            </c:extLst>
          </c:dPt>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'Electricity report'!$K$1299:$L$1299</c:f>
              <c:strCache>
                <c:ptCount val="2"/>
                <c:pt idx="0">
                  <c:v>Expenditure R'000</c:v>
                </c:pt>
                <c:pt idx="1">
                  <c:v>Revenue R'000</c:v>
                </c:pt>
              </c:strCache>
            </c:strRef>
          </c:cat>
          <c:val>
            <c:numRef>
              <c:f>'Electricity report'!$K$1300:$L$1300</c:f>
              <c:numCache>
                <c:formatCode>General</c:formatCode>
                <c:ptCount val="2"/>
                <c:pt idx="0" formatCode="_-* #\ ##0_-;\-* #\ ##0_-;_-* &quot;-&quot;??_-;_-@_-">
                  <c:v>0</c:v>
                </c:pt>
              </c:numCache>
            </c:numRef>
          </c:val>
          <c:extLst>
            <c:ext xmlns:c16="http://schemas.microsoft.com/office/drawing/2014/chart" uri="{C3380CC4-5D6E-409C-BE32-E72D297353CC}">
              <c16:uniqueId val="{00000001-5983-43A8-AAF7-B794081219D7}"/>
            </c:ext>
          </c:extLst>
        </c:ser>
        <c:ser>
          <c:idx val="1"/>
          <c:order val="1"/>
          <c:tx>
            <c:strRef>
              <c:f>'Electricity report'!$J$1301</c:f>
              <c:strCache>
                <c:ptCount val="1"/>
                <c:pt idx="0">
                  <c:v>Energy costs</c:v>
                </c:pt>
              </c:strCache>
            </c:strRef>
          </c:tx>
          <c:spPr>
            <a:solidFill>
              <a:schemeClr val="accent5">
                <a:lumMod val="60000"/>
                <a:lumOff val="40000"/>
              </a:schemeClr>
            </a:solidFill>
            <a:ln>
              <a:noFill/>
            </a:ln>
            <a:effectLst/>
          </c:spPr>
          <c:invertIfNegative val="0"/>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'Electricity report'!$K$1299:$L$1299</c:f>
              <c:strCache>
                <c:ptCount val="2"/>
                <c:pt idx="0">
                  <c:v>Expenditure R'000</c:v>
                </c:pt>
                <c:pt idx="1">
                  <c:v>Revenue R'000</c:v>
                </c:pt>
              </c:strCache>
            </c:strRef>
          </c:cat>
          <c:val>
            <c:numRef>
              <c:f>'Electricity report'!$K$1301:$L$1301</c:f>
              <c:numCache>
                <c:formatCode>General</c:formatCode>
                <c:ptCount val="2"/>
                <c:pt idx="0" formatCode="_-* #\ ##0_-;\-* #\ ##0_-;_-* &quot;-&quot;??_-;_-@_-">
                  <c:v>0</c:v>
                </c:pt>
              </c:numCache>
            </c:numRef>
          </c:val>
          <c:extLst>
            <c:ext xmlns:c16="http://schemas.microsoft.com/office/drawing/2014/chart" uri="{C3380CC4-5D6E-409C-BE32-E72D297353CC}">
              <c16:uniqueId val="{00000002-5983-43A8-AAF7-B794081219D7}"/>
            </c:ext>
          </c:extLst>
        </c:ser>
        <c:ser>
          <c:idx val="2"/>
          <c:order val="2"/>
          <c:tx>
            <c:strRef>
              <c:f>'Electricity report'!$J$1302</c:f>
              <c:strCache>
                <c:ptCount val="1"/>
                <c:pt idx="0">
                  <c:v>Demand cost</c:v>
                </c:pt>
              </c:strCache>
            </c:strRef>
          </c:tx>
          <c:spPr>
            <a:solidFill>
              <a:srgbClr val="A5A5A5"/>
            </a:solidFill>
            <a:ln w="25400">
              <a:noFill/>
            </a:ln>
          </c:spPr>
          <c:invertIfNegative val="0"/>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'Electricity report'!$K$1299:$L$1299</c:f>
              <c:strCache>
                <c:ptCount val="2"/>
                <c:pt idx="0">
                  <c:v>Expenditure R'000</c:v>
                </c:pt>
                <c:pt idx="1">
                  <c:v>Revenue R'000</c:v>
                </c:pt>
              </c:strCache>
            </c:strRef>
          </c:cat>
          <c:val>
            <c:numRef>
              <c:f>'Electricity report'!$K$1302:$L$1302</c:f>
              <c:numCache>
                <c:formatCode>General</c:formatCode>
                <c:ptCount val="2"/>
                <c:pt idx="0" formatCode="_-* #\ ##0_-;\-* #\ ##0_-;_-* &quot;-&quot;??_-;_-@_-">
                  <c:v>0</c:v>
                </c:pt>
              </c:numCache>
            </c:numRef>
          </c:val>
          <c:extLst>
            <c:ext xmlns:c16="http://schemas.microsoft.com/office/drawing/2014/chart" uri="{C3380CC4-5D6E-409C-BE32-E72D297353CC}">
              <c16:uniqueId val="{00000003-5983-43A8-AAF7-B794081219D7}"/>
            </c:ext>
          </c:extLst>
        </c:ser>
        <c:ser>
          <c:idx val="4"/>
          <c:order val="3"/>
          <c:tx>
            <c:strRef>
              <c:f>'Electricity report'!$J$1303</c:f>
              <c:strCache>
                <c:ptCount val="1"/>
                <c:pt idx="0">
                  <c:v>Surplus</c:v>
                </c:pt>
              </c:strCache>
            </c:strRef>
          </c:tx>
          <c:spPr>
            <a:solidFill>
              <a:srgbClr val="5B9BD5"/>
            </a:solidFill>
            <a:ln w="25400">
              <a:noFill/>
            </a:ln>
          </c:spPr>
          <c:invertIfNegative val="0"/>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'Electricity report'!$K$1299:$L$1299</c:f>
              <c:strCache>
                <c:ptCount val="2"/>
                <c:pt idx="0">
                  <c:v>Expenditure R'000</c:v>
                </c:pt>
                <c:pt idx="1">
                  <c:v>Revenue R'000</c:v>
                </c:pt>
              </c:strCache>
            </c:strRef>
          </c:cat>
          <c:val>
            <c:numRef>
              <c:f>'Electricity report'!$K$1303:$L$1303</c:f>
              <c:numCache>
                <c:formatCode>General</c:formatCode>
                <c:ptCount val="2"/>
                <c:pt idx="0" formatCode="_-* #\ ##0_-;\-* #\ ##0_-;_-* &quot;-&quot;??_-;_-@_-">
                  <c:v>0</c:v>
                </c:pt>
              </c:numCache>
            </c:numRef>
          </c:val>
          <c:extLst>
            <c:ext xmlns:c16="http://schemas.microsoft.com/office/drawing/2014/chart" uri="{C3380CC4-5D6E-409C-BE32-E72D297353CC}">
              <c16:uniqueId val="{00000004-5983-43A8-AAF7-B794081219D7}"/>
            </c:ext>
          </c:extLst>
        </c:ser>
        <c:ser>
          <c:idx val="5"/>
          <c:order val="4"/>
          <c:tx>
            <c:strRef>
              <c:f>'Electricity report'!$J$1304</c:f>
              <c:strCache>
                <c:ptCount val="1"/>
                <c:pt idx="0">
                  <c:v>Tariff revenue</c:v>
                </c:pt>
              </c:strCache>
            </c:strRef>
          </c:tx>
          <c:spPr>
            <a:solidFill>
              <a:srgbClr val="A5A5A5"/>
            </a:solidFill>
            <a:ln w="25400">
              <a:noFill/>
            </a:ln>
          </c:spPr>
          <c:invertIfNegative val="0"/>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'Electricity report'!$K$1299:$L$1299</c:f>
              <c:strCache>
                <c:ptCount val="2"/>
                <c:pt idx="0">
                  <c:v>Expenditure R'000</c:v>
                </c:pt>
                <c:pt idx="1">
                  <c:v>Revenue R'000</c:v>
                </c:pt>
              </c:strCache>
            </c:strRef>
          </c:cat>
          <c:val>
            <c:numRef>
              <c:f>'Electricity report'!$K$1304:$L$1304</c:f>
              <c:numCache>
                <c:formatCode>_-* #\ ##0_-;\-* #\ ##0_-;_-* "-"??_-;_-@_-</c:formatCode>
                <c:ptCount val="2"/>
                <c:pt idx="1">
                  <c:v>0</c:v>
                </c:pt>
              </c:numCache>
            </c:numRef>
          </c:val>
          <c:extLst>
            <c:ext xmlns:c16="http://schemas.microsoft.com/office/drawing/2014/chart" uri="{C3380CC4-5D6E-409C-BE32-E72D297353CC}">
              <c16:uniqueId val="{00000005-5983-43A8-AAF7-B794081219D7}"/>
            </c:ext>
          </c:extLst>
        </c:ser>
        <c:ser>
          <c:idx val="3"/>
          <c:order val="5"/>
          <c:tx>
            <c:strRef>
              <c:f>'Electricity report'!$J$1305</c:f>
              <c:strCache>
                <c:ptCount val="1"/>
                <c:pt idx="0">
                  <c:v>External grants &amp; subsidies</c:v>
                </c:pt>
              </c:strCache>
            </c:strRef>
          </c:tx>
          <c:spPr>
            <a:solidFill>
              <a:schemeClr val="accent3">
                <a:lumMod val="40000"/>
                <a:lumOff val="60000"/>
              </a:schemeClr>
            </a:solidFill>
            <a:ln>
              <a:noFill/>
            </a:ln>
            <a:effectLst/>
          </c:spPr>
          <c:invertIfNegative val="0"/>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'Electricity report'!$K$1299:$L$1299</c:f>
              <c:strCache>
                <c:ptCount val="2"/>
                <c:pt idx="0">
                  <c:v>Expenditure R'000</c:v>
                </c:pt>
                <c:pt idx="1">
                  <c:v>Revenue R'000</c:v>
                </c:pt>
              </c:strCache>
            </c:strRef>
          </c:cat>
          <c:val>
            <c:numRef>
              <c:f>'Electricity report'!$K$1305:$L$1305</c:f>
              <c:numCache>
                <c:formatCode>_-* #\ ##0_-;\-* #\ ##0_-;_-* "-"??_-;_-@_-</c:formatCode>
                <c:ptCount val="2"/>
                <c:pt idx="1">
                  <c:v>0</c:v>
                </c:pt>
              </c:numCache>
            </c:numRef>
          </c:val>
          <c:extLst>
            <c:ext xmlns:c16="http://schemas.microsoft.com/office/drawing/2014/chart" uri="{C3380CC4-5D6E-409C-BE32-E72D297353CC}">
              <c16:uniqueId val="{00000006-5983-43A8-AAF7-B794081219D7}"/>
            </c:ext>
          </c:extLst>
        </c:ser>
        <c:ser>
          <c:idx val="6"/>
          <c:order val="6"/>
          <c:tx>
            <c:strRef>
              <c:f>'Electricity report'!$J$1306</c:f>
              <c:strCache>
                <c:ptCount val="1"/>
                <c:pt idx="0">
                  <c:v>Other non-tariff revenue</c:v>
                </c:pt>
              </c:strCache>
            </c:strRef>
          </c:tx>
          <c:spPr>
            <a:solidFill>
              <a:srgbClr val="ED7D31"/>
            </a:solidFill>
            <a:ln w="25400">
              <a:noFill/>
            </a:ln>
          </c:spPr>
          <c:invertIfNegative val="0"/>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'Electricity report'!$K$1299:$L$1299</c:f>
              <c:strCache>
                <c:ptCount val="2"/>
                <c:pt idx="0">
                  <c:v>Expenditure R'000</c:v>
                </c:pt>
                <c:pt idx="1">
                  <c:v>Revenue R'000</c:v>
                </c:pt>
              </c:strCache>
            </c:strRef>
          </c:cat>
          <c:val>
            <c:numRef>
              <c:f>'Electricity report'!$K$1306:$L$1306</c:f>
              <c:numCache>
                <c:formatCode>_-* #\ ##0_-;\-* #\ ##0_-;_-* "-"??_-;_-@_-</c:formatCode>
                <c:ptCount val="2"/>
                <c:pt idx="1">
                  <c:v>0</c:v>
                </c:pt>
              </c:numCache>
            </c:numRef>
          </c:val>
          <c:extLst>
            <c:ext xmlns:c16="http://schemas.microsoft.com/office/drawing/2014/chart" uri="{C3380CC4-5D6E-409C-BE32-E72D297353CC}">
              <c16:uniqueId val="{00000007-5983-43A8-AAF7-B794081219D7}"/>
            </c:ext>
          </c:extLst>
        </c:ser>
        <c:ser>
          <c:idx val="7"/>
          <c:order val="7"/>
          <c:tx>
            <c:strRef>
              <c:f>'Electricity report'!$J$1307</c:f>
              <c:strCache>
                <c:ptCount val="1"/>
                <c:pt idx="0">
                  <c:v>Deficit</c:v>
                </c:pt>
              </c:strCache>
            </c:strRef>
          </c:tx>
          <c:spPr>
            <a:solidFill>
              <a:srgbClr val="4472C4"/>
            </a:solidFill>
            <a:ln w="25400">
              <a:noFill/>
            </a:ln>
          </c:spPr>
          <c:invertIfNegative val="0"/>
          <c:dPt>
            <c:idx val="0"/>
            <c:invertIfNegative val="0"/>
            <c:bubble3D val="0"/>
            <c:spPr>
              <a:solidFill>
                <a:srgbClr val="5B9BD5"/>
              </a:solidFill>
              <a:ln w="25400">
                <a:noFill/>
              </a:ln>
            </c:spPr>
            <c:extLst>
              <c:ext xmlns:c16="http://schemas.microsoft.com/office/drawing/2014/chart" uri="{C3380CC4-5D6E-409C-BE32-E72D297353CC}">
                <c16:uniqueId val="{00000008-5983-43A8-AAF7-B794081219D7}"/>
              </c:ext>
            </c:extLst>
          </c:dPt>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'Electricity report'!$K$1299:$L$1299</c:f>
              <c:strCache>
                <c:ptCount val="2"/>
                <c:pt idx="0">
                  <c:v>Expenditure R'000</c:v>
                </c:pt>
                <c:pt idx="1">
                  <c:v>Revenue R'000</c:v>
                </c:pt>
              </c:strCache>
            </c:strRef>
          </c:cat>
          <c:val>
            <c:numRef>
              <c:f>'Electricity report'!$K$1307:$L$1307</c:f>
              <c:numCache>
                <c:formatCode>_-* #\ ##0_-;\-* #\ ##0_-;_-* "-"??_-;_-@_-</c:formatCode>
                <c:ptCount val="2"/>
                <c:pt idx="1">
                  <c:v>0</c:v>
                </c:pt>
              </c:numCache>
            </c:numRef>
          </c:val>
          <c:extLst>
            <c:ext xmlns:c16="http://schemas.microsoft.com/office/drawing/2014/chart" uri="{C3380CC4-5D6E-409C-BE32-E72D297353CC}">
              <c16:uniqueId val="{00000009-5983-43A8-AAF7-B794081219D7}"/>
            </c:ext>
          </c:extLst>
        </c:ser>
        <c:dLbls>
          <c:showLegendKey val="0"/>
          <c:showVal val="0"/>
          <c:showCatName val="0"/>
          <c:showSerName val="0"/>
          <c:showPercent val="0"/>
          <c:showBubbleSize val="0"/>
        </c:dLbls>
        <c:gapWidth val="25"/>
        <c:overlap val="100"/>
        <c:axId val="1364748111"/>
        <c:axId val="1"/>
      </c:barChart>
      <c:catAx>
        <c:axId val="1364748111"/>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0" vert="horz"/>
          <a:lstStyle/>
          <a:p>
            <a:pPr>
              <a:defRPr sz="1100" b="0" i="0" u="none" strike="noStrike" baseline="0">
                <a:solidFill>
                  <a:srgbClr val="000000"/>
                </a:solidFill>
                <a:latin typeface="Calibri"/>
                <a:ea typeface="Calibri"/>
                <a:cs typeface="Calibri"/>
              </a:defRPr>
            </a:pPr>
            <a:endParaRPr lang="en-US"/>
          </a:p>
        </c:txPr>
        <c:crossAx val="1"/>
        <c:crosses val="autoZero"/>
        <c:auto val="1"/>
        <c:lblAlgn val="ctr"/>
        <c:lblOffset val="100"/>
        <c:noMultiLvlLbl val="0"/>
      </c:catAx>
      <c:valAx>
        <c:axId val="1"/>
        <c:scaling>
          <c:orientation val="minMax"/>
        </c:scaling>
        <c:delete val="1"/>
        <c:axPos val="l"/>
        <c:majorGridlines>
          <c:spPr>
            <a:ln w="9525" cap="flat" cmpd="sng" algn="ctr">
              <a:solidFill>
                <a:schemeClr val="tx1">
                  <a:lumMod val="15000"/>
                  <a:lumOff val="85000"/>
                </a:schemeClr>
              </a:solidFill>
              <a:round/>
            </a:ln>
            <a:effectLst/>
          </c:spPr>
        </c:majorGridlines>
        <c:numFmt formatCode="_-* #\ ##0_-;\-* #\ ##0_-;_-* &quot;-&quot;??_-;_-@_-" sourceLinked="1"/>
        <c:majorTickMark val="out"/>
        <c:minorTickMark val="none"/>
        <c:tickLblPos val="nextTo"/>
        <c:crossAx val="1364748111"/>
        <c:crosses val="autoZero"/>
        <c:crossBetween val="between"/>
      </c:valAx>
    </c:plotArea>
    <c:legend>
      <c:legendPos val="r"/>
      <c:layout>
        <c:manualLayout>
          <c:xMode val="edge"/>
          <c:yMode val="edge"/>
          <c:x val="0.63225725892244689"/>
          <c:y val="0.19336013511906178"/>
          <c:w val="0.34899346501875061"/>
          <c:h val="0.70697306341239063"/>
        </c:manualLayout>
      </c:layout>
      <c:overlay val="0"/>
      <c:spPr>
        <a:noFill/>
        <a:ln w="25400">
          <a:noFill/>
        </a:ln>
      </c:spPr>
      <c:txPr>
        <a:bodyPr/>
        <a:lstStyle/>
        <a:p>
          <a:pPr>
            <a:defRPr sz="850" b="0" i="0" u="none" strike="noStrike" baseline="0">
              <a:solidFill>
                <a:srgbClr val="000000"/>
              </a:solidFill>
              <a:latin typeface="Calibri"/>
              <a:ea typeface="Calibri"/>
              <a:cs typeface="Calibri"/>
            </a:defRPr>
          </a:pPr>
          <a:endParaRPr lang="en-US"/>
        </a:p>
      </c:txPr>
    </c:legend>
    <c:plotVisOnly val="1"/>
    <c:dispBlanksAs val="gap"/>
    <c:showDLblsOverMax val="0"/>
  </c:chart>
  <c:spPr>
    <a:solidFill>
      <a:schemeClr val="bg1"/>
    </a:solidFill>
    <a:ln w="9525" cap="flat" cmpd="sng" algn="ctr">
      <a:noFill/>
      <a:round/>
    </a:ln>
    <a:effectLst/>
  </c:spPr>
  <c:txPr>
    <a:bodyPr/>
    <a:lstStyle/>
    <a:p>
      <a:pPr>
        <a:defRPr sz="11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charts/chart17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ser>
          <c:idx val="0"/>
          <c:order val="0"/>
          <c:tx>
            <c:strRef>
              <c:f>'Electricity report'!$L$1323</c:f>
              <c:strCache>
                <c:ptCount val="1"/>
                <c:pt idx="0">
                  <c:v>Low Season Tariff</c:v>
                </c:pt>
              </c:strCache>
            </c:strRef>
          </c:tx>
          <c:spPr>
            <a:solidFill>
              <a:srgbClr val="4472C4"/>
            </a:solidFill>
            <a:ln w="25400">
              <a:noFill/>
            </a:ln>
          </c:spPr>
          <c:invertIfNegative val="0"/>
          <c:dLbls>
            <c:spPr>
              <a:noFill/>
              <a:ln w="25400">
                <a:noFill/>
              </a:ln>
            </c:spPr>
            <c:txPr>
              <a:bodyPr wrap="square" lIns="38100" tIns="19050" rIns="38100" bIns="19050" anchor="ctr">
                <a:spAutoFit/>
              </a:bodyPr>
              <a:lstStyle/>
              <a:p>
                <a:pPr>
                  <a:defRPr sz="900" b="0" i="0" u="none" strike="noStrike" baseline="0">
                    <a:solidFill>
                      <a:srgbClr val="333333"/>
                    </a:solidFill>
                    <a:latin typeface="Calibri"/>
                    <a:ea typeface="Calibri"/>
                    <a:cs typeface="Calibri"/>
                  </a:defRPr>
                </a:pPr>
                <a:endParaRPr lang="en-US"/>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'Electricity report'!$K$1324:$K$1328</c:f>
              <c:strCache>
                <c:ptCount val="5"/>
                <c:pt idx="0">
                  <c:v>0</c:v>
                </c:pt>
                <c:pt idx="1">
                  <c:v>0</c:v>
                </c:pt>
                <c:pt idx="2">
                  <c:v>0</c:v>
                </c:pt>
                <c:pt idx="3">
                  <c:v>0</c:v>
                </c:pt>
                <c:pt idx="4">
                  <c:v>More</c:v>
                </c:pt>
              </c:strCache>
            </c:strRef>
          </c:cat>
          <c:val>
            <c:numRef>
              <c:f>'Electricity report'!$L$1324:$L$1328</c:f>
              <c:numCache>
                <c:formatCode>_(* #,##0.00_);_(* \(#,##0.00\);_(* "-"??_);_(@_)</c:formatCode>
                <c:ptCount val="5"/>
                <c:pt idx="0">
                  <c:v>0</c:v>
                </c:pt>
                <c:pt idx="1">
                  <c:v>0</c:v>
                </c:pt>
                <c:pt idx="2">
                  <c:v>0</c:v>
                </c:pt>
                <c:pt idx="3">
                  <c:v>0</c:v>
                </c:pt>
                <c:pt idx="4">
                  <c:v>0</c:v>
                </c:pt>
              </c:numCache>
            </c:numRef>
          </c:val>
          <c:extLst>
            <c:ext xmlns:c16="http://schemas.microsoft.com/office/drawing/2014/chart" uri="{C3380CC4-5D6E-409C-BE32-E72D297353CC}">
              <c16:uniqueId val="{00000000-EC84-4ABD-BF1D-85A9B64DE16C}"/>
            </c:ext>
          </c:extLst>
        </c:ser>
        <c:ser>
          <c:idx val="1"/>
          <c:order val="1"/>
          <c:tx>
            <c:strRef>
              <c:f>'Electricity report'!$M$1323</c:f>
              <c:strCache>
                <c:ptCount val="1"/>
                <c:pt idx="0">
                  <c:v>High Season Tariff</c:v>
                </c:pt>
              </c:strCache>
            </c:strRef>
          </c:tx>
          <c:spPr>
            <a:solidFill>
              <a:srgbClr val="ED7D31"/>
            </a:solidFill>
            <a:ln w="25400">
              <a:noFill/>
            </a:ln>
          </c:spPr>
          <c:invertIfNegative val="0"/>
          <c:dLbls>
            <c:spPr>
              <a:noFill/>
              <a:ln w="25400">
                <a:noFill/>
              </a:ln>
            </c:spPr>
            <c:txPr>
              <a:bodyPr wrap="square" lIns="38100" tIns="19050" rIns="38100" bIns="19050" anchor="ctr">
                <a:spAutoFit/>
              </a:bodyPr>
              <a:lstStyle/>
              <a:p>
                <a:pPr>
                  <a:defRPr sz="900" b="0" i="0" u="none" strike="noStrike" baseline="0">
                    <a:solidFill>
                      <a:srgbClr val="333333"/>
                    </a:solidFill>
                    <a:latin typeface="Calibri"/>
                    <a:ea typeface="Calibri"/>
                    <a:cs typeface="Calibri"/>
                  </a:defRPr>
                </a:pPr>
                <a:endParaRPr lang="en-US"/>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'Electricity report'!$K$1324:$K$1328</c:f>
              <c:strCache>
                <c:ptCount val="5"/>
                <c:pt idx="0">
                  <c:v>0</c:v>
                </c:pt>
                <c:pt idx="1">
                  <c:v>0</c:v>
                </c:pt>
                <c:pt idx="2">
                  <c:v>0</c:v>
                </c:pt>
                <c:pt idx="3">
                  <c:v>0</c:v>
                </c:pt>
                <c:pt idx="4">
                  <c:v>More</c:v>
                </c:pt>
              </c:strCache>
            </c:strRef>
          </c:cat>
          <c:val>
            <c:numRef>
              <c:f>'Electricity report'!$M$1324:$M$1328</c:f>
              <c:numCache>
                <c:formatCode>_(* #,##0.00_);_(* \(#,##0.00\);_(* "-"??_);_(@_)</c:formatCode>
                <c:ptCount val="5"/>
                <c:pt idx="0">
                  <c:v>0</c:v>
                </c:pt>
                <c:pt idx="1">
                  <c:v>0</c:v>
                </c:pt>
                <c:pt idx="2">
                  <c:v>0</c:v>
                </c:pt>
                <c:pt idx="3">
                  <c:v>0</c:v>
                </c:pt>
                <c:pt idx="4">
                  <c:v>0</c:v>
                </c:pt>
              </c:numCache>
            </c:numRef>
          </c:val>
          <c:extLst>
            <c:ext xmlns:c16="http://schemas.microsoft.com/office/drawing/2014/chart" uri="{C3380CC4-5D6E-409C-BE32-E72D297353CC}">
              <c16:uniqueId val="{00000001-EC84-4ABD-BF1D-85A9B64DE16C}"/>
            </c:ext>
          </c:extLst>
        </c:ser>
        <c:dLbls>
          <c:showLegendKey val="0"/>
          <c:showVal val="0"/>
          <c:showCatName val="0"/>
          <c:showSerName val="0"/>
          <c:showPercent val="0"/>
          <c:showBubbleSize val="0"/>
        </c:dLbls>
        <c:gapWidth val="50"/>
        <c:axId val="1364729871"/>
        <c:axId val="1"/>
      </c:barChart>
      <c:lineChart>
        <c:grouping val="standard"/>
        <c:varyColors val="0"/>
        <c:ser>
          <c:idx val="2"/>
          <c:order val="2"/>
          <c:tx>
            <c:strRef>
              <c:f>'Electricity report'!$N$1323</c:f>
              <c:strCache>
                <c:ptCount val="1"/>
                <c:pt idx="0">
                  <c:v>Total cost per kl </c:v>
                </c:pt>
              </c:strCache>
            </c:strRef>
          </c:tx>
          <c:spPr>
            <a:ln w="28575" cap="rnd">
              <a:solidFill>
                <a:schemeClr val="accent3"/>
              </a:solidFill>
              <a:round/>
            </a:ln>
            <a:effectLst/>
          </c:spPr>
          <c:marker>
            <c:symbol val="none"/>
          </c:marker>
          <c:val>
            <c:numRef>
              <c:f>'Electricity report'!$N$1324:$N$1328</c:f>
              <c:numCache>
                <c:formatCode>_(* #,##0.00_);_(* \(#,##0.00\);_(* "-"??_);_(@_)</c:formatCode>
                <c:ptCount val="5"/>
                <c:pt idx="0">
                  <c:v>0</c:v>
                </c:pt>
                <c:pt idx="1">
                  <c:v>0</c:v>
                </c:pt>
                <c:pt idx="2">
                  <c:v>0</c:v>
                </c:pt>
                <c:pt idx="3">
                  <c:v>0</c:v>
                </c:pt>
                <c:pt idx="4">
                  <c:v>0</c:v>
                </c:pt>
              </c:numCache>
            </c:numRef>
          </c:val>
          <c:smooth val="0"/>
          <c:extLst>
            <c:ext xmlns:c16="http://schemas.microsoft.com/office/drawing/2014/chart" uri="{C3380CC4-5D6E-409C-BE32-E72D297353CC}">
              <c16:uniqueId val="{00000002-EC84-4ABD-BF1D-85A9B64DE16C}"/>
            </c:ext>
          </c:extLst>
        </c:ser>
        <c:ser>
          <c:idx val="3"/>
          <c:order val="3"/>
          <c:tx>
            <c:strRef>
              <c:f>'Electricity report'!$O$1323</c:f>
              <c:strCache>
                <c:ptCount val="1"/>
                <c:pt idx="0">
                  <c:v>Variable cost per kWh</c:v>
                </c:pt>
              </c:strCache>
            </c:strRef>
          </c:tx>
          <c:spPr>
            <a:ln w="28575" cap="rnd">
              <a:solidFill>
                <a:schemeClr val="accent4"/>
              </a:solidFill>
              <a:round/>
            </a:ln>
            <a:effectLst/>
          </c:spPr>
          <c:marker>
            <c:symbol val="none"/>
          </c:marker>
          <c:val>
            <c:numRef>
              <c:f>'Electricity report'!$O$1324:$O$1328</c:f>
              <c:numCache>
                <c:formatCode>_(* #,##0.00_);_(* \(#,##0.00\);_(* "-"??_);_(@_)</c:formatCode>
                <c:ptCount val="5"/>
                <c:pt idx="0">
                  <c:v>0</c:v>
                </c:pt>
                <c:pt idx="1">
                  <c:v>0</c:v>
                </c:pt>
                <c:pt idx="2">
                  <c:v>0</c:v>
                </c:pt>
                <c:pt idx="3">
                  <c:v>0</c:v>
                </c:pt>
                <c:pt idx="4">
                  <c:v>0</c:v>
                </c:pt>
              </c:numCache>
            </c:numRef>
          </c:val>
          <c:smooth val="0"/>
          <c:extLst>
            <c:ext xmlns:c16="http://schemas.microsoft.com/office/drawing/2014/chart" uri="{C3380CC4-5D6E-409C-BE32-E72D297353CC}">
              <c16:uniqueId val="{00000003-EC84-4ABD-BF1D-85A9B64DE16C}"/>
            </c:ext>
          </c:extLst>
        </c:ser>
        <c:dLbls>
          <c:showLegendKey val="0"/>
          <c:showVal val="0"/>
          <c:showCatName val="0"/>
          <c:showSerName val="0"/>
          <c:showPercent val="0"/>
          <c:showBubbleSize val="0"/>
        </c:dLbls>
        <c:marker val="1"/>
        <c:smooth val="0"/>
        <c:axId val="1364729871"/>
        <c:axId val="1"/>
      </c:lineChart>
      <c:catAx>
        <c:axId val="1364729871"/>
        <c:scaling>
          <c:orientation val="minMax"/>
        </c:scaling>
        <c:delete val="0"/>
        <c:axPos val="b"/>
        <c:title>
          <c:tx>
            <c:rich>
              <a:bodyPr/>
              <a:lstStyle/>
              <a:p>
                <a:pPr>
                  <a:defRPr sz="1000" b="0" i="0" u="none" strike="noStrike" baseline="0">
                    <a:solidFill>
                      <a:srgbClr val="333333"/>
                    </a:solidFill>
                    <a:latin typeface="Calibri"/>
                    <a:ea typeface="Calibri"/>
                    <a:cs typeface="Calibri"/>
                  </a:defRPr>
                </a:pPr>
                <a:r>
                  <a:rPr lang="en-ZA"/>
                  <a:t>Block size</a:t>
                </a:r>
              </a:p>
            </c:rich>
          </c:tx>
          <c:overlay val="0"/>
          <c:spPr>
            <a:noFill/>
            <a:ln w="25400">
              <a:noFill/>
            </a:ln>
          </c:spPr>
        </c:title>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0" vert="horz"/>
          <a:lstStyle/>
          <a:p>
            <a:pPr>
              <a:defRPr sz="900" b="0" i="0" u="none" strike="noStrike" baseline="0">
                <a:solidFill>
                  <a:srgbClr val="333333"/>
                </a:solidFill>
                <a:latin typeface="Calibri"/>
                <a:ea typeface="Calibri"/>
                <a:cs typeface="Calibri"/>
              </a:defRPr>
            </a:pPr>
            <a:endParaRPr lang="en-US"/>
          </a:p>
        </c:txPr>
        <c:crossAx val="1"/>
        <c:crosses val="autoZero"/>
        <c:auto val="1"/>
        <c:lblAlgn val="ctr"/>
        <c:lblOffset val="100"/>
        <c:noMultiLvlLbl val="0"/>
      </c:catAx>
      <c:valAx>
        <c:axId val="1"/>
        <c:scaling>
          <c:orientation val="minMax"/>
        </c:scaling>
        <c:delete val="0"/>
        <c:axPos val="l"/>
        <c:majorGridlines>
          <c:spPr>
            <a:ln w="9525" cap="flat" cmpd="sng" algn="ctr">
              <a:solidFill>
                <a:schemeClr val="tx1">
                  <a:lumMod val="15000"/>
                  <a:lumOff val="85000"/>
                </a:schemeClr>
              </a:solidFill>
              <a:round/>
            </a:ln>
            <a:effectLst/>
          </c:spPr>
        </c:majorGridlines>
        <c:title>
          <c:tx>
            <c:rich>
              <a:bodyPr/>
              <a:lstStyle/>
              <a:p>
                <a:pPr>
                  <a:defRPr sz="1000" b="0" i="0" u="none" strike="noStrike" baseline="0">
                    <a:solidFill>
                      <a:srgbClr val="333333"/>
                    </a:solidFill>
                    <a:latin typeface="Calibri"/>
                    <a:ea typeface="Calibri"/>
                    <a:cs typeface="Calibri"/>
                  </a:defRPr>
                </a:pPr>
                <a:r>
                  <a:rPr lang="en-ZA"/>
                  <a:t>R/kWh</a:t>
                </a:r>
              </a:p>
            </c:rich>
          </c:tx>
          <c:overlay val="0"/>
          <c:spPr>
            <a:noFill/>
            <a:ln w="25400">
              <a:noFill/>
            </a:ln>
          </c:spPr>
        </c:title>
        <c:numFmt formatCode="_(* #,##0.00_);_(* \(#,##0.00\);_(* &quot;-&quot;??_);_(@_)" sourceLinked="1"/>
        <c:majorTickMark val="none"/>
        <c:minorTickMark val="none"/>
        <c:tickLblPos val="nextTo"/>
        <c:spPr>
          <a:ln w="6350">
            <a:noFill/>
          </a:ln>
        </c:spPr>
        <c:txPr>
          <a:bodyPr rot="0" vert="horz"/>
          <a:lstStyle/>
          <a:p>
            <a:pPr>
              <a:defRPr sz="900" b="0" i="0" u="none" strike="noStrike" baseline="0">
                <a:solidFill>
                  <a:srgbClr val="333333"/>
                </a:solidFill>
                <a:latin typeface="Calibri"/>
                <a:ea typeface="Calibri"/>
                <a:cs typeface="Calibri"/>
              </a:defRPr>
            </a:pPr>
            <a:endParaRPr lang="en-US"/>
          </a:p>
        </c:txPr>
        <c:crossAx val="1364729871"/>
        <c:crosses val="autoZero"/>
        <c:crossBetween val="between"/>
      </c:valAx>
      <c:spPr>
        <a:noFill/>
        <a:ln w="25400">
          <a:noFill/>
        </a:ln>
      </c:spPr>
    </c:plotArea>
    <c:legend>
      <c:legendPos val="r"/>
      <c:layout>
        <c:manualLayout>
          <c:xMode val="edge"/>
          <c:yMode val="edge"/>
          <c:x val="4.7023424579764522E-2"/>
          <c:y val="0.92826131183362848"/>
          <c:w val="0.90128222216737008"/>
          <c:h val="5.2633337100804978E-2"/>
        </c:manualLayout>
      </c:layout>
      <c:overlay val="0"/>
      <c:spPr>
        <a:noFill/>
        <a:ln w="25400">
          <a:noFill/>
        </a:ln>
      </c:spPr>
      <c:txPr>
        <a:bodyPr/>
        <a:lstStyle/>
        <a:p>
          <a:pPr>
            <a:defRPr sz="690" b="0" i="0" u="none" strike="noStrike" baseline="0">
              <a:solidFill>
                <a:srgbClr val="333333"/>
              </a:solidFill>
              <a:latin typeface="Calibri"/>
              <a:ea typeface="Calibri"/>
              <a:cs typeface="Calibri"/>
            </a:defRPr>
          </a:pPr>
          <a:endParaRPr lang="en-US"/>
        </a:p>
      </c:txPr>
    </c:legend>
    <c:plotVisOnly val="1"/>
    <c:dispBlanksAs val="gap"/>
    <c:showDLblsOverMax val="0"/>
  </c:chart>
  <c:spPr>
    <a:solidFill>
      <a:schemeClr val="bg1"/>
    </a:solidFill>
    <a:ln w="9525" cap="flat" cmpd="sng" algn="ctr">
      <a:noFill/>
      <a:round/>
    </a:ln>
    <a:effectLst/>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charts/chart18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2.3871527777777776E-2"/>
          <c:y val="4.7786414907172239E-2"/>
          <c:w val="0.57559123468941387"/>
          <c:h val="0.83529592857692603"/>
        </c:manualLayout>
      </c:layout>
      <c:barChart>
        <c:barDir val="col"/>
        <c:grouping val="stacked"/>
        <c:varyColors val="0"/>
        <c:ser>
          <c:idx val="0"/>
          <c:order val="0"/>
          <c:tx>
            <c:strRef>
              <c:f>'Electricity report'!$J$1370</c:f>
              <c:strCache>
                <c:ptCount val="1"/>
                <c:pt idx="0">
                  <c:v>Customer costs </c:v>
                </c:pt>
              </c:strCache>
            </c:strRef>
          </c:tx>
          <c:spPr>
            <a:solidFill>
              <a:srgbClr val="4472C4"/>
            </a:solidFill>
            <a:ln w="25400">
              <a:noFill/>
            </a:ln>
          </c:spPr>
          <c:invertIfNegative val="0"/>
          <c:dPt>
            <c:idx val="0"/>
            <c:invertIfNegative val="0"/>
            <c:bubble3D val="0"/>
            <c:spPr>
              <a:solidFill>
                <a:srgbClr val="5B9BD5"/>
              </a:solidFill>
              <a:ln w="25400">
                <a:noFill/>
              </a:ln>
            </c:spPr>
            <c:extLst>
              <c:ext xmlns:c16="http://schemas.microsoft.com/office/drawing/2014/chart" uri="{C3380CC4-5D6E-409C-BE32-E72D297353CC}">
                <c16:uniqueId val="{00000000-3686-43DE-9809-3BC4C3E08804}"/>
              </c:ext>
            </c:extLst>
          </c:dPt>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'Electricity report'!$K$1369:$L$1369</c:f>
              <c:strCache>
                <c:ptCount val="2"/>
                <c:pt idx="0">
                  <c:v>Expenditure R'000</c:v>
                </c:pt>
                <c:pt idx="1">
                  <c:v>Revenue R'000</c:v>
                </c:pt>
              </c:strCache>
            </c:strRef>
          </c:cat>
          <c:val>
            <c:numRef>
              <c:f>'Electricity report'!$K$1370:$L$1370</c:f>
              <c:numCache>
                <c:formatCode>General</c:formatCode>
                <c:ptCount val="2"/>
                <c:pt idx="0" formatCode="_-* #\ ##0_-;\-* #\ ##0_-;_-* &quot;-&quot;??_-;_-@_-">
                  <c:v>0</c:v>
                </c:pt>
              </c:numCache>
            </c:numRef>
          </c:val>
          <c:extLst>
            <c:ext xmlns:c16="http://schemas.microsoft.com/office/drawing/2014/chart" uri="{C3380CC4-5D6E-409C-BE32-E72D297353CC}">
              <c16:uniqueId val="{00000001-3686-43DE-9809-3BC4C3E08804}"/>
            </c:ext>
          </c:extLst>
        </c:ser>
        <c:ser>
          <c:idx val="1"/>
          <c:order val="1"/>
          <c:tx>
            <c:strRef>
              <c:f>'Electricity report'!$J$1371</c:f>
              <c:strCache>
                <c:ptCount val="1"/>
                <c:pt idx="0">
                  <c:v>Energy costs</c:v>
                </c:pt>
              </c:strCache>
            </c:strRef>
          </c:tx>
          <c:spPr>
            <a:solidFill>
              <a:schemeClr val="accent5">
                <a:lumMod val="60000"/>
                <a:lumOff val="40000"/>
              </a:schemeClr>
            </a:solidFill>
            <a:ln>
              <a:noFill/>
            </a:ln>
            <a:effectLst/>
          </c:spPr>
          <c:invertIfNegative val="0"/>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'Electricity report'!$K$1369:$L$1369</c:f>
              <c:strCache>
                <c:ptCount val="2"/>
                <c:pt idx="0">
                  <c:v>Expenditure R'000</c:v>
                </c:pt>
                <c:pt idx="1">
                  <c:v>Revenue R'000</c:v>
                </c:pt>
              </c:strCache>
            </c:strRef>
          </c:cat>
          <c:val>
            <c:numRef>
              <c:f>'Electricity report'!$K$1371:$L$1371</c:f>
              <c:numCache>
                <c:formatCode>General</c:formatCode>
                <c:ptCount val="2"/>
                <c:pt idx="0" formatCode="_-* #\ ##0_-;\-* #\ ##0_-;_-* &quot;-&quot;??_-;_-@_-">
                  <c:v>0</c:v>
                </c:pt>
              </c:numCache>
            </c:numRef>
          </c:val>
          <c:extLst>
            <c:ext xmlns:c16="http://schemas.microsoft.com/office/drawing/2014/chart" uri="{C3380CC4-5D6E-409C-BE32-E72D297353CC}">
              <c16:uniqueId val="{00000002-3686-43DE-9809-3BC4C3E08804}"/>
            </c:ext>
          </c:extLst>
        </c:ser>
        <c:ser>
          <c:idx val="2"/>
          <c:order val="2"/>
          <c:tx>
            <c:strRef>
              <c:f>'Electricity report'!$J$1372</c:f>
              <c:strCache>
                <c:ptCount val="1"/>
                <c:pt idx="0">
                  <c:v>Demand cost</c:v>
                </c:pt>
              </c:strCache>
            </c:strRef>
          </c:tx>
          <c:spPr>
            <a:solidFill>
              <a:srgbClr val="A5A5A5"/>
            </a:solidFill>
            <a:ln w="25400">
              <a:noFill/>
            </a:ln>
          </c:spPr>
          <c:invertIfNegative val="0"/>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'Electricity report'!$K$1369:$L$1369</c:f>
              <c:strCache>
                <c:ptCount val="2"/>
                <c:pt idx="0">
                  <c:v>Expenditure R'000</c:v>
                </c:pt>
                <c:pt idx="1">
                  <c:v>Revenue R'000</c:v>
                </c:pt>
              </c:strCache>
            </c:strRef>
          </c:cat>
          <c:val>
            <c:numRef>
              <c:f>'Electricity report'!$K$1372:$L$1372</c:f>
              <c:numCache>
                <c:formatCode>General</c:formatCode>
                <c:ptCount val="2"/>
                <c:pt idx="0" formatCode="_-* #\ ##0_-;\-* #\ ##0_-;_-* &quot;-&quot;??_-;_-@_-">
                  <c:v>0</c:v>
                </c:pt>
              </c:numCache>
            </c:numRef>
          </c:val>
          <c:extLst>
            <c:ext xmlns:c16="http://schemas.microsoft.com/office/drawing/2014/chart" uri="{C3380CC4-5D6E-409C-BE32-E72D297353CC}">
              <c16:uniqueId val="{00000003-3686-43DE-9809-3BC4C3E08804}"/>
            </c:ext>
          </c:extLst>
        </c:ser>
        <c:ser>
          <c:idx val="4"/>
          <c:order val="3"/>
          <c:tx>
            <c:strRef>
              <c:f>'Electricity report'!$J$1373</c:f>
              <c:strCache>
                <c:ptCount val="1"/>
                <c:pt idx="0">
                  <c:v>Surplus</c:v>
                </c:pt>
              </c:strCache>
            </c:strRef>
          </c:tx>
          <c:spPr>
            <a:solidFill>
              <a:srgbClr val="5B9BD5"/>
            </a:solidFill>
            <a:ln w="25400">
              <a:noFill/>
            </a:ln>
          </c:spPr>
          <c:invertIfNegative val="0"/>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'Electricity report'!$K$1369:$L$1369</c:f>
              <c:strCache>
                <c:ptCount val="2"/>
                <c:pt idx="0">
                  <c:v>Expenditure R'000</c:v>
                </c:pt>
                <c:pt idx="1">
                  <c:v>Revenue R'000</c:v>
                </c:pt>
              </c:strCache>
            </c:strRef>
          </c:cat>
          <c:val>
            <c:numRef>
              <c:f>'Electricity report'!$K$1373:$L$1373</c:f>
              <c:numCache>
                <c:formatCode>General</c:formatCode>
                <c:ptCount val="2"/>
                <c:pt idx="0" formatCode="_-* #\ ##0_-;\-* #\ ##0_-;_-* &quot;-&quot;??_-;_-@_-">
                  <c:v>0</c:v>
                </c:pt>
              </c:numCache>
            </c:numRef>
          </c:val>
          <c:extLst>
            <c:ext xmlns:c16="http://schemas.microsoft.com/office/drawing/2014/chart" uri="{C3380CC4-5D6E-409C-BE32-E72D297353CC}">
              <c16:uniqueId val="{00000004-3686-43DE-9809-3BC4C3E08804}"/>
            </c:ext>
          </c:extLst>
        </c:ser>
        <c:ser>
          <c:idx val="5"/>
          <c:order val="4"/>
          <c:tx>
            <c:strRef>
              <c:f>'Electricity report'!$J$1374</c:f>
              <c:strCache>
                <c:ptCount val="1"/>
                <c:pt idx="0">
                  <c:v>Tariff revenue</c:v>
                </c:pt>
              </c:strCache>
            </c:strRef>
          </c:tx>
          <c:spPr>
            <a:solidFill>
              <a:srgbClr val="A5A5A5"/>
            </a:solidFill>
            <a:ln w="25400">
              <a:noFill/>
            </a:ln>
          </c:spPr>
          <c:invertIfNegative val="0"/>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'Electricity report'!$K$1369:$L$1369</c:f>
              <c:strCache>
                <c:ptCount val="2"/>
                <c:pt idx="0">
                  <c:v>Expenditure R'000</c:v>
                </c:pt>
                <c:pt idx="1">
                  <c:v>Revenue R'000</c:v>
                </c:pt>
              </c:strCache>
            </c:strRef>
          </c:cat>
          <c:val>
            <c:numRef>
              <c:f>'Electricity report'!$K$1374:$L$1374</c:f>
              <c:numCache>
                <c:formatCode>_-* #\ ##0_-;\-* #\ ##0_-;_-* "-"??_-;_-@_-</c:formatCode>
                <c:ptCount val="2"/>
                <c:pt idx="1">
                  <c:v>0</c:v>
                </c:pt>
              </c:numCache>
            </c:numRef>
          </c:val>
          <c:extLst>
            <c:ext xmlns:c16="http://schemas.microsoft.com/office/drawing/2014/chart" uri="{C3380CC4-5D6E-409C-BE32-E72D297353CC}">
              <c16:uniqueId val="{00000005-3686-43DE-9809-3BC4C3E08804}"/>
            </c:ext>
          </c:extLst>
        </c:ser>
        <c:ser>
          <c:idx val="3"/>
          <c:order val="5"/>
          <c:tx>
            <c:strRef>
              <c:f>'Electricity report'!$J$1375</c:f>
              <c:strCache>
                <c:ptCount val="1"/>
                <c:pt idx="0">
                  <c:v>External grants &amp; subsidies</c:v>
                </c:pt>
              </c:strCache>
            </c:strRef>
          </c:tx>
          <c:spPr>
            <a:solidFill>
              <a:schemeClr val="accent3">
                <a:lumMod val="40000"/>
                <a:lumOff val="60000"/>
              </a:schemeClr>
            </a:solidFill>
            <a:ln>
              <a:noFill/>
            </a:ln>
            <a:effectLst/>
          </c:spPr>
          <c:invertIfNegative val="0"/>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'Electricity report'!$K$1369:$L$1369</c:f>
              <c:strCache>
                <c:ptCount val="2"/>
                <c:pt idx="0">
                  <c:v>Expenditure R'000</c:v>
                </c:pt>
                <c:pt idx="1">
                  <c:v>Revenue R'000</c:v>
                </c:pt>
              </c:strCache>
            </c:strRef>
          </c:cat>
          <c:val>
            <c:numRef>
              <c:f>'Electricity report'!$K$1375:$L$1375</c:f>
              <c:numCache>
                <c:formatCode>_-* #\ ##0_-;\-* #\ ##0_-;_-* "-"??_-;_-@_-</c:formatCode>
                <c:ptCount val="2"/>
                <c:pt idx="1">
                  <c:v>0</c:v>
                </c:pt>
              </c:numCache>
            </c:numRef>
          </c:val>
          <c:extLst>
            <c:ext xmlns:c16="http://schemas.microsoft.com/office/drawing/2014/chart" uri="{C3380CC4-5D6E-409C-BE32-E72D297353CC}">
              <c16:uniqueId val="{00000006-3686-43DE-9809-3BC4C3E08804}"/>
            </c:ext>
          </c:extLst>
        </c:ser>
        <c:ser>
          <c:idx val="6"/>
          <c:order val="6"/>
          <c:tx>
            <c:strRef>
              <c:f>'Electricity report'!$J$1376</c:f>
              <c:strCache>
                <c:ptCount val="1"/>
                <c:pt idx="0">
                  <c:v>Other non-tariff revenue</c:v>
                </c:pt>
              </c:strCache>
            </c:strRef>
          </c:tx>
          <c:spPr>
            <a:solidFill>
              <a:srgbClr val="ED7D31"/>
            </a:solidFill>
            <a:ln w="25400">
              <a:noFill/>
            </a:ln>
          </c:spPr>
          <c:invertIfNegative val="0"/>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'Electricity report'!$K$1369:$L$1369</c:f>
              <c:strCache>
                <c:ptCount val="2"/>
                <c:pt idx="0">
                  <c:v>Expenditure R'000</c:v>
                </c:pt>
                <c:pt idx="1">
                  <c:v>Revenue R'000</c:v>
                </c:pt>
              </c:strCache>
            </c:strRef>
          </c:cat>
          <c:val>
            <c:numRef>
              <c:f>'Electricity report'!$K$1376:$L$1376</c:f>
              <c:numCache>
                <c:formatCode>_-* #\ ##0_-;\-* #\ ##0_-;_-* "-"??_-;_-@_-</c:formatCode>
                <c:ptCount val="2"/>
                <c:pt idx="1">
                  <c:v>0</c:v>
                </c:pt>
              </c:numCache>
            </c:numRef>
          </c:val>
          <c:extLst>
            <c:ext xmlns:c16="http://schemas.microsoft.com/office/drawing/2014/chart" uri="{C3380CC4-5D6E-409C-BE32-E72D297353CC}">
              <c16:uniqueId val="{00000007-3686-43DE-9809-3BC4C3E08804}"/>
            </c:ext>
          </c:extLst>
        </c:ser>
        <c:ser>
          <c:idx val="7"/>
          <c:order val="7"/>
          <c:tx>
            <c:strRef>
              <c:f>'Electricity report'!$J$1377</c:f>
              <c:strCache>
                <c:ptCount val="1"/>
                <c:pt idx="0">
                  <c:v>Deficit</c:v>
                </c:pt>
              </c:strCache>
            </c:strRef>
          </c:tx>
          <c:spPr>
            <a:solidFill>
              <a:srgbClr val="4472C4"/>
            </a:solidFill>
            <a:ln w="25400">
              <a:noFill/>
            </a:ln>
          </c:spPr>
          <c:invertIfNegative val="0"/>
          <c:dPt>
            <c:idx val="0"/>
            <c:invertIfNegative val="0"/>
            <c:bubble3D val="0"/>
            <c:spPr>
              <a:solidFill>
                <a:srgbClr val="5B9BD5"/>
              </a:solidFill>
              <a:ln w="25400">
                <a:noFill/>
              </a:ln>
            </c:spPr>
            <c:extLst>
              <c:ext xmlns:c16="http://schemas.microsoft.com/office/drawing/2014/chart" uri="{C3380CC4-5D6E-409C-BE32-E72D297353CC}">
                <c16:uniqueId val="{00000008-3686-43DE-9809-3BC4C3E08804}"/>
              </c:ext>
            </c:extLst>
          </c:dPt>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'Electricity report'!$K$1369:$L$1369</c:f>
              <c:strCache>
                <c:ptCount val="2"/>
                <c:pt idx="0">
                  <c:v>Expenditure R'000</c:v>
                </c:pt>
                <c:pt idx="1">
                  <c:v>Revenue R'000</c:v>
                </c:pt>
              </c:strCache>
            </c:strRef>
          </c:cat>
          <c:val>
            <c:numRef>
              <c:f>'Electricity report'!$K$1377:$L$1377</c:f>
              <c:numCache>
                <c:formatCode>_-* #\ ##0_-;\-* #\ ##0_-;_-* "-"??_-;_-@_-</c:formatCode>
                <c:ptCount val="2"/>
                <c:pt idx="1">
                  <c:v>0</c:v>
                </c:pt>
              </c:numCache>
            </c:numRef>
          </c:val>
          <c:extLst>
            <c:ext xmlns:c16="http://schemas.microsoft.com/office/drawing/2014/chart" uri="{C3380CC4-5D6E-409C-BE32-E72D297353CC}">
              <c16:uniqueId val="{00000009-3686-43DE-9809-3BC4C3E08804}"/>
            </c:ext>
          </c:extLst>
        </c:ser>
        <c:dLbls>
          <c:showLegendKey val="0"/>
          <c:showVal val="0"/>
          <c:showCatName val="0"/>
          <c:showSerName val="0"/>
          <c:showPercent val="0"/>
          <c:showBubbleSize val="0"/>
        </c:dLbls>
        <c:gapWidth val="25"/>
        <c:overlap val="100"/>
        <c:axId val="1364733711"/>
        <c:axId val="1"/>
      </c:barChart>
      <c:catAx>
        <c:axId val="1364733711"/>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0" vert="horz"/>
          <a:lstStyle/>
          <a:p>
            <a:pPr>
              <a:defRPr sz="1100" b="0" i="0" u="none" strike="noStrike" baseline="0">
                <a:solidFill>
                  <a:srgbClr val="000000"/>
                </a:solidFill>
                <a:latin typeface="Calibri"/>
                <a:ea typeface="Calibri"/>
                <a:cs typeface="Calibri"/>
              </a:defRPr>
            </a:pPr>
            <a:endParaRPr lang="en-US"/>
          </a:p>
        </c:txPr>
        <c:crossAx val="1"/>
        <c:crosses val="autoZero"/>
        <c:auto val="1"/>
        <c:lblAlgn val="ctr"/>
        <c:lblOffset val="100"/>
        <c:noMultiLvlLbl val="0"/>
      </c:catAx>
      <c:valAx>
        <c:axId val="1"/>
        <c:scaling>
          <c:orientation val="minMax"/>
        </c:scaling>
        <c:delete val="1"/>
        <c:axPos val="l"/>
        <c:majorGridlines>
          <c:spPr>
            <a:ln w="9525" cap="flat" cmpd="sng" algn="ctr">
              <a:solidFill>
                <a:schemeClr val="tx1">
                  <a:lumMod val="15000"/>
                  <a:lumOff val="85000"/>
                </a:schemeClr>
              </a:solidFill>
              <a:round/>
            </a:ln>
            <a:effectLst/>
          </c:spPr>
        </c:majorGridlines>
        <c:numFmt formatCode="_-* #\ ##0_-;\-* #\ ##0_-;_-* &quot;-&quot;??_-;_-@_-" sourceLinked="1"/>
        <c:majorTickMark val="out"/>
        <c:minorTickMark val="none"/>
        <c:tickLblPos val="nextTo"/>
        <c:crossAx val="1364733711"/>
        <c:crosses val="autoZero"/>
        <c:crossBetween val="between"/>
      </c:valAx>
    </c:plotArea>
    <c:legend>
      <c:legendPos val="r"/>
      <c:layout>
        <c:manualLayout>
          <c:xMode val="edge"/>
          <c:yMode val="edge"/>
          <c:x val="0.63225725892244689"/>
          <c:y val="0.19336013511906178"/>
          <c:w val="0.34899346501875061"/>
          <c:h val="0.70697306341239063"/>
        </c:manualLayout>
      </c:layout>
      <c:overlay val="0"/>
      <c:spPr>
        <a:noFill/>
        <a:ln w="25400">
          <a:noFill/>
        </a:ln>
      </c:spPr>
      <c:txPr>
        <a:bodyPr/>
        <a:lstStyle/>
        <a:p>
          <a:pPr>
            <a:defRPr sz="850" b="0" i="0" u="none" strike="noStrike" baseline="0">
              <a:solidFill>
                <a:srgbClr val="000000"/>
              </a:solidFill>
              <a:latin typeface="Calibri"/>
              <a:ea typeface="Calibri"/>
              <a:cs typeface="Calibri"/>
            </a:defRPr>
          </a:pPr>
          <a:endParaRPr lang="en-US"/>
        </a:p>
      </c:txPr>
    </c:legend>
    <c:plotVisOnly val="1"/>
    <c:dispBlanksAs val="gap"/>
    <c:showDLblsOverMax val="0"/>
  </c:chart>
  <c:spPr>
    <a:solidFill>
      <a:schemeClr val="bg1"/>
    </a:solidFill>
    <a:ln w="9525" cap="flat" cmpd="sng" algn="ctr">
      <a:noFill/>
      <a:round/>
    </a:ln>
    <a:effectLst/>
  </c:spPr>
  <c:txPr>
    <a:bodyPr/>
    <a:lstStyle/>
    <a:p>
      <a:pPr>
        <a:defRPr sz="11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charts/chart18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ser>
          <c:idx val="0"/>
          <c:order val="0"/>
          <c:tx>
            <c:strRef>
              <c:f>'Electricity report'!$L$1393</c:f>
              <c:strCache>
                <c:ptCount val="1"/>
                <c:pt idx="0">
                  <c:v>Low Season Tariff</c:v>
                </c:pt>
              </c:strCache>
            </c:strRef>
          </c:tx>
          <c:spPr>
            <a:solidFill>
              <a:srgbClr val="4472C4"/>
            </a:solidFill>
            <a:ln w="25400">
              <a:noFill/>
            </a:ln>
          </c:spPr>
          <c:invertIfNegative val="0"/>
          <c:dLbls>
            <c:spPr>
              <a:noFill/>
              <a:ln w="25400">
                <a:noFill/>
              </a:ln>
            </c:spPr>
            <c:txPr>
              <a:bodyPr wrap="square" lIns="38100" tIns="19050" rIns="38100" bIns="19050" anchor="ctr">
                <a:spAutoFit/>
              </a:bodyPr>
              <a:lstStyle/>
              <a:p>
                <a:pPr>
                  <a:defRPr sz="900" b="0" i="0" u="none" strike="noStrike" baseline="0">
                    <a:solidFill>
                      <a:srgbClr val="333333"/>
                    </a:solidFill>
                    <a:latin typeface="Calibri"/>
                    <a:ea typeface="Calibri"/>
                    <a:cs typeface="Calibri"/>
                  </a:defRPr>
                </a:pPr>
                <a:endParaRPr lang="en-US"/>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'Electricity report'!$K$1394:$K$1398</c:f>
              <c:strCache>
                <c:ptCount val="5"/>
                <c:pt idx="0">
                  <c:v>0</c:v>
                </c:pt>
                <c:pt idx="1">
                  <c:v>0</c:v>
                </c:pt>
                <c:pt idx="2">
                  <c:v>0</c:v>
                </c:pt>
                <c:pt idx="3">
                  <c:v>0</c:v>
                </c:pt>
                <c:pt idx="4">
                  <c:v>More</c:v>
                </c:pt>
              </c:strCache>
            </c:strRef>
          </c:cat>
          <c:val>
            <c:numRef>
              <c:f>'Electricity report'!$L$1394:$L$1398</c:f>
              <c:numCache>
                <c:formatCode>_(* #,##0.00_);_(* \(#,##0.00\);_(* "-"??_);_(@_)</c:formatCode>
                <c:ptCount val="5"/>
                <c:pt idx="0">
                  <c:v>0</c:v>
                </c:pt>
                <c:pt idx="1">
                  <c:v>0</c:v>
                </c:pt>
                <c:pt idx="2">
                  <c:v>0</c:v>
                </c:pt>
                <c:pt idx="3">
                  <c:v>0</c:v>
                </c:pt>
                <c:pt idx="4">
                  <c:v>0</c:v>
                </c:pt>
              </c:numCache>
            </c:numRef>
          </c:val>
          <c:extLst>
            <c:ext xmlns:c16="http://schemas.microsoft.com/office/drawing/2014/chart" uri="{C3380CC4-5D6E-409C-BE32-E72D297353CC}">
              <c16:uniqueId val="{00000000-2AF2-4FF7-8757-14D446D59EEE}"/>
            </c:ext>
          </c:extLst>
        </c:ser>
        <c:ser>
          <c:idx val="1"/>
          <c:order val="1"/>
          <c:tx>
            <c:strRef>
              <c:f>'Electricity report'!$M$1393</c:f>
              <c:strCache>
                <c:ptCount val="1"/>
                <c:pt idx="0">
                  <c:v>High Season Tariff</c:v>
                </c:pt>
              </c:strCache>
            </c:strRef>
          </c:tx>
          <c:spPr>
            <a:solidFill>
              <a:srgbClr val="ED7D31"/>
            </a:solidFill>
            <a:ln w="25400">
              <a:noFill/>
            </a:ln>
          </c:spPr>
          <c:invertIfNegative val="0"/>
          <c:dLbls>
            <c:spPr>
              <a:noFill/>
              <a:ln w="25400">
                <a:noFill/>
              </a:ln>
            </c:spPr>
            <c:txPr>
              <a:bodyPr wrap="square" lIns="38100" tIns="19050" rIns="38100" bIns="19050" anchor="ctr">
                <a:spAutoFit/>
              </a:bodyPr>
              <a:lstStyle/>
              <a:p>
                <a:pPr>
                  <a:defRPr sz="900" b="0" i="0" u="none" strike="noStrike" baseline="0">
                    <a:solidFill>
                      <a:srgbClr val="333333"/>
                    </a:solidFill>
                    <a:latin typeface="Calibri"/>
                    <a:ea typeface="Calibri"/>
                    <a:cs typeface="Calibri"/>
                  </a:defRPr>
                </a:pPr>
                <a:endParaRPr lang="en-US"/>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'Electricity report'!$K$1394:$K$1398</c:f>
              <c:strCache>
                <c:ptCount val="5"/>
                <c:pt idx="0">
                  <c:v>0</c:v>
                </c:pt>
                <c:pt idx="1">
                  <c:v>0</c:v>
                </c:pt>
                <c:pt idx="2">
                  <c:v>0</c:v>
                </c:pt>
                <c:pt idx="3">
                  <c:v>0</c:v>
                </c:pt>
                <c:pt idx="4">
                  <c:v>More</c:v>
                </c:pt>
              </c:strCache>
            </c:strRef>
          </c:cat>
          <c:val>
            <c:numRef>
              <c:f>'Electricity report'!$M$1394:$M$1398</c:f>
              <c:numCache>
                <c:formatCode>_(* #,##0.00_);_(* \(#,##0.00\);_(* "-"??_);_(@_)</c:formatCode>
                <c:ptCount val="5"/>
                <c:pt idx="0">
                  <c:v>0</c:v>
                </c:pt>
                <c:pt idx="1">
                  <c:v>0</c:v>
                </c:pt>
                <c:pt idx="2">
                  <c:v>0</c:v>
                </c:pt>
                <c:pt idx="3">
                  <c:v>0</c:v>
                </c:pt>
                <c:pt idx="4">
                  <c:v>0</c:v>
                </c:pt>
              </c:numCache>
            </c:numRef>
          </c:val>
          <c:extLst>
            <c:ext xmlns:c16="http://schemas.microsoft.com/office/drawing/2014/chart" uri="{C3380CC4-5D6E-409C-BE32-E72D297353CC}">
              <c16:uniqueId val="{00000001-2AF2-4FF7-8757-14D446D59EEE}"/>
            </c:ext>
          </c:extLst>
        </c:ser>
        <c:dLbls>
          <c:showLegendKey val="0"/>
          <c:showVal val="0"/>
          <c:showCatName val="0"/>
          <c:showSerName val="0"/>
          <c:showPercent val="0"/>
          <c:showBubbleSize val="0"/>
        </c:dLbls>
        <c:gapWidth val="50"/>
        <c:axId val="1364761071"/>
        <c:axId val="1"/>
      </c:barChart>
      <c:lineChart>
        <c:grouping val="standard"/>
        <c:varyColors val="0"/>
        <c:ser>
          <c:idx val="2"/>
          <c:order val="2"/>
          <c:tx>
            <c:strRef>
              <c:f>'Electricity report'!$N$1393</c:f>
              <c:strCache>
                <c:ptCount val="1"/>
                <c:pt idx="0">
                  <c:v>Total cost per kl </c:v>
                </c:pt>
              </c:strCache>
            </c:strRef>
          </c:tx>
          <c:spPr>
            <a:ln w="28575" cap="rnd">
              <a:solidFill>
                <a:schemeClr val="accent3"/>
              </a:solidFill>
              <a:round/>
            </a:ln>
            <a:effectLst/>
          </c:spPr>
          <c:marker>
            <c:symbol val="none"/>
          </c:marker>
          <c:val>
            <c:numRef>
              <c:f>'Electricity report'!$N$1394:$N$1398</c:f>
              <c:numCache>
                <c:formatCode>_(* #,##0.00_);_(* \(#,##0.00\);_(* "-"??_);_(@_)</c:formatCode>
                <c:ptCount val="5"/>
                <c:pt idx="0">
                  <c:v>0</c:v>
                </c:pt>
                <c:pt idx="1">
                  <c:v>0</c:v>
                </c:pt>
                <c:pt idx="2">
                  <c:v>0</c:v>
                </c:pt>
                <c:pt idx="3">
                  <c:v>0</c:v>
                </c:pt>
                <c:pt idx="4">
                  <c:v>0</c:v>
                </c:pt>
              </c:numCache>
            </c:numRef>
          </c:val>
          <c:smooth val="0"/>
          <c:extLst>
            <c:ext xmlns:c16="http://schemas.microsoft.com/office/drawing/2014/chart" uri="{C3380CC4-5D6E-409C-BE32-E72D297353CC}">
              <c16:uniqueId val="{00000002-2AF2-4FF7-8757-14D446D59EEE}"/>
            </c:ext>
          </c:extLst>
        </c:ser>
        <c:ser>
          <c:idx val="3"/>
          <c:order val="3"/>
          <c:tx>
            <c:strRef>
              <c:f>'Electricity report'!$O$1393</c:f>
              <c:strCache>
                <c:ptCount val="1"/>
                <c:pt idx="0">
                  <c:v>Variable cost per kWh</c:v>
                </c:pt>
              </c:strCache>
            </c:strRef>
          </c:tx>
          <c:spPr>
            <a:ln w="28575" cap="rnd">
              <a:solidFill>
                <a:schemeClr val="accent4"/>
              </a:solidFill>
              <a:round/>
            </a:ln>
            <a:effectLst/>
          </c:spPr>
          <c:marker>
            <c:symbol val="none"/>
          </c:marker>
          <c:val>
            <c:numRef>
              <c:f>'Electricity report'!$O$1394:$O$1398</c:f>
              <c:numCache>
                <c:formatCode>_(* #,##0.00_);_(* \(#,##0.00\);_(* "-"??_);_(@_)</c:formatCode>
                <c:ptCount val="5"/>
                <c:pt idx="0">
                  <c:v>0</c:v>
                </c:pt>
                <c:pt idx="1">
                  <c:v>0</c:v>
                </c:pt>
                <c:pt idx="2">
                  <c:v>0</c:v>
                </c:pt>
                <c:pt idx="3">
                  <c:v>0</c:v>
                </c:pt>
                <c:pt idx="4">
                  <c:v>0</c:v>
                </c:pt>
              </c:numCache>
            </c:numRef>
          </c:val>
          <c:smooth val="0"/>
          <c:extLst>
            <c:ext xmlns:c16="http://schemas.microsoft.com/office/drawing/2014/chart" uri="{C3380CC4-5D6E-409C-BE32-E72D297353CC}">
              <c16:uniqueId val="{00000003-2AF2-4FF7-8757-14D446D59EEE}"/>
            </c:ext>
          </c:extLst>
        </c:ser>
        <c:dLbls>
          <c:showLegendKey val="0"/>
          <c:showVal val="0"/>
          <c:showCatName val="0"/>
          <c:showSerName val="0"/>
          <c:showPercent val="0"/>
          <c:showBubbleSize val="0"/>
        </c:dLbls>
        <c:marker val="1"/>
        <c:smooth val="0"/>
        <c:axId val="1364761071"/>
        <c:axId val="1"/>
      </c:lineChart>
      <c:catAx>
        <c:axId val="1364761071"/>
        <c:scaling>
          <c:orientation val="minMax"/>
        </c:scaling>
        <c:delete val="0"/>
        <c:axPos val="b"/>
        <c:title>
          <c:tx>
            <c:rich>
              <a:bodyPr/>
              <a:lstStyle/>
              <a:p>
                <a:pPr>
                  <a:defRPr sz="1000" b="0" i="0" u="none" strike="noStrike" baseline="0">
                    <a:solidFill>
                      <a:srgbClr val="333333"/>
                    </a:solidFill>
                    <a:latin typeface="Calibri"/>
                    <a:ea typeface="Calibri"/>
                    <a:cs typeface="Calibri"/>
                  </a:defRPr>
                </a:pPr>
                <a:r>
                  <a:rPr lang="en-ZA"/>
                  <a:t>Block size</a:t>
                </a:r>
              </a:p>
            </c:rich>
          </c:tx>
          <c:overlay val="0"/>
          <c:spPr>
            <a:noFill/>
            <a:ln w="25400">
              <a:noFill/>
            </a:ln>
          </c:spPr>
        </c:title>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0" vert="horz"/>
          <a:lstStyle/>
          <a:p>
            <a:pPr>
              <a:defRPr sz="900" b="0" i="0" u="none" strike="noStrike" baseline="0">
                <a:solidFill>
                  <a:srgbClr val="333333"/>
                </a:solidFill>
                <a:latin typeface="Calibri"/>
                <a:ea typeface="Calibri"/>
                <a:cs typeface="Calibri"/>
              </a:defRPr>
            </a:pPr>
            <a:endParaRPr lang="en-US"/>
          </a:p>
        </c:txPr>
        <c:crossAx val="1"/>
        <c:crosses val="autoZero"/>
        <c:auto val="1"/>
        <c:lblAlgn val="ctr"/>
        <c:lblOffset val="100"/>
        <c:noMultiLvlLbl val="0"/>
      </c:catAx>
      <c:valAx>
        <c:axId val="1"/>
        <c:scaling>
          <c:orientation val="minMax"/>
        </c:scaling>
        <c:delete val="0"/>
        <c:axPos val="l"/>
        <c:majorGridlines>
          <c:spPr>
            <a:ln w="9525" cap="flat" cmpd="sng" algn="ctr">
              <a:solidFill>
                <a:schemeClr val="tx1">
                  <a:lumMod val="15000"/>
                  <a:lumOff val="85000"/>
                </a:schemeClr>
              </a:solidFill>
              <a:round/>
            </a:ln>
            <a:effectLst/>
          </c:spPr>
        </c:majorGridlines>
        <c:title>
          <c:tx>
            <c:rich>
              <a:bodyPr/>
              <a:lstStyle/>
              <a:p>
                <a:pPr>
                  <a:defRPr sz="1000" b="0" i="0" u="none" strike="noStrike" baseline="0">
                    <a:solidFill>
                      <a:srgbClr val="333333"/>
                    </a:solidFill>
                    <a:latin typeface="Calibri"/>
                    <a:ea typeface="Calibri"/>
                    <a:cs typeface="Calibri"/>
                  </a:defRPr>
                </a:pPr>
                <a:r>
                  <a:rPr lang="en-ZA"/>
                  <a:t>R/kWh</a:t>
                </a:r>
              </a:p>
            </c:rich>
          </c:tx>
          <c:overlay val="0"/>
          <c:spPr>
            <a:noFill/>
            <a:ln w="25400">
              <a:noFill/>
            </a:ln>
          </c:spPr>
        </c:title>
        <c:numFmt formatCode="_(* #,##0.00_);_(* \(#,##0.00\);_(* &quot;-&quot;??_);_(@_)" sourceLinked="1"/>
        <c:majorTickMark val="none"/>
        <c:minorTickMark val="none"/>
        <c:tickLblPos val="nextTo"/>
        <c:spPr>
          <a:ln w="6350">
            <a:noFill/>
          </a:ln>
        </c:spPr>
        <c:txPr>
          <a:bodyPr rot="0" vert="horz"/>
          <a:lstStyle/>
          <a:p>
            <a:pPr>
              <a:defRPr sz="900" b="0" i="0" u="none" strike="noStrike" baseline="0">
                <a:solidFill>
                  <a:srgbClr val="333333"/>
                </a:solidFill>
                <a:latin typeface="Calibri"/>
                <a:ea typeface="Calibri"/>
                <a:cs typeface="Calibri"/>
              </a:defRPr>
            </a:pPr>
            <a:endParaRPr lang="en-US"/>
          </a:p>
        </c:txPr>
        <c:crossAx val="1364761071"/>
        <c:crosses val="autoZero"/>
        <c:crossBetween val="between"/>
      </c:valAx>
      <c:spPr>
        <a:noFill/>
        <a:ln w="25400">
          <a:noFill/>
        </a:ln>
      </c:spPr>
    </c:plotArea>
    <c:legend>
      <c:legendPos val="r"/>
      <c:layout>
        <c:manualLayout>
          <c:xMode val="edge"/>
          <c:yMode val="edge"/>
          <c:x val="4.7023424579764522E-2"/>
          <c:y val="0.92826131183362848"/>
          <c:w val="0.90128222216737008"/>
          <c:h val="5.2633337100804978E-2"/>
        </c:manualLayout>
      </c:layout>
      <c:overlay val="0"/>
      <c:spPr>
        <a:noFill/>
        <a:ln w="25400">
          <a:noFill/>
        </a:ln>
      </c:spPr>
      <c:txPr>
        <a:bodyPr/>
        <a:lstStyle/>
        <a:p>
          <a:pPr>
            <a:defRPr sz="690" b="0" i="0" u="none" strike="noStrike" baseline="0">
              <a:solidFill>
                <a:srgbClr val="333333"/>
              </a:solidFill>
              <a:latin typeface="Calibri"/>
              <a:ea typeface="Calibri"/>
              <a:cs typeface="Calibri"/>
            </a:defRPr>
          </a:pPr>
          <a:endParaRPr lang="en-US"/>
        </a:p>
      </c:txPr>
    </c:legend>
    <c:plotVisOnly val="1"/>
    <c:dispBlanksAs val="gap"/>
    <c:showDLblsOverMax val="0"/>
  </c:chart>
  <c:spPr>
    <a:solidFill>
      <a:schemeClr val="bg1"/>
    </a:solidFill>
    <a:ln w="9525" cap="flat" cmpd="sng" algn="ctr">
      <a:noFill/>
      <a:round/>
    </a:ln>
    <a:effectLst/>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charts/chart18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2.3871527777777776E-2"/>
          <c:y val="4.7786414907172239E-2"/>
          <c:w val="0.57559123468941387"/>
          <c:h val="0.83529592857692603"/>
        </c:manualLayout>
      </c:layout>
      <c:barChart>
        <c:barDir val="col"/>
        <c:grouping val="stacked"/>
        <c:varyColors val="0"/>
        <c:ser>
          <c:idx val="0"/>
          <c:order val="0"/>
          <c:tx>
            <c:strRef>
              <c:f>'Solid waste report'!$I$35</c:f>
              <c:strCache>
                <c:ptCount val="1"/>
                <c:pt idx="0">
                  <c:v>Fixed cost</c:v>
                </c:pt>
              </c:strCache>
            </c:strRef>
          </c:tx>
          <c:spPr>
            <a:solidFill>
              <a:srgbClr val="4472C4"/>
            </a:solidFill>
            <a:ln w="25400">
              <a:noFill/>
            </a:ln>
          </c:spPr>
          <c:invertIfNegative val="0"/>
          <c:dPt>
            <c:idx val="0"/>
            <c:invertIfNegative val="0"/>
            <c:bubble3D val="0"/>
            <c:spPr>
              <a:solidFill>
                <a:srgbClr val="5B9BD5"/>
              </a:solidFill>
              <a:ln w="25400">
                <a:noFill/>
              </a:ln>
            </c:spPr>
            <c:extLst>
              <c:ext xmlns:c16="http://schemas.microsoft.com/office/drawing/2014/chart" uri="{C3380CC4-5D6E-409C-BE32-E72D297353CC}">
                <c16:uniqueId val="{00000000-C6EB-410C-BD0D-106EF08F6DA8}"/>
              </c:ext>
            </c:extLst>
          </c:dPt>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'Solid waste report'!$J$34:$K$34</c:f>
              <c:strCache>
                <c:ptCount val="2"/>
                <c:pt idx="0">
                  <c:v>Expenditure R'000</c:v>
                </c:pt>
                <c:pt idx="1">
                  <c:v>Revenue R'000</c:v>
                </c:pt>
              </c:strCache>
            </c:strRef>
          </c:cat>
          <c:val>
            <c:numRef>
              <c:f>'Solid waste report'!$J$35:$K$35</c:f>
              <c:numCache>
                <c:formatCode>General</c:formatCode>
                <c:ptCount val="2"/>
                <c:pt idx="0" formatCode="_-* #\ ##0_-;\-* #\ ##0_-;_-* &quot;-&quot;??_-;_-@_-">
                  <c:v>90731.12114132526</c:v>
                </c:pt>
              </c:numCache>
            </c:numRef>
          </c:val>
          <c:extLst>
            <c:ext xmlns:c16="http://schemas.microsoft.com/office/drawing/2014/chart" uri="{C3380CC4-5D6E-409C-BE32-E72D297353CC}">
              <c16:uniqueId val="{00000001-C6EB-410C-BD0D-106EF08F6DA8}"/>
            </c:ext>
          </c:extLst>
        </c:ser>
        <c:ser>
          <c:idx val="1"/>
          <c:order val="1"/>
          <c:tx>
            <c:strRef>
              <c:f>'Solid waste report'!$I$36</c:f>
              <c:strCache>
                <c:ptCount val="1"/>
                <c:pt idx="0">
                  <c:v>Surplus</c:v>
                </c:pt>
              </c:strCache>
            </c:strRef>
          </c:tx>
          <c:spPr>
            <a:solidFill>
              <a:schemeClr val="accent5">
                <a:lumMod val="60000"/>
                <a:lumOff val="40000"/>
              </a:schemeClr>
            </a:solidFill>
            <a:ln>
              <a:noFill/>
            </a:ln>
            <a:effectLst/>
          </c:spPr>
          <c:invertIfNegative val="0"/>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'Solid waste report'!$J$34:$K$34</c:f>
              <c:strCache>
                <c:ptCount val="2"/>
                <c:pt idx="0">
                  <c:v>Expenditure R'000</c:v>
                </c:pt>
                <c:pt idx="1">
                  <c:v>Revenue R'000</c:v>
                </c:pt>
              </c:strCache>
            </c:strRef>
          </c:cat>
          <c:val>
            <c:numRef>
              <c:f>'Solid waste report'!$J$36:$K$36</c:f>
              <c:numCache>
                <c:formatCode>General</c:formatCode>
                <c:ptCount val="2"/>
                <c:pt idx="0" formatCode="_-* #\ ##0_-;\-* #\ ##0_-;_-* &quot;-&quot;??_-;_-@_-">
                  <c:v>0</c:v>
                </c:pt>
              </c:numCache>
            </c:numRef>
          </c:val>
          <c:extLst>
            <c:ext xmlns:c16="http://schemas.microsoft.com/office/drawing/2014/chart" uri="{C3380CC4-5D6E-409C-BE32-E72D297353CC}">
              <c16:uniqueId val="{00000002-C6EB-410C-BD0D-106EF08F6DA8}"/>
            </c:ext>
          </c:extLst>
        </c:ser>
        <c:ser>
          <c:idx val="2"/>
          <c:order val="2"/>
          <c:tx>
            <c:strRef>
              <c:f>'Solid waste report'!$I$37</c:f>
              <c:strCache>
                <c:ptCount val="1"/>
                <c:pt idx="0">
                  <c:v>Tariff revenue</c:v>
                </c:pt>
              </c:strCache>
            </c:strRef>
          </c:tx>
          <c:spPr>
            <a:solidFill>
              <a:srgbClr val="A5A5A5"/>
            </a:solidFill>
            <a:ln w="25400">
              <a:noFill/>
            </a:ln>
          </c:spPr>
          <c:invertIfNegative val="0"/>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'Solid waste report'!$J$34:$K$34</c:f>
              <c:strCache>
                <c:ptCount val="2"/>
                <c:pt idx="0">
                  <c:v>Expenditure R'000</c:v>
                </c:pt>
                <c:pt idx="1">
                  <c:v>Revenue R'000</c:v>
                </c:pt>
              </c:strCache>
            </c:strRef>
          </c:cat>
          <c:val>
            <c:numRef>
              <c:f>'Solid waste report'!$J$37:$K$37</c:f>
              <c:numCache>
                <c:formatCode>_-* #\ ##0_-;\-* #\ ##0_-;_-* "-"??_-;_-@_-</c:formatCode>
                <c:ptCount val="2"/>
                <c:pt idx="1">
                  <c:v>68953.751543337639</c:v>
                </c:pt>
              </c:numCache>
            </c:numRef>
          </c:val>
          <c:extLst>
            <c:ext xmlns:c16="http://schemas.microsoft.com/office/drawing/2014/chart" uri="{C3380CC4-5D6E-409C-BE32-E72D297353CC}">
              <c16:uniqueId val="{00000003-C6EB-410C-BD0D-106EF08F6DA8}"/>
            </c:ext>
          </c:extLst>
        </c:ser>
        <c:ser>
          <c:idx val="4"/>
          <c:order val="3"/>
          <c:tx>
            <c:strRef>
              <c:f>'Solid waste report'!$I$38</c:f>
              <c:strCache>
                <c:ptCount val="1"/>
                <c:pt idx="0">
                  <c:v>External grants &amp; subsidies</c:v>
                </c:pt>
              </c:strCache>
            </c:strRef>
          </c:tx>
          <c:spPr>
            <a:solidFill>
              <a:srgbClr val="5B9BD5"/>
            </a:solidFill>
            <a:ln w="25400">
              <a:noFill/>
            </a:ln>
          </c:spPr>
          <c:invertIfNegative val="0"/>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'Solid waste report'!$J$34:$K$34</c:f>
              <c:strCache>
                <c:ptCount val="2"/>
                <c:pt idx="0">
                  <c:v>Expenditure R'000</c:v>
                </c:pt>
                <c:pt idx="1">
                  <c:v>Revenue R'000</c:v>
                </c:pt>
              </c:strCache>
            </c:strRef>
          </c:cat>
          <c:val>
            <c:numRef>
              <c:f>'Solid waste report'!$J$38:$K$38</c:f>
              <c:numCache>
                <c:formatCode>_-* #\ ##0_-;\-* #\ ##0_-;_-* "-"??_-;_-@_-</c:formatCode>
                <c:ptCount val="2"/>
                <c:pt idx="1">
                  <c:v>18586.891313081647</c:v>
                </c:pt>
              </c:numCache>
            </c:numRef>
          </c:val>
          <c:extLst>
            <c:ext xmlns:c16="http://schemas.microsoft.com/office/drawing/2014/chart" uri="{C3380CC4-5D6E-409C-BE32-E72D297353CC}">
              <c16:uniqueId val="{00000004-C6EB-410C-BD0D-106EF08F6DA8}"/>
            </c:ext>
          </c:extLst>
        </c:ser>
        <c:ser>
          <c:idx val="5"/>
          <c:order val="4"/>
          <c:tx>
            <c:strRef>
              <c:f>'Solid waste report'!$I$39</c:f>
              <c:strCache>
                <c:ptCount val="1"/>
                <c:pt idx="0">
                  <c:v>Other non-tariff revenue</c:v>
                </c:pt>
              </c:strCache>
            </c:strRef>
          </c:tx>
          <c:spPr>
            <a:solidFill>
              <a:srgbClr val="A5A5A5"/>
            </a:solidFill>
            <a:ln w="25400">
              <a:noFill/>
            </a:ln>
          </c:spPr>
          <c:invertIfNegative val="0"/>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'Solid waste report'!$J$34:$K$34</c:f>
              <c:strCache>
                <c:ptCount val="2"/>
                <c:pt idx="0">
                  <c:v>Expenditure R'000</c:v>
                </c:pt>
                <c:pt idx="1">
                  <c:v>Revenue R'000</c:v>
                </c:pt>
              </c:strCache>
            </c:strRef>
          </c:cat>
          <c:val>
            <c:numRef>
              <c:f>'Solid waste report'!$J$39:$K$39</c:f>
              <c:numCache>
                <c:formatCode>_-* #\ ##0_-;\-* #\ ##0_-;_-* "-"??_-;_-@_-</c:formatCode>
                <c:ptCount val="2"/>
                <c:pt idx="1">
                  <c:v>3190.478284905977</c:v>
                </c:pt>
              </c:numCache>
            </c:numRef>
          </c:val>
          <c:extLst>
            <c:ext xmlns:c16="http://schemas.microsoft.com/office/drawing/2014/chart" uri="{C3380CC4-5D6E-409C-BE32-E72D297353CC}">
              <c16:uniqueId val="{00000005-C6EB-410C-BD0D-106EF08F6DA8}"/>
            </c:ext>
          </c:extLst>
        </c:ser>
        <c:ser>
          <c:idx val="3"/>
          <c:order val="5"/>
          <c:tx>
            <c:strRef>
              <c:f>'Solid waste report'!$I$40</c:f>
              <c:strCache>
                <c:ptCount val="1"/>
                <c:pt idx="0">
                  <c:v>Deficit</c:v>
                </c:pt>
              </c:strCache>
            </c:strRef>
          </c:tx>
          <c:spPr>
            <a:solidFill>
              <a:schemeClr val="accent3">
                <a:lumMod val="40000"/>
                <a:lumOff val="60000"/>
              </a:schemeClr>
            </a:solidFill>
            <a:ln>
              <a:noFill/>
            </a:ln>
            <a:effectLst/>
          </c:spPr>
          <c:invertIfNegative val="0"/>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'Solid waste report'!$J$34:$K$34</c:f>
              <c:strCache>
                <c:ptCount val="2"/>
                <c:pt idx="0">
                  <c:v>Expenditure R'000</c:v>
                </c:pt>
                <c:pt idx="1">
                  <c:v>Revenue R'000</c:v>
                </c:pt>
              </c:strCache>
            </c:strRef>
          </c:cat>
          <c:val>
            <c:numRef>
              <c:f>'Solid waste report'!$J$40:$K$40</c:f>
              <c:numCache>
                <c:formatCode>_-* #\ ##0_-;\-* #\ ##0_-;_-* "-"??_-;_-@_-</c:formatCode>
                <c:ptCount val="2"/>
                <c:pt idx="1">
                  <c:v>0</c:v>
                </c:pt>
              </c:numCache>
            </c:numRef>
          </c:val>
          <c:extLst>
            <c:ext xmlns:c16="http://schemas.microsoft.com/office/drawing/2014/chart" uri="{C3380CC4-5D6E-409C-BE32-E72D297353CC}">
              <c16:uniqueId val="{00000006-C6EB-410C-BD0D-106EF08F6DA8}"/>
            </c:ext>
          </c:extLst>
        </c:ser>
        <c:dLbls>
          <c:showLegendKey val="0"/>
          <c:showVal val="0"/>
          <c:showCatName val="0"/>
          <c:showSerName val="0"/>
          <c:showPercent val="0"/>
          <c:showBubbleSize val="0"/>
        </c:dLbls>
        <c:gapWidth val="25"/>
        <c:overlap val="100"/>
        <c:axId val="1399644559"/>
        <c:axId val="1"/>
      </c:barChart>
      <c:catAx>
        <c:axId val="1399644559"/>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0" vert="horz"/>
          <a:lstStyle/>
          <a:p>
            <a:pPr>
              <a:defRPr sz="1100" b="0" i="0" u="none" strike="noStrike" baseline="0">
                <a:solidFill>
                  <a:srgbClr val="000000"/>
                </a:solidFill>
                <a:latin typeface="Calibri"/>
                <a:ea typeface="Calibri"/>
                <a:cs typeface="Calibri"/>
              </a:defRPr>
            </a:pPr>
            <a:endParaRPr lang="en-US"/>
          </a:p>
        </c:txPr>
        <c:crossAx val="1"/>
        <c:crosses val="autoZero"/>
        <c:auto val="1"/>
        <c:lblAlgn val="ctr"/>
        <c:lblOffset val="100"/>
        <c:noMultiLvlLbl val="0"/>
      </c:catAx>
      <c:valAx>
        <c:axId val="1"/>
        <c:scaling>
          <c:orientation val="minMax"/>
        </c:scaling>
        <c:delete val="1"/>
        <c:axPos val="l"/>
        <c:majorGridlines>
          <c:spPr>
            <a:ln w="9525" cap="flat" cmpd="sng" algn="ctr">
              <a:solidFill>
                <a:schemeClr val="tx1">
                  <a:lumMod val="15000"/>
                  <a:lumOff val="85000"/>
                </a:schemeClr>
              </a:solidFill>
              <a:round/>
            </a:ln>
            <a:effectLst/>
          </c:spPr>
        </c:majorGridlines>
        <c:numFmt formatCode="_-* #\ ##0_-;\-* #\ ##0_-;_-* &quot;-&quot;??_-;_-@_-" sourceLinked="1"/>
        <c:majorTickMark val="out"/>
        <c:minorTickMark val="none"/>
        <c:tickLblPos val="nextTo"/>
        <c:crossAx val="1399644559"/>
        <c:crosses val="autoZero"/>
        <c:crossBetween val="between"/>
      </c:valAx>
    </c:plotArea>
    <c:legend>
      <c:legendPos val="r"/>
      <c:layout>
        <c:manualLayout>
          <c:xMode val="edge"/>
          <c:yMode val="edge"/>
          <c:x val="0.63060873861355571"/>
          <c:y val="0.18380651016753749"/>
          <c:w val="0.34824665740311866"/>
          <c:h val="0.71030326816624556"/>
        </c:manualLayout>
      </c:layout>
      <c:overlay val="0"/>
      <c:spPr>
        <a:noFill/>
        <a:ln w="25400">
          <a:noFill/>
        </a:ln>
      </c:spPr>
      <c:txPr>
        <a:bodyPr/>
        <a:lstStyle/>
        <a:p>
          <a:pPr>
            <a:defRPr sz="850" b="0" i="0" u="none" strike="noStrike" baseline="0">
              <a:solidFill>
                <a:srgbClr val="000000"/>
              </a:solidFill>
              <a:latin typeface="Calibri"/>
              <a:ea typeface="Calibri"/>
              <a:cs typeface="Calibri"/>
            </a:defRPr>
          </a:pPr>
          <a:endParaRPr lang="en-US"/>
        </a:p>
      </c:txPr>
    </c:legend>
    <c:plotVisOnly val="1"/>
    <c:dispBlanksAs val="gap"/>
    <c:showDLblsOverMax val="0"/>
  </c:chart>
  <c:spPr>
    <a:solidFill>
      <a:schemeClr val="bg1"/>
    </a:solidFill>
    <a:ln w="9525" cap="flat" cmpd="sng" algn="ctr">
      <a:noFill/>
      <a:round/>
    </a:ln>
    <a:effectLst/>
  </c:spPr>
  <c:txPr>
    <a:bodyPr/>
    <a:lstStyle/>
    <a:p>
      <a:pPr>
        <a:defRPr sz="1100" b="0" i="0" u="none" strike="noStrike" baseline="0">
          <a:solidFill>
            <a:srgbClr val="000000"/>
          </a:solidFill>
          <a:latin typeface="Calibri"/>
          <a:ea typeface="Calibri"/>
          <a:cs typeface="Calibri"/>
        </a:defRPr>
      </a:pPr>
      <a:endParaRPr lang="en-US"/>
    </a:p>
  </c:txPr>
  <c:printSettings>
    <c:headerFooter/>
    <c:pageMargins b="0.75" l="0.7" r="0.7" t="0.75" header="0.3" footer="0.3"/>
    <c:pageSetup orientation="portrait"/>
  </c:printSettings>
</c:chartSpace>
</file>

<file path=xl/charts/chart18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2.3871527777777776E-2"/>
          <c:y val="4.7786414907172239E-2"/>
          <c:w val="0.57559123468941387"/>
          <c:h val="0.83529592857692603"/>
        </c:manualLayout>
      </c:layout>
      <c:barChart>
        <c:barDir val="col"/>
        <c:grouping val="stacked"/>
        <c:varyColors val="0"/>
        <c:ser>
          <c:idx val="0"/>
          <c:order val="0"/>
          <c:tx>
            <c:strRef>
              <c:f>'Solid waste report'!$I$80</c:f>
              <c:strCache>
                <c:ptCount val="1"/>
                <c:pt idx="0">
                  <c:v>Fixed cost</c:v>
                </c:pt>
              </c:strCache>
            </c:strRef>
          </c:tx>
          <c:spPr>
            <a:solidFill>
              <a:srgbClr val="4472C4"/>
            </a:solidFill>
            <a:ln w="25400">
              <a:noFill/>
            </a:ln>
          </c:spPr>
          <c:invertIfNegative val="0"/>
          <c:dPt>
            <c:idx val="0"/>
            <c:invertIfNegative val="0"/>
            <c:bubble3D val="0"/>
            <c:spPr>
              <a:solidFill>
                <a:srgbClr val="5B9BD5"/>
              </a:solidFill>
              <a:ln w="25400">
                <a:noFill/>
              </a:ln>
            </c:spPr>
            <c:extLst>
              <c:ext xmlns:c16="http://schemas.microsoft.com/office/drawing/2014/chart" uri="{C3380CC4-5D6E-409C-BE32-E72D297353CC}">
                <c16:uniqueId val="{00000000-357D-4232-A7A7-65D9575236CD}"/>
              </c:ext>
            </c:extLst>
          </c:dPt>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'Solid waste report'!$J$79:$K$79</c:f>
              <c:strCache>
                <c:ptCount val="2"/>
                <c:pt idx="0">
                  <c:v>Expenditure R'000</c:v>
                </c:pt>
                <c:pt idx="1">
                  <c:v>Revenue R'000</c:v>
                </c:pt>
              </c:strCache>
            </c:strRef>
          </c:cat>
          <c:val>
            <c:numRef>
              <c:f>'Solid waste report'!$J$80:$K$80</c:f>
              <c:numCache>
                <c:formatCode>General</c:formatCode>
                <c:ptCount val="2"/>
                <c:pt idx="0" formatCode="_-* #\ ##0_-;\-* #\ ##0_-;_-* &quot;-&quot;??_-;_-@_-">
                  <c:v>4113.0307932169235</c:v>
                </c:pt>
              </c:numCache>
            </c:numRef>
          </c:val>
          <c:extLst>
            <c:ext xmlns:c16="http://schemas.microsoft.com/office/drawing/2014/chart" uri="{C3380CC4-5D6E-409C-BE32-E72D297353CC}">
              <c16:uniqueId val="{00000001-357D-4232-A7A7-65D9575236CD}"/>
            </c:ext>
          </c:extLst>
        </c:ser>
        <c:ser>
          <c:idx val="1"/>
          <c:order val="1"/>
          <c:tx>
            <c:strRef>
              <c:f>'Solid waste report'!$I$81</c:f>
              <c:strCache>
                <c:ptCount val="1"/>
                <c:pt idx="0">
                  <c:v>Surplus</c:v>
                </c:pt>
              </c:strCache>
            </c:strRef>
          </c:tx>
          <c:spPr>
            <a:solidFill>
              <a:schemeClr val="accent5">
                <a:lumMod val="60000"/>
                <a:lumOff val="40000"/>
              </a:schemeClr>
            </a:solidFill>
            <a:ln>
              <a:noFill/>
            </a:ln>
            <a:effectLst/>
          </c:spPr>
          <c:invertIfNegative val="0"/>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'Solid waste report'!$J$79:$K$79</c:f>
              <c:strCache>
                <c:ptCount val="2"/>
                <c:pt idx="0">
                  <c:v>Expenditure R'000</c:v>
                </c:pt>
                <c:pt idx="1">
                  <c:v>Revenue R'000</c:v>
                </c:pt>
              </c:strCache>
            </c:strRef>
          </c:cat>
          <c:val>
            <c:numRef>
              <c:f>'Solid waste report'!$J$81:$K$81</c:f>
              <c:numCache>
                <c:formatCode>General</c:formatCode>
                <c:ptCount val="2"/>
                <c:pt idx="0" formatCode="_-* #\ ##0_-;\-* #\ ##0_-;_-* &quot;-&quot;??_-;_-@_-">
                  <c:v>0</c:v>
                </c:pt>
              </c:numCache>
            </c:numRef>
          </c:val>
          <c:extLst>
            <c:ext xmlns:c16="http://schemas.microsoft.com/office/drawing/2014/chart" uri="{C3380CC4-5D6E-409C-BE32-E72D297353CC}">
              <c16:uniqueId val="{00000002-357D-4232-A7A7-65D9575236CD}"/>
            </c:ext>
          </c:extLst>
        </c:ser>
        <c:ser>
          <c:idx val="2"/>
          <c:order val="2"/>
          <c:tx>
            <c:strRef>
              <c:f>'Solid waste report'!$I$82</c:f>
              <c:strCache>
                <c:ptCount val="1"/>
                <c:pt idx="0">
                  <c:v>Tariff revenue</c:v>
                </c:pt>
              </c:strCache>
            </c:strRef>
          </c:tx>
          <c:spPr>
            <a:solidFill>
              <a:srgbClr val="A5A5A5"/>
            </a:solidFill>
            <a:ln w="25400">
              <a:noFill/>
            </a:ln>
          </c:spPr>
          <c:invertIfNegative val="0"/>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'Solid waste report'!$J$79:$K$79</c:f>
              <c:strCache>
                <c:ptCount val="2"/>
                <c:pt idx="0">
                  <c:v>Expenditure R'000</c:v>
                </c:pt>
                <c:pt idx="1">
                  <c:v>Revenue R'000</c:v>
                </c:pt>
              </c:strCache>
            </c:strRef>
          </c:cat>
          <c:val>
            <c:numRef>
              <c:f>'Solid waste report'!$J$82:$K$82</c:f>
              <c:numCache>
                <c:formatCode>_-* #\ ##0_-;\-* #\ ##0_-;_-* "-"??_-;_-@_-</c:formatCode>
                <c:ptCount val="2"/>
                <c:pt idx="1">
                  <c:v>3968.3997640194757</c:v>
                </c:pt>
              </c:numCache>
            </c:numRef>
          </c:val>
          <c:extLst>
            <c:ext xmlns:c16="http://schemas.microsoft.com/office/drawing/2014/chart" uri="{C3380CC4-5D6E-409C-BE32-E72D297353CC}">
              <c16:uniqueId val="{00000003-357D-4232-A7A7-65D9575236CD}"/>
            </c:ext>
          </c:extLst>
        </c:ser>
        <c:ser>
          <c:idx val="4"/>
          <c:order val="3"/>
          <c:tx>
            <c:strRef>
              <c:f>'Solid waste report'!$I$83</c:f>
              <c:strCache>
                <c:ptCount val="1"/>
                <c:pt idx="0">
                  <c:v>External grants &amp; subsidies</c:v>
                </c:pt>
              </c:strCache>
            </c:strRef>
          </c:tx>
          <c:spPr>
            <a:solidFill>
              <a:srgbClr val="5B9BD5"/>
            </a:solidFill>
            <a:ln w="25400">
              <a:noFill/>
            </a:ln>
          </c:spPr>
          <c:invertIfNegative val="0"/>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'Solid waste report'!$J$79:$K$79</c:f>
              <c:strCache>
                <c:ptCount val="2"/>
                <c:pt idx="0">
                  <c:v>Expenditure R'000</c:v>
                </c:pt>
                <c:pt idx="1">
                  <c:v>Revenue R'000</c:v>
                </c:pt>
              </c:strCache>
            </c:strRef>
          </c:cat>
          <c:val>
            <c:numRef>
              <c:f>'Solid waste report'!$J$83:$K$83</c:f>
              <c:numCache>
                <c:formatCode>_-* #\ ##0_-;\-* #\ ##0_-;_-* "-"??_-;_-@_-</c:formatCode>
                <c:ptCount val="2"/>
                <c:pt idx="1">
                  <c:v>0</c:v>
                </c:pt>
              </c:numCache>
            </c:numRef>
          </c:val>
          <c:extLst>
            <c:ext xmlns:c16="http://schemas.microsoft.com/office/drawing/2014/chart" uri="{C3380CC4-5D6E-409C-BE32-E72D297353CC}">
              <c16:uniqueId val="{00000004-357D-4232-A7A7-65D9575236CD}"/>
            </c:ext>
          </c:extLst>
        </c:ser>
        <c:ser>
          <c:idx val="5"/>
          <c:order val="4"/>
          <c:tx>
            <c:strRef>
              <c:f>'Solid waste report'!$I$84</c:f>
              <c:strCache>
                <c:ptCount val="1"/>
                <c:pt idx="0">
                  <c:v>Other non-tariff revenue</c:v>
                </c:pt>
              </c:strCache>
            </c:strRef>
          </c:tx>
          <c:spPr>
            <a:solidFill>
              <a:srgbClr val="A5A5A5"/>
            </a:solidFill>
            <a:ln w="25400">
              <a:noFill/>
            </a:ln>
          </c:spPr>
          <c:invertIfNegative val="0"/>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'Solid waste report'!$J$79:$K$79</c:f>
              <c:strCache>
                <c:ptCount val="2"/>
                <c:pt idx="0">
                  <c:v>Expenditure R'000</c:v>
                </c:pt>
                <c:pt idx="1">
                  <c:v>Revenue R'000</c:v>
                </c:pt>
              </c:strCache>
            </c:strRef>
          </c:cat>
          <c:val>
            <c:numRef>
              <c:f>'Solid waste report'!$J$84:$K$84</c:f>
              <c:numCache>
                <c:formatCode>_-* #\ ##0_-;\-* #\ ##0_-;_-* "-"??_-;_-@_-</c:formatCode>
                <c:ptCount val="2"/>
                <c:pt idx="1">
                  <c:v>144.63102919744796</c:v>
                </c:pt>
              </c:numCache>
            </c:numRef>
          </c:val>
          <c:extLst>
            <c:ext xmlns:c16="http://schemas.microsoft.com/office/drawing/2014/chart" uri="{C3380CC4-5D6E-409C-BE32-E72D297353CC}">
              <c16:uniqueId val="{00000005-357D-4232-A7A7-65D9575236CD}"/>
            </c:ext>
          </c:extLst>
        </c:ser>
        <c:ser>
          <c:idx val="3"/>
          <c:order val="5"/>
          <c:tx>
            <c:strRef>
              <c:f>'Solid waste report'!$I$85</c:f>
              <c:strCache>
                <c:ptCount val="1"/>
                <c:pt idx="0">
                  <c:v>Deficit</c:v>
                </c:pt>
              </c:strCache>
            </c:strRef>
          </c:tx>
          <c:spPr>
            <a:solidFill>
              <a:schemeClr val="accent3">
                <a:lumMod val="40000"/>
                <a:lumOff val="60000"/>
              </a:schemeClr>
            </a:solidFill>
            <a:ln>
              <a:noFill/>
            </a:ln>
            <a:effectLst/>
          </c:spPr>
          <c:invertIfNegative val="0"/>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'Solid waste report'!$J$79:$K$79</c:f>
              <c:strCache>
                <c:ptCount val="2"/>
                <c:pt idx="0">
                  <c:v>Expenditure R'000</c:v>
                </c:pt>
                <c:pt idx="1">
                  <c:v>Revenue R'000</c:v>
                </c:pt>
              </c:strCache>
            </c:strRef>
          </c:cat>
          <c:val>
            <c:numRef>
              <c:f>'Solid waste report'!$J$85:$K$85</c:f>
              <c:numCache>
                <c:formatCode>_-* #\ ##0_-;\-* #\ ##0_-;_-* "-"??_-;_-@_-</c:formatCode>
                <c:ptCount val="2"/>
                <c:pt idx="1">
                  <c:v>0</c:v>
                </c:pt>
              </c:numCache>
            </c:numRef>
          </c:val>
          <c:extLst>
            <c:ext xmlns:c16="http://schemas.microsoft.com/office/drawing/2014/chart" uri="{C3380CC4-5D6E-409C-BE32-E72D297353CC}">
              <c16:uniqueId val="{00000006-357D-4232-A7A7-65D9575236CD}"/>
            </c:ext>
          </c:extLst>
        </c:ser>
        <c:dLbls>
          <c:showLegendKey val="0"/>
          <c:showVal val="0"/>
          <c:showCatName val="0"/>
          <c:showSerName val="0"/>
          <c:showPercent val="0"/>
          <c:showBubbleSize val="0"/>
        </c:dLbls>
        <c:gapWidth val="25"/>
        <c:overlap val="100"/>
        <c:axId val="1399654639"/>
        <c:axId val="1"/>
      </c:barChart>
      <c:catAx>
        <c:axId val="1399654639"/>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0" vert="horz"/>
          <a:lstStyle/>
          <a:p>
            <a:pPr>
              <a:defRPr sz="1100" b="0" i="0" u="none" strike="noStrike" baseline="0">
                <a:solidFill>
                  <a:srgbClr val="000000"/>
                </a:solidFill>
                <a:latin typeface="Calibri"/>
                <a:ea typeface="Calibri"/>
                <a:cs typeface="Calibri"/>
              </a:defRPr>
            </a:pPr>
            <a:endParaRPr lang="en-US"/>
          </a:p>
        </c:txPr>
        <c:crossAx val="1"/>
        <c:crosses val="autoZero"/>
        <c:auto val="1"/>
        <c:lblAlgn val="ctr"/>
        <c:lblOffset val="100"/>
        <c:noMultiLvlLbl val="0"/>
      </c:catAx>
      <c:valAx>
        <c:axId val="1"/>
        <c:scaling>
          <c:orientation val="minMax"/>
        </c:scaling>
        <c:delete val="1"/>
        <c:axPos val="l"/>
        <c:majorGridlines>
          <c:spPr>
            <a:ln w="9525" cap="flat" cmpd="sng" algn="ctr">
              <a:solidFill>
                <a:schemeClr val="tx1">
                  <a:lumMod val="15000"/>
                  <a:lumOff val="85000"/>
                </a:schemeClr>
              </a:solidFill>
              <a:round/>
            </a:ln>
            <a:effectLst/>
          </c:spPr>
        </c:majorGridlines>
        <c:numFmt formatCode="_-* #\ ##0_-;\-* #\ ##0_-;_-* &quot;-&quot;??_-;_-@_-" sourceLinked="1"/>
        <c:majorTickMark val="out"/>
        <c:minorTickMark val="none"/>
        <c:tickLblPos val="nextTo"/>
        <c:crossAx val="1399654639"/>
        <c:crosses val="autoZero"/>
        <c:crossBetween val="between"/>
      </c:valAx>
    </c:plotArea>
    <c:legend>
      <c:legendPos val="r"/>
      <c:layout>
        <c:manualLayout>
          <c:xMode val="edge"/>
          <c:yMode val="edge"/>
          <c:x val="0.63060873861355571"/>
          <c:y val="0.18380651016753749"/>
          <c:w val="0.34824665740311866"/>
          <c:h val="0.71030326816624556"/>
        </c:manualLayout>
      </c:layout>
      <c:overlay val="0"/>
      <c:spPr>
        <a:noFill/>
        <a:ln w="25400">
          <a:noFill/>
        </a:ln>
      </c:spPr>
      <c:txPr>
        <a:bodyPr/>
        <a:lstStyle/>
        <a:p>
          <a:pPr>
            <a:defRPr sz="850" b="0" i="0" u="none" strike="noStrike" baseline="0">
              <a:solidFill>
                <a:srgbClr val="000000"/>
              </a:solidFill>
              <a:latin typeface="Calibri"/>
              <a:ea typeface="Calibri"/>
              <a:cs typeface="Calibri"/>
            </a:defRPr>
          </a:pPr>
          <a:endParaRPr lang="en-US"/>
        </a:p>
      </c:txPr>
    </c:legend>
    <c:plotVisOnly val="1"/>
    <c:dispBlanksAs val="gap"/>
    <c:showDLblsOverMax val="0"/>
  </c:chart>
  <c:spPr>
    <a:solidFill>
      <a:schemeClr val="bg1"/>
    </a:solidFill>
    <a:ln w="9525" cap="flat" cmpd="sng" algn="ctr">
      <a:noFill/>
      <a:round/>
    </a:ln>
    <a:effectLst/>
  </c:spPr>
  <c:txPr>
    <a:bodyPr/>
    <a:lstStyle/>
    <a:p>
      <a:pPr>
        <a:defRPr sz="1100" b="0" i="0" u="none" strike="noStrike" baseline="0">
          <a:solidFill>
            <a:srgbClr val="000000"/>
          </a:solidFill>
          <a:latin typeface="Calibri"/>
          <a:ea typeface="Calibri"/>
          <a:cs typeface="Calibri"/>
        </a:defRPr>
      </a:pPr>
      <a:endParaRPr lang="en-US"/>
    </a:p>
  </c:txPr>
  <c:printSettings>
    <c:headerFooter/>
    <c:pageMargins b="0.75" l="0.7" r="0.7" t="0.75" header="0.3" footer="0.3"/>
    <c:pageSetup orientation="portrait"/>
  </c:printSettings>
</c:chartSpace>
</file>

<file path=xl/charts/chart18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2.3871527777777776E-2"/>
          <c:y val="4.7786414907172239E-2"/>
          <c:w val="0.57559123468941387"/>
          <c:h val="0.83529592857692603"/>
        </c:manualLayout>
      </c:layout>
      <c:barChart>
        <c:barDir val="col"/>
        <c:grouping val="stacked"/>
        <c:varyColors val="0"/>
        <c:ser>
          <c:idx val="0"/>
          <c:order val="0"/>
          <c:tx>
            <c:strRef>
              <c:f>'Solid waste report'!$I$125</c:f>
              <c:strCache>
                <c:ptCount val="1"/>
                <c:pt idx="0">
                  <c:v>Fixed cost</c:v>
                </c:pt>
              </c:strCache>
            </c:strRef>
          </c:tx>
          <c:spPr>
            <a:solidFill>
              <a:srgbClr val="4472C4"/>
            </a:solidFill>
            <a:ln w="25400">
              <a:noFill/>
            </a:ln>
          </c:spPr>
          <c:invertIfNegative val="0"/>
          <c:dPt>
            <c:idx val="0"/>
            <c:invertIfNegative val="0"/>
            <c:bubble3D val="0"/>
            <c:spPr>
              <a:solidFill>
                <a:srgbClr val="5B9BD5"/>
              </a:solidFill>
              <a:ln w="25400">
                <a:noFill/>
              </a:ln>
            </c:spPr>
            <c:extLst>
              <c:ext xmlns:c16="http://schemas.microsoft.com/office/drawing/2014/chart" uri="{C3380CC4-5D6E-409C-BE32-E72D297353CC}">
                <c16:uniqueId val="{00000000-DE6B-4758-8B9E-AF47B02FE892}"/>
              </c:ext>
            </c:extLst>
          </c:dPt>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'Solid waste report'!$J$124:$K$124</c:f>
              <c:strCache>
                <c:ptCount val="2"/>
                <c:pt idx="0">
                  <c:v>Expenditure R'000</c:v>
                </c:pt>
                <c:pt idx="1">
                  <c:v>Revenue R'000</c:v>
                </c:pt>
              </c:strCache>
            </c:strRef>
          </c:cat>
          <c:val>
            <c:numRef>
              <c:f>'Solid waste report'!$J$125:$K$125</c:f>
              <c:numCache>
                <c:formatCode>General</c:formatCode>
                <c:ptCount val="2"/>
                <c:pt idx="0" formatCode="_-* #\ ##0_-;\-* #\ ##0_-;_-* &quot;-&quot;??_-;_-@_-">
                  <c:v>47.825939456010737</c:v>
                </c:pt>
              </c:numCache>
            </c:numRef>
          </c:val>
          <c:extLst>
            <c:ext xmlns:c16="http://schemas.microsoft.com/office/drawing/2014/chart" uri="{C3380CC4-5D6E-409C-BE32-E72D297353CC}">
              <c16:uniqueId val="{00000001-DE6B-4758-8B9E-AF47B02FE892}"/>
            </c:ext>
          </c:extLst>
        </c:ser>
        <c:ser>
          <c:idx val="1"/>
          <c:order val="1"/>
          <c:tx>
            <c:strRef>
              <c:f>'Solid waste report'!$I$126</c:f>
              <c:strCache>
                <c:ptCount val="1"/>
                <c:pt idx="0">
                  <c:v>Surplus</c:v>
                </c:pt>
              </c:strCache>
            </c:strRef>
          </c:tx>
          <c:spPr>
            <a:solidFill>
              <a:schemeClr val="accent5">
                <a:lumMod val="60000"/>
                <a:lumOff val="40000"/>
              </a:schemeClr>
            </a:solidFill>
            <a:ln>
              <a:noFill/>
            </a:ln>
            <a:effectLst/>
          </c:spPr>
          <c:invertIfNegative val="0"/>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'Solid waste report'!$J$124:$K$124</c:f>
              <c:strCache>
                <c:ptCount val="2"/>
                <c:pt idx="0">
                  <c:v>Expenditure R'000</c:v>
                </c:pt>
                <c:pt idx="1">
                  <c:v>Revenue R'000</c:v>
                </c:pt>
              </c:strCache>
            </c:strRef>
          </c:cat>
          <c:val>
            <c:numRef>
              <c:f>'Solid waste report'!$J$126:$K$126</c:f>
              <c:numCache>
                <c:formatCode>General</c:formatCode>
                <c:ptCount val="2"/>
                <c:pt idx="0" formatCode="_-* #\ ##0_-;\-* #\ ##0_-;_-* &quot;-&quot;??_-;_-@_-">
                  <c:v>0</c:v>
                </c:pt>
              </c:numCache>
            </c:numRef>
          </c:val>
          <c:extLst>
            <c:ext xmlns:c16="http://schemas.microsoft.com/office/drawing/2014/chart" uri="{C3380CC4-5D6E-409C-BE32-E72D297353CC}">
              <c16:uniqueId val="{00000002-DE6B-4758-8B9E-AF47B02FE892}"/>
            </c:ext>
          </c:extLst>
        </c:ser>
        <c:ser>
          <c:idx val="2"/>
          <c:order val="2"/>
          <c:tx>
            <c:strRef>
              <c:f>'Solid waste report'!$I$127</c:f>
              <c:strCache>
                <c:ptCount val="1"/>
                <c:pt idx="0">
                  <c:v>Tariff revenue</c:v>
                </c:pt>
              </c:strCache>
            </c:strRef>
          </c:tx>
          <c:spPr>
            <a:solidFill>
              <a:srgbClr val="A5A5A5"/>
            </a:solidFill>
            <a:ln w="25400">
              <a:noFill/>
            </a:ln>
          </c:spPr>
          <c:invertIfNegative val="0"/>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'Solid waste report'!$J$124:$K$124</c:f>
              <c:strCache>
                <c:ptCount val="2"/>
                <c:pt idx="0">
                  <c:v>Expenditure R'000</c:v>
                </c:pt>
                <c:pt idx="1">
                  <c:v>Revenue R'000</c:v>
                </c:pt>
              </c:strCache>
            </c:strRef>
          </c:cat>
          <c:val>
            <c:numRef>
              <c:f>'Solid waste report'!$J$127:$K$127</c:f>
              <c:numCache>
                <c:formatCode>_-* #\ ##0_-;\-* #\ ##0_-;_-* "-"??_-;_-@_-</c:formatCode>
                <c:ptCount val="2"/>
                <c:pt idx="1">
                  <c:v>46.144183302552037</c:v>
                </c:pt>
              </c:numCache>
            </c:numRef>
          </c:val>
          <c:extLst>
            <c:ext xmlns:c16="http://schemas.microsoft.com/office/drawing/2014/chart" uri="{C3380CC4-5D6E-409C-BE32-E72D297353CC}">
              <c16:uniqueId val="{00000003-DE6B-4758-8B9E-AF47B02FE892}"/>
            </c:ext>
          </c:extLst>
        </c:ser>
        <c:ser>
          <c:idx val="4"/>
          <c:order val="3"/>
          <c:tx>
            <c:strRef>
              <c:f>'Solid waste report'!$I$128</c:f>
              <c:strCache>
                <c:ptCount val="1"/>
                <c:pt idx="0">
                  <c:v>External grants &amp; subsidies</c:v>
                </c:pt>
              </c:strCache>
            </c:strRef>
          </c:tx>
          <c:spPr>
            <a:solidFill>
              <a:srgbClr val="5B9BD5"/>
            </a:solidFill>
            <a:ln w="25400">
              <a:noFill/>
            </a:ln>
          </c:spPr>
          <c:invertIfNegative val="0"/>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'Solid waste report'!$J$124:$K$124</c:f>
              <c:strCache>
                <c:ptCount val="2"/>
                <c:pt idx="0">
                  <c:v>Expenditure R'000</c:v>
                </c:pt>
                <c:pt idx="1">
                  <c:v>Revenue R'000</c:v>
                </c:pt>
              </c:strCache>
            </c:strRef>
          </c:cat>
          <c:val>
            <c:numRef>
              <c:f>'Solid waste report'!$J$128:$K$128</c:f>
              <c:numCache>
                <c:formatCode>_-* #\ ##0_-;\-* #\ ##0_-;_-* "-"??_-;_-@_-</c:formatCode>
                <c:ptCount val="2"/>
                <c:pt idx="1">
                  <c:v>0</c:v>
                </c:pt>
              </c:numCache>
            </c:numRef>
          </c:val>
          <c:extLst>
            <c:ext xmlns:c16="http://schemas.microsoft.com/office/drawing/2014/chart" uri="{C3380CC4-5D6E-409C-BE32-E72D297353CC}">
              <c16:uniqueId val="{00000004-DE6B-4758-8B9E-AF47B02FE892}"/>
            </c:ext>
          </c:extLst>
        </c:ser>
        <c:ser>
          <c:idx val="5"/>
          <c:order val="4"/>
          <c:tx>
            <c:strRef>
              <c:f>'Solid waste report'!$I$129</c:f>
              <c:strCache>
                <c:ptCount val="1"/>
                <c:pt idx="0">
                  <c:v>Other non-tariff revenue</c:v>
                </c:pt>
              </c:strCache>
            </c:strRef>
          </c:tx>
          <c:spPr>
            <a:solidFill>
              <a:srgbClr val="A5A5A5"/>
            </a:solidFill>
            <a:ln w="25400">
              <a:noFill/>
            </a:ln>
          </c:spPr>
          <c:invertIfNegative val="0"/>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'Solid waste report'!$J$124:$K$124</c:f>
              <c:strCache>
                <c:ptCount val="2"/>
                <c:pt idx="0">
                  <c:v>Expenditure R'000</c:v>
                </c:pt>
                <c:pt idx="1">
                  <c:v>Revenue R'000</c:v>
                </c:pt>
              </c:strCache>
            </c:strRef>
          </c:cat>
          <c:val>
            <c:numRef>
              <c:f>'Solid waste report'!$J$129:$K$129</c:f>
              <c:numCache>
                <c:formatCode>_-* #\ ##0_-;\-* #\ ##0_-;_-* "-"??_-;_-@_-</c:formatCode>
                <c:ptCount val="2"/>
                <c:pt idx="1">
                  <c:v>1.6817561534586971</c:v>
                </c:pt>
              </c:numCache>
            </c:numRef>
          </c:val>
          <c:extLst>
            <c:ext xmlns:c16="http://schemas.microsoft.com/office/drawing/2014/chart" uri="{C3380CC4-5D6E-409C-BE32-E72D297353CC}">
              <c16:uniqueId val="{00000005-DE6B-4758-8B9E-AF47B02FE892}"/>
            </c:ext>
          </c:extLst>
        </c:ser>
        <c:ser>
          <c:idx val="3"/>
          <c:order val="5"/>
          <c:tx>
            <c:strRef>
              <c:f>'Solid waste report'!$I$130</c:f>
              <c:strCache>
                <c:ptCount val="1"/>
                <c:pt idx="0">
                  <c:v>Deficit</c:v>
                </c:pt>
              </c:strCache>
            </c:strRef>
          </c:tx>
          <c:spPr>
            <a:solidFill>
              <a:schemeClr val="accent3">
                <a:lumMod val="40000"/>
                <a:lumOff val="60000"/>
              </a:schemeClr>
            </a:solidFill>
            <a:ln>
              <a:noFill/>
            </a:ln>
            <a:effectLst/>
          </c:spPr>
          <c:invertIfNegative val="0"/>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'Solid waste report'!$J$124:$K$124</c:f>
              <c:strCache>
                <c:ptCount val="2"/>
                <c:pt idx="0">
                  <c:v>Expenditure R'000</c:v>
                </c:pt>
                <c:pt idx="1">
                  <c:v>Revenue R'000</c:v>
                </c:pt>
              </c:strCache>
            </c:strRef>
          </c:cat>
          <c:val>
            <c:numRef>
              <c:f>'Solid waste report'!$J$130:$K$130</c:f>
              <c:numCache>
                <c:formatCode>_-* #\ ##0_-;\-* #\ ##0_-;_-* "-"??_-;_-@_-</c:formatCode>
                <c:ptCount val="2"/>
                <c:pt idx="1">
                  <c:v>0</c:v>
                </c:pt>
              </c:numCache>
            </c:numRef>
          </c:val>
          <c:extLst>
            <c:ext xmlns:c16="http://schemas.microsoft.com/office/drawing/2014/chart" uri="{C3380CC4-5D6E-409C-BE32-E72D297353CC}">
              <c16:uniqueId val="{00000006-DE6B-4758-8B9E-AF47B02FE892}"/>
            </c:ext>
          </c:extLst>
        </c:ser>
        <c:dLbls>
          <c:showLegendKey val="0"/>
          <c:showVal val="0"/>
          <c:showCatName val="0"/>
          <c:showSerName val="0"/>
          <c:showPercent val="0"/>
          <c:showBubbleSize val="0"/>
        </c:dLbls>
        <c:gapWidth val="25"/>
        <c:overlap val="100"/>
        <c:axId val="1399666639"/>
        <c:axId val="1"/>
      </c:barChart>
      <c:catAx>
        <c:axId val="1399666639"/>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0" vert="horz"/>
          <a:lstStyle/>
          <a:p>
            <a:pPr>
              <a:defRPr sz="1100" b="0" i="0" u="none" strike="noStrike" baseline="0">
                <a:solidFill>
                  <a:srgbClr val="000000"/>
                </a:solidFill>
                <a:latin typeface="Calibri"/>
                <a:ea typeface="Calibri"/>
                <a:cs typeface="Calibri"/>
              </a:defRPr>
            </a:pPr>
            <a:endParaRPr lang="en-US"/>
          </a:p>
        </c:txPr>
        <c:crossAx val="1"/>
        <c:crosses val="autoZero"/>
        <c:auto val="1"/>
        <c:lblAlgn val="ctr"/>
        <c:lblOffset val="100"/>
        <c:noMultiLvlLbl val="0"/>
      </c:catAx>
      <c:valAx>
        <c:axId val="1"/>
        <c:scaling>
          <c:orientation val="minMax"/>
        </c:scaling>
        <c:delete val="1"/>
        <c:axPos val="l"/>
        <c:majorGridlines>
          <c:spPr>
            <a:ln w="9525" cap="flat" cmpd="sng" algn="ctr">
              <a:solidFill>
                <a:schemeClr val="tx1">
                  <a:lumMod val="15000"/>
                  <a:lumOff val="85000"/>
                </a:schemeClr>
              </a:solidFill>
              <a:round/>
            </a:ln>
            <a:effectLst/>
          </c:spPr>
        </c:majorGridlines>
        <c:numFmt formatCode="_-* #\ ##0_-;\-* #\ ##0_-;_-* &quot;-&quot;??_-;_-@_-" sourceLinked="1"/>
        <c:majorTickMark val="out"/>
        <c:minorTickMark val="none"/>
        <c:tickLblPos val="nextTo"/>
        <c:crossAx val="1399666639"/>
        <c:crosses val="autoZero"/>
        <c:crossBetween val="between"/>
      </c:valAx>
    </c:plotArea>
    <c:legend>
      <c:legendPos val="r"/>
      <c:layout>
        <c:manualLayout>
          <c:xMode val="edge"/>
          <c:yMode val="edge"/>
          <c:x val="0.63060873861355571"/>
          <c:y val="0.18380651016753749"/>
          <c:w val="0.34824665740311866"/>
          <c:h val="0.71030326816624556"/>
        </c:manualLayout>
      </c:layout>
      <c:overlay val="0"/>
      <c:spPr>
        <a:noFill/>
        <a:ln w="25400">
          <a:noFill/>
        </a:ln>
      </c:spPr>
      <c:txPr>
        <a:bodyPr/>
        <a:lstStyle/>
        <a:p>
          <a:pPr>
            <a:defRPr sz="850" b="0" i="0" u="none" strike="noStrike" baseline="0">
              <a:solidFill>
                <a:srgbClr val="000000"/>
              </a:solidFill>
              <a:latin typeface="Calibri"/>
              <a:ea typeface="Calibri"/>
              <a:cs typeface="Calibri"/>
            </a:defRPr>
          </a:pPr>
          <a:endParaRPr lang="en-US"/>
        </a:p>
      </c:txPr>
    </c:legend>
    <c:plotVisOnly val="1"/>
    <c:dispBlanksAs val="gap"/>
    <c:showDLblsOverMax val="0"/>
  </c:chart>
  <c:spPr>
    <a:solidFill>
      <a:schemeClr val="bg1"/>
    </a:solidFill>
    <a:ln w="9525" cap="flat" cmpd="sng" algn="ctr">
      <a:noFill/>
      <a:round/>
    </a:ln>
    <a:effectLst/>
  </c:spPr>
  <c:txPr>
    <a:bodyPr/>
    <a:lstStyle/>
    <a:p>
      <a:pPr>
        <a:defRPr sz="1100" b="0" i="0" u="none" strike="noStrike" baseline="0">
          <a:solidFill>
            <a:srgbClr val="000000"/>
          </a:solidFill>
          <a:latin typeface="Calibri"/>
          <a:ea typeface="Calibri"/>
          <a:cs typeface="Calibri"/>
        </a:defRPr>
      </a:pPr>
      <a:endParaRPr lang="en-US"/>
    </a:p>
  </c:txPr>
  <c:printSettings>
    <c:headerFooter/>
    <c:pageMargins b="0.75" l="0.7" r="0.7" t="0.75" header="0.3" footer="0.3"/>
    <c:pageSetup orientation="portrait"/>
  </c:printSettings>
</c:chartSpace>
</file>

<file path=xl/charts/chart18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2.3871527777777776E-2"/>
          <c:y val="4.7786414907172239E-2"/>
          <c:w val="0.57559123468941387"/>
          <c:h val="0.83529592857692603"/>
        </c:manualLayout>
      </c:layout>
      <c:barChart>
        <c:barDir val="col"/>
        <c:grouping val="stacked"/>
        <c:varyColors val="0"/>
        <c:ser>
          <c:idx val="0"/>
          <c:order val="0"/>
          <c:tx>
            <c:strRef>
              <c:f>'Solid waste report'!$I$171</c:f>
              <c:strCache>
                <c:ptCount val="1"/>
                <c:pt idx="0">
                  <c:v>Fixed cost</c:v>
                </c:pt>
              </c:strCache>
            </c:strRef>
          </c:tx>
          <c:spPr>
            <a:solidFill>
              <a:srgbClr val="4472C4"/>
            </a:solidFill>
            <a:ln w="25400">
              <a:noFill/>
            </a:ln>
          </c:spPr>
          <c:invertIfNegative val="0"/>
          <c:dPt>
            <c:idx val="0"/>
            <c:invertIfNegative val="0"/>
            <c:bubble3D val="0"/>
            <c:spPr>
              <a:solidFill>
                <a:srgbClr val="5B9BD5"/>
              </a:solidFill>
              <a:ln w="25400">
                <a:noFill/>
              </a:ln>
            </c:spPr>
            <c:extLst>
              <c:ext xmlns:c16="http://schemas.microsoft.com/office/drawing/2014/chart" uri="{C3380CC4-5D6E-409C-BE32-E72D297353CC}">
                <c16:uniqueId val="{00000000-853D-4A42-AF0C-10D013ED6830}"/>
              </c:ext>
            </c:extLst>
          </c:dPt>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'Solid waste report'!$J$170:$K$170</c:f>
              <c:strCache>
                <c:ptCount val="2"/>
                <c:pt idx="0">
                  <c:v>Expenditure R'000</c:v>
                </c:pt>
                <c:pt idx="1">
                  <c:v>Revenue R'000</c:v>
                </c:pt>
              </c:strCache>
            </c:strRef>
          </c:cat>
          <c:val>
            <c:numRef>
              <c:f>'Solid waste report'!$J$171:$K$171</c:f>
              <c:numCache>
                <c:formatCode>General</c:formatCode>
                <c:ptCount val="2"/>
                <c:pt idx="0" formatCode="_-* #\ ##0_-;\-* #\ ##0_-;_-* &quot;-&quot;??_-;_-@_-">
                  <c:v>42.511946183120664</c:v>
                </c:pt>
              </c:numCache>
            </c:numRef>
          </c:val>
          <c:extLst>
            <c:ext xmlns:c16="http://schemas.microsoft.com/office/drawing/2014/chart" uri="{C3380CC4-5D6E-409C-BE32-E72D297353CC}">
              <c16:uniqueId val="{00000001-853D-4A42-AF0C-10D013ED6830}"/>
            </c:ext>
          </c:extLst>
        </c:ser>
        <c:ser>
          <c:idx val="1"/>
          <c:order val="1"/>
          <c:tx>
            <c:strRef>
              <c:f>'Solid waste report'!$I$172</c:f>
              <c:strCache>
                <c:ptCount val="1"/>
                <c:pt idx="0">
                  <c:v>Surplus</c:v>
                </c:pt>
              </c:strCache>
            </c:strRef>
          </c:tx>
          <c:spPr>
            <a:solidFill>
              <a:schemeClr val="accent5">
                <a:lumMod val="60000"/>
                <a:lumOff val="40000"/>
              </a:schemeClr>
            </a:solidFill>
            <a:ln>
              <a:noFill/>
            </a:ln>
            <a:effectLst/>
          </c:spPr>
          <c:invertIfNegative val="0"/>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'Solid waste report'!$J$170:$K$170</c:f>
              <c:strCache>
                <c:ptCount val="2"/>
                <c:pt idx="0">
                  <c:v>Expenditure R'000</c:v>
                </c:pt>
                <c:pt idx="1">
                  <c:v>Revenue R'000</c:v>
                </c:pt>
              </c:strCache>
            </c:strRef>
          </c:cat>
          <c:val>
            <c:numRef>
              <c:f>'Solid waste report'!$J$172:$K$172</c:f>
              <c:numCache>
                <c:formatCode>General</c:formatCode>
                <c:ptCount val="2"/>
                <c:pt idx="0" formatCode="_-* #\ ##0_-;\-* #\ ##0_-;_-* &quot;-&quot;??_-;_-@_-">
                  <c:v>0</c:v>
                </c:pt>
              </c:numCache>
            </c:numRef>
          </c:val>
          <c:extLst>
            <c:ext xmlns:c16="http://schemas.microsoft.com/office/drawing/2014/chart" uri="{C3380CC4-5D6E-409C-BE32-E72D297353CC}">
              <c16:uniqueId val="{00000002-853D-4A42-AF0C-10D013ED6830}"/>
            </c:ext>
          </c:extLst>
        </c:ser>
        <c:ser>
          <c:idx val="2"/>
          <c:order val="2"/>
          <c:tx>
            <c:strRef>
              <c:f>'Solid waste report'!$I$173</c:f>
              <c:strCache>
                <c:ptCount val="1"/>
                <c:pt idx="0">
                  <c:v>Tariff revenue</c:v>
                </c:pt>
              </c:strCache>
            </c:strRef>
          </c:tx>
          <c:spPr>
            <a:solidFill>
              <a:srgbClr val="A5A5A5"/>
            </a:solidFill>
            <a:ln w="25400">
              <a:noFill/>
            </a:ln>
          </c:spPr>
          <c:invertIfNegative val="0"/>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'Solid waste report'!$J$170:$K$170</c:f>
              <c:strCache>
                <c:ptCount val="2"/>
                <c:pt idx="0">
                  <c:v>Expenditure R'000</c:v>
                </c:pt>
                <c:pt idx="1">
                  <c:v>Revenue R'000</c:v>
                </c:pt>
              </c:strCache>
            </c:strRef>
          </c:cat>
          <c:val>
            <c:numRef>
              <c:f>'Solid waste report'!$J$173:$K$173</c:f>
              <c:numCache>
                <c:formatCode>_-* #\ ##0_-;\-* #\ ##0_-;_-* "-"??_-;_-@_-</c:formatCode>
                <c:ptCount val="2"/>
                <c:pt idx="1">
                  <c:v>32.308188611145674</c:v>
                </c:pt>
              </c:numCache>
            </c:numRef>
          </c:val>
          <c:extLst>
            <c:ext xmlns:c16="http://schemas.microsoft.com/office/drawing/2014/chart" uri="{C3380CC4-5D6E-409C-BE32-E72D297353CC}">
              <c16:uniqueId val="{00000003-853D-4A42-AF0C-10D013ED6830}"/>
            </c:ext>
          </c:extLst>
        </c:ser>
        <c:ser>
          <c:idx val="4"/>
          <c:order val="3"/>
          <c:tx>
            <c:strRef>
              <c:f>'Solid waste report'!$I$174</c:f>
              <c:strCache>
                <c:ptCount val="1"/>
                <c:pt idx="0">
                  <c:v>External grants &amp; subsidies</c:v>
                </c:pt>
              </c:strCache>
            </c:strRef>
          </c:tx>
          <c:spPr>
            <a:solidFill>
              <a:srgbClr val="5B9BD5"/>
            </a:solidFill>
            <a:ln w="25400">
              <a:noFill/>
            </a:ln>
          </c:spPr>
          <c:invertIfNegative val="0"/>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'Solid waste report'!$J$170:$K$170</c:f>
              <c:strCache>
                <c:ptCount val="2"/>
                <c:pt idx="0">
                  <c:v>Expenditure R'000</c:v>
                </c:pt>
                <c:pt idx="1">
                  <c:v>Revenue R'000</c:v>
                </c:pt>
              </c:strCache>
            </c:strRef>
          </c:cat>
          <c:val>
            <c:numRef>
              <c:f>'Solid waste report'!$J$174:$K$174</c:f>
              <c:numCache>
                <c:formatCode>_-* #\ ##0_-;\-* #\ ##0_-;_-* "-"??_-;_-@_-</c:formatCode>
                <c:ptCount val="2"/>
                <c:pt idx="1">
                  <c:v>8.7088632133450403</c:v>
                </c:pt>
              </c:numCache>
            </c:numRef>
          </c:val>
          <c:extLst>
            <c:ext xmlns:c16="http://schemas.microsoft.com/office/drawing/2014/chart" uri="{C3380CC4-5D6E-409C-BE32-E72D297353CC}">
              <c16:uniqueId val="{00000004-853D-4A42-AF0C-10D013ED6830}"/>
            </c:ext>
          </c:extLst>
        </c:ser>
        <c:ser>
          <c:idx val="5"/>
          <c:order val="4"/>
          <c:tx>
            <c:strRef>
              <c:f>'Solid waste report'!$I$175</c:f>
              <c:strCache>
                <c:ptCount val="1"/>
                <c:pt idx="0">
                  <c:v>Other non-tariff revenue</c:v>
                </c:pt>
              </c:strCache>
            </c:strRef>
          </c:tx>
          <c:spPr>
            <a:solidFill>
              <a:srgbClr val="A5A5A5"/>
            </a:solidFill>
            <a:ln w="25400">
              <a:noFill/>
            </a:ln>
          </c:spPr>
          <c:invertIfNegative val="0"/>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'Solid waste report'!$J$170:$K$170</c:f>
              <c:strCache>
                <c:ptCount val="2"/>
                <c:pt idx="0">
                  <c:v>Expenditure R'000</c:v>
                </c:pt>
                <c:pt idx="1">
                  <c:v>Revenue R'000</c:v>
                </c:pt>
              </c:strCache>
            </c:strRef>
          </c:cat>
          <c:val>
            <c:numRef>
              <c:f>'Solid waste report'!$J$175:$K$175</c:f>
              <c:numCache>
                <c:formatCode>_-* #\ ##0_-;\-* #\ ##0_-;_-* "-"??_-;_-@_-</c:formatCode>
                <c:ptCount val="2"/>
                <c:pt idx="1">
                  <c:v>1.494894358629953</c:v>
                </c:pt>
              </c:numCache>
            </c:numRef>
          </c:val>
          <c:extLst>
            <c:ext xmlns:c16="http://schemas.microsoft.com/office/drawing/2014/chart" uri="{C3380CC4-5D6E-409C-BE32-E72D297353CC}">
              <c16:uniqueId val="{00000005-853D-4A42-AF0C-10D013ED6830}"/>
            </c:ext>
          </c:extLst>
        </c:ser>
        <c:ser>
          <c:idx val="3"/>
          <c:order val="5"/>
          <c:tx>
            <c:strRef>
              <c:f>'Solid waste report'!$I$176</c:f>
              <c:strCache>
                <c:ptCount val="1"/>
                <c:pt idx="0">
                  <c:v>Deficit</c:v>
                </c:pt>
              </c:strCache>
            </c:strRef>
          </c:tx>
          <c:spPr>
            <a:solidFill>
              <a:schemeClr val="accent3">
                <a:lumMod val="40000"/>
                <a:lumOff val="60000"/>
              </a:schemeClr>
            </a:solidFill>
            <a:ln>
              <a:noFill/>
            </a:ln>
            <a:effectLst/>
          </c:spPr>
          <c:invertIfNegative val="0"/>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'Solid waste report'!$J$170:$K$170</c:f>
              <c:strCache>
                <c:ptCount val="2"/>
                <c:pt idx="0">
                  <c:v>Expenditure R'000</c:v>
                </c:pt>
                <c:pt idx="1">
                  <c:v>Revenue R'000</c:v>
                </c:pt>
              </c:strCache>
            </c:strRef>
          </c:cat>
          <c:val>
            <c:numRef>
              <c:f>'Solid waste report'!$J$176:$K$176</c:f>
              <c:numCache>
                <c:formatCode>_-* #\ ##0_-;\-* #\ ##0_-;_-* "-"??_-;_-@_-</c:formatCode>
                <c:ptCount val="2"/>
                <c:pt idx="1">
                  <c:v>0</c:v>
                </c:pt>
              </c:numCache>
            </c:numRef>
          </c:val>
          <c:extLst>
            <c:ext xmlns:c16="http://schemas.microsoft.com/office/drawing/2014/chart" uri="{C3380CC4-5D6E-409C-BE32-E72D297353CC}">
              <c16:uniqueId val="{00000006-853D-4A42-AF0C-10D013ED6830}"/>
            </c:ext>
          </c:extLst>
        </c:ser>
        <c:dLbls>
          <c:showLegendKey val="0"/>
          <c:showVal val="0"/>
          <c:showCatName val="0"/>
          <c:showSerName val="0"/>
          <c:showPercent val="0"/>
          <c:showBubbleSize val="0"/>
        </c:dLbls>
        <c:gapWidth val="25"/>
        <c:overlap val="100"/>
        <c:axId val="1399662319"/>
        <c:axId val="1"/>
      </c:barChart>
      <c:catAx>
        <c:axId val="1399662319"/>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0" vert="horz"/>
          <a:lstStyle/>
          <a:p>
            <a:pPr>
              <a:defRPr sz="1100" b="0" i="0" u="none" strike="noStrike" baseline="0">
                <a:solidFill>
                  <a:srgbClr val="000000"/>
                </a:solidFill>
                <a:latin typeface="Calibri"/>
                <a:ea typeface="Calibri"/>
                <a:cs typeface="Calibri"/>
              </a:defRPr>
            </a:pPr>
            <a:endParaRPr lang="en-US"/>
          </a:p>
        </c:txPr>
        <c:crossAx val="1"/>
        <c:crosses val="autoZero"/>
        <c:auto val="1"/>
        <c:lblAlgn val="ctr"/>
        <c:lblOffset val="100"/>
        <c:noMultiLvlLbl val="0"/>
      </c:catAx>
      <c:valAx>
        <c:axId val="1"/>
        <c:scaling>
          <c:orientation val="minMax"/>
        </c:scaling>
        <c:delete val="1"/>
        <c:axPos val="l"/>
        <c:majorGridlines>
          <c:spPr>
            <a:ln w="9525" cap="flat" cmpd="sng" algn="ctr">
              <a:solidFill>
                <a:schemeClr val="tx1">
                  <a:lumMod val="15000"/>
                  <a:lumOff val="85000"/>
                </a:schemeClr>
              </a:solidFill>
              <a:round/>
            </a:ln>
            <a:effectLst/>
          </c:spPr>
        </c:majorGridlines>
        <c:numFmt formatCode="_-* #\ ##0_-;\-* #\ ##0_-;_-* &quot;-&quot;??_-;_-@_-" sourceLinked="1"/>
        <c:majorTickMark val="out"/>
        <c:minorTickMark val="none"/>
        <c:tickLblPos val="nextTo"/>
        <c:crossAx val="1399662319"/>
        <c:crosses val="autoZero"/>
        <c:crossBetween val="between"/>
      </c:valAx>
    </c:plotArea>
    <c:legend>
      <c:legendPos val="r"/>
      <c:layout>
        <c:manualLayout>
          <c:xMode val="edge"/>
          <c:yMode val="edge"/>
          <c:x val="0.63060873861355571"/>
          <c:y val="0.18380651016753749"/>
          <c:w val="0.34824665740311866"/>
          <c:h val="0.71030326816624556"/>
        </c:manualLayout>
      </c:layout>
      <c:overlay val="0"/>
      <c:spPr>
        <a:noFill/>
        <a:ln w="25400">
          <a:noFill/>
        </a:ln>
      </c:spPr>
      <c:txPr>
        <a:bodyPr/>
        <a:lstStyle/>
        <a:p>
          <a:pPr>
            <a:defRPr sz="850" b="0" i="0" u="none" strike="noStrike" baseline="0">
              <a:solidFill>
                <a:srgbClr val="000000"/>
              </a:solidFill>
              <a:latin typeface="Calibri"/>
              <a:ea typeface="Calibri"/>
              <a:cs typeface="Calibri"/>
            </a:defRPr>
          </a:pPr>
          <a:endParaRPr lang="en-US"/>
        </a:p>
      </c:txPr>
    </c:legend>
    <c:plotVisOnly val="1"/>
    <c:dispBlanksAs val="gap"/>
    <c:showDLblsOverMax val="0"/>
  </c:chart>
  <c:spPr>
    <a:solidFill>
      <a:schemeClr val="bg1"/>
    </a:solidFill>
    <a:ln w="9525" cap="flat" cmpd="sng" algn="ctr">
      <a:noFill/>
      <a:round/>
    </a:ln>
    <a:effectLst/>
  </c:spPr>
  <c:txPr>
    <a:bodyPr/>
    <a:lstStyle/>
    <a:p>
      <a:pPr>
        <a:defRPr sz="1100" b="0" i="0" u="none" strike="noStrike" baseline="0">
          <a:solidFill>
            <a:srgbClr val="000000"/>
          </a:solidFill>
          <a:latin typeface="Calibri"/>
          <a:ea typeface="Calibri"/>
          <a:cs typeface="Calibri"/>
        </a:defRPr>
      </a:pPr>
      <a:endParaRPr lang="en-US"/>
    </a:p>
  </c:txPr>
  <c:printSettings>
    <c:headerFooter/>
    <c:pageMargins b="0.75" l="0.7" r="0.7" t="0.75" header="0.3" footer="0.3"/>
    <c:pageSetup orientation="portrait"/>
  </c:printSettings>
</c:chartSpace>
</file>

<file path=xl/charts/chart18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2.3871527777777776E-2"/>
          <c:y val="4.7786414907172239E-2"/>
          <c:w val="0.57559123468941387"/>
          <c:h val="0.83529592857692603"/>
        </c:manualLayout>
      </c:layout>
      <c:barChart>
        <c:barDir val="col"/>
        <c:grouping val="stacked"/>
        <c:varyColors val="0"/>
        <c:ser>
          <c:idx val="0"/>
          <c:order val="0"/>
          <c:tx>
            <c:strRef>
              <c:f>'Solid waste report'!$I$218</c:f>
              <c:strCache>
                <c:ptCount val="1"/>
                <c:pt idx="0">
                  <c:v>Fixed cost</c:v>
                </c:pt>
              </c:strCache>
            </c:strRef>
          </c:tx>
          <c:spPr>
            <a:solidFill>
              <a:srgbClr val="4472C4"/>
            </a:solidFill>
            <a:ln w="25400">
              <a:noFill/>
            </a:ln>
          </c:spPr>
          <c:invertIfNegative val="0"/>
          <c:dPt>
            <c:idx val="0"/>
            <c:invertIfNegative val="0"/>
            <c:bubble3D val="0"/>
            <c:spPr>
              <a:solidFill>
                <a:srgbClr val="5B9BD5"/>
              </a:solidFill>
              <a:ln w="25400">
                <a:noFill/>
              </a:ln>
            </c:spPr>
            <c:extLst>
              <c:ext xmlns:c16="http://schemas.microsoft.com/office/drawing/2014/chart" uri="{C3380CC4-5D6E-409C-BE32-E72D297353CC}">
                <c16:uniqueId val="{00000000-B9F4-448B-82BB-4513B3DE0B54}"/>
              </c:ext>
            </c:extLst>
          </c:dPt>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'Solid waste report'!$J$217:$K$217</c:f>
              <c:strCache>
                <c:ptCount val="2"/>
                <c:pt idx="0">
                  <c:v>Expenditure R'000</c:v>
                </c:pt>
                <c:pt idx="1">
                  <c:v>Revenue R'000</c:v>
                </c:pt>
              </c:strCache>
            </c:strRef>
          </c:cat>
          <c:val>
            <c:numRef>
              <c:f>'Solid waste report'!$J$218:$K$218</c:f>
              <c:numCache>
                <c:formatCode>General</c:formatCode>
                <c:ptCount val="2"/>
                <c:pt idx="0" formatCode="_-* #\ ##0_-;\-* #\ ##0_-;_-* &quot;-&quot;??_-;_-@_-">
                  <c:v>15.941979818670248</c:v>
                </c:pt>
              </c:numCache>
            </c:numRef>
          </c:val>
          <c:extLst>
            <c:ext xmlns:c16="http://schemas.microsoft.com/office/drawing/2014/chart" uri="{C3380CC4-5D6E-409C-BE32-E72D297353CC}">
              <c16:uniqueId val="{00000001-B9F4-448B-82BB-4513B3DE0B54}"/>
            </c:ext>
          </c:extLst>
        </c:ser>
        <c:ser>
          <c:idx val="1"/>
          <c:order val="1"/>
          <c:tx>
            <c:strRef>
              <c:f>'Solid waste report'!$I$219</c:f>
              <c:strCache>
                <c:ptCount val="1"/>
                <c:pt idx="0">
                  <c:v>Surplus</c:v>
                </c:pt>
              </c:strCache>
            </c:strRef>
          </c:tx>
          <c:spPr>
            <a:solidFill>
              <a:schemeClr val="accent5">
                <a:lumMod val="60000"/>
                <a:lumOff val="40000"/>
              </a:schemeClr>
            </a:solidFill>
            <a:ln>
              <a:noFill/>
            </a:ln>
            <a:effectLst/>
          </c:spPr>
          <c:invertIfNegative val="0"/>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'Solid waste report'!$J$217:$K$217</c:f>
              <c:strCache>
                <c:ptCount val="2"/>
                <c:pt idx="0">
                  <c:v>Expenditure R'000</c:v>
                </c:pt>
                <c:pt idx="1">
                  <c:v>Revenue R'000</c:v>
                </c:pt>
              </c:strCache>
            </c:strRef>
          </c:cat>
          <c:val>
            <c:numRef>
              <c:f>'Solid waste report'!$J$219:$K$219</c:f>
              <c:numCache>
                <c:formatCode>General</c:formatCode>
                <c:ptCount val="2"/>
                <c:pt idx="0" formatCode="_-* #\ ##0_-;\-* #\ ##0_-;_-* &quot;-&quot;??_-;_-@_-">
                  <c:v>0</c:v>
                </c:pt>
              </c:numCache>
            </c:numRef>
          </c:val>
          <c:extLst>
            <c:ext xmlns:c16="http://schemas.microsoft.com/office/drawing/2014/chart" uri="{C3380CC4-5D6E-409C-BE32-E72D297353CC}">
              <c16:uniqueId val="{00000002-B9F4-448B-82BB-4513B3DE0B54}"/>
            </c:ext>
          </c:extLst>
        </c:ser>
        <c:ser>
          <c:idx val="2"/>
          <c:order val="2"/>
          <c:tx>
            <c:strRef>
              <c:f>'Solid waste report'!$I$220</c:f>
              <c:strCache>
                <c:ptCount val="1"/>
                <c:pt idx="0">
                  <c:v>Tariff revenue</c:v>
                </c:pt>
              </c:strCache>
            </c:strRef>
          </c:tx>
          <c:spPr>
            <a:solidFill>
              <a:srgbClr val="A5A5A5"/>
            </a:solidFill>
            <a:ln w="25400">
              <a:noFill/>
            </a:ln>
          </c:spPr>
          <c:invertIfNegative val="0"/>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'Solid waste report'!$J$217:$K$217</c:f>
              <c:strCache>
                <c:ptCount val="2"/>
                <c:pt idx="0">
                  <c:v>Expenditure R'000</c:v>
                </c:pt>
                <c:pt idx="1">
                  <c:v>Revenue R'000</c:v>
                </c:pt>
              </c:strCache>
            </c:strRef>
          </c:cat>
          <c:val>
            <c:numRef>
              <c:f>'Solid waste report'!$J$220:$K$220</c:f>
              <c:numCache>
                <c:formatCode>_-* #\ ##0_-;\-* #\ ##0_-;_-* "-"??_-;_-@_-</c:formatCode>
                <c:ptCount val="2"/>
                <c:pt idx="1">
                  <c:v>12.115570729179627</c:v>
                </c:pt>
              </c:numCache>
            </c:numRef>
          </c:val>
          <c:extLst>
            <c:ext xmlns:c16="http://schemas.microsoft.com/office/drawing/2014/chart" uri="{C3380CC4-5D6E-409C-BE32-E72D297353CC}">
              <c16:uniqueId val="{00000003-B9F4-448B-82BB-4513B3DE0B54}"/>
            </c:ext>
          </c:extLst>
        </c:ser>
        <c:ser>
          <c:idx val="4"/>
          <c:order val="3"/>
          <c:tx>
            <c:strRef>
              <c:f>'Solid waste report'!$I$221</c:f>
              <c:strCache>
                <c:ptCount val="1"/>
                <c:pt idx="0">
                  <c:v>External grants &amp; subsidies</c:v>
                </c:pt>
              </c:strCache>
            </c:strRef>
          </c:tx>
          <c:spPr>
            <a:solidFill>
              <a:srgbClr val="5B9BD5"/>
            </a:solidFill>
            <a:ln w="25400">
              <a:noFill/>
            </a:ln>
          </c:spPr>
          <c:invertIfNegative val="0"/>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'Solid waste report'!$J$217:$K$217</c:f>
              <c:strCache>
                <c:ptCount val="2"/>
                <c:pt idx="0">
                  <c:v>Expenditure R'000</c:v>
                </c:pt>
                <c:pt idx="1">
                  <c:v>Revenue R'000</c:v>
                </c:pt>
              </c:strCache>
            </c:strRef>
          </c:cat>
          <c:val>
            <c:numRef>
              <c:f>'Solid waste report'!$J$221:$K$221</c:f>
              <c:numCache>
                <c:formatCode>_-* #\ ##0_-;\-* #\ ##0_-;_-* "-"??_-;_-@_-</c:formatCode>
                <c:ptCount val="2"/>
                <c:pt idx="1">
                  <c:v>3.2658237050043897</c:v>
                </c:pt>
              </c:numCache>
            </c:numRef>
          </c:val>
          <c:extLst>
            <c:ext xmlns:c16="http://schemas.microsoft.com/office/drawing/2014/chart" uri="{C3380CC4-5D6E-409C-BE32-E72D297353CC}">
              <c16:uniqueId val="{00000004-B9F4-448B-82BB-4513B3DE0B54}"/>
            </c:ext>
          </c:extLst>
        </c:ser>
        <c:ser>
          <c:idx val="5"/>
          <c:order val="4"/>
          <c:tx>
            <c:strRef>
              <c:f>'Solid waste report'!$I$222</c:f>
              <c:strCache>
                <c:ptCount val="1"/>
                <c:pt idx="0">
                  <c:v>Other non-tariff revenue</c:v>
                </c:pt>
              </c:strCache>
            </c:strRef>
          </c:tx>
          <c:spPr>
            <a:solidFill>
              <a:srgbClr val="A5A5A5"/>
            </a:solidFill>
            <a:ln w="25400">
              <a:noFill/>
            </a:ln>
          </c:spPr>
          <c:invertIfNegative val="0"/>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'Solid waste report'!$J$217:$K$217</c:f>
              <c:strCache>
                <c:ptCount val="2"/>
                <c:pt idx="0">
                  <c:v>Expenditure R'000</c:v>
                </c:pt>
                <c:pt idx="1">
                  <c:v>Revenue R'000</c:v>
                </c:pt>
              </c:strCache>
            </c:strRef>
          </c:cat>
          <c:val>
            <c:numRef>
              <c:f>'Solid waste report'!$J$222:$K$222</c:f>
              <c:numCache>
                <c:formatCode>_-* #\ ##0_-;\-* #\ ##0_-;_-* "-"??_-;_-@_-</c:formatCode>
                <c:ptCount val="2"/>
                <c:pt idx="1">
                  <c:v>0.56058538448623241</c:v>
                </c:pt>
              </c:numCache>
            </c:numRef>
          </c:val>
          <c:extLst>
            <c:ext xmlns:c16="http://schemas.microsoft.com/office/drawing/2014/chart" uri="{C3380CC4-5D6E-409C-BE32-E72D297353CC}">
              <c16:uniqueId val="{00000005-B9F4-448B-82BB-4513B3DE0B54}"/>
            </c:ext>
          </c:extLst>
        </c:ser>
        <c:ser>
          <c:idx val="3"/>
          <c:order val="5"/>
          <c:tx>
            <c:strRef>
              <c:f>'Solid waste report'!$I$223</c:f>
              <c:strCache>
                <c:ptCount val="1"/>
                <c:pt idx="0">
                  <c:v>Deficit</c:v>
                </c:pt>
              </c:strCache>
            </c:strRef>
          </c:tx>
          <c:spPr>
            <a:solidFill>
              <a:schemeClr val="accent3">
                <a:lumMod val="40000"/>
                <a:lumOff val="60000"/>
              </a:schemeClr>
            </a:solidFill>
            <a:ln>
              <a:noFill/>
            </a:ln>
            <a:effectLst/>
          </c:spPr>
          <c:invertIfNegative val="0"/>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'Solid waste report'!$J$217:$K$217</c:f>
              <c:strCache>
                <c:ptCount val="2"/>
                <c:pt idx="0">
                  <c:v>Expenditure R'000</c:v>
                </c:pt>
                <c:pt idx="1">
                  <c:v>Revenue R'000</c:v>
                </c:pt>
              </c:strCache>
            </c:strRef>
          </c:cat>
          <c:val>
            <c:numRef>
              <c:f>'Solid waste report'!$J$223:$K$223</c:f>
              <c:numCache>
                <c:formatCode>_-* #\ ##0_-;\-* #\ ##0_-;_-* "-"??_-;_-@_-</c:formatCode>
                <c:ptCount val="2"/>
                <c:pt idx="1">
                  <c:v>0</c:v>
                </c:pt>
              </c:numCache>
            </c:numRef>
          </c:val>
          <c:extLst>
            <c:ext xmlns:c16="http://schemas.microsoft.com/office/drawing/2014/chart" uri="{C3380CC4-5D6E-409C-BE32-E72D297353CC}">
              <c16:uniqueId val="{00000006-B9F4-448B-82BB-4513B3DE0B54}"/>
            </c:ext>
          </c:extLst>
        </c:ser>
        <c:dLbls>
          <c:showLegendKey val="0"/>
          <c:showVal val="0"/>
          <c:showCatName val="0"/>
          <c:showSerName val="0"/>
          <c:showPercent val="0"/>
          <c:showBubbleSize val="0"/>
        </c:dLbls>
        <c:gapWidth val="25"/>
        <c:overlap val="100"/>
        <c:axId val="1399687759"/>
        <c:axId val="1"/>
      </c:barChart>
      <c:catAx>
        <c:axId val="1399687759"/>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0" vert="horz"/>
          <a:lstStyle/>
          <a:p>
            <a:pPr>
              <a:defRPr sz="1100" b="0" i="0" u="none" strike="noStrike" baseline="0">
                <a:solidFill>
                  <a:srgbClr val="000000"/>
                </a:solidFill>
                <a:latin typeface="Calibri"/>
                <a:ea typeface="Calibri"/>
                <a:cs typeface="Calibri"/>
              </a:defRPr>
            </a:pPr>
            <a:endParaRPr lang="en-US"/>
          </a:p>
        </c:txPr>
        <c:crossAx val="1"/>
        <c:crosses val="autoZero"/>
        <c:auto val="1"/>
        <c:lblAlgn val="ctr"/>
        <c:lblOffset val="100"/>
        <c:noMultiLvlLbl val="0"/>
      </c:catAx>
      <c:valAx>
        <c:axId val="1"/>
        <c:scaling>
          <c:orientation val="minMax"/>
        </c:scaling>
        <c:delete val="1"/>
        <c:axPos val="l"/>
        <c:majorGridlines>
          <c:spPr>
            <a:ln w="9525" cap="flat" cmpd="sng" algn="ctr">
              <a:solidFill>
                <a:schemeClr val="tx1">
                  <a:lumMod val="15000"/>
                  <a:lumOff val="85000"/>
                </a:schemeClr>
              </a:solidFill>
              <a:round/>
            </a:ln>
            <a:effectLst/>
          </c:spPr>
        </c:majorGridlines>
        <c:numFmt formatCode="_-* #\ ##0_-;\-* #\ ##0_-;_-* &quot;-&quot;??_-;_-@_-" sourceLinked="1"/>
        <c:majorTickMark val="out"/>
        <c:minorTickMark val="none"/>
        <c:tickLblPos val="nextTo"/>
        <c:crossAx val="1399687759"/>
        <c:crosses val="autoZero"/>
        <c:crossBetween val="between"/>
      </c:valAx>
    </c:plotArea>
    <c:legend>
      <c:legendPos val="r"/>
      <c:layout>
        <c:manualLayout>
          <c:xMode val="edge"/>
          <c:yMode val="edge"/>
          <c:x val="0.63060873861355571"/>
          <c:y val="0.18380651016753749"/>
          <c:w val="0.34824665740311866"/>
          <c:h val="0.71030326816624556"/>
        </c:manualLayout>
      </c:layout>
      <c:overlay val="0"/>
      <c:spPr>
        <a:noFill/>
        <a:ln w="25400">
          <a:noFill/>
        </a:ln>
      </c:spPr>
      <c:txPr>
        <a:bodyPr/>
        <a:lstStyle/>
        <a:p>
          <a:pPr>
            <a:defRPr sz="850" b="0" i="0" u="none" strike="noStrike" baseline="0">
              <a:solidFill>
                <a:srgbClr val="000000"/>
              </a:solidFill>
              <a:latin typeface="Calibri"/>
              <a:ea typeface="Calibri"/>
              <a:cs typeface="Calibri"/>
            </a:defRPr>
          </a:pPr>
          <a:endParaRPr lang="en-US"/>
        </a:p>
      </c:txPr>
    </c:legend>
    <c:plotVisOnly val="1"/>
    <c:dispBlanksAs val="gap"/>
    <c:showDLblsOverMax val="0"/>
  </c:chart>
  <c:spPr>
    <a:solidFill>
      <a:schemeClr val="bg1"/>
    </a:solidFill>
    <a:ln w="9525" cap="flat" cmpd="sng" algn="ctr">
      <a:noFill/>
      <a:round/>
    </a:ln>
    <a:effectLst/>
  </c:spPr>
  <c:txPr>
    <a:bodyPr/>
    <a:lstStyle/>
    <a:p>
      <a:pPr>
        <a:defRPr sz="1100" b="0" i="0" u="none" strike="noStrike" baseline="0">
          <a:solidFill>
            <a:srgbClr val="000000"/>
          </a:solidFill>
          <a:latin typeface="Calibri"/>
          <a:ea typeface="Calibri"/>
          <a:cs typeface="Calibri"/>
        </a:defRPr>
      </a:pPr>
      <a:endParaRPr lang="en-US"/>
    </a:p>
  </c:txPr>
  <c:printSettings>
    <c:headerFooter/>
    <c:pageMargins b="0.75" l="0.7" r="0.7" t="0.75" header="0.3" footer="0.3"/>
    <c:pageSetup orientation="portrait"/>
  </c:printSettings>
</c:chartSpace>
</file>

<file path=xl/charts/chart18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2.3871527777777776E-2"/>
          <c:y val="4.7786414907172239E-2"/>
          <c:w val="0.57559123468941387"/>
          <c:h val="0.83529592857692603"/>
        </c:manualLayout>
      </c:layout>
      <c:barChart>
        <c:barDir val="col"/>
        <c:grouping val="stacked"/>
        <c:varyColors val="0"/>
        <c:ser>
          <c:idx val="0"/>
          <c:order val="0"/>
          <c:tx>
            <c:strRef>
              <c:f>'Solid waste report'!$I$262</c:f>
              <c:strCache>
                <c:ptCount val="1"/>
                <c:pt idx="0">
                  <c:v>Fixed cost</c:v>
                </c:pt>
              </c:strCache>
            </c:strRef>
          </c:tx>
          <c:spPr>
            <a:solidFill>
              <a:srgbClr val="4472C4"/>
            </a:solidFill>
            <a:ln w="25400">
              <a:noFill/>
            </a:ln>
          </c:spPr>
          <c:invertIfNegative val="0"/>
          <c:dPt>
            <c:idx val="0"/>
            <c:invertIfNegative val="0"/>
            <c:bubble3D val="0"/>
            <c:spPr>
              <a:solidFill>
                <a:srgbClr val="5B9BD5"/>
              </a:solidFill>
              <a:ln w="25400">
                <a:noFill/>
              </a:ln>
            </c:spPr>
            <c:extLst>
              <c:ext xmlns:c16="http://schemas.microsoft.com/office/drawing/2014/chart" uri="{C3380CC4-5D6E-409C-BE32-E72D297353CC}">
                <c16:uniqueId val="{00000000-A7E1-4C2B-A4F0-2D579005827F}"/>
              </c:ext>
            </c:extLst>
          </c:dPt>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'Solid waste report'!$J$261:$K$261</c:f>
              <c:strCache>
                <c:ptCount val="2"/>
                <c:pt idx="0">
                  <c:v>Expenditure R'000</c:v>
                </c:pt>
                <c:pt idx="1">
                  <c:v>Revenue R'000</c:v>
                </c:pt>
              </c:strCache>
            </c:strRef>
          </c:cat>
          <c:val>
            <c:numRef>
              <c:f>'Solid waste report'!$J$262:$K$262</c:f>
              <c:numCache>
                <c:formatCode>General</c:formatCode>
                <c:ptCount val="2"/>
                <c:pt idx="0" formatCode="_-* #\ ##0_-;\-* #\ ##0_-;_-* &quot;-&quot;??_-;_-@_-">
                  <c:v>0</c:v>
                </c:pt>
              </c:numCache>
            </c:numRef>
          </c:val>
          <c:extLst>
            <c:ext xmlns:c16="http://schemas.microsoft.com/office/drawing/2014/chart" uri="{C3380CC4-5D6E-409C-BE32-E72D297353CC}">
              <c16:uniqueId val="{00000001-A7E1-4C2B-A4F0-2D579005827F}"/>
            </c:ext>
          </c:extLst>
        </c:ser>
        <c:ser>
          <c:idx val="1"/>
          <c:order val="1"/>
          <c:tx>
            <c:strRef>
              <c:f>'Solid waste report'!$I$263</c:f>
              <c:strCache>
                <c:ptCount val="1"/>
                <c:pt idx="0">
                  <c:v>Surplus</c:v>
                </c:pt>
              </c:strCache>
            </c:strRef>
          </c:tx>
          <c:spPr>
            <a:solidFill>
              <a:schemeClr val="accent5">
                <a:lumMod val="60000"/>
                <a:lumOff val="40000"/>
              </a:schemeClr>
            </a:solidFill>
            <a:ln>
              <a:noFill/>
            </a:ln>
            <a:effectLst/>
          </c:spPr>
          <c:invertIfNegative val="0"/>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'Solid waste report'!$J$261:$K$261</c:f>
              <c:strCache>
                <c:ptCount val="2"/>
                <c:pt idx="0">
                  <c:v>Expenditure R'000</c:v>
                </c:pt>
                <c:pt idx="1">
                  <c:v>Revenue R'000</c:v>
                </c:pt>
              </c:strCache>
            </c:strRef>
          </c:cat>
          <c:val>
            <c:numRef>
              <c:f>'Solid waste report'!$J$263:$K$263</c:f>
              <c:numCache>
                <c:formatCode>General</c:formatCode>
                <c:ptCount val="2"/>
                <c:pt idx="0" formatCode="_-* #\ ##0_-;\-* #\ ##0_-;_-* &quot;-&quot;??_-;_-@_-">
                  <c:v>0</c:v>
                </c:pt>
              </c:numCache>
            </c:numRef>
          </c:val>
          <c:extLst>
            <c:ext xmlns:c16="http://schemas.microsoft.com/office/drawing/2014/chart" uri="{C3380CC4-5D6E-409C-BE32-E72D297353CC}">
              <c16:uniqueId val="{00000002-A7E1-4C2B-A4F0-2D579005827F}"/>
            </c:ext>
          </c:extLst>
        </c:ser>
        <c:ser>
          <c:idx val="2"/>
          <c:order val="2"/>
          <c:tx>
            <c:strRef>
              <c:f>'Solid waste report'!$I$264</c:f>
              <c:strCache>
                <c:ptCount val="1"/>
                <c:pt idx="0">
                  <c:v>Tariff revenue</c:v>
                </c:pt>
              </c:strCache>
            </c:strRef>
          </c:tx>
          <c:spPr>
            <a:solidFill>
              <a:srgbClr val="A5A5A5"/>
            </a:solidFill>
            <a:ln w="25400">
              <a:noFill/>
            </a:ln>
          </c:spPr>
          <c:invertIfNegative val="0"/>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'Solid waste report'!$J$261:$K$261</c:f>
              <c:strCache>
                <c:ptCount val="2"/>
                <c:pt idx="0">
                  <c:v>Expenditure R'000</c:v>
                </c:pt>
                <c:pt idx="1">
                  <c:v>Revenue R'000</c:v>
                </c:pt>
              </c:strCache>
            </c:strRef>
          </c:cat>
          <c:val>
            <c:numRef>
              <c:f>'Solid waste report'!$J$264:$K$264</c:f>
              <c:numCache>
                <c:formatCode>_-* #\ ##0_-;\-* #\ ##0_-;_-* "-"??_-;_-@_-</c:formatCode>
                <c:ptCount val="2"/>
                <c:pt idx="1">
                  <c:v>0</c:v>
                </c:pt>
              </c:numCache>
            </c:numRef>
          </c:val>
          <c:extLst>
            <c:ext xmlns:c16="http://schemas.microsoft.com/office/drawing/2014/chart" uri="{C3380CC4-5D6E-409C-BE32-E72D297353CC}">
              <c16:uniqueId val="{00000003-A7E1-4C2B-A4F0-2D579005827F}"/>
            </c:ext>
          </c:extLst>
        </c:ser>
        <c:ser>
          <c:idx val="4"/>
          <c:order val="3"/>
          <c:tx>
            <c:strRef>
              <c:f>'Solid waste report'!$I$265</c:f>
              <c:strCache>
                <c:ptCount val="1"/>
                <c:pt idx="0">
                  <c:v>External grants &amp; subsidies</c:v>
                </c:pt>
              </c:strCache>
            </c:strRef>
          </c:tx>
          <c:spPr>
            <a:solidFill>
              <a:srgbClr val="5B9BD5"/>
            </a:solidFill>
            <a:ln w="25400">
              <a:noFill/>
            </a:ln>
          </c:spPr>
          <c:invertIfNegative val="0"/>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'Solid waste report'!$J$261:$K$261</c:f>
              <c:strCache>
                <c:ptCount val="2"/>
                <c:pt idx="0">
                  <c:v>Expenditure R'000</c:v>
                </c:pt>
                <c:pt idx="1">
                  <c:v>Revenue R'000</c:v>
                </c:pt>
              </c:strCache>
            </c:strRef>
          </c:cat>
          <c:val>
            <c:numRef>
              <c:f>'Solid waste report'!$J$265:$K$265</c:f>
              <c:numCache>
                <c:formatCode>_-* #\ ##0_-;\-* #\ ##0_-;_-* "-"??_-;_-@_-</c:formatCode>
                <c:ptCount val="2"/>
                <c:pt idx="1">
                  <c:v>0</c:v>
                </c:pt>
              </c:numCache>
            </c:numRef>
          </c:val>
          <c:extLst>
            <c:ext xmlns:c16="http://schemas.microsoft.com/office/drawing/2014/chart" uri="{C3380CC4-5D6E-409C-BE32-E72D297353CC}">
              <c16:uniqueId val="{00000004-A7E1-4C2B-A4F0-2D579005827F}"/>
            </c:ext>
          </c:extLst>
        </c:ser>
        <c:ser>
          <c:idx val="5"/>
          <c:order val="4"/>
          <c:tx>
            <c:strRef>
              <c:f>'Solid waste report'!$I$266</c:f>
              <c:strCache>
                <c:ptCount val="1"/>
                <c:pt idx="0">
                  <c:v>Other non-tariff revenue</c:v>
                </c:pt>
              </c:strCache>
            </c:strRef>
          </c:tx>
          <c:spPr>
            <a:solidFill>
              <a:srgbClr val="A5A5A5"/>
            </a:solidFill>
            <a:ln w="25400">
              <a:noFill/>
            </a:ln>
          </c:spPr>
          <c:invertIfNegative val="0"/>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'Solid waste report'!$J$261:$K$261</c:f>
              <c:strCache>
                <c:ptCount val="2"/>
                <c:pt idx="0">
                  <c:v>Expenditure R'000</c:v>
                </c:pt>
                <c:pt idx="1">
                  <c:v>Revenue R'000</c:v>
                </c:pt>
              </c:strCache>
            </c:strRef>
          </c:cat>
          <c:val>
            <c:numRef>
              <c:f>'Solid waste report'!$J$266:$K$266</c:f>
              <c:numCache>
                <c:formatCode>_-* #\ ##0_-;\-* #\ ##0_-;_-* "-"??_-;_-@_-</c:formatCode>
                <c:ptCount val="2"/>
                <c:pt idx="1">
                  <c:v>0</c:v>
                </c:pt>
              </c:numCache>
            </c:numRef>
          </c:val>
          <c:extLst>
            <c:ext xmlns:c16="http://schemas.microsoft.com/office/drawing/2014/chart" uri="{C3380CC4-5D6E-409C-BE32-E72D297353CC}">
              <c16:uniqueId val="{00000005-A7E1-4C2B-A4F0-2D579005827F}"/>
            </c:ext>
          </c:extLst>
        </c:ser>
        <c:ser>
          <c:idx val="3"/>
          <c:order val="5"/>
          <c:tx>
            <c:strRef>
              <c:f>'Solid waste report'!$I$267</c:f>
              <c:strCache>
                <c:ptCount val="1"/>
                <c:pt idx="0">
                  <c:v>Deficit</c:v>
                </c:pt>
              </c:strCache>
            </c:strRef>
          </c:tx>
          <c:spPr>
            <a:solidFill>
              <a:schemeClr val="accent3">
                <a:lumMod val="40000"/>
                <a:lumOff val="60000"/>
              </a:schemeClr>
            </a:solidFill>
            <a:ln>
              <a:noFill/>
            </a:ln>
            <a:effectLst/>
          </c:spPr>
          <c:invertIfNegative val="0"/>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'Solid waste report'!$J$261:$K$261</c:f>
              <c:strCache>
                <c:ptCount val="2"/>
                <c:pt idx="0">
                  <c:v>Expenditure R'000</c:v>
                </c:pt>
                <c:pt idx="1">
                  <c:v>Revenue R'000</c:v>
                </c:pt>
              </c:strCache>
            </c:strRef>
          </c:cat>
          <c:val>
            <c:numRef>
              <c:f>'Solid waste report'!$J$267:$K$267</c:f>
              <c:numCache>
                <c:formatCode>_-* #\ ##0_-;\-* #\ ##0_-;_-* "-"??_-;_-@_-</c:formatCode>
                <c:ptCount val="2"/>
                <c:pt idx="1">
                  <c:v>0</c:v>
                </c:pt>
              </c:numCache>
            </c:numRef>
          </c:val>
          <c:extLst>
            <c:ext xmlns:c16="http://schemas.microsoft.com/office/drawing/2014/chart" uri="{C3380CC4-5D6E-409C-BE32-E72D297353CC}">
              <c16:uniqueId val="{00000006-A7E1-4C2B-A4F0-2D579005827F}"/>
            </c:ext>
          </c:extLst>
        </c:ser>
        <c:dLbls>
          <c:showLegendKey val="0"/>
          <c:showVal val="0"/>
          <c:showCatName val="0"/>
          <c:showSerName val="0"/>
          <c:showPercent val="0"/>
          <c:showBubbleSize val="0"/>
        </c:dLbls>
        <c:gapWidth val="25"/>
        <c:overlap val="100"/>
        <c:axId val="1399700719"/>
        <c:axId val="1"/>
      </c:barChart>
      <c:catAx>
        <c:axId val="1399700719"/>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0" vert="horz"/>
          <a:lstStyle/>
          <a:p>
            <a:pPr>
              <a:defRPr sz="1100" b="0" i="0" u="none" strike="noStrike" baseline="0">
                <a:solidFill>
                  <a:srgbClr val="000000"/>
                </a:solidFill>
                <a:latin typeface="Calibri"/>
                <a:ea typeface="Calibri"/>
                <a:cs typeface="Calibri"/>
              </a:defRPr>
            </a:pPr>
            <a:endParaRPr lang="en-US"/>
          </a:p>
        </c:txPr>
        <c:crossAx val="1"/>
        <c:crosses val="autoZero"/>
        <c:auto val="1"/>
        <c:lblAlgn val="ctr"/>
        <c:lblOffset val="100"/>
        <c:noMultiLvlLbl val="0"/>
      </c:catAx>
      <c:valAx>
        <c:axId val="1"/>
        <c:scaling>
          <c:orientation val="minMax"/>
        </c:scaling>
        <c:delete val="1"/>
        <c:axPos val="l"/>
        <c:majorGridlines>
          <c:spPr>
            <a:ln w="9525" cap="flat" cmpd="sng" algn="ctr">
              <a:solidFill>
                <a:schemeClr val="tx1">
                  <a:lumMod val="15000"/>
                  <a:lumOff val="85000"/>
                </a:schemeClr>
              </a:solidFill>
              <a:round/>
            </a:ln>
            <a:effectLst/>
          </c:spPr>
        </c:majorGridlines>
        <c:numFmt formatCode="_-* #\ ##0_-;\-* #\ ##0_-;_-* &quot;-&quot;??_-;_-@_-" sourceLinked="1"/>
        <c:majorTickMark val="out"/>
        <c:minorTickMark val="none"/>
        <c:tickLblPos val="nextTo"/>
        <c:crossAx val="1399700719"/>
        <c:crosses val="autoZero"/>
        <c:crossBetween val="between"/>
      </c:valAx>
    </c:plotArea>
    <c:legend>
      <c:legendPos val="r"/>
      <c:layout>
        <c:manualLayout>
          <c:xMode val="edge"/>
          <c:yMode val="edge"/>
          <c:x val="0.63060873861355571"/>
          <c:y val="0.18380651016753749"/>
          <c:w val="0.34824665740311866"/>
          <c:h val="0.71030326816624556"/>
        </c:manualLayout>
      </c:layout>
      <c:overlay val="0"/>
      <c:spPr>
        <a:noFill/>
        <a:ln w="25400">
          <a:noFill/>
        </a:ln>
      </c:spPr>
      <c:txPr>
        <a:bodyPr/>
        <a:lstStyle/>
        <a:p>
          <a:pPr>
            <a:defRPr sz="850" b="0" i="0" u="none" strike="noStrike" baseline="0">
              <a:solidFill>
                <a:srgbClr val="000000"/>
              </a:solidFill>
              <a:latin typeface="Calibri"/>
              <a:ea typeface="Calibri"/>
              <a:cs typeface="Calibri"/>
            </a:defRPr>
          </a:pPr>
          <a:endParaRPr lang="en-US"/>
        </a:p>
      </c:txPr>
    </c:legend>
    <c:plotVisOnly val="1"/>
    <c:dispBlanksAs val="gap"/>
    <c:showDLblsOverMax val="0"/>
  </c:chart>
  <c:spPr>
    <a:solidFill>
      <a:schemeClr val="bg1"/>
    </a:solidFill>
    <a:ln w="9525" cap="flat" cmpd="sng" algn="ctr">
      <a:noFill/>
      <a:round/>
    </a:ln>
    <a:effectLst/>
  </c:spPr>
  <c:txPr>
    <a:bodyPr/>
    <a:lstStyle/>
    <a:p>
      <a:pPr>
        <a:defRPr sz="1100" b="0" i="0" u="none" strike="noStrike" baseline="0">
          <a:solidFill>
            <a:srgbClr val="000000"/>
          </a:solidFill>
          <a:latin typeface="Calibri"/>
          <a:ea typeface="Calibri"/>
          <a:cs typeface="Calibri"/>
        </a:defRPr>
      </a:pPr>
      <a:endParaRPr lang="en-US"/>
    </a:p>
  </c:txPr>
  <c:printSettings>
    <c:headerFooter/>
    <c:pageMargins b="0.75" l="0.7" r="0.7" t="0.75" header="0.3" footer="0.3"/>
    <c:pageSetup orientation="portrait"/>
  </c:printSettings>
</c:chartSpace>
</file>

<file path=xl/charts/chart18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2.3871527777777776E-2"/>
          <c:y val="4.7786414907172239E-2"/>
          <c:w val="0.57559123468941387"/>
          <c:h val="0.83529592857692603"/>
        </c:manualLayout>
      </c:layout>
      <c:barChart>
        <c:barDir val="col"/>
        <c:grouping val="stacked"/>
        <c:varyColors val="0"/>
        <c:ser>
          <c:idx val="0"/>
          <c:order val="0"/>
          <c:tx>
            <c:strRef>
              <c:f>'Solid waste report'!$I$310</c:f>
              <c:strCache>
                <c:ptCount val="1"/>
                <c:pt idx="0">
                  <c:v>Fixed cost</c:v>
                </c:pt>
              </c:strCache>
            </c:strRef>
          </c:tx>
          <c:spPr>
            <a:solidFill>
              <a:srgbClr val="4472C4"/>
            </a:solidFill>
            <a:ln w="25400">
              <a:noFill/>
            </a:ln>
          </c:spPr>
          <c:invertIfNegative val="0"/>
          <c:dPt>
            <c:idx val="0"/>
            <c:invertIfNegative val="0"/>
            <c:bubble3D val="0"/>
            <c:spPr>
              <a:solidFill>
                <a:srgbClr val="5B9BD5"/>
              </a:solidFill>
              <a:ln w="25400">
                <a:noFill/>
              </a:ln>
            </c:spPr>
            <c:extLst>
              <c:ext xmlns:c16="http://schemas.microsoft.com/office/drawing/2014/chart" uri="{C3380CC4-5D6E-409C-BE32-E72D297353CC}">
                <c16:uniqueId val="{00000000-BE13-4487-AA68-26444CE16A70}"/>
              </c:ext>
            </c:extLst>
          </c:dPt>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'Solid waste report'!$J$309:$K$309</c:f>
              <c:strCache>
                <c:ptCount val="2"/>
                <c:pt idx="0">
                  <c:v>Expenditure R'000</c:v>
                </c:pt>
                <c:pt idx="1">
                  <c:v>Revenue R'000</c:v>
                </c:pt>
              </c:strCache>
            </c:strRef>
          </c:cat>
          <c:val>
            <c:numRef>
              <c:f>'Solid waste report'!$J$310:$K$310</c:f>
              <c:numCache>
                <c:formatCode>General</c:formatCode>
                <c:ptCount val="2"/>
                <c:pt idx="0" formatCode="_-* #\ ##0_-;\-* #\ ##0_-;_-* &quot;-&quot;??_-;_-@_-">
                  <c:v>0</c:v>
                </c:pt>
              </c:numCache>
            </c:numRef>
          </c:val>
          <c:extLst>
            <c:ext xmlns:c16="http://schemas.microsoft.com/office/drawing/2014/chart" uri="{C3380CC4-5D6E-409C-BE32-E72D297353CC}">
              <c16:uniqueId val="{00000001-BE13-4487-AA68-26444CE16A70}"/>
            </c:ext>
          </c:extLst>
        </c:ser>
        <c:ser>
          <c:idx val="1"/>
          <c:order val="1"/>
          <c:tx>
            <c:strRef>
              <c:f>'Solid waste report'!$I$311</c:f>
              <c:strCache>
                <c:ptCount val="1"/>
                <c:pt idx="0">
                  <c:v>Surplus</c:v>
                </c:pt>
              </c:strCache>
            </c:strRef>
          </c:tx>
          <c:spPr>
            <a:solidFill>
              <a:schemeClr val="accent5">
                <a:lumMod val="60000"/>
                <a:lumOff val="40000"/>
              </a:schemeClr>
            </a:solidFill>
            <a:ln>
              <a:noFill/>
            </a:ln>
            <a:effectLst/>
          </c:spPr>
          <c:invertIfNegative val="0"/>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'Solid waste report'!$J$309:$K$309</c:f>
              <c:strCache>
                <c:ptCount val="2"/>
                <c:pt idx="0">
                  <c:v>Expenditure R'000</c:v>
                </c:pt>
                <c:pt idx="1">
                  <c:v>Revenue R'000</c:v>
                </c:pt>
              </c:strCache>
            </c:strRef>
          </c:cat>
          <c:val>
            <c:numRef>
              <c:f>'Solid waste report'!$J$311:$K$311</c:f>
              <c:numCache>
                <c:formatCode>General</c:formatCode>
                <c:ptCount val="2"/>
                <c:pt idx="0" formatCode="_-* #\ ##0_-;\-* #\ ##0_-;_-* &quot;-&quot;??_-;_-@_-">
                  <c:v>0</c:v>
                </c:pt>
              </c:numCache>
            </c:numRef>
          </c:val>
          <c:extLst>
            <c:ext xmlns:c16="http://schemas.microsoft.com/office/drawing/2014/chart" uri="{C3380CC4-5D6E-409C-BE32-E72D297353CC}">
              <c16:uniqueId val="{00000002-BE13-4487-AA68-26444CE16A70}"/>
            </c:ext>
          </c:extLst>
        </c:ser>
        <c:ser>
          <c:idx val="2"/>
          <c:order val="2"/>
          <c:tx>
            <c:strRef>
              <c:f>'Solid waste report'!$I$312</c:f>
              <c:strCache>
                <c:ptCount val="1"/>
                <c:pt idx="0">
                  <c:v>Tariff revenue</c:v>
                </c:pt>
              </c:strCache>
            </c:strRef>
          </c:tx>
          <c:spPr>
            <a:solidFill>
              <a:srgbClr val="A5A5A5"/>
            </a:solidFill>
            <a:ln w="25400">
              <a:noFill/>
            </a:ln>
          </c:spPr>
          <c:invertIfNegative val="0"/>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'Solid waste report'!$J$309:$K$309</c:f>
              <c:strCache>
                <c:ptCount val="2"/>
                <c:pt idx="0">
                  <c:v>Expenditure R'000</c:v>
                </c:pt>
                <c:pt idx="1">
                  <c:v>Revenue R'000</c:v>
                </c:pt>
              </c:strCache>
            </c:strRef>
          </c:cat>
          <c:val>
            <c:numRef>
              <c:f>'Solid waste report'!$J$312:$K$312</c:f>
              <c:numCache>
                <c:formatCode>_-* #\ ##0_-;\-* #\ ##0_-;_-* "-"??_-;_-@_-</c:formatCode>
                <c:ptCount val="2"/>
                <c:pt idx="1">
                  <c:v>0</c:v>
                </c:pt>
              </c:numCache>
            </c:numRef>
          </c:val>
          <c:extLst>
            <c:ext xmlns:c16="http://schemas.microsoft.com/office/drawing/2014/chart" uri="{C3380CC4-5D6E-409C-BE32-E72D297353CC}">
              <c16:uniqueId val="{00000003-BE13-4487-AA68-26444CE16A70}"/>
            </c:ext>
          </c:extLst>
        </c:ser>
        <c:ser>
          <c:idx val="4"/>
          <c:order val="3"/>
          <c:tx>
            <c:strRef>
              <c:f>'Solid waste report'!$I$313</c:f>
              <c:strCache>
                <c:ptCount val="1"/>
                <c:pt idx="0">
                  <c:v>External grants &amp; subsidies</c:v>
                </c:pt>
              </c:strCache>
            </c:strRef>
          </c:tx>
          <c:spPr>
            <a:solidFill>
              <a:srgbClr val="5B9BD5"/>
            </a:solidFill>
            <a:ln w="25400">
              <a:noFill/>
            </a:ln>
          </c:spPr>
          <c:invertIfNegative val="0"/>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'Solid waste report'!$J$309:$K$309</c:f>
              <c:strCache>
                <c:ptCount val="2"/>
                <c:pt idx="0">
                  <c:v>Expenditure R'000</c:v>
                </c:pt>
                <c:pt idx="1">
                  <c:v>Revenue R'000</c:v>
                </c:pt>
              </c:strCache>
            </c:strRef>
          </c:cat>
          <c:val>
            <c:numRef>
              <c:f>'Solid waste report'!$J$313:$K$313</c:f>
              <c:numCache>
                <c:formatCode>_-* #\ ##0_-;\-* #\ ##0_-;_-* "-"??_-;_-@_-</c:formatCode>
                <c:ptCount val="2"/>
                <c:pt idx="1">
                  <c:v>0</c:v>
                </c:pt>
              </c:numCache>
            </c:numRef>
          </c:val>
          <c:extLst>
            <c:ext xmlns:c16="http://schemas.microsoft.com/office/drawing/2014/chart" uri="{C3380CC4-5D6E-409C-BE32-E72D297353CC}">
              <c16:uniqueId val="{00000004-BE13-4487-AA68-26444CE16A70}"/>
            </c:ext>
          </c:extLst>
        </c:ser>
        <c:ser>
          <c:idx val="5"/>
          <c:order val="4"/>
          <c:tx>
            <c:strRef>
              <c:f>'Solid waste report'!$I$314</c:f>
              <c:strCache>
                <c:ptCount val="1"/>
                <c:pt idx="0">
                  <c:v>Other non-tariff revenue</c:v>
                </c:pt>
              </c:strCache>
            </c:strRef>
          </c:tx>
          <c:spPr>
            <a:solidFill>
              <a:srgbClr val="A5A5A5"/>
            </a:solidFill>
            <a:ln w="25400">
              <a:noFill/>
            </a:ln>
          </c:spPr>
          <c:invertIfNegative val="0"/>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'Solid waste report'!$J$309:$K$309</c:f>
              <c:strCache>
                <c:ptCount val="2"/>
                <c:pt idx="0">
                  <c:v>Expenditure R'000</c:v>
                </c:pt>
                <c:pt idx="1">
                  <c:v>Revenue R'000</c:v>
                </c:pt>
              </c:strCache>
            </c:strRef>
          </c:cat>
          <c:val>
            <c:numRef>
              <c:f>'Solid waste report'!$J$314:$K$314</c:f>
              <c:numCache>
                <c:formatCode>_-* #\ ##0_-;\-* #\ ##0_-;_-* "-"??_-;_-@_-</c:formatCode>
                <c:ptCount val="2"/>
                <c:pt idx="1">
                  <c:v>0</c:v>
                </c:pt>
              </c:numCache>
            </c:numRef>
          </c:val>
          <c:extLst>
            <c:ext xmlns:c16="http://schemas.microsoft.com/office/drawing/2014/chart" uri="{C3380CC4-5D6E-409C-BE32-E72D297353CC}">
              <c16:uniqueId val="{00000005-BE13-4487-AA68-26444CE16A70}"/>
            </c:ext>
          </c:extLst>
        </c:ser>
        <c:ser>
          <c:idx val="3"/>
          <c:order val="5"/>
          <c:tx>
            <c:strRef>
              <c:f>'Solid waste report'!$I$315</c:f>
              <c:strCache>
                <c:ptCount val="1"/>
                <c:pt idx="0">
                  <c:v>Deficit</c:v>
                </c:pt>
              </c:strCache>
            </c:strRef>
          </c:tx>
          <c:spPr>
            <a:solidFill>
              <a:schemeClr val="accent3">
                <a:lumMod val="40000"/>
                <a:lumOff val="60000"/>
              </a:schemeClr>
            </a:solidFill>
            <a:ln>
              <a:noFill/>
            </a:ln>
            <a:effectLst/>
          </c:spPr>
          <c:invertIfNegative val="0"/>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'Solid waste report'!$J$309:$K$309</c:f>
              <c:strCache>
                <c:ptCount val="2"/>
                <c:pt idx="0">
                  <c:v>Expenditure R'000</c:v>
                </c:pt>
                <c:pt idx="1">
                  <c:v>Revenue R'000</c:v>
                </c:pt>
              </c:strCache>
            </c:strRef>
          </c:cat>
          <c:val>
            <c:numRef>
              <c:f>'Solid waste report'!$J$315:$K$315</c:f>
              <c:numCache>
                <c:formatCode>_-* #\ ##0_-;\-* #\ ##0_-;_-* "-"??_-;_-@_-</c:formatCode>
                <c:ptCount val="2"/>
                <c:pt idx="1">
                  <c:v>0</c:v>
                </c:pt>
              </c:numCache>
            </c:numRef>
          </c:val>
          <c:extLst>
            <c:ext xmlns:c16="http://schemas.microsoft.com/office/drawing/2014/chart" uri="{C3380CC4-5D6E-409C-BE32-E72D297353CC}">
              <c16:uniqueId val="{00000006-BE13-4487-AA68-26444CE16A70}"/>
            </c:ext>
          </c:extLst>
        </c:ser>
        <c:dLbls>
          <c:showLegendKey val="0"/>
          <c:showVal val="0"/>
          <c:showCatName val="0"/>
          <c:showSerName val="0"/>
          <c:showPercent val="0"/>
          <c:showBubbleSize val="0"/>
        </c:dLbls>
        <c:gapWidth val="25"/>
        <c:overlap val="100"/>
        <c:axId val="1399674799"/>
        <c:axId val="1"/>
      </c:barChart>
      <c:catAx>
        <c:axId val="1399674799"/>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0" vert="horz"/>
          <a:lstStyle/>
          <a:p>
            <a:pPr>
              <a:defRPr sz="1100" b="0" i="0" u="none" strike="noStrike" baseline="0">
                <a:solidFill>
                  <a:srgbClr val="000000"/>
                </a:solidFill>
                <a:latin typeface="Calibri"/>
                <a:ea typeface="Calibri"/>
                <a:cs typeface="Calibri"/>
              </a:defRPr>
            </a:pPr>
            <a:endParaRPr lang="en-US"/>
          </a:p>
        </c:txPr>
        <c:crossAx val="1"/>
        <c:crosses val="autoZero"/>
        <c:auto val="1"/>
        <c:lblAlgn val="ctr"/>
        <c:lblOffset val="100"/>
        <c:noMultiLvlLbl val="0"/>
      </c:catAx>
      <c:valAx>
        <c:axId val="1"/>
        <c:scaling>
          <c:orientation val="minMax"/>
        </c:scaling>
        <c:delete val="1"/>
        <c:axPos val="l"/>
        <c:majorGridlines>
          <c:spPr>
            <a:ln w="9525" cap="flat" cmpd="sng" algn="ctr">
              <a:solidFill>
                <a:schemeClr val="tx1">
                  <a:lumMod val="15000"/>
                  <a:lumOff val="85000"/>
                </a:schemeClr>
              </a:solidFill>
              <a:round/>
            </a:ln>
            <a:effectLst/>
          </c:spPr>
        </c:majorGridlines>
        <c:numFmt formatCode="_-* #\ ##0_-;\-* #\ ##0_-;_-* &quot;-&quot;??_-;_-@_-" sourceLinked="1"/>
        <c:majorTickMark val="out"/>
        <c:minorTickMark val="none"/>
        <c:tickLblPos val="nextTo"/>
        <c:crossAx val="1399674799"/>
        <c:crosses val="autoZero"/>
        <c:crossBetween val="between"/>
      </c:valAx>
    </c:plotArea>
    <c:legend>
      <c:legendPos val="r"/>
      <c:layout>
        <c:manualLayout>
          <c:xMode val="edge"/>
          <c:yMode val="edge"/>
          <c:x val="0.63060873861355571"/>
          <c:y val="0.18210459803635656"/>
          <c:w val="0.34824665740311866"/>
          <c:h val="0.70681280580668149"/>
        </c:manualLayout>
      </c:layout>
      <c:overlay val="0"/>
      <c:spPr>
        <a:noFill/>
        <a:ln w="25400">
          <a:noFill/>
        </a:ln>
      </c:spPr>
      <c:txPr>
        <a:bodyPr/>
        <a:lstStyle/>
        <a:p>
          <a:pPr>
            <a:defRPr sz="850" b="0" i="0" u="none" strike="noStrike" baseline="0">
              <a:solidFill>
                <a:srgbClr val="000000"/>
              </a:solidFill>
              <a:latin typeface="Calibri"/>
              <a:ea typeface="Calibri"/>
              <a:cs typeface="Calibri"/>
            </a:defRPr>
          </a:pPr>
          <a:endParaRPr lang="en-US"/>
        </a:p>
      </c:txPr>
    </c:legend>
    <c:plotVisOnly val="1"/>
    <c:dispBlanksAs val="gap"/>
    <c:showDLblsOverMax val="0"/>
  </c:chart>
  <c:spPr>
    <a:solidFill>
      <a:schemeClr val="bg1"/>
    </a:solidFill>
    <a:ln w="9525" cap="flat" cmpd="sng" algn="ctr">
      <a:noFill/>
      <a:round/>
    </a:ln>
    <a:effectLst/>
  </c:spPr>
  <c:txPr>
    <a:bodyPr/>
    <a:lstStyle/>
    <a:p>
      <a:pPr>
        <a:defRPr sz="1100" b="0" i="0" u="none" strike="noStrike" baseline="0">
          <a:solidFill>
            <a:srgbClr val="000000"/>
          </a:solidFill>
          <a:latin typeface="Calibri"/>
          <a:ea typeface="Calibri"/>
          <a:cs typeface="Calibri"/>
        </a:defRPr>
      </a:pPr>
      <a:endParaRPr lang="en-US"/>
    </a:p>
  </c:txPr>
  <c:printSettings>
    <c:headerFooter/>
    <c:pageMargins b="0.75" l="0.7" r="0.7" t="0.75" header="0.3" footer="0.3"/>
    <c:pageSetup orientation="portrait"/>
  </c:printSettings>
</c:chartSpace>
</file>

<file path=xl/charts/chart18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2.3871527777777776E-2"/>
          <c:y val="4.7786414907172239E-2"/>
          <c:w val="0.57559123468941387"/>
          <c:h val="0.83529592857692603"/>
        </c:manualLayout>
      </c:layout>
      <c:barChart>
        <c:barDir val="col"/>
        <c:grouping val="stacked"/>
        <c:varyColors val="0"/>
        <c:ser>
          <c:idx val="0"/>
          <c:order val="0"/>
          <c:tx>
            <c:strRef>
              <c:f>'Solid waste report'!$I$359</c:f>
              <c:strCache>
                <c:ptCount val="1"/>
                <c:pt idx="0">
                  <c:v>Fixed cost</c:v>
                </c:pt>
              </c:strCache>
            </c:strRef>
          </c:tx>
          <c:spPr>
            <a:solidFill>
              <a:srgbClr val="4472C4"/>
            </a:solidFill>
            <a:ln w="25400">
              <a:noFill/>
            </a:ln>
          </c:spPr>
          <c:invertIfNegative val="0"/>
          <c:dPt>
            <c:idx val="0"/>
            <c:invertIfNegative val="0"/>
            <c:bubble3D val="0"/>
            <c:spPr>
              <a:solidFill>
                <a:srgbClr val="5B9BD5"/>
              </a:solidFill>
              <a:ln w="25400">
                <a:noFill/>
              </a:ln>
            </c:spPr>
            <c:extLst>
              <c:ext xmlns:c16="http://schemas.microsoft.com/office/drawing/2014/chart" uri="{C3380CC4-5D6E-409C-BE32-E72D297353CC}">
                <c16:uniqueId val="{00000000-F675-4D54-9C3B-4A87EDB56BB3}"/>
              </c:ext>
            </c:extLst>
          </c:dPt>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'Solid waste report'!$J$358:$K$358</c:f>
              <c:strCache>
                <c:ptCount val="2"/>
                <c:pt idx="0">
                  <c:v>Expenditure R'000</c:v>
                </c:pt>
                <c:pt idx="1">
                  <c:v>Revenue R'000</c:v>
                </c:pt>
              </c:strCache>
            </c:strRef>
          </c:cat>
          <c:val>
            <c:numRef>
              <c:f>'Solid waste report'!$J$359:$K$359</c:f>
              <c:numCache>
                <c:formatCode>General</c:formatCode>
                <c:ptCount val="2"/>
                <c:pt idx="0" formatCode="_-* #\ ##0_-;\-* #\ ##0_-;_-* &quot;-&quot;??_-;_-@_-">
                  <c:v>0</c:v>
                </c:pt>
              </c:numCache>
            </c:numRef>
          </c:val>
          <c:extLst>
            <c:ext xmlns:c16="http://schemas.microsoft.com/office/drawing/2014/chart" uri="{C3380CC4-5D6E-409C-BE32-E72D297353CC}">
              <c16:uniqueId val="{00000001-F675-4D54-9C3B-4A87EDB56BB3}"/>
            </c:ext>
          </c:extLst>
        </c:ser>
        <c:ser>
          <c:idx val="1"/>
          <c:order val="1"/>
          <c:tx>
            <c:strRef>
              <c:f>'Solid waste report'!$I$360</c:f>
              <c:strCache>
                <c:ptCount val="1"/>
                <c:pt idx="0">
                  <c:v>Surplus</c:v>
                </c:pt>
              </c:strCache>
            </c:strRef>
          </c:tx>
          <c:spPr>
            <a:solidFill>
              <a:schemeClr val="accent5">
                <a:lumMod val="60000"/>
                <a:lumOff val="40000"/>
              </a:schemeClr>
            </a:solidFill>
            <a:ln>
              <a:noFill/>
            </a:ln>
            <a:effectLst/>
          </c:spPr>
          <c:invertIfNegative val="0"/>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'Solid waste report'!$J$358:$K$358</c:f>
              <c:strCache>
                <c:ptCount val="2"/>
                <c:pt idx="0">
                  <c:v>Expenditure R'000</c:v>
                </c:pt>
                <c:pt idx="1">
                  <c:v>Revenue R'000</c:v>
                </c:pt>
              </c:strCache>
            </c:strRef>
          </c:cat>
          <c:val>
            <c:numRef>
              <c:f>'Solid waste report'!$J$360:$K$360</c:f>
              <c:numCache>
                <c:formatCode>General</c:formatCode>
                <c:ptCount val="2"/>
                <c:pt idx="0" formatCode="_-* #\ ##0_-;\-* #\ ##0_-;_-* &quot;-&quot;??_-;_-@_-">
                  <c:v>0</c:v>
                </c:pt>
              </c:numCache>
            </c:numRef>
          </c:val>
          <c:extLst>
            <c:ext xmlns:c16="http://schemas.microsoft.com/office/drawing/2014/chart" uri="{C3380CC4-5D6E-409C-BE32-E72D297353CC}">
              <c16:uniqueId val="{00000002-F675-4D54-9C3B-4A87EDB56BB3}"/>
            </c:ext>
          </c:extLst>
        </c:ser>
        <c:ser>
          <c:idx val="2"/>
          <c:order val="2"/>
          <c:tx>
            <c:strRef>
              <c:f>'Solid waste report'!$I$361</c:f>
              <c:strCache>
                <c:ptCount val="1"/>
                <c:pt idx="0">
                  <c:v>Tariff revenue</c:v>
                </c:pt>
              </c:strCache>
            </c:strRef>
          </c:tx>
          <c:spPr>
            <a:solidFill>
              <a:srgbClr val="A5A5A5"/>
            </a:solidFill>
            <a:ln w="25400">
              <a:noFill/>
            </a:ln>
          </c:spPr>
          <c:invertIfNegative val="0"/>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'Solid waste report'!$J$358:$K$358</c:f>
              <c:strCache>
                <c:ptCount val="2"/>
                <c:pt idx="0">
                  <c:v>Expenditure R'000</c:v>
                </c:pt>
                <c:pt idx="1">
                  <c:v>Revenue R'000</c:v>
                </c:pt>
              </c:strCache>
            </c:strRef>
          </c:cat>
          <c:val>
            <c:numRef>
              <c:f>'Solid waste report'!$J$361:$K$361</c:f>
              <c:numCache>
                <c:formatCode>_-* #\ ##0_-;\-* #\ ##0_-;_-* "-"??_-;_-@_-</c:formatCode>
                <c:ptCount val="2"/>
                <c:pt idx="1">
                  <c:v>0</c:v>
                </c:pt>
              </c:numCache>
            </c:numRef>
          </c:val>
          <c:extLst>
            <c:ext xmlns:c16="http://schemas.microsoft.com/office/drawing/2014/chart" uri="{C3380CC4-5D6E-409C-BE32-E72D297353CC}">
              <c16:uniqueId val="{00000003-F675-4D54-9C3B-4A87EDB56BB3}"/>
            </c:ext>
          </c:extLst>
        </c:ser>
        <c:ser>
          <c:idx val="4"/>
          <c:order val="3"/>
          <c:tx>
            <c:strRef>
              <c:f>'Solid waste report'!$I$362</c:f>
              <c:strCache>
                <c:ptCount val="1"/>
                <c:pt idx="0">
                  <c:v>External grants &amp; subsidies</c:v>
                </c:pt>
              </c:strCache>
            </c:strRef>
          </c:tx>
          <c:spPr>
            <a:solidFill>
              <a:srgbClr val="5B9BD5"/>
            </a:solidFill>
            <a:ln w="25400">
              <a:noFill/>
            </a:ln>
          </c:spPr>
          <c:invertIfNegative val="0"/>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'Solid waste report'!$J$358:$K$358</c:f>
              <c:strCache>
                <c:ptCount val="2"/>
                <c:pt idx="0">
                  <c:v>Expenditure R'000</c:v>
                </c:pt>
                <c:pt idx="1">
                  <c:v>Revenue R'000</c:v>
                </c:pt>
              </c:strCache>
            </c:strRef>
          </c:cat>
          <c:val>
            <c:numRef>
              <c:f>'Solid waste report'!$J$362:$K$362</c:f>
              <c:numCache>
                <c:formatCode>_-* #\ ##0_-;\-* #\ ##0_-;_-* "-"??_-;_-@_-</c:formatCode>
                <c:ptCount val="2"/>
                <c:pt idx="1">
                  <c:v>0</c:v>
                </c:pt>
              </c:numCache>
            </c:numRef>
          </c:val>
          <c:extLst>
            <c:ext xmlns:c16="http://schemas.microsoft.com/office/drawing/2014/chart" uri="{C3380CC4-5D6E-409C-BE32-E72D297353CC}">
              <c16:uniqueId val="{00000004-F675-4D54-9C3B-4A87EDB56BB3}"/>
            </c:ext>
          </c:extLst>
        </c:ser>
        <c:ser>
          <c:idx val="5"/>
          <c:order val="4"/>
          <c:tx>
            <c:strRef>
              <c:f>'Solid waste report'!$I$363</c:f>
              <c:strCache>
                <c:ptCount val="1"/>
                <c:pt idx="0">
                  <c:v>Other non-tariff revenue</c:v>
                </c:pt>
              </c:strCache>
            </c:strRef>
          </c:tx>
          <c:spPr>
            <a:solidFill>
              <a:srgbClr val="A5A5A5"/>
            </a:solidFill>
            <a:ln w="25400">
              <a:noFill/>
            </a:ln>
          </c:spPr>
          <c:invertIfNegative val="0"/>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'Solid waste report'!$J$358:$K$358</c:f>
              <c:strCache>
                <c:ptCount val="2"/>
                <c:pt idx="0">
                  <c:v>Expenditure R'000</c:v>
                </c:pt>
                <c:pt idx="1">
                  <c:v>Revenue R'000</c:v>
                </c:pt>
              </c:strCache>
            </c:strRef>
          </c:cat>
          <c:val>
            <c:numRef>
              <c:f>'Solid waste report'!$J$363:$K$363</c:f>
              <c:numCache>
                <c:formatCode>_-* #\ ##0_-;\-* #\ ##0_-;_-* "-"??_-;_-@_-</c:formatCode>
                <c:ptCount val="2"/>
                <c:pt idx="1">
                  <c:v>0</c:v>
                </c:pt>
              </c:numCache>
            </c:numRef>
          </c:val>
          <c:extLst>
            <c:ext xmlns:c16="http://schemas.microsoft.com/office/drawing/2014/chart" uri="{C3380CC4-5D6E-409C-BE32-E72D297353CC}">
              <c16:uniqueId val="{00000005-F675-4D54-9C3B-4A87EDB56BB3}"/>
            </c:ext>
          </c:extLst>
        </c:ser>
        <c:ser>
          <c:idx val="3"/>
          <c:order val="5"/>
          <c:tx>
            <c:strRef>
              <c:f>'Solid waste report'!$I$364</c:f>
              <c:strCache>
                <c:ptCount val="1"/>
                <c:pt idx="0">
                  <c:v>Deficit</c:v>
                </c:pt>
              </c:strCache>
            </c:strRef>
          </c:tx>
          <c:spPr>
            <a:solidFill>
              <a:schemeClr val="accent3">
                <a:lumMod val="40000"/>
                <a:lumOff val="60000"/>
              </a:schemeClr>
            </a:solidFill>
            <a:ln>
              <a:noFill/>
            </a:ln>
            <a:effectLst/>
          </c:spPr>
          <c:invertIfNegative val="0"/>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'Solid waste report'!$J$358:$K$358</c:f>
              <c:strCache>
                <c:ptCount val="2"/>
                <c:pt idx="0">
                  <c:v>Expenditure R'000</c:v>
                </c:pt>
                <c:pt idx="1">
                  <c:v>Revenue R'000</c:v>
                </c:pt>
              </c:strCache>
            </c:strRef>
          </c:cat>
          <c:val>
            <c:numRef>
              <c:f>'Solid waste report'!$J$364:$K$364</c:f>
              <c:numCache>
                <c:formatCode>_-* #\ ##0_-;\-* #\ ##0_-;_-* "-"??_-;_-@_-</c:formatCode>
                <c:ptCount val="2"/>
                <c:pt idx="1">
                  <c:v>0</c:v>
                </c:pt>
              </c:numCache>
            </c:numRef>
          </c:val>
          <c:extLst>
            <c:ext xmlns:c16="http://schemas.microsoft.com/office/drawing/2014/chart" uri="{C3380CC4-5D6E-409C-BE32-E72D297353CC}">
              <c16:uniqueId val="{00000006-F675-4D54-9C3B-4A87EDB56BB3}"/>
            </c:ext>
          </c:extLst>
        </c:ser>
        <c:dLbls>
          <c:showLegendKey val="0"/>
          <c:showVal val="0"/>
          <c:showCatName val="0"/>
          <c:showSerName val="0"/>
          <c:showPercent val="0"/>
          <c:showBubbleSize val="0"/>
        </c:dLbls>
        <c:gapWidth val="25"/>
        <c:overlap val="100"/>
        <c:axId val="1399681519"/>
        <c:axId val="1"/>
      </c:barChart>
      <c:catAx>
        <c:axId val="1399681519"/>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0" vert="horz"/>
          <a:lstStyle/>
          <a:p>
            <a:pPr>
              <a:defRPr sz="1100" b="0" i="0" u="none" strike="noStrike" baseline="0">
                <a:solidFill>
                  <a:srgbClr val="000000"/>
                </a:solidFill>
                <a:latin typeface="Calibri"/>
                <a:ea typeface="Calibri"/>
                <a:cs typeface="Calibri"/>
              </a:defRPr>
            </a:pPr>
            <a:endParaRPr lang="en-US"/>
          </a:p>
        </c:txPr>
        <c:crossAx val="1"/>
        <c:crosses val="autoZero"/>
        <c:auto val="1"/>
        <c:lblAlgn val="ctr"/>
        <c:lblOffset val="100"/>
        <c:noMultiLvlLbl val="0"/>
      </c:catAx>
      <c:valAx>
        <c:axId val="1"/>
        <c:scaling>
          <c:orientation val="minMax"/>
        </c:scaling>
        <c:delete val="1"/>
        <c:axPos val="l"/>
        <c:majorGridlines>
          <c:spPr>
            <a:ln w="9525" cap="flat" cmpd="sng" algn="ctr">
              <a:solidFill>
                <a:schemeClr val="tx1">
                  <a:lumMod val="15000"/>
                  <a:lumOff val="85000"/>
                </a:schemeClr>
              </a:solidFill>
              <a:round/>
            </a:ln>
            <a:effectLst/>
          </c:spPr>
        </c:majorGridlines>
        <c:numFmt formatCode="_-* #\ ##0_-;\-* #\ ##0_-;_-* &quot;-&quot;??_-;_-@_-" sourceLinked="1"/>
        <c:majorTickMark val="out"/>
        <c:minorTickMark val="none"/>
        <c:tickLblPos val="nextTo"/>
        <c:crossAx val="1399681519"/>
        <c:crosses val="autoZero"/>
        <c:crossBetween val="between"/>
      </c:valAx>
    </c:plotArea>
    <c:legend>
      <c:legendPos val="r"/>
      <c:layout>
        <c:manualLayout>
          <c:xMode val="edge"/>
          <c:yMode val="edge"/>
          <c:x val="0.63060873861355571"/>
          <c:y val="0.18380651016753749"/>
          <c:w val="0.34824665740311866"/>
          <c:h val="0.71030326816624556"/>
        </c:manualLayout>
      </c:layout>
      <c:overlay val="0"/>
      <c:spPr>
        <a:noFill/>
        <a:ln w="25400">
          <a:noFill/>
        </a:ln>
      </c:spPr>
      <c:txPr>
        <a:bodyPr/>
        <a:lstStyle/>
        <a:p>
          <a:pPr>
            <a:defRPr sz="850" b="0" i="0" u="none" strike="noStrike" baseline="0">
              <a:solidFill>
                <a:srgbClr val="000000"/>
              </a:solidFill>
              <a:latin typeface="Calibri"/>
              <a:ea typeface="Calibri"/>
              <a:cs typeface="Calibri"/>
            </a:defRPr>
          </a:pPr>
          <a:endParaRPr lang="en-US"/>
        </a:p>
      </c:txPr>
    </c:legend>
    <c:plotVisOnly val="1"/>
    <c:dispBlanksAs val="gap"/>
    <c:showDLblsOverMax val="0"/>
  </c:chart>
  <c:spPr>
    <a:solidFill>
      <a:schemeClr val="bg1"/>
    </a:solidFill>
    <a:ln w="9525" cap="flat" cmpd="sng" algn="ctr">
      <a:noFill/>
      <a:round/>
    </a:ln>
    <a:effectLst/>
  </c:spPr>
  <c:txPr>
    <a:bodyPr/>
    <a:lstStyle/>
    <a:p>
      <a:pPr>
        <a:defRPr sz="1100" b="0" i="0" u="none" strike="noStrike" baseline="0">
          <a:solidFill>
            <a:srgbClr val="000000"/>
          </a:solidFill>
          <a:latin typeface="Calibri"/>
          <a:ea typeface="Calibri"/>
          <a:cs typeface="Calibri"/>
        </a:defRPr>
      </a:pPr>
      <a:endParaRPr lang="en-US"/>
    </a:p>
  </c:txPr>
  <c:printSettings>
    <c:headerFooter/>
    <c:pageMargins b="0.75" l="0.7" r="0.7" t="0.75" header="0.3" footer="0.3"/>
    <c:pageSetup orientation="portrait"/>
  </c:printSettings>
</c:chartSpace>
</file>

<file path=xl/charts/chart19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2.3871527777777776E-2"/>
          <c:y val="4.7786414907172239E-2"/>
          <c:w val="0.57559123468941387"/>
          <c:h val="0.83529592857692603"/>
        </c:manualLayout>
      </c:layout>
      <c:barChart>
        <c:barDir val="col"/>
        <c:grouping val="stacked"/>
        <c:varyColors val="0"/>
        <c:ser>
          <c:idx val="0"/>
          <c:order val="0"/>
          <c:tx>
            <c:strRef>
              <c:f>'Solid waste report'!$I$404</c:f>
              <c:strCache>
                <c:ptCount val="1"/>
                <c:pt idx="0">
                  <c:v>Fixed cost</c:v>
                </c:pt>
              </c:strCache>
            </c:strRef>
          </c:tx>
          <c:spPr>
            <a:solidFill>
              <a:srgbClr val="4472C4"/>
            </a:solidFill>
            <a:ln w="25400">
              <a:noFill/>
            </a:ln>
          </c:spPr>
          <c:invertIfNegative val="0"/>
          <c:dPt>
            <c:idx val="0"/>
            <c:invertIfNegative val="0"/>
            <c:bubble3D val="0"/>
            <c:spPr>
              <a:solidFill>
                <a:srgbClr val="5B9BD5"/>
              </a:solidFill>
              <a:ln w="25400">
                <a:noFill/>
              </a:ln>
            </c:spPr>
            <c:extLst>
              <c:ext xmlns:c16="http://schemas.microsoft.com/office/drawing/2014/chart" uri="{C3380CC4-5D6E-409C-BE32-E72D297353CC}">
                <c16:uniqueId val="{00000000-4BAE-4F30-AA1F-1E6F21DD2925}"/>
              </c:ext>
            </c:extLst>
          </c:dPt>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'Solid waste report'!$J$403:$K$403</c:f>
              <c:strCache>
                <c:ptCount val="2"/>
                <c:pt idx="0">
                  <c:v>Expenditure R'000</c:v>
                </c:pt>
                <c:pt idx="1">
                  <c:v>Revenue R'000</c:v>
                </c:pt>
              </c:strCache>
            </c:strRef>
          </c:cat>
          <c:val>
            <c:numRef>
              <c:f>'Solid waste report'!$J$404:$K$404</c:f>
              <c:numCache>
                <c:formatCode>General</c:formatCode>
                <c:ptCount val="2"/>
                <c:pt idx="0" formatCode="_-* #\ ##0_-;\-* #\ ##0_-;_-* &quot;-&quot;??_-;_-@_-">
                  <c:v>0</c:v>
                </c:pt>
              </c:numCache>
            </c:numRef>
          </c:val>
          <c:extLst>
            <c:ext xmlns:c16="http://schemas.microsoft.com/office/drawing/2014/chart" uri="{C3380CC4-5D6E-409C-BE32-E72D297353CC}">
              <c16:uniqueId val="{00000001-4BAE-4F30-AA1F-1E6F21DD2925}"/>
            </c:ext>
          </c:extLst>
        </c:ser>
        <c:ser>
          <c:idx val="1"/>
          <c:order val="1"/>
          <c:tx>
            <c:strRef>
              <c:f>'Solid waste report'!$I$405</c:f>
              <c:strCache>
                <c:ptCount val="1"/>
                <c:pt idx="0">
                  <c:v>Surplus</c:v>
                </c:pt>
              </c:strCache>
            </c:strRef>
          </c:tx>
          <c:spPr>
            <a:solidFill>
              <a:schemeClr val="accent5">
                <a:lumMod val="60000"/>
                <a:lumOff val="40000"/>
              </a:schemeClr>
            </a:solidFill>
            <a:ln>
              <a:noFill/>
            </a:ln>
            <a:effectLst/>
          </c:spPr>
          <c:invertIfNegative val="0"/>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'Solid waste report'!$J$403:$K$403</c:f>
              <c:strCache>
                <c:ptCount val="2"/>
                <c:pt idx="0">
                  <c:v>Expenditure R'000</c:v>
                </c:pt>
                <c:pt idx="1">
                  <c:v>Revenue R'000</c:v>
                </c:pt>
              </c:strCache>
            </c:strRef>
          </c:cat>
          <c:val>
            <c:numRef>
              <c:f>'Solid waste report'!$J$405:$K$405</c:f>
              <c:numCache>
                <c:formatCode>General</c:formatCode>
                <c:ptCount val="2"/>
                <c:pt idx="0" formatCode="_-* #\ ##0_-;\-* #\ ##0_-;_-* &quot;-&quot;??_-;_-@_-">
                  <c:v>0</c:v>
                </c:pt>
              </c:numCache>
            </c:numRef>
          </c:val>
          <c:extLst>
            <c:ext xmlns:c16="http://schemas.microsoft.com/office/drawing/2014/chart" uri="{C3380CC4-5D6E-409C-BE32-E72D297353CC}">
              <c16:uniqueId val="{00000002-4BAE-4F30-AA1F-1E6F21DD2925}"/>
            </c:ext>
          </c:extLst>
        </c:ser>
        <c:ser>
          <c:idx val="2"/>
          <c:order val="2"/>
          <c:tx>
            <c:strRef>
              <c:f>'Solid waste report'!$I$406</c:f>
              <c:strCache>
                <c:ptCount val="1"/>
                <c:pt idx="0">
                  <c:v>Tariff revenue</c:v>
                </c:pt>
              </c:strCache>
            </c:strRef>
          </c:tx>
          <c:spPr>
            <a:solidFill>
              <a:srgbClr val="A5A5A5"/>
            </a:solidFill>
            <a:ln w="25400">
              <a:noFill/>
            </a:ln>
          </c:spPr>
          <c:invertIfNegative val="0"/>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'Solid waste report'!$J$403:$K$403</c:f>
              <c:strCache>
                <c:ptCount val="2"/>
                <c:pt idx="0">
                  <c:v>Expenditure R'000</c:v>
                </c:pt>
                <c:pt idx="1">
                  <c:v>Revenue R'000</c:v>
                </c:pt>
              </c:strCache>
            </c:strRef>
          </c:cat>
          <c:val>
            <c:numRef>
              <c:f>'Solid waste report'!$J$406:$K$406</c:f>
              <c:numCache>
                <c:formatCode>_-* #\ ##0_-;\-* #\ ##0_-;_-* "-"??_-;_-@_-</c:formatCode>
                <c:ptCount val="2"/>
                <c:pt idx="1">
                  <c:v>0</c:v>
                </c:pt>
              </c:numCache>
            </c:numRef>
          </c:val>
          <c:extLst>
            <c:ext xmlns:c16="http://schemas.microsoft.com/office/drawing/2014/chart" uri="{C3380CC4-5D6E-409C-BE32-E72D297353CC}">
              <c16:uniqueId val="{00000003-4BAE-4F30-AA1F-1E6F21DD2925}"/>
            </c:ext>
          </c:extLst>
        </c:ser>
        <c:ser>
          <c:idx val="4"/>
          <c:order val="3"/>
          <c:tx>
            <c:strRef>
              <c:f>'Solid waste report'!$I$407</c:f>
              <c:strCache>
                <c:ptCount val="1"/>
                <c:pt idx="0">
                  <c:v>External grants &amp; subsidies</c:v>
                </c:pt>
              </c:strCache>
            </c:strRef>
          </c:tx>
          <c:spPr>
            <a:solidFill>
              <a:srgbClr val="5B9BD5"/>
            </a:solidFill>
            <a:ln w="25400">
              <a:noFill/>
            </a:ln>
          </c:spPr>
          <c:invertIfNegative val="0"/>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'Solid waste report'!$J$403:$K$403</c:f>
              <c:strCache>
                <c:ptCount val="2"/>
                <c:pt idx="0">
                  <c:v>Expenditure R'000</c:v>
                </c:pt>
                <c:pt idx="1">
                  <c:v>Revenue R'000</c:v>
                </c:pt>
              </c:strCache>
            </c:strRef>
          </c:cat>
          <c:val>
            <c:numRef>
              <c:f>'Solid waste report'!$J$407:$K$407</c:f>
              <c:numCache>
                <c:formatCode>_-* #\ ##0_-;\-* #\ ##0_-;_-* "-"??_-;_-@_-</c:formatCode>
                <c:ptCount val="2"/>
                <c:pt idx="1">
                  <c:v>0</c:v>
                </c:pt>
              </c:numCache>
            </c:numRef>
          </c:val>
          <c:extLst>
            <c:ext xmlns:c16="http://schemas.microsoft.com/office/drawing/2014/chart" uri="{C3380CC4-5D6E-409C-BE32-E72D297353CC}">
              <c16:uniqueId val="{00000004-4BAE-4F30-AA1F-1E6F21DD2925}"/>
            </c:ext>
          </c:extLst>
        </c:ser>
        <c:ser>
          <c:idx val="5"/>
          <c:order val="4"/>
          <c:tx>
            <c:strRef>
              <c:f>'Solid waste report'!$I$408</c:f>
              <c:strCache>
                <c:ptCount val="1"/>
                <c:pt idx="0">
                  <c:v>Other non-tariff revenue</c:v>
                </c:pt>
              </c:strCache>
            </c:strRef>
          </c:tx>
          <c:spPr>
            <a:solidFill>
              <a:srgbClr val="A5A5A5"/>
            </a:solidFill>
            <a:ln w="25400">
              <a:noFill/>
            </a:ln>
          </c:spPr>
          <c:invertIfNegative val="0"/>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'Solid waste report'!$J$403:$K$403</c:f>
              <c:strCache>
                <c:ptCount val="2"/>
                <c:pt idx="0">
                  <c:v>Expenditure R'000</c:v>
                </c:pt>
                <c:pt idx="1">
                  <c:v>Revenue R'000</c:v>
                </c:pt>
              </c:strCache>
            </c:strRef>
          </c:cat>
          <c:val>
            <c:numRef>
              <c:f>'Solid waste report'!$J$408:$K$408</c:f>
              <c:numCache>
                <c:formatCode>_-* #\ ##0_-;\-* #\ ##0_-;_-* "-"??_-;_-@_-</c:formatCode>
                <c:ptCount val="2"/>
                <c:pt idx="1">
                  <c:v>0</c:v>
                </c:pt>
              </c:numCache>
            </c:numRef>
          </c:val>
          <c:extLst>
            <c:ext xmlns:c16="http://schemas.microsoft.com/office/drawing/2014/chart" uri="{C3380CC4-5D6E-409C-BE32-E72D297353CC}">
              <c16:uniqueId val="{00000005-4BAE-4F30-AA1F-1E6F21DD2925}"/>
            </c:ext>
          </c:extLst>
        </c:ser>
        <c:ser>
          <c:idx val="3"/>
          <c:order val="5"/>
          <c:tx>
            <c:strRef>
              <c:f>'Solid waste report'!$I$409</c:f>
              <c:strCache>
                <c:ptCount val="1"/>
                <c:pt idx="0">
                  <c:v>Deficit</c:v>
                </c:pt>
              </c:strCache>
            </c:strRef>
          </c:tx>
          <c:spPr>
            <a:solidFill>
              <a:schemeClr val="accent3">
                <a:lumMod val="40000"/>
                <a:lumOff val="60000"/>
              </a:schemeClr>
            </a:solidFill>
            <a:ln>
              <a:noFill/>
            </a:ln>
            <a:effectLst/>
          </c:spPr>
          <c:invertIfNegative val="0"/>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'Solid waste report'!$J$403:$K$403</c:f>
              <c:strCache>
                <c:ptCount val="2"/>
                <c:pt idx="0">
                  <c:v>Expenditure R'000</c:v>
                </c:pt>
                <c:pt idx="1">
                  <c:v>Revenue R'000</c:v>
                </c:pt>
              </c:strCache>
            </c:strRef>
          </c:cat>
          <c:val>
            <c:numRef>
              <c:f>'Solid waste report'!$J$409:$K$409</c:f>
              <c:numCache>
                <c:formatCode>_-* #\ ##0_-;\-* #\ ##0_-;_-* "-"??_-;_-@_-</c:formatCode>
                <c:ptCount val="2"/>
                <c:pt idx="1">
                  <c:v>0</c:v>
                </c:pt>
              </c:numCache>
            </c:numRef>
          </c:val>
          <c:extLst>
            <c:ext xmlns:c16="http://schemas.microsoft.com/office/drawing/2014/chart" uri="{C3380CC4-5D6E-409C-BE32-E72D297353CC}">
              <c16:uniqueId val="{00000006-4BAE-4F30-AA1F-1E6F21DD2925}"/>
            </c:ext>
          </c:extLst>
        </c:ser>
        <c:dLbls>
          <c:showLegendKey val="0"/>
          <c:showVal val="0"/>
          <c:showCatName val="0"/>
          <c:showSerName val="0"/>
          <c:showPercent val="0"/>
          <c:showBubbleSize val="0"/>
        </c:dLbls>
        <c:gapWidth val="25"/>
        <c:overlap val="100"/>
        <c:axId val="1399696399"/>
        <c:axId val="1"/>
      </c:barChart>
      <c:catAx>
        <c:axId val="1399696399"/>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0" vert="horz"/>
          <a:lstStyle/>
          <a:p>
            <a:pPr>
              <a:defRPr sz="1100" b="0" i="0" u="none" strike="noStrike" baseline="0">
                <a:solidFill>
                  <a:srgbClr val="000000"/>
                </a:solidFill>
                <a:latin typeface="Calibri"/>
                <a:ea typeface="Calibri"/>
                <a:cs typeface="Calibri"/>
              </a:defRPr>
            </a:pPr>
            <a:endParaRPr lang="en-US"/>
          </a:p>
        </c:txPr>
        <c:crossAx val="1"/>
        <c:crosses val="autoZero"/>
        <c:auto val="1"/>
        <c:lblAlgn val="ctr"/>
        <c:lblOffset val="100"/>
        <c:noMultiLvlLbl val="0"/>
      </c:catAx>
      <c:valAx>
        <c:axId val="1"/>
        <c:scaling>
          <c:orientation val="minMax"/>
        </c:scaling>
        <c:delete val="1"/>
        <c:axPos val="l"/>
        <c:majorGridlines>
          <c:spPr>
            <a:ln w="9525" cap="flat" cmpd="sng" algn="ctr">
              <a:solidFill>
                <a:schemeClr val="tx1">
                  <a:lumMod val="15000"/>
                  <a:lumOff val="85000"/>
                </a:schemeClr>
              </a:solidFill>
              <a:round/>
            </a:ln>
            <a:effectLst/>
          </c:spPr>
        </c:majorGridlines>
        <c:numFmt formatCode="_-* #\ ##0_-;\-* #\ ##0_-;_-* &quot;-&quot;??_-;_-@_-" sourceLinked="1"/>
        <c:majorTickMark val="out"/>
        <c:minorTickMark val="none"/>
        <c:tickLblPos val="nextTo"/>
        <c:crossAx val="1399696399"/>
        <c:crosses val="autoZero"/>
        <c:crossBetween val="between"/>
      </c:valAx>
    </c:plotArea>
    <c:legend>
      <c:legendPos val="r"/>
      <c:layout>
        <c:manualLayout>
          <c:xMode val="edge"/>
          <c:yMode val="edge"/>
          <c:x val="0.63060873861355571"/>
          <c:y val="0.18380651016753749"/>
          <c:w val="0.34824665740311866"/>
          <c:h val="0.71030326816624556"/>
        </c:manualLayout>
      </c:layout>
      <c:overlay val="0"/>
      <c:spPr>
        <a:noFill/>
        <a:ln w="25400">
          <a:noFill/>
        </a:ln>
      </c:spPr>
      <c:txPr>
        <a:bodyPr/>
        <a:lstStyle/>
        <a:p>
          <a:pPr>
            <a:defRPr sz="850" b="0" i="0" u="none" strike="noStrike" baseline="0">
              <a:solidFill>
                <a:srgbClr val="000000"/>
              </a:solidFill>
              <a:latin typeface="Calibri"/>
              <a:ea typeface="Calibri"/>
              <a:cs typeface="Calibri"/>
            </a:defRPr>
          </a:pPr>
          <a:endParaRPr lang="en-US"/>
        </a:p>
      </c:txPr>
    </c:legend>
    <c:plotVisOnly val="1"/>
    <c:dispBlanksAs val="gap"/>
    <c:showDLblsOverMax val="0"/>
  </c:chart>
  <c:spPr>
    <a:solidFill>
      <a:schemeClr val="bg1"/>
    </a:solidFill>
    <a:ln w="9525" cap="flat" cmpd="sng" algn="ctr">
      <a:noFill/>
      <a:round/>
    </a:ln>
    <a:effectLst/>
  </c:spPr>
  <c:txPr>
    <a:bodyPr/>
    <a:lstStyle/>
    <a:p>
      <a:pPr>
        <a:defRPr sz="1100" b="0" i="0" u="none" strike="noStrike" baseline="0">
          <a:solidFill>
            <a:srgbClr val="000000"/>
          </a:solidFill>
          <a:latin typeface="Calibri"/>
          <a:ea typeface="Calibri"/>
          <a:cs typeface="Calibri"/>
        </a:defRPr>
      </a:pPr>
      <a:endParaRPr lang="en-US"/>
    </a:p>
  </c:txPr>
  <c:printSettings>
    <c:headerFooter/>
    <c:pageMargins b="0.75" l="0.7" r="0.7" t="0.75" header="0.3" footer="0.3"/>
    <c:pageSetup orientation="portrait"/>
  </c:printSettings>
</c:chartSpace>
</file>

<file path=xl/charts/chart19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2.3871527777777776E-2"/>
          <c:y val="4.7786414907172239E-2"/>
          <c:w val="0.57559123468941387"/>
          <c:h val="0.83529592857692603"/>
        </c:manualLayout>
      </c:layout>
      <c:barChart>
        <c:barDir val="col"/>
        <c:grouping val="stacked"/>
        <c:varyColors val="0"/>
        <c:ser>
          <c:idx val="0"/>
          <c:order val="0"/>
          <c:tx>
            <c:strRef>
              <c:f>'Solid waste report'!$I$450</c:f>
              <c:strCache>
                <c:ptCount val="1"/>
                <c:pt idx="0">
                  <c:v>Fixed cost</c:v>
                </c:pt>
              </c:strCache>
            </c:strRef>
          </c:tx>
          <c:spPr>
            <a:solidFill>
              <a:srgbClr val="4472C4"/>
            </a:solidFill>
            <a:ln w="25400">
              <a:noFill/>
            </a:ln>
          </c:spPr>
          <c:invertIfNegative val="0"/>
          <c:dPt>
            <c:idx val="0"/>
            <c:invertIfNegative val="0"/>
            <c:bubble3D val="0"/>
            <c:spPr>
              <a:solidFill>
                <a:srgbClr val="5B9BD5"/>
              </a:solidFill>
              <a:ln w="25400">
                <a:noFill/>
              </a:ln>
            </c:spPr>
            <c:extLst>
              <c:ext xmlns:c16="http://schemas.microsoft.com/office/drawing/2014/chart" uri="{C3380CC4-5D6E-409C-BE32-E72D297353CC}">
                <c16:uniqueId val="{00000000-FF24-4FBB-95AB-C5AE09220718}"/>
              </c:ext>
            </c:extLst>
          </c:dPt>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'Solid waste report'!$J$449:$K$449</c:f>
              <c:strCache>
                <c:ptCount val="2"/>
                <c:pt idx="0">
                  <c:v>Expenditure R'000</c:v>
                </c:pt>
                <c:pt idx="1">
                  <c:v>Revenue R'000</c:v>
                </c:pt>
              </c:strCache>
            </c:strRef>
          </c:cat>
          <c:val>
            <c:numRef>
              <c:f>'Solid waste report'!$J$450:$K$450</c:f>
              <c:numCache>
                <c:formatCode>General</c:formatCode>
                <c:ptCount val="2"/>
                <c:pt idx="0" formatCode="_-* #\ ##0_-;\-* #\ ##0_-;_-* &quot;-&quot;??_-;_-@_-">
                  <c:v>0</c:v>
                </c:pt>
              </c:numCache>
            </c:numRef>
          </c:val>
          <c:extLst>
            <c:ext xmlns:c16="http://schemas.microsoft.com/office/drawing/2014/chart" uri="{C3380CC4-5D6E-409C-BE32-E72D297353CC}">
              <c16:uniqueId val="{00000001-FF24-4FBB-95AB-C5AE09220718}"/>
            </c:ext>
          </c:extLst>
        </c:ser>
        <c:ser>
          <c:idx val="1"/>
          <c:order val="1"/>
          <c:tx>
            <c:strRef>
              <c:f>'Solid waste report'!$I$451</c:f>
              <c:strCache>
                <c:ptCount val="1"/>
                <c:pt idx="0">
                  <c:v>Surplus</c:v>
                </c:pt>
              </c:strCache>
            </c:strRef>
          </c:tx>
          <c:spPr>
            <a:solidFill>
              <a:schemeClr val="accent5">
                <a:lumMod val="60000"/>
                <a:lumOff val="40000"/>
              </a:schemeClr>
            </a:solidFill>
            <a:ln>
              <a:noFill/>
            </a:ln>
            <a:effectLst/>
          </c:spPr>
          <c:invertIfNegative val="0"/>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'Solid waste report'!$J$449:$K$449</c:f>
              <c:strCache>
                <c:ptCount val="2"/>
                <c:pt idx="0">
                  <c:v>Expenditure R'000</c:v>
                </c:pt>
                <c:pt idx="1">
                  <c:v>Revenue R'000</c:v>
                </c:pt>
              </c:strCache>
            </c:strRef>
          </c:cat>
          <c:val>
            <c:numRef>
              <c:f>'Solid waste report'!$J$451:$K$451</c:f>
              <c:numCache>
                <c:formatCode>General</c:formatCode>
                <c:ptCount val="2"/>
                <c:pt idx="0" formatCode="_-* #\ ##0_-;\-* #\ ##0_-;_-* &quot;-&quot;??_-;_-@_-">
                  <c:v>0</c:v>
                </c:pt>
              </c:numCache>
            </c:numRef>
          </c:val>
          <c:extLst>
            <c:ext xmlns:c16="http://schemas.microsoft.com/office/drawing/2014/chart" uri="{C3380CC4-5D6E-409C-BE32-E72D297353CC}">
              <c16:uniqueId val="{00000002-FF24-4FBB-95AB-C5AE09220718}"/>
            </c:ext>
          </c:extLst>
        </c:ser>
        <c:ser>
          <c:idx val="2"/>
          <c:order val="2"/>
          <c:tx>
            <c:strRef>
              <c:f>'Solid waste report'!$I$452</c:f>
              <c:strCache>
                <c:ptCount val="1"/>
                <c:pt idx="0">
                  <c:v>Tariff revenue</c:v>
                </c:pt>
              </c:strCache>
            </c:strRef>
          </c:tx>
          <c:spPr>
            <a:solidFill>
              <a:srgbClr val="A5A5A5"/>
            </a:solidFill>
            <a:ln w="25400">
              <a:noFill/>
            </a:ln>
          </c:spPr>
          <c:invertIfNegative val="0"/>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'Solid waste report'!$J$449:$K$449</c:f>
              <c:strCache>
                <c:ptCount val="2"/>
                <c:pt idx="0">
                  <c:v>Expenditure R'000</c:v>
                </c:pt>
                <c:pt idx="1">
                  <c:v>Revenue R'000</c:v>
                </c:pt>
              </c:strCache>
            </c:strRef>
          </c:cat>
          <c:val>
            <c:numRef>
              <c:f>'Solid waste report'!$J$452:$K$452</c:f>
              <c:numCache>
                <c:formatCode>_-* #\ ##0_-;\-* #\ ##0_-;_-* "-"??_-;_-@_-</c:formatCode>
                <c:ptCount val="2"/>
                <c:pt idx="1">
                  <c:v>0</c:v>
                </c:pt>
              </c:numCache>
            </c:numRef>
          </c:val>
          <c:extLst>
            <c:ext xmlns:c16="http://schemas.microsoft.com/office/drawing/2014/chart" uri="{C3380CC4-5D6E-409C-BE32-E72D297353CC}">
              <c16:uniqueId val="{00000003-FF24-4FBB-95AB-C5AE09220718}"/>
            </c:ext>
          </c:extLst>
        </c:ser>
        <c:ser>
          <c:idx val="4"/>
          <c:order val="3"/>
          <c:tx>
            <c:strRef>
              <c:f>'Solid waste report'!$I$453</c:f>
              <c:strCache>
                <c:ptCount val="1"/>
                <c:pt idx="0">
                  <c:v>External grants &amp; subsidies</c:v>
                </c:pt>
              </c:strCache>
            </c:strRef>
          </c:tx>
          <c:spPr>
            <a:solidFill>
              <a:srgbClr val="5B9BD5"/>
            </a:solidFill>
            <a:ln w="25400">
              <a:noFill/>
            </a:ln>
          </c:spPr>
          <c:invertIfNegative val="0"/>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'Solid waste report'!$J$449:$K$449</c:f>
              <c:strCache>
                <c:ptCount val="2"/>
                <c:pt idx="0">
                  <c:v>Expenditure R'000</c:v>
                </c:pt>
                <c:pt idx="1">
                  <c:v>Revenue R'000</c:v>
                </c:pt>
              </c:strCache>
            </c:strRef>
          </c:cat>
          <c:val>
            <c:numRef>
              <c:f>'Solid waste report'!$J$453:$K$453</c:f>
              <c:numCache>
                <c:formatCode>_-* #\ ##0_-;\-* #\ ##0_-;_-* "-"??_-;_-@_-</c:formatCode>
                <c:ptCount val="2"/>
                <c:pt idx="1">
                  <c:v>0</c:v>
                </c:pt>
              </c:numCache>
            </c:numRef>
          </c:val>
          <c:extLst>
            <c:ext xmlns:c16="http://schemas.microsoft.com/office/drawing/2014/chart" uri="{C3380CC4-5D6E-409C-BE32-E72D297353CC}">
              <c16:uniqueId val="{00000004-FF24-4FBB-95AB-C5AE09220718}"/>
            </c:ext>
          </c:extLst>
        </c:ser>
        <c:ser>
          <c:idx val="5"/>
          <c:order val="4"/>
          <c:tx>
            <c:strRef>
              <c:f>'Solid waste report'!$I$454</c:f>
              <c:strCache>
                <c:ptCount val="1"/>
                <c:pt idx="0">
                  <c:v>Other non-tariff revenue</c:v>
                </c:pt>
              </c:strCache>
            </c:strRef>
          </c:tx>
          <c:spPr>
            <a:solidFill>
              <a:srgbClr val="A5A5A5"/>
            </a:solidFill>
            <a:ln w="25400">
              <a:noFill/>
            </a:ln>
          </c:spPr>
          <c:invertIfNegative val="0"/>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'Solid waste report'!$J$449:$K$449</c:f>
              <c:strCache>
                <c:ptCount val="2"/>
                <c:pt idx="0">
                  <c:v>Expenditure R'000</c:v>
                </c:pt>
                <c:pt idx="1">
                  <c:v>Revenue R'000</c:v>
                </c:pt>
              </c:strCache>
            </c:strRef>
          </c:cat>
          <c:val>
            <c:numRef>
              <c:f>'Solid waste report'!$J$454:$K$454</c:f>
              <c:numCache>
                <c:formatCode>_-* #\ ##0_-;\-* #\ ##0_-;_-* "-"??_-;_-@_-</c:formatCode>
                <c:ptCount val="2"/>
                <c:pt idx="1">
                  <c:v>0</c:v>
                </c:pt>
              </c:numCache>
            </c:numRef>
          </c:val>
          <c:extLst>
            <c:ext xmlns:c16="http://schemas.microsoft.com/office/drawing/2014/chart" uri="{C3380CC4-5D6E-409C-BE32-E72D297353CC}">
              <c16:uniqueId val="{00000005-FF24-4FBB-95AB-C5AE09220718}"/>
            </c:ext>
          </c:extLst>
        </c:ser>
        <c:ser>
          <c:idx val="3"/>
          <c:order val="5"/>
          <c:tx>
            <c:strRef>
              <c:f>'Solid waste report'!$I$455</c:f>
              <c:strCache>
                <c:ptCount val="1"/>
                <c:pt idx="0">
                  <c:v>Deficit</c:v>
                </c:pt>
              </c:strCache>
            </c:strRef>
          </c:tx>
          <c:spPr>
            <a:solidFill>
              <a:schemeClr val="accent3">
                <a:lumMod val="40000"/>
                <a:lumOff val="60000"/>
              </a:schemeClr>
            </a:solidFill>
            <a:ln>
              <a:noFill/>
            </a:ln>
            <a:effectLst/>
          </c:spPr>
          <c:invertIfNegative val="0"/>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'Solid waste report'!$J$449:$K$449</c:f>
              <c:strCache>
                <c:ptCount val="2"/>
                <c:pt idx="0">
                  <c:v>Expenditure R'000</c:v>
                </c:pt>
                <c:pt idx="1">
                  <c:v>Revenue R'000</c:v>
                </c:pt>
              </c:strCache>
            </c:strRef>
          </c:cat>
          <c:val>
            <c:numRef>
              <c:f>'Solid waste report'!$J$455:$K$455</c:f>
              <c:numCache>
                <c:formatCode>_-* #\ ##0_-;\-* #\ ##0_-;_-* "-"??_-;_-@_-</c:formatCode>
                <c:ptCount val="2"/>
                <c:pt idx="1">
                  <c:v>0</c:v>
                </c:pt>
              </c:numCache>
            </c:numRef>
          </c:val>
          <c:extLst>
            <c:ext xmlns:c16="http://schemas.microsoft.com/office/drawing/2014/chart" uri="{C3380CC4-5D6E-409C-BE32-E72D297353CC}">
              <c16:uniqueId val="{00000006-FF24-4FBB-95AB-C5AE09220718}"/>
            </c:ext>
          </c:extLst>
        </c:ser>
        <c:dLbls>
          <c:showLegendKey val="0"/>
          <c:showVal val="0"/>
          <c:showCatName val="0"/>
          <c:showSerName val="0"/>
          <c:showPercent val="0"/>
          <c:showBubbleSize val="0"/>
        </c:dLbls>
        <c:gapWidth val="25"/>
        <c:overlap val="100"/>
        <c:axId val="1399690159"/>
        <c:axId val="1"/>
      </c:barChart>
      <c:catAx>
        <c:axId val="1399690159"/>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0" vert="horz"/>
          <a:lstStyle/>
          <a:p>
            <a:pPr>
              <a:defRPr sz="1100" b="0" i="0" u="none" strike="noStrike" baseline="0">
                <a:solidFill>
                  <a:srgbClr val="000000"/>
                </a:solidFill>
                <a:latin typeface="Calibri"/>
                <a:ea typeface="Calibri"/>
                <a:cs typeface="Calibri"/>
              </a:defRPr>
            </a:pPr>
            <a:endParaRPr lang="en-US"/>
          </a:p>
        </c:txPr>
        <c:crossAx val="1"/>
        <c:crosses val="autoZero"/>
        <c:auto val="1"/>
        <c:lblAlgn val="ctr"/>
        <c:lblOffset val="100"/>
        <c:noMultiLvlLbl val="0"/>
      </c:catAx>
      <c:valAx>
        <c:axId val="1"/>
        <c:scaling>
          <c:orientation val="minMax"/>
        </c:scaling>
        <c:delete val="1"/>
        <c:axPos val="l"/>
        <c:majorGridlines>
          <c:spPr>
            <a:ln w="9525" cap="flat" cmpd="sng" algn="ctr">
              <a:solidFill>
                <a:schemeClr val="tx1">
                  <a:lumMod val="15000"/>
                  <a:lumOff val="85000"/>
                </a:schemeClr>
              </a:solidFill>
              <a:round/>
            </a:ln>
            <a:effectLst/>
          </c:spPr>
        </c:majorGridlines>
        <c:numFmt formatCode="_-* #\ ##0_-;\-* #\ ##0_-;_-* &quot;-&quot;??_-;_-@_-" sourceLinked="1"/>
        <c:majorTickMark val="out"/>
        <c:minorTickMark val="none"/>
        <c:tickLblPos val="nextTo"/>
        <c:crossAx val="1399690159"/>
        <c:crosses val="autoZero"/>
        <c:crossBetween val="between"/>
      </c:valAx>
    </c:plotArea>
    <c:legend>
      <c:legendPos val="r"/>
      <c:layout>
        <c:manualLayout>
          <c:xMode val="edge"/>
          <c:yMode val="edge"/>
          <c:x val="0.63060873861355571"/>
          <c:y val="0.18380651016753749"/>
          <c:w val="0.34824665740311866"/>
          <c:h val="0.71030326816624556"/>
        </c:manualLayout>
      </c:layout>
      <c:overlay val="0"/>
      <c:spPr>
        <a:noFill/>
        <a:ln w="25400">
          <a:noFill/>
        </a:ln>
      </c:spPr>
      <c:txPr>
        <a:bodyPr/>
        <a:lstStyle/>
        <a:p>
          <a:pPr>
            <a:defRPr sz="850" b="0" i="0" u="none" strike="noStrike" baseline="0">
              <a:solidFill>
                <a:srgbClr val="000000"/>
              </a:solidFill>
              <a:latin typeface="Calibri"/>
              <a:ea typeface="Calibri"/>
              <a:cs typeface="Calibri"/>
            </a:defRPr>
          </a:pPr>
          <a:endParaRPr lang="en-US"/>
        </a:p>
      </c:txPr>
    </c:legend>
    <c:plotVisOnly val="1"/>
    <c:dispBlanksAs val="gap"/>
    <c:showDLblsOverMax val="0"/>
  </c:chart>
  <c:spPr>
    <a:solidFill>
      <a:schemeClr val="bg1"/>
    </a:solidFill>
    <a:ln w="9525" cap="flat" cmpd="sng" algn="ctr">
      <a:noFill/>
      <a:round/>
    </a:ln>
    <a:effectLst/>
  </c:spPr>
  <c:txPr>
    <a:bodyPr/>
    <a:lstStyle/>
    <a:p>
      <a:pPr>
        <a:defRPr sz="1100" b="0" i="0" u="none" strike="noStrike" baseline="0">
          <a:solidFill>
            <a:srgbClr val="000000"/>
          </a:solidFill>
          <a:latin typeface="Calibri"/>
          <a:ea typeface="Calibri"/>
          <a:cs typeface="Calibri"/>
        </a:defRPr>
      </a:pPr>
      <a:endParaRPr lang="en-US"/>
    </a:p>
  </c:txPr>
  <c:printSettings>
    <c:headerFooter/>
    <c:pageMargins b="0.75" l="0.7" r="0.7" t="0.75" header="0.3" footer="0.3"/>
    <c:pageSetup orientation="portrait"/>
  </c:printSettings>
</c:chartSpace>
</file>

<file path=xl/charts/chart19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2.3871527777777776E-2"/>
          <c:y val="4.7786414907172239E-2"/>
          <c:w val="0.57559123468941387"/>
          <c:h val="0.83529592857692603"/>
        </c:manualLayout>
      </c:layout>
      <c:barChart>
        <c:barDir val="col"/>
        <c:grouping val="stacked"/>
        <c:varyColors val="0"/>
        <c:ser>
          <c:idx val="0"/>
          <c:order val="0"/>
          <c:tx>
            <c:strRef>
              <c:f>'Solid waste report'!$I$495</c:f>
              <c:strCache>
                <c:ptCount val="1"/>
                <c:pt idx="0">
                  <c:v>Fixed cost</c:v>
                </c:pt>
              </c:strCache>
            </c:strRef>
          </c:tx>
          <c:spPr>
            <a:solidFill>
              <a:srgbClr val="4472C4"/>
            </a:solidFill>
            <a:ln w="25400">
              <a:noFill/>
            </a:ln>
          </c:spPr>
          <c:invertIfNegative val="0"/>
          <c:dPt>
            <c:idx val="0"/>
            <c:invertIfNegative val="0"/>
            <c:bubble3D val="0"/>
            <c:spPr>
              <a:solidFill>
                <a:srgbClr val="5B9BD5"/>
              </a:solidFill>
              <a:ln w="25400">
                <a:noFill/>
              </a:ln>
            </c:spPr>
            <c:extLst>
              <c:ext xmlns:c16="http://schemas.microsoft.com/office/drawing/2014/chart" uri="{C3380CC4-5D6E-409C-BE32-E72D297353CC}">
                <c16:uniqueId val="{00000000-C504-4F0D-B1C2-9D6097103576}"/>
              </c:ext>
            </c:extLst>
          </c:dPt>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'Solid waste report'!$J$494:$K$494</c:f>
              <c:strCache>
                <c:ptCount val="2"/>
                <c:pt idx="0">
                  <c:v>Expenditure R'000</c:v>
                </c:pt>
                <c:pt idx="1">
                  <c:v>Revenue R'000</c:v>
                </c:pt>
              </c:strCache>
            </c:strRef>
          </c:cat>
          <c:val>
            <c:numRef>
              <c:f>'Solid waste report'!$J$495:$K$495</c:f>
              <c:numCache>
                <c:formatCode>General</c:formatCode>
                <c:ptCount val="2"/>
                <c:pt idx="0" formatCode="_-* #\ ##0_-;\-* #\ ##0_-;_-* &quot;-&quot;??_-;_-@_-">
                  <c:v>0</c:v>
                </c:pt>
              </c:numCache>
            </c:numRef>
          </c:val>
          <c:extLst>
            <c:ext xmlns:c16="http://schemas.microsoft.com/office/drawing/2014/chart" uri="{C3380CC4-5D6E-409C-BE32-E72D297353CC}">
              <c16:uniqueId val="{00000001-C504-4F0D-B1C2-9D6097103576}"/>
            </c:ext>
          </c:extLst>
        </c:ser>
        <c:ser>
          <c:idx val="1"/>
          <c:order val="1"/>
          <c:tx>
            <c:strRef>
              <c:f>'Solid waste report'!$I$496</c:f>
              <c:strCache>
                <c:ptCount val="1"/>
                <c:pt idx="0">
                  <c:v>Surplus</c:v>
                </c:pt>
              </c:strCache>
            </c:strRef>
          </c:tx>
          <c:spPr>
            <a:solidFill>
              <a:schemeClr val="accent5">
                <a:lumMod val="60000"/>
                <a:lumOff val="40000"/>
              </a:schemeClr>
            </a:solidFill>
            <a:ln>
              <a:noFill/>
            </a:ln>
            <a:effectLst/>
          </c:spPr>
          <c:invertIfNegative val="0"/>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'Solid waste report'!$J$494:$K$494</c:f>
              <c:strCache>
                <c:ptCount val="2"/>
                <c:pt idx="0">
                  <c:v>Expenditure R'000</c:v>
                </c:pt>
                <c:pt idx="1">
                  <c:v>Revenue R'000</c:v>
                </c:pt>
              </c:strCache>
            </c:strRef>
          </c:cat>
          <c:val>
            <c:numRef>
              <c:f>'Solid waste report'!$J$496:$K$496</c:f>
              <c:numCache>
                <c:formatCode>General</c:formatCode>
                <c:ptCount val="2"/>
                <c:pt idx="0" formatCode="_-* #\ ##0_-;\-* #\ ##0_-;_-* &quot;-&quot;??_-;_-@_-">
                  <c:v>0</c:v>
                </c:pt>
              </c:numCache>
            </c:numRef>
          </c:val>
          <c:extLst>
            <c:ext xmlns:c16="http://schemas.microsoft.com/office/drawing/2014/chart" uri="{C3380CC4-5D6E-409C-BE32-E72D297353CC}">
              <c16:uniqueId val="{00000002-C504-4F0D-B1C2-9D6097103576}"/>
            </c:ext>
          </c:extLst>
        </c:ser>
        <c:ser>
          <c:idx val="2"/>
          <c:order val="2"/>
          <c:tx>
            <c:strRef>
              <c:f>'Solid waste report'!$I$497</c:f>
              <c:strCache>
                <c:ptCount val="1"/>
                <c:pt idx="0">
                  <c:v>Tariff revenue</c:v>
                </c:pt>
              </c:strCache>
            </c:strRef>
          </c:tx>
          <c:spPr>
            <a:solidFill>
              <a:srgbClr val="A5A5A5"/>
            </a:solidFill>
            <a:ln w="25400">
              <a:noFill/>
            </a:ln>
          </c:spPr>
          <c:invertIfNegative val="0"/>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'Solid waste report'!$J$494:$K$494</c:f>
              <c:strCache>
                <c:ptCount val="2"/>
                <c:pt idx="0">
                  <c:v>Expenditure R'000</c:v>
                </c:pt>
                <c:pt idx="1">
                  <c:v>Revenue R'000</c:v>
                </c:pt>
              </c:strCache>
            </c:strRef>
          </c:cat>
          <c:val>
            <c:numRef>
              <c:f>'Solid waste report'!$J$497:$K$497</c:f>
              <c:numCache>
                <c:formatCode>_-* #\ ##0_-;\-* #\ ##0_-;_-* "-"??_-;_-@_-</c:formatCode>
                <c:ptCount val="2"/>
                <c:pt idx="1">
                  <c:v>0</c:v>
                </c:pt>
              </c:numCache>
            </c:numRef>
          </c:val>
          <c:extLst>
            <c:ext xmlns:c16="http://schemas.microsoft.com/office/drawing/2014/chart" uri="{C3380CC4-5D6E-409C-BE32-E72D297353CC}">
              <c16:uniqueId val="{00000003-C504-4F0D-B1C2-9D6097103576}"/>
            </c:ext>
          </c:extLst>
        </c:ser>
        <c:ser>
          <c:idx val="4"/>
          <c:order val="3"/>
          <c:tx>
            <c:strRef>
              <c:f>'Solid waste report'!$I$498</c:f>
              <c:strCache>
                <c:ptCount val="1"/>
                <c:pt idx="0">
                  <c:v>External grants &amp; subsidies</c:v>
                </c:pt>
              </c:strCache>
            </c:strRef>
          </c:tx>
          <c:spPr>
            <a:solidFill>
              <a:srgbClr val="5B9BD5"/>
            </a:solidFill>
            <a:ln w="25400">
              <a:noFill/>
            </a:ln>
          </c:spPr>
          <c:invertIfNegative val="0"/>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'Solid waste report'!$J$494:$K$494</c:f>
              <c:strCache>
                <c:ptCount val="2"/>
                <c:pt idx="0">
                  <c:v>Expenditure R'000</c:v>
                </c:pt>
                <c:pt idx="1">
                  <c:v>Revenue R'000</c:v>
                </c:pt>
              </c:strCache>
            </c:strRef>
          </c:cat>
          <c:val>
            <c:numRef>
              <c:f>'Solid waste report'!$J$498:$K$498</c:f>
              <c:numCache>
                <c:formatCode>_-* #\ ##0_-;\-* #\ ##0_-;_-* "-"??_-;_-@_-</c:formatCode>
                <c:ptCount val="2"/>
                <c:pt idx="1">
                  <c:v>0</c:v>
                </c:pt>
              </c:numCache>
            </c:numRef>
          </c:val>
          <c:extLst>
            <c:ext xmlns:c16="http://schemas.microsoft.com/office/drawing/2014/chart" uri="{C3380CC4-5D6E-409C-BE32-E72D297353CC}">
              <c16:uniqueId val="{00000004-C504-4F0D-B1C2-9D6097103576}"/>
            </c:ext>
          </c:extLst>
        </c:ser>
        <c:ser>
          <c:idx val="5"/>
          <c:order val="4"/>
          <c:tx>
            <c:strRef>
              <c:f>'Solid waste report'!$I$499</c:f>
              <c:strCache>
                <c:ptCount val="1"/>
                <c:pt idx="0">
                  <c:v>Other non-tariff revenue</c:v>
                </c:pt>
              </c:strCache>
            </c:strRef>
          </c:tx>
          <c:spPr>
            <a:solidFill>
              <a:srgbClr val="A5A5A5"/>
            </a:solidFill>
            <a:ln w="25400">
              <a:noFill/>
            </a:ln>
          </c:spPr>
          <c:invertIfNegative val="0"/>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'Solid waste report'!$J$494:$K$494</c:f>
              <c:strCache>
                <c:ptCount val="2"/>
                <c:pt idx="0">
                  <c:v>Expenditure R'000</c:v>
                </c:pt>
                <c:pt idx="1">
                  <c:v>Revenue R'000</c:v>
                </c:pt>
              </c:strCache>
            </c:strRef>
          </c:cat>
          <c:val>
            <c:numRef>
              <c:f>'Solid waste report'!$J$499:$K$499</c:f>
              <c:numCache>
                <c:formatCode>_-* #\ ##0_-;\-* #\ ##0_-;_-* "-"??_-;_-@_-</c:formatCode>
                <c:ptCount val="2"/>
                <c:pt idx="1">
                  <c:v>0</c:v>
                </c:pt>
              </c:numCache>
            </c:numRef>
          </c:val>
          <c:extLst>
            <c:ext xmlns:c16="http://schemas.microsoft.com/office/drawing/2014/chart" uri="{C3380CC4-5D6E-409C-BE32-E72D297353CC}">
              <c16:uniqueId val="{00000005-C504-4F0D-B1C2-9D6097103576}"/>
            </c:ext>
          </c:extLst>
        </c:ser>
        <c:ser>
          <c:idx val="3"/>
          <c:order val="5"/>
          <c:tx>
            <c:strRef>
              <c:f>'Solid waste report'!$I$500</c:f>
              <c:strCache>
                <c:ptCount val="1"/>
                <c:pt idx="0">
                  <c:v>Deficit</c:v>
                </c:pt>
              </c:strCache>
            </c:strRef>
          </c:tx>
          <c:spPr>
            <a:solidFill>
              <a:schemeClr val="accent3">
                <a:lumMod val="40000"/>
                <a:lumOff val="60000"/>
              </a:schemeClr>
            </a:solidFill>
            <a:ln>
              <a:noFill/>
            </a:ln>
            <a:effectLst/>
          </c:spPr>
          <c:invertIfNegative val="0"/>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'Solid waste report'!$J$494:$K$494</c:f>
              <c:strCache>
                <c:ptCount val="2"/>
                <c:pt idx="0">
                  <c:v>Expenditure R'000</c:v>
                </c:pt>
                <c:pt idx="1">
                  <c:v>Revenue R'000</c:v>
                </c:pt>
              </c:strCache>
            </c:strRef>
          </c:cat>
          <c:val>
            <c:numRef>
              <c:f>'Solid waste report'!$J$500:$K$500</c:f>
              <c:numCache>
                <c:formatCode>_-* #\ ##0_-;\-* #\ ##0_-;_-* "-"??_-;_-@_-</c:formatCode>
                <c:ptCount val="2"/>
                <c:pt idx="1">
                  <c:v>0</c:v>
                </c:pt>
              </c:numCache>
            </c:numRef>
          </c:val>
          <c:extLst>
            <c:ext xmlns:c16="http://schemas.microsoft.com/office/drawing/2014/chart" uri="{C3380CC4-5D6E-409C-BE32-E72D297353CC}">
              <c16:uniqueId val="{00000006-C504-4F0D-B1C2-9D6097103576}"/>
            </c:ext>
          </c:extLst>
        </c:ser>
        <c:dLbls>
          <c:showLegendKey val="0"/>
          <c:showVal val="0"/>
          <c:showCatName val="0"/>
          <c:showSerName val="0"/>
          <c:showPercent val="0"/>
          <c:showBubbleSize val="0"/>
        </c:dLbls>
        <c:gapWidth val="25"/>
        <c:overlap val="100"/>
        <c:axId val="1399685359"/>
        <c:axId val="1"/>
      </c:barChart>
      <c:catAx>
        <c:axId val="1399685359"/>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0" vert="horz"/>
          <a:lstStyle/>
          <a:p>
            <a:pPr>
              <a:defRPr sz="1100" b="0" i="0" u="none" strike="noStrike" baseline="0">
                <a:solidFill>
                  <a:srgbClr val="000000"/>
                </a:solidFill>
                <a:latin typeface="Calibri"/>
                <a:ea typeface="Calibri"/>
                <a:cs typeface="Calibri"/>
              </a:defRPr>
            </a:pPr>
            <a:endParaRPr lang="en-US"/>
          </a:p>
        </c:txPr>
        <c:crossAx val="1"/>
        <c:crosses val="autoZero"/>
        <c:auto val="1"/>
        <c:lblAlgn val="ctr"/>
        <c:lblOffset val="100"/>
        <c:noMultiLvlLbl val="0"/>
      </c:catAx>
      <c:valAx>
        <c:axId val="1"/>
        <c:scaling>
          <c:orientation val="minMax"/>
        </c:scaling>
        <c:delete val="1"/>
        <c:axPos val="l"/>
        <c:majorGridlines>
          <c:spPr>
            <a:ln w="9525" cap="flat" cmpd="sng" algn="ctr">
              <a:solidFill>
                <a:schemeClr val="tx1">
                  <a:lumMod val="15000"/>
                  <a:lumOff val="85000"/>
                </a:schemeClr>
              </a:solidFill>
              <a:round/>
            </a:ln>
            <a:effectLst/>
          </c:spPr>
        </c:majorGridlines>
        <c:numFmt formatCode="_-* #\ ##0_-;\-* #\ ##0_-;_-* &quot;-&quot;??_-;_-@_-" sourceLinked="1"/>
        <c:majorTickMark val="out"/>
        <c:minorTickMark val="none"/>
        <c:tickLblPos val="nextTo"/>
        <c:crossAx val="1399685359"/>
        <c:crosses val="autoZero"/>
        <c:crossBetween val="between"/>
      </c:valAx>
    </c:plotArea>
    <c:legend>
      <c:legendPos val="r"/>
      <c:layout>
        <c:manualLayout>
          <c:xMode val="edge"/>
          <c:yMode val="edge"/>
          <c:x val="0.63060873861355571"/>
          <c:y val="0.18380651016753749"/>
          <c:w val="0.34824665740311866"/>
          <c:h val="0.71030326816624556"/>
        </c:manualLayout>
      </c:layout>
      <c:overlay val="0"/>
      <c:spPr>
        <a:noFill/>
        <a:ln w="25400">
          <a:noFill/>
        </a:ln>
      </c:spPr>
      <c:txPr>
        <a:bodyPr/>
        <a:lstStyle/>
        <a:p>
          <a:pPr>
            <a:defRPr sz="850" b="0" i="0" u="none" strike="noStrike" baseline="0">
              <a:solidFill>
                <a:srgbClr val="000000"/>
              </a:solidFill>
              <a:latin typeface="Calibri"/>
              <a:ea typeface="Calibri"/>
              <a:cs typeface="Calibri"/>
            </a:defRPr>
          </a:pPr>
          <a:endParaRPr lang="en-US"/>
        </a:p>
      </c:txPr>
    </c:legend>
    <c:plotVisOnly val="1"/>
    <c:dispBlanksAs val="gap"/>
    <c:showDLblsOverMax val="0"/>
  </c:chart>
  <c:spPr>
    <a:solidFill>
      <a:schemeClr val="bg1"/>
    </a:solidFill>
    <a:ln w="9525" cap="flat" cmpd="sng" algn="ctr">
      <a:noFill/>
      <a:round/>
    </a:ln>
    <a:effectLst/>
  </c:spPr>
  <c:txPr>
    <a:bodyPr/>
    <a:lstStyle/>
    <a:p>
      <a:pPr>
        <a:defRPr sz="1100" b="0" i="0" u="none" strike="noStrike" baseline="0">
          <a:solidFill>
            <a:srgbClr val="000000"/>
          </a:solidFill>
          <a:latin typeface="Calibri"/>
          <a:ea typeface="Calibri"/>
          <a:cs typeface="Calibri"/>
        </a:defRPr>
      </a:pPr>
      <a:endParaRPr lang="en-US"/>
    </a:p>
  </c:txPr>
  <c:printSettings>
    <c:headerFooter/>
    <c:pageMargins b="0.75" l="0.7" r="0.7" t="0.75" header="0.3" footer="0.3"/>
    <c:pageSetup orientation="portrait"/>
  </c:printSettings>
</c:chartSpace>
</file>

<file path=xl/charts/chart19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2.3871527777777776E-2"/>
          <c:y val="4.7786414907172239E-2"/>
          <c:w val="0.57559123468941387"/>
          <c:h val="0.83529592857692603"/>
        </c:manualLayout>
      </c:layout>
      <c:barChart>
        <c:barDir val="col"/>
        <c:grouping val="stacked"/>
        <c:varyColors val="0"/>
        <c:ser>
          <c:idx val="0"/>
          <c:order val="0"/>
          <c:tx>
            <c:strRef>
              <c:f>'Solid waste report'!$I$541</c:f>
              <c:strCache>
                <c:ptCount val="1"/>
                <c:pt idx="0">
                  <c:v>Fixed cost</c:v>
                </c:pt>
              </c:strCache>
            </c:strRef>
          </c:tx>
          <c:spPr>
            <a:solidFill>
              <a:srgbClr val="4472C4"/>
            </a:solidFill>
            <a:ln w="25400">
              <a:noFill/>
            </a:ln>
          </c:spPr>
          <c:invertIfNegative val="0"/>
          <c:dPt>
            <c:idx val="0"/>
            <c:invertIfNegative val="0"/>
            <c:bubble3D val="0"/>
            <c:spPr>
              <a:solidFill>
                <a:srgbClr val="5B9BD5"/>
              </a:solidFill>
              <a:ln w="25400">
                <a:noFill/>
              </a:ln>
            </c:spPr>
            <c:extLst>
              <c:ext xmlns:c16="http://schemas.microsoft.com/office/drawing/2014/chart" uri="{C3380CC4-5D6E-409C-BE32-E72D297353CC}">
                <c16:uniqueId val="{00000000-C692-4F3B-9058-709BA6425CA4}"/>
              </c:ext>
            </c:extLst>
          </c:dPt>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'Solid waste report'!$J$540:$K$540</c:f>
              <c:strCache>
                <c:ptCount val="2"/>
                <c:pt idx="0">
                  <c:v>Expenditure R'000</c:v>
                </c:pt>
                <c:pt idx="1">
                  <c:v>Revenue R'000</c:v>
                </c:pt>
              </c:strCache>
            </c:strRef>
          </c:cat>
          <c:val>
            <c:numRef>
              <c:f>'Solid waste report'!$J$541:$K$541</c:f>
              <c:numCache>
                <c:formatCode>General</c:formatCode>
                <c:ptCount val="2"/>
                <c:pt idx="0" formatCode="_-* #\ ##0_-;\-* #\ ##0_-;_-* &quot;-&quot;??_-;_-@_-">
                  <c:v>0</c:v>
                </c:pt>
              </c:numCache>
            </c:numRef>
          </c:val>
          <c:extLst>
            <c:ext xmlns:c16="http://schemas.microsoft.com/office/drawing/2014/chart" uri="{C3380CC4-5D6E-409C-BE32-E72D297353CC}">
              <c16:uniqueId val="{00000001-C692-4F3B-9058-709BA6425CA4}"/>
            </c:ext>
          </c:extLst>
        </c:ser>
        <c:ser>
          <c:idx val="1"/>
          <c:order val="1"/>
          <c:tx>
            <c:strRef>
              <c:f>'Solid waste report'!$I$542</c:f>
              <c:strCache>
                <c:ptCount val="1"/>
                <c:pt idx="0">
                  <c:v>Surplus</c:v>
                </c:pt>
              </c:strCache>
            </c:strRef>
          </c:tx>
          <c:spPr>
            <a:solidFill>
              <a:schemeClr val="accent5">
                <a:lumMod val="60000"/>
                <a:lumOff val="40000"/>
              </a:schemeClr>
            </a:solidFill>
            <a:ln>
              <a:noFill/>
            </a:ln>
            <a:effectLst/>
          </c:spPr>
          <c:invertIfNegative val="0"/>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'Solid waste report'!$J$540:$K$540</c:f>
              <c:strCache>
                <c:ptCount val="2"/>
                <c:pt idx="0">
                  <c:v>Expenditure R'000</c:v>
                </c:pt>
                <c:pt idx="1">
                  <c:v>Revenue R'000</c:v>
                </c:pt>
              </c:strCache>
            </c:strRef>
          </c:cat>
          <c:val>
            <c:numRef>
              <c:f>'Solid waste report'!$J$542:$K$542</c:f>
              <c:numCache>
                <c:formatCode>General</c:formatCode>
                <c:ptCount val="2"/>
                <c:pt idx="0" formatCode="_-* #\ ##0_-;\-* #\ ##0_-;_-* &quot;-&quot;??_-;_-@_-">
                  <c:v>0</c:v>
                </c:pt>
              </c:numCache>
            </c:numRef>
          </c:val>
          <c:extLst>
            <c:ext xmlns:c16="http://schemas.microsoft.com/office/drawing/2014/chart" uri="{C3380CC4-5D6E-409C-BE32-E72D297353CC}">
              <c16:uniqueId val="{00000002-C692-4F3B-9058-709BA6425CA4}"/>
            </c:ext>
          </c:extLst>
        </c:ser>
        <c:ser>
          <c:idx val="2"/>
          <c:order val="2"/>
          <c:tx>
            <c:strRef>
              <c:f>'Solid waste report'!$I$543</c:f>
              <c:strCache>
                <c:ptCount val="1"/>
                <c:pt idx="0">
                  <c:v>Tariff revenue</c:v>
                </c:pt>
              </c:strCache>
            </c:strRef>
          </c:tx>
          <c:spPr>
            <a:solidFill>
              <a:srgbClr val="A5A5A5"/>
            </a:solidFill>
            <a:ln w="25400">
              <a:noFill/>
            </a:ln>
          </c:spPr>
          <c:invertIfNegative val="0"/>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'Solid waste report'!$J$540:$K$540</c:f>
              <c:strCache>
                <c:ptCount val="2"/>
                <c:pt idx="0">
                  <c:v>Expenditure R'000</c:v>
                </c:pt>
                <c:pt idx="1">
                  <c:v>Revenue R'000</c:v>
                </c:pt>
              </c:strCache>
            </c:strRef>
          </c:cat>
          <c:val>
            <c:numRef>
              <c:f>'Solid waste report'!$J$543:$K$543</c:f>
              <c:numCache>
                <c:formatCode>_-* #\ ##0_-;\-* #\ ##0_-;_-* "-"??_-;_-@_-</c:formatCode>
                <c:ptCount val="2"/>
                <c:pt idx="1">
                  <c:v>0</c:v>
                </c:pt>
              </c:numCache>
            </c:numRef>
          </c:val>
          <c:extLst>
            <c:ext xmlns:c16="http://schemas.microsoft.com/office/drawing/2014/chart" uri="{C3380CC4-5D6E-409C-BE32-E72D297353CC}">
              <c16:uniqueId val="{00000003-C692-4F3B-9058-709BA6425CA4}"/>
            </c:ext>
          </c:extLst>
        </c:ser>
        <c:ser>
          <c:idx val="4"/>
          <c:order val="3"/>
          <c:tx>
            <c:strRef>
              <c:f>'Solid waste report'!$I$544</c:f>
              <c:strCache>
                <c:ptCount val="1"/>
                <c:pt idx="0">
                  <c:v>External grants &amp; subsidies</c:v>
                </c:pt>
              </c:strCache>
            </c:strRef>
          </c:tx>
          <c:spPr>
            <a:solidFill>
              <a:srgbClr val="5B9BD5"/>
            </a:solidFill>
            <a:ln w="25400">
              <a:noFill/>
            </a:ln>
          </c:spPr>
          <c:invertIfNegative val="0"/>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'Solid waste report'!$J$540:$K$540</c:f>
              <c:strCache>
                <c:ptCount val="2"/>
                <c:pt idx="0">
                  <c:v>Expenditure R'000</c:v>
                </c:pt>
                <c:pt idx="1">
                  <c:v>Revenue R'000</c:v>
                </c:pt>
              </c:strCache>
            </c:strRef>
          </c:cat>
          <c:val>
            <c:numRef>
              <c:f>'Solid waste report'!$J$544:$K$544</c:f>
              <c:numCache>
                <c:formatCode>_-* #\ ##0_-;\-* #\ ##0_-;_-* "-"??_-;_-@_-</c:formatCode>
                <c:ptCount val="2"/>
                <c:pt idx="1">
                  <c:v>0</c:v>
                </c:pt>
              </c:numCache>
            </c:numRef>
          </c:val>
          <c:extLst>
            <c:ext xmlns:c16="http://schemas.microsoft.com/office/drawing/2014/chart" uri="{C3380CC4-5D6E-409C-BE32-E72D297353CC}">
              <c16:uniqueId val="{00000004-C692-4F3B-9058-709BA6425CA4}"/>
            </c:ext>
          </c:extLst>
        </c:ser>
        <c:ser>
          <c:idx val="5"/>
          <c:order val="4"/>
          <c:tx>
            <c:strRef>
              <c:f>'Solid waste report'!$I$545</c:f>
              <c:strCache>
                <c:ptCount val="1"/>
                <c:pt idx="0">
                  <c:v>Other non-tariff revenue</c:v>
                </c:pt>
              </c:strCache>
            </c:strRef>
          </c:tx>
          <c:spPr>
            <a:solidFill>
              <a:srgbClr val="A5A5A5"/>
            </a:solidFill>
            <a:ln w="25400">
              <a:noFill/>
            </a:ln>
          </c:spPr>
          <c:invertIfNegative val="0"/>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'Solid waste report'!$J$540:$K$540</c:f>
              <c:strCache>
                <c:ptCount val="2"/>
                <c:pt idx="0">
                  <c:v>Expenditure R'000</c:v>
                </c:pt>
                <c:pt idx="1">
                  <c:v>Revenue R'000</c:v>
                </c:pt>
              </c:strCache>
            </c:strRef>
          </c:cat>
          <c:val>
            <c:numRef>
              <c:f>'Solid waste report'!$J$545:$K$545</c:f>
              <c:numCache>
                <c:formatCode>_-* #\ ##0_-;\-* #\ ##0_-;_-* "-"??_-;_-@_-</c:formatCode>
                <c:ptCount val="2"/>
                <c:pt idx="1">
                  <c:v>0</c:v>
                </c:pt>
              </c:numCache>
            </c:numRef>
          </c:val>
          <c:extLst>
            <c:ext xmlns:c16="http://schemas.microsoft.com/office/drawing/2014/chart" uri="{C3380CC4-5D6E-409C-BE32-E72D297353CC}">
              <c16:uniqueId val="{00000005-C692-4F3B-9058-709BA6425CA4}"/>
            </c:ext>
          </c:extLst>
        </c:ser>
        <c:ser>
          <c:idx val="3"/>
          <c:order val="5"/>
          <c:tx>
            <c:strRef>
              <c:f>'Solid waste report'!$I$546</c:f>
              <c:strCache>
                <c:ptCount val="1"/>
                <c:pt idx="0">
                  <c:v>Deficit</c:v>
                </c:pt>
              </c:strCache>
            </c:strRef>
          </c:tx>
          <c:spPr>
            <a:solidFill>
              <a:schemeClr val="accent3">
                <a:lumMod val="40000"/>
                <a:lumOff val="60000"/>
              </a:schemeClr>
            </a:solidFill>
            <a:ln>
              <a:noFill/>
            </a:ln>
            <a:effectLst/>
          </c:spPr>
          <c:invertIfNegative val="0"/>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'Solid waste report'!$J$540:$K$540</c:f>
              <c:strCache>
                <c:ptCount val="2"/>
                <c:pt idx="0">
                  <c:v>Expenditure R'000</c:v>
                </c:pt>
                <c:pt idx="1">
                  <c:v>Revenue R'000</c:v>
                </c:pt>
              </c:strCache>
            </c:strRef>
          </c:cat>
          <c:val>
            <c:numRef>
              <c:f>'Solid waste report'!$J$546:$K$546</c:f>
              <c:numCache>
                <c:formatCode>_-* #\ ##0_-;\-* #\ ##0_-;_-* "-"??_-;_-@_-</c:formatCode>
                <c:ptCount val="2"/>
                <c:pt idx="1">
                  <c:v>0</c:v>
                </c:pt>
              </c:numCache>
            </c:numRef>
          </c:val>
          <c:extLst>
            <c:ext xmlns:c16="http://schemas.microsoft.com/office/drawing/2014/chart" uri="{C3380CC4-5D6E-409C-BE32-E72D297353CC}">
              <c16:uniqueId val="{00000006-C692-4F3B-9058-709BA6425CA4}"/>
            </c:ext>
          </c:extLst>
        </c:ser>
        <c:dLbls>
          <c:showLegendKey val="0"/>
          <c:showVal val="0"/>
          <c:showCatName val="0"/>
          <c:showSerName val="0"/>
          <c:showPercent val="0"/>
          <c:showBubbleSize val="0"/>
        </c:dLbls>
        <c:gapWidth val="25"/>
        <c:overlap val="100"/>
        <c:axId val="1399726639"/>
        <c:axId val="1"/>
      </c:barChart>
      <c:catAx>
        <c:axId val="1399726639"/>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0" vert="horz"/>
          <a:lstStyle/>
          <a:p>
            <a:pPr>
              <a:defRPr sz="1100" b="0" i="0" u="none" strike="noStrike" baseline="0">
                <a:solidFill>
                  <a:srgbClr val="000000"/>
                </a:solidFill>
                <a:latin typeface="Calibri"/>
                <a:ea typeface="Calibri"/>
                <a:cs typeface="Calibri"/>
              </a:defRPr>
            </a:pPr>
            <a:endParaRPr lang="en-US"/>
          </a:p>
        </c:txPr>
        <c:crossAx val="1"/>
        <c:crosses val="autoZero"/>
        <c:auto val="1"/>
        <c:lblAlgn val="ctr"/>
        <c:lblOffset val="100"/>
        <c:noMultiLvlLbl val="0"/>
      </c:catAx>
      <c:valAx>
        <c:axId val="1"/>
        <c:scaling>
          <c:orientation val="minMax"/>
        </c:scaling>
        <c:delete val="1"/>
        <c:axPos val="l"/>
        <c:majorGridlines>
          <c:spPr>
            <a:ln w="9525" cap="flat" cmpd="sng" algn="ctr">
              <a:solidFill>
                <a:schemeClr val="tx1">
                  <a:lumMod val="15000"/>
                  <a:lumOff val="85000"/>
                </a:schemeClr>
              </a:solidFill>
              <a:round/>
            </a:ln>
            <a:effectLst/>
          </c:spPr>
        </c:majorGridlines>
        <c:numFmt formatCode="_-* #\ ##0_-;\-* #\ ##0_-;_-* &quot;-&quot;??_-;_-@_-" sourceLinked="1"/>
        <c:majorTickMark val="out"/>
        <c:minorTickMark val="none"/>
        <c:tickLblPos val="nextTo"/>
        <c:crossAx val="1399726639"/>
        <c:crosses val="autoZero"/>
        <c:crossBetween val="between"/>
      </c:valAx>
    </c:plotArea>
    <c:legend>
      <c:legendPos val="r"/>
      <c:layout>
        <c:manualLayout>
          <c:xMode val="edge"/>
          <c:yMode val="edge"/>
          <c:x val="0.63060873861355571"/>
          <c:y val="0.18380651016753749"/>
          <c:w val="0.34824665740311866"/>
          <c:h val="0.71030326816624556"/>
        </c:manualLayout>
      </c:layout>
      <c:overlay val="0"/>
      <c:spPr>
        <a:noFill/>
        <a:ln w="25400">
          <a:noFill/>
        </a:ln>
      </c:spPr>
      <c:txPr>
        <a:bodyPr/>
        <a:lstStyle/>
        <a:p>
          <a:pPr>
            <a:defRPr sz="850" b="0" i="0" u="none" strike="noStrike" baseline="0">
              <a:solidFill>
                <a:srgbClr val="000000"/>
              </a:solidFill>
              <a:latin typeface="Calibri"/>
              <a:ea typeface="Calibri"/>
              <a:cs typeface="Calibri"/>
            </a:defRPr>
          </a:pPr>
          <a:endParaRPr lang="en-US"/>
        </a:p>
      </c:txPr>
    </c:legend>
    <c:plotVisOnly val="1"/>
    <c:dispBlanksAs val="gap"/>
    <c:showDLblsOverMax val="0"/>
  </c:chart>
  <c:spPr>
    <a:solidFill>
      <a:schemeClr val="bg1"/>
    </a:solidFill>
    <a:ln w="9525" cap="flat" cmpd="sng" algn="ctr">
      <a:noFill/>
      <a:round/>
    </a:ln>
    <a:effectLst/>
  </c:spPr>
  <c:txPr>
    <a:bodyPr/>
    <a:lstStyle/>
    <a:p>
      <a:pPr>
        <a:defRPr sz="1100" b="0" i="0" u="none" strike="noStrike" baseline="0">
          <a:solidFill>
            <a:srgbClr val="000000"/>
          </a:solidFill>
          <a:latin typeface="Calibri"/>
          <a:ea typeface="Calibri"/>
          <a:cs typeface="Calibri"/>
        </a:defRPr>
      </a:pPr>
      <a:endParaRPr lang="en-US"/>
    </a:p>
  </c:txPr>
  <c:printSettings>
    <c:headerFooter/>
    <c:pageMargins b="0.75" l="0.7" r="0.7" t="0.75" header="0.3" footer="0.3"/>
    <c:pageSetup orientation="portrait"/>
  </c:printSettings>
</c:chartSpace>
</file>

<file path=xl/charts/chart19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2.3871527777777776E-2"/>
          <c:y val="4.7786414907172239E-2"/>
          <c:w val="0.57559123468941387"/>
          <c:h val="0.83529592857692603"/>
        </c:manualLayout>
      </c:layout>
      <c:barChart>
        <c:barDir val="col"/>
        <c:grouping val="stacked"/>
        <c:varyColors val="0"/>
        <c:ser>
          <c:idx val="0"/>
          <c:order val="0"/>
          <c:tx>
            <c:strRef>
              <c:f>'Solid waste report'!$I$588</c:f>
              <c:strCache>
                <c:ptCount val="1"/>
                <c:pt idx="0">
                  <c:v>Fixed cost</c:v>
                </c:pt>
              </c:strCache>
            </c:strRef>
          </c:tx>
          <c:spPr>
            <a:solidFill>
              <a:srgbClr val="4472C4"/>
            </a:solidFill>
            <a:ln w="25400">
              <a:noFill/>
            </a:ln>
          </c:spPr>
          <c:invertIfNegative val="0"/>
          <c:dPt>
            <c:idx val="0"/>
            <c:invertIfNegative val="0"/>
            <c:bubble3D val="0"/>
            <c:spPr>
              <a:solidFill>
                <a:srgbClr val="5B9BD5"/>
              </a:solidFill>
              <a:ln w="25400">
                <a:noFill/>
              </a:ln>
            </c:spPr>
            <c:extLst>
              <c:ext xmlns:c16="http://schemas.microsoft.com/office/drawing/2014/chart" uri="{C3380CC4-5D6E-409C-BE32-E72D297353CC}">
                <c16:uniqueId val="{00000000-3C8A-47CD-B85D-74BF4733EA59}"/>
              </c:ext>
            </c:extLst>
          </c:dPt>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'Solid waste report'!$J$587:$K$587</c:f>
              <c:strCache>
                <c:ptCount val="2"/>
                <c:pt idx="0">
                  <c:v>Expenditure R'000</c:v>
                </c:pt>
                <c:pt idx="1">
                  <c:v>Revenue R'000</c:v>
                </c:pt>
              </c:strCache>
            </c:strRef>
          </c:cat>
          <c:val>
            <c:numRef>
              <c:f>'Solid waste report'!$J$588:$K$588</c:f>
              <c:numCache>
                <c:formatCode>General</c:formatCode>
                <c:ptCount val="2"/>
                <c:pt idx="0" formatCode="_-* #\ ##0_-;\-* #\ ##0_-;_-* &quot;-&quot;??_-;_-@_-">
                  <c:v>0</c:v>
                </c:pt>
              </c:numCache>
            </c:numRef>
          </c:val>
          <c:extLst>
            <c:ext xmlns:c16="http://schemas.microsoft.com/office/drawing/2014/chart" uri="{C3380CC4-5D6E-409C-BE32-E72D297353CC}">
              <c16:uniqueId val="{00000001-3C8A-47CD-B85D-74BF4733EA59}"/>
            </c:ext>
          </c:extLst>
        </c:ser>
        <c:ser>
          <c:idx val="1"/>
          <c:order val="1"/>
          <c:tx>
            <c:strRef>
              <c:f>'Solid waste report'!$I$589</c:f>
              <c:strCache>
                <c:ptCount val="1"/>
                <c:pt idx="0">
                  <c:v>Surplus</c:v>
                </c:pt>
              </c:strCache>
            </c:strRef>
          </c:tx>
          <c:spPr>
            <a:solidFill>
              <a:schemeClr val="accent5">
                <a:lumMod val="60000"/>
                <a:lumOff val="40000"/>
              </a:schemeClr>
            </a:solidFill>
            <a:ln>
              <a:noFill/>
            </a:ln>
            <a:effectLst/>
          </c:spPr>
          <c:invertIfNegative val="0"/>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'Solid waste report'!$J$587:$K$587</c:f>
              <c:strCache>
                <c:ptCount val="2"/>
                <c:pt idx="0">
                  <c:v>Expenditure R'000</c:v>
                </c:pt>
                <c:pt idx="1">
                  <c:v>Revenue R'000</c:v>
                </c:pt>
              </c:strCache>
            </c:strRef>
          </c:cat>
          <c:val>
            <c:numRef>
              <c:f>'Solid waste report'!$J$589:$K$589</c:f>
              <c:numCache>
                <c:formatCode>General</c:formatCode>
                <c:ptCount val="2"/>
                <c:pt idx="0" formatCode="_-* #\ ##0_-;\-* #\ ##0_-;_-* &quot;-&quot;??_-;_-@_-">
                  <c:v>0</c:v>
                </c:pt>
              </c:numCache>
            </c:numRef>
          </c:val>
          <c:extLst>
            <c:ext xmlns:c16="http://schemas.microsoft.com/office/drawing/2014/chart" uri="{C3380CC4-5D6E-409C-BE32-E72D297353CC}">
              <c16:uniqueId val="{00000002-3C8A-47CD-B85D-74BF4733EA59}"/>
            </c:ext>
          </c:extLst>
        </c:ser>
        <c:ser>
          <c:idx val="2"/>
          <c:order val="2"/>
          <c:tx>
            <c:strRef>
              <c:f>'Solid waste report'!$I$590</c:f>
              <c:strCache>
                <c:ptCount val="1"/>
                <c:pt idx="0">
                  <c:v>Tariff revenue</c:v>
                </c:pt>
              </c:strCache>
            </c:strRef>
          </c:tx>
          <c:spPr>
            <a:solidFill>
              <a:srgbClr val="A5A5A5"/>
            </a:solidFill>
            <a:ln w="25400">
              <a:noFill/>
            </a:ln>
          </c:spPr>
          <c:invertIfNegative val="0"/>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'Solid waste report'!$J$587:$K$587</c:f>
              <c:strCache>
                <c:ptCount val="2"/>
                <c:pt idx="0">
                  <c:v>Expenditure R'000</c:v>
                </c:pt>
                <c:pt idx="1">
                  <c:v>Revenue R'000</c:v>
                </c:pt>
              </c:strCache>
            </c:strRef>
          </c:cat>
          <c:val>
            <c:numRef>
              <c:f>'Solid waste report'!$J$590:$K$590</c:f>
              <c:numCache>
                <c:formatCode>_-* #\ ##0_-;\-* #\ ##0_-;_-* "-"??_-;_-@_-</c:formatCode>
                <c:ptCount val="2"/>
                <c:pt idx="1">
                  <c:v>0</c:v>
                </c:pt>
              </c:numCache>
            </c:numRef>
          </c:val>
          <c:extLst>
            <c:ext xmlns:c16="http://schemas.microsoft.com/office/drawing/2014/chart" uri="{C3380CC4-5D6E-409C-BE32-E72D297353CC}">
              <c16:uniqueId val="{00000003-3C8A-47CD-B85D-74BF4733EA59}"/>
            </c:ext>
          </c:extLst>
        </c:ser>
        <c:ser>
          <c:idx val="4"/>
          <c:order val="3"/>
          <c:tx>
            <c:strRef>
              <c:f>'Solid waste report'!$I$591</c:f>
              <c:strCache>
                <c:ptCount val="1"/>
                <c:pt idx="0">
                  <c:v>External grants &amp; subsidies</c:v>
                </c:pt>
              </c:strCache>
            </c:strRef>
          </c:tx>
          <c:spPr>
            <a:solidFill>
              <a:srgbClr val="5B9BD5"/>
            </a:solidFill>
            <a:ln w="25400">
              <a:noFill/>
            </a:ln>
          </c:spPr>
          <c:invertIfNegative val="0"/>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'Solid waste report'!$J$587:$K$587</c:f>
              <c:strCache>
                <c:ptCount val="2"/>
                <c:pt idx="0">
                  <c:v>Expenditure R'000</c:v>
                </c:pt>
                <c:pt idx="1">
                  <c:v>Revenue R'000</c:v>
                </c:pt>
              </c:strCache>
            </c:strRef>
          </c:cat>
          <c:val>
            <c:numRef>
              <c:f>'Solid waste report'!$J$591:$K$591</c:f>
              <c:numCache>
                <c:formatCode>_-* #\ ##0_-;\-* #\ ##0_-;_-* "-"??_-;_-@_-</c:formatCode>
                <c:ptCount val="2"/>
                <c:pt idx="1">
                  <c:v>0</c:v>
                </c:pt>
              </c:numCache>
            </c:numRef>
          </c:val>
          <c:extLst>
            <c:ext xmlns:c16="http://schemas.microsoft.com/office/drawing/2014/chart" uri="{C3380CC4-5D6E-409C-BE32-E72D297353CC}">
              <c16:uniqueId val="{00000004-3C8A-47CD-B85D-74BF4733EA59}"/>
            </c:ext>
          </c:extLst>
        </c:ser>
        <c:ser>
          <c:idx val="5"/>
          <c:order val="4"/>
          <c:tx>
            <c:strRef>
              <c:f>'Solid waste report'!$I$592</c:f>
              <c:strCache>
                <c:ptCount val="1"/>
                <c:pt idx="0">
                  <c:v>Other non-tariff revenue</c:v>
                </c:pt>
              </c:strCache>
            </c:strRef>
          </c:tx>
          <c:spPr>
            <a:solidFill>
              <a:srgbClr val="A5A5A5"/>
            </a:solidFill>
            <a:ln w="25400">
              <a:noFill/>
            </a:ln>
          </c:spPr>
          <c:invertIfNegative val="0"/>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'Solid waste report'!$J$587:$K$587</c:f>
              <c:strCache>
                <c:ptCount val="2"/>
                <c:pt idx="0">
                  <c:v>Expenditure R'000</c:v>
                </c:pt>
                <c:pt idx="1">
                  <c:v>Revenue R'000</c:v>
                </c:pt>
              </c:strCache>
            </c:strRef>
          </c:cat>
          <c:val>
            <c:numRef>
              <c:f>'Solid waste report'!$J$592:$K$592</c:f>
              <c:numCache>
                <c:formatCode>_-* #\ ##0_-;\-* #\ ##0_-;_-* "-"??_-;_-@_-</c:formatCode>
                <c:ptCount val="2"/>
                <c:pt idx="1">
                  <c:v>0</c:v>
                </c:pt>
              </c:numCache>
            </c:numRef>
          </c:val>
          <c:extLst>
            <c:ext xmlns:c16="http://schemas.microsoft.com/office/drawing/2014/chart" uri="{C3380CC4-5D6E-409C-BE32-E72D297353CC}">
              <c16:uniqueId val="{00000005-3C8A-47CD-B85D-74BF4733EA59}"/>
            </c:ext>
          </c:extLst>
        </c:ser>
        <c:ser>
          <c:idx val="3"/>
          <c:order val="5"/>
          <c:tx>
            <c:strRef>
              <c:f>'Solid waste report'!$I$593</c:f>
              <c:strCache>
                <c:ptCount val="1"/>
                <c:pt idx="0">
                  <c:v>Deficit</c:v>
                </c:pt>
              </c:strCache>
            </c:strRef>
          </c:tx>
          <c:spPr>
            <a:solidFill>
              <a:schemeClr val="accent3">
                <a:lumMod val="40000"/>
                <a:lumOff val="60000"/>
              </a:schemeClr>
            </a:solidFill>
            <a:ln>
              <a:noFill/>
            </a:ln>
            <a:effectLst/>
          </c:spPr>
          <c:invertIfNegative val="0"/>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'Solid waste report'!$J$587:$K$587</c:f>
              <c:strCache>
                <c:ptCount val="2"/>
                <c:pt idx="0">
                  <c:v>Expenditure R'000</c:v>
                </c:pt>
                <c:pt idx="1">
                  <c:v>Revenue R'000</c:v>
                </c:pt>
              </c:strCache>
            </c:strRef>
          </c:cat>
          <c:val>
            <c:numRef>
              <c:f>'Solid waste report'!$J$593:$K$593</c:f>
              <c:numCache>
                <c:formatCode>_-* #\ ##0_-;\-* #\ ##0_-;_-* "-"??_-;_-@_-</c:formatCode>
                <c:ptCount val="2"/>
                <c:pt idx="1">
                  <c:v>0</c:v>
                </c:pt>
              </c:numCache>
            </c:numRef>
          </c:val>
          <c:extLst>
            <c:ext xmlns:c16="http://schemas.microsoft.com/office/drawing/2014/chart" uri="{C3380CC4-5D6E-409C-BE32-E72D297353CC}">
              <c16:uniqueId val="{00000006-3C8A-47CD-B85D-74BF4733EA59}"/>
            </c:ext>
          </c:extLst>
        </c:ser>
        <c:dLbls>
          <c:showLegendKey val="0"/>
          <c:showVal val="0"/>
          <c:showCatName val="0"/>
          <c:showSerName val="0"/>
          <c:showPercent val="0"/>
          <c:showBubbleSize val="0"/>
        </c:dLbls>
        <c:gapWidth val="25"/>
        <c:overlap val="100"/>
        <c:axId val="1399730479"/>
        <c:axId val="1"/>
      </c:barChart>
      <c:catAx>
        <c:axId val="1399730479"/>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0" vert="horz"/>
          <a:lstStyle/>
          <a:p>
            <a:pPr>
              <a:defRPr sz="1100" b="0" i="0" u="none" strike="noStrike" baseline="0">
                <a:solidFill>
                  <a:srgbClr val="000000"/>
                </a:solidFill>
                <a:latin typeface="Calibri"/>
                <a:ea typeface="Calibri"/>
                <a:cs typeface="Calibri"/>
              </a:defRPr>
            </a:pPr>
            <a:endParaRPr lang="en-US"/>
          </a:p>
        </c:txPr>
        <c:crossAx val="1"/>
        <c:crosses val="autoZero"/>
        <c:auto val="1"/>
        <c:lblAlgn val="ctr"/>
        <c:lblOffset val="100"/>
        <c:noMultiLvlLbl val="0"/>
      </c:catAx>
      <c:valAx>
        <c:axId val="1"/>
        <c:scaling>
          <c:orientation val="minMax"/>
        </c:scaling>
        <c:delete val="1"/>
        <c:axPos val="l"/>
        <c:majorGridlines>
          <c:spPr>
            <a:ln w="9525" cap="flat" cmpd="sng" algn="ctr">
              <a:solidFill>
                <a:schemeClr val="tx1">
                  <a:lumMod val="15000"/>
                  <a:lumOff val="85000"/>
                </a:schemeClr>
              </a:solidFill>
              <a:round/>
            </a:ln>
            <a:effectLst/>
          </c:spPr>
        </c:majorGridlines>
        <c:numFmt formatCode="_-* #\ ##0_-;\-* #\ ##0_-;_-* &quot;-&quot;??_-;_-@_-" sourceLinked="1"/>
        <c:majorTickMark val="out"/>
        <c:minorTickMark val="none"/>
        <c:tickLblPos val="nextTo"/>
        <c:crossAx val="1399730479"/>
        <c:crosses val="autoZero"/>
        <c:crossBetween val="between"/>
      </c:valAx>
    </c:plotArea>
    <c:legend>
      <c:legendPos val="r"/>
      <c:layout>
        <c:manualLayout>
          <c:xMode val="edge"/>
          <c:yMode val="edge"/>
          <c:x val="0.63060873861355571"/>
          <c:y val="0.18380651016753749"/>
          <c:w val="0.34824665740311866"/>
          <c:h val="0.71030326816624556"/>
        </c:manualLayout>
      </c:layout>
      <c:overlay val="0"/>
      <c:spPr>
        <a:noFill/>
        <a:ln w="25400">
          <a:noFill/>
        </a:ln>
      </c:spPr>
      <c:txPr>
        <a:bodyPr/>
        <a:lstStyle/>
        <a:p>
          <a:pPr>
            <a:defRPr sz="850" b="0" i="0" u="none" strike="noStrike" baseline="0">
              <a:solidFill>
                <a:srgbClr val="000000"/>
              </a:solidFill>
              <a:latin typeface="Calibri"/>
              <a:ea typeface="Calibri"/>
              <a:cs typeface="Calibri"/>
            </a:defRPr>
          </a:pPr>
          <a:endParaRPr lang="en-US"/>
        </a:p>
      </c:txPr>
    </c:legend>
    <c:plotVisOnly val="1"/>
    <c:dispBlanksAs val="gap"/>
    <c:showDLblsOverMax val="0"/>
  </c:chart>
  <c:spPr>
    <a:solidFill>
      <a:schemeClr val="bg1"/>
    </a:solidFill>
    <a:ln w="9525" cap="flat" cmpd="sng" algn="ctr">
      <a:noFill/>
      <a:round/>
    </a:ln>
    <a:effectLst/>
  </c:spPr>
  <c:txPr>
    <a:bodyPr/>
    <a:lstStyle/>
    <a:p>
      <a:pPr>
        <a:defRPr sz="1100" b="0" i="0" u="none" strike="noStrike" baseline="0">
          <a:solidFill>
            <a:srgbClr val="000000"/>
          </a:solidFill>
          <a:latin typeface="Calibri"/>
          <a:ea typeface="Calibri"/>
          <a:cs typeface="Calibri"/>
        </a:defRPr>
      </a:pPr>
      <a:endParaRPr lang="en-US"/>
    </a:p>
  </c:txPr>
  <c:printSettings>
    <c:headerFooter/>
    <c:pageMargins b="0.75" l="0.7" r="0.7" t="0.75" header="0.3" footer="0.3"/>
    <c:pageSetup orientation="portrait"/>
  </c:printSettings>
</c:chartSpace>
</file>

<file path=xl/charts/chart19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2.3871527777777776E-2"/>
          <c:y val="4.7786414907172239E-2"/>
          <c:w val="0.57559123468941387"/>
          <c:h val="0.83529592857692603"/>
        </c:manualLayout>
      </c:layout>
      <c:barChart>
        <c:barDir val="col"/>
        <c:grouping val="stacked"/>
        <c:varyColors val="0"/>
        <c:ser>
          <c:idx val="0"/>
          <c:order val="0"/>
          <c:tx>
            <c:strRef>
              <c:f>'Solid waste report'!$I$634</c:f>
              <c:strCache>
                <c:ptCount val="1"/>
                <c:pt idx="0">
                  <c:v>Fixed cost</c:v>
                </c:pt>
              </c:strCache>
            </c:strRef>
          </c:tx>
          <c:spPr>
            <a:solidFill>
              <a:srgbClr val="4472C4"/>
            </a:solidFill>
            <a:ln w="25400">
              <a:noFill/>
            </a:ln>
          </c:spPr>
          <c:invertIfNegative val="0"/>
          <c:dPt>
            <c:idx val="0"/>
            <c:invertIfNegative val="0"/>
            <c:bubble3D val="0"/>
            <c:spPr>
              <a:solidFill>
                <a:srgbClr val="5B9BD5"/>
              </a:solidFill>
              <a:ln w="25400">
                <a:noFill/>
              </a:ln>
            </c:spPr>
            <c:extLst>
              <c:ext xmlns:c16="http://schemas.microsoft.com/office/drawing/2014/chart" uri="{C3380CC4-5D6E-409C-BE32-E72D297353CC}">
                <c16:uniqueId val="{00000000-4DDA-4049-9913-DEEB018F4A99}"/>
              </c:ext>
            </c:extLst>
          </c:dPt>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'Solid waste report'!$J$633:$K$633</c:f>
              <c:strCache>
                <c:ptCount val="2"/>
                <c:pt idx="0">
                  <c:v>Expenditure R'000</c:v>
                </c:pt>
                <c:pt idx="1">
                  <c:v>Revenue R'000</c:v>
                </c:pt>
              </c:strCache>
            </c:strRef>
          </c:cat>
          <c:val>
            <c:numRef>
              <c:f>'Solid waste report'!$J$634:$K$634</c:f>
              <c:numCache>
                <c:formatCode>General</c:formatCode>
                <c:ptCount val="2"/>
                <c:pt idx="0" formatCode="_-* #\ ##0_-;\-* #\ ##0_-;_-* &quot;-&quot;??_-;_-@_-">
                  <c:v>0</c:v>
                </c:pt>
              </c:numCache>
            </c:numRef>
          </c:val>
          <c:extLst>
            <c:ext xmlns:c16="http://schemas.microsoft.com/office/drawing/2014/chart" uri="{C3380CC4-5D6E-409C-BE32-E72D297353CC}">
              <c16:uniqueId val="{00000001-4DDA-4049-9913-DEEB018F4A99}"/>
            </c:ext>
          </c:extLst>
        </c:ser>
        <c:ser>
          <c:idx val="1"/>
          <c:order val="1"/>
          <c:tx>
            <c:strRef>
              <c:f>'Solid waste report'!$I$635</c:f>
              <c:strCache>
                <c:ptCount val="1"/>
                <c:pt idx="0">
                  <c:v>Surplus</c:v>
                </c:pt>
              </c:strCache>
            </c:strRef>
          </c:tx>
          <c:spPr>
            <a:solidFill>
              <a:schemeClr val="accent5">
                <a:lumMod val="60000"/>
                <a:lumOff val="40000"/>
              </a:schemeClr>
            </a:solidFill>
            <a:ln>
              <a:noFill/>
            </a:ln>
            <a:effectLst/>
          </c:spPr>
          <c:invertIfNegative val="0"/>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'Solid waste report'!$J$633:$K$633</c:f>
              <c:strCache>
                <c:ptCount val="2"/>
                <c:pt idx="0">
                  <c:v>Expenditure R'000</c:v>
                </c:pt>
                <c:pt idx="1">
                  <c:v>Revenue R'000</c:v>
                </c:pt>
              </c:strCache>
            </c:strRef>
          </c:cat>
          <c:val>
            <c:numRef>
              <c:f>'Solid waste report'!$J$635:$K$635</c:f>
              <c:numCache>
                <c:formatCode>General</c:formatCode>
                <c:ptCount val="2"/>
                <c:pt idx="0" formatCode="_-* #\ ##0_-;\-* #\ ##0_-;_-* &quot;-&quot;??_-;_-@_-">
                  <c:v>0</c:v>
                </c:pt>
              </c:numCache>
            </c:numRef>
          </c:val>
          <c:extLst>
            <c:ext xmlns:c16="http://schemas.microsoft.com/office/drawing/2014/chart" uri="{C3380CC4-5D6E-409C-BE32-E72D297353CC}">
              <c16:uniqueId val="{00000002-4DDA-4049-9913-DEEB018F4A99}"/>
            </c:ext>
          </c:extLst>
        </c:ser>
        <c:ser>
          <c:idx val="2"/>
          <c:order val="2"/>
          <c:tx>
            <c:strRef>
              <c:f>'Solid waste report'!$I$636</c:f>
              <c:strCache>
                <c:ptCount val="1"/>
                <c:pt idx="0">
                  <c:v>Tariff revenue</c:v>
                </c:pt>
              </c:strCache>
            </c:strRef>
          </c:tx>
          <c:spPr>
            <a:solidFill>
              <a:srgbClr val="A5A5A5"/>
            </a:solidFill>
            <a:ln w="25400">
              <a:noFill/>
            </a:ln>
          </c:spPr>
          <c:invertIfNegative val="0"/>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'Solid waste report'!$J$633:$K$633</c:f>
              <c:strCache>
                <c:ptCount val="2"/>
                <c:pt idx="0">
                  <c:v>Expenditure R'000</c:v>
                </c:pt>
                <c:pt idx="1">
                  <c:v>Revenue R'000</c:v>
                </c:pt>
              </c:strCache>
            </c:strRef>
          </c:cat>
          <c:val>
            <c:numRef>
              <c:f>'Solid waste report'!$J$636:$K$636</c:f>
              <c:numCache>
                <c:formatCode>_-* #\ ##0_-;\-* #\ ##0_-;_-* "-"??_-;_-@_-</c:formatCode>
                <c:ptCount val="2"/>
                <c:pt idx="1">
                  <c:v>0</c:v>
                </c:pt>
              </c:numCache>
            </c:numRef>
          </c:val>
          <c:extLst>
            <c:ext xmlns:c16="http://schemas.microsoft.com/office/drawing/2014/chart" uri="{C3380CC4-5D6E-409C-BE32-E72D297353CC}">
              <c16:uniqueId val="{00000003-4DDA-4049-9913-DEEB018F4A99}"/>
            </c:ext>
          </c:extLst>
        </c:ser>
        <c:ser>
          <c:idx val="4"/>
          <c:order val="3"/>
          <c:tx>
            <c:strRef>
              <c:f>'Solid waste report'!$I$637</c:f>
              <c:strCache>
                <c:ptCount val="1"/>
                <c:pt idx="0">
                  <c:v>External grants &amp; subsidies</c:v>
                </c:pt>
              </c:strCache>
            </c:strRef>
          </c:tx>
          <c:spPr>
            <a:solidFill>
              <a:srgbClr val="5B9BD5"/>
            </a:solidFill>
            <a:ln w="25400">
              <a:noFill/>
            </a:ln>
          </c:spPr>
          <c:invertIfNegative val="0"/>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'Solid waste report'!$J$633:$K$633</c:f>
              <c:strCache>
                <c:ptCount val="2"/>
                <c:pt idx="0">
                  <c:v>Expenditure R'000</c:v>
                </c:pt>
                <c:pt idx="1">
                  <c:v>Revenue R'000</c:v>
                </c:pt>
              </c:strCache>
            </c:strRef>
          </c:cat>
          <c:val>
            <c:numRef>
              <c:f>'Solid waste report'!$J$637:$K$637</c:f>
              <c:numCache>
                <c:formatCode>_-* #\ ##0_-;\-* #\ ##0_-;_-* "-"??_-;_-@_-</c:formatCode>
                <c:ptCount val="2"/>
                <c:pt idx="1">
                  <c:v>0</c:v>
                </c:pt>
              </c:numCache>
            </c:numRef>
          </c:val>
          <c:extLst>
            <c:ext xmlns:c16="http://schemas.microsoft.com/office/drawing/2014/chart" uri="{C3380CC4-5D6E-409C-BE32-E72D297353CC}">
              <c16:uniqueId val="{00000004-4DDA-4049-9913-DEEB018F4A99}"/>
            </c:ext>
          </c:extLst>
        </c:ser>
        <c:ser>
          <c:idx val="5"/>
          <c:order val="4"/>
          <c:tx>
            <c:strRef>
              <c:f>'Solid waste report'!$I$638</c:f>
              <c:strCache>
                <c:ptCount val="1"/>
                <c:pt idx="0">
                  <c:v>Other non-tariff revenue</c:v>
                </c:pt>
              </c:strCache>
            </c:strRef>
          </c:tx>
          <c:spPr>
            <a:solidFill>
              <a:srgbClr val="A5A5A5"/>
            </a:solidFill>
            <a:ln w="25400">
              <a:noFill/>
            </a:ln>
          </c:spPr>
          <c:invertIfNegative val="0"/>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'Solid waste report'!$J$633:$K$633</c:f>
              <c:strCache>
                <c:ptCount val="2"/>
                <c:pt idx="0">
                  <c:v>Expenditure R'000</c:v>
                </c:pt>
                <c:pt idx="1">
                  <c:v>Revenue R'000</c:v>
                </c:pt>
              </c:strCache>
            </c:strRef>
          </c:cat>
          <c:val>
            <c:numRef>
              <c:f>'Solid waste report'!$J$638:$K$638</c:f>
              <c:numCache>
                <c:formatCode>_-* #\ ##0_-;\-* #\ ##0_-;_-* "-"??_-;_-@_-</c:formatCode>
                <c:ptCount val="2"/>
                <c:pt idx="1">
                  <c:v>0</c:v>
                </c:pt>
              </c:numCache>
            </c:numRef>
          </c:val>
          <c:extLst>
            <c:ext xmlns:c16="http://schemas.microsoft.com/office/drawing/2014/chart" uri="{C3380CC4-5D6E-409C-BE32-E72D297353CC}">
              <c16:uniqueId val="{00000005-4DDA-4049-9913-DEEB018F4A99}"/>
            </c:ext>
          </c:extLst>
        </c:ser>
        <c:ser>
          <c:idx val="3"/>
          <c:order val="5"/>
          <c:tx>
            <c:strRef>
              <c:f>'Solid waste report'!$I$639</c:f>
              <c:strCache>
                <c:ptCount val="1"/>
                <c:pt idx="0">
                  <c:v>Deficit</c:v>
                </c:pt>
              </c:strCache>
            </c:strRef>
          </c:tx>
          <c:spPr>
            <a:solidFill>
              <a:schemeClr val="accent3">
                <a:lumMod val="40000"/>
                <a:lumOff val="60000"/>
              </a:schemeClr>
            </a:solidFill>
            <a:ln>
              <a:noFill/>
            </a:ln>
            <a:effectLst/>
          </c:spPr>
          <c:invertIfNegative val="0"/>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'Solid waste report'!$J$633:$K$633</c:f>
              <c:strCache>
                <c:ptCount val="2"/>
                <c:pt idx="0">
                  <c:v>Expenditure R'000</c:v>
                </c:pt>
                <c:pt idx="1">
                  <c:v>Revenue R'000</c:v>
                </c:pt>
              </c:strCache>
            </c:strRef>
          </c:cat>
          <c:val>
            <c:numRef>
              <c:f>'Solid waste report'!$J$639:$K$639</c:f>
              <c:numCache>
                <c:formatCode>_-* #\ ##0_-;\-* #\ ##0_-;_-* "-"??_-;_-@_-</c:formatCode>
                <c:ptCount val="2"/>
                <c:pt idx="1">
                  <c:v>0</c:v>
                </c:pt>
              </c:numCache>
            </c:numRef>
          </c:val>
          <c:extLst>
            <c:ext xmlns:c16="http://schemas.microsoft.com/office/drawing/2014/chart" uri="{C3380CC4-5D6E-409C-BE32-E72D297353CC}">
              <c16:uniqueId val="{00000006-4DDA-4049-9913-DEEB018F4A99}"/>
            </c:ext>
          </c:extLst>
        </c:ser>
        <c:dLbls>
          <c:showLegendKey val="0"/>
          <c:showVal val="0"/>
          <c:showCatName val="0"/>
          <c:showSerName val="0"/>
          <c:showPercent val="0"/>
          <c:showBubbleSize val="0"/>
        </c:dLbls>
        <c:gapWidth val="25"/>
        <c:overlap val="100"/>
        <c:axId val="1399704079"/>
        <c:axId val="1"/>
      </c:barChart>
      <c:catAx>
        <c:axId val="1399704079"/>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0" vert="horz"/>
          <a:lstStyle/>
          <a:p>
            <a:pPr>
              <a:defRPr sz="1100" b="0" i="0" u="none" strike="noStrike" baseline="0">
                <a:solidFill>
                  <a:srgbClr val="000000"/>
                </a:solidFill>
                <a:latin typeface="Calibri"/>
                <a:ea typeface="Calibri"/>
                <a:cs typeface="Calibri"/>
              </a:defRPr>
            </a:pPr>
            <a:endParaRPr lang="en-US"/>
          </a:p>
        </c:txPr>
        <c:crossAx val="1"/>
        <c:crosses val="autoZero"/>
        <c:auto val="1"/>
        <c:lblAlgn val="ctr"/>
        <c:lblOffset val="100"/>
        <c:noMultiLvlLbl val="0"/>
      </c:catAx>
      <c:valAx>
        <c:axId val="1"/>
        <c:scaling>
          <c:orientation val="minMax"/>
        </c:scaling>
        <c:delete val="1"/>
        <c:axPos val="l"/>
        <c:majorGridlines>
          <c:spPr>
            <a:ln w="9525" cap="flat" cmpd="sng" algn="ctr">
              <a:solidFill>
                <a:schemeClr val="tx1">
                  <a:lumMod val="15000"/>
                  <a:lumOff val="85000"/>
                </a:schemeClr>
              </a:solidFill>
              <a:round/>
            </a:ln>
            <a:effectLst/>
          </c:spPr>
        </c:majorGridlines>
        <c:numFmt formatCode="_-* #\ ##0_-;\-* #\ ##0_-;_-* &quot;-&quot;??_-;_-@_-" sourceLinked="1"/>
        <c:majorTickMark val="out"/>
        <c:minorTickMark val="none"/>
        <c:tickLblPos val="nextTo"/>
        <c:crossAx val="1399704079"/>
        <c:crosses val="autoZero"/>
        <c:crossBetween val="between"/>
      </c:valAx>
    </c:plotArea>
    <c:legend>
      <c:legendPos val="r"/>
      <c:layout>
        <c:manualLayout>
          <c:xMode val="edge"/>
          <c:yMode val="edge"/>
          <c:x val="0.63060873861355571"/>
          <c:y val="0.18380651016753749"/>
          <c:w val="0.34824665740311866"/>
          <c:h val="0.71030326816624556"/>
        </c:manualLayout>
      </c:layout>
      <c:overlay val="0"/>
      <c:spPr>
        <a:noFill/>
        <a:ln w="25400">
          <a:noFill/>
        </a:ln>
      </c:spPr>
      <c:txPr>
        <a:bodyPr/>
        <a:lstStyle/>
        <a:p>
          <a:pPr>
            <a:defRPr sz="850" b="0" i="0" u="none" strike="noStrike" baseline="0">
              <a:solidFill>
                <a:srgbClr val="000000"/>
              </a:solidFill>
              <a:latin typeface="Calibri"/>
              <a:ea typeface="Calibri"/>
              <a:cs typeface="Calibri"/>
            </a:defRPr>
          </a:pPr>
          <a:endParaRPr lang="en-US"/>
        </a:p>
      </c:txPr>
    </c:legend>
    <c:plotVisOnly val="1"/>
    <c:dispBlanksAs val="gap"/>
    <c:showDLblsOverMax val="0"/>
  </c:chart>
  <c:spPr>
    <a:solidFill>
      <a:schemeClr val="bg1"/>
    </a:solidFill>
    <a:ln w="9525" cap="flat" cmpd="sng" algn="ctr">
      <a:noFill/>
      <a:round/>
    </a:ln>
    <a:effectLst/>
  </c:spPr>
  <c:txPr>
    <a:bodyPr/>
    <a:lstStyle/>
    <a:p>
      <a:pPr>
        <a:defRPr sz="1100" b="0" i="0" u="none" strike="noStrike" baseline="0">
          <a:solidFill>
            <a:srgbClr val="000000"/>
          </a:solidFill>
          <a:latin typeface="Calibri"/>
          <a:ea typeface="Calibri"/>
          <a:cs typeface="Calibri"/>
        </a:defRPr>
      </a:pPr>
      <a:endParaRPr lang="en-US"/>
    </a:p>
  </c:txPr>
  <c:printSettings>
    <c:headerFooter/>
    <c:pageMargins b="0.75" l="0.7" r="0.7" t="0.75" header="0.3" footer="0.3"/>
    <c:pageSetup orientation="portrait"/>
  </c:printSettings>
</c:chartSpace>
</file>

<file path=xl/charts/chart19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2.3871527777777776E-2"/>
          <c:y val="4.7786414907172239E-2"/>
          <c:w val="0.57559123468941387"/>
          <c:h val="0.83529592857692603"/>
        </c:manualLayout>
      </c:layout>
      <c:barChart>
        <c:barDir val="col"/>
        <c:grouping val="stacked"/>
        <c:varyColors val="0"/>
        <c:ser>
          <c:idx val="0"/>
          <c:order val="0"/>
          <c:tx>
            <c:strRef>
              <c:f>'Solid waste report'!$I$680</c:f>
              <c:strCache>
                <c:ptCount val="1"/>
                <c:pt idx="0">
                  <c:v>Fixed cost</c:v>
                </c:pt>
              </c:strCache>
            </c:strRef>
          </c:tx>
          <c:spPr>
            <a:solidFill>
              <a:srgbClr val="4472C4"/>
            </a:solidFill>
            <a:ln w="25400">
              <a:noFill/>
            </a:ln>
          </c:spPr>
          <c:invertIfNegative val="0"/>
          <c:dPt>
            <c:idx val="0"/>
            <c:invertIfNegative val="0"/>
            <c:bubble3D val="0"/>
            <c:spPr>
              <a:solidFill>
                <a:srgbClr val="5B9BD5"/>
              </a:solidFill>
              <a:ln w="25400">
                <a:noFill/>
              </a:ln>
            </c:spPr>
            <c:extLst>
              <c:ext xmlns:c16="http://schemas.microsoft.com/office/drawing/2014/chart" uri="{C3380CC4-5D6E-409C-BE32-E72D297353CC}">
                <c16:uniqueId val="{00000000-4184-4078-9C7A-E4FFC83E9966}"/>
              </c:ext>
            </c:extLst>
          </c:dPt>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'Solid waste report'!$J$679:$K$679</c:f>
              <c:strCache>
                <c:ptCount val="2"/>
                <c:pt idx="0">
                  <c:v>Expenditure R'000</c:v>
                </c:pt>
                <c:pt idx="1">
                  <c:v>Revenue R'000</c:v>
                </c:pt>
              </c:strCache>
            </c:strRef>
          </c:cat>
          <c:val>
            <c:numRef>
              <c:f>'Solid waste report'!$J$680:$K$680</c:f>
              <c:numCache>
                <c:formatCode>General</c:formatCode>
                <c:ptCount val="2"/>
                <c:pt idx="0" formatCode="_-* #\ ##0_-;\-* #\ ##0_-;_-* &quot;-&quot;??_-;_-@_-">
                  <c:v>0</c:v>
                </c:pt>
              </c:numCache>
            </c:numRef>
          </c:val>
          <c:extLst>
            <c:ext xmlns:c16="http://schemas.microsoft.com/office/drawing/2014/chart" uri="{C3380CC4-5D6E-409C-BE32-E72D297353CC}">
              <c16:uniqueId val="{00000001-4184-4078-9C7A-E4FFC83E9966}"/>
            </c:ext>
          </c:extLst>
        </c:ser>
        <c:ser>
          <c:idx val="1"/>
          <c:order val="1"/>
          <c:tx>
            <c:strRef>
              <c:f>'Solid waste report'!$I$681</c:f>
              <c:strCache>
                <c:ptCount val="1"/>
                <c:pt idx="0">
                  <c:v>Surplus</c:v>
                </c:pt>
              </c:strCache>
            </c:strRef>
          </c:tx>
          <c:spPr>
            <a:solidFill>
              <a:schemeClr val="accent5">
                <a:lumMod val="60000"/>
                <a:lumOff val="40000"/>
              </a:schemeClr>
            </a:solidFill>
            <a:ln>
              <a:noFill/>
            </a:ln>
            <a:effectLst/>
          </c:spPr>
          <c:invertIfNegative val="0"/>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'Solid waste report'!$J$679:$K$679</c:f>
              <c:strCache>
                <c:ptCount val="2"/>
                <c:pt idx="0">
                  <c:v>Expenditure R'000</c:v>
                </c:pt>
                <c:pt idx="1">
                  <c:v>Revenue R'000</c:v>
                </c:pt>
              </c:strCache>
            </c:strRef>
          </c:cat>
          <c:val>
            <c:numRef>
              <c:f>'Solid waste report'!$J$681:$K$681</c:f>
              <c:numCache>
                <c:formatCode>General</c:formatCode>
                <c:ptCount val="2"/>
                <c:pt idx="0" formatCode="_-* #\ ##0_-;\-* #\ ##0_-;_-* &quot;-&quot;??_-;_-@_-">
                  <c:v>0</c:v>
                </c:pt>
              </c:numCache>
            </c:numRef>
          </c:val>
          <c:extLst>
            <c:ext xmlns:c16="http://schemas.microsoft.com/office/drawing/2014/chart" uri="{C3380CC4-5D6E-409C-BE32-E72D297353CC}">
              <c16:uniqueId val="{00000002-4184-4078-9C7A-E4FFC83E9966}"/>
            </c:ext>
          </c:extLst>
        </c:ser>
        <c:ser>
          <c:idx val="2"/>
          <c:order val="2"/>
          <c:tx>
            <c:strRef>
              <c:f>'Solid waste report'!$I$682</c:f>
              <c:strCache>
                <c:ptCount val="1"/>
                <c:pt idx="0">
                  <c:v>Tariff revenue</c:v>
                </c:pt>
              </c:strCache>
            </c:strRef>
          </c:tx>
          <c:spPr>
            <a:solidFill>
              <a:srgbClr val="A5A5A5"/>
            </a:solidFill>
            <a:ln w="25400">
              <a:noFill/>
            </a:ln>
          </c:spPr>
          <c:invertIfNegative val="0"/>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'Solid waste report'!$J$679:$K$679</c:f>
              <c:strCache>
                <c:ptCount val="2"/>
                <c:pt idx="0">
                  <c:v>Expenditure R'000</c:v>
                </c:pt>
                <c:pt idx="1">
                  <c:v>Revenue R'000</c:v>
                </c:pt>
              </c:strCache>
            </c:strRef>
          </c:cat>
          <c:val>
            <c:numRef>
              <c:f>'Solid waste report'!$J$682:$K$682</c:f>
              <c:numCache>
                <c:formatCode>_-* #\ ##0_-;\-* #\ ##0_-;_-* "-"??_-;_-@_-</c:formatCode>
                <c:ptCount val="2"/>
                <c:pt idx="1">
                  <c:v>0</c:v>
                </c:pt>
              </c:numCache>
            </c:numRef>
          </c:val>
          <c:extLst>
            <c:ext xmlns:c16="http://schemas.microsoft.com/office/drawing/2014/chart" uri="{C3380CC4-5D6E-409C-BE32-E72D297353CC}">
              <c16:uniqueId val="{00000003-4184-4078-9C7A-E4FFC83E9966}"/>
            </c:ext>
          </c:extLst>
        </c:ser>
        <c:ser>
          <c:idx val="4"/>
          <c:order val="3"/>
          <c:tx>
            <c:strRef>
              <c:f>'Solid waste report'!$I$683</c:f>
              <c:strCache>
                <c:ptCount val="1"/>
                <c:pt idx="0">
                  <c:v>External grants &amp; subsidies</c:v>
                </c:pt>
              </c:strCache>
            </c:strRef>
          </c:tx>
          <c:spPr>
            <a:solidFill>
              <a:srgbClr val="5B9BD5"/>
            </a:solidFill>
            <a:ln w="25400">
              <a:noFill/>
            </a:ln>
          </c:spPr>
          <c:invertIfNegative val="0"/>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'Solid waste report'!$J$679:$K$679</c:f>
              <c:strCache>
                <c:ptCount val="2"/>
                <c:pt idx="0">
                  <c:v>Expenditure R'000</c:v>
                </c:pt>
                <c:pt idx="1">
                  <c:v>Revenue R'000</c:v>
                </c:pt>
              </c:strCache>
            </c:strRef>
          </c:cat>
          <c:val>
            <c:numRef>
              <c:f>'Solid waste report'!$J$683:$K$683</c:f>
              <c:numCache>
                <c:formatCode>_-* #\ ##0_-;\-* #\ ##0_-;_-* "-"??_-;_-@_-</c:formatCode>
                <c:ptCount val="2"/>
                <c:pt idx="1">
                  <c:v>0</c:v>
                </c:pt>
              </c:numCache>
            </c:numRef>
          </c:val>
          <c:extLst>
            <c:ext xmlns:c16="http://schemas.microsoft.com/office/drawing/2014/chart" uri="{C3380CC4-5D6E-409C-BE32-E72D297353CC}">
              <c16:uniqueId val="{00000004-4184-4078-9C7A-E4FFC83E9966}"/>
            </c:ext>
          </c:extLst>
        </c:ser>
        <c:ser>
          <c:idx val="5"/>
          <c:order val="4"/>
          <c:tx>
            <c:strRef>
              <c:f>'Solid waste report'!$I$684</c:f>
              <c:strCache>
                <c:ptCount val="1"/>
                <c:pt idx="0">
                  <c:v>Other non-tariff revenue</c:v>
                </c:pt>
              </c:strCache>
            </c:strRef>
          </c:tx>
          <c:spPr>
            <a:solidFill>
              <a:srgbClr val="A5A5A5"/>
            </a:solidFill>
            <a:ln w="25400">
              <a:noFill/>
            </a:ln>
          </c:spPr>
          <c:invertIfNegative val="0"/>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'Solid waste report'!$J$679:$K$679</c:f>
              <c:strCache>
                <c:ptCount val="2"/>
                <c:pt idx="0">
                  <c:v>Expenditure R'000</c:v>
                </c:pt>
                <c:pt idx="1">
                  <c:v>Revenue R'000</c:v>
                </c:pt>
              </c:strCache>
            </c:strRef>
          </c:cat>
          <c:val>
            <c:numRef>
              <c:f>'Solid waste report'!$J$684:$K$684</c:f>
              <c:numCache>
                <c:formatCode>_-* #\ ##0_-;\-* #\ ##0_-;_-* "-"??_-;_-@_-</c:formatCode>
                <c:ptCount val="2"/>
                <c:pt idx="1">
                  <c:v>0</c:v>
                </c:pt>
              </c:numCache>
            </c:numRef>
          </c:val>
          <c:extLst>
            <c:ext xmlns:c16="http://schemas.microsoft.com/office/drawing/2014/chart" uri="{C3380CC4-5D6E-409C-BE32-E72D297353CC}">
              <c16:uniqueId val="{00000005-4184-4078-9C7A-E4FFC83E9966}"/>
            </c:ext>
          </c:extLst>
        </c:ser>
        <c:ser>
          <c:idx val="3"/>
          <c:order val="5"/>
          <c:tx>
            <c:strRef>
              <c:f>'Solid waste report'!$I$685</c:f>
              <c:strCache>
                <c:ptCount val="1"/>
                <c:pt idx="0">
                  <c:v>Deficit</c:v>
                </c:pt>
              </c:strCache>
            </c:strRef>
          </c:tx>
          <c:spPr>
            <a:solidFill>
              <a:schemeClr val="accent3">
                <a:lumMod val="40000"/>
                <a:lumOff val="60000"/>
              </a:schemeClr>
            </a:solidFill>
            <a:ln>
              <a:noFill/>
            </a:ln>
            <a:effectLst/>
          </c:spPr>
          <c:invertIfNegative val="0"/>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'Solid waste report'!$J$679:$K$679</c:f>
              <c:strCache>
                <c:ptCount val="2"/>
                <c:pt idx="0">
                  <c:v>Expenditure R'000</c:v>
                </c:pt>
                <c:pt idx="1">
                  <c:v>Revenue R'000</c:v>
                </c:pt>
              </c:strCache>
            </c:strRef>
          </c:cat>
          <c:val>
            <c:numRef>
              <c:f>'Solid waste report'!$J$685:$K$685</c:f>
              <c:numCache>
                <c:formatCode>_-* #\ ##0_-;\-* #\ ##0_-;_-* "-"??_-;_-@_-</c:formatCode>
                <c:ptCount val="2"/>
                <c:pt idx="1">
                  <c:v>0</c:v>
                </c:pt>
              </c:numCache>
            </c:numRef>
          </c:val>
          <c:extLst>
            <c:ext xmlns:c16="http://schemas.microsoft.com/office/drawing/2014/chart" uri="{C3380CC4-5D6E-409C-BE32-E72D297353CC}">
              <c16:uniqueId val="{00000006-4184-4078-9C7A-E4FFC83E9966}"/>
            </c:ext>
          </c:extLst>
        </c:ser>
        <c:dLbls>
          <c:showLegendKey val="0"/>
          <c:showVal val="0"/>
          <c:showCatName val="0"/>
          <c:showSerName val="0"/>
          <c:showPercent val="0"/>
          <c:showBubbleSize val="0"/>
        </c:dLbls>
        <c:gapWidth val="25"/>
        <c:overlap val="100"/>
        <c:axId val="1399722799"/>
        <c:axId val="1"/>
      </c:barChart>
      <c:catAx>
        <c:axId val="1399722799"/>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0" vert="horz"/>
          <a:lstStyle/>
          <a:p>
            <a:pPr>
              <a:defRPr sz="1100" b="0" i="0" u="none" strike="noStrike" baseline="0">
                <a:solidFill>
                  <a:srgbClr val="000000"/>
                </a:solidFill>
                <a:latin typeface="Calibri"/>
                <a:ea typeface="Calibri"/>
                <a:cs typeface="Calibri"/>
              </a:defRPr>
            </a:pPr>
            <a:endParaRPr lang="en-US"/>
          </a:p>
        </c:txPr>
        <c:crossAx val="1"/>
        <c:crosses val="autoZero"/>
        <c:auto val="1"/>
        <c:lblAlgn val="ctr"/>
        <c:lblOffset val="100"/>
        <c:noMultiLvlLbl val="0"/>
      </c:catAx>
      <c:valAx>
        <c:axId val="1"/>
        <c:scaling>
          <c:orientation val="minMax"/>
        </c:scaling>
        <c:delete val="1"/>
        <c:axPos val="l"/>
        <c:majorGridlines>
          <c:spPr>
            <a:ln w="9525" cap="flat" cmpd="sng" algn="ctr">
              <a:solidFill>
                <a:schemeClr val="tx1">
                  <a:lumMod val="15000"/>
                  <a:lumOff val="85000"/>
                </a:schemeClr>
              </a:solidFill>
              <a:round/>
            </a:ln>
            <a:effectLst/>
          </c:spPr>
        </c:majorGridlines>
        <c:numFmt formatCode="_-* #\ ##0_-;\-* #\ ##0_-;_-* &quot;-&quot;??_-;_-@_-" sourceLinked="1"/>
        <c:majorTickMark val="out"/>
        <c:minorTickMark val="none"/>
        <c:tickLblPos val="nextTo"/>
        <c:crossAx val="1399722799"/>
        <c:crosses val="autoZero"/>
        <c:crossBetween val="between"/>
      </c:valAx>
    </c:plotArea>
    <c:legend>
      <c:legendPos val="r"/>
      <c:layout>
        <c:manualLayout>
          <c:xMode val="edge"/>
          <c:yMode val="edge"/>
          <c:x val="0.63060873861355571"/>
          <c:y val="0.18380651016753749"/>
          <c:w val="0.34824665740311866"/>
          <c:h val="0.71030326816624556"/>
        </c:manualLayout>
      </c:layout>
      <c:overlay val="0"/>
      <c:spPr>
        <a:noFill/>
        <a:ln w="25400">
          <a:noFill/>
        </a:ln>
      </c:spPr>
      <c:txPr>
        <a:bodyPr/>
        <a:lstStyle/>
        <a:p>
          <a:pPr>
            <a:defRPr sz="850" b="0" i="0" u="none" strike="noStrike" baseline="0">
              <a:solidFill>
                <a:srgbClr val="000000"/>
              </a:solidFill>
              <a:latin typeface="Calibri"/>
              <a:ea typeface="Calibri"/>
              <a:cs typeface="Calibri"/>
            </a:defRPr>
          </a:pPr>
          <a:endParaRPr lang="en-US"/>
        </a:p>
      </c:txPr>
    </c:legend>
    <c:plotVisOnly val="1"/>
    <c:dispBlanksAs val="gap"/>
    <c:showDLblsOverMax val="0"/>
  </c:chart>
  <c:spPr>
    <a:solidFill>
      <a:schemeClr val="bg1"/>
    </a:solidFill>
    <a:ln w="9525" cap="flat" cmpd="sng" algn="ctr">
      <a:noFill/>
      <a:round/>
    </a:ln>
    <a:effectLst/>
  </c:spPr>
  <c:txPr>
    <a:bodyPr/>
    <a:lstStyle/>
    <a:p>
      <a:pPr>
        <a:defRPr sz="1100" b="0" i="0" u="none" strike="noStrike" baseline="0">
          <a:solidFill>
            <a:srgbClr val="000000"/>
          </a:solidFill>
          <a:latin typeface="Calibri"/>
          <a:ea typeface="Calibri"/>
          <a:cs typeface="Calibri"/>
        </a:defRPr>
      </a:pPr>
      <a:endParaRPr lang="en-US"/>
    </a:p>
  </c:txPr>
  <c:printSettings>
    <c:headerFooter/>
    <c:pageMargins b="0.75" l="0.7" r="0.7" t="0.75" header="0.3" footer="0.3"/>
    <c:pageSetup orientation="portrait"/>
  </c:printSettings>
</c:chartSpace>
</file>

<file path=xl/charts/chart19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2.3871527777777776E-2"/>
          <c:y val="4.7786414907172239E-2"/>
          <c:w val="0.57559123468941387"/>
          <c:h val="0.83529592857692603"/>
        </c:manualLayout>
      </c:layout>
      <c:barChart>
        <c:barDir val="col"/>
        <c:grouping val="stacked"/>
        <c:varyColors val="0"/>
        <c:ser>
          <c:idx val="0"/>
          <c:order val="0"/>
          <c:tx>
            <c:strRef>
              <c:f>'Solid waste report'!$I$725</c:f>
              <c:strCache>
                <c:ptCount val="1"/>
                <c:pt idx="0">
                  <c:v>Fixed cost</c:v>
                </c:pt>
              </c:strCache>
            </c:strRef>
          </c:tx>
          <c:spPr>
            <a:solidFill>
              <a:srgbClr val="4472C4"/>
            </a:solidFill>
            <a:ln w="25400">
              <a:noFill/>
            </a:ln>
          </c:spPr>
          <c:invertIfNegative val="0"/>
          <c:dPt>
            <c:idx val="0"/>
            <c:invertIfNegative val="0"/>
            <c:bubble3D val="0"/>
            <c:spPr>
              <a:solidFill>
                <a:srgbClr val="5B9BD5"/>
              </a:solidFill>
              <a:ln w="25400">
                <a:noFill/>
              </a:ln>
            </c:spPr>
            <c:extLst>
              <c:ext xmlns:c16="http://schemas.microsoft.com/office/drawing/2014/chart" uri="{C3380CC4-5D6E-409C-BE32-E72D297353CC}">
                <c16:uniqueId val="{00000000-DA67-4DF9-93ED-5DCE1F74D11C}"/>
              </c:ext>
            </c:extLst>
          </c:dPt>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'Solid waste report'!$J$724:$K$724</c:f>
              <c:strCache>
                <c:ptCount val="2"/>
                <c:pt idx="0">
                  <c:v>Expenditure R'000</c:v>
                </c:pt>
                <c:pt idx="1">
                  <c:v>Revenue R'000</c:v>
                </c:pt>
              </c:strCache>
            </c:strRef>
          </c:cat>
          <c:val>
            <c:numRef>
              <c:f>'Solid waste report'!$J$725:$K$725</c:f>
              <c:numCache>
                <c:formatCode>General</c:formatCode>
                <c:ptCount val="2"/>
                <c:pt idx="0" formatCode="_-* #\ ##0_-;\-* #\ ##0_-;_-* &quot;-&quot;??_-;_-@_-">
                  <c:v>0</c:v>
                </c:pt>
              </c:numCache>
            </c:numRef>
          </c:val>
          <c:extLst>
            <c:ext xmlns:c16="http://schemas.microsoft.com/office/drawing/2014/chart" uri="{C3380CC4-5D6E-409C-BE32-E72D297353CC}">
              <c16:uniqueId val="{00000001-DA67-4DF9-93ED-5DCE1F74D11C}"/>
            </c:ext>
          </c:extLst>
        </c:ser>
        <c:ser>
          <c:idx val="1"/>
          <c:order val="1"/>
          <c:tx>
            <c:strRef>
              <c:f>'Solid waste report'!$I$726</c:f>
              <c:strCache>
                <c:ptCount val="1"/>
                <c:pt idx="0">
                  <c:v>Surplus</c:v>
                </c:pt>
              </c:strCache>
            </c:strRef>
          </c:tx>
          <c:spPr>
            <a:solidFill>
              <a:schemeClr val="accent5">
                <a:lumMod val="60000"/>
                <a:lumOff val="40000"/>
              </a:schemeClr>
            </a:solidFill>
            <a:ln>
              <a:noFill/>
            </a:ln>
            <a:effectLst/>
          </c:spPr>
          <c:invertIfNegative val="0"/>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'Solid waste report'!$J$724:$K$724</c:f>
              <c:strCache>
                <c:ptCount val="2"/>
                <c:pt idx="0">
                  <c:v>Expenditure R'000</c:v>
                </c:pt>
                <c:pt idx="1">
                  <c:v>Revenue R'000</c:v>
                </c:pt>
              </c:strCache>
            </c:strRef>
          </c:cat>
          <c:val>
            <c:numRef>
              <c:f>'Solid waste report'!$J$726:$K$726</c:f>
              <c:numCache>
                <c:formatCode>General</c:formatCode>
                <c:ptCount val="2"/>
                <c:pt idx="0" formatCode="_-* #\ ##0_-;\-* #\ ##0_-;_-* &quot;-&quot;??_-;_-@_-">
                  <c:v>0</c:v>
                </c:pt>
              </c:numCache>
            </c:numRef>
          </c:val>
          <c:extLst>
            <c:ext xmlns:c16="http://schemas.microsoft.com/office/drawing/2014/chart" uri="{C3380CC4-5D6E-409C-BE32-E72D297353CC}">
              <c16:uniqueId val="{00000002-DA67-4DF9-93ED-5DCE1F74D11C}"/>
            </c:ext>
          </c:extLst>
        </c:ser>
        <c:ser>
          <c:idx val="2"/>
          <c:order val="2"/>
          <c:tx>
            <c:strRef>
              <c:f>'Solid waste report'!$I$727</c:f>
              <c:strCache>
                <c:ptCount val="1"/>
                <c:pt idx="0">
                  <c:v>Tariff revenue</c:v>
                </c:pt>
              </c:strCache>
            </c:strRef>
          </c:tx>
          <c:spPr>
            <a:solidFill>
              <a:srgbClr val="A5A5A5"/>
            </a:solidFill>
            <a:ln w="25400">
              <a:noFill/>
            </a:ln>
          </c:spPr>
          <c:invertIfNegative val="0"/>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'Solid waste report'!$J$724:$K$724</c:f>
              <c:strCache>
                <c:ptCount val="2"/>
                <c:pt idx="0">
                  <c:v>Expenditure R'000</c:v>
                </c:pt>
                <c:pt idx="1">
                  <c:v>Revenue R'000</c:v>
                </c:pt>
              </c:strCache>
            </c:strRef>
          </c:cat>
          <c:val>
            <c:numRef>
              <c:f>'Solid waste report'!$J$727:$K$727</c:f>
              <c:numCache>
                <c:formatCode>_-* #\ ##0_-;\-* #\ ##0_-;_-* "-"??_-;_-@_-</c:formatCode>
                <c:ptCount val="2"/>
                <c:pt idx="1">
                  <c:v>0</c:v>
                </c:pt>
              </c:numCache>
            </c:numRef>
          </c:val>
          <c:extLst>
            <c:ext xmlns:c16="http://schemas.microsoft.com/office/drawing/2014/chart" uri="{C3380CC4-5D6E-409C-BE32-E72D297353CC}">
              <c16:uniqueId val="{00000003-DA67-4DF9-93ED-5DCE1F74D11C}"/>
            </c:ext>
          </c:extLst>
        </c:ser>
        <c:ser>
          <c:idx val="4"/>
          <c:order val="3"/>
          <c:tx>
            <c:strRef>
              <c:f>'Solid waste report'!$I$728</c:f>
              <c:strCache>
                <c:ptCount val="1"/>
                <c:pt idx="0">
                  <c:v>External grants &amp; subsidies</c:v>
                </c:pt>
              </c:strCache>
            </c:strRef>
          </c:tx>
          <c:spPr>
            <a:solidFill>
              <a:srgbClr val="5B9BD5"/>
            </a:solidFill>
            <a:ln w="25400">
              <a:noFill/>
            </a:ln>
          </c:spPr>
          <c:invertIfNegative val="0"/>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'Solid waste report'!$J$724:$K$724</c:f>
              <c:strCache>
                <c:ptCount val="2"/>
                <c:pt idx="0">
                  <c:v>Expenditure R'000</c:v>
                </c:pt>
                <c:pt idx="1">
                  <c:v>Revenue R'000</c:v>
                </c:pt>
              </c:strCache>
            </c:strRef>
          </c:cat>
          <c:val>
            <c:numRef>
              <c:f>'Solid waste report'!$J$728:$K$728</c:f>
              <c:numCache>
                <c:formatCode>_-* #\ ##0_-;\-* #\ ##0_-;_-* "-"??_-;_-@_-</c:formatCode>
                <c:ptCount val="2"/>
                <c:pt idx="1">
                  <c:v>0</c:v>
                </c:pt>
              </c:numCache>
            </c:numRef>
          </c:val>
          <c:extLst>
            <c:ext xmlns:c16="http://schemas.microsoft.com/office/drawing/2014/chart" uri="{C3380CC4-5D6E-409C-BE32-E72D297353CC}">
              <c16:uniqueId val="{00000004-DA67-4DF9-93ED-5DCE1F74D11C}"/>
            </c:ext>
          </c:extLst>
        </c:ser>
        <c:ser>
          <c:idx val="5"/>
          <c:order val="4"/>
          <c:tx>
            <c:strRef>
              <c:f>'Solid waste report'!$I$729</c:f>
              <c:strCache>
                <c:ptCount val="1"/>
                <c:pt idx="0">
                  <c:v>Other non-tariff revenue</c:v>
                </c:pt>
              </c:strCache>
            </c:strRef>
          </c:tx>
          <c:spPr>
            <a:solidFill>
              <a:srgbClr val="A5A5A5"/>
            </a:solidFill>
            <a:ln w="25400">
              <a:noFill/>
            </a:ln>
          </c:spPr>
          <c:invertIfNegative val="0"/>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'Solid waste report'!$J$724:$K$724</c:f>
              <c:strCache>
                <c:ptCount val="2"/>
                <c:pt idx="0">
                  <c:v>Expenditure R'000</c:v>
                </c:pt>
                <c:pt idx="1">
                  <c:v>Revenue R'000</c:v>
                </c:pt>
              </c:strCache>
            </c:strRef>
          </c:cat>
          <c:val>
            <c:numRef>
              <c:f>'Solid waste report'!$J$729:$K$729</c:f>
              <c:numCache>
                <c:formatCode>_-* #\ ##0_-;\-* #\ ##0_-;_-* "-"??_-;_-@_-</c:formatCode>
                <c:ptCount val="2"/>
                <c:pt idx="1">
                  <c:v>0</c:v>
                </c:pt>
              </c:numCache>
            </c:numRef>
          </c:val>
          <c:extLst>
            <c:ext xmlns:c16="http://schemas.microsoft.com/office/drawing/2014/chart" uri="{C3380CC4-5D6E-409C-BE32-E72D297353CC}">
              <c16:uniqueId val="{00000005-DA67-4DF9-93ED-5DCE1F74D11C}"/>
            </c:ext>
          </c:extLst>
        </c:ser>
        <c:ser>
          <c:idx val="3"/>
          <c:order val="5"/>
          <c:tx>
            <c:strRef>
              <c:f>'Solid waste report'!$I$730</c:f>
              <c:strCache>
                <c:ptCount val="1"/>
                <c:pt idx="0">
                  <c:v>Deficit</c:v>
                </c:pt>
              </c:strCache>
            </c:strRef>
          </c:tx>
          <c:spPr>
            <a:solidFill>
              <a:schemeClr val="accent3">
                <a:lumMod val="40000"/>
                <a:lumOff val="60000"/>
              </a:schemeClr>
            </a:solidFill>
            <a:ln>
              <a:noFill/>
            </a:ln>
            <a:effectLst/>
          </c:spPr>
          <c:invertIfNegative val="0"/>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'Solid waste report'!$J$724:$K$724</c:f>
              <c:strCache>
                <c:ptCount val="2"/>
                <c:pt idx="0">
                  <c:v>Expenditure R'000</c:v>
                </c:pt>
                <c:pt idx="1">
                  <c:v>Revenue R'000</c:v>
                </c:pt>
              </c:strCache>
            </c:strRef>
          </c:cat>
          <c:val>
            <c:numRef>
              <c:f>'Solid waste report'!$J$730:$K$730</c:f>
              <c:numCache>
                <c:formatCode>_-* #\ ##0_-;\-* #\ ##0_-;_-* "-"??_-;_-@_-</c:formatCode>
                <c:ptCount val="2"/>
                <c:pt idx="1">
                  <c:v>0</c:v>
                </c:pt>
              </c:numCache>
            </c:numRef>
          </c:val>
          <c:extLst>
            <c:ext xmlns:c16="http://schemas.microsoft.com/office/drawing/2014/chart" uri="{C3380CC4-5D6E-409C-BE32-E72D297353CC}">
              <c16:uniqueId val="{00000006-DA67-4DF9-93ED-5DCE1F74D11C}"/>
            </c:ext>
          </c:extLst>
        </c:ser>
        <c:dLbls>
          <c:showLegendKey val="0"/>
          <c:showVal val="0"/>
          <c:showCatName val="0"/>
          <c:showSerName val="0"/>
          <c:showPercent val="0"/>
          <c:showBubbleSize val="0"/>
        </c:dLbls>
        <c:gapWidth val="25"/>
        <c:overlap val="100"/>
        <c:axId val="1399728079"/>
        <c:axId val="1"/>
      </c:barChart>
      <c:catAx>
        <c:axId val="1399728079"/>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0" vert="horz"/>
          <a:lstStyle/>
          <a:p>
            <a:pPr>
              <a:defRPr sz="1100" b="0" i="0" u="none" strike="noStrike" baseline="0">
                <a:solidFill>
                  <a:srgbClr val="000000"/>
                </a:solidFill>
                <a:latin typeface="Calibri"/>
                <a:ea typeface="Calibri"/>
                <a:cs typeface="Calibri"/>
              </a:defRPr>
            </a:pPr>
            <a:endParaRPr lang="en-US"/>
          </a:p>
        </c:txPr>
        <c:crossAx val="1"/>
        <c:crosses val="autoZero"/>
        <c:auto val="1"/>
        <c:lblAlgn val="ctr"/>
        <c:lblOffset val="100"/>
        <c:noMultiLvlLbl val="0"/>
      </c:catAx>
      <c:valAx>
        <c:axId val="1"/>
        <c:scaling>
          <c:orientation val="minMax"/>
        </c:scaling>
        <c:delete val="1"/>
        <c:axPos val="l"/>
        <c:majorGridlines>
          <c:spPr>
            <a:ln w="9525" cap="flat" cmpd="sng" algn="ctr">
              <a:solidFill>
                <a:schemeClr val="tx1">
                  <a:lumMod val="15000"/>
                  <a:lumOff val="85000"/>
                </a:schemeClr>
              </a:solidFill>
              <a:round/>
            </a:ln>
            <a:effectLst/>
          </c:spPr>
        </c:majorGridlines>
        <c:numFmt formatCode="_-* #\ ##0_-;\-* #\ ##0_-;_-* &quot;-&quot;??_-;_-@_-" sourceLinked="1"/>
        <c:majorTickMark val="out"/>
        <c:minorTickMark val="none"/>
        <c:tickLblPos val="nextTo"/>
        <c:crossAx val="1399728079"/>
        <c:crosses val="autoZero"/>
        <c:crossBetween val="between"/>
      </c:valAx>
    </c:plotArea>
    <c:legend>
      <c:legendPos val="r"/>
      <c:layout>
        <c:manualLayout>
          <c:xMode val="edge"/>
          <c:yMode val="edge"/>
          <c:x val="0.63060873861355571"/>
          <c:y val="0.18380651016753749"/>
          <c:w val="0.34824665740311866"/>
          <c:h val="0.71030326816624556"/>
        </c:manualLayout>
      </c:layout>
      <c:overlay val="0"/>
      <c:spPr>
        <a:noFill/>
        <a:ln w="25400">
          <a:noFill/>
        </a:ln>
      </c:spPr>
      <c:txPr>
        <a:bodyPr/>
        <a:lstStyle/>
        <a:p>
          <a:pPr>
            <a:defRPr sz="850" b="0" i="0" u="none" strike="noStrike" baseline="0">
              <a:solidFill>
                <a:srgbClr val="000000"/>
              </a:solidFill>
              <a:latin typeface="Calibri"/>
              <a:ea typeface="Calibri"/>
              <a:cs typeface="Calibri"/>
            </a:defRPr>
          </a:pPr>
          <a:endParaRPr lang="en-US"/>
        </a:p>
      </c:txPr>
    </c:legend>
    <c:plotVisOnly val="1"/>
    <c:dispBlanksAs val="gap"/>
    <c:showDLblsOverMax val="0"/>
  </c:chart>
  <c:spPr>
    <a:solidFill>
      <a:schemeClr val="bg1"/>
    </a:solidFill>
    <a:ln w="9525" cap="flat" cmpd="sng" algn="ctr">
      <a:noFill/>
      <a:round/>
    </a:ln>
    <a:effectLst/>
  </c:spPr>
  <c:txPr>
    <a:bodyPr/>
    <a:lstStyle/>
    <a:p>
      <a:pPr>
        <a:defRPr sz="1100" b="0" i="0" u="none" strike="noStrike" baseline="0">
          <a:solidFill>
            <a:srgbClr val="000000"/>
          </a:solidFill>
          <a:latin typeface="Calibri"/>
          <a:ea typeface="Calibri"/>
          <a:cs typeface="Calibri"/>
        </a:defRPr>
      </a:pPr>
      <a:endParaRPr lang="en-US"/>
    </a:p>
  </c:txPr>
  <c:printSettings>
    <c:headerFooter/>
    <c:pageMargins b="0.75" l="0.7" r="0.7" t="0.75" header="0.3" footer="0.3"/>
    <c:pageSetup orientation="portrait"/>
  </c:printSettings>
</c:chartSpace>
</file>

<file path=xl/charts/chart19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2.3871527777777776E-2"/>
          <c:y val="4.7786414907172239E-2"/>
          <c:w val="0.57559123468941387"/>
          <c:h val="0.83529592857692603"/>
        </c:manualLayout>
      </c:layout>
      <c:barChart>
        <c:barDir val="col"/>
        <c:grouping val="stacked"/>
        <c:varyColors val="0"/>
        <c:ser>
          <c:idx val="0"/>
          <c:order val="0"/>
          <c:tx>
            <c:strRef>
              <c:f>'Solid waste report'!$I$770</c:f>
              <c:strCache>
                <c:ptCount val="1"/>
                <c:pt idx="0">
                  <c:v>Fixed cost</c:v>
                </c:pt>
              </c:strCache>
            </c:strRef>
          </c:tx>
          <c:spPr>
            <a:solidFill>
              <a:srgbClr val="4472C4"/>
            </a:solidFill>
            <a:ln w="25400">
              <a:noFill/>
            </a:ln>
          </c:spPr>
          <c:invertIfNegative val="0"/>
          <c:dPt>
            <c:idx val="0"/>
            <c:invertIfNegative val="0"/>
            <c:bubble3D val="0"/>
            <c:spPr>
              <a:solidFill>
                <a:srgbClr val="5B9BD5"/>
              </a:solidFill>
              <a:ln w="25400">
                <a:noFill/>
              </a:ln>
            </c:spPr>
            <c:extLst>
              <c:ext xmlns:c16="http://schemas.microsoft.com/office/drawing/2014/chart" uri="{C3380CC4-5D6E-409C-BE32-E72D297353CC}">
                <c16:uniqueId val="{00000000-8EF1-4613-ADCB-B91C9A18463B}"/>
              </c:ext>
            </c:extLst>
          </c:dPt>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'Solid waste report'!$J$769:$K$769</c:f>
              <c:strCache>
                <c:ptCount val="2"/>
                <c:pt idx="0">
                  <c:v>Expenditure R'000</c:v>
                </c:pt>
                <c:pt idx="1">
                  <c:v>Revenue R'000</c:v>
                </c:pt>
              </c:strCache>
            </c:strRef>
          </c:cat>
          <c:val>
            <c:numRef>
              <c:f>'Solid waste report'!$J$770:$K$770</c:f>
              <c:numCache>
                <c:formatCode>General</c:formatCode>
                <c:ptCount val="2"/>
                <c:pt idx="0" formatCode="_-* #\ ##0_-;\-* #\ ##0_-;_-* &quot;-&quot;??_-;_-@_-">
                  <c:v>0</c:v>
                </c:pt>
              </c:numCache>
            </c:numRef>
          </c:val>
          <c:extLst>
            <c:ext xmlns:c16="http://schemas.microsoft.com/office/drawing/2014/chart" uri="{C3380CC4-5D6E-409C-BE32-E72D297353CC}">
              <c16:uniqueId val="{00000001-8EF1-4613-ADCB-B91C9A18463B}"/>
            </c:ext>
          </c:extLst>
        </c:ser>
        <c:ser>
          <c:idx val="1"/>
          <c:order val="1"/>
          <c:tx>
            <c:strRef>
              <c:f>'Solid waste report'!$I$771</c:f>
              <c:strCache>
                <c:ptCount val="1"/>
                <c:pt idx="0">
                  <c:v>Surplus</c:v>
                </c:pt>
              </c:strCache>
            </c:strRef>
          </c:tx>
          <c:spPr>
            <a:solidFill>
              <a:schemeClr val="accent5">
                <a:lumMod val="60000"/>
                <a:lumOff val="40000"/>
              </a:schemeClr>
            </a:solidFill>
            <a:ln>
              <a:noFill/>
            </a:ln>
            <a:effectLst/>
          </c:spPr>
          <c:invertIfNegative val="0"/>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'Solid waste report'!$J$769:$K$769</c:f>
              <c:strCache>
                <c:ptCount val="2"/>
                <c:pt idx="0">
                  <c:v>Expenditure R'000</c:v>
                </c:pt>
                <c:pt idx="1">
                  <c:v>Revenue R'000</c:v>
                </c:pt>
              </c:strCache>
            </c:strRef>
          </c:cat>
          <c:val>
            <c:numRef>
              <c:f>'Solid waste report'!$J$771:$K$771</c:f>
              <c:numCache>
                <c:formatCode>General</c:formatCode>
                <c:ptCount val="2"/>
                <c:pt idx="0" formatCode="_-* #\ ##0_-;\-* #\ ##0_-;_-* &quot;-&quot;??_-;_-@_-">
                  <c:v>0</c:v>
                </c:pt>
              </c:numCache>
            </c:numRef>
          </c:val>
          <c:extLst>
            <c:ext xmlns:c16="http://schemas.microsoft.com/office/drawing/2014/chart" uri="{C3380CC4-5D6E-409C-BE32-E72D297353CC}">
              <c16:uniqueId val="{00000002-8EF1-4613-ADCB-B91C9A18463B}"/>
            </c:ext>
          </c:extLst>
        </c:ser>
        <c:ser>
          <c:idx val="2"/>
          <c:order val="2"/>
          <c:tx>
            <c:strRef>
              <c:f>'Solid waste report'!$I$772</c:f>
              <c:strCache>
                <c:ptCount val="1"/>
                <c:pt idx="0">
                  <c:v>Tariff revenue</c:v>
                </c:pt>
              </c:strCache>
            </c:strRef>
          </c:tx>
          <c:spPr>
            <a:solidFill>
              <a:srgbClr val="A5A5A5"/>
            </a:solidFill>
            <a:ln w="25400">
              <a:noFill/>
            </a:ln>
          </c:spPr>
          <c:invertIfNegative val="0"/>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'Solid waste report'!$J$769:$K$769</c:f>
              <c:strCache>
                <c:ptCount val="2"/>
                <c:pt idx="0">
                  <c:v>Expenditure R'000</c:v>
                </c:pt>
                <c:pt idx="1">
                  <c:v>Revenue R'000</c:v>
                </c:pt>
              </c:strCache>
            </c:strRef>
          </c:cat>
          <c:val>
            <c:numRef>
              <c:f>'Solid waste report'!$J$772:$K$772</c:f>
              <c:numCache>
                <c:formatCode>_-* #\ ##0_-;\-* #\ ##0_-;_-* "-"??_-;_-@_-</c:formatCode>
                <c:ptCount val="2"/>
                <c:pt idx="1">
                  <c:v>0</c:v>
                </c:pt>
              </c:numCache>
            </c:numRef>
          </c:val>
          <c:extLst>
            <c:ext xmlns:c16="http://schemas.microsoft.com/office/drawing/2014/chart" uri="{C3380CC4-5D6E-409C-BE32-E72D297353CC}">
              <c16:uniqueId val="{00000003-8EF1-4613-ADCB-B91C9A18463B}"/>
            </c:ext>
          </c:extLst>
        </c:ser>
        <c:ser>
          <c:idx val="4"/>
          <c:order val="3"/>
          <c:tx>
            <c:strRef>
              <c:f>'Solid waste report'!$I$773</c:f>
              <c:strCache>
                <c:ptCount val="1"/>
                <c:pt idx="0">
                  <c:v>External grants &amp; subsidies</c:v>
                </c:pt>
              </c:strCache>
            </c:strRef>
          </c:tx>
          <c:spPr>
            <a:solidFill>
              <a:srgbClr val="5B9BD5"/>
            </a:solidFill>
            <a:ln w="25400">
              <a:noFill/>
            </a:ln>
          </c:spPr>
          <c:invertIfNegative val="0"/>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'Solid waste report'!$J$769:$K$769</c:f>
              <c:strCache>
                <c:ptCount val="2"/>
                <c:pt idx="0">
                  <c:v>Expenditure R'000</c:v>
                </c:pt>
                <c:pt idx="1">
                  <c:v>Revenue R'000</c:v>
                </c:pt>
              </c:strCache>
            </c:strRef>
          </c:cat>
          <c:val>
            <c:numRef>
              <c:f>'Solid waste report'!$J$773:$K$773</c:f>
              <c:numCache>
                <c:formatCode>_-* #\ ##0_-;\-* #\ ##0_-;_-* "-"??_-;_-@_-</c:formatCode>
                <c:ptCount val="2"/>
                <c:pt idx="1">
                  <c:v>0</c:v>
                </c:pt>
              </c:numCache>
            </c:numRef>
          </c:val>
          <c:extLst>
            <c:ext xmlns:c16="http://schemas.microsoft.com/office/drawing/2014/chart" uri="{C3380CC4-5D6E-409C-BE32-E72D297353CC}">
              <c16:uniqueId val="{00000004-8EF1-4613-ADCB-B91C9A18463B}"/>
            </c:ext>
          </c:extLst>
        </c:ser>
        <c:ser>
          <c:idx val="5"/>
          <c:order val="4"/>
          <c:tx>
            <c:strRef>
              <c:f>'Solid waste report'!$I$774</c:f>
              <c:strCache>
                <c:ptCount val="1"/>
                <c:pt idx="0">
                  <c:v>Other non-tariff revenue</c:v>
                </c:pt>
              </c:strCache>
            </c:strRef>
          </c:tx>
          <c:spPr>
            <a:solidFill>
              <a:srgbClr val="A5A5A5"/>
            </a:solidFill>
            <a:ln w="25400">
              <a:noFill/>
            </a:ln>
          </c:spPr>
          <c:invertIfNegative val="0"/>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'Solid waste report'!$J$769:$K$769</c:f>
              <c:strCache>
                <c:ptCount val="2"/>
                <c:pt idx="0">
                  <c:v>Expenditure R'000</c:v>
                </c:pt>
                <c:pt idx="1">
                  <c:v>Revenue R'000</c:v>
                </c:pt>
              </c:strCache>
            </c:strRef>
          </c:cat>
          <c:val>
            <c:numRef>
              <c:f>'Solid waste report'!$J$774:$K$774</c:f>
              <c:numCache>
                <c:formatCode>_-* #\ ##0_-;\-* #\ ##0_-;_-* "-"??_-;_-@_-</c:formatCode>
                <c:ptCount val="2"/>
                <c:pt idx="1">
                  <c:v>0</c:v>
                </c:pt>
              </c:numCache>
            </c:numRef>
          </c:val>
          <c:extLst>
            <c:ext xmlns:c16="http://schemas.microsoft.com/office/drawing/2014/chart" uri="{C3380CC4-5D6E-409C-BE32-E72D297353CC}">
              <c16:uniqueId val="{00000005-8EF1-4613-ADCB-B91C9A18463B}"/>
            </c:ext>
          </c:extLst>
        </c:ser>
        <c:ser>
          <c:idx val="3"/>
          <c:order val="5"/>
          <c:tx>
            <c:strRef>
              <c:f>'Solid waste report'!$I$775</c:f>
              <c:strCache>
                <c:ptCount val="1"/>
                <c:pt idx="0">
                  <c:v>Deficit</c:v>
                </c:pt>
              </c:strCache>
            </c:strRef>
          </c:tx>
          <c:spPr>
            <a:solidFill>
              <a:schemeClr val="accent3">
                <a:lumMod val="40000"/>
                <a:lumOff val="60000"/>
              </a:schemeClr>
            </a:solidFill>
            <a:ln>
              <a:noFill/>
            </a:ln>
            <a:effectLst/>
          </c:spPr>
          <c:invertIfNegative val="0"/>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'Solid waste report'!$J$769:$K$769</c:f>
              <c:strCache>
                <c:ptCount val="2"/>
                <c:pt idx="0">
                  <c:v>Expenditure R'000</c:v>
                </c:pt>
                <c:pt idx="1">
                  <c:v>Revenue R'000</c:v>
                </c:pt>
              </c:strCache>
            </c:strRef>
          </c:cat>
          <c:val>
            <c:numRef>
              <c:f>'Solid waste report'!$J$775:$K$775</c:f>
              <c:numCache>
                <c:formatCode>_-* #\ ##0_-;\-* #\ ##0_-;_-* "-"??_-;_-@_-</c:formatCode>
                <c:ptCount val="2"/>
                <c:pt idx="1">
                  <c:v>0</c:v>
                </c:pt>
              </c:numCache>
            </c:numRef>
          </c:val>
          <c:extLst>
            <c:ext xmlns:c16="http://schemas.microsoft.com/office/drawing/2014/chart" uri="{C3380CC4-5D6E-409C-BE32-E72D297353CC}">
              <c16:uniqueId val="{00000006-8EF1-4613-ADCB-B91C9A18463B}"/>
            </c:ext>
          </c:extLst>
        </c:ser>
        <c:dLbls>
          <c:showLegendKey val="0"/>
          <c:showVal val="0"/>
          <c:showCatName val="0"/>
          <c:showSerName val="0"/>
          <c:showPercent val="0"/>
          <c:showBubbleSize val="0"/>
        </c:dLbls>
        <c:gapWidth val="25"/>
        <c:overlap val="100"/>
        <c:axId val="1399705999"/>
        <c:axId val="1"/>
      </c:barChart>
      <c:catAx>
        <c:axId val="1399705999"/>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0" vert="horz"/>
          <a:lstStyle/>
          <a:p>
            <a:pPr>
              <a:defRPr sz="1100" b="0" i="0" u="none" strike="noStrike" baseline="0">
                <a:solidFill>
                  <a:srgbClr val="000000"/>
                </a:solidFill>
                <a:latin typeface="Calibri"/>
                <a:ea typeface="Calibri"/>
                <a:cs typeface="Calibri"/>
              </a:defRPr>
            </a:pPr>
            <a:endParaRPr lang="en-US"/>
          </a:p>
        </c:txPr>
        <c:crossAx val="1"/>
        <c:crosses val="autoZero"/>
        <c:auto val="1"/>
        <c:lblAlgn val="ctr"/>
        <c:lblOffset val="100"/>
        <c:noMultiLvlLbl val="0"/>
      </c:catAx>
      <c:valAx>
        <c:axId val="1"/>
        <c:scaling>
          <c:orientation val="minMax"/>
        </c:scaling>
        <c:delete val="1"/>
        <c:axPos val="l"/>
        <c:majorGridlines>
          <c:spPr>
            <a:ln w="9525" cap="flat" cmpd="sng" algn="ctr">
              <a:solidFill>
                <a:schemeClr val="tx1">
                  <a:lumMod val="15000"/>
                  <a:lumOff val="85000"/>
                </a:schemeClr>
              </a:solidFill>
              <a:round/>
            </a:ln>
            <a:effectLst/>
          </c:spPr>
        </c:majorGridlines>
        <c:numFmt formatCode="_-* #\ ##0_-;\-* #\ ##0_-;_-* &quot;-&quot;??_-;_-@_-" sourceLinked="1"/>
        <c:majorTickMark val="out"/>
        <c:minorTickMark val="none"/>
        <c:tickLblPos val="nextTo"/>
        <c:crossAx val="1399705999"/>
        <c:crosses val="autoZero"/>
        <c:crossBetween val="between"/>
      </c:valAx>
    </c:plotArea>
    <c:legend>
      <c:legendPos val="r"/>
      <c:layout>
        <c:manualLayout>
          <c:xMode val="edge"/>
          <c:yMode val="edge"/>
          <c:x val="0.63060873861355571"/>
          <c:y val="0.18380651016753749"/>
          <c:w val="0.34824665740311866"/>
          <c:h val="0.71030326816624556"/>
        </c:manualLayout>
      </c:layout>
      <c:overlay val="0"/>
      <c:spPr>
        <a:noFill/>
        <a:ln w="25400">
          <a:noFill/>
        </a:ln>
      </c:spPr>
      <c:txPr>
        <a:bodyPr/>
        <a:lstStyle/>
        <a:p>
          <a:pPr>
            <a:defRPr sz="850" b="0" i="0" u="none" strike="noStrike" baseline="0">
              <a:solidFill>
                <a:srgbClr val="000000"/>
              </a:solidFill>
              <a:latin typeface="Calibri"/>
              <a:ea typeface="Calibri"/>
              <a:cs typeface="Calibri"/>
            </a:defRPr>
          </a:pPr>
          <a:endParaRPr lang="en-US"/>
        </a:p>
      </c:txPr>
    </c:legend>
    <c:plotVisOnly val="1"/>
    <c:dispBlanksAs val="gap"/>
    <c:showDLblsOverMax val="0"/>
  </c:chart>
  <c:spPr>
    <a:solidFill>
      <a:schemeClr val="bg1"/>
    </a:solidFill>
    <a:ln w="9525" cap="flat" cmpd="sng" algn="ctr">
      <a:noFill/>
      <a:round/>
    </a:ln>
    <a:effectLst/>
  </c:spPr>
  <c:txPr>
    <a:bodyPr/>
    <a:lstStyle/>
    <a:p>
      <a:pPr>
        <a:defRPr sz="1100" b="0" i="0" u="none" strike="noStrike" baseline="0">
          <a:solidFill>
            <a:srgbClr val="000000"/>
          </a:solidFill>
          <a:latin typeface="Calibri"/>
          <a:ea typeface="Calibri"/>
          <a:cs typeface="Calibri"/>
        </a:defRPr>
      </a:pPr>
      <a:endParaRPr lang="en-US"/>
    </a:p>
  </c:txPr>
  <c:printSettings>
    <c:headerFooter/>
    <c:pageMargins b="0.75" l="0.7" r="0.7" t="0.75" header="0.3" footer="0.3"/>
    <c:pageSetup orientation="portrait"/>
  </c:printSettings>
</c:chartSpace>
</file>

<file path=xl/charts/chart19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2.3871527777777776E-2"/>
          <c:y val="4.7786414907172239E-2"/>
          <c:w val="0.57559123468941387"/>
          <c:h val="0.83529592857692603"/>
        </c:manualLayout>
      </c:layout>
      <c:barChart>
        <c:barDir val="col"/>
        <c:grouping val="stacked"/>
        <c:varyColors val="0"/>
        <c:ser>
          <c:idx val="0"/>
          <c:order val="0"/>
          <c:tx>
            <c:strRef>
              <c:f>'Solid waste report'!$I$817</c:f>
              <c:strCache>
                <c:ptCount val="1"/>
                <c:pt idx="0">
                  <c:v>Fixed cost</c:v>
                </c:pt>
              </c:strCache>
            </c:strRef>
          </c:tx>
          <c:spPr>
            <a:solidFill>
              <a:srgbClr val="4472C4"/>
            </a:solidFill>
            <a:ln w="25400">
              <a:noFill/>
            </a:ln>
          </c:spPr>
          <c:invertIfNegative val="0"/>
          <c:dPt>
            <c:idx val="0"/>
            <c:invertIfNegative val="0"/>
            <c:bubble3D val="0"/>
            <c:spPr>
              <a:solidFill>
                <a:srgbClr val="5B9BD5"/>
              </a:solidFill>
              <a:ln w="25400">
                <a:noFill/>
              </a:ln>
            </c:spPr>
            <c:extLst>
              <c:ext xmlns:c16="http://schemas.microsoft.com/office/drawing/2014/chart" uri="{C3380CC4-5D6E-409C-BE32-E72D297353CC}">
                <c16:uniqueId val="{00000000-3EA0-4F0B-94C0-EA2287FAA110}"/>
              </c:ext>
            </c:extLst>
          </c:dPt>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'Solid waste report'!$J$816:$K$816</c:f>
              <c:strCache>
                <c:ptCount val="2"/>
                <c:pt idx="0">
                  <c:v>Expenditure R'000</c:v>
                </c:pt>
                <c:pt idx="1">
                  <c:v>Revenue R'000</c:v>
                </c:pt>
              </c:strCache>
            </c:strRef>
          </c:cat>
          <c:val>
            <c:numRef>
              <c:f>'Solid waste report'!$J$817:$K$817</c:f>
              <c:numCache>
                <c:formatCode>General</c:formatCode>
                <c:ptCount val="2"/>
                <c:pt idx="0" formatCode="_-* #\ ##0_-;\-* #\ ##0_-;_-* &quot;-&quot;??_-;_-@_-">
                  <c:v>0</c:v>
                </c:pt>
              </c:numCache>
            </c:numRef>
          </c:val>
          <c:extLst>
            <c:ext xmlns:c16="http://schemas.microsoft.com/office/drawing/2014/chart" uri="{C3380CC4-5D6E-409C-BE32-E72D297353CC}">
              <c16:uniqueId val="{00000001-3EA0-4F0B-94C0-EA2287FAA110}"/>
            </c:ext>
          </c:extLst>
        </c:ser>
        <c:ser>
          <c:idx val="1"/>
          <c:order val="1"/>
          <c:tx>
            <c:strRef>
              <c:f>'Solid waste report'!$I$818</c:f>
              <c:strCache>
                <c:ptCount val="1"/>
                <c:pt idx="0">
                  <c:v>Surplus</c:v>
                </c:pt>
              </c:strCache>
            </c:strRef>
          </c:tx>
          <c:spPr>
            <a:solidFill>
              <a:schemeClr val="accent5">
                <a:lumMod val="60000"/>
                <a:lumOff val="40000"/>
              </a:schemeClr>
            </a:solidFill>
            <a:ln>
              <a:noFill/>
            </a:ln>
            <a:effectLst/>
          </c:spPr>
          <c:invertIfNegative val="0"/>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'Solid waste report'!$J$816:$K$816</c:f>
              <c:strCache>
                <c:ptCount val="2"/>
                <c:pt idx="0">
                  <c:v>Expenditure R'000</c:v>
                </c:pt>
                <c:pt idx="1">
                  <c:v>Revenue R'000</c:v>
                </c:pt>
              </c:strCache>
            </c:strRef>
          </c:cat>
          <c:val>
            <c:numRef>
              <c:f>'Solid waste report'!$J$818:$K$818</c:f>
              <c:numCache>
                <c:formatCode>General</c:formatCode>
                <c:ptCount val="2"/>
                <c:pt idx="0" formatCode="_-* #\ ##0_-;\-* #\ ##0_-;_-* &quot;-&quot;??_-;_-@_-">
                  <c:v>0</c:v>
                </c:pt>
              </c:numCache>
            </c:numRef>
          </c:val>
          <c:extLst>
            <c:ext xmlns:c16="http://schemas.microsoft.com/office/drawing/2014/chart" uri="{C3380CC4-5D6E-409C-BE32-E72D297353CC}">
              <c16:uniqueId val="{00000002-3EA0-4F0B-94C0-EA2287FAA110}"/>
            </c:ext>
          </c:extLst>
        </c:ser>
        <c:ser>
          <c:idx val="2"/>
          <c:order val="2"/>
          <c:tx>
            <c:strRef>
              <c:f>'Solid waste report'!$I$819</c:f>
              <c:strCache>
                <c:ptCount val="1"/>
                <c:pt idx="0">
                  <c:v>Tariff revenue</c:v>
                </c:pt>
              </c:strCache>
            </c:strRef>
          </c:tx>
          <c:spPr>
            <a:solidFill>
              <a:srgbClr val="A5A5A5"/>
            </a:solidFill>
            <a:ln w="25400">
              <a:noFill/>
            </a:ln>
          </c:spPr>
          <c:invertIfNegative val="0"/>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'Solid waste report'!$J$816:$K$816</c:f>
              <c:strCache>
                <c:ptCount val="2"/>
                <c:pt idx="0">
                  <c:v>Expenditure R'000</c:v>
                </c:pt>
                <c:pt idx="1">
                  <c:v>Revenue R'000</c:v>
                </c:pt>
              </c:strCache>
            </c:strRef>
          </c:cat>
          <c:val>
            <c:numRef>
              <c:f>'Solid waste report'!$J$819:$K$819</c:f>
              <c:numCache>
                <c:formatCode>_-* #\ ##0_-;\-* #\ ##0_-;_-* "-"??_-;_-@_-</c:formatCode>
                <c:ptCount val="2"/>
                <c:pt idx="1">
                  <c:v>0</c:v>
                </c:pt>
              </c:numCache>
            </c:numRef>
          </c:val>
          <c:extLst>
            <c:ext xmlns:c16="http://schemas.microsoft.com/office/drawing/2014/chart" uri="{C3380CC4-5D6E-409C-BE32-E72D297353CC}">
              <c16:uniqueId val="{00000003-3EA0-4F0B-94C0-EA2287FAA110}"/>
            </c:ext>
          </c:extLst>
        </c:ser>
        <c:ser>
          <c:idx val="4"/>
          <c:order val="3"/>
          <c:tx>
            <c:strRef>
              <c:f>'Solid waste report'!$I$820</c:f>
              <c:strCache>
                <c:ptCount val="1"/>
                <c:pt idx="0">
                  <c:v>External grants &amp; subsidies</c:v>
                </c:pt>
              </c:strCache>
            </c:strRef>
          </c:tx>
          <c:spPr>
            <a:solidFill>
              <a:srgbClr val="5B9BD5"/>
            </a:solidFill>
            <a:ln w="25400">
              <a:noFill/>
            </a:ln>
          </c:spPr>
          <c:invertIfNegative val="0"/>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'Solid waste report'!$J$816:$K$816</c:f>
              <c:strCache>
                <c:ptCount val="2"/>
                <c:pt idx="0">
                  <c:v>Expenditure R'000</c:v>
                </c:pt>
                <c:pt idx="1">
                  <c:v>Revenue R'000</c:v>
                </c:pt>
              </c:strCache>
            </c:strRef>
          </c:cat>
          <c:val>
            <c:numRef>
              <c:f>'Solid waste report'!$J$820:$K$820</c:f>
              <c:numCache>
                <c:formatCode>_-* #\ ##0_-;\-* #\ ##0_-;_-* "-"??_-;_-@_-</c:formatCode>
                <c:ptCount val="2"/>
                <c:pt idx="1">
                  <c:v>0</c:v>
                </c:pt>
              </c:numCache>
            </c:numRef>
          </c:val>
          <c:extLst>
            <c:ext xmlns:c16="http://schemas.microsoft.com/office/drawing/2014/chart" uri="{C3380CC4-5D6E-409C-BE32-E72D297353CC}">
              <c16:uniqueId val="{00000004-3EA0-4F0B-94C0-EA2287FAA110}"/>
            </c:ext>
          </c:extLst>
        </c:ser>
        <c:ser>
          <c:idx val="5"/>
          <c:order val="4"/>
          <c:tx>
            <c:strRef>
              <c:f>'Solid waste report'!$I$821</c:f>
              <c:strCache>
                <c:ptCount val="1"/>
                <c:pt idx="0">
                  <c:v>Other non-tariff revenue</c:v>
                </c:pt>
              </c:strCache>
            </c:strRef>
          </c:tx>
          <c:spPr>
            <a:solidFill>
              <a:srgbClr val="A5A5A5"/>
            </a:solidFill>
            <a:ln w="25400">
              <a:noFill/>
            </a:ln>
          </c:spPr>
          <c:invertIfNegative val="0"/>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'Solid waste report'!$J$816:$K$816</c:f>
              <c:strCache>
                <c:ptCount val="2"/>
                <c:pt idx="0">
                  <c:v>Expenditure R'000</c:v>
                </c:pt>
                <c:pt idx="1">
                  <c:v>Revenue R'000</c:v>
                </c:pt>
              </c:strCache>
            </c:strRef>
          </c:cat>
          <c:val>
            <c:numRef>
              <c:f>'Solid waste report'!$J$821:$K$821</c:f>
              <c:numCache>
                <c:formatCode>_-* #\ ##0_-;\-* #\ ##0_-;_-* "-"??_-;_-@_-</c:formatCode>
                <c:ptCount val="2"/>
                <c:pt idx="1">
                  <c:v>0</c:v>
                </c:pt>
              </c:numCache>
            </c:numRef>
          </c:val>
          <c:extLst>
            <c:ext xmlns:c16="http://schemas.microsoft.com/office/drawing/2014/chart" uri="{C3380CC4-5D6E-409C-BE32-E72D297353CC}">
              <c16:uniqueId val="{00000005-3EA0-4F0B-94C0-EA2287FAA110}"/>
            </c:ext>
          </c:extLst>
        </c:ser>
        <c:ser>
          <c:idx val="3"/>
          <c:order val="5"/>
          <c:tx>
            <c:strRef>
              <c:f>'Solid waste report'!$I$822</c:f>
              <c:strCache>
                <c:ptCount val="1"/>
                <c:pt idx="0">
                  <c:v>Deficit</c:v>
                </c:pt>
              </c:strCache>
            </c:strRef>
          </c:tx>
          <c:spPr>
            <a:solidFill>
              <a:schemeClr val="accent3">
                <a:lumMod val="40000"/>
                <a:lumOff val="60000"/>
              </a:schemeClr>
            </a:solidFill>
            <a:ln>
              <a:noFill/>
            </a:ln>
            <a:effectLst/>
          </c:spPr>
          <c:invertIfNegative val="0"/>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'Solid waste report'!$J$816:$K$816</c:f>
              <c:strCache>
                <c:ptCount val="2"/>
                <c:pt idx="0">
                  <c:v>Expenditure R'000</c:v>
                </c:pt>
                <c:pt idx="1">
                  <c:v>Revenue R'000</c:v>
                </c:pt>
              </c:strCache>
            </c:strRef>
          </c:cat>
          <c:val>
            <c:numRef>
              <c:f>'Solid waste report'!$J$822:$K$822</c:f>
              <c:numCache>
                <c:formatCode>_-* #\ ##0_-;\-* #\ ##0_-;_-* "-"??_-;_-@_-</c:formatCode>
                <c:ptCount val="2"/>
                <c:pt idx="1">
                  <c:v>0</c:v>
                </c:pt>
              </c:numCache>
            </c:numRef>
          </c:val>
          <c:extLst>
            <c:ext xmlns:c16="http://schemas.microsoft.com/office/drawing/2014/chart" uri="{C3380CC4-5D6E-409C-BE32-E72D297353CC}">
              <c16:uniqueId val="{00000006-3EA0-4F0B-94C0-EA2287FAA110}"/>
            </c:ext>
          </c:extLst>
        </c:ser>
        <c:dLbls>
          <c:showLegendKey val="0"/>
          <c:showVal val="0"/>
          <c:showCatName val="0"/>
          <c:showSerName val="0"/>
          <c:showPercent val="0"/>
          <c:showBubbleSize val="0"/>
        </c:dLbls>
        <c:gapWidth val="25"/>
        <c:overlap val="100"/>
        <c:axId val="1399750159"/>
        <c:axId val="1"/>
      </c:barChart>
      <c:catAx>
        <c:axId val="1399750159"/>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0" vert="horz"/>
          <a:lstStyle/>
          <a:p>
            <a:pPr>
              <a:defRPr sz="1100" b="0" i="0" u="none" strike="noStrike" baseline="0">
                <a:solidFill>
                  <a:srgbClr val="000000"/>
                </a:solidFill>
                <a:latin typeface="Calibri"/>
                <a:ea typeface="Calibri"/>
                <a:cs typeface="Calibri"/>
              </a:defRPr>
            </a:pPr>
            <a:endParaRPr lang="en-US"/>
          </a:p>
        </c:txPr>
        <c:crossAx val="1"/>
        <c:crosses val="autoZero"/>
        <c:auto val="1"/>
        <c:lblAlgn val="ctr"/>
        <c:lblOffset val="100"/>
        <c:noMultiLvlLbl val="0"/>
      </c:catAx>
      <c:valAx>
        <c:axId val="1"/>
        <c:scaling>
          <c:orientation val="minMax"/>
        </c:scaling>
        <c:delete val="1"/>
        <c:axPos val="l"/>
        <c:majorGridlines>
          <c:spPr>
            <a:ln w="9525" cap="flat" cmpd="sng" algn="ctr">
              <a:solidFill>
                <a:schemeClr val="tx1">
                  <a:lumMod val="15000"/>
                  <a:lumOff val="85000"/>
                </a:schemeClr>
              </a:solidFill>
              <a:round/>
            </a:ln>
            <a:effectLst/>
          </c:spPr>
        </c:majorGridlines>
        <c:numFmt formatCode="_-* #\ ##0_-;\-* #\ ##0_-;_-* &quot;-&quot;??_-;_-@_-" sourceLinked="1"/>
        <c:majorTickMark val="out"/>
        <c:minorTickMark val="none"/>
        <c:tickLblPos val="nextTo"/>
        <c:crossAx val="1399750159"/>
        <c:crosses val="autoZero"/>
        <c:crossBetween val="between"/>
      </c:valAx>
    </c:plotArea>
    <c:legend>
      <c:legendPos val="r"/>
      <c:layout>
        <c:manualLayout>
          <c:xMode val="edge"/>
          <c:yMode val="edge"/>
          <c:x val="0.63060873861355571"/>
          <c:y val="0.18380651016753749"/>
          <c:w val="0.34824665740311866"/>
          <c:h val="0.71030326816624556"/>
        </c:manualLayout>
      </c:layout>
      <c:overlay val="0"/>
      <c:spPr>
        <a:noFill/>
        <a:ln w="25400">
          <a:noFill/>
        </a:ln>
      </c:spPr>
      <c:txPr>
        <a:bodyPr/>
        <a:lstStyle/>
        <a:p>
          <a:pPr>
            <a:defRPr sz="850" b="0" i="0" u="none" strike="noStrike" baseline="0">
              <a:solidFill>
                <a:srgbClr val="000000"/>
              </a:solidFill>
              <a:latin typeface="Calibri"/>
              <a:ea typeface="Calibri"/>
              <a:cs typeface="Calibri"/>
            </a:defRPr>
          </a:pPr>
          <a:endParaRPr lang="en-US"/>
        </a:p>
      </c:txPr>
    </c:legend>
    <c:plotVisOnly val="1"/>
    <c:dispBlanksAs val="gap"/>
    <c:showDLblsOverMax val="0"/>
  </c:chart>
  <c:spPr>
    <a:solidFill>
      <a:schemeClr val="bg1"/>
    </a:solidFill>
    <a:ln w="9525" cap="flat" cmpd="sng" algn="ctr">
      <a:noFill/>
      <a:round/>
    </a:ln>
    <a:effectLst/>
  </c:spPr>
  <c:txPr>
    <a:bodyPr/>
    <a:lstStyle/>
    <a:p>
      <a:pPr>
        <a:defRPr sz="1100" b="0" i="0" u="none" strike="noStrike" baseline="0">
          <a:solidFill>
            <a:srgbClr val="000000"/>
          </a:solidFill>
          <a:latin typeface="Calibri"/>
          <a:ea typeface="Calibri"/>
          <a:cs typeface="Calibri"/>
        </a:defRPr>
      </a:pPr>
      <a:endParaRPr lang="en-US"/>
    </a:p>
  </c:txPr>
  <c:printSettings>
    <c:headerFooter/>
    <c:pageMargins b="0.75" l="0.7" r="0.7" t="0.75" header="0.3" footer="0.3"/>
    <c:pageSetup orientation="portrait"/>
  </c:printSettings>
</c:chartSpace>
</file>

<file path=xl/charts/chart20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2.3871527777777776E-2"/>
          <c:y val="4.7786414907172239E-2"/>
          <c:w val="0.57559123468941387"/>
          <c:h val="0.83529592857692603"/>
        </c:manualLayout>
      </c:layout>
      <c:barChart>
        <c:barDir val="col"/>
        <c:grouping val="stacked"/>
        <c:varyColors val="0"/>
        <c:ser>
          <c:idx val="0"/>
          <c:order val="0"/>
          <c:tx>
            <c:strRef>
              <c:f>'Solid waste report'!$I$863</c:f>
              <c:strCache>
                <c:ptCount val="1"/>
                <c:pt idx="0">
                  <c:v>Fixed cost</c:v>
                </c:pt>
              </c:strCache>
            </c:strRef>
          </c:tx>
          <c:spPr>
            <a:solidFill>
              <a:srgbClr val="4472C4"/>
            </a:solidFill>
            <a:ln w="25400">
              <a:noFill/>
            </a:ln>
          </c:spPr>
          <c:invertIfNegative val="0"/>
          <c:dPt>
            <c:idx val="0"/>
            <c:invertIfNegative val="0"/>
            <c:bubble3D val="0"/>
            <c:spPr>
              <a:solidFill>
                <a:srgbClr val="5B9BD5"/>
              </a:solidFill>
              <a:ln w="25400">
                <a:noFill/>
              </a:ln>
            </c:spPr>
            <c:extLst>
              <c:ext xmlns:c16="http://schemas.microsoft.com/office/drawing/2014/chart" uri="{C3380CC4-5D6E-409C-BE32-E72D297353CC}">
                <c16:uniqueId val="{00000000-2558-46ED-840D-691E684B221C}"/>
              </c:ext>
            </c:extLst>
          </c:dPt>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'Solid waste report'!$J$862:$K$862</c:f>
              <c:strCache>
                <c:ptCount val="2"/>
                <c:pt idx="0">
                  <c:v>Expenditure R'000</c:v>
                </c:pt>
                <c:pt idx="1">
                  <c:v>Revenue R'000</c:v>
                </c:pt>
              </c:strCache>
            </c:strRef>
          </c:cat>
          <c:val>
            <c:numRef>
              <c:f>'Solid waste report'!$J$863:$K$863</c:f>
              <c:numCache>
                <c:formatCode>General</c:formatCode>
                <c:ptCount val="2"/>
                <c:pt idx="0" formatCode="_-* #\ ##0_-;\-* #\ ##0_-;_-* &quot;-&quot;??_-;_-@_-">
                  <c:v>0</c:v>
                </c:pt>
              </c:numCache>
            </c:numRef>
          </c:val>
          <c:extLst>
            <c:ext xmlns:c16="http://schemas.microsoft.com/office/drawing/2014/chart" uri="{C3380CC4-5D6E-409C-BE32-E72D297353CC}">
              <c16:uniqueId val="{00000001-2558-46ED-840D-691E684B221C}"/>
            </c:ext>
          </c:extLst>
        </c:ser>
        <c:ser>
          <c:idx val="1"/>
          <c:order val="1"/>
          <c:tx>
            <c:strRef>
              <c:f>'Solid waste report'!$I$864</c:f>
              <c:strCache>
                <c:ptCount val="1"/>
                <c:pt idx="0">
                  <c:v>Surplus</c:v>
                </c:pt>
              </c:strCache>
            </c:strRef>
          </c:tx>
          <c:spPr>
            <a:solidFill>
              <a:schemeClr val="accent5">
                <a:lumMod val="60000"/>
                <a:lumOff val="40000"/>
              </a:schemeClr>
            </a:solidFill>
            <a:ln>
              <a:noFill/>
            </a:ln>
            <a:effectLst/>
          </c:spPr>
          <c:invertIfNegative val="0"/>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'Solid waste report'!$J$862:$K$862</c:f>
              <c:strCache>
                <c:ptCount val="2"/>
                <c:pt idx="0">
                  <c:v>Expenditure R'000</c:v>
                </c:pt>
                <c:pt idx="1">
                  <c:v>Revenue R'000</c:v>
                </c:pt>
              </c:strCache>
            </c:strRef>
          </c:cat>
          <c:val>
            <c:numRef>
              <c:f>'Solid waste report'!$J$864:$K$864</c:f>
              <c:numCache>
                <c:formatCode>General</c:formatCode>
                <c:ptCount val="2"/>
                <c:pt idx="0" formatCode="_-* #\ ##0_-;\-* #\ ##0_-;_-* &quot;-&quot;??_-;_-@_-">
                  <c:v>0</c:v>
                </c:pt>
              </c:numCache>
            </c:numRef>
          </c:val>
          <c:extLst>
            <c:ext xmlns:c16="http://schemas.microsoft.com/office/drawing/2014/chart" uri="{C3380CC4-5D6E-409C-BE32-E72D297353CC}">
              <c16:uniqueId val="{00000002-2558-46ED-840D-691E684B221C}"/>
            </c:ext>
          </c:extLst>
        </c:ser>
        <c:ser>
          <c:idx val="2"/>
          <c:order val="2"/>
          <c:tx>
            <c:strRef>
              <c:f>'Solid waste report'!$I$865</c:f>
              <c:strCache>
                <c:ptCount val="1"/>
                <c:pt idx="0">
                  <c:v>Tariff revenue</c:v>
                </c:pt>
              </c:strCache>
            </c:strRef>
          </c:tx>
          <c:spPr>
            <a:solidFill>
              <a:srgbClr val="A5A5A5"/>
            </a:solidFill>
            <a:ln w="25400">
              <a:noFill/>
            </a:ln>
          </c:spPr>
          <c:invertIfNegative val="0"/>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'Solid waste report'!$J$862:$K$862</c:f>
              <c:strCache>
                <c:ptCount val="2"/>
                <c:pt idx="0">
                  <c:v>Expenditure R'000</c:v>
                </c:pt>
                <c:pt idx="1">
                  <c:v>Revenue R'000</c:v>
                </c:pt>
              </c:strCache>
            </c:strRef>
          </c:cat>
          <c:val>
            <c:numRef>
              <c:f>'Solid waste report'!$J$865:$K$865</c:f>
              <c:numCache>
                <c:formatCode>_-* #\ ##0_-;\-* #\ ##0_-;_-* "-"??_-;_-@_-</c:formatCode>
                <c:ptCount val="2"/>
                <c:pt idx="1">
                  <c:v>0</c:v>
                </c:pt>
              </c:numCache>
            </c:numRef>
          </c:val>
          <c:extLst>
            <c:ext xmlns:c16="http://schemas.microsoft.com/office/drawing/2014/chart" uri="{C3380CC4-5D6E-409C-BE32-E72D297353CC}">
              <c16:uniqueId val="{00000003-2558-46ED-840D-691E684B221C}"/>
            </c:ext>
          </c:extLst>
        </c:ser>
        <c:ser>
          <c:idx val="4"/>
          <c:order val="3"/>
          <c:tx>
            <c:strRef>
              <c:f>'Solid waste report'!$I$866</c:f>
              <c:strCache>
                <c:ptCount val="1"/>
                <c:pt idx="0">
                  <c:v>External grants &amp; subsidies</c:v>
                </c:pt>
              </c:strCache>
            </c:strRef>
          </c:tx>
          <c:spPr>
            <a:solidFill>
              <a:srgbClr val="5B9BD5"/>
            </a:solidFill>
            <a:ln w="25400">
              <a:noFill/>
            </a:ln>
          </c:spPr>
          <c:invertIfNegative val="0"/>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'Solid waste report'!$J$862:$K$862</c:f>
              <c:strCache>
                <c:ptCount val="2"/>
                <c:pt idx="0">
                  <c:v>Expenditure R'000</c:v>
                </c:pt>
                <c:pt idx="1">
                  <c:v>Revenue R'000</c:v>
                </c:pt>
              </c:strCache>
            </c:strRef>
          </c:cat>
          <c:val>
            <c:numRef>
              <c:f>'Solid waste report'!$J$866:$K$866</c:f>
              <c:numCache>
                <c:formatCode>_-* #\ ##0_-;\-* #\ ##0_-;_-* "-"??_-;_-@_-</c:formatCode>
                <c:ptCount val="2"/>
                <c:pt idx="1">
                  <c:v>0</c:v>
                </c:pt>
              </c:numCache>
            </c:numRef>
          </c:val>
          <c:extLst>
            <c:ext xmlns:c16="http://schemas.microsoft.com/office/drawing/2014/chart" uri="{C3380CC4-5D6E-409C-BE32-E72D297353CC}">
              <c16:uniqueId val="{00000004-2558-46ED-840D-691E684B221C}"/>
            </c:ext>
          </c:extLst>
        </c:ser>
        <c:ser>
          <c:idx val="5"/>
          <c:order val="4"/>
          <c:tx>
            <c:strRef>
              <c:f>'Solid waste report'!$I$867</c:f>
              <c:strCache>
                <c:ptCount val="1"/>
                <c:pt idx="0">
                  <c:v>Other non-tariff revenue</c:v>
                </c:pt>
              </c:strCache>
            </c:strRef>
          </c:tx>
          <c:spPr>
            <a:solidFill>
              <a:srgbClr val="A5A5A5"/>
            </a:solidFill>
            <a:ln w="25400">
              <a:noFill/>
            </a:ln>
          </c:spPr>
          <c:invertIfNegative val="0"/>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'Solid waste report'!$J$862:$K$862</c:f>
              <c:strCache>
                <c:ptCount val="2"/>
                <c:pt idx="0">
                  <c:v>Expenditure R'000</c:v>
                </c:pt>
                <c:pt idx="1">
                  <c:v>Revenue R'000</c:v>
                </c:pt>
              </c:strCache>
            </c:strRef>
          </c:cat>
          <c:val>
            <c:numRef>
              <c:f>'Solid waste report'!$J$867:$K$867</c:f>
              <c:numCache>
                <c:formatCode>_-* #\ ##0_-;\-* #\ ##0_-;_-* "-"??_-;_-@_-</c:formatCode>
                <c:ptCount val="2"/>
                <c:pt idx="1">
                  <c:v>0</c:v>
                </c:pt>
              </c:numCache>
            </c:numRef>
          </c:val>
          <c:extLst>
            <c:ext xmlns:c16="http://schemas.microsoft.com/office/drawing/2014/chart" uri="{C3380CC4-5D6E-409C-BE32-E72D297353CC}">
              <c16:uniqueId val="{00000005-2558-46ED-840D-691E684B221C}"/>
            </c:ext>
          </c:extLst>
        </c:ser>
        <c:ser>
          <c:idx val="3"/>
          <c:order val="5"/>
          <c:tx>
            <c:strRef>
              <c:f>'Solid waste report'!$I$868</c:f>
              <c:strCache>
                <c:ptCount val="1"/>
                <c:pt idx="0">
                  <c:v>Deficit</c:v>
                </c:pt>
              </c:strCache>
            </c:strRef>
          </c:tx>
          <c:spPr>
            <a:solidFill>
              <a:schemeClr val="accent3">
                <a:lumMod val="40000"/>
                <a:lumOff val="60000"/>
              </a:schemeClr>
            </a:solidFill>
            <a:ln>
              <a:noFill/>
            </a:ln>
            <a:effectLst/>
          </c:spPr>
          <c:invertIfNegative val="0"/>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'Solid waste report'!$J$862:$K$862</c:f>
              <c:strCache>
                <c:ptCount val="2"/>
                <c:pt idx="0">
                  <c:v>Expenditure R'000</c:v>
                </c:pt>
                <c:pt idx="1">
                  <c:v>Revenue R'000</c:v>
                </c:pt>
              </c:strCache>
            </c:strRef>
          </c:cat>
          <c:val>
            <c:numRef>
              <c:f>'Solid waste report'!$J$868:$K$868</c:f>
              <c:numCache>
                <c:formatCode>_-* #\ ##0_-;\-* #\ ##0_-;_-* "-"??_-;_-@_-</c:formatCode>
                <c:ptCount val="2"/>
                <c:pt idx="1">
                  <c:v>0</c:v>
                </c:pt>
              </c:numCache>
            </c:numRef>
          </c:val>
          <c:extLst>
            <c:ext xmlns:c16="http://schemas.microsoft.com/office/drawing/2014/chart" uri="{C3380CC4-5D6E-409C-BE32-E72D297353CC}">
              <c16:uniqueId val="{00000006-2558-46ED-840D-691E684B221C}"/>
            </c:ext>
          </c:extLst>
        </c:ser>
        <c:dLbls>
          <c:showLegendKey val="0"/>
          <c:showVal val="0"/>
          <c:showCatName val="0"/>
          <c:showSerName val="0"/>
          <c:showPercent val="0"/>
          <c:showBubbleSize val="0"/>
        </c:dLbls>
        <c:gapWidth val="25"/>
        <c:overlap val="100"/>
        <c:axId val="1399748239"/>
        <c:axId val="1"/>
      </c:barChart>
      <c:catAx>
        <c:axId val="1399748239"/>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0" vert="horz"/>
          <a:lstStyle/>
          <a:p>
            <a:pPr>
              <a:defRPr sz="1100" b="0" i="0" u="none" strike="noStrike" baseline="0">
                <a:solidFill>
                  <a:srgbClr val="000000"/>
                </a:solidFill>
                <a:latin typeface="Calibri"/>
                <a:ea typeface="Calibri"/>
                <a:cs typeface="Calibri"/>
              </a:defRPr>
            </a:pPr>
            <a:endParaRPr lang="en-US"/>
          </a:p>
        </c:txPr>
        <c:crossAx val="1"/>
        <c:crosses val="autoZero"/>
        <c:auto val="1"/>
        <c:lblAlgn val="ctr"/>
        <c:lblOffset val="100"/>
        <c:noMultiLvlLbl val="0"/>
      </c:catAx>
      <c:valAx>
        <c:axId val="1"/>
        <c:scaling>
          <c:orientation val="minMax"/>
        </c:scaling>
        <c:delete val="1"/>
        <c:axPos val="l"/>
        <c:majorGridlines>
          <c:spPr>
            <a:ln w="9525" cap="flat" cmpd="sng" algn="ctr">
              <a:solidFill>
                <a:schemeClr val="tx1">
                  <a:lumMod val="15000"/>
                  <a:lumOff val="85000"/>
                </a:schemeClr>
              </a:solidFill>
              <a:round/>
            </a:ln>
            <a:effectLst/>
          </c:spPr>
        </c:majorGridlines>
        <c:numFmt formatCode="_-* #\ ##0_-;\-* #\ ##0_-;_-* &quot;-&quot;??_-;_-@_-" sourceLinked="1"/>
        <c:majorTickMark val="out"/>
        <c:minorTickMark val="none"/>
        <c:tickLblPos val="nextTo"/>
        <c:crossAx val="1399748239"/>
        <c:crosses val="autoZero"/>
        <c:crossBetween val="between"/>
      </c:valAx>
    </c:plotArea>
    <c:legend>
      <c:legendPos val="r"/>
      <c:layout>
        <c:manualLayout>
          <c:xMode val="edge"/>
          <c:yMode val="edge"/>
          <c:x val="0.63060873861355571"/>
          <c:y val="0.18380651016753749"/>
          <c:w val="0.34824665740311866"/>
          <c:h val="0.71030326816624556"/>
        </c:manualLayout>
      </c:layout>
      <c:overlay val="0"/>
      <c:spPr>
        <a:noFill/>
        <a:ln w="25400">
          <a:noFill/>
        </a:ln>
      </c:spPr>
      <c:txPr>
        <a:bodyPr/>
        <a:lstStyle/>
        <a:p>
          <a:pPr>
            <a:defRPr sz="850" b="0" i="0" u="none" strike="noStrike" baseline="0">
              <a:solidFill>
                <a:srgbClr val="000000"/>
              </a:solidFill>
              <a:latin typeface="Calibri"/>
              <a:ea typeface="Calibri"/>
              <a:cs typeface="Calibri"/>
            </a:defRPr>
          </a:pPr>
          <a:endParaRPr lang="en-US"/>
        </a:p>
      </c:txPr>
    </c:legend>
    <c:plotVisOnly val="1"/>
    <c:dispBlanksAs val="gap"/>
    <c:showDLblsOverMax val="0"/>
  </c:chart>
  <c:spPr>
    <a:solidFill>
      <a:schemeClr val="bg1"/>
    </a:solidFill>
    <a:ln w="9525" cap="flat" cmpd="sng" algn="ctr">
      <a:noFill/>
      <a:round/>
    </a:ln>
    <a:effectLst/>
  </c:spPr>
  <c:txPr>
    <a:bodyPr/>
    <a:lstStyle/>
    <a:p>
      <a:pPr>
        <a:defRPr sz="1100" b="0" i="0" u="none" strike="noStrike" baseline="0">
          <a:solidFill>
            <a:srgbClr val="000000"/>
          </a:solidFill>
          <a:latin typeface="Calibri"/>
          <a:ea typeface="Calibri"/>
          <a:cs typeface="Calibri"/>
        </a:defRPr>
      </a:pPr>
      <a:endParaRPr lang="en-US"/>
    </a:p>
  </c:txPr>
  <c:printSettings>
    <c:headerFooter/>
    <c:pageMargins b="0.75" l="0.7" r="0.7" t="0.75" header="0.3" footer="0.3"/>
    <c:pageSetup orientation="portrait"/>
  </c:printSettings>
</c:chartSpace>
</file>

<file path=xl/charts/chart20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2.3871527777777776E-2"/>
          <c:y val="4.7786414907172239E-2"/>
          <c:w val="0.57559123468941387"/>
          <c:h val="0.83529592857692603"/>
        </c:manualLayout>
      </c:layout>
      <c:barChart>
        <c:barDir val="col"/>
        <c:grouping val="stacked"/>
        <c:varyColors val="0"/>
        <c:ser>
          <c:idx val="0"/>
          <c:order val="0"/>
          <c:tx>
            <c:strRef>
              <c:f>'Solid waste report'!$I$910</c:f>
              <c:strCache>
                <c:ptCount val="1"/>
                <c:pt idx="0">
                  <c:v>Fixed cost</c:v>
                </c:pt>
              </c:strCache>
            </c:strRef>
          </c:tx>
          <c:spPr>
            <a:solidFill>
              <a:srgbClr val="4472C4"/>
            </a:solidFill>
            <a:ln w="25400">
              <a:noFill/>
            </a:ln>
          </c:spPr>
          <c:invertIfNegative val="0"/>
          <c:dPt>
            <c:idx val="0"/>
            <c:invertIfNegative val="0"/>
            <c:bubble3D val="0"/>
            <c:spPr>
              <a:solidFill>
                <a:srgbClr val="5B9BD5"/>
              </a:solidFill>
              <a:ln w="25400">
                <a:noFill/>
              </a:ln>
            </c:spPr>
            <c:extLst>
              <c:ext xmlns:c16="http://schemas.microsoft.com/office/drawing/2014/chart" uri="{C3380CC4-5D6E-409C-BE32-E72D297353CC}">
                <c16:uniqueId val="{00000000-59EE-4032-A922-C40D70D66195}"/>
              </c:ext>
            </c:extLst>
          </c:dPt>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'Solid waste report'!$J$909:$K$909</c:f>
              <c:strCache>
                <c:ptCount val="2"/>
                <c:pt idx="0">
                  <c:v>Expenditure R'000</c:v>
                </c:pt>
                <c:pt idx="1">
                  <c:v>Revenue R'000</c:v>
                </c:pt>
              </c:strCache>
            </c:strRef>
          </c:cat>
          <c:val>
            <c:numRef>
              <c:f>'Solid waste report'!$J$910:$K$910</c:f>
              <c:numCache>
                <c:formatCode>General</c:formatCode>
                <c:ptCount val="2"/>
                <c:pt idx="0" formatCode="_-* #\ ##0_-;\-* #\ ##0_-;_-* &quot;-&quot;??_-;_-@_-">
                  <c:v>0</c:v>
                </c:pt>
              </c:numCache>
            </c:numRef>
          </c:val>
          <c:extLst>
            <c:ext xmlns:c16="http://schemas.microsoft.com/office/drawing/2014/chart" uri="{C3380CC4-5D6E-409C-BE32-E72D297353CC}">
              <c16:uniqueId val="{00000001-59EE-4032-A922-C40D70D66195}"/>
            </c:ext>
          </c:extLst>
        </c:ser>
        <c:ser>
          <c:idx val="1"/>
          <c:order val="1"/>
          <c:tx>
            <c:strRef>
              <c:f>'Solid waste report'!$I$911</c:f>
              <c:strCache>
                <c:ptCount val="1"/>
                <c:pt idx="0">
                  <c:v>Surplus</c:v>
                </c:pt>
              </c:strCache>
            </c:strRef>
          </c:tx>
          <c:spPr>
            <a:solidFill>
              <a:schemeClr val="accent5">
                <a:lumMod val="60000"/>
                <a:lumOff val="40000"/>
              </a:schemeClr>
            </a:solidFill>
            <a:ln>
              <a:noFill/>
            </a:ln>
            <a:effectLst/>
          </c:spPr>
          <c:invertIfNegative val="0"/>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'Solid waste report'!$J$909:$K$909</c:f>
              <c:strCache>
                <c:ptCount val="2"/>
                <c:pt idx="0">
                  <c:v>Expenditure R'000</c:v>
                </c:pt>
                <c:pt idx="1">
                  <c:v>Revenue R'000</c:v>
                </c:pt>
              </c:strCache>
            </c:strRef>
          </c:cat>
          <c:val>
            <c:numRef>
              <c:f>'Solid waste report'!$J$911:$K$911</c:f>
              <c:numCache>
                <c:formatCode>General</c:formatCode>
                <c:ptCount val="2"/>
                <c:pt idx="0" formatCode="_-* #\ ##0_-;\-* #\ ##0_-;_-* &quot;-&quot;??_-;_-@_-">
                  <c:v>0</c:v>
                </c:pt>
              </c:numCache>
            </c:numRef>
          </c:val>
          <c:extLst>
            <c:ext xmlns:c16="http://schemas.microsoft.com/office/drawing/2014/chart" uri="{C3380CC4-5D6E-409C-BE32-E72D297353CC}">
              <c16:uniqueId val="{00000002-59EE-4032-A922-C40D70D66195}"/>
            </c:ext>
          </c:extLst>
        </c:ser>
        <c:ser>
          <c:idx val="2"/>
          <c:order val="2"/>
          <c:tx>
            <c:strRef>
              <c:f>'Solid waste report'!$I$912</c:f>
              <c:strCache>
                <c:ptCount val="1"/>
                <c:pt idx="0">
                  <c:v>Tariff revenue</c:v>
                </c:pt>
              </c:strCache>
            </c:strRef>
          </c:tx>
          <c:spPr>
            <a:solidFill>
              <a:srgbClr val="A5A5A5"/>
            </a:solidFill>
            <a:ln w="25400">
              <a:noFill/>
            </a:ln>
          </c:spPr>
          <c:invertIfNegative val="0"/>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'Solid waste report'!$J$909:$K$909</c:f>
              <c:strCache>
                <c:ptCount val="2"/>
                <c:pt idx="0">
                  <c:v>Expenditure R'000</c:v>
                </c:pt>
                <c:pt idx="1">
                  <c:v>Revenue R'000</c:v>
                </c:pt>
              </c:strCache>
            </c:strRef>
          </c:cat>
          <c:val>
            <c:numRef>
              <c:f>'Solid waste report'!$J$912:$K$912</c:f>
              <c:numCache>
                <c:formatCode>_-* #\ ##0_-;\-* #\ ##0_-;_-* "-"??_-;_-@_-</c:formatCode>
                <c:ptCount val="2"/>
                <c:pt idx="1">
                  <c:v>0</c:v>
                </c:pt>
              </c:numCache>
            </c:numRef>
          </c:val>
          <c:extLst>
            <c:ext xmlns:c16="http://schemas.microsoft.com/office/drawing/2014/chart" uri="{C3380CC4-5D6E-409C-BE32-E72D297353CC}">
              <c16:uniqueId val="{00000003-59EE-4032-A922-C40D70D66195}"/>
            </c:ext>
          </c:extLst>
        </c:ser>
        <c:ser>
          <c:idx val="4"/>
          <c:order val="3"/>
          <c:tx>
            <c:strRef>
              <c:f>'Solid waste report'!$I$913</c:f>
              <c:strCache>
                <c:ptCount val="1"/>
                <c:pt idx="0">
                  <c:v>External grants &amp; subsidies</c:v>
                </c:pt>
              </c:strCache>
            </c:strRef>
          </c:tx>
          <c:spPr>
            <a:solidFill>
              <a:srgbClr val="5B9BD5"/>
            </a:solidFill>
            <a:ln w="25400">
              <a:noFill/>
            </a:ln>
          </c:spPr>
          <c:invertIfNegative val="0"/>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'Solid waste report'!$J$909:$K$909</c:f>
              <c:strCache>
                <c:ptCount val="2"/>
                <c:pt idx="0">
                  <c:v>Expenditure R'000</c:v>
                </c:pt>
                <c:pt idx="1">
                  <c:v>Revenue R'000</c:v>
                </c:pt>
              </c:strCache>
            </c:strRef>
          </c:cat>
          <c:val>
            <c:numRef>
              <c:f>'Solid waste report'!$J$913:$K$913</c:f>
              <c:numCache>
                <c:formatCode>_-* #\ ##0_-;\-* #\ ##0_-;_-* "-"??_-;_-@_-</c:formatCode>
                <c:ptCount val="2"/>
                <c:pt idx="1">
                  <c:v>0</c:v>
                </c:pt>
              </c:numCache>
            </c:numRef>
          </c:val>
          <c:extLst>
            <c:ext xmlns:c16="http://schemas.microsoft.com/office/drawing/2014/chart" uri="{C3380CC4-5D6E-409C-BE32-E72D297353CC}">
              <c16:uniqueId val="{00000004-59EE-4032-A922-C40D70D66195}"/>
            </c:ext>
          </c:extLst>
        </c:ser>
        <c:ser>
          <c:idx val="5"/>
          <c:order val="4"/>
          <c:tx>
            <c:strRef>
              <c:f>'Solid waste report'!$I$914</c:f>
              <c:strCache>
                <c:ptCount val="1"/>
                <c:pt idx="0">
                  <c:v>Other non-tariff revenue</c:v>
                </c:pt>
              </c:strCache>
            </c:strRef>
          </c:tx>
          <c:spPr>
            <a:solidFill>
              <a:srgbClr val="A5A5A5"/>
            </a:solidFill>
            <a:ln w="25400">
              <a:noFill/>
            </a:ln>
          </c:spPr>
          <c:invertIfNegative val="0"/>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'Solid waste report'!$J$909:$K$909</c:f>
              <c:strCache>
                <c:ptCount val="2"/>
                <c:pt idx="0">
                  <c:v>Expenditure R'000</c:v>
                </c:pt>
                <c:pt idx="1">
                  <c:v>Revenue R'000</c:v>
                </c:pt>
              </c:strCache>
            </c:strRef>
          </c:cat>
          <c:val>
            <c:numRef>
              <c:f>'Solid waste report'!$J$914:$K$914</c:f>
              <c:numCache>
                <c:formatCode>_-* #\ ##0_-;\-* #\ ##0_-;_-* "-"??_-;_-@_-</c:formatCode>
                <c:ptCount val="2"/>
                <c:pt idx="1">
                  <c:v>0</c:v>
                </c:pt>
              </c:numCache>
            </c:numRef>
          </c:val>
          <c:extLst>
            <c:ext xmlns:c16="http://schemas.microsoft.com/office/drawing/2014/chart" uri="{C3380CC4-5D6E-409C-BE32-E72D297353CC}">
              <c16:uniqueId val="{00000005-59EE-4032-A922-C40D70D66195}"/>
            </c:ext>
          </c:extLst>
        </c:ser>
        <c:ser>
          <c:idx val="3"/>
          <c:order val="5"/>
          <c:tx>
            <c:strRef>
              <c:f>'Solid waste report'!$I$915</c:f>
              <c:strCache>
                <c:ptCount val="1"/>
                <c:pt idx="0">
                  <c:v>Deficit</c:v>
                </c:pt>
              </c:strCache>
            </c:strRef>
          </c:tx>
          <c:spPr>
            <a:solidFill>
              <a:schemeClr val="accent3">
                <a:lumMod val="40000"/>
                <a:lumOff val="60000"/>
              </a:schemeClr>
            </a:solidFill>
            <a:ln>
              <a:noFill/>
            </a:ln>
            <a:effectLst/>
          </c:spPr>
          <c:invertIfNegative val="0"/>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'Solid waste report'!$J$909:$K$909</c:f>
              <c:strCache>
                <c:ptCount val="2"/>
                <c:pt idx="0">
                  <c:v>Expenditure R'000</c:v>
                </c:pt>
                <c:pt idx="1">
                  <c:v>Revenue R'000</c:v>
                </c:pt>
              </c:strCache>
            </c:strRef>
          </c:cat>
          <c:val>
            <c:numRef>
              <c:f>'Solid waste report'!$J$915:$K$915</c:f>
              <c:numCache>
                <c:formatCode>_-* #\ ##0_-;\-* #\ ##0_-;_-* "-"??_-;_-@_-</c:formatCode>
                <c:ptCount val="2"/>
                <c:pt idx="1">
                  <c:v>0</c:v>
                </c:pt>
              </c:numCache>
            </c:numRef>
          </c:val>
          <c:extLst>
            <c:ext xmlns:c16="http://schemas.microsoft.com/office/drawing/2014/chart" uri="{C3380CC4-5D6E-409C-BE32-E72D297353CC}">
              <c16:uniqueId val="{00000006-59EE-4032-A922-C40D70D66195}"/>
            </c:ext>
          </c:extLst>
        </c:ser>
        <c:dLbls>
          <c:showLegendKey val="0"/>
          <c:showVal val="0"/>
          <c:showCatName val="0"/>
          <c:showSerName val="0"/>
          <c:showPercent val="0"/>
          <c:showBubbleSize val="0"/>
        </c:dLbls>
        <c:gapWidth val="25"/>
        <c:overlap val="100"/>
        <c:axId val="1399757839"/>
        <c:axId val="1"/>
      </c:barChart>
      <c:catAx>
        <c:axId val="1399757839"/>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0" vert="horz"/>
          <a:lstStyle/>
          <a:p>
            <a:pPr>
              <a:defRPr sz="1100" b="0" i="0" u="none" strike="noStrike" baseline="0">
                <a:solidFill>
                  <a:srgbClr val="000000"/>
                </a:solidFill>
                <a:latin typeface="Calibri"/>
                <a:ea typeface="Calibri"/>
                <a:cs typeface="Calibri"/>
              </a:defRPr>
            </a:pPr>
            <a:endParaRPr lang="en-US"/>
          </a:p>
        </c:txPr>
        <c:crossAx val="1"/>
        <c:crosses val="autoZero"/>
        <c:auto val="1"/>
        <c:lblAlgn val="ctr"/>
        <c:lblOffset val="100"/>
        <c:noMultiLvlLbl val="0"/>
      </c:catAx>
      <c:valAx>
        <c:axId val="1"/>
        <c:scaling>
          <c:orientation val="minMax"/>
        </c:scaling>
        <c:delete val="1"/>
        <c:axPos val="l"/>
        <c:majorGridlines>
          <c:spPr>
            <a:ln w="9525" cap="flat" cmpd="sng" algn="ctr">
              <a:solidFill>
                <a:schemeClr val="tx1">
                  <a:lumMod val="15000"/>
                  <a:lumOff val="85000"/>
                </a:schemeClr>
              </a:solidFill>
              <a:round/>
            </a:ln>
            <a:effectLst/>
          </c:spPr>
        </c:majorGridlines>
        <c:numFmt formatCode="_-* #\ ##0_-;\-* #\ ##0_-;_-* &quot;-&quot;??_-;_-@_-" sourceLinked="1"/>
        <c:majorTickMark val="out"/>
        <c:minorTickMark val="none"/>
        <c:tickLblPos val="nextTo"/>
        <c:crossAx val="1399757839"/>
        <c:crosses val="autoZero"/>
        <c:crossBetween val="between"/>
      </c:valAx>
    </c:plotArea>
    <c:legend>
      <c:legendPos val="r"/>
      <c:layout>
        <c:manualLayout>
          <c:xMode val="edge"/>
          <c:yMode val="edge"/>
          <c:x val="0.63060873861355571"/>
          <c:y val="0.18380651016753749"/>
          <c:w val="0.34824665740311866"/>
          <c:h val="0.71030326816624556"/>
        </c:manualLayout>
      </c:layout>
      <c:overlay val="0"/>
      <c:spPr>
        <a:noFill/>
        <a:ln w="25400">
          <a:noFill/>
        </a:ln>
      </c:spPr>
      <c:txPr>
        <a:bodyPr/>
        <a:lstStyle/>
        <a:p>
          <a:pPr>
            <a:defRPr sz="850" b="0" i="0" u="none" strike="noStrike" baseline="0">
              <a:solidFill>
                <a:srgbClr val="000000"/>
              </a:solidFill>
              <a:latin typeface="Calibri"/>
              <a:ea typeface="Calibri"/>
              <a:cs typeface="Calibri"/>
            </a:defRPr>
          </a:pPr>
          <a:endParaRPr lang="en-US"/>
        </a:p>
      </c:txPr>
    </c:legend>
    <c:plotVisOnly val="1"/>
    <c:dispBlanksAs val="gap"/>
    <c:showDLblsOverMax val="0"/>
  </c:chart>
  <c:spPr>
    <a:solidFill>
      <a:schemeClr val="bg1"/>
    </a:solidFill>
    <a:ln w="9525" cap="flat" cmpd="sng" algn="ctr">
      <a:noFill/>
      <a:round/>
    </a:ln>
    <a:effectLst/>
  </c:spPr>
  <c:txPr>
    <a:bodyPr/>
    <a:lstStyle/>
    <a:p>
      <a:pPr>
        <a:defRPr sz="1100" b="0" i="0" u="none" strike="noStrike" baseline="0">
          <a:solidFill>
            <a:srgbClr val="000000"/>
          </a:solidFill>
          <a:latin typeface="Calibri"/>
          <a:ea typeface="Calibri"/>
          <a:cs typeface="Calibri"/>
        </a:defRPr>
      </a:pPr>
      <a:endParaRPr lang="en-US"/>
    </a:p>
  </c:txPr>
  <c:printSettings>
    <c:headerFooter/>
    <c:pageMargins b="0.75" l="0.7" r="0.7" t="0.75" header="0.3" footer="0.3"/>
    <c:pageSetup orientation="portrait"/>
  </c:printSettings>
</c:chartSpace>
</file>

<file path=xl/charts/chart20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stacked"/>
        <c:varyColors val="0"/>
        <c:ser>
          <c:idx val="0"/>
          <c:order val="0"/>
          <c:tx>
            <c:strRef>
              <c:f>Affordability!$E$46</c:f>
              <c:strCache>
                <c:ptCount val="1"/>
                <c:pt idx="0">
                  <c:v>Water Bill </c:v>
                </c:pt>
              </c:strCache>
            </c:strRef>
          </c:tx>
          <c:spPr>
            <a:solidFill>
              <a:srgbClr val="5B9BD5"/>
            </a:solidFill>
            <a:ln w="25400">
              <a:noFill/>
            </a:ln>
          </c:spPr>
          <c:invertIfNegative val="0"/>
          <c:dLbls>
            <c:spPr>
              <a:noFill/>
              <a:ln w="25400">
                <a:noFill/>
              </a:ln>
            </c:spPr>
            <c:txPr>
              <a:bodyPr wrap="square" lIns="38100" tIns="19050" rIns="38100" bIns="19050" anchor="ctr">
                <a:spAutoFit/>
              </a:bodyPr>
              <a:lstStyle/>
              <a:p>
                <a:pPr>
                  <a:defRPr sz="1100" b="0" i="0" u="none" strike="noStrike" baseline="0">
                    <a:solidFill>
                      <a:srgbClr val="333333"/>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Affordability!$D$47:$D$50</c:f>
              <c:strCache>
                <c:ptCount val="4"/>
                <c:pt idx="0">
                  <c:v>Indigent</c:v>
                </c:pt>
                <c:pt idx="1">
                  <c:v>Low Income </c:v>
                </c:pt>
                <c:pt idx="2">
                  <c:v>Middle Income</c:v>
                </c:pt>
                <c:pt idx="3">
                  <c:v>High Income </c:v>
                </c:pt>
              </c:strCache>
            </c:strRef>
          </c:cat>
          <c:val>
            <c:numRef>
              <c:f>Affordability!$E$47:$E$50</c:f>
              <c:numCache>
                <c:formatCode>_(* #,##0.00_);_(* \(#,##0.00\);_(* "-"??_);_(@_)</c:formatCode>
                <c:ptCount val="4"/>
                <c:pt idx="0">
                  <c:v>0</c:v>
                </c:pt>
                <c:pt idx="1">
                  <c:v>0</c:v>
                </c:pt>
                <c:pt idx="2">
                  <c:v>0</c:v>
                </c:pt>
                <c:pt idx="3">
                  <c:v>0</c:v>
                </c:pt>
              </c:numCache>
            </c:numRef>
          </c:val>
          <c:extLst>
            <c:ext xmlns:c16="http://schemas.microsoft.com/office/drawing/2014/chart" uri="{C3380CC4-5D6E-409C-BE32-E72D297353CC}">
              <c16:uniqueId val="{00000000-1613-44AF-BA72-5DFB56F336D1}"/>
            </c:ext>
          </c:extLst>
        </c:ser>
        <c:ser>
          <c:idx val="1"/>
          <c:order val="1"/>
          <c:tx>
            <c:strRef>
              <c:f>Affordability!$F$46</c:f>
              <c:strCache>
                <c:ptCount val="1"/>
                <c:pt idx="0">
                  <c:v>Sanitation Bill </c:v>
                </c:pt>
              </c:strCache>
            </c:strRef>
          </c:tx>
          <c:spPr>
            <a:solidFill>
              <a:schemeClr val="accent4">
                <a:lumMod val="50000"/>
              </a:schemeClr>
            </a:solidFill>
            <a:ln>
              <a:noFill/>
            </a:ln>
            <a:effectLst/>
          </c:spPr>
          <c:invertIfNegative val="0"/>
          <c:dLbls>
            <c:spPr>
              <a:noFill/>
              <a:ln w="25400">
                <a:noFill/>
              </a:ln>
            </c:spPr>
            <c:txPr>
              <a:bodyPr wrap="square" lIns="38100" tIns="19050" rIns="38100" bIns="19050" anchor="ctr">
                <a:spAutoFit/>
              </a:bodyPr>
              <a:lstStyle/>
              <a:p>
                <a:pPr>
                  <a:defRPr sz="1100" b="0" i="0" u="none" strike="noStrike" baseline="0">
                    <a:solidFill>
                      <a:srgbClr val="333333"/>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Affordability!$D$47:$D$50</c:f>
              <c:strCache>
                <c:ptCount val="4"/>
                <c:pt idx="0">
                  <c:v>Indigent</c:v>
                </c:pt>
                <c:pt idx="1">
                  <c:v>Low Income </c:v>
                </c:pt>
                <c:pt idx="2">
                  <c:v>Middle Income</c:v>
                </c:pt>
                <c:pt idx="3">
                  <c:v>High Income </c:v>
                </c:pt>
              </c:strCache>
            </c:strRef>
          </c:cat>
          <c:val>
            <c:numRef>
              <c:f>Affordability!$F$47:$F$50</c:f>
              <c:numCache>
                <c:formatCode>_(* #,##0.00_);_(* \(#,##0.00\);_(* "-"??_);_(@_)</c:formatCode>
                <c:ptCount val="4"/>
                <c:pt idx="0">
                  <c:v>0</c:v>
                </c:pt>
                <c:pt idx="1">
                  <c:v>0</c:v>
                </c:pt>
                <c:pt idx="2">
                  <c:v>0</c:v>
                </c:pt>
                <c:pt idx="3">
                  <c:v>0</c:v>
                </c:pt>
              </c:numCache>
            </c:numRef>
          </c:val>
          <c:extLst>
            <c:ext xmlns:c16="http://schemas.microsoft.com/office/drawing/2014/chart" uri="{C3380CC4-5D6E-409C-BE32-E72D297353CC}">
              <c16:uniqueId val="{00000001-1613-44AF-BA72-5DFB56F336D1}"/>
            </c:ext>
          </c:extLst>
        </c:ser>
        <c:ser>
          <c:idx val="2"/>
          <c:order val="2"/>
          <c:tx>
            <c:strRef>
              <c:f>Affordability!$G$46</c:f>
              <c:strCache>
                <c:ptCount val="1"/>
                <c:pt idx="0">
                  <c:v>Electricity Bill</c:v>
                </c:pt>
              </c:strCache>
            </c:strRef>
          </c:tx>
          <c:spPr>
            <a:solidFill>
              <a:srgbClr val="FFC000"/>
            </a:solidFill>
            <a:ln w="25400">
              <a:noFill/>
            </a:ln>
          </c:spPr>
          <c:invertIfNegative val="0"/>
          <c:dLbls>
            <c:spPr>
              <a:noFill/>
              <a:ln w="25400">
                <a:noFill/>
              </a:ln>
            </c:spPr>
            <c:txPr>
              <a:bodyPr wrap="square" lIns="38100" tIns="19050" rIns="38100" bIns="19050" anchor="ctr">
                <a:spAutoFit/>
              </a:bodyPr>
              <a:lstStyle/>
              <a:p>
                <a:pPr>
                  <a:defRPr sz="1100" b="0" i="0" u="none" strike="noStrike" baseline="0">
                    <a:solidFill>
                      <a:srgbClr val="333333"/>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Affordability!$D$47:$D$50</c:f>
              <c:strCache>
                <c:ptCount val="4"/>
                <c:pt idx="0">
                  <c:v>Indigent</c:v>
                </c:pt>
                <c:pt idx="1">
                  <c:v>Low Income </c:v>
                </c:pt>
                <c:pt idx="2">
                  <c:v>Middle Income</c:v>
                </c:pt>
                <c:pt idx="3">
                  <c:v>High Income </c:v>
                </c:pt>
              </c:strCache>
            </c:strRef>
          </c:cat>
          <c:val>
            <c:numRef>
              <c:f>Affordability!$G$47:$G$50</c:f>
              <c:numCache>
                <c:formatCode>_(* #,##0.00_);_(* \(#,##0.00\);_(* "-"??_);_(@_)</c:formatCode>
                <c:ptCount val="4"/>
                <c:pt idx="0">
                  <c:v>0</c:v>
                </c:pt>
                <c:pt idx="1">
                  <c:v>0</c:v>
                </c:pt>
                <c:pt idx="2">
                  <c:v>0</c:v>
                </c:pt>
                <c:pt idx="3">
                  <c:v>0</c:v>
                </c:pt>
              </c:numCache>
            </c:numRef>
          </c:val>
          <c:extLst>
            <c:ext xmlns:c16="http://schemas.microsoft.com/office/drawing/2014/chart" uri="{C3380CC4-5D6E-409C-BE32-E72D297353CC}">
              <c16:uniqueId val="{00000002-1613-44AF-BA72-5DFB56F336D1}"/>
            </c:ext>
          </c:extLst>
        </c:ser>
        <c:ser>
          <c:idx val="3"/>
          <c:order val="3"/>
          <c:tx>
            <c:strRef>
              <c:f>Affordability!$H$46</c:f>
              <c:strCache>
                <c:ptCount val="1"/>
                <c:pt idx="0">
                  <c:v>Solid Waste Bill </c:v>
                </c:pt>
              </c:strCache>
            </c:strRef>
          </c:tx>
          <c:spPr>
            <a:solidFill>
              <a:srgbClr val="A5A5A5"/>
            </a:solidFill>
            <a:ln w="25400">
              <a:noFill/>
            </a:ln>
          </c:spPr>
          <c:invertIfNegative val="0"/>
          <c:dLbls>
            <c:spPr>
              <a:noFill/>
              <a:ln w="25400">
                <a:noFill/>
              </a:ln>
            </c:spPr>
            <c:txPr>
              <a:bodyPr wrap="square" lIns="38100" tIns="19050" rIns="38100" bIns="19050" anchor="ctr">
                <a:spAutoFit/>
              </a:bodyPr>
              <a:lstStyle/>
              <a:p>
                <a:pPr>
                  <a:defRPr sz="1100" b="0" i="0" u="none" strike="noStrike" baseline="0">
                    <a:solidFill>
                      <a:srgbClr val="333333"/>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Affordability!$D$47:$D$50</c:f>
              <c:strCache>
                <c:ptCount val="4"/>
                <c:pt idx="0">
                  <c:v>Indigent</c:v>
                </c:pt>
                <c:pt idx="1">
                  <c:v>Low Income </c:v>
                </c:pt>
                <c:pt idx="2">
                  <c:v>Middle Income</c:v>
                </c:pt>
                <c:pt idx="3">
                  <c:v>High Income </c:v>
                </c:pt>
              </c:strCache>
            </c:strRef>
          </c:cat>
          <c:val>
            <c:numRef>
              <c:f>Affordability!$H$47:$H$50</c:f>
              <c:numCache>
                <c:formatCode>_(* #,##0.00_);_(* \(#,##0.00\);_(* "-"??_);_(@_)</c:formatCode>
                <c:ptCount val="4"/>
                <c:pt idx="0">
                  <c:v>0</c:v>
                </c:pt>
                <c:pt idx="1">
                  <c:v>0</c:v>
                </c:pt>
                <c:pt idx="2">
                  <c:v>0</c:v>
                </c:pt>
                <c:pt idx="3">
                  <c:v>0</c:v>
                </c:pt>
              </c:numCache>
            </c:numRef>
          </c:val>
          <c:extLst>
            <c:ext xmlns:c16="http://schemas.microsoft.com/office/drawing/2014/chart" uri="{C3380CC4-5D6E-409C-BE32-E72D297353CC}">
              <c16:uniqueId val="{00000003-1613-44AF-BA72-5DFB56F336D1}"/>
            </c:ext>
          </c:extLst>
        </c:ser>
        <c:dLbls>
          <c:showLegendKey val="0"/>
          <c:showVal val="0"/>
          <c:showCatName val="0"/>
          <c:showSerName val="0"/>
          <c:showPercent val="0"/>
          <c:showBubbleSize val="0"/>
        </c:dLbls>
        <c:gapWidth val="50"/>
        <c:overlap val="100"/>
        <c:axId val="1524474000"/>
        <c:axId val="1"/>
      </c:barChart>
      <c:catAx>
        <c:axId val="1524474000"/>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0" vert="horz"/>
          <a:lstStyle/>
          <a:p>
            <a:pPr>
              <a:defRPr sz="1100" b="0" i="0" u="none" strike="noStrike" baseline="0">
                <a:solidFill>
                  <a:srgbClr val="333333"/>
                </a:solidFill>
                <a:latin typeface="Calibri"/>
                <a:ea typeface="Calibri"/>
                <a:cs typeface="Calibri"/>
              </a:defRPr>
            </a:pPr>
            <a:endParaRPr lang="en-US"/>
          </a:p>
        </c:txPr>
        <c:crossAx val="1"/>
        <c:crosses val="autoZero"/>
        <c:auto val="1"/>
        <c:lblAlgn val="ctr"/>
        <c:lblOffset val="100"/>
        <c:noMultiLvlLbl val="0"/>
      </c:catAx>
      <c:valAx>
        <c:axId val="1"/>
        <c:scaling>
          <c:orientation val="minMax"/>
        </c:scaling>
        <c:delete val="0"/>
        <c:axPos val="l"/>
        <c:majorGridlines>
          <c:spPr>
            <a:ln w="9525" cap="flat" cmpd="sng" algn="ctr">
              <a:solidFill>
                <a:schemeClr val="tx1">
                  <a:lumMod val="15000"/>
                  <a:lumOff val="85000"/>
                </a:schemeClr>
              </a:solidFill>
              <a:round/>
            </a:ln>
            <a:effectLst/>
          </c:spPr>
        </c:majorGridlines>
        <c:title>
          <c:tx>
            <c:rich>
              <a:bodyPr/>
              <a:lstStyle/>
              <a:p>
                <a:pPr>
                  <a:defRPr sz="1100" b="0" i="0" u="none" strike="noStrike" baseline="0">
                    <a:solidFill>
                      <a:srgbClr val="333333"/>
                    </a:solidFill>
                    <a:latin typeface="Calibri"/>
                    <a:ea typeface="Calibri"/>
                    <a:cs typeface="Calibri"/>
                  </a:defRPr>
                </a:pPr>
                <a:r>
                  <a:rPr lang="en-ZA"/>
                  <a:t>Monthly municipal bill (R)</a:t>
                </a:r>
              </a:p>
            </c:rich>
          </c:tx>
          <c:overlay val="0"/>
          <c:spPr>
            <a:noFill/>
            <a:ln w="25400">
              <a:noFill/>
            </a:ln>
          </c:spPr>
        </c:title>
        <c:numFmt formatCode="_(* #,##0_);_(* \(#,##0\);_(* &quot;-&quot;_);_(@_)" sourceLinked="0"/>
        <c:majorTickMark val="none"/>
        <c:minorTickMark val="none"/>
        <c:tickLblPos val="nextTo"/>
        <c:spPr>
          <a:ln w="6350">
            <a:noFill/>
          </a:ln>
        </c:spPr>
        <c:txPr>
          <a:bodyPr rot="0" vert="horz"/>
          <a:lstStyle/>
          <a:p>
            <a:pPr>
              <a:defRPr sz="1100" b="0" i="0" u="none" strike="noStrike" baseline="0">
                <a:solidFill>
                  <a:srgbClr val="333333"/>
                </a:solidFill>
                <a:latin typeface="Calibri"/>
                <a:ea typeface="Calibri"/>
                <a:cs typeface="Calibri"/>
              </a:defRPr>
            </a:pPr>
            <a:endParaRPr lang="en-US"/>
          </a:p>
        </c:txPr>
        <c:crossAx val="1524474000"/>
        <c:crosses val="autoZero"/>
        <c:crossBetween val="between"/>
      </c:valAx>
      <c:spPr>
        <a:noFill/>
        <a:ln w="25400">
          <a:noFill/>
        </a:ln>
      </c:spPr>
    </c:plotArea>
    <c:legend>
      <c:legendPos val="b"/>
      <c:layout>
        <c:manualLayout>
          <c:xMode val="edge"/>
          <c:yMode val="edge"/>
          <c:x val="6.1915665795058923E-2"/>
          <c:y val="0.88855522567875744"/>
          <c:w val="0.86869549373870469"/>
          <c:h val="8.1969966868895461E-2"/>
        </c:manualLayout>
      </c:layout>
      <c:overlay val="0"/>
      <c:spPr>
        <a:noFill/>
        <a:ln w="25400">
          <a:noFill/>
        </a:ln>
      </c:spPr>
      <c:txPr>
        <a:bodyPr/>
        <a:lstStyle/>
        <a:p>
          <a:pPr>
            <a:defRPr sz="850" b="0" i="0" u="none" strike="noStrike" baseline="0">
              <a:solidFill>
                <a:srgbClr val="333333"/>
              </a:solidFill>
              <a:latin typeface="Calibri"/>
              <a:ea typeface="Calibri"/>
              <a:cs typeface="Calibri"/>
            </a:defRPr>
          </a:pPr>
          <a:endParaRPr lang="en-US"/>
        </a:p>
      </c:txPr>
    </c:legend>
    <c:plotVisOnly val="1"/>
    <c:dispBlanksAs val="gap"/>
    <c:showDLblsOverMax val="0"/>
  </c:chart>
  <c:spPr>
    <a:solidFill>
      <a:schemeClr val="bg1"/>
    </a:solidFill>
    <a:ln w="9525" cap="flat" cmpd="sng" algn="ctr">
      <a:noFill/>
      <a:round/>
    </a:ln>
    <a:effectLst/>
  </c:spPr>
  <c:txPr>
    <a:bodyPr/>
    <a:lstStyle/>
    <a:p>
      <a:pPr>
        <a:defRPr sz="11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charts/chart20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stacked"/>
        <c:varyColors val="0"/>
        <c:ser>
          <c:idx val="0"/>
          <c:order val="0"/>
          <c:tx>
            <c:strRef>
              <c:f>Affordability!$E$55</c:f>
              <c:strCache>
                <c:ptCount val="1"/>
                <c:pt idx="0">
                  <c:v>Water Bill </c:v>
                </c:pt>
              </c:strCache>
            </c:strRef>
          </c:tx>
          <c:spPr>
            <a:solidFill>
              <a:srgbClr val="5B9BD5"/>
            </a:solidFill>
            <a:ln w="25400">
              <a:noFill/>
            </a:ln>
          </c:spPr>
          <c:invertIfNegative val="0"/>
          <c:dLbls>
            <c:spPr>
              <a:noFill/>
              <a:ln w="25400">
                <a:noFill/>
              </a:ln>
            </c:spPr>
            <c:txPr>
              <a:bodyPr wrap="square" lIns="38100" tIns="19050" rIns="38100" bIns="19050" anchor="ctr">
                <a:spAutoFit/>
              </a:bodyPr>
              <a:lstStyle/>
              <a:p>
                <a:pPr>
                  <a:defRPr sz="1100" b="0" i="0" u="none" strike="noStrike" baseline="0">
                    <a:solidFill>
                      <a:srgbClr val="333333"/>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Affordability!$D$56:$D$59</c:f>
              <c:strCache>
                <c:ptCount val="4"/>
                <c:pt idx="0">
                  <c:v>Indigent</c:v>
                </c:pt>
                <c:pt idx="1">
                  <c:v>Low Income </c:v>
                </c:pt>
                <c:pt idx="2">
                  <c:v>Middle Income</c:v>
                </c:pt>
                <c:pt idx="3">
                  <c:v>High Income </c:v>
                </c:pt>
              </c:strCache>
            </c:strRef>
          </c:cat>
          <c:val>
            <c:numRef>
              <c:f>Affordability!$E$56:$E$59</c:f>
              <c:numCache>
                <c:formatCode>0%</c:formatCode>
                <c:ptCount val="4"/>
                <c:pt idx="0">
                  <c:v>0</c:v>
                </c:pt>
                <c:pt idx="1">
                  <c:v>0</c:v>
                </c:pt>
                <c:pt idx="2">
                  <c:v>0</c:v>
                </c:pt>
                <c:pt idx="3">
                  <c:v>0</c:v>
                </c:pt>
              </c:numCache>
            </c:numRef>
          </c:val>
          <c:extLst>
            <c:ext xmlns:c16="http://schemas.microsoft.com/office/drawing/2014/chart" uri="{C3380CC4-5D6E-409C-BE32-E72D297353CC}">
              <c16:uniqueId val="{00000000-3A28-4710-8196-628C803EEA3D}"/>
            </c:ext>
          </c:extLst>
        </c:ser>
        <c:ser>
          <c:idx val="1"/>
          <c:order val="1"/>
          <c:tx>
            <c:strRef>
              <c:f>Affordability!$F$55</c:f>
              <c:strCache>
                <c:ptCount val="1"/>
                <c:pt idx="0">
                  <c:v>Sanitation Bill </c:v>
                </c:pt>
              </c:strCache>
            </c:strRef>
          </c:tx>
          <c:spPr>
            <a:solidFill>
              <a:schemeClr val="accent4">
                <a:lumMod val="50000"/>
              </a:schemeClr>
            </a:solidFill>
            <a:ln>
              <a:noFill/>
            </a:ln>
            <a:effectLst/>
          </c:spPr>
          <c:invertIfNegative val="0"/>
          <c:dLbls>
            <c:spPr>
              <a:noFill/>
              <a:ln w="25400">
                <a:noFill/>
              </a:ln>
            </c:spPr>
            <c:txPr>
              <a:bodyPr wrap="square" lIns="38100" tIns="19050" rIns="38100" bIns="19050" anchor="ctr">
                <a:spAutoFit/>
              </a:bodyPr>
              <a:lstStyle/>
              <a:p>
                <a:pPr>
                  <a:defRPr sz="1100" b="0" i="0" u="none" strike="noStrike" baseline="0">
                    <a:solidFill>
                      <a:srgbClr val="333333"/>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Affordability!$D$56:$D$59</c:f>
              <c:strCache>
                <c:ptCount val="4"/>
                <c:pt idx="0">
                  <c:v>Indigent</c:v>
                </c:pt>
                <c:pt idx="1">
                  <c:v>Low Income </c:v>
                </c:pt>
                <c:pt idx="2">
                  <c:v>Middle Income</c:v>
                </c:pt>
                <c:pt idx="3">
                  <c:v>High Income </c:v>
                </c:pt>
              </c:strCache>
            </c:strRef>
          </c:cat>
          <c:val>
            <c:numRef>
              <c:f>Affordability!$F$56:$F$59</c:f>
              <c:numCache>
                <c:formatCode>0%</c:formatCode>
                <c:ptCount val="4"/>
                <c:pt idx="0">
                  <c:v>0</c:v>
                </c:pt>
                <c:pt idx="1">
                  <c:v>0</c:v>
                </c:pt>
                <c:pt idx="2">
                  <c:v>0</c:v>
                </c:pt>
                <c:pt idx="3">
                  <c:v>0</c:v>
                </c:pt>
              </c:numCache>
            </c:numRef>
          </c:val>
          <c:extLst>
            <c:ext xmlns:c16="http://schemas.microsoft.com/office/drawing/2014/chart" uri="{C3380CC4-5D6E-409C-BE32-E72D297353CC}">
              <c16:uniqueId val="{00000001-3A28-4710-8196-628C803EEA3D}"/>
            </c:ext>
          </c:extLst>
        </c:ser>
        <c:ser>
          <c:idx val="2"/>
          <c:order val="2"/>
          <c:tx>
            <c:strRef>
              <c:f>Affordability!$G$55</c:f>
              <c:strCache>
                <c:ptCount val="1"/>
                <c:pt idx="0">
                  <c:v>Electricity Bill</c:v>
                </c:pt>
              </c:strCache>
            </c:strRef>
          </c:tx>
          <c:spPr>
            <a:solidFill>
              <a:srgbClr val="FFC000"/>
            </a:solidFill>
            <a:ln w="25400">
              <a:noFill/>
            </a:ln>
          </c:spPr>
          <c:invertIfNegative val="0"/>
          <c:dLbls>
            <c:spPr>
              <a:noFill/>
              <a:ln w="25400">
                <a:noFill/>
              </a:ln>
            </c:spPr>
            <c:txPr>
              <a:bodyPr wrap="square" lIns="38100" tIns="19050" rIns="38100" bIns="19050" anchor="ctr">
                <a:spAutoFit/>
              </a:bodyPr>
              <a:lstStyle/>
              <a:p>
                <a:pPr>
                  <a:defRPr sz="1100" b="0" i="0" u="none" strike="noStrike" baseline="0">
                    <a:solidFill>
                      <a:srgbClr val="333333"/>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Affordability!$D$56:$D$59</c:f>
              <c:strCache>
                <c:ptCount val="4"/>
                <c:pt idx="0">
                  <c:v>Indigent</c:v>
                </c:pt>
                <c:pt idx="1">
                  <c:v>Low Income </c:v>
                </c:pt>
                <c:pt idx="2">
                  <c:v>Middle Income</c:v>
                </c:pt>
                <c:pt idx="3">
                  <c:v>High Income </c:v>
                </c:pt>
              </c:strCache>
            </c:strRef>
          </c:cat>
          <c:val>
            <c:numRef>
              <c:f>Affordability!$G$56:$G$59</c:f>
              <c:numCache>
                <c:formatCode>0%</c:formatCode>
                <c:ptCount val="4"/>
                <c:pt idx="0">
                  <c:v>0</c:v>
                </c:pt>
                <c:pt idx="1">
                  <c:v>0</c:v>
                </c:pt>
                <c:pt idx="2">
                  <c:v>0</c:v>
                </c:pt>
                <c:pt idx="3">
                  <c:v>0</c:v>
                </c:pt>
              </c:numCache>
            </c:numRef>
          </c:val>
          <c:extLst>
            <c:ext xmlns:c16="http://schemas.microsoft.com/office/drawing/2014/chart" uri="{C3380CC4-5D6E-409C-BE32-E72D297353CC}">
              <c16:uniqueId val="{00000002-3A28-4710-8196-628C803EEA3D}"/>
            </c:ext>
          </c:extLst>
        </c:ser>
        <c:ser>
          <c:idx val="3"/>
          <c:order val="3"/>
          <c:tx>
            <c:strRef>
              <c:f>Affordability!$H$55</c:f>
              <c:strCache>
                <c:ptCount val="1"/>
                <c:pt idx="0">
                  <c:v>Solid Waste Bill </c:v>
                </c:pt>
              </c:strCache>
            </c:strRef>
          </c:tx>
          <c:spPr>
            <a:solidFill>
              <a:srgbClr val="A5A5A5"/>
            </a:solidFill>
            <a:ln w="25400">
              <a:noFill/>
            </a:ln>
          </c:spPr>
          <c:invertIfNegative val="0"/>
          <c:dLbls>
            <c:spPr>
              <a:noFill/>
              <a:ln w="25400">
                <a:noFill/>
              </a:ln>
            </c:spPr>
            <c:txPr>
              <a:bodyPr wrap="square" lIns="38100" tIns="19050" rIns="38100" bIns="19050" anchor="ctr">
                <a:spAutoFit/>
              </a:bodyPr>
              <a:lstStyle/>
              <a:p>
                <a:pPr>
                  <a:defRPr sz="1100" b="0" i="0" u="none" strike="noStrike" baseline="0">
                    <a:solidFill>
                      <a:srgbClr val="333333"/>
                    </a:solidFill>
                    <a:latin typeface="Calibri"/>
                    <a:ea typeface="Calibri"/>
                    <a:cs typeface="Calibri"/>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Affordability!$D$56:$D$59</c:f>
              <c:strCache>
                <c:ptCount val="4"/>
                <c:pt idx="0">
                  <c:v>Indigent</c:v>
                </c:pt>
                <c:pt idx="1">
                  <c:v>Low Income </c:v>
                </c:pt>
                <c:pt idx="2">
                  <c:v>Middle Income</c:v>
                </c:pt>
                <c:pt idx="3">
                  <c:v>High Income </c:v>
                </c:pt>
              </c:strCache>
            </c:strRef>
          </c:cat>
          <c:val>
            <c:numRef>
              <c:f>Affordability!$H$56:$H$59</c:f>
              <c:numCache>
                <c:formatCode>0%</c:formatCode>
                <c:ptCount val="4"/>
                <c:pt idx="0">
                  <c:v>0</c:v>
                </c:pt>
                <c:pt idx="1">
                  <c:v>0</c:v>
                </c:pt>
                <c:pt idx="2">
                  <c:v>0</c:v>
                </c:pt>
                <c:pt idx="3">
                  <c:v>0</c:v>
                </c:pt>
              </c:numCache>
            </c:numRef>
          </c:val>
          <c:extLst>
            <c:ext xmlns:c16="http://schemas.microsoft.com/office/drawing/2014/chart" uri="{C3380CC4-5D6E-409C-BE32-E72D297353CC}">
              <c16:uniqueId val="{00000003-3A28-4710-8196-628C803EEA3D}"/>
            </c:ext>
          </c:extLst>
        </c:ser>
        <c:dLbls>
          <c:showLegendKey val="0"/>
          <c:showVal val="0"/>
          <c:showCatName val="0"/>
          <c:showSerName val="0"/>
          <c:showPercent val="0"/>
          <c:showBubbleSize val="0"/>
        </c:dLbls>
        <c:gapWidth val="50"/>
        <c:overlap val="100"/>
        <c:axId val="1524484560"/>
        <c:axId val="1"/>
      </c:barChart>
      <c:catAx>
        <c:axId val="1524484560"/>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0" vert="horz"/>
          <a:lstStyle/>
          <a:p>
            <a:pPr>
              <a:defRPr sz="1100" b="0" i="0" u="none" strike="noStrike" baseline="0">
                <a:solidFill>
                  <a:srgbClr val="333333"/>
                </a:solidFill>
                <a:latin typeface="Calibri"/>
                <a:ea typeface="Calibri"/>
                <a:cs typeface="Calibri"/>
              </a:defRPr>
            </a:pPr>
            <a:endParaRPr lang="en-US"/>
          </a:p>
        </c:txPr>
        <c:crossAx val="1"/>
        <c:crosses val="autoZero"/>
        <c:auto val="1"/>
        <c:lblAlgn val="ctr"/>
        <c:lblOffset val="100"/>
        <c:noMultiLvlLbl val="0"/>
      </c:catAx>
      <c:valAx>
        <c:axId val="1"/>
        <c:scaling>
          <c:orientation val="minMax"/>
        </c:scaling>
        <c:delete val="0"/>
        <c:axPos val="l"/>
        <c:majorGridlines>
          <c:spPr>
            <a:ln w="9525" cap="flat" cmpd="sng" algn="ctr">
              <a:solidFill>
                <a:schemeClr val="tx1">
                  <a:lumMod val="15000"/>
                  <a:lumOff val="85000"/>
                </a:schemeClr>
              </a:solidFill>
              <a:round/>
            </a:ln>
            <a:effectLst/>
          </c:spPr>
        </c:majorGridlines>
        <c:title>
          <c:tx>
            <c:rich>
              <a:bodyPr/>
              <a:lstStyle/>
              <a:p>
                <a:pPr>
                  <a:defRPr sz="1100" b="0" i="0" u="none" strike="noStrike" baseline="0">
                    <a:solidFill>
                      <a:srgbClr val="333333"/>
                    </a:solidFill>
                    <a:latin typeface="Calibri"/>
                    <a:ea typeface="Calibri"/>
                    <a:cs typeface="Calibri"/>
                  </a:defRPr>
                </a:pPr>
                <a:r>
                  <a:rPr lang="en-ZA"/>
                  <a:t>Monthly municipal bill as a % of income</a:t>
                </a:r>
              </a:p>
            </c:rich>
          </c:tx>
          <c:overlay val="0"/>
          <c:spPr>
            <a:noFill/>
            <a:ln w="25400">
              <a:noFill/>
            </a:ln>
          </c:spPr>
        </c:title>
        <c:numFmt formatCode="0%" sourceLinked="0"/>
        <c:majorTickMark val="none"/>
        <c:minorTickMark val="none"/>
        <c:tickLblPos val="nextTo"/>
        <c:spPr>
          <a:ln w="6350">
            <a:noFill/>
          </a:ln>
        </c:spPr>
        <c:txPr>
          <a:bodyPr rot="0" vert="horz"/>
          <a:lstStyle/>
          <a:p>
            <a:pPr>
              <a:defRPr sz="1100" b="0" i="0" u="none" strike="noStrike" baseline="0">
                <a:solidFill>
                  <a:srgbClr val="333333"/>
                </a:solidFill>
                <a:latin typeface="Calibri"/>
                <a:ea typeface="Calibri"/>
                <a:cs typeface="Calibri"/>
              </a:defRPr>
            </a:pPr>
            <a:endParaRPr lang="en-US"/>
          </a:p>
        </c:txPr>
        <c:crossAx val="1524484560"/>
        <c:crosses val="autoZero"/>
        <c:crossBetween val="between"/>
      </c:valAx>
      <c:spPr>
        <a:noFill/>
        <a:ln w="25400">
          <a:noFill/>
        </a:ln>
      </c:spPr>
    </c:plotArea>
    <c:legend>
      <c:legendPos val="b"/>
      <c:layout>
        <c:manualLayout>
          <c:xMode val="edge"/>
          <c:yMode val="edge"/>
          <c:x val="8.0526900429581133E-2"/>
          <c:y val="0.88855522567875744"/>
          <c:w val="0.8670679367326275"/>
          <c:h val="8.1969966868895461E-2"/>
        </c:manualLayout>
      </c:layout>
      <c:overlay val="0"/>
      <c:spPr>
        <a:noFill/>
        <a:ln w="25400">
          <a:noFill/>
        </a:ln>
      </c:spPr>
      <c:txPr>
        <a:bodyPr/>
        <a:lstStyle/>
        <a:p>
          <a:pPr>
            <a:defRPr sz="850" b="0" i="0" u="none" strike="noStrike" baseline="0">
              <a:solidFill>
                <a:srgbClr val="333333"/>
              </a:solidFill>
              <a:latin typeface="Calibri"/>
              <a:ea typeface="Calibri"/>
              <a:cs typeface="Calibri"/>
            </a:defRPr>
          </a:pPr>
          <a:endParaRPr lang="en-US"/>
        </a:p>
      </c:txPr>
    </c:legend>
    <c:plotVisOnly val="1"/>
    <c:dispBlanksAs val="gap"/>
    <c:showDLblsOverMax val="0"/>
  </c:chart>
  <c:spPr>
    <a:solidFill>
      <a:schemeClr val="bg1"/>
    </a:solidFill>
    <a:ln w="9525" cap="flat" cmpd="sng" algn="ctr">
      <a:noFill/>
      <a:round/>
    </a:ln>
    <a:effectLst/>
  </c:spPr>
  <c:txPr>
    <a:bodyPr/>
    <a:lstStyle/>
    <a:p>
      <a:pPr>
        <a:defRPr sz="11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drawings/_rels/drawing1.xml.rels><?xml version="1.0" encoding="UTF-8" standalone="yes"?>
<Relationships xmlns="http://schemas.openxmlformats.org/package/2006/relationships"><Relationship Id="rId3" Type="http://schemas.openxmlformats.org/officeDocument/2006/relationships/image" Target="../media/image1.png"/><Relationship Id="rId2" Type="http://schemas.openxmlformats.org/officeDocument/2006/relationships/hyperlink" Target="#Expenditure!A5"/><Relationship Id="rId1" Type="http://schemas.openxmlformats.org/officeDocument/2006/relationships/hyperlink" Target="#Revenue!A5"/><Relationship Id="rId6" Type="http://schemas.openxmlformats.org/officeDocument/2006/relationships/hyperlink" Target="#'User instructions'!A5"/><Relationship Id="rId5" Type="http://schemas.openxmlformats.org/officeDocument/2006/relationships/hyperlink" Target="#'Revenue required'!A5"/><Relationship Id="rId4" Type="http://schemas.openxmlformats.org/officeDocument/2006/relationships/hyperlink" Target="#Surplus!A5"/></Relationships>
</file>

<file path=xl/drawings/_rels/drawing2.xml.rels><?xml version="1.0" encoding="UTF-8" standalone="yes"?>
<Relationships xmlns="http://schemas.openxmlformats.org/package/2006/relationships"><Relationship Id="rId2" Type="http://schemas.openxmlformats.org/officeDocument/2006/relationships/hyperlink" Target="#'User instructions'!C7"/><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3" Type="http://schemas.openxmlformats.org/officeDocument/2006/relationships/image" Target="../media/image5.png"/><Relationship Id="rId2" Type="http://schemas.openxmlformats.org/officeDocument/2006/relationships/image" Target="../media/image4.png"/><Relationship Id="rId1" Type="http://schemas.openxmlformats.org/officeDocument/2006/relationships/image" Target="../media/image3.png"/><Relationship Id="rId5" Type="http://schemas.openxmlformats.org/officeDocument/2006/relationships/image" Target="../media/image7.png"/><Relationship Id="rId4" Type="http://schemas.openxmlformats.org/officeDocument/2006/relationships/image" Target="../media/image6.png"/></Relationships>
</file>

<file path=xl/drawings/_rels/drawing4.xml.rels><?xml version="1.0" encoding="UTF-8" standalone="yes"?>
<Relationships xmlns="http://schemas.openxmlformats.org/package/2006/relationships"><Relationship Id="rId3" Type="http://schemas.openxmlformats.org/officeDocument/2006/relationships/chart" Target="../charts/chart3.xml"/><Relationship Id="rId2" Type="http://schemas.openxmlformats.org/officeDocument/2006/relationships/chart" Target="../charts/chart2.xml"/><Relationship Id="rId1" Type="http://schemas.openxmlformats.org/officeDocument/2006/relationships/chart" Target="../charts/chart1.xml"/></Relationships>
</file>

<file path=xl/drawings/_rels/drawing6.xml.rels><?xml version="1.0" encoding="UTF-8" standalone="yes"?>
<Relationships xmlns="http://schemas.openxmlformats.org/package/2006/relationships"><Relationship Id="rId1" Type="http://schemas.openxmlformats.org/officeDocument/2006/relationships/chart" Target="../charts/chart4.xml"/></Relationships>
</file>

<file path=xl/drawings/_rels/drawing7.xml.rels><?xml version="1.0" encoding="UTF-8" standalone="yes"?>
<Relationships xmlns="http://schemas.openxmlformats.org/package/2006/relationships"><Relationship Id="rId2" Type="http://schemas.openxmlformats.org/officeDocument/2006/relationships/hyperlink" Target="#Revenue!C7"/><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3" Type="http://schemas.openxmlformats.org/officeDocument/2006/relationships/hyperlink" Target="#Expenditure!C7"/><Relationship Id="rId2" Type="http://schemas.openxmlformats.org/officeDocument/2006/relationships/chart" Target="../charts/chart5.xml"/><Relationship Id="rId1" Type="http://schemas.openxmlformats.org/officeDocument/2006/relationships/image" Target="../media/image1.png"/><Relationship Id="rId5" Type="http://schemas.openxmlformats.org/officeDocument/2006/relationships/chart" Target="../charts/chart7.xml"/><Relationship Id="rId4" Type="http://schemas.openxmlformats.org/officeDocument/2006/relationships/chart" Target="../charts/chart6.xml"/></Relationships>
</file>

<file path=xl/drawings/_rels/drawing9.xml.rels><?xml version="1.0" encoding="UTF-8" standalone="yes"?>
<Relationships xmlns="http://schemas.openxmlformats.org/package/2006/relationships"><Relationship Id="rId13" Type="http://schemas.openxmlformats.org/officeDocument/2006/relationships/chart" Target="../charts/chart18.xml"/><Relationship Id="rId18" Type="http://schemas.openxmlformats.org/officeDocument/2006/relationships/chart" Target="../charts/chart23.xml"/><Relationship Id="rId26" Type="http://schemas.openxmlformats.org/officeDocument/2006/relationships/chart" Target="../charts/chart31.xml"/><Relationship Id="rId39" Type="http://schemas.openxmlformats.org/officeDocument/2006/relationships/chart" Target="../charts/chart44.xml"/><Relationship Id="rId21" Type="http://schemas.openxmlformats.org/officeDocument/2006/relationships/chart" Target="../charts/chart26.xml"/><Relationship Id="rId34" Type="http://schemas.openxmlformats.org/officeDocument/2006/relationships/chart" Target="../charts/chart39.xml"/><Relationship Id="rId42" Type="http://schemas.openxmlformats.org/officeDocument/2006/relationships/chart" Target="../charts/chart47.xml"/><Relationship Id="rId47" Type="http://schemas.openxmlformats.org/officeDocument/2006/relationships/chart" Target="../charts/chart52.xml"/><Relationship Id="rId50" Type="http://schemas.openxmlformats.org/officeDocument/2006/relationships/chart" Target="../charts/chart55.xml"/><Relationship Id="rId55" Type="http://schemas.openxmlformats.org/officeDocument/2006/relationships/chart" Target="../charts/chart60.xml"/><Relationship Id="rId7" Type="http://schemas.openxmlformats.org/officeDocument/2006/relationships/chart" Target="../charts/chart12.xml"/><Relationship Id="rId2" Type="http://schemas.openxmlformats.org/officeDocument/2006/relationships/hyperlink" Target="#'Revenue required'!C7"/><Relationship Id="rId16" Type="http://schemas.openxmlformats.org/officeDocument/2006/relationships/chart" Target="../charts/chart21.xml"/><Relationship Id="rId29" Type="http://schemas.openxmlformats.org/officeDocument/2006/relationships/chart" Target="../charts/chart34.xml"/><Relationship Id="rId11" Type="http://schemas.openxmlformats.org/officeDocument/2006/relationships/chart" Target="../charts/chart16.xml"/><Relationship Id="rId24" Type="http://schemas.openxmlformats.org/officeDocument/2006/relationships/chart" Target="../charts/chart29.xml"/><Relationship Id="rId32" Type="http://schemas.openxmlformats.org/officeDocument/2006/relationships/chart" Target="../charts/chart37.xml"/><Relationship Id="rId37" Type="http://schemas.openxmlformats.org/officeDocument/2006/relationships/chart" Target="../charts/chart42.xml"/><Relationship Id="rId40" Type="http://schemas.openxmlformats.org/officeDocument/2006/relationships/chart" Target="../charts/chart45.xml"/><Relationship Id="rId45" Type="http://schemas.openxmlformats.org/officeDocument/2006/relationships/chart" Target="../charts/chart50.xml"/><Relationship Id="rId53" Type="http://schemas.openxmlformats.org/officeDocument/2006/relationships/chart" Target="../charts/chart58.xml"/><Relationship Id="rId5" Type="http://schemas.openxmlformats.org/officeDocument/2006/relationships/chart" Target="../charts/chart10.xml"/><Relationship Id="rId10" Type="http://schemas.openxmlformats.org/officeDocument/2006/relationships/chart" Target="../charts/chart15.xml"/><Relationship Id="rId19" Type="http://schemas.openxmlformats.org/officeDocument/2006/relationships/chart" Target="../charts/chart24.xml"/><Relationship Id="rId31" Type="http://schemas.openxmlformats.org/officeDocument/2006/relationships/chart" Target="../charts/chart36.xml"/><Relationship Id="rId44" Type="http://schemas.openxmlformats.org/officeDocument/2006/relationships/chart" Target="../charts/chart49.xml"/><Relationship Id="rId52" Type="http://schemas.openxmlformats.org/officeDocument/2006/relationships/chart" Target="../charts/chart57.xml"/><Relationship Id="rId4" Type="http://schemas.openxmlformats.org/officeDocument/2006/relationships/chart" Target="../charts/chart9.xml"/><Relationship Id="rId9" Type="http://schemas.openxmlformats.org/officeDocument/2006/relationships/chart" Target="../charts/chart14.xml"/><Relationship Id="rId14" Type="http://schemas.openxmlformats.org/officeDocument/2006/relationships/chart" Target="../charts/chart19.xml"/><Relationship Id="rId22" Type="http://schemas.openxmlformats.org/officeDocument/2006/relationships/chart" Target="../charts/chart27.xml"/><Relationship Id="rId27" Type="http://schemas.openxmlformats.org/officeDocument/2006/relationships/chart" Target="../charts/chart32.xml"/><Relationship Id="rId30" Type="http://schemas.openxmlformats.org/officeDocument/2006/relationships/chart" Target="../charts/chart35.xml"/><Relationship Id="rId35" Type="http://schemas.openxmlformats.org/officeDocument/2006/relationships/chart" Target="../charts/chart40.xml"/><Relationship Id="rId43" Type="http://schemas.openxmlformats.org/officeDocument/2006/relationships/chart" Target="../charts/chart48.xml"/><Relationship Id="rId48" Type="http://schemas.openxmlformats.org/officeDocument/2006/relationships/chart" Target="../charts/chart53.xml"/><Relationship Id="rId56" Type="http://schemas.openxmlformats.org/officeDocument/2006/relationships/chart" Target="../charts/chart61.xml"/><Relationship Id="rId8" Type="http://schemas.openxmlformats.org/officeDocument/2006/relationships/chart" Target="../charts/chart13.xml"/><Relationship Id="rId51" Type="http://schemas.openxmlformats.org/officeDocument/2006/relationships/chart" Target="../charts/chart56.xml"/><Relationship Id="rId3" Type="http://schemas.openxmlformats.org/officeDocument/2006/relationships/chart" Target="../charts/chart8.xml"/><Relationship Id="rId12" Type="http://schemas.openxmlformats.org/officeDocument/2006/relationships/chart" Target="../charts/chart17.xml"/><Relationship Id="rId17" Type="http://schemas.openxmlformats.org/officeDocument/2006/relationships/chart" Target="../charts/chart22.xml"/><Relationship Id="rId25" Type="http://schemas.openxmlformats.org/officeDocument/2006/relationships/chart" Target="../charts/chart30.xml"/><Relationship Id="rId33" Type="http://schemas.openxmlformats.org/officeDocument/2006/relationships/chart" Target="../charts/chart38.xml"/><Relationship Id="rId38" Type="http://schemas.openxmlformats.org/officeDocument/2006/relationships/chart" Target="../charts/chart43.xml"/><Relationship Id="rId46" Type="http://schemas.openxmlformats.org/officeDocument/2006/relationships/chart" Target="../charts/chart51.xml"/><Relationship Id="rId20" Type="http://schemas.openxmlformats.org/officeDocument/2006/relationships/chart" Target="../charts/chart25.xml"/><Relationship Id="rId41" Type="http://schemas.openxmlformats.org/officeDocument/2006/relationships/chart" Target="../charts/chart46.xml"/><Relationship Id="rId54" Type="http://schemas.openxmlformats.org/officeDocument/2006/relationships/chart" Target="../charts/chart59.xml"/><Relationship Id="rId1" Type="http://schemas.openxmlformats.org/officeDocument/2006/relationships/image" Target="../media/image1.png"/><Relationship Id="rId6" Type="http://schemas.openxmlformats.org/officeDocument/2006/relationships/chart" Target="../charts/chart11.xml"/><Relationship Id="rId15" Type="http://schemas.openxmlformats.org/officeDocument/2006/relationships/chart" Target="../charts/chart20.xml"/><Relationship Id="rId23" Type="http://schemas.openxmlformats.org/officeDocument/2006/relationships/chart" Target="../charts/chart28.xml"/><Relationship Id="rId28" Type="http://schemas.openxmlformats.org/officeDocument/2006/relationships/chart" Target="../charts/chart33.xml"/><Relationship Id="rId36" Type="http://schemas.openxmlformats.org/officeDocument/2006/relationships/chart" Target="../charts/chart41.xml"/><Relationship Id="rId49" Type="http://schemas.openxmlformats.org/officeDocument/2006/relationships/chart" Target="../charts/chart54.xml"/></Relationships>
</file>

<file path=xl/drawings/_rels/drawing10.xml.rels><?xml version="1.0" encoding="UTF-8" standalone="yes"?>
<Relationships xmlns="http://schemas.openxmlformats.org/package/2006/relationships"><Relationship Id="rId2" Type="http://schemas.openxmlformats.org/officeDocument/2006/relationships/hyperlink" Target="#Surplus!C7"/><Relationship Id="rId1" Type="http://schemas.openxmlformats.org/officeDocument/2006/relationships/image" Target="../media/image1.png"/></Relationships>
</file>

<file path=xl/drawings/_rels/drawing11.xml.rels><?xml version="1.0" encoding="UTF-8" standalone="yes"?>
<Relationships xmlns="http://schemas.openxmlformats.org/package/2006/relationships"><Relationship Id="rId2" Type="http://schemas.openxmlformats.org/officeDocument/2006/relationships/hyperlink" Target="#'1 Customer data'!C7"/><Relationship Id="rId1" Type="http://schemas.openxmlformats.org/officeDocument/2006/relationships/image" Target="../media/image1.png"/></Relationships>
</file>

<file path=xl/drawings/_rels/drawing12.xml.rels><?xml version="1.0" encoding="UTF-8" standalone="yes"?>
<Relationships xmlns="http://schemas.openxmlformats.org/package/2006/relationships"><Relationship Id="rId2" Type="http://schemas.openxmlformats.org/officeDocument/2006/relationships/hyperlink" Target="#'1 Water'!C7"/><Relationship Id="rId1" Type="http://schemas.openxmlformats.org/officeDocument/2006/relationships/image" Target="../media/image1.png"/></Relationships>
</file>

<file path=xl/drawings/_rels/drawing13.xml.rels><?xml version="1.0" encoding="UTF-8" standalone="yes"?>
<Relationships xmlns="http://schemas.openxmlformats.org/package/2006/relationships"><Relationship Id="rId2" Type="http://schemas.openxmlformats.org/officeDocument/2006/relationships/hyperlink" Target="#'1 Sanitation'!C7"/><Relationship Id="rId1" Type="http://schemas.openxmlformats.org/officeDocument/2006/relationships/image" Target="../media/image1.png"/></Relationships>
</file>

<file path=xl/drawings/_rels/drawing14.xml.rels><?xml version="1.0" encoding="UTF-8" standalone="yes"?>
<Relationships xmlns="http://schemas.openxmlformats.org/package/2006/relationships"><Relationship Id="rId2" Type="http://schemas.openxmlformats.org/officeDocument/2006/relationships/hyperlink" Target="#'1 Sanitation'!C7"/><Relationship Id="rId1" Type="http://schemas.openxmlformats.org/officeDocument/2006/relationships/image" Target="../media/image1.png"/></Relationships>
</file>

<file path=xl/drawings/_rels/drawing15.xml.rels><?xml version="1.0" encoding="UTF-8" standalone="yes"?>
<Relationships xmlns="http://schemas.openxmlformats.org/package/2006/relationships"><Relationship Id="rId2" Type="http://schemas.openxmlformats.org/officeDocument/2006/relationships/hyperlink" Target="#'1 Sanitation'!C7"/><Relationship Id="rId1" Type="http://schemas.openxmlformats.org/officeDocument/2006/relationships/image" Target="../media/image1.png"/></Relationships>
</file>

<file path=xl/drawings/_rels/drawing16.xml.rels><?xml version="1.0" encoding="UTF-8" standalone="yes"?>
<Relationships xmlns="http://schemas.openxmlformats.org/package/2006/relationships"><Relationship Id="rId2" Type="http://schemas.openxmlformats.org/officeDocument/2006/relationships/hyperlink" Target="#'1 Sanitation'!C7"/><Relationship Id="rId1" Type="http://schemas.openxmlformats.org/officeDocument/2006/relationships/image" Target="../media/image1.png"/></Relationships>
</file>

<file path=xl/drawings/_rels/drawing17.xml.rels><?xml version="1.0" encoding="UTF-8" standalone="yes"?>
<Relationships xmlns="http://schemas.openxmlformats.org/package/2006/relationships"><Relationship Id="rId2" Type="http://schemas.openxmlformats.org/officeDocument/2006/relationships/hyperlink" Target="#'1 Electricity'!C7"/><Relationship Id="rId1" Type="http://schemas.openxmlformats.org/officeDocument/2006/relationships/image" Target="../media/image1.png"/></Relationships>
</file>

<file path=xl/drawings/_rels/drawing18.xml.rels><?xml version="1.0" encoding="UTF-8" standalone="yes"?>
<Relationships xmlns="http://schemas.openxmlformats.org/package/2006/relationships"><Relationship Id="rId2" Type="http://schemas.openxmlformats.org/officeDocument/2006/relationships/hyperlink" Target="#'1 Solid waste'!C7"/><Relationship Id="rId1" Type="http://schemas.openxmlformats.org/officeDocument/2006/relationships/image" Target="../media/image1.png"/></Relationships>
</file>

<file path=xl/drawings/_rels/drawing19.xml.rels><?xml version="1.0" encoding="UTF-8" standalone="yes"?>
<Relationships xmlns="http://schemas.openxmlformats.org/package/2006/relationships"><Relationship Id="rId2" Type="http://schemas.openxmlformats.org/officeDocument/2006/relationships/hyperlink" Target="#'2 Customer data'!C7"/><Relationship Id="rId1" Type="http://schemas.openxmlformats.org/officeDocument/2006/relationships/image" Target="../media/image1.png"/></Relationships>
</file>

<file path=xl/drawings/_rels/drawing20.xml.rels><?xml version="1.0" encoding="UTF-8" standalone="yes"?>
<Relationships xmlns="http://schemas.openxmlformats.org/package/2006/relationships"><Relationship Id="rId2" Type="http://schemas.openxmlformats.org/officeDocument/2006/relationships/hyperlink" Target="#'2 Water'!C7"/><Relationship Id="rId1" Type="http://schemas.openxmlformats.org/officeDocument/2006/relationships/image" Target="../media/image1.png"/></Relationships>
</file>

<file path=xl/drawings/_rels/drawing21.xml.rels><?xml version="1.0" encoding="UTF-8" standalone="yes"?>
<Relationships xmlns="http://schemas.openxmlformats.org/package/2006/relationships"><Relationship Id="rId2" Type="http://schemas.openxmlformats.org/officeDocument/2006/relationships/hyperlink" Target="#'2 Sanitation'!C7"/><Relationship Id="rId1" Type="http://schemas.openxmlformats.org/officeDocument/2006/relationships/image" Target="../media/image1.png"/></Relationships>
</file>

<file path=xl/drawings/_rels/drawing22.xml.rels><?xml version="1.0" encoding="UTF-8" standalone="yes"?>
<Relationships xmlns="http://schemas.openxmlformats.org/package/2006/relationships"><Relationship Id="rId2" Type="http://schemas.openxmlformats.org/officeDocument/2006/relationships/hyperlink" Target="#'2 Electricity'!C7"/><Relationship Id="rId1" Type="http://schemas.openxmlformats.org/officeDocument/2006/relationships/image" Target="../media/image1.png"/></Relationships>
</file>

<file path=xl/drawings/_rels/drawing23.xml.rels><?xml version="1.0" encoding="UTF-8" standalone="yes"?>
<Relationships xmlns="http://schemas.openxmlformats.org/package/2006/relationships"><Relationship Id="rId2" Type="http://schemas.openxmlformats.org/officeDocument/2006/relationships/hyperlink" Target="#'2 Solid waste'!C7"/><Relationship Id="rId1" Type="http://schemas.openxmlformats.org/officeDocument/2006/relationships/image" Target="../media/image1.png"/></Relationships>
</file>

<file path=xl/drawings/_rels/drawing24.xml.rels><?xml version="1.0" encoding="UTF-8" standalone="yes"?>
<Relationships xmlns="http://schemas.openxmlformats.org/package/2006/relationships"><Relationship Id="rId2" Type="http://schemas.openxmlformats.org/officeDocument/2006/relationships/hyperlink" Target="#'3 Water'!C7"/><Relationship Id="rId1" Type="http://schemas.openxmlformats.org/officeDocument/2006/relationships/image" Target="../media/image1.png"/></Relationships>
</file>

<file path=xl/drawings/_rels/drawing25.xml.rels><?xml version="1.0" encoding="UTF-8" standalone="yes"?>
<Relationships xmlns="http://schemas.openxmlformats.org/package/2006/relationships"><Relationship Id="rId2" Type="http://schemas.openxmlformats.org/officeDocument/2006/relationships/hyperlink" Target="#'3 Sanitation'!C7"/><Relationship Id="rId1" Type="http://schemas.openxmlformats.org/officeDocument/2006/relationships/image" Target="../media/image1.png"/></Relationships>
</file>

<file path=xl/drawings/_rels/drawing26.xml.rels><?xml version="1.0" encoding="UTF-8" standalone="yes"?>
<Relationships xmlns="http://schemas.openxmlformats.org/package/2006/relationships"><Relationship Id="rId2" Type="http://schemas.openxmlformats.org/officeDocument/2006/relationships/hyperlink" Target="#'3 Electricity'!C7"/><Relationship Id="rId1" Type="http://schemas.openxmlformats.org/officeDocument/2006/relationships/image" Target="../media/image1.png"/></Relationships>
</file>

<file path=xl/drawings/_rels/drawing27.xml.rels><?xml version="1.0" encoding="UTF-8" standalone="yes"?>
<Relationships xmlns="http://schemas.openxmlformats.org/package/2006/relationships"><Relationship Id="rId2" Type="http://schemas.openxmlformats.org/officeDocument/2006/relationships/hyperlink" Target="#'3 Solid waste'!C7"/><Relationship Id="rId1" Type="http://schemas.openxmlformats.org/officeDocument/2006/relationships/image" Target="../media/image1.png"/></Relationships>
</file>

<file path=xl/drawings/_rels/drawing28.xml.rels><?xml version="1.0" encoding="UTF-8" standalone="yes"?>
<Relationships xmlns="http://schemas.openxmlformats.org/package/2006/relationships"><Relationship Id="rId13" Type="http://schemas.openxmlformats.org/officeDocument/2006/relationships/chart" Target="../charts/chart73.xml"/><Relationship Id="rId18" Type="http://schemas.openxmlformats.org/officeDocument/2006/relationships/chart" Target="../charts/chart78.xml"/><Relationship Id="rId26" Type="http://schemas.openxmlformats.org/officeDocument/2006/relationships/chart" Target="../charts/chart86.xml"/><Relationship Id="rId39" Type="http://schemas.openxmlformats.org/officeDocument/2006/relationships/chart" Target="../charts/chart99.xml"/><Relationship Id="rId21" Type="http://schemas.openxmlformats.org/officeDocument/2006/relationships/chart" Target="../charts/chart81.xml"/><Relationship Id="rId34" Type="http://schemas.openxmlformats.org/officeDocument/2006/relationships/chart" Target="../charts/chart94.xml"/><Relationship Id="rId42" Type="http://schemas.openxmlformats.org/officeDocument/2006/relationships/hyperlink" Target="#'Water report'!C7"/><Relationship Id="rId7" Type="http://schemas.openxmlformats.org/officeDocument/2006/relationships/chart" Target="../charts/chart67.xml"/><Relationship Id="rId2" Type="http://schemas.openxmlformats.org/officeDocument/2006/relationships/chart" Target="../charts/chart62.xml"/><Relationship Id="rId16" Type="http://schemas.openxmlformats.org/officeDocument/2006/relationships/chart" Target="../charts/chart76.xml"/><Relationship Id="rId20" Type="http://schemas.openxmlformats.org/officeDocument/2006/relationships/chart" Target="../charts/chart80.xml"/><Relationship Id="rId29" Type="http://schemas.openxmlformats.org/officeDocument/2006/relationships/chart" Target="../charts/chart89.xml"/><Relationship Id="rId41" Type="http://schemas.openxmlformats.org/officeDocument/2006/relationships/chart" Target="../charts/chart101.xml"/><Relationship Id="rId1" Type="http://schemas.openxmlformats.org/officeDocument/2006/relationships/image" Target="../media/image1.png"/><Relationship Id="rId6" Type="http://schemas.openxmlformats.org/officeDocument/2006/relationships/chart" Target="../charts/chart66.xml"/><Relationship Id="rId11" Type="http://schemas.openxmlformats.org/officeDocument/2006/relationships/chart" Target="../charts/chart71.xml"/><Relationship Id="rId24" Type="http://schemas.openxmlformats.org/officeDocument/2006/relationships/chart" Target="../charts/chart84.xml"/><Relationship Id="rId32" Type="http://schemas.openxmlformats.org/officeDocument/2006/relationships/chart" Target="../charts/chart92.xml"/><Relationship Id="rId37" Type="http://schemas.openxmlformats.org/officeDocument/2006/relationships/chart" Target="../charts/chart97.xml"/><Relationship Id="rId40" Type="http://schemas.openxmlformats.org/officeDocument/2006/relationships/chart" Target="../charts/chart100.xml"/><Relationship Id="rId5" Type="http://schemas.openxmlformats.org/officeDocument/2006/relationships/chart" Target="../charts/chart65.xml"/><Relationship Id="rId15" Type="http://schemas.openxmlformats.org/officeDocument/2006/relationships/chart" Target="../charts/chart75.xml"/><Relationship Id="rId23" Type="http://schemas.openxmlformats.org/officeDocument/2006/relationships/chart" Target="../charts/chart83.xml"/><Relationship Id="rId28" Type="http://schemas.openxmlformats.org/officeDocument/2006/relationships/chart" Target="../charts/chart88.xml"/><Relationship Id="rId36" Type="http://schemas.openxmlformats.org/officeDocument/2006/relationships/chart" Target="../charts/chart96.xml"/><Relationship Id="rId10" Type="http://schemas.openxmlformats.org/officeDocument/2006/relationships/chart" Target="../charts/chart70.xml"/><Relationship Id="rId19" Type="http://schemas.openxmlformats.org/officeDocument/2006/relationships/chart" Target="../charts/chart79.xml"/><Relationship Id="rId31" Type="http://schemas.openxmlformats.org/officeDocument/2006/relationships/chart" Target="../charts/chart91.xml"/><Relationship Id="rId4" Type="http://schemas.openxmlformats.org/officeDocument/2006/relationships/chart" Target="../charts/chart64.xml"/><Relationship Id="rId9" Type="http://schemas.openxmlformats.org/officeDocument/2006/relationships/chart" Target="../charts/chart69.xml"/><Relationship Id="rId14" Type="http://schemas.openxmlformats.org/officeDocument/2006/relationships/chart" Target="../charts/chart74.xml"/><Relationship Id="rId22" Type="http://schemas.openxmlformats.org/officeDocument/2006/relationships/chart" Target="../charts/chart82.xml"/><Relationship Id="rId27" Type="http://schemas.openxmlformats.org/officeDocument/2006/relationships/chart" Target="../charts/chart87.xml"/><Relationship Id="rId30" Type="http://schemas.openxmlformats.org/officeDocument/2006/relationships/chart" Target="../charts/chart90.xml"/><Relationship Id="rId35" Type="http://schemas.openxmlformats.org/officeDocument/2006/relationships/chart" Target="../charts/chart95.xml"/><Relationship Id="rId8" Type="http://schemas.openxmlformats.org/officeDocument/2006/relationships/chart" Target="../charts/chart68.xml"/><Relationship Id="rId3" Type="http://schemas.openxmlformats.org/officeDocument/2006/relationships/chart" Target="../charts/chart63.xml"/><Relationship Id="rId12" Type="http://schemas.openxmlformats.org/officeDocument/2006/relationships/chart" Target="../charts/chart72.xml"/><Relationship Id="rId17" Type="http://schemas.openxmlformats.org/officeDocument/2006/relationships/chart" Target="../charts/chart77.xml"/><Relationship Id="rId25" Type="http://schemas.openxmlformats.org/officeDocument/2006/relationships/chart" Target="../charts/chart85.xml"/><Relationship Id="rId33" Type="http://schemas.openxmlformats.org/officeDocument/2006/relationships/chart" Target="../charts/chart93.xml"/><Relationship Id="rId38" Type="http://schemas.openxmlformats.org/officeDocument/2006/relationships/chart" Target="../charts/chart98.xml"/></Relationships>
</file>

<file path=xl/drawings/_rels/drawing29.xml.rels><?xml version="1.0" encoding="UTF-8" standalone="yes"?>
<Relationships xmlns="http://schemas.openxmlformats.org/package/2006/relationships"><Relationship Id="rId13" Type="http://schemas.openxmlformats.org/officeDocument/2006/relationships/chart" Target="../charts/chart112.xml"/><Relationship Id="rId18" Type="http://schemas.openxmlformats.org/officeDocument/2006/relationships/chart" Target="../charts/chart117.xml"/><Relationship Id="rId26" Type="http://schemas.openxmlformats.org/officeDocument/2006/relationships/chart" Target="../charts/chart125.xml"/><Relationship Id="rId39" Type="http://schemas.openxmlformats.org/officeDocument/2006/relationships/chart" Target="../charts/chart138.xml"/><Relationship Id="rId21" Type="http://schemas.openxmlformats.org/officeDocument/2006/relationships/chart" Target="../charts/chart120.xml"/><Relationship Id="rId34" Type="http://schemas.openxmlformats.org/officeDocument/2006/relationships/chart" Target="../charts/chart133.xml"/><Relationship Id="rId42" Type="http://schemas.openxmlformats.org/officeDocument/2006/relationships/chart" Target="../charts/chart141.xml"/><Relationship Id="rId7" Type="http://schemas.openxmlformats.org/officeDocument/2006/relationships/chart" Target="../charts/chart106.xml"/><Relationship Id="rId2" Type="http://schemas.openxmlformats.org/officeDocument/2006/relationships/hyperlink" Target="#'Sanitation report'!C7"/><Relationship Id="rId16" Type="http://schemas.openxmlformats.org/officeDocument/2006/relationships/chart" Target="../charts/chart115.xml"/><Relationship Id="rId20" Type="http://schemas.openxmlformats.org/officeDocument/2006/relationships/chart" Target="../charts/chart119.xml"/><Relationship Id="rId29" Type="http://schemas.openxmlformats.org/officeDocument/2006/relationships/chart" Target="../charts/chart128.xml"/><Relationship Id="rId41" Type="http://schemas.openxmlformats.org/officeDocument/2006/relationships/chart" Target="../charts/chart140.xml"/><Relationship Id="rId1" Type="http://schemas.openxmlformats.org/officeDocument/2006/relationships/image" Target="../media/image1.png"/><Relationship Id="rId6" Type="http://schemas.openxmlformats.org/officeDocument/2006/relationships/chart" Target="../charts/chart105.xml"/><Relationship Id="rId11" Type="http://schemas.openxmlformats.org/officeDocument/2006/relationships/chart" Target="../charts/chart110.xml"/><Relationship Id="rId24" Type="http://schemas.openxmlformats.org/officeDocument/2006/relationships/chart" Target="../charts/chart123.xml"/><Relationship Id="rId32" Type="http://schemas.openxmlformats.org/officeDocument/2006/relationships/chart" Target="../charts/chart131.xml"/><Relationship Id="rId37" Type="http://schemas.openxmlformats.org/officeDocument/2006/relationships/chart" Target="../charts/chart136.xml"/><Relationship Id="rId40" Type="http://schemas.openxmlformats.org/officeDocument/2006/relationships/chart" Target="../charts/chart139.xml"/><Relationship Id="rId5" Type="http://schemas.openxmlformats.org/officeDocument/2006/relationships/chart" Target="../charts/chart104.xml"/><Relationship Id="rId15" Type="http://schemas.openxmlformats.org/officeDocument/2006/relationships/chart" Target="../charts/chart114.xml"/><Relationship Id="rId23" Type="http://schemas.openxmlformats.org/officeDocument/2006/relationships/chart" Target="../charts/chart122.xml"/><Relationship Id="rId28" Type="http://schemas.openxmlformats.org/officeDocument/2006/relationships/chart" Target="../charts/chart127.xml"/><Relationship Id="rId36" Type="http://schemas.openxmlformats.org/officeDocument/2006/relationships/chart" Target="../charts/chart135.xml"/><Relationship Id="rId10" Type="http://schemas.openxmlformats.org/officeDocument/2006/relationships/chart" Target="../charts/chart109.xml"/><Relationship Id="rId19" Type="http://schemas.openxmlformats.org/officeDocument/2006/relationships/chart" Target="../charts/chart118.xml"/><Relationship Id="rId31" Type="http://schemas.openxmlformats.org/officeDocument/2006/relationships/chart" Target="../charts/chart130.xml"/><Relationship Id="rId4" Type="http://schemas.openxmlformats.org/officeDocument/2006/relationships/chart" Target="../charts/chart103.xml"/><Relationship Id="rId9" Type="http://schemas.openxmlformats.org/officeDocument/2006/relationships/chart" Target="../charts/chart108.xml"/><Relationship Id="rId14" Type="http://schemas.openxmlformats.org/officeDocument/2006/relationships/chart" Target="../charts/chart113.xml"/><Relationship Id="rId22" Type="http://schemas.openxmlformats.org/officeDocument/2006/relationships/chart" Target="../charts/chart121.xml"/><Relationship Id="rId27" Type="http://schemas.openxmlformats.org/officeDocument/2006/relationships/chart" Target="../charts/chart126.xml"/><Relationship Id="rId30" Type="http://schemas.openxmlformats.org/officeDocument/2006/relationships/chart" Target="../charts/chart129.xml"/><Relationship Id="rId35" Type="http://schemas.openxmlformats.org/officeDocument/2006/relationships/chart" Target="../charts/chart134.xml"/><Relationship Id="rId8" Type="http://schemas.openxmlformats.org/officeDocument/2006/relationships/chart" Target="../charts/chart107.xml"/><Relationship Id="rId3" Type="http://schemas.openxmlformats.org/officeDocument/2006/relationships/chart" Target="../charts/chart102.xml"/><Relationship Id="rId12" Type="http://schemas.openxmlformats.org/officeDocument/2006/relationships/chart" Target="../charts/chart111.xml"/><Relationship Id="rId17" Type="http://schemas.openxmlformats.org/officeDocument/2006/relationships/chart" Target="../charts/chart116.xml"/><Relationship Id="rId25" Type="http://schemas.openxmlformats.org/officeDocument/2006/relationships/chart" Target="../charts/chart124.xml"/><Relationship Id="rId33" Type="http://schemas.openxmlformats.org/officeDocument/2006/relationships/chart" Target="../charts/chart132.xml"/><Relationship Id="rId38" Type="http://schemas.openxmlformats.org/officeDocument/2006/relationships/chart" Target="../charts/chart137.xml"/></Relationships>
</file>

<file path=xl/drawings/_rels/drawing30.xml.rels><?xml version="1.0" encoding="UTF-8" standalone="yes"?>
<Relationships xmlns="http://schemas.openxmlformats.org/package/2006/relationships"><Relationship Id="rId13" Type="http://schemas.openxmlformats.org/officeDocument/2006/relationships/chart" Target="../charts/chart153.xml"/><Relationship Id="rId18" Type="http://schemas.openxmlformats.org/officeDocument/2006/relationships/chart" Target="../charts/chart158.xml"/><Relationship Id="rId26" Type="http://schemas.openxmlformats.org/officeDocument/2006/relationships/chart" Target="../charts/chart166.xml"/><Relationship Id="rId39" Type="http://schemas.openxmlformats.org/officeDocument/2006/relationships/chart" Target="../charts/chart178.xml"/><Relationship Id="rId21" Type="http://schemas.openxmlformats.org/officeDocument/2006/relationships/chart" Target="../charts/chart161.xml"/><Relationship Id="rId34" Type="http://schemas.openxmlformats.org/officeDocument/2006/relationships/chart" Target="../charts/chart173.xml"/><Relationship Id="rId42" Type="http://schemas.openxmlformats.org/officeDocument/2006/relationships/chart" Target="../charts/chart181.xml"/><Relationship Id="rId7" Type="http://schemas.openxmlformats.org/officeDocument/2006/relationships/chart" Target="../charts/chart147.xml"/><Relationship Id="rId2" Type="http://schemas.openxmlformats.org/officeDocument/2006/relationships/chart" Target="../charts/chart142.xml"/><Relationship Id="rId16" Type="http://schemas.openxmlformats.org/officeDocument/2006/relationships/chart" Target="../charts/chart156.xml"/><Relationship Id="rId20" Type="http://schemas.openxmlformats.org/officeDocument/2006/relationships/chart" Target="../charts/chart160.xml"/><Relationship Id="rId29" Type="http://schemas.openxmlformats.org/officeDocument/2006/relationships/chart" Target="../charts/chart169.xml"/><Relationship Id="rId41" Type="http://schemas.openxmlformats.org/officeDocument/2006/relationships/chart" Target="../charts/chart180.xml"/><Relationship Id="rId1" Type="http://schemas.openxmlformats.org/officeDocument/2006/relationships/image" Target="../media/image1.png"/><Relationship Id="rId6" Type="http://schemas.openxmlformats.org/officeDocument/2006/relationships/chart" Target="../charts/chart146.xml"/><Relationship Id="rId11" Type="http://schemas.openxmlformats.org/officeDocument/2006/relationships/chart" Target="../charts/chart151.xml"/><Relationship Id="rId24" Type="http://schemas.openxmlformats.org/officeDocument/2006/relationships/chart" Target="../charts/chart164.xml"/><Relationship Id="rId32" Type="http://schemas.openxmlformats.org/officeDocument/2006/relationships/hyperlink" Target="#'Electricity report'!C7"/><Relationship Id="rId37" Type="http://schemas.openxmlformats.org/officeDocument/2006/relationships/chart" Target="../charts/chart176.xml"/><Relationship Id="rId40" Type="http://schemas.openxmlformats.org/officeDocument/2006/relationships/chart" Target="../charts/chart179.xml"/><Relationship Id="rId5" Type="http://schemas.openxmlformats.org/officeDocument/2006/relationships/chart" Target="../charts/chart145.xml"/><Relationship Id="rId15" Type="http://schemas.openxmlformats.org/officeDocument/2006/relationships/chart" Target="../charts/chart155.xml"/><Relationship Id="rId23" Type="http://schemas.openxmlformats.org/officeDocument/2006/relationships/chart" Target="../charts/chart163.xml"/><Relationship Id="rId28" Type="http://schemas.openxmlformats.org/officeDocument/2006/relationships/chart" Target="../charts/chart168.xml"/><Relationship Id="rId36" Type="http://schemas.openxmlformats.org/officeDocument/2006/relationships/chart" Target="../charts/chart175.xml"/><Relationship Id="rId10" Type="http://schemas.openxmlformats.org/officeDocument/2006/relationships/chart" Target="../charts/chart150.xml"/><Relationship Id="rId19" Type="http://schemas.openxmlformats.org/officeDocument/2006/relationships/chart" Target="../charts/chart159.xml"/><Relationship Id="rId31" Type="http://schemas.openxmlformats.org/officeDocument/2006/relationships/chart" Target="../charts/chart171.xml"/><Relationship Id="rId4" Type="http://schemas.openxmlformats.org/officeDocument/2006/relationships/chart" Target="../charts/chart144.xml"/><Relationship Id="rId9" Type="http://schemas.openxmlformats.org/officeDocument/2006/relationships/chart" Target="../charts/chart149.xml"/><Relationship Id="rId14" Type="http://schemas.openxmlformats.org/officeDocument/2006/relationships/chart" Target="../charts/chart154.xml"/><Relationship Id="rId22" Type="http://schemas.openxmlformats.org/officeDocument/2006/relationships/chart" Target="../charts/chart162.xml"/><Relationship Id="rId27" Type="http://schemas.openxmlformats.org/officeDocument/2006/relationships/chart" Target="../charts/chart167.xml"/><Relationship Id="rId30" Type="http://schemas.openxmlformats.org/officeDocument/2006/relationships/chart" Target="../charts/chart170.xml"/><Relationship Id="rId35" Type="http://schemas.openxmlformats.org/officeDocument/2006/relationships/chart" Target="../charts/chart174.xml"/><Relationship Id="rId8" Type="http://schemas.openxmlformats.org/officeDocument/2006/relationships/chart" Target="../charts/chart148.xml"/><Relationship Id="rId3" Type="http://schemas.openxmlformats.org/officeDocument/2006/relationships/chart" Target="../charts/chart143.xml"/><Relationship Id="rId12" Type="http://schemas.openxmlformats.org/officeDocument/2006/relationships/chart" Target="../charts/chart152.xml"/><Relationship Id="rId17" Type="http://schemas.openxmlformats.org/officeDocument/2006/relationships/chart" Target="../charts/chart157.xml"/><Relationship Id="rId25" Type="http://schemas.openxmlformats.org/officeDocument/2006/relationships/chart" Target="../charts/chart165.xml"/><Relationship Id="rId33" Type="http://schemas.openxmlformats.org/officeDocument/2006/relationships/chart" Target="../charts/chart172.xml"/><Relationship Id="rId38" Type="http://schemas.openxmlformats.org/officeDocument/2006/relationships/chart" Target="../charts/chart177.xml"/></Relationships>
</file>

<file path=xl/drawings/_rels/drawing31.xml.rels><?xml version="1.0" encoding="UTF-8" standalone="yes"?>
<Relationships xmlns="http://schemas.openxmlformats.org/package/2006/relationships"><Relationship Id="rId8" Type="http://schemas.openxmlformats.org/officeDocument/2006/relationships/chart" Target="../charts/chart187.xml"/><Relationship Id="rId13" Type="http://schemas.openxmlformats.org/officeDocument/2006/relationships/chart" Target="../charts/chart192.xml"/><Relationship Id="rId18" Type="http://schemas.openxmlformats.org/officeDocument/2006/relationships/chart" Target="../charts/chart197.xml"/><Relationship Id="rId3" Type="http://schemas.openxmlformats.org/officeDocument/2006/relationships/chart" Target="../charts/chart182.xml"/><Relationship Id="rId21" Type="http://schemas.openxmlformats.org/officeDocument/2006/relationships/chart" Target="../charts/chart200.xml"/><Relationship Id="rId7" Type="http://schemas.openxmlformats.org/officeDocument/2006/relationships/chart" Target="../charts/chart186.xml"/><Relationship Id="rId12" Type="http://schemas.openxmlformats.org/officeDocument/2006/relationships/chart" Target="../charts/chart191.xml"/><Relationship Id="rId17" Type="http://schemas.openxmlformats.org/officeDocument/2006/relationships/chart" Target="../charts/chart196.xml"/><Relationship Id="rId2" Type="http://schemas.openxmlformats.org/officeDocument/2006/relationships/hyperlink" Target="#'Solid waste report'!C7"/><Relationship Id="rId16" Type="http://schemas.openxmlformats.org/officeDocument/2006/relationships/chart" Target="../charts/chart195.xml"/><Relationship Id="rId20" Type="http://schemas.openxmlformats.org/officeDocument/2006/relationships/chart" Target="../charts/chart199.xml"/><Relationship Id="rId1" Type="http://schemas.openxmlformats.org/officeDocument/2006/relationships/image" Target="../media/image1.png"/><Relationship Id="rId6" Type="http://schemas.openxmlformats.org/officeDocument/2006/relationships/chart" Target="../charts/chart185.xml"/><Relationship Id="rId11" Type="http://schemas.openxmlformats.org/officeDocument/2006/relationships/chart" Target="../charts/chart190.xml"/><Relationship Id="rId5" Type="http://schemas.openxmlformats.org/officeDocument/2006/relationships/chart" Target="../charts/chart184.xml"/><Relationship Id="rId15" Type="http://schemas.openxmlformats.org/officeDocument/2006/relationships/chart" Target="../charts/chart194.xml"/><Relationship Id="rId10" Type="http://schemas.openxmlformats.org/officeDocument/2006/relationships/chart" Target="../charts/chart189.xml"/><Relationship Id="rId19" Type="http://schemas.openxmlformats.org/officeDocument/2006/relationships/chart" Target="../charts/chart198.xml"/><Relationship Id="rId4" Type="http://schemas.openxmlformats.org/officeDocument/2006/relationships/chart" Target="../charts/chart183.xml"/><Relationship Id="rId9" Type="http://schemas.openxmlformats.org/officeDocument/2006/relationships/chart" Target="../charts/chart188.xml"/><Relationship Id="rId14" Type="http://schemas.openxmlformats.org/officeDocument/2006/relationships/chart" Target="../charts/chart193.xml"/><Relationship Id="rId22" Type="http://schemas.openxmlformats.org/officeDocument/2006/relationships/chart" Target="../charts/chart201.xml"/></Relationships>
</file>

<file path=xl/drawings/_rels/drawing32.xml.rels><?xml version="1.0" encoding="UTF-8" standalone="yes"?>
<Relationships xmlns="http://schemas.openxmlformats.org/package/2006/relationships"><Relationship Id="rId3" Type="http://schemas.openxmlformats.org/officeDocument/2006/relationships/chart" Target="../charts/chart203.xml"/><Relationship Id="rId2" Type="http://schemas.openxmlformats.org/officeDocument/2006/relationships/chart" Target="../charts/chart202.xml"/><Relationship Id="rId1" Type="http://schemas.openxmlformats.org/officeDocument/2006/relationships/image" Target="../media/image1.png"/><Relationship Id="rId4" Type="http://schemas.openxmlformats.org/officeDocument/2006/relationships/hyperlink" Target="#Affordability!C7"/></Relationships>
</file>

<file path=xl/drawings/_rels/vmlDrawing1.vml.rels><?xml version="1.0" encoding="UTF-8" standalone="yes"?>
<Relationships xmlns="http://schemas.openxmlformats.org/package/2006/relationships"><Relationship Id="rId1" Type="http://schemas.openxmlformats.org/officeDocument/2006/relationships/image" Target="../media/image2.emf"/></Relationships>
</file>

<file path=xl/drawings/_rels/vmlDrawing2.vml.rels><?xml version="1.0" encoding="UTF-8" standalone="yes"?>
<Relationships xmlns="http://schemas.openxmlformats.org/package/2006/relationships"><Relationship Id="rId8" Type="http://schemas.openxmlformats.org/officeDocument/2006/relationships/image" Target="../media/image15.emf"/><Relationship Id="rId13" Type="http://schemas.openxmlformats.org/officeDocument/2006/relationships/image" Target="../media/image20.emf"/><Relationship Id="rId3" Type="http://schemas.openxmlformats.org/officeDocument/2006/relationships/image" Target="../media/image10.emf"/><Relationship Id="rId7" Type="http://schemas.openxmlformats.org/officeDocument/2006/relationships/image" Target="../media/image14.emf"/><Relationship Id="rId12" Type="http://schemas.openxmlformats.org/officeDocument/2006/relationships/image" Target="../media/image19.emf"/><Relationship Id="rId17" Type="http://schemas.openxmlformats.org/officeDocument/2006/relationships/image" Target="../media/image24.emf"/><Relationship Id="rId2" Type="http://schemas.openxmlformats.org/officeDocument/2006/relationships/image" Target="../media/image9.emf"/><Relationship Id="rId16" Type="http://schemas.openxmlformats.org/officeDocument/2006/relationships/image" Target="../media/image23.emf"/><Relationship Id="rId1" Type="http://schemas.openxmlformats.org/officeDocument/2006/relationships/image" Target="../media/image8.emf"/><Relationship Id="rId6" Type="http://schemas.openxmlformats.org/officeDocument/2006/relationships/image" Target="../media/image13.emf"/><Relationship Id="rId11" Type="http://schemas.openxmlformats.org/officeDocument/2006/relationships/image" Target="../media/image18.emf"/><Relationship Id="rId5" Type="http://schemas.openxmlformats.org/officeDocument/2006/relationships/image" Target="../media/image12.emf"/><Relationship Id="rId15" Type="http://schemas.openxmlformats.org/officeDocument/2006/relationships/image" Target="../media/image22.emf"/><Relationship Id="rId10" Type="http://schemas.openxmlformats.org/officeDocument/2006/relationships/image" Target="../media/image17.emf"/><Relationship Id="rId4" Type="http://schemas.openxmlformats.org/officeDocument/2006/relationships/image" Target="../media/image11.emf"/><Relationship Id="rId9" Type="http://schemas.openxmlformats.org/officeDocument/2006/relationships/image" Target="../media/image16.emf"/><Relationship Id="rId14" Type="http://schemas.openxmlformats.org/officeDocument/2006/relationships/image" Target="../media/image21.emf"/></Relationships>
</file>

<file path=xl/drawings/_rels/vmlDrawing3.vml.rels><?xml version="1.0" encoding="UTF-8" standalone="yes"?>
<Relationships xmlns="http://schemas.openxmlformats.org/package/2006/relationships"><Relationship Id="rId1" Type="http://schemas.openxmlformats.org/officeDocument/2006/relationships/image" Target="../media/image25.emf"/></Relationships>
</file>

<file path=xl/drawings/_rels/vmlDrawing4.vml.rels><?xml version="1.0" encoding="UTF-8" standalone="yes"?>
<Relationships xmlns="http://schemas.openxmlformats.org/package/2006/relationships"><Relationship Id="rId1" Type="http://schemas.openxmlformats.org/officeDocument/2006/relationships/image" Target="../media/image26.emf"/></Relationships>
</file>

<file path=xl/drawings/_rels/vmlDrawing5.vml.rels><?xml version="1.0" encoding="UTF-8" standalone="yes"?>
<Relationships xmlns="http://schemas.openxmlformats.org/package/2006/relationships"><Relationship Id="rId1" Type="http://schemas.openxmlformats.org/officeDocument/2006/relationships/image" Target="../media/image27.emf"/></Relationships>
</file>

<file path=xl/drawings/_rels/vmlDrawing6.vml.rels><?xml version="1.0" encoding="UTF-8" standalone="yes"?>
<Relationships xmlns="http://schemas.openxmlformats.org/package/2006/relationships"><Relationship Id="rId1" Type="http://schemas.openxmlformats.org/officeDocument/2006/relationships/image" Target="../media/image28.emf"/></Relationships>
</file>

<file path=xl/drawings/_rels/vmlDrawing7.vml.rels><?xml version="1.0" encoding="UTF-8" standalone="yes"?>
<Relationships xmlns="http://schemas.openxmlformats.org/package/2006/relationships"><Relationship Id="rId1" Type="http://schemas.openxmlformats.org/officeDocument/2006/relationships/image" Target="../media/image29.emf"/></Relationships>
</file>

<file path=xl/drawings/_rels/vmlDrawing8.vml.rels><?xml version="1.0" encoding="UTF-8" standalone="yes"?>
<Relationships xmlns="http://schemas.openxmlformats.org/package/2006/relationships"><Relationship Id="rId1" Type="http://schemas.openxmlformats.org/officeDocument/2006/relationships/image" Target="../media/image30.emf"/></Relationships>
</file>

<file path=xl/drawings/_rels/vmlDrawing9.vml.rels><?xml version="1.0" encoding="UTF-8" standalone="yes"?>
<Relationships xmlns="http://schemas.openxmlformats.org/package/2006/relationships"><Relationship Id="rId1" Type="http://schemas.openxmlformats.org/officeDocument/2006/relationships/image" Target="../media/image31.emf"/></Relationships>
</file>

<file path=xl/drawings/_rels/vmlDrawing10.vml.rels><?xml version="1.0" encoding="UTF-8" standalone="yes"?>
<Relationships xmlns="http://schemas.openxmlformats.org/package/2006/relationships"><Relationship Id="rId1" Type="http://schemas.openxmlformats.org/officeDocument/2006/relationships/image" Target="../media/image32.emf"/></Relationships>
</file>

<file path=xl/drawings/_rels/vmlDrawing11.vml.rels><?xml version="1.0" encoding="UTF-8" standalone="yes"?>
<Relationships xmlns="http://schemas.openxmlformats.org/package/2006/relationships"><Relationship Id="rId1" Type="http://schemas.openxmlformats.org/officeDocument/2006/relationships/image" Target="../media/image33.emf"/></Relationships>
</file>

<file path=xl/drawings/_rels/vmlDrawing12.vml.rels><?xml version="1.0" encoding="UTF-8" standalone="yes"?>
<Relationships xmlns="http://schemas.openxmlformats.org/package/2006/relationships"><Relationship Id="rId1" Type="http://schemas.openxmlformats.org/officeDocument/2006/relationships/image" Target="../media/image34.emf"/></Relationships>
</file>

<file path=xl/drawings/_rels/vmlDrawing13.vml.rels><?xml version="1.0" encoding="UTF-8" standalone="yes"?>
<Relationships xmlns="http://schemas.openxmlformats.org/package/2006/relationships"><Relationship Id="rId1" Type="http://schemas.openxmlformats.org/officeDocument/2006/relationships/image" Target="../media/image35.emf"/></Relationships>
</file>

<file path=xl/drawings/_rels/vmlDrawing14.vml.rels><?xml version="1.0" encoding="UTF-8" standalone="yes"?>
<Relationships xmlns="http://schemas.openxmlformats.org/package/2006/relationships"><Relationship Id="rId1" Type="http://schemas.openxmlformats.org/officeDocument/2006/relationships/image" Target="../media/image36.emf"/></Relationships>
</file>

<file path=xl/drawings/_rels/vmlDrawing15.vml.rels><?xml version="1.0" encoding="UTF-8" standalone="yes"?>
<Relationships xmlns="http://schemas.openxmlformats.org/package/2006/relationships"><Relationship Id="rId1" Type="http://schemas.openxmlformats.org/officeDocument/2006/relationships/image" Target="../media/image37.emf"/></Relationships>
</file>

<file path=xl/drawings/_rels/vmlDrawing16.vml.rels><?xml version="1.0" encoding="UTF-8" standalone="yes"?>
<Relationships xmlns="http://schemas.openxmlformats.org/package/2006/relationships"><Relationship Id="rId1" Type="http://schemas.openxmlformats.org/officeDocument/2006/relationships/image" Target="../media/image38.emf"/></Relationships>
</file>

<file path=xl/drawings/_rels/vmlDrawing17.vml.rels><?xml version="1.0" encoding="UTF-8" standalone="yes"?>
<Relationships xmlns="http://schemas.openxmlformats.org/package/2006/relationships"><Relationship Id="rId2" Type="http://schemas.openxmlformats.org/officeDocument/2006/relationships/image" Target="../media/image40.emf"/><Relationship Id="rId1" Type="http://schemas.openxmlformats.org/officeDocument/2006/relationships/image" Target="../media/image39.emf"/></Relationships>
</file>

<file path=xl/drawings/_rels/vmlDrawing18.vml.rels><?xml version="1.0" encoding="UTF-8" standalone="yes"?>
<Relationships xmlns="http://schemas.openxmlformats.org/package/2006/relationships"><Relationship Id="rId2" Type="http://schemas.openxmlformats.org/officeDocument/2006/relationships/image" Target="../media/image42.emf"/><Relationship Id="rId1" Type="http://schemas.openxmlformats.org/officeDocument/2006/relationships/image" Target="../media/image41.emf"/></Relationships>
</file>

<file path=xl/drawings/_rels/vmlDrawing19.vml.rels><?xml version="1.0" encoding="UTF-8" standalone="yes"?>
<Relationships xmlns="http://schemas.openxmlformats.org/package/2006/relationships"><Relationship Id="rId2" Type="http://schemas.openxmlformats.org/officeDocument/2006/relationships/image" Target="../media/image44.emf"/><Relationship Id="rId1" Type="http://schemas.openxmlformats.org/officeDocument/2006/relationships/image" Target="../media/image43.emf"/></Relationships>
</file>

<file path=xl/drawings/_rels/vmlDrawing20.vml.rels><?xml version="1.0" encoding="UTF-8" standalone="yes"?>
<Relationships xmlns="http://schemas.openxmlformats.org/package/2006/relationships"><Relationship Id="rId2" Type="http://schemas.openxmlformats.org/officeDocument/2006/relationships/image" Target="../media/image37.emf"/><Relationship Id="rId1" Type="http://schemas.openxmlformats.org/officeDocument/2006/relationships/image" Target="../media/image45.emf"/></Relationships>
</file>

<file path=xl/drawings/_rels/vmlDrawing21.vml.rels><?xml version="1.0" encoding="UTF-8" standalone="yes"?>
<Relationships xmlns="http://schemas.openxmlformats.org/package/2006/relationships"><Relationship Id="rId2" Type="http://schemas.openxmlformats.org/officeDocument/2006/relationships/image" Target="../media/image47.emf"/><Relationship Id="rId1" Type="http://schemas.openxmlformats.org/officeDocument/2006/relationships/image" Target="../media/image46.emf"/></Relationships>
</file>

<file path=xl/drawings/_rels/vmlDrawing22.vml.rels><?xml version="1.0" encoding="UTF-8" standalone="yes"?>
<Relationships xmlns="http://schemas.openxmlformats.org/package/2006/relationships"><Relationship Id="rId2" Type="http://schemas.openxmlformats.org/officeDocument/2006/relationships/image" Target="../media/image49.emf"/><Relationship Id="rId1" Type="http://schemas.openxmlformats.org/officeDocument/2006/relationships/image" Target="../media/image48.emf"/></Relationships>
</file>

<file path=xl/drawings/_rels/vmlDrawing23.vml.rels><?xml version="1.0" encoding="UTF-8" standalone="yes"?>
<Relationships xmlns="http://schemas.openxmlformats.org/package/2006/relationships"><Relationship Id="rId2" Type="http://schemas.openxmlformats.org/officeDocument/2006/relationships/image" Target="../media/image51.emf"/><Relationship Id="rId1" Type="http://schemas.openxmlformats.org/officeDocument/2006/relationships/image" Target="../media/image50.emf"/></Relationships>
</file>

<file path=xl/drawings/_rels/vmlDrawing24.vml.rels><?xml version="1.0" encoding="UTF-8" standalone="yes"?>
<Relationships xmlns="http://schemas.openxmlformats.org/package/2006/relationships"><Relationship Id="rId2" Type="http://schemas.openxmlformats.org/officeDocument/2006/relationships/image" Target="../media/image53.emf"/><Relationship Id="rId1" Type="http://schemas.openxmlformats.org/officeDocument/2006/relationships/image" Target="../media/image52.emf"/></Relationships>
</file>

<file path=xl/drawings/_rels/vmlDrawing25.vml.rels><?xml version="1.0" encoding="UTF-8" standalone="yes"?>
<Relationships xmlns="http://schemas.openxmlformats.org/package/2006/relationships"><Relationship Id="rId1" Type="http://schemas.openxmlformats.org/officeDocument/2006/relationships/image" Target="../media/image54.emf"/></Relationships>
</file>

<file path=xl/drawings/drawing1.xml><?xml version="1.0" encoding="utf-8"?>
<xdr:wsDr xmlns:xdr="http://schemas.openxmlformats.org/drawingml/2006/spreadsheetDrawing" xmlns:a="http://schemas.openxmlformats.org/drawingml/2006/main">
  <xdr:twoCellAnchor>
    <xdr:from>
      <xdr:col>1</xdr:col>
      <xdr:colOff>0</xdr:colOff>
      <xdr:row>8</xdr:row>
      <xdr:rowOff>43814</xdr:rowOff>
    </xdr:from>
    <xdr:to>
      <xdr:col>2</xdr:col>
      <xdr:colOff>479479</xdr:colOff>
      <xdr:row>10</xdr:row>
      <xdr:rowOff>153225</xdr:rowOff>
    </xdr:to>
    <xdr:sp macro="" textlink="">
      <xdr:nvSpPr>
        <xdr:cNvPr id="2" name="Rectangle 1">
          <a:hlinkClick xmlns:r="http://schemas.openxmlformats.org/officeDocument/2006/relationships" r:id="rId1" tooltip=" "/>
          <a:extLst>
            <a:ext uri="{FF2B5EF4-FFF2-40B4-BE49-F238E27FC236}">
              <a16:creationId xmlns:a16="http://schemas.microsoft.com/office/drawing/2014/main" id="{9613AFD8-947A-C83F-55F5-657D18A63AA1}"/>
            </a:ext>
          </a:extLst>
        </xdr:cNvPr>
        <xdr:cNvSpPr/>
      </xdr:nvSpPr>
      <xdr:spPr>
        <a:xfrm>
          <a:off x="358140" y="1621154"/>
          <a:ext cx="1091040" cy="482400"/>
        </a:xfrm>
        <a:prstGeom prst="rect">
          <a:avLst/>
        </a:prstGeom>
        <a:solidFill>
          <a:schemeClr val="accent3">
            <a:lumMod val="20000"/>
            <a:lumOff val="80000"/>
          </a:schemeClr>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ZA" sz="1100" b="1">
              <a:solidFill>
                <a:sysClr val="windowText" lastClr="000000"/>
              </a:solidFill>
            </a:rPr>
            <a:t>Revenue</a:t>
          </a:r>
        </a:p>
      </xdr:txBody>
    </xdr:sp>
    <xdr:clientData/>
  </xdr:twoCellAnchor>
  <xdr:twoCellAnchor>
    <xdr:from>
      <xdr:col>0</xdr:col>
      <xdr:colOff>335280</xdr:colOff>
      <xdr:row>11</xdr:row>
      <xdr:rowOff>118109</xdr:rowOff>
    </xdr:from>
    <xdr:to>
      <xdr:col>2</xdr:col>
      <xdr:colOff>445249</xdr:colOff>
      <xdr:row>14</xdr:row>
      <xdr:rowOff>44717</xdr:rowOff>
    </xdr:to>
    <xdr:sp macro="" textlink="">
      <xdr:nvSpPr>
        <xdr:cNvPr id="3" name="Rectangle 2">
          <a:hlinkClick xmlns:r="http://schemas.openxmlformats.org/officeDocument/2006/relationships" r:id="rId2" tooltip=" "/>
          <a:extLst>
            <a:ext uri="{FF2B5EF4-FFF2-40B4-BE49-F238E27FC236}">
              <a16:creationId xmlns:a16="http://schemas.microsoft.com/office/drawing/2014/main" id="{28F35135-5018-E945-45EC-569CE31C2C22}"/>
            </a:ext>
          </a:extLst>
        </xdr:cNvPr>
        <xdr:cNvSpPr/>
      </xdr:nvSpPr>
      <xdr:spPr>
        <a:xfrm>
          <a:off x="342900" y="2251709"/>
          <a:ext cx="1091040" cy="482400"/>
        </a:xfrm>
        <a:prstGeom prst="rect">
          <a:avLst/>
        </a:prstGeom>
        <a:solidFill>
          <a:schemeClr val="accent3">
            <a:lumMod val="20000"/>
            <a:lumOff val="80000"/>
          </a:schemeClr>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ZA" sz="1100" b="1">
              <a:solidFill>
                <a:sysClr val="windowText" lastClr="000000"/>
              </a:solidFill>
            </a:rPr>
            <a:t>Expenditure</a:t>
          </a:r>
        </a:p>
      </xdr:txBody>
    </xdr:sp>
    <xdr:clientData/>
  </xdr:twoCellAnchor>
  <xdr:twoCellAnchor editAs="oneCell">
    <xdr:from>
      <xdr:col>1</xdr:col>
      <xdr:colOff>19050</xdr:colOff>
      <xdr:row>0</xdr:row>
      <xdr:rowOff>9525</xdr:rowOff>
    </xdr:from>
    <xdr:to>
      <xdr:col>3</xdr:col>
      <xdr:colOff>161925</xdr:colOff>
      <xdr:row>3</xdr:row>
      <xdr:rowOff>161925</xdr:rowOff>
    </xdr:to>
    <xdr:pic>
      <xdr:nvPicPr>
        <xdr:cNvPr id="600555" name="Picture 3">
          <a:extLst>
            <a:ext uri="{FF2B5EF4-FFF2-40B4-BE49-F238E27FC236}">
              <a16:creationId xmlns:a16="http://schemas.microsoft.com/office/drawing/2014/main" id="{531A0963-BC88-BEB8-EE48-35DC7E2DA9B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81000" y="9525"/>
          <a:ext cx="1323975" cy="723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335280</xdr:colOff>
      <xdr:row>15</xdr:row>
      <xdr:rowOff>11430</xdr:rowOff>
    </xdr:from>
    <xdr:to>
      <xdr:col>2</xdr:col>
      <xdr:colOff>445249</xdr:colOff>
      <xdr:row>17</xdr:row>
      <xdr:rowOff>128070</xdr:rowOff>
    </xdr:to>
    <xdr:sp macro="" textlink="">
      <xdr:nvSpPr>
        <xdr:cNvPr id="5" name="Rectangle 4">
          <a:hlinkClick xmlns:r="http://schemas.openxmlformats.org/officeDocument/2006/relationships" r:id="rId4" tooltip=" "/>
          <a:extLst>
            <a:ext uri="{FF2B5EF4-FFF2-40B4-BE49-F238E27FC236}">
              <a16:creationId xmlns:a16="http://schemas.microsoft.com/office/drawing/2014/main" id="{F90B16FE-F560-3BC5-85B5-F32084D26A3E}"/>
            </a:ext>
          </a:extLst>
        </xdr:cNvPr>
        <xdr:cNvSpPr/>
      </xdr:nvSpPr>
      <xdr:spPr>
        <a:xfrm>
          <a:off x="342900" y="2884170"/>
          <a:ext cx="1091040" cy="482400"/>
        </a:xfrm>
        <a:prstGeom prst="rect">
          <a:avLst/>
        </a:prstGeom>
        <a:solidFill>
          <a:schemeClr val="accent3">
            <a:lumMod val="20000"/>
            <a:lumOff val="80000"/>
          </a:schemeClr>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ZA" sz="1100" b="1">
              <a:solidFill>
                <a:sysClr val="windowText" lastClr="000000"/>
              </a:solidFill>
            </a:rPr>
            <a:t>Surplus</a:t>
          </a:r>
        </a:p>
      </xdr:txBody>
    </xdr:sp>
    <xdr:clientData/>
  </xdr:twoCellAnchor>
  <xdr:twoCellAnchor>
    <xdr:from>
      <xdr:col>0</xdr:col>
      <xdr:colOff>327660</xdr:colOff>
      <xdr:row>18</xdr:row>
      <xdr:rowOff>114299</xdr:rowOff>
    </xdr:from>
    <xdr:to>
      <xdr:col>2</xdr:col>
      <xdr:colOff>447204</xdr:colOff>
      <xdr:row>21</xdr:row>
      <xdr:rowOff>40788</xdr:rowOff>
    </xdr:to>
    <xdr:sp macro="" textlink="">
      <xdr:nvSpPr>
        <xdr:cNvPr id="6" name="Rectangle 5">
          <a:hlinkClick xmlns:r="http://schemas.openxmlformats.org/officeDocument/2006/relationships" r:id="rId5" tooltip=" "/>
          <a:extLst>
            <a:ext uri="{FF2B5EF4-FFF2-40B4-BE49-F238E27FC236}">
              <a16:creationId xmlns:a16="http://schemas.microsoft.com/office/drawing/2014/main" id="{5CDE0401-DB70-4F39-FFB9-E6FEE1FFE78F}"/>
            </a:ext>
          </a:extLst>
        </xdr:cNvPr>
        <xdr:cNvSpPr/>
      </xdr:nvSpPr>
      <xdr:spPr>
        <a:xfrm>
          <a:off x="335280" y="3528059"/>
          <a:ext cx="1091040" cy="482400"/>
        </a:xfrm>
        <a:prstGeom prst="rect">
          <a:avLst/>
        </a:prstGeom>
        <a:solidFill>
          <a:schemeClr val="accent3">
            <a:lumMod val="20000"/>
            <a:lumOff val="80000"/>
          </a:schemeClr>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ZA" sz="1100" b="1">
              <a:solidFill>
                <a:sysClr val="windowText" lastClr="000000"/>
              </a:solidFill>
            </a:rPr>
            <a:t>Revenue required</a:t>
          </a:r>
        </a:p>
      </xdr:txBody>
    </xdr:sp>
    <xdr:clientData/>
  </xdr:twoCellAnchor>
  <xdr:twoCellAnchor>
    <xdr:from>
      <xdr:col>1</xdr:col>
      <xdr:colOff>0</xdr:colOff>
      <xdr:row>4</xdr:row>
      <xdr:rowOff>171449</xdr:rowOff>
    </xdr:from>
    <xdr:to>
      <xdr:col>2</xdr:col>
      <xdr:colOff>475511</xdr:colOff>
      <xdr:row>7</xdr:row>
      <xdr:rowOff>112835</xdr:rowOff>
    </xdr:to>
    <xdr:sp macro="" textlink="">
      <xdr:nvSpPr>
        <xdr:cNvPr id="10" name="Rectangle 9">
          <a:hlinkClick xmlns:r="http://schemas.openxmlformats.org/officeDocument/2006/relationships" r:id="rId6" tooltip=" "/>
          <a:extLst>
            <a:ext uri="{FF2B5EF4-FFF2-40B4-BE49-F238E27FC236}">
              <a16:creationId xmlns:a16="http://schemas.microsoft.com/office/drawing/2014/main" id="{92081B33-A7CD-E2F0-7805-C26585DAE484}"/>
            </a:ext>
          </a:extLst>
        </xdr:cNvPr>
        <xdr:cNvSpPr/>
      </xdr:nvSpPr>
      <xdr:spPr>
        <a:xfrm>
          <a:off x="548640" y="1451609"/>
          <a:ext cx="1152000" cy="482400"/>
        </a:xfrm>
        <a:prstGeom prst="rect">
          <a:avLst/>
        </a:prstGeom>
        <a:solidFill>
          <a:schemeClr val="accent3">
            <a:lumMod val="20000"/>
            <a:lumOff val="80000"/>
          </a:schemeClr>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ZA" sz="1100" b="1">
              <a:solidFill>
                <a:sysClr val="windowText" lastClr="000000"/>
              </a:solidFill>
            </a:rPr>
            <a:t>User instructions</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2</xdr:col>
      <xdr:colOff>929639</xdr:colOff>
      <xdr:row>43</xdr:row>
      <xdr:rowOff>78232</xdr:rowOff>
    </xdr:from>
    <xdr:to>
      <xdr:col>2</xdr:col>
      <xdr:colOff>968419</xdr:colOff>
      <xdr:row>52</xdr:row>
      <xdr:rowOff>0</xdr:rowOff>
    </xdr:to>
    <xdr:sp macro="" textlink="">
      <xdr:nvSpPr>
        <xdr:cNvPr id="2" name="Right Brace 1">
          <a:extLst>
            <a:ext uri="{FF2B5EF4-FFF2-40B4-BE49-F238E27FC236}">
              <a16:creationId xmlns:a16="http://schemas.microsoft.com/office/drawing/2014/main" id="{72878962-77BC-1FA2-F4F9-067E3DB265C0}"/>
            </a:ext>
          </a:extLst>
        </xdr:cNvPr>
        <xdr:cNvSpPr/>
      </xdr:nvSpPr>
      <xdr:spPr>
        <a:xfrm>
          <a:off x="1203959" y="4200652"/>
          <a:ext cx="45719" cy="1384808"/>
        </a:xfrm>
        <a:prstGeom prst="rightBrace">
          <a:avLst/>
        </a:prstGeom>
        <a:ln>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en-ZA"/>
        </a:p>
      </xdr:txBody>
    </xdr:sp>
    <xdr:clientData/>
  </xdr:twoCellAnchor>
  <xdr:twoCellAnchor>
    <xdr:from>
      <xdr:col>2</xdr:col>
      <xdr:colOff>929639</xdr:colOff>
      <xdr:row>52</xdr:row>
      <xdr:rowOff>46228</xdr:rowOff>
    </xdr:from>
    <xdr:to>
      <xdr:col>2</xdr:col>
      <xdr:colOff>968419</xdr:colOff>
      <xdr:row>56</xdr:row>
      <xdr:rowOff>81</xdr:rowOff>
    </xdr:to>
    <xdr:sp macro="" textlink="">
      <xdr:nvSpPr>
        <xdr:cNvPr id="4" name="Right Brace 3">
          <a:extLst>
            <a:ext uri="{FF2B5EF4-FFF2-40B4-BE49-F238E27FC236}">
              <a16:creationId xmlns:a16="http://schemas.microsoft.com/office/drawing/2014/main" id="{410453E7-E3AC-EAF6-EDCF-8EA467EE47E8}"/>
            </a:ext>
          </a:extLst>
        </xdr:cNvPr>
        <xdr:cNvSpPr/>
      </xdr:nvSpPr>
      <xdr:spPr>
        <a:xfrm>
          <a:off x="1203959" y="5639308"/>
          <a:ext cx="45719" cy="677672"/>
        </a:xfrm>
        <a:prstGeom prst="rightBrace">
          <a:avLst/>
        </a:prstGeom>
        <a:ln>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en-ZA"/>
        </a:p>
      </xdr:txBody>
    </xdr:sp>
    <xdr:clientData/>
  </xdr:twoCellAnchor>
  <xdr:twoCellAnchor>
    <xdr:from>
      <xdr:col>2</xdr:col>
      <xdr:colOff>929639</xdr:colOff>
      <xdr:row>56</xdr:row>
      <xdr:rowOff>47752</xdr:rowOff>
    </xdr:from>
    <xdr:to>
      <xdr:col>2</xdr:col>
      <xdr:colOff>968419</xdr:colOff>
      <xdr:row>60</xdr:row>
      <xdr:rowOff>45779</xdr:rowOff>
    </xdr:to>
    <xdr:sp macro="" textlink="">
      <xdr:nvSpPr>
        <xdr:cNvPr id="5" name="Right Brace 4">
          <a:extLst>
            <a:ext uri="{FF2B5EF4-FFF2-40B4-BE49-F238E27FC236}">
              <a16:creationId xmlns:a16="http://schemas.microsoft.com/office/drawing/2014/main" id="{E8DE6DFD-727A-C961-5D9D-F39F6C9EA5C7}"/>
            </a:ext>
          </a:extLst>
        </xdr:cNvPr>
        <xdr:cNvSpPr/>
      </xdr:nvSpPr>
      <xdr:spPr>
        <a:xfrm>
          <a:off x="1203959" y="6379972"/>
          <a:ext cx="45719" cy="721868"/>
        </a:xfrm>
        <a:prstGeom prst="rightBrace">
          <a:avLst/>
        </a:prstGeom>
        <a:ln>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en-ZA"/>
        </a:p>
      </xdr:txBody>
    </xdr:sp>
    <xdr:clientData/>
  </xdr:twoCellAnchor>
  <xdr:twoCellAnchor editAs="oneCell">
    <xdr:from>
      <xdr:col>0</xdr:col>
      <xdr:colOff>266700</xdr:colOff>
      <xdr:row>0</xdr:row>
      <xdr:rowOff>57150</xdr:rowOff>
    </xdr:from>
    <xdr:to>
      <xdr:col>3</xdr:col>
      <xdr:colOff>209550</xdr:colOff>
      <xdr:row>3</xdr:row>
      <xdr:rowOff>76200</xdr:rowOff>
    </xdr:to>
    <xdr:pic>
      <xdr:nvPicPr>
        <xdr:cNvPr id="599532" name="Picture 7">
          <a:extLst>
            <a:ext uri="{FF2B5EF4-FFF2-40B4-BE49-F238E27FC236}">
              <a16:creationId xmlns:a16="http://schemas.microsoft.com/office/drawing/2014/main" id="{F548F6FE-1E3D-4A0C-6CEC-DA5C8D389B9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14300" y="57150"/>
          <a:ext cx="1352550" cy="638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775335</xdr:colOff>
      <xdr:row>0</xdr:row>
      <xdr:rowOff>118109</xdr:rowOff>
    </xdr:from>
    <xdr:to>
      <xdr:col>5</xdr:col>
      <xdr:colOff>482178</xdr:colOff>
      <xdr:row>3</xdr:row>
      <xdr:rowOff>84148</xdr:rowOff>
    </xdr:to>
    <xdr:sp macro="" textlink="">
      <xdr:nvSpPr>
        <xdr:cNvPr id="9" name="Rectangle 8">
          <a:hlinkClick xmlns:r="http://schemas.openxmlformats.org/officeDocument/2006/relationships" r:id="rId2" tooltip=" "/>
          <a:extLst>
            <a:ext uri="{FF2B5EF4-FFF2-40B4-BE49-F238E27FC236}">
              <a16:creationId xmlns:a16="http://schemas.microsoft.com/office/drawing/2014/main" id="{A868AEF7-FFAE-BDB6-B442-2CAB40BB4516}"/>
            </a:ext>
          </a:extLst>
        </xdr:cNvPr>
        <xdr:cNvSpPr/>
      </xdr:nvSpPr>
      <xdr:spPr>
        <a:xfrm>
          <a:off x="2065020" y="110489"/>
          <a:ext cx="1097280" cy="590551"/>
        </a:xfrm>
        <a:prstGeom prst="rect">
          <a:avLst/>
        </a:prstGeom>
        <a:solidFill>
          <a:schemeClr val="accent3">
            <a:lumMod val="20000"/>
            <a:lumOff val="80000"/>
          </a:schemeClr>
        </a:solidFill>
        <a:ln w="19050">
          <a:solidFill>
            <a:schemeClr val="accent3"/>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ZA" sz="1100" b="1">
              <a:solidFill>
                <a:sysClr val="windowText" lastClr="000000"/>
              </a:solidFill>
            </a:rPr>
            <a:t>Scroll</a:t>
          </a:r>
          <a:r>
            <a:rPr lang="en-ZA" sz="1100" b="1" baseline="0">
              <a:solidFill>
                <a:sysClr val="windowText" lastClr="000000"/>
              </a:solidFill>
            </a:rPr>
            <a:t> to top</a:t>
          </a:r>
          <a:endParaRPr lang="en-ZA" sz="1100" b="1">
            <a:solidFill>
              <a:sysClr val="windowText" lastClr="000000"/>
            </a:solidFill>
          </a:endParaRPr>
        </a:p>
      </xdr:txBody>
    </xdr:sp>
    <xdr:clientData/>
  </xdr:twoCellAnchor>
  <mc:AlternateContent xmlns:mc="http://schemas.openxmlformats.org/markup-compatibility/2006">
    <mc:Choice xmlns:a14="http://schemas.microsoft.com/office/drawing/2010/main" Requires="a14">
      <xdr:twoCellAnchor editAs="oneCell">
        <xdr:from>
          <xdr:col>6</xdr:col>
          <xdr:colOff>91440</xdr:colOff>
          <xdr:row>2</xdr:row>
          <xdr:rowOff>22860</xdr:rowOff>
        </xdr:from>
        <xdr:to>
          <xdr:col>9</xdr:col>
          <xdr:colOff>11430</xdr:colOff>
          <xdr:row>3</xdr:row>
          <xdr:rowOff>45720</xdr:rowOff>
        </xdr:to>
        <xdr:sp macro="" textlink="">
          <xdr:nvSpPr>
            <xdr:cNvPr id="2049" name="cbUser" hidden="1">
              <a:extLst>
                <a:ext uri="{63B3BB69-23CF-44E3-9099-C40C66FF867C}">
                  <a14:compatExt spid="_x0000_s2049"/>
                </a:ext>
                <a:ext uri="{FF2B5EF4-FFF2-40B4-BE49-F238E27FC236}">
                  <a16:creationId xmlns:a16="http://schemas.microsoft.com/office/drawing/2014/main" id="{00000000-0008-0000-0100-000001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twoCellAnchor>
    <xdr:from>
      <xdr:col>2</xdr:col>
      <xdr:colOff>929640</xdr:colOff>
      <xdr:row>61</xdr:row>
      <xdr:rowOff>47625</xdr:rowOff>
    </xdr:from>
    <xdr:to>
      <xdr:col>2</xdr:col>
      <xdr:colOff>968323</xdr:colOff>
      <xdr:row>64</xdr:row>
      <xdr:rowOff>169561</xdr:rowOff>
    </xdr:to>
    <xdr:sp macro="" textlink="">
      <xdr:nvSpPr>
        <xdr:cNvPr id="10" name="Right Brace 9">
          <a:extLst>
            <a:ext uri="{FF2B5EF4-FFF2-40B4-BE49-F238E27FC236}">
              <a16:creationId xmlns:a16="http://schemas.microsoft.com/office/drawing/2014/main" id="{7E53D399-ADDC-FC3F-B29A-3AEAA516D26F}"/>
            </a:ext>
          </a:extLst>
        </xdr:cNvPr>
        <xdr:cNvSpPr/>
      </xdr:nvSpPr>
      <xdr:spPr>
        <a:xfrm>
          <a:off x="1188720" y="9846945"/>
          <a:ext cx="57150" cy="664845"/>
        </a:xfrm>
        <a:prstGeom prst="rightBrace">
          <a:avLst/>
        </a:prstGeom>
        <a:ln>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en-ZA"/>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2</xdr:col>
      <xdr:colOff>153459</xdr:colOff>
      <xdr:row>3</xdr:row>
      <xdr:rowOff>173778</xdr:rowOff>
    </xdr:from>
    <xdr:to>
      <xdr:col>9</xdr:col>
      <xdr:colOff>514331</xdr:colOff>
      <xdr:row>8</xdr:row>
      <xdr:rowOff>214291</xdr:rowOff>
    </xdr:to>
    <xdr:sp macro="" textlink="">
      <xdr:nvSpPr>
        <xdr:cNvPr id="2" name="Rectangle 1">
          <a:extLst>
            <a:ext uri="{FF2B5EF4-FFF2-40B4-BE49-F238E27FC236}">
              <a16:creationId xmlns:a16="http://schemas.microsoft.com/office/drawing/2014/main" id="{19706C15-9206-5853-7E8A-3990272B756B}"/>
            </a:ext>
          </a:extLst>
        </xdr:cNvPr>
        <xdr:cNvSpPr/>
      </xdr:nvSpPr>
      <xdr:spPr>
        <a:xfrm>
          <a:off x="572559" y="831003"/>
          <a:ext cx="4037541" cy="893022"/>
        </a:xfrm>
        <a:prstGeom prst="rect">
          <a:avLst/>
        </a:prstGeom>
        <a:solidFill>
          <a:schemeClr val="bg1">
            <a:lumMod val="65000"/>
          </a:schemeClr>
        </a:solidFill>
        <a:ln>
          <a:solidFill>
            <a:schemeClr val="accent6">
              <a:lumMod val="50000"/>
            </a:schemeClr>
          </a:solidFill>
        </a:ln>
        <a:scene3d>
          <a:camera prst="orthographicFront"/>
          <a:lightRig rig="threePt" dir="t"/>
        </a:scene3d>
        <a:sp3d>
          <a:bevelT prst="angle"/>
          <a:bevelB prst="angle"/>
        </a:sp3d>
      </xdr:spPr>
      <xdr:style>
        <a:lnRef idx="1">
          <a:schemeClr val="accent4"/>
        </a:lnRef>
        <a:fillRef idx="3">
          <a:schemeClr val="accent4"/>
        </a:fillRef>
        <a:effectRef idx="2">
          <a:schemeClr val="accent4"/>
        </a:effectRef>
        <a:fontRef idx="minor">
          <a:schemeClr val="lt1"/>
        </a:fontRef>
      </xdr:style>
      <xdr:txBody>
        <a:bodyPr wrap="square" rtlCol="0" anchor="ctr"/>
        <a:lstStyle>
          <a:defPPr>
            <a:defRPr lang="en-US"/>
          </a:defPPr>
          <a:lvl1pPr algn="l" rtl="0" eaLnBrk="0" fontAlgn="base" hangingPunct="0">
            <a:spcBef>
              <a:spcPct val="0"/>
            </a:spcBef>
            <a:spcAft>
              <a:spcPct val="0"/>
            </a:spcAft>
            <a:defRPr kern="1200">
              <a:solidFill>
                <a:schemeClr val="lt1"/>
              </a:solidFill>
              <a:latin typeface="+mn-lt"/>
              <a:ea typeface="+mn-ea"/>
              <a:cs typeface="+mn-cs"/>
            </a:defRPr>
          </a:lvl1pPr>
          <a:lvl2pPr marL="457200" algn="l" rtl="0" eaLnBrk="0" fontAlgn="base" hangingPunct="0">
            <a:spcBef>
              <a:spcPct val="0"/>
            </a:spcBef>
            <a:spcAft>
              <a:spcPct val="0"/>
            </a:spcAft>
            <a:defRPr kern="1200">
              <a:solidFill>
                <a:schemeClr val="lt1"/>
              </a:solidFill>
              <a:latin typeface="+mn-lt"/>
              <a:ea typeface="+mn-ea"/>
              <a:cs typeface="+mn-cs"/>
            </a:defRPr>
          </a:lvl2pPr>
          <a:lvl3pPr marL="914400" algn="l" rtl="0" eaLnBrk="0" fontAlgn="base" hangingPunct="0">
            <a:spcBef>
              <a:spcPct val="0"/>
            </a:spcBef>
            <a:spcAft>
              <a:spcPct val="0"/>
            </a:spcAft>
            <a:defRPr kern="1200">
              <a:solidFill>
                <a:schemeClr val="lt1"/>
              </a:solidFill>
              <a:latin typeface="+mn-lt"/>
              <a:ea typeface="+mn-ea"/>
              <a:cs typeface="+mn-cs"/>
            </a:defRPr>
          </a:lvl3pPr>
          <a:lvl4pPr marL="1371600" algn="l" rtl="0" eaLnBrk="0" fontAlgn="base" hangingPunct="0">
            <a:spcBef>
              <a:spcPct val="0"/>
            </a:spcBef>
            <a:spcAft>
              <a:spcPct val="0"/>
            </a:spcAft>
            <a:defRPr kern="1200">
              <a:solidFill>
                <a:schemeClr val="lt1"/>
              </a:solidFill>
              <a:latin typeface="+mn-lt"/>
              <a:ea typeface="+mn-ea"/>
              <a:cs typeface="+mn-cs"/>
            </a:defRPr>
          </a:lvl4pPr>
          <a:lvl5pPr marL="1828800" algn="l" rtl="0" eaLnBrk="0" fontAlgn="base" hangingPunct="0">
            <a:spcBef>
              <a:spcPct val="0"/>
            </a:spcBef>
            <a:spcAft>
              <a:spcPct val="0"/>
            </a:spcAft>
            <a:defRPr kern="1200">
              <a:solidFill>
                <a:schemeClr val="lt1"/>
              </a:solidFill>
              <a:latin typeface="+mn-lt"/>
              <a:ea typeface="+mn-ea"/>
              <a:cs typeface="+mn-cs"/>
            </a:defRPr>
          </a:lvl5pPr>
          <a:lvl6pPr marL="2286000" algn="l" defTabSz="914400" rtl="0" eaLnBrk="1" latinLnBrk="0" hangingPunct="1">
            <a:defRPr kern="1200">
              <a:solidFill>
                <a:schemeClr val="lt1"/>
              </a:solidFill>
              <a:latin typeface="+mn-lt"/>
              <a:ea typeface="+mn-ea"/>
              <a:cs typeface="+mn-cs"/>
            </a:defRPr>
          </a:lvl6pPr>
          <a:lvl7pPr marL="2743200" algn="l" defTabSz="914400" rtl="0" eaLnBrk="1" latinLnBrk="0" hangingPunct="1">
            <a:defRPr kern="1200">
              <a:solidFill>
                <a:schemeClr val="lt1"/>
              </a:solidFill>
              <a:latin typeface="+mn-lt"/>
              <a:ea typeface="+mn-ea"/>
              <a:cs typeface="+mn-cs"/>
            </a:defRPr>
          </a:lvl7pPr>
          <a:lvl8pPr marL="3200400" algn="l" defTabSz="914400" rtl="0" eaLnBrk="1" latinLnBrk="0" hangingPunct="1">
            <a:defRPr kern="1200">
              <a:solidFill>
                <a:schemeClr val="lt1"/>
              </a:solidFill>
              <a:latin typeface="+mn-lt"/>
              <a:ea typeface="+mn-ea"/>
              <a:cs typeface="+mn-cs"/>
            </a:defRPr>
          </a:lvl8pPr>
          <a:lvl9pPr marL="3657600" algn="l" defTabSz="914400" rtl="0" eaLnBrk="1" latinLnBrk="0" hangingPunct="1">
            <a:defRPr kern="1200">
              <a:solidFill>
                <a:schemeClr val="lt1"/>
              </a:solidFill>
              <a:latin typeface="+mn-lt"/>
              <a:ea typeface="+mn-ea"/>
              <a:cs typeface="+mn-cs"/>
            </a:defRPr>
          </a:lvl9pPr>
        </a:lstStyle>
        <a:p>
          <a:pPr marL="0" marR="0" lvl="0" indent="0" algn="ctr" defTabSz="914400" rtl="0" eaLnBrk="0" fontAlgn="base" latinLnBrk="0" hangingPunct="0">
            <a:lnSpc>
              <a:spcPct val="100000"/>
            </a:lnSpc>
            <a:spcBef>
              <a:spcPct val="0"/>
            </a:spcBef>
            <a:spcAft>
              <a:spcPct val="0"/>
            </a:spcAft>
            <a:buClrTx/>
            <a:buSzTx/>
            <a:buFontTx/>
            <a:buNone/>
            <a:tabLst/>
            <a:defRPr/>
          </a:pPr>
          <a:r>
            <a:rPr lang="en-ZA" sz="2000" b="1" i="1" u="sng" strike="noStrike" baseline="0">
              <a:solidFill>
                <a:schemeClr val="tx1"/>
              </a:solidFill>
              <a:latin typeface="Arial Narrow" panose="020B0606020202030204" pitchFamily="34" charset="0"/>
            </a:rPr>
            <a:t>1.</a:t>
          </a:r>
          <a:r>
            <a:rPr lang="en-ZA" sz="1200" b="1" i="1" u="none" strike="noStrike" baseline="0">
              <a:solidFill>
                <a:schemeClr val="tx1"/>
              </a:solidFill>
              <a:latin typeface="Arial Narrow" panose="020B0606020202030204" pitchFamily="34" charset="0"/>
            </a:rPr>
            <a:t>Access Go Muni and download the following report</a:t>
          </a:r>
        </a:p>
        <a:p>
          <a:pPr marL="0" marR="0" lvl="0" indent="0" algn="ctr" defTabSz="914400" rtl="0" eaLnBrk="0" fontAlgn="base" latinLnBrk="0" hangingPunct="0">
            <a:lnSpc>
              <a:spcPts val="1200"/>
            </a:lnSpc>
            <a:spcBef>
              <a:spcPct val="0"/>
            </a:spcBef>
            <a:spcAft>
              <a:spcPct val="0"/>
            </a:spcAft>
            <a:buClrTx/>
            <a:buSzTx/>
            <a:buFontTx/>
            <a:buNone/>
            <a:tabLst/>
            <a:defRPr/>
          </a:pPr>
          <a:r>
            <a:rPr lang="en-ZA" sz="1100" b="1" i="0" kern="1200">
              <a:solidFill>
                <a:schemeClr val="tx1"/>
              </a:solidFill>
              <a:effectLst/>
              <a:latin typeface="+mn-lt"/>
              <a:ea typeface="+mn-ea"/>
              <a:cs typeface="+mn-cs"/>
            </a:rPr>
            <a:t>"List Operating Expenditure and Income Across Functions" for</a:t>
          </a:r>
          <a:r>
            <a:rPr lang="en-ZA" sz="1100" b="1" i="0" kern="1200" baseline="0">
              <a:solidFill>
                <a:schemeClr val="tx1"/>
              </a:solidFill>
              <a:effectLst/>
              <a:latin typeface="+mn-lt"/>
              <a:ea typeface="+mn-ea"/>
              <a:cs typeface="+mn-cs"/>
            </a:rPr>
            <a:t> the following period</a:t>
          </a:r>
        </a:p>
        <a:p>
          <a:pPr marL="0" marR="0" lvl="0" indent="0" algn="ctr" defTabSz="914400" rtl="0" eaLnBrk="0" fontAlgn="base" latinLnBrk="0" hangingPunct="0">
            <a:lnSpc>
              <a:spcPts val="1200"/>
            </a:lnSpc>
            <a:spcBef>
              <a:spcPct val="0"/>
            </a:spcBef>
            <a:spcAft>
              <a:spcPct val="0"/>
            </a:spcAft>
            <a:buClrTx/>
            <a:buSzTx/>
            <a:buFontTx/>
            <a:buNone/>
            <a:tabLst/>
            <a:defRPr/>
          </a:pPr>
          <a:r>
            <a:rPr lang="en-ZA" sz="1100" b="1" i="0" kern="1200" baseline="0">
              <a:solidFill>
                <a:srgbClr val="FF0000"/>
              </a:solidFill>
              <a:effectLst/>
              <a:latin typeface="+mn-lt"/>
              <a:ea typeface="+mn-ea"/>
              <a:cs typeface="+mn-cs"/>
            </a:rPr>
            <a:t>1.2023/2024 Tabled Budget</a:t>
          </a:r>
        </a:p>
        <a:p>
          <a:pPr marL="0" marR="0" lvl="0" indent="0" algn="ctr" defTabSz="914400" rtl="0" eaLnBrk="0" fontAlgn="base" latinLnBrk="0" hangingPunct="0">
            <a:lnSpc>
              <a:spcPts val="1200"/>
            </a:lnSpc>
            <a:spcBef>
              <a:spcPct val="0"/>
            </a:spcBef>
            <a:spcAft>
              <a:spcPct val="0"/>
            </a:spcAft>
            <a:buClrTx/>
            <a:buSzTx/>
            <a:buFontTx/>
            <a:buNone/>
            <a:tabLst/>
            <a:defRPr/>
          </a:pPr>
          <a:r>
            <a:rPr lang="en-ZA" sz="1100" b="1" i="0" kern="1200" baseline="0">
              <a:solidFill>
                <a:srgbClr val="FF0000"/>
              </a:solidFill>
              <a:effectLst/>
              <a:latin typeface="+mn-lt"/>
              <a:ea typeface="+mn-ea"/>
              <a:cs typeface="+mn-cs"/>
            </a:rPr>
            <a:t>2.2023/2024 Indicative Tabled Budget 2024/2025</a:t>
          </a:r>
        </a:p>
        <a:p>
          <a:pPr marL="0" marR="0" lvl="0" indent="0" algn="ctr" defTabSz="914400" rtl="0" eaLnBrk="0" fontAlgn="base" latinLnBrk="0" hangingPunct="0">
            <a:lnSpc>
              <a:spcPts val="1200"/>
            </a:lnSpc>
            <a:spcBef>
              <a:spcPct val="0"/>
            </a:spcBef>
            <a:spcAft>
              <a:spcPct val="0"/>
            </a:spcAft>
            <a:buClrTx/>
            <a:buSzTx/>
            <a:buFontTx/>
            <a:buNone/>
            <a:tabLst/>
            <a:defRPr/>
          </a:pPr>
          <a:endParaRPr lang="en-ZA" sz="1200" b="1" i="1">
            <a:solidFill>
              <a:schemeClr val="bg1"/>
            </a:solidFill>
            <a:latin typeface="Arial Narrow" panose="020B0606020202030204" pitchFamily="34" charset="0"/>
          </a:endParaRPr>
        </a:p>
      </xdr:txBody>
    </xdr:sp>
    <xdr:clientData/>
  </xdr:twoCellAnchor>
  <xdr:twoCellAnchor>
    <xdr:from>
      <xdr:col>10</xdr:col>
      <xdr:colOff>245744</xdr:colOff>
      <xdr:row>4</xdr:row>
      <xdr:rowOff>28682</xdr:rowOff>
    </xdr:from>
    <xdr:to>
      <xdr:col>18</xdr:col>
      <xdr:colOff>107948</xdr:colOff>
      <xdr:row>8</xdr:row>
      <xdr:rowOff>171451</xdr:rowOff>
    </xdr:to>
    <xdr:sp macro="" textlink="">
      <xdr:nvSpPr>
        <xdr:cNvPr id="3" name="Rectangle 2">
          <a:extLst>
            <a:ext uri="{FF2B5EF4-FFF2-40B4-BE49-F238E27FC236}">
              <a16:creationId xmlns:a16="http://schemas.microsoft.com/office/drawing/2014/main" id="{306253FD-B4BC-A58F-4CAB-ADF0444C4ED9}"/>
            </a:ext>
          </a:extLst>
        </xdr:cNvPr>
        <xdr:cNvSpPr/>
      </xdr:nvSpPr>
      <xdr:spPr>
        <a:xfrm>
          <a:off x="4460557" y="969276"/>
          <a:ext cx="3743641" cy="1000019"/>
        </a:xfrm>
        <a:prstGeom prst="rect">
          <a:avLst/>
        </a:prstGeom>
        <a:solidFill>
          <a:schemeClr val="bg1">
            <a:lumMod val="65000"/>
          </a:schemeClr>
        </a:solidFill>
        <a:ln>
          <a:solidFill>
            <a:schemeClr val="accent6">
              <a:lumMod val="50000"/>
            </a:schemeClr>
          </a:solidFill>
        </a:ln>
        <a:scene3d>
          <a:camera prst="orthographicFront"/>
          <a:lightRig rig="threePt" dir="t"/>
        </a:scene3d>
        <a:sp3d>
          <a:bevelT prst="angle"/>
          <a:bevelB prst="angle"/>
        </a:sp3d>
      </xdr:spPr>
      <xdr:style>
        <a:lnRef idx="1">
          <a:schemeClr val="accent4"/>
        </a:lnRef>
        <a:fillRef idx="3">
          <a:schemeClr val="accent4"/>
        </a:fillRef>
        <a:effectRef idx="2">
          <a:schemeClr val="accent4"/>
        </a:effectRef>
        <a:fontRef idx="minor">
          <a:schemeClr val="lt1"/>
        </a:fontRef>
      </xdr:style>
      <xdr:txBody>
        <a:bodyPr wrap="square" rtlCol="0" anchor="ctr"/>
        <a:lstStyle>
          <a:defPPr>
            <a:defRPr lang="en-US"/>
          </a:defPPr>
          <a:lvl1pPr algn="l" rtl="0" eaLnBrk="0" fontAlgn="base" hangingPunct="0">
            <a:spcBef>
              <a:spcPct val="0"/>
            </a:spcBef>
            <a:spcAft>
              <a:spcPct val="0"/>
            </a:spcAft>
            <a:defRPr kern="1200">
              <a:solidFill>
                <a:schemeClr val="lt1"/>
              </a:solidFill>
              <a:latin typeface="+mn-lt"/>
              <a:ea typeface="+mn-ea"/>
              <a:cs typeface="+mn-cs"/>
            </a:defRPr>
          </a:lvl1pPr>
          <a:lvl2pPr marL="457200" algn="l" rtl="0" eaLnBrk="0" fontAlgn="base" hangingPunct="0">
            <a:spcBef>
              <a:spcPct val="0"/>
            </a:spcBef>
            <a:spcAft>
              <a:spcPct val="0"/>
            </a:spcAft>
            <a:defRPr kern="1200">
              <a:solidFill>
                <a:schemeClr val="lt1"/>
              </a:solidFill>
              <a:latin typeface="+mn-lt"/>
              <a:ea typeface="+mn-ea"/>
              <a:cs typeface="+mn-cs"/>
            </a:defRPr>
          </a:lvl2pPr>
          <a:lvl3pPr marL="914400" algn="l" rtl="0" eaLnBrk="0" fontAlgn="base" hangingPunct="0">
            <a:spcBef>
              <a:spcPct val="0"/>
            </a:spcBef>
            <a:spcAft>
              <a:spcPct val="0"/>
            </a:spcAft>
            <a:defRPr kern="1200">
              <a:solidFill>
                <a:schemeClr val="lt1"/>
              </a:solidFill>
              <a:latin typeface="+mn-lt"/>
              <a:ea typeface="+mn-ea"/>
              <a:cs typeface="+mn-cs"/>
            </a:defRPr>
          </a:lvl3pPr>
          <a:lvl4pPr marL="1371600" algn="l" rtl="0" eaLnBrk="0" fontAlgn="base" hangingPunct="0">
            <a:spcBef>
              <a:spcPct val="0"/>
            </a:spcBef>
            <a:spcAft>
              <a:spcPct val="0"/>
            </a:spcAft>
            <a:defRPr kern="1200">
              <a:solidFill>
                <a:schemeClr val="lt1"/>
              </a:solidFill>
              <a:latin typeface="+mn-lt"/>
              <a:ea typeface="+mn-ea"/>
              <a:cs typeface="+mn-cs"/>
            </a:defRPr>
          </a:lvl4pPr>
          <a:lvl5pPr marL="1828800" algn="l" rtl="0" eaLnBrk="0" fontAlgn="base" hangingPunct="0">
            <a:spcBef>
              <a:spcPct val="0"/>
            </a:spcBef>
            <a:spcAft>
              <a:spcPct val="0"/>
            </a:spcAft>
            <a:defRPr kern="1200">
              <a:solidFill>
                <a:schemeClr val="lt1"/>
              </a:solidFill>
              <a:latin typeface="+mn-lt"/>
              <a:ea typeface="+mn-ea"/>
              <a:cs typeface="+mn-cs"/>
            </a:defRPr>
          </a:lvl5pPr>
          <a:lvl6pPr marL="2286000" algn="l" defTabSz="914400" rtl="0" eaLnBrk="1" latinLnBrk="0" hangingPunct="1">
            <a:defRPr kern="1200">
              <a:solidFill>
                <a:schemeClr val="lt1"/>
              </a:solidFill>
              <a:latin typeface="+mn-lt"/>
              <a:ea typeface="+mn-ea"/>
              <a:cs typeface="+mn-cs"/>
            </a:defRPr>
          </a:lvl6pPr>
          <a:lvl7pPr marL="2743200" algn="l" defTabSz="914400" rtl="0" eaLnBrk="1" latinLnBrk="0" hangingPunct="1">
            <a:defRPr kern="1200">
              <a:solidFill>
                <a:schemeClr val="lt1"/>
              </a:solidFill>
              <a:latin typeface="+mn-lt"/>
              <a:ea typeface="+mn-ea"/>
              <a:cs typeface="+mn-cs"/>
            </a:defRPr>
          </a:lvl7pPr>
          <a:lvl8pPr marL="3200400" algn="l" defTabSz="914400" rtl="0" eaLnBrk="1" latinLnBrk="0" hangingPunct="1">
            <a:defRPr kern="1200">
              <a:solidFill>
                <a:schemeClr val="lt1"/>
              </a:solidFill>
              <a:latin typeface="+mn-lt"/>
              <a:ea typeface="+mn-ea"/>
              <a:cs typeface="+mn-cs"/>
            </a:defRPr>
          </a:lvl8pPr>
          <a:lvl9pPr marL="3657600" algn="l" defTabSz="914400" rtl="0" eaLnBrk="1" latinLnBrk="0" hangingPunct="1">
            <a:defRPr kern="1200">
              <a:solidFill>
                <a:schemeClr val="lt1"/>
              </a:solidFill>
              <a:latin typeface="+mn-lt"/>
              <a:ea typeface="+mn-ea"/>
              <a:cs typeface="+mn-cs"/>
            </a:defRPr>
          </a:lvl9pPr>
        </a:lstStyle>
        <a:p>
          <a:pPr algn="ctr"/>
          <a:r>
            <a:rPr lang="en-ZA" sz="2000" b="1" i="1" u="sng" strike="noStrike" baseline="0">
              <a:solidFill>
                <a:schemeClr val="tx1"/>
              </a:solidFill>
              <a:latin typeface="Arial Narrow" panose="020B0606020202030204" pitchFamily="34" charset="0"/>
            </a:rPr>
            <a:t>2</a:t>
          </a:r>
          <a:r>
            <a:rPr lang="en-ZA" sz="1200" b="1" i="1" u="sng" strike="noStrike" baseline="0">
              <a:solidFill>
                <a:schemeClr val="tx1"/>
              </a:solidFill>
              <a:latin typeface="Arial Narrow" panose="020B0606020202030204" pitchFamily="34" charset="0"/>
            </a:rPr>
            <a:t>.</a:t>
          </a:r>
          <a:r>
            <a:rPr lang="en-ZA" sz="1200" b="1" i="1" u="none" strike="noStrike" baseline="0">
              <a:solidFill>
                <a:schemeClr val="tx1"/>
              </a:solidFill>
              <a:latin typeface="Arial Narrow" panose="020B0606020202030204" pitchFamily="34" charset="0"/>
            </a:rPr>
            <a:t>Open the Downloaded file and </a:t>
          </a:r>
          <a:r>
            <a:rPr lang="en-ZA" sz="1200" b="1" i="1" u="none" strike="noStrike" baseline="0">
              <a:solidFill>
                <a:srgbClr val="FF0000"/>
              </a:solidFill>
              <a:latin typeface="Arial Narrow" panose="020B0606020202030204" pitchFamily="34" charset="0"/>
            </a:rPr>
            <a:t>Replace the pre-existing </a:t>
          </a:r>
          <a:r>
            <a:rPr lang="en-ZA" sz="1200" b="1" i="1" u="none" strike="noStrike" baseline="0">
              <a:solidFill>
                <a:schemeClr val="tx1"/>
              </a:solidFill>
              <a:latin typeface="Arial Narrow" panose="020B0606020202030204" pitchFamily="34" charset="0"/>
            </a:rPr>
            <a:t>file in the Folder where the Cost Reflective Tool is Placed</a:t>
          </a:r>
          <a:endParaRPr lang="en-ZA" sz="1200" b="1" i="1">
            <a:solidFill>
              <a:schemeClr val="tx1"/>
            </a:solidFill>
            <a:latin typeface="Arial Narrow" panose="020B0606020202030204" pitchFamily="34" charset="0"/>
          </a:endParaRPr>
        </a:p>
      </xdr:txBody>
    </xdr:sp>
    <xdr:clientData/>
  </xdr:twoCellAnchor>
  <xdr:twoCellAnchor>
    <xdr:from>
      <xdr:col>19</xdr:col>
      <xdr:colOff>209549</xdr:colOff>
      <xdr:row>4</xdr:row>
      <xdr:rowOff>53977</xdr:rowOff>
    </xdr:from>
    <xdr:to>
      <xdr:col>23</xdr:col>
      <xdr:colOff>392669</xdr:colOff>
      <xdr:row>8</xdr:row>
      <xdr:rowOff>118830</xdr:rowOff>
    </xdr:to>
    <xdr:sp macro="" textlink="">
      <xdr:nvSpPr>
        <xdr:cNvPr id="5" name="Rectangle 4">
          <a:extLst>
            <a:ext uri="{FF2B5EF4-FFF2-40B4-BE49-F238E27FC236}">
              <a16:creationId xmlns:a16="http://schemas.microsoft.com/office/drawing/2014/main" id="{4C789DE9-F3C2-6079-EDF9-A9252C78C6E5}"/>
            </a:ext>
          </a:extLst>
        </xdr:cNvPr>
        <xdr:cNvSpPr/>
      </xdr:nvSpPr>
      <xdr:spPr>
        <a:xfrm>
          <a:off x="8520112" y="994571"/>
          <a:ext cx="3457338" cy="922103"/>
        </a:xfrm>
        <a:prstGeom prst="rect">
          <a:avLst/>
        </a:prstGeom>
        <a:solidFill>
          <a:schemeClr val="bg1">
            <a:lumMod val="65000"/>
          </a:schemeClr>
        </a:solidFill>
        <a:ln>
          <a:solidFill>
            <a:schemeClr val="accent6">
              <a:lumMod val="50000"/>
            </a:schemeClr>
          </a:solidFill>
        </a:ln>
        <a:scene3d>
          <a:camera prst="orthographicFront"/>
          <a:lightRig rig="threePt" dir="t"/>
        </a:scene3d>
        <a:sp3d>
          <a:bevelT prst="angle"/>
          <a:bevelB prst="angle"/>
        </a:sp3d>
      </xdr:spPr>
      <xdr:style>
        <a:lnRef idx="1">
          <a:schemeClr val="accent4"/>
        </a:lnRef>
        <a:fillRef idx="3">
          <a:schemeClr val="accent4"/>
        </a:fillRef>
        <a:effectRef idx="2">
          <a:schemeClr val="accent4"/>
        </a:effectRef>
        <a:fontRef idx="minor">
          <a:schemeClr val="lt1"/>
        </a:fontRef>
      </xdr:style>
      <xdr:txBody>
        <a:bodyPr wrap="square" rtlCol="0" anchor="ctr"/>
        <a:lstStyle>
          <a:defPPr>
            <a:defRPr lang="en-US"/>
          </a:defPPr>
          <a:lvl1pPr algn="l" rtl="0" eaLnBrk="0" fontAlgn="base" hangingPunct="0">
            <a:spcBef>
              <a:spcPct val="0"/>
            </a:spcBef>
            <a:spcAft>
              <a:spcPct val="0"/>
            </a:spcAft>
            <a:defRPr kern="1200">
              <a:solidFill>
                <a:schemeClr val="lt1"/>
              </a:solidFill>
              <a:latin typeface="+mn-lt"/>
              <a:ea typeface="+mn-ea"/>
              <a:cs typeface="+mn-cs"/>
            </a:defRPr>
          </a:lvl1pPr>
          <a:lvl2pPr marL="457200" algn="l" rtl="0" eaLnBrk="0" fontAlgn="base" hangingPunct="0">
            <a:spcBef>
              <a:spcPct val="0"/>
            </a:spcBef>
            <a:spcAft>
              <a:spcPct val="0"/>
            </a:spcAft>
            <a:defRPr kern="1200">
              <a:solidFill>
                <a:schemeClr val="lt1"/>
              </a:solidFill>
              <a:latin typeface="+mn-lt"/>
              <a:ea typeface="+mn-ea"/>
              <a:cs typeface="+mn-cs"/>
            </a:defRPr>
          </a:lvl2pPr>
          <a:lvl3pPr marL="914400" algn="l" rtl="0" eaLnBrk="0" fontAlgn="base" hangingPunct="0">
            <a:spcBef>
              <a:spcPct val="0"/>
            </a:spcBef>
            <a:spcAft>
              <a:spcPct val="0"/>
            </a:spcAft>
            <a:defRPr kern="1200">
              <a:solidFill>
                <a:schemeClr val="lt1"/>
              </a:solidFill>
              <a:latin typeface="+mn-lt"/>
              <a:ea typeface="+mn-ea"/>
              <a:cs typeface="+mn-cs"/>
            </a:defRPr>
          </a:lvl3pPr>
          <a:lvl4pPr marL="1371600" algn="l" rtl="0" eaLnBrk="0" fontAlgn="base" hangingPunct="0">
            <a:spcBef>
              <a:spcPct val="0"/>
            </a:spcBef>
            <a:spcAft>
              <a:spcPct val="0"/>
            </a:spcAft>
            <a:defRPr kern="1200">
              <a:solidFill>
                <a:schemeClr val="lt1"/>
              </a:solidFill>
              <a:latin typeface="+mn-lt"/>
              <a:ea typeface="+mn-ea"/>
              <a:cs typeface="+mn-cs"/>
            </a:defRPr>
          </a:lvl4pPr>
          <a:lvl5pPr marL="1828800" algn="l" rtl="0" eaLnBrk="0" fontAlgn="base" hangingPunct="0">
            <a:spcBef>
              <a:spcPct val="0"/>
            </a:spcBef>
            <a:spcAft>
              <a:spcPct val="0"/>
            </a:spcAft>
            <a:defRPr kern="1200">
              <a:solidFill>
                <a:schemeClr val="lt1"/>
              </a:solidFill>
              <a:latin typeface="+mn-lt"/>
              <a:ea typeface="+mn-ea"/>
              <a:cs typeface="+mn-cs"/>
            </a:defRPr>
          </a:lvl5pPr>
          <a:lvl6pPr marL="2286000" algn="l" defTabSz="914400" rtl="0" eaLnBrk="1" latinLnBrk="0" hangingPunct="1">
            <a:defRPr kern="1200">
              <a:solidFill>
                <a:schemeClr val="lt1"/>
              </a:solidFill>
              <a:latin typeface="+mn-lt"/>
              <a:ea typeface="+mn-ea"/>
              <a:cs typeface="+mn-cs"/>
            </a:defRPr>
          </a:lvl6pPr>
          <a:lvl7pPr marL="2743200" algn="l" defTabSz="914400" rtl="0" eaLnBrk="1" latinLnBrk="0" hangingPunct="1">
            <a:defRPr kern="1200">
              <a:solidFill>
                <a:schemeClr val="lt1"/>
              </a:solidFill>
              <a:latin typeface="+mn-lt"/>
              <a:ea typeface="+mn-ea"/>
              <a:cs typeface="+mn-cs"/>
            </a:defRPr>
          </a:lvl7pPr>
          <a:lvl8pPr marL="3200400" algn="l" defTabSz="914400" rtl="0" eaLnBrk="1" latinLnBrk="0" hangingPunct="1">
            <a:defRPr kern="1200">
              <a:solidFill>
                <a:schemeClr val="lt1"/>
              </a:solidFill>
              <a:latin typeface="+mn-lt"/>
              <a:ea typeface="+mn-ea"/>
              <a:cs typeface="+mn-cs"/>
            </a:defRPr>
          </a:lvl8pPr>
          <a:lvl9pPr marL="3657600" algn="l" defTabSz="914400" rtl="0" eaLnBrk="1" latinLnBrk="0" hangingPunct="1">
            <a:defRPr kern="1200">
              <a:solidFill>
                <a:schemeClr val="lt1"/>
              </a:solidFill>
              <a:latin typeface="+mn-lt"/>
              <a:ea typeface="+mn-ea"/>
              <a:cs typeface="+mn-cs"/>
            </a:defRPr>
          </a:lvl9pPr>
        </a:lstStyle>
        <a:p>
          <a:pPr algn="ctr"/>
          <a:r>
            <a:rPr lang="en-ZA" sz="2000" b="1" i="1" kern="1200" baseline="0">
              <a:solidFill>
                <a:schemeClr val="tx1"/>
              </a:solidFill>
              <a:effectLst/>
              <a:latin typeface="+mn-lt"/>
              <a:ea typeface="+mn-ea"/>
              <a:cs typeface="+mn-cs"/>
            </a:rPr>
            <a:t>3</a:t>
          </a:r>
          <a:r>
            <a:rPr lang="en-ZA" sz="1100" b="1" i="1" kern="1200" baseline="0">
              <a:solidFill>
                <a:schemeClr val="tx1"/>
              </a:solidFill>
              <a:effectLst/>
              <a:latin typeface="+mn-lt"/>
              <a:ea typeface="+mn-ea"/>
              <a:cs typeface="+mn-cs"/>
            </a:rPr>
            <a:t>.Open the Cost Reflective Tariff Tool and complete the </a:t>
          </a:r>
          <a:r>
            <a:rPr lang="en-ZA" sz="1100" b="1" i="1" kern="1200" baseline="0">
              <a:solidFill>
                <a:srgbClr val="FF0000"/>
              </a:solidFill>
              <a:effectLst/>
              <a:latin typeface="+mn-lt"/>
              <a:ea typeface="+mn-ea"/>
              <a:cs typeface="+mn-cs"/>
            </a:rPr>
            <a:t>Municipal Details Tab</a:t>
          </a:r>
          <a:endParaRPr lang="en-ZA" sz="1400">
            <a:solidFill>
              <a:srgbClr val="FF0000"/>
            </a:solidFill>
            <a:effectLst/>
          </a:endParaRPr>
        </a:p>
      </xdr:txBody>
    </xdr:sp>
    <xdr:clientData/>
  </xdr:twoCellAnchor>
  <xdr:twoCellAnchor editAs="oneCell">
    <xdr:from>
      <xdr:col>19</xdr:col>
      <xdr:colOff>219075</xdr:colOff>
      <xdr:row>31</xdr:row>
      <xdr:rowOff>238125</xdr:rowOff>
    </xdr:from>
    <xdr:to>
      <xdr:col>23</xdr:col>
      <xdr:colOff>790575</xdr:colOff>
      <xdr:row>45</xdr:row>
      <xdr:rowOff>161925</xdr:rowOff>
    </xdr:to>
    <xdr:pic>
      <xdr:nvPicPr>
        <xdr:cNvPr id="632057" name="Picture 1">
          <a:extLst>
            <a:ext uri="{FF2B5EF4-FFF2-40B4-BE49-F238E27FC236}">
              <a16:creationId xmlns:a16="http://schemas.microsoft.com/office/drawing/2014/main" id="{5265E393-CF1A-159F-3C8F-075CEF3B6FF1}"/>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8524875" y="9677400"/>
          <a:ext cx="3838575" cy="31527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19</xdr:col>
      <xdr:colOff>238125</xdr:colOff>
      <xdr:row>40</xdr:row>
      <xdr:rowOff>0</xdr:rowOff>
    </xdr:from>
    <xdr:to>
      <xdr:col>24</xdr:col>
      <xdr:colOff>38100</xdr:colOff>
      <xdr:row>49</xdr:row>
      <xdr:rowOff>0</xdr:rowOff>
    </xdr:to>
    <xdr:pic>
      <xdr:nvPicPr>
        <xdr:cNvPr id="632058" name="Picture 2">
          <a:extLst>
            <a:ext uri="{FF2B5EF4-FFF2-40B4-BE49-F238E27FC236}">
              <a16:creationId xmlns:a16="http://schemas.microsoft.com/office/drawing/2014/main" id="{7A11224D-5A09-D0C4-AB9D-8B1B6A7E183B}"/>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8543925" y="11620500"/>
          <a:ext cx="3905250" cy="1885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19</xdr:col>
      <xdr:colOff>190500</xdr:colOff>
      <xdr:row>47</xdr:row>
      <xdr:rowOff>95250</xdr:rowOff>
    </xdr:from>
    <xdr:to>
      <xdr:col>24</xdr:col>
      <xdr:colOff>38100</xdr:colOff>
      <xdr:row>55</xdr:row>
      <xdr:rowOff>171450</xdr:rowOff>
    </xdr:to>
    <xdr:pic>
      <xdr:nvPicPr>
        <xdr:cNvPr id="632059" name="Picture 3">
          <a:extLst>
            <a:ext uri="{FF2B5EF4-FFF2-40B4-BE49-F238E27FC236}">
              <a16:creationId xmlns:a16="http://schemas.microsoft.com/office/drawing/2014/main" id="{8D742C08-904C-B4B2-C8DA-EE7AE8538C25}"/>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8496300" y="13182600"/>
          <a:ext cx="3952875" cy="1752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19</xdr:col>
      <xdr:colOff>19050</xdr:colOff>
      <xdr:row>63</xdr:row>
      <xdr:rowOff>9525</xdr:rowOff>
    </xdr:from>
    <xdr:to>
      <xdr:col>23</xdr:col>
      <xdr:colOff>676275</xdr:colOff>
      <xdr:row>70</xdr:row>
      <xdr:rowOff>457200</xdr:rowOff>
    </xdr:to>
    <xdr:pic>
      <xdr:nvPicPr>
        <xdr:cNvPr id="632060" name="Picture 4">
          <a:extLst>
            <a:ext uri="{FF2B5EF4-FFF2-40B4-BE49-F238E27FC236}">
              <a16:creationId xmlns:a16="http://schemas.microsoft.com/office/drawing/2014/main" id="{E0CE8C43-7CBB-6A24-D5CA-08707DEA332C}"/>
            </a:ext>
          </a:extLst>
        </xdr:cNvPr>
        <xdr:cNvPicPr>
          <a:picLocks noChangeAspect="1" noChangeArrowheads="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8324850" y="16621125"/>
          <a:ext cx="3924300" cy="2247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19</xdr:col>
      <xdr:colOff>180975</xdr:colOff>
      <xdr:row>55</xdr:row>
      <xdr:rowOff>238125</xdr:rowOff>
    </xdr:from>
    <xdr:to>
      <xdr:col>23</xdr:col>
      <xdr:colOff>676275</xdr:colOff>
      <xdr:row>64</xdr:row>
      <xdr:rowOff>66675</xdr:rowOff>
    </xdr:to>
    <xdr:pic>
      <xdr:nvPicPr>
        <xdr:cNvPr id="632061" name="Picture 5">
          <a:extLst>
            <a:ext uri="{FF2B5EF4-FFF2-40B4-BE49-F238E27FC236}">
              <a16:creationId xmlns:a16="http://schemas.microsoft.com/office/drawing/2014/main" id="{B2D82373-7DD1-2D9D-5557-F56F562A5407}"/>
            </a:ext>
          </a:extLst>
        </xdr:cNvPr>
        <xdr:cNvPicPr>
          <a:picLocks noChangeAspect="1" noChangeArrowheads="1"/>
        </xdr:cNvPicPr>
      </xdr:nvPicPr>
      <xdr:blipFill>
        <a:blip xmlns:r="http://schemas.openxmlformats.org/officeDocument/2006/relationships" r:embed="rId5" cstate="print">
          <a:extLst>
            <a:ext uri="{28A0092B-C50C-407E-A947-70E740481C1C}">
              <a14:useLocalDpi xmlns:a14="http://schemas.microsoft.com/office/drawing/2010/main" val="0"/>
            </a:ext>
          </a:extLst>
        </a:blip>
        <a:srcRect/>
        <a:stretch>
          <a:fillRect/>
        </a:stretch>
      </xdr:blipFill>
      <xdr:spPr bwMode="auto">
        <a:xfrm>
          <a:off x="8486775" y="15001875"/>
          <a:ext cx="3762375" cy="1885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xdr:from>
      <xdr:col>1</xdr:col>
      <xdr:colOff>342900</xdr:colOff>
      <xdr:row>16</xdr:row>
      <xdr:rowOff>171450</xdr:rowOff>
    </xdr:from>
    <xdr:to>
      <xdr:col>23</xdr:col>
      <xdr:colOff>228600</xdr:colOff>
      <xdr:row>35</xdr:row>
      <xdr:rowOff>171450</xdr:rowOff>
    </xdr:to>
    <xdr:graphicFrame macro="">
      <xdr:nvGraphicFramePr>
        <xdr:cNvPr id="28448" name="Chart 1">
          <a:extLst>
            <a:ext uri="{FF2B5EF4-FFF2-40B4-BE49-F238E27FC236}">
              <a16:creationId xmlns:a16="http://schemas.microsoft.com/office/drawing/2014/main" id="{0691A475-8892-CF1C-61BB-7EEA0413C30A}"/>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3</xdr:col>
      <xdr:colOff>114300</xdr:colOff>
      <xdr:row>1</xdr:row>
      <xdr:rowOff>66675</xdr:rowOff>
    </xdr:from>
    <xdr:to>
      <xdr:col>11</xdr:col>
      <xdr:colOff>409575</xdr:colOff>
      <xdr:row>16</xdr:row>
      <xdr:rowOff>66675</xdr:rowOff>
    </xdr:to>
    <xdr:graphicFrame macro="">
      <xdr:nvGraphicFramePr>
        <xdr:cNvPr id="28449" name="Chart 2">
          <a:extLst>
            <a:ext uri="{FF2B5EF4-FFF2-40B4-BE49-F238E27FC236}">
              <a16:creationId xmlns:a16="http://schemas.microsoft.com/office/drawing/2014/main" id="{C891C3A7-B9B3-029A-393F-7614DCDCDB7B}"/>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12</xdr:col>
      <xdr:colOff>523875</xdr:colOff>
      <xdr:row>1</xdr:row>
      <xdr:rowOff>57150</xdr:rowOff>
    </xdr:from>
    <xdr:to>
      <xdr:col>20</xdr:col>
      <xdr:colOff>228600</xdr:colOff>
      <xdr:row>16</xdr:row>
      <xdr:rowOff>57150</xdr:rowOff>
    </xdr:to>
    <xdr:graphicFrame macro="">
      <xdr:nvGraphicFramePr>
        <xdr:cNvPr id="28450" name="Chart 1">
          <a:extLst>
            <a:ext uri="{FF2B5EF4-FFF2-40B4-BE49-F238E27FC236}">
              <a16:creationId xmlns:a16="http://schemas.microsoft.com/office/drawing/2014/main" id="{79C87FCC-CAAE-9E77-E0A3-A3864CB10A68}"/>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wsDr>
</file>

<file path=xl/drawings/drawing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4</xdr:col>
          <xdr:colOff>762000</xdr:colOff>
          <xdr:row>5</xdr:row>
          <xdr:rowOff>167640</xdr:rowOff>
        </xdr:from>
        <xdr:to>
          <xdr:col>8</xdr:col>
          <xdr:colOff>369570</xdr:colOff>
          <xdr:row>7</xdr:row>
          <xdr:rowOff>144780</xdr:rowOff>
        </xdr:to>
        <xdr:sp macro="" textlink="">
          <xdr:nvSpPr>
            <xdr:cNvPr id="23626756" name="ComboBox1" hidden="1">
              <a:extLst>
                <a:ext uri="{63B3BB69-23CF-44E3-9099-C40C66FF867C}">
                  <a14:compatExt spid="_x0000_s23626756"/>
                </a:ext>
                <a:ext uri="{FF2B5EF4-FFF2-40B4-BE49-F238E27FC236}">
                  <a16:creationId xmlns:a16="http://schemas.microsoft.com/office/drawing/2014/main" id="{00000000-0008-0000-0500-000004846801}"/>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15240</xdr:colOff>
          <xdr:row>5</xdr:row>
          <xdr:rowOff>220980</xdr:rowOff>
        </xdr:from>
        <xdr:to>
          <xdr:col>10</xdr:col>
          <xdr:colOff>834390</xdr:colOff>
          <xdr:row>7</xdr:row>
          <xdr:rowOff>99060</xdr:rowOff>
        </xdr:to>
        <xdr:sp macro="" textlink="">
          <xdr:nvSpPr>
            <xdr:cNvPr id="23626758" name="ComboBox2" hidden="1">
              <a:extLst>
                <a:ext uri="{63B3BB69-23CF-44E3-9099-C40C66FF867C}">
                  <a14:compatExt spid="_x0000_s23626758"/>
                </a:ext>
                <a:ext uri="{FF2B5EF4-FFF2-40B4-BE49-F238E27FC236}">
                  <a16:creationId xmlns:a16="http://schemas.microsoft.com/office/drawing/2014/main" id="{00000000-0008-0000-0500-000006846801}"/>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38100</xdr:colOff>
          <xdr:row>6</xdr:row>
          <xdr:rowOff>0</xdr:rowOff>
        </xdr:from>
        <xdr:to>
          <xdr:col>11</xdr:col>
          <xdr:colOff>1013460</xdr:colOff>
          <xdr:row>7</xdr:row>
          <xdr:rowOff>68580</xdr:rowOff>
        </xdr:to>
        <xdr:sp macro="" textlink="">
          <xdr:nvSpPr>
            <xdr:cNvPr id="23626759" name="ComboBox3" hidden="1">
              <a:extLst>
                <a:ext uri="{63B3BB69-23CF-44E3-9099-C40C66FF867C}">
                  <a14:compatExt spid="_x0000_s23626759"/>
                </a:ext>
                <a:ext uri="{FF2B5EF4-FFF2-40B4-BE49-F238E27FC236}">
                  <a16:creationId xmlns:a16="http://schemas.microsoft.com/office/drawing/2014/main" id="{00000000-0008-0000-0500-000007846801}"/>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10</xdr:row>
          <xdr:rowOff>0</xdr:rowOff>
        </xdr:from>
        <xdr:to>
          <xdr:col>6</xdr:col>
          <xdr:colOff>784860</xdr:colOff>
          <xdr:row>12</xdr:row>
          <xdr:rowOff>0</xdr:rowOff>
        </xdr:to>
        <xdr:sp macro="" textlink="">
          <xdr:nvSpPr>
            <xdr:cNvPr id="23626760" name="ComboBox4" hidden="1">
              <a:extLst>
                <a:ext uri="{63B3BB69-23CF-44E3-9099-C40C66FF867C}">
                  <a14:compatExt spid="_x0000_s23626760"/>
                </a:ext>
                <a:ext uri="{FF2B5EF4-FFF2-40B4-BE49-F238E27FC236}">
                  <a16:creationId xmlns:a16="http://schemas.microsoft.com/office/drawing/2014/main" id="{00000000-0008-0000-0500-000008846801}"/>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91440</xdr:colOff>
          <xdr:row>10</xdr:row>
          <xdr:rowOff>0</xdr:rowOff>
        </xdr:from>
        <xdr:to>
          <xdr:col>7</xdr:col>
          <xdr:colOff>876300</xdr:colOff>
          <xdr:row>12</xdr:row>
          <xdr:rowOff>0</xdr:rowOff>
        </xdr:to>
        <xdr:sp macro="" textlink="">
          <xdr:nvSpPr>
            <xdr:cNvPr id="23626765" name="ComboBox5" hidden="1">
              <a:extLst>
                <a:ext uri="{63B3BB69-23CF-44E3-9099-C40C66FF867C}">
                  <a14:compatExt spid="_x0000_s23626765"/>
                </a:ext>
                <a:ext uri="{FF2B5EF4-FFF2-40B4-BE49-F238E27FC236}">
                  <a16:creationId xmlns:a16="http://schemas.microsoft.com/office/drawing/2014/main" id="{00000000-0008-0000-0500-00000D846801}"/>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144780</xdr:colOff>
          <xdr:row>10</xdr:row>
          <xdr:rowOff>0</xdr:rowOff>
        </xdr:from>
        <xdr:to>
          <xdr:col>9</xdr:col>
          <xdr:colOff>76200</xdr:colOff>
          <xdr:row>12</xdr:row>
          <xdr:rowOff>0</xdr:rowOff>
        </xdr:to>
        <xdr:sp macro="" textlink="">
          <xdr:nvSpPr>
            <xdr:cNvPr id="23626766" name="ComboBox6" hidden="1">
              <a:extLst>
                <a:ext uri="{63B3BB69-23CF-44E3-9099-C40C66FF867C}">
                  <a14:compatExt spid="_x0000_s23626766"/>
                </a:ext>
                <a:ext uri="{FF2B5EF4-FFF2-40B4-BE49-F238E27FC236}">
                  <a16:creationId xmlns:a16="http://schemas.microsoft.com/office/drawing/2014/main" id="{00000000-0008-0000-0500-00000E846801}"/>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175260</xdr:colOff>
          <xdr:row>10</xdr:row>
          <xdr:rowOff>0</xdr:rowOff>
        </xdr:from>
        <xdr:to>
          <xdr:col>10</xdr:col>
          <xdr:colOff>34290</xdr:colOff>
          <xdr:row>12</xdr:row>
          <xdr:rowOff>0</xdr:rowOff>
        </xdr:to>
        <xdr:sp macro="" textlink="">
          <xdr:nvSpPr>
            <xdr:cNvPr id="23626767" name="ComboBox7" hidden="1">
              <a:extLst>
                <a:ext uri="{63B3BB69-23CF-44E3-9099-C40C66FF867C}">
                  <a14:compatExt spid="_x0000_s23626767"/>
                </a:ext>
                <a:ext uri="{FF2B5EF4-FFF2-40B4-BE49-F238E27FC236}">
                  <a16:creationId xmlns:a16="http://schemas.microsoft.com/office/drawing/2014/main" id="{00000000-0008-0000-0500-00000F846801}"/>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44</xdr:col>
          <xdr:colOff>68580</xdr:colOff>
          <xdr:row>5</xdr:row>
          <xdr:rowOff>190500</xdr:rowOff>
        </xdr:from>
        <xdr:to>
          <xdr:col>48</xdr:col>
          <xdr:colOff>472440</xdr:colOff>
          <xdr:row>7</xdr:row>
          <xdr:rowOff>106680</xdr:rowOff>
        </xdr:to>
        <xdr:sp macro="" textlink="">
          <xdr:nvSpPr>
            <xdr:cNvPr id="23626768" name="ComboBox8" hidden="1">
              <a:extLst>
                <a:ext uri="{63B3BB69-23CF-44E3-9099-C40C66FF867C}">
                  <a14:compatExt spid="_x0000_s23626768"/>
                </a:ext>
                <a:ext uri="{FF2B5EF4-FFF2-40B4-BE49-F238E27FC236}">
                  <a16:creationId xmlns:a16="http://schemas.microsoft.com/office/drawing/2014/main" id="{00000000-0008-0000-0500-000010846801}"/>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45</xdr:col>
          <xdr:colOff>114300</xdr:colOff>
          <xdr:row>9</xdr:row>
          <xdr:rowOff>243840</xdr:rowOff>
        </xdr:from>
        <xdr:to>
          <xdr:col>45</xdr:col>
          <xdr:colOff>899160</xdr:colOff>
          <xdr:row>11</xdr:row>
          <xdr:rowOff>121920</xdr:rowOff>
        </xdr:to>
        <xdr:sp macro="" textlink="">
          <xdr:nvSpPr>
            <xdr:cNvPr id="23626769" name="ComboBox9" hidden="1">
              <a:extLst>
                <a:ext uri="{63B3BB69-23CF-44E3-9099-C40C66FF867C}">
                  <a14:compatExt spid="_x0000_s23626769"/>
                </a:ext>
                <a:ext uri="{FF2B5EF4-FFF2-40B4-BE49-F238E27FC236}">
                  <a16:creationId xmlns:a16="http://schemas.microsoft.com/office/drawing/2014/main" id="{00000000-0008-0000-0500-000011846801}"/>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53340</xdr:colOff>
          <xdr:row>9</xdr:row>
          <xdr:rowOff>243840</xdr:rowOff>
        </xdr:from>
        <xdr:to>
          <xdr:col>46</xdr:col>
          <xdr:colOff>830580</xdr:colOff>
          <xdr:row>11</xdr:row>
          <xdr:rowOff>121920</xdr:rowOff>
        </xdr:to>
        <xdr:sp macro="" textlink="">
          <xdr:nvSpPr>
            <xdr:cNvPr id="23626770" name="ComboBox10" hidden="1">
              <a:extLst>
                <a:ext uri="{63B3BB69-23CF-44E3-9099-C40C66FF867C}">
                  <a14:compatExt spid="_x0000_s23626770"/>
                </a:ext>
                <a:ext uri="{FF2B5EF4-FFF2-40B4-BE49-F238E27FC236}">
                  <a16:creationId xmlns:a16="http://schemas.microsoft.com/office/drawing/2014/main" id="{00000000-0008-0000-0500-000012846801}"/>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47</xdr:col>
          <xdr:colOff>106680</xdr:colOff>
          <xdr:row>9</xdr:row>
          <xdr:rowOff>251460</xdr:rowOff>
        </xdr:from>
        <xdr:to>
          <xdr:col>48</xdr:col>
          <xdr:colOff>152400</xdr:colOff>
          <xdr:row>11</xdr:row>
          <xdr:rowOff>121920</xdr:rowOff>
        </xdr:to>
        <xdr:sp macro="" textlink="">
          <xdr:nvSpPr>
            <xdr:cNvPr id="23626771" name="ComboBox11" hidden="1">
              <a:extLst>
                <a:ext uri="{63B3BB69-23CF-44E3-9099-C40C66FF867C}">
                  <a14:compatExt spid="_x0000_s23626771"/>
                </a:ext>
                <a:ext uri="{FF2B5EF4-FFF2-40B4-BE49-F238E27FC236}">
                  <a16:creationId xmlns:a16="http://schemas.microsoft.com/office/drawing/2014/main" id="{00000000-0008-0000-0500-000013846801}"/>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48</xdr:col>
          <xdr:colOff>327660</xdr:colOff>
          <xdr:row>9</xdr:row>
          <xdr:rowOff>251460</xdr:rowOff>
        </xdr:from>
        <xdr:to>
          <xdr:col>48</xdr:col>
          <xdr:colOff>1112520</xdr:colOff>
          <xdr:row>11</xdr:row>
          <xdr:rowOff>121920</xdr:rowOff>
        </xdr:to>
        <xdr:sp macro="" textlink="">
          <xdr:nvSpPr>
            <xdr:cNvPr id="23626772" name="ComboBox12" hidden="1">
              <a:extLst>
                <a:ext uri="{63B3BB69-23CF-44E3-9099-C40C66FF867C}">
                  <a14:compatExt spid="_x0000_s23626772"/>
                </a:ext>
                <a:ext uri="{FF2B5EF4-FFF2-40B4-BE49-F238E27FC236}">
                  <a16:creationId xmlns:a16="http://schemas.microsoft.com/office/drawing/2014/main" id="{00000000-0008-0000-0500-000014846801}"/>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48</xdr:col>
          <xdr:colOff>1318260</xdr:colOff>
          <xdr:row>5</xdr:row>
          <xdr:rowOff>228600</xdr:rowOff>
        </xdr:from>
        <xdr:to>
          <xdr:col>50</xdr:col>
          <xdr:colOff>0</xdr:colOff>
          <xdr:row>7</xdr:row>
          <xdr:rowOff>129540</xdr:rowOff>
        </xdr:to>
        <xdr:sp macro="" textlink="">
          <xdr:nvSpPr>
            <xdr:cNvPr id="23626773" name="ComboBox13" hidden="1">
              <a:extLst>
                <a:ext uri="{63B3BB69-23CF-44E3-9099-C40C66FF867C}">
                  <a14:compatExt spid="_x0000_s23626773"/>
                </a:ext>
                <a:ext uri="{FF2B5EF4-FFF2-40B4-BE49-F238E27FC236}">
                  <a16:creationId xmlns:a16="http://schemas.microsoft.com/office/drawing/2014/main" id="{00000000-0008-0000-0500-000015846801}"/>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50</xdr:col>
          <xdr:colOff>152400</xdr:colOff>
          <xdr:row>6</xdr:row>
          <xdr:rowOff>15240</xdr:rowOff>
        </xdr:from>
        <xdr:to>
          <xdr:col>51</xdr:col>
          <xdr:colOff>22860</xdr:colOff>
          <xdr:row>7</xdr:row>
          <xdr:rowOff>106680</xdr:rowOff>
        </xdr:to>
        <xdr:sp macro="" textlink="">
          <xdr:nvSpPr>
            <xdr:cNvPr id="23626774" name="ComboBox14" hidden="1">
              <a:extLst>
                <a:ext uri="{63B3BB69-23CF-44E3-9099-C40C66FF867C}">
                  <a14:compatExt spid="_x0000_s23626774"/>
                </a:ext>
                <a:ext uri="{FF2B5EF4-FFF2-40B4-BE49-F238E27FC236}">
                  <a16:creationId xmlns:a16="http://schemas.microsoft.com/office/drawing/2014/main" id="{00000000-0008-0000-0500-000016846801}"/>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82</xdr:col>
          <xdr:colOff>891540</xdr:colOff>
          <xdr:row>5</xdr:row>
          <xdr:rowOff>22860</xdr:rowOff>
        </xdr:from>
        <xdr:to>
          <xdr:col>86</xdr:col>
          <xdr:colOff>929640</xdr:colOff>
          <xdr:row>7</xdr:row>
          <xdr:rowOff>91440</xdr:rowOff>
        </xdr:to>
        <xdr:sp macro="" textlink="">
          <xdr:nvSpPr>
            <xdr:cNvPr id="23626775" name="ComboBox15" hidden="1">
              <a:extLst>
                <a:ext uri="{63B3BB69-23CF-44E3-9099-C40C66FF867C}">
                  <a14:compatExt spid="_x0000_s23626775"/>
                </a:ext>
                <a:ext uri="{FF2B5EF4-FFF2-40B4-BE49-F238E27FC236}">
                  <a16:creationId xmlns:a16="http://schemas.microsoft.com/office/drawing/2014/main" id="{00000000-0008-0000-0500-000017846801}"/>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83</xdr:col>
          <xdr:colOff>906780</xdr:colOff>
          <xdr:row>9</xdr:row>
          <xdr:rowOff>251460</xdr:rowOff>
        </xdr:from>
        <xdr:to>
          <xdr:col>84</xdr:col>
          <xdr:colOff>632460</xdr:colOff>
          <xdr:row>11</xdr:row>
          <xdr:rowOff>129540</xdr:rowOff>
        </xdr:to>
        <xdr:sp macro="" textlink="">
          <xdr:nvSpPr>
            <xdr:cNvPr id="23626776" name="ComboBox16" hidden="1">
              <a:extLst>
                <a:ext uri="{63B3BB69-23CF-44E3-9099-C40C66FF867C}">
                  <a14:compatExt spid="_x0000_s23626776"/>
                </a:ext>
                <a:ext uri="{FF2B5EF4-FFF2-40B4-BE49-F238E27FC236}">
                  <a16:creationId xmlns:a16="http://schemas.microsoft.com/office/drawing/2014/main" id="{00000000-0008-0000-0500-000018846801}"/>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84</xdr:col>
          <xdr:colOff>838200</xdr:colOff>
          <xdr:row>9</xdr:row>
          <xdr:rowOff>243840</xdr:rowOff>
        </xdr:from>
        <xdr:to>
          <xdr:col>85</xdr:col>
          <xdr:colOff>689610</xdr:colOff>
          <xdr:row>11</xdr:row>
          <xdr:rowOff>121920</xdr:rowOff>
        </xdr:to>
        <xdr:sp macro="" textlink="">
          <xdr:nvSpPr>
            <xdr:cNvPr id="23626777" name="ComboBox17" hidden="1">
              <a:extLst>
                <a:ext uri="{63B3BB69-23CF-44E3-9099-C40C66FF867C}">
                  <a14:compatExt spid="_x0000_s23626777"/>
                </a:ext>
                <a:ext uri="{FF2B5EF4-FFF2-40B4-BE49-F238E27FC236}">
                  <a16:creationId xmlns:a16="http://schemas.microsoft.com/office/drawing/2014/main" id="{00000000-0008-0000-0500-000019846801}"/>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86</xdr:col>
          <xdr:colOff>281940</xdr:colOff>
          <xdr:row>9</xdr:row>
          <xdr:rowOff>243840</xdr:rowOff>
        </xdr:from>
        <xdr:to>
          <xdr:col>86</xdr:col>
          <xdr:colOff>1066800</xdr:colOff>
          <xdr:row>11</xdr:row>
          <xdr:rowOff>121920</xdr:rowOff>
        </xdr:to>
        <xdr:sp macro="" textlink="">
          <xdr:nvSpPr>
            <xdr:cNvPr id="23626778" name="ComboBox18" hidden="1">
              <a:extLst>
                <a:ext uri="{63B3BB69-23CF-44E3-9099-C40C66FF867C}">
                  <a14:compatExt spid="_x0000_s23626778"/>
                </a:ext>
                <a:ext uri="{FF2B5EF4-FFF2-40B4-BE49-F238E27FC236}">
                  <a16:creationId xmlns:a16="http://schemas.microsoft.com/office/drawing/2014/main" id="{00000000-0008-0000-0500-00001A846801}"/>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87</xdr:col>
          <xdr:colOff>53340</xdr:colOff>
          <xdr:row>9</xdr:row>
          <xdr:rowOff>243840</xdr:rowOff>
        </xdr:from>
        <xdr:to>
          <xdr:col>88</xdr:col>
          <xdr:colOff>26670</xdr:colOff>
          <xdr:row>11</xdr:row>
          <xdr:rowOff>121920</xdr:rowOff>
        </xdr:to>
        <xdr:sp macro="" textlink="">
          <xdr:nvSpPr>
            <xdr:cNvPr id="23626779" name="ComboBox19" hidden="1">
              <a:extLst>
                <a:ext uri="{63B3BB69-23CF-44E3-9099-C40C66FF867C}">
                  <a14:compatExt spid="_x0000_s23626779"/>
                </a:ext>
                <a:ext uri="{FF2B5EF4-FFF2-40B4-BE49-F238E27FC236}">
                  <a16:creationId xmlns:a16="http://schemas.microsoft.com/office/drawing/2014/main" id="{00000000-0008-0000-0500-00001B846801}"/>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88</xdr:col>
          <xdr:colOff>30480</xdr:colOff>
          <xdr:row>6</xdr:row>
          <xdr:rowOff>53340</xdr:rowOff>
        </xdr:from>
        <xdr:to>
          <xdr:col>89</xdr:col>
          <xdr:colOff>41910</xdr:colOff>
          <xdr:row>7</xdr:row>
          <xdr:rowOff>175260</xdr:rowOff>
        </xdr:to>
        <xdr:sp macro="" textlink="">
          <xdr:nvSpPr>
            <xdr:cNvPr id="23626780" name="ComboBox20" hidden="1">
              <a:extLst>
                <a:ext uri="{63B3BB69-23CF-44E3-9099-C40C66FF867C}">
                  <a14:compatExt spid="_x0000_s23626780"/>
                </a:ext>
                <a:ext uri="{FF2B5EF4-FFF2-40B4-BE49-F238E27FC236}">
                  <a16:creationId xmlns:a16="http://schemas.microsoft.com/office/drawing/2014/main" id="{00000000-0008-0000-0500-00001C846801}"/>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89</xdr:col>
          <xdr:colOff>434340</xdr:colOff>
          <xdr:row>6</xdr:row>
          <xdr:rowOff>38100</xdr:rowOff>
        </xdr:from>
        <xdr:to>
          <xdr:col>89</xdr:col>
          <xdr:colOff>1386840</xdr:colOff>
          <xdr:row>7</xdr:row>
          <xdr:rowOff>129540</xdr:rowOff>
        </xdr:to>
        <xdr:sp macro="" textlink="">
          <xdr:nvSpPr>
            <xdr:cNvPr id="23626781" name="ComboBox21" hidden="1">
              <a:extLst>
                <a:ext uri="{63B3BB69-23CF-44E3-9099-C40C66FF867C}">
                  <a14:compatExt spid="_x0000_s23626781"/>
                </a:ext>
                <a:ext uri="{FF2B5EF4-FFF2-40B4-BE49-F238E27FC236}">
                  <a16:creationId xmlns:a16="http://schemas.microsoft.com/office/drawing/2014/main" id="{00000000-0008-0000-0500-00001D846801}"/>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drawings/drawing6.xml><?xml version="1.0" encoding="utf-8"?>
<xdr:wsDr xmlns:xdr="http://schemas.openxmlformats.org/drawingml/2006/spreadsheetDrawing" xmlns:a="http://schemas.openxmlformats.org/drawingml/2006/main">
  <xdr:twoCellAnchor>
    <xdr:from>
      <xdr:col>4</xdr:col>
      <xdr:colOff>381000</xdr:colOff>
      <xdr:row>40</xdr:row>
      <xdr:rowOff>142875</xdr:rowOff>
    </xdr:from>
    <xdr:to>
      <xdr:col>9</xdr:col>
      <xdr:colOff>123825</xdr:colOff>
      <xdr:row>56</xdr:row>
      <xdr:rowOff>9525</xdr:rowOff>
    </xdr:to>
    <xdr:graphicFrame macro="">
      <xdr:nvGraphicFramePr>
        <xdr:cNvPr id="47240422" name="Chart 3">
          <a:extLst>
            <a:ext uri="{FF2B5EF4-FFF2-40B4-BE49-F238E27FC236}">
              <a16:creationId xmlns:a16="http://schemas.microsoft.com/office/drawing/2014/main" id="{DE46BE94-7FE1-02A7-B77C-51B9FD5A9A8A}"/>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7.xml><?xml version="1.0" encoding="utf-8"?>
<xdr:wsDr xmlns:xdr="http://schemas.openxmlformats.org/drawingml/2006/spreadsheetDrawing" xmlns:a="http://schemas.openxmlformats.org/drawingml/2006/main">
  <xdr:twoCellAnchor editAs="oneCell">
    <xdr:from>
      <xdr:col>1</xdr:col>
      <xdr:colOff>57150</xdr:colOff>
      <xdr:row>0</xdr:row>
      <xdr:rowOff>28575</xdr:rowOff>
    </xdr:from>
    <xdr:to>
      <xdr:col>3</xdr:col>
      <xdr:colOff>1028700</xdr:colOff>
      <xdr:row>5</xdr:row>
      <xdr:rowOff>76200</xdr:rowOff>
    </xdr:to>
    <xdr:pic>
      <xdr:nvPicPr>
        <xdr:cNvPr id="601577" name="Picture 3">
          <a:extLst>
            <a:ext uri="{FF2B5EF4-FFF2-40B4-BE49-F238E27FC236}">
              <a16:creationId xmlns:a16="http://schemas.microsoft.com/office/drawing/2014/main" id="{7B234684-50B9-F1E1-29F4-D028BF9A907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47700" y="28575"/>
          <a:ext cx="1428750" cy="666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1343026</xdr:colOff>
      <xdr:row>0</xdr:row>
      <xdr:rowOff>87630</xdr:rowOff>
    </xdr:from>
    <xdr:to>
      <xdr:col>4</xdr:col>
      <xdr:colOff>1790</xdr:colOff>
      <xdr:row>3</xdr:row>
      <xdr:rowOff>85802</xdr:rowOff>
    </xdr:to>
    <xdr:sp macro="" textlink="">
      <xdr:nvSpPr>
        <xdr:cNvPr id="10" name="Rectangle 9">
          <a:hlinkClick xmlns:r="http://schemas.openxmlformats.org/officeDocument/2006/relationships" r:id="rId2" tooltip=" "/>
          <a:extLst>
            <a:ext uri="{FF2B5EF4-FFF2-40B4-BE49-F238E27FC236}">
              <a16:creationId xmlns:a16="http://schemas.microsoft.com/office/drawing/2014/main" id="{E92F2928-99C1-CFB4-36D9-9E0AFEF54874}"/>
            </a:ext>
          </a:extLst>
        </xdr:cNvPr>
        <xdr:cNvSpPr/>
      </xdr:nvSpPr>
      <xdr:spPr>
        <a:xfrm>
          <a:off x="2105026" y="95250"/>
          <a:ext cx="1200150" cy="569595"/>
        </a:xfrm>
        <a:prstGeom prst="rect">
          <a:avLst/>
        </a:prstGeom>
        <a:solidFill>
          <a:srgbClr val="A5A5A5">
            <a:lumMod val="20000"/>
            <a:lumOff val="80000"/>
          </a:srgbClr>
        </a:solidFill>
        <a:ln w="19050" cap="flat" cmpd="sng" algn="ctr">
          <a:solidFill>
            <a:srgbClr val="A5A5A5"/>
          </a:solidFill>
          <a:prstDash val="solid"/>
          <a:miter lim="800000"/>
        </a:ln>
        <a:effectLst/>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n-ZA" sz="1100" b="1" i="0" u="none" strike="noStrike" kern="0" cap="none" spc="0" normalizeH="0" baseline="0" noProof="0">
              <a:ln>
                <a:noFill/>
              </a:ln>
              <a:solidFill>
                <a:sysClr val="windowText" lastClr="000000"/>
              </a:solidFill>
              <a:effectLst/>
              <a:uLnTx/>
              <a:uFillTx/>
              <a:latin typeface="Calibri" panose="020F0502020204030204"/>
              <a:ea typeface="+mn-ea"/>
              <a:cs typeface="+mn-cs"/>
            </a:rPr>
            <a:t>Scroll to top</a:t>
          </a:r>
        </a:p>
      </xdr:txBody>
    </xdr:sp>
    <xdr:clientData/>
  </xdr:twoCellAnchor>
  <mc:AlternateContent xmlns:mc="http://schemas.openxmlformats.org/markup-compatibility/2006">
    <mc:Choice xmlns:a14="http://schemas.microsoft.com/office/drawing/2010/main" Requires="a14">
      <xdr:twoCellAnchor editAs="oneCell">
        <xdr:from>
          <xdr:col>4</xdr:col>
          <xdr:colOff>0</xdr:colOff>
          <xdr:row>2</xdr:row>
          <xdr:rowOff>0</xdr:rowOff>
        </xdr:from>
        <xdr:to>
          <xdr:col>6</xdr:col>
          <xdr:colOff>476250</xdr:colOff>
          <xdr:row>4</xdr:row>
          <xdr:rowOff>0</xdr:rowOff>
        </xdr:to>
        <xdr:sp macro="" textlink="">
          <xdr:nvSpPr>
            <xdr:cNvPr id="4097" name="cbRev" hidden="1">
              <a:extLst>
                <a:ext uri="{63B3BB69-23CF-44E3-9099-C40C66FF867C}">
                  <a14:compatExt spid="_x0000_s4097"/>
                </a:ext>
                <a:ext uri="{FF2B5EF4-FFF2-40B4-BE49-F238E27FC236}">
                  <a16:creationId xmlns:a16="http://schemas.microsoft.com/office/drawing/2014/main" id="{00000000-0008-0000-0C00-000001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twoCellAnchor editAs="oneCell">
    <xdr:from>
      <xdr:col>13</xdr:col>
      <xdr:colOff>57150</xdr:colOff>
      <xdr:row>0</xdr:row>
      <xdr:rowOff>28575</xdr:rowOff>
    </xdr:from>
    <xdr:to>
      <xdr:col>15</xdr:col>
      <xdr:colOff>304800</xdr:colOff>
      <xdr:row>5</xdr:row>
      <xdr:rowOff>76200</xdr:rowOff>
    </xdr:to>
    <xdr:pic>
      <xdr:nvPicPr>
        <xdr:cNvPr id="601579" name="Picture 3">
          <a:extLst>
            <a:ext uri="{FF2B5EF4-FFF2-40B4-BE49-F238E27FC236}">
              <a16:creationId xmlns:a16="http://schemas.microsoft.com/office/drawing/2014/main" id="{588DF88F-173B-18AD-A5A7-070B999AB41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229600" y="28575"/>
          <a:ext cx="1428750" cy="666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15</xdr:col>
      <xdr:colOff>1343026</xdr:colOff>
      <xdr:row>0</xdr:row>
      <xdr:rowOff>87630</xdr:rowOff>
    </xdr:from>
    <xdr:to>
      <xdr:col>16</xdr:col>
      <xdr:colOff>1790</xdr:colOff>
      <xdr:row>3</xdr:row>
      <xdr:rowOff>85802</xdr:rowOff>
    </xdr:to>
    <xdr:sp macro="" textlink="">
      <xdr:nvSpPr>
        <xdr:cNvPr id="12" name="Rectangle 11">
          <a:hlinkClick xmlns:r="http://schemas.openxmlformats.org/officeDocument/2006/relationships" r:id="rId2" tooltip=" "/>
          <a:extLst>
            <a:ext uri="{FF2B5EF4-FFF2-40B4-BE49-F238E27FC236}">
              <a16:creationId xmlns:a16="http://schemas.microsoft.com/office/drawing/2014/main" id="{F00E61C7-A981-AFE4-7822-A81832B3203D}"/>
            </a:ext>
          </a:extLst>
        </xdr:cNvPr>
        <xdr:cNvSpPr/>
      </xdr:nvSpPr>
      <xdr:spPr>
        <a:xfrm>
          <a:off x="2143126" y="87630"/>
          <a:ext cx="1203844" cy="577292"/>
        </a:xfrm>
        <a:prstGeom prst="rect">
          <a:avLst/>
        </a:prstGeom>
        <a:solidFill>
          <a:srgbClr val="A5A5A5">
            <a:lumMod val="20000"/>
            <a:lumOff val="80000"/>
          </a:srgbClr>
        </a:solidFill>
        <a:ln w="19050" cap="flat" cmpd="sng" algn="ctr">
          <a:solidFill>
            <a:srgbClr val="A5A5A5"/>
          </a:solidFill>
          <a:prstDash val="solid"/>
          <a:miter lim="800000"/>
        </a:ln>
        <a:effectLst/>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n-ZA" sz="1100" b="1" i="0" u="none" strike="noStrike" kern="0" cap="none" spc="0" normalizeH="0" baseline="0" noProof="0">
              <a:ln>
                <a:noFill/>
              </a:ln>
              <a:solidFill>
                <a:sysClr val="windowText" lastClr="000000"/>
              </a:solidFill>
              <a:effectLst/>
              <a:uLnTx/>
              <a:uFillTx/>
              <a:latin typeface="Calibri" panose="020F0502020204030204"/>
              <a:ea typeface="+mn-ea"/>
              <a:cs typeface="+mn-cs"/>
            </a:rPr>
            <a:t>Scroll to top</a:t>
          </a:r>
        </a:p>
      </xdr:txBody>
    </xdr:sp>
    <xdr:clientData/>
  </xdr:twoCellAnchor>
  <xdr:twoCellAnchor editAs="oneCell">
    <xdr:from>
      <xdr:col>24</xdr:col>
      <xdr:colOff>0</xdr:colOff>
      <xdr:row>0</xdr:row>
      <xdr:rowOff>28575</xdr:rowOff>
    </xdr:from>
    <xdr:to>
      <xdr:col>26</xdr:col>
      <xdr:colOff>247650</xdr:colOff>
      <xdr:row>5</xdr:row>
      <xdr:rowOff>76200</xdr:rowOff>
    </xdr:to>
    <xdr:pic>
      <xdr:nvPicPr>
        <xdr:cNvPr id="601581" name="Picture 3">
          <a:extLst>
            <a:ext uri="{FF2B5EF4-FFF2-40B4-BE49-F238E27FC236}">
              <a16:creationId xmlns:a16="http://schemas.microsoft.com/office/drawing/2014/main" id="{5ADCD906-7D59-F872-ABD2-F6216E33641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668500" y="28575"/>
          <a:ext cx="1428750" cy="666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25</xdr:col>
      <xdr:colOff>1343026</xdr:colOff>
      <xdr:row>0</xdr:row>
      <xdr:rowOff>87630</xdr:rowOff>
    </xdr:from>
    <xdr:to>
      <xdr:col>26</xdr:col>
      <xdr:colOff>1790</xdr:colOff>
      <xdr:row>3</xdr:row>
      <xdr:rowOff>85802</xdr:rowOff>
    </xdr:to>
    <xdr:sp macro="" textlink="">
      <xdr:nvSpPr>
        <xdr:cNvPr id="14" name="Rectangle 13">
          <a:hlinkClick xmlns:r="http://schemas.openxmlformats.org/officeDocument/2006/relationships" r:id="rId2" tooltip=" "/>
          <a:extLst>
            <a:ext uri="{FF2B5EF4-FFF2-40B4-BE49-F238E27FC236}">
              <a16:creationId xmlns:a16="http://schemas.microsoft.com/office/drawing/2014/main" id="{6F4C01B5-BF74-F88F-6491-97502B756407}"/>
            </a:ext>
          </a:extLst>
        </xdr:cNvPr>
        <xdr:cNvSpPr/>
      </xdr:nvSpPr>
      <xdr:spPr>
        <a:xfrm>
          <a:off x="2143126" y="87630"/>
          <a:ext cx="1203844" cy="577292"/>
        </a:xfrm>
        <a:prstGeom prst="rect">
          <a:avLst/>
        </a:prstGeom>
        <a:solidFill>
          <a:srgbClr val="A5A5A5">
            <a:lumMod val="20000"/>
            <a:lumOff val="80000"/>
          </a:srgbClr>
        </a:solidFill>
        <a:ln w="19050" cap="flat" cmpd="sng" algn="ctr">
          <a:solidFill>
            <a:srgbClr val="A5A5A5"/>
          </a:solidFill>
          <a:prstDash val="solid"/>
          <a:miter lim="800000"/>
        </a:ln>
        <a:effectLst/>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n-ZA" sz="1100" b="1" i="0" u="none" strike="noStrike" kern="0" cap="none" spc="0" normalizeH="0" baseline="0" noProof="0">
              <a:ln>
                <a:noFill/>
              </a:ln>
              <a:solidFill>
                <a:sysClr val="windowText" lastClr="000000"/>
              </a:solidFill>
              <a:effectLst/>
              <a:uLnTx/>
              <a:uFillTx/>
              <a:latin typeface="Calibri" panose="020F0502020204030204"/>
              <a:ea typeface="+mn-ea"/>
              <a:cs typeface="+mn-cs"/>
            </a:rPr>
            <a:t>Scroll to top</a:t>
          </a:r>
        </a:p>
      </xdr:txBody>
    </xdr:sp>
    <xdr:clientData/>
  </xdr:twoCellAnchor>
</xdr:wsDr>
</file>

<file path=xl/drawings/drawing8.xml><?xml version="1.0" encoding="utf-8"?>
<xdr:wsDr xmlns:xdr="http://schemas.openxmlformats.org/drawingml/2006/spreadsheetDrawing" xmlns:a="http://schemas.openxmlformats.org/drawingml/2006/main">
  <xdr:twoCellAnchor editAs="oneCell">
    <xdr:from>
      <xdr:col>1</xdr:col>
      <xdr:colOff>9525</xdr:colOff>
      <xdr:row>0</xdr:row>
      <xdr:rowOff>9525</xdr:rowOff>
    </xdr:from>
    <xdr:to>
      <xdr:col>3</xdr:col>
      <xdr:colOff>933450</xdr:colOff>
      <xdr:row>4</xdr:row>
      <xdr:rowOff>19050</xdr:rowOff>
    </xdr:to>
    <xdr:pic>
      <xdr:nvPicPr>
        <xdr:cNvPr id="781533" name="Picture 3">
          <a:extLst>
            <a:ext uri="{FF2B5EF4-FFF2-40B4-BE49-F238E27FC236}">
              <a16:creationId xmlns:a16="http://schemas.microsoft.com/office/drawing/2014/main" id="{6FA65CB5-0804-DE08-A122-F2F1F7D228E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57175" y="9525"/>
          <a:ext cx="1419225" cy="628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4</xdr:col>
      <xdr:colOff>38100</xdr:colOff>
      <xdr:row>60</xdr:row>
      <xdr:rowOff>19050</xdr:rowOff>
    </xdr:from>
    <xdr:to>
      <xdr:col>10</xdr:col>
      <xdr:colOff>28575</xdr:colOff>
      <xdr:row>76</xdr:row>
      <xdr:rowOff>19050</xdr:rowOff>
    </xdr:to>
    <xdr:graphicFrame macro="">
      <xdr:nvGraphicFramePr>
        <xdr:cNvPr id="781534" name="Chart 4">
          <a:extLst>
            <a:ext uri="{FF2B5EF4-FFF2-40B4-BE49-F238E27FC236}">
              <a16:creationId xmlns:a16="http://schemas.microsoft.com/office/drawing/2014/main" id="{70102787-3095-459E-6CF8-3682B6853F08}"/>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3</xdr:col>
      <xdr:colOff>996315</xdr:colOff>
      <xdr:row>0</xdr:row>
      <xdr:rowOff>76200</xdr:rowOff>
    </xdr:from>
    <xdr:to>
      <xdr:col>4</xdr:col>
      <xdr:colOff>3365</xdr:colOff>
      <xdr:row>3</xdr:row>
      <xdr:rowOff>87681</xdr:rowOff>
    </xdr:to>
    <xdr:sp macro="" textlink="">
      <xdr:nvSpPr>
        <xdr:cNvPr id="7" name="Rectangle 6">
          <a:hlinkClick xmlns:r="http://schemas.openxmlformats.org/officeDocument/2006/relationships" r:id="rId3" tooltip=" "/>
          <a:extLst>
            <a:ext uri="{FF2B5EF4-FFF2-40B4-BE49-F238E27FC236}">
              <a16:creationId xmlns:a16="http://schemas.microsoft.com/office/drawing/2014/main" id="{EC5AA3C1-80E1-4DC7-DC9E-1CB59C89662A}"/>
            </a:ext>
          </a:extLst>
        </xdr:cNvPr>
        <xdr:cNvSpPr/>
      </xdr:nvSpPr>
      <xdr:spPr>
        <a:xfrm>
          <a:off x="1764030" y="76200"/>
          <a:ext cx="1198800" cy="567690"/>
        </a:xfrm>
        <a:prstGeom prst="rect">
          <a:avLst/>
        </a:prstGeom>
        <a:solidFill>
          <a:srgbClr val="A5A5A5">
            <a:lumMod val="20000"/>
            <a:lumOff val="80000"/>
          </a:srgbClr>
        </a:solidFill>
        <a:ln w="19050" cap="flat" cmpd="sng" algn="ctr">
          <a:solidFill>
            <a:srgbClr val="A5A5A5"/>
          </a:solidFill>
          <a:prstDash val="solid"/>
          <a:miter lim="800000"/>
        </a:ln>
        <a:effectLst/>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n-ZA" sz="1100" b="1" i="0" u="none" strike="noStrike" kern="0" cap="none" spc="0" normalizeH="0" baseline="0" noProof="0">
              <a:ln>
                <a:noFill/>
              </a:ln>
              <a:solidFill>
                <a:sysClr val="windowText" lastClr="000000"/>
              </a:solidFill>
              <a:effectLst/>
              <a:uLnTx/>
              <a:uFillTx/>
              <a:latin typeface="Calibri" panose="020F0502020204030204"/>
              <a:ea typeface="+mn-ea"/>
              <a:cs typeface="+mn-cs"/>
            </a:rPr>
            <a:t>Scroll to top</a:t>
          </a:r>
        </a:p>
      </xdr:txBody>
    </xdr:sp>
    <xdr:clientData/>
  </xdr:twoCellAnchor>
  <mc:AlternateContent xmlns:mc="http://schemas.openxmlformats.org/markup-compatibility/2006">
    <mc:Choice xmlns:a14="http://schemas.microsoft.com/office/drawing/2010/main" Requires="a14">
      <xdr:twoCellAnchor editAs="oneCell">
        <xdr:from>
          <xdr:col>4</xdr:col>
          <xdr:colOff>266700</xdr:colOff>
          <xdr:row>2</xdr:row>
          <xdr:rowOff>60960</xdr:rowOff>
        </xdr:from>
        <xdr:to>
          <xdr:col>6</xdr:col>
          <xdr:colOff>586740</xdr:colOff>
          <xdr:row>3</xdr:row>
          <xdr:rowOff>125730</xdr:rowOff>
        </xdr:to>
        <xdr:sp macro="" textlink="">
          <xdr:nvSpPr>
            <xdr:cNvPr id="5121" name="cbExp" hidden="1">
              <a:extLst>
                <a:ext uri="{63B3BB69-23CF-44E3-9099-C40C66FF867C}">
                  <a14:compatExt spid="_x0000_s5121"/>
                </a:ext>
                <a:ext uri="{FF2B5EF4-FFF2-40B4-BE49-F238E27FC236}">
                  <a16:creationId xmlns:a16="http://schemas.microsoft.com/office/drawing/2014/main" id="{00000000-0008-0000-0D00-000001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twoCellAnchor editAs="oneCell">
    <xdr:from>
      <xdr:col>14</xdr:col>
      <xdr:colOff>0</xdr:colOff>
      <xdr:row>0</xdr:row>
      <xdr:rowOff>9525</xdr:rowOff>
    </xdr:from>
    <xdr:to>
      <xdr:col>15</xdr:col>
      <xdr:colOff>1171575</xdr:colOff>
      <xdr:row>4</xdr:row>
      <xdr:rowOff>19050</xdr:rowOff>
    </xdr:to>
    <xdr:pic>
      <xdr:nvPicPr>
        <xdr:cNvPr id="781536" name="Picture 3">
          <a:extLst>
            <a:ext uri="{FF2B5EF4-FFF2-40B4-BE49-F238E27FC236}">
              <a16:creationId xmlns:a16="http://schemas.microsoft.com/office/drawing/2014/main" id="{901F6648-F18D-75C8-87A9-AF69BC565AA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534400" y="9525"/>
          <a:ext cx="1419225" cy="628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16</xdr:col>
      <xdr:colOff>38100</xdr:colOff>
      <xdr:row>60</xdr:row>
      <xdr:rowOff>19050</xdr:rowOff>
    </xdr:from>
    <xdr:to>
      <xdr:col>22</xdr:col>
      <xdr:colOff>28575</xdr:colOff>
      <xdr:row>76</xdr:row>
      <xdr:rowOff>19050</xdr:rowOff>
    </xdr:to>
    <xdr:graphicFrame macro="">
      <xdr:nvGraphicFramePr>
        <xdr:cNvPr id="781537" name="Chart 4">
          <a:extLst>
            <a:ext uri="{FF2B5EF4-FFF2-40B4-BE49-F238E27FC236}">
              <a16:creationId xmlns:a16="http://schemas.microsoft.com/office/drawing/2014/main" id="{4EDADF97-F34E-D21C-CF48-DEF1611DA53E}"/>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15</xdr:col>
      <xdr:colOff>994410</xdr:colOff>
      <xdr:row>0</xdr:row>
      <xdr:rowOff>76200</xdr:rowOff>
    </xdr:from>
    <xdr:to>
      <xdr:col>16</xdr:col>
      <xdr:colOff>3402</xdr:colOff>
      <xdr:row>3</xdr:row>
      <xdr:rowOff>87681</xdr:rowOff>
    </xdr:to>
    <xdr:sp macro="" textlink="">
      <xdr:nvSpPr>
        <xdr:cNvPr id="4" name="Rectangle 3">
          <a:hlinkClick xmlns:r="http://schemas.openxmlformats.org/officeDocument/2006/relationships" r:id="rId3" tooltip=" "/>
          <a:extLst>
            <a:ext uri="{FF2B5EF4-FFF2-40B4-BE49-F238E27FC236}">
              <a16:creationId xmlns:a16="http://schemas.microsoft.com/office/drawing/2014/main" id="{1D1AE12A-9ECD-1D72-DC8E-67018CE74237}"/>
            </a:ext>
          </a:extLst>
        </xdr:cNvPr>
        <xdr:cNvSpPr/>
      </xdr:nvSpPr>
      <xdr:spPr>
        <a:xfrm>
          <a:off x="1775460" y="76200"/>
          <a:ext cx="1115947" cy="560121"/>
        </a:xfrm>
        <a:prstGeom prst="rect">
          <a:avLst/>
        </a:prstGeom>
        <a:solidFill>
          <a:srgbClr val="A5A5A5">
            <a:lumMod val="20000"/>
            <a:lumOff val="80000"/>
          </a:srgbClr>
        </a:solidFill>
        <a:ln w="19050" cap="flat" cmpd="sng" algn="ctr">
          <a:solidFill>
            <a:srgbClr val="A5A5A5"/>
          </a:solidFill>
          <a:prstDash val="solid"/>
          <a:miter lim="800000"/>
        </a:ln>
        <a:effectLst/>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n-ZA" sz="1100" b="1" i="0" u="none" strike="noStrike" kern="0" cap="none" spc="0" normalizeH="0" baseline="0" noProof="0">
              <a:ln>
                <a:noFill/>
              </a:ln>
              <a:solidFill>
                <a:sysClr val="windowText" lastClr="000000"/>
              </a:solidFill>
              <a:effectLst/>
              <a:uLnTx/>
              <a:uFillTx/>
              <a:latin typeface="Calibri" panose="020F0502020204030204"/>
              <a:ea typeface="+mn-ea"/>
              <a:cs typeface="+mn-cs"/>
            </a:rPr>
            <a:t>Scroll to top</a:t>
          </a:r>
        </a:p>
      </xdr:txBody>
    </xdr:sp>
    <xdr:clientData/>
  </xdr:twoCellAnchor>
  <xdr:twoCellAnchor editAs="oneCell">
    <xdr:from>
      <xdr:col>25</xdr:col>
      <xdr:colOff>0</xdr:colOff>
      <xdr:row>0</xdr:row>
      <xdr:rowOff>9525</xdr:rowOff>
    </xdr:from>
    <xdr:to>
      <xdr:col>25</xdr:col>
      <xdr:colOff>1419225</xdr:colOff>
      <xdr:row>4</xdr:row>
      <xdr:rowOff>19050</xdr:rowOff>
    </xdr:to>
    <xdr:pic>
      <xdr:nvPicPr>
        <xdr:cNvPr id="781539" name="Picture 3">
          <a:extLst>
            <a:ext uri="{FF2B5EF4-FFF2-40B4-BE49-F238E27FC236}">
              <a16:creationId xmlns:a16="http://schemas.microsoft.com/office/drawing/2014/main" id="{AAA66E0D-022E-C1DB-971A-931F01FED76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754350" y="9525"/>
          <a:ext cx="1419225" cy="628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26</xdr:col>
      <xdr:colOff>38100</xdr:colOff>
      <xdr:row>60</xdr:row>
      <xdr:rowOff>19050</xdr:rowOff>
    </xdr:from>
    <xdr:to>
      <xdr:col>32</xdr:col>
      <xdr:colOff>28575</xdr:colOff>
      <xdr:row>76</xdr:row>
      <xdr:rowOff>19050</xdr:rowOff>
    </xdr:to>
    <xdr:graphicFrame macro="">
      <xdr:nvGraphicFramePr>
        <xdr:cNvPr id="781540" name="Chart 4">
          <a:extLst>
            <a:ext uri="{FF2B5EF4-FFF2-40B4-BE49-F238E27FC236}">
              <a16:creationId xmlns:a16="http://schemas.microsoft.com/office/drawing/2014/main" id="{5E8A047B-AF4F-5D43-9819-898FEC2E72DB}"/>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25</xdr:col>
      <xdr:colOff>994410</xdr:colOff>
      <xdr:row>0</xdr:row>
      <xdr:rowOff>76200</xdr:rowOff>
    </xdr:from>
    <xdr:to>
      <xdr:col>26</xdr:col>
      <xdr:colOff>3403</xdr:colOff>
      <xdr:row>3</xdr:row>
      <xdr:rowOff>87681</xdr:rowOff>
    </xdr:to>
    <xdr:sp macro="" textlink="">
      <xdr:nvSpPr>
        <xdr:cNvPr id="8" name="Rectangle 7">
          <a:hlinkClick xmlns:r="http://schemas.openxmlformats.org/officeDocument/2006/relationships" r:id="rId3" tooltip=" "/>
          <a:extLst>
            <a:ext uri="{FF2B5EF4-FFF2-40B4-BE49-F238E27FC236}">
              <a16:creationId xmlns:a16="http://schemas.microsoft.com/office/drawing/2014/main" id="{38F4C8F3-5B16-4C5F-2146-953FE28C2948}"/>
            </a:ext>
          </a:extLst>
        </xdr:cNvPr>
        <xdr:cNvSpPr/>
      </xdr:nvSpPr>
      <xdr:spPr>
        <a:xfrm>
          <a:off x="1775460" y="76200"/>
          <a:ext cx="544447" cy="468681"/>
        </a:xfrm>
        <a:prstGeom prst="rect">
          <a:avLst/>
        </a:prstGeom>
        <a:solidFill>
          <a:srgbClr val="A5A5A5">
            <a:lumMod val="20000"/>
            <a:lumOff val="80000"/>
          </a:srgbClr>
        </a:solidFill>
        <a:ln w="19050" cap="flat" cmpd="sng" algn="ctr">
          <a:solidFill>
            <a:srgbClr val="A5A5A5"/>
          </a:solidFill>
          <a:prstDash val="solid"/>
          <a:miter lim="800000"/>
        </a:ln>
        <a:effectLst/>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n-ZA" sz="1100" b="1" i="0" u="none" strike="noStrike" kern="0" cap="none" spc="0" normalizeH="0" baseline="0" noProof="0">
              <a:ln>
                <a:noFill/>
              </a:ln>
              <a:solidFill>
                <a:sysClr val="windowText" lastClr="000000"/>
              </a:solidFill>
              <a:effectLst/>
              <a:uLnTx/>
              <a:uFillTx/>
              <a:latin typeface="Calibri" panose="020F0502020204030204"/>
              <a:ea typeface="+mn-ea"/>
              <a:cs typeface="+mn-cs"/>
            </a:rPr>
            <a:t>Scroll to top</a:t>
          </a:r>
        </a:p>
      </xdr:txBody>
    </xdr:sp>
    <xdr:clientData/>
  </xdr:twoCellAnchor>
</xdr:wsDr>
</file>

<file path=xl/drawings/drawing9.xml><?xml version="1.0" encoding="utf-8"?>
<xdr:wsDr xmlns:xdr="http://schemas.openxmlformats.org/drawingml/2006/spreadsheetDrawing" xmlns:a="http://schemas.openxmlformats.org/drawingml/2006/main">
  <xdr:twoCellAnchor editAs="oneCell">
    <xdr:from>
      <xdr:col>1</xdr:col>
      <xdr:colOff>0</xdr:colOff>
      <xdr:row>0</xdr:row>
      <xdr:rowOff>0</xdr:rowOff>
    </xdr:from>
    <xdr:to>
      <xdr:col>3</xdr:col>
      <xdr:colOff>992716</xdr:colOff>
      <xdr:row>4</xdr:row>
      <xdr:rowOff>0</xdr:rowOff>
    </xdr:to>
    <xdr:pic>
      <xdr:nvPicPr>
        <xdr:cNvPr id="825105" name="Picture 1">
          <a:extLst>
            <a:ext uri="{FF2B5EF4-FFF2-40B4-BE49-F238E27FC236}">
              <a16:creationId xmlns:a16="http://schemas.microsoft.com/office/drawing/2014/main" id="{631486A4-B262-107E-B608-3901FF84832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90500" y="0"/>
          <a:ext cx="1343025" cy="695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857250</xdr:colOff>
      <xdr:row>0</xdr:row>
      <xdr:rowOff>83820</xdr:rowOff>
    </xdr:from>
    <xdr:to>
      <xdr:col>3</xdr:col>
      <xdr:colOff>857250</xdr:colOff>
      <xdr:row>3</xdr:row>
      <xdr:rowOff>110760</xdr:rowOff>
    </xdr:to>
    <xdr:sp macro="" textlink="">
      <xdr:nvSpPr>
        <xdr:cNvPr id="5" name="Rectangle 4">
          <a:hlinkClick xmlns:r="http://schemas.openxmlformats.org/officeDocument/2006/relationships" r:id="rId2" tooltip=" "/>
          <a:extLst>
            <a:ext uri="{FF2B5EF4-FFF2-40B4-BE49-F238E27FC236}">
              <a16:creationId xmlns:a16="http://schemas.microsoft.com/office/drawing/2014/main" id="{CA316C93-7381-43AD-2461-1B6209981B91}"/>
            </a:ext>
          </a:extLst>
        </xdr:cNvPr>
        <xdr:cNvSpPr/>
      </xdr:nvSpPr>
      <xdr:spPr>
        <a:xfrm>
          <a:off x="1836420" y="91440"/>
          <a:ext cx="1135380" cy="556260"/>
        </a:xfrm>
        <a:prstGeom prst="rect">
          <a:avLst/>
        </a:prstGeom>
        <a:solidFill>
          <a:schemeClr val="accent3">
            <a:lumMod val="20000"/>
            <a:lumOff val="80000"/>
          </a:schemeClr>
        </a:solidFill>
        <a:ln w="19050">
          <a:solidFill>
            <a:schemeClr val="accent3"/>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ZA" sz="1100" b="1">
              <a:solidFill>
                <a:sysClr val="windowText" lastClr="000000"/>
              </a:solidFill>
            </a:rPr>
            <a:t>Scroll</a:t>
          </a:r>
          <a:r>
            <a:rPr lang="en-ZA" sz="1100" b="1" baseline="0">
              <a:solidFill>
                <a:sysClr val="windowText" lastClr="000000"/>
              </a:solidFill>
            </a:rPr>
            <a:t> to top</a:t>
          </a:r>
          <a:endParaRPr lang="en-ZA" sz="1100" b="1">
            <a:solidFill>
              <a:sysClr val="windowText" lastClr="000000"/>
            </a:solidFill>
          </a:endParaRPr>
        </a:p>
      </xdr:txBody>
    </xdr:sp>
    <xdr:clientData/>
  </xdr:twoCellAnchor>
  <xdr:twoCellAnchor>
    <xdr:from>
      <xdr:col>3</xdr:col>
      <xdr:colOff>0</xdr:colOff>
      <xdr:row>31</xdr:row>
      <xdr:rowOff>133350</xdr:rowOff>
    </xdr:from>
    <xdr:to>
      <xdr:col>4</xdr:col>
      <xdr:colOff>1514475</xdr:colOff>
      <xdr:row>46</xdr:row>
      <xdr:rowOff>171450</xdr:rowOff>
    </xdr:to>
    <xdr:graphicFrame macro="">
      <xdr:nvGraphicFramePr>
        <xdr:cNvPr id="825107" name="Chart 5">
          <a:extLst>
            <a:ext uri="{FF2B5EF4-FFF2-40B4-BE49-F238E27FC236}">
              <a16:creationId xmlns:a16="http://schemas.microsoft.com/office/drawing/2014/main" id="{7F2CB67A-A871-82C0-04C0-E3C2D6F46D4F}"/>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5</xdr:col>
      <xdr:colOff>9525</xdr:colOff>
      <xdr:row>31</xdr:row>
      <xdr:rowOff>133350</xdr:rowOff>
    </xdr:from>
    <xdr:to>
      <xdr:col>7</xdr:col>
      <xdr:colOff>933450</xdr:colOff>
      <xdr:row>46</xdr:row>
      <xdr:rowOff>152400</xdr:rowOff>
    </xdr:to>
    <xdr:graphicFrame macro="">
      <xdr:nvGraphicFramePr>
        <xdr:cNvPr id="825108" name="Chart 8">
          <a:extLst>
            <a:ext uri="{FF2B5EF4-FFF2-40B4-BE49-F238E27FC236}">
              <a16:creationId xmlns:a16="http://schemas.microsoft.com/office/drawing/2014/main" id="{1E9993C5-A8C3-9D93-3820-94948A0C2A3E}"/>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7</xdr:col>
      <xdr:colOff>1066800</xdr:colOff>
      <xdr:row>31</xdr:row>
      <xdr:rowOff>133350</xdr:rowOff>
    </xdr:from>
    <xdr:to>
      <xdr:col>10</xdr:col>
      <xdr:colOff>466725</xdr:colOff>
      <xdr:row>46</xdr:row>
      <xdr:rowOff>152400</xdr:rowOff>
    </xdr:to>
    <xdr:graphicFrame macro="">
      <xdr:nvGraphicFramePr>
        <xdr:cNvPr id="825109" name="Chart 10">
          <a:extLst>
            <a:ext uri="{FF2B5EF4-FFF2-40B4-BE49-F238E27FC236}">
              <a16:creationId xmlns:a16="http://schemas.microsoft.com/office/drawing/2014/main" id="{9C5B4125-CF20-20FF-3BA5-9036F466BAC1}"/>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3</xdr:col>
      <xdr:colOff>0</xdr:colOff>
      <xdr:row>48</xdr:row>
      <xdr:rowOff>0</xdr:rowOff>
    </xdr:from>
    <xdr:to>
      <xdr:col>4</xdr:col>
      <xdr:colOff>1524000</xdr:colOff>
      <xdr:row>63</xdr:row>
      <xdr:rowOff>28575</xdr:rowOff>
    </xdr:to>
    <xdr:graphicFrame macro="">
      <xdr:nvGraphicFramePr>
        <xdr:cNvPr id="825110" name="Chart 11">
          <a:extLst>
            <a:ext uri="{FF2B5EF4-FFF2-40B4-BE49-F238E27FC236}">
              <a16:creationId xmlns:a16="http://schemas.microsoft.com/office/drawing/2014/main" id="{CC528354-E1D4-CF50-DD97-92105802D9DF}"/>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xdr:from>
      <xdr:col>5</xdr:col>
      <xdr:colOff>9525</xdr:colOff>
      <xdr:row>47</xdr:row>
      <xdr:rowOff>180975</xdr:rowOff>
    </xdr:from>
    <xdr:to>
      <xdr:col>7</xdr:col>
      <xdr:colOff>933450</xdr:colOff>
      <xdr:row>63</xdr:row>
      <xdr:rowOff>28575</xdr:rowOff>
    </xdr:to>
    <xdr:graphicFrame macro="">
      <xdr:nvGraphicFramePr>
        <xdr:cNvPr id="825111" name="Chart 12">
          <a:extLst>
            <a:ext uri="{FF2B5EF4-FFF2-40B4-BE49-F238E27FC236}">
              <a16:creationId xmlns:a16="http://schemas.microsoft.com/office/drawing/2014/main" id="{451BBD18-D579-23C5-6968-776E9951C8EC}"/>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twoCellAnchor>
  <xdr:twoCellAnchor>
    <xdr:from>
      <xdr:col>7</xdr:col>
      <xdr:colOff>1066800</xdr:colOff>
      <xdr:row>47</xdr:row>
      <xdr:rowOff>180975</xdr:rowOff>
    </xdr:from>
    <xdr:to>
      <xdr:col>10</xdr:col>
      <xdr:colOff>466725</xdr:colOff>
      <xdr:row>63</xdr:row>
      <xdr:rowOff>28575</xdr:rowOff>
    </xdr:to>
    <xdr:graphicFrame macro="">
      <xdr:nvGraphicFramePr>
        <xdr:cNvPr id="825112" name="Chart 13">
          <a:extLst>
            <a:ext uri="{FF2B5EF4-FFF2-40B4-BE49-F238E27FC236}">
              <a16:creationId xmlns:a16="http://schemas.microsoft.com/office/drawing/2014/main" id="{CD409704-854D-AB0C-0803-0DD994CB1D1D}"/>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twoCellAnchor>
  <mc:AlternateContent xmlns:mc="http://schemas.openxmlformats.org/markup-compatibility/2006">
    <mc:Choice xmlns:a14="http://schemas.microsoft.com/office/drawing/2010/main" Requires="a14">
      <xdr:twoCellAnchor editAs="oneCell">
        <xdr:from>
          <xdr:col>4</xdr:col>
          <xdr:colOff>0</xdr:colOff>
          <xdr:row>2</xdr:row>
          <xdr:rowOff>68580</xdr:rowOff>
        </xdr:from>
        <xdr:to>
          <xdr:col>5</xdr:col>
          <xdr:colOff>872490</xdr:colOff>
          <xdr:row>3</xdr:row>
          <xdr:rowOff>87630</xdr:rowOff>
        </xdr:to>
        <xdr:sp macro="" textlink="">
          <xdr:nvSpPr>
            <xdr:cNvPr id="7169" name="cbReq" hidden="1">
              <a:extLst>
                <a:ext uri="{63B3BB69-23CF-44E3-9099-C40C66FF867C}">
                  <a14:compatExt spid="_x0000_s7169"/>
                </a:ext>
                <a:ext uri="{FF2B5EF4-FFF2-40B4-BE49-F238E27FC236}">
                  <a16:creationId xmlns:a16="http://schemas.microsoft.com/office/drawing/2014/main" id="{00000000-0008-0000-0E00-0000011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twoCellAnchor>
    <xdr:from>
      <xdr:col>3</xdr:col>
      <xdr:colOff>0</xdr:colOff>
      <xdr:row>64</xdr:row>
      <xdr:rowOff>0</xdr:rowOff>
    </xdr:from>
    <xdr:to>
      <xdr:col>4</xdr:col>
      <xdr:colOff>1524000</xdr:colOff>
      <xdr:row>79</xdr:row>
      <xdr:rowOff>28575</xdr:rowOff>
    </xdr:to>
    <xdr:graphicFrame macro="">
      <xdr:nvGraphicFramePr>
        <xdr:cNvPr id="825113" name="Chart 14">
          <a:extLst>
            <a:ext uri="{FF2B5EF4-FFF2-40B4-BE49-F238E27FC236}">
              <a16:creationId xmlns:a16="http://schemas.microsoft.com/office/drawing/2014/main" id="{FC2B7E9B-596D-740F-8DD1-7D124A692FF6}"/>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9"/>
        </a:graphicData>
      </a:graphic>
    </xdr:graphicFrame>
    <xdr:clientData/>
  </xdr:twoCellAnchor>
  <xdr:twoCellAnchor>
    <xdr:from>
      <xdr:col>5</xdr:col>
      <xdr:colOff>0</xdr:colOff>
      <xdr:row>64</xdr:row>
      <xdr:rowOff>9525</xdr:rowOff>
    </xdr:from>
    <xdr:to>
      <xdr:col>7</xdr:col>
      <xdr:colOff>933450</xdr:colOff>
      <xdr:row>79</xdr:row>
      <xdr:rowOff>38100</xdr:rowOff>
    </xdr:to>
    <xdr:graphicFrame macro="">
      <xdr:nvGraphicFramePr>
        <xdr:cNvPr id="825114" name="Chart 15">
          <a:extLst>
            <a:ext uri="{FF2B5EF4-FFF2-40B4-BE49-F238E27FC236}">
              <a16:creationId xmlns:a16="http://schemas.microsoft.com/office/drawing/2014/main" id="{47AD6F47-0B4D-EDD4-C406-B80379FC1D65}"/>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0"/>
        </a:graphicData>
      </a:graphic>
    </xdr:graphicFrame>
    <xdr:clientData/>
  </xdr:twoCellAnchor>
  <xdr:twoCellAnchor>
    <xdr:from>
      <xdr:col>7</xdr:col>
      <xdr:colOff>1104900</xdr:colOff>
      <xdr:row>63</xdr:row>
      <xdr:rowOff>171450</xdr:rowOff>
    </xdr:from>
    <xdr:to>
      <xdr:col>10</xdr:col>
      <xdr:colOff>514350</xdr:colOff>
      <xdr:row>79</xdr:row>
      <xdr:rowOff>28575</xdr:rowOff>
    </xdr:to>
    <xdr:graphicFrame macro="">
      <xdr:nvGraphicFramePr>
        <xdr:cNvPr id="825115" name="Chart 16">
          <a:extLst>
            <a:ext uri="{FF2B5EF4-FFF2-40B4-BE49-F238E27FC236}">
              <a16:creationId xmlns:a16="http://schemas.microsoft.com/office/drawing/2014/main" id="{0D4EF422-C8B7-A9AA-2A3B-702C850B39F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1"/>
        </a:graphicData>
      </a:graphic>
    </xdr:graphicFrame>
    <xdr:clientData/>
  </xdr:twoCellAnchor>
  <xdr:twoCellAnchor>
    <xdr:from>
      <xdr:col>3</xdr:col>
      <xdr:colOff>0</xdr:colOff>
      <xdr:row>80</xdr:row>
      <xdr:rowOff>9525</xdr:rowOff>
    </xdr:from>
    <xdr:to>
      <xdr:col>4</xdr:col>
      <xdr:colOff>1524000</xdr:colOff>
      <xdr:row>95</xdr:row>
      <xdr:rowOff>38100</xdr:rowOff>
    </xdr:to>
    <xdr:graphicFrame macro="">
      <xdr:nvGraphicFramePr>
        <xdr:cNvPr id="825116" name="Chart 20">
          <a:extLst>
            <a:ext uri="{FF2B5EF4-FFF2-40B4-BE49-F238E27FC236}">
              <a16:creationId xmlns:a16="http://schemas.microsoft.com/office/drawing/2014/main" id="{CC11365A-6B16-D7EE-9F1D-4899714D87C6}"/>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2"/>
        </a:graphicData>
      </a:graphic>
    </xdr:graphicFrame>
    <xdr:clientData/>
  </xdr:twoCellAnchor>
  <xdr:twoCellAnchor>
    <xdr:from>
      <xdr:col>5</xdr:col>
      <xdr:colOff>0</xdr:colOff>
      <xdr:row>80</xdr:row>
      <xdr:rowOff>19050</xdr:rowOff>
    </xdr:from>
    <xdr:to>
      <xdr:col>7</xdr:col>
      <xdr:colOff>933450</xdr:colOff>
      <xdr:row>95</xdr:row>
      <xdr:rowOff>47625</xdr:rowOff>
    </xdr:to>
    <xdr:graphicFrame macro="">
      <xdr:nvGraphicFramePr>
        <xdr:cNvPr id="825117" name="Chart 21">
          <a:extLst>
            <a:ext uri="{FF2B5EF4-FFF2-40B4-BE49-F238E27FC236}">
              <a16:creationId xmlns:a16="http://schemas.microsoft.com/office/drawing/2014/main" id="{8181475C-E22B-8BCE-A27A-9EB6A9655835}"/>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3"/>
        </a:graphicData>
      </a:graphic>
    </xdr:graphicFrame>
    <xdr:clientData/>
  </xdr:twoCellAnchor>
  <xdr:twoCellAnchor>
    <xdr:from>
      <xdr:col>7</xdr:col>
      <xdr:colOff>1104900</xdr:colOff>
      <xdr:row>80</xdr:row>
      <xdr:rowOff>0</xdr:rowOff>
    </xdr:from>
    <xdr:to>
      <xdr:col>10</xdr:col>
      <xdr:colOff>514350</xdr:colOff>
      <xdr:row>95</xdr:row>
      <xdr:rowOff>28575</xdr:rowOff>
    </xdr:to>
    <xdr:graphicFrame macro="">
      <xdr:nvGraphicFramePr>
        <xdr:cNvPr id="825118" name="Chart 22">
          <a:extLst>
            <a:ext uri="{FF2B5EF4-FFF2-40B4-BE49-F238E27FC236}">
              <a16:creationId xmlns:a16="http://schemas.microsoft.com/office/drawing/2014/main" id="{B5F13927-CB1C-F879-17B5-50BE1CE95C2B}"/>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4"/>
        </a:graphicData>
      </a:graphic>
    </xdr:graphicFrame>
    <xdr:clientData/>
  </xdr:twoCellAnchor>
  <xdr:twoCellAnchor>
    <xdr:from>
      <xdr:col>3</xdr:col>
      <xdr:colOff>0</xdr:colOff>
      <xdr:row>96</xdr:row>
      <xdr:rowOff>9525</xdr:rowOff>
    </xdr:from>
    <xdr:to>
      <xdr:col>4</xdr:col>
      <xdr:colOff>1524000</xdr:colOff>
      <xdr:row>111</xdr:row>
      <xdr:rowOff>38100</xdr:rowOff>
    </xdr:to>
    <xdr:graphicFrame macro="">
      <xdr:nvGraphicFramePr>
        <xdr:cNvPr id="825119" name="Chart 23">
          <a:extLst>
            <a:ext uri="{FF2B5EF4-FFF2-40B4-BE49-F238E27FC236}">
              <a16:creationId xmlns:a16="http://schemas.microsoft.com/office/drawing/2014/main" id="{98DBBAB3-9769-7C59-57E6-AAF32BBACA88}"/>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5"/>
        </a:graphicData>
      </a:graphic>
    </xdr:graphicFrame>
    <xdr:clientData/>
  </xdr:twoCellAnchor>
  <xdr:twoCellAnchor>
    <xdr:from>
      <xdr:col>5</xdr:col>
      <xdr:colOff>0</xdr:colOff>
      <xdr:row>96</xdr:row>
      <xdr:rowOff>19050</xdr:rowOff>
    </xdr:from>
    <xdr:to>
      <xdr:col>7</xdr:col>
      <xdr:colOff>933450</xdr:colOff>
      <xdr:row>111</xdr:row>
      <xdr:rowOff>47625</xdr:rowOff>
    </xdr:to>
    <xdr:graphicFrame macro="">
      <xdr:nvGraphicFramePr>
        <xdr:cNvPr id="825120" name="Chart 24">
          <a:extLst>
            <a:ext uri="{FF2B5EF4-FFF2-40B4-BE49-F238E27FC236}">
              <a16:creationId xmlns:a16="http://schemas.microsoft.com/office/drawing/2014/main" id="{7BBEA388-4293-7A8F-38E4-BAD9C36EC8B2}"/>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6"/>
        </a:graphicData>
      </a:graphic>
    </xdr:graphicFrame>
    <xdr:clientData/>
  </xdr:twoCellAnchor>
  <xdr:twoCellAnchor>
    <xdr:from>
      <xdr:col>7</xdr:col>
      <xdr:colOff>1104900</xdr:colOff>
      <xdr:row>96</xdr:row>
      <xdr:rowOff>0</xdr:rowOff>
    </xdr:from>
    <xdr:to>
      <xdr:col>10</xdr:col>
      <xdr:colOff>514350</xdr:colOff>
      <xdr:row>111</xdr:row>
      <xdr:rowOff>28575</xdr:rowOff>
    </xdr:to>
    <xdr:graphicFrame macro="">
      <xdr:nvGraphicFramePr>
        <xdr:cNvPr id="825121" name="Chart 25">
          <a:extLst>
            <a:ext uri="{FF2B5EF4-FFF2-40B4-BE49-F238E27FC236}">
              <a16:creationId xmlns:a16="http://schemas.microsoft.com/office/drawing/2014/main" id="{E57C7735-D52D-E521-20F5-B6923EB147F7}"/>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7"/>
        </a:graphicData>
      </a:graphic>
    </xdr:graphicFrame>
    <xdr:clientData/>
  </xdr:twoCellAnchor>
  <xdr:twoCellAnchor>
    <xdr:from>
      <xdr:col>3</xdr:col>
      <xdr:colOff>0</xdr:colOff>
      <xdr:row>112</xdr:row>
      <xdr:rowOff>9525</xdr:rowOff>
    </xdr:from>
    <xdr:to>
      <xdr:col>4</xdr:col>
      <xdr:colOff>1524000</xdr:colOff>
      <xdr:row>127</xdr:row>
      <xdr:rowOff>38100</xdr:rowOff>
    </xdr:to>
    <xdr:graphicFrame macro="">
      <xdr:nvGraphicFramePr>
        <xdr:cNvPr id="825122" name="Chart 29">
          <a:extLst>
            <a:ext uri="{FF2B5EF4-FFF2-40B4-BE49-F238E27FC236}">
              <a16:creationId xmlns:a16="http://schemas.microsoft.com/office/drawing/2014/main" id="{59975562-7AB3-9734-B535-42AAA6AE5D7B}"/>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8"/>
        </a:graphicData>
      </a:graphic>
    </xdr:graphicFrame>
    <xdr:clientData/>
  </xdr:twoCellAnchor>
  <xdr:twoCellAnchor>
    <xdr:from>
      <xdr:col>5</xdr:col>
      <xdr:colOff>0</xdr:colOff>
      <xdr:row>112</xdr:row>
      <xdr:rowOff>19050</xdr:rowOff>
    </xdr:from>
    <xdr:to>
      <xdr:col>7</xdr:col>
      <xdr:colOff>933450</xdr:colOff>
      <xdr:row>127</xdr:row>
      <xdr:rowOff>47625</xdr:rowOff>
    </xdr:to>
    <xdr:graphicFrame macro="">
      <xdr:nvGraphicFramePr>
        <xdr:cNvPr id="825123" name="Chart 30">
          <a:extLst>
            <a:ext uri="{FF2B5EF4-FFF2-40B4-BE49-F238E27FC236}">
              <a16:creationId xmlns:a16="http://schemas.microsoft.com/office/drawing/2014/main" id="{C72663D5-B33C-3A25-71AB-525C0F614E7D}"/>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9"/>
        </a:graphicData>
      </a:graphic>
    </xdr:graphicFrame>
    <xdr:clientData/>
  </xdr:twoCellAnchor>
  <xdr:twoCellAnchor>
    <xdr:from>
      <xdr:col>7</xdr:col>
      <xdr:colOff>1104900</xdr:colOff>
      <xdr:row>112</xdr:row>
      <xdr:rowOff>0</xdr:rowOff>
    </xdr:from>
    <xdr:to>
      <xdr:col>10</xdr:col>
      <xdr:colOff>514350</xdr:colOff>
      <xdr:row>127</xdr:row>
      <xdr:rowOff>28575</xdr:rowOff>
    </xdr:to>
    <xdr:graphicFrame macro="">
      <xdr:nvGraphicFramePr>
        <xdr:cNvPr id="825124" name="Chart 31">
          <a:extLst>
            <a:ext uri="{FF2B5EF4-FFF2-40B4-BE49-F238E27FC236}">
              <a16:creationId xmlns:a16="http://schemas.microsoft.com/office/drawing/2014/main" id="{1034AACF-722C-2F11-7554-FDD137638E0E}"/>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0"/>
        </a:graphicData>
      </a:graphic>
    </xdr:graphicFrame>
    <xdr:clientData/>
  </xdr:twoCellAnchor>
  <xdr:twoCellAnchor editAs="oneCell">
    <xdr:from>
      <xdr:col>13</xdr:col>
      <xdr:colOff>0</xdr:colOff>
      <xdr:row>0</xdr:row>
      <xdr:rowOff>0</xdr:rowOff>
    </xdr:from>
    <xdr:to>
      <xdr:col>16</xdr:col>
      <xdr:colOff>247651</xdr:colOff>
      <xdr:row>4</xdr:row>
      <xdr:rowOff>0</xdr:rowOff>
    </xdr:to>
    <xdr:pic>
      <xdr:nvPicPr>
        <xdr:cNvPr id="825125" name="Picture 1">
          <a:extLst>
            <a:ext uri="{FF2B5EF4-FFF2-40B4-BE49-F238E27FC236}">
              <a16:creationId xmlns:a16="http://schemas.microsoft.com/office/drawing/2014/main" id="{DA0F2F31-9E68-9F05-A5E9-C621274B44C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058025" y="0"/>
          <a:ext cx="1343025" cy="695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15</xdr:col>
      <xdr:colOff>773430</xdr:colOff>
      <xdr:row>0</xdr:row>
      <xdr:rowOff>83820</xdr:rowOff>
    </xdr:from>
    <xdr:to>
      <xdr:col>15</xdr:col>
      <xdr:colOff>773430</xdr:colOff>
      <xdr:row>3</xdr:row>
      <xdr:rowOff>110760</xdr:rowOff>
    </xdr:to>
    <xdr:sp macro="" textlink="">
      <xdr:nvSpPr>
        <xdr:cNvPr id="24" name="Rectangle 23">
          <a:hlinkClick xmlns:r="http://schemas.openxmlformats.org/officeDocument/2006/relationships" r:id="rId2" tooltip=" "/>
          <a:extLst>
            <a:ext uri="{FF2B5EF4-FFF2-40B4-BE49-F238E27FC236}">
              <a16:creationId xmlns:a16="http://schemas.microsoft.com/office/drawing/2014/main" id="{1D41B211-7616-E2D2-36AD-1BCD64F6EB42}"/>
            </a:ext>
          </a:extLst>
        </xdr:cNvPr>
        <xdr:cNvSpPr/>
      </xdr:nvSpPr>
      <xdr:spPr>
        <a:xfrm>
          <a:off x="2367915" y="83820"/>
          <a:ext cx="3674" cy="520194"/>
        </a:xfrm>
        <a:prstGeom prst="rect">
          <a:avLst/>
        </a:prstGeom>
        <a:solidFill>
          <a:schemeClr val="accent3">
            <a:lumMod val="20000"/>
            <a:lumOff val="80000"/>
          </a:schemeClr>
        </a:solidFill>
        <a:ln w="19050">
          <a:solidFill>
            <a:schemeClr val="accent3"/>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ZA" sz="1100" b="1">
              <a:solidFill>
                <a:sysClr val="windowText" lastClr="000000"/>
              </a:solidFill>
            </a:rPr>
            <a:t>Scroll</a:t>
          </a:r>
          <a:r>
            <a:rPr lang="en-ZA" sz="1100" b="1" baseline="0">
              <a:solidFill>
                <a:sysClr val="windowText" lastClr="000000"/>
              </a:solidFill>
            </a:rPr>
            <a:t> to top</a:t>
          </a:r>
          <a:endParaRPr lang="en-ZA" sz="1100" b="1">
            <a:solidFill>
              <a:sysClr val="windowText" lastClr="000000"/>
            </a:solidFill>
          </a:endParaRPr>
        </a:p>
      </xdr:txBody>
    </xdr:sp>
    <xdr:clientData/>
  </xdr:twoCellAnchor>
  <xdr:twoCellAnchor>
    <xdr:from>
      <xdr:col>15</xdr:col>
      <xdr:colOff>0</xdr:colOff>
      <xdr:row>31</xdr:row>
      <xdr:rowOff>133350</xdr:rowOff>
    </xdr:from>
    <xdr:to>
      <xdr:col>16</xdr:col>
      <xdr:colOff>1514475</xdr:colOff>
      <xdr:row>46</xdr:row>
      <xdr:rowOff>171450</xdr:rowOff>
    </xdr:to>
    <xdr:graphicFrame macro="">
      <xdr:nvGraphicFramePr>
        <xdr:cNvPr id="825127" name="Chart 5">
          <a:extLst>
            <a:ext uri="{FF2B5EF4-FFF2-40B4-BE49-F238E27FC236}">
              <a16:creationId xmlns:a16="http://schemas.microsoft.com/office/drawing/2014/main" id="{7B048D4B-7C98-7D89-1F30-1DFA5F1DEC1A}"/>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1"/>
        </a:graphicData>
      </a:graphic>
    </xdr:graphicFrame>
    <xdr:clientData/>
  </xdr:twoCellAnchor>
  <xdr:twoCellAnchor>
    <xdr:from>
      <xdr:col>17</xdr:col>
      <xdr:colOff>9525</xdr:colOff>
      <xdr:row>31</xdr:row>
      <xdr:rowOff>133350</xdr:rowOff>
    </xdr:from>
    <xdr:to>
      <xdr:col>19</xdr:col>
      <xdr:colOff>933450</xdr:colOff>
      <xdr:row>46</xdr:row>
      <xdr:rowOff>152400</xdr:rowOff>
    </xdr:to>
    <xdr:graphicFrame macro="">
      <xdr:nvGraphicFramePr>
        <xdr:cNvPr id="825128" name="Chart 8">
          <a:extLst>
            <a:ext uri="{FF2B5EF4-FFF2-40B4-BE49-F238E27FC236}">
              <a16:creationId xmlns:a16="http://schemas.microsoft.com/office/drawing/2014/main" id="{E0957B55-B13B-0B05-CA16-0A25EEC84BA7}"/>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2"/>
        </a:graphicData>
      </a:graphic>
    </xdr:graphicFrame>
    <xdr:clientData/>
  </xdr:twoCellAnchor>
  <xdr:twoCellAnchor>
    <xdr:from>
      <xdr:col>19</xdr:col>
      <xdr:colOff>1066800</xdr:colOff>
      <xdr:row>31</xdr:row>
      <xdr:rowOff>133350</xdr:rowOff>
    </xdr:from>
    <xdr:to>
      <xdr:col>22</xdr:col>
      <xdr:colOff>466725</xdr:colOff>
      <xdr:row>46</xdr:row>
      <xdr:rowOff>152400</xdr:rowOff>
    </xdr:to>
    <xdr:graphicFrame macro="">
      <xdr:nvGraphicFramePr>
        <xdr:cNvPr id="825129" name="Chart 10">
          <a:extLst>
            <a:ext uri="{FF2B5EF4-FFF2-40B4-BE49-F238E27FC236}">
              <a16:creationId xmlns:a16="http://schemas.microsoft.com/office/drawing/2014/main" id="{BF2256E5-2E9A-973D-D73F-4924DA65CF77}"/>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3"/>
        </a:graphicData>
      </a:graphic>
    </xdr:graphicFrame>
    <xdr:clientData/>
  </xdr:twoCellAnchor>
  <xdr:twoCellAnchor>
    <xdr:from>
      <xdr:col>15</xdr:col>
      <xdr:colOff>0</xdr:colOff>
      <xdr:row>48</xdr:row>
      <xdr:rowOff>0</xdr:rowOff>
    </xdr:from>
    <xdr:to>
      <xdr:col>16</xdr:col>
      <xdr:colOff>1524000</xdr:colOff>
      <xdr:row>63</xdr:row>
      <xdr:rowOff>28575</xdr:rowOff>
    </xdr:to>
    <xdr:graphicFrame macro="">
      <xdr:nvGraphicFramePr>
        <xdr:cNvPr id="825130" name="Chart 11">
          <a:extLst>
            <a:ext uri="{FF2B5EF4-FFF2-40B4-BE49-F238E27FC236}">
              <a16:creationId xmlns:a16="http://schemas.microsoft.com/office/drawing/2014/main" id="{955260AB-2EC7-4187-308C-FD1290992A3A}"/>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4"/>
        </a:graphicData>
      </a:graphic>
    </xdr:graphicFrame>
    <xdr:clientData/>
  </xdr:twoCellAnchor>
  <xdr:twoCellAnchor>
    <xdr:from>
      <xdr:col>17</xdr:col>
      <xdr:colOff>9525</xdr:colOff>
      <xdr:row>47</xdr:row>
      <xdr:rowOff>180975</xdr:rowOff>
    </xdr:from>
    <xdr:to>
      <xdr:col>19</xdr:col>
      <xdr:colOff>933450</xdr:colOff>
      <xdr:row>63</xdr:row>
      <xdr:rowOff>28575</xdr:rowOff>
    </xdr:to>
    <xdr:graphicFrame macro="">
      <xdr:nvGraphicFramePr>
        <xdr:cNvPr id="825131" name="Chart 12">
          <a:extLst>
            <a:ext uri="{FF2B5EF4-FFF2-40B4-BE49-F238E27FC236}">
              <a16:creationId xmlns:a16="http://schemas.microsoft.com/office/drawing/2014/main" id="{3FDD5C83-338F-37B2-4B23-EB94E249FEB6}"/>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5"/>
        </a:graphicData>
      </a:graphic>
    </xdr:graphicFrame>
    <xdr:clientData/>
  </xdr:twoCellAnchor>
  <xdr:twoCellAnchor>
    <xdr:from>
      <xdr:col>19</xdr:col>
      <xdr:colOff>1066800</xdr:colOff>
      <xdr:row>47</xdr:row>
      <xdr:rowOff>180975</xdr:rowOff>
    </xdr:from>
    <xdr:to>
      <xdr:col>22</xdr:col>
      <xdr:colOff>466725</xdr:colOff>
      <xdr:row>63</xdr:row>
      <xdr:rowOff>28575</xdr:rowOff>
    </xdr:to>
    <xdr:graphicFrame macro="">
      <xdr:nvGraphicFramePr>
        <xdr:cNvPr id="825132" name="Chart 13">
          <a:extLst>
            <a:ext uri="{FF2B5EF4-FFF2-40B4-BE49-F238E27FC236}">
              <a16:creationId xmlns:a16="http://schemas.microsoft.com/office/drawing/2014/main" id="{311A9D85-DFB5-BBC9-5E2A-1A06CF2C651A}"/>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6"/>
        </a:graphicData>
      </a:graphic>
    </xdr:graphicFrame>
    <xdr:clientData/>
  </xdr:twoCellAnchor>
  <xdr:twoCellAnchor>
    <xdr:from>
      <xdr:col>15</xdr:col>
      <xdr:colOff>0</xdr:colOff>
      <xdr:row>64</xdr:row>
      <xdr:rowOff>0</xdr:rowOff>
    </xdr:from>
    <xdr:to>
      <xdr:col>16</xdr:col>
      <xdr:colOff>1524000</xdr:colOff>
      <xdr:row>79</xdr:row>
      <xdr:rowOff>28575</xdr:rowOff>
    </xdr:to>
    <xdr:graphicFrame macro="">
      <xdr:nvGraphicFramePr>
        <xdr:cNvPr id="825133" name="Chart 14">
          <a:extLst>
            <a:ext uri="{FF2B5EF4-FFF2-40B4-BE49-F238E27FC236}">
              <a16:creationId xmlns:a16="http://schemas.microsoft.com/office/drawing/2014/main" id="{7438ABAA-9851-10DF-F686-AD3EF08011DB}"/>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7"/>
        </a:graphicData>
      </a:graphic>
    </xdr:graphicFrame>
    <xdr:clientData/>
  </xdr:twoCellAnchor>
  <xdr:twoCellAnchor>
    <xdr:from>
      <xdr:col>17</xdr:col>
      <xdr:colOff>0</xdr:colOff>
      <xdr:row>64</xdr:row>
      <xdr:rowOff>9525</xdr:rowOff>
    </xdr:from>
    <xdr:to>
      <xdr:col>19</xdr:col>
      <xdr:colOff>933450</xdr:colOff>
      <xdr:row>79</xdr:row>
      <xdr:rowOff>38100</xdr:rowOff>
    </xdr:to>
    <xdr:graphicFrame macro="">
      <xdr:nvGraphicFramePr>
        <xdr:cNvPr id="825134" name="Chart 15">
          <a:extLst>
            <a:ext uri="{FF2B5EF4-FFF2-40B4-BE49-F238E27FC236}">
              <a16:creationId xmlns:a16="http://schemas.microsoft.com/office/drawing/2014/main" id="{641A9D8C-742C-1ED5-10B0-9C050AB894F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8"/>
        </a:graphicData>
      </a:graphic>
    </xdr:graphicFrame>
    <xdr:clientData/>
  </xdr:twoCellAnchor>
  <xdr:twoCellAnchor>
    <xdr:from>
      <xdr:col>19</xdr:col>
      <xdr:colOff>1104900</xdr:colOff>
      <xdr:row>63</xdr:row>
      <xdr:rowOff>171450</xdr:rowOff>
    </xdr:from>
    <xdr:to>
      <xdr:col>22</xdr:col>
      <xdr:colOff>514350</xdr:colOff>
      <xdr:row>79</xdr:row>
      <xdr:rowOff>28575</xdr:rowOff>
    </xdr:to>
    <xdr:graphicFrame macro="">
      <xdr:nvGraphicFramePr>
        <xdr:cNvPr id="825135" name="Chart 16">
          <a:extLst>
            <a:ext uri="{FF2B5EF4-FFF2-40B4-BE49-F238E27FC236}">
              <a16:creationId xmlns:a16="http://schemas.microsoft.com/office/drawing/2014/main" id="{AA90CF24-64FD-440E-32BC-0957E0FC5DAB}"/>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9"/>
        </a:graphicData>
      </a:graphic>
    </xdr:graphicFrame>
    <xdr:clientData/>
  </xdr:twoCellAnchor>
  <xdr:twoCellAnchor>
    <xdr:from>
      <xdr:col>15</xdr:col>
      <xdr:colOff>0</xdr:colOff>
      <xdr:row>80</xdr:row>
      <xdr:rowOff>9525</xdr:rowOff>
    </xdr:from>
    <xdr:to>
      <xdr:col>16</xdr:col>
      <xdr:colOff>1524000</xdr:colOff>
      <xdr:row>95</xdr:row>
      <xdr:rowOff>38100</xdr:rowOff>
    </xdr:to>
    <xdr:graphicFrame macro="">
      <xdr:nvGraphicFramePr>
        <xdr:cNvPr id="825136" name="Chart 20">
          <a:extLst>
            <a:ext uri="{FF2B5EF4-FFF2-40B4-BE49-F238E27FC236}">
              <a16:creationId xmlns:a16="http://schemas.microsoft.com/office/drawing/2014/main" id="{CB169211-F11C-3BFC-2FEA-0679A328581E}"/>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0"/>
        </a:graphicData>
      </a:graphic>
    </xdr:graphicFrame>
    <xdr:clientData/>
  </xdr:twoCellAnchor>
  <xdr:twoCellAnchor>
    <xdr:from>
      <xdr:col>17</xdr:col>
      <xdr:colOff>0</xdr:colOff>
      <xdr:row>80</xdr:row>
      <xdr:rowOff>19050</xdr:rowOff>
    </xdr:from>
    <xdr:to>
      <xdr:col>19</xdr:col>
      <xdr:colOff>933450</xdr:colOff>
      <xdr:row>95</xdr:row>
      <xdr:rowOff>47625</xdr:rowOff>
    </xdr:to>
    <xdr:graphicFrame macro="">
      <xdr:nvGraphicFramePr>
        <xdr:cNvPr id="825137" name="Chart 21">
          <a:extLst>
            <a:ext uri="{FF2B5EF4-FFF2-40B4-BE49-F238E27FC236}">
              <a16:creationId xmlns:a16="http://schemas.microsoft.com/office/drawing/2014/main" id="{559D31CE-1F3B-1DA3-8D58-678B4E67C8BC}"/>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1"/>
        </a:graphicData>
      </a:graphic>
    </xdr:graphicFrame>
    <xdr:clientData/>
  </xdr:twoCellAnchor>
  <xdr:twoCellAnchor>
    <xdr:from>
      <xdr:col>19</xdr:col>
      <xdr:colOff>1104900</xdr:colOff>
      <xdr:row>80</xdr:row>
      <xdr:rowOff>0</xdr:rowOff>
    </xdr:from>
    <xdr:to>
      <xdr:col>22</xdr:col>
      <xdr:colOff>514350</xdr:colOff>
      <xdr:row>95</xdr:row>
      <xdr:rowOff>28575</xdr:rowOff>
    </xdr:to>
    <xdr:graphicFrame macro="">
      <xdr:nvGraphicFramePr>
        <xdr:cNvPr id="825138" name="Chart 22">
          <a:extLst>
            <a:ext uri="{FF2B5EF4-FFF2-40B4-BE49-F238E27FC236}">
              <a16:creationId xmlns:a16="http://schemas.microsoft.com/office/drawing/2014/main" id="{2E10D89E-518B-7EC8-1774-C387D54BCDE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2"/>
        </a:graphicData>
      </a:graphic>
    </xdr:graphicFrame>
    <xdr:clientData/>
  </xdr:twoCellAnchor>
  <xdr:twoCellAnchor>
    <xdr:from>
      <xdr:col>15</xdr:col>
      <xdr:colOff>0</xdr:colOff>
      <xdr:row>96</xdr:row>
      <xdr:rowOff>9525</xdr:rowOff>
    </xdr:from>
    <xdr:to>
      <xdr:col>16</xdr:col>
      <xdr:colOff>1524000</xdr:colOff>
      <xdr:row>111</xdr:row>
      <xdr:rowOff>38100</xdr:rowOff>
    </xdr:to>
    <xdr:graphicFrame macro="">
      <xdr:nvGraphicFramePr>
        <xdr:cNvPr id="825139" name="Chart 23">
          <a:extLst>
            <a:ext uri="{FF2B5EF4-FFF2-40B4-BE49-F238E27FC236}">
              <a16:creationId xmlns:a16="http://schemas.microsoft.com/office/drawing/2014/main" id="{4AC5B4E6-7F42-A3E9-7F4B-16986FB7032C}"/>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3"/>
        </a:graphicData>
      </a:graphic>
    </xdr:graphicFrame>
    <xdr:clientData/>
  </xdr:twoCellAnchor>
  <xdr:twoCellAnchor>
    <xdr:from>
      <xdr:col>17</xdr:col>
      <xdr:colOff>0</xdr:colOff>
      <xdr:row>96</xdr:row>
      <xdr:rowOff>19050</xdr:rowOff>
    </xdr:from>
    <xdr:to>
      <xdr:col>19</xdr:col>
      <xdr:colOff>933450</xdr:colOff>
      <xdr:row>111</xdr:row>
      <xdr:rowOff>47625</xdr:rowOff>
    </xdr:to>
    <xdr:graphicFrame macro="">
      <xdr:nvGraphicFramePr>
        <xdr:cNvPr id="825140" name="Chart 24">
          <a:extLst>
            <a:ext uri="{FF2B5EF4-FFF2-40B4-BE49-F238E27FC236}">
              <a16:creationId xmlns:a16="http://schemas.microsoft.com/office/drawing/2014/main" id="{09A98A56-BFB1-77C4-69D7-129D47E7B6C4}"/>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4"/>
        </a:graphicData>
      </a:graphic>
    </xdr:graphicFrame>
    <xdr:clientData/>
  </xdr:twoCellAnchor>
  <xdr:twoCellAnchor>
    <xdr:from>
      <xdr:col>19</xdr:col>
      <xdr:colOff>1104900</xdr:colOff>
      <xdr:row>96</xdr:row>
      <xdr:rowOff>0</xdr:rowOff>
    </xdr:from>
    <xdr:to>
      <xdr:col>22</xdr:col>
      <xdr:colOff>514350</xdr:colOff>
      <xdr:row>111</xdr:row>
      <xdr:rowOff>28575</xdr:rowOff>
    </xdr:to>
    <xdr:graphicFrame macro="">
      <xdr:nvGraphicFramePr>
        <xdr:cNvPr id="825141" name="Chart 25">
          <a:extLst>
            <a:ext uri="{FF2B5EF4-FFF2-40B4-BE49-F238E27FC236}">
              <a16:creationId xmlns:a16="http://schemas.microsoft.com/office/drawing/2014/main" id="{8131BE3D-98AE-3A8D-C4ED-EA525490DC2D}"/>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5"/>
        </a:graphicData>
      </a:graphic>
    </xdr:graphicFrame>
    <xdr:clientData/>
  </xdr:twoCellAnchor>
  <xdr:twoCellAnchor>
    <xdr:from>
      <xdr:col>15</xdr:col>
      <xdr:colOff>0</xdr:colOff>
      <xdr:row>112</xdr:row>
      <xdr:rowOff>9525</xdr:rowOff>
    </xdr:from>
    <xdr:to>
      <xdr:col>16</xdr:col>
      <xdr:colOff>1524000</xdr:colOff>
      <xdr:row>127</xdr:row>
      <xdr:rowOff>38100</xdr:rowOff>
    </xdr:to>
    <xdr:graphicFrame macro="">
      <xdr:nvGraphicFramePr>
        <xdr:cNvPr id="825142" name="Chart 29">
          <a:extLst>
            <a:ext uri="{FF2B5EF4-FFF2-40B4-BE49-F238E27FC236}">
              <a16:creationId xmlns:a16="http://schemas.microsoft.com/office/drawing/2014/main" id="{76FDE1B1-771C-29F5-03C3-85E17F81E26E}"/>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6"/>
        </a:graphicData>
      </a:graphic>
    </xdr:graphicFrame>
    <xdr:clientData/>
  </xdr:twoCellAnchor>
  <xdr:twoCellAnchor>
    <xdr:from>
      <xdr:col>17</xdr:col>
      <xdr:colOff>0</xdr:colOff>
      <xdr:row>112</xdr:row>
      <xdr:rowOff>19050</xdr:rowOff>
    </xdr:from>
    <xdr:to>
      <xdr:col>19</xdr:col>
      <xdr:colOff>933450</xdr:colOff>
      <xdr:row>127</xdr:row>
      <xdr:rowOff>47625</xdr:rowOff>
    </xdr:to>
    <xdr:graphicFrame macro="">
      <xdr:nvGraphicFramePr>
        <xdr:cNvPr id="825143" name="Chart 30">
          <a:extLst>
            <a:ext uri="{FF2B5EF4-FFF2-40B4-BE49-F238E27FC236}">
              <a16:creationId xmlns:a16="http://schemas.microsoft.com/office/drawing/2014/main" id="{7BF611FF-8F94-6925-A186-0B6FF212884E}"/>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7"/>
        </a:graphicData>
      </a:graphic>
    </xdr:graphicFrame>
    <xdr:clientData/>
  </xdr:twoCellAnchor>
  <xdr:twoCellAnchor>
    <xdr:from>
      <xdr:col>19</xdr:col>
      <xdr:colOff>1104900</xdr:colOff>
      <xdr:row>112</xdr:row>
      <xdr:rowOff>0</xdr:rowOff>
    </xdr:from>
    <xdr:to>
      <xdr:col>22</xdr:col>
      <xdr:colOff>514350</xdr:colOff>
      <xdr:row>127</xdr:row>
      <xdr:rowOff>28575</xdr:rowOff>
    </xdr:to>
    <xdr:graphicFrame macro="">
      <xdr:nvGraphicFramePr>
        <xdr:cNvPr id="825144" name="Chart 31">
          <a:extLst>
            <a:ext uri="{FF2B5EF4-FFF2-40B4-BE49-F238E27FC236}">
              <a16:creationId xmlns:a16="http://schemas.microsoft.com/office/drawing/2014/main" id="{C921A1C6-87C3-C2D8-6ACC-B0A087E5A93E}"/>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8"/>
        </a:graphicData>
      </a:graphic>
    </xdr:graphicFrame>
    <xdr:clientData/>
  </xdr:twoCellAnchor>
  <xdr:twoCellAnchor editAs="oneCell">
    <xdr:from>
      <xdr:col>23</xdr:col>
      <xdr:colOff>0</xdr:colOff>
      <xdr:row>0</xdr:row>
      <xdr:rowOff>0</xdr:rowOff>
    </xdr:from>
    <xdr:to>
      <xdr:col>26</xdr:col>
      <xdr:colOff>95249</xdr:colOff>
      <xdr:row>4</xdr:row>
      <xdr:rowOff>0</xdr:rowOff>
    </xdr:to>
    <xdr:pic>
      <xdr:nvPicPr>
        <xdr:cNvPr id="825145" name="Picture 1">
          <a:extLst>
            <a:ext uri="{FF2B5EF4-FFF2-40B4-BE49-F238E27FC236}">
              <a16:creationId xmlns:a16="http://schemas.microsoft.com/office/drawing/2014/main" id="{DDDF80B1-D97B-7A2E-67F4-AF336189AD0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687425" y="0"/>
          <a:ext cx="1343025" cy="695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25</xdr:col>
      <xdr:colOff>912495</xdr:colOff>
      <xdr:row>0</xdr:row>
      <xdr:rowOff>83820</xdr:rowOff>
    </xdr:from>
    <xdr:to>
      <xdr:col>25</xdr:col>
      <xdr:colOff>912495</xdr:colOff>
      <xdr:row>3</xdr:row>
      <xdr:rowOff>110760</xdr:rowOff>
    </xdr:to>
    <xdr:sp macro="" textlink="">
      <xdr:nvSpPr>
        <xdr:cNvPr id="7181" name="Rectangle 7180">
          <a:hlinkClick xmlns:r="http://schemas.openxmlformats.org/officeDocument/2006/relationships" r:id="rId2" tooltip=" "/>
          <a:extLst>
            <a:ext uri="{FF2B5EF4-FFF2-40B4-BE49-F238E27FC236}">
              <a16:creationId xmlns:a16="http://schemas.microsoft.com/office/drawing/2014/main" id="{994CF68F-1A0E-F14C-A5CE-6E6A3BEA6C11}"/>
            </a:ext>
          </a:extLst>
        </xdr:cNvPr>
        <xdr:cNvSpPr/>
      </xdr:nvSpPr>
      <xdr:spPr>
        <a:xfrm>
          <a:off x="2367915" y="83820"/>
          <a:ext cx="3674" cy="520194"/>
        </a:xfrm>
        <a:prstGeom prst="rect">
          <a:avLst/>
        </a:prstGeom>
        <a:solidFill>
          <a:schemeClr val="accent3">
            <a:lumMod val="20000"/>
            <a:lumOff val="80000"/>
          </a:schemeClr>
        </a:solidFill>
        <a:ln w="19050">
          <a:solidFill>
            <a:schemeClr val="accent3"/>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ZA" sz="1100" b="1">
              <a:solidFill>
                <a:sysClr val="windowText" lastClr="000000"/>
              </a:solidFill>
            </a:rPr>
            <a:t>Scroll</a:t>
          </a:r>
          <a:r>
            <a:rPr lang="en-ZA" sz="1100" b="1" baseline="0">
              <a:solidFill>
                <a:sysClr val="windowText" lastClr="000000"/>
              </a:solidFill>
            </a:rPr>
            <a:t> to top</a:t>
          </a:r>
          <a:endParaRPr lang="en-ZA" sz="1100" b="1">
            <a:solidFill>
              <a:sysClr val="windowText" lastClr="000000"/>
            </a:solidFill>
          </a:endParaRPr>
        </a:p>
      </xdr:txBody>
    </xdr:sp>
    <xdr:clientData/>
  </xdr:twoCellAnchor>
  <xdr:twoCellAnchor>
    <xdr:from>
      <xdr:col>25</xdr:col>
      <xdr:colOff>0</xdr:colOff>
      <xdr:row>31</xdr:row>
      <xdr:rowOff>133350</xdr:rowOff>
    </xdr:from>
    <xdr:to>
      <xdr:col>26</xdr:col>
      <xdr:colOff>1514475</xdr:colOff>
      <xdr:row>46</xdr:row>
      <xdr:rowOff>171450</xdr:rowOff>
    </xdr:to>
    <xdr:graphicFrame macro="">
      <xdr:nvGraphicFramePr>
        <xdr:cNvPr id="825147" name="Chart 5">
          <a:extLst>
            <a:ext uri="{FF2B5EF4-FFF2-40B4-BE49-F238E27FC236}">
              <a16:creationId xmlns:a16="http://schemas.microsoft.com/office/drawing/2014/main" id="{A651C27B-87E7-6F91-BA09-A5AB13871915}"/>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9"/>
        </a:graphicData>
      </a:graphic>
    </xdr:graphicFrame>
    <xdr:clientData/>
  </xdr:twoCellAnchor>
  <xdr:twoCellAnchor>
    <xdr:from>
      <xdr:col>27</xdr:col>
      <xdr:colOff>9525</xdr:colOff>
      <xdr:row>31</xdr:row>
      <xdr:rowOff>133350</xdr:rowOff>
    </xdr:from>
    <xdr:to>
      <xdr:col>29</xdr:col>
      <xdr:colOff>933450</xdr:colOff>
      <xdr:row>46</xdr:row>
      <xdr:rowOff>152400</xdr:rowOff>
    </xdr:to>
    <xdr:graphicFrame macro="">
      <xdr:nvGraphicFramePr>
        <xdr:cNvPr id="825148" name="Chart 8">
          <a:extLst>
            <a:ext uri="{FF2B5EF4-FFF2-40B4-BE49-F238E27FC236}">
              <a16:creationId xmlns:a16="http://schemas.microsoft.com/office/drawing/2014/main" id="{AB870875-35F1-21D1-5060-8D945BC399D6}"/>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0"/>
        </a:graphicData>
      </a:graphic>
    </xdr:graphicFrame>
    <xdr:clientData/>
  </xdr:twoCellAnchor>
  <xdr:twoCellAnchor>
    <xdr:from>
      <xdr:col>29</xdr:col>
      <xdr:colOff>1066800</xdr:colOff>
      <xdr:row>31</xdr:row>
      <xdr:rowOff>133350</xdr:rowOff>
    </xdr:from>
    <xdr:to>
      <xdr:col>32</xdr:col>
      <xdr:colOff>466725</xdr:colOff>
      <xdr:row>46</xdr:row>
      <xdr:rowOff>152400</xdr:rowOff>
    </xdr:to>
    <xdr:graphicFrame macro="">
      <xdr:nvGraphicFramePr>
        <xdr:cNvPr id="825149" name="Chart 10">
          <a:extLst>
            <a:ext uri="{FF2B5EF4-FFF2-40B4-BE49-F238E27FC236}">
              <a16:creationId xmlns:a16="http://schemas.microsoft.com/office/drawing/2014/main" id="{B27BE41A-3730-6419-A6B6-3BEBED673B31}"/>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1"/>
        </a:graphicData>
      </a:graphic>
    </xdr:graphicFrame>
    <xdr:clientData/>
  </xdr:twoCellAnchor>
  <xdr:twoCellAnchor>
    <xdr:from>
      <xdr:col>25</xdr:col>
      <xdr:colOff>0</xdr:colOff>
      <xdr:row>48</xdr:row>
      <xdr:rowOff>0</xdr:rowOff>
    </xdr:from>
    <xdr:to>
      <xdr:col>26</xdr:col>
      <xdr:colOff>1524000</xdr:colOff>
      <xdr:row>63</xdr:row>
      <xdr:rowOff>28575</xdr:rowOff>
    </xdr:to>
    <xdr:graphicFrame macro="">
      <xdr:nvGraphicFramePr>
        <xdr:cNvPr id="825150" name="Chart 11">
          <a:extLst>
            <a:ext uri="{FF2B5EF4-FFF2-40B4-BE49-F238E27FC236}">
              <a16:creationId xmlns:a16="http://schemas.microsoft.com/office/drawing/2014/main" id="{5C27CB49-16A1-F8E0-BC73-EA2AE772820F}"/>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2"/>
        </a:graphicData>
      </a:graphic>
    </xdr:graphicFrame>
    <xdr:clientData/>
  </xdr:twoCellAnchor>
  <xdr:twoCellAnchor>
    <xdr:from>
      <xdr:col>27</xdr:col>
      <xdr:colOff>9525</xdr:colOff>
      <xdr:row>47</xdr:row>
      <xdr:rowOff>180975</xdr:rowOff>
    </xdr:from>
    <xdr:to>
      <xdr:col>29</xdr:col>
      <xdr:colOff>933450</xdr:colOff>
      <xdr:row>63</xdr:row>
      <xdr:rowOff>28575</xdr:rowOff>
    </xdr:to>
    <xdr:graphicFrame macro="">
      <xdr:nvGraphicFramePr>
        <xdr:cNvPr id="825151" name="Chart 12">
          <a:extLst>
            <a:ext uri="{FF2B5EF4-FFF2-40B4-BE49-F238E27FC236}">
              <a16:creationId xmlns:a16="http://schemas.microsoft.com/office/drawing/2014/main" id="{5C2C6240-44F6-BBB6-E992-83C0BADEB618}"/>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3"/>
        </a:graphicData>
      </a:graphic>
    </xdr:graphicFrame>
    <xdr:clientData/>
  </xdr:twoCellAnchor>
  <xdr:twoCellAnchor>
    <xdr:from>
      <xdr:col>29</xdr:col>
      <xdr:colOff>1066800</xdr:colOff>
      <xdr:row>47</xdr:row>
      <xdr:rowOff>180975</xdr:rowOff>
    </xdr:from>
    <xdr:to>
      <xdr:col>32</xdr:col>
      <xdr:colOff>466725</xdr:colOff>
      <xdr:row>63</xdr:row>
      <xdr:rowOff>28575</xdr:rowOff>
    </xdr:to>
    <xdr:graphicFrame macro="">
      <xdr:nvGraphicFramePr>
        <xdr:cNvPr id="825152" name="Chart 13">
          <a:extLst>
            <a:ext uri="{FF2B5EF4-FFF2-40B4-BE49-F238E27FC236}">
              <a16:creationId xmlns:a16="http://schemas.microsoft.com/office/drawing/2014/main" id="{9943FD72-DBB0-D495-EF06-82A5BD84C4BA}"/>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4"/>
        </a:graphicData>
      </a:graphic>
    </xdr:graphicFrame>
    <xdr:clientData/>
  </xdr:twoCellAnchor>
  <xdr:twoCellAnchor>
    <xdr:from>
      <xdr:col>25</xdr:col>
      <xdr:colOff>0</xdr:colOff>
      <xdr:row>64</xdr:row>
      <xdr:rowOff>0</xdr:rowOff>
    </xdr:from>
    <xdr:to>
      <xdr:col>26</xdr:col>
      <xdr:colOff>1524000</xdr:colOff>
      <xdr:row>79</xdr:row>
      <xdr:rowOff>28575</xdr:rowOff>
    </xdr:to>
    <xdr:graphicFrame macro="">
      <xdr:nvGraphicFramePr>
        <xdr:cNvPr id="825153" name="Chart 14">
          <a:extLst>
            <a:ext uri="{FF2B5EF4-FFF2-40B4-BE49-F238E27FC236}">
              <a16:creationId xmlns:a16="http://schemas.microsoft.com/office/drawing/2014/main" id="{D7770F0E-46C3-C791-4674-EA0B13CB47B1}"/>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5"/>
        </a:graphicData>
      </a:graphic>
    </xdr:graphicFrame>
    <xdr:clientData/>
  </xdr:twoCellAnchor>
  <xdr:twoCellAnchor>
    <xdr:from>
      <xdr:col>27</xdr:col>
      <xdr:colOff>0</xdr:colOff>
      <xdr:row>64</xdr:row>
      <xdr:rowOff>9525</xdr:rowOff>
    </xdr:from>
    <xdr:to>
      <xdr:col>29</xdr:col>
      <xdr:colOff>933450</xdr:colOff>
      <xdr:row>79</xdr:row>
      <xdr:rowOff>38100</xdr:rowOff>
    </xdr:to>
    <xdr:graphicFrame macro="">
      <xdr:nvGraphicFramePr>
        <xdr:cNvPr id="825154" name="Chart 15">
          <a:extLst>
            <a:ext uri="{FF2B5EF4-FFF2-40B4-BE49-F238E27FC236}">
              <a16:creationId xmlns:a16="http://schemas.microsoft.com/office/drawing/2014/main" id="{DABAE3D7-6794-44F0-C8DD-EF07B6C18C89}"/>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6"/>
        </a:graphicData>
      </a:graphic>
    </xdr:graphicFrame>
    <xdr:clientData/>
  </xdr:twoCellAnchor>
  <xdr:twoCellAnchor>
    <xdr:from>
      <xdr:col>29</xdr:col>
      <xdr:colOff>1104900</xdr:colOff>
      <xdr:row>63</xdr:row>
      <xdr:rowOff>171450</xdr:rowOff>
    </xdr:from>
    <xdr:to>
      <xdr:col>32</xdr:col>
      <xdr:colOff>514350</xdr:colOff>
      <xdr:row>79</xdr:row>
      <xdr:rowOff>28575</xdr:rowOff>
    </xdr:to>
    <xdr:graphicFrame macro="">
      <xdr:nvGraphicFramePr>
        <xdr:cNvPr id="825155" name="Chart 16">
          <a:extLst>
            <a:ext uri="{FF2B5EF4-FFF2-40B4-BE49-F238E27FC236}">
              <a16:creationId xmlns:a16="http://schemas.microsoft.com/office/drawing/2014/main" id="{4986FC2D-4907-7730-C416-D7F68DF4C3EF}"/>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7"/>
        </a:graphicData>
      </a:graphic>
    </xdr:graphicFrame>
    <xdr:clientData/>
  </xdr:twoCellAnchor>
  <xdr:twoCellAnchor>
    <xdr:from>
      <xdr:col>25</xdr:col>
      <xdr:colOff>0</xdr:colOff>
      <xdr:row>80</xdr:row>
      <xdr:rowOff>9525</xdr:rowOff>
    </xdr:from>
    <xdr:to>
      <xdr:col>26</xdr:col>
      <xdr:colOff>1524000</xdr:colOff>
      <xdr:row>95</xdr:row>
      <xdr:rowOff>38100</xdr:rowOff>
    </xdr:to>
    <xdr:graphicFrame macro="">
      <xdr:nvGraphicFramePr>
        <xdr:cNvPr id="825156" name="Chart 20">
          <a:extLst>
            <a:ext uri="{FF2B5EF4-FFF2-40B4-BE49-F238E27FC236}">
              <a16:creationId xmlns:a16="http://schemas.microsoft.com/office/drawing/2014/main" id="{14C5C142-8461-0E05-290F-A819B00C21D7}"/>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8"/>
        </a:graphicData>
      </a:graphic>
    </xdr:graphicFrame>
    <xdr:clientData/>
  </xdr:twoCellAnchor>
  <xdr:twoCellAnchor>
    <xdr:from>
      <xdr:col>27</xdr:col>
      <xdr:colOff>0</xdr:colOff>
      <xdr:row>80</xdr:row>
      <xdr:rowOff>19050</xdr:rowOff>
    </xdr:from>
    <xdr:to>
      <xdr:col>29</xdr:col>
      <xdr:colOff>933450</xdr:colOff>
      <xdr:row>95</xdr:row>
      <xdr:rowOff>47625</xdr:rowOff>
    </xdr:to>
    <xdr:graphicFrame macro="">
      <xdr:nvGraphicFramePr>
        <xdr:cNvPr id="825157" name="Chart 21">
          <a:extLst>
            <a:ext uri="{FF2B5EF4-FFF2-40B4-BE49-F238E27FC236}">
              <a16:creationId xmlns:a16="http://schemas.microsoft.com/office/drawing/2014/main" id="{C5041673-D9A7-6015-EB9D-583A596FBD5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9"/>
        </a:graphicData>
      </a:graphic>
    </xdr:graphicFrame>
    <xdr:clientData/>
  </xdr:twoCellAnchor>
  <xdr:twoCellAnchor>
    <xdr:from>
      <xdr:col>29</xdr:col>
      <xdr:colOff>1104900</xdr:colOff>
      <xdr:row>80</xdr:row>
      <xdr:rowOff>0</xdr:rowOff>
    </xdr:from>
    <xdr:to>
      <xdr:col>32</xdr:col>
      <xdr:colOff>514350</xdr:colOff>
      <xdr:row>95</xdr:row>
      <xdr:rowOff>28575</xdr:rowOff>
    </xdr:to>
    <xdr:graphicFrame macro="">
      <xdr:nvGraphicFramePr>
        <xdr:cNvPr id="825158" name="Chart 22">
          <a:extLst>
            <a:ext uri="{FF2B5EF4-FFF2-40B4-BE49-F238E27FC236}">
              <a16:creationId xmlns:a16="http://schemas.microsoft.com/office/drawing/2014/main" id="{3A124843-02A3-E3D0-9A78-F5EDD4AAFCF9}"/>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0"/>
        </a:graphicData>
      </a:graphic>
    </xdr:graphicFrame>
    <xdr:clientData/>
  </xdr:twoCellAnchor>
  <xdr:twoCellAnchor>
    <xdr:from>
      <xdr:col>25</xdr:col>
      <xdr:colOff>0</xdr:colOff>
      <xdr:row>96</xdr:row>
      <xdr:rowOff>9525</xdr:rowOff>
    </xdr:from>
    <xdr:to>
      <xdr:col>26</xdr:col>
      <xdr:colOff>1524000</xdr:colOff>
      <xdr:row>111</xdr:row>
      <xdr:rowOff>38100</xdr:rowOff>
    </xdr:to>
    <xdr:graphicFrame macro="">
      <xdr:nvGraphicFramePr>
        <xdr:cNvPr id="825159" name="Chart 23">
          <a:extLst>
            <a:ext uri="{FF2B5EF4-FFF2-40B4-BE49-F238E27FC236}">
              <a16:creationId xmlns:a16="http://schemas.microsoft.com/office/drawing/2014/main" id="{EF560A39-3A26-3064-BAA1-C373BE617C3E}"/>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1"/>
        </a:graphicData>
      </a:graphic>
    </xdr:graphicFrame>
    <xdr:clientData/>
  </xdr:twoCellAnchor>
  <xdr:twoCellAnchor>
    <xdr:from>
      <xdr:col>27</xdr:col>
      <xdr:colOff>0</xdr:colOff>
      <xdr:row>96</xdr:row>
      <xdr:rowOff>19050</xdr:rowOff>
    </xdr:from>
    <xdr:to>
      <xdr:col>29</xdr:col>
      <xdr:colOff>933450</xdr:colOff>
      <xdr:row>111</xdr:row>
      <xdr:rowOff>47625</xdr:rowOff>
    </xdr:to>
    <xdr:graphicFrame macro="">
      <xdr:nvGraphicFramePr>
        <xdr:cNvPr id="825160" name="Chart 24">
          <a:extLst>
            <a:ext uri="{FF2B5EF4-FFF2-40B4-BE49-F238E27FC236}">
              <a16:creationId xmlns:a16="http://schemas.microsoft.com/office/drawing/2014/main" id="{D877ED4B-2CD1-37B9-0438-8932BC43FC2E}"/>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2"/>
        </a:graphicData>
      </a:graphic>
    </xdr:graphicFrame>
    <xdr:clientData/>
  </xdr:twoCellAnchor>
  <xdr:twoCellAnchor>
    <xdr:from>
      <xdr:col>29</xdr:col>
      <xdr:colOff>1104900</xdr:colOff>
      <xdr:row>96</xdr:row>
      <xdr:rowOff>0</xdr:rowOff>
    </xdr:from>
    <xdr:to>
      <xdr:col>32</xdr:col>
      <xdr:colOff>514350</xdr:colOff>
      <xdr:row>111</xdr:row>
      <xdr:rowOff>28575</xdr:rowOff>
    </xdr:to>
    <xdr:graphicFrame macro="">
      <xdr:nvGraphicFramePr>
        <xdr:cNvPr id="825161" name="Chart 25">
          <a:extLst>
            <a:ext uri="{FF2B5EF4-FFF2-40B4-BE49-F238E27FC236}">
              <a16:creationId xmlns:a16="http://schemas.microsoft.com/office/drawing/2014/main" id="{99A226CC-4C8F-A09E-951C-39D623E3ED17}"/>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3"/>
        </a:graphicData>
      </a:graphic>
    </xdr:graphicFrame>
    <xdr:clientData/>
  </xdr:twoCellAnchor>
  <xdr:twoCellAnchor>
    <xdr:from>
      <xdr:col>25</xdr:col>
      <xdr:colOff>0</xdr:colOff>
      <xdr:row>112</xdr:row>
      <xdr:rowOff>9525</xdr:rowOff>
    </xdr:from>
    <xdr:to>
      <xdr:col>26</xdr:col>
      <xdr:colOff>1524000</xdr:colOff>
      <xdr:row>127</xdr:row>
      <xdr:rowOff>38100</xdr:rowOff>
    </xdr:to>
    <xdr:graphicFrame macro="">
      <xdr:nvGraphicFramePr>
        <xdr:cNvPr id="825162" name="Chart 29">
          <a:extLst>
            <a:ext uri="{FF2B5EF4-FFF2-40B4-BE49-F238E27FC236}">
              <a16:creationId xmlns:a16="http://schemas.microsoft.com/office/drawing/2014/main" id="{0066CE09-7835-783C-4D15-32AFCC28B4DB}"/>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4"/>
        </a:graphicData>
      </a:graphic>
    </xdr:graphicFrame>
    <xdr:clientData/>
  </xdr:twoCellAnchor>
  <xdr:twoCellAnchor>
    <xdr:from>
      <xdr:col>27</xdr:col>
      <xdr:colOff>0</xdr:colOff>
      <xdr:row>112</xdr:row>
      <xdr:rowOff>19050</xdr:rowOff>
    </xdr:from>
    <xdr:to>
      <xdr:col>29</xdr:col>
      <xdr:colOff>933450</xdr:colOff>
      <xdr:row>127</xdr:row>
      <xdr:rowOff>47625</xdr:rowOff>
    </xdr:to>
    <xdr:graphicFrame macro="">
      <xdr:nvGraphicFramePr>
        <xdr:cNvPr id="825163" name="Chart 30">
          <a:extLst>
            <a:ext uri="{FF2B5EF4-FFF2-40B4-BE49-F238E27FC236}">
              <a16:creationId xmlns:a16="http://schemas.microsoft.com/office/drawing/2014/main" id="{03344301-37D8-ACF6-5472-C4AA90DBFD63}"/>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5"/>
        </a:graphicData>
      </a:graphic>
    </xdr:graphicFrame>
    <xdr:clientData/>
  </xdr:twoCellAnchor>
  <xdr:twoCellAnchor>
    <xdr:from>
      <xdr:col>29</xdr:col>
      <xdr:colOff>1104900</xdr:colOff>
      <xdr:row>112</xdr:row>
      <xdr:rowOff>0</xdr:rowOff>
    </xdr:from>
    <xdr:to>
      <xdr:col>32</xdr:col>
      <xdr:colOff>514350</xdr:colOff>
      <xdr:row>127</xdr:row>
      <xdr:rowOff>28575</xdr:rowOff>
    </xdr:to>
    <xdr:graphicFrame macro="">
      <xdr:nvGraphicFramePr>
        <xdr:cNvPr id="825164" name="Chart 31">
          <a:extLst>
            <a:ext uri="{FF2B5EF4-FFF2-40B4-BE49-F238E27FC236}">
              <a16:creationId xmlns:a16="http://schemas.microsoft.com/office/drawing/2014/main" id="{C5734EC1-21D4-FB15-BD4F-8422AEBCCA0D}"/>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6"/>
        </a:graphicData>
      </a:graphic>
    </xdr:graphicFrame>
    <xdr:clientData/>
  </xdr:twoCellAnchor>
</xdr:wsDr>
</file>

<file path=xl/drawings/drawing10.xml><?xml version="1.0" encoding="utf-8"?>
<xdr:wsDr xmlns:xdr="http://schemas.openxmlformats.org/drawingml/2006/spreadsheetDrawing" xmlns:a="http://schemas.openxmlformats.org/drawingml/2006/main">
  <xdr:twoCellAnchor editAs="oneCell">
    <xdr:from>
      <xdr:col>1</xdr:col>
      <xdr:colOff>9525</xdr:colOff>
      <xdr:row>0</xdr:row>
      <xdr:rowOff>19050</xdr:rowOff>
    </xdr:from>
    <xdr:to>
      <xdr:col>3</xdr:col>
      <xdr:colOff>1200150</xdr:colOff>
      <xdr:row>3</xdr:row>
      <xdr:rowOff>171450</xdr:rowOff>
    </xdr:to>
    <xdr:pic>
      <xdr:nvPicPr>
        <xdr:cNvPr id="742889" name="Picture 3">
          <a:extLst>
            <a:ext uri="{FF2B5EF4-FFF2-40B4-BE49-F238E27FC236}">
              <a16:creationId xmlns:a16="http://schemas.microsoft.com/office/drawing/2014/main" id="{60D96B29-12C9-4994-5117-7AE3481BC44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23825" y="19050"/>
          <a:ext cx="1495425" cy="723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1280160</xdr:colOff>
      <xdr:row>0</xdr:row>
      <xdr:rowOff>76200</xdr:rowOff>
    </xdr:from>
    <xdr:to>
      <xdr:col>3</xdr:col>
      <xdr:colOff>1274445</xdr:colOff>
      <xdr:row>3</xdr:row>
      <xdr:rowOff>83820</xdr:rowOff>
    </xdr:to>
    <xdr:sp macro="" textlink="">
      <xdr:nvSpPr>
        <xdr:cNvPr id="328742" name="Rectangle 8">
          <a:hlinkClick xmlns:r="http://schemas.openxmlformats.org/officeDocument/2006/relationships" r:id="rId2" tooltip=" "/>
          <a:extLst>
            <a:ext uri="{FF2B5EF4-FFF2-40B4-BE49-F238E27FC236}">
              <a16:creationId xmlns:a16="http://schemas.microsoft.com/office/drawing/2014/main" id="{DDB890D9-DF17-885D-6310-4BA7F2BA8B00}"/>
            </a:ext>
          </a:extLst>
        </xdr:cNvPr>
        <xdr:cNvSpPr>
          <a:spLocks noChangeArrowheads="1"/>
        </xdr:cNvSpPr>
      </xdr:nvSpPr>
      <xdr:spPr bwMode="auto">
        <a:xfrm>
          <a:off x="1752600" y="76200"/>
          <a:ext cx="0" cy="556260"/>
        </a:xfrm>
        <a:prstGeom prst="rect">
          <a:avLst/>
        </a:prstGeom>
        <a:solidFill>
          <a:srgbClr val="EDEDED"/>
        </a:solidFill>
        <a:ln w="19050" algn="ctr">
          <a:solidFill>
            <a:srgbClr val="A5A5A5"/>
          </a:solidFill>
          <a:miter lim="800000"/>
          <a:headEnd/>
          <a:tailEnd/>
        </a:ln>
      </xdr:spPr>
      <xdr:txBody>
        <a:bodyPr vertOverflow="clip" wrap="square" lIns="36576" tIns="32004" rIns="36576" bIns="32004" anchor="ctr" upright="1"/>
        <a:lstStyle/>
        <a:p>
          <a:pPr algn="ctr" rtl="0">
            <a:defRPr sz="1000"/>
          </a:pPr>
          <a:r>
            <a:rPr lang="en-ZA" sz="1100" b="1" i="0" u="none" strike="noStrike" baseline="0">
              <a:solidFill>
                <a:srgbClr val="000000"/>
              </a:solidFill>
              <a:latin typeface="Calibri"/>
              <a:ea typeface="Calibri"/>
              <a:cs typeface="Calibri"/>
            </a:rPr>
            <a:t>Scroll to top</a:t>
          </a:r>
        </a:p>
      </xdr:txBody>
    </xdr:sp>
    <xdr:clientData/>
  </xdr:twoCellAnchor>
  <mc:AlternateContent xmlns:mc="http://schemas.openxmlformats.org/markup-compatibility/2006">
    <mc:Choice xmlns:a14="http://schemas.microsoft.com/office/drawing/2010/main" Requires="a14">
      <xdr:twoCellAnchor editAs="oneCell">
        <xdr:from>
          <xdr:col>4</xdr:col>
          <xdr:colOff>0</xdr:colOff>
          <xdr:row>2</xdr:row>
          <xdr:rowOff>38100</xdr:rowOff>
        </xdr:from>
        <xdr:to>
          <xdr:col>5</xdr:col>
          <xdr:colOff>723900</xdr:colOff>
          <xdr:row>3</xdr:row>
          <xdr:rowOff>83820</xdr:rowOff>
        </xdr:to>
        <xdr:sp macro="" textlink="">
          <xdr:nvSpPr>
            <xdr:cNvPr id="6145" name="cbSur" hidden="1">
              <a:extLst>
                <a:ext uri="{63B3BB69-23CF-44E3-9099-C40C66FF867C}">
                  <a14:compatExt spid="_x0000_s6145"/>
                </a:ext>
                <a:ext uri="{FF2B5EF4-FFF2-40B4-BE49-F238E27FC236}">
                  <a16:creationId xmlns:a16="http://schemas.microsoft.com/office/drawing/2014/main" id="{00000000-0008-0000-0F00-0000011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twoCellAnchor editAs="oneCell">
    <xdr:from>
      <xdr:col>12</xdr:col>
      <xdr:colOff>9525</xdr:colOff>
      <xdr:row>0</xdr:row>
      <xdr:rowOff>19050</xdr:rowOff>
    </xdr:from>
    <xdr:to>
      <xdr:col>15</xdr:col>
      <xdr:colOff>847725</xdr:colOff>
      <xdr:row>3</xdr:row>
      <xdr:rowOff>171450</xdr:rowOff>
    </xdr:to>
    <xdr:pic>
      <xdr:nvPicPr>
        <xdr:cNvPr id="742891" name="Picture 3">
          <a:extLst>
            <a:ext uri="{FF2B5EF4-FFF2-40B4-BE49-F238E27FC236}">
              <a16:creationId xmlns:a16="http://schemas.microsoft.com/office/drawing/2014/main" id="{4B6FE893-9527-7653-703A-21F5F8809BD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782175" y="19050"/>
          <a:ext cx="1514475" cy="723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15</xdr:col>
      <xdr:colOff>3811</xdr:colOff>
      <xdr:row>0</xdr:row>
      <xdr:rowOff>72390</xdr:rowOff>
    </xdr:from>
    <xdr:to>
      <xdr:col>15</xdr:col>
      <xdr:colOff>3811</xdr:colOff>
      <xdr:row>3</xdr:row>
      <xdr:rowOff>80587</xdr:rowOff>
    </xdr:to>
    <xdr:sp macro="" textlink="">
      <xdr:nvSpPr>
        <xdr:cNvPr id="3" name="Rectangle 2">
          <a:hlinkClick xmlns:r="http://schemas.openxmlformats.org/officeDocument/2006/relationships" r:id="rId2" tooltip=" "/>
          <a:extLst>
            <a:ext uri="{FF2B5EF4-FFF2-40B4-BE49-F238E27FC236}">
              <a16:creationId xmlns:a16="http://schemas.microsoft.com/office/drawing/2014/main" id="{36531146-04A5-B698-4C8F-348718FD09CE}"/>
            </a:ext>
          </a:extLst>
        </xdr:cNvPr>
        <xdr:cNvSpPr/>
      </xdr:nvSpPr>
      <xdr:spPr>
        <a:xfrm>
          <a:off x="2061211" y="62865"/>
          <a:ext cx="1203898" cy="573814"/>
        </a:xfrm>
        <a:prstGeom prst="rect">
          <a:avLst/>
        </a:prstGeom>
        <a:solidFill>
          <a:srgbClr val="A5A5A5">
            <a:lumMod val="20000"/>
            <a:lumOff val="80000"/>
          </a:srgbClr>
        </a:solidFill>
        <a:ln w="19050" cap="flat" cmpd="sng" algn="ctr">
          <a:solidFill>
            <a:srgbClr val="A5A5A5"/>
          </a:solidFill>
          <a:prstDash val="solid"/>
          <a:miter lim="800000"/>
        </a:ln>
        <a:effectLst/>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n-ZA" sz="1100" b="1" i="0" u="none" strike="noStrike" kern="0" cap="none" spc="0" normalizeH="0" baseline="0" noProof="0">
              <a:ln>
                <a:noFill/>
              </a:ln>
              <a:solidFill>
                <a:sysClr val="windowText" lastClr="000000"/>
              </a:solidFill>
              <a:effectLst/>
              <a:uLnTx/>
              <a:uFillTx/>
              <a:latin typeface="Calibri" panose="020F0502020204030204"/>
              <a:ea typeface="+mn-ea"/>
              <a:cs typeface="+mn-cs"/>
            </a:rPr>
            <a:t>Scroll to top</a:t>
          </a:r>
        </a:p>
      </xdr:txBody>
    </xdr:sp>
    <xdr:clientData/>
  </xdr:twoCellAnchor>
  <xdr:twoCellAnchor editAs="oneCell">
    <xdr:from>
      <xdr:col>23</xdr:col>
      <xdr:colOff>9525</xdr:colOff>
      <xdr:row>0</xdr:row>
      <xdr:rowOff>19050</xdr:rowOff>
    </xdr:from>
    <xdr:to>
      <xdr:col>25</xdr:col>
      <xdr:colOff>857250</xdr:colOff>
      <xdr:row>3</xdr:row>
      <xdr:rowOff>171450</xdr:rowOff>
    </xdr:to>
    <xdr:pic>
      <xdr:nvPicPr>
        <xdr:cNvPr id="742893" name="Picture 3">
          <a:extLst>
            <a:ext uri="{FF2B5EF4-FFF2-40B4-BE49-F238E27FC236}">
              <a16:creationId xmlns:a16="http://schemas.microsoft.com/office/drawing/2014/main" id="{1319C2DD-D83B-3C74-B639-E61D7320901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7373600" y="19050"/>
          <a:ext cx="1514475" cy="723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25</xdr:col>
      <xdr:colOff>1261111</xdr:colOff>
      <xdr:row>0</xdr:row>
      <xdr:rowOff>72390</xdr:rowOff>
    </xdr:from>
    <xdr:to>
      <xdr:col>25</xdr:col>
      <xdr:colOff>1337109</xdr:colOff>
      <xdr:row>3</xdr:row>
      <xdr:rowOff>80587</xdr:rowOff>
    </xdr:to>
    <xdr:sp macro="" textlink="">
      <xdr:nvSpPr>
        <xdr:cNvPr id="5" name="Rectangle 4">
          <a:hlinkClick xmlns:r="http://schemas.openxmlformats.org/officeDocument/2006/relationships" r:id="rId2" tooltip=" "/>
          <a:extLst>
            <a:ext uri="{FF2B5EF4-FFF2-40B4-BE49-F238E27FC236}">
              <a16:creationId xmlns:a16="http://schemas.microsoft.com/office/drawing/2014/main" id="{6AB1F23F-F9B0-FD51-457E-D036A1AD9B2A}"/>
            </a:ext>
          </a:extLst>
        </xdr:cNvPr>
        <xdr:cNvSpPr/>
      </xdr:nvSpPr>
      <xdr:spPr>
        <a:xfrm>
          <a:off x="2061211" y="62865"/>
          <a:ext cx="1203898" cy="573814"/>
        </a:xfrm>
        <a:prstGeom prst="rect">
          <a:avLst/>
        </a:prstGeom>
        <a:solidFill>
          <a:srgbClr val="A5A5A5">
            <a:lumMod val="20000"/>
            <a:lumOff val="80000"/>
          </a:srgbClr>
        </a:solidFill>
        <a:ln w="19050" cap="flat" cmpd="sng" algn="ctr">
          <a:solidFill>
            <a:srgbClr val="A5A5A5"/>
          </a:solidFill>
          <a:prstDash val="solid"/>
          <a:miter lim="800000"/>
        </a:ln>
        <a:effectLst/>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n-ZA" sz="1100" b="1" i="0" u="none" strike="noStrike" kern="0" cap="none" spc="0" normalizeH="0" baseline="0" noProof="0">
              <a:ln>
                <a:noFill/>
              </a:ln>
              <a:solidFill>
                <a:sysClr val="windowText" lastClr="000000"/>
              </a:solidFill>
              <a:effectLst/>
              <a:uLnTx/>
              <a:uFillTx/>
              <a:latin typeface="Calibri" panose="020F0502020204030204"/>
              <a:ea typeface="+mn-ea"/>
              <a:cs typeface="+mn-cs"/>
            </a:rPr>
            <a:t>Scroll to top</a:t>
          </a:r>
        </a:p>
      </xdr:txBody>
    </xdr:sp>
    <xdr:clientData/>
  </xdr:twoCellAnchor>
</xdr:wsDr>
</file>

<file path=xl/drawings/drawing11.xml><?xml version="1.0" encoding="utf-8"?>
<xdr:wsDr xmlns:xdr="http://schemas.openxmlformats.org/drawingml/2006/spreadsheetDrawing" xmlns:a="http://schemas.openxmlformats.org/drawingml/2006/main">
  <xdr:twoCellAnchor editAs="oneCell">
    <xdr:from>
      <xdr:col>0</xdr:col>
      <xdr:colOff>257175</xdr:colOff>
      <xdr:row>0</xdr:row>
      <xdr:rowOff>38100</xdr:rowOff>
    </xdr:from>
    <xdr:to>
      <xdr:col>3</xdr:col>
      <xdr:colOff>819150</xdr:colOff>
      <xdr:row>3</xdr:row>
      <xdr:rowOff>95250</xdr:rowOff>
    </xdr:to>
    <xdr:pic>
      <xdr:nvPicPr>
        <xdr:cNvPr id="473593" name="Picture 3">
          <a:extLst>
            <a:ext uri="{FF2B5EF4-FFF2-40B4-BE49-F238E27FC236}">
              <a16:creationId xmlns:a16="http://schemas.microsoft.com/office/drawing/2014/main" id="{846B39C7-AEAE-A25D-37EA-8F431D4E1B7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57175" y="38100"/>
          <a:ext cx="1333500" cy="628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1110615</xdr:colOff>
      <xdr:row>0</xdr:row>
      <xdr:rowOff>87630</xdr:rowOff>
    </xdr:from>
    <xdr:to>
      <xdr:col>3</xdr:col>
      <xdr:colOff>2257538</xdr:colOff>
      <xdr:row>3</xdr:row>
      <xdr:rowOff>122520</xdr:rowOff>
    </xdr:to>
    <xdr:sp macro="" textlink="">
      <xdr:nvSpPr>
        <xdr:cNvPr id="3" name="Rectangle 2">
          <a:hlinkClick xmlns:r="http://schemas.openxmlformats.org/officeDocument/2006/relationships" r:id="rId2" tooltip=" "/>
          <a:extLst>
            <a:ext uri="{FF2B5EF4-FFF2-40B4-BE49-F238E27FC236}">
              <a16:creationId xmlns:a16="http://schemas.microsoft.com/office/drawing/2014/main" id="{DAE943F6-4376-7639-F16E-1BD1D5DEF7C5}"/>
            </a:ext>
          </a:extLst>
        </xdr:cNvPr>
        <xdr:cNvSpPr/>
      </xdr:nvSpPr>
      <xdr:spPr>
        <a:xfrm>
          <a:off x="1922145" y="95250"/>
          <a:ext cx="1135380" cy="561975"/>
        </a:xfrm>
        <a:prstGeom prst="rect">
          <a:avLst/>
        </a:prstGeom>
        <a:solidFill>
          <a:schemeClr val="accent3">
            <a:lumMod val="20000"/>
            <a:lumOff val="80000"/>
          </a:schemeClr>
        </a:solidFill>
        <a:ln w="19050">
          <a:solidFill>
            <a:schemeClr val="accent3"/>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ZA" sz="1100" b="1">
              <a:solidFill>
                <a:sysClr val="windowText" lastClr="000000"/>
              </a:solidFill>
            </a:rPr>
            <a:t>Scroll</a:t>
          </a:r>
          <a:r>
            <a:rPr lang="en-ZA" sz="1100" b="1" baseline="0">
              <a:solidFill>
                <a:sysClr val="windowText" lastClr="000000"/>
              </a:solidFill>
            </a:rPr>
            <a:t> to top</a:t>
          </a:r>
          <a:endParaRPr lang="en-ZA" sz="1100" b="1">
            <a:solidFill>
              <a:sysClr val="windowText" lastClr="000000"/>
            </a:solidFill>
          </a:endParaRPr>
        </a:p>
      </xdr:txBody>
    </xdr:sp>
    <xdr:clientData/>
  </xdr:twoCellAnchor>
  <mc:AlternateContent xmlns:mc="http://schemas.openxmlformats.org/markup-compatibility/2006">
    <mc:Choice xmlns:a14="http://schemas.microsoft.com/office/drawing/2010/main" Requires="a14">
      <xdr:twoCellAnchor editAs="oneCell">
        <xdr:from>
          <xdr:col>4</xdr:col>
          <xdr:colOff>289560</xdr:colOff>
          <xdr:row>2</xdr:row>
          <xdr:rowOff>30480</xdr:rowOff>
        </xdr:from>
        <xdr:to>
          <xdr:col>5</xdr:col>
          <xdr:colOff>807720</xdr:colOff>
          <xdr:row>3</xdr:row>
          <xdr:rowOff>76200</xdr:rowOff>
        </xdr:to>
        <xdr:sp macro="" textlink="">
          <xdr:nvSpPr>
            <xdr:cNvPr id="8193" name="cb1Cus" hidden="1">
              <a:extLst>
                <a:ext uri="{63B3BB69-23CF-44E3-9099-C40C66FF867C}">
                  <a14:compatExt spid="_x0000_s8193"/>
                </a:ext>
                <a:ext uri="{FF2B5EF4-FFF2-40B4-BE49-F238E27FC236}">
                  <a16:creationId xmlns:a16="http://schemas.microsoft.com/office/drawing/2014/main" id="{00000000-0008-0000-1000-0000012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drawings/drawing12.xml><?xml version="1.0" encoding="utf-8"?>
<xdr:wsDr xmlns:xdr="http://schemas.openxmlformats.org/drawingml/2006/spreadsheetDrawing" xmlns:a="http://schemas.openxmlformats.org/drawingml/2006/main">
  <xdr:twoCellAnchor editAs="oneCell">
    <xdr:from>
      <xdr:col>1</xdr:col>
      <xdr:colOff>19050</xdr:colOff>
      <xdr:row>0</xdr:row>
      <xdr:rowOff>0</xdr:rowOff>
    </xdr:from>
    <xdr:to>
      <xdr:col>3</xdr:col>
      <xdr:colOff>971550</xdr:colOff>
      <xdr:row>3</xdr:row>
      <xdr:rowOff>171450</xdr:rowOff>
    </xdr:to>
    <xdr:pic>
      <xdr:nvPicPr>
        <xdr:cNvPr id="474617" name="Picture 5">
          <a:extLst>
            <a:ext uri="{FF2B5EF4-FFF2-40B4-BE49-F238E27FC236}">
              <a16:creationId xmlns:a16="http://schemas.microsoft.com/office/drawing/2014/main" id="{95AC836B-6459-33FB-F7D1-6270B605113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66700" y="0"/>
          <a:ext cx="1447800" cy="742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1188719</xdr:colOff>
      <xdr:row>0</xdr:row>
      <xdr:rowOff>87630</xdr:rowOff>
    </xdr:from>
    <xdr:to>
      <xdr:col>3</xdr:col>
      <xdr:colOff>2527336</xdr:colOff>
      <xdr:row>3</xdr:row>
      <xdr:rowOff>122571</xdr:rowOff>
    </xdr:to>
    <xdr:sp macro="" textlink="">
      <xdr:nvSpPr>
        <xdr:cNvPr id="5" name="Rectangle 4">
          <a:hlinkClick xmlns:r="http://schemas.openxmlformats.org/officeDocument/2006/relationships" r:id="rId2" tooltip=" "/>
          <a:extLst>
            <a:ext uri="{FF2B5EF4-FFF2-40B4-BE49-F238E27FC236}">
              <a16:creationId xmlns:a16="http://schemas.microsoft.com/office/drawing/2014/main" id="{8D8D1E8A-F7A6-D2BA-5365-0A512366E27A}"/>
            </a:ext>
          </a:extLst>
        </xdr:cNvPr>
        <xdr:cNvSpPr/>
      </xdr:nvSpPr>
      <xdr:spPr>
        <a:xfrm>
          <a:off x="1975484" y="87630"/>
          <a:ext cx="1322070" cy="569595"/>
        </a:xfrm>
        <a:prstGeom prst="rect">
          <a:avLst/>
        </a:prstGeom>
        <a:solidFill>
          <a:schemeClr val="accent3">
            <a:lumMod val="20000"/>
            <a:lumOff val="80000"/>
          </a:schemeClr>
        </a:solidFill>
        <a:ln w="19050">
          <a:solidFill>
            <a:schemeClr val="accent3"/>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ZA" sz="1100" b="1">
              <a:solidFill>
                <a:sysClr val="windowText" lastClr="000000"/>
              </a:solidFill>
            </a:rPr>
            <a:t>Scroll</a:t>
          </a:r>
          <a:r>
            <a:rPr lang="en-ZA" sz="1100" b="1" baseline="0">
              <a:solidFill>
                <a:sysClr val="windowText" lastClr="000000"/>
              </a:solidFill>
            </a:rPr>
            <a:t> to top</a:t>
          </a:r>
          <a:endParaRPr lang="en-ZA" sz="1100" b="1">
            <a:solidFill>
              <a:sysClr val="windowText" lastClr="000000"/>
            </a:solidFill>
          </a:endParaRPr>
        </a:p>
      </xdr:txBody>
    </xdr:sp>
    <xdr:clientData/>
  </xdr:twoCellAnchor>
  <mc:AlternateContent xmlns:mc="http://schemas.openxmlformats.org/markup-compatibility/2006">
    <mc:Choice xmlns:a14="http://schemas.microsoft.com/office/drawing/2010/main" Requires="a14">
      <xdr:twoCellAnchor editAs="oneCell">
        <xdr:from>
          <xdr:col>3</xdr:col>
          <xdr:colOff>2682240</xdr:colOff>
          <xdr:row>2</xdr:row>
          <xdr:rowOff>53340</xdr:rowOff>
        </xdr:from>
        <xdr:to>
          <xdr:col>5</xdr:col>
          <xdr:colOff>243840</xdr:colOff>
          <xdr:row>3</xdr:row>
          <xdr:rowOff>76200</xdr:rowOff>
        </xdr:to>
        <xdr:sp macro="" textlink="">
          <xdr:nvSpPr>
            <xdr:cNvPr id="9217" name="cb1W" hidden="1">
              <a:extLst>
                <a:ext uri="{63B3BB69-23CF-44E3-9099-C40C66FF867C}">
                  <a14:compatExt spid="_x0000_s9217"/>
                </a:ext>
                <a:ext uri="{FF2B5EF4-FFF2-40B4-BE49-F238E27FC236}">
                  <a16:creationId xmlns:a16="http://schemas.microsoft.com/office/drawing/2014/main" id="{00000000-0008-0000-1100-0000012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drawings/drawing13.xml><?xml version="1.0" encoding="utf-8"?>
<xdr:wsDr xmlns:xdr="http://schemas.openxmlformats.org/drawingml/2006/spreadsheetDrawing" xmlns:a="http://schemas.openxmlformats.org/drawingml/2006/main">
  <xdr:twoCellAnchor editAs="oneCell">
    <xdr:from>
      <xdr:col>1</xdr:col>
      <xdr:colOff>19050</xdr:colOff>
      <xdr:row>0</xdr:row>
      <xdr:rowOff>38100</xdr:rowOff>
    </xdr:from>
    <xdr:to>
      <xdr:col>3</xdr:col>
      <xdr:colOff>914400</xdr:colOff>
      <xdr:row>3</xdr:row>
      <xdr:rowOff>133350</xdr:rowOff>
    </xdr:to>
    <xdr:pic>
      <xdr:nvPicPr>
        <xdr:cNvPr id="475641" name="Picture 3">
          <a:extLst>
            <a:ext uri="{FF2B5EF4-FFF2-40B4-BE49-F238E27FC236}">
              <a16:creationId xmlns:a16="http://schemas.microsoft.com/office/drawing/2014/main" id="{EF3A986A-1F1D-FC99-2040-D7FB0A39F8B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66700" y="38100"/>
          <a:ext cx="1390650" cy="666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1150620</xdr:colOff>
      <xdr:row>0</xdr:row>
      <xdr:rowOff>47625</xdr:rowOff>
    </xdr:from>
    <xdr:to>
      <xdr:col>3</xdr:col>
      <xdr:colOff>2435402</xdr:colOff>
      <xdr:row>3</xdr:row>
      <xdr:rowOff>112687</xdr:rowOff>
    </xdr:to>
    <xdr:sp macro="" textlink="">
      <xdr:nvSpPr>
        <xdr:cNvPr id="5" name="Rectangle 4">
          <a:hlinkClick xmlns:r="http://schemas.openxmlformats.org/officeDocument/2006/relationships" r:id="rId2" tooltip=" "/>
          <a:extLst>
            <a:ext uri="{FF2B5EF4-FFF2-40B4-BE49-F238E27FC236}">
              <a16:creationId xmlns:a16="http://schemas.microsoft.com/office/drawing/2014/main" id="{7670F0D9-EACD-B318-1BEA-9F477C7DEF7E}"/>
            </a:ext>
          </a:extLst>
        </xdr:cNvPr>
        <xdr:cNvSpPr/>
      </xdr:nvSpPr>
      <xdr:spPr>
        <a:xfrm>
          <a:off x="1924050" y="47625"/>
          <a:ext cx="1276350" cy="600075"/>
        </a:xfrm>
        <a:prstGeom prst="rect">
          <a:avLst/>
        </a:prstGeom>
        <a:solidFill>
          <a:schemeClr val="accent3">
            <a:lumMod val="20000"/>
            <a:lumOff val="80000"/>
          </a:schemeClr>
        </a:solidFill>
        <a:ln w="19050">
          <a:solidFill>
            <a:schemeClr val="accent3"/>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ZA" sz="1100" b="1">
              <a:solidFill>
                <a:sysClr val="windowText" lastClr="000000"/>
              </a:solidFill>
            </a:rPr>
            <a:t>Scroll</a:t>
          </a:r>
          <a:r>
            <a:rPr lang="en-ZA" sz="1100" b="1" baseline="0">
              <a:solidFill>
                <a:sysClr val="windowText" lastClr="000000"/>
              </a:solidFill>
            </a:rPr>
            <a:t> to top</a:t>
          </a:r>
          <a:endParaRPr lang="en-ZA" sz="1100" b="1">
            <a:solidFill>
              <a:sysClr val="windowText" lastClr="000000"/>
            </a:solidFill>
          </a:endParaRPr>
        </a:p>
      </xdr:txBody>
    </xdr:sp>
    <xdr:clientData/>
  </xdr:twoCellAnchor>
  <mc:AlternateContent xmlns:mc="http://schemas.openxmlformats.org/markup-compatibility/2006">
    <mc:Choice xmlns:a14="http://schemas.microsoft.com/office/drawing/2010/main" Requires="a14">
      <xdr:twoCellAnchor editAs="oneCell">
        <xdr:from>
          <xdr:col>3</xdr:col>
          <xdr:colOff>2697480</xdr:colOff>
          <xdr:row>2</xdr:row>
          <xdr:rowOff>68580</xdr:rowOff>
        </xdr:from>
        <xdr:to>
          <xdr:col>5</xdr:col>
          <xdr:colOff>312420</xdr:colOff>
          <xdr:row>3</xdr:row>
          <xdr:rowOff>53340</xdr:rowOff>
        </xdr:to>
        <xdr:sp macro="" textlink="">
          <xdr:nvSpPr>
            <xdr:cNvPr id="10241" name="cb1S" hidden="1">
              <a:extLst>
                <a:ext uri="{63B3BB69-23CF-44E3-9099-C40C66FF867C}">
                  <a14:compatExt spid="_x0000_s10241"/>
                </a:ext>
                <a:ext uri="{FF2B5EF4-FFF2-40B4-BE49-F238E27FC236}">
                  <a16:creationId xmlns:a16="http://schemas.microsoft.com/office/drawing/2014/main" id="{00000000-0008-0000-1200-0000012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drawings/drawing14.xml><?xml version="1.0" encoding="utf-8"?>
<xdr:wsDr xmlns:xdr="http://schemas.openxmlformats.org/drawingml/2006/spreadsheetDrawing" xmlns:a="http://schemas.openxmlformats.org/drawingml/2006/main">
  <xdr:twoCellAnchor editAs="oneCell">
    <xdr:from>
      <xdr:col>1</xdr:col>
      <xdr:colOff>19050</xdr:colOff>
      <xdr:row>0</xdr:row>
      <xdr:rowOff>38100</xdr:rowOff>
    </xdr:from>
    <xdr:to>
      <xdr:col>3</xdr:col>
      <xdr:colOff>927100</xdr:colOff>
      <xdr:row>3</xdr:row>
      <xdr:rowOff>133350</xdr:rowOff>
    </xdr:to>
    <xdr:pic>
      <xdr:nvPicPr>
        <xdr:cNvPr id="2" name="Picture 3">
          <a:extLst>
            <a:ext uri="{FF2B5EF4-FFF2-40B4-BE49-F238E27FC236}">
              <a16:creationId xmlns:a16="http://schemas.microsoft.com/office/drawing/2014/main" id="{9F90C939-FB33-4CFD-87C1-AC7725461A5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9400" y="38100"/>
          <a:ext cx="1416050" cy="647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1150620</xdr:colOff>
      <xdr:row>0</xdr:row>
      <xdr:rowOff>47625</xdr:rowOff>
    </xdr:from>
    <xdr:to>
      <xdr:col>3</xdr:col>
      <xdr:colOff>2435402</xdr:colOff>
      <xdr:row>3</xdr:row>
      <xdr:rowOff>112687</xdr:rowOff>
    </xdr:to>
    <xdr:sp macro="" textlink="">
      <xdr:nvSpPr>
        <xdr:cNvPr id="3" name="Rectangle 2">
          <a:hlinkClick xmlns:r="http://schemas.openxmlformats.org/officeDocument/2006/relationships" r:id="rId2" tooltip=" "/>
          <a:extLst>
            <a:ext uri="{FF2B5EF4-FFF2-40B4-BE49-F238E27FC236}">
              <a16:creationId xmlns:a16="http://schemas.microsoft.com/office/drawing/2014/main" id="{0960A312-CC62-4C2D-BB90-A3B921597670}"/>
            </a:ext>
          </a:extLst>
        </xdr:cNvPr>
        <xdr:cNvSpPr/>
      </xdr:nvSpPr>
      <xdr:spPr>
        <a:xfrm>
          <a:off x="1931670" y="47625"/>
          <a:ext cx="1284782" cy="617512"/>
        </a:xfrm>
        <a:prstGeom prst="rect">
          <a:avLst/>
        </a:prstGeom>
        <a:solidFill>
          <a:schemeClr val="accent3">
            <a:lumMod val="20000"/>
            <a:lumOff val="80000"/>
          </a:schemeClr>
        </a:solidFill>
        <a:ln w="19050">
          <a:solidFill>
            <a:schemeClr val="accent3"/>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ZA" sz="1100" b="1">
              <a:solidFill>
                <a:sysClr val="windowText" lastClr="000000"/>
              </a:solidFill>
            </a:rPr>
            <a:t>Scroll</a:t>
          </a:r>
          <a:r>
            <a:rPr lang="en-ZA" sz="1100" b="1" baseline="0">
              <a:solidFill>
                <a:sysClr val="windowText" lastClr="000000"/>
              </a:solidFill>
            </a:rPr>
            <a:t> to top</a:t>
          </a:r>
          <a:endParaRPr lang="en-ZA" sz="1100" b="1">
            <a:solidFill>
              <a:sysClr val="windowText" lastClr="000000"/>
            </a:solidFill>
          </a:endParaRPr>
        </a:p>
      </xdr:txBody>
    </xdr:sp>
    <xdr:clientData/>
  </xdr:twoCellAnchor>
</xdr:wsDr>
</file>

<file path=xl/drawings/drawing15.xml><?xml version="1.0" encoding="utf-8"?>
<xdr:wsDr xmlns:xdr="http://schemas.openxmlformats.org/drawingml/2006/spreadsheetDrawing" xmlns:a="http://schemas.openxmlformats.org/drawingml/2006/main">
  <xdr:twoCellAnchor editAs="oneCell">
    <xdr:from>
      <xdr:col>1</xdr:col>
      <xdr:colOff>19050</xdr:colOff>
      <xdr:row>0</xdr:row>
      <xdr:rowOff>38100</xdr:rowOff>
    </xdr:from>
    <xdr:to>
      <xdr:col>3</xdr:col>
      <xdr:colOff>927100</xdr:colOff>
      <xdr:row>3</xdr:row>
      <xdr:rowOff>133350</xdr:rowOff>
    </xdr:to>
    <xdr:pic>
      <xdr:nvPicPr>
        <xdr:cNvPr id="2" name="Picture 3">
          <a:extLst>
            <a:ext uri="{FF2B5EF4-FFF2-40B4-BE49-F238E27FC236}">
              <a16:creationId xmlns:a16="http://schemas.microsoft.com/office/drawing/2014/main" id="{7AD5EAD9-F129-4BB0-931C-CCE04EB92A6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9400" y="38100"/>
          <a:ext cx="1416050" cy="647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1150620</xdr:colOff>
      <xdr:row>0</xdr:row>
      <xdr:rowOff>47625</xdr:rowOff>
    </xdr:from>
    <xdr:to>
      <xdr:col>3</xdr:col>
      <xdr:colOff>2435402</xdr:colOff>
      <xdr:row>3</xdr:row>
      <xdr:rowOff>112687</xdr:rowOff>
    </xdr:to>
    <xdr:sp macro="" textlink="">
      <xdr:nvSpPr>
        <xdr:cNvPr id="3" name="Rectangle 2">
          <a:hlinkClick xmlns:r="http://schemas.openxmlformats.org/officeDocument/2006/relationships" r:id="rId2" tooltip=" "/>
          <a:extLst>
            <a:ext uri="{FF2B5EF4-FFF2-40B4-BE49-F238E27FC236}">
              <a16:creationId xmlns:a16="http://schemas.microsoft.com/office/drawing/2014/main" id="{F867B9A3-2E9A-4576-9E64-8894E0D254A4}"/>
            </a:ext>
          </a:extLst>
        </xdr:cNvPr>
        <xdr:cNvSpPr/>
      </xdr:nvSpPr>
      <xdr:spPr>
        <a:xfrm>
          <a:off x="1931670" y="47625"/>
          <a:ext cx="1284782" cy="617512"/>
        </a:xfrm>
        <a:prstGeom prst="rect">
          <a:avLst/>
        </a:prstGeom>
        <a:solidFill>
          <a:schemeClr val="accent3">
            <a:lumMod val="20000"/>
            <a:lumOff val="80000"/>
          </a:schemeClr>
        </a:solidFill>
        <a:ln w="19050">
          <a:solidFill>
            <a:schemeClr val="accent3"/>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ZA" sz="1100" b="1">
              <a:solidFill>
                <a:sysClr val="windowText" lastClr="000000"/>
              </a:solidFill>
            </a:rPr>
            <a:t>Scroll</a:t>
          </a:r>
          <a:r>
            <a:rPr lang="en-ZA" sz="1100" b="1" baseline="0">
              <a:solidFill>
                <a:sysClr val="windowText" lastClr="000000"/>
              </a:solidFill>
            </a:rPr>
            <a:t> to top</a:t>
          </a:r>
          <a:endParaRPr lang="en-ZA" sz="1100" b="1">
            <a:solidFill>
              <a:sysClr val="windowText" lastClr="000000"/>
            </a:solidFill>
          </a:endParaRPr>
        </a:p>
      </xdr:txBody>
    </xdr:sp>
    <xdr:clientData/>
  </xdr:twoCellAnchor>
</xdr:wsDr>
</file>

<file path=xl/drawings/drawing16.xml><?xml version="1.0" encoding="utf-8"?>
<xdr:wsDr xmlns:xdr="http://schemas.openxmlformats.org/drawingml/2006/spreadsheetDrawing" xmlns:a="http://schemas.openxmlformats.org/drawingml/2006/main">
  <xdr:twoCellAnchor editAs="oneCell">
    <xdr:from>
      <xdr:col>1</xdr:col>
      <xdr:colOff>19050</xdr:colOff>
      <xdr:row>0</xdr:row>
      <xdr:rowOff>38100</xdr:rowOff>
    </xdr:from>
    <xdr:to>
      <xdr:col>3</xdr:col>
      <xdr:colOff>939800</xdr:colOff>
      <xdr:row>3</xdr:row>
      <xdr:rowOff>133350</xdr:rowOff>
    </xdr:to>
    <xdr:pic>
      <xdr:nvPicPr>
        <xdr:cNvPr id="2" name="Picture 3">
          <a:extLst>
            <a:ext uri="{FF2B5EF4-FFF2-40B4-BE49-F238E27FC236}">
              <a16:creationId xmlns:a16="http://schemas.microsoft.com/office/drawing/2014/main" id="{889ACAEA-DB0E-4B74-BDA3-9E467236E20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9400" y="38100"/>
          <a:ext cx="1428750" cy="647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1150620</xdr:colOff>
      <xdr:row>0</xdr:row>
      <xdr:rowOff>47625</xdr:rowOff>
    </xdr:from>
    <xdr:to>
      <xdr:col>3</xdr:col>
      <xdr:colOff>2435402</xdr:colOff>
      <xdr:row>3</xdr:row>
      <xdr:rowOff>112687</xdr:rowOff>
    </xdr:to>
    <xdr:sp macro="" textlink="">
      <xdr:nvSpPr>
        <xdr:cNvPr id="3" name="Rectangle 2">
          <a:hlinkClick xmlns:r="http://schemas.openxmlformats.org/officeDocument/2006/relationships" r:id="rId2" tooltip=" "/>
          <a:extLst>
            <a:ext uri="{FF2B5EF4-FFF2-40B4-BE49-F238E27FC236}">
              <a16:creationId xmlns:a16="http://schemas.microsoft.com/office/drawing/2014/main" id="{3014294F-F862-419D-84E7-D45BCABFBB66}"/>
            </a:ext>
          </a:extLst>
        </xdr:cNvPr>
        <xdr:cNvSpPr/>
      </xdr:nvSpPr>
      <xdr:spPr>
        <a:xfrm>
          <a:off x="1931670" y="47625"/>
          <a:ext cx="1284782" cy="617512"/>
        </a:xfrm>
        <a:prstGeom prst="rect">
          <a:avLst/>
        </a:prstGeom>
        <a:solidFill>
          <a:schemeClr val="accent3">
            <a:lumMod val="20000"/>
            <a:lumOff val="80000"/>
          </a:schemeClr>
        </a:solidFill>
        <a:ln w="19050">
          <a:solidFill>
            <a:schemeClr val="accent3"/>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ZA" sz="1100" b="1">
              <a:solidFill>
                <a:sysClr val="windowText" lastClr="000000"/>
              </a:solidFill>
            </a:rPr>
            <a:t>Scroll</a:t>
          </a:r>
          <a:r>
            <a:rPr lang="en-ZA" sz="1100" b="1" baseline="0">
              <a:solidFill>
                <a:sysClr val="windowText" lastClr="000000"/>
              </a:solidFill>
            </a:rPr>
            <a:t> to top</a:t>
          </a:r>
          <a:endParaRPr lang="en-ZA" sz="1100" b="1">
            <a:solidFill>
              <a:sysClr val="windowText" lastClr="000000"/>
            </a:solidFill>
          </a:endParaRPr>
        </a:p>
      </xdr:txBody>
    </xdr:sp>
    <xdr:clientData/>
  </xdr:twoCellAnchor>
  <xdr:twoCellAnchor editAs="oneCell">
    <xdr:from>
      <xdr:col>1</xdr:col>
      <xdr:colOff>19050</xdr:colOff>
      <xdr:row>0</xdr:row>
      <xdr:rowOff>38100</xdr:rowOff>
    </xdr:from>
    <xdr:to>
      <xdr:col>3</xdr:col>
      <xdr:colOff>927100</xdr:colOff>
      <xdr:row>3</xdr:row>
      <xdr:rowOff>133350</xdr:rowOff>
    </xdr:to>
    <xdr:pic>
      <xdr:nvPicPr>
        <xdr:cNvPr id="4" name="Picture 3">
          <a:extLst>
            <a:ext uri="{FF2B5EF4-FFF2-40B4-BE49-F238E27FC236}">
              <a16:creationId xmlns:a16="http://schemas.microsoft.com/office/drawing/2014/main" id="{EE559788-0ACA-47E4-B9E1-E2CA9E83271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9400" y="38100"/>
          <a:ext cx="1428750" cy="647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1150620</xdr:colOff>
      <xdr:row>0</xdr:row>
      <xdr:rowOff>47625</xdr:rowOff>
    </xdr:from>
    <xdr:to>
      <xdr:col>3</xdr:col>
      <xdr:colOff>2435402</xdr:colOff>
      <xdr:row>3</xdr:row>
      <xdr:rowOff>112687</xdr:rowOff>
    </xdr:to>
    <xdr:sp macro="" textlink="">
      <xdr:nvSpPr>
        <xdr:cNvPr id="5" name="Rectangle 4">
          <a:hlinkClick xmlns:r="http://schemas.openxmlformats.org/officeDocument/2006/relationships" r:id="rId2" tooltip=" "/>
          <a:extLst>
            <a:ext uri="{FF2B5EF4-FFF2-40B4-BE49-F238E27FC236}">
              <a16:creationId xmlns:a16="http://schemas.microsoft.com/office/drawing/2014/main" id="{58BFBFFA-0FC3-418A-9EBD-08D523DDED64}"/>
            </a:ext>
          </a:extLst>
        </xdr:cNvPr>
        <xdr:cNvSpPr/>
      </xdr:nvSpPr>
      <xdr:spPr>
        <a:xfrm>
          <a:off x="1931670" y="47625"/>
          <a:ext cx="1284782" cy="617512"/>
        </a:xfrm>
        <a:prstGeom prst="rect">
          <a:avLst/>
        </a:prstGeom>
        <a:solidFill>
          <a:schemeClr val="accent3">
            <a:lumMod val="20000"/>
            <a:lumOff val="80000"/>
          </a:schemeClr>
        </a:solidFill>
        <a:ln w="19050">
          <a:solidFill>
            <a:schemeClr val="accent3"/>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ZA" sz="1100" b="1">
              <a:solidFill>
                <a:sysClr val="windowText" lastClr="000000"/>
              </a:solidFill>
            </a:rPr>
            <a:t>Scroll</a:t>
          </a:r>
          <a:r>
            <a:rPr lang="en-ZA" sz="1100" b="1" baseline="0">
              <a:solidFill>
                <a:sysClr val="windowText" lastClr="000000"/>
              </a:solidFill>
            </a:rPr>
            <a:t> to top</a:t>
          </a:r>
          <a:endParaRPr lang="en-ZA" sz="1100" b="1">
            <a:solidFill>
              <a:sysClr val="windowText" lastClr="000000"/>
            </a:solidFill>
          </a:endParaRPr>
        </a:p>
      </xdr:txBody>
    </xdr:sp>
    <xdr:clientData/>
  </xdr:twoCellAnchor>
</xdr:wsDr>
</file>

<file path=xl/drawings/drawing17.xml><?xml version="1.0" encoding="utf-8"?>
<xdr:wsDr xmlns:xdr="http://schemas.openxmlformats.org/drawingml/2006/spreadsheetDrawing" xmlns:a="http://schemas.openxmlformats.org/drawingml/2006/main">
  <xdr:twoCellAnchor editAs="oneCell">
    <xdr:from>
      <xdr:col>0</xdr:col>
      <xdr:colOff>257175</xdr:colOff>
      <xdr:row>0</xdr:row>
      <xdr:rowOff>38100</xdr:rowOff>
    </xdr:from>
    <xdr:to>
      <xdr:col>3</xdr:col>
      <xdr:colOff>819150</xdr:colOff>
      <xdr:row>3</xdr:row>
      <xdr:rowOff>152400</xdr:rowOff>
    </xdr:to>
    <xdr:pic>
      <xdr:nvPicPr>
        <xdr:cNvPr id="476665" name="Picture 3">
          <a:extLst>
            <a:ext uri="{FF2B5EF4-FFF2-40B4-BE49-F238E27FC236}">
              <a16:creationId xmlns:a16="http://schemas.microsoft.com/office/drawing/2014/main" id="{596F0FA2-ECB9-2925-7856-D0E47AE4325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47650" y="38100"/>
          <a:ext cx="1314450" cy="676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1024890</xdr:colOff>
      <xdr:row>0</xdr:row>
      <xdr:rowOff>78105</xdr:rowOff>
    </xdr:from>
    <xdr:to>
      <xdr:col>3</xdr:col>
      <xdr:colOff>2221703</xdr:colOff>
      <xdr:row>3</xdr:row>
      <xdr:rowOff>127625</xdr:rowOff>
    </xdr:to>
    <xdr:sp macro="" textlink="">
      <xdr:nvSpPr>
        <xdr:cNvPr id="5" name="Rectangle 4">
          <a:hlinkClick xmlns:r="http://schemas.openxmlformats.org/officeDocument/2006/relationships" r:id="rId2" tooltip=" "/>
          <a:extLst>
            <a:ext uri="{FF2B5EF4-FFF2-40B4-BE49-F238E27FC236}">
              <a16:creationId xmlns:a16="http://schemas.microsoft.com/office/drawing/2014/main" id="{ED68C2C7-894D-DBAB-8B50-4F98BB8F2AF4}"/>
            </a:ext>
          </a:extLst>
        </xdr:cNvPr>
        <xdr:cNvSpPr/>
      </xdr:nvSpPr>
      <xdr:spPr>
        <a:xfrm>
          <a:off x="1788795" y="78105"/>
          <a:ext cx="1192530" cy="584835"/>
        </a:xfrm>
        <a:prstGeom prst="rect">
          <a:avLst/>
        </a:prstGeom>
        <a:solidFill>
          <a:schemeClr val="accent3">
            <a:lumMod val="20000"/>
            <a:lumOff val="80000"/>
          </a:schemeClr>
        </a:solidFill>
        <a:ln w="19050">
          <a:solidFill>
            <a:schemeClr val="accent3"/>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ZA" sz="1100" b="1">
              <a:solidFill>
                <a:sysClr val="windowText" lastClr="000000"/>
              </a:solidFill>
            </a:rPr>
            <a:t>Scroll</a:t>
          </a:r>
          <a:r>
            <a:rPr lang="en-ZA" sz="1100" b="1" baseline="0">
              <a:solidFill>
                <a:sysClr val="windowText" lastClr="000000"/>
              </a:solidFill>
            </a:rPr>
            <a:t> to top</a:t>
          </a:r>
          <a:endParaRPr lang="en-ZA" sz="1100" b="1">
            <a:solidFill>
              <a:sysClr val="windowText" lastClr="000000"/>
            </a:solidFill>
          </a:endParaRPr>
        </a:p>
      </xdr:txBody>
    </xdr:sp>
    <xdr:clientData/>
  </xdr:twoCellAnchor>
  <mc:AlternateContent xmlns:mc="http://schemas.openxmlformats.org/markup-compatibility/2006">
    <mc:Choice xmlns:a14="http://schemas.microsoft.com/office/drawing/2010/main" Requires="a14">
      <xdr:twoCellAnchor editAs="oneCell">
        <xdr:from>
          <xdr:col>3</xdr:col>
          <xdr:colOff>2346960</xdr:colOff>
          <xdr:row>2</xdr:row>
          <xdr:rowOff>22860</xdr:rowOff>
        </xdr:from>
        <xdr:to>
          <xdr:col>5</xdr:col>
          <xdr:colOff>190500</xdr:colOff>
          <xdr:row>3</xdr:row>
          <xdr:rowOff>95250</xdr:rowOff>
        </xdr:to>
        <xdr:sp macro="" textlink="">
          <xdr:nvSpPr>
            <xdr:cNvPr id="11265" name="cb1E" hidden="1">
              <a:extLst>
                <a:ext uri="{63B3BB69-23CF-44E3-9099-C40C66FF867C}">
                  <a14:compatExt spid="_x0000_s11265"/>
                </a:ext>
                <a:ext uri="{FF2B5EF4-FFF2-40B4-BE49-F238E27FC236}">
                  <a16:creationId xmlns:a16="http://schemas.microsoft.com/office/drawing/2014/main" id="{00000000-0008-0000-1600-0000012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drawings/drawing18.xml><?xml version="1.0" encoding="utf-8"?>
<xdr:wsDr xmlns:xdr="http://schemas.openxmlformats.org/drawingml/2006/spreadsheetDrawing" xmlns:a="http://schemas.openxmlformats.org/drawingml/2006/main">
  <xdr:twoCellAnchor editAs="oneCell">
    <xdr:from>
      <xdr:col>0</xdr:col>
      <xdr:colOff>257175</xdr:colOff>
      <xdr:row>0</xdr:row>
      <xdr:rowOff>0</xdr:rowOff>
    </xdr:from>
    <xdr:to>
      <xdr:col>3</xdr:col>
      <xdr:colOff>857250</xdr:colOff>
      <xdr:row>3</xdr:row>
      <xdr:rowOff>133350</xdr:rowOff>
    </xdr:to>
    <xdr:pic>
      <xdr:nvPicPr>
        <xdr:cNvPr id="477689" name="Picture 3">
          <a:extLst>
            <a:ext uri="{FF2B5EF4-FFF2-40B4-BE49-F238E27FC236}">
              <a16:creationId xmlns:a16="http://schemas.microsoft.com/office/drawing/2014/main" id="{5BD3034C-F767-DDFA-0829-ECBCCC238B3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47650" y="0"/>
          <a:ext cx="1352550" cy="704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1217295</xdr:colOff>
      <xdr:row>0</xdr:row>
      <xdr:rowOff>76200</xdr:rowOff>
    </xdr:from>
    <xdr:to>
      <xdr:col>3</xdr:col>
      <xdr:colOff>2508665</xdr:colOff>
      <xdr:row>3</xdr:row>
      <xdr:rowOff>121872</xdr:rowOff>
    </xdr:to>
    <xdr:sp macro="" textlink="">
      <xdr:nvSpPr>
        <xdr:cNvPr id="5" name="Rectangle 4">
          <a:hlinkClick xmlns:r="http://schemas.openxmlformats.org/officeDocument/2006/relationships" r:id="rId2" tooltip=" "/>
          <a:extLst>
            <a:ext uri="{FF2B5EF4-FFF2-40B4-BE49-F238E27FC236}">
              <a16:creationId xmlns:a16="http://schemas.microsoft.com/office/drawing/2014/main" id="{3087ED78-1587-36EF-F458-5232FF9B2EC9}"/>
            </a:ext>
          </a:extLst>
        </xdr:cNvPr>
        <xdr:cNvSpPr/>
      </xdr:nvSpPr>
      <xdr:spPr>
        <a:xfrm>
          <a:off x="1994535" y="76200"/>
          <a:ext cx="1291590" cy="586740"/>
        </a:xfrm>
        <a:prstGeom prst="rect">
          <a:avLst/>
        </a:prstGeom>
        <a:solidFill>
          <a:schemeClr val="accent3">
            <a:lumMod val="20000"/>
            <a:lumOff val="80000"/>
          </a:schemeClr>
        </a:solidFill>
        <a:ln w="19050">
          <a:solidFill>
            <a:schemeClr val="accent3"/>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ZA" sz="1100" b="1">
              <a:solidFill>
                <a:sysClr val="windowText" lastClr="000000"/>
              </a:solidFill>
            </a:rPr>
            <a:t>Scroll</a:t>
          </a:r>
          <a:r>
            <a:rPr lang="en-ZA" sz="1100" b="1" baseline="0">
              <a:solidFill>
                <a:sysClr val="windowText" lastClr="000000"/>
              </a:solidFill>
            </a:rPr>
            <a:t> to top</a:t>
          </a:r>
          <a:endParaRPr lang="en-ZA" sz="1100" b="1">
            <a:solidFill>
              <a:sysClr val="windowText" lastClr="000000"/>
            </a:solidFill>
          </a:endParaRPr>
        </a:p>
      </xdr:txBody>
    </xdr:sp>
    <xdr:clientData/>
  </xdr:twoCellAnchor>
  <mc:AlternateContent xmlns:mc="http://schemas.openxmlformats.org/markup-compatibility/2006">
    <mc:Choice xmlns:a14="http://schemas.microsoft.com/office/drawing/2010/main" Requires="a14">
      <xdr:twoCellAnchor editAs="oneCell">
        <xdr:from>
          <xdr:col>3</xdr:col>
          <xdr:colOff>2956560</xdr:colOff>
          <xdr:row>2</xdr:row>
          <xdr:rowOff>60960</xdr:rowOff>
        </xdr:from>
        <xdr:to>
          <xdr:col>4</xdr:col>
          <xdr:colOff>1135380</xdr:colOff>
          <xdr:row>3</xdr:row>
          <xdr:rowOff>83820</xdr:rowOff>
        </xdr:to>
        <xdr:sp macro="" textlink="">
          <xdr:nvSpPr>
            <xdr:cNvPr id="12289" name="cb1SW" hidden="1">
              <a:extLst>
                <a:ext uri="{63B3BB69-23CF-44E3-9099-C40C66FF867C}">
                  <a14:compatExt spid="_x0000_s12289"/>
                </a:ext>
                <a:ext uri="{FF2B5EF4-FFF2-40B4-BE49-F238E27FC236}">
                  <a16:creationId xmlns:a16="http://schemas.microsoft.com/office/drawing/2014/main" id="{00000000-0008-0000-1700-0000013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drawings/drawing19.xml><?xml version="1.0" encoding="utf-8"?>
<xdr:wsDr xmlns:xdr="http://schemas.openxmlformats.org/drawingml/2006/spreadsheetDrawing" xmlns:a="http://schemas.openxmlformats.org/drawingml/2006/main">
  <xdr:twoCellAnchor editAs="oneCell">
    <xdr:from>
      <xdr:col>1</xdr:col>
      <xdr:colOff>0</xdr:colOff>
      <xdr:row>0</xdr:row>
      <xdr:rowOff>0</xdr:rowOff>
    </xdr:from>
    <xdr:to>
      <xdr:col>3</xdr:col>
      <xdr:colOff>971550</xdr:colOff>
      <xdr:row>3</xdr:row>
      <xdr:rowOff>171450</xdr:rowOff>
    </xdr:to>
    <xdr:pic>
      <xdr:nvPicPr>
        <xdr:cNvPr id="478713" name="Picture 6">
          <a:extLst>
            <a:ext uri="{FF2B5EF4-FFF2-40B4-BE49-F238E27FC236}">
              <a16:creationId xmlns:a16="http://schemas.microsoft.com/office/drawing/2014/main" id="{8371383C-9B83-BE99-9E9A-DD1783EA03E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57175" y="0"/>
          <a:ext cx="1419225" cy="742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1034415</xdr:colOff>
      <xdr:row>0</xdr:row>
      <xdr:rowOff>83820</xdr:rowOff>
    </xdr:from>
    <xdr:to>
      <xdr:col>3</xdr:col>
      <xdr:colOff>2295864</xdr:colOff>
      <xdr:row>3</xdr:row>
      <xdr:rowOff>87630</xdr:rowOff>
    </xdr:to>
    <xdr:sp macro="" textlink="">
      <xdr:nvSpPr>
        <xdr:cNvPr id="8" name="Rectangle 7">
          <a:hlinkClick xmlns:r="http://schemas.openxmlformats.org/officeDocument/2006/relationships" r:id="rId2" tooltip=" "/>
          <a:extLst>
            <a:ext uri="{FF2B5EF4-FFF2-40B4-BE49-F238E27FC236}">
              <a16:creationId xmlns:a16="http://schemas.microsoft.com/office/drawing/2014/main" id="{598A7E6C-2A55-08D8-EF53-A1481D5FC525}"/>
            </a:ext>
          </a:extLst>
        </xdr:cNvPr>
        <xdr:cNvSpPr/>
      </xdr:nvSpPr>
      <xdr:spPr>
        <a:xfrm>
          <a:off x="1826895" y="91440"/>
          <a:ext cx="1268730" cy="546735"/>
        </a:xfrm>
        <a:prstGeom prst="rect">
          <a:avLst/>
        </a:prstGeom>
        <a:solidFill>
          <a:schemeClr val="accent3">
            <a:lumMod val="20000"/>
            <a:lumOff val="80000"/>
          </a:schemeClr>
        </a:solidFill>
        <a:ln w="19050">
          <a:solidFill>
            <a:schemeClr val="accent3"/>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ZA" sz="1100" b="1">
              <a:solidFill>
                <a:sysClr val="windowText" lastClr="000000"/>
              </a:solidFill>
            </a:rPr>
            <a:t>Scroll</a:t>
          </a:r>
          <a:r>
            <a:rPr lang="en-ZA" sz="1100" b="1" baseline="0">
              <a:solidFill>
                <a:sysClr val="windowText" lastClr="000000"/>
              </a:solidFill>
            </a:rPr>
            <a:t> to top</a:t>
          </a:r>
          <a:endParaRPr lang="en-ZA" sz="1100" b="1">
            <a:solidFill>
              <a:sysClr val="windowText" lastClr="000000"/>
            </a:solidFill>
          </a:endParaRPr>
        </a:p>
      </xdr:txBody>
    </xdr:sp>
    <xdr:clientData/>
  </xdr:twoCellAnchor>
  <mc:AlternateContent xmlns:mc="http://schemas.openxmlformats.org/markup-compatibility/2006">
    <mc:Choice xmlns:a14="http://schemas.microsoft.com/office/drawing/2010/main" Requires="a14">
      <xdr:twoCellAnchor editAs="oneCell">
        <xdr:from>
          <xdr:col>4</xdr:col>
          <xdr:colOff>0</xdr:colOff>
          <xdr:row>2</xdr:row>
          <xdr:rowOff>38100</xdr:rowOff>
        </xdr:from>
        <xdr:to>
          <xdr:col>5</xdr:col>
          <xdr:colOff>735330</xdr:colOff>
          <xdr:row>3</xdr:row>
          <xdr:rowOff>53340</xdr:rowOff>
        </xdr:to>
        <xdr:sp macro="" textlink="">
          <xdr:nvSpPr>
            <xdr:cNvPr id="13313" name="cb2Cus" hidden="1">
              <a:extLst>
                <a:ext uri="{63B3BB69-23CF-44E3-9099-C40C66FF867C}">
                  <a14:compatExt spid="_x0000_s13313"/>
                </a:ext>
                <a:ext uri="{FF2B5EF4-FFF2-40B4-BE49-F238E27FC236}">
                  <a16:creationId xmlns:a16="http://schemas.microsoft.com/office/drawing/2014/main" id="{00000000-0008-0000-1800-0000013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drawings/drawing20.xml><?xml version="1.0" encoding="utf-8"?>
<xdr:wsDr xmlns:xdr="http://schemas.openxmlformats.org/drawingml/2006/spreadsheetDrawing" xmlns:a="http://schemas.openxmlformats.org/drawingml/2006/main">
  <xdr:twoCellAnchor editAs="oneCell">
    <xdr:from>
      <xdr:col>0</xdr:col>
      <xdr:colOff>295275</xdr:colOff>
      <xdr:row>0</xdr:row>
      <xdr:rowOff>0</xdr:rowOff>
    </xdr:from>
    <xdr:to>
      <xdr:col>3</xdr:col>
      <xdr:colOff>819150</xdr:colOff>
      <xdr:row>3</xdr:row>
      <xdr:rowOff>152400</xdr:rowOff>
    </xdr:to>
    <xdr:pic>
      <xdr:nvPicPr>
        <xdr:cNvPr id="480761" name="Picture 5">
          <a:extLst>
            <a:ext uri="{FF2B5EF4-FFF2-40B4-BE49-F238E27FC236}">
              <a16:creationId xmlns:a16="http://schemas.microsoft.com/office/drawing/2014/main" id="{41361BB2-2560-4EA7-C317-926094C7EF2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5750" y="0"/>
          <a:ext cx="1362075" cy="723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929640</xdr:colOff>
      <xdr:row>0</xdr:row>
      <xdr:rowOff>116205</xdr:rowOff>
    </xdr:from>
    <xdr:to>
      <xdr:col>4</xdr:col>
      <xdr:colOff>633</xdr:colOff>
      <xdr:row>3</xdr:row>
      <xdr:rowOff>116205</xdr:rowOff>
    </xdr:to>
    <xdr:sp macro="" textlink="">
      <xdr:nvSpPr>
        <xdr:cNvPr id="7" name="Rectangle 6">
          <a:hlinkClick xmlns:r="http://schemas.openxmlformats.org/officeDocument/2006/relationships" r:id="rId2" tooltip=" "/>
          <a:extLst>
            <a:ext uri="{FF2B5EF4-FFF2-40B4-BE49-F238E27FC236}">
              <a16:creationId xmlns:a16="http://schemas.microsoft.com/office/drawing/2014/main" id="{29A3DBBF-26D1-9F95-A8DF-F0364CB8C070}"/>
            </a:ext>
          </a:extLst>
        </xdr:cNvPr>
        <xdr:cNvSpPr/>
      </xdr:nvSpPr>
      <xdr:spPr>
        <a:xfrm>
          <a:off x="1813560" y="108585"/>
          <a:ext cx="1028700" cy="548640"/>
        </a:xfrm>
        <a:prstGeom prst="rect">
          <a:avLst/>
        </a:prstGeom>
        <a:solidFill>
          <a:schemeClr val="accent3">
            <a:lumMod val="20000"/>
            <a:lumOff val="80000"/>
          </a:schemeClr>
        </a:solidFill>
        <a:ln w="19050">
          <a:solidFill>
            <a:schemeClr val="accent3"/>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ZA" sz="1100" b="1">
              <a:solidFill>
                <a:sysClr val="windowText" lastClr="000000"/>
              </a:solidFill>
            </a:rPr>
            <a:t>Scroll</a:t>
          </a:r>
          <a:r>
            <a:rPr lang="en-ZA" sz="1100" b="1" baseline="0">
              <a:solidFill>
                <a:sysClr val="windowText" lastClr="000000"/>
              </a:solidFill>
            </a:rPr>
            <a:t> to top</a:t>
          </a:r>
          <a:endParaRPr lang="en-ZA" sz="1100" b="1">
            <a:solidFill>
              <a:sysClr val="windowText" lastClr="000000"/>
            </a:solidFill>
          </a:endParaRPr>
        </a:p>
      </xdr:txBody>
    </xdr:sp>
    <xdr:clientData/>
  </xdr:twoCellAnchor>
  <mc:AlternateContent xmlns:mc="http://schemas.openxmlformats.org/markup-compatibility/2006">
    <mc:Choice xmlns:a14="http://schemas.microsoft.com/office/drawing/2010/main" Requires="a14">
      <xdr:twoCellAnchor editAs="oneCell">
        <xdr:from>
          <xdr:col>4</xdr:col>
          <xdr:colOff>152400</xdr:colOff>
          <xdr:row>2</xdr:row>
          <xdr:rowOff>60960</xdr:rowOff>
        </xdr:from>
        <xdr:to>
          <xdr:col>5</xdr:col>
          <xdr:colOff>521970</xdr:colOff>
          <xdr:row>3</xdr:row>
          <xdr:rowOff>99060</xdr:rowOff>
        </xdr:to>
        <xdr:sp macro="" textlink="">
          <xdr:nvSpPr>
            <xdr:cNvPr id="14337" name="cb2W" hidden="1">
              <a:extLst>
                <a:ext uri="{63B3BB69-23CF-44E3-9099-C40C66FF867C}">
                  <a14:compatExt spid="_x0000_s14337"/>
                </a:ext>
                <a:ext uri="{FF2B5EF4-FFF2-40B4-BE49-F238E27FC236}">
                  <a16:creationId xmlns:a16="http://schemas.microsoft.com/office/drawing/2014/main" id="{00000000-0008-0000-1900-0000013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drawings/drawing21.xml><?xml version="1.0" encoding="utf-8"?>
<xdr:wsDr xmlns:xdr="http://schemas.openxmlformats.org/drawingml/2006/spreadsheetDrawing" xmlns:a="http://schemas.openxmlformats.org/drawingml/2006/main">
  <xdr:twoCellAnchor editAs="oneCell">
    <xdr:from>
      <xdr:col>0</xdr:col>
      <xdr:colOff>266700</xdr:colOff>
      <xdr:row>0</xdr:row>
      <xdr:rowOff>28575</xdr:rowOff>
    </xdr:from>
    <xdr:to>
      <xdr:col>3</xdr:col>
      <xdr:colOff>857250</xdr:colOff>
      <xdr:row>3</xdr:row>
      <xdr:rowOff>133350</xdr:rowOff>
    </xdr:to>
    <xdr:pic>
      <xdr:nvPicPr>
        <xdr:cNvPr id="481785" name="Picture 3">
          <a:extLst>
            <a:ext uri="{FF2B5EF4-FFF2-40B4-BE49-F238E27FC236}">
              <a16:creationId xmlns:a16="http://schemas.microsoft.com/office/drawing/2014/main" id="{7B2356A6-5654-C5B3-701E-A1C9ED7DD0A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66700" y="28575"/>
          <a:ext cx="1381125" cy="676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1000125</xdr:colOff>
      <xdr:row>0</xdr:row>
      <xdr:rowOff>85725</xdr:rowOff>
    </xdr:from>
    <xdr:to>
      <xdr:col>3</xdr:col>
      <xdr:colOff>2222945</xdr:colOff>
      <xdr:row>3</xdr:row>
      <xdr:rowOff>120099</xdr:rowOff>
    </xdr:to>
    <xdr:sp macro="" textlink="">
      <xdr:nvSpPr>
        <xdr:cNvPr id="5" name="Rectangle 4">
          <a:hlinkClick xmlns:r="http://schemas.openxmlformats.org/officeDocument/2006/relationships" r:id="rId2" tooltip=" "/>
          <a:extLst>
            <a:ext uri="{FF2B5EF4-FFF2-40B4-BE49-F238E27FC236}">
              <a16:creationId xmlns:a16="http://schemas.microsoft.com/office/drawing/2014/main" id="{B7D7D87F-DA88-B0FC-A924-C8C89895951A}"/>
            </a:ext>
          </a:extLst>
        </xdr:cNvPr>
        <xdr:cNvSpPr/>
      </xdr:nvSpPr>
      <xdr:spPr>
        <a:xfrm>
          <a:off x="1893570" y="85725"/>
          <a:ext cx="1207770" cy="569595"/>
        </a:xfrm>
        <a:prstGeom prst="rect">
          <a:avLst/>
        </a:prstGeom>
        <a:solidFill>
          <a:schemeClr val="accent3">
            <a:lumMod val="20000"/>
            <a:lumOff val="80000"/>
          </a:schemeClr>
        </a:solidFill>
        <a:ln w="19050">
          <a:solidFill>
            <a:schemeClr val="accent3"/>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ZA" sz="1100" b="1">
              <a:solidFill>
                <a:sysClr val="windowText" lastClr="000000"/>
              </a:solidFill>
            </a:rPr>
            <a:t>Scroll</a:t>
          </a:r>
          <a:r>
            <a:rPr lang="en-ZA" sz="1100" b="1" baseline="0">
              <a:solidFill>
                <a:sysClr val="windowText" lastClr="000000"/>
              </a:solidFill>
            </a:rPr>
            <a:t> to top</a:t>
          </a:r>
          <a:endParaRPr lang="en-ZA" sz="1100" b="1">
            <a:solidFill>
              <a:sysClr val="windowText" lastClr="000000"/>
            </a:solidFill>
          </a:endParaRPr>
        </a:p>
      </xdr:txBody>
    </xdr:sp>
    <xdr:clientData/>
  </xdr:twoCellAnchor>
  <mc:AlternateContent xmlns:mc="http://schemas.openxmlformats.org/markup-compatibility/2006">
    <mc:Choice xmlns:a14="http://schemas.microsoft.com/office/drawing/2010/main" Requires="a14">
      <xdr:twoCellAnchor editAs="oneCell">
        <xdr:from>
          <xdr:col>3</xdr:col>
          <xdr:colOff>2468880</xdr:colOff>
          <xdr:row>2</xdr:row>
          <xdr:rowOff>60960</xdr:rowOff>
        </xdr:from>
        <xdr:to>
          <xdr:col>5</xdr:col>
          <xdr:colOff>11430</xdr:colOff>
          <xdr:row>3</xdr:row>
          <xdr:rowOff>60960</xdr:rowOff>
        </xdr:to>
        <xdr:sp macro="" textlink="">
          <xdr:nvSpPr>
            <xdr:cNvPr id="15361" name="cb2S" hidden="1">
              <a:extLst>
                <a:ext uri="{63B3BB69-23CF-44E3-9099-C40C66FF867C}">
                  <a14:compatExt spid="_x0000_s15361"/>
                </a:ext>
                <a:ext uri="{FF2B5EF4-FFF2-40B4-BE49-F238E27FC236}">
                  <a16:creationId xmlns:a16="http://schemas.microsoft.com/office/drawing/2014/main" id="{00000000-0008-0000-1A00-0000013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drawings/drawing22.xml><?xml version="1.0" encoding="utf-8"?>
<xdr:wsDr xmlns:xdr="http://schemas.openxmlformats.org/drawingml/2006/spreadsheetDrawing" xmlns:a="http://schemas.openxmlformats.org/drawingml/2006/main">
  <xdr:twoCellAnchor editAs="oneCell">
    <xdr:from>
      <xdr:col>1</xdr:col>
      <xdr:colOff>0</xdr:colOff>
      <xdr:row>0</xdr:row>
      <xdr:rowOff>0</xdr:rowOff>
    </xdr:from>
    <xdr:to>
      <xdr:col>3</xdr:col>
      <xdr:colOff>914400</xdr:colOff>
      <xdr:row>3</xdr:row>
      <xdr:rowOff>171450</xdr:rowOff>
    </xdr:to>
    <xdr:pic>
      <xdr:nvPicPr>
        <xdr:cNvPr id="482809" name="Picture 3">
          <a:extLst>
            <a:ext uri="{FF2B5EF4-FFF2-40B4-BE49-F238E27FC236}">
              <a16:creationId xmlns:a16="http://schemas.microsoft.com/office/drawing/2014/main" id="{21072A5D-B4C4-1EE8-50D4-8F2903B9645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47650" y="0"/>
          <a:ext cx="1409700" cy="742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1042035</xdr:colOff>
      <xdr:row>0</xdr:row>
      <xdr:rowOff>78105</xdr:rowOff>
    </xdr:from>
    <xdr:to>
      <xdr:col>4</xdr:col>
      <xdr:colOff>450</xdr:colOff>
      <xdr:row>3</xdr:row>
      <xdr:rowOff>112579</xdr:rowOff>
    </xdr:to>
    <xdr:sp macro="" textlink="">
      <xdr:nvSpPr>
        <xdr:cNvPr id="5" name="Rectangle 4">
          <a:hlinkClick xmlns:r="http://schemas.openxmlformats.org/officeDocument/2006/relationships" r:id="rId2" tooltip=" "/>
          <a:extLst>
            <a:ext uri="{FF2B5EF4-FFF2-40B4-BE49-F238E27FC236}">
              <a16:creationId xmlns:a16="http://schemas.microsoft.com/office/drawing/2014/main" id="{8F0A7043-26E5-24B6-85E1-DC2039BB9667}"/>
            </a:ext>
          </a:extLst>
        </xdr:cNvPr>
        <xdr:cNvSpPr/>
      </xdr:nvSpPr>
      <xdr:spPr>
        <a:xfrm>
          <a:off x="1815465" y="78105"/>
          <a:ext cx="1318260" cy="569595"/>
        </a:xfrm>
        <a:prstGeom prst="rect">
          <a:avLst/>
        </a:prstGeom>
        <a:solidFill>
          <a:schemeClr val="accent3">
            <a:lumMod val="20000"/>
            <a:lumOff val="80000"/>
          </a:schemeClr>
        </a:solidFill>
        <a:ln w="19050">
          <a:solidFill>
            <a:schemeClr val="accent3"/>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ZA" sz="1100" b="1">
              <a:solidFill>
                <a:sysClr val="windowText" lastClr="000000"/>
              </a:solidFill>
            </a:rPr>
            <a:t>Scroll</a:t>
          </a:r>
          <a:r>
            <a:rPr lang="en-ZA" sz="1100" b="1" baseline="0">
              <a:solidFill>
                <a:sysClr val="windowText" lastClr="000000"/>
              </a:solidFill>
            </a:rPr>
            <a:t> to top</a:t>
          </a:r>
          <a:endParaRPr lang="en-ZA" sz="1100" b="1">
            <a:solidFill>
              <a:sysClr val="windowText" lastClr="000000"/>
            </a:solidFill>
          </a:endParaRPr>
        </a:p>
      </xdr:txBody>
    </xdr:sp>
    <xdr:clientData/>
  </xdr:twoCellAnchor>
  <mc:AlternateContent xmlns:mc="http://schemas.openxmlformats.org/markup-compatibility/2006">
    <mc:Choice xmlns:a14="http://schemas.microsoft.com/office/drawing/2010/main" Requires="a14">
      <xdr:twoCellAnchor editAs="oneCell">
        <xdr:from>
          <xdr:col>4</xdr:col>
          <xdr:colOff>220980</xdr:colOff>
          <xdr:row>2</xdr:row>
          <xdr:rowOff>38100</xdr:rowOff>
        </xdr:from>
        <xdr:to>
          <xdr:col>5</xdr:col>
          <xdr:colOff>914400</xdr:colOff>
          <xdr:row>3</xdr:row>
          <xdr:rowOff>91440</xdr:rowOff>
        </xdr:to>
        <xdr:sp macro="" textlink="">
          <xdr:nvSpPr>
            <xdr:cNvPr id="16385" name="cb2E" hidden="1">
              <a:extLst>
                <a:ext uri="{63B3BB69-23CF-44E3-9099-C40C66FF867C}">
                  <a14:compatExt spid="_x0000_s16385"/>
                </a:ext>
                <a:ext uri="{FF2B5EF4-FFF2-40B4-BE49-F238E27FC236}">
                  <a16:creationId xmlns:a16="http://schemas.microsoft.com/office/drawing/2014/main" id="{00000000-0008-0000-1B00-0000014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drawings/drawing23.xml><?xml version="1.0" encoding="utf-8"?>
<xdr:wsDr xmlns:xdr="http://schemas.openxmlformats.org/drawingml/2006/spreadsheetDrawing" xmlns:a="http://schemas.openxmlformats.org/drawingml/2006/main">
  <xdr:twoCellAnchor editAs="oneCell">
    <xdr:from>
      <xdr:col>0</xdr:col>
      <xdr:colOff>200025</xdr:colOff>
      <xdr:row>0</xdr:row>
      <xdr:rowOff>0</xdr:rowOff>
    </xdr:from>
    <xdr:to>
      <xdr:col>3</xdr:col>
      <xdr:colOff>933450</xdr:colOff>
      <xdr:row>3</xdr:row>
      <xdr:rowOff>114300</xdr:rowOff>
    </xdr:to>
    <xdr:pic>
      <xdr:nvPicPr>
        <xdr:cNvPr id="483833" name="Picture 3">
          <a:extLst>
            <a:ext uri="{FF2B5EF4-FFF2-40B4-BE49-F238E27FC236}">
              <a16:creationId xmlns:a16="http://schemas.microsoft.com/office/drawing/2014/main" id="{65C43FB5-88C5-46C4-B739-9C35D7C2C19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0025" y="0"/>
          <a:ext cx="1457325"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1150619</xdr:colOff>
      <xdr:row>0</xdr:row>
      <xdr:rowOff>72391</xdr:rowOff>
    </xdr:from>
    <xdr:to>
      <xdr:col>4</xdr:col>
      <xdr:colOff>16005</xdr:colOff>
      <xdr:row>3</xdr:row>
      <xdr:rowOff>72548</xdr:rowOff>
    </xdr:to>
    <xdr:sp macro="" textlink="">
      <xdr:nvSpPr>
        <xdr:cNvPr id="5" name="Rectangle 4">
          <a:hlinkClick xmlns:r="http://schemas.openxmlformats.org/officeDocument/2006/relationships" r:id="rId2" tooltip=" "/>
          <a:extLst>
            <a:ext uri="{FF2B5EF4-FFF2-40B4-BE49-F238E27FC236}">
              <a16:creationId xmlns:a16="http://schemas.microsoft.com/office/drawing/2014/main" id="{DA615EB1-CD38-64A0-61CE-43287952751E}"/>
            </a:ext>
          </a:extLst>
        </xdr:cNvPr>
        <xdr:cNvSpPr/>
      </xdr:nvSpPr>
      <xdr:spPr>
        <a:xfrm>
          <a:off x="1904999" y="72391"/>
          <a:ext cx="1143001" cy="544829"/>
        </a:xfrm>
        <a:prstGeom prst="rect">
          <a:avLst/>
        </a:prstGeom>
        <a:solidFill>
          <a:schemeClr val="accent3">
            <a:lumMod val="20000"/>
            <a:lumOff val="80000"/>
          </a:schemeClr>
        </a:solidFill>
        <a:ln w="19050">
          <a:solidFill>
            <a:schemeClr val="accent3"/>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ZA" sz="1100" b="1">
              <a:solidFill>
                <a:sysClr val="windowText" lastClr="000000"/>
              </a:solidFill>
            </a:rPr>
            <a:t>Scroll</a:t>
          </a:r>
          <a:r>
            <a:rPr lang="en-ZA" sz="1100" b="1" baseline="0">
              <a:solidFill>
                <a:sysClr val="windowText" lastClr="000000"/>
              </a:solidFill>
            </a:rPr>
            <a:t> to top</a:t>
          </a:r>
          <a:endParaRPr lang="en-ZA" sz="1100" b="1">
            <a:solidFill>
              <a:sysClr val="windowText" lastClr="000000"/>
            </a:solidFill>
          </a:endParaRPr>
        </a:p>
      </xdr:txBody>
    </xdr:sp>
    <xdr:clientData/>
  </xdr:twoCellAnchor>
  <mc:AlternateContent xmlns:mc="http://schemas.openxmlformats.org/markup-compatibility/2006">
    <mc:Choice xmlns:a14="http://schemas.microsoft.com/office/drawing/2010/main" Requires="a14">
      <xdr:twoCellAnchor editAs="oneCell">
        <xdr:from>
          <xdr:col>4</xdr:col>
          <xdr:colOff>251460</xdr:colOff>
          <xdr:row>1</xdr:row>
          <xdr:rowOff>175260</xdr:rowOff>
        </xdr:from>
        <xdr:to>
          <xdr:col>5</xdr:col>
          <xdr:colOff>880110</xdr:colOff>
          <xdr:row>3</xdr:row>
          <xdr:rowOff>64770</xdr:rowOff>
        </xdr:to>
        <xdr:sp macro="" textlink="">
          <xdr:nvSpPr>
            <xdr:cNvPr id="17409" name="cb2SW" hidden="1">
              <a:extLst>
                <a:ext uri="{63B3BB69-23CF-44E3-9099-C40C66FF867C}">
                  <a14:compatExt spid="_x0000_s17409"/>
                </a:ext>
                <a:ext uri="{FF2B5EF4-FFF2-40B4-BE49-F238E27FC236}">
                  <a16:creationId xmlns:a16="http://schemas.microsoft.com/office/drawing/2014/main" id="{00000000-0008-0000-1C00-0000014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drawings/drawing24.xml><?xml version="1.0" encoding="utf-8"?>
<xdr:wsDr xmlns:xdr="http://schemas.openxmlformats.org/drawingml/2006/spreadsheetDrawing" xmlns:a="http://schemas.openxmlformats.org/drawingml/2006/main">
  <xdr:twoCellAnchor editAs="oneCell">
    <xdr:from>
      <xdr:col>1</xdr:col>
      <xdr:colOff>76200</xdr:colOff>
      <xdr:row>0</xdr:row>
      <xdr:rowOff>28575</xdr:rowOff>
    </xdr:from>
    <xdr:to>
      <xdr:col>4</xdr:col>
      <xdr:colOff>857250</xdr:colOff>
      <xdr:row>3</xdr:row>
      <xdr:rowOff>133350</xdr:rowOff>
    </xdr:to>
    <xdr:pic>
      <xdr:nvPicPr>
        <xdr:cNvPr id="484857" name="Picture 27">
          <a:extLst>
            <a:ext uri="{FF2B5EF4-FFF2-40B4-BE49-F238E27FC236}">
              <a16:creationId xmlns:a16="http://schemas.microsoft.com/office/drawing/2014/main" id="{AD0D593C-9043-AED5-53F0-A414F164F41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23850" y="28575"/>
          <a:ext cx="1495425"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mc:AlternateContent xmlns:mc="http://schemas.openxmlformats.org/markup-compatibility/2006">
    <mc:Choice xmlns:a14="http://schemas.microsoft.com/office/drawing/2010/main" Requires="a14">
      <xdr:twoCellAnchor editAs="oneCell">
        <xdr:from>
          <xdr:col>5</xdr:col>
          <xdr:colOff>815340</xdr:colOff>
          <xdr:row>2</xdr:row>
          <xdr:rowOff>53340</xdr:rowOff>
        </xdr:from>
        <xdr:to>
          <xdr:col>7</xdr:col>
          <xdr:colOff>148590</xdr:colOff>
          <xdr:row>3</xdr:row>
          <xdr:rowOff>68580</xdr:rowOff>
        </xdr:to>
        <xdr:sp macro="" textlink="">
          <xdr:nvSpPr>
            <xdr:cNvPr id="19457" name="cb3WCus" hidden="1">
              <a:extLst>
                <a:ext uri="{63B3BB69-23CF-44E3-9099-C40C66FF867C}">
                  <a14:compatExt spid="_x0000_s19457"/>
                </a:ext>
                <a:ext uri="{FF2B5EF4-FFF2-40B4-BE49-F238E27FC236}">
                  <a16:creationId xmlns:a16="http://schemas.microsoft.com/office/drawing/2014/main" id="{00000000-0008-0000-1D00-0000014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678180</xdr:colOff>
          <xdr:row>2</xdr:row>
          <xdr:rowOff>30480</xdr:rowOff>
        </xdr:from>
        <xdr:to>
          <xdr:col>9</xdr:col>
          <xdr:colOff>26670</xdr:colOff>
          <xdr:row>3</xdr:row>
          <xdr:rowOff>76200</xdr:rowOff>
        </xdr:to>
        <xdr:sp macro="" textlink="">
          <xdr:nvSpPr>
            <xdr:cNvPr id="19458" name="cb3W" hidden="1">
              <a:extLst>
                <a:ext uri="{63B3BB69-23CF-44E3-9099-C40C66FF867C}">
                  <a14:compatExt spid="_x0000_s19458"/>
                </a:ext>
                <a:ext uri="{FF2B5EF4-FFF2-40B4-BE49-F238E27FC236}">
                  <a16:creationId xmlns:a16="http://schemas.microsoft.com/office/drawing/2014/main" id="{00000000-0008-0000-1D00-0000024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twoCellAnchor>
    <xdr:from>
      <xdr:col>4</xdr:col>
      <xdr:colOff>1396365</xdr:colOff>
      <xdr:row>0</xdr:row>
      <xdr:rowOff>108585</xdr:rowOff>
    </xdr:from>
    <xdr:to>
      <xdr:col>5</xdr:col>
      <xdr:colOff>319534</xdr:colOff>
      <xdr:row>3</xdr:row>
      <xdr:rowOff>114326</xdr:rowOff>
    </xdr:to>
    <xdr:sp macro="" textlink="">
      <xdr:nvSpPr>
        <xdr:cNvPr id="5" name="Rectangle 4">
          <a:hlinkClick xmlns:r="http://schemas.openxmlformats.org/officeDocument/2006/relationships" r:id="rId2" tooltip=" "/>
          <a:extLst>
            <a:ext uri="{FF2B5EF4-FFF2-40B4-BE49-F238E27FC236}">
              <a16:creationId xmlns:a16="http://schemas.microsoft.com/office/drawing/2014/main" id="{E4B19F42-1751-F588-A1C0-106FC9101690}"/>
            </a:ext>
          </a:extLst>
        </xdr:cNvPr>
        <xdr:cNvSpPr/>
      </xdr:nvSpPr>
      <xdr:spPr>
        <a:xfrm>
          <a:off x="2371725" y="108585"/>
          <a:ext cx="1171575" cy="577215"/>
        </a:xfrm>
        <a:prstGeom prst="rect">
          <a:avLst/>
        </a:prstGeom>
        <a:solidFill>
          <a:schemeClr val="accent3">
            <a:lumMod val="20000"/>
            <a:lumOff val="80000"/>
          </a:schemeClr>
        </a:solidFill>
        <a:ln w="19050">
          <a:solidFill>
            <a:schemeClr val="accent3"/>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ZA" sz="1100" b="1">
              <a:solidFill>
                <a:sysClr val="windowText" lastClr="000000"/>
              </a:solidFill>
            </a:rPr>
            <a:t>Scroll</a:t>
          </a:r>
          <a:r>
            <a:rPr lang="en-ZA" sz="1100" b="1" baseline="0">
              <a:solidFill>
                <a:sysClr val="windowText" lastClr="000000"/>
              </a:solidFill>
            </a:rPr>
            <a:t> to top</a:t>
          </a:r>
          <a:endParaRPr lang="en-ZA" sz="1100" b="1">
            <a:solidFill>
              <a:sysClr val="windowText" lastClr="000000"/>
            </a:solidFill>
          </a:endParaRPr>
        </a:p>
      </xdr:txBody>
    </xdr:sp>
    <xdr:clientData/>
  </xdr:twoCellAnchor>
</xdr:wsDr>
</file>

<file path=xl/drawings/drawing25.xml><?xml version="1.0" encoding="utf-8"?>
<xdr:wsDr xmlns:xdr="http://schemas.openxmlformats.org/drawingml/2006/spreadsheetDrawing" xmlns:a="http://schemas.openxmlformats.org/drawingml/2006/main">
  <xdr:twoCellAnchor editAs="oneCell">
    <xdr:from>
      <xdr:col>1</xdr:col>
      <xdr:colOff>47625</xdr:colOff>
      <xdr:row>0</xdr:row>
      <xdr:rowOff>9525</xdr:rowOff>
    </xdr:from>
    <xdr:to>
      <xdr:col>4</xdr:col>
      <xdr:colOff>819150</xdr:colOff>
      <xdr:row>3</xdr:row>
      <xdr:rowOff>133350</xdr:rowOff>
    </xdr:to>
    <xdr:pic>
      <xdr:nvPicPr>
        <xdr:cNvPr id="485881" name="Picture 4">
          <a:extLst>
            <a:ext uri="{FF2B5EF4-FFF2-40B4-BE49-F238E27FC236}">
              <a16:creationId xmlns:a16="http://schemas.microsoft.com/office/drawing/2014/main" id="{564F69EA-BBAA-40B0-6551-9F665E99462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38125" y="9525"/>
          <a:ext cx="1371600" cy="695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4</xdr:col>
      <xdr:colOff>926995</xdr:colOff>
      <xdr:row>0</xdr:row>
      <xdr:rowOff>76200</xdr:rowOff>
    </xdr:from>
    <xdr:to>
      <xdr:col>5</xdr:col>
      <xdr:colOff>334607</xdr:colOff>
      <xdr:row>3</xdr:row>
      <xdr:rowOff>116622</xdr:rowOff>
    </xdr:to>
    <xdr:sp macro="" textlink="">
      <xdr:nvSpPr>
        <xdr:cNvPr id="4" name="Rectangle 3">
          <a:hlinkClick xmlns:r="http://schemas.openxmlformats.org/officeDocument/2006/relationships" r:id="rId2" tooltip=" "/>
          <a:extLst>
            <a:ext uri="{FF2B5EF4-FFF2-40B4-BE49-F238E27FC236}">
              <a16:creationId xmlns:a16="http://schemas.microsoft.com/office/drawing/2014/main" id="{3BD0C334-747C-52E0-56C3-E5C21D9A7B58}"/>
            </a:ext>
          </a:extLst>
        </xdr:cNvPr>
        <xdr:cNvSpPr/>
      </xdr:nvSpPr>
      <xdr:spPr>
        <a:xfrm>
          <a:off x="1836885" y="76200"/>
          <a:ext cx="962299" cy="592494"/>
        </a:xfrm>
        <a:prstGeom prst="rect">
          <a:avLst/>
        </a:prstGeom>
        <a:solidFill>
          <a:schemeClr val="accent3">
            <a:lumMod val="20000"/>
            <a:lumOff val="80000"/>
          </a:schemeClr>
        </a:solidFill>
        <a:ln w="19050">
          <a:solidFill>
            <a:schemeClr val="accent3"/>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ZA" sz="1100" b="1">
              <a:solidFill>
                <a:sysClr val="windowText" lastClr="000000"/>
              </a:solidFill>
            </a:rPr>
            <a:t>Scroll</a:t>
          </a:r>
          <a:r>
            <a:rPr lang="en-ZA" sz="1100" b="1" baseline="0">
              <a:solidFill>
                <a:sysClr val="windowText" lastClr="000000"/>
              </a:solidFill>
            </a:rPr>
            <a:t> to top</a:t>
          </a:r>
          <a:endParaRPr lang="en-ZA" sz="1100" b="1">
            <a:solidFill>
              <a:sysClr val="windowText" lastClr="000000"/>
            </a:solidFill>
          </a:endParaRPr>
        </a:p>
      </xdr:txBody>
    </xdr:sp>
    <xdr:clientData/>
  </xdr:twoCellAnchor>
  <mc:AlternateContent xmlns:mc="http://schemas.openxmlformats.org/markup-compatibility/2006">
    <mc:Choice xmlns:a14="http://schemas.microsoft.com/office/drawing/2010/main" Requires="a14">
      <xdr:twoCellAnchor editAs="oneCell">
        <xdr:from>
          <xdr:col>5</xdr:col>
          <xdr:colOff>586740</xdr:colOff>
          <xdr:row>2</xdr:row>
          <xdr:rowOff>76200</xdr:rowOff>
        </xdr:from>
        <xdr:to>
          <xdr:col>7</xdr:col>
          <xdr:colOff>400050</xdr:colOff>
          <xdr:row>3</xdr:row>
          <xdr:rowOff>114300</xdr:rowOff>
        </xdr:to>
        <xdr:sp macro="" textlink="">
          <xdr:nvSpPr>
            <xdr:cNvPr id="20482" name="cb3SCus" hidden="1">
              <a:extLst>
                <a:ext uri="{63B3BB69-23CF-44E3-9099-C40C66FF867C}">
                  <a14:compatExt spid="_x0000_s20482"/>
                </a:ext>
                <a:ext uri="{FF2B5EF4-FFF2-40B4-BE49-F238E27FC236}">
                  <a16:creationId xmlns:a16="http://schemas.microsoft.com/office/drawing/2014/main" id="{00000000-0008-0000-1E00-0000025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708660</xdr:colOff>
          <xdr:row>2</xdr:row>
          <xdr:rowOff>91440</xdr:rowOff>
        </xdr:from>
        <xdr:to>
          <xdr:col>9</xdr:col>
          <xdr:colOff>381000</xdr:colOff>
          <xdr:row>3</xdr:row>
          <xdr:rowOff>114300</xdr:rowOff>
        </xdr:to>
        <xdr:sp macro="" textlink="">
          <xdr:nvSpPr>
            <xdr:cNvPr id="20483" name="cb3S" hidden="1">
              <a:extLst>
                <a:ext uri="{63B3BB69-23CF-44E3-9099-C40C66FF867C}">
                  <a14:compatExt spid="_x0000_s20483"/>
                </a:ext>
                <a:ext uri="{FF2B5EF4-FFF2-40B4-BE49-F238E27FC236}">
                  <a16:creationId xmlns:a16="http://schemas.microsoft.com/office/drawing/2014/main" id="{00000000-0008-0000-1E00-0000035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drawings/drawing26.xml><?xml version="1.0" encoding="utf-8"?>
<xdr:wsDr xmlns:xdr="http://schemas.openxmlformats.org/drawingml/2006/spreadsheetDrawing" xmlns:a="http://schemas.openxmlformats.org/drawingml/2006/main">
  <xdr:twoCellAnchor editAs="oneCell">
    <xdr:from>
      <xdr:col>1</xdr:col>
      <xdr:colOff>57150</xdr:colOff>
      <xdr:row>0</xdr:row>
      <xdr:rowOff>57150</xdr:rowOff>
    </xdr:from>
    <xdr:to>
      <xdr:col>5</xdr:col>
      <xdr:colOff>361950</xdr:colOff>
      <xdr:row>3</xdr:row>
      <xdr:rowOff>95250</xdr:rowOff>
    </xdr:to>
    <xdr:pic>
      <xdr:nvPicPr>
        <xdr:cNvPr id="486905" name="Picture 4">
          <a:extLst>
            <a:ext uri="{FF2B5EF4-FFF2-40B4-BE49-F238E27FC236}">
              <a16:creationId xmlns:a16="http://schemas.microsoft.com/office/drawing/2014/main" id="{9C89EF06-6031-E4CE-D569-6A3BD620553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38125" y="57150"/>
          <a:ext cx="1323975"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5</xdr:col>
      <xdr:colOff>739140</xdr:colOff>
      <xdr:row>0</xdr:row>
      <xdr:rowOff>83821</xdr:rowOff>
    </xdr:from>
    <xdr:to>
      <xdr:col>6</xdr:col>
      <xdr:colOff>274410</xdr:colOff>
      <xdr:row>3</xdr:row>
      <xdr:rowOff>118129</xdr:rowOff>
    </xdr:to>
    <xdr:sp macro="" textlink="">
      <xdr:nvSpPr>
        <xdr:cNvPr id="3" name="Rectangle 2">
          <a:hlinkClick xmlns:r="http://schemas.openxmlformats.org/officeDocument/2006/relationships" r:id="rId2" tooltip=" "/>
          <a:extLst>
            <a:ext uri="{FF2B5EF4-FFF2-40B4-BE49-F238E27FC236}">
              <a16:creationId xmlns:a16="http://schemas.microsoft.com/office/drawing/2014/main" id="{BB730303-D9AD-6345-8235-A17CA673C503}"/>
            </a:ext>
          </a:extLst>
        </xdr:cNvPr>
        <xdr:cNvSpPr/>
      </xdr:nvSpPr>
      <xdr:spPr>
        <a:xfrm>
          <a:off x="1965960" y="99061"/>
          <a:ext cx="1089660" cy="579120"/>
        </a:xfrm>
        <a:prstGeom prst="rect">
          <a:avLst/>
        </a:prstGeom>
        <a:solidFill>
          <a:schemeClr val="accent3">
            <a:lumMod val="20000"/>
            <a:lumOff val="80000"/>
          </a:schemeClr>
        </a:solidFill>
        <a:ln w="19050">
          <a:solidFill>
            <a:schemeClr val="accent3"/>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ZA" sz="1100" b="1">
              <a:solidFill>
                <a:sysClr val="windowText" lastClr="000000"/>
              </a:solidFill>
            </a:rPr>
            <a:t>Scroll</a:t>
          </a:r>
          <a:r>
            <a:rPr lang="en-ZA" sz="1100" b="1" baseline="0">
              <a:solidFill>
                <a:sysClr val="windowText" lastClr="000000"/>
              </a:solidFill>
            </a:rPr>
            <a:t> to top</a:t>
          </a:r>
          <a:endParaRPr lang="en-ZA" sz="1100" b="1">
            <a:solidFill>
              <a:sysClr val="windowText" lastClr="000000"/>
            </a:solidFill>
          </a:endParaRPr>
        </a:p>
      </xdr:txBody>
    </xdr:sp>
    <xdr:clientData/>
  </xdr:twoCellAnchor>
  <mc:AlternateContent xmlns:mc="http://schemas.openxmlformats.org/markup-compatibility/2006">
    <mc:Choice xmlns:a14="http://schemas.microsoft.com/office/drawing/2010/main" Requires="a14">
      <xdr:twoCellAnchor editAs="oneCell">
        <xdr:from>
          <xdr:col>6</xdr:col>
          <xdr:colOff>480060</xdr:colOff>
          <xdr:row>2</xdr:row>
          <xdr:rowOff>68580</xdr:rowOff>
        </xdr:from>
        <xdr:to>
          <xdr:col>8</xdr:col>
          <xdr:colOff>392430</xdr:colOff>
          <xdr:row>3</xdr:row>
          <xdr:rowOff>106680</xdr:rowOff>
        </xdr:to>
        <xdr:sp macro="" textlink="">
          <xdr:nvSpPr>
            <xdr:cNvPr id="21601" name="cb3ECus" hidden="1">
              <a:extLst>
                <a:ext uri="{63B3BB69-23CF-44E3-9099-C40C66FF867C}">
                  <a14:compatExt spid="_x0000_s21601"/>
                </a:ext>
                <a:ext uri="{FF2B5EF4-FFF2-40B4-BE49-F238E27FC236}">
                  <a16:creationId xmlns:a16="http://schemas.microsoft.com/office/drawing/2014/main" id="{00000000-0008-0000-1F00-0000615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822960</xdr:colOff>
          <xdr:row>2</xdr:row>
          <xdr:rowOff>60960</xdr:rowOff>
        </xdr:from>
        <xdr:to>
          <xdr:col>10</xdr:col>
          <xdr:colOff>971550</xdr:colOff>
          <xdr:row>3</xdr:row>
          <xdr:rowOff>106680</xdr:rowOff>
        </xdr:to>
        <xdr:sp macro="" textlink="">
          <xdr:nvSpPr>
            <xdr:cNvPr id="21602" name="cb3E" hidden="1">
              <a:extLst>
                <a:ext uri="{63B3BB69-23CF-44E3-9099-C40C66FF867C}">
                  <a14:compatExt spid="_x0000_s21602"/>
                </a:ext>
                <a:ext uri="{FF2B5EF4-FFF2-40B4-BE49-F238E27FC236}">
                  <a16:creationId xmlns:a16="http://schemas.microsoft.com/office/drawing/2014/main" id="{00000000-0008-0000-1F00-0000625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drawings/drawing27.xml><?xml version="1.0" encoding="utf-8"?>
<xdr:wsDr xmlns:xdr="http://schemas.openxmlformats.org/drawingml/2006/spreadsheetDrawing" xmlns:a="http://schemas.openxmlformats.org/drawingml/2006/main">
  <xdr:twoCellAnchor editAs="oneCell">
    <xdr:from>
      <xdr:col>1</xdr:col>
      <xdr:colOff>19050</xdr:colOff>
      <xdr:row>0</xdr:row>
      <xdr:rowOff>28575</xdr:rowOff>
    </xdr:from>
    <xdr:to>
      <xdr:col>4</xdr:col>
      <xdr:colOff>438150</xdr:colOff>
      <xdr:row>3</xdr:row>
      <xdr:rowOff>152400</xdr:rowOff>
    </xdr:to>
    <xdr:pic>
      <xdr:nvPicPr>
        <xdr:cNvPr id="487929" name="Picture 1">
          <a:extLst>
            <a:ext uri="{FF2B5EF4-FFF2-40B4-BE49-F238E27FC236}">
              <a16:creationId xmlns:a16="http://schemas.microsoft.com/office/drawing/2014/main" id="{30B9602E-E886-EEC7-9191-B742F874A04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6225" y="28575"/>
          <a:ext cx="1343025" cy="695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4</xdr:col>
      <xdr:colOff>739140</xdr:colOff>
      <xdr:row>0</xdr:row>
      <xdr:rowOff>76200</xdr:rowOff>
    </xdr:from>
    <xdr:to>
      <xdr:col>5</xdr:col>
      <xdr:colOff>17841</xdr:colOff>
      <xdr:row>3</xdr:row>
      <xdr:rowOff>125426</xdr:rowOff>
    </xdr:to>
    <xdr:sp macro="" textlink="">
      <xdr:nvSpPr>
        <xdr:cNvPr id="3" name="Rectangle 2">
          <a:hlinkClick xmlns:r="http://schemas.openxmlformats.org/officeDocument/2006/relationships" r:id="rId2" tooltip=" "/>
          <a:extLst>
            <a:ext uri="{FF2B5EF4-FFF2-40B4-BE49-F238E27FC236}">
              <a16:creationId xmlns:a16="http://schemas.microsoft.com/office/drawing/2014/main" id="{5F2F21AB-E450-1A4D-790F-5B54A695A460}"/>
            </a:ext>
          </a:extLst>
        </xdr:cNvPr>
        <xdr:cNvSpPr/>
      </xdr:nvSpPr>
      <xdr:spPr>
        <a:xfrm>
          <a:off x="1935480" y="76200"/>
          <a:ext cx="1190859" cy="599843"/>
        </a:xfrm>
        <a:prstGeom prst="rect">
          <a:avLst/>
        </a:prstGeom>
        <a:solidFill>
          <a:schemeClr val="accent3">
            <a:lumMod val="20000"/>
            <a:lumOff val="80000"/>
          </a:schemeClr>
        </a:solidFill>
        <a:ln w="19050">
          <a:solidFill>
            <a:schemeClr val="accent3"/>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ZA" sz="1100" b="1">
              <a:solidFill>
                <a:sysClr val="windowText" lastClr="000000"/>
              </a:solidFill>
            </a:rPr>
            <a:t>Scroll</a:t>
          </a:r>
          <a:r>
            <a:rPr lang="en-ZA" sz="1100" b="1" baseline="0">
              <a:solidFill>
                <a:sysClr val="windowText" lastClr="000000"/>
              </a:solidFill>
            </a:rPr>
            <a:t> to top</a:t>
          </a:r>
          <a:endParaRPr lang="en-ZA" sz="1100" b="1">
            <a:solidFill>
              <a:sysClr val="windowText" lastClr="000000"/>
            </a:solidFill>
          </a:endParaRPr>
        </a:p>
      </xdr:txBody>
    </xdr:sp>
    <xdr:clientData/>
  </xdr:twoCellAnchor>
  <mc:AlternateContent xmlns:mc="http://schemas.openxmlformats.org/markup-compatibility/2006">
    <mc:Choice xmlns:a14="http://schemas.microsoft.com/office/drawing/2010/main" Requires="a14">
      <xdr:twoCellAnchor editAs="oneCell">
        <xdr:from>
          <xdr:col>5</xdr:col>
          <xdr:colOff>480060</xdr:colOff>
          <xdr:row>2</xdr:row>
          <xdr:rowOff>60960</xdr:rowOff>
        </xdr:from>
        <xdr:to>
          <xdr:col>7</xdr:col>
          <xdr:colOff>419100</xdr:colOff>
          <xdr:row>3</xdr:row>
          <xdr:rowOff>137160</xdr:rowOff>
        </xdr:to>
        <xdr:sp macro="" textlink="">
          <xdr:nvSpPr>
            <xdr:cNvPr id="22529" name="cb3SWCus" hidden="1">
              <a:extLst>
                <a:ext uri="{63B3BB69-23CF-44E3-9099-C40C66FF867C}">
                  <a14:compatExt spid="_x0000_s22529"/>
                </a:ext>
                <a:ext uri="{FF2B5EF4-FFF2-40B4-BE49-F238E27FC236}">
                  <a16:creationId xmlns:a16="http://schemas.microsoft.com/office/drawing/2014/main" id="{00000000-0008-0000-2000-0000015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586740</xdr:colOff>
          <xdr:row>2</xdr:row>
          <xdr:rowOff>68580</xdr:rowOff>
        </xdr:from>
        <xdr:to>
          <xdr:col>9</xdr:col>
          <xdr:colOff>163830</xdr:colOff>
          <xdr:row>3</xdr:row>
          <xdr:rowOff>121920</xdr:rowOff>
        </xdr:to>
        <xdr:sp macro="" textlink="">
          <xdr:nvSpPr>
            <xdr:cNvPr id="22530" name="cb3SW" hidden="1">
              <a:extLst>
                <a:ext uri="{63B3BB69-23CF-44E3-9099-C40C66FF867C}">
                  <a14:compatExt spid="_x0000_s22530"/>
                </a:ext>
                <a:ext uri="{FF2B5EF4-FFF2-40B4-BE49-F238E27FC236}">
                  <a16:creationId xmlns:a16="http://schemas.microsoft.com/office/drawing/2014/main" id="{00000000-0008-0000-2000-0000025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drawings/drawing28.xml><?xml version="1.0" encoding="utf-8"?>
<xdr:wsDr xmlns:xdr="http://schemas.openxmlformats.org/drawingml/2006/spreadsheetDrawing" xmlns:a="http://schemas.openxmlformats.org/drawingml/2006/main">
  <xdr:twoCellAnchor editAs="oneCell">
    <xdr:from>
      <xdr:col>1</xdr:col>
      <xdr:colOff>38100</xdr:colOff>
      <xdr:row>0</xdr:row>
      <xdr:rowOff>19050</xdr:rowOff>
    </xdr:from>
    <xdr:to>
      <xdr:col>3</xdr:col>
      <xdr:colOff>933450</xdr:colOff>
      <xdr:row>3</xdr:row>
      <xdr:rowOff>152400</xdr:rowOff>
    </xdr:to>
    <xdr:pic>
      <xdr:nvPicPr>
        <xdr:cNvPr id="999769" name="Picture 1">
          <a:extLst>
            <a:ext uri="{FF2B5EF4-FFF2-40B4-BE49-F238E27FC236}">
              <a16:creationId xmlns:a16="http://schemas.microsoft.com/office/drawing/2014/main" id="{BF4B2F8C-018C-4FBD-322D-C7C47613066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66700" y="19050"/>
          <a:ext cx="1362075" cy="704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238125</xdr:colOff>
      <xdr:row>24</xdr:row>
      <xdr:rowOff>171450</xdr:rowOff>
    </xdr:from>
    <xdr:to>
      <xdr:col>6</xdr:col>
      <xdr:colOff>676275</xdr:colOff>
      <xdr:row>38</xdr:row>
      <xdr:rowOff>0</xdr:rowOff>
    </xdr:to>
    <xdr:graphicFrame macro="">
      <xdr:nvGraphicFramePr>
        <xdr:cNvPr id="999770" name="Chart 3">
          <a:extLst>
            <a:ext uri="{FF2B5EF4-FFF2-40B4-BE49-F238E27FC236}">
              <a16:creationId xmlns:a16="http://schemas.microsoft.com/office/drawing/2014/main" id="{755928A7-9829-19F2-7D81-A9B3BF9A862D}"/>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2</xdr:col>
      <xdr:colOff>161925</xdr:colOff>
      <xdr:row>48</xdr:row>
      <xdr:rowOff>95250</xdr:rowOff>
    </xdr:from>
    <xdr:to>
      <xdr:col>6</xdr:col>
      <xdr:colOff>704850</xdr:colOff>
      <xdr:row>62</xdr:row>
      <xdr:rowOff>180975</xdr:rowOff>
    </xdr:to>
    <xdr:graphicFrame macro="">
      <xdr:nvGraphicFramePr>
        <xdr:cNvPr id="999771" name="Chart 5">
          <a:extLst>
            <a:ext uri="{FF2B5EF4-FFF2-40B4-BE49-F238E27FC236}">
              <a16:creationId xmlns:a16="http://schemas.microsoft.com/office/drawing/2014/main" id="{A79B6F80-62BC-48A8-A0A6-58E0CEC4BE4D}"/>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2</xdr:col>
      <xdr:colOff>266700</xdr:colOff>
      <xdr:row>84</xdr:row>
      <xdr:rowOff>133350</xdr:rowOff>
    </xdr:from>
    <xdr:to>
      <xdr:col>6</xdr:col>
      <xdr:colOff>590550</xdr:colOff>
      <xdr:row>100</xdr:row>
      <xdr:rowOff>161925</xdr:rowOff>
    </xdr:to>
    <xdr:graphicFrame macro="">
      <xdr:nvGraphicFramePr>
        <xdr:cNvPr id="999772" name="Chart 13">
          <a:extLst>
            <a:ext uri="{FF2B5EF4-FFF2-40B4-BE49-F238E27FC236}">
              <a16:creationId xmlns:a16="http://schemas.microsoft.com/office/drawing/2014/main" id="{E9753055-629A-61AF-43A2-78E83A0C6C22}"/>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2</xdr:col>
      <xdr:colOff>276225</xdr:colOff>
      <xdr:row>150</xdr:row>
      <xdr:rowOff>171450</xdr:rowOff>
    </xdr:from>
    <xdr:to>
      <xdr:col>6</xdr:col>
      <xdr:colOff>676275</xdr:colOff>
      <xdr:row>167</xdr:row>
      <xdr:rowOff>19050</xdr:rowOff>
    </xdr:to>
    <xdr:graphicFrame macro="">
      <xdr:nvGraphicFramePr>
        <xdr:cNvPr id="999773" name="Chart 6">
          <a:extLst>
            <a:ext uri="{FF2B5EF4-FFF2-40B4-BE49-F238E27FC236}">
              <a16:creationId xmlns:a16="http://schemas.microsoft.com/office/drawing/2014/main" id="{EC0CCBA4-F752-87AC-B7A6-A40167B563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3</xdr:col>
      <xdr:colOff>76200</xdr:colOff>
      <xdr:row>178</xdr:row>
      <xdr:rowOff>38100</xdr:rowOff>
    </xdr:from>
    <xdr:to>
      <xdr:col>6</xdr:col>
      <xdr:colOff>295275</xdr:colOff>
      <xdr:row>194</xdr:row>
      <xdr:rowOff>133350</xdr:rowOff>
    </xdr:to>
    <xdr:graphicFrame macro="">
      <xdr:nvGraphicFramePr>
        <xdr:cNvPr id="999774" name="Chart 7">
          <a:extLst>
            <a:ext uri="{FF2B5EF4-FFF2-40B4-BE49-F238E27FC236}">
              <a16:creationId xmlns:a16="http://schemas.microsoft.com/office/drawing/2014/main" id="{15BA6C4D-1726-0317-41B0-2CB8EBE784E3}"/>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xdr:from>
      <xdr:col>3</xdr:col>
      <xdr:colOff>0</xdr:colOff>
      <xdr:row>217</xdr:row>
      <xdr:rowOff>171450</xdr:rowOff>
    </xdr:from>
    <xdr:to>
      <xdr:col>6</xdr:col>
      <xdr:colOff>638175</xdr:colOff>
      <xdr:row>234</xdr:row>
      <xdr:rowOff>19050</xdr:rowOff>
    </xdr:to>
    <xdr:graphicFrame macro="">
      <xdr:nvGraphicFramePr>
        <xdr:cNvPr id="999775" name="Chart 8">
          <a:extLst>
            <a:ext uri="{FF2B5EF4-FFF2-40B4-BE49-F238E27FC236}">
              <a16:creationId xmlns:a16="http://schemas.microsoft.com/office/drawing/2014/main" id="{07D46F87-B4C3-46A4-8DB4-D3FA1D86867D}"/>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twoCellAnchor>
  <xdr:twoCellAnchor>
    <xdr:from>
      <xdr:col>3</xdr:col>
      <xdr:colOff>57150</xdr:colOff>
      <xdr:row>245</xdr:row>
      <xdr:rowOff>38100</xdr:rowOff>
    </xdr:from>
    <xdr:to>
      <xdr:col>6</xdr:col>
      <xdr:colOff>276225</xdr:colOff>
      <xdr:row>261</xdr:row>
      <xdr:rowOff>133350</xdr:rowOff>
    </xdr:to>
    <xdr:graphicFrame macro="">
      <xdr:nvGraphicFramePr>
        <xdr:cNvPr id="999776" name="Chart 9">
          <a:extLst>
            <a:ext uri="{FF2B5EF4-FFF2-40B4-BE49-F238E27FC236}">
              <a16:creationId xmlns:a16="http://schemas.microsoft.com/office/drawing/2014/main" id="{4921FFBB-883A-5B69-819A-8799AB4519AD}"/>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twoCellAnchor>
  <xdr:twoCellAnchor>
    <xdr:from>
      <xdr:col>2</xdr:col>
      <xdr:colOff>276225</xdr:colOff>
      <xdr:row>284</xdr:row>
      <xdr:rowOff>171450</xdr:rowOff>
    </xdr:from>
    <xdr:to>
      <xdr:col>6</xdr:col>
      <xdr:colOff>647700</xdr:colOff>
      <xdr:row>301</xdr:row>
      <xdr:rowOff>19050</xdr:rowOff>
    </xdr:to>
    <xdr:graphicFrame macro="">
      <xdr:nvGraphicFramePr>
        <xdr:cNvPr id="999777" name="Chart 10">
          <a:extLst>
            <a:ext uri="{FF2B5EF4-FFF2-40B4-BE49-F238E27FC236}">
              <a16:creationId xmlns:a16="http://schemas.microsoft.com/office/drawing/2014/main" id="{A8D2F618-3AF8-3F53-D55A-3493E68B6B54}"/>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9"/>
        </a:graphicData>
      </a:graphic>
    </xdr:graphicFrame>
    <xdr:clientData/>
  </xdr:twoCellAnchor>
  <xdr:twoCellAnchor>
    <xdr:from>
      <xdr:col>3</xdr:col>
      <xdr:colOff>57150</xdr:colOff>
      <xdr:row>312</xdr:row>
      <xdr:rowOff>38100</xdr:rowOff>
    </xdr:from>
    <xdr:to>
      <xdr:col>6</xdr:col>
      <xdr:colOff>276225</xdr:colOff>
      <xdr:row>328</xdr:row>
      <xdr:rowOff>133350</xdr:rowOff>
    </xdr:to>
    <xdr:graphicFrame macro="">
      <xdr:nvGraphicFramePr>
        <xdr:cNvPr id="999778" name="Chart 11">
          <a:extLst>
            <a:ext uri="{FF2B5EF4-FFF2-40B4-BE49-F238E27FC236}">
              <a16:creationId xmlns:a16="http://schemas.microsoft.com/office/drawing/2014/main" id="{F3BDC6A0-460D-2ED7-AC95-53BB0C196087}"/>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0"/>
        </a:graphicData>
      </a:graphic>
    </xdr:graphicFrame>
    <xdr:clientData/>
  </xdr:twoCellAnchor>
  <xdr:twoCellAnchor>
    <xdr:from>
      <xdr:col>3</xdr:col>
      <xdr:colOff>9525</xdr:colOff>
      <xdr:row>351</xdr:row>
      <xdr:rowOff>171450</xdr:rowOff>
    </xdr:from>
    <xdr:to>
      <xdr:col>6</xdr:col>
      <xdr:colOff>695325</xdr:colOff>
      <xdr:row>368</xdr:row>
      <xdr:rowOff>19050</xdr:rowOff>
    </xdr:to>
    <xdr:graphicFrame macro="">
      <xdr:nvGraphicFramePr>
        <xdr:cNvPr id="999779" name="Chart 12">
          <a:extLst>
            <a:ext uri="{FF2B5EF4-FFF2-40B4-BE49-F238E27FC236}">
              <a16:creationId xmlns:a16="http://schemas.microsoft.com/office/drawing/2014/main" id="{718B4050-0280-CF9F-8D0B-10E43199E1E1}"/>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1"/>
        </a:graphicData>
      </a:graphic>
    </xdr:graphicFrame>
    <xdr:clientData/>
  </xdr:twoCellAnchor>
  <xdr:twoCellAnchor>
    <xdr:from>
      <xdr:col>3</xdr:col>
      <xdr:colOff>57150</xdr:colOff>
      <xdr:row>378</xdr:row>
      <xdr:rowOff>38100</xdr:rowOff>
    </xdr:from>
    <xdr:to>
      <xdr:col>6</xdr:col>
      <xdr:colOff>276225</xdr:colOff>
      <xdr:row>394</xdr:row>
      <xdr:rowOff>133350</xdr:rowOff>
    </xdr:to>
    <xdr:graphicFrame macro="">
      <xdr:nvGraphicFramePr>
        <xdr:cNvPr id="999780" name="Chart 14">
          <a:extLst>
            <a:ext uri="{FF2B5EF4-FFF2-40B4-BE49-F238E27FC236}">
              <a16:creationId xmlns:a16="http://schemas.microsoft.com/office/drawing/2014/main" id="{34BA807B-1A27-2941-38B7-4C739B89F94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2"/>
        </a:graphicData>
      </a:graphic>
    </xdr:graphicFrame>
    <xdr:clientData/>
  </xdr:twoCellAnchor>
  <xdr:twoCellAnchor>
    <xdr:from>
      <xdr:col>3</xdr:col>
      <xdr:colOff>0</xdr:colOff>
      <xdr:row>417</xdr:row>
      <xdr:rowOff>171450</xdr:rowOff>
    </xdr:from>
    <xdr:to>
      <xdr:col>6</xdr:col>
      <xdr:colOff>647700</xdr:colOff>
      <xdr:row>434</xdr:row>
      <xdr:rowOff>19050</xdr:rowOff>
    </xdr:to>
    <xdr:graphicFrame macro="">
      <xdr:nvGraphicFramePr>
        <xdr:cNvPr id="999781" name="Chart 15">
          <a:extLst>
            <a:ext uri="{FF2B5EF4-FFF2-40B4-BE49-F238E27FC236}">
              <a16:creationId xmlns:a16="http://schemas.microsoft.com/office/drawing/2014/main" id="{E45F5ED5-70ED-AB9A-2466-30D2C0C96652}"/>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3"/>
        </a:graphicData>
      </a:graphic>
    </xdr:graphicFrame>
    <xdr:clientData/>
  </xdr:twoCellAnchor>
  <xdr:twoCellAnchor>
    <xdr:from>
      <xdr:col>3</xdr:col>
      <xdr:colOff>57150</xdr:colOff>
      <xdr:row>445</xdr:row>
      <xdr:rowOff>38100</xdr:rowOff>
    </xdr:from>
    <xdr:to>
      <xdr:col>6</xdr:col>
      <xdr:colOff>276225</xdr:colOff>
      <xdr:row>461</xdr:row>
      <xdr:rowOff>133350</xdr:rowOff>
    </xdr:to>
    <xdr:graphicFrame macro="">
      <xdr:nvGraphicFramePr>
        <xdr:cNvPr id="999782" name="Chart 16">
          <a:extLst>
            <a:ext uri="{FF2B5EF4-FFF2-40B4-BE49-F238E27FC236}">
              <a16:creationId xmlns:a16="http://schemas.microsoft.com/office/drawing/2014/main" id="{4BA3428D-BFD8-32DE-CD8B-12D0B923C1B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4"/>
        </a:graphicData>
      </a:graphic>
    </xdr:graphicFrame>
    <xdr:clientData/>
  </xdr:twoCellAnchor>
  <xdr:twoCellAnchor>
    <xdr:from>
      <xdr:col>2</xdr:col>
      <xdr:colOff>285750</xdr:colOff>
      <xdr:row>486</xdr:row>
      <xdr:rowOff>171450</xdr:rowOff>
    </xdr:from>
    <xdr:to>
      <xdr:col>6</xdr:col>
      <xdr:colOff>495300</xdr:colOff>
      <xdr:row>503</xdr:row>
      <xdr:rowOff>19050</xdr:rowOff>
    </xdr:to>
    <xdr:graphicFrame macro="">
      <xdr:nvGraphicFramePr>
        <xdr:cNvPr id="999783" name="Chart 18">
          <a:extLst>
            <a:ext uri="{FF2B5EF4-FFF2-40B4-BE49-F238E27FC236}">
              <a16:creationId xmlns:a16="http://schemas.microsoft.com/office/drawing/2014/main" id="{19D5340C-E6AD-F0C5-D0A3-216C39855E27}"/>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5"/>
        </a:graphicData>
      </a:graphic>
    </xdr:graphicFrame>
    <xdr:clientData/>
  </xdr:twoCellAnchor>
  <xdr:twoCellAnchor>
    <xdr:from>
      <xdr:col>3</xdr:col>
      <xdr:colOff>57150</xdr:colOff>
      <xdr:row>514</xdr:row>
      <xdr:rowOff>38100</xdr:rowOff>
    </xdr:from>
    <xdr:to>
      <xdr:col>6</xdr:col>
      <xdr:colOff>276225</xdr:colOff>
      <xdr:row>530</xdr:row>
      <xdr:rowOff>133350</xdr:rowOff>
    </xdr:to>
    <xdr:graphicFrame macro="">
      <xdr:nvGraphicFramePr>
        <xdr:cNvPr id="999784" name="Chart 19">
          <a:extLst>
            <a:ext uri="{FF2B5EF4-FFF2-40B4-BE49-F238E27FC236}">
              <a16:creationId xmlns:a16="http://schemas.microsoft.com/office/drawing/2014/main" id="{12D32F80-80AF-CD3F-D0E0-0CFA6501F714}"/>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6"/>
        </a:graphicData>
      </a:graphic>
    </xdr:graphicFrame>
    <xdr:clientData/>
  </xdr:twoCellAnchor>
  <xdr:twoCellAnchor>
    <xdr:from>
      <xdr:col>3</xdr:col>
      <xdr:colOff>19050</xdr:colOff>
      <xdr:row>553</xdr:row>
      <xdr:rowOff>171450</xdr:rowOff>
    </xdr:from>
    <xdr:to>
      <xdr:col>6</xdr:col>
      <xdr:colOff>609600</xdr:colOff>
      <xdr:row>570</xdr:row>
      <xdr:rowOff>19050</xdr:rowOff>
    </xdr:to>
    <xdr:graphicFrame macro="">
      <xdr:nvGraphicFramePr>
        <xdr:cNvPr id="999785" name="Chart 20">
          <a:extLst>
            <a:ext uri="{FF2B5EF4-FFF2-40B4-BE49-F238E27FC236}">
              <a16:creationId xmlns:a16="http://schemas.microsoft.com/office/drawing/2014/main" id="{BFA24121-E44F-1B21-EBD6-060606E2BEF1}"/>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7"/>
        </a:graphicData>
      </a:graphic>
    </xdr:graphicFrame>
    <xdr:clientData/>
  </xdr:twoCellAnchor>
  <xdr:twoCellAnchor>
    <xdr:from>
      <xdr:col>3</xdr:col>
      <xdr:colOff>57150</xdr:colOff>
      <xdr:row>581</xdr:row>
      <xdr:rowOff>38100</xdr:rowOff>
    </xdr:from>
    <xdr:to>
      <xdr:col>6</xdr:col>
      <xdr:colOff>276225</xdr:colOff>
      <xdr:row>597</xdr:row>
      <xdr:rowOff>133350</xdr:rowOff>
    </xdr:to>
    <xdr:graphicFrame macro="">
      <xdr:nvGraphicFramePr>
        <xdr:cNvPr id="999786" name="Chart 21">
          <a:extLst>
            <a:ext uri="{FF2B5EF4-FFF2-40B4-BE49-F238E27FC236}">
              <a16:creationId xmlns:a16="http://schemas.microsoft.com/office/drawing/2014/main" id="{B9974E2F-4E2B-69F8-E612-73E45EADCD11}"/>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8"/>
        </a:graphicData>
      </a:graphic>
    </xdr:graphicFrame>
    <xdr:clientData/>
  </xdr:twoCellAnchor>
  <xdr:twoCellAnchor>
    <xdr:from>
      <xdr:col>3</xdr:col>
      <xdr:colOff>28575</xdr:colOff>
      <xdr:row>620</xdr:row>
      <xdr:rowOff>171450</xdr:rowOff>
    </xdr:from>
    <xdr:to>
      <xdr:col>6</xdr:col>
      <xdr:colOff>685800</xdr:colOff>
      <xdr:row>637</xdr:row>
      <xdr:rowOff>19050</xdr:rowOff>
    </xdr:to>
    <xdr:graphicFrame macro="">
      <xdr:nvGraphicFramePr>
        <xdr:cNvPr id="999787" name="Chart 22">
          <a:extLst>
            <a:ext uri="{FF2B5EF4-FFF2-40B4-BE49-F238E27FC236}">
              <a16:creationId xmlns:a16="http://schemas.microsoft.com/office/drawing/2014/main" id="{C4357D5A-DB50-B3FA-696B-176E6452FDB8}"/>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9"/>
        </a:graphicData>
      </a:graphic>
    </xdr:graphicFrame>
    <xdr:clientData/>
  </xdr:twoCellAnchor>
  <xdr:twoCellAnchor>
    <xdr:from>
      <xdr:col>3</xdr:col>
      <xdr:colOff>57150</xdr:colOff>
      <xdr:row>648</xdr:row>
      <xdr:rowOff>38100</xdr:rowOff>
    </xdr:from>
    <xdr:to>
      <xdr:col>6</xdr:col>
      <xdr:colOff>276225</xdr:colOff>
      <xdr:row>664</xdr:row>
      <xdr:rowOff>133350</xdr:rowOff>
    </xdr:to>
    <xdr:graphicFrame macro="">
      <xdr:nvGraphicFramePr>
        <xdr:cNvPr id="999788" name="Chart 23">
          <a:extLst>
            <a:ext uri="{FF2B5EF4-FFF2-40B4-BE49-F238E27FC236}">
              <a16:creationId xmlns:a16="http://schemas.microsoft.com/office/drawing/2014/main" id="{330AC6EB-6DEC-3DED-2F5B-49EC90068A5A}"/>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0"/>
        </a:graphicData>
      </a:graphic>
    </xdr:graphicFrame>
    <xdr:clientData/>
  </xdr:twoCellAnchor>
  <xdr:twoCellAnchor>
    <xdr:from>
      <xdr:col>2</xdr:col>
      <xdr:colOff>304800</xdr:colOff>
      <xdr:row>687</xdr:row>
      <xdr:rowOff>171450</xdr:rowOff>
    </xdr:from>
    <xdr:to>
      <xdr:col>6</xdr:col>
      <xdr:colOff>581025</xdr:colOff>
      <xdr:row>704</xdr:row>
      <xdr:rowOff>19050</xdr:rowOff>
    </xdr:to>
    <xdr:graphicFrame macro="">
      <xdr:nvGraphicFramePr>
        <xdr:cNvPr id="999789" name="Chart 24">
          <a:extLst>
            <a:ext uri="{FF2B5EF4-FFF2-40B4-BE49-F238E27FC236}">
              <a16:creationId xmlns:a16="http://schemas.microsoft.com/office/drawing/2014/main" id="{9B8ACB65-F3D8-9F27-3703-104138231AD9}"/>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1"/>
        </a:graphicData>
      </a:graphic>
    </xdr:graphicFrame>
    <xdr:clientData/>
  </xdr:twoCellAnchor>
  <xdr:twoCellAnchor>
    <xdr:from>
      <xdr:col>3</xdr:col>
      <xdr:colOff>57150</xdr:colOff>
      <xdr:row>715</xdr:row>
      <xdr:rowOff>38100</xdr:rowOff>
    </xdr:from>
    <xdr:to>
      <xdr:col>6</xdr:col>
      <xdr:colOff>276225</xdr:colOff>
      <xdr:row>731</xdr:row>
      <xdr:rowOff>133350</xdr:rowOff>
    </xdr:to>
    <xdr:graphicFrame macro="">
      <xdr:nvGraphicFramePr>
        <xdr:cNvPr id="999790" name="Chart 25">
          <a:extLst>
            <a:ext uri="{FF2B5EF4-FFF2-40B4-BE49-F238E27FC236}">
              <a16:creationId xmlns:a16="http://schemas.microsoft.com/office/drawing/2014/main" id="{A95D17A3-8780-39F3-4172-3DC3488C6B03}"/>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2"/>
        </a:graphicData>
      </a:graphic>
    </xdr:graphicFrame>
    <xdr:clientData/>
  </xdr:twoCellAnchor>
  <xdr:twoCellAnchor>
    <xdr:from>
      <xdr:col>2</xdr:col>
      <xdr:colOff>314325</xdr:colOff>
      <xdr:row>754</xdr:row>
      <xdr:rowOff>171450</xdr:rowOff>
    </xdr:from>
    <xdr:to>
      <xdr:col>6</xdr:col>
      <xdr:colOff>542925</xdr:colOff>
      <xdr:row>771</xdr:row>
      <xdr:rowOff>19050</xdr:rowOff>
    </xdr:to>
    <xdr:graphicFrame macro="">
      <xdr:nvGraphicFramePr>
        <xdr:cNvPr id="999791" name="Chart 26">
          <a:extLst>
            <a:ext uri="{FF2B5EF4-FFF2-40B4-BE49-F238E27FC236}">
              <a16:creationId xmlns:a16="http://schemas.microsoft.com/office/drawing/2014/main" id="{5BA47C47-6D57-48DE-C346-555818D3E911}"/>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3"/>
        </a:graphicData>
      </a:graphic>
    </xdr:graphicFrame>
    <xdr:clientData/>
  </xdr:twoCellAnchor>
  <xdr:twoCellAnchor>
    <xdr:from>
      <xdr:col>3</xdr:col>
      <xdr:colOff>57150</xdr:colOff>
      <xdr:row>782</xdr:row>
      <xdr:rowOff>38100</xdr:rowOff>
    </xdr:from>
    <xdr:to>
      <xdr:col>6</xdr:col>
      <xdr:colOff>276225</xdr:colOff>
      <xdr:row>798</xdr:row>
      <xdr:rowOff>133350</xdr:rowOff>
    </xdr:to>
    <xdr:graphicFrame macro="">
      <xdr:nvGraphicFramePr>
        <xdr:cNvPr id="999792" name="Chart 27">
          <a:extLst>
            <a:ext uri="{FF2B5EF4-FFF2-40B4-BE49-F238E27FC236}">
              <a16:creationId xmlns:a16="http://schemas.microsoft.com/office/drawing/2014/main" id="{AAC2AEA3-E2D2-D55F-DF84-E3CED3698707}"/>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4"/>
        </a:graphicData>
      </a:graphic>
    </xdr:graphicFrame>
    <xdr:clientData/>
  </xdr:twoCellAnchor>
  <xdr:twoCellAnchor>
    <xdr:from>
      <xdr:col>3</xdr:col>
      <xdr:colOff>19050</xdr:colOff>
      <xdr:row>821</xdr:row>
      <xdr:rowOff>171450</xdr:rowOff>
    </xdr:from>
    <xdr:to>
      <xdr:col>6</xdr:col>
      <xdr:colOff>600075</xdr:colOff>
      <xdr:row>838</xdr:row>
      <xdr:rowOff>19050</xdr:rowOff>
    </xdr:to>
    <xdr:graphicFrame macro="">
      <xdr:nvGraphicFramePr>
        <xdr:cNvPr id="999793" name="Chart 28">
          <a:extLst>
            <a:ext uri="{FF2B5EF4-FFF2-40B4-BE49-F238E27FC236}">
              <a16:creationId xmlns:a16="http://schemas.microsoft.com/office/drawing/2014/main" id="{592B1E31-D65B-5FCE-DF5C-BB34F8AB8A2D}"/>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5"/>
        </a:graphicData>
      </a:graphic>
    </xdr:graphicFrame>
    <xdr:clientData/>
  </xdr:twoCellAnchor>
  <xdr:twoCellAnchor>
    <xdr:from>
      <xdr:col>3</xdr:col>
      <xdr:colOff>57150</xdr:colOff>
      <xdr:row>849</xdr:row>
      <xdr:rowOff>38100</xdr:rowOff>
    </xdr:from>
    <xdr:to>
      <xdr:col>6</xdr:col>
      <xdr:colOff>276225</xdr:colOff>
      <xdr:row>865</xdr:row>
      <xdr:rowOff>133350</xdr:rowOff>
    </xdr:to>
    <xdr:graphicFrame macro="">
      <xdr:nvGraphicFramePr>
        <xdr:cNvPr id="999794" name="Chart 29">
          <a:extLst>
            <a:ext uri="{FF2B5EF4-FFF2-40B4-BE49-F238E27FC236}">
              <a16:creationId xmlns:a16="http://schemas.microsoft.com/office/drawing/2014/main" id="{BA590834-7014-325F-321A-A4934EE10962}"/>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6"/>
        </a:graphicData>
      </a:graphic>
    </xdr:graphicFrame>
    <xdr:clientData/>
  </xdr:twoCellAnchor>
  <xdr:twoCellAnchor>
    <xdr:from>
      <xdr:col>2</xdr:col>
      <xdr:colOff>314325</xdr:colOff>
      <xdr:row>888</xdr:row>
      <xdr:rowOff>171450</xdr:rowOff>
    </xdr:from>
    <xdr:to>
      <xdr:col>6</xdr:col>
      <xdr:colOff>552450</xdr:colOff>
      <xdr:row>905</xdr:row>
      <xdr:rowOff>19050</xdr:rowOff>
    </xdr:to>
    <xdr:graphicFrame macro="">
      <xdr:nvGraphicFramePr>
        <xdr:cNvPr id="999795" name="Chart 30">
          <a:extLst>
            <a:ext uri="{FF2B5EF4-FFF2-40B4-BE49-F238E27FC236}">
              <a16:creationId xmlns:a16="http://schemas.microsoft.com/office/drawing/2014/main" id="{1A55136D-D499-4168-3221-4316165F03CC}"/>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7"/>
        </a:graphicData>
      </a:graphic>
    </xdr:graphicFrame>
    <xdr:clientData/>
  </xdr:twoCellAnchor>
  <xdr:twoCellAnchor>
    <xdr:from>
      <xdr:col>3</xdr:col>
      <xdr:colOff>57150</xdr:colOff>
      <xdr:row>916</xdr:row>
      <xdr:rowOff>38100</xdr:rowOff>
    </xdr:from>
    <xdr:to>
      <xdr:col>6</xdr:col>
      <xdr:colOff>276225</xdr:colOff>
      <xdr:row>932</xdr:row>
      <xdr:rowOff>133350</xdr:rowOff>
    </xdr:to>
    <xdr:graphicFrame macro="">
      <xdr:nvGraphicFramePr>
        <xdr:cNvPr id="999796" name="Chart 31">
          <a:extLst>
            <a:ext uri="{FF2B5EF4-FFF2-40B4-BE49-F238E27FC236}">
              <a16:creationId xmlns:a16="http://schemas.microsoft.com/office/drawing/2014/main" id="{F7084A61-6F81-609E-6C1C-4E9F93E108E5}"/>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8"/>
        </a:graphicData>
      </a:graphic>
    </xdr:graphicFrame>
    <xdr:clientData/>
  </xdr:twoCellAnchor>
  <xdr:twoCellAnchor>
    <xdr:from>
      <xdr:col>2</xdr:col>
      <xdr:colOff>314325</xdr:colOff>
      <xdr:row>955</xdr:row>
      <xdr:rowOff>171450</xdr:rowOff>
    </xdr:from>
    <xdr:to>
      <xdr:col>6</xdr:col>
      <xdr:colOff>657225</xdr:colOff>
      <xdr:row>972</xdr:row>
      <xdr:rowOff>19050</xdr:rowOff>
    </xdr:to>
    <xdr:graphicFrame macro="">
      <xdr:nvGraphicFramePr>
        <xdr:cNvPr id="999797" name="Chart 32">
          <a:extLst>
            <a:ext uri="{FF2B5EF4-FFF2-40B4-BE49-F238E27FC236}">
              <a16:creationId xmlns:a16="http://schemas.microsoft.com/office/drawing/2014/main" id="{FAFE3D62-57B6-FF5D-D2BF-A1C53E2C3954}"/>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9"/>
        </a:graphicData>
      </a:graphic>
    </xdr:graphicFrame>
    <xdr:clientData/>
  </xdr:twoCellAnchor>
  <xdr:twoCellAnchor>
    <xdr:from>
      <xdr:col>3</xdr:col>
      <xdr:colOff>57150</xdr:colOff>
      <xdr:row>983</xdr:row>
      <xdr:rowOff>38100</xdr:rowOff>
    </xdr:from>
    <xdr:to>
      <xdr:col>6</xdr:col>
      <xdr:colOff>276225</xdr:colOff>
      <xdr:row>999</xdr:row>
      <xdr:rowOff>133350</xdr:rowOff>
    </xdr:to>
    <xdr:graphicFrame macro="">
      <xdr:nvGraphicFramePr>
        <xdr:cNvPr id="999798" name="Chart 33">
          <a:extLst>
            <a:ext uri="{FF2B5EF4-FFF2-40B4-BE49-F238E27FC236}">
              <a16:creationId xmlns:a16="http://schemas.microsoft.com/office/drawing/2014/main" id="{2EB69C93-6C86-DBE5-2721-DFC3339D6B74}"/>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0"/>
        </a:graphicData>
      </a:graphic>
    </xdr:graphicFrame>
    <xdr:clientData/>
  </xdr:twoCellAnchor>
  <xdr:twoCellAnchor>
    <xdr:from>
      <xdr:col>3</xdr:col>
      <xdr:colOff>19050</xdr:colOff>
      <xdr:row>1022</xdr:row>
      <xdr:rowOff>171450</xdr:rowOff>
    </xdr:from>
    <xdr:to>
      <xdr:col>6</xdr:col>
      <xdr:colOff>638175</xdr:colOff>
      <xdr:row>1039</xdr:row>
      <xdr:rowOff>19050</xdr:rowOff>
    </xdr:to>
    <xdr:graphicFrame macro="">
      <xdr:nvGraphicFramePr>
        <xdr:cNvPr id="999799" name="Chart 34">
          <a:extLst>
            <a:ext uri="{FF2B5EF4-FFF2-40B4-BE49-F238E27FC236}">
              <a16:creationId xmlns:a16="http://schemas.microsoft.com/office/drawing/2014/main" id="{DEB1D0D7-B639-B237-5A42-76A89A060FB8}"/>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1"/>
        </a:graphicData>
      </a:graphic>
    </xdr:graphicFrame>
    <xdr:clientData/>
  </xdr:twoCellAnchor>
  <xdr:twoCellAnchor>
    <xdr:from>
      <xdr:col>3</xdr:col>
      <xdr:colOff>57150</xdr:colOff>
      <xdr:row>1050</xdr:row>
      <xdr:rowOff>38100</xdr:rowOff>
    </xdr:from>
    <xdr:to>
      <xdr:col>6</xdr:col>
      <xdr:colOff>276225</xdr:colOff>
      <xdr:row>1066</xdr:row>
      <xdr:rowOff>133350</xdr:rowOff>
    </xdr:to>
    <xdr:graphicFrame macro="">
      <xdr:nvGraphicFramePr>
        <xdr:cNvPr id="999800" name="Chart 35">
          <a:extLst>
            <a:ext uri="{FF2B5EF4-FFF2-40B4-BE49-F238E27FC236}">
              <a16:creationId xmlns:a16="http://schemas.microsoft.com/office/drawing/2014/main" id="{BF090EBC-E001-45EC-2924-52E7F19D0FDE}"/>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2"/>
        </a:graphicData>
      </a:graphic>
    </xdr:graphicFrame>
    <xdr:clientData/>
  </xdr:twoCellAnchor>
  <xdr:twoCellAnchor>
    <xdr:from>
      <xdr:col>2</xdr:col>
      <xdr:colOff>314325</xdr:colOff>
      <xdr:row>1089</xdr:row>
      <xdr:rowOff>171450</xdr:rowOff>
    </xdr:from>
    <xdr:to>
      <xdr:col>6</xdr:col>
      <xdr:colOff>542925</xdr:colOff>
      <xdr:row>1106</xdr:row>
      <xdr:rowOff>19050</xdr:rowOff>
    </xdr:to>
    <xdr:graphicFrame macro="">
      <xdr:nvGraphicFramePr>
        <xdr:cNvPr id="999801" name="Chart 36">
          <a:extLst>
            <a:ext uri="{FF2B5EF4-FFF2-40B4-BE49-F238E27FC236}">
              <a16:creationId xmlns:a16="http://schemas.microsoft.com/office/drawing/2014/main" id="{65370B12-72FD-3164-0A0B-2BA69CC490CF}"/>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3"/>
        </a:graphicData>
      </a:graphic>
    </xdr:graphicFrame>
    <xdr:clientData/>
  </xdr:twoCellAnchor>
  <xdr:twoCellAnchor>
    <xdr:from>
      <xdr:col>3</xdr:col>
      <xdr:colOff>57150</xdr:colOff>
      <xdr:row>1117</xdr:row>
      <xdr:rowOff>38100</xdr:rowOff>
    </xdr:from>
    <xdr:to>
      <xdr:col>6</xdr:col>
      <xdr:colOff>276225</xdr:colOff>
      <xdr:row>1133</xdr:row>
      <xdr:rowOff>133350</xdr:rowOff>
    </xdr:to>
    <xdr:graphicFrame macro="">
      <xdr:nvGraphicFramePr>
        <xdr:cNvPr id="999802" name="Chart 37">
          <a:extLst>
            <a:ext uri="{FF2B5EF4-FFF2-40B4-BE49-F238E27FC236}">
              <a16:creationId xmlns:a16="http://schemas.microsoft.com/office/drawing/2014/main" id="{80AB994D-95D2-2D7C-9C77-C9D426824BDE}"/>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4"/>
        </a:graphicData>
      </a:graphic>
    </xdr:graphicFrame>
    <xdr:clientData/>
  </xdr:twoCellAnchor>
  <xdr:twoCellAnchor>
    <xdr:from>
      <xdr:col>3</xdr:col>
      <xdr:colOff>28575</xdr:colOff>
      <xdr:row>1156</xdr:row>
      <xdr:rowOff>171450</xdr:rowOff>
    </xdr:from>
    <xdr:to>
      <xdr:col>6</xdr:col>
      <xdr:colOff>571500</xdr:colOff>
      <xdr:row>1173</xdr:row>
      <xdr:rowOff>19050</xdr:rowOff>
    </xdr:to>
    <xdr:graphicFrame macro="">
      <xdr:nvGraphicFramePr>
        <xdr:cNvPr id="999803" name="Chart 38">
          <a:extLst>
            <a:ext uri="{FF2B5EF4-FFF2-40B4-BE49-F238E27FC236}">
              <a16:creationId xmlns:a16="http://schemas.microsoft.com/office/drawing/2014/main" id="{3D17A4D1-46E1-81AB-43D6-91BAA413527F}"/>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5"/>
        </a:graphicData>
      </a:graphic>
    </xdr:graphicFrame>
    <xdr:clientData/>
  </xdr:twoCellAnchor>
  <xdr:twoCellAnchor>
    <xdr:from>
      <xdr:col>3</xdr:col>
      <xdr:colOff>57150</xdr:colOff>
      <xdr:row>1184</xdr:row>
      <xdr:rowOff>38100</xdr:rowOff>
    </xdr:from>
    <xdr:to>
      <xdr:col>6</xdr:col>
      <xdr:colOff>276225</xdr:colOff>
      <xdr:row>1200</xdr:row>
      <xdr:rowOff>133350</xdr:rowOff>
    </xdr:to>
    <xdr:graphicFrame macro="">
      <xdr:nvGraphicFramePr>
        <xdr:cNvPr id="999804" name="Chart 39">
          <a:extLst>
            <a:ext uri="{FF2B5EF4-FFF2-40B4-BE49-F238E27FC236}">
              <a16:creationId xmlns:a16="http://schemas.microsoft.com/office/drawing/2014/main" id="{2A7F1170-F4EB-5DB9-416D-AB08DA105E6E}"/>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6"/>
        </a:graphicData>
      </a:graphic>
    </xdr:graphicFrame>
    <xdr:clientData/>
  </xdr:twoCellAnchor>
  <xdr:twoCellAnchor>
    <xdr:from>
      <xdr:col>3</xdr:col>
      <xdr:colOff>66675</xdr:colOff>
      <xdr:row>1223</xdr:row>
      <xdr:rowOff>171450</xdr:rowOff>
    </xdr:from>
    <xdr:to>
      <xdr:col>6</xdr:col>
      <xdr:colOff>647700</xdr:colOff>
      <xdr:row>1240</xdr:row>
      <xdr:rowOff>19050</xdr:rowOff>
    </xdr:to>
    <xdr:graphicFrame macro="">
      <xdr:nvGraphicFramePr>
        <xdr:cNvPr id="999805" name="Chart 40">
          <a:extLst>
            <a:ext uri="{FF2B5EF4-FFF2-40B4-BE49-F238E27FC236}">
              <a16:creationId xmlns:a16="http://schemas.microsoft.com/office/drawing/2014/main" id="{8ED71797-02D0-2861-902F-FC17FDE38F4C}"/>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7"/>
        </a:graphicData>
      </a:graphic>
    </xdr:graphicFrame>
    <xdr:clientData/>
  </xdr:twoCellAnchor>
  <xdr:twoCellAnchor>
    <xdr:from>
      <xdr:col>3</xdr:col>
      <xdr:colOff>57150</xdr:colOff>
      <xdr:row>1251</xdr:row>
      <xdr:rowOff>38100</xdr:rowOff>
    </xdr:from>
    <xdr:to>
      <xdr:col>6</xdr:col>
      <xdr:colOff>276225</xdr:colOff>
      <xdr:row>1267</xdr:row>
      <xdr:rowOff>133350</xdr:rowOff>
    </xdr:to>
    <xdr:graphicFrame macro="">
      <xdr:nvGraphicFramePr>
        <xdr:cNvPr id="999806" name="Chart 41">
          <a:extLst>
            <a:ext uri="{FF2B5EF4-FFF2-40B4-BE49-F238E27FC236}">
              <a16:creationId xmlns:a16="http://schemas.microsoft.com/office/drawing/2014/main" id="{5782D4CC-649C-0902-EA3E-2708E0F113A2}"/>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8"/>
        </a:graphicData>
      </a:graphic>
    </xdr:graphicFrame>
    <xdr:clientData/>
  </xdr:twoCellAnchor>
  <xdr:twoCellAnchor>
    <xdr:from>
      <xdr:col>3</xdr:col>
      <xdr:colOff>47625</xdr:colOff>
      <xdr:row>1290</xdr:row>
      <xdr:rowOff>171450</xdr:rowOff>
    </xdr:from>
    <xdr:to>
      <xdr:col>6</xdr:col>
      <xdr:colOff>600075</xdr:colOff>
      <xdr:row>1307</xdr:row>
      <xdr:rowOff>19050</xdr:rowOff>
    </xdr:to>
    <xdr:graphicFrame macro="">
      <xdr:nvGraphicFramePr>
        <xdr:cNvPr id="999807" name="Chart 42">
          <a:extLst>
            <a:ext uri="{FF2B5EF4-FFF2-40B4-BE49-F238E27FC236}">
              <a16:creationId xmlns:a16="http://schemas.microsoft.com/office/drawing/2014/main" id="{38F65494-B16E-6468-5C4F-782D3B087FC7}"/>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9"/>
        </a:graphicData>
      </a:graphic>
    </xdr:graphicFrame>
    <xdr:clientData/>
  </xdr:twoCellAnchor>
  <xdr:twoCellAnchor>
    <xdr:from>
      <xdr:col>3</xdr:col>
      <xdr:colOff>57150</xdr:colOff>
      <xdr:row>1318</xdr:row>
      <xdr:rowOff>38100</xdr:rowOff>
    </xdr:from>
    <xdr:to>
      <xdr:col>6</xdr:col>
      <xdr:colOff>276225</xdr:colOff>
      <xdr:row>1334</xdr:row>
      <xdr:rowOff>133350</xdr:rowOff>
    </xdr:to>
    <xdr:graphicFrame macro="">
      <xdr:nvGraphicFramePr>
        <xdr:cNvPr id="999808" name="Chart 43">
          <a:extLst>
            <a:ext uri="{FF2B5EF4-FFF2-40B4-BE49-F238E27FC236}">
              <a16:creationId xmlns:a16="http://schemas.microsoft.com/office/drawing/2014/main" id="{3999C559-21CF-3A01-A27B-4350A2731DA8}"/>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0"/>
        </a:graphicData>
      </a:graphic>
    </xdr:graphicFrame>
    <xdr:clientData/>
  </xdr:twoCellAnchor>
  <xdr:twoCellAnchor>
    <xdr:from>
      <xdr:col>2</xdr:col>
      <xdr:colOff>276225</xdr:colOff>
      <xdr:row>110</xdr:row>
      <xdr:rowOff>171450</xdr:rowOff>
    </xdr:from>
    <xdr:to>
      <xdr:col>6</xdr:col>
      <xdr:colOff>171450</xdr:colOff>
      <xdr:row>127</xdr:row>
      <xdr:rowOff>95250</xdr:rowOff>
    </xdr:to>
    <xdr:graphicFrame macro="">
      <xdr:nvGraphicFramePr>
        <xdr:cNvPr id="999809" name="Chart 44">
          <a:extLst>
            <a:ext uri="{FF2B5EF4-FFF2-40B4-BE49-F238E27FC236}">
              <a16:creationId xmlns:a16="http://schemas.microsoft.com/office/drawing/2014/main" id="{0FA26444-ECE0-A663-5D1D-98CCD9102CC9}"/>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1"/>
        </a:graphicData>
      </a:graphic>
    </xdr:graphicFrame>
    <xdr:clientData/>
  </xdr:twoCellAnchor>
  <xdr:twoCellAnchor>
    <xdr:from>
      <xdr:col>3</xdr:col>
      <xdr:colOff>1226820</xdr:colOff>
      <xdr:row>0</xdr:row>
      <xdr:rowOff>45720</xdr:rowOff>
    </xdr:from>
    <xdr:to>
      <xdr:col>3</xdr:col>
      <xdr:colOff>2410046</xdr:colOff>
      <xdr:row>3</xdr:row>
      <xdr:rowOff>112205</xdr:rowOff>
    </xdr:to>
    <xdr:sp macro="" textlink="">
      <xdr:nvSpPr>
        <xdr:cNvPr id="46" name="Rectangle 45">
          <a:hlinkClick xmlns:r="http://schemas.openxmlformats.org/officeDocument/2006/relationships" r:id="rId42" tooltip=" "/>
          <a:extLst>
            <a:ext uri="{FF2B5EF4-FFF2-40B4-BE49-F238E27FC236}">
              <a16:creationId xmlns:a16="http://schemas.microsoft.com/office/drawing/2014/main" id="{6EFC1FF6-8E66-EC10-232D-091228F049C9}"/>
            </a:ext>
          </a:extLst>
        </xdr:cNvPr>
        <xdr:cNvSpPr/>
      </xdr:nvSpPr>
      <xdr:spPr>
        <a:xfrm>
          <a:off x="2019300" y="60960"/>
          <a:ext cx="1190859" cy="599843"/>
        </a:xfrm>
        <a:prstGeom prst="rect">
          <a:avLst/>
        </a:prstGeom>
        <a:solidFill>
          <a:schemeClr val="accent3">
            <a:lumMod val="20000"/>
            <a:lumOff val="80000"/>
          </a:schemeClr>
        </a:solidFill>
        <a:ln w="19050">
          <a:solidFill>
            <a:schemeClr val="accent3"/>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ZA" sz="1100" b="1">
              <a:solidFill>
                <a:sysClr val="windowText" lastClr="000000"/>
              </a:solidFill>
            </a:rPr>
            <a:t>Scroll</a:t>
          </a:r>
          <a:r>
            <a:rPr lang="en-ZA" sz="1100" b="1" baseline="0">
              <a:solidFill>
                <a:sysClr val="windowText" lastClr="000000"/>
              </a:solidFill>
            </a:rPr>
            <a:t> to top</a:t>
          </a:r>
          <a:endParaRPr lang="en-ZA" sz="1100" b="1">
            <a:solidFill>
              <a:sysClr val="windowText" lastClr="000000"/>
            </a:solidFill>
          </a:endParaRPr>
        </a:p>
      </xdr:txBody>
    </xdr:sp>
    <xdr:clientData/>
  </xdr:twoCellAnchor>
  <mc:AlternateContent xmlns:mc="http://schemas.openxmlformats.org/markup-compatibility/2006">
    <mc:Choice xmlns:a14="http://schemas.microsoft.com/office/drawing/2010/main" Requires="a14">
      <xdr:twoCellAnchor editAs="oneCell">
        <xdr:from>
          <xdr:col>3</xdr:col>
          <xdr:colOff>2651760</xdr:colOff>
          <xdr:row>2</xdr:row>
          <xdr:rowOff>91440</xdr:rowOff>
        </xdr:from>
        <xdr:to>
          <xdr:col>5</xdr:col>
          <xdr:colOff>556260</xdr:colOff>
          <xdr:row>3</xdr:row>
          <xdr:rowOff>137160</xdr:rowOff>
        </xdr:to>
        <xdr:sp macro="" textlink="">
          <xdr:nvSpPr>
            <xdr:cNvPr id="23553" name="cbWRCus" hidden="1">
              <a:extLst>
                <a:ext uri="{63B3BB69-23CF-44E3-9099-C40C66FF867C}">
                  <a14:compatExt spid="_x0000_s23553"/>
                </a:ext>
                <a:ext uri="{FF2B5EF4-FFF2-40B4-BE49-F238E27FC236}">
                  <a16:creationId xmlns:a16="http://schemas.microsoft.com/office/drawing/2014/main" id="{00000000-0008-0000-2100-0000015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678180</xdr:colOff>
          <xdr:row>2</xdr:row>
          <xdr:rowOff>76200</xdr:rowOff>
        </xdr:from>
        <xdr:to>
          <xdr:col>8</xdr:col>
          <xdr:colOff>251460</xdr:colOff>
          <xdr:row>3</xdr:row>
          <xdr:rowOff>99060</xdr:rowOff>
        </xdr:to>
        <xdr:sp macro="" textlink="">
          <xdr:nvSpPr>
            <xdr:cNvPr id="23554" name="cbWR" hidden="1">
              <a:extLst>
                <a:ext uri="{63B3BB69-23CF-44E3-9099-C40C66FF867C}">
                  <a14:compatExt spid="_x0000_s23554"/>
                </a:ext>
                <a:ext uri="{FF2B5EF4-FFF2-40B4-BE49-F238E27FC236}">
                  <a16:creationId xmlns:a16="http://schemas.microsoft.com/office/drawing/2014/main" id="{00000000-0008-0000-2100-0000025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drawings/drawing29.xml><?xml version="1.0" encoding="utf-8"?>
<xdr:wsDr xmlns:xdr="http://schemas.openxmlformats.org/drawingml/2006/spreadsheetDrawing" xmlns:a="http://schemas.openxmlformats.org/drawingml/2006/main">
  <xdr:twoCellAnchor editAs="oneCell">
    <xdr:from>
      <xdr:col>1</xdr:col>
      <xdr:colOff>85725</xdr:colOff>
      <xdr:row>0</xdr:row>
      <xdr:rowOff>19050</xdr:rowOff>
    </xdr:from>
    <xdr:to>
      <xdr:col>3</xdr:col>
      <xdr:colOff>819150</xdr:colOff>
      <xdr:row>3</xdr:row>
      <xdr:rowOff>152400</xdr:rowOff>
    </xdr:to>
    <xdr:pic>
      <xdr:nvPicPr>
        <xdr:cNvPr id="1045849" name="Picture 1">
          <a:extLst>
            <a:ext uri="{FF2B5EF4-FFF2-40B4-BE49-F238E27FC236}">
              <a16:creationId xmlns:a16="http://schemas.microsoft.com/office/drawing/2014/main" id="{F5BC0460-D92A-A6E6-4D7B-5A70D7EE17E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4800" y="19050"/>
          <a:ext cx="1343025" cy="704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1005841</xdr:colOff>
      <xdr:row>0</xdr:row>
      <xdr:rowOff>72391</xdr:rowOff>
    </xdr:from>
    <xdr:to>
      <xdr:col>3</xdr:col>
      <xdr:colOff>2080365</xdr:colOff>
      <xdr:row>3</xdr:row>
      <xdr:rowOff>120067</xdr:rowOff>
    </xdr:to>
    <xdr:sp macro="" textlink="">
      <xdr:nvSpPr>
        <xdr:cNvPr id="3" name="Rectangle 2">
          <a:hlinkClick xmlns:r="http://schemas.openxmlformats.org/officeDocument/2006/relationships" r:id="rId2" tooltip=" "/>
          <a:extLst>
            <a:ext uri="{FF2B5EF4-FFF2-40B4-BE49-F238E27FC236}">
              <a16:creationId xmlns:a16="http://schemas.microsoft.com/office/drawing/2014/main" id="{842D36F5-373F-2446-D36A-A790884816DB}"/>
            </a:ext>
          </a:extLst>
        </xdr:cNvPr>
        <xdr:cNvSpPr/>
      </xdr:nvSpPr>
      <xdr:spPr>
        <a:xfrm>
          <a:off x="1859281" y="68581"/>
          <a:ext cx="1089660" cy="594360"/>
        </a:xfrm>
        <a:prstGeom prst="rect">
          <a:avLst/>
        </a:prstGeom>
        <a:solidFill>
          <a:schemeClr val="accent3">
            <a:lumMod val="20000"/>
            <a:lumOff val="80000"/>
          </a:schemeClr>
        </a:solidFill>
        <a:ln w="19050">
          <a:solidFill>
            <a:schemeClr val="accent3"/>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ZA" sz="1100" b="1">
              <a:solidFill>
                <a:sysClr val="windowText" lastClr="000000"/>
              </a:solidFill>
            </a:rPr>
            <a:t>Scroll</a:t>
          </a:r>
          <a:r>
            <a:rPr lang="en-ZA" sz="1100" b="1" baseline="0">
              <a:solidFill>
                <a:sysClr val="windowText" lastClr="000000"/>
              </a:solidFill>
            </a:rPr>
            <a:t> to top</a:t>
          </a:r>
          <a:endParaRPr lang="en-ZA" sz="1100" b="1">
            <a:solidFill>
              <a:sysClr val="windowText" lastClr="000000"/>
            </a:solidFill>
          </a:endParaRPr>
        </a:p>
      </xdr:txBody>
    </xdr:sp>
    <xdr:clientData/>
  </xdr:twoCellAnchor>
  <xdr:twoCellAnchor>
    <xdr:from>
      <xdr:col>3</xdr:col>
      <xdr:colOff>552450</xdr:colOff>
      <xdr:row>25</xdr:row>
      <xdr:rowOff>180975</xdr:rowOff>
    </xdr:from>
    <xdr:to>
      <xdr:col>5</xdr:col>
      <xdr:colOff>638175</xdr:colOff>
      <xdr:row>42</xdr:row>
      <xdr:rowOff>0</xdr:rowOff>
    </xdr:to>
    <xdr:graphicFrame macro="">
      <xdr:nvGraphicFramePr>
        <xdr:cNvPr id="1045851" name="Chart 3">
          <a:extLst>
            <a:ext uri="{FF2B5EF4-FFF2-40B4-BE49-F238E27FC236}">
              <a16:creationId xmlns:a16="http://schemas.microsoft.com/office/drawing/2014/main" id="{AD912B8E-74F9-940D-086B-E656A737F2E9}"/>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3</xdr:col>
      <xdr:colOff>19050</xdr:colOff>
      <xdr:row>51</xdr:row>
      <xdr:rowOff>133350</xdr:rowOff>
    </xdr:from>
    <xdr:to>
      <xdr:col>6</xdr:col>
      <xdr:colOff>238125</xdr:colOff>
      <xdr:row>68</xdr:row>
      <xdr:rowOff>0</xdr:rowOff>
    </xdr:to>
    <xdr:graphicFrame macro="">
      <xdr:nvGraphicFramePr>
        <xdr:cNvPr id="1045852" name="Chart 4">
          <a:extLst>
            <a:ext uri="{FF2B5EF4-FFF2-40B4-BE49-F238E27FC236}">
              <a16:creationId xmlns:a16="http://schemas.microsoft.com/office/drawing/2014/main" id="{4D334037-8BC2-3DF6-9025-0A59079F24B6}"/>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3</xdr:col>
      <xdr:colOff>552450</xdr:colOff>
      <xdr:row>90</xdr:row>
      <xdr:rowOff>180975</xdr:rowOff>
    </xdr:from>
    <xdr:to>
      <xdr:col>5</xdr:col>
      <xdr:colOff>638175</xdr:colOff>
      <xdr:row>107</xdr:row>
      <xdr:rowOff>0</xdr:rowOff>
    </xdr:to>
    <xdr:graphicFrame macro="">
      <xdr:nvGraphicFramePr>
        <xdr:cNvPr id="1045853" name="Chart 5">
          <a:extLst>
            <a:ext uri="{FF2B5EF4-FFF2-40B4-BE49-F238E27FC236}">
              <a16:creationId xmlns:a16="http://schemas.microsoft.com/office/drawing/2014/main" id="{EC8D09E3-FD55-1631-5DC2-CDD7804E455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3</xdr:col>
      <xdr:colOff>19050</xdr:colOff>
      <xdr:row>116</xdr:row>
      <xdr:rowOff>133350</xdr:rowOff>
    </xdr:from>
    <xdr:to>
      <xdr:col>6</xdr:col>
      <xdr:colOff>238125</xdr:colOff>
      <xdr:row>133</xdr:row>
      <xdr:rowOff>0</xdr:rowOff>
    </xdr:to>
    <xdr:graphicFrame macro="">
      <xdr:nvGraphicFramePr>
        <xdr:cNvPr id="1045854" name="Chart 6">
          <a:extLst>
            <a:ext uri="{FF2B5EF4-FFF2-40B4-BE49-F238E27FC236}">
              <a16:creationId xmlns:a16="http://schemas.microsoft.com/office/drawing/2014/main" id="{FE17D43A-9A94-9585-708D-6842CABB2B86}"/>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xdr:from>
      <xdr:col>3</xdr:col>
      <xdr:colOff>552450</xdr:colOff>
      <xdr:row>155</xdr:row>
      <xdr:rowOff>180975</xdr:rowOff>
    </xdr:from>
    <xdr:to>
      <xdr:col>5</xdr:col>
      <xdr:colOff>638175</xdr:colOff>
      <xdr:row>172</xdr:row>
      <xdr:rowOff>0</xdr:rowOff>
    </xdr:to>
    <xdr:graphicFrame macro="">
      <xdr:nvGraphicFramePr>
        <xdr:cNvPr id="1045855" name="Chart 7">
          <a:extLst>
            <a:ext uri="{FF2B5EF4-FFF2-40B4-BE49-F238E27FC236}">
              <a16:creationId xmlns:a16="http://schemas.microsoft.com/office/drawing/2014/main" id="{6B0C10F9-D255-4219-8A53-BCD08FE916F1}"/>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twoCellAnchor>
  <xdr:twoCellAnchor>
    <xdr:from>
      <xdr:col>3</xdr:col>
      <xdr:colOff>19050</xdr:colOff>
      <xdr:row>181</xdr:row>
      <xdr:rowOff>133350</xdr:rowOff>
    </xdr:from>
    <xdr:to>
      <xdr:col>6</xdr:col>
      <xdr:colOff>238125</xdr:colOff>
      <xdr:row>198</xdr:row>
      <xdr:rowOff>0</xdr:rowOff>
    </xdr:to>
    <xdr:graphicFrame macro="">
      <xdr:nvGraphicFramePr>
        <xdr:cNvPr id="1045856" name="Chart 8">
          <a:extLst>
            <a:ext uri="{FF2B5EF4-FFF2-40B4-BE49-F238E27FC236}">
              <a16:creationId xmlns:a16="http://schemas.microsoft.com/office/drawing/2014/main" id="{3C5120DC-D408-9408-6844-1277C93E12B7}"/>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twoCellAnchor>
  <xdr:twoCellAnchor>
    <xdr:from>
      <xdr:col>3</xdr:col>
      <xdr:colOff>552450</xdr:colOff>
      <xdr:row>220</xdr:row>
      <xdr:rowOff>180975</xdr:rowOff>
    </xdr:from>
    <xdr:to>
      <xdr:col>5</xdr:col>
      <xdr:colOff>638175</xdr:colOff>
      <xdr:row>237</xdr:row>
      <xdr:rowOff>0</xdr:rowOff>
    </xdr:to>
    <xdr:graphicFrame macro="">
      <xdr:nvGraphicFramePr>
        <xdr:cNvPr id="1045857" name="Chart 9">
          <a:extLst>
            <a:ext uri="{FF2B5EF4-FFF2-40B4-BE49-F238E27FC236}">
              <a16:creationId xmlns:a16="http://schemas.microsoft.com/office/drawing/2014/main" id="{5F280D16-3E5C-81E5-0700-B9AB8BAF816C}"/>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9"/>
        </a:graphicData>
      </a:graphic>
    </xdr:graphicFrame>
    <xdr:clientData/>
  </xdr:twoCellAnchor>
  <xdr:twoCellAnchor>
    <xdr:from>
      <xdr:col>3</xdr:col>
      <xdr:colOff>19050</xdr:colOff>
      <xdr:row>246</xdr:row>
      <xdr:rowOff>133350</xdr:rowOff>
    </xdr:from>
    <xdr:to>
      <xdr:col>6</xdr:col>
      <xdr:colOff>238125</xdr:colOff>
      <xdr:row>263</xdr:row>
      <xdr:rowOff>0</xdr:rowOff>
    </xdr:to>
    <xdr:graphicFrame macro="">
      <xdr:nvGraphicFramePr>
        <xdr:cNvPr id="1045858" name="Chart 10">
          <a:extLst>
            <a:ext uri="{FF2B5EF4-FFF2-40B4-BE49-F238E27FC236}">
              <a16:creationId xmlns:a16="http://schemas.microsoft.com/office/drawing/2014/main" id="{62418E95-D942-189B-EBAF-1FF7E9A43C3B}"/>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0"/>
        </a:graphicData>
      </a:graphic>
    </xdr:graphicFrame>
    <xdr:clientData/>
  </xdr:twoCellAnchor>
  <xdr:twoCellAnchor>
    <xdr:from>
      <xdr:col>3</xdr:col>
      <xdr:colOff>552450</xdr:colOff>
      <xdr:row>285</xdr:row>
      <xdr:rowOff>180975</xdr:rowOff>
    </xdr:from>
    <xdr:to>
      <xdr:col>5</xdr:col>
      <xdr:colOff>638175</xdr:colOff>
      <xdr:row>302</xdr:row>
      <xdr:rowOff>28575</xdr:rowOff>
    </xdr:to>
    <xdr:graphicFrame macro="">
      <xdr:nvGraphicFramePr>
        <xdr:cNvPr id="1045859" name="Chart 11">
          <a:extLst>
            <a:ext uri="{FF2B5EF4-FFF2-40B4-BE49-F238E27FC236}">
              <a16:creationId xmlns:a16="http://schemas.microsoft.com/office/drawing/2014/main" id="{719AB371-6388-7FEB-3872-51763FA5879F}"/>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1"/>
        </a:graphicData>
      </a:graphic>
    </xdr:graphicFrame>
    <xdr:clientData/>
  </xdr:twoCellAnchor>
  <xdr:twoCellAnchor>
    <xdr:from>
      <xdr:col>3</xdr:col>
      <xdr:colOff>19050</xdr:colOff>
      <xdr:row>312</xdr:row>
      <xdr:rowOff>133350</xdr:rowOff>
    </xdr:from>
    <xdr:to>
      <xdr:col>6</xdr:col>
      <xdr:colOff>238125</xdr:colOff>
      <xdr:row>329</xdr:row>
      <xdr:rowOff>0</xdr:rowOff>
    </xdr:to>
    <xdr:graphicFrame macro="">
      <xdr:nvGraphicFramePr>
        <xdr:cNvPr id="1045860" name="Chart 12">
          <a:extLst>
            <a:ext uri="{FF2B5EF4-FFF2-40B4-BE49-F238E27FC236}">
              <a16:creationId xmlns:a16="http://schemas.microsoft.com/office/drawing/2014/main" id="{38FF33E4-C985-B234-CBCA-B10A244438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2"/>
        </a:graphicData>
      </a:graphic>
    </xdr:graphicFrame>
    <xdr:clientData/>
  </xdr:twoCellAnchor>
  <xdr:twoCellAnchor>
    <xdr:from>
      <xdr:col>3</xdr:col>
      <xdr:colOff>552450</xdr:colOff>
      <xdr:row>351</xdr:row>
      <xdr:rowOff>180975</xdr:rowOff>
    </xdr:from>
    <xdr:to>
      <xdr:col>5</xdr:col>
      <xdr:colOff>638175</xdr:colOff>
      <xdr:row>368</xdr:row>
      <xdr:rowOff>0</xdr:rowOff>
    </xdr:to>
    <xdr:graphicFrame macro="">
      <xdr:nvGraphicFramePr>
        <xdr:cNvPr id="1045861" name="Chart 13">
          <a:extLst>
            <a:ext uri="{FF2B5EF4-FFF2-40B4-BE49-F238E27FC236}">
              <a16:creationId xmlns:a16="http://schemas.microsoft.com/office/drawing/2014/main" id="{015687B7-E2D4-33F0-6A9F-325549BE11AA}"/>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3"/>
        </a:graphicData>
      </a:graphic>
    </xdr:graphicFrame>
    <xdr:clientData/>
  </xdr:twoCellAnchor>
  <xdr:twoCellAnchor>
    <xdr:from>
      <xdr:col>3</xdr:col>
      <xdr:colOff>19050</xdr:colOff>
      <xdr:row>377</xdr:row>
      <xdr:rowOff>133350</xdr:rowOff>
    </xdr:from>
    <xdr:to>
      <xdr:col>6</xdr:col>
      <xdr:colOff>238125</xdr:colOff>
      <xdr:row>394</xdr:row>
      <xdr:rowOff>47625</xdr:rowOff>
    </xdr:to>
    <xdr:graphicFrame macro="">
      <xdr:nvGraphicFramePr>
        <xdr:cNvPr id="1045862" name="Chart 14">
          <a:extLst>
            <a:ext uri="{FF2B5EF4-FFF2-40B4-BE49-F238E27FC236}">
              <a16:creationId xmlns:a16="http://schemas.microsoft.com/office/drawing/2014/main" id="{90335808-2880-E250-CD47-5581EBCAA83F}"/>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4"/>
        </a:graphicData>
      </a:graphic>
    </xdr:graphicFrame>
    <xdr:clientData/>
  </xdr:twoCellAnchor>
  <xdr:twoCellAnchor>
    <xdr:from>
      <xdr:col>3</xdr:col>
      <xdr:colOff>552450</xdr:colOff>
      <xdr:row>417</xdr:row>
      <xdr:rowOff>180975</xdr:rowOff>
    </xdr:from>
    <xdr:to>
      <xdr:col>5</xdr:col>
      <xdr:colOff>638175</xdr:colOff>
      <xdr:row>434</xdr:row>
      <xdr:rowOff>0</xdr:rowOff>
    </xdr:to>
    <xdr:graphicFrame macro="">
      <xdr:nvGraphicFramePr>
        <xdr:cNvPr id="1045863" name="Chart 15">
          <a:extLst>
            <a:ext uri="{FF2B5EF4-FFF2-40B4-BE49-F238E27FC236}">
              <a16:creationId xmlns:a16="http://schemas.microsoft.com/office/drawing/2014/main" id="{61C7D8D4-0C58-CE0B-3C43-35A2DC5EC46C}"/>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5"/>
        </a:graphicData>
      </a:graphic>
    </xdr:graphicFrame>
    <xdr:clientData/>
  </xdr:twoCellAnchor>
  <xdr:twoCellAnchor>
    <xdr:from>
      <xdr:col>3</xdr:col>
      <xdr:colOff>19050</xdr:colOff>
      <xdr:row>443</xdr:row>
      <xdr:rowOff>133350</xdr:rowOff>
    </xdr:from>
    <xdr:to>
      <xdr:col>6</xdr:col>
      <xdr:colOff>238125</xdr:colOff>
      <xdr:row>460</xdr:row>
      <xdr:rowOff>47625</xdr:rowOff>
    </xdr:to>
    <xdr:graphicFrame macro="">
      <xdr:nvGraphicFramePr>
        <xdr:cNvPr id="1045864" name="Chart 16">
          <a:extLst>
            <a:ext uri="{FF2B5EF4-FFF2-40B4-BE49-F238E27FC236}">
              <a16:creationId xmlns:a16="http://schemas.microsoft.com/office/drawing/2014/main" id="{4DF00D97-D660-2A99-1D97-A3509C4F92EE}"/>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6"/>
        </a:graphicData>
      </a:graphic>
    </xdr:graphicFrame>
    <xdr:clientData/>
  </xdr:twoCellAnchor>
  <xdr:twoCellAnchor>
    <xdr:from>
      <xdr:col>3</xdr:col>
      <xdr:colOff>552450</xdr:colOff>
      <xdr:row>483</xdr:row>
      <xdr:rowOff>180975</xdr:rowOff>
    </xdr:from>
    <xdr:to>
      <xdr:col>5</xdr:col>
      <xdr:colOff>638175</xdr:colOff>
      <xdr:row>500</xdr:row>
      <xdr:rowOff>0</xdr:rowOff>
    </xdr:to>
    <xdr:graphicFrame macro="">
      <xdr:nvGraphicFramePr>
        <xdr:cNvPr id="1045865" name="Chart 17">
          <a:extLst>
            <a:ext uri="{FF2B5EF4-FFF2-40B4-BE49-F238E27FC236}">
              <a16:creationId xmlns:a16="http://schemas.microsoft.com/office/drawing/2014/main" id="{455857BD-6E02-92E8-1527-4FA5A4BADFAE}"/>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7"/>
        </a:graphicData>
      </a:graphic>
    </xdr:graphicFrame>
    <xdr:clientData/>
  </xdr:twoCellAnchor>
  <xdr:twoCellAnchor>
    <xdr:from>
      <xdr:col>3</xdr:col>
      <xdr:colOff>19050</xdr:colOff>
      <xdr:row>509</xdr:row>
      <xdr:rowOff>133350</xdr:rowOff>
    </xdr:from>
    <xdr:to>
      <xdr:col>6</xdr:col>
      <xdr:colOff>238125</xdr:colOff>
      <xdr:row>526</xdr:row>
      <xdr:rowOff>47625</xdr:rowOff>
    </xdr:to>
    <xdr:graphicFrame macro="">
      <xdr:nvGraphicFramePr>
        <xdr:cNvPr id="1045866" name="Chart 18">
          <a:extLst>
            <a:ext uri="{FF2B5EF4-FFF2-40B4-BE49-F238E27FC236}">
              <a16:creationId xmlns:a16="http://schemas.microsoft.com/office/drawing/2014/main" id="{121B9BD0-F20B-A0B4-E516-E0B3F1B1EFD8}"/>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8"/>
        </a:graphicData>
      </a:graphic>
    </xdr:graphicFrame>
    <xdr:clientData/>
  </xdr:twoCellAnchor>
  <xdr:twoCellAnchor>
    <xdr:from>
      <xdr:col>3</xdr:col>
      <xdr:colOff>552450</xdr:colOff>
      <xdr:row>549</xdr:row>
      <xdr:rowOff>180975</xdr:rowOff>
    </xdr:from>
    <xdr:to>
      <xdr:col>5</xdr:col>
      <xdr:colOff>638175</xdr:colOff>
      <xdr:row>566</xdr:row>
      <xdr:rowOff>0</xdr:rowOff>
    </xdr:to>
    <xdr:graphicFrame macro="">
      <xdr:nvGraphicFramePr>
        <xdr:cNvPr id="1045867" name="Chart 19">
          <a:extLst>
            <a:ext uri="{FF2B5EF4-FFF2-40B4-BE49-F238E27FC236}">
              <a16:creationId xmlns:a16="http://schemas.microsoft.com/office/drawing/2014/main" id="{14938420-514B-2366-C8E5-E4B849B14904}"/>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9"/>
        </a:graphicData>
      </a:graphic>
    </xdr:graphicFrame>
    <xdr:clientData/>
  </xdr:twoCellAnchor>
  <xdr:twoCellAnchor>
    <xdr:from>
      <xdr:col>3</xdr:col>
      <xdr:colOff>19050</xdr:colOff>
      <xdr:row>575</xdr:row>
      <xdr:rowOff>133350</xdr:rowOff>
    </xdr:from>
    <xdr:to>
      <xdr:col>6</xdr:col>
      <xdr:colOff>238125</xdr:colOff>
      <xdr:row>592</xdr:row>
      <xdr:rowOff>47625</xdr:rowOff>
    </xdr:to>
    <xdr:graphicFrame macro="">
      <xdr:nvGraphicFramePr>
        <xdr:cNvPr id="1045868" name="Chart 20">
          <a:extLst>
            <a:ext uri="{FF2B5EF4-FFF2-40B4-BE49-F238E27FC236}">
              <a16:creationId xmlns:a16="http://schemas.microsoft.com/office/drawing/2014/main" id="{863D34EF-5A25-30A6-8C71-977918696E93}"/>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0"/>
        </a:graphicData>
      </a:graphic>
    </xdr:graphicFrame>
    <xdr:clientData/>
  </xdr:twoCellAnchor>
  <xdr:twoCellAnchor>
    <xdr:from>
      <xdr:col>3</xdr:col>
      <xdr:colOff>552450</xdr:colOff>
      <xdr:row>615</xdr:row>
      <xdr:rowOff>180975</xdr:rowOff>
    </xdr:from>
    <xdr:to>
      <xdr:col>5</xdr:col>
      <xdr:colOff>638175</xdr:colOff>
      <xdr:row>632</xdr:row>
      <xdr:rowOff>0</xdr:rowOff>
    </xdr:to>
    <xdr:graphicFrame macro="">
      <xdr:nvGraphicFramePr>
        <xdr:cNvPr id="1045869" name="Chart 21">
          <a:extLst>
            <a:ext uri="{FF2B5EF4-FFF2-40B4-BE49-F238E27FC236}">
              <a16:creationId xmlns:a16="http://schemas.microsoft.com/office/drawing/2014/main" id="{D61B1B4F-3586-EB19-B3B6-4FFA48F007C6}"/>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1"/>
        </a:graphicData>
      </a:graphic>
    </xdr:graphicFrame>
    <xdr:clientData/>
  </xdr:twoCellAnchor>
  <xdr:twoCellAnchor>
    <xdr:from>
      <xdr:col>3</xdr:col>
      <xdr:colOff>19050</xdr:colOff>
      <xdr:row>641</xdr:row>
      <xdr:rowOff>133350</xdr:rowOff>
    </xdr:from>
    <xdr:to>
      <xdr:col>6</xdr:col>
      <xdr:colOff>238125</xdr:colOff>
      <xdr:row>658</xdr:row>
      <xdr:rowOff>47625</xdr:rowOff>
    </xdr:to>
    <xdr:graphicFrame macro="">
      <xdr:nvGraphicFramePr>
        <xdr:cNvPr id="1045870" name="Chart 22">
          <a:extLst>
            <a:ext uri="{FF2B5EF4-FFF2-40B4-BE49-F238E27FC236}">
              <a16:creationId xmlns:a16="http://schemas.microsoft.com/office/drawing/2014/main" id="{4913E4E3-3A38-A41B-12B3-67F7E6C85A5D}"/>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2"/>
        </a:graphicData>
      </a:graphic>
    </xdr:graphicFrame>
    <xdr:clientData/>
  </xdr:twoCellAnchor>
  <xdr:twoCellAnchor>
    <xdr:from>
      <xdr:col>3</xdr:col>
      <xdr:colOff>552450</xdr:colOff>
      <xdr:row>681</xdr:row>
      <xdr:rowOff>180975</xdr:rowOff>
    </xdr:from>
    <xdr:to>
      <xdr:col>5</xdr:col>
      <xdr:colOff>638175</xdr:colOff>
      <xdr:row>698</xdr:row>
      <xdr:rowOff>0</xdr:rowOff>
    </xdr:to>
    <xdr:graphicFrame macro="">
      <xdr:nvGraphicFramePr>
        <xdr:cNvPr id="1045871" name="Chart 23">
          <a:extLst>
            <a:ext uri="{FF2B5EF4-FFF2-40B4-BE49-F238E27FC236}">
              <a16:creationId xmlns:a16="http://schemas.microsoft.com/office/drawing/2014/main" id="{DF6A2D27-B844-17A1-C9FE-589EF65554C8}"/>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3"/>
        </a:graphicData>
      </a:graphic>
    </xdr:graphicFrame>
    <xdr:clientData/>
  </xdr:twoCellAnchor>
  <xdr:twoCellAnchor>
    <xdr:from>
      <xdr:col>3</xdr:col>
      <xdr:colOff>19050</xdr:colOff>
      <xdr:row>708</xdr:row>
      <xdr:rowOff>133350</xdr:rowOff>
    </xdr:from>
    <xdr:to>
      <xdr:col>6</xdr:col>
      <xdr:colOff>238125</xdr:colOff>
      <xdr:row>725</xdr:row>
      <xdr:rowOff>47625</xdr:rowOff>
    </xdr:to>
    <xdr:graphicFrame macro="">
      <xdr:nvGraphicFramePr>
        <xdr:cNvPr id="1045872" name="Chart 24">
          <a:extLst>
            <a:ext uri="{FF2B5EF4-FFF2-40B4-BE49-F238E27FC236}">
              <a16:creationId xmlns:a16="http://schemas.microsoft.com/office/drawing/2014/main" id="{83CBE25D-D6F4-6BD5-A94B-200E521FFD9F}"/>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4"/>
        </a:graphicData>
      </a:graphic>
    </xdr:graphicFrame>
    <xdr:clientData/>
  </xdr:twoCellAnchor>
  <xdr:twoCellAnchor>
    <xdr:from>
      <xdr:col>3</xdr:col>
      <xdr:colOff>552450</xdr:colOff>
      <xdr:row>748</xdr:row>
      <xdr:rowOff>180975</xdr:rowOff>
    </xdr:from>
    <xdr:to>
      <xdr:col>5</xdr:col>
      <xdr:colOff>638175</xdr:colOff>
      <xdr:row>765</xdr:row>
      <xdr:rowOff>0</xdr:rowOff>
    </xdr:to>
    <xdr:graphicFrame macro="">
      <xdr:nvGraphicFramePr>
        <xdr:cNvPr id="1045873" name="Chart 25">
          <a:extLst>
            <a:ext uri="{FF2B5EF4-FFF2-40B4-BE49-F238E27FC236}">
              <a16:creationId xmlns:a16="http://schemas.microsoft.com/office/drawing/2014/main" id="{DCA127B8-BFFD-1793-08F1-063E4B15F715}"/>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5"/>
        </a:graphicData>
      </a:graphic>
    </xdr:graphicFrame>
    <xdr:clientData/>
  </xdr:twoCellAnchor>
  <xdr:twoCellAnchor>
    <xdr:from>
      <xdr:col>3</xdr:col>
      <xdr:colOff>19050</xdr:colOff>
      <xdr:row>775</xdr:row>
      <xdr:rowOff>133350</xdr:rowOff>
    </xdr:from>
    <xdr:to>
      <xdr:col>6</xdr:col>
      <xdr:colOff>238125</xdr:colOff>
      <xdr:row>792</xdr:row>
      <xdr:rowOff>47625</xdr:rowOff>
    </xdr:to>
    <xdr:graphicFrame macro="">
      <xdr:nvGraphicFramePr>
        <xdr:cNvPr id="1045874" name="Chart 26">
          <a:extLst>
            <a:ext uri="{FF2B5EF4-FFF2-40B4-BE49-F238E27FC236}">
              <a16:creationId xmlns:a16="http://schemas.microsoft.com/office/drawing/2014/main" id="{E52168E3-16FE-081D-C3FB-7FA0D0D33E08}"/>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6"/>
        </a:graphicData>
      </a:graphic>
    </xdr:graphicFrame>
    <xdr:clientData/>
  </xdr:twoCellAnchor>
  <xdr:twoCellAnchor>
    <xdr:from>
      <xdr:col>3</xdr:col>
      <xdr:colOff>552450</xdr:colOff>
      <xdr:row>816</xdr:row>
      <xdr:rowOff>0</xdr:rowOff>
    </xdr:from>
    <xdr:to>
      <xdr:col>5</xdr:col>
      <xdr:colOff>638175</xdr:colOff>
      <xdr:row>832</xdr:row>
      <xdr:rowOff>0</xdr:rowOff>
    </xdr:to>
    <xdr:graphicFrame macro="">
      <xdr:nvGraphicFramePr>
        <xdr:cNvPr id="1045875" name="Chart 27">
          <a:extLst>
            <a:ext uri="{FF2B5EF4-FFF2-40B4-BE49-F238E27FC236}">
              <a16:creationId xmlns:a16="http://schemas.microsoft.com/office/drawing/2014/main" id="{9C523C06-0AF5-CE16-6069-84ABA04AEE6B}"/>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7"/>
        </a:graphicData>
      </a:graphic>
    </xdr:graphicFrame>
    <xdr:clientData/>
  </xdr:twoCellAnchor>
  <xdr:twoCellAnchor>
    <xdr:from>
      <xdr:col>3</xdr:col>
      <xdr:colOff>19050</xdr:colOff>
      <xdr:row>842</xdr:row>
      <xdr:rowOff>133350</xdr:rowOff>
    </xdr:from>
    <xdr:to>
      <xdr:col>6</xdr:col>
      <xdr:colOff>238125</xdr:colOff>
      <xdr:row>859</xdr:row>
      <xdr:rowOff>47625</xdr:rowOff>
    </xdr:to>
    <xdr:graphicFrame macro="">
      <xdr:nvGraphicFramePr>
        <xdr:cNvPr id="1045876" name="Chart 28">
          <a:extLst>
            <a:ext uri="{FF2B5EF4-FFF2-40B4-BE49-F238E27FC236}">
              <a16:creationId xmlns:a16="http://schemas.microsoft.com/office/drawing/2014/main" id="{85C24451-EF0A-6A43-49AE-90F351F47E92}"/>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8"/>
        </a:graphicData>
      </a:graphic>
    </xdr:graphicFrame>
    <xdr:clientData/>
  </xdr:twoCellAnchor>
  <xdr:twoCellAnchor>
    <xdr:from>
      <xdr:col>3</xdr:col>
      <xdr:colOff>552450</xdr:colOff>
      <xdr:row>882</xdr:row>
      <xdr:rowOff>180975</xdr:rowOff>
    </xdr:from>
    <xdr:to>
      <xdr:col>5</xdr:col>
      <xdr:colOff>638175</xdr:colOff>
      <xdr:row>899</xdr:row>
      <xdr:rowOff>0</xdr:rowOff>
    </xdr:to>
    <xdr:graphicFrame macro="">
      <xdr:nvGraphicFramePr>
        <xdr:cNvPr id="1045877" name="Chart 29">
          <a:extLst>
            <a:ext uri="{FF2B5EF4-FFF2-40B4-BE49-F238E27FC236}">
              <a16:creationId xmlns:a16="http://schemas.microsoft.com/office/drawing/2014/main" id="{6D9E6597-0F08-5868-AF21-F6A6F035B54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9"/>
        </a:graphicData>
      </a:graphic>
    </xdr:graphicFrame>
    <xdr:clientData/>
  </xdr:twoCellAnchor>
  <xdr:twoCellAnchor>
    <xdr:from>
      <xdr:col>3</xdr:col>
      <xdr:colOff>19050</xdr:colOff>
      <xdr:row>910</xdr:row>
      <xdr:rowOff>133350</xdr:rowOff>
    </xdr:from>
    <xdr:to>
      <xdr:col>6</xdr:col>
      <xdr:colOff>238125</xdr:colOff>
      <xdr:row>927</xdr:row>
      <xdr:rowOff>47625</xdr:rowOff>
    </xdr:to>
    <xdr:graphicFrame macro="">
      <xdr:nvGraphicFramePr>
        <xdr:cNvPr id="1045878" name="Chart 30">
          <a:extLst>
            <a:ext uri="{FF2B5EF4-FFF2-40B4-BE49-F238E27FC236}">
              <a16:creationId xmlns:a16="http://schemas.microsoft.com/office/drawing/2014/main" id="{7D0A155B-7036-1F27-9AD9-756134E86155}"/>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0"/>
        </a:graphicData>
      </a:graphic>
    </xdr:graphicFrame>
    <xdr:clientData/>
  </xdr:twoCellAnchor>
  <xdr:twoCellAnchor>
    <xdr:from>
      <xdr:col>3</xdr:col>
      <xdr:colOff>552450</xdr:colOff>
      <xdr:row>950</xdr:row>
      <xdr:rowOff>180975</xdr:rowOff>
    </xdr:from>
    <xdr:to>
      <xdr:col>5</xdr:col>
      <xdr:colOff>638175</xdr:colOff>
      <xdr:row>967</xdr:row>
      <xdr:rowOff>0</xdr:rowOff>
    </xdr:to>
    <xdr:graphicFrame macro="">
      <xdr:nvGraphicFramePr>
        <xdr:cNvPr id="1045879" name="Chart 31">
          <a:extLst>
            <a:ext uri="{FF2B5EF4-FFF2-40B4-BE49-F238E27FC236}">
              <a16:creationId xmlns:a16="http://schemas.microsoft.com/office/drawing/2014/main" id="{532ECBD3-6168-960F-7708-13E48501E86F}"/>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1"/>
        </a:graphicData>
      </a:graphic>
    </xdr:graphicFrame>
    <xdr:clientData/>
  </xdr:twoCellAnchor>
  <xdr:twoCellAnchor>
    <xdr:from>
      <xdr:col>3</xdr:col>
      <xdr:colOff>19050</xdr:colOff>
      <xdr:row>978</xdr:row>
      <xdr:rowOff>133350</xdr:rowOff>
    </xdr:from>
    <xdr:to>
      <xdr:col>6</xdr:col>
      <xdr:colOff>238125</xdr:colOff>
      <xdr:row>995</xdr:row>
      <xdr:rowOff>47625</xdr:rowOff>
    </xdr:to>
    <xdr:graphicFrame macro="">
      <xdr:nvGraphicFramePr>
        <xdr:cNvPr id="1045880" name="Chart 32">
          <a:extLst>
            <a:ext uri="{FF2B5EF4-FFF2-40B4-BE49-F238E27FC236}">
              <a16:creationId xmlns:a16="http://schemas.microsoft.com/office/drawing/2014/main" id="{E79C78DB-B1BD-A614-5F0A-B90479882AE8}"/>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2"/>
        </a:graphicData>
      </a:graphic>
    </xdr:graphicFrame>
    <xdr:clientData/>
  </xdr:twoCellAnchor>
  <xdr:twoCellAnchor>
    <xdr:from>
      <xdr:col>3</xdr:col>
      <xdr:colOff>552450</xdr:colOff>
      <xdr:row>1018</xdr:row>
      <xdr:rowOff>180975</xdr:rowOff>
    </xdr:from>
    <xdr:to>
      <xdr:col>5</xdr:col>
      <xdr:colOff>638175</xdr:colOff>
      <xdr:row>1035</xdr:row>
      <xdr:rowOff>0</xdr:rowOff>
    </xdr:to>
    <xdr:graphicFrame macro="">
      <xdr:nvGraphicFramePr>
        <xdr:cNvPr id="1045881" name="Chart 33">
          <a:extLst>
            <a:ext uri="{FF2B5EF4-FFF2-40B4-BE49-F238E27FC236}">
              <a16:creationId xmlns:a16="http://schemas.microsoft.com/office/drawing/2014/main" id="{7428FF81-40F4-7E02-E94E-9C3B119D50D3}"/>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3"/>
        </a:graphicData>
      </a:graphic>
    </xdr:graphicFrame>
    <xdr:clientData/>
  </xdr:twoCellAnchor>
  <xdr:twoCellAnchor>
    <xdr:from>
      <xdr:col>3</xdr:col>
      <xdr:colOff>19050</xdr:colOff>
      <xdr:row>1046</xdr:row>
      <xdr:rowOff>133350</xdr:rowOff>
    </xdr:from>
    <xdr:to>
      <xdr:col>6</xdr:col>
      <xdr:colOff>238125</xdr:colOff>
      <xdr:row>1063</xdr:row>
      <xdr:rowOff>47625</xdr:rowOff>
    </xdr:to>
    <xdr:graphicFrame macro="">
      <xdr:nvGraphicFramePr>
        <xdr:cNvPr id="1045882" name="Chart 34">
          <a:extLst>
            <a:ext uri="{FF2B5EF4-FFF2-40B4-BE49-F238E27FC236}">
              <a16:creationId xmlns:a16="http://schemas.microsoft.com/office/drawing/2014/main" id="{3D1F4F53-2F86-4078-285B-7DBBAB1B1688}"/>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4"/>
        </a:graphicData>
      </a:graphic>
    </xdr:graphicFrame>
    <xdr:clientData/>
  </xdr:twoCellAnchor>
  <xdr:twoCellAnchor>
    <xdr:from>
      <xdr:col>3</xdr:col>
      <xdr:colOff>552450</xdr:colOff>
      <xdr:row>1086</xdr:row>
      <xdr:rowOff>180975</xdr:rowOff>
    </xdr:from>
    <xdr:to>
      <xdr:col>5</xdr:col>
      <xdr:colOff>638175</xdr:colOff>
      <xdr:row>1103</xdr:row>
      <xdr:rowOff>0</xdr:rowOff>
    </xdr:to>
    <xdr:graphicFrame macro="">
      <xdr:nvGraphicFramePr>
        <xdr:cNvPr id="1045883" name="Chart 35">
          <a:extLst>
            <a:ext uri="{FF2B5EF4-FFF2-40B4-BE49-F238E27FC236}">
              <a16:creationId xmlns:a16="http://schemas.microsoft.com/office/drawing/2014/main" id="{7FE71BB2-ED24-0DEA-7165-FFAAF3DEDB2D}"/>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5"/>
        </a:graphicData>
      </a:graphic>
    </xdr:graphicFrame>
    <xdr:clientData/>
  </xdr:twoCellAnchor>
  <xdr:twoCellAnchor>
    <xdr:from>
      <xdr:col>3</xdr:col>
      <xdr:colOff>19050</xdr:colOff>
      <xdr:row>1113</xdr:row>
      <xdr:rowOff>133350</xdr:rowOff>
    </xdr:from>
    <xdr:to>
      <xdr:col>6</xdr:col>
      <xdr:colOff>238125</xdr:colOff>
      <xdr:row>1130</xdr:row>
      <xdr:rowOff>47625</xdr:rowOff>
    </xdr:to>
    <xdr:graphicFrame macro="">
      <xdr:nvGraphicFramePr>
        <xdr:cNvPr id="1045884" name="Chart 36">
          <a:extLst>
            <a:ext uri="{FF2B5EF4-FFF2-40B4-BE49-F238E27FC236}">
              <a16:creationId xmlns:a16="http://schemas.microsoft.com/office/drawing/2014/main" id="{1461CAA1-7B67-1E0B-7E49-3DA8E9355BC1}"/>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6"/>
        </a:graphicData>
      </a:graphic>
    </xdr:graphicFrame>
    <xdr:clientData/>
  </xdr:twoCellAnchor>
  <xdr:twoCellAnchor>
    <xdr:from>
      <xdr:col>3</xdr:col>
      <xdr:colOff>552450</xdr:colOff>
      <xdr:row>1153</xdr:row>
      <xdr:rowOff>180975</xdr:rowOff>
    </xdr:from>
    <xdr:to>
      <xdr:col>5</xdr:col>
      <xdr:colOff>638175</xdr:colOff>
      <xdr:row>1170</xdr:row>
      <xdr:rowOff>0</xdr:rowOff>
    </xdr:to>
    <xdr:graphicFrame macro="">
      <xdr:nvGraphicFramePr>
        <xdr:cNvPr id="1045885" name="Chart 37">
          <a:extLst>
            <a:ext uri="{FF2B5EF4-FFF2-40B4-BE49-F238E27FC236}">
              <a16:creationId xmlns:a16="http://schemas.microsoft.com/office/drawing/2014/main" id="{8A812EC9-04A1-E73F-9FDA-E6FBA0D3FBBF}"/>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7"/>
        </a:graphicData>
      </a:graphic>
    </xdr:graphicFrame>
    <xdr:clientData/>
  </xdr:twoCellAnchor>
  <xdr:twoCellAnchor>
    <xdr:from>
      <xdr:col>3</xdr:col>
      <xdr:colOff>19050</xdr:colOff>
      <xdr:row>1180</xdr:row>
      <xdr:rowOff>133350</xdr:rowOff>
    </xdr:from>
    <xdr:to>
      <xdr:col>6</xdr:col>
      <xdr:colOff>238125</xdr:colOff>
      <xdr:row>1197</xdr:row>
      <xdr:rowOff>47625</xdr:rowOff>
    </xdr:to>
    <xdr:graphicFrame macro="">
      <xdr:nvGraphicFramePr>
        <xdr:cNvPr id="1045886" name="Chart 38">
          <a:extLst>
            <a:ext uri="{FF2B5EF4-FFF2-40B4-BE49-F238E27FC236}">
              <a16:creationId xmlns:a16="http://schemas.microsoft.com/office/drawing/2014/main" id="{36DA09F7-0E6E-331F-FA8C-32774A86D467}"/>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8"/>
        </a:graphicData>
      </a:graphic>
    </xdr:graphicFrame>
    <xdr:clientData/>
  </xdr:twoCellAnchor>
  <xdr:twoCellAnchor>
    <xdr:from>
      <xdr:col>3</xdr:col>
      <xdr:colOff>552450</xdr:colOff>
      <xdr:row>1220</xdr:row>
      <xdr:rowOff>180975</xdr:rowOff>
    </xdr:from>
    <xdr:to>
      <xdr:col>5</xdr:col>
      <xdr:colOff>638175</xdr:colOff>
      <xdr:row>1237</xdr:row>
      <xdr:rowOff>0</xdr:rowOff>
    </xdr:to>
    <xdr:graphicFrame macro="">
      <xdr:nvGraphicFramePr>
        <xdr:cNvPr id="1045887" name="Chart 39">
          <a:extLst>
            <a:ext uri="{FF2B5EF4-FFF2-40B4-BE49-F238E27FC236}">
              <a16:creationId xmlns:a16="http://schemas.microsoft.com/office/drawing/2014/main" id="{7F2DE298-CC21-B795-DD5D-E3F0698ED3CF}"/>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9"/>
        </a:graphicData>
      </a:graphic>
    </xdr:graphicFrame>
    <xdr:clientData/>
  </xdr:twoCellAnchor>
  <xdr:twoCellAnchor>
    <xdr:from>
      <xdr:col>3</xdr:col>
      <xdr:colOff>19050</xdr:colOff>
      <xdr:row>1247</xdr:row>
      <xdr:rowOff>133350</xdr:rowOff>
    </xdr:from>
    <xdr:to>
      <xdr:col>6</xdr:col>
      <xdr:colOff>238125</xdr:colOff>
      <xdr:row>1264</xdr:row>
      <xdr:rowOff>47625</xdr:rowOff>
    </xdr:to>
    <xdr:graphicFrame macro="">
      <xdr:nvGraphicFramePr>
        <xdr:cNvPr id="1045888" name="Chart 40">
          <a:extLst>
            <a:ext uri="{FF2B5EF4-FFF2-40B4-BE49-F238E27FC236}">
              <a16:creationId xmlns:a16="http://schemas.microsoft.com/office/drawing/2014/main" id="{41F976A0-1FAB-696A-7FB5-36828C8CCABF}"/>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0"/>
        </a:graphicData>
      </a:graphic>
    </xdr:graphicFrame>
    <xdr:clientData/>
  </xdr:twoCellAnchor>
  <xdr:twoCellAnchor>
    <xdr:from>
      <xdr:col>3</xdr:col>
      <xdr:colOff>552450</xdr:colOff>
      <xdr:row>1287</xdr:row>
      <xdr:rowOff>180975</xdr:rowOff>
    </xdr:from>
    <xdr:to>
      <xdr:col>5</xdr:col>
      <xdr:colOff>638175</xdr:colOff>
      <xdr:row>1304</xdr:row>
      <xdr:rowOff>0</xdr:rowOff>
    </xdr:to>
    <xdr:graphicFrame macro="">
      <xdr:nvGraphicFramePr>
        <xdr:cNvPr id="1045889" name="Chart 41">
          <a:extLst>
            <a:ext uri="{FF2B5EF4-FFF2-40B4-BE49-F238E27FC236}">
              <a16:creationId xmlns:a16="http://schemas.microsoft.com/office/drawing/2014/main" id="{DCEAA8C4-459C-7749-F67C-306EFBA0122E}"/>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1"/>
        </a:graphicData>
      </a:graphic>
    </xdr:graphicFrame>
    <xdr:clientData/>
  </xdr:twoCellAnchor>
  <xdr:twoCellAnchor>
    <xdr:from>
      <xdr:col>3</xdr:col>
      <xdr:colOff>19050</xdr:colOff>
      <xdr:row>1314</xdr:row>
      <xdr:rowOff>133350</xdr:rowOff>
    </xdr:from>
    <xdr:to>
      <xdr:col>6</xdr:col>
      <xdr:colOff>238125</xdr:colOff>
      <xdr:row>1331</xdr:row>
      <xdr:rowOff>47625</xdr:rowOff>
    </xdr:to>
    <xdr:graphicFrame macro="">
      <xdr:nvGraphicFramePr>
        <xdr:cNvPr id="1045890" name="Chart 42">
          <a:extLst>
            <a:ext uri="{FF2B5EF4-FFF2-40B4-BE49-F238E27FC236}">
              <a16:creationId xmlns:a16="http://schemas.microsoft.com/office/drawing/2014/main" id="{BC1ABD62-D677-3C10-6DF0-73A0F2A6458B}"/>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2"/>
        </a:graphicData>
      </a:graphic>
    </xdr:graphicFrame>
    <xdr:clientData/>
  </xdr:twoCellAnchor>
  <mc:AlternateContent xmlns:mc="http://schemas.openxmlformats.org/markup-compatibility/2006">
    <mc:Choice xmlns:a14="http://schemas.microsoft.com/office/drawing/2010/main" Requires="a14">
      <xdr:twoCellAnchor editAs="oneCell">
        <xdr:from>
          <xdr:col>3</xdr:col>
          <xdr:colOff>2415540</xdr:colOff>
          <xdr:row>2</xdr:row>
          <xdr:rowOff>91440</xdr:rowOff>
        </xdr:from>
        <xdr:to>
          <xdr:col>5</xdr:col>
          <xdr:colOff>38100</xdr:colOff>
          <xdr:row>3</xdr:row>
          <xdr:rowOff>129540</xdr:rowOff>
        </xdr:to>
        <xdr:sp macro="" textlink="">
          <xdr:nvSpPr>
            <xdr:cNvPr id="24577" name="cbSRCus" hidden="1">
              <a:extLst>
                <a:ext uri="{63B3BB69-23CF-44E3-9099-C40C66FF867C}">
                  <a14:compatExt spid="_x0000_s24577"/>
                </a:ext>
                <a:ext uri="{FF2B5EF4-FFF2-40B4-BE49-F238E27FC236}">
                  <a16:creationId xmlns:a16="http://schemas.microsoft.com/office/drawing/2014/main" id="{00000000-0008-0000-2200-0000016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2</xdr:row>
          <xdr:rowOff>76200</xdr:rowOff>
        </xdr:from>
        <xdr:to>
          <xdr:col>8</xdr:col>
          <xdr:colOff>11430</xdr:colOff>
          <xdr:row>3</xdr:row>
          <xdr:rowOff>114300</xdr:rowOff>
        </xdr:to>
        <xdr:sp macro="" textlink="">
          <xdr:nvSpPr>
            <xdr:cNvPr id="24578" name="cbSR" hidden="1">
              <a:extLst>
                <a:ext uri="{63B3BB69-23CF-44E3-9099-C40C66FF867C}">
                  <a14:compatExt spid="_x0000_s24578"/>
                </a:ext>
                <a:ext uri="{FF2B5EF4-FFF2-40B4-BE49-F238E27FC236}">
                  <a16:creationId xmlns:a16="http://schemas.microsoft.com/office/drawing/2014/main" id="{00000000-0008-0000-2200-0000026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drawings/drawing30.xml><?xml version="1.0" encoding="utf-8"?>
<xdr:wsDr xmlns:xdr="http://schemas.openxmlformats.org/drawingml/2006/spreadsheetDrawing" xmlns:a="http://schemas.openxmlformats.org/drawingml/2006/main">
  <xdr:twoCellAnchor editAs="oneCell">
    <xdr:from>
      <xdr:col>1</xdr:col>
      <xdr:colOff>38100</xdr:colOff>
      <xdr:row>0</xdr:row>
      <xdr:rowOff>19050</xdr:rowOff>
    </xdr:from>
    <xdr:to>
      <xdr:col>3</xdr:col>
      <xdr:colOff>781050</xdr:colOff>
      <xdr:row>3</xdr:row>
      <xdr:rowOff>152400</xdr:rowOff>
    </xdr:to>
    <xdr:pic>
      <xdr:nvPicPr>
        <xdr:cNvPr id="52709720" name="Picture 1">
          <a:extLst>
            <a:ext uri="{FF2B5EF4-FFF2-40B4-BE49-F238E27FC236}">
              <a16:creationId xmlns:a16="http://schemas.microsoft.com/office/drawing/2014/main" id="{27118915-6A02-20CA-B02F-F63E9F7014D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47650" y="19050"/>
          <a:ext cx="1343025" cy="704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285750</xdr:colOff>
      <xdr:row>27</xdr:row>
      <xdr:rowOff>38100</xdr:rowOff>
    </xdr:from>
    <xdr:to>
      <xdr:col>7</xdr:col>
      <xdr:colOff>314325</xdr:colOff>
      <xdr:row>43</xdr:row>
      <xdr:rowOff>133350</xdr:rowOff>
    </xdr:to>
    <xdr:graphicFrame macro="">
      <xdr:nvGraphicFramePr>
        <xdr:cNvPr id="52709721" name="Chart 2">
          <a:extLst>
            <a:ext uri="{FF2B5EF4-FFF2-40B4-BE49-F238E27FC236}">
              <a16:creationId xmlns:a16="http://schemas.microsoft.com/office/drawing/2014/main" id="{168C2413-E214-E27B-EA0B-4FC8D4DFC82D}"/>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3</xdr:col>
      <xdr:colOff>285750</xdr:colOff>
      <xdr:row>56</xdr:row>
      <xdr:rowOff>66675</xdr:rowOff>
    </xdr:from>
    <xdr:to>
      <xdr:col>6</xdr:col>
      <xdr:colOff>971550</xdr:colOff>
      <xdr:row>75</xdr:row>
      <xdr:rowOff>28575</xdr:rowOff>
    </xdr:to>
    <xdr:graphicFrame macro="">
      <xdr:nvGraphicFramePr>
        <xdr:cNvPr id="52709722" name="Chart 3">
          <a:extLst>
            <a:ext uri="{FF2B5EF4-FFF2-40B4-BE49-F238E27FC236}">
              <a16:creationId xmlns:a16="http://schemas.microsoft.com/office/drawing/2014/main" id="{8BD652FA-3B27-D2D0-7A18-90273ABF25A4}"/>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3</xdr:col>
      <xdr:colOff>323850</xdr:colOff>
      <xdr:row>99</xdr:row>
      <xdr:rowOff>142875</xdr:rowOff>
    </xdr:from>
    <xdr:to>
      <xdr:col>7</xdr:col>
      <xdr:colOff>352425</xdr:colOff>
      <xdr:row>116</xdr:row>
      <xdr:rowOff>57150</xdr:rowOff>
    </xdr:to>
    <xdr:graphicFrame macro="">
      <xdr:nvGraphicFramePr>
        <xdr:cNvPr id="52709723" name="Chart 6">
          <a:extLst>
            <a:ext uri="{FF2B5EF4-FFF2-40B4-BE49-F238E27FC236}">
              <a16:creationId xmlns:a16="http://schemas.microsoft.com/office/drawing/2014/main" id="{B27549D6-C00B-D56B-D3B3-C725C27299DB}"/>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2</xdr:col>
      <xdr:colOff>238125</xdr:colOff>
      <xdr:row>127</xdr:row>
      <xdr:rowOff>47625</xdr:rowOff>
    </xdr:from>
    <xdr:to>
      <xdr:col>6</xdr:col>
      <xdr:colOff>923925</xdr:colOff>
      <xdr:row>146</xdr:row>
      <xdr:rowOff>28575</xdr:rowOff>
    </xdr:to>
    <xdr:graphicFrame macro="">
      <xdr:nvGraphicFramePr>
        <xdr:cNvPr id="52709724" name="Chart 7">
          <a:extLst>
            <a:ext uri="{FF2B5EF4-FFF2-40B4-BE49-F238E27FC236}">
              <a16:creationId xmlns:a16="http://schemas.microsoft.com/office/drawing/2014/main" id="{467D6FA8-5A56-A433-EB82-258651D4F136}"/>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3</xdr:col>
      <xdr:colOff>266700</xdr:colOff>
      <xdr:row>170</xdr:row>
      <xdr:rowOff>123825</xdr:rowOff>
    </xdr:from>
    <xdr:to>
      <xdr:col>7</xdr:col>
      <xdr:colOff>295275</xdr:colOff>
      <xdr:row>187</xdr:row>
      <xdr:rowOff>38100</xdr:rowOff>
    </xdr:to>
    <xdr:graphicFrame macro="">
      <xdr:nvGraphicFramePr>
        <xdr:cNvPr id="52709725" name="Chart 8">
          <a:extLst>
            <a:ext uri="{FF2B5EF4-FFF2-40B4-BE49-F238E27FC236}">
              <a16:creationId xmlns:a16="http://schemas.microsoft.com/office/drawing/2014/main" id="{D346BF1F-1EEA-1F69-A2A8-317388FDC457}"/>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xdr:from>
      <xdr:col>2</xdr:col>
      <xdr:colOff>238125</xdr:colOff>
      <xdr:row>200</xdr:row>
      <xdr:rowOff>47625</xdr:rowOff>
    </xdr:from>
    <xdr:to>
      <xdr:col>6</xdr:col>
      <xdr:colOff>923925</xdr:colOff>
      <xdr:row>219</xdr:row>
      <xdr:rowOff>28575</xdr:rowOff>
    </xdr:to>
    <xdr:graphicFrame macro="">
      <xdr:nvGraphicFramePr>
        <xdr:cNvPr id="52709726" name="Chart 9">
          <a:extLst>
            <a:ext uri="{FF2B5EF4-FFF2-40B4-BE49-F238E27FC236}">
              <a16:creationId xmlns:a16="http://schemas.microsoft.com/office/drawing/2014/main" id="{6ABE4347-E698-B7FB-93DE-09843394F554}"/>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twoCellAnchor>
  <xdr:twoCellAnchor>
    <xdr:from>
      <xdr:col>3</xdr:col>
      <xdr:colOff>285750</xdr:colOff>
      <xdr:row>243</xdr:row>
      <xdr:rowOff>133350</xdr:rowOff>
    </xdr:from>
    <xdr:to>
      <xdr:col>7</xdr:col>
      <xdr:colOff>323850</xdr:colOff>
      <xdr:row>260</xdr:row>
      <xdr:rowOff>47625</xdr:rowOff>
    </xdr:to>
    <xdr:graphicFrame macro="">
      <xdr:nvGraphicFramePr>
        <xdr:cNvPr id="52709727" name="Chart 10">
          <a:extLst>
            <a:ext uri="{FF2B5EF4-FFF2-40B4-BE49-F238E27FC236}">
              <a16:creationId xmlns:a16="http://schemas.microsoft.com/office/drawing/2014/main" id="{93BB6296-C320-6B39-61F2-DC6E11F7936B}"/>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twoCellAnchor>
  <xdr:twoCellAnchor>
    <xdr:from>
      <xdr:col>2</xdr:col>
      <xdr:colOff>238125</xdr:colOff>
      <xdr:row>271</xdr:row>
      <xdr:rowOff>47625</xdr:rowOff>
    </xdr:from>
    <xdr:to>
      <xdr:col>6</xdr:col>
      <xdr:colOff>923925</xdr:colOff>
      <xdr:row>290</xdr:row>
      <xdr:rowOff>28575</xdr:rowOff>
    </xdr:to>
    <xdr:graphicFrame macro="">
      <xdr:nvGraphicFramePr>
        <xdr:cNvPr id="52709728" name="Chart 11">
          <a:extLst>
            <a:ext uri="{FF2B5EF4-FFF2-40B4-BE49-F238E27FC236}">
              <a16:creationId xmlns:a16="http://schemas.microsoft.com/office/drawing/2014/main" id="{3725A45B-52CB-E300-0159-E0089365A1D1}"/>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9"/>
        </a:graphicData>
      </a:graphic>
    </xdr:graphicFrame>
    <xdr:clientData/>
  </xdr:twoCellAnchor>
  <xdr:twoCellAnchor>
    <xdr:from>
      <xdr:col>3</xdr:col>
      <xdr:colOff>333375</xdr:colOff>
      <xdr:row>313</xdr:row>
      <xdr:rowOff>171450</xdr:rowOff>
    </xdr:from>
    <xdr:to>
      <xdr:col>7</xdr:col>
      <xdr:colOff>361950</xdr:colOff>
      <xdr:row>330</xdr:row>
      <xdr:rowOff>76200</xdr:rowOff>
    </xdr:to>
    <xdr:graphicFrame macro="">
      <xdr:nvGraphicFramePr>
        <xdr:cNvPr id="52709729" name="Chart 12">
          <a:extLst>
            <a:ext uri="{FF2B5EF4-FFF2-40B4-BE49-F238E27FC236}">
              <a16:creationId xmlns:a16="http://schemas.microsoft.com/office/drawing/2014/main" id="{76F24AC3-CF47-1130-86F7-093B7E24E586}"/>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0"/>
        </a:graphicData>
      </a:graphic>
    </xdr:graphicFrame>
    <xdr:clientData/>
  </xdr:twoCellAnchor>
  <xdr:twoCellAnchor>
    <xdr:from>
      <xdr:col>2</xdr:col>
      <xdr:colOff>238125</xdr:colOff>
      <xdr:row>341</xdr:row>
      <xdr:rowOff>47625</xdr:rowOff>
    </xdr:from>
    <xdr:to>
      <xdr:col>6</xdr:col>
      <xdr:colOff>923925</xdr:colOff>
      <xdr:row>360</xdr:row>
      <xdr:rowOff>28575</xdr:rowOff>
    </xdr:to>
    <xdr:graphicFrame macro="">
      <xdr:nvGraphicFramePr>
        <xdr:cNvPr id="52709730" name="Chart 13">
          <a:extLst>
            <a:ext uri="{FF2B5EF4-FFF2-40B4-BE49-F238E27FC236}">
              <a16:creationId xmlns:a16="http://schemas.microsoft.com/office/drawing/2014/main" id="{7D3E9C64-3514-AE7A-989B-A4BCFAD49BE9}"/>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1"/>
        </a:graphicData>
      </a:graphic>
    </xdr:graphicFrame>
    <xdr:clientData/>
  </xdr:twoCellAnchor>
  <xdr:twoCellAnchor>
    <xdr:from>
      <xdr:col>3</xdr:col>
      <xdr:colOff>314325</xdr:colOff>
      <xdr:row>384</xdr:row>
      <xdr:rowOff>19050</xdr:rowOff>
    </xdr:from>
    <xdr:to>
      <xdr:col>7</xdr:col>
      <xdr:colOff>342900</xdr:colOff>
      <xdr:row>400</xdr:row>
      <xdr:rowOff>123825</xdr:rowOff>
    </xdr:to>
    <xdr:graphicFrame macro="">
      <xdr:nvGraphicFramePr>
        <xdr:cNvPr id="52709731" name="Chart 14">
          <a:extLst>
            <a:ext uri="{FF2B5EF4-FFF2-40B4-BE49-F238E27FC236}">
              <a16:creationId xmlns:a16="http://schemas.microsoft.com/office/drawing/2014/main" id="{D4B9EDEC-0F61-25E5-2327-3FD06231C082}"/>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2"/>
        </a:graphicData>
      </a:graphic>
    </xdr:graphicFrame>
    <xdr:clientData/>
  </xdr:twoCellAnchor>
  <xdr:twoCellAnchor>
    <xdr:from>
      <xdr:col>2</xdr:col>
      <xdr:colOff>238125</xdr:colOff>
      <xdr:row>411</xdr:row>
      <xdr:rowOff>47625</xdr:rowOff>
    </xdr:from>
    <xdr:to>
      <xdr:col>6</xdr:col>
      <xdr:colOff>923925</xdr:colOff>
      <xdr:row>430</xdr:row>
      <xdr:rowOff>28575</xdr:rowOff>
    </xdr:to>
    <xdr:graphicFrame macro="">
      <xdr:nvGraphicFramePr>
        <xdr:cNvPr id="52709732" name="Chart 15">
          <a:extLst>
            <a:ext uri="{FF2B5EF4-FFF2-40B4-BE49-F238E27FC236}">
              <a16:creationId xmlns:a16="http://schemas.microsoft.com/office/drawing/2014/main" id="{BB95929C-4E34-F4BE-2A88-AF731891D6CD}"/>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3"/>
        </a:graphicData>
      </a:graphic>
    </xdr:graphicFrame>
    <xdr:clientData/>
  </xdr:twoCellAnchor>
  <xdr:twoCellAnchor>
    <xdr:from>
      <xdr:col>3</xdr:col>
      <xdr:colOff>447675</xdr:colOff>
      <xdr:row>453</xdr:row>
      <xdr:rowOff>171450</xdr:rowOff>
    </xdr:from>
    <xdr:to>
      <xdr:col>7</xdr:col>
      <xdr:colOff>476250</xdr:colOff>
      <xdr:row>470</xdr:row>
      <xdr:rowOff>76200</xdr:rowOff>
    </xdr:to>
    <xdr:graphicFrame macro="">
      <xdr:nvGraphicFramePr>
        <xdr:cNvPr id="52709733" name="Chart 16">
          <a:extLst>
            <a:ext uri="{FF2B5EF4-FFF2-40B4-BE49-F238E27FC236}">
              <a16:creationId xmlns:a16="http://schemas.microsoft.com/office/drawing/2014/main" id="{E7E2AD14-84A2-53F9-15DF-058E9D94110C}"/>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4"/>
        </a:graphicData>
      </a:graphic>
    </xdr:graphicFrame>
    <xdr:clientData/>
  </xdr:twoCellAnchor>
  <xdr:twoCellAnchor>
    <xdr:from>
      <xdr:col>2</xdr:col>
      <xdr:colOff>238125</xdr:colOff>
      <xdr:row>481</xdr:row>
      <xdr:rowOff>47625</xdr:rowOff>
    </xdr:from>
    <xdr:to>
      <xdr:col>6</xdr:col>
      <xdr:colOff>923925</xdr:colOff>
      <xdr:row>500</xdr:row>
      <xdr:rowOff>28575</xdr:rowOff>
    </xdr:to>
    <xdr:graphicFrame macro="">
      <xdr:nvGraphicFramePr>
        <xdr:cNvPr id="52709734" name="Chart 17">
          <a:extLst>
            <a:ext uri="{FF2B5EF4-FFF2-40B4-BE49-F238E27FC236}">
              <a16:creationId xmlns:a16="http://schemas.microsoft.com/office/drawing/2014/main" id="{7DEEB20B-9251-11F7-FB9E-6B704DA44F67}"/>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5"/>
        </a:graphicData>
      </a:graphic>
    </xdr:graphicFrame>
    <xdr:clientData/>
  </xdr:twoCellAnchor>
  <xdr:twoCellAnchor>
    <xdr:from>
      <xdr:col>3</xdr:col>
      <xdr:colOff>276225</xdr:colOff>
      <xdr:row>523</xdr:row>
      <xdr:rowOff>190500</xdr:rowOff>
    </xdr:from>
    <xdr:to>
      <xdr:col>7</xdr:col>
      <xdr:colOff>304800</xdr:colOff>
      <xdr:row>538</xdr:row>
      <xdr:rowOff>104775</xdr:rowOff>
    </xdr:to>
    <xdr:graphicFrame macro="">
      <xdr:nvGraphicFramePr>
        <xdr:cNvPr id="52709735" name="Chart 18">
          <a:extLst>
            <a:ext uri="{FF2B5EF4-FFF2-40B4-BE49-F238E27FC236}">
              <a16:creationId xmlns:a16="http://schemas.microsoft.com/office/drawing/2014/main" id="{E3B92281-B279-57E3-8DC9-403C8A55AF29}"/>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6"/>
        </a:graphicData>
      </a:graphic>
    </xdr:graphicFrame>
    <xdr:clientData/>
  </xdr:twoCellAnchor>
  <xdr:twoCellAnchor>
    <xdr:from>
      <xdr:col>2</xdr:col>
      <xdr:colOff>238125</xdr:colOff>
      <xdr:row>550</xdr:row>
      <xdr:rowOff>47625</xdr:rowOff>
    </xdr:from>
    <xdr:to>
      <xdr:col>6</xdr:col>
      <xdr:colOff>923925</xdr:colOff>
      <xdr:row>569</xdr:row>
      <xdr:rowOff>28575</xdr:rowOff>
    </xdr:to>
    <xdr:graphicFrame macro="">
      <xdr:nvGraphicFramePr>
        <xdr:cNvPr id="52709736" name="Chart 19">
          <a:extLst>
            <a:ext uri="{FF2B5EF4-FFF2-40B4-BE49-F238E27FC236}">
              <a16:creationId xmlns:a16="http://schemas.microsoft.com/office/drawing/2014/main" id="{289947B9-5FDA-124B-E6B1-DBFCBC97079C}"/>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7"/>
        </a:graphicData>
      </a:graphic>
    </xdr:graphicFrame>
    <xdr:clientData/>
  </xdr:twoCellAnchor>
  <xdr:twoCellAnchor>
    <xdr:from>
      <xdr:col>3</xdr:col>
      <xdr:colOff>371475</xdr:colOff>
      <xdr:row>593</xdr:row>
      <xdr:rowOff>9525</xdr:rowOff>
    </xdr:from>
    <xdr:to>
      <xdr:col>7</xdr:col>
      <xdr:colOff>400050</xdr:colOff>
      <xdr:row>609</xdr:row>
      <xdr:rowOff>104775</xdr:rowOff>
    </xdr:to>
    <xdr:graphicFrame macro="">
      <xdr:nvGraphicFramePr>
        <xdr:cNvPr id="52709737" name="Chart 20">
          <a:extLst>
            <a:ext uri="{FF2B5EF4-FFF2-40B4-BE49-F238E27FC236}">
              <a16:creationId xmlns:a16="http://schemas.microsoft.com/office/drawing/2014/main" id="{2CE40086-8356-0DAF-7446-94E28DE3589D}"/>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8"/>
        </a:graphicData>
      </a:graphic>
    </xdr:graphicFrame>
    <xdr:clientData/>
  </xdr:twoCellAnchor>
  <xdr:twoCellAnchor>
    <xdr:from>
      <xdr:col>2</xdr:col>
      <xdr:colOff>238125</xdr:colOff>
      <xdr:row>620</xdr:row>
      <xdr:rowOff>47625</xdr:rowOff>
    </xdr:from>
    <xdr:to>
      <xdr:col>6</xdr:col>
      <xdr:colOff>923925</xdr:colOff>
      <xdr:row>639</xdr:row>
      <xdr:rowOff>28575</xdr:rowOff>
    </xdr:to>
    <xdr:graphicFrame macro="">
      <xdr:nvGraphicFramePr>
        <xdr:cNvPr id="52709738" name="Chart 21">
          <a:extLst>
            <a:ext uri="{FF2B5EF4-FFF2-40B4-BE49-F238E27FC236}">
              <a16:creationId xmlns:a16="http://schemas.microsoft.com/office/drawing/2014/main" id="{6FFACC79-57B1-81D2-D6EB-1737B382E6CB}"/>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9"/>
        </a:graphicData>
      </a:graphic>
    </xdr:graphicFrame>
    <xdr:clientData/>
  </xdr:twoCellAnchor>
  <xdr:twoCellAnchor>
    <xdr:from>
      <xdr:col>3</xdr:col>
      <xdr:colOff>495300</xdr:colOff>
      <xdr:row>662</xdr:row>
      <xdr:rowOff>171450</xdr:rowOff>
    </xdr:from>
    <xdr:to>
      <xdr:col>7</xdr:col>
      <xdr:colOff>523875</xdr:colOff>
      <xdr:row>679</xdr:row>
      <xdr:rowOff>76200</xdr:rowOff>
    </xdr:to>
    <xdr:graphicFrame macro="">
      <xdr:nvGraphicFramePr>
        <xdr:cNvPr id="52709739" name="Chart 22">
          <a:extLst>
            <a:ext uri="{FF2B5EF4-FFF2-40B4-BE49-F238E27FC236}">
              <a16:creationId xmlns:a16="http://schemas.microsoft.com/office/drawing/2014/main" id="{BB3367EE-AD32-F10A-8A4F-8CC15768D8CE}"/>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0"/>
        </a:graphicData>
      </a:graphic>
    </xdr:graphicFrame>
    <xdr:clientData/>
  </xdr:twoCellAnchor>
  <xdr:twoCellAnchor>
    <xdr:from>
      <xdr:col>2</xdr:col>
      <xdr:colOff>238125</xdr:colOff>
      <xdr:row>690</xdr:row>
      <xdr:rowOff>47625</xdr:rowOff>
    </xdr:from>
    <xdr:to>
      <xdr:col>6</xdr:col>
      <xdr:colOff>923925</xdr:colOff>
      <xdr:row>709</xdr:row>
      <xdr:rowOff>28575</xdr:rowOff>
    </xdr:to>
    <xdr:graphicFrame macro="">
      <xdr:nvGraphicFramePr>
        <xdr:cNvPr id="52709740" name="Chart 23">
          <a:extLst>
            <a:ext uri="{FF2B5EF4-FFF2-40B4-BE49-F238E27FC236}">
              <a16:creationId xmlns:a16="http://schemas.microsoft.com/office/drawing/2014/main" id="{12CF6ADC-50AC-5932-3569-9E90A75977A2}"/>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1"/>
        </a:graphicData>
      </a:graphic>
    </xdr:graphicFrame>
    <xdr:clientData/>
  </xdr:twoCellAnchor>
  <xdr:twoCellAnchor>
    <xdr:from>
      <xdr:col>3</xdr:col>
      <xdr:colOff>266700</xdr:colOff>
      <xdr:row>732</xdr:row>
      <xdr:rowOff>152400</xdr:rowOff>
    </xdr:from>
    <xdr:to>
      <xdr:col>7</xdr:col>
      <xdr:colOff>295275</xdr:colOff>
      <xdr:row>749</xdr:row>
      <xdr:rowOff>57150</xdr:rowOff>
    </xdr:to>
    <xdr:graphicFrame macro="">
      <xdr:nvGraphicFramePr>
        <xdr:cNvPr id="52709741" name="Chart 24">
          <a:extLst>
            <a:ext uri="{FF2B5EF4-FFF2-40B4-BE49-F238E27FC236}">
              <a16:creationId xmlns:a16="http://schemas.microsoft.com/office/drawing/2014/main" id="{63845F98-E065-8844-C28E-6DB3DD137D9D}"/>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2"/>
        </a:graphicData>
      </a:graphic>
    </xdr:graphicFrame>
    <xdr:clientData/>
  </xdr:twoCellAnchor>
  <xdr:twoCellAnchor>
    <xdr:from>
      <xdr:col>2</xdr:col>
      <xdr:colOff>238125</xdr:colOff>
      <xdr:row>760</xdr:row>
      <xdr:rowOff>47625</xdr:rowOff>
    </xdr:from>
    <xdr:to>
      <xdr:col>6</xdr:col>
      <xdr:colOff>923925</xdr:colOff>
      <xdr:row>779</xdr:row>
      <xdr:rowOff>28575</xdr:rowOff>
    </xdr:to>
    <xdr:graphicFrame macro="">
      <xdr:nvGraphicFramePr>
        <xdr:cNvPr id="52709742" name="Chart 25">
          <a:extLst>
            <a:ext uri="{FF2B5EF4-FFF2-40B4-BE49-F238E27FC236}">
              <a16:creationId xmlns:a16="http://schemas.microsoft.com/office/drawing/2014/main" id="{F902C65D-FF8B-9FFD-1232-80246583EA99}"/>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3"/>
        </a:graphicData>
      </a:graphic>
    </xdr:graphicFrame>
    <xdr:clientData/>
  </xdr:twoCellAnchor>
  <xdr:twoCellAnchor>
    <xdr:from>
      <xdr:col>3</xdr:col>
      <xdr:colOff>180975</xdr:colOff>
      <xdr:row>802</xdr:row>
      <xdr:rowOff>190500</xdr:rowOff>
    </xdr:from>
    <xdr:to>
      <xdr:col>7</xdr:col>
      <xdr:colOff>209550</xdr:colOff>
      <xdr:row>819</xdr:row>
      <xdr:rowOff>95250</xdr:rowOff>
    </xdr:to>
    <xdr:graphicFrame macro="">
      <xdr:nvGraphicFramePr>
        <xdr:cNvPr id="52709743" name="Chart 26">
          <a:extLst>
            <a:ext uri="{FF2B5EF4-FFF2-40B4-BE49-F238E27FC236}">
              <a16:creationId xmlns:a16="http://schemas.microsoft.com/office/drawing/2014/main" id="{A8319DF8-0E34-1714-B593-7A3126669305}"/>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4"/>
        </a:graphicData>
      </a:graphic>
    </xdr:graphicFrame>
    <xdr:clientData/>
  </xdr:twoCellAnchor>
  <xdr:twoCellAnchor>
    <xdr:from>
      <xdr:col>2</xdr:col>
      <xdr:colOff>238125</xdr:colOff>
      <xdr:row>830</xdr:row>
      <xdr:rowOff>47625</xdr:rowOff>
    </xdr:from>
    <xdr:to>
      <xdr:col>6</xdr:col>
      <xdr:colOff>923925</xdr:colOff>
      <xdr:row>849</xdr:row>
      <xdr:rowOff>28575</xdr:rowOff>
    </xdr:to>
    <xdr:graphicFrame macro="">
      <xdr:nvGraphicFramePr>
        <xdr:cNvPr id="52709744" name="Chart 27">
          <a:extLst>
            <a:ext uri="{FF2B5EF4-FFF2-40B4-BE49-F238E27FC236}">
              <a16:creationId xmlns:a16="http://schemas.microsoft.com/office/drawing/2014/main" id="{3E99731F-A062-4D6D-8255-0F55A98329B3}"/>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5"/>
        </a:graphicData>
      </a:graphic>
    </xdr:graphicFrame>
    <xdr:clientData/>
  </xdr:twoCellAnchor>
  <xdr:twoCellAnchor>
    <xdr:from>
      <xdr:col>3</xdr:col>
      <xdr:colOff>161925</xdr:colOff>
      <xdr:row>872</xdr:row>
      <xdr:rowOff>171450</xdr:rowOff>
    </xdr:from>
    <xdr:to>
      <xdr:col>7</xdr:col>
      <xdr:colOff>190500</xdr:colOff>
      <xdr:row>889</xdr:row>
      <xdr:rowOff>85725</xdr:rowOff>
    </xdr:to>
    <xdr:graphicFrame macro="">
      <xdr:nvGraphicFramePr>
        <xdr:cNvPr id="52709745" name="Chart 28">
          <a:extLst>
            <a:ext uri="{FF2B5EF4-FFF2-40B4-BE49-F238E27FC236}">
              <a16:creationId xmlns:a16="http://schemas.microsoft.com/office/drawing/2014/main" id="{6718E13B-404F-9C6F-EFEC-C1642D667D55}"/>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6"/>
        </a:graphicData>
      </a:graphic>
    </xdr:graphicFrame>
    <xdr:clientData/>
  </xdr:twoCellAnchor>
  <xdr:twoCellAnchor>
    <xdr:from>
      <xdr:col>2</xdr:col>
      <xdr:colOff>238125</xdr:colOff>
      <xdr:row>900</xdr:row>
      <xdr:rowOff>47625</xdr:rowOff>
    </xdr:from>
    <xdr:to>
      <xdr:col>6</xdr:col>
      <xdr:colOff>923925</xdr:colOff>
      <xdr:row>919</xdr:row>
      <xdr:rowOff>28575</xdr:rowOff>
    </xdr:to>
    <xdr:graphicFrame macro="">
      <xdr:nvGraphicFramePr>
        <xdr:cNvPr id="52709746" name="Chart 29">
          <a:extLst>
            <a:ext uri="{FF2B5EF4-FFF2-40B4-BE49-F238E27FC236}">
              <a16:creationId xmlns:a16="http://schemas.microsoft.com/office/drawing/2014/main" id="{CE3D0BCA-DBF0-B234-1963-79B5971A8DF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7"/>
        </a:graphicData>
      </a:graphic>
    </xdr:graphicFrame>
    <xdr:clientData/>
  </xdr:twoCellAnchor>
  <xdr:twoCellAnchor>
    <xdr:from>
      <xdr:col>3</xdr:col>
      <xdr:colOff>361950</xdr:colOff>
      <xdr:row>942</xdr:row>
      <xdr:rowOff>180975</xdr:rowOff>
    </xdr:from>
    <xdr:to>
      <xdr:col>7</xdr:col>
      <xdr:colOff>400050</xdr:colOff>
      <xdr:row>959</xdr:row>
      <xdr:rowOff>85725</xdr:rowOff>
    </xdr:to>
    <xdr:graphicFrame macro="">
      <xdr:nvGraphicFramePr>
        <xdr:cNvPr id="52709747" name="Chart 30">
          <a:extLst>
            <a:ext uri="{FF2B5EF4-FFF2-40B4-BE49-F238E27FC236}">
              <a16:creationId xmlns:a16="http://schemas.microsoft.com/office/drawing/2014/main" id="{84A5227B-4593-7FA4-843C-B47D9003585D}"/>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8"/>
        </a:graphicData>
      </a:graphic>
    </xdr:graphicFrame>
    <xdr:clientData/>
  </xdr:twoCellAnchor>
  <xdr:twoCellAnchor>
    <xdr:from>
      <xdr:col>2</xdr:col>
      <xdr:colOff>238125</xdr:colOff>
      <xdr:row>970</xdr:row>
      <xdr:rowOff>47625</xdr:rowOff>
    </xdr:from>
    <xdr:to>
      <xdr:col>6</xdr:col>
      <xdr:colOff>923925</xdr:colOff>
      <xdr:row>989</xdr:row>
      <xdr:rowOff>28575</xdr:rowOff>
    </xdr:to>
    <xdr:graphicFrame macro="">
      <xdr:nvGraphicFramePr>
        <xdr:cNvPr id="52709748" name="Chart 31">
          <a:extLst>
            <a:ext uri="{FF2B5EF4-FFF2-40B4-BE49-F238E27FC236}">
              <a16:creationId xmlns:a16="http://schemas.microsoft.com/office/drawing/2014/main" id="{3F493689-3DB4-AB32-E660-C8F2621A024E}"/>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9"/>
        </a:graphicData>
      </a:graphic>
    </xdr:graphicFrame>
    <xdr:clientData/>
  </xdr:twoCellAnchor>
  <xdr:twoCellAnchor>
    <xdr:from>
      <xdr:col>3</xdr:col>
      <xdr:colOff>161925</xdr:colOff>
      <xdr:row>1012</xdr:row>
      <xdr:rowOff>190500</xdr:rowOff>
    </xdr:from>
    <xdr:to>
      <xdr:col>7</xdr:col>
      <xdr:colOff>190500</xdr:colOff>
      <xdr:row>1029</xdr:row>
      <xdr:rowOff>95250</xdr:rowOff>
    </xdr:to>
    <xdr:graphicFrame macro="">
      <xdr:nvGraphicFramePr>
        <xdr:cNvPr id="52709749" name="Chart 32">
          <a:extLst>
            <a:ext uri="{FF2B5EF4-FFF2-40B4-BE49-F238E27FC236}">
              <a16:creationId xmlns:a16="http://schemas.microsoft.com/office/drawing/2014/main" id="{EEC23DAF-9A69-C531-8721-7896B1BD76D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0"/>
        </a:graphicData>
      </a:graphic>
    </xdr:graphicFrame>
    <xdr:clientData/>
  </xdr:twoCellAnchor>
  <xdr:twoCellAnchor>
    <xdr:from>
      <xdr:col>2</xdr:col>
      <xdr:colOff>238125</xdr:colOff>
      <xdr:row>1040</xdr:row>
      <xdr:rowOff>47625</xdr:rowOff>
    </xdr:from>
    <xdr:to>
      <xdr:col>6</xdr:col>
      <xdr:colOff>923925</xdr:colOff>
      <xdr:row>1059</xdr:row>
      <xdr:rowOff>28575</xdr:rowOff>
    </xdr:to>
    <xdr:graphicFrame macro="">
      <xdr:nvGraphicFramePr>
        <xdr:cNvPr id="52709750" name="Chart 33">
          <a:extLst>
            <a:ext uri="{FF2B5EF4-FFF2-40B4-BE49-F238E27FC236}">
              <a16:creationId xmlns:a16="http://schemas.microsoft.com/office/drawing/2014/main" id="{1AEE8D95-BE71-664B-D923-213DE1E94DBC}"/>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1"/>
        </a:graphicData>
      </a:graphic>
    </xdr:graphicFrame>
    <xdr:clientData/>
  </xdr:twoCellAnchor>
  <xdr:twoCellAnchor>
    <xdr:from>
      <xdr:col>3</xdr:col>
      <xdr:colOff>1082040</xdr:colOff>
      <xdr:row>0</xdr:row>
      <xdr:rowOff>45720</xdr:rowOff>
    </xdr:from>
    <xdr:to>
      <xdr:col>3</xdr:col>
      <xdr:colOff>2268782</xdr:colOff>
      <xdr:row>3</xdr:row>
      <xdr:rowOff>120023</xdr:rowOff>
    </xdr:to>
    <xdr:sp macro="" textlink="">
      <xdr:nvSpPr>
        <xdr:cNvPr id="35" name="Rectangle 34">
          <a:hlinkClick xmlns:r="http://schemas.openxmlformats.org/officeDocument/2006/relationships" r:id="rId32" tooltip=" "/>
          <a:extLst>
            <a:ext uri="{FF2B5EF4-FFF2-40B4-BE49-F238E27FC236}">
              <a16:creationId xmlns:a16="http://schemas.microsoft.com/office/drawing/2014/main" id="{9E62C65D-61BA-3F84-53BB-AA459684941B}"/>
            </a:ext>
          </a:extLst>
        </xdr:cNvPr>
        <xdr:cNvSpPr/>
      </xdr:nvSpPr>
      <xdr:spPr>
        <a:xfrm>
          <a:off x="1912620" y="60960"/>
          <a:ext cx="1190859" cy="599843"/>
        </a:xfrm>
        <a:prstGeom prst="rect">
          <a:avLst/>
        </a:prstGeom>
        <a:solidFill>
          <a:schemeClr val="accent3">
            <a:lumMod val="20000"/>
            <a:lumOff val="80000"/>
          </a:schemeClr>
        </a:solidFill>
        <a:ln w="19050">
          <a:solidFill>
            <a:schemeClr val="accent3"/>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ZA" sz="1100" b="1">
              <a:solidFill>
                <a:sysClr val="windowText" lastClr="000000"/>
              </a:solidFill>
            </a:rPr>
            <a:t>Scroll</a:t>
          </a:r>
          <a:r>
            <a:rPr lang="en-ZA" sz="1100" b="1" baseline="0">
              <a:solidFill>
                <a:sysClr val="windowText" lastClr="000000"/>
              </a:solidFill>
            </a:rPr>
            <a:t> to top</a:t>
          </a:r>
          <a:endParaRPr lang="en-ZA" sz="1100" b="1">
            <a:solidFill>
              <a:sysClr val="windowText" lastClr="000000"/>
            </a:solidFill>
          </a:endParaRPr>
        </a:p>
      </xdr:txBody>
    </xdr:sp>
    <xdr:clientData/>
  </xdr:twoCellAnchor>
  <xdr:twoCellAnchor>
    <xdr:from>
      <xdr:col>3</xdr:col>
      <xdr:colOff>333375</xdr:colOff>
      <xdr:row>1082</xdr:row>
      <xdr:rowOff>190500</xdr:rowOff>
    </xdr:from>
    <xdr:to>
      <xdr:col>7</xdr:col>
      <xdr:colOff>361950</xdr:colOff>
      <xdr:row>1099</xdr:row>
      <xdr:rowOff>95250</xdr:rowOff>
    </xdr:to>
    <xdr:graphicFrame macro="">
      <xdr:nvGraphicFramePr>
        <xdr:cNvPr id="52709752" name="Chart 35">
          <a:extLst>
            <a:ext uri="{FF2B5EF4-FFF2-40B4-BE49-F238E27FC236}">
              <a16:creationId xmlns:a16="http://schemas.microsoft.com/office/drawing/2014/main" id="{3475040D-ADAA-823D-5D0D-525FF250EEAC}"/>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3"/>
        </a:graphicData>
      </a:graphic>
    </xdr:graphicFrame>
    <xdr:clientData/>
  </xdr:twoCellAnchor>
  <xdr:twoCellAnchor>
    <xdr:from>
      <xdr:col>2</xdr:col>
      <xdr:colOff>238125</xdr:colOff>
      <xdr:row>1110</xdr:row>
      <xdr:rowOff>47625</xdr:rowOff>
    </xdr:from>
    <xdr:to>
      <xdr:col>6</xdr:col>
      <xdr:colOff>923925</xdr:colOff>
      <xdr:row>1129</xdr:row>
      <xdr:rowOff>28575</xdr:rowOff>
    </xdr:to>
    <xdr:graphicFrame macro="">
      <xdr:nvGraphicFramePr>
        <xdr:cNvPr id="52709753" name="Chart 36">
          <a:extLst>
            <a:ext uri="{FF2B5EF4-FFF2-40B4-BE49-F238E27FC236}">
              <a16:creationId xmlns:a16="http://schemas.microsoft.com/office/drawing/2014/main" id="{E3CC440C-BE1A-6303-9978-DEDDECC225B8}"/>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4"/>
        </a:graphicData>
      </a:graphic>
    </xdr:graphicFrame>
    <xdr:clientData/>
  </xdr:twoCellAnchor>
  <xdr:twoCellAnchor>
    <xdr:from>
      <xdr:col>3</xdr:col>
      <xdr:colOff>352425</xdr:colOff>
      <xdr:row>1153</xdr:row>
      <xdr:rowOff>19050</xdr:rowOff>
    </xdr:from>
    <xdr:to>
      <xdr:col>7</xdr:col>
      <xdr:colOff>381000</xdr:colOff>
      <xdr:row>1169</xdr:row>
      <xdr:rowOff>123825</xdr:rowOff>
    </xdr:to>
    <xdr:graphicFrame macro="">
      <xdr:nvGraphicFramePr>
        <xdr:cNvPr id="52709754" name="Chart 37">
          <a:extLst>
            <a:ext uri="{FF2B5EF4-FFF2-40B4-BE49-F238E27FC236}">
              <a16:creationId xmlns:a16="http://schemas.microsoft.com/office/drawing/2014/main" id="{8CFA6C4C-0F6E-757A-AD1C-704428135EF5}"/>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5"/>
        </a:graphicData>
      </a:graphic>
    </xdr:graphicFrame>
    <xdr:clientData/>
  </xdr:twoCellAnchor>
  <xdr:twoCellAnchor>
    <xdr:from>
      <xdr:col>2</xdr:col>
      <xdr:colOff>238125</xdr:colOff>
      <xdr:row>1180</xdr:row>
      <xdr:rowOff>47625</xdr:rowOff>
    </xdr:from>
    <xdr:to>
      <xdr:col>6</xdr:col>
      <xdr:colOff>923925</xdr:colOff>
      <xdr:row>1199</xdr:row>
      <xdr:rowOff>28575</xdr:rowOff>
    </xdr:to>
    <xdr:graphicFrame macro="">
      <xdr:nvGraphicFramePr>
        <xdr:cNvPr id="52709755" name="Chart 38">
          <a:extLst>
            <a:ext uri="{FF2B5EF4-FFF2-40B4-BE49-F238E27FC236}">
              <a16:creationId xmlns:a16="http://schemas.microsoft.com/office/drawing/2014/main" id="{0CB173C5-6AB3-F08A-D582-79A82C2934FA}"/>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6"/>
        </a:graphicData>
      </a:graphic>
    </xdr:graphicFrame>
    <xdr:clientData/>
  </xdr:twoCellAnchor>
  <xdr:twoCellAnchor>
    <xdr:from>
      <xdr:col>3</xdr:col>
      <xdr:colOff>352425</xdr:colOff>
      <xdr:row>1223</xdr:row>
      <xdr:rowOff>19050</xdr:rowOff>
    </xdr:from>
    <xdr:to>
      <xdr:col>7</xdr:col>
      <xdr:colOff>381000</xdr:colOff>
      <xdr:row>1239</xdr:row>
      <xdr:rowOff>123825</xdr:rowOff>
    </xdr:to>
    <xdr:graphicFrame macro="">
      <xdr:nvGraphicFramePr>
        <xdr:cNvPr id="52709756" name="Chart 39">
          <a:extLst>
            <a:ext uri="{FF2B5EF4-FFF2-40B4-BE49-F238E27FC236}">
              <a16:creationId xmlns:a16="http://schemas.microsoft.com/office/drawing/2014/main" id="{C1740574-141C-67A2-4390-A8BBFC99DFD3}"/>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7"/>
        </a:graphicData>
      </a:graphic>
    </xdr:graphicFrame>
    <xdr:clientData/>
  </xdr:twoCellAnchor>
  <xdr:twoCellAnchor>
    <xdr:from>
      <xdr:col>2</xdr:col>
      <xdr:colOff>238125</xdr:colOff>
      <xdr:row>1250</xdr:row>
      <xdr:rowOff>47625</xdr:rowOff>
    </xdr:from>
    <xdr:to>
      <xdr:col>6</xdr:col>
      <xdr:colOff>923925</xdr:colOff>
      <xdr:row>1269</xdr:row>
      <xdr:rowOff>28575</xdr:rowOff>
    </xdr:to>
    <xdr:graphicFrame macro="">
      <xdr:nvGraphicFramePr>
        <xdr:cNvPr id="52709757" name="Chart 40">
          <a:extLst>
            <a:ext uri="{FF2B5EF4-FFF2-40B4-BE49-F238E27FC236}">
              <a16:creationId xmlns:a16="http://schemas.microsoft.com/office/drawing/2014/main" id="{0945952B-5AE3-7C23-97E5-034CC2DB93C8}"/>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8"/>
        </a:graphicData>
      </a:graphic>
    </xdr:graphicFrame>
    <xdr:clientData/>
  </xdr:twoCellAnchor>
  <xdr:twoCellAnchor>
    <xdr:from>
      <xdr:col>3</xdr:col>
      <xdr:colOff>352425</xdr:colOff>
      <xdr:row>1293</xdr:row>
      <xdr:rowOff>19050</xdr:rowOff>
    </xdr:from>
    <xdr:to>
      <xdr:col>7</xdr:col>
      <xdr:colOff>381000</xdr:colOff>
      <xdr:row>1309</xdr:row>
      <xdr:rowOff>123825</xdr:rowOff>
    </xdr:to>
    <xdr:graphicFrame macro="">
      <xdr:nvGraphicFramePr>
        <xdr:cNvPr id="52709758" name="Chart 43">
          <a:extLst>
            <a:ext uri="{FF2B5EF4-FFF2-40B4-BE49-F238E27FC236}">
              <a16:creationId xmlns:a16="http://schemas.microsoft.com/office/drawing/2014/main" id="{695766AE-E8EC-1062-4647-1B10218D8AA1}"/>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9"/>
        </a:graphicData>
      </a:graphic>
    </xdr:graphicFrame>
    <xdr:clientData/>
  </xdr:twoCellAnchor>
  <xdr:twoCellAnchor>
    <xdr:from>
      <xdr:col>2</xdr:col>
      <xdr:colOff>238125</xdr:colOff>
      <xdr:row>1320</xdr:row>
      <xdr:rowOff>47625</xdr:rowOff>
    </xdr:from>
    <xdr:to>
      <xdr:col>6</xdr:col>
      <xdr:colOff>923925</xdr:colOff>
      <xdr:row>1339</xdr:row>
      <xdr:rowOff>28575</xdr:rowOff>
    </xdr:to>
    <xdr:graphicFrame macro="">
      <xdr:nvGraphicFramePr>
        <xdr:cNvPr id="52709759" name="Chart 44">
          <a:extLst>
            <a:ext uri="{FF2B5EF4-FFF2-40B4-BE49-F238E27FC236}">
              <a16:creationId xmlns:a16="http://schemas.microsoft.com/office/drawing/2014/main" id="{61F550BD-0181-DF52-94E9-AA30B4C882C3}"/>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0"/>
        </a:graphicData>
      </a:graphic>
    </xdr:graphicFrame>
    <xdr:clientData/>
  </xdr:twoCellAnchor>
  <xdr:twoCellAnchor>
    <xdr:from>
      <xdr:col>3</xdr:col>
      <xdr:colOff>352425</xdr:colOff>
      <xdr:row>1363</xdr:row>
      <xdr:rowOff>19050</xdr:rowOff>
    </xdr:from>
    <xdr:to>
      <xdr:col>7</xdr:col>
      <xdr:colOff>381000</xdr:colOff>
      <xdr:row>1379</xdr:row>
      <xdr:rowOff>123825</xdr:rowOff>
    </xdr:to>
    <xdr:graphicFrame macro="">
      <xdr:nvGraphicFramePr>
        <xdr:cNvPr id="52709760" name="Chart 45">
          <a:extLst>
            <a:ext uri="{FF2B5EF4-FFF2-40B4-BE49-F238E27FC236}">
              <a16:creationId xmlns:a16="http://schemas.microsoft.com/office/drawing/2014/main" id="{751CA672-724B-2F04-B718-2702BBAA5E5A}"/>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1"/>
        </a:graphicData>
      </a:graphic>
    </xdr:graphicFrame>
    <xdr:clientData/>
  </xdr:twoCellAnchor>
  <xdr:twoCellAnchor>
    <xdr:from>
      <xdr:col>2</xdr:col>
      <xdr:colOff>238125</xdr:colOff>
      <xdr:row>1390</xdr:row>
      <xdr:rowOff>47625</xdr:rowOff>
    </xdr:from>
    <xdr:to>
      <xdr:col>6</xdr:col>
      <xdr:colOff>923925</xdr:colOff>
      <xdr:row>1409</xdr:row>
      <xdr:rowOff>28575</xdr:rowOff>
    </xdr:to>
    <xdr:graphicFrame macro="">
      <xdr:nvGraphicFramePr>
        <xdr:cNvPr id="52709761" name="Chart 46">
          <a:extLst>
            <a:ext uri="{FF2B5EF4-FFF2-40B4-BE49-F238E27FC236}">
              <a16:creationId xmlns:a16="http://schemas.microsoft.com/office/drawing/2014/main" id="{2F76BBF3-5805-004F-895C-8CFB3B14C5AE}"/>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2"/>
        </a:graphicData>
      </a:graphic>
    </xdr:graphicFrame>
    <xdr:clientData/>
  </xdr:twoCellAnchor>
  <mc:AlternateContent xmlns:mc="http://schemas.openxmlformats.org/markup-compatibility/2006">
    <mc:Choice xmlns:a14="http://schemas.microsoft.com/office/drawing/2010/main" Requires="a14">
      <xdr:twoCellAnchor editAs="oneCell">
        <xdr:from>
          <xdr:col>3</xdr:col>
          <xdr:colOff>2682240</xdr:colOff>
          <xdr:row>2</xdr:row>
          <xdr:rowOff>99060</xdr:rowOff>
        </xdr:from>
        <xdr:to>
          <xdr:col>5</xdr:col>
          <xdr:colOff>563880</xdr:colOff>
          <xdr:row>3</xdr:row>
          <xdr:rowOff>129540</xdr:rowOff>
        </xdr:to>
        <xdr:sp macro="" textlink="">
          <xdr:nvSpPr>
            <xdr:cNvPr id="52689920" name="cbERCus" hidden="1">
              <a:extLst>
                <a:ext uri="{63B3BB69-23CF-44E3-9099-C40C66FF867C}">
                  <a14:compatExt spid="_x0000_s52689920"/>
                </a:ext>
                <a:ext uri="{FF2B5EF4-FFF2-40B4-BE49-F238E27FC236}">
                  <a16:creationId xmlns:a16="http://schemas.microsoft.com/office/drawing/2014/main" id="{00000000-0008-0000-2300-000000FC2303}"/>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708660</xdr:colOff>
          <xdr:row>2</xdr:row>
          <xdr:rowOff>91440</xdr:rowOff>
        </xdr:from>
        <xdr:to>
          <xdr:col>7</xdr:col>
          <xdr:colOff>563880</xdr:colOff>
          <xdr:row>3</xdr:row>
          <xdr:rowOff>129540</xdr:rowOff>
        </xdr:to>
        <xdr:sp macro="" textlink="">
          <xdr:nvSpPr>
            <xdr:cNvPr id="52689921" name="cbER" hidden="1">
              <a:extLst>
                <a:ext uri="{63B3BB69-23CF-44E3-9099-C40C66FF867C}">
                  <a14:compatExt spid="_x0000_s52689921"/>
                </a:ext>
                <a:ext uri="{FF2B5EF4-FFF2-40B4-BE49-F238E27FC236}">
                  <a16:creationId xmlns:a16="http://schemas.microsoft.com/office/drawing/2014/main" id="{00000000-0008-0000-2300-000001FC2303}"/>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drawings/drawing31.xml><?xml version="1.0" encoding="utf-8"?>
<xdr:wsDr xmlns:xdr="http://schemas.openxmlformats.org/drawingml/2006/spreadsheetDrawing" xmlns:a="http://schemas.openxmlformats.org/drawingml/2006/main">
  <xdr:twoCellAnchor editAs="oneCell">
    <xdr:from>
      <xdr:col>1</xdr:col>
      <xdr:colOff>19050</xdr:colOff>
      <xdr:row>0</xdr:row>
      <xdr:rowOff>28575</xdr:rowOff>
    </xdr:from>
    <xdr:to>
      <xdr:col>3</xdr:col>
      <xdr:colOff>752475</xdr:colOff>
      <xdr:row>3</xdr:row>
      <xdr:rowOff>161925</xdr:rowOff>
    </xdr:to>
    <xdr:pic>
      <xdr:nvPicPr>
        <xdr:cNvPr id="52708776" name="Picture 1">
          <a:extLst>
            <a:ext uri="{FF2B5EF4-FFF2-40B4-BE49-F238E27FC236}">
              <a16:creationId xmlns:a16="http://schemas.microsoft.com/office/drawing/2014/main" id="{AAF62A28-48E8-D8DA-A444-07E4328ABBB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28600" y="28575"/>
          <a:ext cx="1333500" cy="704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925830</xdr:colOff>
      <xdr:row>0</xdr:row>
      <xdr:rowOff>83821</xdr:rowOff>
    </xdr:from>
    <xdr:to>
      <xdr:col>3</xdr:col>
      <xdr:colOff>2148731</xdr:colOff>
      <xdr:row>3</xdr:row>
      <xdr:rowOff>114663</xdr:rowOff>
    </xdr:to>
    <xdr:sp macro="" textlink="">
      <xdr:nvSpPr>
        <xdr:cNvPr id="3" name="Rectangle 2">
          <a:hlinkClick xmlns:r="http://schemas.openxmlformats.org/officeDocument/2006/relationships" r:id="rId2" tooltip=" "/>
          <a:extLst>
            <a:ext uri="{FF2B5EF4-FFF2-40B4-BE49-F238E27FC236}">
              <a16:creationId xmlns:a16="http://schemas.microsoft.com/office/drawing/2014/main" id="{C49D2158-939B-41E0-6DAB-C71588BA3ACC}"/>
            </a:ext>
          </a:extLst>
        </xdr:cNvPr>
        <xdr:cNvSpPr/>
      </xdr:nvSpPr>
      <xdr:spPr>
        <a:xfrm>
          <a:off x="1752600" y="99061"/>
          <a:ext cx="1226819" cy="556259"/>
        </a:xfrm>
        <a:prstGeom prst="rect">
          <a:avLst/>
        </a:prstGeom>
        <a:solidFill>
          <a:schemeClr val="accent3">
            <a:lumMod val="20000"/>
            <a:lumOff val="80000"/>
          </a:schemeClr>
        </a:solidFill>
        <a:ln w="19050">
          <a:solidFill>
            <a:schemeClr val="accent3"/>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ZA" sz="1100" b="1">
              <a:solidFill>
                <a:sysClr val="windowText" lastClr="000000"/>
              </a:solidFill>
            </a:rPr>
            <a:t>Scroll</a:t>
          </a:r>
          <a:r>
            <a:rPr lang="en-ZA" sz="1100" b="1" baseline="0">
              <a:solidFill>
                <a:sysClr val="windowText" lastClr="000000"/>
              </a:solidFill>
            </a:rPr>
            <a:t> to top</a:t>
          </a:r>
          <a:endParaRPr lang="en-ZA" sz="1100" b="1">
            <a:solidFill>
              <a:sysClr val="windowText" lastClr="000000"/>
            </a:solidFill>
          </a:endParaRPr>
        </a:p>
      </xdr:txBody>
    </xdr:sp>
    <xdr:clientData/>
  </xdr:twoCellAnchor>
  <xdr:twoCellAnchor>
    <xdr:from>
      <xdr:col>3</xdr:col>
      <xdr:colOff>552450</xdr:colOff>
      <xdr:row>25</xdr:row>
      <xdr:rowOff>180975</xdr:rowOff>
    </xdr:from>
    <xdr:to>
      <xdr:col>5</xdr:col>
      <xdr:colOff>638175</xdr:colOff>
      <xdr:row>42</xdr:row>
      <xdr:rowOff>0</xdr:rowOff>
    </xdr:to>
    <xdr:graphicFrame macro="">
      <xdr:nvGraphicFramePr>
        <xdr:cNvPr id="52708778" name="Chart 3">
          <a:extLst>
            <a:ext uri="{FF2B5EF4-FFF2-40B4-BE49-F238E27FC236}">
              <a16:creationId xmlns:a16="http://schemas.microsoft.com/office/drawing/2014/main" id="{4119BDEC-F035-03FF-31CB-B83DACC32F48}"/>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3</xdr:col>
      <xdr:colOff>552450</xdr:colOff>
      <xdr:row>71</xdr:row>
      <xdr:rowOff>180975</xdr:rowOff>
    </xdr:from>
    <xdr:to>
      <xdr:col>5</xdr:col>
      <xdr:colOff>638175</xdr:colOff>
      <xdr:row>88</xdr:row>
      <xdr:rowOff>0</xdr:rowOff>
    </xdr:to>
    <xdr:graphicFrame macro="">
      <xdr:nvGraphicFramePr>
        <xdr:cNvPr id="52708779" name="Chart 4">
          <a:extLst>
            <a:ext uri="{FF2B5EF4-FFF2-40B4-BE49-F238E27FC236}">
              <a16:creationId xmlns:a16="http://schemas.microsoft.com/office/drawing/2014/main" id="{26A6794E-1C55-F562-D612-211DA7D941AB}"/>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3</xdr:col>
      <xdr:colOff>552450</xdr:colOff>
      <xdr:row>117</xdr:row>
      <xdr:rowOff>180975</xdr:rowOff>
    </xdr:from>
    <xdr:to>
      <xdr:col>5</xdr:col>
      <xdr:colOff>638175</xdr:colOff>
      <xdr:row>134</xdr:row>
      <xdr:rowOff>0</xdr:rowOff>
    </xdr:to>
    <xdr:graphicFrame macro="">
      <xdr:nvGraphicFramePr>
        <xdr:cNvPr id="52708780" name="Chart 5">
          <a:extLst>
            <a:ext uri="{FF2B5EF4-FFF2-40B4-BE49-F238E27FC236}">
              <a16:creationId xmlns:a16="http://schemas.microsoft.com/office/drawing/2014/main" id="{FBA142A9-67E3-0AE4-1E0C-1040B196EC5A}"/>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3</xdr:col>
      <xdr:colOff>552450</xdr:colOff>
      <xdr:row>163</xdr:row>
      <xdr:rowOff>180975</xdr:rowOff>
    </xdr:from>
    <xdr:to>
      <xdr:col>5</xdr:col>
      <xdr:colOff>638175</xdr:colOff>
      <xdr:row>180</xdr:row>
      <xdr:rowOff>0</xdr:rowOff>
    </xdr:to>
    <xdr:graphicFrame macro="">
      <xdr:nvGraphicFramePr>
        <xdr:cNvPr id="52708781" name="Chart 6">
          <a:extLst>
            <a:ext uri="{FF2B5EF4-FFF2-40B4-BE49-F238E27FC236}">
              <a16:creationId xmlns:a16="http://schemas.microsoft.com/office/drawing/2014/main" id="{678269EC-BD55-CFD0-EB0D-99D549DACFC5}"/>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xdr:from>
      <xdr:col>3</xdr:col>
      <xdr:colOff>552450</xdr:colOff>
      <xdr:row>209</xdr:row>
      <xdr:rowOff>180975</xdr:rowOff>
    </xdr:from>
    <xdr:to>
      <xdr:col>5</xdr:col>
      <xdr:colOff>638175</xdr:colOff>
      <xdr:row>226</xdr:row>
      <xdr:rowOff>0</xdr:rowOff>
    </xdr:to>
    <xdr:graphicFrame macro="">
      <xdr:nvGraphicFramePr>
        <xdr:cNvPr id="52708782" name="Chart 7">
          <a:extLst>
            <a:ext uri="{FF2B5EF4-FFF2-40B4-BE49-F238E27FC236}">
              <a16:creationId xmlns:a16="http://schemas.microsoft.com/office/drawing/2014/main" id="{2C5C3214-B544-1FFF-EEFB-AD6397770B5D}"/>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twoCellAnchor>
  <xdr:twoCellAnchor>
    <xdr:from>
      <xdr:col>3</xdr:col>
      <xdr:colOff>552450</xdr:colOff>
      <xdr:row>255</xdr:row>
      <xdr:rowOff>180975</xdr:rowOff>
    </xdr:from>
    <xdr:to>
      <xdr:col>5</xdr:col>
      <xdr:colOff>638175</xdr:colOff>
      <xdr:row>272</xdr:row>
      <xdr:rowOff>0</xdr:rowOff>
    </xdr:to>
    <xdr:graphicFrame macro="">
      <xdr:nvGraphicFramePr>
        <xdr:cNvPr id="52708783" name="Chart 8">
          <a:extLst>
            <a:ext uri="{FF2B5EF4-FFF2-40B4-BE49-F238E27FC236}">
              <a16:creationId xmlns:a16="http://schemas.microsoft.com/office/drawing/2014/main" id="{7C309E1E-1FC2-6CD2-AC5B-BEEDCE442F4D}"/>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twoCellAnchor>
  <xdr:twoCellAnchor>
    <xdr:from>
      <xdr:col>3</xdr:col>
      <xdr:colOff>552450</xdr:colOff>
      <xdr:row>301</xdr:row>
      <xdr:rowOff>180975</xdr:rowOff>
    </xdr:from>
    <xdr:to>
      <xdr:col>5</xdr:col>
      <xdr:colOff>638175</xdr:colOff>
      <xdr:row>318</xdr:row>
      <xdr:rowOff>28575</xdr:rowOff>
    </xdr:to>
    <xdr:graphicFrame macro="">
      <xdr:nvGraphicFramePr>
        <xdr:cNvPr id="52708784" name="Chart 9">
          <a:extLst>
            <a:ext uri="{FF2B5EF4-FFF2-40B4-BE49-F238E27FC236}">
              <a16:creationId xmlns:a16="http://schemas.microsoft.com/office/drawing/2014/main" id="{889679C3-38AA-1288-16AD-2799F799986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9"/>
        </a:graphicData>
      </a:graphic>
    </xdr:graphicFrame>
    <xdr:clientData/>
  </xdr:twoCellAnchor>
  <xdr:twoCellAnchor>
    <xdr:from>
      <xdr:col>3</xdr:col>
      <xdr:colOff>552450</xdr:colOff>
      <xdr:row>348</xdr:row>
      <xdr:rowOff>180975</xdr:rowOff>
    </xdr:from>
    <xdr:to>
      <xdr:col>5</xdr:col>
      <xdr:colOff>638175</xdr:colOff>
      <xdr:row>365</xdr:row>
      <xdr:rowOff>0</xdr:rowOff>
    </xdr:to>
    <xdr:graphicFrame macro="">
      <xdr:nvGraphicFramePr>
        <xdr:cNvPr id="52708785" name="Chart 10">
          <a:extLst>
            <a:ext uri="{FF2B5EF4-FFF2-40B4-BE49-F238E27FC236}">
              <a16:creationId xmlns:a16="http://schemas.microsoft.com/office/drawing/2014/main" id="{F8546DA3-4387-458C-816D-2687E1984B8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0"/>
        </a:graphicData>
      </a:graphic>
    </xdr:graphicFrame>
    <xdr:clientData/>
  </xdr:twoCellAnchor>
  <xdr:twoCellAnchor>
    <xdr:from>
      <xdr:col>3</xdr:col>
      <xdr:colOff>552450</xdr:colOff>
      <xdr:row>394</xdr:row>
      <xdr:rowOff>180975</xdr:rowOff>
    </xdr:from>
    <xdr:to>
      <xdr:col>5</xdr:col>
      <xdr:colOff>638175</xdr:colOff>
      <xdr:row>411</xdr:row>
      <xdr:rowOff>0</xdr:rowOff>
    </xdr:to>
    <xdr:graphicFrame macro="">
      <xdr:nvGraphicFramePr>
        <xdr:cNvPr id="52708786" name="Chart 11">
          <a:extLst>
            <a:ext uri="{FF2B5EF4-FFF2-40B4-BE49-F238E27FC236}">
              <a16:creationId xmlns:a16="http://schemas.microsoft.com/office/drawing/2014/main" id="{5456F345-2DD9-8176-5291-2C3B3AD74247}"/>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1"/>
        </a:graphicData>
      </a:graphic>
    </xdr:graphicFrame>
    <xdr:clientData/>
  </xdr:twoCellAnchor>
  <xdr:twoCellAnchor>
    <xdr:from>
      <xdr:col>3</xdr:col>
      <xdr:colOff>552450</xdr:colOff>
      <xdr:row>440</xdr:row>
      <xdr:rowOff>180975</xdr:rowOff>
    </xdr:from>
    <xdr:to>
      <xdr:col>5</xdr:col>
      <xdr:colOff>638175</xdr:colOff>
      <xdr:row>457</xdr:row>
      <xdr:rowOff>0</xdr:rowOff>
    </xdr:to>
    <xdr:graphicFrame macro="">
      <xdr:nvGraphicFramePr>
        <xdr:cNvPr id="52708787" name="Chart 12">
          <a:extLst>
            <a:ext uri="{FF2B5EF4-FFF2-40B4-BE49-F238E27FC236}">
              <a16:creationId xmlns:a16="http://schemas.microsoft.com/office/drawing/2014/main" id="{C5C6F8C3-5675-5921-B702-3C4FE569FE9F}"/>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2"/>
        </a:graphicData>
      </a:graphic>
    </xdr:graphicFrame>
    <xdr:clientData/>
  </xdr:twoCellAnchor>
  <xdr:twoCellAnchor>
    <xdr:from>
      <xdr:col>3</xdr:col>
      <xdr:colOff>552450</xdr:colOff>
      <xdr:row>486</xdr:row>
      <xdr:rowOff>180975</xdr:rowOff>
    </xdr:from>
    <xdr:to>
      <xdr:col>5</xdr:col>
      <xdr:colOff>638175</xdr:colOff>
      <xdr:row>503</xdr:row>
      <xdr:rowOff>0</xdr:rowOff>
    </xdr:to>
    <xdr:graphicFrame macro="">
      <xdr:nvGraphicFramePr>
        <xdr:cNvPr id="52708788" name="Chart 13">
          <a:extLst>
            <a:ext uri="{FF2B5EF4-FFF2-40B4-BE49-F238E27FC236}">
              <a16:creationId xmlns:a16="http://schemas.microsoft.com/office/drawing/2014/main" id="{B8C839D8-54F2-363A-CCFF-E4C3A45B6448}"/>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3"/>
        </a:graphicData>
      </a:graphic>
    </xdr:graphicFrame>
    <xdr:clientData/>
  </xdr:twoCellAnchor>
  <xdr:twoCellAnchor>
    <xdr:from>
      <xdr:col>3</xdr:col>
      <xdr:colOff>552450</xdr:colOff>
      <xdr:row>532</xdr:row>
      <xdr:rowOff>180975</xdr:rowOff>
    </xdr:from>
    <xdr:to>
      <xdr:col>5</xdr:col>
      <xdr:colOff>638175</xdr:colOff>
      <xdr:row>549</xdr:row>
      <xdr:rowOff>0</xdr:rowOff>
    </xdr:to>
    <xdr:graphicFrame macro="">
      <xdr:nvGraphicFramePr>
        <xdr:cNvPr id="52708789" name="Chart 14">
          <a:extLst>
            <a:ext uri="{FF2B5EF4-FFF2-40B4-BE49-F238E27FC236}">
              <a16:creationId xmlns:a16="http://schemas.microsoft.com/office/drawing/2014/main" id="{8CC9CDE7-B51E-A7C3-6394-BBE40F91244E}"/>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4"/>
        </a:graphicData>
      </a:graphic>
    </xdr:graphicFrame>
    <xdr:clientData/>
  </xdr:twoCellAnchor>
  <xdr:twoCellAnchor>
    <xdr:from>
      <xdr:col>3</xdr:col>
      <xdr:colOff>552450</xdr:colOff>
      <xdr:row>578</xdr:row>
      <xdr:rowOff>180975</xdr:rowOff>
    </xdr:from>
    <xdr:to>
      <xdr:col>5</xdr:col>
      <xdr:colOff>638175</xdr:colOff>
      <xdr:row>595</xdr:row>
      <xdr:rowOff>0</xdr:rowOff>
    </xdr:to>
    <xdr:graphicFrame macro="">
      <xdr:nvGraphicFramePr>
        <xdr:cNvPr id="52708790" name="Chart 15">
          <a:extLst>
            <a:ext uri="{FF2B5EF4-FFF2-40B4-BE49-F238E27FC236}">
              <a16:creationId xmlns:a16="http://schemas.microsoft.com/office/drawing/2014/main" id="{3441C1DD-C9CD-5248-3416-9B4179A66FE3}"/>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5"/>
        </a:graphicData>
      </a:graphic>
    </xdr:graphicFrame>
    <xdr:clientData/>
  </xdr:twoCellAnchor>
  <xdr:twoCellAnchor>
    <xdr:from>
      <xdr:col>3</xdr:col>
      <xdr:colOff>552450</xdr:colOff>
      <xdr:row>624</xdr:row>
      <xdr:rowOff>180975</xdr:rowOff>
    </xdr:from>
    <xdr:to>
      <xdr:col>5</xdr:col>
      <xdr:colOff>638175</xdr:colOff>
      <xdr:row>641</xdr:row>
      <xdr:rowOff>0</xdr:rowOff>
    </xdr:to>
    <xdr:graphicFrame macro="">
      <xdr:nvGraphicFramePr>
        <xdr:cNvPr id="52708791" name="Chart 16">
          <a:extLst>
            <a:ext uri="{FF2B5EF4-FFF2-40B4-BE49-F238E27FC236}">
              <a16:creationId xmlns:a16="http://schemas.microsoft.com/office/drawing/2014/main" id="{3729285B-9FE7-3419-944F-90F0964BB078}"/>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6"/>
        </a:graphicData>
      </a:graphic>
    </xdr:graphicFrame>
    <xdr:clientData/>
  </xdr:twoCellAnchor>
  <xdr:twoCellAnchor>
    <xdr:from>
      <xdr:col>3</xdr:col>
      <xdr:colOff>552450</xdr:colOff>
      <xdr:row>670</xdr:row>
      <xdr:rowOff>180975</xdr:rowOff>
    </xdr:from>
    <xdr:to>
      <xdr:col>5</xdr:col>
      <xdr:colOff>638175</xdr:colOff>
      <xdr:row>687</xdr:row>
      <xdr:rowOff>0</xdr:rowOff>
    </xdr:to>
    <xdr:graphicFrame macro="">
      <xdr:nvGraphicFramePr>
        <xdr:cNvPr id="52708792" name="Chart 17">
          <a:extLst>
            <a:ext uri="{FF2B5EF4-FFF2-40B4-BE49-F238E27FC236}">
              <a16:creationId xmlns:a16="http://schemas.microsoft.com/office/drawing/2014/main" id="{21A50A14-BA7B-1CFD-AF99-54B83B1F2EF4}"/>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7"/>
        </a:graphicData>
      </a:graphic>
    </xdr:graphicFrame>
    <xdr:clientData/>
  </xdr:twoCellAnchor>
  <xdr:twoCellAnchor>
    <xdr:from>
      <xdr:col>3</xdr:col>
      <xdr:colOff>552450</xdr:colOff>
      <xdr:row>716</xdr:row>
      <xdr:rowOff>180975</xdr:rowOff>
    </xdr:from>
    <xdr:to>
      <xdr:col>5</xdr:col>
      <xdr:colOff>638175</xdr:colOff>
      <xdr:row>733</xdr:row>
      <xdr:rowOff>0</xdr:rowOff>
    </xdr:to>
    <xdr:graphicFrame macro="">
      <xdr:nvGraphicFramePr>
        <xdr:cNvPr id="52708793" name="Chart 18">
          <a:extLst>
            <a:ext uri="{FF2B5EF4-FFF2-40B4-BE49-F238E27FC236}">
              <a16:creationId xmlns:a16="http://schemas.microsoft.com/office/drawing/2014/main" id="{0FFD20A2-452A-80E0-9DE5-93B06957A691}"/>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8"/>
        </a:graphicData>
      </a:graphic>
    </xdr:graphicFrame>
    <xdr:clientData/>
  </xdr:twoCellAnchor>
  <xdr:twoCellAnchor>
    <xdr:from>
      <xdr:col>3</xdr:col>
      <xdr:colOff>552450</xdr:colOff>
      <xdr:row>762</xdr:row>
      <xdr:rowOff>180975</xdr:rowOff>
    </xdr:from>
    <xdr:to>
      <xdr:col>5</xdr:col>
      <xdr:colOff>638175</xdr:colOff>
      <xdr:row>779</xdr:row>
      <xdr:rowOff>0</xdr:rowOff>
    </xdr:to>
    <xdr:graphicFrame macro="">
      <xdr:nvGraphicFramePr>
        <xdr:cNvPr id="52708794" name="Chart 19">
          <a:extLst>
            <a:ext uri="{FF2B5EF4-FFF2-40B4-BE49-F238E27FC236}">
              <a16:creationId xmlns:a16="http://schemas.microsoft.com/office/drawing/2014/main" id="{7D5CCCAA-8947-17B1-F918-ACB2EC7D7F3F}"/>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9"/>
        </a:graphicData>
      </a:graphic>
    </xdr:graphicFrame>
    <xdr:clientData/>
  </xdr:twoCellAnchor>
  <xdr:twoCellAnchor>
    <xdr:from>
      <xdr:col>3</xdr:col>
      <xdr:colOff>552450</xdr:colOff>
      <xdr:row>808</xdr:row>
      <xdr:rowOff>180975</xdr:rowOff>
    </xdr:from>
    <xdr:to>
      <xdr:col>5</xdr:col>
      <xdr:colOff>638175</xdr:colOff>
      <xdr:row>825</xdr:row>
      <xdr:rowOff>0</xdr:rowOff>
    </xdr:to>
    <xdr:graphicFrame macro="">
      <xdr:nvGraphicFramePr>
        <xdr:cNvPr id="52708795" name="Chart 20">
          <a:extLst>
            <a:ext uri="{FF2B5EF4-FFF2-40B4-BE49-F238E27FC236}">
              <a16:creationId xmlns:a16="http://schemas.microsoft.com/office/drawing/2014/main" id="{533A44B6-627E-CED6-B336-0635E759D10B}"/>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0"/>
        </a:graphicData>
      </a:graphic>
    </xdr:graphicFrame>
    <xdr:clientData/>
  </xdr:twoCellAnchor>
  <xdr:twoCellAnchor>
    <xdr:from>
      <xdr:col>3</xdr:col>
      <xdr:colOff>552450</xdr:colOff>
      <xdr:row>854</xdr:row>
      <xdr:rowOff>180975</xdr:rowOff>
    </xdr:from>
    <xdr:to>
      <xdr:col>5</xdr:col>
      <xdr:colOff>638175</xdr:colOff>
      <xdr:row>871</xdr:row>
      <xdr:rowOff>0</xdr:rowOff>
    </xdr:to>
    <xdr:graphicFrame macro="">
      <xdr:nvGraphicFramePr>
        <xdr:cNvPr id="52708796" name="Chart 21">
          <a:extLst>
            <a:ext uri="{FF2B5EF4-FFF2-40B4-BE49-F238E27FC236}">
              <a16:creationId xmlns:a16="http://schemas.microsoft.com/office/drawing/2014/main" id="{E4ECFAD0-2099-A8B1-F37E-AF29A982B5DC}"/>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1"/>
        </a:graphicData>
      </a:graphic>
    </xdr:graphicFrame>
    <xdr:clientData/>
  </xdr:twoCellAnchor>
  <xdr:twoCellAnchor>
    <xdr:from>
      <xdr:col>3</xdr:col>
      <xdr:colOff>552450</xdr:colOff>
      <xdr:row>900</xdr:row>
      <xdr:rowOff>180975</xdr:rowOff>
    </xdr:from>
    <xdr:to>
      <xdr:col>5</xdr:col>
      <xdr:colOff>638175</xdr:colOff>
      <xdr:row>917</xdr:row>
      <xdr:rowOff>0</xdr:rowOff>
    </xdr:to>
    <xdr:graphicFrame macro="">
      <xdr:nvGraphicFramePr>
        <xdr:cNvPr id="52708797" name="Chart 22">
          <a:extLst>
            <a:ext uri="{FF2B5EF4-FFF2-40B4-BE49-F238E27FC236}">
              <a16:creationId xmlns:a16="http://schemas.microsoft.com/office/drawing/2014/main" id="{E1F38569-55B9-3CDB-C6B2-430D1BDA3C21}"/>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2"/>
        </a:graphicData>
      </a:graphic>
    </xdr:graphicFrame>
    <xdr:clientData/>
  </xdr:twoCellAnchor>
  <mc:AlternateContent xmlns:mc="http://schemas.openxmlformats.org/markup-compatibility/2006">
    <mc:Choice xmlns:a14="http://schemas.microsoft.com/office/drawing/2010/main" Requires="a14">
      <xdr:twoCellAnchor editAs="oneCell">
        <xdr:from>
          <xdr:col>3</xdr:col>
          <xdr:colOff>2537460</xdr:colOff>
          <xdr:row>2</xdr:row>
          <xdr:rowOff>60960</xdr:rowOff>
        </xdr:from>
        <xdr:to>
          <xdr:col>5</xdr:col>
          <xdr:colOff>60960</xdr:colOff>
          <xdr:row>3</xdr:row>
          <xdr:rowOff>99060</xdr:rowOff>
        </xdr:to>
        <xdr:sp macro="" textlink="">
          <xdr:nvSpPr>
            <xdr:cNvPr id="52690944" name="cbSWRCus" hidden="1">
              <a:extLst>
                <a:ext uri="{63B3BB69-23CF-44E3-9099-C40C66FF867C}">
                  <a14:compatExt spid="_x0000_s52690944"/>
                </a:ext>
                <a:ext uri="{FF2B5EF4-FFF2-40B4-BE49-F238E27FC236}">
                  <a16:creationId xmlns:a16="http://schemas.microsoft.com/office/drawing/2014/main" id="{00000000-0008-0000-2400-000000002403}"/>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449580</xdr:colOff>
          <xdr:row>2</xdr:row>
          <xdr:rowOff>53340</xdr:rowOff>
        </xdr:from>
        <xdr:to>
          <xdr:col>8</xdr:col>
          <xdr:colOff>60960</xdr:colOff>
          <xdr:row>3</xdr:row>
          <xdr:rowOff>91440</xdr:rowOff>
        </xdr:to>
        <xdr:sp macro="" textlink="">
          <xdr:nvSpPr>
            <xdr:cNvPr id="52690945" name="cbSWR" hidden="1">
              <a:extLst>
                <a:ext uri="{63B3BB69-23CF-44E3-9099-C40C66FF867C}">
                  <a14:compatExt spid="_x0000_s52690945"/>
                </a:ext>
                <a:ext uri="{FF2B5EF4-FFF2-40B4-BE49-F238E27FC236}">
                  <a16:creationId xmlns:a16="http://schemas.microsoft.com/office/drawing/2014/main" id="{00000000-0008-0000-2400-000001002403}"/>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drawings/drawing32.xml><?xml version="1.0" encoding="utf-8"?>
<xdr:wsDr xmlns:xdr="http://schemas.openxmlformats.org/drawingml/2006/spreadsheetDrawing" xmlns:a="http://schemas.openxmlformats.org/drawingml/2006/main">
  <xdr:twoCellAnchor editAs="oneCell">
    <xdr:from>
      <xdr:col>0</xdr:col>
      <xdr:colOff>209550</xdr:colOff>
      <xdr:row>0</xdr:row>
      <xdr:rowOff>0</xdr:rowOff>
    </xdr:from>
    <xdr:to>
      <xdr:col>3</xdr:col>
      <xdr:colOff>876300</xdr:colOff>
      <xdr:row>3</xdr:row>
      <xdr:rowOff>133350</xdr:rowOff>
    </xdr:to>
    <xdr:pic>
      <xdr:nvPicPr>
        <xdr:cNvPr id="52695017" name="Picture 2">
          <a:extLst>
            <a:ext uri="{FF2B5EF4-FFF2-40B4-BE49-F238E27FC236}">
              <a16:creationId xmlns:a16="http://schemas.microsoft.com/office/drawing/2014/main" id="{11F69854-7F3C-326F-381E-489C084C108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9550" y="0"/>
          <a:ext cx="1343025" cy="704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180975</xdr:colOff>
      <xdr:row>61</xdr:row>
      <xdr:rowOff>85725</xdr:rowOff>
    </xdr:from>
    <xdr:to>
      <xdr:col>6</xdr:col>
      <xdr:colOff>819150</xdr:colOff>
      <xdr:row>76</xdr:row>
      <xdr:rowOff>133350</xdr:rowOff>
    </xdr:to>
    <xdr:graphicFrame macro="">
      <xdr:nvGraphicFramePr>
        <xdr:cNvPr id="52695018" name="Chart 3">
          <a:extLst>
            <a:ext uri="{FF2B5EF4-FFF2-40B4-BE49-F238E27FC236}">
              <a16:creationId xmlns:a16="http://schemas.microsoft.com/office/drawing/2014/main" id="{44316013-AF63-6719-0519-148E0571E134}"/>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3</xdr:col>
      <xdr:colOff>0</xdr:colOff>
      <xdr:row>79</xdr:row>
      <xdr:rowOff>0</xdr:rowOff>
    </xdr:from>
    <xdr:to>
      <xdr:col>6</xdr:col>
      <xdr:colOff>885825</xdr:colOff>
      <xdr:row>94</xdr:row>
      <xdr:rowOff>47625</xdr:rowOff>
    </xdr:to>
    <xdr:graphicFrame macro="">
      <xdr:nvGraphicFramePr>
        <xdr:cNvPr id="52695019" name="Chart 4">
          <a:extLst>
            <a:ext uri="{FF2B5EF4-FFF2-40B4-BE49-F238E27FC236}">
              <a16:creationId xmlns:a16="http://schemas.microsoft.com/office/drawing/2014/main" id="{47CA975F-BFD1-4BA8-AC66-480A6FFB2911}"/>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4</xdr:col>
      <xdr:colOff>0</xdr:colOff>
      <xdr:row>0</xdr:row>
      <xdr:rowOff>83820</xdr:rowOff>
    </xdr:from>
    <xdr:to>
      <xdr:col>4</xdr:col>
      <xdr:colOff>1218709</xdr:colOff>
      <xdr:row>3</xdr:row>
      <xdr:rowOff>83922</xdr:rowOff>
    </xdr:to>
    <xdr:sp macro="" textlink="">
      <xdr:nvSpPr>
        <xdr:cNvPr id="6" name="Rectangle 5">
          <a:hlinkClick xmlns:r="http://schemas.openxmlformats.org/officeDocument/2006/relationships" r:id="rId4" tooltip=" "/>
          <a:extLst>
            <a:ext uri="{FF2B5EF4-FFF2-40B4-BE49-F238E27FC236}">
              <a16:creationId xmlns:a16="http://schemas.microsoft.com/office/drawing/2014/main" id="{C507CAC5-01C2-40BD-B933-1F6632AA5488}"/>
            </a:ext>
          </a:extLst>
        </xdr:cNvPr>
        <xdr:cNvSpPr/>
      </xdr:nvSpPr>
      <xdr:spPr>
        <a:xfrm>
          <a:off x="2095500" y="91440"/>
          <a:ext cx="1226819" cy="556259"/>
        </a:xfrm>
        <a:prstGeom prst="rect">
          <a:avLst/>
        </a:prstGeom>
        <a:solidFill>
          <a:schemeClr val="accent3">
            <a:lumMod val="20000"/>
            <a:lumOff val="80000"/>
          </a:schemeClr>
        </a:solidFill>
        <a:ln w="19050">
          <a:solidFill>
            <a:schemeClr val="accent3"/>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ZA" sz="1100" b="1">
              <a:solidFill>
                <a:sysClr val="windowText" lastClr="000000"/>
              </a:solidFill>
            </a:rPr>
            <a:t>Scroll</a:t>
          </a:r>
          <a:r>
            <a:rPr lang="en-ZA" sz="1100" b="1" baseline="0">
              <a:solidFill>
                <a:sysClr val="windowText" lastClr="000000"/>
              </a:solidFill>
            </a:rPr>
            <a:t> to top</a:t>
          </a:r>
          <a:endParaRPr lang="en-ZA" sz="1100" b="1">
            <a:solidFill>
              <a:sysClr val="windowText" lastClr="000000"/>
            </a:solidFill>
          </a:endParaRPr>
        </a:p>
      </xdr:txBody>
    </xdr:sp>
    <xdr:clientData/>
  </xdr:twoCellAnchor>
  <mc:AlternateContent xmlns:mc="http://schemas.openxmlformats.org/markup-compatibility/2006">
    <mc:Choice xmlns:a14="http://schemas.microsoft.com/office/drawing/2010/main" Requires="a14">
      <xdr:twoCellAnchor editAs="oneCell">
        <xdr:from>
          <xdr:col>5</xdr:col>
          <xdr:colOff>60960</xdr:colOff>
          <xdr:row>2</xdr:row>
          <xdr:rowOff>68580</xdr:rowOff>
        </xdr:from>
        <xdr:to>
          <xdr:col>6</xdr:col>
          <xdr:colOff>209550</xdr:colOff>
          <xdr:row>3</xdr:row>
          <xdr:rowOff>99060</xdr:rowOff>
        </xdr:to>
        <xdr:sp macro="" textlink="">
          <xdr:nvSpPr>
            <xdr:cNvPr id="52688896" name="cbAfford" hidden="1">
              <a:extLst>
                <a:ext uri="{63B3BB69-23CF-44E3-9099-C40C66FF867C}">
                  <a14:compatExt spid="_x0000_s52688896"/>
                </a:ext>
                <a:ext uri="{FF2B5EF4-FFF2-40B4-BE49-F238E27FC236}">
                  <a16:creationId xmlns:a16="http://schemas.microsoft.com/office/drawing/2014/main" id="{00000000-0008-0000-2500-000000F82303}"/>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persons/person.xml><?xml version="1.0" encoding="utf-8"?>
<personList xmlns="http://schemas.microsoft.com/office/spreadsheetml/2018/threadedcomments" xmlns:x="http://schemas.openxmlformats.org/spreadsheetml/2006/main">
  <person displayName="Dirk Spangenberg" id="{B9916717-8146-49BC-A8DD-2B633F08EE1B}" userId="ded844d07f49ecc6" providerId="Windows Live"/>
</personList>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User" refreshedDate="45042.386767361109" createdVersion="1" refreshedVersion="4" recordCount="9" upgradeOnRefresh="1" xr:uid="{082890A9-E10F-423E-A556-0CBE814E8EF1}">
  <cacheSource type="worksheet">
    <worksheetSource ref="I42:P51" sheet="1.Outcomes"/>
  </cacheSource>
  <cacheFields count="7">
    <cacheField name="Details" numFmtId="0">
      <sharedItems count="9">
        <s v="Rev required Yr1"/>
        <s v="Rev Budgeted Yr1"/>
        <s v="Deficit/Surplus Yr1"/>
        <s v="Rev required Yr2"/>
        <s v="Rev Budgeted Yr2"/>
        <s v="Defict Yr2"/>
        <s v="Rev required Yr3"/>
        <s v="Rev Budgeted Yr3"/>
        <s v="Defict Yr3"/>
      </sharedItems>
    </cacheField>
    <cacheField name="Total" numFmtId="0">
      <sharedItems containsSemiMixedTypes="0" containsString="0" containsNumber="1" minValue="114707282.35682631" maxValue="560678836"/>
    </cacheField>
    <cacheField name="Water" numFmtId="0">
      <sharedItems containsSemiMixedTypes="0" containsString="0" containsNumber="1" minValue="-258709.85431841016" maxValue="91246573"/>
    </cacheField>
    <cacheField name="Waste Water" numFmtId="0">
      <sharedItems containsSemiMixedTypes="0" containsString="0" containsNumber="1" minValue="21757749.170645721" maxValue="66611436"/>
    </cacheField>
    <cacheField name="Electricity" numFmtId="0">
      <sharedItems containsSemiMixedTypes="0" containsString="0" containsNumber="1" minValue="57272157.988920122" maxValue="327593194"/>
    </cacheField>
    <cacheField name="Solid Waste" numFmtId="0">
      <sharedItems containsSemiMixedTypes="0" containsString="0" containsNumber="1" minValue="15447065.999237388" maxValue="75227633"/>
    </cacheField>
    <cacheField name="Stus" numFmtId="0">
      <sharedItems containsBlank="1" count="3">
        <s v="Cost Reflective"/>
        <m/>
        <s v="Not Cost Reflective" u="1"/>
      </sharedItems>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9">
  <r>
    <x v="0"/>
    <n v="395788300.64317369"/>
    <n v="83338307.85431841"/>
    <n v="36374620.456540287"/>
    <n v="240999986.01107988"/>
    <n v="35075386.32123512"/>
    <x v="0"/>
  </r>
  <r>
    <x v="1"/>
    <n v="510495583"/>
    <n v="83079598"/>
    <n v="60649416"/>
    <n v="298272144"/>
    <n v="68494425"/>
    <x v="1"/>
  </r>
  <r>
    <x v="2"/>
    <n v="114707282.35682631"/>
    <n v="-258709.85431841016"/>
    <n v="24274795.543459713"/>
    <n v="57272157.988920122"/>
    <n v="33419038.67876488"/>
    <x v="1"/>
  </r>
  <r>
    <x v="3"/>
    <n v="414705628.05655426"/>
    <n v="87239496.283507094"/>
    <n v="38071014.095439032"/>
    <n v="252702224.01443726"/>
    <n v="36692893.663170859"/>
    <x v="0"/>
  </r>
  <r>
    <x v="4"/>
    <n v="535509873"/>
    <n v="87150499"/>
    <n v="63621237"/>
    <n v="312887484"/>
    <n v="71850653"/>
    <x v="1"/>
  </r>
  <r>
    <x v="5"/>
    <n v="120804244.94344576"/>
    <n v="-88997.283507093787"/>
    <n v="25550222.904560968"/>
    <n v="60185259.985562742"/>
    <n v="35157759.336829141"/>
    <x v="1"/>
  </r>
  <r>
    <x v="6"/>
    <n v="340994373.08744526"/>
    <n v="51271356.051855147"/>
    <n v="21757749.170645721"/>
    <n v="252518201.86570698"/>
    <n v="15447065.999237388"/>
    <x v="0"/>
  </r>
  <r>
    <x v="7"/>
    <n v="560678836"/>
    <n v="91246573"/>
    <n v="66611436"/>
    <n v="327593194"/>
    <n v="75227633"/>
    <x v="1"/>
  </r>
  <r>
    <x v="8"/>
    <n v="219684462.91255477"/>
    <n v="39975216.948144853"/>
    <n v="44853686.829354279"/>
    <n v="75074992.13429302"/>
    <n v="59780567.000762612"/>
    <x v="1"/>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994894DA-AC97-439F-BC3A-9B062D961320}" name="PivotTable11" cacheId="0" applyNumberFormats="0" applyBorderFormats="0" applyFontFormats="0" applyPatternFormats="0" applyAlignmentFormats="0" applyWidthHeightFormats="1" dataCaption="Data" updatedVersion="8" showMemberPropertyTips="0" useAutoFormatting="1" itemPrintTitles="1" createdVersion="1" indent="0" compact="0" compactData="0" gridDropZones="1" chartFormat="1">
  <location ref="S42:U50" firstHeaderRow="2" firstDataRow="2" firstDataCol="2"/>
  <pivotFields count="7">
    <pivotField axis="axisRow" compact="0" outline="0" showAll="0" includeNewItemsInFilter="1">
      <items count="10">
        <item h="1" x="2"/>
        <item h="1" x="5"/>
        <item h="1" x="8"/>
        <item x="1"/>
        <item x="4"/>
        <item x="7"/>
        <item x="0"/>
        <item x="3"/>
        <item x="6"/>
        <item t="default"/>
      </items>
    </pivotField>
    <pivotField dataField="1" compact="0" numFmtId="164" outline="0" showAll="0" includeNewItemsInFilter="1"/>
    <pivotField compact="0" numFmtId="164" outline="0" showAll="0" includeNewItemsInFilter="1"/>
    <pivotField compact="0" numFmtId="164" outline="0" showAll="0" includeNewItemsInFilter="1"/>
    <pivotField compact="0" numFmtId="164" outline="0" showAll="0" includeNewItemsInFilter="1"/>
    <pivotField compact="0" numFmtId="164" outline="0" showAll="0" includeNewItemsInFilter="1"/>
    <pivotField axis="axisRow" compact="0" outline="0" showAll="0" includeNewItemsInFilter="1">
      <items count="4">
        <item x="0"/>
        <item m="1" x="2"/>
        <item h="1" x="1"/>
        <item t="default"/>
      </items>
    </pivotField>
  </pivotFields>
  <rowFields count="2">
    <field x="0"/>
    <field x="6"/>
  </rowFields>
  <rowItems count="7">
    <i>
      <x v="6"/>
      <x/>
    </i>
    <i t="default">
      <x v="6"/>
    </i>
    <i>
      <x v="7"/>
      <x/>
    </i>
    <i t="default">
      <x v="7"/>
    </i>
    <i>
      <x v="8"/>
      <x/>
    </i>
    <i t="default">
      <x v="8"/>
    </i>
    <i t="grand">
      <x/>
    </i>
  </rowItems>
  <colItems count="1">
    <i/>
  </colItems>
  <dataFields count="1">
    <dataField name="Sum of Total" fld="1" baseField="0" baseItem="0"/>
  </dataFields>
  <chartFormats count="2">
    <chartFormat chart="0" format="0" series="1">
      <pivotArea type="data" outline="0" fieldPosition="0">
        <references count="1">
          <reference field="4294967294" count="1" selected="0">
            <x v="0"/>
          </reference>
        </references>
      </pivotArea>
    </chartFormat>
    <chartFormat chart="0" format="1">
      <pivotArea type="data" outline="0" fieldPosition="0">
        <references count="3">
          <reference field="4294967294" count="1" selected="0">
            <x v="0"/>
          </reference>
          <reference field="0" count="1" selected="0">
            <x v="8"/>
          </reference>
          <reference field="6" count="1" selected="0">
            <x v="0"/>
          </reference>
        </references>
      </pivotArea>
    </chartFormat>
  </chartFormats>
  <pivotTableStyleInfo showRowHeaders="1" showColHeaders="1" showRowStripes="0" showColStripes="0" showLastColumn="1"/>
  <extLst>
    <ext xmlns:xpdl="http://schemas.microsoft.com/office/spreadsheetml/2016/pivotdefaultlayout" uri="{747A6164-185A-40DC-8AA5-F01512510D54}">
      <xpdl:pivotTableDefinition16 EnabledSubtotalsDefault="0" SubtotalsOnTopDefault="0"/>
    </ext>
  </extLst>
</pivotTableDefinition>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H22" dT="2025-05-13T19:34:01.95" personId="{B9916717-8146-49BC-A8DD-2B633F08EE1B}" id="{1E6DBFBD-413A-4856-AD71-0DCF818B2AA5}">
    <text>Do not include equitable shar from Governance and Admin.</text>
  </threadedComment>
</ThreadedComments>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2.bin"/><Relationship Id="rId5" Type="http://schemas.openxmlformats.org/officeDocument/2006/relationships/image" Target="../media/image2.emf"/><Relationship Id="rId4" Type="http://schemas.openxmlformats.org/officeDocument/2006/relationships/control" Target="../activeX/activeX1.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6.xml.rels><?xml version="1.0" encoding="UTF-8" standalone="yes"?>
<Relationships xmlns="http://schemas.openxmlformats.org/package/2006/relationships"><Relationship Id="rId13" Type="http://schemas.openxmlformats.org/officeDocument/2006/relationships/image" Target="../media/image12.emf"/><Relationship Id="rId18" Type="http://schemas.openxmlformats.org/officeDocument/2006/relationships/image" Target="../media/image14.emf"/><Relationship Id="rId26" Type="http://schemas.openxmlformats.org/officeDocument/2006/relationships/control" Target="../activeX/activeX14.xml"/><Relationship Id="rId39" Type="http://schemas.openxmlformats.org/officeDocument/2006/relationships/image" Target="../media/image23.emf"/><Relationship Id="rId21" Type="http://schemas.openxmlformats.org/officeDocument/2006/relationships/image" Target="../media/image15.emf"/><Relationship Id="rId34" Type="http://schemas.openxmlformats.org/officeDocument/2006/relationships/control" Target="../activeX/activeX18.xml"/><Relationship Id="rId7" Type="http://schemas.openxmlformats.org/officeDocument/2006/relationships/image" Target="../media/image9.emf"/><Relationship Id="rId2" Type="http://schemas.openxmlformats.org/officeDocument/2006/relationships/drawing" Target="../drawings/drawing5.xml"/><Relationship Id="rId16" Type="http://schemas.openxmlformats.org/officeDocument/2006/relationships/image" Target="../media/image13.emf"/><Relationship Id="rId20" Type="http://schemas.openxmlformats.org/officeDocument/2006/relationships/control" Target="../activeX/activeX11.xml"/><Relationship Id="rId29" Type="http://schemas.openxmlformats.org/officeDocument/2006/relationships/image" Target="../media/image19.emf"/><Relationship Id="rId41" Type="http://schemas.openxmlformats.org/officeDocument/2006/relationships/image" Target="../media/image24.emf"/><Relationship Id="rId1" Type="http://schemas.openxmlformats.org/officeDocument/2006/relationships/printerSettings" Target="../printerSettings/printerSettings4.bin"/><Relationship Id="rId6" Type="http://schemas.openxmlformats.org/officeDocument/2006/relationships/control" Target="../activeX/activeX3.xml"/><Relationship Id="rId11" Type="http://schemas.openxmlformats.org/officeDocument/2006/relationships/image" Target="../media/image11.emf"/><Relationship Id="rId24" Type="http://schemas.openxmlformats.org/officeDocument/2006/relationships/control" Target="../activeX/activeX13.xml"/><Relationship Id="rId32" Type="http://schemas.openxmlformats.org/officeDocument/2006/relationships/control" Target="../activeX/activeX17.xml"/><Relationship Id="rId37" Type="http://schemas.openxmlformats.org/officeDocument/2006/relationships/control" Target="../activeX/activeX20.xml"/><Relationship Id="rId40" Type="http://schemas.openxmlformats.org/officeDocument/2006/relationships/control" Target="../activeX/activeX22.xml"/><Relationship Id="rId5" Type="http://schemas.openxmlformats.org/officeDocument/2006/relationships/image" Target="../media/image8.emf"/><Relationship Id="rId15" Type="http://schemas.openxmlformats.org/officeDocument/2006/relationships/control" Target="../activeX/activeX8.xml"/><Relationship Id="rId23" Type="http://schemas.openxmlformats.org/officeDocument/2006/relationships/image" Target="../media/image16.emf"/><Relationship Id="rId28" Type="http://schemas.openxmlformats.org/officeDocument/2006/relationships/control" Target="../activeX/activeX15.xml"/><Relationship Id="rId36" Type="http://schemas.openxmlformats.org/officeDocument/2006/relationships/control" Target="../activeX/activeX19.xml"/><Relationship Id="rId10" Type="http://schemas.openxmlformats.org/officeDocument/2006/relationships/control" Target="../activeX/activeX5.xml"/><Relationship Id="rId19" Type="http://schemas.openxmlformats.org/officeDocument/2006/relationships/control" Target="../activeX/activeX10.xml"/><Relationship Id="rId31" Type="http://schemas.openxmlformats.org/officeDocument/2006/relationships/image" Target="../media/image20.emf"/><Relationship Id="rId4" Type="http://schemas.openxmlformats.org/officeDocument/2006/relationships/control" Target="../activeX/activeX2.xml"/><Relationship Id="rId9" Type="http://schemas.openxmlformats.org/officeDocument/2006/relationships/image" Target="../media/image10.emf"/><Relationship Id="rId14" Type="http://schemas.openxmlformats.org/officeDocument/2006/relationships/control" Target="../activeX/activeX7.xml"/><Relationship Id="rId22" Type="http://schemas.openxmlformats.org/officeDocument/2006/relationships/control" Target="../activeX/activeX12.xml"/><Relationship Id="rId27" Type="http://schemas.openxmlformats.org/officeDocument/2006/relationships/image" Target="../media/image18.emf"/><Relationship Id="rId30" Type="http://schemas.openxmlformats.org/officeDocument/2006/relationships/control" Target="../activeX/activeX16.xml"/><Relationship Id="rId35" Type="http://schemas.openxmlformats.org/officeDocument/2006/relationships/image" Target="../media/image22.emf"/><Relationship Id="rId8" Type="http://schemas.openxmlformats.org/officeDocument/2006/relationships/control" Target="../activeX/activeX4.xml"/><Relationship Id="rId3" Type="http://schemas.openxmlformats.org/officeDocument/2006/relationships/vmlDrawing" Target="../drawings/vmlDrawing2.vml"/><Relationship Id="rId12" Type="http://schemas.openxmlformats.org/officeDocument/2006/relationships/control" Target="../activeX/activeX6.xml"/><Relationship Id="rId17" Type="http://schemas.openxmlformats.org/officeDocument/2006/relationships/control" Target="../activeX/activeX9.xml"/><Relationship Id="rId25" Type="http://schemas.openxmlformats.org/officeDocument/2006/relationships/image" Target="../media/image17.emf"/><Relationship Id="rId33" Type="http://schemas.openxmlformats.org/officeDocument/2006/relationships/image" Target="../media/image21.emf"/><Relationship Id="rId38" Type="http://schemas.openxmlformats.org/officeDocument/2006/relationships/control" Target="../activeX/activeX21.xml"/></Relationships>
</file>

<file path=xl/worksheets/_rels/sheet7.xml.rels><?xml version="1.0" encoding="UTF-8" standalone="yes"?>
<Relationships xmlns="http://schemas.openxmlformats.org/package/2006/relationships"><Relationship Id="rId3" Type="http://schemas.openxmlformats.org/officeDocument/2006/relationships/drawing" Target="../drawings/drawing6.xml"/><Relationship Id="rId2" Type="http://schemas.openxmlformats.org/officeDocument/2006/relationships/printerSettings" Target="../printerSettings/printerSettings5.bin"/><Relationship Id="rId1" Type="http://schemas.openxmlformats.org/officeDocument/2006/relationships/pivotTable" Target="../pivotTables/pivotTable1.xml"/></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7.xml"/><Relationship Id="rId1" Type="http://schemas.openxmlformats.org/officeDocument/2006/relationships/printerSettings" Target="../printerSettings/printerSettings11.bin"/><Relationship Id="rId5" Type="http://schemas.openxmlformats.org/officeDocument/2006/relationships/image" Target="../media/image25.emf"/><Relationship Id="rId4" Type="http://schemas.openxmlformats.org/officeDocument/2006/relationships/control" Target="../activeX/activeX23.xml"/></Relationships>
</file>

<file path=xl/worksheets/_rels/sheet14.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8.xml"/><Relationship Id="rId1" Type="http://schemas.openxmlformats.org/officeDocument/2006/relationships/printerSettings" Target="../printerSettings/printerSettings12.bin"/><Relationship Id="rId5" Type="http://schemas.openxmlformats.org/officeDocument/2006/relationships/image" Target="../media/image26.emf"/><Relationship Id="rId4" Type="http://schemas.openxmlformats.org/officeDocument/2006/relationships/control" Target="../activeX/activeX24.xml"/></Relationships>
</file>

<file path=xl/worksheets/_rels/sheet15.xml.rels><?xml version="1.0" encoding="UTF-8" standalone="yes"?>
<Relationships xmlns="http://schemas.openxmlformats.org/package/2006/relationships"><Relationship Id="rId3" Type="http://schemas.openxmlformats.org/officeDocument/2006/relationships/control" Target="../activeX/activeX25.xml"/><Relationship Id="rId2" Type="http://schemas.openxmlformats.org/officeDocument/2006/relationships/vmlDrawing" Target="../drawings/vmlDrawing5.vml"/><Relationship Id="rId1" Type="http://schemas.openxmlformats.org/officeDocument/2006/relationships/drawing" Target="../drawings/drawing9.xml"/><Relationship Id="rId4" Type="http://schemas.openxmlformats.org/officeDocument/2006/relationships/image" Target="../media/image27.emf"/></Relationships>
</file>

<file path=xl/worksheets/_rels/sheet16.xml.rels><?xml version="1.0" encoding="UTF-8" standalone="yes"?>
<Relationships xmlns="http://schemas.openxmlformats.org/package/2006/relationships"><Relationship Id="rId3" Type="http://schemas.openxmlformats.org/officeDocument/2006/relationships/vmlDrawing" Target="../drawings/vmlDrawing6.vml"/><Relationship Id="rId7" Type="http://schemas.microsoft.com/office/2017/10/relationships/threadedComment" Target="../threadedComments/threadedComment1.xml"/><Relationship Id="rId2" Type="http://schemas.openxmlformats.org/officeDocument/2006/relationships/drawing" Target="../drawings/drawing10.xml"/><Relationship Id="rId1" Type="http://schemas.openxmlformats.org/officeDocument/2006/relationships/printerSettings" Target="../printerSettings/printerSettings13.bin"/><Relationship Id="rId6" Type="http://schemas.openxmlformats.org/officeDocument/2006/relationships/comments" Target="../comments1.xml"/><Relationship Id="rId5" Type="http://schemas.openxmlformats.org/officeDocument/2006/relationships/image" Target="../media/image28.emf"/><Relationship Id="rId4" Type="http://schemas.openxmlformats.org/officeDocument/2006/relationships/control" Target="../activeX/activeX26.xml"/></Relationships>
</file>

<file path=xl/worksheets/_rels/sheet17.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11.xml"/><Relationship Id="rId1" Type="http://schemas.openxmlformats.org/officeDocument/2006/relationships/printerSettings" Target="../printerSettings/printerSettings14.bin"/><Relationship Id="rId5" Type="http://schemas.openxmlformats.org/officeDocument/2006/relationships/image" Target="../media/image29.emf"/><Relationship Id="rId4" Type="http://schemas.openxmlformats.org/officeDocument/2006/relationships/control" Target="../activeX/activeX27.xml"/></Relationships>
</file>

<file path=xl/worksheets/_rels/sheet18.xml.rels><?xml version="1.0" encoding="UTF-8" standalone="yes"?>
<Relationships xmlns="http://schemas.openxmlformats.org/package/2006/relationships"><Relationship Id="rId3" Type="http://schemas.openxmlformats.org/officeDocument/2006/relationships/vmlDrawing" Target="../drawings/vmlDrawing8.vml"/><Relationship Id="rId2" Type="http://schemas.openxmlformats.org/officeDocument/2006/relationships/drawing" Target="../drawings/drawing12.xml"/><Relationship Id="rId1" Type="http://schemas.openxmlformats.org/officeDocument/2006/relationships/printerSettings" Target="../printerSettings/printerSettings15.bin"/><Relationship Id="rId5" Type="http://schemas.openxmlformats.org/officeDocument/2006/relationships/image" Target="../media/image30.emf"/><Relationship Id="rId4" Type="http://schemas.openxmlformats.org/officeDocument/2006/relationships/control" Target="../activeX/activeX28.xml"/></Relationships>
</file>

<file path=xl/worksheets/_rels/sheet19.xml.rels><?xml version="1.0" encoding="UTF-8" standalone="yes"?>
<Relationships xmlns="http://schemas.openxmlformats.org/package/2006/relationships"><Relationship Id="rId3" Type="http://schemas.openxmlformats.org/officeDocument/2006/relationships/control" Target="../activeX/activeX29.xml"/><Relationship Id="rId2" Type="http://schemas.openxmlformats.org/officeDocument/2006/relationships/vmlDrawing" Target="../drawings/vmlDrawing9.vml"/><Relationship Id="rId1" Type="http://schemas.openxmlformats.org/officeDocument/2006/relationships/drawing" Target="../drawings/drawing13.xml"/><Relationship Id="rId4" Type="http://schemas.openxmlformats.org/officeDocument/2006/relationships/image" Target="../media/image31.emf"/></Relationships>
</file>

<file path=xl/worksheets/_rels/sheet20.xml.rels><?xml version="1.0" encoding="UTF-8" standalone="yes"?>
<Relationships xmlns="http://schemas.openxmlformats.org/package/2006/relationships"><Relationship Id="rId1" Type="http://schemas.openxmlformats.org/officeDocument/2006/relationships/drawing" Target="../drawings/drawing14.xml"/></Relationships>
</file>

<file path=xl/worksheets/_rels/sheet21.xml.rels><?xml version="1.0" encoding="UTF-8" standalone="yes"?>
<Relationships xmlns="http://schemas.openxmlformats.org/package/2006/relationships"><Relationship Id="rId1" Type="http://schemas.openxmlformats.org/officeDocument/2006/relationships/drawing" Target="../drawings/drawing15.xml"/></Relationships>
</file>

<file path=xl/worksheets/_rels/sheet22.xml.rels><?xml version="1.0" encoding="UTF-8" standalone="yes"?>
<Relationships xmlns="http://schemas.openxmlformats.org/package/2006/relationships"><Relationship Id="rId1" Type="http://schemas.openxmlformats.org/officeDocument/2006/relationships/drawing" Target="../drawings/drawing16.xml"/></Relationships>
</file>

<file path=xl/worksheets/_rels/sheet23.xml.rels><?xml version="1.0" encoding="UTF-8" standalone="yes"?>
<Relationships xmlns="http://schemas.openxmlformats.org/package/2006/relationships"><Relationship Id="rId3" Type="http://schemas.openxmlformats.org/officeDocument/2006/relationships/vmlDrawing" Target="../drawings/vmlDrawing10.vml"/><Relationship Id="rId2" Type="http://schemas.openxmlformats.org/officeDocument/2006/relationships/drawing" Target="../drawings/drawing17.xml"/><Relationship Id="rId1" Type="http://schemas.openxmlformats.org/officeDocument/2006/relationships/printerSettings" Target="../printerSettings/printerSettings16.bin"/><Relationship Id="rId5" Type="http://schemas.openxmlformats.org/officeDocument/2006/relationships/image" Target="../media/image32.emf"/><Relationship Id="rId4" Type="http://schemas.openxmlformats.org/officeDocument/2006/relationships/control" Target="../activeX/activeX30.xml"/></Relationships>
</file>

<file path=xl/worksheets/_rels/sheet24.xml.rels><?xml version="1.0" encoding="UTF-8" standalone="yes"?>
<Relationships xmlns="http://schemas.openxmlformats.org/package/2006/relationships"><Relationship Id="rId3" Type="http://schemas.openxmlformats.org/officeDocument/2006/relationships/control" Target="../activeX/activeX31.xml"/><Relationship Id="rId2" Type="http://schemas.openxmlformats.org/officeDocument/2006/relationships/vmlDrawing" Target="../drawings/vmlDrawing11.vml"/><Relationship Id="rId1" Type="http://schemas.openxmlformats.org/officeDocument/2006/relationships/drawing" Target="../drawings/drawing18.xml"/><Relationship Id="rId4" Type="http://schemas.openxmlformats.org/officeDocument/2006/relationships/image" Target="../media/image33.emf"/></Relationships>
</file>

<file path=xl/worksheets/_rels/sheet25.xml.rels><?xml version="1.0" encoding="UTF-8" standalone="yes"?>
<Relationships xmlns="http://schemas.openxmlformats.org/package/2006/relationships"><Relationship Id="rId3" Type="http://schemas.openxmlformats.org/officeDocument/2006/relationships/vmlDrawing" Target="../drawings/vmlDrawing12.vml"/><Relationship Id="rId2" Type="http://schemas.openxmlformats.org/officeDocument/2006/relationships/drawing" Target="../drawings/drawing19.xml"/><Relationship Id="rId1" Type="http://schemas.openxmlformats.org/officeDocument/2006/relationships/printerSettings" Target="../printerSettings/printerSettings17.bin"/><Relationship Id="rId5" Type="http://schemas.openxmlformats.org/officeDocument/2006/relationships/image" Target="../media/image34.emf"/><Relationship Id="rId4" Type="http://schemas.openxmlformats.org/officeDocument/2006/relationships/control" Target="../activeX/activeX32.xml"/></Relationships>
</file>

<file path=xl/worksheets/_rels/sheet26.xml.rels><?xml version="1.0" encoding="UTF-8" standalone="yes"?>
<Relationships xmlns="http://schemas.openxmlformats.org/package/2006/relationships"><Relationship Id="rId3" Type="http://schemas.openxmlformats.org/officeDocument/2006/relationships/control" Target="../activeX/activeX33.xml"/><Relationship Id="rId2" Type="http://schemas.openxmlformats.org/officeDocument/2006/relationships/vmlDrawing" Target="../drawings/vmlDrawing13.vml"/><Relationship Id="rId1" Type="http://schemas.openxmlformats.org/officeDocument/2006/relationships/drawing" Target="../drawings/drawing20.xml"/><Relationship Id="rId4" Type="http://schemas.openxmlformats.org/officeDocument/2006/relationships/image" Target="../media/image35.emf"/></Relationships>
</file>

<file path=xl/worksheets/_rels/sheet27.xml.rels><?xml version="1.0" encoding="UTF-8" standalone="yes"?>
<Relationships xmlns="http://schemas.openxmlformats.org/package/2006/relationships"><Relationship Id="rId3" Type="http://schemas.openxmlformats.org/officeDocument/2006/relationships/vmlDrawing" Target="../drawings/vmlDrawing14.vml"/><Relationship Id="rId2" Type="http://schemas.openxmlformats.org/officeDocument/2006/relationships/drawing" Target="../drawings/drawing21.xml"/><Relationship Id="rId1" Type="http://schemas.openxmlformats.org/officeDocument/2006/relationships/printerSettings" Target="../printerSettings/printerSettings18.bin"/><Relationship Id="rId5" Type="http://schemas.openxmlformats.org/officeDocument/2006/relationships/image" Target="../media/image36.emf"/><Relationship Id="rId4" Type="http://schemas.openxmlformats.org/officeDocument/2006/relationships/control" Target="../activeX/activeX34.xml"/></Relationships>
</file>

<file path=xl/worksheets/_rels/sheet28.xml.rels><?xml version="1.0" encoding="UTF-8" standalone="yes"?>
<Relationships xmlns="http://schemas.openxmlformats.org/package/2006/relationships"><Relationship Id="rId3" Type="http://schemas.openxmlformats.org/officeDocument/2006/relationships/vmlDrawing" Target="../drawings/vmlDrawing15.vml"/><Relationship Id="rId2" Type="http://schemas.openxmlformats.org/officeDocument/2006/relationships/drawing" Target="../drawings/drawing22.xml"/><Relationship Id="rId1" Type="http://schemas.openxmlformats.org/officeDocument/2006/relationships/printerSettings" Target="../printerSettings/printerSettings19.bin"/><Relationship Id="rId5" Type="http://schemas.openxmlformats.org/officeDocument/2006/relationships/image" Target="../media/image37.emf"/><Relationship Id="rId4" Type="http://schemas.openxmlformats.org/officeDocument/2006/relationships/control" Target="../activeX/activeX35.xml"/></Relationships>
</file>

<file path=xl/worksheets/_rels/sheet29.xml.rels><?xml version="1.0" encoding="UTF-8" standalone="yes"?>
<Relationships xmlns="http://schemas.openxmlformats.org/package/2006/relationships"><Relationship Id="rId3" Type="http://schemas.openxmlformats.org/officeDocument/2006/relationships/vmlDrawing" Target="../drawings/vmlDrawing16.vml"/><Relationship Id="rId2" Type="http://schemas.openxmlformats.org/officeDocument/2006/relationships/drawing" Target="../drawings/drawing23.xml"/><Relationship Id="rId1" Type="http://schemas.openxmlformats.org/officeDocument/2006/relationships/printerSettings" Target="../printerSettings/printerSettings20.bin"/><Relationship Id="rId5" Type="http://schemas.openxmlformats.org/officeDocument/2006/relationships/image" Target="../media/image38.emf"/><Relationship Id="rId4" Type="http://schemas.openxmlformats.org/officeDocument/2006/relationships/control" Target="../activeX/activeX36.xml"/></Relationships>
</file>

<file path=xl/worksheets/_rels/sheet30.xml.rels><?xml version="1.0" encoding="UTF-8" standalone="yes"?>
<Relationships xmlns="http://schemas.openxmlformats.org/package/2006/relationships"><Relationship Id="rId3" Type="http://schemas.openxmlformats.org/officeDocument/2006/relationships/vmlDrawing" Target="../drawings/vmlDrawing17.vml"/><Relationship Id="rId7" Type="http://schemas.openxmlformats.org/officeDocument/2006/relationships/image" Target="../media/image40.emf"/><Relationship Id="rId2" Type="http://schemas.openxmlformats.org/officeDocument/2006/relationships/drawing" Target="../drawings/drawing24.xml"/><Relationship Id="rId1" Type="http://schemas.openxmlformats.org/officeDocument/2006/relationships/printerSettings" Target="../printerSettings/printerSettings21.bin"/><Relationship Id="rId6" Type="http://schemas.openxmlformats.org/officeDocument/2006/relationships/control" Target="../activeX/activeX38.xml"/><Relationship Id="rId5" Type="http://schemas.openxmlformats.org/officeDocument/2006/relationships/image" Target="../media/image39.emf"/><Relationship Id="rId4" Type="http://schemas.openxmlformats.org/officeDocument/2006/relationships/control" Target="../activeX/activeX37.xml"/></Relationships>
</file>

<file path=xl/worksheets/_rels/sheet31.xml.rels><?xml version="1.0" encoding="UTF-8" standalone="yes"?>
<Relationships xmlns="http://schemas.openxmlformats.org/package/2006/relationships"><Relationship Id="rId3" Type="http://schemas.openxmlformats.org/officeDocument/2006/relationships/vmlDrawing" Target="../drawings/vmlDrawing18.vml"/><Relationship Id="rId7" Type="http://schemas.openxmlformats.org/officeDocument/2006/relationships/image" Target="../media/image42.emf"/><Relationship Id="rId2" Type="http://schemas.openxmlformats.org/officeDocument/2006/relationships/drawing" Target="../drawings/drawing25.xml"/><Relationship Id="rId1" Type="http://schemas.openxmlformats.org/officeDocument/2006/relationships/printerSettings" Target="../printerSettings/printerSettings22.bin"/><Relationship Id="rId6" Type="http://schemas.openxmlformats.org/officeDocument/2006/relationships/control" Target="../activeX/activeX40.xml"/><Relationship Id="rId5" Type="http://schemas.openxmlformats.org/officeDocument/2006/relationships/image" Target="../media/image41.emf"/><Relationship Id="rId4" Type="http://schemas.openxmlformats.org/officeDocument/2006/relationships/control" Target="../activeX/activeX39.xml"/></Relationships>
</file>

<file path=xl/worksheets/_rels/sheet32.xml.rels><?xml version="1.0" encoding="UTF-8" standalone="yes"?>
<Relationships xmlns="http://schemas.openxmlformats.org/package/2006/relationships"><Relationship Id="rId3" Type="http://schemas.openxmlformats.org/officeDocument/2006/relationships/vmlDrawing" Target="../drawings/vmlDrawing19.vml"/><Relationship Id="rId7" Type="http://schemas.openxmlformats.org/officeDocument/2006/relationships/image" Target="../media/image44.emf"/><Relationship Id="rId2" Type="http://schemas.openxmlformats.org/officeDocument/2006/relationships/drawing" Target="../drawings/drawing26.xml"/><Relationship Id="rId1" Type="http://schemas.openxmlformats.org/officeDocument/2006/relationships/printerSettings" Target="../printerSettings/printerSettings23.bin"/><Relationship Id="rId6" Type="http://schemas.openxmlformats.org/officeDocument/2006/relationships/control" Target="../activeX/activeX42.xml"/><Relationship Id="rId5" Type="http://schemas.openxmlformats.org/officeDocument/2006/relationships/image" Target="../media/image43.emf"/><Relationship Id="rId4" Type="http://schemas.openxmlformats.org/officeDocument/2006/relationships/control" Target="../activeX/activeX41.xml"/></Relationships>
</file>

<file path=xl/worksheets/_rels/sheet33.xml.rels><?xml version="1.0" encoding="UTF-8" standalone="yes"?>
<Relationships xmlns="http://schemas.openxmlformats.org/package/2006/relationships"><Relationship Id="rId3" Type="http://schemas.openxmlformats.org/officeDocument/2006/relationships/vmlDrawing" Target="../drawings/vmlDrawing20.vml"/><Relationship Id="rId7" Type="http://schemas.openxmlformats.org/officeDocument/2006/relationships/image" Target="../media/image37.emf"/><Relationship Id="rId2" Type="http://schemas.openxmlformats.org/officeDocument/2006/relationships/drawing" Target="../drawings/drawing27.xml"/><Relationship Id="rId1" Type="http://schemas.openxmlformats.org/officeDocument/2006/relationships/printerSettings" Target="../printerSettings/printerSettings24.bin"/><Relationship Id="rId6" Type="http://schemas.openxmlformats.org/officeDocument/2006/relationships/control" Target="../activeX/activeX44.xml"/><Relationship Id="rId5" Type="http://schemas.openxmlformats.org/officeDocument/2006/relationships/image" Target="../media/image45.emf"/><Relationship Id="rId4" Type="http://schemas.openxmlformats.org/officeDocument/2006/relationships/control" Target="../activeX/activeX43.xml"/></Relationships>
</file>

<file path=xl/worksheets/_rels/sheet34.xml.rels><?xml version="1.0" encoding="UTF-8" standalone="yes"?>
<Relationships xmlns="http://schemas.openxmlformats.org/package/2006/relationships"><Relationship Id="rId3" Type="http://schemas.openxmlformats.org/officeDocument/2006/relationships/vmlDrawing" Target="../drawings/vmlDrawing21.vml"/><Relationship Id="rId7" Type="http://schemas.openxmlformats.org/officeDocument/2006/relationships/image" Target="../media/image47.emf"/><Relationship Id="rId2" Type="http://schemas.openxmlformats.org/officeDocument/2006/relationships/drawing" Target="../drawings/drawing28.xml"/><Relationship Id="rId1" Type="http://schemas.openxmlformats.org/officeDocument/2006/relationships/printerSettings" Target="../printerSettings/printerSettings25.bin"/><Relationship Id="rId6" Type="http://schemas.openxmlformats.org/officeDocument/2006/relationships/control" Target="../activeX/activeX46.xml"/><Relationship Id="rId5" Type="http://schemas.openxmlformats.org/officeDocument/2006/relationships/image" Target="../media/image46.emf"/><Relationship Id="rId4" Type="http://schemas.openxmlformats.org/officeDocument/2006/relationships/control" Target="../activeX/activeX45.xml"/></Relationships>
</file>

<file path=xl/worksheets/_rels/sheet35.xml.rels><?xml version="1.0" encoding="UTF-8" standalone="yes"?>
<Relationships xmlns="http://schemas.openxmlformats.org/package/2006/relationships"><Relationship Id="rId3" Type="http://schemas.openxmlformats.org/officeDocument/2006/relationships/vmlDrawing" Target="../drawings/vmlDrawing22.vml"/><Relationship Id="rId7" Type="http://schemas.openxmlformats.org/officeDocument/2006/relationships/image" Target="../media/image49.emf"/><Relationship Id="rId2" Type="http://schemas.openxmlformats.org/officeDocument/2006/relationships/drawing" Target="../drawings/drawing29.xml"/><Relationship Id="rId1" Type="http://schemas.openxmlformats.org/officeDocument/2006/relationships/printerSettings" Target="../printerSettings/printerSettings26.bin"/><Relationship Id="rId6" Type="http://schemas.openxmlformats.org/officeDocument/2006/relationships/control" Target="../activeX/activeX48.xml"/><Relationship Id="rId5" Type="http://schemas.openxmlformats.org/officeDocument/2006/relationships/image" Target="../media/image48.emf"/><Relationship Id="rId4" Type="http://schemas.openxmlformats.org/officeDocument/2006/relationships/control" Target="../activeX/activeX47.xml"/></Relationships>
</file>

<file path=xl/worksheets/_rels/sheet36.xml.rels><?xml version="1.0" encoding="UTF-8" standalone="yes"?>
<Relationships xmlns="http://schemas.openxmlformats.org/package/2006/relationships"><Relationship Id="rId3" Type="http://schemas.openxmlformats.org/officeDocument/2006/relationships/vmlDrawing" Target="../drawings/vmlDrawing23.vml"/><Relationship Id="rId7" Type="http://schemas.openxmlformats.org/officeDocument/2006/relationships/image" Target="../media/image51.emf"/><Relationship Id="rId2" Type="http://schemas.openxmlformats.org/officeDocument/2006/relationships/drawing" Target="../drawings/drawing30.xml"/><Relationship Id="rId1" Type="http://schemas.openxmlformats.org/officeDocument/2006/relationships/printerSettings" Target="../printerSettings/printerSettings27.bin"/><Relationship Id="rId6" Type="http://schemas.openxmlformats.org/officeDocument/2006/relationships/control" Target="../activeX/activeX50.xml"/><Relationship Id="rId5" Type="http://schemas.openxmlformats.org/officeDocument/2006/relationships/image" Target="../media/image50.emf"/><Relationship Id="rId4" Type="http://schemas.openxmlformats.org/officeDocument/2006/relationships/control" Target="../activeX/activeX49.xml"/></Relationships>
</file>

<file path=xl/worksheets/_rels/sheet37.xml.rels><?xml version="1.0" encoding="UTF-8" standalone="yes"?>
<Relationships xmlns="http://schemas.openxmlformats.org/package/2006/relationships"><Relationship Id="rId3" Type="http://schemas.openxmlformats.org/officeDocument/2006/relationships/vmlDrawing" Target="../drawings/vmlDrawing24.vml"/><Relationship Id="rId7" Type="http://schemas.openxmlformats.org/officeDocument/2006/relationships/image" Target="../media/image53.emf"/><Relationship Id="rId2" Type="http://schemas.openxmlformats.org/officeDocument/2006/relationships/drawing" Target="../drawings/drawing31.xml"/><Relationship Id="rId1" Type="http://schemas.openxmlformats.org/officeDocument/2006/relationships/printerSettings" Target="../printerSettings/printerSettings28.bin"/><Relationship Id="rId6" Type="http://schemas.openxmlformats.org/officeDocument/2006/relationships/control" Target="../activeX/activeX52.xml"/><Relationship Id="rId5" Type="http://schemas.openxmlformats.org/officeDocument/2006/relationships/image" Target="../media/image52.emf"/><Relationship Id="rId4" Type="http://schemas.openxmlformats.org/officeDocument/2006/relationships/control" Target="../activeX/activeX51.xml"/></Relationships>
</file>

<file path=xl/worksheets/_rels/sheet38.xml.rels><?xml version="1.0" encoding="UTF-8" standalone="yes"?>
<Relationships xmlns="http://schemas.openxmlformats.org/package/2006/relationships"><Relationship Id="rId3" Type="http://schemas.openxmlformats.org/officeDocument/2006/relationships/control" Target="../activeX/activeX53.xml"/><Relationship Id="rId2" Type="http://schemas.openxmlformats.org/officeDocument/2006/relationships/vmlDrawing" Target="../drawings/vmlDrawing25.vml"/><Relationship Id="rId1" Type="http://schemas.openxmlformats.org/officeDocument/2006/relationships/drawing" Target="../drawings/drawing32.xml"/><Relationship Id="rId4" Type="http://schemas.openxmlformats.org/officeDocument/2006/relationships/image" Target="../media/image54.emf"/></Relationships>
</file>

<file path=xl/worksheets/_rels/sheet44.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45.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D1AD7E3-07AC-464E-A0DD-D88127189C83}">
  <sheetPr codeName="Sheet1">
    <tabColor theme="1"/>
  </sheetPr>
  <dimension ref="E1:K14"/>
  <sheetViews>
    <sheetView showGridLines="0" workbookViewId="0">
      <pane ySplit="4" topLeftCell="A5" activePane="bottomLeft" state="frozen"/>
      <selection pane="bottomLeft" activeCell="J15" sqref="J15"/>
    </sheetView>
  </sheetViews>
  <sheetFormatPr defaultColWidth="8.7890625" defaultRowHeight="14.4" x14ac:dyDescent="0.55000000000000004"/>
  <cols>
    <col min="1" max="1" width="5.41796875" style="117" customWidth="1"/>
    <col min="2" max="5" width="8.7890625" style="117"/>
    <col min="6" max="6" width="15.7890625" style="117" customWidth="1"/>
    <col min="7" max="16384" width="8.7890625" style="117"/>
  </cols>
  <sheetData>
    <row r="1" spans="5:11" customFormat="1" x14ac:dyDescent="0.55000000000000004"/>
    <row r="2" spans="5:11" customFormat="1" x14ac:dyDescent="0.55000000000000004">
      <c r="E2" t="s">
        <v>620</v>
      </c>
    </row>
    <row r="3" spans="5:11" customFormat="1" x14ac:dyDescent="0.55000000000000004"/>
    <row r="4" spans="5:11" s="116" customFormat="1" ht="14.7" thickBot="1" x14ac:dyDescent="0.6"/>
    <row r="5" spans="5:11" ht="21" customHeight="1" thickBot="1" x14ac:dyDescent="0.6"/>
    <row r="6" spans="5:11" ht="14.7" thickBot="1" x14ac:dyDescent="0.6">
      <c r="E6" s="117" t="s">
        <v>155</v>
      </c>
      <c r="G6" s="1475" t="str">
        <f>'PART C- Municipal Details'!G7</f>
        <v>Theewaterskloof</v>
      </c>
      <c r="H6" s="1476"/>
      <c r="I6" s="1476"/>
      <c r="J6" s="1477"/>
      <c r="K6" s="293" t="s">
        <v>163</v>
      </c>
    </row>
    <row r="7" spans="5:11" ht="14.7" thickBot="1" x14ac:dyDescent="0.6"/>
    <row r="8" spans="5:11" ht="14.7" thickBot="1" x14ac:dyDescent="0.6">
      <c r="E8" s="331" t="s">
        <v>207</v>
      </c>
      <c r="G8" s="1475">
        <v>2026</v>
      </c>
      <c r="H8" s="1476"/>
      <c r="I8" s="1476"/>
      <c r="J8" s="1477"/>
      <c r="K8" s="293" t="s">
        <v>205</v>
      </c>
    </row>
    <row r="9" spans="5:11" ht="14.7" thickBot="1" x14ac:dyDescent="0.6">
      <c r="E9" s="331"/>
    </row>
    <row r="10" spans="5:11" ht="14.7" thickBot="1" x14ac:dyDescent="0.6">
      <c r="E10" s="331" t="s">
        <v>208</v>
      </c>
      <c r="G10" s="1475">
        <v>2027</v>
      </c>
      <c r="H10" s="1476"/>
      <c r="I10" s="1476"/>
      <c r="J10" s="1477"/>
      <c r="K10" s="293" t="s">
        <v>164</v>
      </c>
    </row>
    <row r="14" spans="5:11" ht="14.55" customHeight="1" x14ac:dyDescent="0.55000000000000004"/>
  </sheetData>
  <mergeCells count="3">
    <mergeCell ref="G6:J6"/>
    <mergeCell ref="G8:J8"/>
    <mergeCell ref="G10:J10"/>
  </mergeCell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21F9B7-5167-43EF-B65E-11AF6A0517C0}">
  <sheetPr codeName="Sheet2">
    <tabColor theme="1"/>
  </sheetPr>
  <dimension ref="B1:W68"/>
  <sheetViews>
    <sheetView showGridLines="0" workbookViewId="0">
      <pane ySplit="4" topLeftCell="A5" activePane="bottomLeft" state="frozen"/>
      <selection pane="bottomLeft" activeCell="C17" sqref="C17:V18"/>
    </sheetView>
  </sheetViews>
  <sheetFormatPr defaultColWidth="8.7890625" defaultRowHeight="14.4" x14ac:dyDescent="0.55000000000000004"/>
  <cols>
    <col min="1" max="1" width="1.7890625" style="117" customWidth="1"/>
    <col min="2" max="2" width="2.20703125" style="117" customWidth="1"/>
    <col min="3" max="3" width="15" style="117" customWidth="1"/>
    <col min="4" max="4" width="15.7890625" style="117" customWidth="1"/>
    <col min="5" max="5" width="4.20703125" style="117" customWidth="1"/>
    <col min="6" max="21" width="8.7890625" style="117"/>
    <col min="22" max="22" width="14.41796875" style="117" customWidth="1"/>
    <col min="23" max="16384" width="8.7890625" style="117"/>
  </cols>
  <sheetData>
    <row r="1" spans="2:23" s="308" customFormat="1" x14ac:dyDescent="0.55000000000000004">
      <c r="G1" s="1481" t="s">
        <v>206</v>
      </c>
      <c r="H1" s="1481"/>
      <c r="I1" s="1481"/>
    </row>
    <row r="2" spans="2:23" s="308" customFormat="1" x14ac:dyDescent="0.55000000000000004">
      <c r="G2" s="1481"/>
      <c r="H2" s="1481"/>
      <c r="I2" s="1481"/>
    </row>
    <row r="3" spans="2:23" s="308" customFormat="1" ht="19.2" customHeight="1" x14ac:dyDescent="0.55000000000000004"/>
    <row r="4" spans="2:23" s="116" customFormat="1" ht="14.7" thickBot="1" x14ac:dyDescent="0.6"/>
    <row r="5" spans="2:23" ht="14.7" thickBot="1" x14ac:dyDescent="0.6">
      <c r="V5" s="309"/>
    </row>
    <row r="6" spans="2:23" ht="14.7" thickBot="1" x14ac:dyDescent="0.6">
      <c r="B6" s="310"/>
      <c r="C6" s="311"/>
      <c r="D6" s="311"/>
      <c r="E6" s="311"/>
      <c r="F6" s="311"/>
      <c r="G6" s="311"/>
      <c r="H6" s="311"/>
      <c r="I6" s="311"/>
      <c r="J6" s="311"/>
      <c r="K6" s="311"/>
      <c r="L6" s="311"/>
      <c r="M6" s="311"/>
      <c r="N6" s="311"/>
      <c r="O6" s="311"/>
      <c r="P6" s="311"/>
      <c r="Q6" s="311"/>
      <c r="R6" s="311"/>
      <c r="S6" s="311"/>
      <c r="T6" s="311"/>
      <c r="U6" s="311"/>
      <c r="V6" s="308"/>
      <c r="W6" s="312"/>
    </row>
    <row r="7" spans="2:23" ht="14.55" customHeight="1" thickTop="1" x14ac:dyDescent="0.55000000000000004">
      <c r="B7" s="313"/>
      <c r="C7" s="1483" t="s">
        <v>452</v>
      </c>
      <c r="D7" s="1484"/>
      <c r="E7" s="1484"/>
      <c r="F7" s="1484"/>
      <c r="G7" s="1484"/>
      <c r="H7" s="1484"/>
      <c r="I7" s="1484"/>
      <c r="J7" s="1484"/>
      <c r="K7" s="1484"/>
      <c r="L7" s="1484"/>
      <c r="M7" s="1484"/>
      <c r="N7" s="1484"/>
      <c r="O7" s="1484"/>
      <c r="P7" s="1484"/>
      <c r="Q7" s="1484"/>
      <c r="R7" s="1484"/>
      <c r="S7" s="1484"/>
      <c r="T7" s="1484"/>
      <c r="U7" s="1484"/>
      <c r="V7" s="314"/>
      <c r="W7" s="315"/>
    </row>
    <row r="8" spans="2:23" x14ac:dyDescent="0.55000000000000004">
      <c r="B8" s="313"/>
      <c r="C8" s="1485"/>
      <c r="D8" s="1486"/>
      <c r="E8" s="1486"/>
      <c r="F8" s="1486"/>
      <c r="G8" s="1486"/>
      <c r="H8" s="1486"/>
      <c r="I8" s="1486"/>
      <c r="J8" s="1486"/>
      <c r="K8" s="1486"/>
      <c r="L8" s="1486"/>
      <c r="M8" s="1486"/>
      <c r="N8" s="1486"/>
      <c r="O8" s="1486"/>
      <c r="P8" s="1486"/>
      <c r="Q8" s="1486"/>
      <c r="R8" s="1486"/>
      <c r="S8" s="1486"/>
      <c r="T8" s="1486"/>
      <c r="U8" s="1486"/>
      <c r="V8" s="316"/>
      <c r="W8" s="315"/>
    </row>
    <row r="9" spans="2:23" x14ac:dyDescent="0.55000000000000004">
      <c r="B9" s="313"/>
      <c r="C9" s="1485"/>
      <c r="D9" s="1486"/>
      <c r="E9" s="1486"/>
      <c r="F9" s="1486"/>
      <c r="G9" s="1486"/>
      <c r="H9" s="1486"/>
      <c r="I9" s="1486"/>
      <c r="J9" s="1486"/>
      <c r="K9" s="1486"/>
      <c r="L9" s="1486"/>
      <c r="M9" s="1486"/>
      <c r="N9" s="1486"/>
      <c r="O9" s="1486"/>
      <c r="P9" s="1486"/>
      <c r="Q9" s="1486"/>
      <c r="R9" s="1486"/>
      <c r="S9" s="1486"/>
      <c r="T9" s="1486"/>
      <c r="U9" s="1486"/>
      <c r="V9" s="316"/>
      <c r="W9" s="315"/>
    </row>
    <row r="10" spans="2:23" ht="14.7" thickBot="1" x14ac:dyDescent="0.6">
      <c r="B10" s="313"/>
      <c r="C10" s="1487"/>
      <c r="D10" s="1488"/>
      <c r="E10" s="1488"/>
      <c r="F10" s="1488"/>
      <c r="G10" s="1488"/>
      <c r="H10" s="1488"/>
      <c r="I10" s="1488"/>
      <c r="J10" s="1488"/>
      <c r="K10" s="1488"/>
      <c r="L10" s="1488"/>
      <c r="M10" s="1488"/>
      <c r="N10" s="1488"/>
      <c r="O10" s="1488"/>
      <c r="P10" s="1488"/>
      <c r="Q10" s="1488"/>
      <c r="R10" s="1488"/>
      <c r="S10" s="1488"/>
      <c r="T10" s="1488"/>
      <c r="U10" s="1488"/>
      <c r="V10" s="317"/>
      <c r="W10" s="315"/>
    </row>
    <row r="11" spans="2:23" ht="14.7" thickTop="1" x14ac:dyDescent="0.55000000000000004">
      <c r="B11" s="313"/>
      <c r="C11" s="308"/>
      <c r="D11" s="308"/>
      <c r="E11" s="308"/>
      <c r="F11" s="308"/>
      <c r="G11" s="308"/>
      <c r="H11" s="308"/>
      <c r="I11" s="308"/>
      <c r="J11" s="308"/>
      <c r="K11" s="308"/>
      <c r="L11" s="308"/>
      <c r="M11" s="308"/>
      <c r="N11" s="308"/>
      <c r="O11" s="308"/>
      <c r="P11" s="308"/>
      <c r="Q11" s="308"/>
      <c r="R11" s="308"/>
      <c r="S11" s="308"/>
      <c r="T11" s="308"/>
      <c r="U11" s="308"/>
      <c r="V11" s="308"/>
      <c r="W11" s="315"/>
    </row>
    <row r="12" spans="2:23" x14ac:dyDescent="0.55000000000000004">
      <c r="B12" s="313"/>
      <c r="C12" s="318" t="s">
        <v>61</v>
      </c>
      <c r="D12" s="308"/>
      <c r="E12" s="308"/>
      <c r="F12" s="308"/>
      <c r="G12" s="308"/>
      <c r="H12" s="308"/>
      <c r="I12" s="308"/>
      <c r="J12" s="308"/>
      <c r="K12" s="308"/>
      <c r="L12" s="308"/>
      <c r="M12" s="308"/>
      <c r="N12" s="308"/>
      <c r="O12" s="308"/>
      <c r="P12" s="308"/>
      <c r="Q12" s="308"/>
      <c r="R12" s="308"/>
      <c r="S12" s="308"/>
      <c r="T12" s="308"/>
      <c r="U12" s="308"/>
      <c r="V12" s="308"/>
      <c r="W12" s="315"/>
    </row>
    <row r="13" spans="2:23" x14ac:dyDescent="0.55000000000000004">
      <c r="B13" s="313"/>
      <c r="C13" s="308"/>
      <c r="D13" s="308"/>
      <c r="E13" s="308"/>
      <c r="F13" s="308"/>
      <c r="G13" s="308"/>
      <c r="H13" s="308"/>
      <c r="I13" s="308"/>
      <c r="J13" s="308"/>
      <c r="K13" s="308"/>
      <c r="L13" s="308"/>
      <c r="M13" s="308"/>
      <c r="N13" s="308"/>
      <c r="O13" s="308"/>
      <c r="P13" s="308"/>
      <c r="Q13" s="308"/>
      <c r="R13" s="308"/>
      <c r="S13" s="308"/>
      <c r="T13" s="308"/>
      <c r="U13" s="308"/>
      <c r="V13" s="308"/>
      <c r="W13" s="315"/>
    </row>
    <row r="14" spans="2:23" x14ac:dyDescent="0.55000000000000004">
      <c r="B14" s="313"/>
      <c r="C14" s="1478" t="s">
        <v>585</v>
      </c>
      <c r="D14" s="1478"/>
      <c r="E14" s="1478"/>
      <c r="F14" s="1478"/>
      <c r="G14" s="1478"/>
      <c r="H14" s="1478"/>
      <c r="I14" s="1478"/>
      <c r="J14" s="1478"/>
      <c r="K14" s="1478"/>
      <c r="L14" s="1478"/>
      <c r="M14" s="1478"/>
      <c r="N14" s="1478"/>
      <c r="O14" s="1478"/>
      <c r="P14" s="1478"/>
      <c r="Q14" s="1478"/>
      <c r="R14" s="1478"/>
      <c r="S14" s="1478"/>
      <c r="T14" s="1478"/>
      <c r="U14" s="1478"/>
      <c r="V14" s="1478"/>
      <c r="W14" s="315"/>
    </row>
    <row r="15" spans="2:23" x14ac:dyDescent="0.55000000000000004">
      <c r="B15" s="313"/>
      <c r="C15" s="1478"/>
      <c r="D15" s="1478"/>
      <c r="E15" s="1478"/>
      <c r="F15" s="1478"/>
      <c r="G15" s="1478"/>
      <c r="H15" s="1478"/>
      <c r="I15" s="1478"/>
      <c r="J15" s="1478"/>
      <c r="K15" s="1478"/>
      <c r="L15" s="1478"/>
      <c r="M15" s="1478"/>
      <c r="N15" s="1478"/>
      <c r="O15" s="1478"/>
      <c r="P15" s="1478"/>
      <c r="Q15" s="1478"/>
      <c r="R15" s="1478"/>
      <c r="S15" s="1478"/>
      <c r="T15" s="1478"/>
      <c r="U15" s="1478"/>
      <c r="V15" s="1478"/>
      <c r="W15" s="315"/>
    </row>
    <row r="16" spans="2:23" x14ac:dyDescent="0.55000000000000004">
      <c r="B16" s="313"/>
      <c r="C16" s="308"/>
      <c r="D16" s="308"/>
      <c r="E16" s="308"/>
      <c r="F16" s="308"/>
      <c r="G16" s="308"/>
      <c r="H16" s="308"/>
      <c r="I16" s="308"/>
      <c r="J16" s="308"/>
      <c r="K16" s="308"/>
      <c r="L16" s="308"/>
      <c r="M16" s="308"/>
      <c r="N16" s="308"/>
      <c r="O16" s="308"/>
      <c r="P16" s="308"/>
      <c r="Q16" s="308"/>
      <c r="R16" s="308"/>
      <c r="S16" s="308"/>
      <c r="T16" s="308"/>
      <c r="U16" s="308"/>
      <c r="V16" s="308"/>
      <c r="W16" s="315"/>
    </row>
    <row r="17" spans="2:23" x14ac:dyDescent="0.55000000000000004">
      <c r="B17" s="313"/>
      <c r="C17" s="1478" t="s">
        <v>586</v>
      </c>
      <c r="D17" s="1478"/>
      <c r="E17" s="1478"/>
      <c r="F17" s="1478"/>
      <c r="G17" s="1478"/>
      <c r="H17" s="1478"/>
      <c r="I17" s="1478"/>
      <c r="J17" s="1478"/>
      <c r="K17" s="1478"/>
      <c r="L17" s="1478"/>
      <c r="M17" s="1478"/>
      <c r="N17" s="1478"/>
      <c r="O17" s="1478"/>
      <c r="P17" s="1478"/>
      <c r="Q17" s="1478"/>
      <c r="R17" s="1478"/>
      <c r="S17" s="1478"/>
      <c r="T17" s="1478"/>
      <c r="U17" s="1478"/>
      <c r="V17" s="1478"/>
      <c r="W17" s="315"/>
    </row>
    <row r="18" spans="2:23" x14ac:dyDescent="0.55000000000000004">
      <c r="B18" s="313"/>
      <c r="C18" s="1478"/>
      <c r="D18" s="1478"/>
      <c r="E18" s="1478"/>
      <c r="F18" s="1478"/>
      <c r="G18" s="1478"/>
      <c r="H18" s="1478"/>
      <c r="I18" s="1478"/>
      <c r="J18" s="1478"/>
      <c r="K18" s="1478"/>
      <c r="L18" s="1478"/>
      <c r="M18" s="1478"/>
      <c r="N18" s="1478"/>
      <c r="O18" s="1478"/>
      <c r="P18" s="1478"/>
      <c r="Q18" s="1478"/>
      <c r="R18" s="1478"/>
      <c r="S18" s="1478"/>
      <c r="T18" s="1478"/>
      <c r="U18" s="1478"/>
      <c r="V18" s="1478"/>
      <c r="W18" s="315"/>
    </row>
    <row r="19" spans="2:23" x14ac:dyDescent="0.55000000000000004">
      <c r="B19" s="313"/>
      <c r="C19" s="319"/>
      <c r="D19" s="319"/>
      <c r="E19" s="319"/>
      <c r="F19" s="319"/>
      <c r="G19" s="319"/>
      <c r="H19" s="319"/>
      <c r="I19" s="319"/>
      <c r="J19" s="319"/>
      <c r="K19" s="319"/>
      <c r="L19" s="319"/>
      <c r="M19" s="319"/>
      <c r="N19" s="319"/>
      <c r="O19" s="319"/>
      <c r="P19" s="319"/>
      <c r="Q19" s="319"/>
      <c r="R19" s="319"/>
      <c r="S19" s="319"/>
      <c r="T19" s="319"/>
      <c r="U19" s="319"/>
      <c r="V19" s="319"/>
      <c r="W19" s="315"/>
    </row>
    <row r="20" spans="2:23" x14ac:dyDescent="0.55000000000000004">
      <c r="B20" s="313"/>
      <c r="C20" s="1478" t="s">
        <v>587</v>
      </c>
      <c r="D20" s="1478"/>
      <c r="E20" s="1478"/>
      <c r="F20" s="1478"/>
      <c r="G20" s="1478"/>
      <c r="H20" s="1478"/>
      <c r="I20" s="1478"/>
      <c r="J20" s="1478"/>
      <c r="K20" s="1478"/>
      <c r="L20" s="1478"/>
      <c r="M20" s="1478"/>
      <c r="N20" s="1478"/>
      <c r="O20" s="1478"/>
      <c r="P20" s="1478"/>
      <c r="Q20" s="1478"/>
      <c r="R20" s="1478"/>
      <c r="S20" s="1478"/>
      <c r="T20" s="1478"/>
      <c r="U20" s="1478"/>
      <c r="V20" s="1478"/>
      <c r="W20" s="315"/>
    </row>
    <row r="21" spans="2:23" x14ac:dyDescent="0.55000000000000004">
      <c r="B21" s="313"/>
      <c r="C21" s="1478"/>
      <c r="D21" s="1478"/>
      <c r="E21" s="1478"/>
      <c r="F21" s="1478"/>
      <c r="G21" s="1478"/>
      <c r="H21" s="1478"/>
      <c r="I21" s="1478"/>
      <c r="J21" s="1478"/>
      <c r="K21" s="1478"/>
      <c r="L21" s="1478"/>
      <c r="M21" s="1478"/>
      <c r="N21" s="1478"/>
      <c r="O21" s="1478"/>
      <c r="P21" s="1478"/>
      <c r="Q21" s="1478"/>
      <c r="R21" s="1478"/>
      <c r="S21" s="1478"/>
      <c r="T21" s="1478"/>
      <c r="U21" s="1478"/>
      <c r="V21" s="1478"/>
      <c r="W21" s="315"/>
    </row>
    <row r="22" spans="2:23" x14ac:dyDescent="0.55000000000000004">
      <c r="B22" s="313"/>
      <c r="C22" s="308"/>
      <c r="D22" s="308"/>
      <c r="E22" s="308"/>
      <c r="F22" s="308"/>
      <c r="G22" s="308"/>
      <c r="H22" s="308"/>
      <c r="I22" s="308"/>
      <c r="J22" s="308"/>
      <c r="K22" s="308"/>
      <c r="L22" s="308"/>
      <c r="M22" s="308"/>
      <c r="N22" s="308"/>
      <c r="O22" s="308"/>
      <c r="P22" s="308"/>
      <c r="Q22" s="308"/>
      <c r="R22" s="308"/>
      <c r="S22" s="308"/>
      <c r="T22" s="308"/>
      <c r="U22" s="308"/>
      <c r="V22" s="308"/>
      <c r="W22" s="315"/>
    </row>
    <row r="23" spans="2:23" x14ac:dyDescent="0.55000000000000004">
      <c r="B23" s="313"/>
      <c r="C23" s="1478" t="s">
        <v>588</v>
      </c>
      <c r="D23" s="1478"/>
      <c r="E23" s="1478"/>
      <c r="F23" s="1478"/>
      <c r="G23" s="1478"/>
      <c r="H23" s="1478"/>
      <c r="I23" s="1478"/>
      <c r="J23" s="1478"/>
      <c r="K23" s="1478"/>
      <c r="L23" s="1478"/>
      <c r="M23" s="1478"/>
      <c r="N23" s="1478"/>
      <c r="O23" s="1478"/>
      <c r="P23" s="1478"/>
      <c r="Q23" s="1478"/>
      <c r="R23" s="1478"/>
      <c r="S23" s="1478"/>
      <c r="T23" s="1478"/>
      <c r="U23" s="1478"/>
      <c r="V23" s="1478"/>
      <c r="W23" s="315"/>
    </row>
    <row r="24" spans="2:23" x14ac:dyDescent="0.55000000000000004">
      <c r="B24" s="313"/>
      <c r="C24" s="1478"/>
      <c r="D24" s="1478"/>
      <c r="E24" s="1478"/>
      <c r="F24" s="1478"/>
      <c r="G24" s="1478"/>
      <c r="H24" s="1478"/>
      <c r="I24" s="1478"/>
      <c r="J24" s="1478"/>
      <c r="K24" s="1478"/>
      <c r="L24" s="1478"/>
      <c r="M24" s="1478"/>
      <c r="N24" s="1478"/>
      <c r="O24" s="1478"/>
      <c r="P24" s="1478"/>
      <c r="Q24" s="1478"/>
      <c r="R24" s="1478"/>
      <c r="S24" s="1478"/>
      <c r="T24" s="1478"/>
      <c r="U24" s="1478"/>
      <c r="V24" s="1478"/>
      <c r="W24" s="315"/>
    </row>
    <row r="25" spans="2:23" x14ac:dyDescent="0.55000000000000004">
      <c r="B25" s="313"/>
      <c r="C25" s="319"/>
      <c r="D25" s="319"/>
      <c r="E25" s="319"/>
      <c r="F25" s="319"/>
      <c r="G25" s="319"/>
      <c r="H25" s="319"/>
      <c r="I25" s="319"/>
      <c r="J25" s="319"/>
      <c r="K25" s="319"/>
      <c r="L25" s="319"/>
      <c r="M25" s="319"/>
      <c r="N25" s="319"/>
      <c r="O25" s="319"/>
      <c r="P25" s="319"/>
      <c r="Q25" s="319"/>
      <c r="R25" s="319"/>
      <c r="S25" s="319"/>
      <c r="T25" s="319"/>
      <c r="U25" s="319"/>
      <c r="V25" s="319"/>
      <c r="W25" s="315"/>
    </row>
    <row r="26" spans="2:23" ht="14.55" customHeight="1" x14ac:dyDescent="0.55000000000000004">
      <c r="B26" s="313"/>
      <c r="C26" s="308" t="s">
        <v>589</v>
      </c>
      <c r="D26" s="308"/>
      <c r="E26" s="308"/>
      <c r="F26" s="308"/>
      <c r="G26" s="308"/>
      <c r="H26" s="308"/>
      <c r="I26" s="308"/>
      <c r="J26" s="308"/>
      <c r="K26" s="308"/>
      <c r="L26" s="308"/>
      <c r="M26" s="308"/>
      <c r="N26" s="308"/>
      <c r="O26" s="308"/>
      <c r="P26" s="308"/>
      <c r="Q26" s="308"/>
      <c r="R26" s="308"/>
      <c r="S26" s="308"/>
      <c r="T26" s="308"/>
      <c r="U26" s="308"/>
      <c r="V26" s="308"/>
      <c r="W26" s="315"/>
    </row>
    <row r="27" spans="2:23" ht="14.55" customHeight="1" x14ac:dyDescent="0.55000000000000004">
      <c r="B27" s="313"/>
      <c r="C27" s="308"/>
      <c r="D27" s="308"/>
      <c r="E27" s="308"/>
      <c r="F27" s="308"/>
      <c r="G27" s="308"/>
      <c r="H27" s="308"/>
      <c r="I27" s="308"/>
      <c r="J27" s="308"/>
      <c r="K27" s="308"/>
      <c r="L27" s="308"/>
      <c r="M27" s="308"/>
      <c r="N27" s="308"/>
      <c r="O27" s="308"/>
      <c r="P27" s="308"/>
      <c r="Q27" s="308"/>
      <c r="R27" s="308"/>
      <c r="S27" s="308"/>
      <c r="T27" s="308"/>
      <c r="U27" s="308"/>
      <c r="V27" s="308"/>
      <c r="W27" s="315"/>
    </row>
    <row r="28" spans="2:23" ht="14.55" customHeight="1" x14ac:dyDescent="0.55000000000000004">
      <c r="B28" s="313"/>
      <c r="C28" s="318" t="s">
        <v>605</v>
      </c>
      <c r="D28" s="308"/>
      <c r="E28" s="308"/>
      <c r="F28" s="308"/>
      <c r="G28" s="308"/>
      <c r="H28" s="308"/>
      <c r="I28" s="308"/>
      <c r="J28" s="308"/>
      <c r="K28" s="308"/>
      <c r="L28" s="308"/>
      <c r="M28" s="308"/>
      <c r="N28" s="308"/>
      <c r="O28" s="308"/>
      <c r="P28" s="308"/>
      <c r="Q28" s="308"/>
      <c r="R28" s="308"/>
      <c r="S28" s="308"/>
      <c r="T28" s="308"/>
      <c r="U28" s="308"/>
      <c r="V28" s="308"/>
      <c r="W28" s="315"/>
    </row>
    <row r="29" spans="2:23" ht="14.55" customHeight="1" x14ac:dyDescent="0.55000000000000004">
      <c r="B29" s="313"/>
      <c r="C29" s="308"/>
      <c r="D29" s="308"/>
      <c r="E29" s="308"/>
      <c r="F29" s="308"/>
      <c r="G29" s="308"/>
      <c r="H29" s="308"/>
      <c r="I29" s="308"/>
      <c r="J29" s="308"/>
      <c r="K29" s="308"/>
      <c r="L29" s="308"/>
      <c r="M29" s="308"/>
      <c r="N29" s="308"/>
      <c r="O29" s="308"/>
      <c r="P29" s="308"/>
      <c r="Q29" s="308"/>
      <c r="R29" s="308"/>
      <c r="S29" s="308"/>
      <c r="T29" s="308"/>
      <c r="U29" s="308"/>
      <c r="V29" s="308"/>
      <c r="W29" s="315"/>
    </row>
    <row r="30" spans="2:23" ht="14.55" customHeight="1" x14ac:dyDescent="0.55000000000000004">
      <c r="B30" s="313"/>
      <c r="C30" s="308" t="s">
        <v>606</v>
      </c>
      <c r="D30" s="320" t="s">
        <v>607</v>
      </c>
      <c r="E30" s="308"/>
      <c r="F30" s="308"/>
      <c r="G30" s="308"/>
      <c r="H30" s="308"/>
      <c r="I30" s="308"/>
      <c r="J30" s="308"/>
      <c r="K30" s="308"/>
      <c r="L30" s="308"/>
      <c r="M30" s="308"/>
      <c r="N30" s="308"/>
      <c r="O30" s="308"/>
      <c r="P30" s="308"/>
      <c r="Q30" s="308"/>
      <c r="R30" s="308"/>
      <c r="S30" s="308"/>
      <c r="T30" s="308"/>
      <c r="U30" s="308"/>
      <c r="V30" s="308"/>
      <c r="W30" s="315"/>
    </row>
    <row r="31" spans="2:23" ht="20.55" customHeight="1" x14ac:dyDescent="0.55000000000000004">
      <c r="B31" s="313"/>
      <c r="C31" s="321"/>
      <c r="D31" s="322" t="s">
        <v>608</v>
      </c>
      <c r="E31" s="308"/>
      <c r="F31" s="308"/>
      <c r="G31" s="308"/>
      <c r="H31" s="308"/>
      <c r="I31" s="308"/>
      <c r="J31" s="308"/>
      <c r="K31" s="308"/>
      <c r="L31" s="308"/>
      <c r="M31" s="308"/>
      <c r="N31" s="308"/>
      <c r="O31" s="308"/>
      <c r="P31" s="308"/>
      <c r="Q31" s="308"/>
      <c r="R31" s="308"/>
      <c r="S31" s="308"/>
      <c r="T31" s="308"/>
      <c r="U31" s="308"/>
      <c r="V31" s="308"/>
      <c r="W31" s="315"/>
    </row>
    <row r="32" spans="2:23" ht="14.55" customHeight="1" x14ac:dyDescent="0.55000000000000004">
      <c r="B32" s="313"/>
      <c r="C32" s="323"/>
      <c r="D32" s="1479" t="s">
        <v>609</v>
      </c>
      <c r="E32" s="1478"/>
      <c r="F32" s="1478"/>
      <c r="G32" s="1478"/>
      <c r="H32" s="1478"/>
      <c r="I32" s="1478"/>
      <c r="J32" s="1478"/>
      <c r="K32" s="1478"/>
      <c r="L32" s="1478"/>
      <c r="M32" s="1478"/>
      <c r="N32" s="1478"/>
      <c r="O32" s="1478"/>
      <c r="P32" s="1478"/>
      <c r="Q32" s="1478"/>
      <c r="R32" s="1478"/>
      <c r="S32" s="1478"/>
      <c r="T32" s="1478"/>
      <c r="U32" s="1478"/>
      <c r="V32" s="1478"/>
      <c r="W32" s="315"/>
    </row>
    <row r="33" spans="2:23" ht="14.55" customHeight="1" x14ac:dyDescent="0.55000000000000004">
      <c r="B33" s="313"/>
      <c r="C33" s="323"/>
      <c r="D33" s="1479"/>
      <c r="E33" s="1478"/>
      <c r="F33" s="1478"/>
      <c r="G33" s="1478"/>
      <c r="H33" s="1478"/>
      <c r="I33" s="1478"/>
      <c r="J33" s="1478"/>
      <c r="K33" s="1478"/>
      <c r="L33" s="1478"/>
      <c r="M33" s="1478"/>
      <c r="N33" s="1478"/>
      <c r="O33" s="1478"/>
      <c r="P33" s="1478"/>
      <c r="Q33" s="1478"/>
      <c r="R33" s="1478"/>
      <c r="S33" s="1478"/>
      <c r="T33" s="1478"/>
      <c r="U33" s="1478"/>
      <c r="V33" s="1478"/>
      <c r="W33" s="315"/>
    </row>
    <row r="34" spans="2:23" ht="14.55" customHeight="1" x14ac:dyDescent="0.55000000000000004">
      <c r="B34" s="313"/>
      <c r="C34" s="324"/>
      <c r="D34" s="308" t="s">
        <v>610</v>
      </c>
      <c r="E34" s="308"/>
      <c r="F34" s="308"/>
      <c r="G34" s="308"/>
      <c r="H34" s="308"/>
      <c r="I34" s="308"/>
      <c r="J34" s="308"/>
      <c r="K34" s="308"/>
      <c r="L34" s="308"/>
      <c r="M34" s="308"/>
      <c r="N34" s="308"/>
      <c r="O34" s="308"/>
      <c r="P34" s="308"/>
      <c r="Q34" s="308"/>
      <c r="R34" s="308"/>
      <c r="S34" s="308"/>
      <c r="T34" s="308"/>
      <c r="U34" s="308"/>
      <c r="V34" s="308"/>
      <c r="W34" s="315"/>
    </row>
    <row r="35" spans="2:23" ht="14.55" customHeight="1" x14ac:dyDescent="0.55000000000000004">
      <c r="B35" s="313"/>
      <c r="C35" s="325"/>
      <c r="D35" s="308" t="s">
        <v>611</v>
      </c>
      <c r="E35" s="308"/>
      <c r="F35" s="308"/>
      <c r="G35" s="308"/>
      <c r="H35" s="308"/>
      <c r="I35" s="308"/>
      <c r="J35" s="308"/>
      <c r="K35" s="308"/>
      <c r="L35" s="308"/>
      <c r="M35" s="308"/>
      <c r="N35" s="308"/>
      <c r="O35" s="308"/>
      <c r="P35" s="308"/>
      <c r="Q35" s="308"/>
      <c r="R35" s="308"/>
      <c r="S35" s="308"/>
      <c r="T35" s="308"/>
      <c r="U35" s="308"/>
      <c r="V35" s="308"/>
      <c r="W35" s="315"/>
    </row>
    <row r="36" spans="2:23" ht="14.55" customHeight="1" x14ac:dyDescent="0.55000000000000004">
      <c r="B36" s="313"/>
      <c r="C36" s="308"/>
      <c r="D36" s="308"/>
      <c r="E36" s="308"/>
      <c r="F36" s="308"/>
      <c r="G36" s="308"/>
      <c r="H36" s="308"/>
      <c r="I36" s="308"/>
      <c r="J36" s="308"/>
      <c r="K36" s="308"/>
      <c r="L36" s="308"/>
      <c r="M36" s="308"/>
      <c r="N36" s="308"/>
      <c r="O36" s="308"/>
      <c r="P36" s="308"/>
      <c r="Q36" s="308"/>
      <c r="R36" s="308"/>
      <c r="S36" s="308"/>
      <c r="T36" s="308"/>
      <c r="U36" s="308"/>
      <c r="V36" s="308"/>
      <c r="W36" s="315"/>
    </row>
    <row r="37" spans="2:23" x14ac:dyDescent="0.55000000000000004">
      <c r="B37" s="313"/>
      <c r="C37" s="1478" t="s">
        <v>591</v>
      </c>
      <c r="D37" s="1478"/>
      <c r="E37" s="1478"/>
      <c r="F37" s="1478"/>
      <c r="G37" s="1478"/>
      <c r="H37" s="1478"/>
      <c r="I37" s="1478"/>
      <c r="J37" s="1478"/>
      <c r="K37" s="1478"/>
      <c r="L37" s="1478"/>
      <c r="M37" s="1478"/>
      <c r="N37" s="1478"/>
      <c r="O37" s="1478"/>
      <c r="P37" s="1478"/>
      <c r="Q37" s="1478"/>
      <c r="R37" s="1478"/>
      <c r="S37" s="1478"/>
      <c r="T37" s="1478"/>
      <c r="U37" s="1478"/>
      <c r="V37" s="1478"/>
      <c r="W37" s="315"/>
    </row>
    <row r="38" spans="2:23" x14ac:dyDescent="0.55000000000000004">
      <c r="B38" s="313"/>
      <c r="C38" s="1478"/>
      <c r="D38" s="1478"/>
      <c r="E38" s="1478"/>
      <c r="F38" s="1478"/>
      <c r="G38" s="1478"/>
      <c r="H38" s="1478"/>
      <c r="I38" s="1478"/>
      <c r="J38" s="1478"/>
      <c r="K38" s="1478"/>
      <c r="L38" s="1478"/>
      <c r="M38" s="1478"/>
      <c r="N38" s="1478"/>
      <c r="O38" s="1478"/>
      <c r="P38" s="1478"/>
      <c r="Q38" s="1478"/>
      <c r="R38" s="1478"/>
      <c r="S38" s="1478"/>
      <c r="T38" s="1478"/>
      <c r="U38" s="1478"/>
      <c r="V38" s="1478"/>
      <c r="W38" s="315"/>
    </row>
    <row r="39" spans="2:23" x14ac:dyDescent="0.55000000000000004">
      <c r="B39" s="313"/>
      <c r="C39" s="319"/>
      <c r="D39" s="319"/>
      <c r="E39" s="319"/>
      <c r="F39" s="319"/>
      <c r="G39" s="319"/>
      <c r="H39" s="319"/>
      <c r="I39" s="319"/>
      <c r="J39" s="319"/>
      <c r="K39" s="319"/>
      <c r="L39" s="319"/>
      <c r="M39" s="319"/>
      <c r="N39" s="319"/>
      <c r="O39" s="319"/>
      <c r="P39" s="319"/>
      <c r="Q39" s="319"/>
      <c r="R39" s="319"/>
      <c r="S39" s="319"/>
      <c r="T39" s="319"/>
      <c r="U39" s="319"/>
      <c r="V39" s="319"/>
      <c r="W39" s="315"/>
    </row>
    <row r="40" spans="2:23" x14ac:dyDescent="0.55000000000000004">
      <c r="B40" s="313"/>
      <c r="C40" s="308" t="s">
        <v>590</v>
      </c>
      <c r="D40" s="308"/>
      <c r="E40" s="308"/>
      <c r="F40" s="308"/>
      <c r="G40" s="308"/>
      <c r="H40" s="308"/>
      <c r="I40" s="308"/>
      <c r="J40" s="308"/>
      <c r="K40" s="308"/>
      <c r="L40" s="308"/>
      <c r="M40" s="308"/>
      <c r="N40" s="308"/>
      <c r="O40" s="308"/>
      <c r="P40" s="308"/>
      <c r="Q40" s="308"/>
      <c r="R40" s="308"/>
      <c r="S40" s="308"/>
      <c r="T40" s="308"/>
      <c r="U40" s="308"/>
      <c r="V40" s="308"/>
      <c r="W40" s="315"/>
    </row>
    <row r="41" spans="2:23" x14ac:dyDescent="0.55000000000000004">
      <c r="B41" s="313"/>
      <c r="C41" s="308"/>
      <c r="D41" s="308"/>
      <c r="E41" s="308"/>
      <c r="F41" s="308"/>
      <c r="G41" s="308"/>
      <c r="H41" s="308"/>
      <c r="I41" s="308"/>
      <c r="J41" s="308"/>
      <c r="K41" s="308"/>
      <c r="L41" s="308"/>
      <c r="M41" s="308"/>
      <c r="N41" s="308"/>
      <c r="O41" s="308"/>
      <c r="P41" s="308"/>
      <c r="Q41" s="308"/>
      <c r="R41" s="308"/>
      <c r="S41" s="308"/>
      <c r="T41" s="308"/>
      <c r="U41" s="308"/>
      <c r="V41" s="308"/>
      <c r="W41" s="315"/>
    </row>
    <row r="42" spans="2:23" x14ac:dyDescent="0.55000000000000004">
      <c r="B42" s="313"/>
      <c r="C42" s="318" t="s">
        <v>59</v>
      </c>
      <c r="D42" s="308"/>
      <c r="E42" s="308"/>
      <c r="F42" s="308"/>
      <c r="G42" s="308"/>
      <c r="H42" s="308"/>
      <c r="I42" s="308"/>
      <c r="J42" s="308"/>
      <c r="K42" s="308"/>
      <c r="L42" s="308"/>
      <c r="M42" s="308"/>
      <c r="N42" s="308"/>
      <c r="O42" s="308"/>
      <c r="P42" s="308"/>
      <c r="Q42" s="308"/>
      <c r="R42" s="308"/>
      <c r="S42" s="308"/>
      <c r="T42" s="308"/>
      <c r="U42" s="308"/>
      <c r="V42" s="308"/>
      <c r="W42" s="315"/>
    </row>
    <row r="43" spans="2:23" x14ac:dyDescent="0.55000000000000004">
      <c r="B43" s="313"/>
      <c r="C43" s="308"/>
      <c r="D43" s="308"/>
      <c r="E43" s="308"/>
      <c r="F43" s="308"/>
      <c r="G43" s="308"/>
      <c r="H43" s="308"/>
      <c r="I43" s="308"/>
      <c r="J43" s="308"/>
      <c r="K43" s="308"/>
      <c r="L43" s="308"/>
      <c r="M43" s="308"/>
      <c r="N43" s="308"/>
      <c r="O43" s="308"/>
      <c r="P43" s="308"/>
      <c r="Q43" s="308"/>
      <c r="R43" s="308"/>
      <c r="S43" s="308"/>
      <c r="T43" s="308"/>
      <c r="U43" s="308"/>
      <c r="V43" s="308"/>
      <c r="W43" s="315"/>
    </row>
    <row r="44" spans="2:23" x14ac:dyDescent="0.55000000000000004">
      <c r="B44" s="313"/>
      <c r="C44" s="1482" t="s">
        <v>66</v>
      </c>
      <c r="D44" t="s">
        <v>162</v>
      </c>
      <c r="E44" s="308"/>
      <c r="F44" s="308" t="s">
        <v>469</v>
      </c>
      <c r="G44" s="308"/>
      <c r="H44" s="308"/>
      <c r="I44" s="308"/>
      <c r="J44" s="308"/>
      <c r="K44" s="308"/>
      <c r="L44" s="308"/>
      <c r="M44" s="308"/>
      <c r="N44" s="308"/>
      <c r="O44" s="308"/>
      <c r="P44" s="308"/>
      <c r="Q44" s="308"/>
      <c r="R44" s="308"/>
      <c r="S44" s="308"/>
      <c r="T44" s="308"/>
      <c r="U44" s="308"/>
      <c r="V44" s="308"/>
      <c r="W44" s="315"/>
    </row>
    <row r="45" spans="2:23" x14ac:dyDescent="0.55000000000000004">
      <c r="B45" s="313"/>
      <c r="C45" s="1482"/>
      <c r="D45" t="s">
        <v>22</v>
      </c>
      <c r="E45" s="308"/>
      <c r="F45" s="308" t="s">
        <v>470</v>
      </c>
      <c r="G45" s="308"/>
      <c r="H45" s="308"/>
      <c r="I45" s="308"/>
      <c r="J45" s="308"/>
      <c r="K45" s="308"/>
      <c r="L45" s="308"/>
      <c r="M45" s="308"/>
      <c r="N45" s="308"/>
      <c r="O45" s="308"/>
      <c r="P45" s="308"/>
      <c r="Q45" s="308"/>
      <c r="R45" s="308"/>
      <c r="S45" s="308"/>
      <c r="T45" s="308"/>
      <c r="U45" s="308"/>
      <c r="V45" s="308"/>
      <c r="W45" s="315"/>
    </row>
    <row r="46" spans="2:23" x14ac:dyDescent="0.55000000000000004">
      <c r="B46" s="313"/>
      <c r="C46" s="1482"/>
      <c r="D46" t="s">
        <v>471</v>
      </c>
      <c r="E46" s="308"/>
      <c r="F46" s="308" t="s">
        <v>472</v>
      </c>
      <c r="G46" s="308"/>
      <c r="H46" s="308"/>
      <c r="I46" s="308"/>
      <c r="J46" s="308"/>
      <c r="K46" s="308"/>
      <c r="L46" s="308"/>
      <c r="M46" s="308"/>
      <c r="N46" s="308"/>
      <c r="O46" s="308"/>
      <c r="P46" s="308"/>
      <c r="Q46" s="308"/>
      <c r="R46" s="308"/>
      <c r="S46" s="308"/>
      <c r="T46" s="308"/>
      <c r="U46" s="308"/>
      <c r="V46" s="308"/>
      <c r="W46" s="315"/>
    </row>
    <row r="47" spans="2:23" x14ac:dyDescent="0.55000000000000004">
      <c r="B47" s="313"/>
      <c r="C47" s="1482"/>
      <c r="D47" s="326" t="s">
        <v>473</v>
      </c>
      <c r="E47" s="308"/>
      <c r="F47" s="308" t="s">
        <v>474</v>
      </c>
      <c r="G47" s="308"/>
      <c r="H47" s="308"/>
      <c r="I47" s="308"/>
      <c r="J47" s="308"/>
      <c r="K47" s="308"/>
      <c r="L47" s="308"/>
      <c r="M47" s="308"/>
      <c r="N47" s="308"/>
      <c r="O47" s="308"/>
      <c r="P47" s="308"/>
      <c r="Q47" s="308"/>
      <c r="R47" s="308"/>
      <c r="S47" s="308"/>
      <c r="T47" s="308"/>
      <c r="U47" s="308"/>
      <c r="V47" s="308"/>
      <c r="W47" s="315"/>
    </row>
    <row r="48" spans="2:23" x14ac:dyDescent="0.55000000000000004">
      <c r="B48" s="313"/>
      <c r="C48" s="1482"/>
      <c r="D48" t="s">
        <v>592</v>
      </c>
      <c r="E48" s="308"/>
      <c r="F48" s="308" t="s">
        <v>453</v>
      </c>
      <c r="G48" s="308"/>
      <c r="H48" s="308"/>
      <c r="I48" s="308"/>
      <c r="J48" s="308"/>
      <c r="K48" s="308"/>
      <c r="L48" s="308"/>
      <c r="M48" s="308"/>
      <c r="N48" s="308"/>
      <c r="O48" s="308"/>
      <c r="P48" s="308"/>
      <c r="Q48" s="308"/>
      <c r="R48" s="308"/>
      <c r="S48" s="308"/>
      <c r="T48" s="308"/>
      <c r="U48" s="308"/>
      <c r="V48" s="308"/>
      <c r="W48" s="315"/>
    </row>
    <row r="49" spans="2:23" x14ac:dyDescent="0.55000000000000004">
      <c r="B49" s="313"/>
      <c r="C49" s="1482"/>
      <c r="D49" t="s">
        <v>593</v>
      </c>
      <c r="E49" s="308"/>
      <c r="F49" s="308" t="s">
        <v>62</v>
      </c>
      <c r="G49" s="308"/>
      <c r="H49" s="308"/>
      <c r="I49" s="308"/>
      <c r="J49" s="308"/>
      <c r="K49" s="308"/>
      <c r="L49" s="308"/>
      <c r="M49" s="308"/>
      <c r="N49" s="308"/>
      <c r="O49" s="308"/>
      <c r="P49" s="308"/>
      <c r="Q49" s="308"/>
      <c r="R49" s="308"/>
      <c r="S49" s="308"/>
      <c r="T49" s="308"/>
      <c r="U49" s="308"/>
      <c r="V49" s="308"/>
      <c r="W49" s="315"/>
    </row>
    <row r="50" spans="2:23" x14ac:dyDescent="0.55000000000000004">
      <c r="B50" s="313"/>
      <c r="C50" s="1482"/>
      <c r="D50" t="s">
        <v>594</v>
      </c>
      <c r="E50" s="308"/>
      <c r="F50" s="308" t="s">
        <v>454</v>
      </c>
      <c r="G50" s="308"/>
      <c r="H50" s="308"/>
      <c r="I50" s="308"/>
      <c r="J50" s="308"/>
      <c r="K50" s="308"/>
      <c r="L50" s="308"/>
      <c r="M50" s="308"/>
      <c r="N50" s="308"/>
      <c r="O50" s="308"/>
      <c r="P50" s="308"/>
      <c r="Q50" s="308"/>
      <c r="R50" s="308"/>
      <c r="S50" s="308"/>
      <c r="T50" s="308"/>
      <c r="U50" s="308"/>
      <c r="V50" s="308"/>
      <c r="W50" s="315"/>
    </row>
    <row r="51" spans="2:23" x14ac:dyDescent="0.55000000000000004">
      <c r="B51" s="313"/>
      <c r="C51" s="1482"/>
      <c r="D51" t="s">
        <v>595</v>
      </c>
      <c r="E51" s="308"/>
      <c r="F51" s="308" t="s">
        <v>455</v>
      </c>
      <c r="G51" s="308"/>
      <c r="H51" s="308"/>
      <c r="I51" s="308"/>
      <c r="J51" s="308"/>
      <c r="K51" s="308"/>
      <c r="L51" s="308"/>
      <c r="M51" s="308"/>
      <c r="N51" s="308"/>
      <c r="O51" s="308"/>
      <c r="P51" s="308"/>
      <c r="Q51" s="308"/>
      <c r="R51" s="308"/>
      <c r="S51" s="308"/>
      <c r="T51" s="308"/>
      <c r="U51" s="308"/>
      <c r="V51" s="308"/>
      <c r="W51" s="315"/>
    </row>
    <row r="52" spans="2:23" x14ac:dyDescent="0.55000000000000004">
      <c r="B52" s="313"/>
      <c r="C52" s="1482"/>
      <c r="D52" t="s">
        <v>596</v>
      </c>
      <c r="E52" s="308"/>
      <c r="F52" s="308" t="s">
        <v>63</v>
      </c>
      <c r="G52" s="308"/>
      <c r="H52" s="308"/>
      <c r="I52" s="308"/>
      <c r="J52" s="308"/>
      <c r="K52" s="308"/>
      <c r="L52" s="308"/>
      <c r="M52" s="308"/>
      <c r="N52" s="308"/>
      <c r="O52" s="308"/>
      <c r="P52" s="308"/>
      <c r="Q52" s="308"/>
      <c r="R52" s="308"/>
      <c r="S52" s="308"/>
      <c r="T52" s="308"/>
      <c r="U52" s="308"/>
      <c r="V52" s="308"/>
      <c r="W52" s="315"/>
    </row>
    <row r="53" spans="2:23" x14ac:dyDescent="0.55000000000000004">
      <c r="B53" s="313"/>
      <c r="C53" s="1482" t="s">
        <v>67</v>
      </c>
      <c r="D53" t="s">
        <v>597</v>
      </c>
      <c r="E53" s="308"/>
      <c r="F53" s="308" t="s">
        <v>64</v>
      </c>
      <c r="G53" s="308"/>
      <c r="H53" s="308"/>
      <c r="I53" s="308"/>
      <c r="J53" s="308"/>
      <c r="K53" s="308"/>
      <c r="L53" s="308"/>
      <c r="M53" s="308"/>
      <c r="N53" s="308"/>
      <c r="O53" s="308"/>
      <c r="P53" s="308"/>
      <c r="Q53" s="308"/>
      <c r="R53" s="308"/>
      <c r="S53" s="308"/>
      <c r="T53" s="308"/>
      <c r="U53" s="308"/>
      <c r="V53" s="308"/>
      <c r="W53" s="315"/>
    </row>
    <row r="54" spans="2:23" x14ac:dyDescent="0.55000000000000004">
      <c r="B54" s="313"/>
      <c r="C54" s="1482"/>
      <c r="D54" t="s">
        <v>598</v>
      </c>
      <c r="E54" s="308"/>
      <c r="F54" s="308" t="s">
        <v>456</v>
      </c>
      <c r="G54" s="308"/>
      <c r="H54" s="308"/>
      <c r="I54" s="308"/>
      <c r="J54" s="308"/>
      <c r="K54" s="308"/>
      <c r="L54" s="308"/>
      <c r="M54" s="308"/>
      <c r="N54" s="308"/>
      <c r="O54" s="308"/>
      <c r="P54" s="308"/>
      <c r="Q54" s="308"/>
      <c r="R54" s="308"/>
      <c r="S54" s="308"/>
      <c r="T54" s="308"/>
      <c r="U54" s="308"/>
      <c r="V54" s="308"/>
      <c r="W54" s="315"/>
    </row>
    <row r="55" spans="2:23" x14ac:dyDescent="0.55000000000000004">
      <c r="B55" s="313"/>
      <c r="C55" s="1482"/>
      <c r="D55" t="s">
        <v>599</v>
      </c>
      <c r="E55" s="308"/>
      <c r="F55" s="308" t="s">
        <v>457</v>
      </c>
      <c r="G55" s="308"/>
      <c r="H55" s="308"/>
      <c r="I55" s="308"/>
      <c r="J55" s="308"/>
      <c r="K55" s="308"/>
      <c r="L55" s="308"/>
      <c r="M55" s="308"/>
      <c r="N55" s="308"/>
      <c r="O55" s="308"/>
      <c r="P55" s="308"/>
      <c r="Q55" s="308"/>
      <c r="R55" s="308"/>
      <c r="S55" s="308"/>
      <c r="T55" s="308"/>
      <c r="U55" s="308"/>
      <c r="V55" s="308"/>
      <c r="W55" s="315"/>
    </row>
    <row r="56" spans="2:23" x14ac:dyDescent="0.55000000000000004">
      <c r="B56" s="313"/>
      <c r="C56" s="1482"/>
      <c r="D56" t="s">
        <v>600</v>
      </c>
      <c r="E56" s="308"/>
      <c r="F56" s="308" t="s">
        <v>65</v>
      </c>
      <c r="G56" s="308"/>
      <c r="H56" s="308"/>
      <c r="I56" s="308"/>
      <c r="J56" s="308"/>
      <c r="K56" s="308"/>
      <c r="L56" s="308"/>
      <c r="M56" s="308"/>
      <c r="N56" s="308"/>
      <c r="O56" s="308"/>
      <c r="P56" s="308"/>
      <c r="Q56" s="308"/>
      <c r="R56" s="308"/>
      <c r="S56" s="308"/>
      <c r="T56" s="308"/>
      <c r="U56" s="308"/>
      <c r="V56" s="308"/>
      <c r="W56" s="315"/>
    </row>
    <row r="57" spans="2:23" x14ac:dyDescent="0.55000000000000004">
      <c r="B57" s="313"/>
      <c r="C57" s="1482" t="s">
        <v>68</v>
      </c>
      <c r="D57" s="308" t="s">
        <v>601</v>
      </c>
      <c r="E57" s="308"/>
      <c r="F57" s="308" t="s">
        <v>156</v>
      </c>
      <c r="G57" s="308"/>
      <c r="H57" s="308"/>
      <c r="I57" s="308"/>
      <c r="J57" s="308"/>
      <c r="K57" s="308"/>
      <c r="L57" s="308"/>
      <c r="M57" s="308"/>
      <c r="N57" s="308"/>
      <c r="O57" s="308"/>
      <c r="P57" s="308"/>
      <c r="Q57" s="308"/>
      <c r="R57" s="308"/>
      <c r="S57" s="308"/>
      <c r="T57" s="308"/>
      <c r="U57" s="308"/>
      <c r="V57" s="308"/>
      <c r="W57" s="315"/>
    </row>
    <row r="58" spans="2:23" x14ac:dyDescent="0.55000000000000004">
      <c r="B58" s="313"/>
      <c r="C58" s="1482"/>
      <c r="D58" s="308" t="s">
        <v>602</v>
      </c>
      <c r="E58" s="308"/>
      <c r="F58" s="308" t="s">
        <v>157</v>
      </c>
      <c r="G58" s="308"/>
      <c r="H58" s="308"/>
      <c r="I58" s="308"/>
      <c r="J58" s="308"/>
      <c r="K58" s="308"/>
      <c r="L58" s="308"/>
      <c r="M58" s="308"/>
      <c r="N58" s="308"/>
      <c r="O58" s="308"/>
      <c r="P58" s="308"/>
      <c r="Q58" s="308"/>
      <c r="R58" s="308"/>
      <c r="S58" s="308"/>
      <c r="T58" s="308"/>
      <c r="U58" s="308"/>
      <c r="V58" s="308"/>
      <c r="W58" s="315"/>
    </row>
    <row r="59" spans="2:23" x14ac:dyDescent="0.55000000000000004">
      <c r="B59" s="313"/>
      <c r="C59" s="1482"/>
      <c r="D59" s="308" t="s">
        <v>603</v>
      </c>
      <c r="E59" s="308"/>
      <c r="F59" s="308" t="s">
        <v>158</v>
      </c>
      <c r="G59" s="308"/>
      <c r="H59" s="308"/>
      <c r="I59" s="308"/>
      <c r="J59" s="308"/>
      <c r="K59" s="308"/>
      <c r="L59" s="308"/>
      <c r="M59" s="308"/>
      <c r="N59" s="308"/>
      <c r="O59" s="308"/>
      <c r="P59" s="308"/>
      <c r="Q59" s="308"/>
      <c r="R59" s="308"/>
      <c r="S59" s="308"/>
      <c r="T59" s="308"/>
      <c r="U59" s="308"/>
      <c r="V59" s="308"/>
      <c r="W59" s="315"/>
    </row>
    <row r="60" spans="2:23" x14ac:dyDescent="0.55000000000000004">
      <c r="B60" s="313"/>
      <c r="C60" s="1482"/>
      <c r="D60" s="308" t="s">
        <v>604</v>
      </c>
      <c r="E60" s="308"/>
      <c r="F60" s="308" t="s">
        <v>159</v>
      </c>
      <c r="G60" s="308"/>
      <c r="H60" s="308"/>
      <c r="I60" s="308"/>
      <c r="J60" s="308"/>
      <c r="K60" s="308"/>
      <c r="L60" s="308"/>
      <c r="M60" s="308"/>
      <c r="N60" s="308"/>
      <c r="O60" s="308"/>
      <c r="P60" s="308"/>
      <c r="Q60" s="308"/>
      <c r="R60" s="308"/>
      <c r="S60" s="308"/>
      <c r="T60" s="308"/>
      <c r="U60" s="308"/>
      <c r="V60" s="308"/>
      <c r="W60" s="315"/>
    </row>
    <row r="61" spans="2:23" x14ac:dyDescent="0.55000000000000004">
      <c r="B61" s="313"/>
      <c r="C61" s="308"/>
      <c r="D61" s="308"/>
      <c r="E61" s="308"/>
      <c r="F61" s="308"/>
      <c r="G61" s="308"/>
      <c r="H61" s="308"/>
      <c r="I61" s="308"/>
      <c r="J61" s="308"/>
      <c r="K61" s="308"/>
      <c r="L61" s="308"/>
      <c r="M61" s="308"/>
      <c r="N61" s="308"/>
      <c r="O61" s="308"/>
      <c r="P61" s="308"/>
      <c r="Q61" s="308"/>
      <c r="R61" s="308"/>
      <c r="S61" s="308"/>
      <c r="T61" s="308"/>
      <c r="U61" s="308"/>
      <c r="V61" s="308"/>
      <c r="W61" s="315"/>
    </row>
    <row r="62" spans="2:23" x14ac:dyDescent="0.55000000000000004">
      <c r="B62" s="313"/>
      <c r="C62" s="1480" t="s">
        <v>463</v>
      </c>
      <c r="D62" s="308" t="s">
        <v>459</v>
      </c>
      <c r="E62" s="308"/>
      <c r="F62" s="308" t="s">
        <v>464</v>
      </c>
      <c r="G62" s="308"/>
      <c r="H62" s="308"/>
      <c r="I62" s="308"/>
      <c r="J62" s="308"/>
      <c r="K62" s="308"/>
      <c r="L62" s="308"/>
      <c r="M62" s="308"/>
      <c r="N62" s="308"/>
      <c r="O62" s="308"/>
      <c r="P62" s="308"/>
      <c r="Q62" s="308"/>
      <c r="R62" s="308"/>
      <c r="S62" s="308"/>
      <c r="T62" s="308"/>
      <c r="U62" s="308"/>
      <c r="V62" s="308"/>
      <c r="W62" s="315"/>
    </row>
    <row r="63" spans="2:23" x14ac:dyDescent="0.55000000000000004">
      <c r="B63" s="313"/>
      <c r="C63" s="1480"/>
      <c r="D63" s="308" t="s">
        <v>462</v>
      </c>
      <c r="E63" s="308"/>
      <c r="F63" s="308" t="s">
        <v>465</v>
      </c>
      <c r="G63" s="308"/>
      <c r="H63" s="308"/>
      <c r="I63" s="308"/>
      <c r="J63" s="308"/>
      <c r="K63" s="308"/>
      <c r="L63" s="308"/>
      <c r="M63" s="308"/>
      <c r="N63" s="308"/>
      <c r="O63" s="308"/>
      <c r="P63" s="308"/>
      <c r="Q63" s="308"/>
      <c r="R63" s="308"/>
      <c r="S63" s="308"/>
      <c r="T63" s="308"/>
      <c r="U63" s="308"/>
      <c r="V63" s="308"/>
      <c r="W63" s="315"/>
    </row>
    <row r="64" spans="2:23" x14ac:dyDescent="0.55000000000000004">
      <c r="B64" s="313"/>
      <c r="C64" s="1480"/>
      <c r="D64" s="308" t="s">
        <v>460</v>
      </c>
      <c r="E64" s="308"/>
      <c r="F64" s="308" t="s">
        <v>466</v>
      </c>
      <c r="G64" s="308"/>
      <c r="H64" s="308"/>
      <c r="I64" s="308"/>
      <c r="J64" s="308"/>
      <c r="K64" s="308"/>
      <c r="L64" s="308"/>
      <c r="M64" s="308"/>
      <c r="N64" s="308"/>
      <c r="O64" s="308"/>
      <c r="P64" s="308"/>
      <c r="Q64" s="308"/>
      <c r="R64" s="308"/>
      <c r="S64" s="308"/>
      <c r="T64" s="308"/>
      <c r="U64" s="308"/>
      <c r="V64" s="308"/>
      <c r="W64" s="315"/>
    </row>
    <row r="65" spans="2:23" x14ac:dyDescent="0.55000000000000004">
      <c r="B65" s="313"/>
      <c r="C65" s="1480"/>
      <c r="D65" s="308" t="s">
        <v>461</v>
      </c>
      <c r="E65" s="308"/>
      <c r="F65" s="308" t="s">
        <v>467</v>
      </c>
      <c r="G65" s="308"/>
      <c r="H65" s="308"/>
      <c r="I65" s="308"/>
      <c r="J65" s="308"/>
      <c r="K65" s="308"/>
      <c r="L65" s="308"/>
      <c r="M65" s="308"/>
      <c r="N65" s="308"/>
      <c r="O65" s="308"/>
      <c r="P65" s="308"/>
      <c r="Q65" s="308"/>
      <c r="R65" s="308"/>
      <c r="S65" s="308"/>
      <c r="T65" s="308"/>
      <c r="U65" s="308"/>
      <c r="V65" s="308"/>
      <c r="W65" s="315"/>
    </row>
    <row r="66" spans="2:23" x14ac:dyDescent="0.55000000000000004">
      <c r="B66" s="313"/>
      <c r="C66" s="327"/>
      <c r="D66" s="328"/>
      <c r="E66" s="308"/>
      <c r="F66" s="308"/>
      <c r="G66" s="308"/>
      <c r="H66" s="308"/>
      <c r="I66" s="308"/>
      <c r="J66" s="308"/>
      <c r="K66" s="308"/>
      <c r="L66" s="308"/>
      <c r="M66" s="308"/>
      <c r="N66" s="308"/>
      <c r="O66" s="308"/>
      <c r="P66" s="308"/>
      <c r="Q66" s="308"/>
      <c r="R66" s="308"/>
      <c r="S66" s="308"/>
      <c r="T66" s="308"/>
      <c r="U66" s="308"/>
      <c r="V66" s="308"/>
      <c r="W66" s="315"/>
    </row>
    <row r="67" spans="2:23" x14ac:dyDescent="0.55000000000000004">
      <c r="B67" s="313"/>
      <c r="C67" s="308" t="s">
        <v>458</v>
      </c>
      <c r="D67" s="308"/>
      <c r="E67" s="308"/>
      <c r="F67" s="308" t="s">
        <v>468</v>
      </c>
      <c r="G67" s="308"/>
      <c r="H67" s="308"/>
      <c r="I67" s="308"/>
      <c r="J67" s="308"/>
      <c r="K67" s="308"/>
      <c r="L67" s="308"/>
      <c r="M67" s="308"/>
      <c r="N67" s="308"/>
      <c r="O67" s="308"/>
      <c r="P67" s="308"/>
      <c r="Q67" s="308"/>
      <c r="R67" s="308"/>
      <c r="S67" s="308"/>
      <c r="T67" s="308"/>
      <c r="U67" s="308"/>
      <c r="V67" s="308"/>
      <c r="W67" s="315"/>
    </row>
    <row r="68" spans="2:23" ht="14.7" thickBot="1" x14ac:dyDescent="0.6">
      <c r="B68" s="329"/>
      <c r="C68" s="116"/>
      <c r="D68" s="116"/>
      <c r="E68" s="116"/>
      <c r="F68" s="116"/>
      <c r="G68" s="116"/>
      <c r="H68" s="116"/>
      <c r="I68" s="116"/>
      <c r="J68" s="116"/>
      <c r="K68" s="116"/>
      <c r="L68" s="116"/>
      <c r="M68" s="116"/>
      <c r="N68" s="116"/>
      <c r="O68" s="116"/>
      <c r="P68" s="116"/>
      <c r="Q68" s="116"/>
      <c r="R68" s="116"/>
      <c r="S68" s="116"/>
      <c r="T68" s="116"/>
      <c r="U68" s="116"/>
      <c r="V68" s="116"/>
      <c r="W68" s="330"/>
    </row>
  </sheetData>
  <mergeCells count="12">
    <mergeCell ref="C37:V38"/>
    <mergeCell ref="D32:V33"/>
    <mergeCell ref="C62:C65"/>
    <mergeCell ref="G1:I2"/>
    <mergeCell ref="C53:C56"/>
    <mergeCell ref="C57:C60"/>
    <mergeCell ref="C7:U10"/>
    <mergeCell ref="C44:C52"/>
    <mergeCell ref="C14:V15"/>
    <mergeCell ref="C17:V18"/>
    <mergeCell ref="C20:V21"/>
    <mergeCell ref="C23:V24"/>
  </mergeCells>
  <pageMargins left="0.7" right="0.7" top="0.75" bottom="0.75" header="0.3" footer="0.3"/>
  <pageSetup paperSize="9" orientation="portrait" r:id="rId1"/>
  <drawing r:id="rId2"/>
  <legacyDrawing r:id="rId3"/>
  <controls>
    <mc:AlternateContent xmlns:mc="http://schemas.openxmlformats.org/markup-compatibility/2006">
      <mc:Choice Requires="x14">
        <control shapeId="2049" r:id="rId4" name="cbUser">
          <controlPr defaultSize="0" autoLine="0" r:id="rId5">
            <anchor moveWithCells="1">
              <from>
                <xdr:col>6</xdr:col>
                <xdr:colOff>91440</xdr:colOff>
                <xdr:row>2</xdr:row>
                <xdr:rowOff>22860</xdr:rowOff>
              </from>
              <to>
                <xdr:col>9</xdr:col>
                <xdr:colOff>11430</xdr:colOff>
                <xdr:row>3</xdr:row>
                <xdr:rowOff>45720</xdr:rowOff>
              </to>
            </anchor>
          </controlPr>
        </control>
      </mc:Choice>
      <mc:Fallback>
        <control shapeId="2049" r:id="rId4" name="cbUser"/>
      </mc:Fallback>
    </mc:AlternateContent>
  </control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317EF73-A181-404D-8753-A3E73A4AED7E}">
  <sheetPr codeName="Sheet44">
    <tabColor theme="2" tint="-0.249977111117893"/>
  </sheetPr>
  <dimension ref="B2:AB83"/>
  <sheetViews>
    <sheetView zoomScale="80" zoomScaleNormal="80" workbookViewId="0">
      <selection activeCell="AE13" sqref="AE13"/>
    </sheetView>
  </sheetViews>
  <sheetFormatPr defaultColWidth="9.20703125" defaultRowHeight="14.1" x14ac:dyDescent="0.5"/>
  <cols>
    <col min="1" max="1" width="3.7890625" style="359" customWidth="1"/>
    <col min="2" max="2" width="2.5234375" style="359" customWidth="1"/>
    <col min="3" max="3" width="4.5234375" style="359" customWidth="1"/>
    <col min="4" max="4" width="10.5234375" style="359" customWidth="1"/>
    <col min="5" max="5" width="4.20703125" style="359" customWidth="1"/>
    <col min="6" max="7" width="9.20703125" style="359"/>
    <col min="8" max="8" width="4.7890625" style="359" customWidth="1"/>
    <col min="9" max="9" width="6.5234375" style="359" customWidth="1"/>
    <col min="10" max="10" width="8" style="359" customWidth="1"/>
    <col min="11" max="11" width="5.20703125" style="359" customWidth="1"/>
    <col min="12" max="12" width="3.41796875" style="359" customWidth="1"/>
    <col min="13" max="13" width="9.20703125" style="359"/>
    <col min="14" max="14" width="0.5234375" style="359" customWidth="1"/>
    <col min="15" max="15" width="11.7890625" style="359" customWidth="1"/>
    <col min="16" max="16" width="9.20703125" style="359"/>
    <col min="17" max="17" width="16.7890625" style="359" customWidth="1"/>
    <col min="18" max="18" width="2.20703125" style="359" customWidth="1"/>
    <col min="19" max="19" width="3.20703125" style="359" customWidth="1"/>
    <col min="20" max="21" width="8.7890625" style="359" customWidth="1"/>
    <col min="22" max="22" width="26.41796875" style="359" customWidth="1"/>
    <col min="23" max="23" width="5.20703125" style="359" customWidth="1"/>
    <col min="24" max="24" width="12.5234375" style="359" customWidth="1"/>
    <col min="25" max="25" width="9.20703125" style="359"/>
    <col min="26" max="26" width="5.7890625" style="359" customWidth="1"/>
    <col min="27" max="27" width="4.7890625" style="359" customWidth="1"/>
    <col min="28" max="16384" width="9.20703125" style="359"/>
  </cols>
  <sheetData>
    <row r="2" spans="2:27" x14ac:dyDescent="0.5">
      <c r="B2" s="1208"/>
      <c r="C2" s="1209"/>
      <c r="D2" s="1209"/>
      <c r="E2" s="1209"/>
      <c r="F2" s="1209"/>
      <c r="G2" s="1209"/>
      <c r="H2" s="1209"/>
      <c r="I2" s="1209"/>
      <c r="J2" s="1209"/>
      <c r="K2" s="1209"/>
      <c r="L2" s="1209"/>
      <c r="M2" s="1209"/>
      <c r="N2" s="1209"/>
      <c r="O2" s="1209"/>
      <c r="P2" s="1209"/>
      <c r="Q2" s="1209"/>
      <c r="R2" s="1209"/>
      <c r="S2" s="1209"/>
      <c r="T2" s="1209"/>
      <c r="U2" s="1209"/>
      <c r="V2" s="1209"/>
      <c r="W2" s="1209"/>
      <c r="X2" s="1209"/>
      <c r="Y2" s="1209"/>
      <c r="Z2" s="1209"/>
      <c r="AA2" s="1210"/>
    </row>
    <row r="3" spans="2:27" ht="25.95" customHeight="1" x14ac:dyDescent="0.7">
      <c r="B3" s="1211"/>
      <c r="C3" s="1603" t="s">
        <v>1469</v>
      </c>
      <c r="D3" s="1604"/>
      <c r="E3" s="1604"/>
      <c r="F3" s="1604"/>
      <c r="G3" s="1604"/>
      <c r="H3" s="1604"/>
      <c r="I3" s="1604"/>
      <c r="J3" s="1604"/>
      <c r="K3" s="1604"/>
      <c r="L3" s="1604"/>
      <c r="M3" s="1604"/>
      <c r="N3" s="1604"/>
      <c r="O3" s="1604"/>
      <c r="P3" s="1604"/>
      <c r="Q3" s="1604"/>
      <c r="R3" s="1604"/>
      <c r="S3" s="1604"/>
      <c r="T3" s="1604"/>
      <c r="U3" s="1604"/>
      <c r="V3" s="1604"/>
      <c r="W3" s="1604"/>
      <c r="X3" s="1604"/>
      <c r="Y3" s="1604"/>
      <c r="Z3" s="1605"/>
      <c r="AA3" s="1212"/>
    </row>
    <row r="4" spans="2:27" ht="15.6" customHeight="1" x14ac:dyDescent="0.5">
      <c r="B4" s="1211"/>
      <c r="C4" s="1200"/>
      <c r="D4" s="1050"/>
      <c r="E4" s="1050"/>
      <c r="F4" s="1050"/>
      <c r="G4" s="1050"/>
      <c r="H4" s="1050"/>
      <c r="I4" s="1050"/>
      <c r="J4" s="1050"/>
      <c r="K4" s="1050"/>
      <c r="L4" s="1050"/>
      <c r="M4" s="1050"/>
      <c r="N4" s="1050"/>
      <c r="O4" s="1050"/>
      <c r="P4" s="1050"/>
      <c r="Q4" s="1050"/>
      <c r="R4" s="1050"/>
      <c r="S4" s="1050"/>
      <c r="T4" s="1050"/>
      <c r="U4" s="1050"/>
      <c r="V4" s="1050"/>
      <c r="W4" s="1050"/>
      <c r="X4" s="1050"/>
      <c r="Y4" s="1050"/>
      <c r="Z4" s="1199"/>
      <c r="AA4" s="1212"/>
    </row>
    <row r="5" spans="2:27" x14ac:dyDescent="0.5">
      <c r="B5" s="1211"/>
      <c r="C5" s="1200"/>
      <c r="D5" s="1050"/>
      <c r="E5" s="1050"/>
      <c r="F5" s="1050"/>
      <c r="G5" s="1050"/>
      <c r="H5" s="1050"/>
      <c r="I5" s="1050"/>
      <c r="J5" s="1050"/>
      <c r="K5" s="1050"/>
      <c r="L5" s="1050"/>
      <c r="M5" s="1050"/>
      <c r="N5" s="1050"/>
      <c r="O5" s="1050"/>
      <c r="P5" s="1050"/>
      <c r="Q5" s="1050"/>
      <c r="R5" s="1050"/>
      <c r="S5" s="1050"/>
      <c r="T5" s="1050"/>
      <c r="U5" s="1050"/>
      <c r="V5" s="1050"/>
      <c r="W5" s="1050"/>
      <c r="X5" s="1050"/>
      <c r="Y5" s="1050"/>
      <c r="Z5" s="1199"/>
      <c r="AA5" s="1212"/>
    </row>
    <row r="6" spans="2:27" x14ac:dyDescent="0.5">
      <c r="B6" s="1211"/>
      <c r="C6" s="1200"/>
      <c r="D6" s="1050"/>
      <c r="E6" s="1050"/>
      <c r="F6" s="1050"/>
      <c r="G6" s="1050"/>
      <c r="H6" s="1050"/>
      <c r="I6" s="1050"/>
      <c r="J6" s="1050"/>
      <c r="K6" s="1050"/>
      <c r="L6" s="1050"/>
      <c r="M6" s="1050"/>
      <c r="N6" s="1050"/>
      <c r="O6" s="1050"/>
      <c r="P6" s="1050"/>
      <c r="Q6" s="1050"/>
      <c r="R6" s="1050"/>
      <c r="S6" s="1050"/>
      <c r="T6" s="1050"/>
      <c r="U6" s="1050"/>
      <c r="V6" s="1050"/>
      <c r="W6" s="1050"/>
      <c r="X6" s="1050"/>
      <c r="Y6" s="1050"/>
      <c r="Z6" s="1199"/>
      <c r="AA6" s="1212"/>
    </row>
    <row r="7" spans="2:27" x14ac:dyDescent="0.5">
      <c r="B7" s="1211"/>
      <c r="C7" s="1200"/>
      <c r="D7" s="1050"/>
      <c r="E7" s="1050"/>
      <c r="F7" s="1050"/>
      <c r="G7" s="1050"/>
      <c r="H7" s="1050"/>
      <c r="I7" s="1050"/>
      <c r="J7" s="1050"/>
      <c r="K7" s="1050"/>
      <c r="L7" s="1050"/>
      <c r="M7" s="1050"/>
      <c r="N7" s="1050"/>
      <c r="O7" s="1050"/>
      <c r="P7" s="1050"/>
      <c r="Q7" s="1050"/>
      <c r="R7" s="1050"/>
      <c r="S7" s="1050"/>
      <c r="T7" s="1050"/>
      <c r="U7" s="1050"/>
      <c r="V7" s="1050"/>
      <c r="W7" s="1050"/>
      <c r="X7" s="1050"/>
      <c r="Y7" s="1050"/>
      <c r="Z7" s="1199"/>
      <c r="AA7" s="1212"/>
    </row>
    <row r="8" spans="2:27" x14ac:dyDescent="0.5">
      <c r="B8" s="1211"/>
      <c r="C8" s="1200"/>
      <c r="D8" s="1050"/>
      <c r="E8" s="1050"/>
      <c r="F8" s="1050"/>
      <c r="G8" s="1050"/>
      <c r="H8" s="1050"/>
      <c r="I8" s="1050"/>
      <c r="J8" s="1050"/>
      <c r="K8" s="1050"/>
      <c r="L8" s="1050"/>
      <c r="M8" s="1050"/>
      <c r="N8" s="1050"/>
      <c r="O8" s="1050"/>
      <c r="P8" s="1050"/>
      <c r="Q8" s="1050"/>
      <c r="R8" s="1050"/>
      <c r="S8" s="1050"/>
      <c r="T8" s="1050"/>
      <c r="U8" s="1050"/>
      <c r="V8" s="1050"/>
      <c r="W8" s="1050"/>
      <c r="X8" s="1050"/>
      <c r="Y8" s="1050"/>
      <c r="Z8" s="1199"/>
      <c r="AA8" s="1212"/>
    </row>
    <row r="9" spans="2:27" x14ac:dyDescent="0.5">
      <c r="B9" s="1211"/>
      <c r="C9" s="1200"/>
      <c r="D9" s="1050"/>
      <c r="E9" s="1050"/>
      <c r="F9" s="1050"/>
      <c r="G9" s="1050"/>
      <c r="H9" s="1050"/>
      <c r="I9" s="1050"/>
      <c r="J9" s="1050"/>
      <c r="K9" s="1050"/>
      <c r="L9" s="1050"/>
      <c r="M9" s="1050"/>
      <c r="N9" s="1050"/>
      <c r="O9" s="1050"/>
      <c r="P9" s="1050"/>
      <c r="Q9" s="1050"/>
      <c r="R9" s="1050"/>
      <c r="S9" s="1050"/>
      <c r="T9" s="1050"/>
      <c r="U9" s="1050"/>
      <c r="V9" s="1050"/>
      <c r="W9" s="1050"/>
      <c r="X9" s="1050"/>
      <c r="Y9" s="1050"/>
      <c r="Z9" s="1199"/>
      <c r="AA9" s="1212"/>
    </row>
    <row r="10" spans="2:27" x14ac:dyDescent="0.5">
      <c r="B10" s="1211"/>
      <c r="C10" s="1200"/>
      <c r="D10" s="1050"/>
      <c r="E10" s="1050"/>
      <c r="F10" s="1050"/>
      <c r="G10" s="1050"/>
      <c r="H10" s="1050"/>
      <c r="I10" s="1050"/>
      <c r="J10" s="1050"/>
      <c r="K10" s="1050"/>
      <c r="L10" s="1050"/>
      <c r="M10" s="1050"/>
      <c r="N10" s="1050"/>
      <c r="O10" s="1050"/>
      <c r="P10" s="1050"/>
      <c r="Q10" s="1050"/>
      <c r="R10" s="1050"/>
      <c r="S10" s="1050"/>
      <c r="T10" s="1050"/>
      <c r="U10" s="1050"/>
      <c r="V10" s="1050"/>
      <c r="W10" s="1050"/>
      <c r="X10" s="1050"/>
      <c r="Y10" s="1050"/>
      <c r="Z10" s="1199"/>
      <c r="AA10" s="1212"/>
    </row>
    <row r="11" spans="2:27" x14ac:dyDescent="0.5">
      <c r="B11" s="1211"/>
      <c r="C11" s="1200"/>
      <c r="D11" s="1050"/>
      <c r="E11" s="1050"/>
      <c r="F11" s="1050"/>
      <c r="G11" s="1050"/>
      <c r="H11" s="1050"/>
      <c r="I11" s="1050"/>
      <c r="J11" s="1050"/>
      <c r="K11" s="1050"/>
      <c r="L11" s="1050"/>
      <c r="M11" s="1050"/>
      <c r="N11" s="1050"/>
      <c r="O11" s="1050"/>
      <c r="P11" s="1050"/>
      <c r="Q11" s="1050"/>
      <c r="R11" s="1050"/>
      <c r="S11" s="1050"/>
      <c r="T11" s="1050"/>
      <c r="U11" s="1050"/>
      <c r="V11" s="1050"/>
      <c r="W11" s="1050"/>
      <c r="X11" s="1050"/>
      <c r="Y11" s="1050"/>
      <c r="Z11" s="1199"/>
      <c r="AA11" s="1212"/>
    </row>
    <row r="12" spans="2:27" x14ac:dyDescent="0.5">
      <c r="B12" s="1211"/>
      <c r="C12" s="1200"/>
      <c r="D12" s="1050"/>
      <c r="E12" s="1050"/>
      <c r="F12" s="1050"/>
      <c r="G12" s="1050"/>
      <c r="H12" s="1050"/>
      <c r="I12" s="1050"/>
      <c r="J12" s="1050"/>
      <c r="K12" s="1050"/>
      <c r="L12" s="1050"/>
      <c r="M12" s="1050"/>
      <c r="N12" s="1050"/>
      <c r="O12" s="1050"/>
      <c r="P12" s="1050"/>
      <c r="Q12" s="1050"/>
      <c r="R12" s="1050"/>
      <c r="S12" s="1050"/>
      <c r="T12" s="1050"/>
      <c r="U12" s="1050"/>
      <c r="V12" s="1050"/>
      <c r="W12" s="1050"/>
      <c r="X12" s="1050"/>
      <c r="Y12" s="1050"/>
      <c r="Z12" s="1199"/>
      <c r="AA12" s="1212"/>
    </row>
    <row r="13" spans="2:27" x14ac:dyDescent="0.5">
      <c r="B13" s="1211"/>
      <c r="C13" s="1200"/>
      <c r="D13" s="1050"/>
      <c r="E13" s="1050"/>
      <c r="F13" s="1050"/>
      <c r="G13" s="1050"/>
      <c r="H13" s="1050"/>
      <c r="I13" s="1050"/>
      <c r="J13" s="1050"/>
      <c r="K13" s="1050"/>
      <c r="L13" s="1050"/>
      <c r="M13" s="1050"/>
      <c r="N13" s="1050"/>
      <c r="O13" s="1050"/>
      <c r="P13" s="1050"/>
      <c r="Q13" s="1050"/>
      <c r="R13" s="1050"/>
      <c r="S13" s="1050"/>
      <c r="T13" s="1050"/>
      <c r="U13" s="1050"/>
      <c r="V13" s="1050"/>
      <c r="W13" s="1050"/>
      <c r="X13" s="1050"/>
      <c r="Y13" s="1050"/>
      <c r="Z13" s="1199"/>
      <c r="AA13" s="1212"/>
    </row>
    <row r="14" spans="2:27" x14ac:dyDescent="0.5">
      <c r="B14" s="1211"/>
      <c r="C14" s="1200"/>
      <c r="D14" s="1072"/>
      <c r="E14" s="1073"/>
      <c r="F14" s="1073"/>
      <c r="G14" s="1073"/>
      <c r="H14" s="1073"/>
      <c r="I14" s="1073"/>
      <c r="J14" s="1073"/>
      <c r="K14" s="1073"/>
      <c r="L14" s="1073"/>
      <c r="M14" s="1073"/>
      <c r="N14" s="1073"/>
      <c r="O14" s="1073"/>
      <c r="P14" s="1073"/>
      <c r="Q14" s="1073"/>
      <c r="R14" s="1073"/>
      <c r="S14" s="1073"/>
      <c r="T14" s="1073"/>
      <c r="U14" s="1073"/>
      <c r="V14" s="1073"/>
      <c r="W14" s="1073"/>
      <c r="X14" s="1073"/>
      <c r="Y14" s="1074"/>
      <c r="Z14" s="1199"/>
      <c r="AA14" s="1212"/>
    </row>
    <row r="15" spans="2:27" s="1206" customFormat="1" ht="27.75" customHeight="1" x14ac:dyDescent="0.55000000000000004">
      <c r="B15" s="1213"/>
      <c r="C15" s="1201"/>
      <c r="D15" s="1075"/>
      <c r="E15" s="1590" t="s">
        <v>1470</v>
      </c>
      <c r="F15" s="1591"/>
      <c r="G15" s="1591"/>
      <c r="H15" s="1591"/>
      <c r="I15" s="1592"/>
      <c r="J15" s="1050"/>
      <c r="K15" s="1050"/>
      <c r="L15" s="1050"/>
      <c r="M15" s="1609" t="s">
        <v>1461</v>
      </c>
      <c r="N15" s="1610"/>
      <c r="O15" s="1610"/>
      <c r="P15" s="1610"/>
      <c r="Q15" s="1611"/>
      <c r="R15" s="1050"/>
      <c r="S15" s="1050"/>
      <c r="T15" s="1606" t="s">
        <v>1458</v>
      </c>
      <c r="U15" s="1607"/>
      <c r="V15" s="1607"/>
      <c r="W15" s="1607"/>
      <c r="X15" s="1608"/>
      <c r="Y15" s="1076"/>
      <c r="Z15" s="1199"/>
      <c r="AA15" s="1214"/>
    </row>
    <row r="16" spans="2:27" s="1207" customFormat="1" ht="14.55" customHeight="1" x14ac:dyDescent="0.5">
      <c r="B16" s="1215"/>
      <c r="C16" s="1202"/>
      <c r="D16" s="1070"/>
      <c r="E16" s="1232">
        <v>1</v>
      </c>
      <c r="F16" s="1093" t="s">
        <v>1456</v>
      </c>
      <c r="G16" s="1093"/>
      <c r="H16" s="1093"/>
      <c r="I16" s="1233"/>
      <c r="J16" s="1069"/>
      <c r="K16" s="1050"/>
      <c r="L16" s="1050"/>
      <c r="M16" s="1612" t="s">
        <v>1462</v>
      </c>
      <c r="N16" s="1613"/>
      <c r="O16" s="1613"/>
      <c r="P16" s="1613"/>
      <c r="Q16" s="1614"/>
      <c r="R16" s="1050"/>
      <c r="S16" s="1050"/>
      <c r="T16" s="1599" t="s">
        <v>1490</v>
      </c>
      <c r="U16" s="1580"/>
      <c r="V16" s="1580"/>
      <c r="W16" s="1580"/>
      <c r="X16" s="1600"/>
      <c r="Y16" s="1071"/>
      <c r="Z16" s="1199"/>
      <c r="AA16" s="1216"/>
    </row>
    <row r="17" spans="2:28" s="1207" customFormat="1" ht="14.55" customHeight="1" x14ac:dyDescent="0.5">
      <c r="B17" s="1215"/>
      <c r="C17" s="1202"/>
      <c r="D17" s="1070"/>
      <c r="E17" s="1234">
        <v>2</v>
      </c>
      <c r="F17" s="1092" t="s">
        <v>1457</v>
      </c>
      <c r="G17" s="1092"/>
      <c r="H17" s="1092"/>
      <c r="I17" s="1235"/>
      <c r="J17" s="1069"/>
      <c r="K17" s="1050"/>
      <c r="L17" s="1050"/>
      <c r="M17" s="1576" t="s">
        <v>1463</v>
      </c>
      <c r="N17" s="1577"/>
      <c r="O17" s="1577"/>
      <c r="P17" s="1577"/>
      <c r="Q17" s="1578"/>
      <c r="R17" s="1050"/>
      <c r="S17" s="1050"/>
      <c r="T17" s="1601" t="s">
        <v>1467</v>
      </c>
      <c r="U17" s="1577"/>
      <c r="V17" s="1577"/>
      <c r="W17" s="1577"/>
      <c r="X17" s="1602"/>
      <c r="Y17" s="1071"/>
      <c r="Z17" s="1199"/>
      <c r="AA17" s="1216"/>
    </row>
    <row r="18" spans="2:28" s="1207" customFormat="1" ht="14.55" customHeight="1" x14ac:dyDescent="0.5">
      <c r="B18" s="1215"/>
      <c r="C18" s="1202"/>
      <c r="D18" s="1070"/>
      <c r="E18" s="1234">
        <v>3</v>
      </c>
      <c r="F18" s="1069" t="s">
        <v>1459</v>
      </c>
      <c r="G18" s="1069"/>
      <c r="H18" s="1069"/>
      <c r="I18" s="1216"/>
      <c r="J18" s="1069"/>
      <c r="K18" s="1050"/>
      <c r="L18" s="1050"/>
      <c r="M18" s="1579" t="s">
        <v>1464</v>
      </c>
      <c r="N18" s="1580"/>
      <c r="O18" s="1580"/>
      <c r="P18" s="1580"/>
      <c r="Q18" s="1581"/>
      <c r="R18" s="1050"/>
      <c r="S18" s="1050"/>
      <c r="T18" s="1599" t="s">
        <v>1468</v>
      </c>
      <c r="U18" s="1580"/>
      <c r="V18" s="1580"/>
      <c r="W18" s="1580"/>
      <c r="X18" s="1600"/>
      <c r="Y18" s="1071"/>
      <c r="Z18" s="1199"/>
      <c r="AA18" s="1216"/>
    </row>
    <row r="19" spans="2:28" s="1207" customFormat="1" ht="14.55" customHeight="1" x14ac:dyDescent="0.5">
      <c r="B19" s="1215"/>
      <c r="C19" s="1202"/>
      <c r="D19" s="1070"/>
      <c r="E19" s="1236">
        <v>4</v>
      </c>
      <c r="F19" s="1237" t="s">
        <v>1460</v>
      </c>
      <c r="G19" s="1237"/>
      <c r="H19" s="1237"/>
      <c r="I19" s="1238"/>
      <c r="J19" s="1069"/>
      <c r="K19" s="1050"/>
      <c r="L19" s="1050"/>
      <c r="M19" s="1582" t="s">
        <v>1465</v>
      </c>
      <c r="N19" s="1583"/>
      <c r="O19" s="1583"/>
      <c r="P19" s="1583"/>
      <c r="Q19" s="1584"/>
      <c r="R19" s="1050"/>
      <c r="S19" s="1050"/>
      <c r="T19" s="1587" t="s">
        <v>1466</v>
      </c>
      <c r="U19" s="1588"/>
      <c r="V19" s="1588"/>
      <c r="W19" s="1588"/>
      <c r="X19" s="1589"/>
      <c r="Y19" s="1071"/>
      <c r="Z19" s="1199"/>
      <c r="AA19" s="1216"/>
    </row>
    <row r="20" spans="2:28" x14ac:dyDescent="0.5">
      <c r="B20" s="1211"/>
      <c r="C20" s="1200"/>
      <c r="D20" s="1077"/>
      <c r="E20" s="1078"/>
      <c r="F20" s="1078"/>
      <c r="G20" s="1078"/>
      <c r="H20" s="1078"/>
      <c r="I20" s="1078"/>
      <c r="J20" s="1078"/>
      <c r="K20" s="1078"/>
      <c r="L20" s="1078"/>
      <c r="M20" s="1078"/>
      <c r="N20" s="1078"/>
      <c r="O20" s="1078"/>
      <c r="P20" s="1078"/>
      <c r="Q20" s="1078"/>
      <c r="R20" s="1078"/>
      <c r="S20" s="1078"/>
      <c r="T20" s="1078"/>
      <c r="U20" s="1078"/>
      <c r="V20" s="1078"/>
      <c r="W20" s="1078"/>
      <c r="X20" s="1078"/>
      <c r="Y20" s="1079"/>
      <c r="Z20" s="1199"/>
      <c r="AA20" s="1212"/>
    </row>
    <row r="21" spans="2:28" x14ac:dyDescent="0.5">
      <c r="B21" s="1211"/>
      <c r="C21" s="1203"/>
      <c r="D21" s="1204"/>
      <c r="E21" s="1204"/>
      <c r="F21" s="1204"/>
      <c r="G21" s="1204"/>
      <c r="H21" s="1204"/>
      <c r="I21" s="1204"/>
      <c r="J21" s="1204"/>
      <c r="K21" s="1204"/>
      <c r="L21" s="1204"/>
      <c r="M21" s="1204"/>
      <c r="N21" s="1204"/>
      <c r="O21" s="1204"/>
      <c r="P21" s="1204"/>
      <c r="Q21" s="1204"/>
      <c r="R21" s="1204"/>
      <c r="S21" s="1204"/>
      <c r="T21" s="1204"/>
      <c r="U21" s="1204"/>
      <c r="V21" s="1204"/>
      <c r="W21" s="1204"/>
      <c r="X21" s="1204"/>
      <c r="Y21" s="1204"/>
      <c r="Z21" s="1205"/>
      <c r="AA21" s="1212"/>
    </row>
    <row r="22" spans="2:28" x14ac:dyDescent="0.5">
      <c r="B22" s="1217"/>
      <c r="C22" s="1218"/>
      <c r="D22" s="1218"/>
      <c r="E22" s="1218"/>
      <c r="F22" s="1218"/>
      <c r="G22" s="1218"/>
      <c r="H22" s="1218"/>
      <c r="I22" s="1218"/>
      <c r="J22" s="1218"/>
      <c r="K22" s="1218"/>
      <c r="L22" s="1218"/>
      <c r="M22" s="1218"/>
      <c r="N22" s="1218"/>
      <c r="O22" s="1218"/>
      <c r="P22" s="1218"/>
      <c r="Q22" s="1218"/>
      <c r="R22" s="1218"/>
      <c r="S22" s="1218"/>
      <c r="T22" s="1218"/>
      <c r="U22" s="1218"/>
      <c r="V22" s="1218"/>
      <c r="W22" s="1218"/>
      <c r="X22" s="1218"/>
      <c r="Y22" s="1218"/>
      <c r="Z22" s="1218"/>
      <c r="AA22" s="1219"/>
    </row>
    <row r="23" spans="2:28" ht="9" customHeight="1" x14ac:dyDescent="0.5"/>
    <row r="24" spans="2:28" ht="9" customHeight="1" x14ac:dyDescent="0.5"/>
    <row r="25" spans="2:28" ht="52.95" customHeight="1" x14ac:dyDescent="0.5">
      <c r="E25" s="1567" t="s">
        <v>1551</v>
      </c>
      <c r="F25" s="1567"/>
      <c r="G25" s="1567"/>
      <c r="H25" s="1567"/>
      <c r="I25" s="1567"/>
      <c r="J25" s="1567"/>
      <c r="K25" s="1567"/>
      <c r="L25" s="1567"/>
      <c r="M25" s="1567"/>
      <c r="N25" s="1567"/>
      <c r="O25" s="1567"/>
      <c r="P25" s="1567"/>
      <c r="Q25" s="1567"/>
      <c r="R25" s="1567"/>
      <c r="S25" s="1567"/>
      <c r="T25" s="1567"/>
      <c r="U25" s="1567"/>
      <c r="V25" s="1567"/>
      <c r="W25" s="1567"/>
      <c r="X25" s="1567"/>
      <c r="Y25" s="1567"/>
    </row>
    <row r="26" spans="2:28" ht="55.95" customHeight="1" x14ac:dyDescent="0.5"/>
    <row r="27" spans="2:28" ht="55.95" customHeight="1" x14ac:dyDescent="0.5"/>
    <row r="28" spans="2:28" ht="136.94999999999999" customHeight="1" x14ac:dyDescent="0.5"/>
    <row r="29" spans="2:28" ht="18.600000000000001" x14ac:dyDescent="0.6">
      <c r="B29" s="1566" t="s">
        <v>1533</v>
      </c>
      <c r="C29" s="1566"/>
      <c r="D29" s="1566"/>
      <c r="E29" s="1566"/>
      <c r="F29" s="1566"/>
      <c r="G29" s="1566"/>
      <c r="H29" s="1566"/>
      <c r="I29" s="1566"/>
      <c r="J29" s="1566"/>
      <c r="K29" s="1566"/>
      <c r="L29" s="1566"/>
      <c r="M29" s="1566"/>
      <c r="N29" s="1566"/>
      <c r="O29" s="1566"/>
      <c r="P29" s="1566"/>
      <c r="Q29" s="1566"/>
      <c r="R29" s="1566"/>
      <c r="S29" s="1566"/>
      <c r="T29" s="1566"/>
      <c r="U29" s="1566"/>
      <c r="V29" s="1566"/>
      <c r="W29" s="1566"/>
      <c r="X29" s="1566"/>
      <c r="Y29" s="1566"/>
      <c r="Z29" s="1566"/>
      <c r="AA29" s="1566"/>
    </row>
    <row r="30" spans="2:28" x14ac:dyDescent="0.5">
      <c r="S30" s="1094"/>
      <c r="T30" s="1094"/>
      <c r="U30" s="1094"/>
    </row>
    <row r="31" spans="2:28" ht="15" x14ac:dyDescent="0.5">
      <c r="B31" s="342"/>
      <c r="C31" s="342"/>
      <c r="D31" s="342"/>
      <c r="E31" s="342"/>
      <c r="F31" s="342"/>
      <c r="G31" s="342"/>
      <c r="H31" s="342"/>
      <c r="I31" s="342"/>
      <c r="J31" s="342"/>
      <c r="K31" s="342"/>
      <c r="L31" s="342"/>
      <c r="M31" s="342"/>
      <c r="N31" s="342"/>
      <c r="O31" s="342"/>
      <c r="P31" s="342"/>
      <c r="Q31" s="342"/>
      <c r="R31" s="342"/>
      <c r="T31" s="1564" t="s">
        <v>1534</v>
      </c>
      <c r="U31" s="1565"/>
      <c r="V31" s="1565"/>
      <c r="W31" s="1565"/>
      <c r="X31" s="1565"/>
      <c r="Y31" s="1565"/>
      <c r="Z31" s="1565"/>
      <c r="AA31" s="1565"/>
      <c r="AB31" s="1094"/>
    </row>
    <row r="32" spans="2:28" ht="22.2" x14ac:dyDescent="0.7">
      <c r="B32" s="342"/>
      <c r="C32" s="1568" t="s">
        <v>1533</v>
      </c>
      <c r="D32" s="1569"/>
      <c r="E32" s="1569"/>
      <c r="F32" s="1569"/>
      <c r="G32" s="1569"/>
      <c r="H32" s="1569"/>
      <c r="I32" s="1569"/>
      <c r="J32" s="1569"/>
      <c r="K32" s="1569"/>
      <c r="L32" s="1569"/>
      <c r="M32" s="1569"/>
      <c r="N32" s="1569"/>
      <c r="O32" s="1569"/>
      <c r="P32" s="1569"/>
      <c r="Q32" s="1570"/>
      <c r="R32" s="342"/>
      <c r="T32" s="342"/>
      <c r="U32" s="342"/>
      <c r="V32" s="342"/>
      <c r="W32" s="342"/>
      <c r="X32" s="342"/>
      <c r="Y32" s="342"/>
      <c r="Z32" s="342"/>
      <c r="AA32" s="342"/>
      <c r="AB32" s="1094"/>
    </row>
    <row r="33" spans="2:28" x14ac:dyDescent="0.5">
      <c r="B33" s="342"/>
      <c r="C33" s="1221"/>
      <c r="D33" s="342"/>
      <c r="E33" s="342"/>
      <c r="F33" s="342"/>
      <c r="G33" s="342"/>
      <c r="H33" s="342"/>
      <c r="I33" s="342"/>
      <c r="J33" s="342"/>
      <c r="K33" s="342"/>
      <c r="L33" s="342"/>
      <c r="M33" s="342"/>
      <c r="N33" s="342"/>
      <c r="O33" s="342"/>
      <c r="P33" s="342"/>
      <c r="Q33" s="1220"/>
      <c r="R33" s="342"/>
      <c r="T33" s="342"/>
      <c r="U33" s="342"/>
      <c r="V33" s="342"/>
      <c r="W33" s="342"/>
      <c r="X33" s="342"/>
      <c r="Y33" s="342"/>
      <c r="Z33" s="342"/>
      <c r="AA33" s="342"/>
      <c r="AB33" s="1094"/>
    </row>
    <row r="34" spans="2:28" ht="24.9" x14ac:dyDescent="0.8">
      <c r="B34" s="342"/>
      <c r="C34" s="1571" t="s">
        <v>1523</v>
      </c>
      <c r="D34" s="1572"/>
      <c r="E34" s="1572"/>
      <c r="F34" s="1572"/>
      <c r="G34" s="1572"/>
      <c r="H34" s="1572"/>
      <c r="I34" s="1572"/>
      <c r="J34" s="1572"/>
      <c r="K34" s="1572"/>
      <c r="L34" s="1572"/>
      <c r="M34" s="1572"/>
      <c r="N34" s="1572"/>
      <c r="O34" s="1572"/>
      <c r="P34" s="1572"/>
      <c r="Q34" s="1573"/>
      <c r="R34" s="1240"/>
      <c r="T34" s="342"/>
      <c r="U34" s="342"/>
      <c r="V34" s="342"/>
      <c r="W34" s="342"/>
      <c r="X34" s="342"/>
      <c r="Y34" s="342"/>
      <c r="Z34" s="342"/>
      <c r="AA34" s="342"/>
      <c r="AB34" s="1094"/>
    </row>
    <row r="35" spans="2:28" x14ac:dyDescent="0.5">
      <c r="B35" s="342"/>
      <c r="C35" s="1221"/>
      <c r="D35" s="342"/>
      <c r="E35" s="342"/>
      <c r="F35" s="342"/>
      <c r="G35" s="342"/>
      <c r="H35" s="342"/>
      <c r="I35" s="342"/>
      <c r="J35" s="342"/>
      <c r="K35" s="342"/>
      <c r="L35" s="342"/>
      <c r="M35" s="342"/>
      <c r="N35" s="342"/>
      <c r="O35" s="342"/>
      <c r="P35" s="342"/>
      <c r="Q35" s="1220"/>
      <c r="R35" s="342"/>
      <c r="T35" s="342"/>
      <c r="U35" s="342"/>
      <c r="V35" s="342"/>
      <c r="W35" s="342"/>
      <c r="X35" s="342"/>
      <c r="Y35" s="342"/>
      <c r="Z35" s="342"/>
      <c r="AA35" s="342"/>
      <c r="AB35" s="1094"/>
    </row>
    <row r="36" spans="2:28" x14ac:dyDescent="0.5">
      <c r="B36" s="342"/>
      <c r="C36" s="1554" t="s">
        <v>1520</v>
      </c>
      <c r="D36" s="1555"/>
      <c r="E36" s="1556"/>
      <c r="F36" s="1561" t="s">
        <v>1544</v>
      </c>
      <c r="G36" s="1555"/>
      <c r="H36" s="1562" t="s">
        <v>1545</v>
      </c>
      <c r="I36" s="1563"/>
      <c r="J36" s="1562" t="s">
        <v>1546</v>
      </c>
      <c r="K36" s="1585"/>
      <c r="L36" s="1562" t="s">
        <v>1546</v>
      </c>
      <c r="M36" s="1563"/>
      <c r="N36" s="1231"/>
      <c r="O36" s="1562" t="s">
        <v>1547</v>
      </c>
      <c r="P36" s="1563"/>
      <c r="Q36" s="1586"/>
      <c r="R36" s="342"/>
      <c r="T36" s="342"/>
      <c r="U36" s="342"/>
      <c r="V36" s="342"/>
      <c r="W36" s="342"/>
      <c r="X36" s="342"/>
      <c r="Y36" s="342"/>
      <c r="Z36" s="342"/>
      <c r="AA36" s="342"/>
      <c r="AB36" s="1094"/>
    </row>
    <row r="37" spans="2:28" ht="25.2" customHeight="1" x14ac:dyDescent="0.5">
      <c r="B37" s="342"/>
      <c r="C37" s="1557" t="s">
        <v>1491</v>
      </c>
      <c r="D37" s="1558"/>
      <c r="E37" s="1559"/>
      <c r="F37" s="1560" t="s">
        <v>1492</v>
      </c>
      <c r="G37" s="1558"/>
      <c r="H37" s="1560" t="s">
        <v>1493</v>
      </c>
      <c r="I37" s="1558"/>
      <c r="J37" s="1560" t="s">
        <v>1493</v>
      </c>
      <c r="K37" s="1558"/>
      <c r="L37" s="1560" t="s">
        <v>1494</v>
      </c>
      <c r="M37" s="1558"/>
      <c r="N37" s="1239"/>
      <c r="O37" s="1560" t="s">
        <v>1495</v>
      </c>
      <c r="P37" s="1558"/>
      <c r="Q37" s="1593"/>
      <c r="R37" s="342"/>
      <c r="T37" s="342"/>
      <c r="U37" s="342"/>
      <c r="V37" s="342"/>
      <c r="W37" s="342"/>
      <c r="X37" s="342"/>
      <c r="Y37" s="342"/>
      <c r="Z37" s="342"/>
      <c r="AA37" s="342"/>
      <c r="AB37" s="1094"/>
    </row>
    <row r="38" spans="2:28" x14ac:dyDescent="0.5">
      <c r="B38" s="342"/>
      <c r="C38" s="1221"/>
      <c r="D38" s="342"/>
      <c r="E38" s="342"/>
      <c r="F38" s="342"/>
      <c r="G38" s="342"/>
      <c r="H38" s="342"/>
      <c r="I38" s="342"/>
      <c r="J38" s="342"/>
      <c r="K38" s="342"/>
      <c r="L38" s="342"/>
      <c r="M38" s="342"/>
      <c r="N38" s="342"/>
      <c r="O38" s="342"/>
      <c r="P38" s="342"/>
      <c r="Q38" s="1220"/>
      <c r="R38" s="342"/>
      <c r="T38" s="342"/>
      <c r="U38" s="342"/>
      <c r="V38" s="342"/>
      <c r="W38" s="342"/>
      <c r="X38" s="342"/>
      <c r="Y38" s="342"/>
      <c r="Z38" s="342"/>
      <c r="AA38" s="342"/>
      <c r="AB38" s="1094"/>
    </row>
    <row r="39" spans="2:28" x14ac:dyDescent="0.5">
      <c r="B39" s="342"/>
      <c r="C39" s="1596" t="s">
        <v>1496</v>
      </c>
      <c r="D39" s="1597"/>
      <c r="E39" s="1597"/>
      <c r="F39" s="1597"/>
      <c r="G39" s="1597"/>
      <c r="H39" s="1598"/>
      <c r="I39" s="1594" t="s">
        <v>1549</v>
      </c>
      <c r="J39" s="1574" t="s">
        <v>1497</v>
      </c>
      <c r="K39" s="1574"/>
      <c r="L39" s="1574"/>
      <c r="M39" s="1574"/>
      <c r="N39" s="1574"/>
      <c r="O39" s="1574"/>
      <c r="P39" s="1574"/>
      <c r="Q39" s="1575"/>
      <c r="R39" s="342"/>
      <c r="T39" s="342"/>
      <c r="U39" s="342"/>
      <c r="V39" s="342"/>
      <c r="W39" s="342"/>
      <c r="X39" s="342"/>
      <c r="Y39" s="342"/>
      <c r="Z39" s="342"/>
      <c r="AA39" s="342"/>
      <c r="AB39" s="1094"/>
    </row>
    <row r="40" spans="2:28" ht="16.2" customHeight="1" x14ac:dyDescent="0.5">
      <c r="B40" s="342"/>
      <c r="C40" s="1544" t="s">
        <v>1498</v>
      </c>
      <c r="D40" s="1545"/>
      <c r="E40" s="1545"/>
      <c r="F40" s="1545"/>
      <c r="G40" s="1545"/>
      <c r="H40" s="1546"/>
      <c r="I40" s="1595"/>
      <c r="J40" s="1545" t="s">
        <v>1499</v>
      </c>
      <c r="K40" s="1545"/>
      <c r="L40" s="1545"/>
      <c r="M40" s="1545"/>
      <c r="N40" s="1545"/>
      <c r="O40" s="1545"/>
      <c r="P40" s="1545"/>
      <c r="Q40" s="1546"/>
      <c r="R40" s="342"/>
      <c r="T40" s="342"/>
      <c r="U40" s="342"/>
      <c r="V40" s="342"/>
      <c r="W40" s="342"/>
      <c r="X40" s="342"/>
      <c r="Y40" s="342"/>
      <c r="Z40" s="342"/>
      <c r="AA40" s="342"/>
      <c r="AB40" s="1094"/>
    </row>
    <row r="41" spans="2:28" x14ac:dyDescent="0.5">
      <c r="B41" s="342"/>
      <c r="C41" s="1547" t="s">
        <v>1500</v>
      </c>
      <c r="D41" s="1548"/>
      <c r="E41" s="1548"/>
      <c r="F41" s="1548"/>
      <c r="G41" s="1548"/>
      <c r="H41" s="1549"/>
      <c r="I41" s="1595"/>
      <c r="J41" s="1548" t="s">
        <v>626</v>
      </c>
      <c r="K41" s="1548"/>
      <c r="L41" s="1548"/>
      <c r="M41" s="1548"/>
      <c r="N41" s="1548"/>
      <c r="O41" s="1548"/>
      <c r="P41" s="1548"/>
      <c r="Q41" s="1549"/>
      <c r="R41" s="342"/>
      <c r="T41" s="342"/>
      <c r="U41" s="342"/>
      <c r="V41" s="342"/>
      <c r="W41" s="342"/>
      <c r="X41" s="342"/>
      <c r="Y41" s="342"/>
      <c r="Z41" s="342"/>
      <c r="AA41" s="342"/>
      <c r="AB41" s="1094"/>
    </row>
    <row r="42" spans="2:28" x14ac:dyDescent="0.5">
      <c r="B42" s="342"/>
      <c r="C42" s="1544" t="s">
        <v>1501</v>
      </c>
      <c r="D42" s="1545"/>
      <c r="E42" s="1545"/>
      <c r="F42" s="1545"/>
      <c r="G42" s="1545"/>
      <c r="H42" s="1546"/>
      <c r="I42" s="1595"/>
      <c r="J42" s="1545" t="s">
        <v>1502</v>
      </c>
      <c r="K42" s="1545"/>
      <c r="L42" s="1545"/>
      <c r="M42" s="1545"/>
      <c r="N42" s="1545"/>
      <c r="O42" s="1545"/>
      <c r="P42" s="1545"/>
      <c r="Q42" s="1546"/>
      <c r="R42" s="342"/>
      <c r="T42" s="342"/>
      <c r="U42" s="342"/>
      <c r="V42" s="342"/>
      <c r="W42" s="342"/>
      <c r="X42" s="342"/>
      <c r="Y42" s="342"/>
      <c r="Z42" s="342"/>
      <c r="AA42" s="342"/>
      <c r="AB42" s="1094"/>
    </row>
    <row r="43" spans="2:28" x14ac:dyDescent="0.5">
      <c r="B43" s="342"/>
      <c r="C43" s="1547" t="s">
        <v>1503</v>
      </c>
      <c r="D43" s="1548"/>
      <c r="E43" s="1548"/>
      <c r="F43" s="1548"/>
      <c r="G43" s="1548"/>
      <c r="H43" s="1549"/>
      <c r="I43" s="1595"/>
      <c r="J43" s="1548" t="s">
        <v>1504</v>
      </c>
      <c r="K43" s="1548"/>
      <c r="L43" s="1548"/>
      <c r="M43" s="1548"/>
      <c r="N43" s="1548"/>
      <c r="O43" s="1548"/>
      <c r="P43" s="1548"/>
      <c r="Q43" s="1549"/>
      <c r="R43" s="342"/>
      <c r="T43" s="342"/>
      <c r="U43" s="342"/>
      <c r="V43" s="342"/>
      <c r="W43" s="342"/>
      <c r="X43" s="342"/>
      <c r="Y43" s="342"/>
      <c r="Z43" s="342"/>
      <c r="AA43" s="342"/>
      <c r="AB43" s="1094"/>
    </row>
    <row r="44" spans="2:28" x14ac:dyDescent="0.5">
      <c r="B44" s="342"/>
      <c r="C44" s="1544" t="s">
        <v>1505</v>
      </c>
      <c r="D44" s="1545"/>
      <c r="E44" s="1545"/>
      <c r="F44" s="1545"/>
      <c r="G44" s="1545"/>
      <c r="H44" s="1546"/>
      <c r="I44" s="1595"/>
      <c r="J44" s="1545" t="s">
        <v>1506</v>
      </c>
      <c r="K44" s="1545"/>
      <c r="L44" s="1545"/>
      <c r="M44" s="1545"/>
      <c r="N44" s="1545"/>
      <c r="O44" s="1545"/>
      <c r="P44" s="1545"/>
      <c r="Q44" s="1546"/>
      <c r="R44" s="342"/>
      <c r="T44" s="342"/>
      <c r="U44" s="342"/>
      <c r="V44" s="342"/>
      <c r="W44" s="342"/>
      <c r="X44" s="342"/>
      <c r="Y44" s="342"/>
      <c r="Z44" s="342"/>
      <c r="AA44" s="342"/>
      <c r="AB44" s="1094"/>
    </row>
    <row r="45" spans="2:28" x14ac:dyDescent="0.5">
      <c r="B45" s="342"/>
      <c r="C45" s="1547" t="s">
        <v>1507</v>
      </c>
      <c r="D45" s="1548"/>
      <c r="E45" s="1548"/>
      <c r="F45" s="1548"/>
      <c r="G45" s="1548"/>
      <c r="H45" s="1549"/>
      <c r="I45" s="1595"/>
      <c r="J45" s="1548" t="s">
        <v>1508</v>
      </c>
      <c r="K45" s="1548"/>
      <c r="L45" s="1548"/>
      <c r="M45" s="1548"/>
      <c r="N45" s="1548"/>
      <c r="O45" s="1548"/>
      <c r="P45" s="1548"/>
      <c r="Q45" s="1549"/>
      <c r="R45" s="342"/>
      <c r="T45" s="342"/>
      <c r="U45" s="342"/>
      <c r="V45" s="342"/>
      <c r="W45" s="342"/>
      <c r="X45" s="342"/>
      <c r="Y45" s="342"/>
      <c r="Z45" s="342"/>
      <c r="AA45" s="342"/>
      <c r="AB45" s="1094"/>
    </row>
    <row r="46" spans="2:28" x14ac:dyDescent="0.5">
      <c r="B46" s="342"/>
      <c r="C46" s="1544" t="s">
        <v>1509</v>
      </c>
      <c r="D46" s="1545"/>
      <c r="E46" s="1545"/>
      <c r="F46" s="1545"/>
      <c r="G46" s="1545"/>
      <c r="H46" s="1546"/>
      <c r="I46" s="1595"/>
      <c r="J46" s="1545" t="s">
        <v>15</v>
      </c>
      <c r="K46" s="1545"/>
      <c r="L46" s="1545"/>
      <c r="M46" s="1545"/>
      <c r="N46" s="1545"/>
      <c r="O46" s="1545"/>
      <c r="P46" s="1545"/>
      <c r="Q46" s="1546"/>
      <c r="R46" s="342"/>
      <c r="T46" s="342"/>
      <c r="U46" s="342"/>
      <c r="V46" s="342"/>
      <c r="W46" s="342"/>
      <c r="X46" s="342"/>
      <c r="Y46" s="342"/>
      <c r="Z46" s="342"/>
      <c r="AA46" s="342"/>
      <c r="AB46" s="1094"/>
    </row>
    <row r="47" spans="2:28" x14ac:dyDescent="0.5">
      <c r="B47" s="342"/>
      <c r="C47" s="1547" t="s">
        <v>1510</v>
      </c>
      <c r="D47" s="1548"/>
      <c r="E47" s="1548"/>
      <c r="F47" s="1548"/>
      <c r="G47" s="1548"/>
      <c r="H47" s="1549"/>
      <c r="I47" s="1595"/>
      <c r="J47" s="1548" t="s">
        <v>1511</v>
      </c>
      <c r="K47" s="1548"/>
      <c r="L47" s="1548"/>
      <c r="M47" s="1548"/>
      <c r="N47" s="1548"/>
      <c r="O47" s="1548"/>
      <c r="P47" s="1548"/>
      <c r="Q47" s="1549"/>
      <c r="R47" s="342"/>
      <c r="T47" s="342"/>
      <c r="U47" s="342"/>
      <c r="V47" s="342"/>
      <c r="W47" s="342"/>
      <c r="X47" s="342"/>
      <c r="Y47" s="342"/>
      <c r="Z47" s="342"/>
      <c r="AA47" s="342"/>
      <c r="AB47" s="1094"/>
    </row>
    <row r="48" spans="2:28" x14ac:dyDescent="0.5">
      <c r="B48" s="342"/>
      <c r="C48" s="1544" t="s">
        <v>1512</v>
      </c>
      <c r="D48" s="1545"/>
      <c r="E48" s="1545"/>
      <c r="F48" s="1545"/>
      <c r="G48" s="1545"/>
      <c r="H48" s="1546"/>
      <c r="I48" s="1595"/>
      <c r="J48" s="1545" t="s">
        <v>1513</v>
      </c>
      <c r="K48" s="1545"/>
      <c r="L48" s="1545"/>
      <c r="M48" s="1545"/>
      <c r="N48" s="1545"/>
      <c r="O48" s="1545"/>
      <c r="P48" s="1545"/>
      <c r="Q48" s="1546"/>
      <c r="R48" s="342"/>
      <c r="T48" s="342"/>
      <c r="U48" s="342"/>
      <c r="V48" s="342"/>
      <c r="W48" s="342"/>
      <c r="X48" s="342"/>
      <c r="Y48" s="342"/>
      <c r="Z48" s="342"/>
      <c r="AA48" s="342"/>
      <c r="AB48" s="1094"/>
    </row>
    <row r="49" spans="2:28" x14ac:dyDescent="0.5">
      <c r="B49" s="342"/>
      <c r="C49" s="1547" t="s">
        <v>1514</v>
      </c>
      <c r="D49" s="1548"/>
      <c r="E49" s="1548"/>
      <c r="F49" s="1548"/>
      <c r="G49" s="1548"/>
      <c r="H49" s="1549"/>
      <c r="I49" s="1595"/>
      <c r="J49" s="1548" t="s">
        <v>613</v>
      </c>
      <c r="K49" s="1548"/>
      <c r="L49" s="1548"/>
      <c r="M49" s="1548"/>
      <c r="N49" s="1548"/>
      <c r="O49" s="1548"/>
      <c r="P49" s="1548"/>
      <c r="Q49" s="1549"/>
      <c r="R49" s="342"/>
      <c r="T49" s="342"/>
      <c r="U49" s="342"/>
      <c r="V49" s="342"/>
      <c r="W49" s="342"/>
      <c r="X49" s="342"/>
      <c r="Y49" s="342"/>
      <c r="Z49" s="342"/>
      <c r="AA49" s="342"/>
      <c r="AB49" s="1094"/>
    </row>
    <row r="50" spans="2:28" x14ac:dyDescent="0.5">
      <c r="B50" s="342"/>
      <c r="C50" s="1544" t="s">
        <v>1521</v>
      </c>
      <c r="D50" s="1545"/>
      <c r="E50" s="1545"/>
      <c r="F50" s="1545"/>
      <c r="G50" s="1545"/>
      <c r="H50" s="1546"/>
      <c r="I50" s="1595"/>
      <c r="J50" s="1545" t="s">
        <v>1515</v>
      </c>
      <c r="K50" s="1545"/>
      <c r="L50" s="1545"/>
      <c r="M50" s="1545"/>
      <c r="N50" s="1545"/>
      <c r="O50" s="1545"/>
      <c r="P50" s="1545"/>
      <c r="Q50" s="1546"/>
      <c r="R50" s="342"/>
      <c r="T50" s="342"/>
      <c r="U50" s="342"/>
      <c r="V50" s="342"/>
      <c r="W50" s="342"/>
      <c r="X50" s="342"/>
      <c r="Y50" s="342"/>
      <c r="Z50" s="342"/>
      <c r="AA50" s="342"/>
      <c r="AB50" s="1094"/>
    </row>
    <row r="51" spans="2:28" x14ac:dyDescent="0.5">
      <c r="B51" s="342"/>
      <c r="C51" s="1547" t="s">
        <v>1516</v>
      </c>
      <c r="D51" s="1548"/>
      <c r="E51" s="1548"/>
      <c r="F51" s="1548"/>
      <c r="G51" s="1548"/>
      <c r="H51" s="1549"/>
      <c r="I51" s="1595"/>
      <c r="J51" s="1548" t="s">
        <v>626</v>
      </c>
      <c r="K51" s="1548"/>
      <c r="L51" s="1548"/>
      <c r="M51" s="1548"/>
      <c r="N51" s="1548"/>
      <c r="O51" s="1548"/>
      <c r="P51" s="1548"/>
      <c r="Q51" s="1549"/>
      <c r="R51" s="342"/>
      <c r="T51" s="342"/>
      <c r="U51" s="342"/>
      <c r="V51" s="342"/>
      <c r="W51" s="342"/>
      <c r="X51" s="342"/>
      <c r="Y51" s="342"/>
      <c r="Z51" s="342"/>
      <c r="AA51" s="342"/>
      <c r="AB51" s="1094"/>
    </row>
    <row r="52" spans="2:28" x14ac:dyDescent="0.5">
      <c r="B52" s="342"/>
      <c r="C52" s="1544" t="s">
        <v>1517</v>
      </c>
      <c r="D52" s="1545"/>
      <c r="E52" s="1545"/>
      <c r="F52" s="1545"/>
      <c r="G52" s="1545"/>
      <c r="H52" s="1546"/>
      <c r="I52" s="1595"/>
      <c r="J52" s="1545" t="s">
        <v>1518</v>
      </c>
      <c r="K52" s="1545"/>
      <c r="L52" s="1545"/>
      <c r="M52" s="1545"/>
      <c r="N52" s="1545"/>
      <c r="O52" s="1545"/>
      <c r="P52" s="1545"/>
      <c r="Q52" s="1546"/>
      <c r="R52" s="342"/>
      <c r="T52" s="342"/>
      <c r="U52" s="342"/>
      <c r="V52" s="342"/>
      <c r="W52" s="342"/>
      <c r="X52" s="342"/>
      <c r="Y52" s="342"/>
      <c r="Z52" s="342"/>
      <c r="AA52" s="342"/>
      <c r="AB52" s="1094"/>
    </row>
    <row r="53" spans="2:28" x14ac:dyDescent="0.5">
      <c r="B53" s="342"/>
      <c r="C53" s="1523" t="s">
        <v>1519</v>
      </c>
      <c r="D53" s="1524"/>
      <c r="E53" s="1524"/>
      <c r="F53" s="1524"/>
      <c r="G53" s="1524"/>
      <c r="H53" s="1524"/>
      <c r="I53" s="1524"/>
      <c r="J53" s="1524"/>
      <c r="K53" s="1524"/>
      <c r="L53" s="1524"/>
      <c r="M53" s="1524"/>
      <c r="N53" s="1524"/>
      <c r="O53" s="1524"/>
      <c r="P53" s="1524"/>
      <c r="Q53" s="1525"/>
      <c r="R53" s="342"/>
      <c r="T53" s="342"/>
      <c r="U53" s="342"/>
      <c r="V53" s="342"/>
      <c r="W53" s="342"/>
      <c r="X53" s="342"/>
      <c r="Y53" s="342"/>
      <c r="Z53" s="342"/>
      <c r="AA53" s="342"/>
      <c r="AB53" s="1094"/>
    </row>
    <row r="54" spans="2:28" x14ac:dyDescent="0.5">
      <c r="B54" s="342"/>
      <c r="C54" s="1520" t="s">
        <v>1550</v>
      </c>
      <c r="D54" s="1521"/>
      <c r="E54" s="1521"/>
      <c r="F54" s="1521"/>
      <c r="G54" s="1521"/>
      <c r="H54" s="1521"/>
      <c r="I54" s="1521"/>
      <c r="J54" s="1521"/>
      <c r="K54" s="1521"/>
      <c r="L54" s="1521"/>
      <c r="M54" s="1521"/>
      <c r="N54" s="1521"/>
      <c r="O54" s="1521"/>
      <c r="P54" s="1521"/>
      <c r="Q54" s="1522"/>
      <c r="R54" s="342"/>
      <c r="T54" s="342"/>
      <c r="U54" s="342"/>
      <c r="V54" s="342"/>
      <c r="W54" s="342"/>
      <c r="X54" s="342"/>
      <c r="Y54" s="342"/>
      <c r="Z54" s="342"/>
      <c r="AA54" s="342"/>
      <c r="AB54" s="1094"/>
    </row>
    <row r="55" spans="2:28" x14ac:dyDescent="0.5">
      <c r="B55" s="342"/>
      <c r="C55" s="1221"/>
      <c r="D55" s="342"/>
      <c r="E55" s="342"/>
      <c r="F55" s="342"/>
      <c r="G55" s="342"/>
      <c r="H55" s="342"/>
      <c r="I55" s="342"/>
      <c r="J55" s="342"/>
      <c r="K55" s="342"/>
      <c r="L55" s="342"/>
      <c r="M55" s="342"/>
      <c r="N55" s="342"/>
      <c r="O55" s="342"/>
      <c r="P55" s="342"/>
      <c r="Q55" s="1220"/>
      <c r="R55" s="342"/>
      <c r="T55" s="342"/>
      <c r="U55" s="342"/>
      <c r="V55" s="342"/>
      <c r="W55" s="342"/>
      <c r="X55" s="342"/>
      <c r="Y55" s="342"/>
      <c r="Z55" s="342"/>
      <c r="AA55" s="342"/>
      <c r="AB55" s="1094"/>
    </row>
    <row r="56" spans="2:28" ht="24.9" x14ac:dyDescent="0.8">
      <c r="B56" s="342"/>
      <c r="C56" s="1489" t="s">
        <v>1524</v>
      </c>
      <c r="D56" s="1490"/>
      <c r="E56" s="1490"/>
      <c r="F56" s="1490"/>
      <c r="G56" s="1490"/>
      <c r="H56" s="1490"/>
      <c r="I56" s="1490"/>
      <c r="J56" s="1490"/>
      <c r="K56" s="1490"/>
      <c r="L56" s="1490"/>
      <c r="M56" s="1490"/>
      <c r="N56" s="1490"/>
      <c r="O56" s="1490"/>
      <c r="P56" s="1490"/>
      <c r="Q56" s="1491"/>
      <c r="R56" s="342"/>
      <c r="T56" s="342"/>
      <c r="U56" s="342"/>
      <c r="V56" s="342"/>
      <c r="W56" s="342"/>
      <c r="X56" s="342"/>
      <c r="Y56" s="342"/>
      <c r="Z56" s="342"/>
      <c r="AA56" s="342"/>
      <c r="AB56" s="1094"/>
    </row>
    <row r="57" spans="2:28" x14ac:dyDescent="0.5">
      <c r="B57" s="342"/>
      <c r="C57" s="1221"/>
      <c r="D57" s="342"/>
      <c r="E57" s="342"/>
      <c r="F57" s="342"/>
      <c r="G57" s="342"/>
      <c r="H57" s="342"/>
      <c r="I57" s="342"/>
      <c r="J57" s="342"/>
      <c r="K57" s="342"/>
      <c r="L57" s="342"/>
      <c r="M57" s="342"/>
      <c r="N57" s="342"/>
      <c r="O57" s="342"/>
      <c r="P57" s="342"/>
      <c r="Q57" s="1220"/>
      <c r="R57" s="342"/>
      <c r="T57" s="342"/>
      <c r="U57" s="342"/>
      <c r="V57" s="342"/>
      <c r="W57" s="342"/>
      <c r="X57" s="342"/>
      <c r="Y57" s="342"/>
      <c r="Z57" s="342"/>
      <c r="AA57" s="342"/>
      <c r="AB57" s="1094"/>
    </row>
    <row r="58" spans="2:28" ht="17.399999999999999" x14ac:dyDescent="0.55000000000000004">
      <c r="B58" s="1091"/>
      <c r="C58" s="1542" t="s">
        <v>1470</v>
      </c>
      <c r="D58" s="1540"/>
      <c r="E58" s="1540"/>
      <c r="F58" s="1540"/>
      <c r="G58" s="1540"/>
      <c r="H58" s="1540"/>
      <c r="I58" s="1540"/>
      <c r="J58" s="1540"/>
      <c r="K58" s="1540"/>
      <c r="L58" s="1540"/>
      <c r="M58" s="1540"/>
      <c r="N58" s="1540"/>
      <c r="O58" s="1540"/>
      <c r="P58" s="1540"/>
      <c r="Q58" s="1543"/>
      <c r="R58" s="342"/>
      <c r="T58" s="342"/>
      <c r="U58" s="342"/>
      <c r="V58" s="342"/>
      <c r="W58" s="342"/>
      <c r="X58" s="342"/>
      <c r="Y58" s="342"/>
      <c r="Z58" s="342"/>
      <c r="AA58" s="342"/>
      <c r="AB58" s="1094"/>
    </row>
    <row r="59" spans="2:28" ht="17.399999999999999" x14ac:dyDescent="0.55000000000000004">
      <c r="B59" s="1091"/>
      <c r="C59" s="1553" t="s">
        <v>1470</v>
      </c>
      <c r="D59" s="1526"/>
      <c r="E59" s="1526"/>
      <c r="F59" s="1526"/>
      <c r="G59" s="1526"/>
      <c r="H59" s="1539"/>
      <c r="I59" s="1526" t="s">
        <v>1553</v>
      </c>
      <c r="J59" s="1526"/>
      <c r="K59" s="1526"/>
      <c r="L59" s="1539"/>
      <c r="M59" s="1526" t="s">
        <v>1554</v>
      </c>
      <c r="N59" s="1526"/>
      <c r="O59" s="1526"/>
      <c r="P59" s="1526"/>
      <c r="Q59" s="1527"/>
      <c r="R59" s="342"/>
      <c r="T59" s="342"/>
      <c r="U59" s="342"/>
      <c r="V59" s="342"/>
      <c r="W59" s="342"/>
      <c r="X59" s="342"/>
      <c r="Y59" s="342"/>
      <c r="Z59" s="342"/>
      <c r="AA59" s="342"/>
      <c r="AB59" s="1094"/>
    </row>
    <row r="60" spans="2:28" x14ac:dyDescent="0.5">
      <c r="B60" s="1096">
        <v>1</v>
      </c>
      <c r="C60" s="1550" t="s">
        <v>1456</v>
      </c>
      <c r="D60" s="1551"/>
      <c r="E60" s="1551"/>
      <c r="F60" s="1551"/>
      <c r="G60" s="1552"/>
      <c r="H60" s="1540"/>
      <c r="I60" s="1528" t="s">
        <v>1462</v>
      </c>
      <c r="J60" s="1529"/>
      <c r="K60" s="1530"/>
      <c r="L60" s="1540"/>
      <c r="M60" s="1528" t="s">
        <v>1462</v>
      </c>
      <c r="N60" s="1529"/>
      <c r="O60" s="1529"/>
      <c r="P60" s="1208" t="s">
        <v>1555</v>
      </c>
      <c r="Q60" s="1210"/>
      <c r="R60" s="342"/>
      <c r="T60" s="342"/>
      <c r="U60" s="342"/>
      <c r="V60" s="342"/>
      <c r="W60" s="342"/>
      <c r="X60" s="342"/>
      <c r="Y60" s="342"/>
      <c r="Z60" s="342"/>
      <c r="AA60" s="342"/>
      <c r="AB60" s="1094"/>
    </row>
    <row r="61" spans="2:28" x14ac:dyDescent="0.5">
      <c r="B61" s="1096">
        <v>2</v>
      </c>
      <c r="C61" s="1492" t="s">
        <v>1457</v>
      </c>
      <c r="D61" s="1493"/>
      <c r="E61" s="1493"/>
      <c r="F61" s="1493"/>
      <c r="G61" s="1494"/>
      <c r="H61" s="1540"/>
      <c r="I61" s="1531" t="s">
        <v>1463</v>
      </c>
      <c r="J61" s="1532"/>
      <c r="K61" s="1533"/>
      <c r="L61" s="1540"/>
      <c r="M61" s="1531" t="s">
        <v>1463</v>
      </c>
      <c r="N61" s="1532"/>
      <c r="O61" s="1532"/>
      <c r="P61" s="1211" t="s">
        <v>1555</v>
      </c>
      <c r="Q61" s="1212"/>
      <c r="R61" s="342"/>
      <c r="T61" s="342"/>
      <c r="U61" s="342"/>
      <c r="V61" s="342"/>
      <c r="W61" s="342"/>
      <c r="X61" s="342"/>
      <c r="Y61" s="342"/>
      <c r="Z61" s="342"/>
      <c r="AA61" s="342"/>
      <c r="AB61" s="1094"/>
    </row>
    <row r="62" spans="2:28" x14ac:dyDescent="0.5">
      <c r="B62" s="1096">
        <v>3</v>
      </c>
      <c r="C62" s="1492" t="s">
        <v>1522</v>
      </c>
      <c r="D62" s="1493"/>
      <c r="E62" s="1493"/>
      <c r="F62" s="1493"/>
      <c r="G62" s="1494"/>
      <c r="H62" s="1540"/>
      <c r="I62" s="1531" t="s">
        <v>1464</v>
      </c>
      <c r="J62" s="1532"/>
      <c r="K62" s="1533"/>
      <c r="L62" s="1540"/>
      <c r="M62" s="1531" t="s">
        <v>1464</v>
      </c>
      <c r="N62" s="1532"/>
      <c r="O62" s="1532"/>
      <c r="P62" s="1211" t="s">
        <v>1555</v>
      </c>
      <c r="Q62" s="1212"/>
      <c r="R62" s="342"/>
      <c r="T62" s="342"/>
      <c r="U62" s="342"/>
      <c r="V62" s="342"/>
      <c r="W62" s="342"/>
      <c r="X62" s="342"/>
      <c r="Y62" s="342"/>
      <c r="Z62" s="342"/>
      <c r="AA62" s="342"/>
      <c r="AB62" s="1094"/>
    </row>
    <row r="63" spans="2:28" x14ac:dyDescent="0.5">
      <c r="B63" s="1096">
        <v>4</v>
      </c>
      <c r="C63" s="1495" t="s">
        <v>1460</v>
      </c>
      <c r="D63" s="1496"/>
      <c r="E63" s="1496"/>
      <c r="F63" s="1496"/>
      <c r="G63" s="1497"/>
      <c r="H63" s="1540"/>
      <c r="I63" s="1534" t="s">
        <v>1465</v>
      </c>
      <c r="J63" s="1535"/>
      <c r="K63" s="1541"/>
      <c r="L63" s="1540"/>
      <c r="M63" s="1534" t="s">
        <v>1465</v>
      </c>
      <c r="N63" s="1535"/>
      <c r="O63" s="1535"/>
      <c r="P63" s="1217" t="s">
        <v>1555</v>
      </c>
      <c r="Q63" s="1219"/>
      <c r="R63" s="342"/>
      <c r="T63" s="342"/>
      <c r="U63" s="342"/>
      <c r="V63" s="342"/>
      <c r="W63" s="342"/>
      <c r="X63" s="342"/>
      <c r="Y63" s="342"/>
      <c r="Z63" s="342"/>
      <c r="AA63" s="342"/>
      <c r="AB63" s="1094"/>
    </row>
    <row r="64" spans="2:28" x14ac:dyDescent="0.5">
      <c r="B64" s="342"/>
      <c r="C64" s="1242"/>
      <c r="D64" s="342"/>
      <c r="E64" s="342"/>
      <c r="F64" s="342"/>
      <c r="G64" s="342"/>
      <c r="H64" s="342"/>
      <c r="I64" s="1050"/>
      <c r="J64" s="342"/>
      <c r="K64" s="1050"/>
      <c r="L64" s="1050"/>
      <c r="M64" s="1050"/>
      <c r="N64" s="1050"/>
      <c r="O64" s="1050"/>
      <c r="P64" s="1050"/>
      <c r="Q64" s="1212"/>
      <c r="R64" s="342"/>
      <c r="T64" s="342"/>
      <c r="U64" s="342"/>
      <c r="V64" s="342"/>
      <c r="W64" s="342"/>
      <c r="X64" s="342"/>
      <c r="Y64" s="342"/>
      <c r="Z64" s="342"/>
      <c r="AA64" s="342"/>
      <c r="AB64" s="1094"/>
    </row>
    <row r="65" spans="2:28" ht="24.9" x14ac:dyDescent="0.8">
      <c r="B65" s="342"/>
      <c r="C65" s="1489" t="s">
        <v>1552</v>
      </c>
      <c r="D65" s="1490"/>
      <c r="E65" s="1490"/>
      <c r="F65" s="1490"/>
      <c r="G65" s="1490"/>
      <c r="H65" s="1490"/>
      <c r="I65" s="1490"/>
      <c r="J65" s="1490"/>
      <c r="K65" s="1490"/>
      <c r="L65" s="1490"/>
      <c r="M65" s="1490"/>
      <c r="N65" s="1490"/>
      <c r="O65" s="1490"/>
      <c r="P65" s="1490"/>
      <c r="Q65" s="1491"/>
      <c r="R65" s="342"/>
      <c r="T65" s="342"/>
      <c r="U65" s="342"/>
      <c r="V65" s="342"/>
      <c r="W65" s="342"/>
      <c r="X65" s="342"/>
      <c r="Y65" s="342"/>
      <c r="Z65" s="342"/>
      <c r="AA65" s="342"/>
      <c r="AB65" s="1094"/>
    </row>
    <row r="66" spans="2:28" x14ac:dyDescent="0.5">
      <c r="B66" s="342"/>
      <c r="C66" s="1221"/>
      <c r="D66" s="342"/>
      <c r="E66" s="342"/>
      <c r="F66" s="342"/>
      <c r="G66" s="342"/>
      <c r="H66" s="342"/>
      <c r="I66" s="342"/>
      <c r="J66" s="342"/>
      <c r="K66" s="342"/>
      <c r="L66" s="342"/>
      <c r="M66" s="342"/>
      <c r="N66" s="342"/>
      <c r="O66" s="342"/>
      <c r="P66" s="342"/>
      <c r="Q66" s="1220"/>
      <c r="R66" s="342"/>
      <c r="T66" s="342"/>
      <c r="U66" s="342"/>
      <c r="V66" s="342"/>
      <c r="W66" s="342"/>
      <c r="X66" s="342"/>
      <c r="Y66" s="342"/>
      <c r="Z66" s="342"/>
      <c r="AA66" s="342"/>
      <c r="AB66" s="1094"/>
    </row>
    <row r="67" spans="2:28" ht="34.200000000000003" customHeight="1" x14ac:dyDescent="0.5">
      <c r="B67" s="342"/>
      <c r="C67" s="1221"/>
      <c r="D67" s="1536" t="s">
        <v>1556</v>
      </c>
      <c r="E67" s="1537"/>
      <c r="F67" s="1537"/>
      <c r="G67" s="1537"/>
      <c r="H67" s="1537"/>
      <c r="I67" s="1537"/>
      <c r="J67" s="1537"/>
      <c r="K67" s="1537"/>
      <c r="L67" s="1537"/>
      <c r="M67" s="1537"/>
      <c r="N67" s="1537"/>
      <c r="O67" s="1537"/>
      <c r="P67" s="1538"/>
      <c r="Q67" s="1220"/>
      <c r="R67" s="342"/>
      <c r="T67" s="342"/>
      <c r="U67" s="342"/>
      <c r="V67" s="342"/>
      <c r="W67" s="342"/>
      <c r="X67" s="342"/>
      <c r="Y67" s="342"/>
      <c r="Z67" s="342"/>
      <c r="AA67" s="342"/>
      <c r="AB67" s="1094"/>
    </row>
    <row r="68" spans="2:28" x14ac:dyDescent="0.5">
      <c r="B68" s="342"/>
      <c r="C68" s="1514" t="s">
        <v>1557</v>
      </c>
      <c r="D68" s="1515"/>
      <c r="E68" s="1515"/>
      <c r="F68" s="1515"/>
      <c r="G68" s="1515"/>
      <c r="H68" s="1515"/>
      <c r="I68" s="1515"/>
      <c r="J68" s="1515"/>
      <c r="K68" s="1515"/>
      <c r="L68" s="1515"/>
      <c r="M68" s="1515"/>
      <c r="N68" s="1515"/>
      <c r="O68" s="1515"/>
      <c r="P68" s="1515"/>
      <c r="Q68" s="1516"/>
      <c r="R68" s="342"/>
      <c r="T68" s="342"/>
      <c r="U68" s="342"/>
      <c r="V68" s="342"/>
      <c r="W68" s="342"/>
      <c r="X68" s="342"/>
      <c r="Y68" s="342"/>
      <c r="Z68" s="342"/>
      <c r="AA68" s="342"/>
      <c r="AB68" s="1094"/>
    </row>
    <row r="69" spans="2:28" x14ac:dyDescent="0.5">
      <c r="B69" s="1090"/>
      <c r="C69" s="1246"/>
      <c r="D69" s="1247"/>
      <c r="E69" s="1247"/>
      <c r="F69" s="1247"/>
      <c r="G69" s="1247"/>
      <c r="H69" s="1247"/>
      <c r="I69" s="1247"/>
      <c r="J69" s="1247"/>
      <c r="K69" s="1247"/>
      <c r="L69" s="1247"/>
      <c r="M69" s="1247"/>
      <c r="N69" s="1247"/>
      <c r="O69" s="1247"/>
      <c r="P69" s="1247"/>
      <c r="Q69" s="1248"/>
      <c r="R69" s="342"/>
      <c r="T69" s="342"/>
      <c r="U69" s="342"/>
      <c r="V69" s="342"/>
      <c r="W69" s="342"/>
      <c r="X69" s="342"/>
      <c r="Y69" s="342"/>
      <c r="Z69" s="342"/>
      <c r="AA69" s="342"/>
      <c r="AB69" s="1094"/>
    </row>
    <row r="70" spans="2:28" ht="15.3" x14ac:dyDescent="0.55000000000000004">
      <c r="B70" s="1090"/>
      <c r="C70" s="1510" t="s">
        <v>1558</v>
      </c>
      <c r="D70" s="1511"/>
      <c r="E70" s="1511"/>
      <c r="F70" s="1511"/>
      <c r="G70" s="1511"/>
      <c r="H70" s="1511"/>
      <c r="I70" s="1511"/>
      <c r="J70" s="1511"/>
      <c r="K70" s="1511"/>
      <c r="L70" s="1511"/>
      <c r="M70" s="1511"/>
      <c r="N70" s="1511"/>
      <c r="O70" s="1511"/>
      <c r="P70" s="1249" t="s">
        <v>1535</v>
      </c>
      <c r="Q70" s="1250"/>
      <c r="R70" s="342"/>
      <c r="T70" s="342"/>
      <c r="U70" s="342"/>
      <c r="V70" s="342"/>
      <c r="W70" s="342"/>
      <c r="X70" s="342"/>
      <c r="Y70" s="342"/>
      <c r="Z70" s="342"/>
      <c r="AA70" s="342"/>
      <c r="AB70" s="1094"/>
    </row>
    <row r="71" spans="2:28" ht="49.2" customHeight="1" x14ac:dyDescent="0.5">
      <c r="B71" s="1090"/>
      <c r="C71" s="1251"/>
      <c r="D71" s="1512" t="s">
        <v>1560</v>
      </c>
      <c r="E71" s="1512"/>
      <c r="F71" s="1512"/>
      <c r="G71" s="1512"/>
      <c r="H71" s="1512"/>
      <c r="I71" s="1512"/>
      <c r="J71" s="1512"/>
      <c r="K71" s="1512"/>
      <c r="L71" s="1512"/>
      <c r="M71" s="1512"/>
      <c r="N71" s="1512"/>
      <c r="O71" s="1512"/>
      <c r="P71" s="1512"/>
      <c r="Q71" s="1513"/>
      <c r="R71" s="342"/>
      <c r="T71" s="342"/>
      <c r="U71" s="342"/>
      <c r="V71" s="342"/>
      <c r="W71" s="342"/>
      <c r="X71" s="342"/>
      <c r="Y71" s="342"/>
      <c r="Z71" s="342"/>
      <c r="AA71" s="342"/>
      <c r="AB71" s="1094"/>
    </row>
    <row r="72" spans="2:28" x14ac:dyDescent="0.5">
      <c r="B72" s="342"/>
      <c r="C72" s="1221"/>
      <c r="D72" s="342"/>
      <c r="E72" s="342"/>
      <c r="F72" s="342"/>
      <c r="G72" s="342"/>
      <c r="H72" s="342"/>
      <c r="I72" s="342"/>
      <c r="J72" s="342"/>
      <c r="K72" s="342"/>
      <c r="L72" s="342"/>
      <c r="M72" s="342"/>
      <c r="N72" s="342"/>
      <c r="O72" s="342"/>
      <c r="P72" s="342"/>
      <c r="Q72" s="1220"/>
      <c r="R72" s="342"/>
      <c r="T72" s="342"/>
      <c r="U72" s="342"/>
      <c r="V72" s="342"/>
      <c r="W72" s="342"/>
      <c r="X72" s="342"/>
      <c r="Y72" s="342"/>
      <c r="Z72" s="342"/>
      <c r="AA72" s="342"/>
      <c r="AB72" s="1094"/>
    </row>
    <row r="73" spans="2:28" ht="24.9" x14ac:dyDescent="0.8">
      <c r="B73" s="342"/>
      <c r="C73" s="1243" t="s">
        <v>1525</v>
      </c>
      <c r="D73" s="342"/>
      <c r="E73" s="1090"/>
      <c r="F73" s="1090"/>
      <c r="G73" s="1222"/>
      <c r="H73" s="1090"/>
      <c r="I73" s="1050"/>
      <c r="J73" s="342"/>
      <c r="K73" s="1050"/>
      <c r="L73" s="1050"/>
      <c r="M73" s="1050"/>
      <c r="N73" s="1050"/>
      <c r="O73" s="1050"/>
      <c r="P73" s="1050"/>
      <c r="Q73" s="1212"/>
      <c r="R73" s="342"/>
      <c r="T73" s="342"/>
      <c r="U73" s="342"/>
      <c r="V73" s="342"/>
      <c r="W73" s="342"/>
      <c r="X73" s="342"/>
      <c r="Y73" s="342"/>
      <c r="Z73" s="342"/>
      <c r="AA73" s="342"/>
      <c r="AB73" s="1094"/>
    </row>
    <row r="74" spans="2:28" x14ac:dyDescent="0.5">
      <c r="B74" s="342"/>
      <c r="C74" s="1242"/>
      <c r="D74" s="342"/>
      <c r="E74" s="342"/>
      <c r="F74" s="342"/>
      <c r="G74" s="342"/>
      <c r="H74" s="342"/>
      <c r="I74" s="342"/>
      <c r="J74" s="342"/>
      <c r="K74" s="1050"/>
      <c r="L74" s="1050"/>
      <c r="M74" s="1050"/>
      <c r="N74" s="1050"/>
      <c r="O74" s="1050"/>
      <c r="P74" s="1050"/>
      <c r="Q74" s="1212"/>
      <c r="R74" s="342"/>
      <c r="T74" s="342"/>
      <c r="U74" s="342"/>
      <c r="V74" s="342"/>
      <c r="W74" s="342"/>
      <c r="X74" s="342"/>
      <c r="Y74" s="342"/>
      <c r="Z74" s="342"/>
      <c r="AA74" s="342"/>
      <c r="AB74" s="1094"/>
    </row>
    <row r="75" spans="2:28" x14ac:dyDescent="0.5">
      <c r="B75" s="342"/>
      <c r="C75" s="1242"/>
      <c r="D75" s="342"/>
      <c r="E75" s="1090"/>
      <c r="F75" s="1090"/>
      <c r="G75" s="1501" t="s">
        <v>642</v>
      </c>
      <c r="H75" s="1502"/>
      <c r="I75" s="1502"/>
      <c r="J75" s="1503"/>
      <c r="K75" s="1050"/>
      <c r="L75" s="1501" t="s">
        <v>1527</v>
      </c>
      <c r="M75" s="1502"/>
      <c r="N75" s="1502"/>
      <c r="O75" s="1503"/>
      <c r="P75" s="1050"/>
      <c r="Q75" s="1212"/>
      <c r="R75" s="342"/>
      <c r="T75" s="342"/>
      <c r="U75" s="342"/>
      <c r="V75" s="342"/>
      <c r="W75" s="342"/>
      <c r="X75" s="342"/>
      <c r="Y75" s="342"/>
      <c r="Z75" s="342"/>
      <c r="AA75" s="342"/>
      <c r="AB75" s="1094"/>
    </row>
    <row r="76" spans="2:28" x14ac:dyDescent="0.5">
      <c r="B76" s="342"/>
      <c r="C76" s="1242"/>
      <c r="D76" s="342"/>
      <c r="E76" s="1090"/>
      <c r="F76" s="1090"/>
      <c r="G76" s="1498" t="s">
        <v>1526</v>
      </c>
      <c r="H76" s="1499"/>
      <c r="I76" s="1499"/>
      <c r="J76" s="1500"/>
      <c r="K76" s="1050"/>
      <c r="L76" s="1504" t="s">
        <v>1528</v>
      </c>
      <c r="M76" s="1505"/>
      <c r="N76" s="1505"/>
      <c r="O76" s="1506"/>
      <c r="P76" s="1050"/>
      <c r="Q76" s="1212"/>
      <c r="R76" s="342"/>
      <c r="T76" s="342"/>
      <c r="U76" s="1090"/>
      <c r="V76" s="1090"/>
      <c r="W76" s="1090"/>
      <c r="X76" s="1090"/>
      <c r="Y76" s="1090"/>
      <c r="Z76" s="1090"/>
      <c r="AA76" s="342"/>
      <c r="AB76" s="1094"/>
    </row>
    <row r="77" spans="2:28" x14ac:dyDescent="0.5">
      <c r="B77" s="342"/>
      <c r="C77" s="1242"/>
      <c r="D77" s="342"/>
      <c r="E77" s="1090"/>
      <c r="F77" s="1090"/>
      <c r="G77" s="1498" t="s">
        <v>1529</v>
      </c>
      <c r="H77" s="1499"/>
      <c r="I77" s="1499"/>
      <c r="J77" s="1500"/>
      <c r="K77" s="1050"/>
      <c r="L77" s="1507" t="s">
        <v>1530</v>
      </c>
      <c r="M77" s="1508"/>
      <c r="N77" s="1508"/>
      <c r="O77" s="1509"/>
      <c r="P77" s="1050"/>
      <c r="Q77" s="1212"/>
      <c r="R77" s="342"/>
      <c r="T77" s="342"/>
      <c r="U77" s="1090"/>
      <c r="V77" s="1090"/>
      <c r="W77" s="1090"/>
      <c r="X77" s="1090"/>
      <c r="Y77" s="1090"/>
      <c r="Z77" s="1090"/>
      <c r="AA77" s="342"/>
      <c r="AB77" s="1094"/>
    </row>
    <row r="78" spans="2:28" x14ac:dyDescent="0.5">
      <c r="B78" s="342"/>
      <c r="C78" s="1242"/>
      <c r="D78" s="342"/>
      <c r="E78" s="1090"/>
      <c r="F78" s="1090"/>
      <c r="G78" s="1498" t="s">
        <v>1531</v>
      </c>
      <c r="H78" s="1499"/>
      <c r="I78" s="1499"/>
      <c r="J78" s="1500"/>
      <c r="K78" s="1050"/>
      <c r="L78" s="1507" t="s">
        <v>1532</v>
      </c>
      <c r="M78" s="1508"/>
      <c r="N78" s="1508"/>
      <c r="O78" s="1509"/>
      <c r="P78" s="1050"/>
      <c r="Q78" s="1212"/>
      <c r="R78" s="342"/>
      <c r="T78" s="342"/>
      <c r="U78" s="1090"/>
      <c r="V78" s="1090"/>
      <c r="W78" s="1090"/>
      <c r="X78" s="1090"/>
      <c r="Y78" s="1090"/>
      <c r="Z78" s="1090"/>
      <c r="AA78" s="342"/>
      <c r="AB78" s="1094"/>
    </row>
    <row r="79" spans="2:28" x14ac:dyDescent="0.5">
      <c r="B79" s="342"/>
      <c r="C79" s="1244"/>
      <c r="D79" s="1223"/>
      <c r="E79" s="1241"/>
      <c r="F79" s="1241"/>
      <c r="G79" s="1498" t="s">
        <v>1542</v>
      </c>
      <c r="H79" s="1499"/>
      <c r="I79" s="1499"/>
      <c r="J79" s="1500"/>
      <c r="K79" s="1218"/>
      <c r="L79" s="1517" t="s">
        <v>1543</v>
      </c>
      <c r="M79" s="1518"/>
      <c r="N79" s="1518"/>
      <c r="O79" s="1519"/>
      <c r="P79" s="1218"/>
      <c r="Q79" s="1219"/>
      <c r="R79" s="342"/>
      <c r="T79" s="342"/>
      <c r="U79" s="1090"/>
      <c r="V79" s="1090"/>
      <c r="W79" s="1090"/>
      <c r="X79" s="1090"/>
      <c r="Y79" s="1090"/>
      <c r="Z79" s="1090"/>
      <c r="AA79" s="342"/>
      <c r="AB79" s="1094"/>
    </row>
    <row r="80" spans="2:28" x14ac:dyDescent="0.5">
      <c r="B80" s="342"/>
      <c r="C80" s="1245"/>
      <c r="D80" s="342"/>
      <c r="E80" s="1090"/>
      <c r="F80" s="1090"/>
      <c r="G80" s="1090"/>
      <c r="H80" s="1090"/>
      <c r="I80" s="1050"/>
      <c r="J80" s="342"/>
      <c r="K80" s="1050"/>
      <c r="L80" s="1050"/>
      <c r="M80" s="1050"/>
      <c r="N80" s="1050"/>
      <c r="O80" s="1050"/>
      <c r="P80" s="1050"/>
      <c r="Q80" s="1212"/>
      <c r="R80" s="342"/>
      <c r="T80" s="342"/>
      <c r="U80" s="1090"/>
      <c r="V80" s="1090"/>
      <c r="W80" s="1090"/>
      <c r="X80" s="1090"/>
      <c r="Y80" s="1090"/>
      <c r="Z80" s="1090"/>
      <c r="AA80" s="342"/>
      <c r="AB80" s="1094"/>
    </row>
    <row r="81" spans="2:21" x14ac:dyDescent="0.5">
      <c r="B81" s="1094"/>
      <c r="C81" s="1094"/>
      <c r="D81" s="1094"/>
      <c r="E81" s="1094"/>
      <c r="F81" s="1095"/>
      <c r="G81" s="1095"/>
      <c r="H81" s="1095"/>
      <c r="I81" s="1095"/>
      <c r="J81" s="1094"/>
      <c r="K81" s="1095"/>
      <c r="L81" s="1095"/>
      <c r="M81" s="1095"/>
      <c r="N81" s="1095"/>
      <c r="O81" s="1095"/>
      <c r="P81" s="1095"/>
      <c r="Q81" s="1095"/>
      <c r="R81" s="1095"/>
      <c r="S81" s="1094"/>
      <c r="T81" s="1094"/>
      <c r="U81" s="1094"/>
    </row>
    <row r="82" spans="2:21" x14ac:dyDescent="0.5">
      <c r="B82" s="1094"/>
      <c r="C82" s="1094"/>
      <c r="D82" s="1094"/>
      <c r="E82" s="1094"/>
      <c r="F82" s="1095"/>
      <c r="G82" s="1095"/>
      <c r="H82" s="1095"/>
      <c r="I82" s="1095"/>
      <c r="J82" s="1094"/>
      <c r="K82" s="1095"/>
      <c r="L82" s="1095"/>
      <c r="M82" s="1095"/>
      <c r="N82" s="1095"/>
      <c r="O82" s="1095"/>
      <c r="P82" s="1095"/>
      <c r="Q82" s="1095"/>
      <c r="R82" s="1095"/>
      <c r="S82" s="1094"/>
      <c r="T82" s="1094"/>
      <c r="U82" s="1094"/>
    </row>
    <row r="83" spans="2:21" x14ac:dyDescent="0.5">
      <c r="B83" s="1094"/>
      <c r="C83" s="1094"/>
      <c r="D83" s="1094"/>
      <c r="E83" s="1094"/>
      <c r="F83" s="1095"/>
      <c r="G83" s="1095"/>
      <c r="H83" s="1095"/>
      <c r="I83" s="1095"/>
      <c r="J83" s="1094"/>
      <c r="K83" s="1095"/>
      <c r="L83" s="1095"/>
      <c r="M83" s="1095"/>
      <c r="N83" s="1095"/>
      <c r="O83" s="1095"/>
      <c r="P83" s="1095"/>
      <c r="Q83" s="1095"/>
      <c r="R83" s="1095"/>
      <c r="S83" s="1094"/>
      <c r="T83" s="1094"/>
      <c r="U83" s="1094"/>
    </row>
  </sheetData>
  <mergeCells count="94">
    <mergeCell ref="J49:Q49"/>
    <mergeCell ref="J50:Q50"/>
    <mergeCell ref="J51:Q51"/>
    <mergeCell ref="C43:H43"/>
    <mergeCell ref="C44:H44"/>
    <mergeCell ref="C45:H45"/>
    <mergeCell ref="C48:H48"/>
    <mergeCell ref="J48:Q48"/>
    <mergeCell ref="T16:X16"/>
    <mergeCell ref="T17:X17"/>
    <mergeCell ref="C3:Z3"/>
    <mergeCell ref="T18:X18"/>
    <mergeCell ref="T15:X15"/>
    <mergeCell ref="M15:Q15"/>
    <mergeCell ref="M16:Q16"/>
    <mergeCell ref="T19:X19"/>
    <mergeCell ref="E15:I15"/>
    <mergeCell ref="C42:H42"/>
    <mergeCell ref="O37:Q37"/>
    <mergeCell ref="C47:H47"/>
    <mergeCell ref="J43:Q43"/>
    <mergeCell ref="J44:Q44"/>
    <mergeCell ref="J45:Q45"/>
    <mergeCell ref="J46:Q46"/>
    <mergeCell ref="J47:Q47"/>
    <mergeCell ref="I39:I52"/>
    <mergeCell ref="C49:H49"/>
    <mergeCell ref="C46:H46"/>
    <mergeCell ref="C39:H39"/>
    <mergeCell ref="C40:H40"/>
    <mergeCell ref="C41:H41"/>
    <mergeCell ref="J39:Q39"/>
    <mergeCell ref="J40:Q40"/>
    <mergeCell ref="J41:Q41"/>
    <mergeCell ref="J42:Q42"/>
    <mergeCell ref="M17:Q17"/>
    <mergeCell ref="M18:Q18"/>
    <mergeCell ref="M19:Q19"/>
    <mergeCell ref="J36:K36"/>
    <mergeCell ref="J37:K37"/>
    <mergeCell ref="L36:M36"/>
    <mergeCell ref="L37:M37"/>
    <mergeCell ref="O36:Q36"/>
    <mergeCell ref="T31:AA31"/>
    <mergeCell ref="B29:AA29"/>
    <mergeCell ref="E25:Y25"/>
    <mergeCell ref="C32:Q32"/>
    <mergeCell ref="C34:Q34"/>
    <mergeCell ref="C36:E36"/>
    <mergeCell ref="C37:E37"/>
    <mergeCell ref="F37:G37"/>
    <mergeCell ref="F36:G36"/>
    <mergeCell ref="H36:I36"/>
    <mergeCell ref="H37:I37"/>
    <mergeCell ref="C58:Q58"/>
    <mergeCell ref="M60:O60"/>
    <mergeCell ref="M61:O61"/>
    <mergeCell ref="C50:H50"/>
    <mergeCell ref="C51:H51"/>
    <mergeCell ref="C52:H52"/>
    <mergeCell ref="C60:G60"/>
    <mergeCell ref="C59:G59"/>
    <mergeCell ref="I59:K59"/>
    <mergeCell ref="J52:Q52"/>
    <mergeCell ref="G79:J79"/>
    <mergeCell ref="L79:O79"/>
    <mergeCell ref="C54:Q54"/>
    <mergeCell ref="C53:Q53"/>
    <mergeCell ref="M59:Q59"/>
    <mergeCell ref="I60:K60"/>
    <mergeCell ref="I61:K61"/>
    <mergeCell ref="C61:G61"/>
    <mergeCell ref="M62:O62"/>
    <mergeCell ref="M63:O63"/>
    <mergeCell ref="D67:P67"/>
    <mergeCell ref="L59:L63"/>
    <mergeCell ref="H59:H63"/>
    <mergeCell ref="I62:K62"/>
    <mergeCell ref="I63:K63"/>
    <mergeCell ref="C56:Q56"/>
    <mergeCell ref="C65:Q65"/>
    <mergeCell ref="C62:G62"/>
    <mergeCell ref="C63:G63"/>
    <mergeCell ref="G78:J78"/>
    <mergeCell ref="L75:O75"/>
    <mergeCell ref="L76:O76"/>
    <mergeCell ref="L77:O77"/>
    <mergeCell ref="L78:O78"/>
    <mergeCell ref="C70:O70"/>
    <mergeCell ref="D71:Q71"/>
    <mergeCell ref="G75:J75"/>
    <mergeCell ref="G76:J76"/>
    <mergeCell ref="G77:J77"/>
    <mergeCell ref="C68:Q68"/>
  </mergeCells>
  <hyperlinks>
    <hyperlink ref="L76" location="'1.Outcomes'!A1" display="'1.Outcomes'!A1" xr:uid="{5A347CC9-FC94-4423-9A8F-361979D1DBAF}"/>
    <hyperlink ref="L77" location="'5.Cons and detailed recon'!A1" display="'5.Cons and detailed recon'!A1" xr:uid="{230431D1-1A0C-44AE-9768-B845FC98D8F3}"/>
    <hyperlink ref="L78" location="'6.Summary'!A1" display="'6.Summary'!A1" xr:uid="{D63D5683-EB97-461F-967C-9CA438CEFFD9}"/>
    <hyperlink ref="P70" location="'PART C- Municipal Details'!A1" display="'PART C- Municipal Details'!A1" xr:uid="{F17BE7D7-C8AB-43D2-B6ED-47AB15E9A32B}"/>
    <hyperlink ref="L79" location="'PART D Graphs'!A1" display="'PART D Graphs'!A1" xr:uid="{2D61CE18-8941-4964-ADFA-2A1AA9C33BCC}"/>
  </hyperlinks>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01A9CC4-2404-40EA-8888-EED47D893665}">
  <sheetPr codeName="Sheet42"/>
  <dimension ref="A1:AT258"/>
  <sheetViews>
    <sheetView topLeftCell="A101" workbookViewId="0">
      <selection activeCell="I123" sqref="I123"/>
    </sheetView>
  </sheetViews>
  <sheetFormatPr defaultColWidth="8.7890625" defaultRowHeight="14.4" x14ac:dyDescent="0.55000000000000004"/>
  <cols>
    <col min="1" max="1" width="17.41796875" style="308" customWidth="1"/>
    <col min="2" max="2" width="8.7890625" style="308"/>
    <col min="3" max="3" width="17.20703125" style="308" customWidth="1"/>
    <col min="4" max="4" width="3.41796875" style="308" customWidth="1"/>
    <col min="5" max="5" width="6.41796875" style="308" customWidth="1"/>
    <col min="6" max="6" width="17.20703125" style="308" customWidth="1"/>
    <col min="7" max="7" width="12.7890625" style="308" customWidth="1"/>
    <col min="8" max="8" width="8.7890625" style="308"/>
    <col min="9" max="9" width="8.7890625" style="1068"/>
    <col min="10" max="16384" width="8.7890625" style="308"/>
  </cols>
  <sheetData>
    <row r="1" spans="1:46" ht="13.2" customHeight="1" x14ac:dyDescent="0.55000000000000004">
      <c r="A1" s="308" t="s">
        <v>867</v>
      </c>
      <c r="C1" s="1023" t="s">
        <v>626</v>
      </c>
      <c r="D1" s="1023" t="s">
        <v>881</v>
      </c>
      <c r="E1" s="1023" t="s">
        <v>882</v>
      </c>
      <c r="F1" s="1023" t="s">
        <v>626</v>
      </c>
      <c r="G1" s="1023" t="s">
        <v>883</v>
      </c>
      <c r="H1" s="1023" t="s">
        <v>884</v>
      </c>
      <c r="I1" s="1039">
        <v>0</v>
      </c>
      <c r="J1" s="308" t="s">
        <v>1536</v>
      </c>
      <c r="K1" s="308" t="s">
        <v>873</v>
      </c>
      <c r="AT1" s="308" t="s">
        <v>867</v>
      </c>
    </row>
    <row r="2" spans="1:46" x14ac:dyDescent="0.55000000000000004">
      <c r="A2" s="308" t="s">
        <v>868</v>
      </c>
      <c r="C2" s="1032" t="s">
        <v>886</v>
      </c>
      <c r="D2" s="1024">
        <v>1</v>
      </c>
      <c r="E2" s="1024" t="s">
        <v>885</v>
      </c>
      <c r="F2" s="1032" t="s">
        <v>886</v>
      </c>
      <c r="G2" s="1025" t="s">
        <v>887</v>
      </c>
      <c r="H2" s="1026" t="s">
        <v>888</v>
      </c>
      <c r="I2" s="1039">
        <v>5.0000000000000001E-3</v>
      </c>
      <c r="J2" s="308" t="s">
        <v>1537</v>
      </c>
      <c r="K2" s="308" t="s">
        <v>870</v>
      </c>
    </row>
    <row r="3" spans="1:46" x14ac:dyDescent="0.55000000000000004">
      <c r="A3" s="308" t="s">
        <v>869</v>
      </c>
      <c r="C3" s="1033" t="s">
        <v>889</v>
      </c>
      <c r="D3" s="1027">
        <v>2</v>
      </c>
      <c r="E3" s="1028" t="s">
        <v>885</v>
      </c>
      <c r="F3" s="1033" t="s">
        <v>889</v>
      </c>
      <c r="G3" s="1029" t="s">
        <v>890</v>
      </c>
      <c r="H3" s="1030" t="s">
        <v>891</v>
      </c>
      <c r="I3" s="1039">
        <v>0.01</v>
      </c>
      <c r="J3" s="308" t="s">
        <v>1538</v>
      </c>
      <c r="K3" s="308" t="s">
        <v>871</v>
      </c>
    </row>
    <row r="4" spans="1:46" x14ac:dyDescent="0.55000000000000004">
      <c r="C4" s="1032" t="s">
        <v>892</v>
      </c>
      <c r="D4" s="1024">
        <v>3</v>
      </c>
      <c r="E4" s="1024" t="s">
        <v>885</v>
      </c>
      <c r="F4" s="1032" t="s">
        <v>892</v>
      </c>
      <c r="G4" s="1025" t="s">
        <v>893</v>
      </c>
      <c r="H4" s="1026" t="s">
        <v>894</v>
      </c>
      <c r="I4" s="1039">
        <v>1.4999999999999999E-2</v>
      </c>
      <c r="K4" s="308" t="s">
        <v>872</v>
      </c>
    </row>
    <row r="5" spans="1:46" x14ac:dyDescent="0.55000000000000004">
      <c r="C5" s="1033" t="s">
        <v>893</v>
      </c>
      <c r="D5" s="1027">
        <v>4</v>
      </c>
      <c r="E5" s="1027" t="s">
        <v>885</v>
      </c>
      <c r="F5" s="1033" t="s">
        <v>893</v>
      </c>
      <c r="G5" s="1029" t="s">
        <v>893</v>
      </c>
      <c r="H5" s="1030" t="s">
        <v>895</v>
      </c>
      <c r="I5" s="1039">
        <v>0.02</v>
      </c>
      <c r="K5" s="308" t="s">
        <v>874</v>
      </c>
    </row>
    <row r="6" spans="1:46" x14ac:dyDescent="0.55000000000000004">
      <c r="A6" s="308" t="s">
        <v>873</v>
      </c>
      <c r="C6" s="1032" t="s">
        <v>896</v>
      </c>
      <c r="D6" s="1024">
        <v>5</v>
      </c>
      <c r="E6" s="1024" t="s">
        <v>885</v>
      </c>
      <c r="F6" s="1032" t="s">
        <v>896</v>
      </c>
      <c r="G6" s="1025" t="s">
        <v>897</v>
      </c>
      <c r="H6" s="1026" t="s">
        <v>898</v>
      </c>
      <c r="I6" s="1039">
        <v>2.5000000000000001E-2</v>
      </c>
      <c r="K6" s="308" t="s">
        <v>1536</v>
      </c>
    </row>
    <row r="7" spans="1:46" x14ac:dyDescent="0.55000000000000004">
      <c r="A7" s="308" t="s">
        <v>870</v>
      </c>
      <c r="C7" s="1033" t="s">
        <v>899</v>
      </c>
      <c r="D7" s="1027">
        <v>6</v>
      </c>
      <c r="E7" s="1027" t="s">
        <v>885</v>
      </c>
      <c r="F7" s="1033" t="s">
        <v>899</v>
      </c>
      <c r="G7" s="1029" t="s">
        <v>900</v>
      </c>
      <c r="H7" s="1030" t="s">
        <v>901</v>
      </c>
      <c r="I7" s="1039">
        <v>0.03</v>
      </c>
      <c r="K7" s="308" t="s">
        <v>1537</v>
      </c>
    </row>
    <row r="8" spans="1:46" x14ac:dyDescent="0.55000000000000004">
      <c r="A8" s="308" t="s">
        <v>871</v>
      </c>
      <c r="C8" s="1032" t="s">
        <v>902</v>
      </c>
      <c r="D8" s="1024">
        <v>7</v>
      </c>
      <c r="E8" s="1024" t="s">
        <v>885</v>
      </c>
      <c r="F8" s="1032" t="s">
        <v>902</v>
      </c>
      <c r="G8" s="1025" t="s">
        <v>900</v>
      </c>
      <c r="H8" s="1026" t="s">
        <v>903</v>
      </c>
      <c r="I8" s="1039">
        <v>3.5000000000000003E-2</v>
      </c>
      <c r="K8" s="308" t="s">
        <v>1538</v>
      </c>
    </row>
    <row r="9" spans="1:46" x14ac:dyDescent="0.55000000000000004">
      <c r="A9" s="308" t="s">
        <v>872</v>
      </c>
      <c r="C9" s="1033" t="s">
        <v>904</v>
      </c>
      <c r="D9" s="1027">
        <v>8</v>
      </c>
      <c r="E9" s="1027" t="s">
        <v>885</v>
      </c>
      <c r="F9" s="1033" t="s">
        <v>904</v>
      </c>
      <c r="G9" s="1029" t="s">
        <v>887</v>
      </c>
      <c r="H9" s="1030" t="s">
        <v>905</v>
      </c>
      <c r="I9" s="1039">
        <v>0.04</v>
      </c>
      <c r="K9" s="308" t="s">
        <v>1539</v>
      </c>
    </row>
    <row r="10" spans="1:46" x14ac:dyDescent="0.55000000000000004">
      <c r="A10" s="308" t="s">
        <v>874</v>
      </c>
      <c r="C10" s="1032" t="s">
        <v>906</v>
      </c>
      <c r="D10" s="1024">
        <v>9</v>
      </c>
      <c r="E10" s="1024" t="s">
        <v>885</v>
      </c>
      <c r="F10" s="1032" t="s">
        <v>906</v>
      </c>
      <c r="G10" s="1025" t="s">
        <v>887</v>
      </c>
      <c r="H10" s="1026" t="s">
        <v>907</v>
      </c>
      <c r="I10" s="1039">
        <v>4.4999999999999998E-2</v>
      </c>
    </row>
    <row r="11" spans="1:46" x14ac:dyDescent="0.55000000000000004">
      <c r="A11" s="308" t="s">
        <v>1536</v>
      </c>
      <c r="C11" s="1033" t="s">
        <v>908</v>
      </c>
      <c r="D11" s="1027">
        <v>10</v>
      </c>
      <c r="E11" s="1027" t="s">
        <v>885</v>
      </c>
      <c r="F11" s="1033" t="s">
        <v>908</v>
      </c>
      <c r="G11" s="1029" t="s">
        <v>887</v>
      </c>
      <c r="H11" s="1030" t="s">
        <v>909</v>
      </c>
      <c r="I11" s="1039">
        <v>0.05</v>
      </c>
    </row>
    <row r="12" spans="1:46" x14ac:dyDescent="0.55000000000000004">
      <c r="A12" s="308" t="s">
        <v>1537</v>
      </c>
      <c r="C12" s="1032" t="s">
        <v>910</v>
      </c>
      <c r="D12" s="1024">
        <v>11</v>
      </c>
      <c r="E12" s="1024" t="s">
        <v>885</v>
      </c>
      <c r="F12" s="1032" t="s">
        <v>910</v>
      </c>
      <c r="G12" s="1025" t="s">
        <v>893</v>
      </c>
      <c r="H12" s="1026" t="s">
        <v>911</v>
      </c>
      <c r="I12" s="1039">
        <v>5.5E-2</v>
      </c>
    </row>
    <row r="13" spans="1:46" x14ac:dyDescent="0.55000000000000004">
      <c r="A13" s="308" t="s">
        <v>1538</v>
      </c>
      <c r="C13" s="1033" t="s">
        <v>912</v>
      </c>
      <c r="D13" s="1027">
        <v>12</v>
      </c>
      <c r="E13" s="1027" t="s">
        <v>885</v>
      </c>
      <c r="F13" s="1033" t="s">
        <v>912</v>
      </c>
      <c r="G13" s="1029" t="s">
        <v>890</v>
      </c>
      <c r="H13" s="1030" t="s">
        <v>913</v>
      </c>
      <c r="I13" s="1039">
        <v>0.06</v>
      </c>
    </row>
    <row r="14" spans="1:46" x14ac:dyDescent="0.55000000000000004">
      <c r="A14" s="308" t="s">
        <v>1539</v>
      </c>
      <c r="C14" s="1032" t="s">
        <v>914</v>
      </c>
      <c r="D14" s="1024">
        <v>13</v>
      </c>
      <c r="E14" s="1024" t="s">
        <v>885</v>
      </c>
      <c r="F14" s="1032" t="s">
        <v>914</v>
      </c>
      <c r="G14" s="1025" t="s">
        <v>897</v>
      </c>
      <c r="H14" s="1026" t="s">
        <v>915</v>
      </c>
      <c r="I14" s="1039">
        <v>6.5000000000000002E-2</v>
      </c>
    </row>
    <row r="15" spans="1:46" x14ac:dyDescent="0.55000000000000004">
      <c r="C15" s="1033" t="s">
        <v>916</v>
      </c>
      <c r="D15" s="1027">
        <v>14</v>
      </c>
      <c r="E15" s="1027" t="s">
        <v>885</v>
      </c>
      <c r="F15" s="1033" t="s">
        <v>916</v>
      </c>
      <c r="G15" s="1029" t="s">
        <v>900</v>
      </c>
      <c r="H15" s="1030" t="s">
        <v>917</v>
      </c>
      <c r="I15" s="1039">
        <v>7.0000000000000007E-2</v>
      </c>
    </row>
    <row r="16" spans="1:46" x14ac:dyDescent="0.55000000000000004">
      <c r="C16" s="1032" t="s">
        <v>918</v>
      </c>
      <c r="D16" s="1024">
        <v>15</v>
      </c>
      <c r="E16" s="1024" t="s">
        <v>885</v>
      </c>
      <c r="F16" s="1032" t="s">
        <v>918</v>
      </c>
      <c r="G16" s="1025" t="s">
        <v>887</v>
      </c>
      <c r="H16" s="1026" t="s">
        <v>919</v>
      </c>
      <c r="I16" s="1039">
        <v>7.4999999999999997E-2</v>
      </c>
    </row>
    <row r="17" spans="3:9" x14ac:dyDescent="0.55000000000000004">
      <c r="C17" s="1033" t="s">
        <v>920</v>
      </c>
      <c r="D17" s="1027">
        <v>16</v>
      </c>
      <c r="E17" s="1027" t="s">
        <v>885</v>
      </c>
      <c r="F17" s="1033" t="s">
        <v>920</v>
      </c>
      <c r="G17" s="1029" t="s">
        <v>890</v>
      </c>
      <c r="H17" s="1030" t="s">
        <v>921</v>
      </c>
      <c r="I17" s="1039">
        <v>0.08</v>
      </c>
    </row>
    <row r="18" spans="3:9" x14ac:dyDescent="0.55000000000000004">
      <c r="C18" s="1032" t="s">
        <v>922</v>
      </c>
      <c r="D18" s="1024">
        <v>17</v>
      </c>
      <c r="E18" s="1024" t="s">
        <v>885</v>
      </c>
      <c r="F18" s="1032" t="s">
        <v>922</v>
      </c>
      <c r="G18" s="1025" t="s">
        <v>890</v>
      </c>
      <c r="H18" s="1026" t="s">
        <v>923</v>
      </c>
      <c r="I18" s="1039">
        <v>8.5000000000000006E-2</v>
      </c>
    </row>
    <row r="19" spans="3:9" x14ac:dyDescent="0.55000000000000004">
      <c r="C19" s="1033" t="s">
        <v>924</v>
      </c>
      <c r="D19" s="1027">
        <v>18</v>
      </c>
      <c r="E19" s="1027" t="s">
        <v>885</v>
      </c>
      <c r="F19" s="1033" t="s">
        <v>924</v>
      </c>
      <c r="G19" s="1029" t="s">
        <v>893</v>
      </c>
      <c r="H19" s="1030" t="s">
        <v>925</v>
      </c>
      <c r="I19" s="1039">
        <v>0.09</v>
      </c>
    </row>
    <row r="20" spans="3:9" x14ac:dyDescent="0.55000000000000004">
      <c r="C20" s="1032" t="s">
        <v>887</v>
      </c>
      <c r="D20" s="1024">
        <v>19</v>
      </c>
      <c r="E20" s="1024" t="s">
        <v>885</v>
      </c>
      <c r="F20" s="1032" t="s">
        <v>887</v>
      </c>
      <c r="G20" s="1025" t="s">
        <v>887</v>
      </c>
      <c r="H20" s="1026" t="s">
        <v>926</v>
      </c>
      <c r="I20" s="1039">
        <v>9.5000000000000001E-2</v>
      </c>
    </row>
    <row r="21" spans="3:9" x14ac:dyDescent="0.55000000000000004">
      <c r="C21" s="1033" t="s">
        <v>927</v>
      </c>
      <c r="D21" s="1027">
        <v>20</v>
      </c>
      <c r="E21" s="1027" t="s">
        <v>885</v>
      </c>
      <c r="F21" s="1033" t="s">
        <v>927</v>
      </c>
      <c r="G21" s="1029" t="s">
        <v>897</v>
      </c>
      <c r="H21" s="1030" t="s">
        <v>928</v>
      </c>
      <c r="I21" s="1039">
        <v>0.1</v>
      </c>
    </row>
    <row r="22" spans="3:9" x14ac:dyDescent="0.55000000000000004">
      <c r="C22" s="1032" t="s">
        <v>929</v>
      </c>
      <c r="D22" s="1024">
        <v>21</v>
      </c>
      <c r="E22" s="1024" t="s">
        <v>885</v>
      </c>
      <c r="F22" s="1032" t="s">
        <v>929</v>
      </c>
      <c r="G22" s="1025" t="s">
        <v>893</v>
      </c>
      <c r="H22" s="1026" t="s">
        <v>930</v>
      </c>
      <c r="I22" s="1039">
        <v>0.105</v>
      </c>
    </row>
    <row r="23" spans="3:9" x14ac:dyDescent="0.55000000000000004">
      <c r="C23" s="1033" t="s">
        <v>900</v>
      </c>
      <c r="D23" s="1027">
        <v>22</v>
      </c>
      <c r="E23" s="1027" t="s">
        <v>885</v>
      </c>
      <c r="F23" s="1033" t="s">
        <v>900</v>
      </c>
      <c r="G23" s="1029" t="s">
        <v>900</v>
      </c>
      <c r="H23" s="1030" t="s">
        <v>931</v>
      </c>
      <c r="I23" s="1039">
        <v>0.11</v>
      </c>
    </row>
    <row r="24" spans="3:9" x14ac:dyDescent="0.55000000000000004">
      <c r="C24" s="1032" t="s">
        <v>932</v>
      </c>
      <c r="D24" s="1024">
        <v>23</v>
      </c>
      <c r="E24" s="1024" t="s">
        <v>885</v>
      </c>
      <c r="F24" s="1032" t="s">
        <v>932</v>
      </c>
      <c r="G24" s="1025" t="s">
        <v>890</v>
      </c>
      <c r="H24" s="1026" t="s">
        <v>933</v>
      </c>
      <c r="I24" s="1039">
        <v>0.115</v>
      </c>
    </row>
    <row r="25" spans="3:9" x14ac:dyDescent="0.55000000000000004">
      <c r="C25" s="1033" t="s">
        <v>934</v>
      </c>
      <c r="D25" s="1027">
        <v>24</v>
      </c>
      <c r="E25" s="1027" t="s">
        <v>885</v>
      </c>
      <c r="F25" s="1033" t="s">
        <v>934</v>
      </c>
      <c r="G25" s="1029" t="s">
        <v>897</v>
      </c>
      <c r="H25" s="1030" t="s">
        <v>935</v>
      </c>
      <c r="I25" s="1039">
        <v>0.12</v>
      </c>
    </row>
    <row r="26" spans="3:9" x14ac:dyDescent="0.55000000000000004">
      <c r="C26" s="1032" t="s">
        <v>936</v>
      </c>
      <c r="D26" s="1024">
        <v>25</v>
      </c>
      <c r="E26" s="1024" t="s">
        <v>885</v>
      </c>
      <c r="F26" s="1032" t="s">
        <v>936</v>
      </c>
      <c r="G26" s="1025" t="s">
        <v>900</v>
      </c>
      <c r="H26" s="1026" t="s">
        <v>937</v>
      </c>
      <c r="I26" s="1039">
        <v>0.125</v>
      </c>
    </row>
    <row r="27" spans="3:9" x14ac:dyDescent="0.55000000000000004">
      <c r="C27" s="1033" t="s">
        <v>897</v>
      </c>
      <c r="D27" s="1027">
        <v>26</v>
      </c>
      <c r="E27" s="1027" t="s">
        <v>885</v>
      </c>
      <c r="F27" s="1033" t="s">
        <v>897</v>
      </c>
      <c r="G27" s="1029" t="s">
        <v>897</v>
      </c>
      <c r="H27" s="1030" t="s">
        <v>938</v>
      </c>
      <c r="I27" s="1039">
        <v>0.13</v>
      </c>
    </row>
    <row r="28" spans="3:9" x14ac:dyDescent="0.55000000000000004">
      <c r="C28" s="1032" t="s">
        <v>890</v>
      </c>
      <c r="D28" s="1024">
        <v>27</v>
      </c>
      <c r="E28" s="1024" t="s">
        <v>885</v>
      </c>
      <c r="F28" s="1032" t="s">
        <v>890</v>
      </c>
      <c r="G28" s="1025" t="s">
        <v>890</v>
      </c>
      <c r="H28" s="1026" t="s">
        <v>939</v>
      </c>
      <c r="I28" s="1039">
        <v>0.13500000000000001</v>
      </c>
    </row>
    <row r="29" spans="3:9" x14ac:dyDescent="0.55000000000000004">
      <c r="C29" s="1033" t="s">
        <v>941</v>
      </c>
      <c r="D29" s="1027">
        <v>28</v>
      </c>
      <c r="E29" s="1027" t="s">
        <v>940</v>
      </c>
      <c r="F29" s="1033" t="s">
        <v>941</v>
      </c>
      <c r="G29" s="1029" t="s">
        <v>942</v>
      </c>
      <c r="H29" s="1030" t="s">
        <v>943</v>
      </c>
      <c r="I29" s="1039">
        <v>0.14000000000000001</v>
      </c>
    </row>
    <row r="30" spans="3:9" x14ac:dyDescent="0.55000000000000004">
      <c r="C30" s="1032" t="s">
        <v>944</v>
      </c>
      <c r="D30" s="1024">
        <v>29</v>
      </c>
      <c r="E30" s="1024" t="s">
        <v>940</v>
      </c>
      <c r="F30" s="1032" t="s">
        <v>944</v>
      </c>
      <c r="G30" s="1025" t="s">
        <v>945</v>
      </c>
      <c r="H30" s="1026" t="s">
        <v>946</v>
      </c>
      <c r="I30" s="1039">
        <v>0.14499999999999999</v>
      </c>
    </row>
    <row r="31" spans="3:9" x14ac:dyDescent="0.55000000000000004">
      <c r="C31" s="1033" t="s">
        <v>947</v>
      </c>
      <c r="D31" s="1027">
        <v>30</v>
      </c>
      <c r="E31" s="1027" t="s">
        <v>940</v>
      </c>
      <c r="F31" s="1033" t="s">
        <v>947</v>
      </c>
      <c r="G31" s="1029" t="s">
        <v>942</v>
      </c>
      <c r="H31" s="1030" t="s">
        <v>948</v>
      </c>
      <c r="I31" s="1039">
        <v>0.15</v>
      </c>
    </row>
    <row r="32" spans="3:9" x14ac:dyDescent="0.55000000000000004">
      <c r="C32" s="1032" t="s">
        <v>949</v>
      </c>
      <c r="D32" s="1024">
        <v>31</v>
      </c>
      <c r="E32" s="1024" t="s">
        <v>940</v>
      </c>
      <c r="F32" s="1032" t="s">
        <v>949</v>
      </c>
      <c r="G32" s="1025" t="s">
        <v>950</v>
      </c>
      <c r="H32" s="1026" t="s">
        <v>951</v>
      </c>
      <c r="I32" s="1039">
        <v>0.155</v>
      </c>
    </row>
    <row r="33" spans="3:9" x14ac:dyDescent="0.55000000000000004">
      <c r="C33" s="1033" t="s">
        <v>952</v>
      </c>
      <c r="D33" s="1027">
        <v>32</v>
      </c>
      <c r="E33" s="1027" t="s">
        <v>940</v>
      </c>
      <c r="F33" s="1033" t="s">
        <v>952</v>
      </c>
      <c r="G33" s="1029" t="s">
        <v>950</v>
      </c>
      <c r="H33" s="1030" t="s">
        <v>953</v>
      </c>
      <c r="I33" s="1039">
        <v>0.16</v>
      </c>
    </row>
    <row r="34" spans="3:9" x14ac:dyDescent="0.55000000000000004">
      <c r="C34" s="1032" t="s">
        <v>954</v>
      </c>
      <c r="D34" s="1024">
        <v>33</v>
      </c>
      <c r="E34" s="1024" t="s">
        <v>940</v>
      </c>
      <c r="F34" s="1032" t="s">
        <v>954</v>
      </c>
      <c r="G34" s="1025" t="s">
        <v>942</v>
      </c>
      <c r="H34" s="1026" t="s">
        <v>955</v>
      </c>
      <c r="I34" s="1039">
        <v>0.16500000000000001</v>
      </c>
    </row>
    <row r="35" spans="3:9" x14ac:dyDescent="0.55000000000000004">
      <c r="C35" s="1033" t="s">
        <v>956</v>
      </c>
      <c r="D35" s="1027">
        <v>34</v>
      </c>
      <c r="E35" s="1027" t="s">
        <v>940</v>
      </c>
      <c r="F35" s="1033" t="s">
        <v>956</v>
      </c>
      <c r="G35" s="1029" t="s">
        <v>957</v>
      </c>
      <c r="H35" s="1030" t="s">
        <v>958</v>
      </c>
      <c r="I35" s="1039">
        <v>0.17</v>
      </c>
    </row>
    <row r="36" spans="3:9" x14ac:dyDescent="0.55000000000000004">
      <c r="C36" s="1032" t="s">
        <v>959</v>
      </c>
      <c r="D36" s="1024">
        <v>35</v>
      </c>
      <c r="E36" s="1024" t="s">
        <v>940</v>
      </c>
      <c r="F36" s="1032" t="s">
        <v>959</v>
      </c>
      <c r="G36" s="1025" t="s">
        <v>957</v>
      </c>
      <c r="H36" s="1026" t="s">
        <v>960</v>
      </c>
      <c r="I36" s="1039">
        <v>0.17499999999999999</v>
      </c>
    </row>
    <row r="37" spans="3:9" x14ac:dyDescent="0.55000000000000004">
      <c r="C37" s="1033" t="s">
        <v>961</v>
      </c>
      <c r="D37" s="1027">
        <v>36</v>
      </c>
      <c r="E37" s="1027" t="s">
        <v>940</v>
      </c>
      <c r="F37" s="1033" t="s">
        <v>961</v>
      </c>
      <c r="G37" s="1029" t="s">
        <v>957</v>
      </c>
      <c r="H37" s="1030" t="s">
        <v>962</v>
      </c>
      <c r="I37" s="1039">
        <v>0.18</v>
      </c>
    </row>
    <row r="38" spans="3:9" x14ac:dyDescent="0.55000000000000004">
      <c r="C38" s="1032" t="s">
        <v>963</v>
      </c>
      <c r="D38" s="1024">
        <v>37</v>
      </c>
      <c r="E38" s="1024" t="s">
        <v>940</v>
      </c>
      <c r="F38" s="1032" t="s">
        <v>963</v>
      </c>
      <c r="G38" s="1025" t="s">
        <v>950</v>
      </c>
      <c r="H38" s="1026" t="s">
        <v>964</v>
      </c>
      <c r="I38" s="1039">
        <v>0.185</v>
      </c>
    </row>
    <row r="39" spans="3:9" x14ac:dyDescent="0.55000000000000004">
      <c r="C39" s="1033" t="s">
        <v>965</v>
      </c>
      <c r="D39" s="1027">
        <v>38</v>
      </c>
      <c r="E39" s="1027" t="s">
        <v>940</v>
      </c>
      <c r="F39" s="1033" t="s">
        <v>965</v>
      </c>
      <c r="G39" s="1029" t="s">
        <v>950</v>
      </c>
      <c r="H39" s="1030" t="s">
        <v>966</v>
      </c>
      <c r="I39" s="1039">
        <v>0.19</v>
      </c>
    </row>
    <row r="40" spans="3:9" x14ac:dyDescent="0.55000000000000004">
      <c r="C40" s="1032" t="s">
        <v>967</v>
      </c>
      <c r="D40" s="1024">
        <v>39</v>
      </c>
      <c r="E40" s="1024" t="s">
        <v>940</v>
      </c>
      <c r="F40" s="1032" t="s">
        <v>967</v>
      </c>
      <c r="G40" s="1025" t="s">
        <v>945</v>
      </c>
      <c r="H40" s="1026" t="s">
        <v>968</v>
      </c>
      <c r="I40" s="1039">
        <v>0.19500000000000001</v>
      </c>
    </row>
    <row r="41" spans="3:9" x14ac:dyDescent="0.55000000000000004">
      <c r="C41" s="1033" t="s">
        <v>969</v>
      </c>
      <c r="D41" s="1027">
        <v>40</v>
      </c>
      <c r="E41" s="1027" t="s">
        <v>940</v>
      </c>
      <c r="F41" s="1033" t="s">
        <v>969</v>
      </c>
      <c r="G41" s="1029" t="s">
        <v>970</v>
      </c>
      <c r="H41" s="1030" t="s">
        <v>971</v>
      </c>
      <c r="I41" s="1039">
        <v>0.2</v>
      </c>
    </row>
    <row r="42" spans="3:9" x14ac:dyDescent="0.55000000000000004">
      <c r="C42" s="1032" t="s">
        <v>972</v>
      </c>
      <c r="D42" s="1024">
        <v>41</v>
      </c>
      <c r="E42" s="1024" t="s">
        <v>940</v>
      </c>
      <c r="F42" s="1032" t="s">
        <v>972</v>
      </c>
      <c r="G42" s="1025" t="s">
        <v>945</v>
      </c>
      <c r="H42" s="1026" t="s">
        <v>973</v>
      </c>
      <c r="I42" s="1039">
        <v>0.20499999999999999</v>
      </c>
    </row>
    <row r="43" spans="3:9" x14ac:dyDescent="0.55000000000000004">
      <c r="C43" s="1033" t="s">
        <v>974</v>
      </c>
      <c r="D43" s="1027">
        <v>42</v>
      </c>
      <c r="E43" s="1027" t="s">
        <v>940</v>
      </c>
      <c r="F43" s="1033" t="s">
        <v>974</v>
      </c>
      <c r="G43" s="1029" t="s">
        <v>945</v>
      </c>
      <c r="H43" s="1030" t="s">
        <v>975</v>
      </c>
      <c r="I43" s="1039">
        <v>0.21</v>
      </c>
    </row>
    <row r="44" spans="3:9" x14ac:dyDescent="0.55000000000000004">
      <c r="C44" s="1032" t="s">
        <v>976</v>
      </c>
      <c r="D44" s="1024">
        <v>43</v>
      </c>
      <c r="E44" s="1024" t="s">
        <v>940</v>
      </c>
      <c r="F44" s="1032" t="s">
        <v>976</v>
      </c>
      <c r="G44" s="1025" t="s">
        <v>977</v>
      </c>
      <c r="H44" s="1026" t="s">
        <v>978</v>
      </c>
      <c r="I44" s="1039">
        <v>0.215</v>
      </c>
    </row>
    <row r="45" spans="3:9" x14ac:dyDescent="0.55000000000000004">
      <c r="C45" s="1033" t="s">
        <v>979</v>
      </c>
      <c r="D45" s="1027">
        <v>44</v>
      </c>
      <c r="E45" s="1027" t="s">
        <v>940</v>
      </c>
      <c r="F45" s="1033" t="s">
        <v>979</v>
      </c>
      <c r="G45" s="1029" t="s">
        <v>980</v>
      </c>
      <c r="H45" s="1030" t="s">
        <v>981</v>
      </c>
      <c r="I45" s="1039">
        <v>0.22</v>
      </c>
    </row>
    <row r="46" spans="3:9" x14ac:dyDescent="0.55000000000000004">
      <c r="C46" s="1032" t="s">
        <v>982</v>
      </c>
      <c r="D46" s="1024">
        <v>45</v>
      </c>
      <c r="E46" s="1024" t="s">
        <v>940</v>
      </c>
      <c r="F46" s="1032" t="s">
        <v>982</v>
      </c>
      <c r="G46" s="1025" t="s">
        <v>977</v>
      </c>
      <c r="H46" s="1026" t="s">
        <v>983</v>
      </c>
      <c r="I46" s="1039">
        <v>0.22500000000000001</v>
      </c>
    </row>
    <row r="47" spans="3:9" x14ac:dyDescent="0.55000000000000004">
      <c r="C47" s="1033" t="s">
        <v>984</v>
      </c>
      <c r="D47" s="1027">
        <v>46</v>
      </c>
      <c r="E47" s="1027" t="s">
        <v>940</v>
      </c>
      <c r="F47" s="1033" t="s">
        <v>984</v>
      </c>
      <c r="G47" s="1029" t="s">
        <v>970</v>
      </c>
      <c r="H47" s="1030" t="s">
        <v>985</v>
      </c>
      <c r="I47" s="1039">
        <v>0.23</v>
      </c>
    </row>
    <row r="48" spans="3:9" x14ac:dyDescent="0.55000000000000004">
      <c r="C48" s="1032" t="s">
        <v>986</v>
      </c>
      <c r="D48" s="1024">
        <v>47</v>
      </c>
      <c r="E48" s="1024" t="s">
        <v>940</v>
      </c>
      <c r="F48" s="1032" t="s">
        <v>986</v>
      </c>
      <c r="G48" s="1025" t="s">
        <v>957</v>
      </c>
      <c r="H48" s="1026" t="s">
        <v>987</v>
      </c>
      <c r="I48" s="1039">
        <v>0.23499999999999999</v>
      </c>
    </row>
    <row r="49" spans="3:9" x14ac:dyDescent="0.55000000000000004">
      <c r="C49" s="1033" t="s">
        <v>988</v>
      </c>
      <c r="D49" s="1027">
        <v>48</v>
      </c>
      <c r="E49" s="1027" t="s">
        <v>940</v>
      </c>
      <c r="F49" s="1033" t="s">
        <v>988</v>
      </c>
      <c r="G49" s="1029" t="s">
        <v>977</v>
      </c>
      <c r="H49" s="1030" t="s">
        <v>989</v>
      </c>
      <c r="I49" s="1039">
        <v>0.24</v>
      </c>
    </row>
    <row r="50" spans="3:9" x14ac:dyDescent="0.55000000000000004">
      <c r="C50" s="1032" t="s">
        <v>990</v>
      </c>
      <c r="D50" s="1024">
        <v>49</v>
      </c>
      <c r="E50" s="1024" t="s">
        <v>940</v>
      </c>
      <c r="F50" s="1032" t="s">
        <v>990</v>
      </c>
      <c r="G50" s="1025" t="s">
        <v>977</v>
      </c>
      <c r="H50" s="1026" t="s">
        <v>991</v>
      </c>
      <c r="I50" s="1039">
        <v>0.245</v>
      </c>
    </row>
    <row r="51" spans="3:9" x14ac:dyDescent="0.55000000000000004">
      <c r="C51" s="1033" t="s">
        <v>992</v>
      </c>
      <c r="D51" s="1027">
        <v>50</v>
      </c>
      <c r="E51" s="1027" t="s">
        <v>940</v>
      </c>
      <c r="F51" s="1033" t="s">
        <v>992</v>
      </c>
      <c r="G51" s="1029" t="s">
        <v>970</v>
      </c>
      <c r="H51" s="1030" t="s">
        <v>993</v>
      </c>
      <c r="I51" s="1039">
        <v>0.25</v>
      </c>
    </row>
    <row r="52" spans="3:9" x14ac:dyDescent="0.55000000000000004">
      <c r="C52" s="1032" t="s">
        <v>994</v>
      </c>
      <c r="D52" s="1024">
        <v>51</v>
      </c>
      <c r="E52" s="1024" t="s">
        <v>940</v>
      </c>
      <c r="F52" s="1032" t="s">
        <v>994</v>
      </c>
      <c r="G52" s="1025" t="s">
        <v>950</v>
      </c>
      <c r="H52" s="1026" t="s">
        <v>995</v>
      </c>
      <c r="I52" s="1039">
        <v>0.255</v>
      </c>
    </row>
    <row r="53" spans="3:9" x14ac:dyDescent="0.55000000000000004">
      <c r="C53" s="1033" t="s">
        <v>996</v>
      </c>
      <c r="D53" s="1027">
        <v>52</v>
      </c>
      <c r="E53" s="1027" t="s">
        <v>940</v>
      </c>
      <c r="F53" s="1033" t="s">
        <v>996</v>
      </c>
      <c r="G53" s="1029" t="s">
        <v>970</v>
      </c>
      <c r="H53" s="1030" t="s">
        <v>997</v>
      </c>
      <c r="I53" s="1039">
        <v>0.26</v>
      </c>
    </row>
    <row r="54" spans="3:9" x14ac:dyDescent="0.55000000000000004">
      <c r="C54" s="1032" t="s">
        <v>998</v>
      </c>
      <c r="D54" s="1024">
        <v>53</v>
      </c>
      <c r="E54" s="1024" t="s">
        <v>940</v>
      </c>
      <c r="F54" s="1032" t="s">
        <v>998</v>
      </c>
      <c r="G54" s="1025" t="s">
        <v>977</v>
      </c>
      <c r="H54" s="1026" t="s">
        <v>999</v>
      </c>
      <c r="I54" s="1039">
        <v>0.26500000000000001</v>
      </c>
    </row>
    <row r="55" spans="3:9" x14ac:dyDescent="0.55000000000000004">
      <c r="C55" s="1033" t="s">
        <v>1000</v>
      </c>
      <c r="D55" s="1027">
        <v>54</v>
      </c>
      <c r="E55" s="1027" t="s">
        <v>940</v>
      </c>
      <c r="F55" s="1033" t="s">
        <v>1000</v>
      </c>
      <c r="G55" s="1029" t="s">
        <v>970</v>
      </c>
      <c r="H55" s="1030" t="s">
        <v>1001</v>
      </c>
      <c r="I55" s="1039">
        <v>0.27</v>
      </c>
    </row>
    <row r="56" spans="3:9" x14ac:dyDescent="0.55000000000000004">
      <c r="C56" s="1032" t="s">
        <v>1002</v>
      </c>
      <c r="D56" s="1024">
        <v>55</v>
      </c>
      <c r="E56" s="1024" t="s">
        <v>940</v>
      </c>
      <c r="F56" s="1032" t="s">
        <v>1002</v>
      </c>
      <c r="G56" s="1025" t="s">
        <v>957</v>
      </c>
      <c r="H56" s="1026" t="s">
        <v>1003</v>
      </c>
      <c r="I56" s="1039">
        <v>0.27500000000000002</v>
      </c>
    </row>
    <row r="57" spans="3:9" x14ac:dyDescent="0.55000000000000004">
      <c r="C57" s="1033" t="s">
        <v>1004</v>
      </c>
      <c r="D57" s="1027">
        <v>56</v>
      </c>
      <c r="E57" s="1027" t="s">
        <v>940</v>
      </c>
      <c r="F57" s="1033" t="s">
        <v>1004</v>
      </c>
      <c r="G57" s="1029" t="s">
        <v>945</v>
      </c>
      <c r="H57" s="1030" t="s">
        <v>1005</v>
      </c>
      <c r="I57" s="1039">
        <v>0.28000000000000003</v>
      </c>
    </row>
    <row r="58" spans="3:9" x14ac:dyDescent="0.55000000000000004">
      <c r="C58" s="1032" t="s">
        <v>1006</v>
      </c>
      <c r="D58" s="1024">
        <v>57</v>
      </c>
      <c r="E58" s="1024" t="s">
        <v>940</v>
      </c>
      <c r="F58" s="1032" t="s">
        <v>1006</v>
      </c>
      <c r="G58" s="1025" t="s">
        <v>970</v>
      </c>
      <c r="H58" s="1026" t="s">
        <v>1007</v>
      </c>
      <c r="I58" s="1039">
        <v>0.28499999999999998</v>
      </c>
    </row>
    <row r="59" spans="3:9" x14ac:dyDescent="0.55000000000000004">
      <c r="C59" s="1033" t="s">
        <v>1008</v>
      </c>
      <c r="D59" s="1027">
        <v>58</v>
      </c>
      <c r="E59" s="1027" t="s">
        <v>940</v>
      </c>
      <c r="F59" s="1033" t="s">
        <v>1008</v>
      </c>
      <c r="G59" s="1029" t="s">
        <v>957</v>
      </c>
      <c r="H59" s="1030" t="s">
        <v>1009</v>
      </c>
      <c r="I59" s="1039">
        <v>0.28999999999999998</v>
      </c>
    </row>
    <row r="60" spans="3:9" x14ac:dyDescent="0.55000000000000004">
      <c r="C60" s="1032" t="s">
        <v>1010</v>
      </c>
      <c r="D60" s="1024">
        <v>59</v>
      </c>
      <c r="E60" s="1024" t="s">
        <v>940</v>
      </c>
      <c r="F60" s="1032" t="s">
        <v>1010</v>
      </c>
      <c r="G60" s="1025" t="s">
        <v>950</v>
      </c>
      <c r="H60" s="1026" t="s">
        <v>1011</v>
      </c>
      <c r="I60" s="1039">
        <v>0.29499999999999998</v>
      </c>
    </row>
    <row r="61" spans="3:9" x14ac:dyDescent="0.55000000000000004">
      <c r="C61" s="1033" t="s">
        <v>1012</v>
      </c>
      <c r="D61" s="1027">
        <v>60</v>
      </c>
      <c r="E61" s="1027" t="s">
        <v>940</v>
      </c>
      <c r="F61" s="1033" t="s">
        <v>1012</v>
      </c>
      <c r="G61" s="1029" t="s">
        <v>970</v>
      </c>
      <c r="H61" s="1030" t="s">
        <v>1013</v>
      </c>
      <c r="I61" s="1039">
        <v>0.3</v>
      </c>
    </row>
    <row r="62" spans="3:9" x14ac:dyDescent="0.55000000000000004">
      <c r="C62" s="1032" t="s">
        <v>1014</v>
      </c>
      <c r="D62" s="1024">
        <v>61</v>
      </c>
      <c r="E62" s="1024" t="s">
        <v>940</v>
      </c>
      <c r="F62" s="1032" t="s">
        <v>1014</v>
      </c>
      <c r="G62" s="1025" t="s">
        <v>977</v>
      </c>
      <c r="H62" s="1026" t="s">
        <v>1015</v>
      </c>
      <c r="I62" s="1039">
        <v>0.30499999999999999</v>
      </c>
    </row>
    <row r="63" spans="3:9" x14ac:dyDescent="0.55000000000000004">
      <c r="C63" s="1033" t="s">
        <v>1016</v>
      </c>
      <c r="D63" s="1027">
        <v>62</v>
      </c>
      <c r="E63" s="1027" t="s">
        <v>940</v>
      </c>
      <c r="F63" s="1033" t="s">
        <v>1016</v>
      </c>
      <c r="G63" s="1029" t="s">
        <v>950</v>
      </c>
      <c r="H63" s="1030" t="s">
        <v>1017</v>
      </c>
      <c r="I63" s="1039">
        <v>0.31</v>
      </c>
    </row>
    <row r="64" spans="3:9" x14ac:dyDescent="0.55000000000000004">
      <c r="C64" s="1032" t="s">
        <v>1018</v>
      </c>
      <c r="D64" s="1024">
        <v>63</v>
      </c>
      <c r="E64" s="1024" t="s">
        <v>940</v>
      </c>
      <c r="F64" s="1032" t="s">
        <v>1018</v>
      </c>
      <c r="G64" s="1025" t="s">
        <v>950</v>
      </c>
      <c r="H64" s="1026" t="s">
        <v>1019</v>
      </c>
      <c r="I64" s="1039">
        <v>0.315</v>
      </c>
    </row>
    <row r="65" spans="3:9" x14ac:dyDescent="0.55000000000000004">
      <c r="C65" s="1033" t="s">
        <v>1020</v>
      </c>
      <c r="D65" s="1027">
        <v>64</v>
      </c>
      <c r="E65" s="1027" t="s">
        <v>940</v>
      </c>
      <c r="F65" s="1033" t="s">
        <v>1020</v>
      </c>
      <c r="G65" s="1029" t="s">
        <v>942</v>
      </c>
      <c r="H65" s="1030" t="s">
        <v>1021</v>
      </c>
      <c r="I65" s="1039">
        <v>0.32</v>
      </c>
    </row>
    <row r="66" spans="3:9" x14ac:dyDescent="0.55000000000000004">
      <c r="C66" s="1032" t="s">
        <v>1022</v>
      </c>
      <c r="D66" s="1024">
        <v>65</v>
      </c>
      <c r="E66" s="1024" t="s">
        <v>940</v>
      </c>
      <c r="F66" s="1032" t="s">
        <v>1022</v>
      </c>
      <c r="G66" s="1025" t="s">
        <v>1023</v>
      </c>
      <c r="H66" s="1026" t="s">
        <v>1024</v>
      </c>
      <c r="I66" s="1039">
        <v>0.32500000000000001</v>
      </c>
    </row>
    <row r="67" spans="3:9" x14ac:dyDescent="0.55000000000000004">
      <c r="C67" s="1033" t="s">
        <v>1026</v>
      </c>
      <c r="D67" s="1027">
        <v>66</v>
      </c>
      <c r="E67" s="1027" t="s">
        <v>1025</v>
      </c>
      <c r="F67" s="1033" t="s">
        <v>1026</v>
      </c>
      <c r="G67" s="1029" t="s">
        <v>957</v>
      </c>
      <c r="H67" s="1030" t="s">
        <v>1027</v>
      </c>
      <c r="I67" s="1039">
        <v>0.33</v>
      </c>
    </row>
    <row r="68" spans="3:9" x14ac:dyDescent="0.55000000000000004">
      <c r="C68" s="1032" t="s">
        <v>1028</v>
      </c>
      <c r="D68" s="1024">
        <v>67</v>
      </c>
      <c r="E68" s="1024" t="s">
        <v>1025</v>
      </c>
      <c r="F68" s="1032" t="s">
        <v>1028</v>
      </c>
      <c r="G68" s="1025" t="s">
        <v>1029</v>
      </c>
      <c r="H68" s="1026" t="s">
        <v>1030</v>
      </c>
      <c r="I68" s="1039">
        <v>0.33500000000000002</v>
      </c>
    </row>
    <row r="69" spans="3:9" x14ac:dyDescent="0.55000000000000004">
      <c r="C69" s="1033" t="s">
        <v>1031</v>
      </c>
      <c r="D69" s="1027">
        <v>68</v>
      </c>
      <c r="E69" s="1027" t="s">
        <v>1025</v>
      </c>
      <c r="F69" s="1033" t="s">
        <v>1031</v>
      </c>
      <c r="G69" s="1029" t="s">
        <v>1032</v>
      </c>
      <c r="H69" s="1030" t="s">
        <v>1033</v>
      </c>
      <c r="I69" s="1039">
        <v>0.34</v>
      </c>
    </row>
    <row r="70" spans="3:9" x14ac:dyDescent="0.55000000000000004">
      <c r="C70" s="1032" t="s">
        <v>1561</v>
      </c>
      <c r="D70" s="891">
        <v>999</v>
      </c>
      <c r="E70" s="1031" t="s">
        <v>1562</v>
      </c>
      <c r="F70" s="1032" t="s">
        <v>1561</v>
      </c>
      <c r="G70" s="1025" t="s">
        <v>1563</v>
      </c>
      <c r="H70" s="1026" t="s">
        <v>1564</v>
      </c>
      <c r="I70" s="1039">
        <v>0.34499999999999997</v>
      </c>
    </row>
    <row r="71" spans="3:9" x14ac:dyDescent="0.55000000000000004">
      <c r="C71" s="1033" t="s">
        <v>1035</v>
      </c>
      <c r="D71" s="1027">
        <v>70</v>
      </c>
      <c r="E71" s="1027" t="s">
        <v>1025</v>
      </c>
      <c r="F71" s="1033" t="s">
        <v>1035</v>
      </c>
      <c r="G71" s="1029" t="s">
        <v>1035</v>
      </c>
      <c r="H71" s="1030" t="s">
        <v>1036</v>
      </c>
      <c r="I71" s="1039">
        <v>0.35</v>
      </c>
    </row>
    <row r="72" spans="3:9" x14ac:dyDescent="0.55000000000000004">
      <c r="C72" s="1032" t="s">
        <v>1037</v>
      </c>
      <c r="D72" s="1024">
        <v>71</v>
      </c>
      <c r="E72" s="1024" t="s">
        <v>1025</v>
      </c>
      <c r="F72" s="1032" t="s">
        <v>1037</v>
      </c>
      <c r="G72" s="1025" t="s">
        <v>1032</v>
      </c>
      <c r="H72" s="1026" t="s">
        <v>1038</v>
      </c>
      <c r="I72" s="1039">
        <v>0.35499999999999998</v>
      </c>
    </row>
    <row r="73" spans="3:9" x14ac:dyDescent="0.55000000000000004">
      <c r="C73" s="1033" t="s">
        <v>1039</v>
      </c>
      <c r="D73" s="1027">
        <v>72</v>
      </c>
      <c r="E73" s="1027" t="s">
        <v>1025</v>
      </c>
      <c r="F73" s="1033" t="s">
        <v>1039</v>
      </c>
      <c r="G73" s="1029" t="s">
        <v>1034</v>
      </c>
      <c r="H73" s="1030" t="s">
        <v>1040</v>
      </c>
      <c r="I73" s="1039">
        <v>0.36</v>
      </c>
    </row>
    <row r="74" spans="3:9" x14ac:dyDescent="0.55000000000000004">
      <c r="C74" s="1032" t="s">
        <v>1041</v>
      </c>
      <c r="D74" s="1024">
        <v>73</v>
      </c>
      <c r="E74" s="1024" t="s">
        <v>1025</v>
      </c>
      <c r="F74" s="1032" t="s">
        <v>1041</v>
      </c>
      <c r="G74" s="1025" t="s">
        <v>1042</v>
      </c>
      <c r="H74" s="1026" t="s">
        <v>1043</v>
      </c>
      <c r="I74" s="1039">
        <v>0.36499999999999999</v>
      </c>
    </row>
    <row r="75" spans="3:9" x14ac:dyDescent="0.55000000000000004">
      <c r="C75" s="1033" t="s">
        <v>1044</v>
      </c>
      <c r="D75" s="1027">
        <v>74</v>
      </c>
      <c r="E75" s="1027" t="s">
        <v>1025</v>
      </c>
      <c r="F75" s="1033" t="s">
        <v>1044</v>
      </c>
      <c r="G75" s="1029" t="s">
        <v>1034</v>
      </c>
      <c r="H75" s="1030" t="s">
        <v>1045</v>
      </c>
      <c r="I75" s="1039">
        <v>0.37</v>
      </c>
    </row>
    <row r="76" spans="3:9" x14ac:dyDescent="0.55000000000000004">
      <c r="C76" s="1032" t="s">
        <v>1046</v>
      </c>
      <c r="D76" s="1024">
        <v>75</v>
      </c>
      <c r="E76" s="1024" t="s">
        <v>1025</v>
      </c>
      <c r="F76" s="1032" t="s">
        <v>1046</v>
      </c>
      <c r="G76" s="1025" t="s">
        <v>1042</v>
      </c>
      <c r="H76" s="1026" t="s">
        <v>1047</v>
      </c>
      <c r="I76" s="1039">
        <v>0.375</v>
      </c>
    </row>
    <row r="77" spans="3:9" x14ac:dyDescent="0.55000000000000004">
      <c r="C77" s="1033" t="s">
        <v>1048</v>
      </c>
      <c r="D77" s="1027">
        <v>76</v>
      </c>
      <c r="E77" s="1027" t="s">
        <v>1025</v>
      </c>
      <c r="F77" s="1033" t="s">
        <v>1048</v>
      </c>
      <c r="G77" s="1029" t="s">
        <v>1042</v>
      </c>
      <c r="H77" s="1030" t="s">
        <v>1049</v>
      </c>
      <c r="I77" s="1039">
        <v>0.38</v>
      </c>
    </row>
    <row r="78" spans="3:9" x14ac:dyDescent="0.55000000000000004">
      <c r="C78" s="1032" t="s">
        <v>1050</v>
      </c>
      <c r="D78" s="1024">
        <v>77</v>
      </c>
      <c r="E78" s="1024" t="s">
        <v>1025</v>
      </c>
      <c r="F78" s="1032" t="s">
        <v>1050</v>
      </c>
      <c r="G78" s="1025" t="s">
        <v>1032</v>
      </c>
      <c r="H78" s="1026" t="s">
        <v>1051</v>
      </c>
      <c r="I78" s="1039">
        <v>0.38500000000000001</v>
      </c>
    </row>
    <row r="79" spans="3:9" x14ac:dyDescent="0.55000000000000004">
      <c r="C79" s="1033" t="s">
        <v>1052</v>
      </c>
      <c r="D79" s="1027">
        <v>78</v>
      </c>
      <c r="E79" s="1027" t="s">
        <v>1025</v>
      </c>
      <c r="F79" s="1033" t="s">
        <v>1052</v>
      </c>
      <c r="G79" s="1029" t="s">
        <v>1029</v>
      </c>
      <c r="H79" s="1030" t="s">
        <v>1053</v>
      </c>
      <c r="I79" s="1039">
        <v>0.39</v>
      </c>
    </row>
    <row r="80" spans="3:9" x14ac:dyDescent="0.55000000000000004">
      <c r="C80" s="1032" t="s">
        <v>1054</v>
      </c>
      <c r="D80" s="1024">
        <v>79</v>
      </c>
      <c r="E80" s="1024" t="s">
        <v>1025</v>
      </c>
      <c r="F80" s="1032" t="s">
        <v>1054</v>
      </c>
      <c r="G80" s="1025" t="s">
        <v>1042</v>
      </c>
      <c r="H80" s="1026" t="s">
        <v>1055</v>
      </c>
      <c r="I80" s="1039">
        <v>0.39500000000000002</v>
      </c>
    </row>
    <row r="81" spans="3:9" x14ac:dyDescent="0.55000000000000004">
      <c r="C81" s="1033" t="s">
        <v>1056</v>
      </c>
      <c r="D81" s="1027">
        <v>80</v>
      </c>
      <c r="E81" s="1027" t="s">
        <v>1025</v>
      </c>
      <c r="F81" s="1033" t="s">
        <v>1056</v>
      </c>
      <c r="G81" s="1029" t="s">
        <v>1029</v>
      </c>
      <c r="H81" s="1030" t="s">
        <v>1057</v>
      </c>
      <c r="I81" s="1039">
        <v>0.4</v>
      </c>
    </row>
    <row r="82" spans="3:9" x14ac:dyDescent="0.55000000000000004">
      <c r="C82" s="1032" t="s">
        <v>1058</v>
      </c>
      <c r="D82" s="1024">
        <v>81</v>
      </c>
      <c r="E82" s="1024" t="s">
        <v>1025</v>
      </c>
      <c r="F82" s="1032" t="s">
        <v>1058</v>
      </c>
      <c r="G82" s="1025" t="s">
        <v>1032</v>
      </c>
      <c r="H82" s="1026" t="s">
        <v>1059</v>
      </c>
      <c r="I82" s="1039">
        <v>0.40500000000000003</v>
      </c>
    </row>
    <row r="83" spans="3:9" x14ac:dyDescent="0.55000000000000004">
      <c r="C83" s="1033" t="s">
        <v>1060</v>
      </c>
      <c r="D83" s="1027">
        <v>82</v>
      </c>
      <c r="E83" s="1027" t="s">
        <v>1025</v>
      </c>
      <c r="F83" s="1033" t="s">
        <v>1060</v>
      </c>
      <c r="G83" s="1029" t="s">
        <v>1034</v>
      </c>
      <c r="H83" s="1030" t="s">
        <v>1061</v>
      </c>
      <c r="I83" s="1039">
        <v>0.41</v>
      </c>
    </row>
    <row r="84" spans="3:9" x14ac:dyDescent="0.55000000000000004">
      <c r="C84" s="1032" t="s">
        <v>1062</v>
      </c>
      <c r="D84" s="1024">
        <v>83</v>
      </c>
      <c r="E84" s="1024" t="s">
        <v>1025</v>
      </c>
      <c r="F84" s="1032" t="s">
        <v>1062</v>
      </c>
      <c r="G84" s="1025" t="s">
        <v>1042</v>
      </c>
      <c r="H84" s="1026" t="s">
        <v>1063</v>
      </c>
      <c r="I84" s="1039">
        <v>0.41499999999999998</v>
      </c>
    </row>
    <row r="85" spans="3:9" x14ac:dyDescent="0.55000000000000004">
      <c r="C85" s="1033" t="s">
        <v>1064</v>
      </c>
      <c r="D85" s="1027">
        <v>84</v>
      </c>
      <c r="E85" s="1027" t="s">
        <v>1025</v>
      </c>
      <c r="F85" s="1033" t="s">
        <v>1064</v>
      </c>
      <c r="G85" s="1029" t="s">
        <v>1032</v>
      </c>
      <c r="H85" s="1030" t="s">
        <v>1065</v>
      </c>
      <c r="I85" s="1039">
        <v>0.42</v>
      </c>
    </row>
    <row r="86" spans="3:9" x14ac:dyDescent="0.55000000000000004">
      <c r="C86" s="1032" t="s">
        <v>1066</v>
      </c>
      <c r="D86" s="1024">
        <v>85</v>
      </c>
      <c r="E86" s="1024" t="s">
        <v>1025</v>
      </c>
      <c r="F86" s="1032" t="s">
        <v>1066</v>
      </c>
      <c r="G86" s="1025" t="s">
        <v>1032</v>
      </c>
      <c r="H86" s="1026" t="s">
        <v>1067</v>
      </c>
      <c r="I86" s="1039">
        <v>0.42499999999999999</v>
      </c>
    </row>
    <row r="87" spans="3:9" x14ac:dyDescent="0.55000000000000004">
      <c r="C87" s="1033" t="s">
        <v>1068</v>
      </c>
      <c r="D87" s="1027">
        <v>86</v>
      </c>
      <c r="E87" s="1027" t="s">
        <v>1025</v>
      </c>
      <c r="F87" s="1033" t="s">
        <v>1068</v>
      </c>
      <c r="G87" s="1029" t="s">
        <v>1029</v>
      </c>
      <c r="H87" s="1030" t="s">
        <v>1069</v>
      </c>
      <c r="I87" s="1039">
        <v>0.43</v>
      </c>
    </row>
    <row r="88" spans="3:9" x14ac:dyDescent="0.55000000000000004">
      <c r="C88" s="1032" t="s">
        <v>1070</v>
      </c>
      <c r="D88" s="1024">
        <v>87</v>
      </c>
      <c r="E88" s="1024" t="s">
        <v>1025</v>
      </c>
      <c r="F88" s="1032" t="s">
        <v>1070</v>
      </c>
      <c r="G88" s="1025" t="s">
        <v>1029</v>
      </c>
      <c r="H88" s="1026" t="s">
        <v>1071</v>
      </c>
      <c r="I88" s="1039">
        <v>0.435</v>
      </c>
    </row>
    <row r="89" spans="3:9" x14ac:dyDescent="0.55000000000000004">
      <c r="C89" s="1033" t="s">
        <v>1072</v>
      </c>
      <c r="D89" s="1027">
        <v>88</v>
      </c>
      <c r="E89" s="1027" t="s">
        <v>1025</v>
      </c>
      <c r="F89" s="1033" t="s">
        <v>1072</v>
      </c>
      <c r="G89" s="1029" t="s">
        <v>1032</v>
      </c>
      <c r="H89" s="1030" t="s">
        <v>1073</v>
      </c>
      <c r="I89" s="1039">
        <v>0.44</v>
      </c>
    </row>
    <row r="90" spans="3:9" x14ac:dyDescent="0.55000000000000004">
      <c r="C90" s="1032" t="s">
        <v>1075</v>
      </c>
      <c r="D90" s="1024">
        <v>89</v>
      </c>
      <c r="E90" s="1024" t="s">
        <v>1074</v>
      </c>
      <c r="F90" s="1032" t="s">
        <v>1075</v>
      </c>
      <c r="G90" s="1025" t="s">
        <v>1029</v>
      </c>
      <c r="H90" s="1026" t="s">
        <v>1076</v>
      </c>
      <c r="I90" s="1039">
        <v>0.44500000000000001</v>
      </c>
    </row>
    <row r="91" spans="3:9" x14ac:dyDescent="0.55000000000000004">
      <c r="C91" s="1033" t="s">
        <v>1077</v>
      </c>
      <c r="D91" s="1027">
        <v>90</v>
      </c>
      <c r="E91" s="1027" t="s">
        <v>1074</v>
      </c>
      <c r="F91" s="1033" t="s">
        <v>1077</v>
      </c>
      <c r="G91" s="1029" t="s">
        <v>1078</v>
      </c>
      <c r="H91" s="1030" t="s">
        <v>1079</v>
      </c>
      <c r="I91" s="1039">
        <v>0.45</v>
      </c>
    </row>
    <row r="92" spans="3:9" x14ac:dyDescent="0.55000000000000004">
      <c r="C92" s="1032" t="s">
        <v>1080</v>
      </c>
      <c r="D92" s="1024">
        <v>91</v>
      </c>
      <c r="E92" s="1024" t="s">
        <v>1074</v>
      </c>
      <c r="F92" s="1032" t="s">
        <v>1080</v>
      </c>
      <c r="G92" s="1025" t="s">
        <v>1081</v>
      </c>
      <c r="H92" s="1026" t="s">
        <v>1082</v>
      </c>
      <c r="I92" s="1039">
        <v>0.45500000000000002</v>
      </c>
    </row>
    <row r="93" spans="3:9" x14ac:dyDescent="0.55000000000000004">
      <c r="C93" s="1033" t="s">
        <v>1083</v>
      </c>
      <c r="D93" s="1027">
        <v>92</v>
      </c>
      <c r="E93" s="1027" t="s">
        <v>1074</v>
      </c>
      <c r="F93" s="1033" t="s">
        <v>1083</v>
      </c>
      <c r="G93" s="1029" t="s">
        <v>1084</v>
      </c>
      <c r="H93" s="1030" t="s">
        <v>1085</v>
      </c>
      <c r="I93" s="1039">
        <v>0.46</v>
      </c>
    </row>
    <row r="94" spans="3:9" x14ac:dyDescent="0.55000000000000004">
      <c r="C94" s="1032" t="s">
        <v>1086</v>
      </c>
      <c r="D94" s="1024">
        <v>93</v>
      </c>
      <c r="E94" s="1024" t="s">
        <v>1074</v>
      </c>
      <c r="F94" s="1032" t="s">
        <v>1086</v>
      </c>
      <c r="G94" s="1025" t="s">
        <v>1078</v>
      </c>
      <c r="H94" s="1026" t="s">
        <v>1087</v>
      </c>
      <c r="I94" s="1039">
        <v>0.46500000000000002</v>
      </c>
    </row>
    <row r="95" spans="3:9" x14ac:dyDescent="0.55000000000000004">
      <c r="C95" s="1033" t="s">
        <v>1088</v>
      </c>
      <c r="D95" s="1027">
        <v>94</v>
      </c>
      <c r="E95" s="1027" t="s">
        <v>1074</v>
      </c>
      <c r="F95" s="1033" t="s">
        <v>1088</v>
      </c>
      <c r="G95" s="1029" t="s">
        <v>1089</v>
      </c>
      <c r="H95" s="1030" t="s">
        <v>1090</v>
      </c>
      <c r="I95" s="1039">
        <v>0.47</v>
      </c>
    </row>
    <row r="96" spans="3:9" x14ac:dyDescent="0.55000000000000004">
      <c r="C96" s="1032" t="s">
        <v>1091</v>
      </c>
      <c r="D96" s="1024">
        <v>95</v>
      </c>
      <c r="E96" s="1024" t="s">
        <v>1074</v>
      </c>
      <c r="F96" s="1032" t="s">
        <v>1091</v>
      </c>
      <c r="G96" s="1025" t="s">
        <v>1078</v>
      </c>
      <c r="H96" s="1026" t="s">
        <v>1092</v>
      </c>
      <c r="I96" s="1039">
        <v>0.47499999999999998</v>
      </c>
    </row>
    <row r="97" spans="3:9" x14ac:dyDescent="0.55000000000000004">
      <c r="C97" s="1033" t="s">
        <v>1093</v>
      </c>
      <c r="D97" s="1027">
        <v>96</v>
      </c>
      <c r="E97" s="1027" t="s">
        <v>1074</v>
      </c>
      <c r="F97" s="1033" t="s">
        <v>1093</v>
      </c>
      <c r="G97" s="1029" t="s">
        <v>1089</v>
      </c>
      <c r="H97" s="1030" t="s">
        <v>1094</v>
      </c>
      <c r="I97" s="1039">
        <v>0.48</v>
      </c>
    </row>
    <row r="98" spans="3:9" x14ac:dyDescent="0.55000000000000004">
      <c r="C98" s="1032" t="s">
        <v>1095</v>
      </c>
      <c r="D98" s="1024">
        <v>97</v>
      </c>
      <c r="E98" s="1024" t="s">
        <v>1074</v>
      </c>
      <c r="F98" s="1032" t="s">
        <v>1095</v>
      </c>
      <c r="G98" s="1025" t="s">
        <v>1089</v>
      </c>
      <c r="H98" s="1026" t="s">
        <v>1096</v>
      </c>
      <c r="I98" s="1039">
        <v>0.48499999999999999</v>
      </c>
    </row>
    <row r="99" spans="3:9" x14ac:dyDescent="0.55000000000000004">
      <c r="C99" s="1033" t="s">
        <v>1097</v>
      </c>
      <c r="D99" s="1027">
        <v>98</v>
      </c>
      <c r="E99" s="1027" t="s">
        <v>1074</v>
      </c>
      <c r="F99" s="1033" t="s">
        <v>1097</v>
      </c>
      <c r="G99" s="1029" t="s">
        <v>1089</v>
      </c>
      <c r="H99" s="1030" t="s">
        <v>1098</v>
      </c>
      <c r="I99" s="1039">
        <v>0.49</v>
      </c>
    </row>
    <row r="100" spans="3:9" x14ac:dyDescent="0.55000000000000004">
      <c r="C100" s="1032" t="s">
        <v>1099</v>
      </c>
      <c r="D100" s="1024">
        <v>99</v>
      </c>
      <c r="E100" s="1024" t="s">
        <v>1074</v>
      </c>
      <c r="F100" s="1032" t="s">
        <v>1099</v>
      </c>
      <c r="G100" s="1025" t="s">
        <v>1100</v>
      </c>
      <c r="H100" s="1026" t="s">
        <v>1101</v>
      </c>
      <c r="I100" s="1039">
        <v>0.495</v>
      </c>
    </row>
    <row r="101" spans="3:9" x14ac:dyDescent="0.55000000000000004">
      <c r="C101" s="1033" t="s">
        <v>1103</v>
      </c>
      <c r="D101" s="1027">
        <v>100</v>
      </c>
      <c r="E101" s="1027" t="s">
        <v>1102</v>
      </c>
      <c r="F101" s="1033" t="s">
        <v>1103</v>
      </c>
      <c r="G101" s="1029" t="s">
        <v>1078</v>
      </c>
      <c r="H101" s="1030" t="s">
        <v>1104</v>
      </c>
      <c r="I101" s="1039">
        <v>0.5</v>
      </c>
    </row>
    <row r="102" spans="3:9" x14ac:dyDescent="0.55000000000000004">
      <c r="C102" s="1032" t="s">
        <v>1105</v>
      </c>
      <c r="D102" s="1024">
        <v>101</v>
      </c>
      <c r="E102" s="1024" t="s">
        <v>1102</v>
      </c>
      <c r="F102" s="1032" t="s">
        <v>1105</v>
      </c>
      <c r="G102" s="1025" t="s">
        <v>1106</v>
      </c>
      <c r="H102" s="1026" t="s">
        <v>1107</v>
      </c>
      <c r="I102" s="1039">
        <v>0.505</v>
      </c>
    </row>
    <row r="103" spans="3:9" x14ac:dyDescent="0.55000000000000004">
      <c r="C103" s="1033" t="s">
        <v>1108</v>
      </c>
      <c r="D103" s="1027">
        <v>102</v>
      </c>
      <c r="E103" s="1027" t="s">
        <v>1102</v>
      </c>
      <c r="F103" s="1033" t="s">
        <v>1108</v>
      </c>
      <c r="G103" s="1029" t="s">
        <v>1108</v>
      </c>
      <c r="H103" s="1030" t="s">
        <v>1109</v>
      </c>
      <c r="I103" s="1039">
        <v>0.51</v>
      </c>
    </row>
    <row r="104" spans="3:9" x14ac:dyDescent="0.55000000000000004">
      <c r="C104" s="1032" t="s">
        <v>1110</v>
      </c>
      <c r="D104" s="1024">
        <v>103</v>
      </c>
      <c r="E104" s="1024" t="s">
        <v>1102</v>
      </c>
      <c r="F104" s="1032" t="s">
        <v>1110</v>
      </c>
      <c r="G104" s="1025" t="s">
        <v>1111</v>
      </c>
      <c r="H104" s="1026" t="s">
        <v>1112</v>
      </c>
      <c r="I104" s="1039">
        <v>0.51500000000000001</v>
      </c>
    </row>
    <row r="105" spans="3:9" x14ac:dyDescent="0.55000000000000004">
      <c r="C105" s="1033" t="s">
        <v>1113</v>
      </c>
      <c r="D105" s="1027">
        <v>104</v>
      </c>
      <c r="E105" s="1027" t="s">
        <v>1102</v>
      </c>
      <c r="F105" s="1033" t="s">
        <v>1113</v>
      </c>
      <c r="G105" s="1029" t="s">
        <v>1114</v>
      </c>
      <c r="H105" s="1030" t="s">
        <v>1115</v>
      </c>
      <c r="I105" s="1039">
        <v>0.52</v>
      </c>
    </row>
    <row r="106" spans="3:9" x14ac:dyDescent="0.55000000000000004">
      <c r="C106" s="1032" t="s">
        <v>1116</v>
      </c>
      <c r="D106" s="1024">
        <v>105</v>
      </c>
      <c r="E106" s="1024" t="s">
        <v>1102</v>
      </c>
      <c r="F106" s="1032" t="s">
        <v>1116</v>
      </c>
      <c r="G106" s="1025" t="s">
        <v>1117</v>
      </c>
      <c r="H106" s="1026" t="s">
        <v>1118</v>
      </c>
      <c r="I106" s="1039">
        <v>0.52500000000000002</v>
      </c>
    </row>
    <row r="107" spans="3:9" x14ac:dyDescent="0.55000000000000004">
      <c r="C107" s="1033" t="s">
        <v>1119</v>
      </c>
      <c r="D107" s="1027">
        <v>106</v>
      </c>
      <c r="E107" s="1027" t="s">
        <v>1102</v>
      </c>
      <c r="F107" s="1033" t="s">
        <v>1119</v>
      </c>
      <c r="G107" s="1029" t="s">
        <v>1120</v>
      </c>
      <c r="H107" s="1030" t="s">
        <v>1121</v>
      </c>
      <c r="I107" s="1039">
        <v>0.53</v>
      </c>
    </row>
    <row r="108" spans="3:9" x14ac:dyDescent="0.55000000000000004">
      <c r="C108" s="1032" t="s">
        <v>1122</v>
      </c>
      <c r="D108" s="1024">
        <v>107</v>
      </c>
      <c r="E108" s="1024" t="s">
        <v>1102</v>
      </c>
      <c r="F108" s="1032" t="s">
        <v>1122</v>
      </c>
      <c r="G108" s="1025" t="s">
        <v>1106</v>
      </c>
      <c r="H108" s="1026" t="s">
        <v>1123</v>
      </c>
      <c r="I108" s="1039">
        <v>0.53500000000000003</v>
      </c>
    </row>
    <row r="109" spans="3:9" x14ac:dyDescent="0.55000000000000004">
      <c r="C109" s="1033" t="s">
        <v>1124</v>
      </c>
      <c r="D109" s="1027">
        <v>108</v>
      </c>
      <c r="E109" s="1027" t="s">
        <v>1102</v>
      </c>
      <c r="F109" s="1033" t="s">
        <v>1124</v>
      </c>
      <c r="G109" s="1029" t="s">
        <v>1111</v>
      </c>
      <c r="H109" s="1030" t="s">
        <v>1125</v>
      </c>
      <c r="I109" s="1039">
        <v>0.54</v>
      </c>
    </row>
    <row r="110" spans="3:9" x14ac:dyDescent="0.55000000000000004">
      <c r="C110" s="1032" t="s">
        <v>1126</v>
      </c>
      <c r="D110" s="1024">
        <v>109</v>
      </c>
      <c r="E110" s="1024" t="s">
        <v>1102</v>
      </c>
      <c r="F110" s="1032" t="s">
        <v>1126</v>
      </c>
      <c r="G110" s="1025" t="s">
        <v>1127</v>
      </c>
      <c r="H110" s="1026" t="s">
        <v>1128</v>
      </c>
      <c r="I110" s="1039">
        <v>0.54500000000000004</v>
      </c>
    </row>
    <row r="111" spans="3:9" x14ac:dyDescent="0.55000000000000004">
      <c r="C111" s="1033" t="s">
        <v>1129</v>
      </c>
      <c r="D111" s="1027">
        <v>110</v>
      </c>
      <c r="E111" s="1027" t="s">
        <v>1102</v>
      </c>
      <c r="F111" s="1033" t="s">
        <v>1129</v>
      </c>
      <c r="G111" s="1029" t="s">
        <v>1130</v>
      </c>
      <c r="H111" s="1030" t="s">
        <v>1131</v>
      </c>
      <c r="I111" s="1039">
        <v>0.55000000000000004</v>
      </c>
    </row>
    <row r="112" spans="3:9" x14ac:dyDescent="0.55000000000000004">
      <c r="C112" s="1032" t="s">
        <v>1132</v>
      </c>
      <c r="D112" s="1024">
        <v>111</v>
      </c>
      <c r="E112" s="1024" t="s">
        <v>1102</v>
      </c>
      <c r="F112" s="1032" t="s">
        <v>1132</v>
      </c>
      <c r="G112" s="1025" t="s">
        <v>1111</v>
      </c>
      <c r="H112" s="1026" t="s">
        <v>1133</v>
      </c>
      <c r="I112" s="1039">
        <v>0.55500000000000005</v>
      </c>
    </row>
    <row r="113" spans="3:9" x14ac:dyDescent="0.55000000000000004">
      <c r="C113" s="1033" t="s">
        <v>1134</v>
      </c>
      <c r="D113" s="1027">
        <v>112</v>
      </c>
      <c r="E113" s="1027" t="s">
        <v>1102</v>
      </c>
      <c r="F113" s="1033" t="s">
        <v>1134</v>
      </c>
      <c r="G113" s="1029" t="s">
        <v>1114</v>
      </c>
      <c r="H113" s="1030" t="s">
        <v>1135</v>
      </c>
      <c r="I113" s="1039">
        <v>0.56000000000000005</v>
      </c>
    </row>
    <row r="114" spans="3:9" x14ac:dyDescent="0.55000000000000004">
      <c r="C114" s="1032" t="s">
        <v>1136</v>
      </c>
      <c r="D114" s="1024">
        <v>113</v>
      </c>
      <c r="E114" s="1024" t="s">
        <v>1102</v>
      </c>
      <c r="F114" s="1032" t="s">
        <v>1136</v>
      </c>
      <c r="G114" s="1025" t="s">
        <v>1114</v>
      </c>
      <c r="H114" s="1026" t="s">
        <v>1137</v>
      </c>
      <c r="I114" s="1039">
        <v>0.56499999999999995</v>
      </c>
    </row>
    <row r="115" spans="3:9" x14ac:dyDescent="0.55000000000000004">
      <c r="C115" s="1033" t="s">
        <v>1138</v>
      </c>
      <c r="D115" s="1027">
        <v>114</v>
      </c>
      <c r="E115" s="1027" t="s">
        <v>1102</v>
      </c>
      <c r="F115" s="1033" t="s">
        <v>1138</v>
      </c>
      <c r="G115" s="1029" t="s">
        <v>1114</v>
      </c>
      <c r="H115" s="1030" t="s">
        <v>1139</v>
      </c>
      <c r="I115" s="1039">
        <v>0.56999999999999995</v>
      </c>
    </row>
    <row r="116" spans="3:9" x14ac:dyDescent="0.55000000000000004">
      <c r="C116" s="1032" t="s">
        <v>1140</v>
      </c>
      <c r="D116" s="1024">
        <v>115</v>
      </c>
      <c r="E116" s="1024" t="s">
        <v>1102</v>
      </c>
      <c r="F116" s="1032" t="s">
        <v>1140</v>
      </c>
      <c r="G116" s="1025" t="s">
        <v>1117</v>
      </c>
      <c r="H116" s="1026" t="s">
        <v>1141</v>
      </c>
      <c r="I116" s="1039">
        <v>0.57499999999999996</v>
      </c>
    </row>
    <row r="117" spans="3:9" x14ac:dyDescent="0.55000000000000004">
      <c r="C117" s="1033" t="s">
        <v>1142</v>
      </c>
      <c r="D117" s="1027">
        <v>116</v>
      </c>
      <c r="E117" s="1027" t="s">
        <v>1102</v>
      </c>
      <c r="F117" s="1033" t="s">
        <v>1142</v>
      </c>
      <c r="G117" s="1029" t="s">
        <v>1143</v>
      </c>
      <c r="H117" s="1030" t="s">
        <v>1144</v>
      </c>
      <c r="I117" s="1039">
        <v>0.57999999999999996</v>
      </c>
    </row>
    <row r="118" spans="3:9" x14ac:dyDescent="0.55000000000000004">
      <c r="C118" s="1032" t="s">
        <v>1145</v>
      </c>
      <c r="D118" s="1024">
        <v>117</v>
      </c>
      <c r="E118" s="1024" t="s">
        <v>1102</v>
      </c>
      <c r="F118" s="1032" t="s">
        <v>1145</v>
      </c>
      <c r="G118" s="1025" t="s">
        <v>1130</v>
      </c>
      <c r="H118" s="1026" t="s">
        <v>1146</v>
      </c>
      <c r="I118" s="1039">
        <v>0.58499999999999996</v>
      </c>
    </row>
    <row r="119" spans="3:9" x14ac:dyDescent="0.55000000000000004">
      <c r="C119" s="1033" t="s">
        <v>1147</v>
      </c>
      <c r="D119" s="1027">
        <v>118</v>
      </c>
      <c r="E119" s="1027" t="s">
        <v>1102</v>
      </c>
      <c r="F119" s="1033" t="s">
        <v>1147</v>
      </c>
      <c r="G119" s="1029" t="s">
        <v>1117</v>
      </c>
      <c r="H119" s="1030" t="s">
        <v>1148</v>
      </c>
      <c r="I119" s="1039">
        <v>0.59</v>
      </c>
    </row>
    <row r="120" spans="3:9" x14ac:dyDescent="0.55000000000000004">
      <c r="C120" s="1032" t="s">
        <v>1149</v>
      </c>
      <c r="D120" s="1024">
        <v>119</v>
      </c>
      <c r="E120" s="1024" t="s">
        <v>1102</v>
      </c>
      <c r="F120" s="1032" t="s">
        <v>1149</v>
      </c>
      <c r="G120" s="1025" t="s">
        <v>1114</v>
      </c>
      <c r="H120" s="1026" t="s">
        <v>1150</v>
      </c>
      <c r="I120" s="1039">
        <v>0.59499999999999997</v>
      </c>
    </row>
    <row r="121" spans="3:9" x14ac:dyDescent="0.55000000000000004">
      <c r="C121" s="1033" t="s">
        <v>1151</v>
      </c>
      <c r="D121" s="1027">
        <v>120</v>
      </c>
      <c r="E121" s="1027" t="s">
        <v>1102</v>
      </c>
      <c r="F121" s="1033" t="s">
        <v>1151</v>
      </c>
      <c r="G121" s="1029" t="s">
        <v>1127</v>
      </c>
      <c r="H121" s="1030" t="s">
        <v>1152</v>
      </c>
      <c r="I121" s="1039">
        <v>0.6</v>
      </c>
    </row>
    <row r="122" spans="3:9" x14ac:dyDescent="0.55000000000000004">
      <c r="C122" s="1032" t="s">
        <v>1153</v>
      </c>
      <c r="D122" s="1024">
        <v>121</v>
      </c>
      <c r="E122" s="1024" t="s">
        <v>1102</v>
      </c>
      <c r="F122" s="1032" t="s">
        <v>1153</v>
      </c>
      <c r="G122" s="1025" t="s">
        <v>1117</v>
      </c>
      <c r="H122" s="1026" t="s">
        <v>1154</v>
      </c>
      <c r="I122" s="1039">
        <v>0.60499999999999998</v>
      </c>
    </row>
    <row r="123" spans="3:9" x14ac:dyDescent="0.55000000000000004">
      <c r="C123" s="1033" t="s">
        <v>1155</v>
      </c>
      <c r="D123" s="1027">
        <v>122</v>
      </c>
      <c r="E123" s="1027" t="s">
        <v>1102</v>
      </c>
      <c r="F123" s="1033" t="s">
        <v>1155</v>
      </c>
      <c r="G123" s="1029" t="s">
        <v>1120</v>
      </c>
      <c r="H123" s="1030" t="s">
        <v>1156</v>
      </c>
      <c r="I123" s="1039">
        <v>0.61</v>
      </c>
    </row>
    <row r="124" spans="3:9" x14ac:dyDescent="0.55000000000000004">
      <c r="C124" s="1032" t="s">
        <v>1157</v>
      </c>
      <c r="D124" s="1024">
        <v>123</v>
      </c>
      <c r="E124" s="1024" t="s">
        <v>1102</v>
      </c>
      <c r="F124" s="1032" t="s">
        <v>1157</v>
      </c>
      <c r="G124" s="1025" t="s">
        <v>1130</v>
      </c>
      <c r="H124" s="1026" t="s">
        <v>1158</v>
      </c>
      <c r="I124" s="1039">
        <v>0.61499999999999999</v>
      </c>
    </row>
    <row r="125" spans="3:9" x14ac:dyDescent="0.55000000000000004">
      <c r="C125" s="1033" t="s">
        <v>1159</v>
      </c>
      <c r="D125" s="1027">
        <v>124</v>
      </c>
      <c r="E125" s="1027" t="s">
        <v>1102</v>
      </c>
      <c r="F125" s="1033" t="s">
        <v>1159</v>
      </c>
      <c r="G125" s="1029" t="s">
        <v>1160</v>
      </c>
      <c r="H125" s="1030" t="s">
        <v>1161</v>
      </c>
      <c r="I125" s="1039">
        <v>0.62</v>
      </c>
    </row>
    <row r="126" spans="3:9" x14ac:dyDescent="0.55000000000000004">
      <c r="C126" s="1032" t="s">
        <v>1162</v>
      </c>
      <c r="D126" s="1024">
        <v>125</v>
      </c>
      <c r="E126" s="1024" t="s">
        <v>1102</v>
      </c>
      <c r="F126" s="1032" t="s">
        <v>1162</v>
      </c>
      <c r="G126" s="1025" t="s">
        <v>1120</v>
      </c>
      <c r="H126" s="1026" t="s">
        <v>1163</v>
      </c>
      <c r="I126" s="1039">
        <v>0.625</v>
      </c>
    </row>
    <row r="127" spans="3:9" x14ac:dyDescent="0.55000000000000004">
      <c r="C127" s="1033" t="s">
        <v>1164</v>
      </c>
      <c r="D127" s="1027">
        <v>126</v>
      </c>
      <c r="E127" s="1027" t="s">
        <v>1102</v>
      </c>
      <c r="F127" s="1033" t="s">
        <v>1164</v>
      </c>
      <c r="G127" s="1029" t="s">
        <v>1160</v>
      </c>
      <c r="H127" s="1030" t="s">
        <v>1165</v>
      </c>
      <c r="I127" s="1039">
        <v>0.63</v>
      </c>
    </row>
    <row r="128" spans="3:9" x14ac:dyDescent="0.55000000000000004">
      <c r="C128" s="1032" t="s">
        <v>1166</v>
      </c>
      <c r="D128" s="1024">
        <v>127</v>
      </c>
      <c r="E128" s="1024" t="s">
        <v>1102</v>
      </c>
      <c r="F128" s="1032" t="s">
        <v>1166</v>
      </c>
      <c r="G128" s="1025" t="s">
        <v>1167</v>
      </c>
      <c r="H128" s="1026" t="s">
        <v>1168</v>
      </c>
      <c r="I128" s="1039">
        <v>0.63500000000000001</v>
      </c>
    </row>
    <row r="129" spans="3:9" x14ac:dyDescent="0.55000000000000004">
      <c r="C129" s="1033" t="s">
        <v>1169</v>
      </c>
      <c r="D129" s="1027">
        <v>128</v>
      </c>
      <c r="E129" s="1027" t="s">
        <v>1102</v>
      </c>
      <c r="F129" s="1033" t="s">
        <v>1169</v>
      </c>
      <c r="G129" s="1029" t="s">
        <v>1117</v>
      </c>
      <c r="H129" s="1030" t="s">
        <v>1170</v>
      </c>
      <c r="I129" s="1039">
        <v>0.64</v>
      </c>
    </row>
    <row r="130" spans="3:9" x14ac:dyDescent="0.55000000000000004">
      <c r="C130" s="1032" t="s">
        <v>1171</v>
      </c>
      <c r="D130" s="1024">
        <v>129</v>
      </c>
      <c r="E130" s="1024" t="s">
        <v>1102</v>
      </c>
      <c r="F130" s="1032" t="s">
        <v>1171</v>
      </c>
      <c r="G130" s="1025" t="s">
        <v>1117</v>
      </c>
      <c r="H130" s="1026" t="s">
        <v>1172</v>
      </c>
      <c r="I130" s="1039">
        <v>0.64500000000000002</v>
      </c>
    </row>
    <row r="131" spans="3:9" x14ac:dyDescent="0.55000000000000004">
      <c r="C131" s="1033" t="s">
        <v>1173</v>
      </c>
      <c r="D131" s="1027">
        <v>130</v>
      </c>
      <c r="E131" s="1027" t="s">
        <v>1102</v>
      </c>
      <c r="F131" s="1033" t="s">
        <v>1173</v>
      </c>
      <c r="G131" s="1029" t="s">
        <v>1160</v>
      </c>
      <c r="H131" s="1030" t="s">
        <v>1174</v>
      </c>
      <c r="I131" s="1039">
        <v>0.65</v>
      </c>
    </row>
    <row r="132" spans="3:9" x14ac:dyDescent="0.55000000000000004">
      <c r="C132" s="1032" t="s">
        <v>1175</v>
      </c>
      <c r="D132" s="1024">
        <v>131</v>
      </c>
      <c r="E132" s="1024" t="s">
        <v>1102</v>
      </c>
      <c r="F132" s="1032" t="s">
        <v>1175</v>
      </c>
      <c r="G132" s="1025" t="s">
        <v>1130</v>
      </c>
      <c r="H132" s="1026" t="s">
        <v>1176</v>
      </c>
      <c r="I132" s="1039">
        <v>0.65500000000000003</v>
      </c>
    </row>
    <row r="133" spans="3:9" x14ac:dyDescent="0.55000000000000004">
      <c r="C133" s="1033" t="s">
        <v>1177</v>
      </c>
      <c r="D133" s="1027">
        <v>132</v>
      </c>
      <c r="E133" s="1027" t="s">
        <v>1102</v>
      </c>
      <c r="F133" s="1033" t="s">
        <v>1177</v>
      </c>
      <c r="G133" s="1029" t="s">
        <v>1160</v>
      </c>
      <c r="H133" s="1030" t="s">
        <v>1178</v>
      </c>
      <c r="I133" s="1039">
        <v>0.66</v>
      </c>
    </row>
    <row r="134" spans="3:9" x14ac:dyDescent="0.55000000000000004">
      <c r="C134" s="1032" t="s">
        <v>1179</v>
      </c>
      <c r="D134" s="1024">
        <v>133</v>
      </c>
      <c r="E134" s="1024" t="s">
        <v>1102</v>
      </c>
      <c r="F134" s="1032" t="s">
        <v>1179</v>
      </c>
      <c r="G134" s="1025" t="s">
        <v>1120</v>
      </c>
      <c r="H134" s="1026" t="s">
        <v>1180</v>
      </c>
      <c r="I134" s="1039">
        <v>0.66500000000000004</v>
      </c>
    </row>
    <row r="135" spans="3:9" x14ac:dyDescent="0.55000000000000004">
      <c r="C135" s="1033" t="s">
        <v>1181</v>
      </c>
      <c r="D135" s="1027">
        <v>134</v>
      </c>
      <c r="E135" s="1027" t="s">
        <v>1102</v>
      </c>
      <c r="F135" s="1033" t="s">
        <v>1181</v>
      </c>
      <c r="G135" s="1029" t="s">
        <v>1127</v>
      </c>
      <c r="H135" s="1030" t="s">
        <v>1182</v>
      </c>
      <c r="I135" s="1039">
        <v>0.67</v>
      </c>
    </row>
    <row r="136" spans="3:9" x14ac:dyDescent="0.55000000000000004">
      <c r="C136" s="1032" t="s">
        <v>1183</v>
      </c>
      <c r="D136" s="1024">
        <v>135</v>
      </c>
      <c r="E136" s="1024" t="s">
        <v>1102</v>
      </c>
      <c r="F136" s="1032" t="s">
        <v>1183</v>
      </c>
      <c r="G136" s="1025" t="s">
        <v>1160</v>
      </c>
      <c r="H136" s="1026" t="s">
        <v>1184</v>
      </c>
      <c r="I136" s="1039">
        <v>0.67500000000000004</v>
      </c>
    </row>
    <row r="137" spans="3:9" x14ac:dyDescent="0.55000000000000004">
      <c r="C137" s="1033" t="s">
        <v>1185</v>
      </c>
      <c r="D137" s="1027">
        <v>136</v>
      </c>
      <c r="E137" s="1027" t="s">
        <v>1102</v>
      </c>
      <c r="F137" s="1033" t="s">
        <v>1185</v>
      </c>
      <c r="G137" s="1029" t="s">
        <v>1143</v>
      </c>
      <c r="H137" s="1030" t="s">
        <v>1186</v>
      </c>
      <c r="I137" s="1039">
        <v>0.68</v>
      </c>
    </row>
    <row r="138" spans="3:9" x14ac:dyDescent="0.55000000000000004">
      <c r="C138" s="1032" t="s">
        <v>1187</v>
      </c>
      <c r="D138" s="1024">
        <v>137</v>
      </c>
      <c r="E138" s="1024" t="s">
        <v>1102</v>
      </c>
      <c r="F138" s="1032" t="s">
        <v>1187</v>
      </c>
      <c r="G138" s="1025" t="s">
        <v>1167</v>
      </c>
      <c r="H138" s="1026" t="s">
        <v>1188</v>
      </c>
      <c r="I138" s="1039">
        <v>0.68500000000000005</v>
      </c>
    </row>
    <row r="139" spans="3:9" x14ac:dyDescent="0.55000000000000004">
      <c r="C139" s="1033" t="s">
        <v>1189</v>
      </c>
      <c r="D139" s="1027">
        <v>138</v>
      </c>
      <c r="E139" s="1027" t="s">
        <v>1102</v>
      </c>
      <c r="F139" s="1033" t="s">
        <v>1189</v>
      </c>
      <c r="G139" s="1029" t="s">
        <v>1106</v>
      </c>
      <c r="H139" s="1030" t="s">
        <v>1190</v>
      </c>
      <c r="I139" s="1039">
        <v>0.69</v>
      </c>
    </row>
    <row r="140" spans="3:9" x14ac:dyDescent="0.55000000000000004">
      <c r="C140" s="1032" t="s">
        <v>1191</v>
      </c>
      <c r="D140" s="1024">
        <v>139</v>
      </c>
      <c r="E140" s="1024" t="s">
        <v>1102</v>
      </c>
      <c r="F140" s="1032" t="s">
        <v>1191</v>
      </c>
      <c r="G140" s="1025" t="s">
        <v>1120</v>
      </c>
      <c r="H140" s="1026" t="s">
        <v>1192</v>
      </c>
      <c r="I140" s="1039">
        <v>0.69499999999999995</v>
      </c>
    </row>
    <row r="141" spans="3:9" x14ac:dyDescent="0.55000000000000004">
      <c r="C141" s="1033" t="s">
        <v>1193</v>
      </c>
      <c r="D141" s="1027">
        <v>140</v>
      </c>
      <c r="E141" s="1027" t="s">
        <v>1102</v>
      </c>
      <c r="F141" s="1033" t="s">
        <v>1193</v>
      </c>
      <c r="G141" s="1029" t="s">
        <v>1167</v>
      </c>
      <c r="H141" s="1030" t="s">
        <v>1194</v>
      </c>
      <c r="I141" s="1039">
        <v>0.7</v>
      </c>
    </row>
    <row r="142" spans="3:9" x14ac:dyDescent="0.55000000000000004">
      <c r="C142" s="1032" t="s">
        <v>1195</v>
      </c>
      <c r="D142" s="1024">
        <v>141</v>
      </c>
      <c r="E142" s="1024" t="s">
        <v>1102</v>
      </c>
      <c r="F142" s="1032" t="s">
        <v>1195</v>
      </c>
      <c r="G142" s="1025" t="s">
        <v>1127</v>
      </c>
      <c r="H142" s="1026" t="s">
        <v>1196</v>
      </c>
      <c r="I142" s="1039">
        <v>0.70499999999999996</v>
      </c>
    </row>
    <row r="143" spans="3:9" x14ac:dyDescent="0.55000000000000004">
      <c r="C143" s="1033" t="s">
        <v>1197</v>
      </c>
      <c r="D143" s="1027">
        <v>142</v>
      </c>
      <c r="E143" s="1027" t="s">
        <v>1102</v>
      </c>
      <c r="F143" s="1033" t="s">
        <v>1197</v>
      </c>
      <c r="G143" s="1029" t="s">
        <v>1120</v>
      </c>
      <c r="H143" s="1030" t="s">
        <v>1198</v>
      </c>
      <c r="I143" s="1039">
        <v>0.71</v>
      </c>
    </row>
    <row r="144" spans="3:9" x14ac:dyDescent="0.55000000000000004">
      <c r="C144" s="1032" t="s">
        <v>1199</v>
      </c>
      <c r="D144" s="1024">
        <v>143</v>
      </c>
      <c r="E144" s="1024" t="s">
        <v>1102</v>
      </c>
      <c r="F144" s="1032" t="s">
        <v>1199</v>
      </c>
      <c r="G144" s="1025" t="s">
        <v>1143</v>
      </c>
      <c r="H144" s="1026" t="s">
        <v>1200</v>
      </c>
      <c r="I144" s="1039">
        <v>0.71499999999999997</v>
      </c>
    </row>
    <row r="145" spans="3:9" x14ac:dyDescent="0.55000000000000004">
      <c r="C145" s="1033" t="s">
        <v>1201</v>
      </c>
      <c r="D145" s="1027">
        <v>144</v>
      </c>
      <c r="E145" s="1027" t="s">
        <v>1102</v>
      </c>
      <c r="F145" s="1033" t="s">
        <v>1201</v>
      </c>
      <c r="G145" s="1029" t="s">
        <v>1167</v>
      </c>
      <c r="H145" s="1030" t="s">
        <v>1202</v>
      </c>
      <c r="I145" s="1039">
        <v>0.72</v>
      </c>
    </row>
    <row r="146" spans="3:9" x14ac:dyDescent="0.55000000000000004">
      <c r="C146" s="1032" t="s">
        <v>1203</v>
      </c>
      <c r="D146" s="1024">
        <v>145</v>
      </c>
      <c r="E146" s="1024" t="s">
        <v>1102</v>
      </c>
      <c r="F146" s="1032" t="s">
        <v>1203</v>
      </c>
      <c r="G146" s="1025" t="s">
        <v>1143</v>
      </c>
      <c r="H146" s="1026" t="s">
        <v>1204</v>
      </c>
      <c r="I146" s="1039">
        <v>0.72499999999999998</v>
      </c>
    </row>
    <row r="147" spans="3:9" x14ac:dyDescent="0.55000000000000004">
      <c r="C147" s="1033" t="s">
        <v>1205</v>
      </c>
      <c r="D147" s="1027">
        <v>146</v>
      </c>
      <c r="E147" s="1027" t="s">
        <v>1102</v>
      </c>
      <c r="F147" s="1033" t="s">
        <v>1205</v>
      </c>
      <c r="G147" s="1029" t="s">
        <v>1167</v>
      </c>
      <c r="H147" s="1030" t="s">
        <v>1206</v>
      </c>
      <c r="I147" s="1039">
        <v>0.73</v>
      </c>
    </row>
    <row r="148" spans="3:9" x14ac:dyDescent="0.55000000000000004">
      <c r="C148" s="1032" t="s">
        <v>1207</v>
      </c>
      <c r="D148" s="1024">
        <v>147</v>
      </c>
      <c r="E148" s="1024" t="s">
        <v>1102</v>
      </c>
      <c r="F148" s="1032" t="s">
        <v>1207</v>
      </c>
      <c r="G148" s="1025" t="s">
        <v>1143</v>
      </c>
      <c r="H148" s="1026" t="s">
        <v>1208</v>
      </c>
      <c r="I148" s="1039">
        <v>0.73499999999999999</v>
      </c>
    </row>
    <row r="149" spans="3:9" x14ac:dyDescent="0.55000000000000004">
      <c r="C149" s="1033" t="s">
        <v>1209</v>
      </c>
      <c r="D149" s="1027">
        <v>148</v>
      </c>
      <c r="E149" s="1027" t="s">
        <v>1102</v>
      </c>
      <c r="F149" s="1033" t="s">
        <v>1209</v>
      </c>
      <c r="G149" s="1029" t="s">
        <v>1111</v>
      </c>
      <c r="H149" s="1030" t="s">
        <v>1210</v>
      </c>
      <c r="I149" s="1039">
        <v>0.74</v>
      </c>
    </row>
    <row r="150" spans="3:9" x14ac:dyDescent="0.55000000000000004">
      <c r="C150" s="1032" t="s">
        <v>1211</v>
      </c>
      <c r="D150" s="1024">
        <v>149</v>
      </c>
      <c r="E150" s="1024" t="s">
        <v>1102</v>
      </c>
      <c r="F150" s="1032" t="s">
        <v>1211</v>
      </c>
      <c r="G150" s="1025" t="s">
        <v>1143</v>
      </c>
      <c r="H150" s="1026" t="s">
        <v>1212</v>
      </c>
      <c r="I150" s="1039">
        <v>0.745</v>
      </c>
    </row>
    <row r="151" spans="3:9" x14ac:dyDescent="0.55000000000000004">
      <c r="C151" s="1033" t="s">
        <v>1213</v>
      </c>
      <c r="D151" s="1027">
        <v>150</v>
      </c>
      <c r="E151" s="1027" t="s">
        <v>1102</v>
      </c>
      <c r="F151" s="1033" t="s">
        <v>1213</v>
      </c>
      <c r="G151" s="1029" t="s">
        <v>1143</v>
      </c>
      <c r="H151" s="1030" t="s">
        <v>1214</v>
      </c>
      <c r="I151" s="1039">
        <v>0.75</v>
      </c>
    </row>
    <row r="152" spans="3:9" x14ac:dyDescent="0.55000000000000004">
      <c r="C152" s="1032" t="s">
        <v>1215</v>
      </c>
      <c r="D152" s="1024">
        <v>151</v>
      </c>
      <c r="E152" s="1024" t="s">
        <v>1102</v>
      </c>
      <c r="F152" s="1032" t="s">
        <v>1215</v>
      </c>
      <c r="G152" s="1025" t="s">
        <v>1111</v>
      </c>
      <c r="H152" s="1026" t="s">
        <v>1216</v>
      </c>
      <c r="I152" s="1039">
        <v>0.755</v>
      </c>
    </row>
    <row r="153" spans="3:9" x14ac:dyDescent="0.55000000000000004">
      <c r="C153" s="1033" t="s">
        <v>1217</v>
      </c>
      <c r="D153" s="1027">
        <v>152</v>
      </c>
      <c r="E153" s="1027" t="s">
        <v>1102</v>
      </c>
      <c r="F153" s="1033" t="s">
        <v>1217</v>
      </c>
      <c r="G153" s="1029" t="s">
        <v>1130</v>
      </c>
      <c r="H153" s="1030" t="s">
        <v>1218</v>
      </c>
      <c r="I153" s="1039">
        <v>0.76</v>
      </c>
    </row>
    <row r="154" spans="3:9" x14ac:dyDescent="0.55000000000000004">
      <c r="C154" s="1032" t="s">
        <v>1219</v>
      </c>
      <c r="D154" s="1024">
        <v>153</v>
      </c>
      <c r="E154" s="1024" t="s">
        <v>1102</v>
      </c>
      <c r="F154" s="1032" t="s">
        <v>1219</v>
      </c>
      <c r="G154" s="1025" t="s">
        <v>1143</v>
      </c>
      <c r="H154" s="1026" t="s">
        <v>1220</v>
      </c>
      <c r="I154" s="1039">
        <v>0.76500000000000001</v>
      </c>
    </row>
    <row r="155" spans="3:9" x14ac:dyDescent="0.55000000000000004">
      <c r="C155" s="1033" t="s">
        <v>1222</v>
      </c>
      <c r="D155" s="1027">
        <v>154</v>
      </c>
      <c r="E155" s="1027" t="s">
        <v>1221</v>
      </c>
      <c r="F155" s="1033" t="s">
        <v>1222</v>
      </c>
      <c r="G155" s="1029" t="s">
        <v>1106</v>
      </c>
      <c r="H155" s="1030" t="s">
        <v>1223</v>
      </c>
      <c r="I155" s="1039">
        <v>0.77</v>
      </c>
    </row>
    <row r="156" spans="3:9" x14ac:dyDescent="0.55000000000000004">
      <c r="C156" s="1032" t="s">
        <v>1224</v>
      </c>
      <c r="D156" s="1024">
        <v>155</v>
      </c>
      <c r="E156" s="1024" t="s">
        <v>1221</v>
      </c>
      <c r="F156" s="1032" t="s">
        <v>1224</v>
      </c>
      <c r="G156" s="1025" t="s">
        <v>1225</v>
      </c>
      <c r="H156" s="1026" t="s">
        <v>1226</v>
      </c>
      <c r="I156" s="1039">
        <v>0.77500000000000002</v>
      </c>
    </row>
    <row r="157" spans="3:9" x14ac:dyDescent="0.55000000000000004">
      <c r="C157" s="1033" t="s">
        <v>1227</v>
      </c>
      <c r="D157" s="1027">
        <v>156</v>
      </c>
      <c r="E157" s="1027" t="s">
        <v>1221</v>
      </c>
      <c r="F157" s="1033" t="s">
        <v>1227</v>
      </c>
      <c r="G157" s="1029" t="s">
        <v>1228</v>
      </c>
      <c r="H157" s="1030" t="s">
        <v>1229</v>
      </c>
      <c r="I157" s="1039">
        <v>0.78</v>
      </c>
    </row>
    <row r="158" spans="3:9" x14ac:dyDescent="0.55000000000000004">
      <c r="C158" s="1032" t="s">
        <v>1230</v>
      </c>
      <c r="D158" s="1024">
        <v>157</v>
      </c>
      <c r="E158" s="1024" t="s">
        <v>1221</v>
      </c>
      <c r="F158" s="1032" t="s">
        <v>1230</v>
      </c>
      <c r="G158" s="1025" t="s">
        <v>1231</v>
      </c>
      <c r="H158" s="1026" t="s">
        <v>1232</v>
      </c>
      <c r="I158" s="1039">
        <v>0.78500000000000003</v>
      </c>
    </row>
    <row r="159" spans="3:9" x14ac:dyDescent="0.55000000000000004">
      <c r="C159" s="1033" t="s">
        <v>1233</v>
      </c>
      <c r="D159" s="1027">
        <v>158</v>
      </c>
      <c r="E159" s="1027" t="s">
        <v>1221</v>
      </c>
      <c r="F159" s="1033" t="s">
        <v>1233</v>
      </c>
      <c r="G159" s="1029" t="s">
        <v>1231</v>
      </c>
      <c r="H159" s="1030" t="s">
        <v>1234</v>
      </c>
      <c r="I159" s="1039">
        <v>0.79</v>
      </c>
    </row>
    <row r="160" spans="3:9" x14ac:dyDescent="0.55000000000000004">
      <c r="C160" s="1032" t="s">
        <v>1235</v>
      </c>
      <c r="D160" s="1024">
        <v>159</v>
      </c>
      <c r="E160" s="1024" t="s">
        <v>1221</v>
      </c>
      <c r="F160" s="1032" t="s">
        <v>1235</v>
      </c>
      <c r="G160" s="1025" t="s">
        <v>1225</v>
      </c>
      <c r="H160" s="1026" t="s">
        <v>1236</v>
      </c>
      <c r="I160" s="1039">
        <v>0.79500000000000004</v>
      </c>
    </row>
    <row r="161" spans="3:9" x14ac:dyDescent="0.55000000000000004">
      <c r="C161" s="1033" t="s">
        <v>1237</v>
      </c>
      <c r="D161" s="1027">
        <v>160</v>
      </c>
      <c r="E161" s="1027" t="s">
        <v>1221</v>
      </c>
      <c r="F161" s="1033" t="s">
        <v>1237</v>
      </c>
      <c r="G161" s="1029" t="s">
        <v>1231</v>
      </c>
      <c r="H161" s="1030" t="s">
        <v>1238</v>
      </c>
      <c r="I161" s="1039">
        <v>0.8</v>
      </c>
    </row>
    <row r="162" spans="3:9" x14ac:dyDescent="0.55000000000000004">
      <c r="C162" s="1032" t="s">
        <v>1239</v>
      </c>
      <c r="D162" s="1024">
        <v>161</v>
      </c>
      <c r="E162" s="1024" t="s">
        <v>1221</v>
      </c>
      <c r="F162" s="1032" t="s">
        <v>1239</v>
      </c>
      <c r="G162" s="1025" t="s">
        <v>1228</v>
      </c>
      <c r="H162" s="1026" t="s">
        <v>1240</v>
      </c>
      <c r="I162" s="1039">
        <v>0.80500000000000005</v>
      </c>
    </row>
    <row r="163" spans="3:9" x14ac:dyDescent="0.55000000000000004">
      <c r="C163" s="1033" t="s">
        <v>1241</v>
      </c>
      <c r="D163" s="1027">
        <v>162</v>
      </c>
      <c r="E163" s="1027" t="s">
        <v>1221</v>
      </c>
      <c r="F163" s="1033" t="s">
        <v>1241</v>
      </c>
      <c r="G163" s="1029" t="s">
        <v>1231</v>
      </c>
      <c r="H163" s="1030" t="s">
        <v>1242</v>
      </c>
      <c r="I163" s="1039">
        <v>0.81</v>
      </c>
    </row>
    <row r="164" spans="3:9" x14ac:dyDescent="0.55000000000000004">
      <c r="C164" s="1032" t="s">
        <v>956</v>
      </c>
      <c r="D164" s="1024">
        <v>163</v>
      </c>
      <c r="E164" s="1024" t="s">
        <v>1221</v>
      </c>
      <c r="F164" s="1032" t="s">
        <v>956</v>
      </c>
      <c r="G164" s="1025" t="s">
        <v>1228</v>
      </c>
      <c r="H164" s="1026" t="s">
        <v>1243</v>
      </c>
      <c r="I164" s="1039">
        <v>0.81499999999999995</v>
      </c>
    </row>
    <row r="165" spans="3:9" x14ac:dyDescent="0.55000000000000004">
      <c r="C165" s="1033" t="s">
        <v>1244</v>
      </c>
      <c r="D165" s="1027">
        <v>164</v>
      </c>
      <c r="E165" s="1027" t="s">
        <v>1221</v>
      </c>
      <c r="F165" s="1033" t="s">
        <v>1244</v>
      </c>
      <c r="G165" s="1029" t="s">
        <v>1225</v>
      </c>
      <c r="H165" s="1030" t="s">
        <v>1245</v>
      </c>
      <c r="I165" s="1039">
        <v>0.82</v>
      </c>
    </row>
    <row r="166" spans="3:9" x14ac:dyDescent="0.55000000000000004">
      <c r="C166" s="1032" t="s">
        <v>1246</v>
      </c>
      <c r="D166" s="1024">
        <v>165</v>
      </c>
      <c r="E166" s="1024" t="s">
        <v>1221</v>
      </c>
      <c r="F166" s="1032" t="s">
        <v>1246</v>
      </c>
      <c r="G166" s="1025" t="s">
        <v>1231</v>
      </c>
      <c r="H166" s="1026" t="s">
        <v>1247</v>
      </c>
      <c r="I166" s="1039">
        <v>0.82499999999999996</v>
      </c>
    </row>
    <row r="167" spans="3:9" x14ac:dyDescent="0.55000000000000004">
      <c r="C167" s="1033" t="s">
        <v>1248</v>
      </c>
      <c r="D167" s="1027">
        <v>166</v>
      </c>
      <c r="E167" s="1027" t="s">
        <v>1221</v>
      </c>
      <c r="F167" s="1033" t="s">
        <v>1248</v>
      </c>
      <c r="G167" s="1029" t="s">
        <v>1228</v>
      </c>
      <c r="H167" s="1030" t="s">
        <v>1249</v>
      </c>
      <c r="I167" s="1039">
        <v>0.83</v>
      </c>
    </row>
    <row r="168" spans="3:9" x14ac:dyDescent="0.55000000000000004">
      <c r="C168" s="1032" t="s">
        <v>1250</v>
      </c>
      <c r="D168" s="1024">
        <v>167</v>
      </c>
      <c r="E168" s="1024" t="s">
        <v>1221</v>
      </c>
      <c r="F168" s="1032" t="s">
        <v>1250</v>
      </c>
      <c r="G168" s="1025" t="s">
        <v>1228</v>
      </c>
      <c r="H168" s="1026" t="s">
        <v>1251</v>
      </c>
      <c r="I168" s="1039">
        <v>0.83499999999999996</v>
      </c>
    </row>
    <row r="169" spans="3:9" x14ac:dyDescent="0.55000000000000004">
      <c r="C169" s="1033" t="s">
        <v>1252</v>
      </c>
      <c r="D169" s="1027">
        <v>168</v>
      </c>
      <c r="E169" s="1027" t="s">
        <v>1221</v>
      </c>
      <c r="F169" s="1033" t="s">
        <v>1252</v>
      </c>
      <c r="G169" s="1029" t="s">
        <v>1225</v>
      </c>
      <c r="H169" s="1030" t="s">
        <v>1253</v>
      </c>
      <c r="I169" s="1039">
        <v>0.84</v>
      </c>
    </row>
    <row r="170" spans="3:9" x14ac:dyDescent="0.55000000000000004">
      <c r="C170" s="1032" t="s">
        <v>1254</v>
      </c>
      <c r="D170" s="1024">
        <v>169</v>
      </c>
      <c r="E170" s="1024" t="s">
        <v>1221</v>
      </c>
      <c r="F170" s="1032" t="s">
        <v>1254</v>
      </c>
      <c r="G170" s="1025" t="s">
        <v>1225</v>
      </c>
      <c r="H170" s="1026" t="s">
        <v>1255</v>
      </c>
      <c r="I170" s="1039">
        <v>0.84499999999999997</v>
      </c>
    </row>
    <row r="171" spans="3:9" x14ac:dyDescent="0.55000000000000004">
      <c r="C171" s="1033" t="s">
        <v>1256</v>
      </c>
      <c r="D171" s="1027">
        <v>170</v>
      </c>
      <c r="E171" s="1027" t="s">
        <v>1221</v>
      </c>
      <c r="F171" s="1033" t="s">
        <v>1256</v>
      </c>
      <c r="G171" s="1029" t="s">
        <v>1225</v>
      </c>
      <c r="H171" s="1030" t="s">
        <v>1257</v>
      </c>
      <c r="I171" s="1039">
        <v>0.85</v>
      </c>
    </row>
    <row r="172" spans="3:9" x14ac:dyDescent="0.55000000000000004">
      <c r="C172" s="1032" t="s">
        <v>1258</v>
      </c>
      <c r="D172" s="1024">
        <v>171</v>
      </c>
      <c r="E172" s="1024" t="s">
        <v>1221</v>
      </c>
      <c r="F172" s="1032" t="s">
        <v>1258</v>
      </c>
      <c r="G172" s="1025" t="s">
        <v>1225</v>
      </c>
      <c r="H172" s="1026" t="s">
        <v>1259</v>
      </c>
      <c r="I172" s="1039">
        <v>0.85499999999999998</v>
      </c>
    </row>
    <row r="173" spans="3:9" x14ac:dyDescent="0.55000000000000004">
      <c r="C173" s="1033" t="s">
        <v>1260</v>
      </c>
      <c r="D173" s="1027">
        <v>172</v>
      </c>
      <c r="E173" s="1027" t="s">
        <v>1221</v>
      </c>
      <c r="F173" s="1033" t="s">
        <v>1260</v>
      </c>
      <c r="G173" s="1029" t="s">
        <v>1228</v>
      </c>
      <c r="H173" s="1030" t="s">
        <v>1261</v>
      </c>
      <c r="I173" s="1039">
        <v>0.86</v>
      </c>
    </row>
    <row r="174" spans="3:9" x14ac:dyDescent="0.55000000000000004">
      <c r="C174" s="1032" t="s">
        <v>1262</v>
      </c>
      <c r="D174" s="1024">
        <v>173</v>
      </c>
      <c r="E174" s="1024" t="s">
        <v>1221</v>
      </c>
      <c r="F174" s="1032" t="s">
        <v>1262</v>
      </c>
      <c r="G174" s="1025" t="s">
        <v>1228</v>
      </c>
      <c r="H174" s="1026" t="s">
        <v>1263</v>
      </c>
      <c r="I174" s="1039">
        <v>0.86499999999999999</v>
      </c>
    </row>
    <row r="175" spans="3:9" x14ac:dyDescent="0.55000000000000004">
      <c r="C175" s="1033" t="s">
        <v>1265</v>
      </c>
      <c r="D175" s="1027">
        <v>174</v>
      </c>
      <c r="E175" s="1027" t="s">
        <v>1264</v>
      </c>
      <c r="F175" s="1033" t="s">
        <v>1265</v>
      </c>
      <c r="G175" s="1029" t="s">
        <v>1225</v>
      </c>
      <c r="H175" s="1030" t="s">
        <v>1266</v>
      </c>
      <c r="I175" s="1039">
        <v>0.87</v>
      </c>
    </row>
    <row r="176" spans="3:9" x14ac:dyDescent="0.55000000000000004">
      <c r="C176" s="1032" t="s">
        <v>1267</v>
      </c>
      <c r="D176" s="1024">
        <v>175</v>
      </c>
      <c r="E176" s="1024" t="s">
        <v>1264</v>
      </c>
      <c r="F176" s="1032" t="s">
        <v>1267</v>
      </c>
      <c r="G176" s="1025" t="s">
        <v>1268</v>
      </c>
      <c r="H176" s="1026" t="s">
        <v>1269</v>
      </c>
      <c r="I176" s="1039">
        <v>0.875</v>
      </c>
    </row>
    <row r="177" spans="3:9" x14ac:dyDescent="0.55000000000000004">
      <c r="C177" s="1033" t="s">
        <v>1270</v>
      </c>
      <c r="D177" s="1027">
        <v>176</v>
      </c>
      <c r="E177" s="1027" t="s">
        <v>1264</v>
      </c>
      <c r="F177" s="1033" t="s">
        <v>1270</v>
      </c>
      <c r="G177" s="1029" t="s">
        <v>1271</v>
      </c>
      <c r="H177" s="1030" t="s">
        <v>1272</v>
      </c>
      <c r="I177" s="1039">
        <v>0.88</v>
      </c>
    </row>
    <row r="178" spans="3:9" x14ac:dyDescent="0.55000000000000004">
      <c r="C178" s="1032" t="s">
        <v>1273</v>
      </c>
      <c r="D178" s="1024">
        <v>177</v>
      </c>
      <c r="E178" s="1024" t="s">
        <v>1264</v>
      </c>
      <c r="F178" s="1032" t="s">
        <v>1273</v>
      </c>
      <c r="G178" s="1025" t="s">
        <v>1274</v>
      </c>
      <c r="H178" s="1026" t="s">
        <v>1275</v>
      </c>
      <c r="I178" s="1039">
        <v>0.88500000000000001</v>
      </c>
    </row>
    <row r="179" spans="3:9" x14ac:dyDescent="0.55000000000000004">
      <c r="C179" s="1033" t="s">
        <v>1276</v>
      </c>
      <c r="D179" s="1027">
        <v>178</v>
      </c>
      <c r="E179" s="1027" t="s">
        <v>1264</v>
      </c>
      <c r="F179" s="1033" t="s">
        <v>1276</v>
      </c>
      <c r="G179" s="1029" t="s">
        <v>1277</v>
      </c>
      <c r="H179" s="1030" t="s">
        <v>1278</v>
      </c>
      <c r="I179" s="1039">
        <v>0.89</v>
      </c>
    </row>
    <row r="180" spans="3:9" x14ac:dyDescent="0.55000000000000004">
      <c r="C180" s="1032" t="s">
        <v>1279</v>
      </c>
      <c r="D180" s="1024">
        <v>179</v>
      </c>
      <c r="E180" s="1024" t="s">
        <v>1264</v>
      </c>
      <c r="F180" s="1032" t="s">
        <v>1279</v>
      </c>
      <c r="G180" s="1025" t="s">
        <v>1280</v>
      </c>
      <c r="H180" s="1026" t="s">
        <v>1281</v>
      </c>
      <c r="I180" s="1039">
        <v>0.89500000000000002</v>
      </c>
    </row>
    <row r="181" spans="3:9" x14ac:dyDescent="0.55000000000000004">
      <c r="C181" s="1033" t="s">
        <v>1282</v>
      </c>
      <c r="D181" s="1027">
        <v>180</v>
      </c>
      <c r="E181" s="1027" t="s">
        <v>1264</v>
      </c>
      <c r="F181" s="1033" t="s">
        <v>1282</v>
      </c>
      <c r="G181" s="1029" t="s">
        <v>1280</v>
      </c>
      <c r="H181" s="1030" t="s">
        <v>1283</v>
      </c>
      <c r="I181" s="1039">
        <v>0.9</v>
      </c>
    </row>
    <row r="182" spans="3:9" x14ac:dyDescent="0.55000000000000004">
      <c r="C182" s="1032" t="s">
        <v>1284</v>
      </c>
      <c r="D182" s="1024">
        <v>181</v>
      </c>
      <c r="E182" s="1024" t="s">
        <v>1264</v>
      </c>
      <c r="F182" s="1032" t="s">
        <v>1284</v>
      </c>
      <c r="G182" s="1025" t="s">
        <v>1274</v>
      </c>
      <c r="H182" s="1026" t="s">
        <v>1285</v>
      </c>
      <c r="I182" s="1039">
        <v>0.90500000000000003</v>
      </c>
    </row>
    <row r="183" spans="3:9" x14ac:dyDescent="0.55000000000000004">
      <c r="C183" s="1033" t="s">
        <v>1286</v>
      </c>
      <c r="D183" s="1027">
        <v>182</v>
      </c>
      <c r="E183" s="1027" t="s">
        <v>1264</v>
      </c>
      <c r="F183" s="1033" t="s">
        <v>1286</v>
      </c>
      <c r="G183" s="1029" t="s">
        <v>1277</v>
      </c>
      <c r="H183" s="1030" t="s">
        <v>1287</v>
      </c>
      <c r="I183" s="1039">
        <v>0.91</v>
      </c>
    </row>
    <row r="184" spans="3:9" x14ac:dyDescent="0.55000000000000004">
      <c r="C184" s="1032" t="s">
        <v>1288</v>
      </c>
      <c r="D184" s="1024">
        <v>183</v>
      </c>
      <c r="E184" s="1024" t="s">
        <v>1264</v>
      </c>
      <c r="F184" s="1032" t="s">
        <v>1288</v>
      </c>
      <c r="G184" s="1025" t="s">
        <v>1277</v>
      </c>
      <c r="H184" s="1026" t="s">
        <v>1289</v>
      </c>
      <c r="I184" s="1039">
        <v>0.91500000000000004</v>
      </c>
    </row>
    <row r="185" spans="3:9" x14ac:dyDescent="0.55000000000000004">
      <c r="C185" s="1033" t="s">
        <v>1290</v>
      </c>
      <c r="D185" s="1027">
        <v>184</v>
      </c>
      <c r="E185" s="1027" t="s">
        <v>1264</v>
      </c>
      <c r="F185" s="1033" t="s">
        <v>1290</v>
      </c>
      <c r="G185" s="1029" t="s">
        <v>1277</v>
      </c>
      <c r="H185" s="1030" t="s">
        <v>1291</v>
      </c>
      <c r="I185" s="1039">
        <v>0.92</v>
      </c>
    </row>
    <row r="186" spans="3:9" x14ac:dyDescent="0.55000000000000004">
      <c r="C186" s="1032" t="s">
        <v>1292</v>
      </c>
      <c r="D186" s="1024">
        <v>185</v>
      </c>
      <c r="E186" s="1024" t="s">
        <v>1264</v>
      </c>
      <c r="F186" s="1032" t="s">
        <v>1292</v>
      </c>
      <c r="G186" s="1025" t="s">
        <v>1268</v>
      </c>
      <c r="H186" s="1026" t="s">
        <v>1293</v>
      </c>
      <c r="I186" s="1039">
        <v>0.92500000000000004</v>
      </c>
    </row>
    <row r="187" spans="3:9" x14ac:dyDescent="0.55000000000000004">
      <c r="C187" s="1033" t="s">
        <v>1294</v>
      </c>
      <c r="D187" s="1027">
        <v>186</v>
      </c>
      <c r="E187" s="1027" t="s">
        <v>1264</v>
      </c>
      <c r="F187" s="1033" t="s">
        <v>1294</v>
      </c>
      <c r="G187" s="1029" t="s">
        <v>1274</v>
      </c>
      <c r="H187" s="1030" t="s">
        <v>1295</v>
      </c>
      <c r="I187" s="1039">
        <v>0.93</v>
      </c>
    </row>
    <row r="188" spans="3:9" x14ac:dyDescent="0.55000000000000004">
      <c r="C188" s="1032" t="s">
        <v>1296</v>
      </c>
      <c r="D188" s="1024">
        <v>187</v>
      </c>
      <c r="E188" s="1024" t="s">
        <v>1264</v>
      </c>
      <c r="F188" s="1032" t="s">
        <v>1296</v>
      </c>
      <c r="G188" s="1025" t="s">
        <v>1274</v>
      </c>
      <c r="H188" s="1026" t="s">
        <v>1297</v>
      </c>
      <c r="I188" s="1039">
        <v>0.93500000000000005</v>
      </c>
    </row>
    <row r="189" spans="3:9" x14ac:dyDescent="0.55000000000000004">
      <c r="C189" s="1033" t="s">
        <v>1298</v>
      </c>
      <c r="D189" s="1027">
        <v>188</v>
      </c>
      <c r="E189" s="1027" t="s">
        <v>1264</v>
      </c>
      <c r="F189" s="1033" t="s">
        <v>1298</v>
      </c>
      <c r="G189" s="1029" t="s">
        <v>1271</v>
      </c>
      <c r="H189" s="1030" t="s">
        <v>1299</v>
      </c>
      <c r="I189" s="1039">
        <v>0.94</v>
      </c>
    </row>
    <row r="190" spans="3:9" x14ac:dyDescent="0.55000000000000004">
      <c r="C190" s="1032" t="s">
        <v>1300</v>
      </c>
      <c r="D190" s="1024">
        <v>189</v>
      </c>
      <c r="E190" s="1024" t="s">
        <v>1264</v>
      </c>
      <c r="F190" s="1032" t="s">
        <v>1300</v>
      </c>
      <c r="G190" s="1025" t="s">
        <v>1274</v>
      </c>
      <c r="H190" s="1026" t="s">
        <v>1301</v>
      </c>
      <c r="I190" s="1039">
        <v>0.94499999999999995</v>
      </c>
    </row>
    <row r="191" spans="3:9" x14ac:dyDescent="0.55000000000000004">
      <c r="C191" s="1033" t="s">
        <v>1302</v>
      </c>
      <c r="D191" s="1027">
        <v>190</v>
      </c>
      <c r="E191" s="1027" t="s">
        <v>1264</v>
      </c>
      <c r="F191" s="1033" t="s">
        <v>1302</v>
      </c>
      <c r="G191" s="1029" t="s">
        <v>1274</v>
      </c>
      <c r="H191" s="1030" t="s">
        <v>1303</v>
      </c>
      <c r="I191" s="1039">
        <v>0.95</v>
      </c>
    </row>
    <row r="192" spans="3:9" x14ac:dyDescent="0.55000000000000004">
      <c r="C192" s="1032" t="s">
        <v>1304</v>
      </c>
      <c r="D192" s="1024">
        <v>191</v>
      </c>
      <c r="E192" s="1024" t="s">
        <v>1264</v>
      </c>
      <c r="F192" s="1032" t="s">
        <v>1304</v>
      </c>
      <c r="G192" s="1025" t="s">
        <v>1277</v>
      </c>
      <c r="H192" s="1026" t="s">
        <v>1305</v>
      </c>
      <c r="I192" s="1039">
        <v>0.95499999999999996</v>
      </c>
    </row>
    <row r="193" spans="3:9" x14ac:dyDescent="0.55000000000000004">
      <c r="C193" s="1033" t="s">
        <v>1306</v>
      </c>
      <c r="D193" s="1027">
        <v>192</v>
      </c>
      <c r="E193" s="1027" t="s">
        <v>1264</v>
      </c>
      <c r="F193" s="1033" t="s">
        <v>1306</v>
      </c>
      <c r="G193" s="1029" t="s">
        <v>1271</v>
      </c>
      <c r="H193" s="1030" t="s">
        <v>1307</v>
      </c>
      <c r="I193" s="1039">
        <v>0.96</v>
      </c>
    </row>
    <row r="194" spans="3:9" x14ac:dyDescent="0.55000000000000004">
      <c r="C194" s="1032" t="s">
        <v>1308</v>
      </c>
      <c r="D194" s="1024">
        <v>193</v>
      </c>
      <c r="E194" s="1024" t="s">
        <v>1264</v>
      </c>
      <c r="F194" s="1032" t="s">
        <v>1308</v>
      </c>
      <c r="G194" s="1025" t="s">
        <v>1277</v>
      </c>
      <c r="H194" s="1026" t="s">
        <v>1309</v>
      </c>
      <c r="I194" s="1039">
        <v>0.96499999999999997</v>
      </c>
    </row>
    <row r="195" spans="3:9" x14ac:dyDescent="0.55000000000000004">
      <c r="C195" s="1033" t="s">
        <v>1310</v>
      </c>
      <c r="D195" s="1027">
        <v>194</v>
      </c>
      <c r="E195" s="1027" t="s">
        <v>1264</v>
      </c>
      <c r="F195" s="1033" t="s">
        <v>1310</v>
      </c>
      <c r="G195" s="1029" t="s">
        <v>1277</v>
      </c>
      <c r="H195" s="1030" t="s">
        <v>1311</v>
      </c>
      <c r="I195" s="1039">
        <v>0.97</v>
      </c>
    </row>
    <row r="196" spans="3:9" x14ac:dyDescent="0.55000000000000004">
      <c r="C196" s="1032" t="s">
        <v>1312</v>
      </c>
      <c r="D196" s="1024">
        <v>195</v>
      </c>
      <c r="E196" s="1024" t="s">
        <v>1264</v>
      </c>
      <c r="F196" s="1032" t="s">
        <v>1312</v>
      </c>
      <c r="G196" s="1025" t="s">
        <v>1277</v>
      </c>
      <c r="H196" s="1026" t="s">
        <v>1313</v>
      </c>
      <c r="I196" s="1039">
        <v>0.97499999999999998</v>
      </c>
    </row>
    <row r="197" spans="3:9" x14ac:dyDescent="0.55000000000000004">
      <c r="C197" s="1033" t="s">
        <v>1314</v>
      </c>
      <c r="D197" s="1027">
        <v>196</v>
      </c>
      <c r="E197" s="1027" t="s">
        <v>1264</v>
      </c>
      <c r="F197" s="1033" t="s">
        <v>1314</v>
      </c>
      <c r="G197" s="1029" t="s">
        <v>1280</v>
      </c>
      <c r="H197" s="1030" t="s">
        <v>1315</v>
      </c>
      <c r="I197" s="1039">
        <v>0.98</v>
      </c>
    </row>
    <row r="198" spans="3:9" x14ac:dyDescent="0.55000000000000004">
      <c r="C198" s="1032" t="s">
        <v>1316</v>
      </c>
      <c r="D198" s="1024">
        <v>197</v>
      </c>
      <c r="E198" s="1024" t="s">
        <v>1264</v>
      </c>
      <c r="F198" s="1032" t="s">
        <v>1316</v>
      </c>
      <c r="G198" s="1025" t="s">
        <v>1271</v>
      </c>
      <c r="H198" s="1026" t="s">
        <v>1317</v>
      </c>
      <c r="I198" s="1039">
        <v>0.98499999999999999</v>
      </c>
    </row>
    <row r="199" spans="3:9" x14ac:dyDescent="0.55000000000000004">
      <c r="C199" s="1033" t="s">
        <v>1318</v>
      </c>
      <c r="D199" s="1027">
        <v>198</v>
      </c>
      <c r="E199" s="1027" t="s">
        <v>1264</v>
      </c>
      <c r="F199" s="1033" t="s">
        <v>1318</v>
      </c>
      <c r="G199" s="1029" t="s">
        <v>1268</v>
      </c>
      <c r="H199" s="1030" t="s">
        <v>1319</v>
      </c>
      <c r="I199" s="1039">
        <v>0.99</v>
      </c>
    </row>
    <row r="200" spans="3:9" x14ac:dyDescent="0.55000000000000004">
      <c r="C200" s="1032" t="s">
        <v>1320</v>
      </c>
      <c r="D200" s="1024">
        <v>199</v>
      </c>
      <c r="E200" s="1024" t="s">
        <v>1264</v>
      </c>
      <c r="F200" s="1032" t="s">
        <v>1320</v>
      </c>
      <c r="G200" s="1025" t="s">
        <v>1280</v>
      </c>
      <c r="H200" s="1026" t="s">
        <v>1321</v>
      </c>
      <c r="I200" s="1039">
        <v>0.995</v>
      </c>
    </row>
    <row r="201" spans="3:9" x14ac:dyDescent="0.55000000000000004">
      <c r="C201" s="1033" t="s">
        <v>1322</v>
      </c>
      <c r="D201" s="1027">
        <v>200</v>
      </c>
      <c r="E201" s="1027" t="s">
        <v>1264</v>
      </c>
      <c r="F201" s="1033" t="s">
        <v>1322</v>
      </c>
      <c r="G201" s="1029" t="s">
        <v>1274</v>
      </c>
      <c r="H201" s="1030" t="s">
        <v>1323</v>
      </c>
    </row>
    <row r="202" spans="3:9" x14ac:dyDescent="0.55000000000000004">
      <c r="C202" s="1032" t="s">
        <v>1324</v>
      </c>
      <c r="D202" s="1024">
        <v>201</v>
      </c>
      <c r="E202" s="1024" t="s">
        <v>1264</v>
      </c>
      <c r="F202" s="1032" t="s">
        <v>1324</v>
      </c>
      <c r="G202" s="1025" t="s">
        <v>1280</v>
      </c>
      <c r="H202" s="1026" t="s">
        <v>1325</v>
      </c>
    </row>
    <row r="203" spans="3:9" x14ac:dyDescent="0.55000000000000004">
      <c r="C203" s="1033" t="s">
        <v>1326</v>
      </c>
      <c r="D203" s="1027">
        <v>202</v>
      </c>
      <c r="E203" s="1027" t="s">
        <v>1264</v>
      </c>
      <c r="F203" s="1033" t="s">
        <v>1326</v>
      </c>
      <c r="G203" s="1029" t="s">
        <v>1268</v>
      </c>
      <c r="H203" s="1030" t="s">
        <v>1327</v>
      </c>
    </row>
    <row r="204" spans="3:9" x14ac:dyDescent="0.55000000000000004">
      <c r="C204" s="1032" t="s">
        <v>1328</v>
      </c>
      <c r="D204" s="1024">
        <v>203</v>
      </c>
      <c r="E204" s="1024" t="s">
        <v>1264</v>
      </c>
      <c r="F204" s="1032" t="s">
        <v>1328</v>
      </c>
      <c r="G204" s="1025" t="s">
        <v>1271</v>
      </c>
      <c r="H204" s="1026" t="s">
        <v>1329</v>
      </c>
    </row>
    <row r="205" spans="3:9" x14ac:dyDescent="0.55000000000000004">
      <c r="C205" s="1033" t="s">
        <v>1330</v>
      </c>
      <c r="D205" s="1027">
        <v>204</v>
      </c>
      <c r="E205" s="1027" t="s">
        <v>1264</v>
      </c>
      <c r="F205" s="1033" t="s">
        <v>1330</v>
      </c>
      <c r="G205" s="1029" t="s">
        <v>1277</v>
      </c>
      <c r="H205" s="1030" t="s">
        <v>1331</v>
      </c>
    </row>
    <row r="206" spans="3:9" x14ac:dyDescent="0.55000000000000004">
      <c r="C206" s="1032" t="s">
        <v>1333</v>
      </c>
      <c r="D206" s="1024">
        <v>205</v>
      </c>
      <c r="E206" s="1024" t="s">
        <v>1332</v>
      </c>
      <c r="F206" s="1032" t="s">
        <v>1333</v>
      </c>
      <c r="G206" s="1025" t="s">
        <v>1280</v>
      </c>
      <c r="H206" s="1026" t="s">
        <v>1334</v>
      </c>
    </row>
    <row r="207" spans="3:9" x14ac:dyDescent="0.55000000000000004">
      <c r="C207" s="1033" t="s">
        <v>1335</v>
      </c>
      <c r="D207" s="1027">
        <v>206</v>
      </c>
      <c r="E207" s="1027" t="s">
        <v>1332</v>
      </c>
      <c r="F207" s="1033" t="s">
        <v>1335</v>
      </c>
      <c r="G207" s="1029" t="s">
        <v>1336</v>
      </c>
      <c r="H207" s="1030" t="s">
        <v>1337</v>
      </c>
    </row>
    <row r="208" spans="3:9" x14ac:dyDescent="0.55000000000000004">
      <c r="C208" s="1032" t="s">
        <v>1338</v>
      </c>
      <c r="D208" s="1024">
        <v>207</v>
      </c>
      <c r="E208" s="1024" t="s">
        <v>1332</v>
      </c>
      <c r="F208" s="1032" t="s">
        <v>1338</v>
      </c>
      <c r="G208" s="1025" t="s">
        <v>1336</v>
      </c>
      <c r="H208" s="1026" t="s">
        <v>1339</v>
      </c>
    </row>
    <row r="209" spans="3:8" x14ac:dyDescent="0.55000000000000004">
      <c r="C209" s="1033" t="s">
        <v>1340</v>
      </c>
      <c r="D209" s="1027">
        <v>208</v>
      </c>
      <c r="E209" s="1027" t="s">
        <v>1332</v>
      </c>
      <c r="F209" s="1033" t="s">
        <v>1340</v>
      </c>
      <c r="G209" s="1029" t="s">
        <v>1341</v>
      </c>
      <c r="H209" s="1030" t="s">
        <v>1342</v>
      </c>
    </row>
    <row r="210" spans="3:8" x14ac:dyDescent="0.55000000000000004">
      <c r="C210" s="1032" t="s">
        <v>1343</v>
      </c>
      <c r="D210" s="1024">
        <v>209</v>
      </c>
      <c r="E210" s="1024" t="s">
        <v>1332</v>
      </c>
      <c r="F210" s="1032" t="s">
        <v>1343</v>
      </c>
      <c r="G210" s="1025" t="s">
        <v>1336</v>
      </c>
      <c r="H210" s="1026" t="s">
        <v>1344</v>
      </c>
    </row>
    <row r="211" spans="3:8" x14ac:dyDescent="0.55000000000000004">
      <c r="C211" s="1033" t="s">
        <v>1345</v>
      </c>
      <c r="D211" s="1027">
        <v>210</v>
      </c>
      <c r="E211" s="1027" t="s">
        <v>1332</v>
      </c>
      <c r="F211" s="1033" t="s">
        <v>1345</v>
      </c>
      <c r="G211" s="1029" t="s">
        <v>1346</v>
      </c>
      <c r="H211" s="1030" t="s">
        <v>1347</v>
      </c>
    </row>
    <row r="212" spans="3:8" x14ac:dyDescent="0.55000000000000004">
      <c r="C212" s="1032" t="s">
        <v>1348</v>
      </c>
      <c r="D212" s="1024">
        <v>211</v>
      </c>
      <c r="E212" s="1024" t="s">
        <v>1332</v>
      </c>
      <c r="F212" s="1032" t="s">
        <v>1348</v>
      </c>
      <c r="G212" s="1025" t="s">
        <v>1346</v>
      </c>
      <c r="H212" s="1026" t="s">
        <v>1349</v>
      </c>
    </row>
    <row r="213" spans="3:8" x14ac:dyDescent="0.55000000000000004">
      <c r="C213" s="1033" t="s">
        <v>1350</v>
      </c>
      <c r="D213" s="1027">
        <v>212</v>
      </c>
      <c r="E213" s="1027" t="s">
        <v>1332</v>
      </c>
      <c r="F213" s="1033" t="s">
        <v>1350</v>
      </c>
      <c r="G213" s="1029" t="s">
        <v>1346</v>
      </c>
      <c r="H213" s="1030" t="s">
        <v>1351</v>
      </c>
    </row>
    <row r="214" spans="3:8" x14ac:dyDescent="0.55000000000000004">
      <c r="C214" s="1032" t="s">
        <v>1352</v>
      </c>
      <c r="D214" s="1024">
        <v>213</v>
      </c>
      <c r="E214" s="1024" t="s">
        <v>1332</v>
      </c>
      <c r="F214" s="1032" t="s">
        <v>1352</v>
      </c>
      <c r="G214" s="1025" t="s">
        <v>1353</v>
      </c>
      <c r="H214" s="1026" t="s">
        <v>1354</v>
      </c>
    </row>
    <row r="215" spans="3:8" x14ac:dyDescent="0.55000000000000004">
      <c r="C215" s="1033" t="s">
        <v>1355</v>
      </c>
      <c r="D215" s="1027">
        <v>214</v>
      </c>
      <c r="E215" s="1027" t="s">
        <v>1332</v>
      </c>
      <c r="F215" s="1033" t="s">
        <v>1355</v>
      </c>
      <c r="G215" s="1029" t="s">
        <v>1341</v>
      </c>
      <c r="H215" s="1030" t="s">
        <v>1356</v>
      </c>
    </row>
    <row r="216" spans="3:8" x14ac:dyDescent="0.55000000000000004">
      <c r="C216" s="1032" t="s">
        <v>1357</v>
      </c>
      <c r="D216" s="1024">
        <v>215</v>
      </c>
      <c r="E216" s="1024" t="s">
        <v>1332</v>
      </c>
      <c r="F216" s="1032" t="s">
        <v>1357</v>
      </c>
      <c r="G216" s="1025" t="s">
        <v>1353</v>
      </c>
      <c r="H216" s="1026" t="s">
        <v>1358</v>
      </c>
    </row>
    <row r="217" spans="3:8" x14ac:dyDescent="0.55000000000000004">
      <c r="C217" s="1033" t="s">
        <v>1359</v>
      </c>
      <c r="D217" s="1027">
        <v>216</v>
      </c>
      <c r="E217" s="1027" t="s">
        <v>1332</v>
      </c>
      <c r="F217" s="1033" t="s">
        <v>1359</v>
      </c>
      <c r="G217" s="1029" t="s">
        <v>1346</v>
      </c>
      <c r="H217" s="1030" t="s">
        <v>1360</v>
      </c>
    </row>
    <row r="218" spans="3:8" x14ac:dyDescent="0.55000000000000004">
      <c r="C218" s="1032" t="s">
        <v>1361</v>
      </c>
      <c r="D218" s="1024">
        <v>217</v>
      </c>
      <c r="E218" s="1024" t="s">
        <v>1332</v>
      </c>
      <c r="F218" s="1032" t="s">
        <v>1361</v>
      </c>
      <c r="G218" s="1025" t="s">
        <v>1341</v>
      </c>
      <c r="H218" s="1026" t="s">
        <v>1362</v>
      </c>
    </row>
    <row r="219" spans="3:8" x14ac:dyDescent="0.55000000000000004">
      <c r="C219" s="1033" t="s">
        <v>1363</v>
      </c>
      <c r="D219" s="1027">
        <v>218</v>
      </c>
      <c r="E219" s="1027" t="s">
        <v>1332</v>
      </c>
      <c r="F219" s="1033" t="s">
        <v>1363</v>
      </c>
      <c r="G219" s="1029" t="s">
        <v>1346</v>
      </c>
      <c r="H219" s="1030" t="s">
        <v>1364</v>
      </c>
    </row>
    <row r="220" spans="3:8" x14ac:dyDescent="0.55000000000000004">
      <c r="C220" s="1032" t="s">
        <v>1365</v>
      </c>
      <c r="D220" s="1024">
        <v>219</v>
      </c>
      <c r="E220" s="1024" t="s">
        <v>1332</v>
      </c>
      <c r="F220" s="1032" t="s">
        <v>1365</v>
      </c>
      <c r="G220" s="1025" t="s">
        <v>1353</v>
      </c>
      <c r="H220" s="1026" t="s">
        <v>1366</v>
      </c>
    </row>
    <row r="221" spans="3:8" x14ac:dyDescent="0.55000000000000004">
      <c r="C221" s="1033" t="s">
        <v>1367</v>
      </c>
      <c r="D221" s="1027">
        <v>220</v>
      </c>
      <c r="E221" s="1027" t="s">
        <v>1332</v>
      </c>
      <c r="F221" s="1033" t="s">
        <v>1367</v>
      </c>
      <c r="G221" s="1029" t="s">
        <v>1336</v>
      </c>
      <c r="H221" s="1030" t="s">
        <v>1368</v>
      </c>
    </row>
    <row r="222" spans="3:8" x14ac:dyDescent="0.55000000000000004">
      <c r="C222" s="1032" t="s">
        <v>1369</v>
      </c>
      <c r="D222" s="1024">
        <v>221</v>
      </c>
      <c r="E222" s="1024" t="s">
        <v>1332</v>
      </c>
      <c r="F222" s="1032" t="s">
        <v>1369</v>
      </c>
      <c r="G222" s="1025" t="s">
        <v>1353</v>
      </c>
      <c r="H222" s="1026" t="s">
        <v>1370</v>
      </c>
    </row>
    <row r="223" spans="3:8" x14ac:dyDescent="0.55000000000000004">
      <c r="C223" s="1033" t="s">
        <v>1371</v>
      </c>
      <c r="D223" s="1027">
        <v>222</v>
      </c>
      <c r="E223" s="1027" t="s">
        <v>1332</v>
      </c>
      <c r="F223" s="1033" t="s">
        <v>1371</v>
      </c>
      <c r="G223" s="1029" t="s">
        <v>1353</v>
      </c>
      <c r="H223" s="1030" t="s">
        <v>1372</v>
      </c>
    </row>
    <row r="224" spans="3:8" x14ac:dyDescent="0.55000000000000004">
      <c r="C224" s="1032" t="s">
        <v>1373</v>
      </c>
      <c r="D224" s="1024">
        <v>223</v>
      </c>
      <c r="E224" s="1024" t="s">
        <v>1332</v>
      </c>
      <c r="F224" s="1032" t="s">
        <v>1373</v>
      </c>
      <c r="G224" s="1025" t="s">
        <v>1346</v>
      </c>
      <c r="H224" s="1026" t="s">
        <v>1374</v>
      </c>
    </row>
    <row r="225" spans="3:8" x14ac:dyDescent="0.55000000000000004">
      <c r="C225" s="1033" t="s">
        <v>1375</v>
      </c>
      <c r="D225" s="1027">
        <v>224</v>
      </c>
      <c r="E225" s="1027" t="s">
        <v>1332</v>
      </c>
      <c r="F225" s="1033" t="s">
        <v>1375</v>
      </c>
      <c r="G225" s="1029" t="s">
        <v>1353</v>
      </c>
      <c r="H225" s="1030" t="s">
        <v>1376</v>
      </c>
    </row>
    <row r="226" spans="3:8" x14ac:dyDescent="0.55000000000000004">
      <c r="C226" s="1032" t="s">
        <v>1377</v>
      </c>
      <c r="D226" s="1024">
        <v>225</v>
      </c>
      <c r="E226" s="1024" t="s">
        <v>1332</v>
      </c>
      <c r="F226" s="1032" t="s">
        <v>1377</v>
      </c>
      <c r="G226" s="1025" t="s">
        <v>1341</v>
      </c>
      <c r="H226" s="1026" t="s">
        <v>1378</v>
      </c>
    </row>
    <row r="227" spans="3:8" x14ac:dyDescent="0.55000000000000004">
      <c r="C227" s="1033" t="s">
        <v>1379</v>
      </c>
      <c r="D227" s="1027">
        <v>226</v>
      </c>
      <c r="E227" s="1027" t="s">
        <v>1332</v>
      </c>
      <c r="F227" s="1033" t="s">
        <v>1379</v>
      </c>
      <c r="G227" s="1029" t="s">
        <v>1341</v>
      </c>
      <c r="H227" s="1030" t="s">
        <v>1380</v>
      </c>
    </row>
    <row r="228" spans="3:8" x14ac:dyDescent="0.55000000000000004">
      <c r="C228" s="1032" t="s">
        <v>1382</v>
      </c>
      <c r="D228" s="1024">
        <v>227</v>
      </c>
      <c r="E228" s="1024" t="s">
        <v>1381</v>
      </c>
      <c r="F228" s="1032" t="s">
        <v>1382</v>
      </c>
      <c r="G228" s="1025" t="s">
        <v>1341</v>
      </c>
      <c r="H228" s="1026" t="s">
        <v>1383</v>
      </c>
    </row>
    <row r="229" spans="3:8" x14ac:dyDescent="0.55000000000000004">
      <c r="C229" s="1033" t="s">
        <v>1384</v>
      </c>
      <c r="D229" s="1027">
        <v>228</v>
      </c>
      <c r="E229" s="1027" t="s">
        <v>1381</v>
      </c>
      <c r="F229" s="1033" t="s">
        <v>1384</v>
      </c>
      <c r="G229" s="1029" t="s">
        <v>1385</v>
      </c>
      <c r="H229" s="1030" t="s">
        <v>1386</v>
      </c>
    </row>
    <row r="230" spans="3:8" x14ac:dyDescent="0.55000000000000004">
      <c r="C230" s="1032" t="s">
        <v>1387</v>
      </c>
      <c r="D230" s="1024">
        <v>229</v>
      </c>
      <c r="E230" s="1024" t="s">
        <v>1381</v>
      </c>
      <c r="F230" s="1032" t="s">
        <v>1387</v>
      </c>
      <c r="G230" s="1025" t="s">
        <v>1388</v>
      </c>
      <c r="H230" s="1026" t="s">
        <v>1389</v>
      </c>
    </row>
    <row r="231" spans="3:8" x14ac:dyDescent="0.55000000000000004">
      <c r="C231" s="1033" t="s">
        <v>1390</v>
      </c>
      <c r="D231" s="1027">
        <v>230</v>
      </c>
      <c r="E231" s="1027" t="s">
        <v>1381</v>
      </c>
      <c r="F231" s="1033" t="s">
        <v>1390</v>
      </c>
      <c r="G231" s="1029" t="s">
        <v>1388</v>
      </c>
      <c r="H231" s="1030" t="s">
        <v>1391</v>
      </c>
    </row>
    <row r="232" spans="3:8" x14ac:dyDescent="0.55000000000000004">
      <c r="C232" s="1032" t="s">
        <v>1392</v>
      </c>
      <c r="D232" s="1024">
        <v>231</v>
      </c>
      <c r="E232" s="1024" t="s">
        <v>1381</v>
      </c>
      <c r="F232" s="1032" t="s">
        <v>1392</v>
      </c>
      <c r="G232" s="1025" t="s">
        <v>1393</v>
      </c>
      <c r="H232" s="1026" t="s">
        <v>1394</v>
      </c>
    </row>
    <row r="233" spans="3:8" x14ac:dyDescent="0.55000000000000004">
      <c r="C233" s="1033" t="s">
        <v>1395</v>
      </c>
      <c r="D233" s="1027">
        <v>232</v>
      </c>
      <c r="E233" s="1027" t="s">
        <v>1381</v>
      </c>
      <c r="F233" s="1033" t="s">
        <v>1395</v>
      </c>
      <c r="G233" s="1029" t="s">
        <v>1388</v>
      </c>
      <c r="H233" s="1030" t="s">
        <v>1396</v>
      </c>
    </row>
    <row r="234" spans="3:8" x14ac:dyDescent="0.55000000000000004">
      <c r="C234" s="1032" t="s">
        <v>1397</v>
      </c>
      <c r="D234" s="1024">
        <v>233</v>
      </c>
      <c r="E234" s="1024" t="s">
        <v>1381</v>
      </c>
      <c r="F234" s="1032" t="s">
        <v>1397</v>
      </c>
      <c r="G234" s="1025" t="s">
        <v>1385</v>
      </c>
      <c r="H234" s="1026" t="s">
        <v>1398</v>
      </c>
    </row>
    <row r="235" spans="3:8" x14ac:dyDescent="0.55000000000000004">
      <c r="C235" s="1033" t="s">
        <v>1399</v>
      </c>
      <c r="D235" s="1027">
        <v>234</v>
      </c>
      <c r="E235" s="1027" t="s">
        <v>1381</v>
      </c>
      <c r="F235" s="1033" t="s">
        <v>1399</v>
      </c>
      <c r="G235" s="1029" t="s">
        <v>1400</v>
      </c>
      <c r="H235" s="1030" t="s">
        <v>1401</v>
      </c>
    </row>
    <row r="236" spans="3:8" x14ac:dyDescent="0.55000000000000004">
      <c r="C236" s="1032" t="s">
        <v>1402</v>
      </c>
      <c r="D236" s="1024">
        <v>235</v>
      </c>
      <c r="E236" s="1024" t="s">
        <v>1381</v>
      </c>
      <c r="F236" s="1032" t="s">
        <v>1402</v>
      </c>
      <c r="G236" s="1025" t="s">
        <v>1385</v>
      </c>
      <c r="H236" s="1026" t="s">
        <v>1403</v>
      </c>
    </row>
    <row r="237" spans="3:8" x14ac:dyDescent="0.55000000000000004">
      <c r="C237" s="1033" t="s">
        <v>1404</v>
      </c>
      <c r="D237" s="1027">
        <v>236</v>
      </c>
      <c r="E237" s="1027" t="s">
        <v>1381</v>
      </c>
      <c r="F237" s="1033" t="s">
        <v>1404</v>
      </c>
      <c r="G237" s="1029" t="s">
        <v>1393</v>
      </c>
      <c r="H237" s="1030" t="s">
        <v>1405</v>
      </c>
    </row>
    <row r="238" spans="3:8" x14ac:dyDescent="0.55000000000000004">
      <c r="C238" s="1032" t="s">
        <v>1406</v>
      </c>
      <c r="D238" s="1024">
        <v>237</v>
      </c>
      <c r="E238" s="1024" t="s">
        <v>1381</v>
      </c>
      <c r="F238" s="1032" t="s">
        <v>1406</v>
      </c>
      <c r="G238" s="1025" t="s">
        <v>1407</v>
      </c>
      <c r="H238" s="1026" t="s">
        <v>1408</v>
      </c>
    </row>
    <row r="239" spans="3:8" x14ac:dyDescent="0.55000000000000004">
      <c r="C239" s="1033" t="s">
        <v>1409</v>
      </c>
      <c r="D239" s="1027">
        <v>238</v>
      </c>
      <c r="E239" s="1027" t="s">
        <v>1381</v>
      </c>
      <c r="F239" s="1033" t="s">
        <v>1409</v>
      </c>
      <c r="G239" s="1029" t="s">
        <v>1388</v>
      </c>
      <c r="H239" s="1030" t="s">
        <v>1410</v>
      </c>
    </row>
    <row r="240" spans="3:8" x14ac:dyDescent="0.55000000000000004">
      <c r="C240" s="1032" t="s">
        <v>1411</v>
      </c>
      <c r="D240" s="1024">
        <v>239</v>
      </c>
      <c r="E240" s="1024" t="s">
        <v>1381</v>
      </c>
      <c r="F240" s="1032" t="s">
        <v>1411</v>
      </c>
      <c r="G240" s="1025" t="s">
        <v>1393</v>
      </c>
      <c r="H240" s="1026" t="s">
        <v>1412</v>
      </c>
    </row>
    <row r="241" spans="3:8" x14ac:dyDescent="0.55000000000000004">
      <c r="C241" s="1033" t="s">
        <v>1413</v>
      </c>
      <c r="D241" s="1027">
        <v>240</v>
      </c>
      <c r="E241" s="1027" t="s">
        <v>1381</v>
      </c>
      <c r="F241" s="1033" t="s">
        <v>1413</v>
      </c>
      <c r="G241" s="1029" t="s">
        <v>1385</v>
      </c>
      <c r="H241" s="1030" t="s">
        <v>1414</v>
      </c>
    </row>
    <row r="242" spans="3:8" x14ac:dyDescent="0.55000000000000004">
      <c r="C242" s="1032" t="s">
        <v>1415</v>
      </c>
      <c r="D242" s="1024">
        <v>241</v>
      </c>
      <c r="E242" s="1024" t="s">
        <v>1381</v>
      </c>
      <c r="F242" s="1032" t="s">
        <v>1415</v>
      </c>
      <c r="G242" s="1025" t="s">
        <v>1416</v>
      </c>
      <c r="H242" s="1026" t="s">
        <v>1417</v>
      </c>
    </row>
    <row r="243" spans="3:8" x14ac:dyDescent="0.55000000000000004">
      <c r="C243" s="1033" t="s">
        <v>1418</v>
      </c>
      <c r="D243" s="1027">
        <v>242</v>
      </c>
      <c r="E243" s="1027" t="s">
        <v>1381</v>
      </c>
      <c r="F243" s="1033" t="s">
        <v>1418</v>
      </c>
      <c r="G243" s="1029" t="s">
        <v>1407</v>
      </c>
      <c r="H243" s="1030" t="s">
        <v>1419</v>
      </c>
    </row>
    <row r="244" spans="3:8" x14ac:dyDescent="0.55000000000000004">
      <c r="C244" s="1032" t="s">
        <v>1420</v>
      </c>
      <c r="D244" s="1024">
        <v>243</v>
      </c>
      <c r="E244" s="1024" t="s">
        <v>1381</v>
      </c>
      <c r="F244" s="1032" t="s">
        <v>1420</v>
      </c>
      <c r="G244" s="1025" t="s">
        <v>1400</v>
      </c>
      <c r="H244" s="1026" t="s">
        <v>1421</v>
      </c>
    </row>
    <row r="245" spans="3:8" x14ac:dyDescent="0.55000000000000004">
      <c r="C245" s="1033" t="s">
        <v>1422</v>
      </c>
      <c r="D245" s="1027">
        <v>244</v>
      </c>
      <c r="E245" s="1027" t="s">
        <v>1381</v>
      </c>
      <c r="F245" s="1033" t="s">
        <v>1422</v>
      </c>
      <c r="G245" s="1029" t="s">
        <v>1393</v>
      </c>
      <c r="H245" s="1030" t="s">
        <v>1423</v>
      </c>
    </row>
    <row r="246" spans="3:8" x14ac:dyDescent="0.55000000000000004">
      <c r="C246" s="1032" t="s">
        <v>1424</v>
      </c>
      <c r="D246" s="1024">
        <v>245</v>
      </c>
      <c r="E246" s="1024" t="s">
        <v>1381</v>
      </c>
      <c r="F246" s="1032" t="s">
        <v>1424</v>
      </c>
      <c r="G246" s="1025" t="s">
        <v>1400</v>
      </c>
      <c r="H246" s="1026" t="s">
        <v>1425</v>
      </c>
    </row>
    <row r="247" spans="3:8" x14ac:dyDescent="0.55000000000000004">
      <c r="C247" s="1033" t="s">
        <v>1426</v>
      </c>
      <c r="D247" s="1027">
        <v>246</v>
      </c>
      <c r="E247" s="1027" t="s">
        <v>1381</v>
      </c>
      <c r="F247" s="1033" t="s">
        <v>1426</v>
      </c>
      <c r="G247" s="1029" t="s">
        <v>1385</v>
      </c>
      <c r="H247" s="1030" t="s">
        <v>1427</v>
      </c>
    </row>
    <row r="248" spans="3:8" x14ac:dyDescent="0.55000000000000004">
      <c r="C248" s="1032" t="s">
        <v>1428</v>
      </c>
      <c r="D248" s="1024">
        <v>247</v>
      </c>
      <c r="E248" s="1024" t="s">
        <v>1381</v>
      </c>
      <c r="F248" s="1032" t="s">
        <v>1428</v>
      </c>
      <c r="G248" s="1025" t="s">
        <v>1400</v>
      </c>
      <c r="H248" s="1026" t="s">
        <v>1429</v>
      </c>
    </row>
    <row r="249" spans="3:8" x14ac:dyDescent="0.55000000000000004">
      <c r="C249" s="1033" t="s">
        <v>1430</v>
      </c>
      <c r="D249" s="1027">
        <v>248</v>
      </c>
      <c r="E249" s="1027" t="s">
        <v>1381</v>
      </c>
      <c r="F249" s="1033" t="s">
        <v>1430</v>
      </c>
      <c r="G249" s="1029" t="s">
        <v>1400</v>
      </c>
      <c r="H249" s="1030" t="s">
        <v>1431</v>
      </c>
    </row>
    <row r="250" spans="3:8" x14ac:dyDescent="0.55000000000000004">
      <c r="C250" s="1032" t="s">
        <v>1432</v>
      </c>
      <c r="D250" s="1024">
        <v>249</v>
      </c>
      <c r="E250" s="1024" t="s">
        <v>1381</v>
      </c>
      <c r="F250" s="1032" t="s">
        <v>1432</v>
      </c>
      <c r="G250" s="1025" t="s">
        <v>1388</v>
      </c>
      <c r="H250" s="1026" t="s">
        <v>1433</v>
      </c>
    </row>
    <row r="251" spans="3:8" x14ac:dyDescent="0.55000000000000004">
      <c r="C251" s="1033" t="s">
        <v>1434</v>
      </c>
      <c r="D251" s="1027">
        <v>250</v>
      </c>
      <c r="E251" s="1027" t="s">
        <v>1381</v>
      </c>
      <c r="F251" s="1033" t="s">
        <v>1434</v>
      </c>
      <c r="G251" s="1029" t="s">
        <v>1400</v>
      </c>
      <c r="H251" s="1030" t="s">
        <v>1435</v>
      </c>
    </row>
    <row r="252" spans="3:8" x14ac:dyDescent="0.55000000000000004">
      <c r="C252" s="1032" t="s">
        <v>1436</v>
      </c>
      <c r="D252" s="1024">
        <v>251</v>
      </c>
      <c r="E252" s="1024" t="s">
        <v>1381</v>
      </c>
      <c r="F252" s="1032" t="s">
        <v>1436</v>
      </c>
      <c r="G252" s="1025" t="s">
        <v>1400</v>
      </c>
      <c r="H252" s="1026" t="s">
        <v>1437</v>
      </c>
    </row>
    <row r="253" spans="3:8" x14ac:dyDescent="0.55000000000000004">
      <c r="C253" s="1033" t="s">
        <v>1438</v>
      </c>
      <c r="D253" s="1027">
        <v>252</v>
      </c>
      <c r="E253" s="1027" t="s">
        <v>1381</v>
      </c>
      <c r="F253" s="1033" t="s">
        <v>1438</v>
      </c>
      <c r="G253" s="1029" t="s">
        <v>1385</v>
      </c>
      <c r="H253" s="1030" t="s">
        <v>1439</v>
      </c>
    </row>
    <row r="254" spans="3:8" x14ac:dyDescent="0.55000000000000004">
      <c r="C254" s="1032" t="s">
        <v>1440</v>
      </c>
      <c r="D254" s="1024">
        <v>253</v>
      </c>
      <c r="E254" s="1024" t="s">
        <v>1381</v>
      </c>
      <c r="F254" s="1032" t="s">
        <v>1440</v>
      </c>
      <c r="G254" s="1025" t="s">
        <v>1388</v>
      </c>
      <c r="H254" s="1026" t="s">
        <v>1441</v>
      </c>
    </row>
    <row r="255" spans="3:8" x14ac:dyDescent="0.55000000000000004">
      <c r="C255" s="1033" t="s">
        <v>1442</v>
      </c>
      <c r="D255" s="1027">
        <v>254</v>
      </c>
      <c r="E255" s="1027" t="s">
        <v>1381</v>
      </c>
      <c r="F255" s="1033" t="s">
        <v>1442</v>
      </c>
      <c r="G255" s="1029" t="s">
        <v>1393</v>
      </c>
      <c r="H255" s="1030" t="s">
        <v>1443</v>
      </c>
    </row>
    <row r="256" spans="3:8" x14ac:dyDescent="0.55000000000000004">
      <c r="C256" s="1032" t="s">
        <v>1444</v>
      </c>
      <c r="D256" s="1024">
        <v>255</v>
      </c>
      <c r="E256" s="1024" t="s">
        <v>1381</v>
      </c>
      <c r="F256" s="1032" t="s">
        <v>1444</v>
      </c>
      <c r="G256" s="1025" t="s">
        <v>1407</v>
      </c>
      <c r="H256" s="1026" t="s">
        <v>1445</v>
      </c>
    </row>
    <row r="257" spans="3:8" x14ac:dyDescent="0.55000000000000004">
      <c r="C257" s="1033" t="s">
        <v>1446</v>
      </c>
      <c r="D257" s="1027">
        <v>256</v>
      </c>
      <c r="E257" s="1027" t="s">
        <v>1381</v>
      </c>
      <c r="F257" s="1033" t="s">
        <v>1446</v>
      </c>
      <c r="G257" s="1029" t="s">
        <v>1407</v>
      </c>
      <c r="H257" s="1030" t="s">
        <v>1447</v>
      </c>
    </row>
    <row r="258" spans="3:8" x14ac:dyDescent="0.55000000000000004">
      <c r="C258" s="1032" t="s">
        <v>1448</v>
      </c>
      <c r="D258" s="891">
        <v>257</v>
      </c>
      <c r="E258" s="1031" t="s">
        <v>1381</v>
      </c>
      <c r="F258" s="1032" t="s">
        <v>1448</v>
      </c>
      <c r="G258" s="1025" t="s">
        <v>1400</v>
      </c>
      <c r="H258" s="1026" t="s">
        <v>1449</v>
      </c>
    </row>
  </sheetData>
  <phoneticPr fontId="25" type="noConversion"/>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412148E-4C06-4257-BDAF-1E3B08579654}">
  <sheetPr codeName="Sheet45">
    <tabColor theme="2" tint="-0.249977111117893"/>
  </sheetPr>
  <dimension ref="B2:Y39"/>
  <sheetViews>
    <sheetView zoomScaleNormal="100" workbookViewId="0">
      <selection activeCell="W6" sqref="W6"/>
    </sheetView>
  </sheetViews>
  <sheetFormatPr defaultColWidth="8.7890625" defaultRowHeight="14.4" x14ac:dyDescent="0.55000000000000004"/>
  <cols>
    <col min="1" max="1" width="3.7890625" style="334" customWidth="1"/>
    <col min="2" max="16384" width="8.7890625" style="334"/>
  </cols>
  <sheetData>
    <row r="2" spans="2:25" x14ac:dyDescent="0.55000000000000004">
      <c r="B2" s="1224"/>
      <c r="C2" s="1225"/>
      <c r="D2" s="1225"/>
      <c r="E2" s="1225"/>
      <c r="F2" s="1225"/>
      <c r="G2" s="1225"/>
      <c r="H2" s="1225"/>
      <c r="I2" s="1225"/>
      <c r="J2" s="1225"/>
      <c r="K2" s="1225"/>
      <c r="L2" s="1225"/>
      <c r="M2" s="1225"/>
      <c r="N2" s="1225"/>
      <c r="O2" s="1225"/>
      <c r="P2" s="1225"/>
      <c r="Q2" s="1225"/>
      <c r="R2" s="1225"/>
      <c r="S2" s="1225"/>
      <c r="T2" s="1225"/>
      <c r="U2" s="1225"/>
      <c r="V2" s="1225"/>
      <c r="W2" s="1225"/>
      <c r="X2" s="1225"/>
      <c r="Y2" s="1226"/>
    </row>
    <row r="3" spans="2:25" x14ac:dyDescent="0.55000000000000004">
      <c r="B3" s="1227"/>
      <c r="C3" s="308"/>
      <c r="D3" s="308"/>
      <c r="E3" s="308"/>
      <c r="F3" s="308"/>
      <c r="G3" s="308"/>
      <c r="H3" s="308"/>
      <c r="I3" s="308"/>
      <c r="J3" s="308"/>
      <c r="K3" s="308"/>
      <c r="L3" s="308"/>
      <c r="M3" s="308"/>
      <c r="N3" s="308"/>
      <c r="O3" s="308"/>
      <c r="P3" s="308"/>
      <c r="Q3" s="308"/>
      <c r="R3" s="308"/>
      <c r="S3" s="308"/>
      <c r="T3" s="308"/>
      <c r="U3" s="308"/>
      <c r="V3" s="308"/>
      <c r="W3" s="308"/>
      <c r="X3" s="308"/>
      <c r="Y3" s="1064"/>
    </row>
    <row r="4" spans="2:25" x14ac:dyDescent="0.55000000000000004">
      <c r="B4" s="1227"/>
      <c r="C4" s="308"/>
      <c r="D4" s="308"/>
      <c r="E4" s="308"/>
      <c r="F4" s="308"/>
      <c r="G4" s="308"/>
      <c r="H4" s="308"/>
      <c r="I4" s="308"/>
      <c r="J4" s="308"/>
      <c r="K4" s="308"/>
      <c r="L4" s="308"/>
      <c r="M4" s="308"/>
      <c r="N4" s="308"/>
      <c r="O4" s="308"/>
      <c r="P4" s="308"/>
      <c r="Q4" s="308"/>
      <c r="R4" s="308"/>
      <c r="S4" s="308"/>
      <c r="T4" s="308"/>
      <c r="U4" s="308"/>
      <c r="V4" s="308"/>
      <c r="W4" s="308"/>
      <c r="X4" s="308"/>
      <c r="Y4" s="1064"/>
    </row>
    <row r="5" spans="2:25" x14ac:dyDescent="0.55000000000000004">
      <c r="B5" s="1227"/>
      <c r="C5" s="308"/>
      <c r="D5" s="308"/>
      <c r="E5" s="308"/>
      <c r="F5" s="308"/>
      <c r="G5" s="308"/>
      <c r="H5" s="308"/>
      <c r="I5" s="308"/>
      <c r="J5" s="308"/>
      <c r="K5" s="308"/>
      <c r="L5" s="308"/>
      <c r="M5" s="308"/>
      <c r="N5" s="308"/>
      <c r="O5" s="308"/>
      <c r="P5" s="308"/>
      <c r="Q5" s="308"/>
      <c r="R5" s="308"/>
      <c r="S5" s="308"/>
      <c r="T5" s="308"/>
      <c r="U5" s="308"/>
      <c r="V5" s="308"/>
      <c r="W5" s="308"/>
      <c r="X5" s="308"/>
      <c r="Y5" s="1064"/>
    </row>
    <row r="6" spans="2:25" x14ac:dyDescent="0.55000000000000004">
      <c r="B6" s="1227"/>
      <c r="C6" s="308"/>
      <c r="D6" s="308"/>
      <c r="E6" s="308"/>
      <c r="F6" s="308"/>
      <c r="G6" s="308"/>
      <c r="H6" s="308"/>
      <c r="I6" s="308"/>
      <c r="J6" s="308"/>
      <c r="K6" s="308"/>
      <c r="L6" s="308"/>
      <c r="M6" s="308"/>
      <c r="N6" s="308"/>
      <c r="O6" s="308"/>
      <c r="P6" s="308"/>
      <c r="Q6" s="308"/>
      <c r="R6" s="308"/>
      <c r="S6" s="308"/>
      <c r="T6" s="308"/>
      <c r="U6" s="308"/>
      <c r="V6" s="308"/>
      <c r="W6" s="308"/>
      <c r="X6" s="308"/>
      <c r="Y6" s="1064"/>
    </row>
    <row r="7" spans="2:25" x14ac:dyDescent="0.55000000000000004">
      <c r="B7" s="1227"/>
      <c r="C7" s="308"/>
      <c r="D7" s="308"/>
      <c r="E7" s="308"/>
      <c r="F7" s="308"/>
      <c r="G7" s="308"/>
      <c r="H7" s="308"/>
      <c r="I7" s="308"/>
      <c r="J7" s="308"/>
      <c r="K7" s="308"/>
      <c r="L7" s="308"/>
      <c r="M7" s="308"/>
      <c r="N7" s="308"/>
      <c r="O7" s="308"/>
      <c r="P7" s="308"/>
      <c r="Q7" s="308"/>
      <c r="R7" s="308"/>
      <c r="S7" s="308"/>
      <c r="T7" s="308"/>
      <c r="U7" s="308"/>
      <c r="V7" s="308"/>
      <c r="W7" s="308"/>
      <c r="X7" s="308"/>
      <c r="Y7" s="1064"/>
    </row>
    <row r="8" spans="2:25" x14ac:dyDescent="0.55000000000000004">
      <c r="B8" s="1227"/>
      <c r="C8" s="308"/>
      <c r="D8" s="308"/>
      <c r="E8" s="308"/>
      <c r="F8" s="308"/>
      <c r="G8" s="308"/>
      <c r="H8" s="308"/>
      <c r="I8" s="308"/>
      <c r="J8" s="308"/>
      <c r="K8" s="308"/>
      <c r="L8" s="308"/>
      <c r="M8" s="308"/>
      <c r="N8" s="308"/>
      <c r="O8" s="308"/>
      <c r="P8" s="308"/>
      <c r="Q8" s="308"/>
      <c r="R8" s="308"/>
      <c r="S8" s="308"/>
      <c r="T8" s="308"/>
      <c r="U8" s="308"/>
      <c r="V8" s="308"/>
      <c r="W8" s="308"/>
      <c r="X8" s="308"/>
      <c r="Y8" s="1064"/>
    </row>
    <row r="9" spans="2:25" x14ac:dyDescent="0.55000000000000004">
      <c r="B9" s="1227"/>
      <c r="C9" s="308"/>
      <c r="D9" s="308"/>
      <c r="E9" s="308"/>
      <c r="F9" s="308"/>
      <c r="G9" s="308"/>
      <c r="H9" s="308"/>
      <c r="I9" s="308"/>
      <c r="J9" s="308"/>
      <c r="K9" s="308"/>
      <c r="L9" s="308"/>
      <c r="M9" s="308"/>
      <c r="N9" s="308"/>
      <c r="O9" s="308"/>
      <c r="P9" s="308"/>
      <c r="Q9" s="308"/>
      <c r="R9" s="308"/>
      <c r="S9" s="308"/>
      <c r="T9" s="308"/>
      <c r="U9" s="308"/>
      <c r="V9" s="308"/>
      <c r="W9" s="308"/>
      <c r="X9" s="308"/>
      <c r="Y9" s="1064"/>
    </row>
    <row r="10" spans="2:25" x14ac:dyDescent="0.55000000000000004">
      <c r="B10" s="1227"/>
      <c r="C10" s="308"/>
      <c r="D10" s="308"/>
      <c r="E10" s="308"/>
      <c r="F10" s="308"/>
      <c r="G10" s="308"/>
      <c r="H10" s="308"/>
      <c r="I10" s="308"/>
      <c r="J10" s="308"/>
      <c r="K10" s="308"/>
      <c r="L10" s="308"/>
      <c r="M10" s="308"/>
      <c r="N10" s="308"/>
      <c r="O10" s="308"/>
      <c r="P10" s="308"/>
      <c r="Q10" s="308"/>
      <c r="R10" s="308"/>
      <c r="S10" s="308"/>
      <c r="T10" s="308"/>
      <c r="U10" s="308"/>
      <c r="V10" s="308"/>
      <c r="W10" s="308"/>
      <c r="X10" s="308"/>
      <c r="Y10" s="1064"/>
    </row>
    <row r="11" spans="2:25" x14ac:dyDescent="0.55000000000000004">
      <c r="B11" s="1227"/>
      <c r="C11" s="308"/>
      <c r="D11" s="308"/>
      <c r="E11" s="308"/>
      <c r="F11" s="308"/>
      <c r="G11" s="308"/>
      <c r="H11" s="308"/>
      <c r="I11" s="308"/>
      <c r="J11" s="308"/>
      <c r="K11" s="308"/>
      <c r="L11" s="308"/>
      <c r="M11" s="308"/>
      <c r="N11" s="308"/>
      <c r="O11" s="308"/>
      <c r="P11" s="308"/>
      <c r="Q11" s="308"/>
      <c r="R11" s="308"/>
      <c r="S11" s="308"/>
      <c r="T11" s="308"/>
      <c r="U11" s="308"/>
      <c r="V11" s="308"/>
      <c r="W11" s="308"/>
      <c r="X11" s="308"/>
      <c r="Y11" s="1064"/>
    </row>
    <row r="12" spans="2:25" x14ac:dyDescent="0.55000000000000004">
      <c r="B12" s="1227"/>
      <c r="C12" s="308"/>
      <c r="D12" s="308"/>
      <c r="E12" s="308"/>
      <c r="F12" s="308"/>
      <c r="G12" s="308"/>
      <c r="H12" s="308"/>
      <c r="I12" s="308"/>
      <c r="J12" s="308"/>
      <c r="K12" s="308"/>
      <c r="L12" s="308"/>
      <c r="M12" s="308"/>
      <c r="N12" s="308"/>
      <c r="O12" s="308"/>
      <c r="P12" s="308"/>
      <c r="Q12" s="308"/>
      <c r="R12" s="308"/>
      <c r="S12" s="308"/>
      <c r="T12" s="308"/>
      <c r="U12" s="308"/>
      <c r="V12" s="308"/>
      <c r="W12" s="308"/>
      <c r="X12" s="308"/>
      <c r="Y12" s="1064"/>
    </row>
    <row r="13" spans="2:25" x14ac:dyDescent="0.55000000000000004">
      <c r="B13" s="1227"/>
      <c r="C13" s="308"/>
      <c r="D13" s="308"/>
      <c r="E13" s="308"/>
      <c r="F13" s="308"/>
      <c r="G13" s="308"/>
      <c r="H13" s="308"/>
      <c r="I13" s="308"/>
      <c r="J13" s="308"/>
      <c r="K13" s="308"/>
      <c r="L13" s="308"/>
      <c r="M13" s="308"/>
      <c r="N13" s="308"/>
      <c r="O13" s="308"/>
      <c r="P13" s="308"/>
      <c r="Q13" s="308"/>
      <c r="R13" s="308"/>
      <c r="S13" s="308"/>
      <c r="T13" s="308"/>
      <c r="U13" s="308"/>
      <c r="V13" s="308"/>
      <c r="W13" s="308"/>
      <c r="X13" s="308"/>
      <c r="Y13" s="1064"/>
    </row>
    <row r="14" spans="2:25" x14ac:dyDescent="0.55000000000000004">
      <c r="B14" s="1227"/>
      <c r="C14" s="308"/>
      <c r="D14" s="308"/>
      <c r="E14" s="308"/>
      <c r="F14" s="308"/>
      <c r="G14" s="308"/>
      <c r="H14" s="308"/>
      <c r="I14" s="308"/>
      <c r="J14" s="308"/>
      <c r="K14" s="308"/>
      <c r="L14" s="308"/>
      <c r="M14" s="308"/>
      <c r="N14" s="308"/>
      <c r="O14" s="308"/>
      <c r="P14" s="308"/>
      <c r="Q14" s="308"/>
      <c r="R14" s="308"/>
      <c r="S14" s="308"/>
      <c r="T14" s="308"/>
      <c r="U14" s="308"/>
      <c r="V14" s="308"/>
      <c r="W14" s="308"/>
      <c r="X14" s="308"/>
      <c r="Y14" s="1064"/>
    </row>
    <row r="15" spans="2:25" x14ac:dyDescent="0.55000000000000004">
      <c r="B15" s="1227"/>
      <c r="C15" s="308"/>
      <c r="D15" s="308"/>
      <c r="E15" s="308"/>
      <c r="F15" s="308"/>
      <c r="G15" s="308"/>
      <c r="H15" s="308"/>
      <c r="I15" s="308"/>
      <c r="J15" s="308"/>
      <c r="K15" s="308"/>
      <c r="L15" s="308"/>
      <c r="M15" s="308"/>
      <c r="N15" s="308"/>
      <c r="O15" s="308"/>
      <c r="P15" s="308"/>
      <c r="Q15" s="308"/>
      <c r="R15" s="308"/>
      <c r="S15" s="308"/>
      <c r="T15" s="308"/>
      <c r="U15" s="308"/>
      <c r="V15" s="308"/>
      <c r="W15" s="308"/>
      <c r="X15" s="308"/>
      <c r="Y15" s="1064"/>
    </row>
    <row r="16" spans="2:25" x14ac:dyDescent="0.55000000000000004">
      <c r="B16" s="1227"/>
      <c r="C16" s="308"/>
      <c r="D16" s="308"/>
      <c r="E16" s="308"/>
      <c r="F16" s="308"/>
      <c r="G16" s="308"/>
      <c r="H16" s="308"/>
      <c r="I16" s="308"/>
      <c r="J16" s="308"/>
      <c r="K16" s="308"/>
      <c r="L16" s="308"/>
      <c r="M16" s="308"/>
      <c r="N16" s="308"/>
      <c r="O16" s="308"/>
      <c r="P16" s="308"/>
      <c r="Q16" s="308"/>
      <c r="R16" s="308"/>
      <c r="S16" s="308"/>
      <c r="T16" s="308"/>
      <c r="U16" s="308"/>
      <c r="V16" s="308"/>
      <c r="W16" s="308"/>
      <c r="X16" s="308"/>
      <c r="Y16" s="1064"/>
    </row>
    <row r="17" spans="2:25" x14ac:dyDescent="0.55000000000000004">
      <c r="B17" s="1227"/>
      <c r="C17" s="308"/>
      <c r="D17" s="308"/>
      <c r="E17" s="308"/>
      <c r="F17" s="308"/>
      <c r="G17" s="308"/>
      <c r="H17" s="308"/>
      <c r="I17" s="308"/>
      <c r="J17" s="308"/>
      <c r="K17" s="308"/>
      <c r="L17" s="308"/>
      <c r="M17" s="308"/>
      <c r="N17" s="308"/>
      <c r="O17" s="308"/>
      <c r="P17" s="308"/>
      <c r="Q17" s="308"/>
      <c r="R17" s="308"/>
      <c r="S17" s="308"/>
      <c r="T17" s="308"/>
      <c r="U17" s="308"/>
      <c r="V17" s="308"/>
      <c r="W17" s="308"/>
      <c r="X17" s="308"/>
      <c r="Y17" s="1064"/>
    </row>
    <row r="18" spans="2:25" x14ac:dyDescent="0.55000000000000004">
      <c r="B18" s="1227"/>
      <c r="C18" s="308"/>
      <c r="D18" s="308"/>
      <c r="E18" s="308"/>
      <c r="F18" s="308"/>
      <c r="G18" s="308"/>
      <c r="H18" s="308"/>
      <c r="I18" s="308"/>
      <c r="J18" s="308"/>
      <c r="K18" s="308"/>
      <c r="L18" s="308"/>
      <c r="M18" s="308"/>
      <c r="N18" s="308"/>
      <c r="O18" s="308"/>
      <c r="P18" s="308"/>
      <c r="Q18" s="308"/>
      <c r="R18" s="308"/>
      <c r="S18" s="308"/>
      <c r="T18" s="308"/>
      <c r="U18" s="308"/>
      <c r="V18" s="308"/>
      <c r="W18" s="308"/>
      <c r="X18" s="308"/>
      <c r="Y18" s="1064"/>
    </row>
    <row r="19" spans="2:25" x14ac:dyDescent="0.55000000000000004">
      <c r="B19" s="1227"/>
      <c r="C19" s="308"/>
      <c r="D19" s="308"/>
      <c r="E19" s="308"/>
      <c r="F19" s="308"/>
      <c r="G19" s="308"/>
      <c r="H19" s="308"/>
      <c r="I19" s="308"/>
      <c r="J19" s="308"/>
      <c r="K19" s="308"/>
      <c r="L19" s="308"/>
      <c r="M19" s="308"/>
      <c r="N19" s="308"/>
      <c r="O19" s="308"/>
      <c r="P19" s="308"/>
      <c r="Q19" s="308"/>
      <c r="R19" s="308"/>
      <c r="S19" s="308"/>
      <c r="T19" s="308"/>
      <c r="U19" s="308"/>
      <c r="V19" s="308"/>
      <c r="W19" s="308"/>
      <c r="X19" s="308"/>
      <c r="Y19" s="1064"/>
    </row>
    <row r="20" spans="2:25" x14ac:dyDescent="0.55000000000000004">
      <c r="B20" s="1227"/>
      <c r="C20" s="308"/>
      <c r="D20" s="308"/>
      <c r="E20" s="308"/>
      <c r="F20" s="308"/>
      <c r="G20" s="308"/>
      <c r="H20" s="308"/>
      <c r="I20" s="308"/>
      <c r="J20" s="308"/>
      <c r="K20" s="308"/>
      <c r="L20" s="308"/>
      <c r="M20" s="308"/>
      <c r="N20" s="308"/>
      <c r="O20" s="308"/>
      <c r="P20" s="308"/>
      <c r="Q20" s="308"/>
      <c r="R20" s="308"/>
      <c r="S20" s="308"/>
      <c r="T20" s="308"/>
      <c r="U20" s="308"/>
      <c r="V20" s="308"/>
      <c r="W20" s="308"/>
      <c r="X20" s="308"/>
      <c r="Y20" s="1064"/>
    </row>
    <row r="21" spans="2:25" x14ac:dyDescent="0.55000000000000004">
      <c r="B21" s="1227"/>
      <c r="C21" s="308"/>
      <c r="D21" s="308"/>
      <c r="E21" s="308"/>
      <c r="F21" s="308"/>
      <c r="G21" s="308"/>
      <c r="H21" s="308"/>
      <c r="I21" s="308"/>
      <c r="J21" s="308"/>
      <c r="K21" s="308"/>
      <c r="L21" s="308"/>
      <c r="M21" s="308"/>
      <c r="N21" s="308"/>
      <c r="O21" s="308"/>
      <c r="P21" s="308"/>
      <c r="Q21" s="308"/>
      <c r="R21" s="308"/>
      <c r="S21" s="308"/>
      <c r="T21" s="308"/>
      <c r="U21" s="308"/>
      <c r="V21" s="308"/>
      <c r="W21" s="308"/>
      <c r="X21" s="308"/>
      <c r="Y21" s="1064"/>
    </row>
    <row r="22" spans="2:25" x14ac:dyDescent="0.55000000000000004">
      <c r="B22" s="1227"/>
      <c r="C22" s="308"/>
      <c r="D22" s="308"/>
      <c r="E22" s="308"/>
      <c r="F22" s="308"/>
      <c r="G22" s="308"/>
      <c r="H22" s="308"/>
      <c r="I22" s="308"/>
      <c r="J22" s="308"/>
      <c r="K22" s="308"/>
      <c r="L22" s="308"/>
      <c r="M22" s="308"/>
      <c r="N22" s="308"/>
      <c r="O22" s="308"/>
      <c r="P22" s="308"/>
      <c r="Q22" s="308"/>
      <c r="R22" s="308"/>
      <c r="S22" s="308"/>
      <c r="T22" s="308"/>
      <c r="U22" s="308"/>
      <c r="V22" s="308"/>
      <c r="W22" s="308"/>
      <c r="X22" s="308"/>
      <c r="Y22" s="1064"/>
    </row>
    <row r="23" spans="2:25" x14ac:dyDescent="0.55000000000000004">
      <c r="B23" s="1227"/>
      <c r="C23" s="308"/>
      <c r="D23" s="308"/>
      <c r="E23" s="308"/>
      <c r="F23" s="308"/>
      <c r="G23" s="308"/>
      <c r="H23" s="308"/>
      <c r="I23" s="308"/>
      <c r="J23" s="308"/>
      <c r="K23" s="308"/>
      <c r="L23" s="308"/>
      <c r="M23" s="308"/>
      <c r="N23" s="308"/>
      <c r="O23" s="308"/>
      <c r="P23" s="308"/>
      <c r="Q23" s="308"/>
      <c r="R23" s="308"/>
      <c r="S23" s="308"/>
      <c r="T23" s="308"/>
      <c r="U23" s="308"/>
      <c r="V23" s="308"/>
      <c r="W23" s="308"/>
      <c r="X23" s="308"/>
      <c r="Y23" s="1064"/>
    </row>
    <row r="24" spans="2:25" x14ac:dyDescent="0.55000000000000004">
      <c r="B24" s="1227"/>
      <c r="C24" s="308"/>
      <c r="D24" s="308"/>
      <c r="E24" s="308"/>
      <c r="F24" s="308"/>
      <c r="G24" s="308"/>
      <c r="H24" s="308"/>
      <c r="I24" s="308"/>
      <c r="J24" s="308"/>
      <c r="K24" s="308"/>
      <c r="L24" s="308"/>
      <c r="M24" s="308"/>
      <c r="N24" s="308"/>
      <c r="O24" s="308"/>
      <c r="P24" s="308"/>
      <c r="Q24" s="308"/>
      <c r="R24" s="308"/>
      <c r="S24" s="308"/>
      <c r="T24" s="308"/>
      <c r="U24" s="308"/>
      <c r="V24" s="308"/>
      <c r="W24" s="308"/>
      <c r="X24" s="308"/>
      <c r="Y24" s="1064"/>
    </row>
    <row r="25" spans="2:25" x14ac:dyDescent="0.55000000000000004">
      <c r="B25" s="1227"/>
      <c r="C25" s="308"/>
      <c r="D25" s="308"/>
      <c r="E25" s="308"/>
      <c r="F25" s="308"/>
      <c r="G25" s="308"/>
      <c r="H25" s="308"/>
      <c r="I25" s="308"/>
      <c r="J25" s="308"/>
      <c r="K25" s="308"/>
      <c r="L25" s="308"/>
      <c r="M25" s="308"/>
      <c r="N25" s="308"/>
      <c r="O25" s="308"/>
      <c r="P25" s="308"/>
      <c r="Q25" s="308"/>
      <c r="R25" s="308"/>
      <c r="S25" s="308"/>
      <c r="T25" s="308"/>
      <c r="U25" s="308"/>
      <c r="V25" s="308"/>
      <c r="W25" s="308"/>
      <c r="X25" s="308"/>
      <c r="Y25" s="1064"/>
    </row>
    <row r="26" spans="2:25" x14ac:dyDescent="0.55000000000000004">
      <c r="B26" s="1227"/>
      <c r="C26" s="308"/>
      <c r="D26" s="308"/>
      <c r="E26" s="308"/>
      <c r="F26" s="308"/>
      <c r="G26" s="308"/>
      <c r="H26" s="308"/>
      <c r="I26" s="308"/>
      <c r="J26" s="308"/>
      <c r="K26" s="308"/>
      <c r="L26" s="308"/>
      <c r="M26" s="308"/>
      <c r="N26" s="308"/>
      <c r="O26" s="308"/>
      <c r="P26" s="308"/>
      <c r="Q26" s="308"/>
      <c r="R26" s="308"/>
      <c r="S26" s="308"/>
      <c r="T26" s="308"/>
      <c r="U26" s="308"/>
      <c r="V26" s="308"/>
      <c r="W26" s="308"/>
      <c r="X26" s="308"/>
      <c r="Y26" s="1064"/>
    </row>
    <row r="27" spans="2:25" x14ac:dyDescent="0.55000000000000004">
      <c r="B27" s="1227"/>
      <c r="C27" s="308"/>
      <c r="D27" s="308"/>
      <c r="E27" s="308"/>
      <c r="F27" s="308"/>
      <c r="G27" s="308"/>
      <c r="H27" s="308"/>
      <c r="I27" s="308"/>
      <c r="J27" s="308"/>
      <c r="K27" s="308"/>
      <c r="L27" s="308"/>
      <c r="M27" s="308"/>
      <c r="N27" s="308"/>
      <c r="O27" s="308"/>
      <c r="P27" s="308"/>
      <c r="Q27" s="308"/>
      <c r="R27" s="308"/>
      <c r="S27" s="308"/>
      <c r="T27" s="308"/>
      <c r="U27" s="308"/>
      <c r="V27" s="308"/>
      <c r="W27" s="308"/>
      <c r="X27" s="308"/>
      <c r="Y27" s="1064"/>
    </row>
    <row r="28" spans="2:25" x14ac:dyDescent="0.55000000000000004">
      <c r="B28" s="1227"/>
      <c r="C28" s="308"/>
      <c r="D28" s="308"/>
      <c r="E28" s="308"/>
      <c r="F28" s="308"/>
      <c r="G28" s="308"/>
      <c r="H28" s="308"/>
      <c r="I28" s="308"/>
      <c r="J28" s="308"/>
      <c r="K28" s="308"/>
      <c r="L28" s="308"/>
      <c r="M28" s="308"/>
      <c r="N28" s="308"/>
      <c r="O28" s="308"/>
      <c r="P28" s="308"/>
      <c r="Q28" s="308"/>
      <c r="R28" s="308"/>
      <c r="S28" s="308"/>
      <c r="T28" s="308"/>
      <c r="U28" s="308"/>
      <c r="V28" s="308"/>
      <c r="W28" s="308"/>
      <c r="X28" s="308"/>
      <c r="Y28" s="1064"/>
    </row>
    <row r="29" spans="2:25" x14ac:dyDescent="0.55000000000000004">
      <c r="B29" s="1227"/>
      <c r="C29" s="308"/>
      <c r="D29" s="308"/>
      <c r="E29" s="308"/>
      <c r="F29" s="308"/>
      <c r="G29" s="308"/>
      <c r="H29" s="308"/>
      <c r="I29" s="308"/>
      <c r="J29" s="308"/>
      <c r="K29" s="308"/>
      <c r="L29" s="308"/>
      <c r="M29" s="308"/>
      <c r="N29" s="308"/>
      <c r="O29" s="308"/>
      <c r="P29" s="308"/>
      <c r="Q29" s="308"/>
      <c r="R29" s="308"/>
      <c r="S29" s="308"/>
      <c r="T29" s="308"/>
      <c r="U29" s="308"/>
      <c r="V29" s="308"/>
      <c r="W29" s="308"/>
      <c r="X29" s="308"/>
      <c r="Y29" s="1064"/>
    </row>
    <row r="30" spans="2:25" x14ac:dyDescent="0.55000000000000004">
      <c r="B30" s="1227"/>
      <c r="C30" s="308"/>
      <c r="D30" s="308"/>
      <c r="E30" s="308"/>
      <c r="F30" s="308"/>
      <c r="G30" s="308"/>
      <c r="H30" s="308"/>
      <c r="I30" s="308"/>
      <c r="J30" s="308"/>
      <c r="K30" s="308"/>
      <c r="L30" s="308"/>
      <c r="M30" s="308"/>
      <c r="N30" s="308"/>
      <c r="O30" s="308"/>
      <c r="P30" s="308"/>
      <c r="Q30" s="308"/>
      <c r="R30" s="308"/>
      <c r="S30" s="308"/>
      <c r="T30" s="308"/>
      <c r="U30" s="308"/>
      <c r="V30" s="308"/>
      <c r="W30" s="308"/>
      <c r="X30" s="308"/>
      <c r="Y30" s="1064"/>
    </row>
    <row r="31" spans="2:25" x14ac:dyDescent="0.55000000000000004">
      <c r="B31" s="1227"/>
      <c r="C31" s="308"/>
      <c r="D31" s="308"/>
      <c r="E31" s="308"/>
      <c r="F31" s="308"/>
      <c r="G31" s="308"/>
      <c r="H31" s="308"/>
      <c r="I31" s="308"/>
      <c r="J31" s="308"/>
      <c r="K31" s="308"/>
      <c r="L31" s="308"/>
      <c r="M31" s="308"/>
      <c r="N31" s="308"/>
      <c r="O31" s="308"/>
      <c r="P31" s="308"/>
      <c r="Q31" s="308"/>
      <c r="R31" s="308"/>
      <c r="S31" s="308"/>
      <c r="T31" s="308"/>
      <c r="U31" s="308"/>
      <c r="V31" s="308"/>
      <c r="W31" s="308"/>
      <c r="X31" s="308"/>
      <c r="Y31" s="1064"/>
    </row>
    <row r="32" spans="2:25" x14ac:dyDescent="0.55000000000000004">
      <c r="B32" s="1227"/>
      <c r="C32" s="308"/>
      <c r="D32" s="308"/>
      <c r="E32" s="308"/>
      <c r="F32" s="308"/>
      <c r="G32" s="308"/>
      <c r="H32" s="308"/>
      <c r="I32" s="308"/>
      <c r="J32" s="308"/>
      <c r="K32" s="308"/>
      <c r="L32" s="308"/>
      <c r="M32" s="308"/>
      <c r="N32" s="308"/>
      <c r="O32" s="308"/>
      <c r="P32" s="308"/>
      <c r="Q32" s="308"/>
      <c r="R32" s="308"/>
      <c r="S32" s="308"/>
      <c r="T32" s="308"/>
      <c r="U32" s="308"/>
      <c r="V32" s="308"/>
      <c r="W32" s="308"/>
      <c r="X32" s="308"/>
      <c r="Y32" s="1064"/>
    </row>
    <row r="33" spans="2:25" x14ac:dyDescent="0.55000000000000004">
      <c r="B33" s="1227"/>
      <c r="C33" s="308"/>
      <c r="D33" s="308"/>
      <c r="E33" s="308"/>
      <c r="F33" s="308"/>
      <c r="G33" s="308"/>
      <c r="H33" s="308"/>
      <c r="I33" s="308"/>
      <c r="J33" s="308"/>
      <c r="K33" s="308"/>
      <c r="L33" s="308"/>
      <c r="M33" s="308"/>
      <c r="N33" s="308"/>
      <c r="O33" s="308"/>
      <c r="P33" s="308"/>
      <c r="Q33" s="308"/>
      <c r="R33" s="308"/>
      <c r="S33" s="308"/>
      <c r="T33" s="308"/>
      <c r="U33" s="308"/>
      <c r="V33" s="308"/>
      <c r="W33" s="308"/>
      <c r="X33" s="308"/>
      <c r="Y33" s="1064"/>
    </row>
    <row r="34" spans="2:25" x14ac:dyDescent="0.55000000000000004">
      <c r="B34" s="1227"/>
      <c r="C34" s="308"/>
      <c r="D34" s="308"/>
      <c r="E34" s="308"/>
      <c r="F34" s="308"/>
      <c r="G34" s="308"/>
      <c r="H34" s="308"/>
      <c r="I34" s="308"/>
      <c r="J34" s="308"/>
      <c r="K34" s="308"/>
      <c r="L34" s="308"/>
      <c r="M34" s="308"/>
      <c r="N34" s="308"/>
      <c r="O34" s="308"/>
      <c r="P34" s="308"/>
      <c r="Q34" s="308"/>
      <c r="R34" s="308"/>
      <c r="S34" s="308"/>
      <c r="T34" s="308"/>
      <c r="U34" s="308"/>
      <c r="V34" s="308"/>
      <c r="W34" s="308"/>
      <c r="X34" s="308"/>
      <c r="Y34" s="1064"/>
    </row>
    <row r="35" spans="2:25" x14ac:dyDescent="0.55000000000000004">
      <c r="B35" s="1227"/>
      <c r="C35" s="308"/>
      <c r="D35" s="308"/>
      <c r="E35" s="308"/>
      <c r="F35" s="308"/>
      <c r="G35" s="308"/>
      <c r="H35" s="308"/>
      <c r="I35" s="308"/>
      <c r="J35" s="308"/>
      <c r="K35" s="308"/>
      <c r="L35" s="308"/>
      <c r="M35" s="308"/>
      <c r="N35" s="308"/>
      <c r="O35" s="308"/>
      <c r="P35" s="308"/>
      <c r="Q35" s="308"/>
      <c r="R35" s="308"/>
      <c r="S35" s="308"/>
      <c r="T35" s="308"/>
      <c r="U35" s="308"/>
      <c r="V35" s="308"/>
      <c r="W35" s="308"/>
      <c r="X35" s="308"/>
      <c r="Y35" s="1064"/>
    </row>
    <row r="36" spans="2:25" x14ac:dyDescent="0.55000000000000004">
      <c r="B36" s="1227"/>
      <c r="C36" s="308"/>
      <c r="D36" s="308"/>
      <c r="E36" s="308"/>
      <c r="F36" s="308"/>
      <c r="G36" s="308"/>
      <c r="H36" s="308"/>
      <c r="I36" s="308"/>
      <c r="J36" s="308"/>
      <c r="K36" s="308"/>
      <c r="L36" s="308"/>
      <c r="M36" s="308"/>
      <c r="N36" s="308"/>
      <c r="O36" s="308"/>
      <c r="P36" s="308"/>
      <c r="Q36" s="308"/>
      <c r="R36" s="308"/>
      <c r="S36" s="308"/>
      <c r="T36" s="308"/>
      <c r="U36" s="308"/>
      <c r="V36" s="308"/>
      <c r="W36" s="308"/>
      <c r="X36" s="308"/>
      <c r="Y36" s="1064"/>
    </row>
    <row r="37" spans="2:25" x14ac:dyDescent="0.55000000000000004">
      <c r="B37" s="1227"/>
      <c r="C37" s="308"/>
      <c r="D37" s="308"/>
      <c r="E37" s="308"/>
      <c r="F37" s="308"/>
      <c r="G37" s="308"/>
      <c r="H37" s="308"/>
      <c r="I37" s="308"/>
      <c r="J37" s="308"/>
      <c r="K37" s="308"/>
      <c r="L37" s="308"/>
      <c r="M37" s="308"/>
      <c r="N37" s="308"/>
      <c r="O37" s="308"/>
      <c r="P37" s="308"/>
      <c r="Q37" s="308"/>
      <c r="R37" s="308"/>
      <c r="S37" s="308"/>
      <c r="T37" s="308"/>
      <c r="U37" s="308"/>
      <c r="V37" s="308"/>
      <c r="W37" s="308"/>
      <c r="X37" s="308"/>
      <c r="Y37" s="1064"/>
    </row>
    <row r="38" spans="2:25" x14ac:dyDescent="0.55000000000000004">
      <c r="B38" s="1227"/>
      <c r="C38" s="308"/>
      <c r="D38" s="308"/>
      <c r="E38" s="308"/>
      <c r="F38" s="308"/>
      <c r="G38" s="308"/>
      <c r="H38" s="308"/>
      <c r="I38" s="308"/>
      <c r="J38" s="308"/>
      <c r="K38" s="308"/>
      <c r="L38" s="308"/>
      <c r="M38" s="308"/>
      <c r="N38" s="308"/>
      <c r="O38" s="308"/>
      <c r="P38" s="308"/>
      <c r="Q38" s="308"/>
      <c r="R38" s="308"/>
      <c r="S38" s="308"/>
      <c r="T38" s="308"/>
      <c r="U38" s="308"/>
      <c r="V38" s="308"/>
      <c r="W38" s="308"/>
      <c r="X38" s="308"/>
      <c r="Y38" s="1064"/>
    </row>
    <row r="39" spans="2:25" x14ac:dyDescent="0.55000000000000004">
      <c r="B39" s="1065"/>
      <c r="C39" s="1066"/>
      <c r="D39" s="1066"/>
      <c r="E39" s="1066"/>
      <c r="F39" s="1066"/>
      <c r="G39" s="1066"/>
      <c r="H39" s="1066"/>
      <c r="I39" s="1066"/>
      <c r="J39" s="1066"/>
      <c r="K39" s="1066"/>
      <c r="L39" s="1066"/>
      <c r="M39" s="1066"/>
      <c r="N39" s="1066"/>
      <c r="O39" s="1066"/>
      <c r="P39" s="1066"/>
      <c r="Q39" s="1066"/>
      <c r="R39" s="1066"/>
      <c r="S39" s="1066"/>
      <c r="T39" s="1066"/>
      <c r="U39" s="1066"/>
      <c r="V39" s="1066"/>
      <c r="W39" s="1066"/>
      <c r="X39" s="1066"/>
      <c r="Y39" s="1067"/>
    </row>
  </sheetData>
  <pageMargins left="0.7" right="0.7" top="0.75" bottom="0.75" header="0.3" footer="0.3"/>
  <drawing r:id="rId1"/>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6168C5E-EA7A-4FD6-9DA5-9001D87172D3}">
  <sheetPr codeName="Sheet35">
    <tabColor theme="2" tint="-0.249977111117893"/>
  </sheetPr>
  <dimension ref="A1:IR67"/>
  <sheetViews>
    <sheetView topLeftCell="B8" zoomScale="93" zoomScaleNormal="93" workbookViewId="0">
      <selection activeCell="AX60" sqref="AX60"/>
    </sheetView>
  </sheetViews>
  <sheetFormatPr defaultColWidth="8.7890625" defaultRowHeight="14.1" x14ac:dyDescent="0.5"/>
  <cols>
    <col min="1" max="1" width="8.7890625" style="359" hidden="1" customWidth="1"/>
    <col min="2" max="2" width="5.7890625" style="359" customWidth="1"/>
    <col min="3" max="3" width="2.5234375" style="359" customWidth="1"/>
    <col min="4" max="4" width="1.5234375" style="359" customWidth="1"/>
    <col min="5" max="5" width="18.20703125" style="359" customWidth="1"/>
    <col min="6" max="6" width="19" style="1282" customWidth="1"/>
    <col min="7" max="8" width="13.20703125" style="1282" customWidth="1"/>
    <col min="9" max="9" width="11.7890625" style="1282" customWidth="1"/>
    <col min="10" max="10" width="12.7890625" style="1282" customWidth="1"/>
    <col min="11" max="11" width="12.5234375" style="1282" customWidth="1"/>
    <col min="12" max="12" width="14.41796875" style="1282" customWidth="1"/>
    <col min="13" max="13" width="4.20703125" style="359" customWidth="1"/>
    <col min="14" max="14" width="1" style="359" customWidth="1"/>
    <col min="15" max="15" width="3.7890625" style="359" hidden="1" customWidth="1"/>
    <col min="16" max="16" width="17.7890625" style="359" hidden="1" customWidth="1"/>
    <col min="17" max="17" width="13.20703125" style="359" hidden="1" customWidth="1"/>
    <col min="18" max="18" width="13.7890625" style="359" hidden="1" customWidth="1"/>
    <col min="19" max="21" width="12" style="359" hidden="1" customWidth="1"/>
    <col min="22" max="22" width="1.41796875" style="359" hidden="1" customWidth="1"/>
    <col min="23" max="23" width="2" style="359" hidden="1" customWidth="1"/>
    <col min="24" max="24" width="3.41796875" style="359" hidden="1" customWidth="1"/>
    <col min="25" max="25" width="14" style="359" hidden="1" customWidth="1"/>
    <col min="26" max="26" width="14.7890625" style="359" hidden="1" customWidth="1"/>
    <col min="27" max="27" width="13.7890625" style="359" hidden="1" customWidth="1"/>
    <col min="28" max="28" width="12.41796875" style="359" hidden="1" customWidth="1"/>
    <col min="29" max="29" width="13.41796875" style="359" hidden="1" customWidth="1"/>
    <col min="30" max="30" width="12.20703125" style="359" hidden="1" customWidth="1"/>
    <col min="31" max="31" width="2.7890625" style="359" hidden="1" customWidth="1"/>
    <col min="32" max="32" width="1.41796875" style="359" hidden="1" customWidth="1"/>
    <col min="33" max="33" width="2.5234375" style="359" hidden="1" customWidth="1"/>
    <col min="34" max="34" width="0" style="359" hidden="1" customWidth="1"/>
    <col min="35" max="35" width="3.7890625" style="359" customWidth="1"/>
    <col min="36" max="36" width="8.20703125" style="359" customWidth="1"/>
    <col min="37" max="37" width="1.5234375" style="359" customWidth="1"/>
    <col min="38" max="38" width="3.7890625" style="359" customWidth="1"/>
    <col min="39" max="39" width="2.20703125" style="359" customWidth="1"/>
    <col min="40" max="40" width="1.41796875" style="1230" customWidth="1"/>
    <col min="41" max="41" width="8.7890625" style="359" hidden="1" customWidth="1"/>
    <col min="42" max="42" width="2.20703125" style="359" customWidth="1"/>
    <col min="43" max="43" width="5.7890625" style="359" customWidth="1"/>
    <col min="44" max="44" width="15.7890625" style="359" customWidth="1"/>
    <col min="45" max="45" width="12.5234375" style="359" customWidth="1"/>
    <col min="46" max="46" width="14.20703125" style="359" customWidth="1"/>
    <col min="47" max="47" width="11.7890625" style="359" customWidth="1"/>
    <col min="48" max="48" width="10.20703125" style="359" customWidth="1"/>
    <col min="49" max="49" width="20.41796875" style="359" customWidth="1"/>
    <col min="50" max="50" width="13" style="359" customWidth="1"/>
    <col min="51" max="51" width="15.7890625" style="359" customWidth="1"/>
    <col min="52" max="52" width="1.41796875" style="359" customWidth="1"/>
    <col min="53" max="53" width="1" style="359" customWidth="1"/>
    <col min="54" max="54" width="3.7890625" style="359" hidden="1" customWidth="1"/>
    <col min="55" max="55" width="17.7890625" style="359" hidden="1" customWidth="1"/>
    <col min="56" max="56" width="13.20703125" style="359" hidden="1" customWidth="1"/>
    <col min="57" max="57" width="13.7890625" style="359" hidden="1" customWidth="1"/>
    <col min="58" max="60" width="12" style="359" hidden="1" customWidth="1"/>
    <col min="61" max="61" width="1.41796875" style="359" hidden="1" customWidth="1"/>
    <col min="62" max="62" width="2" style="359" hidden="1" customWidth="1"/>
    <col min="63" max="63" width="3.41796875" style="359" hidden="1" customWidth="1"/>
    <col min="64" max="64" width="14" style="359" hidden="1" customWidth="1"/>
    <col min="65" max="65" width="14.7890625" style="359" hidden="1" customWidth="1"/>
    <col min="66" max="66" width="13.7890625" style="359" hidden="1" customWidth="1"/>
    <col min="67" max="67" width="12.41796875" style="359" hidden="1" customWidth="1"/>
    <col min="68" max="68" width="13.41796875" style="359" hidden="1" customWidth="1"/>
    <col min="69" max="69" width="12.20703125" style="359" hidden="1" customWidth="1"/>
    <col min="70" max="70" width="2.7890625" style="359" hidden="1" customWidth="1"/>
    <col min="71" max="71" width="1.41796875" style="359" hidden="1" customWidth="1"/>
    <col min="72" max="72" width="2.5234375" style="359" hidden="1" customWidth="1"/>
    <col min="73" max="73" width="0" style="359" hidden="1" customWidth="1"/>
    <col min="74" max="74" width="3.7890625" style="359" customWidth="1"/>
    <col min="75" max="75" width="8.20703125" style="359" customWidth="1"/>
    <col min="76" max="76" width="1.5234375" style="359" customWidth="1"/>
    <col min="77" max="77" width="2.20703125" style="359" customWidth="1"/>
    <col min="78" max="78" width="4.7890625" style="359" hidden="1" customWidth="1"/>
    <col min="79" max="79" width="4.20703125" style="359" hidden="1" customWidth="1"/>
    <col min="80" max="80" width="2.7890625" style="359" customWidth="1"/>
    <col min="81" max="81" width="3.5234375" style="359" customWidth="1"/>
    <col min="82" max="82" width="4.41796875" style="359" customWidth="1"/>
    <col min="83" max="83" width="15.7890625" style="359" customWidth="1"/>
    <col min="84" max="84" width="14.5234375" style="359" customWidth="1"/>
    <col min="85" max="85" width="12.7890625" style="359" customWidth="1"/>
    <col min="86" max="86" width="11.20703125" style="359" customWidth="1"/>
    <col min="87" max="87" width="18.7890625" style="359" customWidth="1"/>
    <col min="88" max="88" width="11.20703125" style="359" customWidth="1"/>
    <col min="89" max="89" width="11" style="359" customWidth="1"/>
    <col min="90" max="90" width="24.5234375" style="359" customWidth="1"/>
    <col min="91" max="91" width="4.20703125" style="359" customWidth="1"/>
    <col min="92" max="92" width="1" style="359" customWidth="1"/>
    <col min="93" max="93" width="3.7890625" style="359" hidden="1" customWidth="1"/>
    <col min="94" max="94" width="17.7890625" style="359" hidden="1" customWidth="1"/>
    <col min="95" max="95" width="13.20703125" style="359" hidden="1" customWidth="1"/>
    <col min="96" max="96" width="13.7890625" style="359" hidden="1" customWidth="1"/>
    <col min="97" max="99" width="12" style="359" hidden="1" customWidth="1"/>
    <col min="100" max="100" width="1.41796875" style="359" hidden="1" customWidth="1"/>
    <col min="101" max="101" width="2" style="359" hidden="1" customWidth="1"/>
    <col min="102" max="102" width="3.41796875" style="359" hidden="1" customWidth="1"/>
    <col min="103" max="103" width="14" style="359" hidden="1" customWidth="1"/>
    <col min="104" max="104" width="14.7890625" style="359" hidden="1" customWidth="1"/>
    <col min="105" max="105" width="13.7890625" style="359" hidden="1" customWidth="1"/>
    <col min="106" max="106" width="12.41796875" style="359" hidden="1" customWidth="1"/>
    <col min="107" max="107" width="13.41796875" style="359" hidden="1" customWidth="1"/>
    <col min="108" max="108" width="12.20703125" style="359" hidden="1" customWidth="1"/>
    <col min="109" max="109" width="2.7890625" style="359" hidden="1" customWidth="1"/>
    <col min="110" max="110" width="1.41796875" style="359" hidden="1" customWidth="1"/>
    <col min="111" max="111" width="2.5234375" style="359" hidden="1" customWidth="1"/>
    <col min="112" max="112" width="0" style="359" hidden="1" customWidth="1"/>
    <col min="113" max="113" width="3.7890625" style="359" customWidth="1"/>
    <col min="114" max="114" width="8.20703125" style="359" customWidth="1"/>
    <col min="115" max="115" width="1.5234375" style="359" customWidth="1"/>
    <col min="116" max="116" width="3.7890625" style="359" customWidth="1"/>
    <col min="117" max="16384" width="8.7890625" style="359"/>
  </cols>
  <sheetData>
    <row r="1" spans="1:116" x14ac:dyDescent="0.5">
      <c r="AS1" s="1282"/>
      <c r="AT1" s="1282"/>
      <c r="AU1" s="1282"/>
      <c r="AV1" s="1282"/>
      <c r="AW1" s="1282"/>
      <c r="AX1" s="1282"/>
      <c r="AY1" s="1282"/>
    </row>
    <row r="2" spans="1:116" ht="16.2" customHeight="1" x14ac:dyDescent="0.5">
      <c r="C2" s="1208"/>
      <c r="D2" s="1209"/>
      <c r="E2" s="1209"/>
      <c r="F2" s="1253"/>
      <c r="G2" s="1253"/>
      <c r="H2" s="1253"/>
      <c r="I2" s="1253"/>
      <c r="J2" s="1253"/>
      <c r="K2" s="1253"/>
      <c r="L2" s="1253"/>
      <c r="M2" s="1209"/>
      <c r="N2" s="1209"/>
      <c r="O2" s="1209"/>
      <c r="P2" s="1209"/>
      <c r="Q2" s="1209"/>
      <c r="R2" s="1209"/>
      <c r="S2" s="1209"/>
      <c r="T2" s="1209"/>
      <c r="U2" s="1209"/>
      <c r="V2" s="1209"/>
      <c r="W2" s="1209"/>
      <c r="X2" s="1209"/>
      <c r="Y2" s="1209"/>
      <c r="Z2" s="1209"/>
      <c r="AA2" s="1209"/>
      <c r="AB2" s="1209"/>
      <c r="AC2" s="1209"/>
      <c r="AD2" s="1209"/>
      <c r="AE2" s="1209"/>
      <c r="AF2" s="1209"/>
      <c r="AG2" s="1209"/>
      <c r="AH2" s="1209"/>
      <c r="AI2" s="1209"/>
      <c r="AJ2" s="1209"/>
      <c r="AK2" s="1209"/>
      <c r="AL2" s="1210"/>
      <c r="AP2" s="1208"/>
      <c r="AQ2" s="1209"/>
      <c r="AR2" s="1209"/>
      <c r="AS2" s="1209"/>
      <c r="AT2" s="1209"/>
      <c r="AU2" s="1209"/>
      <c r="AV2" s="1209"/>
      <c r="AW2" s="1209"/>
      <c r="AX2" s="1209"/>
      <c r="AY2" s="1209"/>
      <c r="AZ2" s="1209"/>
      <c r="BA2" s="1209"/>
      <c r="BB2" s="1209"/>
      <c r="BC2" s="1209"/>
      <c r="BD2" s="1209"/>
      <c r="BE2" s="1209"/>
      <c r="BF2" s="1209"/>
      <c r="BG2" s="1209"/>
      <c r="BH2" s="1209"/>
      <c r="BI2" s="1209"/>
      <c r="BJ2" s="1209"/>
      <c r="BK2" s="1209"/>
      <c r="BL2" s="1209"/>
      <c r="BM2" s="1209"/>
      <c r="BN2" s="1209"/>
      <c r="BO2" s="1209"/>
      <c r="BP2" s="1209"/>
      <c r="BQ2" s="1209"/>
      <c r="BR2" s="1209"/>
      <c r="BS2" s="1209"/>
      <c r="BT2" s="1209"/>
      <c r="BU2" s="1209"/>
      <c r="BV2" s="1209"/>
      <c r="BW2" s="1209"/>
      <c r="BX2" s="1209"/>
      <c r="BY2" s="1050"/>
      <c r="BZ2" s="1209"/>
      <c r="CA2" s="1209"/>
      <c r="CC2" s="1208"/>
      <c r="CD2" s="1209"/>
      <c r="CE2" s="1209"/>
      <c r="CF2" s="1253"/>
      <c r="CG2" s="1253"/>
      <c r="CH2" s="1253"/>
      <c r="CI2" s="1253"/>
      <c r="CJ2" s="1253"/>
      <c r="CK2" s="1253"/>
      <c r="CL2" s="1253"/>
      <c r="CM2" s="1209"/>
      <c r="CN2" s="1209"/>
      <c r="CO2" s="1209"/>
      <c r="CP2" s="1209"/>
      <c r="CQ2" s="1209"/>
      <c r="CR2" s="1209"/>
      <c r="CS2" s="1209"/>
      <c r="CT2" s="1209"/>
      <c r="CU2" s="1209"/>
      <c r="CV2" s="1209"/>
      <c r="CW2" s="1209"/>
      <c r="CX2" s="1209"/>
      <c r="CY2" s="1209"/>
      <c r="CZ2" s="1209"/>
      <c r="DA2" s="1209"/>
      <c r="DB2" s="1209"/>
      <c r="DC2" s="1209"/>
      <c r="DD2" s="1209"/>
      <c r="DE2" s="1209"/>
      <c r="DF2" s="1209"/>
      <c r="DG2" s="1209"/>
      <c r="DH2" s="1209"/>
      <c r="DI2" s="1209"/>
      <c r="DJ2" s="1209"/>
      <c r="DK2" s="1209"/>
      <c r="DL2" s="1210"/>
    </row>
    <row r="3" spans="1:116" ht="23.55" customHeight="1" x14ac:dyDescent="0.5">
      <c r="C3" s="1211"/>
      <c r="D3" s="1615" t="s">
        <v>1693</v>
      </c>
      <c r="E3" s="1616"/>
      <c r="F3" s="1616"/>
      <c r="G3" s="1616"/>
      <c r="H3" s="1616"/>
      <c r="I3" s="1616"/>
      <c r="J3" s="1616"/>
      <c r="K3" s="1616"/>
      <c r="L3" s="1616"/>
      <c r="M3" s="1616"/>
      <c r="N3" s="1616"/>
      <c r="O3" s="1616"/>
      <c r="P3" s="1616"/>
      <c r="Q3" s="1616"/>
      <c r="R3" s="1616"/>
      <c r="S3" s="1616"/>
      <c r="T3" s="1616"/>
      <c r="U3" s="1616"/>
      <c r="V3" s="1616"/>
      <c r="W3" s="1616"/>
      <c r="X3" s="1616"/>
      <c r="Y3" s="1616"/>
      <c r="Z3" s="1616"/>
      <c r="AA3" s="1616"/>
      <c r="AB3" s="1616"/>
      <c r="AC3" s="1616"/>
      <c r="AD3" s="1616"/>
      <c r="AE3" s="1616"/>
      <c r="AF3" s="1616"/>
      <c r="AG3" s="1616"/>
      <c r="AH3" s="1616"/>
      <c r="AI3" s="1616"/>
      <c r="AJ3" s="1616"/>
      <c r="AK3" s="1617"/>
      <c r="AL3" s="1212"/>
      <c r="AP3" s="1211"/>
      <c r="AQ3" s="1615" t="s">
        <v>1695</v>
      </c>
      <c r="AR3" s="1616"/>
      <c r="AS3" s="1616"/>
      <c r="AT3" s="1616"/>
      <c r="AU3" s="1616"/>
      <c r="AV3" s="1616"/>
      <c r="AW3" s="1616"/>
      <c r="AX3" s="1616"/>
      <c r="AY3" s="1616"/>
      <c r="AZ3" s="1616"/>
      <c r="BA3" s="1616"/>
      <c r="BB3" s="1616"/>
      <c r="BC3" s="1616"/>
      <c r="BD3" s="1616"/>
      <c r="BE3" s="1616"/>
      <c r="BF3" s="1616"/>
      <c r="BG3" s="1616"/>
      <c r="BH3" s="1616"/>
      <c r="BI3" s="1616"/>
      <c r="BJ3" s="1616"/>
      <c r="BK3" s="1616"/>
      <c r="BL3" s="1616"/>
      <c r="BM3" s="1616"/>
      <c r="BN3" s="1616"/>
      <c r="BO3" s="1616"/>
      <c r="BP3" s="1616"/>
      <c r="BQ3" s="1616"/>
      <c r="BR3" s="1616"/>
      <c r="BS3" s="1616"/>
      <c r="BT3" s="1616"/>
      <c r="BU3" s="1616"/>
      <c r="BV3" s="1616"/>
      <c r="BW3" s="1616"/>
      <c r="BX3" s="1617"/>
      <c r="BY3" s="1050"/>
      <c r="BZ3" s="1304"/>
      <c r="CA3" s="1304"/>
      <c r="CC3" s="1211"/>
      <c r="CD3" s="1615" t="s">
        <v>1697</v>
      </c>
      <c r="CE3" s="1616"/>
      <c r="CF3" s="1616"/>
      <c r="CG3" s="1616"/>
      <c r="CH3" s="1616"/>
      <c r="CI3" s="1616"/>
      <c r="CJ3" s="1616"/>
      <c r="CK3" s="1616"/>
      <c r="CL3" s="1616"/>
      <c r="CM3" s="1616"/>
      <c r="CN3" s="1616"/>
      <c r="CO3" s="1616"/>
      <c r="CP3" s="1616"/>
      <c r="CQ3" s="1616"/>
      <c r="CR3" s="1616"/>
      <c r="CS3" s="1616"/>
      <c r="CT3" s="1616"/>
      <c r="CU3" s="1616"/>
      <c r="CV3" s="1616"/>
      <c r="CW3" s="1616"/>
      <c r="CX3" s="1616"/>
      <c r="CY3" s="1616"/>
      <c r="CZ3" s="1616"/>
      <c r="DA3" s="1616"/>
      <c r="DB3" s="1616"/>
      <c r="DC3" s="1616"/>
      <c r="DD3" s="1616"/>
      <c r="DE3" s="1616"/>
      <c r="DF3" s="1616"/>
      <c r="DG3" s="1616"/>
      <c r="DH3" s="1616"/>
      <c r="DI3" s="1616"/>
      <c r="DJ3" s="1616"/>
      <c r="DK3" s="1617"/>
      <c r="DL3" s="1212"/>
    </row>
    <row r="4" spans="1:116" ht="27" customHeight="1" x14ac:dyDescent="0.5">
      <c r="C4" s="1211"/>
      <c r="D4" s="1048"/>
      <c r="E4" s="1043"/>
      <c r="F4" s="1044"/>
      <c r="G4" s="1044"/>
      <c r="H4" s="1044"/>
      <c r="I4" s="1044"/>
      <c r="J4" s="1044"/>
      <c r="K4" s="1044"/>
      <c r="L4" s="1044"/>
      <c r="M4" s="1043"/>
      <c r="N4" s="1050"/>
      <c r="AI4" s="1680" t="str">
        <f>_xlfn.IFNA(VLOOKUP(G7,Dd!C:H,3,FALSE),"Part A Not Completed")</f>
        <v>WC</v>
      </c>
      <c r="AJ4" s="1681"/>
      <c r="AK4" s="1256"/>
      <c r="AL4" s="1212"/>
      <c r="AP4" s="1211"/>
      <c r="AQ4" s="1305"/>
      <c r="AR4" s="1046"/>
      <c r="AS4" s="1047"/>
      <c r="AT4" s="1047"/>
      <c r="AU4" s="1047"/>
      <c r="AV4" s="1047"/>
      <c r="AW4" s="1047"/>
      <c r="AX4" s="1047"/>
      <c r="AY4" s="1047"/>
      <c r="AZ4" s="1043"/>
      <c r="BA4" s="1050"/>
      <c r="BV4" s="1633" t="str">
        <f>_xlfn.IFNA(VLOOKUP(G7,Dd!C:H,3,FALSE),"Part A Not Completed")</f>
        <v>WC</v>
      </c>
      <c r="BW4" s="1634"/>
      <c r="BX4" s="1212"/>
      <c r="BY4" s="1050"/>
      <c r="BZ4" s="1046"/>
      <c r="CA4" s="1254"/>
      <c r="CC4" s="1211"/>
      <c r="CD4" s="1045"/>
      <c r="CE4" s="1046"/>
      <c r="CF4" s="1047"/>
      <c r="CG4" s="1047"/>
      <c r="CH4" s="1047"/>
      <c r="CI4" s="1047"/>
      <c r="CJ4" s="1047"/>
      <c r="CK4" s="1047"/>
      <c r="CL4" s="1047"/>
      <c r="CM4" s="1043"/>
      <c r="CN4" s="1050"/>
      <c r="DI4" s="1633" t="str">
        <f>BV4</f>
        <v>WC</v>
      </c>
      <c r="DJ4" s="1634"/>
      <c r="DK4" s="1256"/>
      <c r="DL4" s="1212"/>
    </row>
    <row r="5" spans="1:116" ht="6" customHeight="1" x14ac:dyDescent="0.5">
      <c r="A5" s="1255"/>
      <c r="C5" s="1211"/>
      <c r="D5" s="1048"/>
      <c r="E5" s="1043"/>
      <c r="F5" s="1044"/>
      <c r="G5" s="1044"/>
      <c r="H5" s="1044"/>
      <c r="I5" s="1044"/>
      <c r="J5" s="1044"/>
      <c r="K5" s="1044"/>
      <c r="L5" s="1044"/>
      <c r="M5" s="1043"/>
      <c r="N5" s="1050"/>
      <c r="AI5" s="1682"/>
      <c r="AJ5" s="1683"/>
      <c r="AK5" s="1256"/>
      <c r="AL5" s="1212"/>
      <c r="AP5" s="1211"/>
      <c r="AQ5" s="1306"/>
      <c r="AR5" s="1043"/>
      <c r="AS5" s="1044"/>
      <c r="AT5" s="1044"/>
      <c r="AU5" s="1044"/>
      <c r="AV5" s="1044"/>
      <c r="AW5" s="1044"/>
      <c r="AX5" s="1044"/>
      <c r="AY5" s="1044"/>
      <c r="AZ5" s="1043"/>
      <c r="BA5" s="1050"/>
      <c r="BV5" s="1635"/>
      <c r="BW5" s="1636"/>
      <c r="BX5" s="1212"/>
      <c r="BY5" s="1050"/>
      <c r="BZ5" s="1043"/>
      <c r="CA5" s="1050"/>
      <c r="CC5" s="1211"/>
      <c r="CD5" s="1048"/>
      <c r="CE5" s="1043"/>
      <c r="CF5" s="1044"/>
      <c r="CG5" s="1044"/>
      <c r="CH5" s="1044"/>
      <c r="CI5" s="1044"/>
      <c r="CJ5" s="1044"/>
      <c r="CK5" s="1044"/>
      <c r="CL5" s="1044"/>
      <c r="CM5" s="1043"/>
      <c r="CN5" s="1050"/>
      <c r="DI5" s="1635"/>
      <c r="DJ5" s="1636"/>
      <c r="DK5" s="1256"/>
      <c r="DL5" s="1212"/>
    </row>
    <row r="6" spans="1:116" ht="18" customHeight="1" x14ac:dyDescent="0.5">
      <c r="A6" s="1255"/>
      <c r="C6" s="1211"/>
      <c r="D6" s="1048"/>
      <c r="E6" s="1055" t="s">
        <v>624</v>
      </c>
      <c r="F6" s="1056"/>
      <c r="G6" s="1057"/>
      <c r="H6" s="1057"/>
      <c r="I6" s="1057"/>
      <c r="J6" s="1057"/>
      <c r="K6" s="1058" t="s">
        <v>625</v>
      </c>
      <c r="L6" s="1059" t="s">
        <v>854</v>
      </c>
      <c r="M6" s="1043"/>
      <c r="N6" s="1050"/>
      <c r="AI6" s="1682"/>
      <c r="AJ6" s="1683"/>
      <c r="AK6" s="1256"/>
      <c r="AL6" s="1212"/>
      <c r="AP6" s="1211"/>
      <c r="AQ6" s="1306"/>
      <c r="AR6" s="1055" t="s">
        <v>624</v>
      </c>
      <c r="AS6" s="1056"/>
      <c r="AT6" s="1057"/>
      <c r="AU6" s="1057"/>
      <c r="AV6" s="1057"/>
      <c r="AW6" s="1057"/>
      <c r="AX6" s="1058" t="s">
        <v>625</v>
      </c>
      <c r="AY6" s="1059" t="s">
        <v>854</v>
      </c>
      <c r="AZ6" s="1043"/>
      <c r="BA6" s="1050"/>
      <c r="BV6" s="1635"/>
      <c r="BW6" s="1636"/>
      <c r="BX6" s="1212"/>
      <c r="BY6" s="1050"/>
      <c r="BZ6" s="1043"/>
      <c r="CA6" s="1050"/>
      <c r="CC6" s="1211"/>
      <c r="CD6" s="1048"/>
      <c r="CE6" s="1055" t="s">
        <v>624</v>
      </c>
      <c r="CF6" s="1056"/>
      <c r="CG6" s="1057"/>
      <c r="CH6" s="1057"/>
      <c r="CI6" s="1057"/>
      <c r="CJ6" s="1057"/>
      <c r="CK6" s="1058" t="s">
        <v>625</v>
      </c>
      <c r="CL6" s="1059" t="s">
        <v>854</v>
      </c>
      <c r="CM6" s="1043"/>
      <c r="CN6" s="1050"/>
      <c r="DI6" s="1635"/>
      <c r="DJ6" s="1636"/>
      <c r="DK6" s="1256"/>
      <c r="DL6" s="1212"/>
    </row>
    <row r="7" spans="1:116" ht="16.2" customHeight="1" x14ac:dyDescent="0.5">
      <c r="A7" s="1255"/>
      <c r="C7" s="1211"/>
      <c r="D7" s="1048"/>
      <c r="E7" s="1060"/>
      <c r="F7" s="1034"/>
      <c r="G7" s="1035" t="s">
        <v>1411</v>
      </c>
      <c r="H7" s="1036"/>
      <c r="I7" s="1034"/>
      <c r="J7" s="1034"/>
      <c r="K7" s="1037" t="s">
        <v>867</v>
      </c>
      <c r="L7" s="1061" t="s">
        <v>870</v>
      </c>
      <c r="M7" s="1043"/>
      <c r="N7" s="1050"/>
      <c r="AI7" s="1684"/>
      <c r="AJ7" s="1685"/>
      <c r="AK7" s="1256"/>
      <c r="AL7" s="1212"/>
      <c r="AP7" s="1211"/>
      <c r="AQ7" s="1306"/>
      <c r="AR7" s="1060"/>
      <c r="AS7" s="1034"/>
      <c r="AT7" s="1035" t="s">
        <v>1177</v>
      </c>
      <c r="AU7" s="1036"/>
      <c r="AV7" s="1034"/>
      <c r="AW7" s="1034"/>
      <c r="AX7" s="1037" t="s">
        <v>867</v>
      </c>
      <c r="AY7" s="1061" t="s">
        <v>870</v>
      </c>
      <c r="AZ7" s="1043"/>
      <c r="BA7" s="1050"/>
      <c r="BV7" s="1637"/>
      <c r="BW7" s="1638"/>
      <c r="BX7" s="1212"/>
      <c r="BY7" s="1050"/>
      <c r="BZ7" s="1043"/>
      <c r="CA7" s="1050"/>
      <c r="CC7" s="1211"/>
      <c r="CD7" s="1048"/>
      <c r="CE7" s="1060"/>
      <c r="CF7" s="1034"/>
      <c r="CG7" s="1035" t="s">
        <v>1177</v>
      </c>
      <c r="CH7" s="1036"/>
      <c r="CI7" s="1034"/>
      <c r="CJ7" s="1034"/>
      <c r="CK7" s="1037" t="s">
        <v>867</v>
      </c>
      <c r="CL7" s="1061" t="s">
        <v>870</v>
      </c>
      <c r="CM7" s="1043"/>
      <c r="CN7" s="1050"/>
      <c r="DI7" s="1637"/>
      <c r="DJ7" s="1638"/>
      <c r="DK7" s="1256"/>
      <c r="DL7" s="1212"/>
    </row>
    <row r="8" spans="1:116" ht="18" customHeight="1" thickBot="1" x14ac:dyDescent="0.55000000000000004">
      <c r="A8" s="1255"/>
      <c r="C8" s="1211"/>
      <c r="D8" s="1048"/>
      <c r="E8" s="1051"/>
      <c r="F8" s="1062"/>
      <c r="G8" s="1062"/>
      <c r="H8" s="1062"/>
      <c r="I8" s="1062"/>
      <c r="J8" s="1062"/>
      <c r="K8" s="1062"/>
      <c r="L8" s="1063"/>
      <c r="M8" s="1043"/>
      <c r="N8" s="1050"/>
      <c r="AI8" s="1050"/>
      <c r="AJ8" s="1050"/>
      <c r="AK8" s="1256"/>
      <c r="AL8" s="1212"/>
      <c r="AP8" s="1211"/>
      <c r="AQ8" s="1306"/>
      <c r="AR8" s="1051"/>
      <c r="AS8" s="1062"/>
      <c r="AT8" s="1062"/>
      <c r="AU8" s="1062"/>
      <c r="AV8" s="1062"/>
      <c r="AW8" s="1062"/>
      <c r="AX8" s="1062"/>
      <c r="AY8" s="1063"/>
      <c r="AZ8" s="1043"/>
      <c r="BA8" s="1050"/>
      <c r="BV8" s="1050"/>
      <c r="BW8" s="1050"/>
      <c r="BX8" s="1212"/>
      <c r="BY8" s="1050"/>
      <c r="BZ8" s="1043"/>
      <c r="CA8" s="1050"/>
      <c r="CC8" s="1211"/>
      <c r="CD8" s="1048"/>
      <c r="CE8" s="1051"/>
      <c r="CF8" s="1062"/>
      <c r="CG8" s="1062"/>
      <c r="CH8" s="1062"/>
      <c r="CI8" s="1062"/>
      <c r="CJ8" s="1062"/>
      <c r="CK8" s="1062"/>
      <c r="CL8" s="1063"/>
      <c r="CM8" s="1043"/>
      <c r="CN8" s="1050"/>
      <c r="DI8" s="1050"/>
      <c r="DJ8" s="1050"/>
      <c r="DK8" s="1256"/>
      <c r="DL8" s="1212"/>
    </row>
    <row r="9" spans="1:116" ht="7.95" customHeight="1" x14ac:dyDescent="0.5">
      <c r="A9" s="1255"/>
      <c r="C9" s="1211"/>
      <c r="D9" s="1048"/>
      <c r="E9" s="1043"/>
      <c r="F9" s="1043"/>
      <c r="G9" s="1043"/>
      <c r="H9" s="1043"/>
      <c r="I9" s="1043"/>
      <c r="J9" s="1043"/>
      <c r="K9" s="1043"/>
      <c r="L9" s="1043"/>
      <c r="M9" s="1043"/>
      <c r="N9" s="1050"/>
      <c r="AI9" s="1680" t="str">
        <f>_xlfn.IFNA(VLOOKUP(G7,Dd!C:H,5,FALSE),"Part A Not Completed")</f>
        <v>Overberg</v>
      </c>
      <c r="AJ9" s="1681"/>
      <c r="AK9" s="1256"/>
      <c r="AL9" s="1212"/>
      <c r="AP9" s="1211"/>
      <c r="AQ9" s="1306"/>
      <c r="AR9" s="1043"/>
      <c r="AS9" s="1043"/>
      <c r="AT9" s="1043"/>
      <c r="AU9" s="1043"/>
      <c r="AV9" s="1043"/>
      <c r="AW9" s="1043"/>
      <c r="AX9" s="1043"/>
      <c r="AY9" s="1043"/>
      <c r="AZ9" s="1043"/>
      <c r="BA9" s="1050"/>
      <c r="BV9" s="1639" t="str">
        <f>_xlfn.IFNA(VLOOKUP(G7,Dd!C:H,5,FALSE),"Part A Not Completed")</f>
        <v>Overberg</v>
      </c>
      <c r="BW9" s="1640"/>
      <c r="BX9" s="1212"/>
      <c r="BY9" s="1212"/>
      <c r="BZ9" s="1043"/>
      <c r="CA9" s="1050"/>
      <c r="CC9" s="1211"/>
      <c r="CD9" s="1048"/>
      <c r="CE9" s="1043"/>
      <c r="CF9" s="1043"/>
      <c r="CG9" s="1043"/>
      <c r="CH9" s="1043"/>
      <c r="CI9" s="1043"/>
      <c r="CJ9" s="1043"/>
      <c r="CK9" s="1043"/>
      <c r="CL9" s="1043"/>
      <c r="CM9" s="1043"/>
      <c r="CN9" s="1050"/>
      <c r="DI9" s="1639" t="str">
        <f>BV9</f>
        <v>Overberg</v>
      </c>
      <c r="DJ9" s="1640"/>
      <c r="DK9" s="1256"/>
      <c r="DL9" s="1212"/>
    </row>
    <row r="10" spans="1:116" ht="25.2" customHeight="1" x14ac:dyDescent="0.5">
      <c r="A10" s="1255"/>
      <c r="C10" s="1211"/>
      <c r="D10" s="1048"/>
      <c r="E10" s="1053" t="s">
        <v>628</v>
      </c>
      <c r="F10" s="1257"/>
      <c r="G10" s="1257" t="s">
        <v>1450</v>
      </c>
      <c r="H10" s="1257" t="s">
        <v>1451</v>
      </c>
      <c r="I10" s="1257" t="s">
        <v>1452</v>
      </c>
      <c r="J10" s="1257" t="s">
        <v>1453</v>
      </c>
      <c r="K10" s="1257"/>
      <c r="L10" s="1054"/>
      <c r="M10" s="1043"/>
      <c r="N10" s="1050"/>
      <c r="AI10" s="1682"/>
      <c r="AJ10" s="1683"/>
      <c r="AK10" s="1256"/>
      <c r="AL10" s="1212"/>
      <c r="AP10" s="1211"/>
      <c r="AQ10" s="1306"/>
      <c r="AR10" s="1053" t="s">
        <v>628</v>
      </c>
      <c r="AS10" s="1257"/>
      <c r="AT10" s="1257" t="s">
        <v>1450</v>
      </c>
      <c r="AU10" s="1257" t="s">
        <v>1451</v>
      </c>
      <c r="AV10" s="1257" t="s">
        <v>1452</v>
      </c>
      <c r="AW10" s="1257" t="s">
        <v>1453</v>
      </c>
      <c r="AX10" s="1257"/>
      <c r="AY10" s="1054"/>
      <c r="AZ10" s="1043"/>
      <c r="BA10" s="1050"/>
      <c r="BV10" s="1641"/>
      <c r="BW10" s="1642"/>
      <c r="BX10" s="1212"/>
      <c r="BY10" s="1212"/>
      <c r="BZ10" s="1043"/>
      <c r="CA10" s="1050"/>
      <c r="CC10" s="1211"/>
      <c r="CD10" s="1048"/>
      <c r="CE10" s="1053" t="s">
        <v>628</v>
      </c>
      <c r="CF10" s="1257"/>
      <c r="CG10" s="1257" t="s">
        <v>1450</v>
      </c>
      <c r="CH10" s="1257" t="s">
        <v>1451</v>
      </c>
      <c r="CI10" s="1257" t="s">
        <v>1452</v>
      </c>
      <c r="CJ10" s="1257" t="s">
        <v>1453</v>
      </c>
      <c r="CK10" s="1257"/>
      <c r="CL10" s="1054"/>
      <c r="CM10" s="1043"/>
      <c r="CN10" s="1050"/>
      <c r="DI10" s="1641"/>
      <c r="DJ10" s="1642"/>
      <c r="DK10" s="1256"/>
      <c r="DL10" s="1212"/>
    </row>
    <row r="11" spans="1:116" ht="8.5500000000000007" customHeight="1" x14ac:dyDescent="0.5">
      <c r="A11" s="1255"/>
      <c r="C11" s="1211"/>
      <c r="D11" s="1048"/>
      <c r="E11" s="1655" t="str">
        <f>IF(G64&lt;4,"Part B is not complete","")</f>
        <v/>
      </c>
      <c r="F11" s="1656"/>
      <c r="G11" s="1317"/>
      <c r="H11" s="1038"/>
      <c r="I11" s="1038"/>
      <c r="J11" s="1038"/>
      <c r="K11" s="1038"/>
      <c r="L11" s="1654"/>
      <c r="M11" s="1043"/>
      <c r="N11" s="1050"/>
      <c r="O11" s="1258"/>
      <c r="P11" s="1258"/>
      <c r="Q11" s="1258"/>
      <c r="R11" s="1258"/>
      <c r="S11" s="1258"/>
      <c r="T11" s="1258"/>
      <c r="U11" s="1258"/>
      <c r="V11" s="1258"/>
      <c r="W11" s="1258"/>
      <c r="AI11" s="1682"/>
      <c r="AJ11" s="1683"/>
      <c r="AK11" s="1256"/>
      <c r="AL11" s="1212"/>
      <c r="AP11" s="1211"/>
      <c r="AQ11" s="1306"/>
      <c r="AR11" s="1655" t="str">
        <f>IF(AT64&lt;4,"Part B is not complete","")</f>
        <v/>
      </c>
      <c r="AS11" s="1656"/>
      <c r="AT11" s="1038"/>
      <c r="AU11" s="1038"/>
      <c r="AV11" s="1038"/>
      <c r="AW11" s="1038"/>
      <c r="AX11" s="1038"/>
      <c r="AY11" s="1654"/>
      <c r="AZ11" s="1043"/>
      <c r="BA11" s="1050"/>
      <c r="BB11" s="1258"/>
      <c r="BC11" s="1258"/>
      <c r="BD11" s="1258"/>
      <c r="BE11" s="1258"/>
      <c r="BF11" s="1258"/>
      <c r="BG11" s="1258"/>
      <c r="BH11" s="1258"/>
      <c r="BI11" s="1258"/>
      <c r="BJ11" s="1258"/>
      <c r="BV11" s="1641"/>
      <c r="BW11" s="1642"/>
      <c r="BX11" s="1212"/>
      <c r="BY11" s="1212"/>
      <c r="BZ11" s="1043"/>
      <c r="CA11" s="1050"/>
      <c r="CC11" s="1211"/>
      <c r="CD11" s="1048"/>
      <c r="CE11" s="1655" t="str">
        <f>IF(CG64&lt;4,"Part B is not complete","")</f>
        <v/>
      </c>
      <c r="CF11" s="1656"/>
      <c r="CG11" s="1038"/>
      <c r="CH11" s="1038"/>
      <c r="CI11" s="1038"/>
      <c r="CJ11" s="1038"/>
      <c r="CK11" s="1038"/>
      <c r="CL11" s="1654"/>
      <c r="CM11" s="1043"/>
      <c r="CN11" s="1050"/>
      <c r="CO11" s="1258"/>
      <c r="CP11" s="1258"/>
      <c r="CQ11" s="1258"/>
      <c r="CR11" s="1258"/>
      <c r="CS11" s="1258"/>
      <c r="CT11" s="1258"/>
      <c r="CU11" s="1258"/>
      <c r="CV11" s="1258"/>
      <c r="CW11" s="1258"/>
      <c r="DI11" s="1641"/>
      <c r="DJ11" s="1642"/>
      <c r="DK11" s="1256"/>
      <c r="DL11" s="1212"/>
    </row>
    <row r="12" spans="1:116" ht="15.6" customHeight="1" thickBot="1" x14ac:dyDescent="0.55000000000000004">
      <c r="A12" s="1255"/>
      <c r="C12" s="1211"/>
      <c r="D12" s="1048"/>
      <c r="E12" s="1655"/>
      <c r="F12" s="1656"/>
      <c r="G12" s="1317"/>
      <c r="H12" s="1038"/>
      <c r="I12" s="1038"/>
      <c r="J12" s="1038"/>
      <c r="K12" s="1038"/>
      <c r="L12" s="1686"/>
      <c r="M12" s="1043"/>
      <c r="N12" s="1050"/>
      <c r="O12" s="1645" t="s">
        <v>864</v>
      </c>
      <c r="P12" s="1646"/>
      <c r="Q12" s="1646"/>
      <c r="R12" s="1646"/>
      <c r="S12" s="1646"/>
      <c r="T12" s="1646"/>
      <c r="U12" s="1646"/>
      <c r="V12" s="1647"/>
      <c r="W12" s="1043"/>
      <c r="Y12" s="1645" t="s">
        <v>865</v>
      </c>
      <c r="Z12" s="1646"/>
      <c r="AA12" s="1646"/>
      <c r="AB12" s="1646"/>
      <c r="AC12" s="1646"/>
      <c r="AD12" s="1646"/>
      <c r="AE12" s="1646"/>
      <c r="AF12" s="1647"/>
      <c r="AG12" s="1043"/>
      <c r="AI12" s="1684"/>
      <c r="AJ12" s="1685"/>
      <c r="AK12" s="1256"/>
      <c r="AL12" s="1212"/>
      <c r="AP12" s="1211"/>
      <c r="AQ12" s="1306"/>
      <c r="AR12" s="1655"/>
      <c r="AS12" s="1656"/>
      <c r="AT12" s="1038"/>
      <c r="AU12" s="1038"/>
      <c r="AV12" s="1038"/>
      <c r="AW12" s="1038"/>
      <c r="AX12" s="1038"/>
      <c r="AY12" s="1686"/>
      <c r="AZ12" s="1043"/>
      <c r="BA12" s="1050"/>
      <c r="BB12" s="1645" t="s">
        <v>864</v>
      </c>
      <c r="BC12" s="1646"/>
      <c r="BD12" s="1646"/>
      <c r="BE12" s="1646"/>
      <c r="BF12" s="1646"/>
      <c r="BG12" s="1646"/>
      <c r="BH12" s="1646"/>
      <c r="BI12" s="1647"/>
      <c r="BJ12" s="1043"/>
      <c r="BL12" s="1645" t="s">
        <v>865</v>
      </c>
      <c r="BM12" s="1646"/>
      <c r="BN12" s="1646"/>
      <c r="BO12" s="1646"/>
      <c r="BP12" s="1646"/>
      <c r="BQ12" s="1646"/>
      <c r="BR12" s="1646"/>
      <c r="BS12" s="1647"/>
      <c r="BT12" s="1043"/>
      <c r="BV12" s="1643"/>
      <c r="BW12" s="1644"/>
      <c r="BX12" s="1212"/>
      <c r="BY12" s="1212"/>
      <c r="BZ12" s="1043"/>
      <c r="CA12" s="1050"/>
      <c r="CC12" s="1211"/>
      <c r="CD12" s="1048"/>
      <c r="CE12" s="1655"/>
      <c r="CF12" s="1656"/>
      <c r="CG12" s="1038"/>
      <c r="CH12" s="1038"/>
      <c r="CI12" s="1038"/>
      <c r="CJ12" s="1038"/>
      <c r="CK12" s="1038"/>
      <c r="CL12" s="1654"/>
      <c r="CM12" s="1043"/>
      <c r="CN12" s="1050"/>
      <c r="CO12" s="1645" t="s">
        <v>864</v>
      </c>
      <c r="CP12" s="1646"/>
      <c r="CQ12" s="1646"/>
      <c r="CR12" s="1646"/>
      <c r="CS12" s="1646"/>
      <c r="CT12" s="1646"/>
      <c r="CU12" s="1646"/>
      <c r="CV12" s="1647"/>
      <c r="CW12" s="1043"/>
      <c r="CY12" s="1645" t="s">
        <v>865</v>
      </c>
      <c r="CZ12" s="1646"/>
      <c r="DA12" s="1646"/>
      <c r="DB12" s="1646"/>
      <c r="DC12" s="1646"/>
      <c r="DD12" s="1646"/>
      <c r="DE12" s="1646"/>
      <c r="DF12" s="1647"/>
      <c r="DG12" s="1043"/>
      <c r="DI12" s="1643"/>
      <c r="DJ12" s="1644"/>
      <c r="DK12" s="1256"/>
      <c r="DL12" s="1212"/>
    </row>
    <row r="13" spans="1:116" ht="16.95" customHeight="1" thickBot="1" x14ac:dyDescent="0.55000000000000004">
      <c r="A13" s="1255"/>
      <c r="C13" s="1211"/>
      <c r="D13" s="1048"/>
      <c r="E13" s="1051"/>
      <c r="F13" s="1657"/>
      <c r="G13" s="1658"/>
      <c r="H13" s="1658"/>
      <c r="I13" s="1658"/>
      <c r="J13" s="1658"/>
      <c r="K13" s="1659"/>
      <c r="L13" s="1052"/>
      <c r="M13" s="1043"/>
      <c r="N13" s="1050"/>
      <c r="O13" s="1040"/>
      <c r="P13" s="1041"/>
      <c r="Q13" s="1041"/>
      <c r="R13" s="1041"/>
      <c r="S13" s="1041"/>
      <c r="T13" s="1041"/>
      <c r="U13" s="1041"/>
      <c r="V13" s="1042"/>
      <c r="W13" s="1043"/>
      <c r="Y13" s="1040"/>
      <c r="Z13" s="1041"/>
      <c r="AA13" s="1041"/>
      <c r="AB13" s="1041"/>
      <c r="AC13" s="1041"/>
      <c r="AD13" s="1041"/>
      <c r="AE13" s="1041"/>
      <c r="AF13" s="1042"/>
      <c r="AG13" s="1043"/>
      <c r="AI13" s="1050"/>
      <c r="AJ13" s="1050"/>
      <c r="AK13" s="1256"/>
      <c r="AL13" s="1212"/>
      <c r="AP13" s="1211"/>
      <c r="AQ13" s="1306"/>
      <c r="AR13" s="1051"/>
      <c r="AS13" s="1657"/>
      <c r="AT13" s="1658"/>
      <c r="AU13" s="1658"/>
      <c r="AV13" s="1658"/>
      <c r="AW13" s="1658"/>
      <c r="AX13" s="1659"/>
      <c r="AY13" s="1052"/>
      <c r="AZ13" s="1043"/>
      <c r="BA13" s="1050"/>
      <c r="BB13" s="1040"/>
      <c r="BC13" s="1041"/>
      <c r="BD13" s="1041"/>
      <c r="BE13" s="1041"/>
      <c r="BF13" s="1041"/>
      <c r="BG13" s="1041"/>
      <c r="BH13" s="1041"/>
      <c r="BI13" s="1042"/>
      <c r="BJ13" s="1043"/>
      <c r="BL13" s="1040"/>
      <c r="BM13" s="1041"/>
      <c r="BN13" s="1041"/>
      <c r="BO13" s="1041"/>
      <c r="BP13" s="1041"/>
      <c r="BQ13" s="1041"/>
      <c r="BR13" s="1041"/>
      <c r="BS13" s="1042"/>
      <c r="BT13" s="1043"/>
      <c r="BV13" s="1050"/>
      <c r="BW13" s="1050"/>
      <c r="BX13" s="1212"/>
      <c r="BY13" s="1212"/>
      <c r="BZ13" s="1043"/>
      <c r="CA13" s="1050"/>
      <c r="CC13" s="1211"/>
      <c r="CD13" s="1048"/>
      <c r="CE13" s="1051"/>
      <c r="CF13" s="1657"/>
      <c r="CG13" s="1658"/>
      <c r="CH13" s="1658"/>
      <c r="CI13" s="1658"/>
      <c r="CJ13" s="1658"/>
      <c r="CK13" s="1659"/>
      <c r="CL13" s="1052"/>
      <c r="CM13" s="1043"/>
      <c r="CN13" s="1050"/>
      <c r="CO13" s="1040"/>
      <c r="CP13" s="1041"/>
      <c r="CQ13" s="1041"/>
      <c r="CR13" s="1041"/>
      <c r="CS13" s="1041"/>
      <c r="CT13" s="1041"/>
      <c r="CU13" s="1041"/>
      <c r="CV13" s="1042"/>
      <c r="CW13" s="1043"/>
      <c r="CY13" s="1040"/>
      <c r="CZ13" s="1041"/>
      <c r="DA13" s="1041"/>
      <c r="DB13" s="1041"/>
      <c r="DC13" s="1041"/>
      <c r="DD13" s="1041"/>
      <c r="DE13" s="1041"/>
      <c r="DF13" s="1042"/>
      <c r="DG13" s="1043"/>
      <c r="DI13" s="1050"/>
      <c r="DJ13" s="1050"/>
      <c r="DK13" s="1256"/>
      <c r="DL13" s="1212"/>
    </row>
    <row r="14" spans="1:116" ht="6" customHeight="1" x14ac:dyDescent="0.5">
      <c r="A14" s="1255"/>
      <c r="C14" s="1211"/>
      <c r="D14" s="1048"/>
      <c r="E14" s="1259"/>
      <c r="F14" s="405"/>
      <c r="G14" s="405"/>
      <c r="H14" s="405"/>
      <c r="I14" s="405"/>
      <c r="J14" s="405"/>
      <c r="K14" s="405"/>
      <c r="L14" s="1260"/>
      <c r="M14" s="1043"/>
      <c r="N14" s="1050"/>
      <c r="O14" s="1261" t="s">
        <v>187</v>
      </c>
      <c r="P14" s="342"/>
      <c r="Q14" s="342"/>
      <c r="R14" s="342"/>
      <c r="S14" s="342"/>
      <c r="T14" s="342"/>
      <c r="U14" s="342"/>
      <c r="V14" s="1256"/>
      <c r="W14" s="1043"/>
      <c r="Y14" s="1261" t="s">
        <v>187</v>
      </c>
      <c r="Z14" s="342"/>
      <c r="AA14" s="342"/>
      <c r="AB14" s="342"/>
      <c r="AC14" s="342"/>
      <c r="AD14" s="342"/>
      <c r="AE14" s="342"/>
      <c r="AF14" s="1256"/>
      <c r="AG14" s="1043"/>
      <c r="AI14" s="1639" t="str">
        <f>_xlfn.IFNA(VLOOKUP(G7,Dd!C:H,4,FALSE),"Part A Not Completed")</f>
        <v>Theewaterskloof</v>
      </c>
      <c r="AJ14" s="1640"/>
      <c r="AK14" s="1256"/>
      <c r="AL14" s="1212"/>
      <c r="AP14" s="1211"/>
      <c r="AQ14" s="1306"/>
      <c r="AR14" s="1259"/>
      <c r="AS14" s="405"/>
      <c r="AT14" s="405"/>
      <c r="AU14" s="405"/>
      <c r="AV14" s="405"/>
      <c r="AW14" s="405"/>
      <c r="AX14" s="405"/>
      <c r="AY14" s="1260"/>
      <c r="AZ14" s="1043"/>
      <c r="BA14" s="1050"/>
      <c r="BB14" s="1261" t="s">
        <v>187</v>
      </c>
      <c r="BC14" s="342"/>
      <c r="BD14" s="342"/>
      <c r="BE14" s="342"/>
      <c r="BF14" s="342"/>
      <c r="BG14" s="342"/>
      <c r="BH14" s="342"/>
      <c r="BI14" s="1256"/>
      <c r="BJ14" s="1043"/>
      <c r="BL14" s="1261" t="s">
        <v>187</v>
      </c>
      <c r="BM14" s="342"/>
      <c r="BN14" s="342"/>
      <c r="BO14" s="342"/>
      <c r="BP14" s="342"/>
      <c r="BQ14" s="342"/>
      <c r="BR14" s="342"/>
      <c r="BS14" s="1256"/>
      <c r="BT14" s="1043"/>
      <c r="BV14" s="1639" t="str">
        <f>_xlfn.IFNA(VLOOKUP(G7,Dd!C:H,4,FALSE),"Part A Not Completed")</f>
        <v>Theewaterskloof</v>
      </c>
      <c r="BW14" s="1640"/>
      <c r="BX14" s="1212"/>
      <c r="BY14" s="1212"/>
      <c r="BZ14" s="1043"/>
      <c r="CA14" s="1050"/>
      <c r="CC14" s="1211"/>
      <c r="CD14" s="1048"/>
      <c r="CE14" s="1259"/>
      <c r="CF14" s="405"/>
      <c r="CG14" s="405"/>
      <c r="CH14" s="405"/>
      <c r="CI14" s="405"/>
      <c r="CJ14" s="405"/>
      <c r="CK14" s="405"/>
      <c r="CL14" s="1260"/>
      <c r="CM14" s="1043"/>
      <c r="CN14" s="1050"/>
      <c r="CO14" s="1261" t="s">
        <v>187</v>
      </c>
      <c r="CP14" s="342"/>
      <c r="CQ14" s="342"/>
      <c r="CR14" s="342"/>
      <c r="CS14" s="342"/>
      <c r="CT14" s="342"/>
      <c r="CU14" s="342"/>
      <c r="CV14" s="1256"/>
      <c r="CW14" s="1043"/>
      <c r="CY14" s="1261" t="s">
        <v>187</v>
      </c>
      <c r="CZ14" s="342"/>
      <c r="DA14" s="342"/>
      <c r="DB14" s="342"/>
      <c r="DC14" s="342"/>
      <c r="DD14" s="342"/>
      <c r="DE14" s="342"/>
      <c r="DF14" s="1256"/>
      <c r="DG14" s="1043"/>
      <c r="DI14" s="1639" t="str">
        <f>BV14</f>
        <v>Theewaterskloof</v>
      </c>
      <c r="DJ14" s="1640"/>
      <c r="DK14" s="1256"/>
      <c r="DL14" s="1212"/>
    </row>
    <row r="15" spans="1:116" ht="5.55" hidden="1" customHeight="1" x14ac:dyDescent="0.5">
      <c r="A15" s="1255"/>
      <c r="C15" s="1211"/>
      <c r="D15" s="1048"/>
      <c r="E15" s="1660" t="s">
        <v>188</v>
      </c>
      <c r="F15" s="1661"/>
      <c r="G15" s="1661"/>
      <c r="H15" s="1661"/>
      <c r="I15" s="1661"/>
      <c r="J15" s="1661"/>
      <c r="K15" s="1661"/>
      <c r="L15" s="1662"/>
      <c r="M15" s="1043"/>
      <c r="N15" s="1050"/>
      <c r="O15" s="1648" t="s">
        <v>188</v>
      </c>
      <c r="P15" s="1649"/>
      <c r="Q15" s="1649"/>
      <c r="R15" s="1649"/>
      <c r="S15" s="1649"/>
      <c r="T15" s="1649"/>
      <c r="U15" s="1649"/>
      <c r="V15" s="1650"/>
      <c r="W15" s="1043"/>
      <c r="Y15" s="1648" t="s">
        <v>188</v>
      </c>
      <c r="Z15" s="1649"/>
      <c r="AA15" s="1649"/>
      <c r="AB15" s="1649"/>
      <c r="AC15" s="1649"/>
      <c r="AD15" s="1649"/>
      <c r="AE15" s="1649"/>
      <c r="AF15" s="1650"/>
      <c r="AG15" s="1043"/>
      <c r="AI15" s="1641"/>
      <c r="AJ15" s="1642"/>
      <c r="AK15" s="1256"/>
      <c r="AL15" s="1212"/>
      <c r="AP15" s="1211"/>
      <c r="AQ15" s="1306"/>
      <c r="AR15" s="1660" t="s">
        <v>188</v>
      </c>
      <c r="AS15" s="1661"/>
      <c r="AT15" s="1661"/>
      <c r="AU15" s="1661"/>
      <c r="AV15" s="1661"/>
      <c r="AW15" s="1661"/>
      <c r="AX15" s="1661"/>
      <c r="AY15" s="1662"/>
      <c r="AZ15" s="1043"/>
      <c r="BA15" s="1050"/>
      <c r="BB15" s="1648" t="s">
        <v>188</v>
      </c>
      <c r="BC15" s="1649"/>
      <c r="BD15" s="1649"/>
      <c r="BE15" s="1649"/>
      <c r="BF15" s="1649"/>
      <c r="BG15" s="1649"/>
      <c r="BH15" s="1649"/>
      <c r="BI15" s="1650"/>
      <c r="BJ15" s="1043"/>
      <c r="BL15" s="1648" t="s">
        <v>188</v>
      </c>
      <c r="BM15" s="1649"/>
      <c r="BN15" s="1649"/>
      <c r="BO15" s="1649"/>
      <c r="BP15" s="1649"/>
      <c r="BQ15" s="1649"/>
      <c r="BR15" s="1649"/>
      <c r="BS15" s="1650"/>
      <c r="BT15" s="1043"/>
      <c r="BV15" s="1641"/>
      <c r="BW15" s="1642"/>
      <c r="BX15" s="1212"/>
      <c r="BY15" s="1212"/>
      <c r="BZ15" s="1043"/>
      <c r="CA15" s="1050"/>
      <c r="CC15" s="1211"/>
      <c r="CD15" s="1048"/>
      <c r="CE15" s="1660" t="s">
        <v>188</v>
      </c>
      <c r="CF15" s="1661"/>
      <c r="CG15" s="1661"/>
      <c r="CH15" s="1661"/>
      <c r="CI15" s="1661"/>
      <c r="CJ15" s="1661"/>
      <c r="CK15" s="1661"/>
      <c r="CL15" s="1662"/>
      <c r="CM15" s="1043"/>
      <c r="CN15" s="1050"/>
      <c r="CO15" s="1648" t="s">
        <v>188</v>
      </c>
      <c r="CP15" s="1649"/>
      <c r="CQ15" s="1649"/>
      <c r="CR15" s="1649"/>
      <c r="CS15" s="1649"/>
      <c r="CT15" s="1649"/>
      <c r="CU15" s="1649"/>
      <c r="CV15" s="1650"/>
      <c r="CW15" s="1043"/>
      <c r="CY15" s="1648" t="s">
        <v>188</v>
      </c>
      <c r="CZ15" s="1649"/>
      <c r="DA15" s="1649"/>
      <c r="DB15" s="1649"/>
      <c r="DC15" s="1649"/>
      <c r="DD15" s="1649"/>
      <c r="DE15" s="1649"/>
      <c r="DF15" s="1650"/>
      <c r="DG15" s="1043"/>
      <c r="DI15" s="1641"/>
      <c r="DJ15" s="1642"/>
      <c r="DK15" s="1256"/>
      <c r="DL15" s="1212"/>
    </row>
    <row r="16" spans="1:116" ht="5.55" hidden="1" customHeight="1" x14ac:dyDescent="0.5">
      <c r="A16" s="1255"/>
      <c r="C16" s="1211"/>
      <c r="D16" s="1048"/>
      <c r="E16" s="1663"/>
      <c r="F16" s="1652"/>
      <c r="G16" s="1652"/>
      <c r="H16" s="1652"/>
      <c r="I16" s="1652"/>
      <c r="J16" s="1652"/>
      <c r="K16" s="1652"/>
      <c r="L16" s="1664"/>
      <c r="M16" s="1043"/>
      <c r="N16" s="1050"/>
      <c r="O16" s="1651"/>
      <c r="P16" s="1652"/>
      <c r="Q16" s="1652"/>
      <c r="R16" s="1652"/>
      <c r="S16" s="1652"/>
      <c r="T16" s="1652"/>
      <c r="U16" s="1652"/>
      <c r="V16" s="1653"/>
      <c r="W16" s="1043"/>
      <c r="Y16" s="1651"/>
      <c r="Z16" s="1652"/>
      <c r="AA16" s="1652"/>
      <c r="AB16" s="1652"/>
      <c r="AC16" s="1652"/>
      <c r="AD16" s="1652"/>
      <c r="AE16" s="1652"/>
      <c r="AF16" s="1653"/>
      <c r="AG16" s="1043"/>
      <c r="AI16" s="1641"/>
      <c r="AJ16" s="1642"/>
      <c r="AK16" s="1256"/>
      <c r="AL16" s="1212"/>
      <c r="AP16" s="1211"/>
      <c r="AQ16" s="1306"/>
      <c r="AR16" s="1663"/>
      <c r="AS16" s="1652"/>
      <c r="AT16" s="1652"/>
      <c r="AU16" s="1652"/>
      <c r="AV16" s="1652"/>
      <c r="AW16" s="1652"/>
      <c r="AX16" s="1652"/>
      <c r="AY16" s="1664"/>
      <c r="AZ16" s="1043"/>
      <c r="BA16" s="1050"/>
      <c r="BB16" s="1651"/>
      <c r="BC16" s="1652"/>
      <c r="BD16" s="1652"/>
      <c r="BE16" s="1652"/>
      <c r="BF16" s="1652"/>
      <c r="BG16" s="1652"/>
      <c r="BH16" s="1652"/>
      <c r="BI16" s="1653"/>
      <c r="BJ16" s="1043"/>
      <c r="BL16" s="1651"/>
      <c r="BM16" s="1652"/>
      <c r="BN16" s="1652"/>
      <c r="BO16" s="1652"/>
      <c r="BP16" s="1652"/>
      <c r="BQ16" s="1652"/>
      <c r="BR16" s="1652"/>
      <c r="BS16" s="1653"/>
      <c r="BT16" s="1043"/>
      <c r="BV16" s="1641"/>
      <c r="BW16" s="1642"/>
      <c r="BX16" s="1212"/>
      <c r="BY16" s="1212"/>
      <c r="BZ16" s="1043"/>
      <c r="CA16" s="1050"/>
      <c r="CC16" s="1211"/>
      <c r="CD16" s="1048"/>
      <c r="CE16" s="1663"/>
      <c r="CF16" s="1652"/>
      <c r="CG16" s="1652"/>
      <c r="CH16" s="1652"/>
      <c r="CI16" s="1652"/>
      <c r="CJ16" s="1652"/>
      <c r="CK16" s="1652"/>
      <c r="CL16" s="1664"/>
      <c r="CM16" s="1043"/>
      <c r="CN16" s="1050"/>
      <c r="CO16" s="1651"/>
      <c r="CP16" s="1652"/>
      <c r="CQ16" s="1652"/>
      <c r="CR16" s="1652"/>
      <c r="CS16" s="1652"/>
      <c r="CT16" s="1652"/>
      <c r="CU16" s="1652"/>
      <c r="CV16" s="1653"/>
      <c r="CW16" s="1043"/>
      <c r="CY16" s="1651"/>
      <c r="CZ16" s="1652"/>
      <c r="DA16" s="1652"/>
      <c r="DB16" s="1652"/>
      <c r="DC16" s="1652"/>
      <c r="DD16" s="1652"/>
      <c r="DE16" s="1652"/>
      <c r="DF16" s="1653"/>
      <c r="DG16" s="1043"/>
      <c r="DI16" s="1641"/>
      <c r="DJ16" s="1642"/>
      <c r="DK16" s="1256"/>
      <c r="DL16" s="1212"/>
    </row>
    <row r="17" spans="1:252" ht="0.6" hidden="1" customHeight="1" x14ac:dyDescent="0.5">
      <c r="A17" s="1255"/>
      <c r="C17" s="1211"/>
      <c r="D17" s="1048"/>
      <c r="E17" s="1221"/>
      <c r="F17" s="342"/>
      <c r="G17" s="342"/>
      <c r="H17" s="342"/>
      <c r="I17" s="342"/>
      <c r="J17" s="342"/>
      <c r="K17" s="342"/>
      <c r="L17" s="1212"/>
      <c r="M17" s="1043"/>
      <c r="N17" s="1050"/>
      <c r="O17" s="344"/>
      <c r="P17" s="342"/>
      <c r="Q17" s="342"/>
      <c r="R17" s="342"/>
      <c r="S17" s="342"/>
      <c r="T17" s="342"/>
      <c r="U17" s="342"/>
      <c r="V17" s="1256"/>
      <c r="W17" s="1043"/>
      <c r="Y17" s="344"/>
      <c r="Z17" s="342"/>
      <c r="AA17" s="342"/>
      <c r="AB17" s="342"/>
      <c r="AC17" s="342"/>
      <c r="AD17" s="342"/>
      <c r="AE17" s="342"/>
      <c r="AF17" s="1256"/>
      <c r="AG17" s="1043"/>
      <c r="AI17" s="1641"/>
      <c r="AJ17" s="1642"/>
      <c r="AK17" s="1256"/>
      <c r="AL17" s="1212"/>
      <c r="AP17" s="1211"/>
      <c r="AQ17" s="1306"/>
      <c r="AR17" s="1221"/>
      <c r="AS17" s="342"/>
      <c r="AT17" s="342"/>
      <c r="AU17" s="342"/>
      <c r="AV17" s="342"/>
      <c r="AW17" s="342"/>
      <c r="AX17" s="342"/>
      <c r="AY17" s="1212"/>
      <c r="AZ17" s="1043"/>
      <c r="BA17" s="1050"/>
      <c r="BB17" s="344"/>
      <c r="BC17" s="342"/>
      <c r="BD17" s="342"/>
      <c r="BE17" s="342"/>
      <c r="BF17" s="342"/>
      <c r="BG17" s="342"/>
      <c r="BH17" s="342"/>
      <c r="BI17" s="1256"/>
      <c r="BJ17" s="1043"/>
      <c r="BL17" s="344"/>
      <c r="BM17" s="342"/>
      <c r="BN17" s="342"/>
      <c r="BO17" s="342"/>
      <c r="BP17" s="342"/>
      <c r="BQ17" s="342"/>
      <c r="BR17" s="342"/>
      <c r="BS17" s="1256"/>
      <c r="BT17" s="1043"/>
      <c r="BV17" s="1641"/>
      <c r="BW17" s="1642"/>
      <c r="BX17" s="1212"/>
      <c r="BY17" s="1212"/>
      <c r="BZ17" s="1043"/>
      <c r="CA17" s="1050"/>
      <c r="CC17" s="1211"/>
      <c r="CD17" s="1048"/>
      <c r="CE17" s="1221"/>
      <c r="CF17" s="342"/>
      <c r="CG17" s="342"/>
      <c r="CH17" s="342"/>
      <c r="CI17" s="342"/>
      <c r="CJ17" s="342"/>
      <c r="CK17" s="342"/>
      <c r="CL17" s="1212"/>
      <c r="CM17" s="1043"/>
      <c r="CN17" s="1050"/>
      <c r="CO17" s="344"/>
      <c r="CP17" s="342"/>
      <c r="CQ17" s="342"/>
      <c r="CR17" s="342"/>
      <c r="CS17" s="342"/>
      <c r="CT17" s="342"/>
      <c r="CU17" s="342"/>
      <c r="CV17" s="1256"/>
      <c r="CW17" s="1043"/>
      <c r="CY17" s="344"/>
      <c r="CZ17" s="342"/>
      <c r="DA17" s="342"/>
      <c r="DB17" s="342"/>
      <c r="DC17" s="342"/>
      <c r="DD17" s="342"/>
      <c r="DE17" s="342"/>
      <c r="DF17" s="1256"/>
      <c r="DG17" s="1043"/>
      <c r="DI17" s="1641"/>
      <c r="DJ17" s="1642"/>
      <c r="DK17" s="1256"/>
      <c r="DL17" s="1212"/>
    </row>
    <row r="18" spans="1:252" ht="19.95" customHeight="1" x14ac:dyDescent="0.5">
      <c r="A18" s="1255"/>
      <c r="C18" s="1211"/>
      <c r="D18" s="1048"/>
      <c r="E18" s="1259"/>
      <c r="F18" s="1262" t="s">
        <v>240</v>
      </c>
      <c r="G18" s="1262" t="s">
        <v>242</v>
      </c>
      <c r="H18" s="1262" t="s">
        <v>243</v>
      </c>
      <c r="I18" s="1262" t="s">
        <v>244</v>
      </c>
      <c r="J18" s="1262" t="s">
        <v>238</v>
      </c>
      <c r="K18" s="1262" t="s">
        <v>239</v>
      </c>
      <c r="L18" s="1260"/>
      <c r="M18" s="1043"/>
      <c r="N18" s="1050"/>
      <c r="O18" s="1263"/>
      <c r="P18" s="1262" t="s">
        <v>240</v>
      </c>
      <c r="Q18" s="1262" t="s">
        <v>242</v>
      </c>
      <c r="R18" s="1262" t="s">
        <v>243</v>
      </c>
      <c r="S18" s="1262" t="s">
        <v>244</v>
      </c>
      <c r="T18" s="1262" t="s">
        <v>238</v>
      </c>
      <c r="U18" s="1262" t="s">
        <v>239</v>
      </c>
      <c r="V18" s="1264"/>
      <c r="W18" s="1043"/>
      <c r="Y18" s="1263"/>
      <c r="Z18" s="1262" t="s">
        <v>240</v>
      </c>
      <c r="AA18" s="1262" t="s">
        <v>242</v>
      </c>
      <c r="AB18" s="1262" t="s">
        <v>243</v>
      </c>
      <c r="AC18" s="1262" t="s">
        <v>244</v>
      </c>
      <c r="AD18" s="1262" t="s">
        <v>238</v>
      </c>
      <c r="AE18" s="1262" t="s">
        <v>239</v>
      </c>
      <c r="AF18" s="1264"/>
      <c r="AG18" s="1043"/>
      <c r="AI18" s="1641"/>
      <c r="AJ18" s="1642"/>
      <c r="AK18" s="1256"/>
      <c r="AL18" s="1212"/>
      <c r="AP18" s="1211"/>
      <c r="AQ18" s="1306"/>
      <c r="AR18" s="1259"/>
      <c r="AS18" s="1262" t="s">
        <v>240</v>
      </c>
      <c r="AT18" s="1262" t="s">
        <v>242</v>
      </c>
      <c r="AU18" s="1262" t="s">
        <v>243</v>
      </c>
      <c r="AV18" s="1262" t="s">
        <v>244</v>
      </c>
      <c r="AW18" s="1262" t="s">
        <v>238</v>
      </c>
      <c r="AX18" s="1262" t="s">
        <v>239</v>
      </c>
      <c r="AY18" s="1260"/>
      <c r="AZ18" s="1043"/>
      <c r="BA18" s="1050"/>
      <c r="BB18" s="1263"/>
      <c r="BC18" s="1262" t="s">
        <v>240</v>
      </c>
      <c r="BD18" s="1262" t="s">
        <v>242</v>
      </c>
      <c r="BE18" s="1262" t="s">
        <v>243</v>
      </c>
      <c r="BF18" s="1262" t="s">
        <v>244</v>
      </c>
      <c r="BG18" s="1262" t="s">
        <v>238</v>
      </c>
      <c r="BH18" s="1262" t="s">
        <v>239</v>
      </c>
      <c r="BI18" s="1264"/>
      <c r="BJ18" s="1043"/>
      <c r="BL18" s="1263"/>
      <c r="BM18" s="1262" t="s">
        <v>240</v>
      </c>
      <c r="BN18" s="1262" t="s">
        <v>242</v>
      </c>
      <c r="BO18" s="1262" t="s">
        <v>243</v>
      </c>
      <c r="BP18" s="1262" t="s">
        <v>244</v>
      </c>
      <c r="BQ18" s="1262" t="s">
        <v>238</v>
      </c>
      <c r="BR18" s="1262" t="s">
        <v>239</v>
      </c>
      <c r="BS18" s="1264"/>
      <c r="BT18" s="1043"/>
      <c r="BV18" s="1641"/>
      <c r="BW18" s="1642"/>
      <c r="BX18" s="1212"/>
      <c r="BY18" s="1212"/>
      <c r="BZ18" s="1043"/>
      <c r="CA18" s="1050"/>
      <c r="CC18" s="1211"/>
      <c r="CD18" s="1048"/>
      <c r="CE18" s="1259"/>
      <c r="CF18" s="1262" t="s">
        <v>240</v>
      </c>
      <c r="CG18" s="1262" t="s">
        <v>242</v>
      </c>
      <c r="CH18" s="1262" t="s">
        <v>243</v>
      </c>
      <c r="CI18" s="1262" t="s">
        <v>244</v>
      </c>
      <c r="CJ18" s="1262" t="s">
        <v>238</v>
      </c>
      <c r="CK18" s="1262" t="s">
        <v>239</v>
      </c>
      <c r="CL18" s="1260"/>
      <c r="CM18" s="1043"/>
      <c r="CN18" s="1050"/>
      <c r="CO18" s="1263"/>
      <c r="CP18" s="1262" t="s">
        <v>240</v>
      </c>
      <c r="CQ18" s="1262" t="s">
        <v>242</v>
      </c>
      <c r="CR18" s="1262" t="s">
        <v>243</v>
      </c>
      <c r="CS18" s="1262" t="s">
        <v>244</v>
      </c>
      <c r="CT18" s="1262" t="s">
        <v>238</v>
      </c>
      <c r="CU18" s="1262" t="s">
        <v>239</v>
      </c>
      <c r="CV18" s="1264"/>
      <c r="CW18" s="1043"/>
      <c r="CY18" s="1263"/>
      <c r="CZ18" s="1262" t="s">
        <v>240</v>
      </c>
      <c r="DA18" s="1262" t="s">
        <v>242</v>
      </c>
      <c r="DB18" s="1262" t="s">
        <v>243</v>
      </c>
      <c r="DC18" s="1262" t="s">
        <v>244</v>
      </c>
      <c r="DD18" s="1262" t="s">
        <v>238</v>
      </c>
      <c r="DE18" s="1262" t="s">
        <v>239</v>
      </c>
      <c r="DF18" s="1264"/>
      <c r="DG18" s="1043"/>
      <c r="DI18" s="1641"/>
      <c r="DJ18" s="1642"/>
      <c r="DK18" s="1256"/>
      <c r="DL18" s="1212"/>
    </row>
    <row r="19" spans="1:252" ht="13.5" customHeight="1" x14ac:dyDescent="0.5">
      <c r="A19" s="1255"/>
      <c r="C19" s="1211"/>
      <c r="D19" s="1048"/>
      <c r="E19" s="1259" t="s">
        <v>143</v>
      </c>
      <c r="F19" s="1265">
        <f ca="1">IFERROR(Surplus!E45,"0")</f>
        <v>895497491</v>
      </c>
      <c r="G19" s="1265">
        <f ca="1">IFERROR(Surplus!F45,"0")</f>
        <v>134664954.40000001</v>
      </c>
      <c r="H19" s="1265">
        <f ca="1">IFERROR(Surplus!G45,"0")</f>
        <v>77331255.799999997</v>
      </c>
      <c r="I19" s="1265">
        <f ca="1">IFERROR(Surplus!H45,"0")</f>
        <v>211215593.80000001</v>
      </c>
      <c r="J19" s="1265">
        <f ca="1">IFERROR(Surplus!I45,"0")</f>
        <v>94950431.799999997</v>
      </c>
      <c r="K19" s="1265">
        <f ca="1">IFERROR(Surplus!J45,"0")</f>
        <v>377335255.19999999</v>
      </c>
      <c r="L19" s="1266"/>
      <c r="M19" s="1043"/>
      <c r="N19" s="1050"/>
      <c r="O19" s="1263" t="s">
        <v>143</v>
      </c>
      <c r="P19" s="1265">
        <f>IFERROR(Surplus!O45,"0")</f>
        <v>0</v>
      </c>
      <c r="Q19" s="1265" t="str">
        <f>IFERROR(Surplus!P45,"0")</f>
        <v xml:space="preserve">Expenditure </v>
      </c>
      <c r="R19" s="1265">
        <f ca="1">IFERROR(Surplus!Q45,"0")</f>
        <v>926567140</v>
      </c>
      <c r="S19" s="1265">
        <f ca="1">IFERROR(Surplus!R45,"0")</f>
        <v>139371382.34999999</v>
      </c>
      <c r="T19" s="1265">
        <f ca="1">IFERROR(Surplus!S45,"0")</f>
        <v>80113539.450000003</v>
      </c>
      <c r="U19" s="1265">
        <f ca="1">IFERROR(Surplus!T45,"0")</f>
        <v>218460272.44999999</v>
      </c>
      <c r="V19" s="1267" t="s">
        <v>637</v>
      </c>
      <c r="W19" s="1043"/>
      <c r="Y19" s="1263" t="s">
        <v>143</v>
      </c>
      <c r="Z19" s="1265">
        <f>IFERROR(Surplus!Y45,"0")</f>
        <v>0</v>
      </c>
      <c r="AA19" s="1265" t="str">
        <f>IFERROR(Surplus!Z45,"0")</f>
        <v xml:space="preserve">Expenditure </v>
      </c>
      <c r="AB19" s="1265">
        <f ca="1">IFERROR(Surplus!AA45,"0")</f>
        <v>956933838</v>
      </c>
      <c r="AC19" s="1265">
        <f ca="1">IFERROR(Surplus!AB45,"0")</f>
        <v>143979397.84999999</v>
      </c>
      <c r="AD19" s="1265">
        <f ca="1">IFERROR(Surplus!AC45,"0")</f>
        <v>82856973.950000003</v>
      </c>
      <c r="AE19" s="1265">
        <f ca="1">IFERROR(Surplus!AD45,"0")</f>
        <v>225524875.94999999</v>
      </c>
      <c r="AF19" s="1267" t="s">
        <v>637</v>
      </c>
      <c r="AG19" s="1043"/>
      <c r="AI19" s="1641"/>
      <c r="AJ19" s="1642"/>
      <c r="AK19" s="1256"/>
      <c r="AL19" s="1212"/>
      <c r="AP19" s="1211"/>
      <c r="AQ19" s="1306"/>
      <c r="AR19" s="1259" t="s">
        <v>143</v>
      </c>
      <c r="AS19" s="1265">
        <f ca="1">IFERROR(Surplus!Q45,"0")</f>
        <v>926567140</v>
      </c>
      <c r="AT19" s="1265">
        <f ca="1">IFERROR(Surplus!R45,"0")</f>
        <v>139371382.34999999</v>
      </c>
      <c r="AU19" s="1265">
        <f ca="1">IFERROR(Surplus!S45,"0")</f>
        <v>80113539.450000003</v>
      </c>
      <c r="AV19" s="1265">
        <f ca="1">IFERROR(Surplus!T45,"0")</f>
        <v>218460272.44999999</v>
      </c>
      <c r="AW19" s="1265">
        <f ca="1">IFERROR(Surplus!U45,"0")</f>
        <v>98323791.450000003</v>
      </c>
      <c r="AX19" s="1265">
        <f ca="1">IFERROR(Surplus!V45,"0")</f>
        <v>390298154.29999995</v>
      </c>
      <c r="AY19" s="1266"/>
      <c r="AZ19" s="1043"/>
      <c r="BA19" s="1050"/>
      <c r="BB19" s="1263" t="s">
        <v>143</v>
      </c>
      <c r="BC19" s="1265">
        <f>IFERROR(Surplus!BB45,"0")</f>
        <v>0</v>
      </c>
      <c r="BD19" s="1265">
        <f>IFERROR(Surplus!BC45,"0")</f>
        <v>0</v>
      </c>
      <c r="BE19" s="1265">
        <f>IFERROR(Surplus!BD45,"0")</f>
        <v>0</v>
      </c>
      <c r="BF19" s="1265">
        <f>IFERROR(Surplus!BE45,"0")</f>
        <v>0</v>
      </c>
      <c r="BG19" s="1265">
        <f>IFERROR(Surplus!BF45,"0")</f>
        <v>0</v>
      </c>
      <c r="BH19" s="1265">
        <f>IFERROR(Surplus!BG45,"0")</f>
        <v>0</v>
      </c>
      <c r="BI19" s="1267" t="s">
        <v>637</v>
      </c>
      <c r="BJ19" s="1043"/>
      <c r="BL19" s="1263" t="s">
        <v>143</v>
      </c>
      <c r="BM19" s="1265">
        <f>IFERROR(Surplus!BL45,"0")</f>
        <v>0</v>
      </c>
      <c r="BN19" s="1265">
        <f>IFERROR(Surplus!BM45,"0")</f>
        <v>0</v>
      </c>
      <c r="BO19" s="1265">
        <f>IFERROR(Surplus!BN45,"0")</f>
        <v>0</v>
      </c>
      <c r="BP19" s="1265">
        <f>IFERROR(Surplus!BO45,"0")</f>
        <v>0</v>
      </c>
      <c r="BQ19" s="1265">
        <f>IFERROR(Surplus!BP45,"0")</f>
        <v>0</v>
      </c>
      <c r="BR19" s="1265">
        <f>IFERROR(Surplus!BQ45,"0")</f>
        <v>0</v>
      </c>
      <c r="BS19" s="1267" t="s">
        <v>637</v>
      </c>
      <c r="BT19" s="1043"/>
      <c r="BV19" s="1641"/>
      <c r="BW19" s="1642"/>
      <c r="BX19" s="1212"/>
      <c r="BY19" s="1212"/>
      <c r="BZ19" s="1043"/>
      <c r="CA19" s="1050"/>
      <c r="CC19" s="1211"/>
      <c r="CD19" s="1048"/>
      <c r="CE19" s="1259" t="s">
        <v>143</v>
      </c>
      <c r="CF19" s="1265">
        <f ca="1">IFERROR(Surplus!AA45,"0")</f>
        <v>956933838</v>
      </c>
      <c r="CG19" s="1265">
        <f ca="1">IFERROR(Surplus!AB45,"0")</f>
        <v>143979397.84999999</v>
      </c>
      <c r="CH19" s="1265">
        <f ca="1">IFERROR(Surplus!AC45,"0")</f>
        <v>82856973.950000003</v>
      </c>
      <c r="CI19" s="1265">
        <f ca="1">IFERROR(Surplus!AD45,"0")</f>
        <v>225524875.94999999</v>
      </c>
      <c r="CJ19" s="1265">
        <f ca="1">IFERROR(Surplus!AE45,"0")</f>
        <v>101640529.95</v>
      </c>
      <c r="CK19" s="1265">
        <f ca="1">IFERROR(Surplus!AF45,"0")</f>
        <v>402932060.29999995</v>
      </c>
      <c r="CL19" s="1266"/>
      <c r="CM19" s="1043"/>
      <c r="CN19" s="1050"/>
      <c r="CO19" s="1263" t="s">
        <v>143</v>
      </c>
      <c r="CP19" s="1265">
        <f>IFERROR(Surplus!CO45,"0")</f>
        <v>0</v>
      </c>
      <c r="CQ19" s="1265">
        <f>IFERROR(Surplus!CP45,"0")</f>
        <v>0</v>
      </c>
      <c r="CR19" s="1265">
        <f>IFERROR(Surplus!CQ45,"0")</f>
        <v>0</v>
      </c>
      <c r="CS19" s="1265">
        <f>IFERROR(Surplus!CR45,"0")</f>
        <v>0</v>
      </c>
      <c r="CT19" s="1265">
        <f>IFERROR(Surplus!CS45,"0")</f>
        <v>0</v>
      </c>
      <c r="CU19" s="1265">
        <f>IFERROR(Surplus!CT45,"0")</f>
        <v>0</v>
      </c>
      <c r="CV19" s="1267" t="s">
        <v>637</v>
      </c>
      <c r="CW19" s="1043"/>
      <c r="CY19" s="1263" t="s">
        <v>143</v>
      </c>
      <c r="CZ19" s="1265">
        <f>IFERROR(Surplus!CY45,"0")</f>
        <v>0</v>
      </c>
      <c r="DA19" s="1265">
        <f>IFERROR(Surplus!CZ45,"0")</f>
        <v>0</v>
      </c>
      <c r="DB19" s="1265">
        <f>IFERROR(Surplus!DA45,"0")</f>
        <v>0</v>
      </c>
      <c r="DC19" s="1265">
        <f>IFERROR(Surplus!DB45,"0")</f>
        <v>0</v>
      </c>
      <c r="DD19" s="1265">
        <f>IFERROR(Surplus!DC45,"0")</f>
        <v>0</v>
      </c>
      <c r="DE19" s="1265">
        <f>IFERROR(Surplus!DD45,"0")</f>
        <v>0</v>
      </c>
      <c r="DF19" s="1267" t="s">
        <v>637</v>
      </c>
      <c r="DG19" s="1043"/>
      <c r="DI19" s="1641"/>
      <c r="DJ19" s="1642"/>
      <c r="DK19" s="1256"/>
      <c r="DL19" s="1212"/>
    </row>
    <row r="20" spans="1:252" ht="12.6" customHeight="1" x14ac:dyDescent="0.5">
      <c r="A20" s="1255"/>
      <c r="C20" s="1211"/>
      <c r="D20" s="1048"/>
      <c r="E20" s="1268" t="s">
        <v>490</v>
      </c>
      <c r="F20" s="1269"/>
      <c r="G20" s="1316" t="s">
        <v>1454</v>
      </c>
      <c r="H20" s="1316" t="s">
        <v>1454</v>
      </c>
      <c r="I20" s="1316" t="s">
        <v>1454</v>
      </c>
      <c r="J20" s="1316" t="s">
        <v>1454</v>
      </c>
      <c r="K20" s="1316"/>
      <c r="L20" s="1260"/>
      <c r="M20" s="1043"/>
      <c r="N20" s="1050"/>
      <c r="O20" s="1271" t="s">
        <v>490</v>
      </c>
      <c r="P20" s="1269"/>
      <c r="Q20" s="1272"/>
      <c r="R20" s="1272"/>
      <c r="S20" s="1272"/>
      <c r="T20" s="1272"/>
      <c r="U20" s="1270"/>
      <c r="V20" s="1264"/>
      <c r="W20" s="1043"/>
      <c r="Y20" s="1271" t="s">
        <v>490</v>
      </c>
      <c r="Z20" s="1269"/>
      <c r="AA20" s="1272"/>
      <c r="AB20" s="1272"/>
      <c r="AC20" s="1272"/>
      <c r="AD20" s="1272"/>
      <c r="AE20" s="1270"/>
      <c r="AF20" s="1264"/>
      <c r="AG20" s="1043"/>
      <c r="AI20" s="1641"/>
      <c r="AJ20" s="1642"/>
      <c r="AK20" s="1256"/>
      <c r="AL20" s="1212"/>
      <c r="AP20" s="1211"/>
      <c r="AQ20" s="1306"/>
      <c r="AR20" s="1268" t="s">
        <v>490</v>
      </c>
      <c r="AS20" s="1269"/>
      <c r="AT20" s="1252" t="s">
        <v>1454</v>
      </c>
      <c r="AU20" s="1252" t="s">
        <v>1454</v>
      </c>
      <c r="AV20" s="1252" t="s">
        <v>1454</v>
      </c>
      <c r="AW20" s="1252" t="s">
        <v>1454</v>
      </c>
      <c r="AX20" s="1270"/>
      <c r="AY20" s="1260"/>
      <c r="AZ20" s="1043"/>
      <c r="BA20" s="1050"/>
      <c r="BB20" s="1271" t="s">
        <v>490</v>
      </c>
      <c r="BC20" s="1269"/>
      <c r="BD20" s="1272"/>
      <c r="BE20" s="1272"/>
      <c r="BF20" s="1272"/>
      <c r="BG20" s="1272"/>
      <c r="BH20" s="1270"/>
      <c r="BI20" s="1264"/>
      <c r="BJ20" s="1043"/>
      <c r="BL20" s="1271" t="s">
        <v>490</v>
      </c>
      <c r="BM20" s="1269"/>
      <c r="BN20" s="1272"/>
      <c r="BO20" s="1272"/>
      <c r="BP20" s="1272"/>
      <c r="BQ20" s="1272"/>
      <c r="BR20" s="1270"/>
      <c r="BS20" s="1264"/>
      <c r="BT20" s="1043"/>
      <c r="BV20" s="1641"/>
      <c r="BW20" s="1642"/>
      <c r="BX20" s="1212"/>
      <c r="BY20" s="1212"/>
      <c r="BZ20" s="1043"/>
      <c r="CA20" s="1050"/>
      <c r="CC20" s="1211"/>
      <c r="CD20" s="1048"/>
      <c r="CE20" s="1268" t="s">
        <v>490</v>
      </c>
      <c r="CF20" s="1269"/>
      <c r="CG20" s="1252" t="s">
        <v>1454</v>
      </c>
      <c r="CH20" s="1252" t="s">
        <v>1454</v>
      </c>
      <c r="CI20" s="1252" t="s">
        <v>1454</v>
      </c>
      <c r="CJ20" s="1252" t="s">
        <v>1454</v>
      </c>
      <c r="CK20" s="1270"/>
      <c r="CL20" s="1260"/>
      <c r="CM20" s="1043"/>
      <c r="CN20" s="1050"/>
      <c r="CO20" s="1271" t="s">
        <v>490</v>
      </c>
      <c r="CP20" s="1269"/>
      <c r="CQ20" s="1272"/>
      <c r="CR20" s="1272"/>
      <c r="CS20" s="1272"/>
      <c r="CT20" s="1272"/>
      <c r="CU20" s="1270"/>
      <c r="CV20" s="1264"/>
      <c r="CW20" s="1043"/>
      <c r="CY20" s="1271" t="s">
        <v>490</v>
      </c>
      <c r="CZ20" s="1269"/>
      <c r="DA20" s="1272"/>
      <c r="DB20" s="1272"/>
      <c r="DC20" s="1272"/>
      <c r="DD20" s="1272"/>
      <c r="DE20" s="1270"/>
      <c r="DF20" s="1264"/>
      <c r="DG20" s="1043"/>
      <c r="DI20" s="1641"/>
      <c r="DJ20" s="1642"/>
      <c r="DK20" s="1256"/>
      <c r="DL20" s="1212"/>
    </row>
    <row r="21" spans="1:252" ht="22.95" customHeight="1" thickBot="1" x14ac:dyDescent="0.55000000000000004">
      <c r="A21" s="1255"/>
      <c r="C21" s="1211"/>
      <c r="D21" s="1048"/>
      <c r="E21" s="1259" t="s">
        <v>144</v>
      </c>
      <c r="F21" s="1273">
        <f ca="1">IFERROR(Surplus!E47,"0")</f>
        <v>0</v>
      </c>
      <c r="G21" s="1273">
        <f ca="1">IFERROR(Surplus!F47,"0")</f>
        <v>0</v>
      </c>
      <c r="H21" s="1273">
        <f ca="1">IFERROR(Surplus!G47,"0")</f>
        <v>0</v>
      </c>
      <c r="I21" s="1273">
        <f ca="1">IFERROR(Surplus!H47,"0")</f>
        <v>0</v>
      </c>
      <c r="J21" s="1273">
        <f ca="1">IFERROR(Surplus!I47,"0")</f>
        <v>0</v>
      </c>
      <c r="K21" s="1273">
        <f ca="1">IFERROR(Surplus!J47,"0")</f>
        <v>0</v>
      </c>
      <c r="L21" s="1260"/>
      <c r="M21" s="1043"/>
      <c r="N21" s="1050"/>
      <c r="O21" s="1263" t="s">
        <v>144</v>
      </c>
      <c r="P21" s="1273">
        <f>IFERROR(Surplus!O47,"0")</f>
        <v>0</v>
      </c>
      <c r="Q21" s="1273" t="str">
        <f>IFERROR(Surplus!P47,"0")</f>
        <v xml:space="preserve">Surplus generated </v>
      </c>
      <c r="R21" s="1273">
        <f ca="1">IFERROR(Surplus!Q47,"0")</f>
        <v>0</v>
      </c>
      <c r="S21" s="1273">
        <f ca="1">IFERROR(Surplus!R47,"0")</f>
        <v>0</v>
      </c>
      <c r="T21" s="1273">
        <f ca="1">IFERROR(Surplus!S47,"0")</f>
        <v>0</v>
      </c>
      <c r="U21" s="1273">
        <f ca="1">IFERROR(Surplus!T47,"0")</f>
        <v>0</v>
      </c>
      <c r="V21" s="1264"/>
      <c r="W21" s="1043"/>
      <c r="Y21" s="1263" t="s">
        <v>144</v>
      </c>
      <c r="Z21" s="1273">
        <f>IFERROR(Surplus!Y47,"0")</f>
        <v>0</v>
      </c>
      <c r="AA21" s="1273" t="str">
        <f>IFERROR(Surplus!Z47,"0")</f>
        <v xml:space="preserve">Surplus generated </v>
      </c>
      <c r="AB21" s="1273">
        <f ca="1">IFERROR(Surplus!AA47,"0")</f>
        <v>0</v>
      </c>
      <c r="AC21" s="1273">
        <f ca="1">IFERROR(Surplus!AB47,"0")</f>
        <v>0</v>
      </c>
      <c r="AD21" s="1273">
        <f ca="1">IFERROR(Surplus!AC47,"0")</f>
        <v>0</v>
      </c>
      <c r="AE21" s="1273">
        <f ca="1">IFERROR(Surplus!AD47,"0")</f>
        <v>0</v>
      </c>
      <c r="AF21" s="1264"/>
      <c r="AG21" s="1043"/>
      <c r="AI21" s="1643"/>
      <c r="AJ21" s="1644"/>
      <c r="AK21" s="1256"/>
      <c r="AL21" s="1212"/>
      <c r="AP21" s="1211"/>
      <c r="AQ21" s="1306"/>
      <c r="AR21" s="1259" t="s">
        <v>144</v>
      </c>
      <c r="AS21" s="1265">
        <f ca="1">IFERROR(Surplus!Q47,"0")</f>
        <v>0</v>
      </c>
      <c r="AT21" s="1265">
        <f ca="1">IFERROR(Surplus!R47,"0")</f>
        <v>0</v>
      </c>
      <c r="AU21" s="1265">
        <f ca="1">IFERROR(Surplus!S47,"0")</f>
        <v>0</v>
      </c>
      <c r="AV21" s="1265">
        <f ca="1">IFERROR(Surplus!T47,"0")</f>
        <v>0</v>
      </c>
      <c r="AW21" s="1265">
        <f ca="1">IFERROR(Surplus!U47,"0")</f>
        <v>0</v>
      </c>
      <c r="AX21" s="1265">
        <f ca="1">IFERROR(Surplus!V47,"0")</f>
        <v>0</v>
      </c>
      <c r="AY21" s="1260"/>
      <c r="AZ21" s="1043"/>
      <c r="BA21" s="1050"/>
      <c r="BB21" s="1263" t="s">
        <v>144</v>
      </c>
      <c r="BC21" s="1273">
        <f>IFERROR(Surplus!BB47,"0")</f>
        <v>0</v>
      </c>
      <c r="BD21" s="1273">
        <f>IFERROR(Surplus!BC47,"0")</f>
        <v>0</v>
      </c>
      <c r="BE21" s="1273">
        <f>IFERROR(Surplus!BD47,"0")</f>
        <v>0</v>
      </c>
      <c r="BF21" s="1273">
        <f>IFERROR(Surplus!BE47,"0")</f>
        <v>0</v>
      </c>
      <c r="BG21" s="1273">
        <f>IFERROR(Surplus!BF47,"0")</f>
        <v>0</v>
      </c>
      <c r="BH21" s="1273">
        <f>IFERROR(Surplus!BG47,"0")</f>
        <v>0</v>
      </c>
      <c r="BI21" s="1264"/>
      <c r="BJ21" s="1043"/>
      <c r="BL21" s="1263" t="s">
        <v>144</v>
      </c>
      <c r="BM21" s="1273">
        <f>IFERROR(Surplus!BL47,"0")</f>
        <v>0</v>
      </c>
      <c r="BN21" s="1273">
        <f>IFERROR(Surplus!BM47,"0")</f>
        <v>0</v>
      </c>
      <c r="BO21" s="1273">
        <f>IFERROR(Surplus!BN47,"0")</f>
        <v>0</v>
      </c>
      <c r="BP21" s="1273">
        <f>IFERROR(Surplus!BO47,"0")</f>
        <v>0</v>
      </c>
      <c r="BQ21" s="1273">
        <f>IFERROR(Surplus!BP47,"0")</f>
        <v>0</v>
      </c>
      <c r="BR21" s="1273">
        <f>IFERROR(Surplus!BQ47,"0")</f>
        <v>0</v>
      </c>
      <c r="BS21" s="1264"/>
      <c r="BT21" s="1043"/>
      <c r="BV21" s="1643"/>
      <c r="BW21" s="1644"/>
      <c r="BX21" s="1212"/>
      <c r="BY21" s="1212"/>
      <c r="BZ21" s="1043"/>
      <c r="CA21" s="1050"/>
      <c r="CC21" s="1211"/>
      <c r="CD21" s="1048"/>
      <c r="CE21" s="1259" t="s">
        <v>144</v>
      </c>
      <c r="CF21" s="1265">
        <f ca="1">IFERROR(Surplus!AA47,"0")</f>
        <v>0</v>
      </c>
      <c r="CG21" s="1265">
        <f ca="1">IFERROR(Surplus!AB47,"0")</f>
        <v>0</v>
      </c>
      <c r="CH21" s="1265">
        <f ca="1">IFERROR(Surplus!AC47,"0")</f>
        <v>0</v>
      </c>
      <c r="CI21" s="1265">
        <f ca="1">IFERROR(Surplus!AD47,"0")</f>
        <v>0</v>
      </c>
      <c r="CJ21" s="1265">
        <f ca="1">IFERROR(Surplus!AE47,"0")</f>
        <v>0</v>
      </c>
      <c r="CK21" s="1265">
        <f ca="1">IFERROR(Surplus!AF47,"0")</f>
        <v>0</v>
      </c>
      <c r="CL21" s="1260"/>
      <c r="CM21" s="1043"/>
      <c r="CN21" s="1050"/>
      <c r="CO21" s="1263" t="s">
        <v>144</v>
      </c>
      <c r="CP21" s="1273">
        <f>IFERROR(Surplus!CO47,"0")</f>
        <v>0</v>
      </c>
      <c r="CQ21" s="1273">
        <f>IFERROR(Surplus!CP47,"0")</f>
        <v>0</v>
      </c>
      <c r="CR21" s="1273">
        <f>IFERROR(Surplus!CQ47,"0")</f>
        <v>0</v>
      </c>
      <c r="CS21" s="1273">
        <f>IFERROR(Surplus!CR47,"0")</f>
        <v>0</v>
      </c>
      <c r="CT21" s="1273">
        <f>IFERROR(Surplus!CS47,"0")</f>
        <v>0</v>
      </c>
      <c r="CU21" s="1273">
        <f>IFERROR(Surplus!CT47,"0")</f>
        <v>0</v>
      </c>
      <c r="CV21" s="1264"/>
      <c r="CW21" s="1043"/>
      <c r="CY21" s="1263" t="s">
        <v>144</v>
      </c>
      <c r="CZ21" s="1273">
        <f>IFERROR(Surplus!CY47,"0")</f>
        <v>0</v>
      </c>
      <c r="DA21" s="1273">
        <f>IFERROR(Surplus!CZ47,"0")</f>
        <v>0</v>
      </c>
      <c r="DB21" s="1273">
        <f>IFERROR(Surplus!DA47,"0")</f>
        <v>0</v>
      </c>
      <c r="DC21" s="1273">
        <f>IFERROR(Surplus!DB47,"0")</f>
        <v>0</v>
      </c>
      <c r="DD21" s="1273">
        <f>IFERROR(Surplus!DC47,"0")</f>
        <v>0</v>
      </c>
      <c r="DE21" s="1273">
        <f>IFERROR(Surplus!DD47,"0")</f>
        <v>0</v>
      </c>
      <c r="DF21" s="1264"/>
      <c r="DG21" s="1043"/>
      <c r="DI21" s="1643"/>
      <c r="DJ21" s="1644"/>
      <c r="DK21" s="1256"/>
      <c r="DL21" s="1212"/>
      <c r="IR21" s="359" t="s">
        <v>1548</v>
      </c>
    </row>
    <row r="22" spans="1:252" ht="21.45" customHeight="1" thickBot="1" x14ac:dyDescent="0.55000000000000004">
      <c r="A22" s="1255"/>
      <c r="C22" s="1211"/>
      <c r="D22" s="1048"/>
      <c r="E22" s="1259"/>
      <c r="F22" s="1274"/>
      <c r="G22" s="1082"/>
      <c r="H22" s="1082"/>
      <c r="I22" s="1082"/>
      <c r="J22" s="1082"/>
      <c r="K22" s="1082"/>
      <c r="L22" s="1260"/>
      <c r="M22" s="1043"/>
      <c r="N22" s="1050"/>
      <c r="O22" s="1263"/>
      <c r="P22" s="1274"/>
      <c r="Q22" s="1082"/>
      <c r="R22" s="1082"/>
      <c r="S22" s="1082"/>
      <c r="T22" s="1082"/>
      <c r="U22" s="1082"/>
      <c r="V22" s="1264"/>
      <c r="W22" s="1043"/>
      <c r="Y22" s="1263"/>
      <c r="Z22" s="1274"/>
      <c r="AA22" s="1082"/>
      <c r="AB22" s="1082"/>
      <c r="AC22" s="1082"/>
      <c r="AD22" s="1082"/>
      <c r="AE22" s="1082"/>
      <c r="AF22" s="1264"/>
      <c r="AG22" s="1043"/>
      <c r="AI22" s="1050"/>
      <c r="AJ22" s="1050"/>
      <c r="AK22" s="1256"/>
      <c r="AL22" s="1212"/>
      <c r="AP22" s="1211"/>
      <c r="AQ22" s="1306"/>
      <c r="AR22" s="1259"/>
      <c r="AS22" s="1274"/>
      <c r="AT22" s="1082"/>
      <c r="AU22" s="1082"/>
      <c r="AV22" s="1082"/>
      <c r="AW22" s="1082"/>
      <c r="AX22" s="1082"/>
      <c r="AY22" s="1260"/>
      <c r="AZ22" s="1043"/>
      <c r="BA22" s="1050"/>
      <c r="BB22" s="1263"/>
      <c r="BC22" s="1274"/>
      <c r="BD22" s="1082"/>
      <c r="BE22" s="1082"/>
      <c r="BF22" s="1082"/>
      <c r="BG22" s="1082"/>
      <c r="BH22" s="1082"/>
      <c r="BI22" s="1264"/>
      <c r="BJ22" s="1043"/>
      <c r="BL22" s="1263"/>
      <c r="BM22" s="1274"/>
      <c r="BN22" s="1082"/>
      <c r="BO22" s="1082"/>
      <c r="BP22" s="1082"/>
      <c r="BQ22" s="1082"/>
      <c r="BR22" s="1082"/>
      <c r="BS22" s="1264"/>
      <c r="BT22" s="1043"/>
      <c r="BV22" s="1050"/>
      <c r="BW22" s="1050"/>
      <c r="BX22" s="1212"/>
      <c r="BY22" s="1212"/>
      <c r="BZ22" s="1043"/>
      <c r="CA22" s="1050"/>
      <c r="CC22" s="1211"/>
      <c r="CD22" s="1048"/>
      <c r="CE22" s="1259"/>
      <c r="CF22" s="1274"/>
      <c r="CG22" s="1082"/>
      <c r="CH22" s="1082"/>
      <c r="CI22" s="1082"/>
      <c r="CJ22" s="1082"/>
      <c r="CK22" s="1082"/>
      <c r="CL22" s="1260"/>
      <c r="CM22" s="1043"/>
      <c r="CN22" s="1050"/>
      <c r="CO22" s="1263"/>
      <c r="CP22" s="1274"/>
      <c r="CQ22" s="1082"/>
      <c r="CR22" s="1082"/>
      <c r="CS22" s="1082"/>
      <c r="CT22" s="1082"/>
      <c r="CU22" s="1082"/>
      <c r="CV22" s="1264"/>
      <c r="CW22" s="1043"/>
      <c r="CY22" s="1263"/>
      <c r="CZ22" s="1274"/>
      <c r="DA22" s="1082"/>
      <c r="DB22" s="1082"/>
      <c r="DC22" s="1082"/>
      <c r="DD22" s="1082"/>
      <c r="DE22" s="1082"/>
      <c r="DF22" s="1264"/>
      <c r="DG22" s="1043"/>
      <c r="DI22" s="1050"/>
      <c r="DJ22" s="1050"/>
      <c r="DK22" s="1256"/>
      <c r="DL22" s="1212"/>
    </row>
    <row r="23" spans="1:252" ht="14.55" customHeight="1" x14ac:dyDescent="0.5">
      <c r="A23" s="1255"/>
      <c r="C23" s="1211"/>
      <c r="D23" s="1048"/>
      <c r="E23" s="1693" t="s">
        <v>195</v>
      </c>
      <c r="F23" s="1694"/>
      <c r="G23" s="1694"/>
      <c r="H23" s="1694"/>
      <c r="I23" s="1694"/>
      <c r="J23" s="1694"/>
      <c r="K23" s="1694"/>
      <c r="L23" s="1695"/>
      <c r="M23" s="1043"/>
      <c r="N23" s="1050"/>
      <c r="O23" s="1624" t="s">
        <v>195</v>
      </c>
      <c r="P23" s="1625"/>
      <c r="Q23" s="1625"/>
      <c r="R23" s="1625"/>
      <c r="S23" s="1625"/>
      <c r="T23" s="1625"/>
      <c r="U23" s="1625"/>
      <c r="V23" s="1626"/>
      <c r="W23" s="1043"/>
      <c r="Y23" s="1624" t="s">
        <v>195</v>
      </c>
      <c r="Z23" s="1625"/>
      <c r="AA23" s="1625"/>
      <c r="AB23" s="1625"/>
      <c r="AC23" s="1625"/>
      <c r="AD23" s="1625"/>
      <c r="AE23" s="1625"/>
      <c r="AF23" s="1626"/>
      <c r="AG23" s="1043"/>
      <c r="AI23" s="1618" t="str">
        <f>_xlfn.IFNA(VLOOKUP(G7,Dd!C:H,6,FALSE),"Part A Not Completed")</f>
        <v>WC031</v>
      </c>
      <c r="AJ23" s="1619"/>
      <c r="AK23" s="1256"/>
      <c r="AL23" s="1212"/>
      <c r="AP23" s="1211"/>
      <c r="AQ23" s="1306"/>
      <c r="AR23" s="1665" t="s">
        <v>195</v>
      </c>
      <c r="AS23" s="1666"/>
      <c r="AT23" s="1666"/>
      <c r="AU23" s="1666"/>
      <c r="AV23" s="1666"/>
      <c r="AW23" s="1666"/>
      <c r="AX23" s="1666"/>
      <c r="AY23" s="1667"/>
      <c r="AZ23" s="1043"/>
      <c r="BA23" s="1050"/>
      <c r="BB23" s="1624" t="s">
        <v>195</v>
      </c>
      <c r="BC23" s="1625"/>
      <c r="BD23" s="1625"/>
      <c r="BE23" s="1625"/>
      <c r="BF23" s="1625"/>
      <c r="BG23" s="1625"/>
      <c r="BH23" s="1625"/>
      <c r="BI23" s="1626"/>
      <c r="BJ23" s="1043"/>
      <c r="BL23" s="1624" t="s">
        <v>195</v>
      </c>
      <c r="BM23" s="1625"/>
      <c r="BN23" s="1625"/>
      <c r="BO23" s="1625"/>
      <c r="BP23" s="1625"/>
      <c r="BQ23" s="1625"/>
      <c r="BR23" s="1625"/>
      <c r="BS23" s="1626"/>
      <c r="BT23" s="1043"/>
      <c r="BV23" s="1618" t="str">
        <f>_xlfn.IFNA(VLOOKUP(G7,Dd!C:H,6,FALSE),"Part A Not Completed")</f>
        <v>WC031</v>
      </c>
      <c r="BW23" s="1619"/>
      <c r="BX23" s="1212"/>
      <c r="BY23" s="1212"/>
      <c r="BZ23" s="1043"/>
      <c r="CA23" s="1050"/>
      <c r="CC23" s="1211"/>
      <c r="CD23" s="1048"/>
      <c r="CE23" s="1665" t="s">
        <v>195</v>
      </c>
      <c r="CF23" s="1666"/>
      <c r="CG23" s="1666"/>
      <c r="CH23" s="1666"/>
      <c r="CI23" s="1666"/>
      <c r="CJ23" s="1666"/>
      <c r="CK23" s="1666"/>
      <c r="CL23" s="1667"/>
      <c r="CM23" s="1043"/>
      <c r="CN23" s="1050"/>
      <c r="CO23" s="1624" t="s">
        <v>195</v>
      </c>
      <c r="CP23" s="1625"/>
      <c r="CQ23" s="1625"/>
      <c r="CR23" s="1625"/>
      <c r="CS23" s="1625"/>
      <c r="CT23" s="1625"/>
      <c r="CU23" s="1625"/>
      <c r="CV23" s="1626"/>
      <c r="CW23" s="1043"/>
      <c r="CY23" s="1624" t="s">
        <v>195</v>
      </c>
      <c r="CZ23" s="1625"/>
      <c r="DA23" s="1625"/>
      <c r="DB23" s="1625"/>
      <c r="DC23" s="1625"/>
      <c r="DD23" s="1625"/>
      <c r="DE23" s="1625"/>
      <c r="DF23" s="1626"/>
      <c r="DG23" s="1043"/>
      <c r="DI23" s="1618" t="str">
        <f>BV23</f>
        <v>WC031</v>
      </c>
      <c r="DJ23" s="1619"/>
      <c r="DK23" s="1256"/>
      <c r="DL23" s="1212"/>
    </row>
    <row r="24" spans="1:252" ht="44.55" customHeight="1" x14ac:dyDescent="0.5">
      <c r="A24" s="1255"/>
      <c r="C24" s="1211"/>
      <c r="D24" s="1048"/>
      <c r="E24" s="1696"/>
      <c r="F24" s="1697"/>
      <c r="G24" s="1697"/>
      <c r="H24" s="1697"/>
      <c r="I24" s="1697"/>
      <c r="J24" s="1697"/>
      <c r="K24" s="1697"/>
      <c r="L24" s="1698"/>
      <c r="M24" s="1043"/>
      <c r="N24" s="1050"/>
      <c r="O24" s="1627"/>
      <c r="P24" s="1628"/>
      <c r="Q24" s="1628"/>
      <c r="R24" s="1628"/>
      <c r="S24" s="1628"/>
      <c r="T24" s="1628"/>
      <c r="U24" s="1628"/>
      <c r="V24" s="1629"/>
      <c r="W24" s="1043"/>
      <c r="Y24" s="1627"/>
      <c r="Z24" s="1628"/>
      <c r="AA24" s="1628"/>
      <c r="AB24" s="1628"/>
      <c r="AC24" s="1628"/>
      <c r="AD24" s="1628"/>
      <c r="AE24" s="1628"/>
      <c r="AF24" s="1629"/>
      <c r="AG24" s="1043"/>
      <c r="AI24" s="1620"/>
      <c r="AJ24" s="1621"/>
      <c r="AK24" s="1256"/>
      <c r="AL24" s="1212"/>
      <c r="AP24" s="1211"/>
      <c r="AQ24" s="1306"/>
      <c r="AR24" s="1668"/>
      <c r="AS24" s="1669"/>
      <c r="AT24" s="1669"/>
      <c r="AU24" s="1669"/>
      <c r="AV24" s="1669"/>
      <c r="AW24" s="1669"/>
      <c r="AX24" s="1669"/>
      <c r="AY24" s="1670"/>
      <c r="AZ24" s="1043"/>
      <c r="BA24" s="1050"/>
      <c r="BB24" s="1627"/>
      <c r="BC24" s="1628"/>
      <c r="BD24" s="1628"/>
      <c r="BE24" s="1628"/>
      <c r="BF24" s="1628"/>
      <c r="BG24" s="1628"/>
      <c r="BH24" s="1628"/>
      <c r="BI24" s="1629"/>
      <c r="BJ24" s="1043"/>
      <c r="BL24" s="1627"/>
      <c r="BM24" s="1628"/>
      <c r="BN24" s="1628"/>
      <c r="BO24" s="1628"/>
      <c r="BP24" s="1628"/>
      <c r="BQ24" s="1628"/>
      <c r="BR24" s="1628"/>
      <c r="BS24" s="1629"/>
      <c r="BT24" s="1043"/>
      <c r="BV24" s="1620"/>
      <c r="BW24" s="1621"/>
      <c r="BX24" s="1212"/>
      <c r="BY24" s="1212"/>
      <c r="BZ24" s="1043"/>
      <c r="CA24" s="1050"/>
      <c r="CC24" s="1211"/>
      <c r="CD24" s="1048"/>
      <c r="CE24" s="1668"/>
      <c r="CF24" s="1669"/>
      <c r="CG24" s="1669"/>
      <c r="CH24" s="1669"/>
      <c r="CI24" s="1669"/>
      <c r="CJ24" s="1669"/>
      <c r="CK24" s="1669"/>
      <c r="CL24" s="1670"/>
      <c r="CM24" s="1043"/>
      <c r="CN24" s="1050"/>
      <c r="CO24" s="1627"/>
      <c r="CP24" s="1628"/>
      <c r="CQ24" s="1628"/>
      <c r="CR24" s="1628"/>
      <c r="CS24" s="1628"/>
      <c r="CT24" s="1628"/>
      <c r="CU24" s="1628"/>
      <c r="CV24" s="1629"/>
      <c r="CW24" s="1043"/>
      <c r="CY24" s="1627"/>
      <c r="CZ24" s="1628"/>
      <c r="DA24" s="1628"/>
      <c r="DB24" s="1628"/>
      <c r="DC24" s="1628"/>
      <c r="DD24" s="1628"/>
      <c r="DE24" s="1628"/>
      <c r="DF24" s="1629"/>
      <c r="DG24" s="1043"/>
      <c r="DI24" s="1620"/>
      <c r="DJ24" s="1621"/>
      <c r="DK24" s="1256"/>
      <c r="DL24" s="1212"/>
    </row>
    <row r="25" spans="1:252" ht="0.75" customHeight="1" x14ac:dyDescent="0.5">
      <c r="A25" s="1255"/>
      <c r="C25" s="1211"/>
      <c r="D25" s="1048"/>
      <c r="E25" s="1699"/>
      <c r="F25" s="1700"/>
      <c r="G25" s="1700"/>
      <c r="H25" s="1700"/>
      <c r="I25" s="1700"/>
      <c r="J25" s="1700"/>
      <c r="K25" s="1700"/>
      <c r="L25" s="1701"/>
      <c r="M25" s="1043"/>
      <c r="N25" s="1050"/>
      <c r="O25" s="1630"/>
      <c r="P25" s="1631"/>
      <c r="Q25" s="1631"/>
      <c r="R25" s="1631"/>
      <c r="S25" s="1631"/>
      <c r="T25" s="1631"/>
      <c r="U25" s="1631"/>
      <c r="V25" s="1632"/>
      <c r="W25" s="1043"/>
      <c r="Y25" s="1630"/>
      <c r="Z25" s="1631"/>
      <c r="AA25" s="1631"/>
      <c r="AB25" s="1631"/>
      <c r="AC25" s="1631"/>
      <c r="AD25" s="1631"/>
      <c r="AE25" s="1631"/>
      <c r="AF25" s="1632"/>
      <c r="AG25" s="1043"/>
      <c r="AI25" s="1620"/>
      <c r="AJ25" s="1621"/>
      <c r="AK25" s="1256"/>
      <c r="AL25" s="1212"/>
      <c r="AP25" s="1211"/>
      <c r="AQ25" s="1306"/>
      <c r="AR25" s="1671"/>
      <c r="AS25" s="1672"/>
      <c r="AT25" s="1672"/>
      <c r="AU25" s="1672"/>
      <c r="AV25" s="1672"/>
      <c r="AW25" s="1672"/>
      <c r="AX25" s="1672"/>
      <c r="AY25" s="1673"/>
      <c r="AZ25" s="1043"/>
      <c r="BA25" s="1050"/>
      <c r="BB25" s="1630"/>
      <c r="BC25" s="1631"/>
      <c r="BD25" s="1631"/>
      <c r="BE25" s="1631"/>
      <c r="BF25" s="1631"/>
      <c r="BG25" s="1631"/>
      <c r="BH25" s="1631"/>
      <c r="BI25" s="1632"/>
      <c r="BJ25" s="1043"/>
      <c r="BL25" s="1630"/>
      <c r="BM25" s="1631"/>
      <c r="BN25" s="1631"/>
      <c r="BO25" s="1631"/>
      <c r="BP25" s="1631"/>
      <c r="BQ25" s="1631"/>
      <c r="BR25" s="1631"/>
      <c r="BS25" s="1632"/>
      <c r="BT25" s="1043"/>
      <c r="BV25" s="1620"/>
      <c r="BW25" s="1621"/>
      <c r="BX25" s="1212"/>
      <c r="BY25" s="1212"/>
      <c r="BZ25" s="1043"/>
      <c r="CA25" s="1050"/>
      <c r="CC25" s="1211"/>
      <c r="CD25" s="1048"/>
      <c r="CE25" s="1671"/>
      <c r="CF25" s="1672"/>
      <c r="CG25" s="1672"/>
      <c r="CH25" s="1672"/>
      <c r="CI25" s="1672"/>
      <c r="CJ25" s="1672"/>
      <c r="CK25" s="1672"/>
      <c r="CL25" s="1673"/>
      <c r="CM25" s="1043"/>
      <c r="CN25" s="1050"/>
      <c r="CO25" s="1630"/>
      <c r="CP25" s="1631"/>
      <c r="CQ25" s="1631"/>
      <c r="CR25" s="1631"/>
      <c r="CS25" s="1631"/>
      <c r="CT25" s="1631"/>
      <c r="CU25" s="1631"/>
      <c r="CV25" s="1632"/>
      <c r="CW25" s="1043"/>
      <c r="CY25" s="1630"/>
      <c r="CZ25" s="1631"/>
      <c r="DA25" s="1631"/>
      <c r="DB25" s="1631"/>
      <c r="DC25" s="1631"/>
      <c r="DD25" s="1631"/>
      <c r="DE25" s="1631"/>
      <c r="DF25" s="1632"/>
      <c r="DG25" s="1043"/>
      <c r="DI25" s="1620"/>
      <c r="DJ25" s="1621"/>
      <c r="DK25" s="1256"/>
      <c r="DL25" s="1212"/>
    </row>
    <row r="26" spans="1:252" ht="5.55" customHeight="1" x14ac:dyDescent="0.5">
      <c r="A26" s="1255"/>
      <c r="C26" s="1211"/>
      <c r="D26" s="1048"/>
      <c r="E26" s="1259"/>
      <c r="F26" s="1274"/>
      <c r="G26" s="1082"/>
      <c r="H26" s="1082"/>
      <c r="I26" s="1082"/>
      <c r="J26" s="1082"/>
      <c r="K26" s="1082"/>
      <c r="L26" s="1260"/>
      <c r="M26" s="1043"/>
      <c r="N26" s="1050"/>
      <c r="O26" s="1263"/>
      <c r="P26" s="1274"/>
      <c r="Q26" s="1082"/>
      <c r="R26" s="1082"/>
      <c r="S26" s="1082"/>
      <c r="T26" s="1082"/>
      <c r="U26" s="1082"/>
      <c r="V26" s="1264"/>
      <c r="W26" s="1043"/>
      <c r="Y26" s="1263"/>
      <c r="Z26" s="1274"/>
      <c r="AA26" s="1082"/>
      <c r="AB26" s="1082"/>
      <c r="AC26" s="1082"/>
      <c r="AD26" s="1082"/>
      <c r="AE26" s="1082"/>
      <c r="AF26" s="1264"/>
      <c r="AG26" s="1043"/>
      <c r="AI26" s="1620"/>
      <c r="AJ26" s="1621"/>
      <c r="AK26" s="1256"/>
      <c r="AL26" s="1212"/>
      <c r="AP26" s="1211"/>
      <c r="AQ26" s="1306"/>
      <c r="AR26" s="1259"/>
      <c r="AS26" s="1274"/>
      <c r="AT26" s="1082"/>
      <c r="AU26" s="1082"/>
      <c r="AV26" s="1082"/>
      <c r="AW26" s="1082"/>
      <c r="AX26" s="1082"/>
      <c r="AY26" s="1260"/>
      <c r="AZ26" s="1043"/>
      <c r="BA26" s="1050"/>
      <c r="BB26" s="1263"/>
      <c r="BC26" s="1274"/>
      <c r="BD26" s="1082"/>
      <c r="BE26" s="1082"/>
      <c r="BF26" s="1082"/>
      <c r="BG26" s="1082"/>
      <c r="BH26" s="1082"/>
      <c r="BI26" s="1264"/>
      <c r="BJ26" s="1043"/>
      <c r="BL26" s="1263"/>
      <c r="BM26" s="1274"/>
      <c r="BN26" s="1082"/>
      <c r="BO26" s="1082"/>
      <c r="BP26" s="1082"/>
      <c r="BQ26" s="1082"/>
      <c r="BR26" s="1082"/>
      <c r="BS26" s="1264"/>
      <c r="BT26" s="1043"/>
      <c r="BV26" s="1620"/>
      <c r="BW26" s="1621"/>
      <c r="BX26" s="1212"/>
      <c r="BY26" s="1212"/>
      <c r="BZ26" s="1043"/>
      <c r="CA26" s="1050"/>
      <c r="CC26" s="1211"/>
      <c r="CD26" s="1048"/>
      <c r="CE26" s="1259"/>
      <c r="CF26" s="1274"/>
      <c r="CG26" s="1082"/>
      <c r="CH26" s="1082"/>
      <c r="CI26" s="1082"/>
      <c r="CJ26" s="1082"/>
      <c r="CK26" s="1082"/>
      <c r="CL26" s="1260"/>
      <c r="CM26" s="1043"/>
      <c r="CN26" s="1050"/>
      <c r="CO26" s="1263"/>
      <c r="CP26" s="1274"/>
      <c r="CQ26" s="1082"/>
      <c r="CR26" s="1082"/>
      <c r="CS26" s="1082"/>
      <c r="CT26" s="1082"/>
      <c r="CU26" s="1082"/>
      <c r="CV26" s="1264"/>
      <c r="CW26" s="1043"/>
      <c r="CY26" s="1263"/>
      <c r="CZ26" s="1274"/>
      <c r="DA26" s="1082"/>
      <c r="DB26" s="1082"/>
      <c r="DC26" s="1082"/>
      <c r="DD26" s="1082"/>
      <c r="DE26" s="1082"/>
      <c r="DF26" s="1264"/>
      <c r="DG26" s="1043"/>
      <c r="DI26" s="1620"/>
      <c r="DJ26" s="1621"/>
      <c r="DK26" s="1256"/>
      <c r="DL26" s="1212"/>
    </row>
    <row r="27" spans="1:252" ht="14.55" customHeight="1" x14ac:dyDescent="0.5">
      <c r="A27" s="1255"/>
      <c r="C27" s="1211"/>
      <c r="D27" s="1048"/>
      <c r="E27" s="1259" t="s">
        <v>193</v>
      </c>
      <c r="F27" s="1273">
        <f ca="1">IFERROR(Surplus!$E$53,"0")</f>
        <v>-97680501.5</v>
      </c>
      <c r="G27" s="1674" t="str">
        <f ca="1">IF(F19="0","No Assessment Performed",IF(E11="Part B is not complete","Part B must be completed",IF(F27&gt;0,"Net surplus is positive. No further adjustment is required.","Net surplus is negative. Adjust deficits to be accepted or surpluses to be generated until a positive figure is obtained.")))</f>
        <v>Net surplus is negative. Adjust deficits to be accepted or surpluses to be generated until a positive figure is obtained.</v>
      </c>
      <c r="H27" s="1675"/>
      <c r="I27" s="1675"/>
      <c r="J27" s="1675"/>
      <c r="K27" s="1675"/>
      <c r="L27" s="1676"/>
      <c r="M27" s="1043"/>
      <c r="N27" s="1050"/>
      <c r="O27" s="1263" t="s">
        <v>193</v>
      </c>
      <c r="P27" s="1273">
        <f ca="1">IFERROR(Surplus!$E$53,"0")</f>
        <v>-97680501.5</v>
      </c>
      <c r="Q27" s="1275" t="str">
        <f ca="1">IF(P27&gt;0,"Net surplus is positive. No further adjustment is required.", "Net surplus is negative. Adjust deficits to be accepted or surpluses to be generated until a positive figure is obtained.")</f>
        <v>Net surplus is negative. Adjust deficits to be accepted or surpluses to be generated until a positive figure is obtained.</v>
      </c>
      <c r="R27" s="1276"/>
      <c r="S27" s="1276"/>
      <c r="T27" s="1276"/>
      <c r="U27" s="1276"/>
      <c r="V27" s="343"/>
      <c r="W27" s="1043"/>
      <c r="Y27" s="1263" t="s">
        <v>193</v>
      </c>
      <c r="Z27" s="1273">
        <f ca="1">IFERROR(Surplus!$E$53,"0")</f>
        <v>-97680501.5</v>
      </c>
      <c r="AA27" s="1275" t="str">
        <f ca="1">IF(Z27&gt;0,"Net surplus is positive. No further adjustment is required.", "Net surplus is negative. Adjust deficits to be accepted or surpluses to be generated until a positive figure is obtained.")</f>
        <v>Net surplus is negative. Adjust deficits to be accepted or surpluses to be generated until a positive figure is obtained.</v>
      </c>
      <c r="AB27" s="1276"/>
      <c r="AC27" s="1276"/>
      <c r="AD27" s="1276"/>
      <c r="AE27" s="1276"/>
      <c r="AF27" s="343"/>
      <c r="AG27" s="1043"/>
      <c r="AI27" s="1620"/>
      <c r="AJ27" s="1621"/>
      <c r="AK27" s="1256"/>
      <c r="AL27" s="1212"/>
      <c r="AP27" s="1211"/>
      <c r="AQ27" s="1306"/>
      <c r="AR27" s="1259" t="s">
        <v>193</v>
      </c>
      <c r="AS27" s="1273">
        <f ca="1">IFERROR(Surplus!$Q$53,"0")</f>
        <v>-30539566</v>
      </c>
      <c r="AT27" s="1674" t="str">
        <f ca="1">IF(AS19="0","No Assessment Performed",IF(AR11="Part B is not complete","Part B must be completed",IF(AS27&gt;0,"Net surplus is positive. No further adjustment is required.","Net surplus is negative. Adjust deficits to be accepted or surpluses to be generated until a positive figure is obtained.")))</f>
        <v>Net surplus is negative. Adjust deficits to be accepted or surpluses to be generated until a positive figure is obtained.</v>
      </c>
      <c r="AU27" s="1675"/>
      <c r="AV27" s="1675"/>
      <c r="AW27" s="1675"/>
      <c r="AX27" s="1675"/>
      <c r="AY27" s="1676"/>
      <c r="AZ27" s="1043"/>
      <c r="BA27" s="1050"/>
      <c r="BB27" s="1263" t="s">
        <v>193</v>
      </c>
      <c r="BC27" s="1273">
        <f ca="1">IFERROR(Surplus!$E$53,"0")</f>
        <v>-97680501.5</v>
      </c>
      <c r="BD27" s="1275" t="str">
        <f ca="1">IF(BC27&gt;0,"Net surplus is positive. No further adjustment is required.", "Net surplus is negative. Adjust deficits to be accepted or surpluses to be generated until a positive figure is obtained.")</f>
        <v>Net surplus is negative. Adjust deficits to be accepted or surpluses to be generated until a positive figure is obtained.</v>
      </c>
      <c r="BE27" s="1276"/>
      <c r="BF27" s="1276"/>
      <c r="BG27" s="1276"/>
      <c r="BH27" s="1276"/>
      <c r="BI27" s="343"/>
      <c r="BJ27" s="1043"/>
      <c r="BL27" s="1263" t="s">
        <v>193</v>
      </c>
      <c r="BM27" s="1273">
        <f ca="1">IFERROR(Surplus!$E$53,"0")</f>
        <v>-97680501.5</v>
      </c>
      <c r="BN27" s="1275" t="str">
        <f ca="1">IF(BM27&gt;0,"Net surplus is positive. No further adjustment is required.", "Net surplus is negative. Adjust deficits to be accepted or surpluses to be generated until a positive figure is obtained.")</f>
        <v>Net surplus is negative. Adjust deficits to be accepted or surpluses to be generated until a positive figure is obtained.</v>
      </c>
      <c r="BO27" s="1276"/>
      <c r="BP27" s="1276"/>
      <c r="BQ27" s="1276"/>
      <c r="BR27" s="1276"/>
      <c r="BS27" s="343"/>
      <c r="BT27" s="1043"/>
      <c r="BV27" s="1620"/>
      <c r="BW27" s="1621"/>
      <c r="BX27" s="1212"/>
      <c r="BY27" s="1212"/>
      <c r="BZ27" s="1043"/>
      <c r="CA27" s="1050"/>
      <c r="CC27" s="1211"/>
      <c r="CD27" s="1048"/>
      <c r="CE27" s="1259" t="s">
        <v>193</v>
      </c>
      <c r="CF27" s="1273">
        <f ca="1">IFERROR(Surplus!$AA$53,"0")</f>
        <v>-32693771.99999994</v>
      </c>
      <c r="CG27" s="1674" t="str">
        <f ca="1">IF(AS19="0","No Assessment Performed",IF(CE11="Part B is not complete","Part B must be completed",IF(CF27&gt;0,"Net surplus is positive. No further adjustment is required.","Net surplus is negative. Adjust deficits to be accepted or surpluses to be generated until a positive figure is obtained.")))</f>
        <v>Net surplus is negative. Adjust deficits to be accepted or surpluses to be generated until a positive figure is obtained.</v>
      </c>
      <c r="CH27" s="1675"/>
      <c r="CI27" s="1675"/>
      <c r="CJ27" s="1675"/>
      <c r="CK27" s="1675"/>
      <c r="CL27" s="1676"/>
      <c r="CM27" s="1043"/>
      <c r="CN27" s="1050"/>
      <c r="CO27" s="1263" t="s">
        <v>193</v>
      </c>
      <c r="CP27" s="1273">
        <f ca="1">IFERROR(Surplus!$E$53,"0")</f>
        <v>-97680501.5</v>
      </c>
      <c r="CQ27" s="1275" t="str">
        <f ca="1">IF(CP27&gt;0,"Net surplus is positive. No further adjustment is required.", "Net surplus is negative. Adjust deficits to be accepted or surpluses to be generated until a positive figure is obtained.")</f>
        <v>Net surplus is negative. Adjust deficits to be accepted or surpluses to be generated until a positive figure is obtained.</v>
      </c>
      <c r="CR27" s="1276"/>
      <c r="CS27" s="1276"/>
      <c r="CT27" s="1276"/>
      <c r="CU27" s="1276"/>
      <c r="CV27" s="343"/>
      <c r="CW27" s="1043"/>
      <c r="CY27" s="1263" t="s">
        <v>193</v>
      </c>
      <c r="CZ27" s="1273">
        <f ca="1">IFERROR(Surplus!$E$53,"0")</f>
        <v>-97680501.5</v>
      </c>
      <c r="DA27" s="1275" t="str">
        <f ca="1">IF(CZ27&gt;0,"Net surplus is positive. No further adjustment is required.", "Net surplus is negative. Adjust deficits to be accepted or surpluses to be generated until a positive figure is obtained.")</f>
        <v>Net surplus is negative. Adjust deficits to be accepted or surpluses to be generated until a positive figure is obtained.</v>
      </c>
      <c r="DB27" s="1276"/>
      <c r="DC27" s="1276"/>
      <c r="DD27" s="1276"/>
      <c r="DE27" s="1276"/>
      <c r="DF27" s="343"/>
      <c r="DG27" s="1043"/>
      <c r="DI27" s="1620"/>
      <c r="DJ27" s="1621"/>
      <c r="DK27" s="1256"/>
      <c r="DL27" s="1212"/>
    </row>
    <row r="28" spans="1:252" x14ac:dyDescent="0.5">
      <c r="A28" s="1255"/>
      <c r="C28" s="1211"/>
      <c r="D28" s="1048"/>
      <c r="E28" s="1221" t="s">
        <v>194</v>
      </c>
      <c r="F28" s="1277">
        <f ca="1">IFERROR(Surplus!$E$54,"0")</f>
        <v>-0.10907959260826114</v>
      </c>
      <c r="G28" s="1677"/>
      <c r="H28" s="1678"/>
      <c r="I28" s="1678"/>
      <c r="J28" s="1678"/>
      <c r="K28" s="1678"/>
      <c r="L28" s="1679"/>
      <c r="M28" s="1043"/>
      <c r="N28" s="1050"/>
      <c r="O28" s="344" t="s">
        <v>194</v>
      </c>
      <c r="P28" s="1277">
        <f ca="1">IFERROR(Surplus!$E$54,"0")</f>
        <v>-0.10907959260826114</v>
      </c>
      <c r="Q28" s="1276"/>
      <c r="R28" s="1276"/>
      <c r="S28" s="1276"/>
      <c r="T28" s="1276"/>
      <c r="U28" s="1276"/>
      <c r="V28" s="343"/>
      <c r="W28" s="1043"/>
      <c r="Y28" s="344" t="s">
        <v>194</v>
      </c>
      <c r="Z28" s="1277">
        <f ca="1">IFERROR(Surplus!$E$54,"0")</f>
        <v>-0.10907959260826114</v>
      </c>
      <c r="AA28" s="1276"/>
      <c r="AB28" s="1276"/>
      <c r="AC28" s="1276"/>
      <c r="AD28" s="1276"/>
      <c r="AE28" s="1276"/>
      <c r="AF28" s="343"/>
      <c r="AG28" s="1043"/>
      <c r="AI28" s="1620"/>
      <c r="AJ28" s="1621"/>
      <c r="AK28" s="1256"/>
      <c r="AL28" s="1212"/>
      <c r="AP28" s="1211"/>
      <c r="AQ28" s="1306"/>
      <c r="AR28" s="1221" t="s">
        <v>194</v>
      </c>
      <c r="AS28" s="1277">
        <f ca="1">IFERROR(Surplus!$Q$54,"0")</f>
        <v>-3.2959906175822291E-2</v>
      </c>
      <c r="AT28" s="1677"/>
      <c r="AU28" s="1678"/>
      <c r="AV28" s="1678"/>
      <c r="AW28" s="1678"/>
      <c r="AX28" s="1678"/>
      <c r="AY28" s="1679"/>
      <c r="AZ28" s="1043"/>
      <c r="BA28" s="1050"/>
      <c r="BB28" s="344" t="s">
        <v>194</v>
      </c>
      <c r="BC28" s="1277">
        <f ca="1">IFERROR(Surplus!$E$54,"0")</f>
        <v>-0.10907959260826114</v>
      </c>
      <c r="BD28" s="1276"/>
      <c r="BE28" s="1276"/>
      <c r="BF28" s="1276"/>
      <c r="BG28" s="1276"/>
      <c r="BH28" s="1276"/>
      <c r="BI28" s="343"/>
      <c r="BJ28" s="1043"/>
      <c r="BL28" s="344" t="s">
        <v>194</v>
      </c>
      <c r="BM28" s="1277">
        <f ca="1">IFERROR(Surplus!$E$54,"0")</f>
        <v>-0.10907959260826114</v>
      </c>
      <c r="BN28" s="1276"/>
      <c r="BO28" s="1276"/>
      <c r="BP28" s="1276"/>
      <c r="BQ28" s="1276"/>
      <c r="BR28" s="1276"/>
      <c r="BS28" s="343"/>
      <c r="BT28" s="1043"/>
      <c r="BV28" s="1620"/>
      <c r="BW28" s="1621"/>
      <c r="BX28" s="1212"/>
      <c r="BY28" s="1212"/>
      <c r="BZ28" s="1043"/>
      <c r="CA28" s="1050"/>
      <c r="CC28" s="1211"/>
      <c r="CD28" s="1048"/>
      <c r="CE28" s="1221" t="s">
        <v>194</v>
      </c>
      <c r="CF28" s="1277">
        <f ca="1">IFERROR(Surplus!$AA$54,"0")</f>
        <v>-3.4165133159393971E-2</v>
      </c>
      <c r="CG28" s="1677"/>
      <c r="CH28" s="1678"/>
      <c r="CI28" s="1678"/>
      <c r="CJ28" s="1678"/>
      <c r="CK28" s="1678"/>
      <c r="CL28" s="1679"/>
      <c r="CM28" s="1043"/>
      <c r="CN28" s="1050"/>
      <c r="CO28" s="344" t="s">
        <v>194</v>
      </c>
      <c r="CP28" s="1277">
        <f ca="1">IFERROR(Surplus!$E$54,"0")</f>
        <v>-0.10907959260826114</v>
      </c>
      <c r="CQ28" s="1276"/>
      <c r="CR28" s="1276"/>
      <c r="CS28" s="1276"/>
      <c r="CT28" s="1276"/>
      <c r="CU28" s="1276"/>
      <c r="CV28" s="343"/>
      <c r="CW28" s="1043"/>
      <c r="CY28" s="344" t="s">
        <v>194</v>
      </c>
      <c r="CZ28" s="1277">
        <f ca="1">IFERROR(Surplus!$E$54,"0")</f>
        <v>-0.10907959260826114</v>
      </c>
      <c r="DA28" s="1276"/>
      <c r="DB28" s="1276"/>
      <c r="DC28" s="1276"/>
      <c r="DD28" s="1276"/>
      <c r="DE28" s="1276"/>
      <c r="DF28" s="343"/>
      <c r="DG28" s="1043"/>
      <c r="DI28" s="1620"/>
      <c r="DJ28" s="1621"/>
      <c r="DK28" s="1256"/>
      <c r="DL28" s="1212"/>
    </row>
    <row r="29" spans="1:252" ht="14.4" thickBot="1" x14ac:dyDescent="0.55000000000000004">
      <c r="A29" s="1255"/>
      <c r="C29" s="1211"/>
      <c r="D29" s="1048"/>
      <c r="E29" s="1217"/>
      <c r="F29" s="1218"/>
      <c r="G29" s="1218"/>
      <c r="H29" s="1218"/>
      <c r="I29" s="1218"/>
      <c r="J29" s="1218"/>
      <c r="K29" s="1218"/>
      <c r="L29" s="1219"/>
      <c r="M29" s="1043"/>
      <c r="N29" s="1050"/>
      <c r="O29" s="1278"/>
      <c r="P29" s="1279"/>
      <c r="Q29" s="1279"/>
      <c r="R29" s="1279"/>
      <c r="S29" s="1279"/>
      <c r="T29" s="1279"/>
      <c r="U29" s="1279"/>
      <c r="V29" s="1280"/>
      <c r="W29" s="1043"/>
      <c r="Y29" s="1278"/>
      <c r="Z29" s="1279"/>
      <c r="AA29" s="1279"/>
      <c r="AB29" s="1279"/>
      <c r="AC29" s="1279"/>
      <c r="AD29" s="1279"/>
      <c r="AE29" s="1279"/>
      <c r="AF29" s="1280"/>
      <c r="AG29" s="1043"/>
      <c r="AI29" s="1622"/>
      <c r="AJ29" s="1623"/>
      <c r="AK29" s="1256"/>
      <c r="AL29" s="1212"/>
      <c r="AP29" s="1211"/>
      <c r="AQ29" s="1306"/>
      <c r="AR29" s="1217"/>
      <c r="AS29" s="1218"/>
      <c r="AT29" s="1218"/>
      <c r="AU29" s="1218"/>
      <c r="AV29" s="1218"/>
      <c r="AW29" s="1218"/>
      <c r="AX29" s="1218"/>
      <c r="AY29" s="1219"/>
      <c r="AZ29" s="1043"/>
      <c r="BA29" s="1050"/>
      <c r="BB29" s="1278"/>
      <c r="BC29" s="1279"/>
      <c r="BD29" s="1279"/>
      <c r="BE29" s="1279"/>
      <c r="BF29" s="1279"/>
      <c r="BG29" s="1279"/>
      <c r="BH29" s="1279"/>
      <c r="BI29" s="1280"/>
      <c r="BJ29" s="1043"/>
      <c r="BL29" s="1278"/>
      <c r="BM29" s="1279"/>
      <c r="BN29" s="1279"/>
      <c r="BO29" s="1279"/>
      <c r="BP29" s="1279"/>
      <c r="BQ29" s="1279"/>
      <c r="BR29" s="1279"/>
      <c r="BS29" s="1280"/>
      <c r="BT29" s="1043"/>
      <c r="BV29" s="1622"/>
      <c r="BW29" s="1623"/>
      <c r="BX29" s="1212"/>
      <c r="BY29" s="1212"/>
      <c r="BZ29" s="1043"/>
      <c r="CA29" s="1050"/>
      <c r="CC29" s="1211"/>
      <c r="CD29" s="1048"/>
      <c r="CE29" s="1217"/>
      <c r="CF29" s="1218"/>
      <c r="CG29" s="1218"/>
      <c r="CH29" s="1218"/>
      <c r="CI29" s="1218"/>
      <c r="CJ29" s="1218"/>
      <c r="CK29" s="1218"/>
      <c r="CL29" s="1219"/>
      <c r="CM29" s="1043"/>
      <c r="CN29" s="1050"/>
      <c r="CO29" s="1278"/>
      <c r="CP29" s="1279"/>
      <c r="CQ29" s="1279"/>
      <c r="CR29" s="1279"/>
      <c r="CS29" s="1279"/>
      <c r="CT29" s="1279"/>
      <c r="CU29" s="1279"/>
      <c r="CV29" s="1280"/>
      <c r="CW29" s="1043"/>
      <c r="CY29" s="1278"/>
      <c r="CZ29" s="1279"/>
      <c r="DA29" s="1279"/>
      <c r="DB29" s="1279"/>
      <c r="DC29" s="1279"/>
      <c r="DD29" s="1279"/>
      <c r="DE29" s="1279"/>
      <c r="DF29" s="1280"/>
      <c r="DG29" s="1043"/>
      <c r="DI29" s="1622"/>
      <c r="DJ29" s="1623"/>
      <c r="DK29" s="1256"/>
      <c r="DL29" s="1212"/>
    </row>
    <row r="30" spans="1:252" ht="12" customHeight="1" thickBot="1" x14ac:dyDescent="0.55000000000000004">
      <c r="A30" s="1255"/>
      <c r="C30" s="1211"/>
      <c r="D30" s="1048"/>
      <c r="E30" s="1043"/>
      <c r="F30" s="1043"/>
      <c r="G30" s="1043"/>
      <c r="H30" s="1043"/>
      <c r="I30" s="1043"/>
      <c r="J30" s="1043"/>
      <c r="K30" s="1043"/>
      <c r="L30" s="1049"/>
      <c r="M30" s="1043"/>
      <c r="N30" s="1050"/>
      <c r="O30" s="1043"/>
      <c r="P30" s="1043"/>
      <c r="Q30" s="1043"/>
      <c r="R30" s="1043"/>
      <c r="S30" s="1043"/>
      <c r="T30" s="1043"/>
      <c r="U30" s="1043"/>
      <c r="V30" s="1043"/>
      <c r="W30" s="1043"/>
      <c r="Y30" s="1043"/>
      <c r="Z30" s="1043"/>
      <c r="AA30" s="1043"/>
      <c r="AB30" s="1043"/>
      <c r="AC30" s="1043"/>
      <c r="AD30" s="1043"/>
      <c r="AE30" s="1043"/>
      <c r="AF30" s="1043"/>
      <c r="AG30" s="1043"/>
      <c r="AI30" s="1050"/>
      <c r="AJ30" s="1050"/>
      <c r="AK30" s="1256"/>
      <c r="AL30" s="1212"/>
      <c r="AP30" s="1211"/>
      <c r="AQ30" s="1307"/>
      <c r="AR30" s="1308"/>
      <c r="AS30" s="1308"/>
      <c r="AT30" s="1308"/>
      <c r="AU30" s="1308"/>
      <c r="AV30" s="1308"/>
      <c r="AW30" s="1308"/>
      <c r="AX30" s="1308"/>
      <c r="AY30" s="1308"/>
      <c r="AZ30" s="1308"/>
      <c r="BA30" s="1218"/>
      <c r="BB30" s="1308"/>
      <c r="BC30" s="1308"/>
      <c r="BD30" s="1308"/>
      <c r="BE30" s="1308"/>
      <c r="BF30" s="1308"/>
      <c r="BG30" s="1308"/>
      <c r="BH30" s="1308"/>
      <c r="BI30" s="1308"/>
      <c r="BJ30" s="1308"/>
      <c r="BK30" s="1309"/>
      <c r="BL30" s="1308"/>
      <c r="BM30" s="1308"/>
      <c r="BN30" s="1308"/>
      <c r="BO30" s="1308"/>
      <c r="BP30" s="1308"/>
      <c r="BQ30" s="1308"/>
      <c r="BR30" s="1308"/>
      <c r="BS30" s="1308"/>
      <c r="BT30" s="1308"/>
      <c r="BU30" s="1309"/>
      <c r="BV30" s="1218"/>
      <c r="BW30" s="1218"/>
      <c r="BX30" s="1219"/>
      <c r="BY30" s="1212"/>
      <c r="BZ30" s="1049"/>
      <c r="CA30" s="1279"/>
      <c r="CC30" s="1211"/>
      <c r="CD30" s="354"/>
      <c r="CE30" s="1049"/>
      <c r="CF30" s="1049"/>
      <c r="CG30" s="1049"/>
      <c r="CH30" s="1049"/>
      <c r="CI30" s="1049"/>
      <c r="CJ30" s="1049"/>
      <c r="CK30" s="1049"/>
      <c r="CL30" s="1049"/>
      <c r="CM30" s="1049"/>
      <c r="CN30" s="1279"/>
      <c r="CO30" s="1049"/>
      <c r="CP30" s="1049"/>
      <c r="CQ30" s="1049"/>
      <c r="CR30" s="1049"/>
      <c r="CS30" s="1049"/>
      <c r="CT30" s="1049"/>
      <c r="CU30" s="1049"/>
      <c r="CV30" s="1049"/>
      <c r="CW30" s="1049"/>
      <c r="CX30" s="1281"/>
      <c r="CY30" s="1049"/>
      <c r="CZ30" s="1049"/>
      <c r="DA30" s="1049"/>
      <c r="DB30" s="1049"/>
      <c r="DC30" s="1049"/>
      <c r="DD30" s="1049"/>
      <c r="DE30" s="1049"/>
      <c r="DF30" s="1049"/>
      <c r="DG30" s="1049"/>
      <c r="DH30" s="1281"/>
      <c r="DI30" s="1279"/>
      <c r="DJ30" s="1279"/>
      <c r="DK30" s="1280"/>
      <c r="DL30" s="1212"/>
    </row>
    <row r="31" spans="1:252" ht="34.950000000000003" customHeight="1" thickTop="1" thickBot="1" x14ac:dyDescent="0.55000000000000004">
      <c r="C31" s="1408"/>
      <c r="D31" s="1687" t="s">
        <v>1622</v>
      </c>
      <c r="E31" s="1688"/>
      <c r="F31" s="1689"/>
      <c r="G31" s="1397" t="s">
        <v>16</v>
      </c>
      <c r="H31" s="1398" t="s">
        <v>18</v>
      </c>
      <c r="I31" s="1398" t="s">
        <v>17</v>
      </c>
      <c r="J31" s="1398" t="s">
        <v>1618</v>
      </c>
      <c r="K31" s="1399" t="s">
        <v>803</v>
      </c>
      <c r="L31" s="1399" t="s">
        <v>15</v>
      </c>
      <c r="M31" s="1407"/>
      <c r="N31" s="1303"/>
      <c r="O31" s="1303"/>
      <c r="P31" s="1303"/>
      <c r="Q31" s="1303"/>
      <c r="R31" s="1303"/>
      <c r="S31" s="1303"/>
      <c r="T31" s="1303"/>
      <c r="U31" s="1303"/>
      <c r="V31" s="1303"/>
      <c r="W31" s="1303"/>
      <c r="X31" s="1303"/>
      <c r="Y31" s="1303"/>
      <c r="Z31" s="1303"/>
      <c r="AA31" s="1303"/>
      <c r="AB31" s="1303"/>
      <c r="AC31" s="1303"/>
      <c r="AD31" s="1303"/>
      <c r="AE31" s="1303"/>
      <c r="AF31" s="1303"/>
      <c r="AG31" s="1303"/>
      <c r="AH31" s="1303"/>
      <c r="AI31" s="1303"/>
      <c r="AJ31" s="1303"/>
      <c r="AK31" s="1303"/>
      <c r="AL31" s="1303"/>
      <c r="AM31" s="1230"/>
      <c r="AO31" s="1230"/>
      <c r="AP31" s="1401"/>
      <c r="AQ31" s="1687" t="s">
        <v>1622</v>
      </c>
      <c r="AR31" s="1688"/>
      <c r="AS31" s="1689"/>
      <c r="AT31" s="1397" t="s">
        <v>16</v>
      </c>
      <c r="AU31" s="1398" t="s">
        <v>18</v>
      </c>
      <c r="AV31" s="1398" t="s">
        <v>17</v>
      </c>
      <c r="AW31" s="1398" t="s">
        <v>1618</v>
      </c>
      <c r="AX31" s="1399" t="s">
        <v>803</v>
      </c>
      <c r="AY31" s="1399" t="s">
        <v>15</v>
      </c>
      <c r="AZ31" s="1218"/>
      <c r="BA31" s="1218"/>
      <c r="BB31" s="1218"/>
      <c r="BC31" s="1218"/>
      <c r="BD31" s="1218"/>
      <c r="BE31" s="1218"/>
      <c r="BF31" s="1218"/>
      <c r="BG31" s="1218"/>
      <c r="BH31" s="1218"/>
      <c r="BI31" s="1218"/>
      <c r="BJ31" s="1218"/>
      <c r="BK31" s="1218"/>
      <c r="BL31" s="1218"/>
      <c r="BM31" s="1218"/>
      <c r="BN31" s="1218"/>
      <c r="BO31" s="1218"/>
      <c r="BP31" s="1218"/>
      <c r="BQ31" s="1218"/>
      <c r="BR31" s="1218"/>
      <c r="BS31" s="1218"/>
      <c r="BT31" s="1218"/>
      <c r="BU31" s="1218"/>
      <c r="BV31" s="1218"/>
      <c r="BW31" s="1218"/>
      <c r="BX31" s="1218"/>
      <c r="BY31" s="1219"/>
      <c r="BZ31" s="1218"/>
      <c r="CA31" s="1218"/>
      <c r="CC31" s="1217"/>
      <c r="CD31" s="1687" t="s">
        <v>1622</v>
      </c>
      <c r="CE31" s="1688"/>
      <c r="CF31" s="1689"/>
      <c r="CG31" s="1391" t="s">
        <v>16</v>
      </c>
      <c r="CH31" s="1387" t="s">
        <v>18</v>
      </c>
      <c r="CI31" s="1387" t="s">
        <v>17</v>
      </c>
      <c r="CJ31" s="1387" t="s">
        <v>1618</v>
      </c>
      <c r="CK31" s="1388" t="s">
        <v>803</v>
      </c>
      <c r="CL31" s="1388" t="s">
        <v>15</v>
      </c>
      <c r="CM31" s="1218"/>
      <c r="CN31" s="1218"/>
      <c r="CO31" s="1218"/>
      <c r="CP31" s="1218"/>
      <c r="CQ31" s="1218"/>
      <c r="CR31" s="1218"/>
      <c r="CS31" s="1218"/>
      <c r="CT31" s="1218"/>
      <c r="CU31" s="1218"/>
      <c r="CV31" s="1218"/>
      <c r="CW31" s="1218"/>
      <c r="CX31" s="1218"/>
      <c r="CY31" s="1218"/>
      <c r="CZ31" s="1218"/>
      <c r="DA31" s="1218"/>
      <c r="DB31" s="1218"/>
      <c r="DC31" s="1218"/>
      <c r="DD31" s="1218"/>
      <c r="DE31" s="1218"/>
      <c r="DF31" s="1218"/>
      <c r="DG31" s="1218"/>
      <c r="DH31" s="1218"/>
      <c r="DI31" s="1218"/>
      <c r="DJ31" s="1218"/>
      <c r="DK31" s="1218"/>
      <c r="DL31" s="1219"/>
    </row>
    <row r="32" spans="1:252" ht="14.55" customHeight="1" thickTop="1" thickBot="1" x14ac:dyDescent="0.55000000000000004">
      <c r="C32" s="1409"/>
      <c r="D32" s="1690"/>
      <c r="E32" s="1691"/>
      <c r="F32" s="1692"/>
      <c r="G32" s="1402">
        <v>0.15</v>
      </c>
      <c r="H32" s="1403">
        <v>0.05</v>
      </c>
      <c r="I32" s="1403">
        <v>0.05</v>
      </c>
      <c r="J32" s="1403">
        <v>0.05</v>
      </c>
      <c r="K32" s="1404">
        <v>0.7</v>
      </c>
      <c r="L32" s="1404">
        <f>SUM(G32:K32)</f>
        <v>1</v>
      </c>
      <c r="M32" s="1407"/>
      <c r="N32" s="1704"/>
      <c r="O32" s="1704"/>
      <c r="P32" s="1704"/>
      <c r="Q32" s="1704"/>
      <c r="R32" s="1704"/>
      <c r="S32" s="1704"/>
      <c r="T32" s="1704"/>
      <c r="U32" s="1704"/>
      <c r="V32" s="1704"/>
      <c r="W32" s="1704"/>
      <c r="X32" s="1704"/>
      <c r="Y32" s="1704"/>
      <c r="Z32" s="1704"/>
      <c r="AA32" s="1704"/>
      <c r="AB32" s="1704"/>
      <c r="AC32" s="1704"/>
      <c r="AD32" s="1704"/>
      <c r="AE32" s="1704"/>
      <c r="AF32" s="1704"/>
      <c r="AG32" s="1704"/>
      <c r="AH32" s="1704"/>
      <c r="AI32" s="1704"/>
      <c r="AJ32" s="1704"/>
      <c r="AK32" s="1704"/>
      <c r="AL32" s="1303"/>
      <c r="AM32" s="1230"/>
      <c r="AO32" s="1230"/>
      <c r="AP32" s="1230"/>
      <c r="AQ32" s="1690"/>
      <c r="AR32" s="1691"/>
      <c r="AS32" s="1692"/>
      <c r="AT32" s="1402">
        <v>0.15</v>
      </c>
      <c r="AU32" s="1403">
        <v>0.05</v>
      </c>
      <c r="AV32" s="1403">
        <v>0.05</v>
      </c>
      <c r="AW32" s="1403">
        <v>0.05</v>
      </c>
      <c r="AX32" s="1404">
        <v>0.7</v>
      </c>
      <c r="AY32" s="1404">
        <f>SUM(AT32:AX32)</f>
        <v>1</v>
      </c>
      <c r="CD32" s="1690"/>
      <c r="CE32" s="1691"/>
      <c r="CF32" s="1692"/>
      <c r="CG32" s="1402">
        <v>0.15</v>
      </c>
      <c r="CH32" s="1403">
        <v>0.05</v>
      </c>
      <c r="CI32" s="1403">
        <v>0.05</v>
      </c>
      <c r="CJ32" s="1403">
        <v>0.05</v>
      </c>
      <c r="CK32" s="1404">
        <v>0.7</v>
      </c>
      <c r="CL32" s="1390">
        <f>SUM(CG32:CK32)</f>
        <v>1</v>
      </c>
    </row>
    <row r="33" spans="4:90" ht="14.55" hidden="1" customHeight="1" x14ac:dyDescent="0.5">
      <c r="D33" s="1385"/>
      <c r="E33" s="1386"/>
      <c r="F33" s="1386"/>
      <c r="G33" s="1386"/>
      <c r="H33" s="1386"/>
      <c r="I33" s="1386"/>
      <c r="J33" s="1386"/>
      <c r="K33" s="335"/>
      <c r="AL33" s="1400"/>
      <c r="AQ33" s="1385"/>
      <c r="AR33" s="1386"/>
      <c r="AS33" s="1386"/>
      <c r="AT33" s="1386"/>
      <c r="AU33" s="1386"/>
      <c r="AV33" s="1386"/>
      <c r="AW33" s="1386"/>
      <c r="AX33" s="335"/>
      <c r="AY33" s="1282"/>
      <c r="CD33" s="1385"/>
      <c r="CE33" s="1386"/>
      <c r="CF33" s="1386"/>
      <c r="CG33" s="1386"/>
      <c r="CH33" s="1386"/>
      <c r="CI33" s="1386"/>
      <c r="CJ33" s="1386"/>
      <c r="CK33" s="335"/>
      <c r="CL33" s="1282"/>
    </row>
    <row r="34" spans="4:90" ht="26.55" hidden="1" customHeight="1" x14ac:dyDescent="0.5">
      <c r="D34" s="1097"/>
      <c r="E34" s="336" t="s">
        <v>626</v>
      </c>
      <c r="F34" s="336" t="s">
        <v>627</v>
      </c>
      <c r="G34" s="337"/>
      <c r="H34" s="337"/>
      <c r="I34" s="337"/>
      <c r="J34" s="338"/>
      <c r="K34" s="339"/>
      <c r="AL34" s="1400"/>
      <c r="AQ34" s="1097"/>
      <c r="AR34" s="336" t="s">
        <v>626</v>
      </c>
      <c r="AS34" s="336" t="s">
        <v>627</v>
      </c>
      <c r="AT34" s="337"/>
      <c r="AU34" s="337"/>
      <c r="AV34" s="337"/>
      <c r="AW34" s="338"/>
      <c r="AX34" s="339"/>
      <c r="AY34" s="1282"/>
      <c r="CD34" s="1097"/>
      <c r="CE34" s="336" t="s">
        <v>626</v>
      </c>
      <c r="CF34" s="336" t="s">
        <v>627</v>
      </c>
      <c r="CG34" s="337"/>
      <c r="CH34" s="337"/>
      <c r="CI34" s="337"/>
      <c r="CJ34" s="338"/>
      <c r="CK34" s="339"/>
      <c r="CL34" s="1282"/>
    </row>
    <row r="35" spans="4:90" ht="14.55" hidden="1" customHeight="1" x14ac:dyDescent="0.5">
      <c r="D35" s="1097"/>
      <c r="E35" s="340" t="str">
        <f>E47</f>
        <v>Municipality</v>
      </c>
      <c r="F35" s="341" t="str">
        <f ca="1">IFERROR(IF(J40&gt;0,"Cost Reflective",IF(J40&lt;0,"Not Cost Reflective")),"No Assessment")</f>
        <v>Cost Reflective</v>
      </c>
      <c r="G35" s="342"/>
      <c r="H35" s="342"/>
      <c r="I35" s="342"/>
      <c r="J35" s="343"/>
      <c r="K35" s="339"/>
      <c r="AL35" s="1400"/>
      <c r="AQ35" s="1097"/>
      <c r="AR35" s="340" t="str">
        <f>AR47</f>
        <v>Municipality</v>
      </c>
      <c r="AS35" s="341" t="b">
        <f>IFERROR(IF(AW40&gt;0,"Cost Reflective",IF(AW40&lt;0,"Not Cost Reflective")),"No Assessment")</f>
        <v>0</v>
      </c>
      <c r="AT35" s="342"/>
      <c r="AU35" s="342"/>
      <c r="AV35" s="342"/>
      <c r="AW35" s="343"/>
      <c r="AX35" s="339"/>
      <c r="AY35" s="1282"/>
      <c r="CD35" s="1097"/>
      <c r="CE35" s="340" t="str">
        <f>CE47</f>
        <v>Municipality</v>
      </c>
      <c r="CF35" s="341" t="b">
        <f>IFERROR(IF(CJ40&gt;0,"Cost Reflective",IF(CJ40&lt;0,"Not Cost Reflective")),"No Assessment")</f>
        <v>0</v>
      </c>
      <c r="CG35" s="342"/>
      <c r="CH35" s="342"/>
      <c r="CI35" s="342"/>
      <c r="CJ35" s="343"/>
      <c r="CK35" s="339"/>
      <c r="CL35" s="1282"/>
    </row>
    <row r="36" spans="4:90" ht="14.55" hidden="1" customHeight="1" x14ac:dyDescent="0.5">
      <c r="D36" s="1097"/>
      <c r="E36" s="344"/>
      <c r="F36" s="342"/>
      <c r="G36" s="342"/>
      <c r="H36" s="342"/>
      <c r="I36" s="342"/>
      <c r="J36" s="343"/>
      <c r="K36" s="339"/>
      <c r="AL36" s="1400"/>
      <c r="AQ36" s="1097"/>
      <c r="AR36" s="344"/>
      <c r="AS36" s="342"/>
      <c r="AT36" s="342"/>
      <c r="AU36" s="342"/>
      <c r="AV36" s="342"/>
      <c r="AW36" s="343"/>
      <c r="AX36" s="339"/>
      <c r="AY36" s="1282"/>
      <c r="CD36" s="1097"/>
      <c r="CE36" s="344"/>
      <c r="CF36" s="342"/>
      <c r="CG36" s="342"/>
      <c r="CH36" s="342"/>
      <c r="CI36" s="342"/>
      <c r="CJ36" s="343"/>
      <c r="CK36" s="339"/>
      <c r="CL36" s="1282"/>
    </row>
    <row r="37" spans="4:90" ht="14.55" hidden="1" customHeight="1" x14ac:dyDescent="0.5">
      <c r="D37" s="1097"/>
      <c r="E37" s="345" t="str">
        <f>E47</f>
        <v>Municipality</v>
      </c>
      <c r="F37" s="345" t="s">
        <v>16</v>
      </c>
      <c r="G37" s="345" t="s">
        <v>629</v>
      </c>
      <c r="H37" s="345" t="s">
        <v>17</v>
      </c>
      <c r="I37" s="345" t="s">
        <v>630</v>
      </c>
      <c r="J37" s="345" t="s">
        <v>631</v>
      </c>
      <c r="K37" s="339"/>
      <c r="AL37" s="1400"/>
      <c r="AQ37" s="1097"/>
      <c r="AR37" s="345" t="str">
        <f>AR47</f>
        <v>Municipality</v>
      </c>
      <c r="AS37" s="345" t="s">
        <v>16</v>
      </c>
      <c r="AT37" s="345" t="s">
        <v>629</v>
      </c>
      <c r="AU37" s="345" t="s">
        <v>17</v>
      </c>
      <c r="AV37" s="345" t="s">
        <v>630</v>
      </c>
      <c r="AW37" s="345" t="s">
        <v>631</v>
      </c>
      <c r="AX37" s="339"/>
      <c r="AY37" s="1282"/>
      <c r="CD37" s="1097"/>
      <c r="CE37" s="345" t="str">
        <f>CE47</f>
        <v>Municipality</v>
      </c>
      <c r="CF37" s="345" t="s">
        <v>16</v>
      </c>
      <c r="CG37" s="345" t="s">
        <v>629</v>
      </c>
      <c r="CH37" s="345" t="s">
        <v>17</v>
      </c>
      <c r="CI37" s="345" t="s">
        <v>630</v>
      </c>
      <c r="CJ37" s="345" t="s">
        <v>631</v>
      </c>
      <c r="CK37" s="339"/>
      <c r="CL37" s="1282"/>
    </row>
    <row r="38" spans="4:90" ht="52.95" hidden="1" customHeight="1" x14ac:dyDescent="0.5">
      <c r="D38" s="1097"/>
      <c r="E38" s="347" t="s">
        <v>632</v>
      </c>
      <c r="F38" s="348">
        <f ca="1">'6.Summary'!F184</f>
        <v>108238120.75</v>
      </c>
      <c r="G38" s="348">
        <f ca="1">'6.Summary'!G184</f>
        <v>50470341.25</v>
      </c>
      <c r="H38" s="348">
        <f ca="1">'6.Summary'!H184</f>
        <v>176705441.25</v>
      </c>
      <c r="I38" s="348">
        <f ca="1">'6.Summary'!I184</f>
        <v>73012719.25</v>
      </c>
      <c r="J38" s="348">
        <f ca="1">'6.Summary'!J184</f>
        <v>408426622.5</v>
      </c>
      <c r="K38" s="339"/>
      <c r="AL38" s="1400"/>
      <c r="AQ38" s="1097"/>
      <c r="AR38" s="347" t="s">
        <v>632</v>
      </c>
      <c r="AS38" s="348">
        <f>'6.Summary'!AS184</f>
        <v>0</v>
      </c>
      <c r="AT38" s="348">
        <f>'6.Summary'!AT184</f>
        <v>0</v>
      </c>
      <c r="AU38" s="348">
        <f>'6.Summary'!AU184</f>
        <v>0</v>
      </c>
      <c r="AV38" s="348">
        <f>'6.Summary'!AV184</f>
        <v>0</v>
      </c>
      <c r="AW38" s="348">
        <f>'6.Summary'!AW184</f>
        <v>0</v>
      </c>
      <c r="AX38" s="339"/>
      <c r="AY38" s="1282"/>
      <c r="CD38" s="1097"/>
      <c r="CE38" s="347" t="s">
        <v>632</v>
      </c>
      <c r="CF38" s="348">
        <f>'6.Summary'!CF184</f>
        <v>0</v>
      </c>
      <c r="CG38" s="348">
        <f>'6.Summary'!CG184</f>
        <v>0</v>
      </c>
      <c r="CH38" s="348">
        <f>'6.Summary'!CH184</f>
        <v>0</v>
      </c>
      <c r="CI38" s="348">
        <f>'6.Summary'!CI184</f>
        <v>0</v>
      </c>
      <c r="CJ38" s="348">
        <f>'6.Summary'!CJ184</f>
        <v>0</v>
      </c>
      <c r="CK38" s="339"/>
      <c r="CL38" s="1282"/>
    </row>
    <row r="39" spans="4:90" ht="26.55" hidden="1" customHeight="1" x14ac:dyDescent="0.5">
      <c r="D39" s="1097"/>
      <c r="E39" s="349" t="s">
        <v>633</v>
      </c>
      <c r="F39" s="350">
        <f>'4.Inc &amp; Exp Summary'!L8</f>
        <v>125278920</v>
      </c>
      <c r="G39" s="350">
        <f>'4.Inc &amp; Exp Summary'!L9</f>
        <v>52237460</v>
      </c>
      <c r="H39" s="350">
        <f>'4.Inc &amp; Exp Summary'!L7</f>
        <v>179259480</v>
      </c>
      <c r="I39" s="350">
        <f>'4.Inc &amp; Exp Summary'!L10</f>
        <v>52158077</v>
      </c>
      <c r="J39" s="350">
        <f>SUM(F39:I39)</f>
        <v>408933937</v>
      </c>
      <c r="K39" s="339"/>
      <c r="AL39" s="1400"/>
      <c r="AQ39" s="1097"/>
      <c r="AR39" s="349" t="s">
        <v>633</v>
      </c>
      <c r="AS39" s="350">
        <f>'4.Inc &amp; Exp Summary'!AY8</f>
        <v>0</v>
      </c>
      <c r="AT39" s="350">
        <f>'4.Inc &amp; Exp Summary'!AY9</f>
        <v>0</v>
      </c>
      <c r="AU39" s="350">
        <f>'4.Inc &amp; Exp Summary'!AY7</f>
        <v>0</v>
      </c>
      <c r="AV39" s="350">
        <f>'4.Inc &amp; Exp Summary'!AY10</f>
        <v>0</v>
      </c>
      <c r="AW39" s="350">
        <f>SUM(AS39:AV39)</f>
        <v>0</v>
      </c>
      <c r="AX39" s="339"/>
      <c r="AY39" s="1282"/>
      <c r="CD39" s="1097"/>
      <c r="CE39" s="349" t="s">
        <v>633</v>
      </c>
      <c r="CF39" s="350">
        <f>'4.Inc &amp; Exp Summary'!CL8</f>
        <v>0</v>
      </c>
      <c r="CG39" s="350">
        <f>'4.Inc &amp; Exp Summary'!CL9</f>
        <v>0</v>
      </c>
      <c r="CH39" s="350">
        <f>'4.Inc &amp; Exp Summary'!CL7</f>
        <v>0</v>
      </c>
      <c r="CI39" s="350">
        <f>'4.Inc &amp; Exp Summary'!CL10</f>
        <v>0</v>
      </c>
      <c r="CJ39" s="350">
        <f>SUM(CF39:CI39)</f>
        <v>0</v>
      </c>
      <c r="CK39" s="339"/>
      <c r="CL39" s="1282"/>
    </row>
    <row r="40" spans="4:90" ht="14.55" hidden="1" customHeight="1" x14ac:dyDescent="0.5">
      <c r="D40" s="1097"/>
      <c r="E40" s="351" t="s">
        <v>634</v>
      </c>
      <c r="F40" s="352">
        <f ca="1">F39-F38</f>
        <v>17040799.25</v>
      </c>
      <c r="G40" s="352">
        <f ca="1">G39-G38</f>
        <v>1767118.75</v>
      </c>
      <c r="H40" s="352">
        <f ca="1">H39-H38</f>
        <v>2554038.75</v>
      </c>
      <c r="I40" s="352">
        <f ca="1">I39-I38</f>
        <v>-20854642.25</v>
      </c>
      <c r="J40" s="352">
        <f ca="1">SUM(F40:I40)</f>
        <v>507314.5</v>
      </c>
      <c r="K40" s="339"/>
      <c r="AL40" s="1400"/>
      <c r="AQ40" s="1097"/>
      <c r="AR40" s="351" t="s">
        <v>634</v>
      </c>
      <c r="AS40" s="352">
        <f>AS39-AS38</f>
        <v>0</v>
      </c>
      <c r="AT40" s="352">
        <f>AT39-AT38</f>
        <v>0</v>
      </c>
      <c r="AU40" s="352">
        <f>AU39-AU38</f>
        <v>0</v>
      </c>
      <c r="AV40" s="352">
        <f>AV39-AV38</f>
        <v>0</v>
      </c>
      <c r="AW40" s="352">
        <f>SUM(AS40:AV40)</f>
        <v>0</v>
      </c>
      <c r="AX40" s="339"/>
      <c r="AY40" s="1282"/>
      <c r="CD40" s="1097"/>
      <c r="CE40" s="351" t="s">
        <v>634</v>
      </c>
      <c r="CF40" s="352">
        <f>CF39-CF38</f>
        <v>0</v>
      </c>
      <c r="CG40" s="352">
        <f>CG39-CG38</f>
        <v>0</v>
      </c>
      <c r="CH40" s="352">
        <f>CH39-CH38</f>
        <v>0</v>
      </c>
      <c r="CI40" s="352">
        <f>CI39-CI38</f>
        <v>0</v>
      </c>
      <c r="CJ40" s="352">
        <f>SUM(CF40:CI40)</f>
        <v>0</v>
      </c>
      <c r="CK40" s="339"/>
      <c r="CL40" s="1282"/>
    </row>
    <row r="41" spans="4:90" ht="14.55" hidden="1" customHeight="1" x14ac:dyDescent="0.5">
      <c r="D41" s="1097"/>
      <c r="E41" s="1706" t="s">
        <v>636</v>
      </c>
      <c r="F41" s="1707"/>
      <c r="G41" s="1707"/>
      <c r="H41" s="1707"/>
      <c r="I41" s="1707"/>
      <c r="J41" s="1708"/>
      <c r="K41" s="339"/>
      <c r="AL41" s="1400"/>
      <c r="AQ41" s="1097"/>
      <c r="AR41" s="1706" t="s">
        <v>636</v>
      </c>
      <c r="AS41" s="1707"/>
      <c r="AT41" s="1707"/>
      <c r="AU41" s="1707"/>
      <c r="AV41" s="1707"/>
      <c r="AW41" s="1708"/>
      <c r="AX41" s="339"/>
      <c r="AY41" s="1282"/>
      <c r="CD41" s="1097"/>
      <c r="CE41" s="1706" t="s">
        <v>636</v>
      </c>
      <c r="CF41" s="1707"/>
      <c r="CG41" s="1707"/>
      <c r="CH41" s="1707"/>
      <c r="CI41" s="1707"/>
      <c r="CJ41" s="1708"/>
      <c r="CK41" s="339"/>
      <c r="CL41" s="1282"/>
    </row>
    <row r="42" spans="4:90" ht="14.55" hidden="1" customHeight="1" x14ac:dyDescent="0.5">
      <c r="D42" s="353"/>
      <c r="E42" s="1709"/>
      <c r="F42" s="1710"/>
      <c r="G42" s="1710"/>
      <c r="H42" s="1710"/>
      <c r="I42" s="1710"/>
      <c r="J42" s="1711"/>
      <c r="K42" s="339"/>
      <c r="AL42" s="1400"/>
      <c r="AQ42" s="353"/>
      <c r="AR42" s="1709"/>
      <c r="AS42" s="1710"/>
      <c r="AT42" s="1710"/>
      <c r="AU42" s="1710"/>
      <c r="AV42" s="1710"/>
      <c r="AW42" s="1711"/>
      <c r="AX42" s="339"/>
      <c r="AY42" s="1282"/>
      <c r="CD42" s="353"/>
      <c r="CE42" s="1709"/>
      <c r="CF42" s="1710"/>
      <c r="CG42" s="1710"/>
      <c r="CH42" s="1710"/>
      <c r="CI42" s="1710"/>
      <c r="CJ42" s="1711"/>
      <c r="CK42" s="339"/>
      <c r="CL42" s="1282"/>
    </row>
    <row r="43" spans="4:90" ht="14.55" hidden="1" customHeight="1" x14ac:dyDescent="0.5">
      <c r="D43" s="354"/>
      <c r="E43" s="355" t="s">
        <v>638</v>
      </c>
      <c r="F43" s="356"/>
      <c r="G43" s="356"/>
      <c r="H43" s="356"/>
      <c r="I43" s="356"/>
      <c r="J43" s="356"/>
      <c r="K43" s="357"/>
      <c r="AL43" s="1400"/>
      <c r="AQ43" s="354"/>
      <c r="AR43" s="355" t="s">
        <v>638</v>
      </c>
      <c r="AS43" s="356"/>
      <c r="AT43" s="356"/>
      <c r="AU43" s="356"/>
      <c r="AV43" s="356"/>
      <c r="AW43" s="356"/>
      <c r="AX43" s="357"/>
      <c r="AY43" s="1282"/>
      <c r="CD43" s="354"/>
      <c r="CE43" s="355" t="s">
        <v>638</v>
      </c>
      <c r="CF43" s="356"/>
      <c r="CG43" s="356"/>
      <c r="CH43" s="356"/>
      <c r="CI43" s="356"/>
      <c r="CJ43" s="356"/>
      <c r="CK43" s="357"/>
      <c r="CL43" s="1282"/>
    </row>
    <row r="44" spans="4:90" ht="14.55" hidden="1" customHeight="1" x14ac:dyDescent="0.5">
      <c r="AL44" s="1400"/>
      <c r="AS44" s="1282"/>
      <c r="AT44" s="1282"/>
      <c r="AU44" s="1282"/>
      <c r="AV44" s="1282"/>
      <c r="AW44" s="1282"/>
      <c r="AX44" s="1282"/>
      <c r="AY44" s="1282"/>
      <c r="CF44" s="1282"/>
      <c r="CG44" s="1282"/>
      <c r="CH44" s="1282"/>
      <c r="CI44" s="1282"/>
      <c r="CJ44" s="1282"/>
      <c r="CK44" s="1282"/>
      <c r="CL44" s="1282"/>
    </row>
    <row r="45" spans="4:90" ht="14.55" hidden="1" customHeight="1" x14ac:dyDescent="0.5">
      <c r="D45" s="1712" t="s">
        <v>623</v>
      </c>
      <c r="E45" s="1713"/>
      <c r="F45" s="1713"/>
      <c r="G45" s="1713"/>
      <c r="H45" s="1713"/>
      <c r="I45" s="1713"/>
      <c r="J45" s="1713"/>
      <c r="K45" s="1714"/>
      <c r="AL45" s="1400"/>
      <c r="AQ45" s="1712" t="s">
        <v>623</v>
      </c>
      <c r="AR45" s="1713"/>
      <c r="AS45" s="1713"/>
      <c r="AT45" s="1713"/>
      <c r="AU45" s="1713"/>
      <c r="AV45" s="1713"/>
      <c r="AW45" s="1713"/>
      <c r="AX45" s="1714"/>
      <c r="AY45" s="1282"/>
      <c r="CD45" s="1712" t="s">
        <v>623</v>
      </c>
      <c r="CE45" s="1713"/>
      <c r="CF45" s="1713"/>
      <c r="CG45" s="1713"/>
      <c r="CH45" s="1713"/>
      <c r="CI45" s="1713"/>
      <c r="CJ45" s="1713"/>
      <c r="CK45" s="1714"/>
      <c r="CL45" s="1282"/>
    </row>
    <row r="46" spans="4:90" ht="14.55" hidden="1" customHeight="1" x14ac:dyDescent="0.5">
      <c r="D46" s="1715"/>
      <c r="E46" s="1716"/>
      <c r="F46" s="1716"/>
      <c r="G46" s="1716"/>
      <c r="H46" s="1716"/>
      <c r="I46" s="1716"/>
      <c r="J46" s="1716"/>
      <c r="K46" s="1717"/>
      <c r="AL46" s="1400"/>
      <c r="AQ46" s="1715"/>
      <c r="AR46" s="1716"/>
      <c r="AS46" s="1716"/>
      <c r="AT46" s="1716"/>
      <c r="AU46" s="1716"/>
      <c r="AV46" s="1716"/>
      <c r="AW46" s="1716"/>
      <c r="AX46" s="1717"/>
      <c r="AY46" s="1282"/>
      <c r="CD46" s="1715"/>
      <c r="CE46" s="1716"/>
      <c r="CF46" s="1716"/>
      <c r="CG46" s="1716"/>
      <c r="CH46" s="1716"/>
      <c r="CI46" s="1716"/>
      <c r="CJ46" s="1716"/>
      <c r="CK46" s="1717"/>
      <c r="CL46" s="1282"/>
    </row>
    <row r="47" spans="4:90" ht="26.55" hidden="1" customHeight="1" x14ac:dyDescent="0.5">
      <c r="D47" s="1718"/>
      <c r="E47" s="336" t="s">
        <v>626</v>
      </c>
      <c r="F47" s="336" t="s">
        <v>627</v>
      </c>
      <c r="G47" s="337"/>
      <c r="H47" s="337"/>
      <c r="I47" s="337"/>
      <c r="J47" s="338"/>
      <c r="K47" s="339"/>
      <c r="AL47" s="1400"/>
      <c r="AQ47" s="1705"/>
      <c r="AR47" s="336" t="s">
        <v>626</v>
      </c>
      <c r="AS47" s="336" t="s">
        <v>627</v>
      </c>
      <c r="AT47" s="337"/>
      <c r="AU47" s="337"/>
      <c r="AV47" s="337"/>
      <c r="AW47" s="338"/>
      <c r="AX47" s="339"/>
      <c r="AY47" s="1282"/>
      <c r="CD47" s="1705"/>
      <c r="CE47" s="336" t="s">
        <v>626</v>
      </c>
      <c r="CF47" s="336" t="s">
        <v>627</v>
      </c>
      <c r="CG47" s="337"/>
      <c r="CH47" s="337"/>
      <c r="CI47" s="337"/>
      <c r="CJ47" s="338"/>
      <c r="CK47" s="339"/>
      <c r="CL47" s="1282"/>
    </row>
    <row r="48" spans="4:90" ht="14.55" hidden="1" customHeight="1" x14ac:dyDescent="0.5">
      <c r="D48" s="1718"/>
      <c r="E48" s="340">
        <f>H7</f>
        <v>0</v>
      </c>
      <c r="F48" s="341" t="e">
        <f ca="1">IF(J53&gt;0,"Cost Reflective",IF(J53&lt;0,"Not Cost Reflective"))</f>
        <v>#REF!</v>
      </c>
      <c r="G48" s="342"/>
      <c r="H48" s="342"/>
      <c r="I48" s="342"/>
      <c r="J48" s="343"/>
      <c r="K48" s="339"/>
      <c r="AL48" s="1400"/>
      <c r="AQ48" s="1705"/>
      <c r="AR48" s="340">
        <f>AU7</f>
        <v>0</v>
      </c>
      <c r="AS48" s="341" t="e">
        <f>IF(AW53&gt;0,"Cost Reflective",IF(AW53&lt;0,"Not Cost Reflective"))</f>
        <v>#REF!</v>
      </c>
      <c r="AT48" s="342"/>
      <c r="AU48" s="342"/>
      <c r="AV48" s="342"/>
      <c r="AW48" s="343"/>
      <c r="AX48" s="339"/>
      <c r="AY48" s="1282"/>
      <c r="CD48" s="1705"/>
      <c r="CE48" s="340">
        <f>CH7</f>
        <v>0</v>
      </c>
      <c r="CF48" s="341" t="e">
        <f>IF(CJ53&gt;0,"Cost Reflective",IF(CJ53&lt;0,"Not Cost Reflective"))</f>
        <v>#REF!</v>
      </c>
      <c r="CG48" s="342"/>
      <c r="CH48" s="342"/>
      <c r="CI48" s="342"/>
      <c r="CJ48" s="343"/>
      <c r="CK48" s="339"/>
      <c r="CL48" s="1282"/>
    </row>
    <row r="49" spans="3:90" ht="14.55" hidden="1" customHeight="1" x14ac:dyDescent="0.5">
      <c r="D49" s="1718"/>
      <c r="E49" s="344"/>
      <c r="F49" s="342"/>
      <c r="G49" s="342"/>
      <c r="H49" s="342"/>
      <c r="I49" s="342"/>
      <c r="J49" s="343"/>
      <c r="K49" s="339"/>
      <c r="AL49" s="1400"/>
      <c r="AQ49" s="1705"/>
      <c r="AR49" s="344"/>
      <c r="AS49" s="342"/>
      <c r="AT49" s="342"/>
      <c r="AU49" s="342"/>
      <c r="AV49" s="342"/>
      <c r="AW49" s="343"/>
      <c r="AX49" s="339"/>
      <c r="AY49" s="1282"/>
      <c r="CD49" s="1705"/>
      <c r="CE49" s="344"/>
      <c r="CF49" s="342"/>
      <c r="CG49" s="342"/>
      <c r="CH49" s="342"/>
      <c r="CI49" s="342"/>
      <c r="CJ49" s="343"/>
      <c r="CK49" s="339"/>
      <c r="CL49" s="1282"/>
    </row>
    <row r="50" spans="3:90" ht="14.55" hidden="1" customHeight="1" x14ac:dyDescent="0.5">
      <c r="D50" s="1718"/>
      <c r="E50" s="345">
        <f>H7</f>
        <v>0</v>
      </c>
      <c r="F50" s="345" t="s">
        <v>16</v>
      </c>
      <c r="G50" s="345" t="s">
        <v>629</v>
      </c>
      <c r="H50" s="345" t="s">
        <v>17</v>
      </c>
      <c r="I50" s="345" t="s">
        <v>630</v>
      </c>
      <c r="J50" s="345" t="s">
        <v>631</v>
      </c>
      <c r="K50" s="339"/>
      <c r="AL50" s="1400"/>
      <c r="AQ50" s="1705"/>
      <c r="AR50" s="345">
        <f>AU7</f>
        <v>0</v>
      </c>
      <c r="AS50" s="345" t="s">
        <v>16</v>
      </c>
      <c r="AT50" s="345" t="s">
        <v>629</v>
      </c>
      <c r="AU50" s="345" t="s">
        <v>17</v>
      </c>
      <c r="AV50" s="345" t="s">
        <v>630</v>
      </c>
      <c r="AW50" s="345" t="s">
        <v>631</v>
      </c>
      <c r="AX50" s="339"/>
      <c r="AY50" s="1282"/>
      <c r="CD50" s="1705"/>
      <c r="CE50" s="345">
        <f>CH7</f>
        <v>0</v>
      </c>
      <c r="CF50" s="345" t="s">
        <v>16</v>
      </c>
      <c r="CG50" s="345" t="s">
        <v>629</v>
      </c>
      <c r="CH50" s="345" t="s">
        <v>17</v>
      </c>
      <c r="CI50" s="345" t="s">
        <v>630</v>
      </c>
      <c r="CJ50" s="345" t="s">
        <v>631</v>
      </c>
      <c r="CK50" s="339"/>
      <c r="CL50" s="1282"/>
    </row>
    <row r="51" spans="3:90" ht="52.95" hidden="1" customHeight="1" x14ac:dyDescent="0.5">
      <c r="D51" s="1718"/>
      <c r="E51" s="347" t="s">
        <v>632</v>
      </c>
      <c r="F51" s="348">
        <f ca="1">'6.Summary'!F61</f>
        <v>108238120.75</v>
      </c>
      <c r="G51" s="348">
        <f ca="1">'6.Summary'!G61</f>
        <v>50470341.25</v>
      </c>
      <c r="H51" s="348">
        <f ca="1">'6.Summary'!H61</f>
        <v>176705441.25</v>
      </c>
      <c r="I51" s="348">
        <f ca="1">'6.Summary'!I61</f>
        <v>73012719.25</v>
      </c>
      <c r="J51" s="348">
        <f ca="1">SUM(F51:I51)</f>
        <v>408426622.5</v>
      </c>
      <c r="K51" s="339"/>
      <c r="AL51" s="1400"/>
      <c r="AQ51" s="1705"/>
      <c r="AR51" s="347" t="s">
        <v>632</v>
      </c>
      <c r="AS51" s="348">
        <f>'6.Summary'!AS61</f>
        <v>0</v>
      </c>
      <c r="AT51" s="348">
        <f>'6.Summary'!AT61</f>
        <v>0</v>
      </c>
      <c r="AU51" s="348">
        <f>'6.Summary'!AU61</f>
        <v>0</v>
      </c>
      <c r="AV51" s="348">
        <f>'6.Summary'!AV61</f>
        <v>0</v>
      </c>
      <c r="AW51" s="348">
        <f>SUM(AS51:AV51)</f>
        <v>0</v>
      </c>
      <c r="AX51" s="339"/>
      <c r="AY51" s="1282"/>
      <c r="CD51" s="1705"/>
      <c r="CE51" s="347" t="s">
        <v>632</v>
      </c>
      <c r="CF51" s="348">
        <f>'6.Summary'!CF61</f>
        <v>0</v>
      </c>
      <c r="CG51" s="348">
        <f>'6.Summary'!CG61</f>
        <v>0</v>
      </c>
      <c r="CH51" s="348">
        <f>'6.Summary'!CH61</f>
        <v>0</v>
      </c>
      <c r="CI51" s="348">
        <f>'6.Summary'!CI61</f>
        <v>0</v>
      </c>
      <c r="CJ51" s="348">
        <f>SUM(CF51:CI51)</f>
        <v>0</v>
      </c>
      <c r="CK51" s="339"/>
      <c r="CL51" s="1282"/>
    </row>
    <row r="52" spans="3:90" ht="26.55" hidden="1" customHeight="1" x14ac:dyDescent="0.5">
      <c r="D52" s="1718"/>
      <c r="E52" s="349" t="s">
        <v>633</v>
      </c>
      <c r="F52" s="350" t="e">
        <v>#REF!</v>
      </c>
      <c r="G52" s="350" t="e">
        <v>#REF!</v>
      </c>
      <c r="H52" s="350" t="e">
        <v>#REF!</v>
      </c>
      <c r="I52" s="350" t="e">
        <v>#REF!</v>
      </c>
      <c r="J52" s="350" t="e">
        <f>SUM(F52:I52)</f>
        <v>#REF!</v>
      </c>
      <c r="K52" s="339"/>
      <c r="AL52" s="1400"/>
      <c r="AQ52" s="1705"/>
      <c r="AR52" s="349" t="s">
        <v>633</v>
      </c>
      <c r="AS52" s="350" t="e">
        <v>#REF!</v>
      </c>
      <c r="AT52" s="350" t="e">
        <v>#REF!</v>
      </c>
      <c r="AU52" s="350" t="e">
        <v>#REF!</v>
      </c>
      <c r="AV52" s="350" t="e">
        <v>#REF!</v>
      </c>
      <c r="AW52" s="350" t="e">
        <f>SUM(AS52:AV52)</f>
        <v>#REF!</v>
      </c>
      <c r="AX52" s="339"/>
      <c r="AY52" s="1282"/>
      <c r="CD52" s="1705"/>
      <c r="CE52" s="349" t="s">
        <v>633</v>
      </c>
      <c r="CF52" s="350" t="e">
        <v>#REF!</v>
      </c>
      <c r="CG52" s="350" t="e">
        <v>#REF!</v>
      </c>
      <c r="CH52" s="350" t="e">
        <v>#REF!</v>
      </c>
      <c r="CI52" s="350" t="e">
        <v>#REF!</v>
      </c>
      <c r="CJ52" s="350" t="e">
        <f>SUM(CF52:CI52)</f>
        <v>#REF!</v>
      </c>
      <c r="CK52" s="339"/>
      <c r="CL52" s="1282"/>
    </row>
    <row r="53" spans="3:90" ht="14.55" hidden="1" customHeight="1" x14ac:dyDescent="0.5">
      <c r="D53" s="1718"/>
      <c r="E53" s="351" t="s">
        <v>634</v>
      </c>
      <c r="F53" s="352" t="e">
        <f ca="1">F52-F51</f>
        <v>#REF!</v>
      </c>
      <c r="G53" s="352" t="e">
        <f ca="1">G52-G51</f>
        <v>#REF!</v>
      </c>
      <c r="H53" s="352" t="e">
        <f ca="1">H52-H51</f>
        <v>#REF!</v>
      </c>
      <c r="I53" s="352" t="e">
        <f ca="1">I52-I51</f>
        <v>#REF!</v>
      </c>
      <c r="J53" s="352" t="e">
        <f ca="1">SUM(F53:I53)</f>
        <v>#REF!</v>
      </c>
      <c r="K53" s="339"/>
      <c r="AL53" s="1400"/>
      <c r="AQ53" s="1705"/>
      <c r="AR53" s="351" t="s">
        <v>634</v>
      </c>
      <c r="AS53" s="352" t="e">
        <f>AS52-AS51</f>
        <v>#REF!</v>
      </c>
      <c r="AT53" s="352" t="e">
        <f>AT52-AT51</f>
        <v>#REF!</v>
      </c>
      <c r="AU53" s="352" t="e">
        <f>AU52-AU51</f>
        <v>#REF!</v>
      </c>
      <c r="AV53" s="352" t="e">
        <f>AV52-AV51</f>
        <v>#REF!</v>
      </c>
      <c r="AW53" s="352" t="e">
        <f>SUM(AS53:AV53)</f>
        <v>#REF!</v>
      </c>
      <c r="AX53" s="339"/>
      <c r="AY53" s="1282"/>
      <c r="CD53" s="1705"/>
      <c r="CE53" s="351" t="s">
        <v>634</v>
      </c>
      <c r="CF53" s="352" t="e">
        <f>CF52-CF51</f>
        <v>#REF!</v>
      </c>
      <c r="CG53" s="352" t="e">
        <f>CG52-CG51</f>
        <v>#REF!</v>
      </c>
      <c r="CH53" s="352" t="e">
        <f>CH52-CH51</f>
        <v>#REF!</v>
      </c>
      <c r="CI53" s="352" t="e">
        <f>CI52-CI51</f>
        <v>#REF!</v>
      </c>
      <c r="CJ53" s="352" t="e">
        <f>SUM(CF53:CI53)</f>
        <v>#REF!</v>
      </c>
      <c r="CK53" s="339"/>
      <c r="CL53" s="1282"/>
    </row>
    <row r="54" spans="3:90" ht="14.55" hidden="1" customHeight="1" x14ac:dyDescent="0.5">
      <c r="D54" s="1718"/>
      <c r="E54" s="1706" t="s">
        <v>636</v>
      </c>
      <c r="F54" s="1707"/>
      <c r="G54" s="1707"/>
      <c r="H54" s="1707"/>
      <c r="I54" s="1707"/>
      <c r="J54" s="1708"/>
      <c r="K54" s="339"/>
      <c r="AL54" s="1400"/>
      <c r="AQ54" s="1705"/>
      <c r="AR54" s="1706" t="s">
        <v>636</v>
      </c>
      <c r="AS54" s="1707"/>
      <c r="AT54" s="1707"/>
      <c r="AU54" s="1707"/>
      <c r="AV54" s="1707"/>
      <c r="AW54" s="1708"/>
      <c r="AX54" s="339"/>
      <c r="AY54" s="1282"/>
      <c r="CD54" s="1705"/>
      <c r="CE54" s="1706" t="s">
        <v>636</v>
      </c>
      <c r="CF54" s="1707"/>
      <c r="CG54" s="1707"/>
      <c r="CH54" s="1707"/>
      <c r="CI54" s="1707"/>
      <c r="CJ54" s="1708"/>
      <c r="CK54" s="339"/>
      <c r="CL54" s="1282"/>
    </row>
    <row r="55" spans="3:90" ht="14.55" hidden="1" customHeight="1" x14ac:dyDescent="0.5">
      <c r="D55" s="353"/>
      <c r="E55" s="1709"/>
      <c r="F55" s="1710"/>
      <c r="G55" s="1710"/>
      <c r="H55" s="1710"/>
      <c r="I55" s="1710"/>
      <c r="J55" s="1711"/>
      <c r="K55" s="339"/>
      <c r="AL55" s="1400"/>
      <c r="AQ55" s="353"/>
      <c r="AR55" s="1709"/>
      <c r="AS55" s="1710"/>
      <c r="AT55" s="1710"/>
      <c r="AU55" s="1710"/>
      <c r="AV55" s="1710"/>
      <c r="AW55" s="1711"/>
      <c r="AX55" s="339"/>
      <c r="AY55" s="1282"/>
      <c r="CD55" s="353"/>
      <c r="CE55" s="1709"/>
      <c r="CF55" s="1710"/>
      <c r="CG55" s="1710"/>
      <c r="CH55" s="1710"/>
      <c r="CI55" s="1710"/>
      <c r="CJ55" s="1711"/>
      <c r="CK55" s="339"/>
      <c r="CL55" s="1282"/>
    </row>
    <row r="56" spans="3:90" ht="14.55" hidden="1" customHeight="1" x14ac:dyDescent="0.5">
      <c r="D56" s="354"/>
      <c r="E56" s="356"/>
      <c r="F56" s="356"/>
      <c r="G56" s="356"/>
      <c r="H56" s="356"/>
      <c r="I56" s="356"/>
      <c r="J56" s="356"/>
      <c r="K56" s="357"/>
      <c r="AL56" s="1400"/>
      <c r="AQ56" s="354"/>
      <c r="AR56" s="356"/>
      <c r="AS56" s="356"/>
      <c r="AT56" s="356"/>
      <c r="AU56" s="356"/>
      <c r="AV56" s="356"/>
      <c r="AW56" s="356"/>
      <c r="AX56" s="357"/>
      <c r="AY56" s="1282"/>
      <c r="CD56" s="354"/>
      <c r="CE56" s="356"/>
      <c r="CF56" s="356"/>
      <c r="CG56" s="356"/>
      <c r="CH56" s="356"/>
      <c r="CI56" s="356"/>
      <c r="CJ56" s="356"/>
      <c r="CK56" s="357"/>
      <c r="CL56" s="1282"/>
    </row>
    <row r="57" spans="3:90" ht="14.55" hidden="1" customHeight="1" x14ac:dyDescent="0.5">
      <c r="AL57" s="1400"/>
      <c r="AS57" s="1282"/>
      <c r="AT57" s="1282"/>
      <c r="AU57" s="1282"/>
      <c r="AV57" s="1282"/>
      <c r="AW57" s="1282"/>
      <c r="AX57" s="1282"/>
      <c r="AY57" s="1282"/>
      <c r="CF57" s="1282"/>
      <c r="CG57" s="1282"/>
      <c r="CH57" s="1282"/>
      <c r="CI57" s="1282"/>
      <c r="CJ57" s="1282"/>
      <c r="CK57" s="1282"/>
      <c r="CL57" s="1282"/>
    </row>
    <row r="58" spans="3:90" ht="19.05" customHeight="1" thickTop="1" x14ac:dyDescent="0.5">
      <c r="AS58" s="1282"/>
      <c r="AT58" s="1282"/>
      <c r="AU58" s="1282"/>
      <c r="AV58" s="1282"/>
      <c r="AW58" s="1282"/>
      <c r="AX58" s="1282"/>
      <c r="AY58" s="1282"/>
      <c r="CF58" s="1282"/>
      <c r="CG58" s="1282"/>
      <c r="CH58" s="1282"/>
      <c r="CI58" s="1282"/>
      <c r="CJ58" s="1282"/>
      <c r="CK58" s="1282"/>
      <c r="CL58" s="1282"/>
    </row>
    <row r="59" spans="3:90" x14ac:dyDescent="0.5">
      <c r="C59" s="1702"/>
      <c r="D59" s="1702"/>
      <c r="E59" s="1702"/>
      <c r="F59" s="1702"/>
      <c r="G59" s="1702"/>
      <c r="H59" s="1702"/>
      <c r="I59" s="1702"/>
      <c r="J59" s="1702"/>
      <c r="K59" s="1702"/>
      <c r="L59" s="1702"/>
      <c r="M59" s="1702"/>
      <c r="N59" s="1702"/>
      <c r="O59" s="1702"/>
      <c r="P59" s="1702"/>
      <c r="Q59" s="1702"/>
      <c r="R59" s="1702"/>
      <c r="S59" s="1702"/>
      <c r="T59" s="1702"/>
      <c r="U59" s="1702"/>
      <c r="V59" s="1702"/>
      <c r="W59" s="1702"/>
      <c r="X59" s="1702"/>
      <c r="Y59" s="1702"/>
      <c r="Z59" s="1702"/>
      <c r="AA59" s="1702"/>
      <c r="AB59" s="1702"/>
      <c r="AC59" s="1702"/>
      <c r="AD59" s="1702"/>
      <c r="AE59" s="1702"/>
      <c r="AF59" s="1702"/>
      <c r="AG59" s="1702"/>
      <c r="AH59" s="1702"/>
      <c r="AI59" s="1702"/>
      <c r="AJ59" s="1702"/>
      <c r="AK59" s="1702"/>
      <c r="AL59" s="1703"/>
      <c r="AS59" s="1282"/>
      <c r="AT59" s="1282"/>
      <c r="AU59" s="1282"/>
      <c r="AV59" s="1282"/>
      <c r="AW59" s="1282"/>
      <c r="AX59" s="1282"/>
      <c r="AY59" s="1282"/>
      <c r="CF59" s="1282"/>
      <c r="CG59" s="1282"/>
      <c r="CH59" s="1282"/>
      <c r="CI59" s="1282"/>
      <c r="CJ59" s="1282"/>
      <c r="CK59" s="1282"/>
      <c r="CL59" s="1282"/>
    </row>
    <row r="60" spans="3:90" x14ac:dyDescent="0.5">
      <c r="AS60" s="1282"/>
      <c r="AT60" s="1282"/>
      <c r="AU60" s="1282"/>
      <c r="AV60" s="1282"/>
      <c r="AW60" s="1282"/>
      <c r="AX60" s="1282"/>
      <c r="AY60" s="1282"/>
      <c r="CF60" s="1282"/>
      <c r="CG60" s="1282"/>
      <c r="CH60" s="1282"/>
      <c r="CI60" s="1282"/>
      <c r="CJ60" s="1282"/>
      <c r="CK60" s="1282"/>
      <c r="CL60" s="1282"/>
    </row>
    <row r="61" spans="3:90" x14ac:dyDescent="0.5">
      <c r="AS61" s="1282"/>
      <c r="AT61" s="1282"/>
      <c r="AU61" s="1282"/>
      <c r="AV61" s="1282"/>
      <c r="AW61" s="1282"/>
      <c r="AX61" s="1282"/>
      <c r="AY61" s="1282"/>
      <c r="CF61" s="1282"/>
      <c r="CG61" s="1282"/>
      <c r="CH61" s="1282"/>
      <c r="CI61" s="1282"/>
      <c r="CJ61" s="1282"/>
      <c r="CK61" s="1282"/>
      <c r="CL61" s="1282"/>
    </row>
    <row r="62" spans="3:90" x14ac:dyDescent="0.5">
      <c r="AI62" s="359" t="str">
        <f>AI4</f>
        <v>WC</v>
      </c>
      <c r="AS62" s="1282"/>
      <c r="AT62" s="1282"/>
      <c r="AU62" s="1282"/>
      <c r="AV62" s="1282"/>
      <c r="AW62" s="1282"/>
      <c r="AX62" s="1282"/>
      <c r="AY62" s="1282"/>
      <c r="CF62" s="1282"/>
      <c r="CG62" s="1282"/>
      <c r="CH62" s="1282"/>
      <c r="CI62" s="1282"/>
      <c r="CJ62" s="1282"/>
      <c r="CK62" s="1282"/>
      <c r="CL62" s="1282"/>
    </row>
    <row r="63" spans="3:90" x14ac:dyDescent="0.5">
      <c r="AI63" s="359" t="str">
        <f>AI9</f>
        <v>Overberg</v>
      </c>
      <c r="AS63" s="1282"/>
      <c r="AT63" s="1282"/>
      <c r="AU63" s="1282"/>
      <c r="AV63" s="1282"/>
      <c r="AW63" s="1282"/>
      <c r="AX63" s="1282"/>
      <c r="AY63" s="1282"/>
      <c r="CF63" s="1282"/>
      <c r="CG63" s="1282"/>
      <c r="CH63" s="1282"/>
      <c r="CI63" s="1282"/>
      <c r="CJ63" s="1282"/>
      <c r="CK63" s="1282"/>
      <c r="CL63" s="1282"/>
    </row>
    <row r="64" spans="3:90" x14ac:dyDescent="0.5">
      <c r="F64" s="1230" t="s">
        <v>1455</v>
      </c>
      <c r="G64" s="359">
        <f>SUM(F66:I66)</f>
        <v>4</v>
      </c>
      <c r="H64" s="359"/>
      <c r="I64" s="359"/>
      <c r="AI64" s="359" t="str">
        <f>AI14</f>
        <v>Theewaterskloof</v>
      </c>
      <c r="AS64" s="1230" t="s">
        <v>1455</v>
      </c>
      <c r="AT64" s="359">
        <f>SUM(AS66:AV66)</f>
        <v>4</v>
      </c>
      <c r="AW64" s="1282"/>
      <c r="AX64" s="1282"/>
      <c r="AY64" s="1282"/>
      <c r="CF64" s="1230" t="s">
        <v>1455</v>
      </c>
      <c r="CG64" s="359">
        <f>SUM(CF66:CI66)</f>
        <v>4</v>
      </c>
      <c r="CJ64" s="1282"/>
      <c r="CK64" s="1282"/>
      <c r="CL64" s="1282"/>
    </row>
    <row r="65" spans="6:90" x14ac:dyDescent="0.5">
      <c r="F65" s="1230"/>
      <c r="G65" s="1230"/>
      <c r="H65" s="1230"/>
      <c r="I65" s="1230"/>
      <c r="AI65" s="359" t="str">
        <f>AI23</f>
        <v>WC031</v>
      </c>
      <c r="AS65" s="1230"/>
      <c r="AT65" s="1230"/>
      <c r="AU65" s="1230"/>
      <c r="AV65" s="1230"/>
      <c r="AW65" s="1282"/>
      <c r="AX65" s="1282"/>
      <c r="AY65" s="1282"/>
      <c r="CF65" s="1230"/>
      <c r="CG65" s="1230"/>
      <c r="CH65" s="1230"/>
      <c r="CI65" s="1230"/>
      <c r="CJ65" s="1282"/>
      <c r="CK65" s="1282"/>
      <c r="CL65" s="1282"/>
    </row>
    <row r="66" spans="6:90" x14ac:dyDescent="0.5">
      <c r="F66" s="1230">
        <f>--IF(G20="","-1","1")</f>
        <v>1</v>
      </c>
      <c r="G66" s="1230">
        <f>--IF(H20="","-1","1")</f>
        <v>1</v>
      </c>
      <c r="H66" s="1230">
        <f>--IF(I20="","-1","1")</f>
        <v>1</v>
      </c>
      <c r="I66" s="1230">
        <f>--IF(J20="","-1","1")</f>
        <v>1</v>
      </c>
      <c r="AS66" s="1303">
        <f>--IF(AT20="","-1","1")</f>
        <v>1</v>
      </c>
      <c r="AT66" s="1303">
        <f>--IF(AU20="","-1","1")</f>
        <v>1</v>
      </c>
      <c r="AU66" s="1303">
        <f>--IF(AV20="","-1","1")</f>
        <v>1</v>
      </c>
      <c r="AV66" s="1303">
        <f>--IF(AW20="","-1","1")</f>
        <v>1</v>
      </c>
      <c r="AW66" s="1282"/>
      <c r="AX66" s="1282"/>
      <c r="AY66" s="1282"/>
      <c r="CF66" s="1230">
        <f>--IF(CG20="","-1","1")</f>
        <v>1</v>
      </c>
      <c r="CG66" s="1230">
        <f>--IF(CH20="","-1","1")</f>
        <v>1</v>
      </c>
      <c r="CH66" s="1230">
        <f>--IF(CI20="","-1","1")</f>
        <v>1</v>
      </c>
      <c r="CI66" s="1230">
        <f>--IF(CJ20="","-1","1")</f>
        <v>1</v>
      </c>
      <c r="CJ66" s="1282"/>
      <c r="CK66" s="1282"/>
      <c r="CL66" s="1282"/>
    </row>
    <row r="67" spans="6:90" x14ac:dyDescent="0.5">
      <c r="AS67" s="1282"/>
      <c r="AT67" s="1282"/>
      <c r="AU67" s="1282"/>
      <c r="AV67" s="1282"/>
      <c r="AW67" s="1282"/>
      <c r="AX67" s="1282"/>
      <c r="AY67" s="1282"/>
      <c r="CF67" s="1282"/>
      <c r="CG67" s="1282"/>
      <c r="CH67" s="1282"/>
      <c r="CI67" s="1282"/>
      <c r="CJ67" s="1282"/>
      <c r="CK67" s="1282"/>
      <c r="CL67" s="1282"/>
    </row>
  </sheetData>
  <mergeCells count="68">
    <mergeCell ref="CD31:CF32"/>
    <mergeCell ref="C59:AL59"/>
    <mergeCell ref="N32:AK32"/>
    <mergeCell ref="CD47:CD54"/>
    <mergeCell ref="CE54:CJ55"/>
    <mergeCell ref="CD45:CK46"/>
    <mergeCell ref="D47:D54"/>
    <mergeCell ref="E41:J42"/>
    <mergeCell ref="E54:J55"/>
    <mergeCell ref="AR54:AW55"/>
    <mergeCell ref="AR41:AW42"/>
    <mergeCell ref="AQ45:AX46"/>
    <mergeCell ref="AQ47:AQ54"/>
    <mergeCell ref="CE41:CJ42"/>
    <mergeCell ref="D45:K46"/>
    <mergeCell ref="D31:F32"/>
    <mergeCell ref="AQ31:AS32"/>
    <mergeCell ref="E11:F12"/>
    <mergeCell ref="Y12:AF12"/>
    <mergeCell ref="L11:L12"/>
    <mergeCell ref="E15:L16"/>
    <mergeCell ref="E23:L25"/>
    <mergeCell ref="Y23:AF25"/>
    <mergeCell ref="Y15:AF16"/>
    <mergeCell ref="F13:K13"/>
    <mergeCell ref="O15:V16"/>
    <mergeCell ref="O23:V25"/>
    <mergeCell ref="G27:L28"/>
    <mergeCell ref="AY11:AY12"/>
    <mergeCell ref="AT27:AY28"/>
    <mergeCell ref="BL15:BS16"/>
    <mergeCell ref="AR15:AY16"/>
    <mergeCell ref="AR23:AY25"/>
    <mergeCell ref="BL23:BS25"/>
    <mergeCell ref="BB23:BI25"/>
    <mergeCell ref="BB15:BI16"/>
    <mergeCell ref="CE23:CL25"/>
    <mergeCell ref="CG27:CL28"/>
    <mergeCell ref="D3:AK3"/>
    <mergeCell ref="BV9:BW12"/>
    <mergeCell ref="BB12:BI12"/>
    <mergeCell ref="AR11:AS12"/>
    <mergeCell ref="O12:V12"/>
    <mergeCell ref="AI4:AJ7"/>
    <mergeCell ref="BV4:BW7"/>
    <mergeCell ref="AQ3:BX3"/>
    <mergeCell ref="AI9:AJ12"/>
    <mergeCell ref="AI14:AJ21"/>
    <mergeCell ref="AI23:AJ29"/>
    <mergeCell ref="BL12:BS12"/>
    <mergeCell ref="AS13:AX13"/>
    <mergeCell ref="BV14:BW21"/>
    <mergeCell ref="CD3:DK3"/>
    <mergeCell ref="DI23:DJ29"/>
    <mergeCell ref="CO23:CV25"/>
    <mergeCell ref="CY23:DF25"/>
    <mergeCell ref="BV23:BW29"/>
    <mergeCell ref="DI4:DJ7"/>
    <mergeCell ref="DI9:DJ12"/>
    <mergeCell ref="CO12:CV12"/>
    <mergeCell ref="DI14:DJ21"/>
    <mergeCell ref="CO15:CV16"/>
    <mergeCell ref="CY15:DF16"/>
    <mergeCell ref="CY12:DF12"/>
    <mergeCell ref="CL11:CL12"/>
    <mergeCell ref="CE11:CF12"/>
    <mergeCell ref="CF13:CK13"/>
    <mergeCell ref="CE15:CL16"/>
  </mergeCells>
  <conditionalFormatting sqref="Q20:T20 AA20:AD20 G20:K20">
    <cfRule type="expression" dxfId="77" priority="321">
      <formula>#REF!&gt;0</formula>
    </cfRule>
  </conditionalFormatting>
  <conditionalFormatting sqref="E11:F12">
    <cfRule type="containsText" dxfId="76" priority="52" stopIfTrue="1" operator="containsText" text="Part B">
      <formula>NOT(ISERROR(SEARCH("Part B",E11)))</formula>
    </cfRule>
  </conditionalFormatting>
  <conditionalFormatting sqref="AI9:AJ12 AI14:AJ21 AI23:AJ29 AI4 BV4 DI4">
    <cfRule type="containsText" dxfId="75" priority="51" stopIfTrue="1" operator="containsText" text="Not comp">
      <formula>NOT(ISERROR(SEARCH("Not comp",AI4)))</formula>
    </cfRule>
  </conditionalFormatting>
  <conditionalFormatting sqref="G27:L28">
    <cfRule type="containsText" dxfId="74" priority="13" stopIfTrue="1" operator="containsText" text="No Assessment Performed">
      <formula>NOT(ISERROR(SEARCH("No Assessment Performed",G27)))</formula>
    </cfRule>
    <cfRule type="containsText" dxfId="73" priority="50" stopIfTrue="1" operator="containsText" text="Part B must be completed">
      <formula>NOT(ISERROR(SEARCH("Part B must be completed",G27)))</formula>
    </cfRule>
  </conditionalFormatting>
  <conditionalFormatting sqref="CG20:CJ20">
    <cfRule type="expression" dxfId="72" priority="36">
      <formula>#REF!&gt;0</formula>
    </cfRule>
  </conditionalFormatting>
  <conditionalFormatting sqref="CE11:CF12">
    <cfRule type="containsText" dxfId="71" priority="32" stopIfTrue="1" operator="containsText" text="Part B">
      <formula>NOT(ISERROR(SEARCH("Part B",CE11)))</formula>
    </cfRule>
  </conditionalFormatting>
  <conditionalFormatting sqref="BD20:BG20 BN20:BQ20">
    <cfRule type="expression" dxfId="70" priority="30">
      <formula>#REF!&gt;0</formula>
    </cfRule>
  </conditionalFormatting>
  <conditionalFormatting sqref="BV9:BW12 BV14:BW21 BV23:BW29">
    <cfRule type="containsText" dxfId="69" priority="23" stopIfTrue="1" operator="containsText" text="Not comp">
      <formula>NOT(ISERROR(SEARCH("Not comp",BV9)))</formula>
    </cfRule>
  </conditionalFormatting>
  <conditionalFormatting sqref="CQ20:CT20 DA20:DD20">
    <cfRule type="expression" dxfId="68" priority="22">
      <formula>#REF!&gt;0</formula>
    </cfRule>
  </conditionalFormatting>
  <conditionalFormatting sqref="DI9:DJ12 DI14:DJ21 DI23:DJ29">
    <cfRule type="containsText" dxfId="67" priority="15" stopIfTrue="1" operator="containsText" text="Not comp">
      <formula>NOT(ISERROR(SEARCH("Not comp",DI9)))</formula>
    </cfRule>
  </conditionalFormatting>
  <conditionalFormatting sqref="AT27:AY28">
    <cfRule type="containsText" dxfId="66" priority="8" stopIfTrue="1" operator="containsText" text="No Assessment Performed">
      <formula>NOT(ISERROR(SEARCH("No Assessment Performed",AT27)))</formula>
    </cfRule>
    <cfRule type="containsText" dxfId="65" priority="9" stopIfTrue="1" operator="containsText" text="Part B must be completed">
      <formula>NOT(ISERROR(SEARCH("Part B must be completed",AT27)))</formula>
    </cfRule>
  </conditionalFormatting>
  <conditionalFormatting sqref="AR11:AS12">
    <cfRule type="containsText" dxfId="64" priority="7" stopIfTrue="1" operator="containsText" text="Part B">
      <formula>NOT(ISERROR(SEARCH("Part B",AR11)))</formula>
    </cfRule>
  </conditionalFormatting>
  <conditionalFormatting sqref="AT20:AW20">
    <cfRule type="expression" dxfId="63" priority="6">
      <formula>#REF!&gt;0</formula>
    </cfRule>
  </conditionalFormatting>
  <conditionalFormatting sqref="CG27:CL28">
    <cfRule type="containsText" dxfId="62" priority="1" stopIfTrue="1" operator="containsText" text="No Assessment Performed">
      <formula>NOT(ISERROR(SEARCH("No Assessment Performed",CG27)))</formula>
    </cfRule>
    <cfRule type="containsText" dxfId="61" priority="2" stopIfTrue="1" operator="containsText" text="Part B must be completed">
      <formula>NOT(ISERROR(SEARCH("Part B must be completed",CG27)))</formula>
    </cfRule>
  </conditionalFormatting>
  <conditionalFormatting sqref="G27 Q27 AA27 BD27 BN27 CQ27 DA27 AT27 CG27">
    <cfRule type="containsText" dxfId="60" priority="322" operator="containsText" text="Net surplus is positive">
      <formula>NOT(ISERROR(SEARCH("Net surplus is positive",G27)))</formula>
    </cfRule>
    <cfRule type="containsText" dxfId="59" priority="323" operator="containsText" text="net surplus is negative">
      <formula>NOT(ISERROR(SEARCH("net surplus is negative",G27)))</formula>
    </cfRule>
    <cfRule type="expression" dxfId="58" priority="324">
      <formula>$F$31&lt;0</formula>
    </cfRule>
  </conditionalFormatting>
  <pageMargins left="0.7" right="0.7" top="0.75" bottom="0.75" header="0.3" footer="0.3"/>
  <pageSetup paperSize="9" orientation="portrait" r:id="rId1"/>
  <drawing r:id="rId2"/>
  <legacyDrawing r:id="rId3"/>
  <controls>
    <mc:AlternateContent xmlns:mc="http://schemas.openxmlformats.org/markup-compatibility/2006">
      <mc:Choice Requires="x14">
        <control shapeId="23626756" r:id="rId4" name="ComboBox1">
          <controlPr defaultSize="0" autoLine="0" linkedCell="G7" listFillRange="Dd!F2:F258" r:id="rId5">
            <anchor moveWithCells="1">
              <from>
                <xdr:col>4</xdr:col>
                <xdr:colOff>762000</xdr:colOff>
                <xdr:row>5</xdr:row>
                <xdr:rowOff>167640</xdr:rowOff>
              </from>
              <to>
                <xdr:col>8</xdr:col>
                <xdr:colOff>369570</xdr:colOff>
                <xdr:row>7</xdr:row>
                <xdr:rowOff>144780</xdr:rowOff>
              </to>
            </anchor>
          </controlPr>
        </control>
      </mc:Choice>
      <mc:Fallback>
        <control shapeId="23626756" r:id="rId4" name="ComboBox1"/>
      </mc:Fallback>
    </mc:AlternateContent>
    <mc:AlternateContent xmlns:mc="http://schemas.openxmlformats.org/markup-compatibility/2006">
      <mc:Choice Requires="x14">
        <control shapeId="23626758" r:id="rId6" name="ComboBox2">
          <controlPr defaultSize="0" autoLine="0" linkedCell="Dd!AT1" listFillRange="Dd!A1:A3" r:id="rId7">
            <anchor moveWithCells="1">
              <from>
                <xdr:col>10</xdr:col>
                <xdr:colOff>15240</xdr:colOff>
                <xdr:row>5</xdr:row>
                <xdr:rowOff>220980</xdr:rowOff>
              </from>
              <to>
                <xdr:col>10</xdr:col>
                <xdr:colOff>834390</xdr:colOff>
                <xdr:row>7</xdr:row>
                <xdr:rowOff>99060</xdr:rowOff>
              </to>
            </anchor>
          </controlPr>
        </control>
      </mc:Choice>
      <mc:Fallback>
        <control shapeId="23626758" r:id="rId6" name="ComboBox2"/>
      </mc:Fallback>
    </mc:AlternateContent>
    <mc:AlternateContent xmlns:mc="http://schemas.openxmlformats.org/markup-compatibility/2006">
      <mc:Choice Requires="x14">
        <control shapeId="23626759" r:id="rId8" name="ComboBox3">
          <controlPr defaultSize="0" autoLine="0" linkedCell="Dd!J1" listFillRange="Dd!K1:K9" r:id="rId9">
            <anchor moveWithCells="1">
              <from>
                <xdr:col>11</xdr:col>
                <xdr:colOff>38100</xdr:colOff>
                <xdr:row>6</xdr:row>
                <xdr:rowOff>0</xdr:rowOff>
              </from>
              <to>
                <xdr:col>11</xdr:col>
                <xdr:colOff>1013460</xdr:colOff>
                <xdr:row>7</xdr:row>
                <xdr:rowOff>68580</xdr:rowOff>
              </to>
            </anchor>
          </controlPr>
        </control>
      </mc:Choice>
      <mc:Fallback>
        <control shapeId="23626759" r:id="rId8" name="ComboBox3"/>
      </mc:Fallback>
    </mc:AlternateContent>
    <mc:AlternateContent xmlns:mc="http://schemas.openxmlformats.org/markup-compatibility/2006">
      <mc:Choice Requires="x14">
        <control shapeId="23626760" r:id="rId10" name="ComboBox4">
          <controlPr defaultSize="0" autoLine="0" linkedCell="G20" listFillRange="Dd!I1:I200" r:id="rId11">
            <anchor moveWithCells="1">
              <from>
                <xdr:col>6</xdr:col>
                <xdr:colOff>0</xdr:colOff>
                <xdr:row>10</xdr:row>
                <xdr:rowOff>0</xdr:rowOff>
              </from>
              <to>
                <xdr:col>6</xdr:col>
                <xdr:colOff>784860</xdr:colOff>
                <xdr:row>12</xdr:row>
                <xdr:rowOff>0</xdr:rowOff>
              </to>
            </anchor>
          </controlPr>
        </control>
      </mc:Choice>
      <mc:Fallback>
        <control shapeId="23626760" r:id="rId10" name="ComboBox4"/>
      </mc:Fallback>
    </mc:AlternateContent>
    <mc:AlternateContent xmlns:mc="http://schemas.openxmlformats.org/markup-compatibility/2006">
      <mc:Choice Requires="x14">
        <control shapeId="23626765" r:id="rId12" name="ComboBox5">
          <controlPr defaultSize="0" autoLine="0" linkedCell="H20" listFillRange="Dd!I1:I200" r:id="rId13">
            <anchor moveWithCells="1">
              <from>
                <xdr:col>7</xdr:col>
                <xdr:colOff>91440</xdr:colOff>
                <xdr:row>10</xdr:row>
                <xdr:rowOff>0</xdr:rowOff>
              </from>
              <to>
                <xdr:col>7</xdr:col>
                <xdr:colOff>876300</xdr:colOff>
                <xdr:row>12</xdr:row>
                <xdr:rowOff>0</xdr:rowOff>
              </to>
            </anchor>
          </controlPr>
        </control>
      </mc:Choice>
      <mc:Fallback>
        <control shapeId="23626765" r:id="rId12" name="ComboBox5"/>
      </mc:Fallback>
    </mc:AlternateContent>
    <mc:AlternateContent xmlns:mc="http://schemas.openxmlformats.org/markup-compatibility/2006">
      <mc:Choice Requires="x14">
        <control shapeId="23626766" r:id="rId14" name="ComboBox6">
          <controlPr defaultSize="0" autoLine="0" linkedCell="I20" listFillRange="Dd!I1:I200" r:id="rId13">
            <anchor moveWithCells="1">
              <from>
                <xdr:col>8</xdr:col>
                <xdr:colOff>144780</xdr:colOff>
                <xdr:row>10</xdr:row>
                <xdr:rowOff>0</xdr:rowOff>
              </from>
              <to>
                <xdr:col>9</xdr:col>
                <xdr:colOff>76200</xdr:colOff>
                <xdr:row>12</xdr:row>
                <xdr:rowOff>0</xdr:rowOff>
              </to>
            </anchor>
          </controlPr>
        </control>
      </mc:Choice>
      <mc:Fallback>
        <control shapeId="23626766" r:id="rId14" name="ComboBox6"/>
      </mc:Fallback>
    </mc:AlternateContent>
    <mc:AlternateContent xmlns:mc="http://schemas.openxmlformats.org/markup-compatibility/2006">
      <mc:Choice Requires="x14">
        <control shapeId="23626767" r:id="rId15" name="ComboBox7">
          <controlPr defaultSize="0" autoLine="0" linkedCell="J20" listFillRange="Dd!I1:I200" r:id="rId16">
            <anchor moveWithCells="1">
              <from>
                <xdr:col>9</xdr:col>
                <xdr:colOff>175260</xdr:colOff>
                <xdr:row>10</xdr:row>
                <xdr:rowOff>0</xdr:rowOff>
              </from>
              <to>
                <xdr:col>10</xdr:col>
                <xdr:colOff>34290</xdr:colOff>
                <xdr:row>12</xdr:row>
                <xdr:rowOff>0</xdr:rowOff>
              </to>
            </anchor>
          </controlPr>
        </control>
      </mc:Choice>
      <mc:Fallback>
        <control shapeId="23626767" r:id="rId15" name="ComboBox7"/>
      </mc:Fallback>
    </mc:AlternateContent>
    <mc:AlternateContent xmlns:mc="http://schemas.openxmlformats.org/markup-compatibility/2006">
      <mc:Choice Requires="x14">
        <control shapeId="23626768" r:id="rId17" name="ComboBox8">
          <controlPr defaultSize="0" autoLine="0" autoPict="0" linkedCell="G7" listFillRange="Dd!F2:F258" r:id="rId18">
            <anchor moveWithCells="1">
              <from>
                <xdr:col>44</xdr:col>
                <xdr:colOff>68580</xdr:colOff>
                <xdr:row>5</xdr:row>
                <xdr:rowOff>190500</xdr:rowOff>
              </from>
              <to>
                <xdr:col>48</xdr:col>
                <xdr:colOff>472440</xdr:colOff>
                <xdr:row>7</xdr:row>
                <xdr:rowOff>106680</xdr:rowOff>
              </to>
            </anchor>
          </controlPr>
        </control>
      </mc:Choice>
      <mc:Fallback>
        <control shapeId="23626768" r:id="rId17" name="ComboBox8"/>
      </mc:Fallback>
    </mc:AlternateContent>
    <mc:AlternateContent xmlns:mc="http://schemas.openxmlformats.org/markup-compatibility/2006">
      <mc:Choice Requires="x14">
        <control shapeId="23626769" r:id="rId19" name="ComboBox9">
          <controlPr defaultSize="0" autoLine="0" linkedCell="AT20" listFillRange="Dd!I1:I200" r:id="rId16">
            <anchor moveWithCells="1">
              <from>
                <xdr:col>45</xdr:col>
                <xdr:colOff>114300</xdr:colOff>
                <xdr:row>9</xdr:row>
                <xdr:rowOff>243840</xdr:rowOff>
              </from>
              <to>
                <xdr:col>45</xdr:col>
                <xdr:colOff>899160</xdr:colOff>
                <xdr:row>11</xdr:row>
                <xdr:rowOff>121920</xdr:rowOff>
              </to>
            </anchor>
          </controlPr>
        </control>
      </mc:Choice>
      <mc:Fallback>
        <control shapeId="23626769" r:id="rId19" name="ComboBox9"/>
      </mc:Fallback>
    </mc:AlternateContent>
    <mc:AlternateContent xmlns:mc="http://schemas.openxmlformats.org/markup-compatibility/2006">
      <mc:Choice Requires="x14">
        <control shapeId="23626770" r:id="rId20" name="ComboBox10">
          <controlPr defaultSize="0" autoLine="0" linkedCell="AU20" listFillRange="Dd!I1:I200" r:id="rId21">
            <anchor moveWithCells="1">
              <from>
                <xdr:col>46</xdr:col>
                <xdr:colOff>53340</xdr:colOff>
                <xdr:row>9</xdr:row>
                <xdr:rowOff>243840</xdr:rowOff>
              </from>
              <to>
                <xdr:col>46</xdr:col>
                <xdr:colOff>830580</xdr:colOff>
                <xdr:row>11</xdr:row>
                <xdr:rowOff>121920</xdr:rowOff>
              </to>
            </anchor>
          </controlPr>
        </control>
      </mc:Choice>
      <mc:Fallback>
        <control shapeId="23626770" r:id="rId20" name="ComboBox10"/>
      </mc:Fallback>
    </mc:AlternateContent>
    <mc:AlternateContent xmlns:mc="http://schemas.openxmlformats.org/markup-compatibility/2006">
      <mc:Choice Requires="x14">
        <control shapeId="23626771" r:id="rId22" name="ComboBox11">
          <controlPr defaultSize="0" autoLine="0" linkedCell="AV20" listFillRange="Dd!I1:I200" r:id="rId23">
            <anchor moveWithCells="1">
              <from>
                <xdr:col>47</xdr:col>
                <xdr:colOff>106680</xdr:colOff>
                <xdr:row>9</xdr:row>
                <xdr:rowOff>251460</xdr:rowOff>
              </from>
              <to>
                <xdr:col>48</xdr:col>
                <xdr:colOff>152400</xdr:colOff>
                <xdr:row>11</xdr:row>
                <xdr:rowOff>121920</xdr:rowOff>
              </to>
            </anchor>
          </controlPr>
        </control>
      </mc:Choice>
      <mc:Fallback>
        <control shapeId="23626771" r:id="rId22" name="ComboBox11"/>
      </mc:Fallback>
    </mc:AlternateContent>
    <mc:AlternateContent xmlns:mc="http://schemas.openxmlformats.org/markup-compatibility/2006">
      <mc:Choice Requires="x14">
        <control shapeId="23626772" r:id="rId24" name="ComboBox12">
          <controlPr defaultSize="0" autoLine="0" linkedCell="AW20" listFillRange="Dd!I1:I200" r:id="rId25">
            <anchor moveWithCells="1">
              <from>
                <xdr:col>48</xdr:col>
                <xdr:colOff>327660</xdr:colOff>
                <xdr:row>9</xdr:row>
                <xdr:rowOff>251460</xdr:rowOff>
              </from>
              <to>
                <xdr:col>48</xdr:col>
                <xdr:colOff>1112520</xdr:colOff>
                <xdr:row>11</xdr:row>
                <xdr:rowOff>121920</xdr:rowOff>
              </to>
            </anchor>
          </controlPr>
        </control>
      </mc:Choice>
      <mc:Fallback>
        <control shapeId="23626772" r:id="rId24" name="ComboBox12"/>
      </mc:Fallback>
    </mc:AlternateContent>
    <mc:AlternateContent xmlns:mc="http://schemas.openxmlformats.org/markup-compatibility/2006">
      <mc:Choice Requires="x14">
        <control shapeId="23626773" r:id="rId26" name="ComboBox13">
          <controlPr defaultSize="0" autoLine="0" autoPict="0" linkedCell="Dd!AT1" listFillRange="Dd!A1:A3" r:id="rId27">
            <anchor moveWithCells="1">
              <from>
                <xdr:col>48</xdr:col>
                <xdr:colOff>1318260</xdr:colOff>
                <xdr:row>5</xdr:row>
                <xdr:rowOff>228600</xdr:rowOff>
              </from>
              <to>
                <xdr:col>50</xdr:col>
                <xdr:colOff>0</xdr:colOff>
                <xdr:row>7</xdr:row>
                <xdr:rowOff>129540</xdr:rowOff>
              </to>
            </anchor>
          </controlPr>
        </control>
      </mc:Choice>
      <mc:Fallback>
        <control shapeId="23626773" r:id="rId26" name="ComboBox13"/>
      </mc:Fallback>
    </mc:AlternateContent>
    <mc:AlternateContent xmlns:mc="http://schemas.openxmlformats.org/markup-compatibility/2006">
      <mc:Choice Requires="x14">
        <control shapeId="23626774" r:id="rId28" name="ComboBox14">
          <controlPr defaultSize="0" autoLine="0" autoPict="0" linkedCell="Dd!J2" listFillRange="Dd!K1:K9" r:id="rId29">
            <anchor moveWithCells="1">
              <from>
                <xdr:col>50</xdr:col>
                <xdr:colOff>152400</xdr:colOff>
                <xdr:row>6</xdr:row>
                <xdr:rowOff>15240</xdr:rowOff>
              </from>
              <to>
                <xdr:col>51</xdr:col>
                <xdr:colOff>22860</xdr:colOff>
                <xdr:row>7</xdr:row>
                <xdr:rowOff>106680</xdr:rowOff>
              </to>
            </anchor>
          </controlPr>
        </control>
      </mc:Choice>
      <mc:Fallback>
        <control shapeId="23626774" r:id="rId28" name="ComboBox14"/>
      </mc:Fallback>
    </mc:AlternateContent>
    <mc:AlternateContent xmlns:mc="http://schemas.openxmlformats.org/markup-compatibility/2006">
      <mc:Choice Requires="x14">
        <control shapeId="23626775" r:id="rId30" name="ComboBox15">
          <controlPr defaultSize="0" autoLine="0" autoPict="0" linkedCell="G7" listFillRange="Dd!F2:F258" r:id="rId31">
            <anchor moveWithCells="1">
              <from>
                <xdr:col>82</xdr:col>
                <xdr:colOff>891540</xdr:colOff>
                <xdr:row>5</xdr:row>
                <xdr:rowOff>22860</xdr:rowOff>
              </from>
              <to>
                <xdr:col>86</xdr:col>
                <xdr:colOff>929640</xdr:colOff>
                <xdr:row>7</xdr:row>
                <xdr:rowOff>91440</xdr:rowOff>
              </to>
            </anchor>
          </controlPr>
        </control>
      </mc:Choice>
      <mc:Fallback>
        <control shapeId="23626775" r:id="rId30" name="ComboBox15"/>
      </mc:Fallback>
    </mc:AlternateContent>
    <mc:AlternateContent xmlns:mc="http://schemas.openxmlformats.org/markup-compatibility/2006">
      <mc:Choice Requires="x14">
        <control shapeId="23626776" r:id="rId32" name="ComboBox16">
          <controlPr defaultSize="0" autoLine="0" linkedCell="CG20" listFillRange="Dd!I1:I200" r:id="rId33">
            <anchor moveWithCells="1">
              <from>
                <xdr:col>83</xdr:col>
                <xdr:colOff>906780</xdr:colOff>
                <xdr:row>9</xdr:row>
                <xdr:rowOff>251460</xdr:rowOff>
              </from>
              <to>
                <xdr:col>84</xdr:col>
                <xdr:colOff>632460</xdr:colOff>
                <xdr:row>11</xdr:row>
                <xdr:rowOff>129540</xdr:rowOff>
              </to>
            </anchor>
          </controlPr>
        </control>
      </mc:Choice>
      <mc:Fallback>
        <control shapeId="23626776" r:id="rId32" name="ComboBox16"/>
      </mc:Fallback>
    </mc:AlternateContent>
    <mc:AlternateContent xmlns:mc="http://schemas.openxmlformats.org/markup-compatibility/2006">
      <mc:Choice Requires="x14">
        <control shapeId="23626777" r:id="rId34" name="ComboBox17">
          <controlPr defaultSize="0" autoLine="0" linkedCell="CH20" listFillRange="Dd!I1:I200" r:id="rId35">
            <anchor moveWithCells="1">
              <from>
                <xdr:col>84</xdr:col>
                <xdr:colOff>838200</xdr:colOff>
                <xdr:row>9</xdr:row>
                <xdr:rowOff>243840</xdr:rowOff>
              </from>
              <to>
                <xdr:col>85</xdr:col>
                <xdr:colOff>689610</xdr:colOff>
                <xdr:row>11</xdr:row>
                <xdr:rowOff>121920</xdr:rowOff>
              </to>
            </anchor>
          </controlPr>
        </control>
      </mc:Choice>
      <mc:Fallback>
        <control shapeId="23626777" r:id="rId34" name="ComboBox17"/>
      </mc:Fallback>
    </mc:AlternateContent>
    <mc:AlternateContent xmlns:mc="http://schemas.openxmlformats.org/markup-compatibility/2006">
      <mc:Choice Requires="x14">
        <control shapeId="23626778" r:id="rId36" name="ComboBox18">
          <controlPr defaultSize="0" autoLine="0" linkedCell="CI20" listFillRange="Dd!I1:I200" r:id="rId16">
            <anchor moveWithCells="1">
              <from>
                <xdr:col>86</xdr:col>
                <xdr:colOff>281940</xdr:colOff>
                <xdr:row>9</xdr:row>
                <xdr:rowOff>243840</xdr:rowOff>
              </from>
              <to>
                <xdr:col>86</xdr:col>
                <xdr:colOff>1066800</xdr:colOff>
                <xdr:row>11</xdr:row>
                <xdr:rowOff>121920</xdr:rowOff>
              </to>
            </anchor>
          </controlPr>
        </control>
      </mc:Choice>
      <mc:Fallback>
        <control shapeId="23626778" r:id="rId36" name="ComboBox18"/>
      </mc:Fallback>
    </mc:AlternateContent>
    <mc:AlternateContent xmlns:mc="http://schemas.openxmlformats.org/markup-compatibility/2006">
      <mc:Choice Requires="x14">
        <control shapeId="23626779" r:id="rId37" name="ComboBox19">
          <controlPr defaultSize="0" autoLine="0" linkedCell="CJ20" listFillRange="Dd!I1:I200" r:id="rId13">
            <anchor moveWithCells="1">
              <from>
                <xdr:col>87</xdr:col>
                <xdr:colOff>53340</xdr:colOff>
                <xdr:row>9</xdr:row>
                <xdr:rowOff>243840</xdr:rowOff>
              </from>
              <to>
                <xdr:col>88</xdr:col>
                <xdr:colOff>26670</xdr:colOff>
                <xdr:row>11</xdr:row>
                <xdr:rowOff>121920</xdr:rowOff>
              </to>
            </anchor>
          </controlPr>
        </control>
      </mc:Choice>
      <mc:Fallback>
        <control shapeId="23626779" r:id="rId37" name="ComboBox19"/>
      </mc:Fallback>
    </mc:AlternateContent>
    <mc:AlternateContent xmlns:mc="http://schemas.openxmlformats.org/markup-compatibility/2006">
      <mc:Choice Requires="x14">
        <control shapeId="23626780" r:id="rId38" name="ComboBox20">
          <controlPr defaultSize="0" autoLine="0" linkedCell="Dd!AT1" listFillRange="Dd!A1:A3" r:id="rId39">
            <anchor moveWithCells="1">
              <from>
                <xdr:col>88</xdr:col>
                <xdr:colOff>30480</xdr:colOff>
                <xdr:row>6</xdr:row>
                <xdr:rowOff>53340</xdr:rowOff>
              </from>
              <to>
                <xdr:col>89</xdr:col>
                <xdr:colOff>41910</xdr:colOff>
                <xdr:row>7</xdr:row>
                <xdr:rowOff>175260</xdr:rowOff>
              </to>
            </anchor>
          </controlPr>
        </control>
      </mc:Choice>
      <mc:Fallback>
        <control shapeId="23626780" r:id="rId38" name="ComboBox20"/>
      </mc:Fallback>
    </mc:AlternateContent>
    <mc:AlternateContent xmlns:mc="http://schemas.openxmlformats.org/markup-compatibility/2006">
      <mc:Choice Requires="x14">
        <control shapeId="23626781" r:id="rId40" name="ComboBox21">
          <controlPr defaultSize="0" autoLine="0" linkedCell="Dd!J3" listFillRange="Dd!K1:K9" r:id="rId41">
            <anchor moveWithCells="1">
              <from>
                <xdr:col>89</xdr:col>
                <xdr:colOff>434340</xdr:colOff>
                <xdr:row>6</xdr:row>
                <xdr:rowOff>38100</xdr:rowOff>
              </from>
              <to>
                <xdr:col>89</xdr:col>
                <xdr:colOff>1386840</xdr:colOff>
                <xdr:row>7</xdr:row>
                <xdr:rowOff>129540</xdr:rowOff>
              </to>
            </anchor>
          </controlPr>
        </control>
      </mc:Choice>
      <mc:Fallback>
        <control shapeId="23626781" r:id="rId40" name="ComboBox21"/>
      </mc:Fallback>
    </mc:AlternateContent>
  </control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46474DA-A323-458A-BAD7-188D846AF203}">
  <sheetPr codeName="Sheet37">
    <tabColor rgb="FFFFFF00"/>
  </sheetPr>
  <dimension ref="B2:Y64"/>
  <sheetViews>
    <sheetView zoomScale="120" zoomScaleNormal="120" workbookViewId="0">
      <selection activeCell="I13" sqref="I13"/>
    </sheetView>
  </sheetViews>
  <sheetFormatPr defaultColWidth="12.20703125" defaultRowHeight="14.55" customHeight="1" x14ac:dyDescent="0.35"/>
  <cols>
    <col min="1" max="1" width="3.20703125" style="402" customWidth="1"/>
    <col min="2" max="3" width="2" style="402" customWidth="1"/>
    <col min="4" max="4" width="2.7890625" style="402" customWidth="1"/>
    <col min="5" max="5" width="14.20703125" style="402" customWidth="1"/>
    <col min="6" max="6" width="7.20703125" style="402" customWidth="1"/>
    <col min="7" max="7" width="5.20703125" style="953" customWidth="1"/>
    <col min="8" max="8" width="23.20703125" style="402" customWidth="1"/>
    <col min="9" max="9" width="14.20703125" style="402" customWidth="1"/>
    <col min="10" max="10" width="16.20703125" style="402" customWidth="1"/>
    <col min="11" max="13" width="11.5234375" style="402" customWidth="1"/>
    <col min="14" max="15" width="2.7890625" style="402" customWidth="1"/>
    <col min="16" max="17" width="1.7890625" style="402" customWidth="1"/>
    <col min="18" max="18" width="12.20703125" style="402" customWidth="1"/>
    <col min="19" max="19" width="10.7890625" style="402" customWidth="1"/>
    <col min="20" max="20" width="13.41796875" style="402" bestFit="1" customWidth="1"/>
    <col min="21" max="21" width="12" style="402" bestFit="1" customWidth="1"/>
    <col min="22" max="22" width="17.41796875" style="402" bestFit="1" customWidth="1"/>
    <col min="23" max="24" width="18.5234375" style="402" bestFit="1" customWidth="1"/>
    <col min="25" max="25" width="17.41796875" style="402" bestFit="1" customWidth="1"/>
    <col min="26" max="16384" width="12.20703125" style="402"/>
  </cols>
  <sheetData>
    <row r="2" spans="2:22" ht="8.5500000000000007" customHeight="1" x14ac:dyDescent="0.35">
      <c r="B2" s="405"/>
      <c r="C2" s="405"/>
      <c r="D2" s="405"/>
      <c r="E2" s="405"/>
      <c r="F2" s="405"/>
      <c r="G2" s="950"/>
      <c r="H2" s="405"/>
      <c r="I2" s="405"/>
      <c r="J2" s="405"/>
      <c r="K2" s="405"/>
      <c r="L2" s="405"/>
      <c r="M2" s="405"/>
      <c r="N2" s="405"/>
      <c r="O2" s="405"/>
      <c r="P2" s="405"/>
      <c r="Q2" s="405"/>
      <c r="R2" s="952"/>
    </row>
    <row r="3" spans="2:22" ht="8.5500000000000007" customHeight="1" x14ac:dyDescent="0.35">
      <c r="B3" s="405"/>
      <c r="C3" s="1288"/>
      <c r="D3" s="1283"/>
      <c r="E3" s="1283"/>
      <c r="F3" s="1283"/>
      <c r="G3" s="1289"/>
      <c r="H3" s="1283"/>
      <c r="I3" s="1283"/>
      <c r="J3" s="1283"/>
      <c r="K3" s="1283"/>
      <c r="L3" s="1283"/>
      <c r="M3" s="1283"/>
      <c r="N3" s="1283"/>
      <c r="O3" s="1290"/>
      <c r="P3" s="405"/>
      <c r="Q3" s="405"/>
      <c r="R3" s="952"/>
    </row>
    <row r="4" spans="2:22" s="1302" customFormat="1" ht="13.95" customHeight="1" x14ac:dyDescent="0.35">
      <c r="B4" s="1299"/>
      <c r="C4" s="1300"/>
      <c r="D4" s="1719" t="str">
        <f>'PART C- Municipal Details'!AI62</f>
        <v>WC</v>
      </c>
      <c r="E4" s="1720"/>
      <c r="F4" s="1299"/>
      <c r="G4" s="1721" t="str">
        <f>'PART C- Municipal Details'!AI63</f>
        <v>Overberg</v>
      </c>
      <c r="H4" s="1722"/>
      <c r="I4" s="1299"/>
      <c r="J4" s="1723" t="str">
        <f>'PART C- Municipal Details'!AI64</f>
        <v>Theewaterskloof</v>
      </c>
      <c r="K4" s="1723"/>
      <c r="L4" s="1299"/>
      <c r="M4" s="1721" t="str">
        <f>'PART C- Municipal Details'!AI65</f>
        <v>WC031</v>
      </c>
      <c r="N4" s="1722"/>
      <c r="O4" s="1301"/>
      <c r="P4" s="1299"/>
      <c r="Q4" s="1299"/>
      <c r="R4" s="952"/>
      <c r="S4" s="402"/>
    </row>
    <row r="5" spans="2:22" ht="6.6" customHeight="1" x14ac:dyDescent="0.35">
      <c r="B5" s="405"/>
      <c r="C5" s="1259"/>
      <c r="D5" s="950"/>
      <c r="E5" s="950"/>
      <c r="F5" s="405"/>
      <c r="G5" s="950"/>
      <c r="H5" s="950"/>
      <c r="I5" s="405"/>
      <c r="J5" s="405"/>
      <c r="K5" s="405"/>
      <c r="L5" s="405"/>
      <c r="M5" s="950"/>
      <c r="N5" s="950"/>
      <c r="O5" s="1291"/>
      <c r="P5" s="405"/>
      <c r="Q5" s="405"/>
      <c r="R5" s="952"/>
    </row>
    <row r="6" spans="2:22" ht="5.55" customHeight="1" x14ac:dyDescent="0.35">
      <c r="B6" s="405"/>
      <c r="C6" s="1259"/>
      <c r="D6" s="405"/>
      <c r="E6" s="405"/>
      <c r="F6" s="405"/>
      <c r="G6" s="950"/>
      <c r="H6" s="405"/>
      <c r="I6" s="405"/>
      <c r="J6" s="405"/>
      <c r="K6" s="405"/>
      <c r="L6" s="405"/>
      <c r="M6" s="405"/>
      <c r="N6" s="405"/>
      <c r="O6" s="1291"/>
      <c r="P6" s="405"/>
      <c r="Q6" s="405"/>
      <c r="R6" s="952"/>
    </row>
    <row r="7" spans="2:22" ht="12" customHeight="1" x14ac:dyDescent="0.45">
      <c r="B7" s="405"/>
      <c r="C7" s="1259"/>
      <c r="D7" s="1724" t="s">
        <v>879</v>
      </c>
      <c r="E7" s="1725"/>
      <c r="F7" s="1725"/>
      <c r="G7" s="1725"/>
      <c r="H7" s="1725"/>
      <c r="I7" s="1725"/>
      <c r="J7" s="1725"/>
      <c r="K7" s="1725"/>
      <c r="L7" s="1725"/>
      <c r="M7" s="1725"/>
      <c r="N7" s="1726"/>
      <c r="O7" s="1291"/>
      <c r="P7" s="405"/>
      <c r="Q7" s="405"/>
      <c r="R7" s="952"/>
    </row>
    <row r="8" spans="2:22" s="952" customFormat="1" ht="24" customHeight="1" x14ac:dyDescent="0.35">
      <c r="B8" s="405"/>
      <c r="C8" s="1259"/>
      <c r="D8" s="1736" t="s">
        <v>863</v>
      </c>
      <c r="E8" s="1296" t="s">
        <v>857</v>
      </c>
      <c r="F8" s="1298" t="s">
        <v>854</v>
      </c>
      <c r="G8" s="1298" t="s">
        <v>855</v>
      </c>
      <c r="H8" s="1298" t="s">
        <v>858</v>
      </c>
      <c r="I8" s="1198" t="s">
        <v>16</v>
      </c>
      <c r="J8" s="1298" t="s">
        <v>629</v>
      </c>
      <c r="K8" s="1198" t="s">
        <v>17</v>
      </c>
      <c r="L8" s="1298" t="s">
        <v>630</v>
      </c>
      <c r="M8" s="1198" t="s">
        <v>1483</v>
      </c>
      <c r="N8" s="1736" t="s">
        <v>863</v>
      </c>
      <c r="O8" s="1291"/>
      <c r="P8" s="876"/>
      <c r="Q8" s="876"/>
      <c r="S8" s="1196"/>
      <c r="T8" s="1196"/>
      <c r="U8" s="402"/>
      <c r="V8" s="402"/>
    </row>
    <row r="9" spans="2:22" ht="14.55" customHeight="1" x14ac:dyDescent="0.35">
      <c r="B9" s="405"/>
      <c r="C9" s="1259"/>
      <c r="D9" s="1737"/>
      <c r="E9" s="1727" t="str">
        <f ca="1">IF(M11&lt;0,"Not Cost Reflective",IF(M11&gt;0,"Cost Reflective","No Assessment"))</f>
        <v>Cost Reflective</v>
      </c>
      <c r="F9" s="1732" t="s">
        <v>1694</v>
      </c>
      <c r="G9" s="1730" t="s">
        <v>852</v>
      </c>
      <c r="H9" s="1191" t="s">
        <v>632</v>
      </c>
      <c r="I9" s="1188">
        <f ca="1">'6.Summary'!F61</f>
        <v>108238120.75</v>
      </c>
      <c r="J9" s="1176">
        <f ca="1">'6.Summary'!G61</f>
        <v>50470341.25</v>
      </c>
      <c r="K9" s="1179">
        <f ca="1">'6.Summary'!H61</f>
        <v>176705441.25</v>
      </c>
      <c r="L9" s="1176">
        <f ca="1">'6.Summary'!I61</f>
        <v>73012719.25</v>
      </c>
      <c r="M9" s="1297">
        <f ca="1">SUM(I9:L9)</f>
        <v>408426622.5</v>
      </c>
      <c r="N9" s="1737"/>
      <c r="O9" s="1291"/>
      <c r="P9" s="405"/>
      <c r="Q9" s="405"/>
      <c r="R9" s="1312"/>
      <c r="S9" s="418"/>
      <c r="T9" s="418"/>
    </row>
    <row r="10" spans="2:22" ht="13.2" customHeight="1" x14ac:dyDescent="0.35">
      <c r="B10" s="405"/>
      <c r="C10" s="1259"/>
      <c r="D10" s="1737"/>
      <c r="E10" s="1727"/>
      <c r="F10" s="1732"/>
      <c r="G10" s="1730"/>
      <c r="H10" s="1191" t="s">
        <v>633</v>
      </c>
      <c r="I10" s="1188">
        <f>'6.Summary'!F62</f>
        <v>125278920</v>
      </c>
      <c r="J10" s="1176">
        <f>'6.Summary'!G62</f>
        <v>52237460</v>
      </c>
      <c r="K10" s="1179">
        <f>'6.Summary'!H62</f>
        <v>179259480</v>
      </c>
      <c r="L10" s="1176">
        <f>'6.Summary'!I62</f>
        <v>52158077</v>
      </c>
      <c r="M10" s="1297">
        <f>SUM(I10:L10)</f>
        <v>408933937</v>
      </c>
      <c r="N10" s="1737"/>
      <c r="O10" s="1291"/>
      <c r="P10" s="405"/>
      <c r="Q10" s="405"/>
      <c r="R10" s="1312"/>
      <c r="S10" s="1196" t="s">
        <v>1541</v>
      </c>
      <c r="T10" s="418" t="s">
        <v>1540</v>
      </c>
    </row>
    <row r="11" spans="2:22" ht="21" customHeight="1" x14ac:dyDescent="0.35">
      <c r="B11" s="405"/>
      <c r="C11" s="1259"/>
      <c r="D11" s="1737"/>
      <c r="E11" s="1727"/>
      <c r="F11" s="1733"/>
      <c r="G11" s="1731"/>
      <c r="H11" s="1195" t="s">
        <v>1559</v>
      </c>
      <c r="I11" s="1189">
        <f ca="1">I10-I9</f>
        <v>17040799.25</v>
      </c>
      <c r="J11" s="1177">
        <f ca="1">J10-J9</f>
        <v>1767118.75</v>
      </c>
      <c r="K11" s="1180">
        <f ca="1">K10-K9</f>
        <v>2554038.75</v>
      </c>
      <c r="L11" s="1177">
        <f ca="1">L10-L9</f>
        <v>-20854642.25</v>
      </c>
      <c r="M11" s="1297">
        <f ca="1">SUM(I11:L11)</f>
        <v>507314.5</v>
      </c>
      <c r="N11" s="1737"/>
      <c r="O11" s="1291"/>
      <c r="P11" s="405"/>
      <c r="Q11" s="405"/>
      <c r="R11" s="1312"/>
      <c r="S11" s="418" t="s">
        <v>863</v>
      </c>
      <c r="T11" s="1197">
        <f ca="1">M11</f>
        <v>507314.5</v>
      </c>
    </row>
    <row r="12" spans="2:22" ht="10.199999999999999" customHeight="1" x14ac:dyDescent="0.35">
      <c r="B12" s="405"/>
      <c r="C12" s="1259"/>
      <c r="D12" s="1738"/>
      <c r="E12" s="1728" t="s">
        <v>880</v>
      </c>
      <c r="F12" s="1728"/>
      <c r="G12" s="1728"/>
      <c r="H12" s="1729"/>
      <c r="I12" s="1181" t="str">
        <f ca="1">IF(I11&lt;0,"Not Cost Reflective",IF(I11&gt;0,"Cost Reflective"))</f>
        <v>Cost Reflective</v>
      </c>
      <c r="J12" s="1178" t="str">
        <f ca="1">IF(J11&lt;0,"Not Cost Reflective",IF(J11&gt;0,"Cost Reflective"))</f>
        <v>Cost Reflective</v>
      </c>
      <c r="K12" s="1181" t="str">
        <f ca="1">IF(K11&lt;0,"Not Cost Reflective",IF(K11&gt;0,"Cost Reflective"))</f>
        <v>Cost Reflective</v>
      </c>
      <c r="L12" s="1178" t="str">
        <f ca="1">IF(L11&lt;0,"Not Cost Reflective",IF(L11&gt;0,"Cost Reflective"))</f>
        <v>Not Cost Reflective</v>
      </c>
      <c r="M12" s="1187" t="str">
        <f ca="1">IF(M11&lt;0,"Not Cost Reflective",IF(M11&gt;0,"Cost Reflective"))</f>
        <v>Cost Reflective</v>
      </c>
      <c r="N12" s="1738"/>
      <c r="O12" s="1291"/>
      <c r="P12" s="405"/>
      <c r="Q12" s="405"/>
      <c r="R12" s="1312"/>
      <c r="S12" s="418" t="s">
        <v>864</v>
      </c>
      <c r="T12" s="1197">
        <f ca="1">M15</f>
        <v>1867092</v>
      </c>
    </row>
    <row r="13" spans="2:22" ht="13.2" customHeight="1" x14ac:dyDescent="0.35">
      <c r="B13" s="405"/>
      <c r="C13" s="1259"/>
      <c r="D13" s="1736" t="s">
        <v>864</v>
      </c>
      <c r="E13" s="1727" t="str">
        <f ca="1">IF(M15&lt;0,"Not Cost Reflective",IF(M15&gt;0,"Cost Reflective","No Assessment"))</f>
        <v>Cost Reflective</v>
      </c>
      <c r="F13" s="1732" t="s">
        <v>1696</v>
      </c>
      <c r="G13" s="1734" t="s">
        <v>859</v>
      </c>
      <c r="H13" s="1193" t="s">
        <v>632</v>
      </c>
      <c r="I13" s="1188">
        <f ca="1">'6.Summary'!U61</f>
        <v>111765805.5</v>
      </c>
      <c r="J13" s="1176">
        <f ca="1">'6.Summary'!V61</f>
        <v>52076405.5</v>
      </c>
      <c r="K13" s="1179">
        <f ca="1">'6.Summary'!W61</f>
        <v>181804712.5</v>
      </c>
      <c r="L13" s="1176">
        <f ca="1">'6.Summary'!X61</f>
        <v>75323673.5</v>
      </c>
      <c r="M13" s="1183">
        <f ca="1">SUM(I13:L13)</f>
        <v>420970597</v>
      </c>
      <c r="N13" s="1740" t="s">
        <v>864</v>
      </c>
      <c r="O13" s="1291"/>
      <c r="P13" s="405"/>
      <c r="Q13" s="405"/>
      <c r="S13" s="418" t="s">
        <v>865</v>
      </c>
      <c r="T13" s="1197">
        <f ca="1">M19</f>
        <v>99538.047999992967</v>
      </c>
    </row>
    <row r="14" spans="2:22" ht="13.2" customHeight="1" x14ac:dyDescent="0.35">
      <c r="B14" s="405"/>
      <c r="C14" s="1259"/>
      <c r="D14" s="1737"/>
      <c r="E14" s="1727"/>
      <c r="F14" s="1732" t="s">
        <v>861</v>
      </c>
      <c r="G14" s="1730" t="s">
        <v>859</v>
      </c>
      <c r="H14" s="1194" t="s">
        <v>633</v>
      </c>
      <c r="I14" s="1188">
        <f>'6.Summary'!U62</f>
        <v>129538403</v>
      </c>
      <c r="J14" s="1176">
        <f>'6.Summary'!V62</f>
        <v>54013533</v>
      </c>
      <c r="K14" s="1179">
        <f>'6.Summary'!W62</f>
        <v>185354301</v>
      </c>
      <c r="L14" s="1176">
        <f>'6.Summary'!X62</f>
        <v>53931452</v>
      </c>
      <c r="M14" s="1183">
        <f>SUM(I14:L14)</f>
        <v>422837689</v>
      </c>
      <c r="N14" s="1740"/>
      <c r="O14" s="1291"/>
      <c r="P14" s="405"/>
      <c r="Q14" s="405"/>
      <c r="S14" s="1196"/>
      <c r="T14" s="418"/>
    </row>
    <row r="15" spans="2:22" ht="27" customHeight="1" x14ac:dyDescent="0.35">
      <c r="B15" s="405"/>
      <c r="C15" s="1259"/>
      <c r="D15" s="1737"/>
      <c r="E15" s="1727"/>
      <c r="F15" s="1733" t="s">
        <v>861</v>
      </c>
      <c r="G15" s="1731" t="s">
        <v>859</v>
      </c>
      <c r="H15" s="1195" t="s">
        <v>856</v>
      </c>
      <c r="I15" s="1189">
        <f ca="1">'6.Summary'!U63</f>
        <v>17772597.5</v>
      </c>
      <c r="J15" s="1177">
        <f ca="1">'6.Summary'!V63</f>
        <v>1937127.5</v>
      </c>
      <c r="K15" s="1180">
        <f ca="1">'6.Summary'!W63</f>
        <v>3549588.5</v>
      </c>
      <c r="L15" s="1177">
        <f ca="1">'6.Summary'!X63</f>
        <v>-21392221.5</v>
      </c>
      <c r="M15" s="1183">
        <f ca="1">SUM(I15:L15)</f>
        <v>1867092</v>
      </c>
      <c r="N15" s="1740"/>
      <c r="O15" s="1291"/>
      <c r="P15" s="405"/>
      <c r="Q15" s="405"/>
      <c r="S15" s="418"/>
      <c r="T15" s="418"/>
    </row>
    <row r="16" spans="2:22" ht="13.2" customHeight="1" x14ac:dyDescent="0.35">
      <c r="B16" s="405"/>
      <c r="C16" s="1259"/>
      <c r="D16" s="1738"/>
      <c r="E16" s="1728" t="s">
        <v>880</v>
      </c>
      <c r="F16" s="1728"/>
      <c r="G16" s="1728"/>
      <c r="H16" s="1729"/>
      <c r="I16" s="1181" t="str">
        <f ca="1">IF(I15&lt;0,"Not Cost Reflective",IF(I15&gt;0,"Cost Reflective"))</f>
        <v>Cost Reflective</v>
      </c>
      <c r="J16" s="1178" t="str">
        <f ca="1">IF(J15&lt;0,"Not Cost Reflective",IF(J15&gt;0,"Cost Reflective"))</f>
        <v>Cost Reflective</v>
      </c>
      <c r="K16" s="1181" t="str">
        <f ca="1">IF(K15&lt;0,"Not Cost Reflective",IF(K15&gt;0,"Cost Reflective"))</f>
        <v>Cost Reflective</v>
      </c>
      <c r="L16" s="1178" t="str">
        <f ca="1">IF(L15&lt;0,"Not Cost Reflective",IF(L15&gt;0,"Cost Reflective"))</f>
        <v>Not Cost Reflective</v>
      </c>
      <c r="M16" s="1181" t="str">
        <f ca="1">IF(M15&lt;0,"Not Cost Reflective",IF(M15&gt;0,"Cost Reflective"))</f>
        <v>Cost Reflective</v>
      </c>
      <c r="N16" s="1740"/>
      <c r="O16" s="1291"/>
      <c r="P16" s="405"/>
      <c r="Q16" s="405"/>
      <c r="S16" s="418"/>
      <c r="T16" s="418"/>
    </row>
    <row r="17" spans="2:24" ht="16.5" customHeight="1" x14ac:dyDescent="0.35">
      <c r="B17" s="405"/>
      <c r="C17" s="1259"/>
      <c r="D17" s="1739" t="s">
        <v>865</v>
      </c>
      <c r="E17" s="1741" t="str">
        <f ca="1">(IF(M19&lt;0,"Not Cost Reflective",IF(M19&gt;0,"Cost Reflective","No Assessement")))</f>
        <v>Cost Reflective</v>
      </c>
      <c r="F17" s="1732" t="s">
        <v>1698</v>
      </c>
      <c r="G17" s="1734" t="s">
        <v>860</v>
      </c>
      <c r="H17" s="1190" t="s">
        <v>632</v>
      </c>
      <c r="I17" s="1179">
        <f ca="1">'6.Summary'!AJ61</f>
        <v>115931215</v>
      </c>
      <c r="J17" s="1176">
        <f ca="1">'6.Summary'!AK61</f>
        <v>54188525</v>
      </c>
      <c r="K17" s="1179">
        <f ca="1">'6.Summary'!AL61</f>
        <v>187941346</v>
      </c>
      <c r="L17" s="1176">
        <f ca="1">'6.Summary'!AM61</f>
        <v>78207871</v>
      </c>
      <c r="M17" s="1183">
        <f ca="1">SUM(I17:L17)</f>
        <v>436268957</v>
      </c>
      <c r="N17" s="1740" t="s">
        <v>865</v>
      </c>
      <c r="O17" s="1291"/>
      <c r="P17" s="405"/>
      <c r="Q17" s="405"/>
    </row>
    <row r="18" spans="2:24" ht="13.2" customHeight="1" x14ac:dyDescent="0.35">
      <c r="B18" s="405"/>
      <c r="C18" s="1259"/>
      <c r="D18" s="1739"/>
      <c r="E18" s="1741"/>
      <c r="F18" s="1732" t="s">
        <v>862</v>
      </c>
      <c r="G18" s="1730" t="s">
        <v>860</v>
      </c>
      <c r="H18" s="1191" t="s">
        <v>633</v>
      </c>
      <c r="I18" s="1179">
        <f>'6.Summary'!AJ62</f>
        <v>133683631.896</v>
      </c>
      <c r="J18" s="1176">
        <f>'6.Summary'!AK62</f>
        <v>55741966.055999994</v>
      </c>
      <c r="K18" s="1179">
        <f>'6.Summary'!AL62</f>
        <v>191285638.632</v>
      </c>
      <c r="L18" s="1176">
        <f>'6.Summary'!AM62</f>
        <v>55657258.464000002</v>
      </c>
      <c r="M18" s="1183">
        <f>SUM(I18:L18)</f>
        <v>436368495.04799998</v>
      </c>
      <c r="N18" s="1740"/>
      <c r="O18" s="1291"/>
      <c r="P18" s="405"/>
      <c r="Q18" s="405"/>
    </row>
    <row r="19" spans="2:24" ht="22.5" customHeight="1" x14ac:dyDescent="0.35">
      <c r="B19" s="405"/>
      <c r="C19" s="1259"/>
      <c r="D19" s="1739"/>
      <c r="E19" s="1742"/>
      <c r="F19" s="1733" t="s">
        <v>862</v>
      </c>
      <c r="G19" s="1731" t="s">
        <v>860</v>
      </c>
      <c r="H19" s="1192" t="s">
        <v>856</v>
      </c>
      <c r="I19" s="1179">
        <f ca="1">'6.Summary'!AJ63</f>
        <v>17752416.895999998</v>
      </c>
      <c r="J19" s="1176">
        <f ca="1">'6.Summary'!AK63</f>
        <v>1553441.0559999943</v>
      </c>
      <c r="K19" s="1179">
        <f ca="1">'6.Summary'!AL63</f>
        <v>3344292.6319999993</v>
      </c>
      <c r="L19" s="1176">
        <f ca="1">'6.Summary'!AM63</f>
        <v>-22550612.535999998</v>
      </c>
      <c r="M19" s="1184">
        <f ca="1">SUM(I19:L19)</f>
        <v>99538.047999992967</v>
      </c>
      <c r="N19" s="1740"/>
      <c r="O19" s="1291"/>
      <c r="P19" s="405"/>
      <c r="Q19" s="405"/>
    </row>
    <row r="20" spans="2:24" ht="14.55" customHeight="1" x14ac:dyDescent="0.35">
      <c r="B20" s="405"/>
      <c r="C20" s="1259"/>
      <c r="D20" s="1739"/>
      <c r="E20" s="1728" t="s">
        <v>880</v>
      </c>
      <c r="F20" s="1728"/>
      <c r="G20" s="1728"/>
      <c r="H20" s="1728"/>
      <c r="I20" s="1182" t="str">
        <f ca="1">IF(I19&lt;0,"Not Cost Reflective",IF(I19&gt;0,"Cost Reflective"))</f>
        <v>Cost Reflective</v>
      </c>
      <c r="J20" s="1185" t="str">
        <f ca="1">IF(J19&lt;0,"Not Cost Reflective",IF(J19&gt;0,"Cost Reflective"))</f>
        <v>Cost Reflective</v>
      </c>
      <c r="K20" s="1182" t="str">
        <f ca="1">IF(K19&lt;0,"Not Cost Reflective",IF(K19&gt;0,"Cost Reflective"))</f>
        <v>Cost Reflective</v>
      </c>
      <c r="L20" s="1185" t="str">
        <f ca="1">IF(L19&lt;0,"Not Cost Reflective",IF(L19&gt;0,"Cost Reflective"))</f>
        <v>Not Cost Reflective</v>
      </c>
      <c r="M20" s="1186" t="str">
        <f ca="1">IF(M19&lt;0,"Not Cost Reflective",IF(M19&gt;0,"Cost Reflective"))</f>
        <v>Cost Reflective</v>
      </c>
      <c r="N20" s="1740"/>
      <c r="O20" s="1291"/>
      <c r="P20" s="405"/>
      <c r="Q20" s="405"/>
    </row>
    <row r="21" spans="2:24" ht="7.95" customHeight="1" x14ac:dyDescent="0.35">
      <c r="B21" s="405"/>
      <c r="C21" s="1259"/>
      <c r="D21" s="1294"/>
      <c r="E21" s="1285"/>
      <c r="F21" s="1285"/>
      <c r="G21" s="1286"/>
      <c r="H21" s="1285"/>
      <c r="I21" s="1285"/>
      <c r="J21" s="1285"/>
      <c r="K21" s="1285"/>
      <c r="L21" s="1285"/>
      <c r="M21" s="1285"/>
      <c r="N21" s="1287"/>
      <c r="O21" s="1291"/>
      <c r="P21" s="405"/>
      <c r="Q21" s="405"/>
    </row>
    <row r="22" spans="2:24" ht="7.95" customHeight="1" x14ac:dyDescent="0.35">
      <c r="B22" s="405"/>
      <c r="C22" s="1292"/>
      <c r="D22" s="1295"/>
      <c r="E22" s="1295"/>
      <c r="F22" s="1295"/>
      <c r="G22" s="1295"/>
      <c r="H22" s="1295"/>
      <c r="I22" s="1295"/>
      <c r="J22" s="1295"/>
      <c r="K22" s="1295"/>
      <c r="L22" s="1295"/>
      <c r="M22" s="1295"/>
      <c r="N22" s="1295"/>
      <c r="O22" s="1293"/>
      <c r="P22" s="405"/>
      <c r="Q22" s="405"/>
    </row>
    <row r="23" spans="2:24" ht="10.199999999999999" customHeight="1" x14ac:dyDescent="0.35">
      <c r="B23" s="405"/>
      <c r="C23" s="405"/>
      <c r="D23" s="405"/>
      <c r="E23" s="405"/>
      <c r="F23" s="405"/>
      <c r="G23" s="950"/>
      <c r="H23" s="405"/>
      <c r="I23" s="405"/>
      <c r="J23" s="405"/>
      <c r="K23" s="405"/>
      <c r="L23" s="405"/>
      <c r="M23" s="405"/>
      <c r="N23" s="405"/>
      <c r="O23" s="950"/>
      <c r="P23" s="405"/>
      <c r="Q23" s="405"/>
    </row>
    <row r="25" spans="2:24" ht="94.2" customHeight="1" x14ac:dyDescent="0.35"/>
    <row r="26" spans="2:24" ht="136.94999999999999" customHeight="1" x14ac:dyDescent="0.35"/>
    <row r="27" spans="2:24" ht="136.94999999999999" customHeight="1" x14ac:dyDescent="0.35"/>
    <row r="28" spans="2:24" ht="136.94999999999999" customHeight="1" x14ac:dyDescent="0.35"/>
    <row r="29" spans="2:24" ht="136.94999999999999" customHeight="1" x14ac:dyDescent="0.35">
      <c r="E29" s="951" t="s">
        <v>854</v>
      </c>
      <c r="G29" s="402"/>
      <c r="I29" s="955" t="s">
        <v>1472</v>
      </c>
      <c r="J29" s="955" t="s">
        <v>15</v>
      </c>
      <c r="K29" s="1081" t="s">
        <v>16</v>
      </c>
      <c r="L29" s="1081" t="s">
        <v>629</v>
      </c>
      <c r="M29" s="1081" t="s">
        <v>17</v>
      </c>
      <c r="N29" s="1081" t="s">
        <v>630</v>
      </c>
      <c r="O29" s="1284"/>
      <c r="S29" s="955" t="s">
        <v>1472</v>
      </c>
      <c r="T29" s="955" t="s">
        <v>15</v>
      </c>
      <c r="U29" s="1081" t="s">
        <v>16</v>
      </c>
      <c r="V29" s="1081" t="s">
        <v>629</v>
      </c>
      <c r="W29" s="1081" t="s">
        <v>17</v>
      </c>
      <c r="X29" s="1081" t="s">
        <v>630</v>
      </c>
    </row>
    <row r="30" spans="2:24" ht="136.94999999999999" customHeight="1" x14ac:dyDescent="0.35">
      <c r="E30" s="731" t="s">
        <v>853</v>
      </c>
      <c r="G30" s="402"/>
      <c r="I30" s="950" t="s">
        <v>1473</v>
      </c>
      <c r="J30" s="1080">
        <f ca="1">SUM(K30:P30)</f>
        <v>408426622.5</v>
      </c>
      <c r="K30" s="956">
        <f t="shared" ref="K30:N31" ca="1" si="0">I9</f>
        <v>108238120.75</v>
      </c>
      <c r="L30" s="956">
        <f t="shared" ca="1" si="0"/>
        <v>50470341.25</v>
      </c>
      <c r="M30" s="956">
        <f t="shared" ca="1" si="0"/>
        <v>176705441.25</v>
      </c>
      <c r="N30" s="956">
        <f t="shared" ca="1" si="0"/>
        <v>73012719.25</v>
      </c>
      <c r="O30" s="1176"/>
      <c r="S30" s="950" t="s">
        <v>473</v>
      </c>
      <c r="T30" s="1080">
        <f ca="1">SUM(U30:Y30)</f>
        <v>408426622.5</v>
      </c>
      <c r="U30" s="956">
        <f t="shared" ref="U30:X32" ca="1" si="1">K30</f>
        <v>108238120.75</v>
      </c>
      <c r="V30" s="956">
        <f t="shared" ca="1" si="1"/>
        <v>50470341.25</v>
      </c>
      <c r="W30" s="956">
        <f t="shared" ca="1" si="1"/>
        <v>176705441.25</v>
      </c>
      <c r="X30" s="956">
        <f t="shared" ca="1" si="1"/>
        <v>73012719.25</v>
      </c>
    </row>
    <row r="31" spans="2:24" ht="136.94999999999999" customHeight="1" x14ac:dyDescent="0.35">
      <c r="E31" s="731" t="s">
        <v>853</v>
      </c>
      <c r="G31" s="402"/>
      <c r="I31" s="950" t="s">
        <v>1474</v>
      </c>
      <c r="J31" s="1080">
        <f t="shared" ref="J31:J38" si="2">SUM(K31:P31)</f>
        <v>408933937</v>
      </c>
      <c r="K31" s="956">
        <f t="shared" si="0"/>
        <v>125278920</v>
      </c>
      <c r="L31" s="956">
        <f t="shared" si="0"/>
        <v>52237460</v>
      </c>
      <c r="M31" s="956">
        <f t="shared" si="0"/>
        <v>179259480</v>
      </c>
      <c r="N31" s="956">
        <f t="shared" si="0"/>
        <v>52158077</v>
      </c>
      <c r="O31" s="1176"/>
      <c r="S31" s="950" t="s">
        <v>633</v>
      </c>
      <c r="T31" s="1080">
        <f>SUM(U31:Y31)</f>
        <v>408933937</v>
      </c>
      <c r="U31" s="956">
        <f t="shared" si="1"/>
        <v>125278920</v>
      </c>
      <c r="V31" s="956">
        <f t="shared" si="1"/>
        <v>52237460</v>
      </c>
      <c r="W31" s="956">
        <f t="shared" si="1"/>
        <v>179259480</v>
      </c>
      <c r="X31" s="956">
        <f t="shared" si="1"/>
        <v>52158077</v>
      </c>
    </row>
    <row r="32" spans="2:24" ht="136.94999999999999" customHeight="1" x14ac:dyDescent="0.35">
      <c r="E32" s="732" t="s">
        <v>853</v>
      </c>
      <c r="G32" s="402"/>
      <c r="I32" s="405" t="s">
        <v>1475</v>
      </c>
      <c r="J32" s="1080">
        <f t="shared" ca="1" si="2"/>
        <v>507314.5</v>
      </c>
      <c r="K32" s="957">
        <f ca="1">K31-K30</f>
        <v>17040799.25</v>
      </c>
      <c r="L32" s="957">
        <f ca="1">L31-L30</f>
        <v>1767118.75</v>
      </c>
      <c r="M32" s="957">
        <f ca="1">M31-M30</f>
        <v>2554038.75</v>
      </c>
      <c r="N32" s="957">
        <f ca="1">N31-N30</f>
        <v>-20854642.25</v>
      </c>
      <c r="O32" s="1177"/>
      <c r="S32" s="405" t="s">
        <v>1476</v>
      </c>
      <c r="T32" s="1080">
        <f ca="1">SUM(U32:Y32)</f>
        <v>507314.5</v>
      </c>
      <c r="U32" s="956">
        <f t="shared" ca="1" si="1"/>
        <v>17040799.25</v>
      </c>
      <c r="V32" s="956">
        <f t="shared" ca="1" si="1"/>
        <v>1767118.75</v>
      </c>
      <c r="W32" s="956">
        <f t="shared" ca="1" si="1"/>
        <v>2554038.75</v>
      </c>
      <c r="X32" s="956">
        <f t="shared" ca="1" si="1"/>
        <v>-20854642.25</v>
      </c>
    </row>
    <row r="33" spans="9:25" ht="136.94999999999999" customHeight="1" x14ac:dyDescent="0.35">
      <c r="I33" s="950" t="s">
        <v>1477</v>
      </c>
      <c r="J33" s="1080">
        <f t="shared" ca="1" si="2"/>
        <v>420970597</v>
      </c>
      <c r="K33" s="1082">
        <f t="shared" ref="K33:N35" ca="1" si="3">I13</f>
        <v>111765805.5</v>
      </c>
      <c r="L33" s="1082">
        <f t="shared" ca="1" si="3"/>
        <v>52076405.5</v>
      </c>
      <c r="M33" s="1082">
        <f t="shared" ca="1" si="3"/>
        <v>181804712.5</v>
      </c>
      <c r="N33" s="1082">
        <f t="shared" ca="1" si="3"/>
        <v>75323673.5</v>
      </c>
      <c r="O33" s="1082"/>
    </row>
    <row r="34" spans="9:25" ht="136.94999999999999" customHeight="1" x14ac:dyDescent="0.35">
      <c r="I34" s="950" t="s">
        <v>1478</v>
      </c>
      <c r="J34" s="1080">
        <f t="shared" si="2"/>
        <v>422837689</v>
      </c>
      <c r="K34" s="1082">
        <f t="shared" si="3"/>
        <v>129538403</v>
      </c>
      <c r="L34" s="1082">
        <f t="shared" si="3"/>
        <v>54013533</v>
      </c>
      <c r="M34" s="1082">
        <f t="shared" si="3"/>
        <v>185354301</v>
      </c>
      <c r="N34" s="1082">
        <f t="shared" si="3"/>
        <v>53931452</v>
      </c>
      <c r="O34" s="1082"/>
    </row>
    <row r="35" spans="9:25" ht="136.94999999999999" customHeight="1" x14ac:dyDescent="0.35">
      <c r="I35" s="405" t="s">
        <v>1471</v>
      </c>
      <c r="J35" s="1080">
        <f t="shared" ca="1" si="2"/>
        <v>1867092</v>
      </c>
      <c r="K35" s="1082">
        <f t="shared" ca="1" si="3"/>
        <v>17772597.5</v>
      </c>
      <c r="L35" s="1082">
        <f t="shared" ca="1" si="3"/>
        <v>1937127.5</v>
      </c>
      <c r="M35" s="1082">
        <f t="shared" ca="1" si="3"/>
        <v>3549588.5</v>
      </c>
      <c r="N35" s="1082">
        <f t="shared" ca="1" si="3"/>
        <v>-21392221.5</v>
      </c>
      <c r="O35" s="1082"/>
    </row>
    <row r="36" spans="9:25" ht="136.94999999999999" customHeight="1" x14ac:dyDescent="0.35">
      <c r="I36" s="950" t="s">
        <v>1479</v>
      </c>
      <c r="J36" s="1080">
        <f t="shared" ca="1" si="2"/>
        <v>436268957</v>
      </c>
      <c r="K36" s="1082">
        <f t="shared" ref="K36:N38" ca="1" si="4">I17</f>
        <v>115931215</v>
      </c>
      <c r="L36" s="1082">
        <f t="shared" ca="1" si="4"/>
        <v>54188525</v>
      </c>
      <c r="M36" s="1082">
        <f t="shared" ca="1" si="4"/>
        <v>187941346</v>
      </c>
      <c r="N36" s="1082">
        <f t="shared" ca="1" si="4"/>
        <v>78207871</v>
      </c>
      <c r="O36" s="1082"/>
    </row>
    <row r="37" spans="9:25" ht="136.94999999999999" customHeight="1" x14ac:dyDescent="0.35">
      <c r="I37" s="950" t="s">
        <v>1480</v>
      </c>
      <c r="J37" s="1080">
        <f t="shared" si="2"/>
        <v>436368495.04799998</v>
      </c>
      <c r="K37" s="1082">
        <f t="shared" si="4"/>
        <v>133683631.896</v>
      </c>
      <c r="L37" s="1082">
        <f t="shared" si="4"/>
        <v>55741966.055999994</v>
      </c>
      <c r="M37" s="1082">
        <f t="shared" si="4"/>
        <v>191285638.632</v>
      </c>
      <c r="N37" s="1082">
        <f t="shared" si="4"/>
        <v>55657258.464000002</v>
      </c>
      <c r="O37" s="1082"/>
    </row>
    <row r="38" spans="9:25" ht="136.94999999999999" customHeight="1" x14ac:dyDescent="0.35">
      <c r="I38" s="405" t="s">
        <v>1481</v>
      </c>
      <c r="J38" s="1080">
        <f t="shared" ca="1" si="2"/>
        <v>99538.047999992967</v>
      </c>
      <c r="K38" s="1082">
        <f t="shared" ca="1" si="4"/>
        <v>17752416.895999998</v>
      </c>
      <c r="L38" s="1082">
        <f t="shared" ca="1" si="4"/>
        <v>1553441.0559999943</v>
      </c>
      <c r="M38" s="1082">
        <f t="shared" ca="1" si="4"/>
        <v>3344292.6319999993</v>
      </c>
      <c r="N38" s="1082">
        <f t="shared" ca="1" si="4"/>
        <v>-22550612.535999998</v>
      </c>
      <c r="O38" s="1082"/>
    </row>
    <row r="39" spans="9:25" ht="136.94999999999999" customHeight="1" x14ac:dyDescent="0.35"/>
    <row r="40" spans="9:25" ht="136.94999999999999" customHeight="1" x14ac:dyDescent="0.35"/>
    <row r="41" spans="9:25" ht="136.94999999999999" customHeight="1" x14ac:dyDescent="0.35"/>
    <row r="42" spans="9:25" ht="136.94999999999999" customHeight="1" x14ac:dyDescent="0.55000000000000004">
      <c r="I42" s="955" t="s">
        <v>1472</v>
      </c>
      <c r="J42" s="955" t="s">
        <v>15</v>
      </c>
      <c r="K42" s="1081" t="s">
        <v>16</v>
      </c>
      <c r="L42" s="1081" t="s">
        <v>629</v>
      </c>
      <c r="M42" s="1081" t="s">
        <v>17</v>
      </c>
      <c r="N42" s="1081" t="s">
        <v>630</v>
      </c>
      <c r="O42" s="1284"/>
      <c r="P42" s="402" t="s">
        <v>1482</v>
      </c>
      <c r="S42" s="1085" t="s">
        <v>1485</v>
      </c>
      <c r="T42" s="1084"/>
      <c r="U42" s="1087"/>
      <c r="V42"/>
      <c r="W42"/>
      <c r="X42"/>
      <c r="Y42"/>
    </row>
    <row r="43" spans="9:25" ht="136.94999999999999" customHeight="1" x14ac:dyDescent="0.55000000000000004">
      <c r="I43" s="950" t="s">
        <v>1473</v>
      </c>
      <c r="J43" s="1080">
        <f t="shared" ref="J43:N51" ca="1" si="5">J30</f>
        <v>408426622.5</v>
      </c>
      <c r="K43" s="1080">
        <f t="shared" ca="1" si="5"/>
        <v>108238120.75</v>
      </c>
      <c r="L43" s="1080">
        <f t="shared" ca="1" si="5"/>
        <v>50470341.25</v>
      </c>
      <c r="M43" s="1080">
        <f t="shared" ca="1" si="5"/>
        <v>176705441.25</v>
      </c>
      <c r="N43" s="1080">
        <f t="shared" ca="1" si="5"/>
        <v>73012719.25</v>
      </c>
      <c r="O43" s="1080"/>
      <c r="P43" s="1735" t="str">
        <f ca="1">E9</f>
        <v>Cost Reflective</v>
      </c>
      <c r="Q43" s="953"/>
      <c r="S43" s="1085" t="s">
        <v>1472</v>
      </c>
      <c r="T43" s="1085" t="s">
        <v>1482</v>
      </c>
      <c r="U43" s="1087" t="s">
        <v>15</v>
      </c>
      <c r="V43"/>
      <c r="W43"/>
      <c r="X43"/>
      <c r="Y43"/>
    </row>
    <row r="44" spans="9:25" ht="136.94999999999999" customHeight="1" x14ac:dyDescent="0.55000000000000004">
      <c r="I44" s="950" t="s">
        <v>1474</v>
      </c>
      <c r="J44" s="1080">
        <f t="shared" si="5"/>
        <v>408933937</v>
      </c>
      <c r="K44" s="1080">
        <f t="shared" si="5"/>
        <v>125278920</v>
      </c>
      <c r="L44" s="1080">
        <f t="shared" si="5"/>
        <v>52237460</v>
      </c>
      <c r="M44" s="1080">
        <f t="shared" si="5"/>
        <v>179259480</v>
      </c>
      <c r="N44" s="1080">
        <f t="shared" si="5"/>
        <v>52158077</v>
      </c>
      <c r="O44" s="1080"/>
      <c r="P44" s="1735"/>
      <c r="Q44" s="953"/>
      <c r="S44" s="1083" t="s">
        <v>1473</v>
      </c>
      <c r="T44" s="1083" t="s">
        <v>1488</v>
      </c>
      <c r="U44" s="1087">
        <v>395788300.64317369</v>
      </c>
      <c r="V44"/>
      <c r="W44"/>
      <c r="X44"/>
      <c r="Y44"/>
    </row>
    <row r="45" spans="9:25" ht="136.94999999999999" customHeight="1" x14ac:dyDescent="0.55000000000000004">
      <c r="I45" s="405" t="s">
        <v>1475</v>
      </c>
      <c r="J45" s="1080">
        <f t="shared" ca="1" si="5"/>
        <v>507314.5</v>
      </c>
      <c r="K45" s="1080">
        <f t="shared" ca="1" si="5"/>
        <v>17040799.25</v>
      </c>
      <c r="L45" s="1080">
        <f t="shared" ca="1" si="5"/>
        <v>1767118.75</v>
      </c>
      <c r="M45" s="1080">
        <f t="shared" ca="1" si="5"/>
        <v>2554038.75</v>
      </c>
      <c r="N45" s="1080">
        <f t="shared" ca="1" si="5"/>
        <v>-20854642.25</v>
      </c>
      <c r="O45" s="1080"/>
      <c r="P45" s="1735"/>
      <c r="Q45" s="953"/>
      <c r="S45" s="1083" t="s">
        <v>1486</v>
      </c>
      <c r="T45" s="1084"/>
      <c r="U45" s="1087">
        <v>395788300.64317369</v>
      </c>
      <c r="V45"/>
      <c r="W45"/>
      <c r="X45"/>
      <c r="Y45"/>
    </row>
    <row r="46" spans="9:25" ht="136.94999999999999" customHeight="1" x14ac:dyDescent="0.55000000000000004">
      <c r="I46" s="950" t="s">
        <v>1477</v>
      </c>
      <c r="J46" s="1080">
        <f t="shared" ca="1" si="5"/>
        <v>420970597</v>
      </c>
      <c r="K46" s="1080">
        <f t="shared" ca="1" si="5"/>
        <v>111765805.5</v>
      </c>
      <c r="L46" s="1080">
        <f t="shared" ca="1" si="5"/>
        <v>52076405.5</v>
      </c>
      <c r="M46" s="1080">
        <f t="shared" ca="1" si="5"/>
        <v>181804712.5</v>
      </c>
      <c r="N46" s="1080">
        <f t="shared" ca="1" si="5"/>
        <v>75323673.5</v>
      </c>
      <c r="O46" s="1080"/>
      <c r="P46" s="1735" t="str">
        <f ca="1">E13</f>
        <v>Cost Reflective</v>
      </c>
      <c r="Q46" s="953"/>
      <c r="S46" s="1083" t="s">
        <v>1477</v>
      </c>
      <c r="T46" s="1083" t="s">
        <v>1488</v>
      </c>
      <c r="U46" s="1087">
        <v>414705628.05655426</v>
      </c>
      <c r="V46"/>
      <c r="W46"/>
      <c r="X46"/>
      <c r="Y46"/>
    </row>
    <row r="47" spans="9:25" ht="136.94999999999999" customHeight="1" x14ac:dyDescent="0.55000000000000004">
      <c r="I47" s="950" t="s">
        <v>1478</v>
      </c>
      <c r="J47" s="1080">
        <f t="shared" si="5"/>
        <v>422837689</v>
      </c>
      <c r="K47" s="1080">
        <f t="shared" si="5"/>
        <v>129538403</v>
      </c>
      <c r="L47" s="1080">
        <f t="shared" si="5"/>
        <v>54013533</v>
      </c>
      <c r="M47" s="1080">
        <f t="shared" si="5"/>
        <v>185354301</v>
      </c>
      <c r="N47" s="1080">
        <f t="shared" si="5"/>
        <v>53931452</v>
      </c>
      <c r="O47" s="1080"/>
      <c r="P47" s="1735"/>
      <c r="Q47" s="953"/>
      <c r="S47" s="1083" t="s">
        <v>1487</v>
      </c>
      <c r="T47" s="1084"/>
      <c r="U47" s="1087">
        <v>414705628.05655426</v>
      </c>
      <c r="V47"/>
      <c r="W47"/>
      <c r="X47"/>
      <c r="Y47"/>
    </row>
    <row r="48" spans="9:25" ht="136.94999999999999" customHeight="1" x14ac:dyDescent="0.55000000000000004">
      <c r="I48" s="405" t="s">
        <v>1471</v>
      </c>
      <c r="J48" s="1080">
        <f t="shared" ca="1" si="5"/>
        <v>1867092</v>
      </c>
      <c r="K48" s="1080">
        <f t="shared" ca="1" si="5"/>
        <v>17772597.5</v>
      </c>
      <c r="L48" s="1080">
        <f t="shared" ca="1" si="5"/>
        <v>1937127.5</v>
      </c>
      <c r="M48" s="1080">
        <f t="shared" ca="1" si="5"/>
        <v>3549588.5</v>
      </c>
      <c r="N48" s="1080">
        <f t="shared" ca="1" si="5"/>
        <v>-21392221.5</v>
      </c>
      <c r="O48" s="1080"/>
      <c r="P48" s="1735"/>
      <c r="Q48" s="953"/>
      <c r="S48" s="1083" t="s">
        <v>1479</v>
      </c>
      <c r="T48" s="1083" t="s">
        <v>1488</v>
      </c>
      <c r="U48" s="1087">
        <v>340994373.08744526</v>
      </c>
      <c r="V48"/>
      <c r="W48"/>
      <c r="X48"/>
      <c r="Y48"/>
    </row>
    <row r="49" spans="9:25" ht="136.94999999999999" customHeight="1" x14ac:dyDescent="0.55000000000000004">
      <c r="I49" s="950" t="s">
        <v>1479</v>
      </c>
      <c r="J49" s="1080">
        <f t="shared" ca="1" si="5"/>
        <v>436268957</v>
      </c>
      <c r="K49" s="1080">
        <f t="shared" ca="1" si="5"/>
        <v>115931215</v>
      </c>
      <c r="L49" s="1080">
        <f t="shared" ca="1" si="5"/>
        <v>54188525</v>
      </c>
      <c r="M49" s="1080">
        <f t="shared" ca="1" si="5"/>
        <v>187941346</v>
      </c>
      <c r="N49" s="1080">
        <f t="shared" ca="1" si="5"/>
        <v>78207871</v>
      </c>
      <c r="O49" s="1080"/>
      <c r="P49" s="1735" t="str">
        <f ca="1">E17</f>
        <v>Cost Reflective</v>
      </c>
      <c r="Q49" s="953"/>
      <c r="S49" s="1083" t="s">
        <v>1489</v>
      </c>
      <c r="T49" s="1084"/>
      <c r="U49" s="1087">
        <v>340994373.08744526</v>
      </c>
      <c r="V49"/>
      <c r="W49"/>
      <c r="X49"/>
      <c r="Y49"/>
    </row>
    <row r="50" spans="9:25" ht="136.94999999999999" customHeight="1" x14ac:dyDescent="0.55000000000000004">
      <c r="I50" s="950" t="s">
        <v>1480</v>
      </c>
      <c r="J50" s="1080">
        <f t="shared" si="5"/>
        <v>436368495.04799998</v>
      </c>
      <c r="K50" s="1080">
        <f t="shared" si="5"/>
        <v>133683631.896</v>
      </c>
      <c r="L50" s="1080">
        <f t="shared" si="5"/>
        <v>55741966.055999994</v>
      </c>
      <c r="M50" s="1080">
        <f t="shared" si="5"/>
        <v>191285638.632</v>
      </c>
      <c r="N50" s="1080">
        <f t="shared" si="5"/>
        <v>55657258.464000002</v>
      </c>
      <c r="O50" s="1080"/>
      <c r="P50" s="1735"/>
      <c r="Q50" s="953"/>
      <c r="S50" s="1086" t="s">
        <v>1484</v>
      </c>
      <c r="T50" s="1089"/>
      <c r="U50" s="1088">
        <v>1151488301.7871733</v>
      </c>
      <c r="V50"/>
      <c r="W50"/>
      <c r="X50"/>
      <c r="Y50"/>
    </row>
    <row r="51" spans="9:25" ht="136.94999999999999" customHeight="1" x14ac:dyDescent="0.55000000000000004">
      <c r="I51" s="405" t="s">
        <v>1481</v>
      </c>
      <c r="J51" s="1080">
        <f t="shared" ca="1" si="5"/>
        <v>99538.047999992967</v>
      </c>
      <c r="K51" s="1080">
        <f t="shared" ca="1" si="5"/>
        <v>17752416.895999998</v>
      </c>
      <c r="L51" s="1080">
        <f t="shared" ca="1" si="5"/>
        <v>1553441.0559999943</v>
      </c>
      <c r="M51" s="1080">
        <f t="shared" ca="1" si="5"/>
        <v>3344292.6319999993</v>
      </c>
      <c r="N51" s="1080">
        <f t="shared" ca="1" si="5"/>
        <v>-22550612.535999998</v>
      </c>
      <c r="O51" s="1080"/>
      <c r="P51" s="1735"/>
      <c r="Q51" s="953"/>
      <c r="S51"/>
      <c r="T51"/>
      <c r="U51"/>
      <c r="V51"/>
      <c r="W51"/>
      <c r="X51"/>
      <c r="Y51"/>
    </row>
    <row r="52" spans="9:25" ht="136.94999999999999" customHeight="1" x14ac:dyDescent="0.55000000000000004">
      <c r="S52"/>
      <c r="T52"/>
      <c r="U52"/>
      <c r="V52"/>
      <c r="W52"/>
      <c r="X52"/>
      <c r="Y52"/>
    </row>
    <row r="53" spans="9:25" ht="136.94999999999999" customHeight="1" x14ac:dyDescent="0.55000000000000004">
      <c r="S53"/>
      <c r="T53"/>
      <c r="U53"/>
      <c r="V53"/>
      <c r="W53"/>
      <c r="X53"/>
      <c r="Y53"/>
    </row>
    <row r="54" spans="9:25" ht="136.94999999999999" customHeight="1" x14ac:dyDescent="0.55000000000000004">
      <c r="S54"/>
      <c r="T54"/>
      <c r="U54"/>
      <c r="V54"/>
      <c r="W54"/>
      <c r="X54"/>
      <c r="Y54"/>
    </row>
    <row r="55" spans="9:25" ht="136.94999999999999" customHeight="1" x14ac:dyDescent="0.55000000000000004">
      <c r="S55"/>
      <c r="T55"/>
      <c r="U55"/>
      <c r="V55"/>
      <c r="W55"/>
      <c r="X55"/>
      <c r="Y55"/>
    </row>
    <row r="56" spans="9:25" ht="136.94999999999999" customHeight="1" x14ac:dyDescent="0.55000000000000004">
      <c r="S56"/>
      <c r="T56"/>
      <c r="U56"/>
      <c r="V56"/>
      <c r="W56"/>
      <c r="X56"/>
      <c r="Y56"/>
    </row>
    <row r="57" spans="9:25" ht="136.94999999999999" customHeight="1" x14ac:dyDescent="0.55000000000000004">
      <c r="S57"/>
      <c r="T57"/>
      <c r="U57"/>
      <c r="V57"/>
      <c r="W57"/>
      <c r="X57"/>
      <c r="Y57"/>
    </row>
    <row r="58" spans="9:25" ht="136.94999999999999" customHeight="1" x14ac:dyDescent="0.55000000000000004">
      <c r="S58"/>
      <c r="T58"/>
      <c r="U58"/>
      <c r="V58"/>
      <c r="W58"/>
      <c r="X58"/>
      <c r="Y58"/>
    </row>
    <row r="59" spans="9:25" ht="136.94999999999999" customHeight="1" x14ac:dyDescent="0.55000000000000004">
      <c r="S59"/>
      <c r="T59"/>
      <c r="U59"/>
      <c r="V59"/>
      <c r="W59"/>
      <c r="X59"/>
      <c r="Y59"/>
    </row>
    <row r="60" spans="9:25" ht="136.94999999999999" customHeight="1" x14ac:dyDescent="0.55000000000000004">
      <c r="S60"/>
      <c r="T60"/>
      <c r="U60"/>
      <c r="V60"/>
      <c r="W60"/>
      <c r="X60"/>
      <c r="Y60"/>
    </row>
    <row r="61" spans="9:25" ht="136.94999999999999" customHeight="1" x14ac:dyDescent="0.55000000000000004">
      <c r="S61"/>
      <c r="T61"/>
      <c r="U61"/>
      <c r="V61"/>
      <c r="W61"/>
      <c r="X61"/>
      <c r="Y61"/>
    </row>
    <row r="62" spans="9:25" ht="136.94999999999999" customHeight="1" x14ac:dyDescent="0.55000000000000004">
      <c r="S62"/>
      <c r="T62"/>
      <c r="U62"/>
      <c r="V62"/>
      <c r="W62"/>
      <c r="X62"/>
      <c r="Y62"/>
    </row>
    <row r="63" spans="9:25" ht="136.94999999999999" customHeight="1" x14ac:dyDescent="0.35"/>
    <row r="64" spans="9:25" ht="136.94999999999999" customHeight="1" x14ac:dyDescent="0.35"/>
  </sheetData>
  <mergeCells count="26">
    <mergeCell ref="P46:P48"/>
    <mergeCell ref="N8:N12"/>
    <mergeCell ref="P49:P51"/>
    <mergeCell ref="D17:D20"/>
    <mergeCell ref="N13:N16"/>
    <mergeCell ref="E17:E19"/>
    <mergeCell ref="E20:H20"/>
    <mergeCell ref="D13:D16"/>
    <mergeCell ref="F13:F15"/>
    <mergeCell ref="F17:F19"/>
    <mergeCell ref="G13:G15"/>
    <mergeCell ref="P43:P45"/>
    <mergeCell ref="D8:D12"/>
    <mergeCell ref="N17:N20"/>
    <mergeCell ref="E9:E11"/>
    <mergeCell ref="E12:H12"/>
    <mergeCell ref="E13:E15"/>
    <mergeCell ref="E16:H16"/>
    <mergeCell ref="G9:G11"/>
    <mergeCell ref="F9:F11"/>
    <mergeCell ref="G17:G19"/>
    <mergeCell ref="D4:E4"/>
    <mergeCell ref="G4:H4"/>
    <mergeCell ref="M4:N4"/>
    <mergeCell ref="J4:K4"/>
    <mergeCell ref="D7:N7"/>
  </mergeCells>
  <conditionalFormatting sqref="I12:M12">
    <cfRule type="containsText" dxfId="57" priority="13" stopIfTrue="1" operator="containsText" text="Not cost">
      <formula>NOT(ISERROR(SEARCH("Not cost",I12)))</formula>
    </cfRule>
    <cfRule type="cellIs" dxfId="56" priority="14" stopIfTrue="1" operator="equal">
      <formula>"Cost Reflective"</formula>
    </cfRule>
  </conditionalFormatting>
  <conditionalFormatting sqref="I16:M16">
    <cfRule type="containsText" dxfId="55" priority="11" stopIfTrue="1" operator="containsText" text="Not cost">
      <formula>NOT(ISERROR(SEARCH("Not cost",I16)))</formula>
    </cfRule>
    <cfRule type="cellIs" dxfId="54" priority="12" stopIfTrue="1" operator="equal">
      <formula>"Cost Reflective"</formula>
    </cfRule>
  </conditionalFormatting>
  <conditionalFormatting sqref="I20:M20">
    <cfRule type="containsText" dxfId="53" priority="9" stopIfTrue="1" operator="containsText" text="Not cost">
      <formula>NOT(ISERROR(SEARCH("Not cost",I20)))</formula>
    </cfRule>
    <cfRule type="cellIs" dxfId="52" priority="10" stopIfTrue="1" operator="equal">
      <formula>"Cost Reflective"</formula>
    </cfRule>
  </conditionalFormatting>
  <conditionalFormatting sqref="E9">
    <cfRule type="containsText" dxfId="51" priority="5" stopIfTrue="1" operator="containsText" text="Not cost">
      <formula>NOT(ISERROR(SEARCH("Not cost",E9)))</formula>
    </cfRule>
    <cfRule type="cellIs" dxfId="50" priority="6" stopIfTrue="1" operator="equal">
      <formula>"Cost Reflective"</formula>
    </cfRule>
  </conditionalFormatting>
  <conditionalFormatting sqref="E13">
    <cfRule type="containsText" dxfId="49" priority="3" stopIfTrue="1" operator="containsText" text="Not cost">
      <formula>NOT(ISERROR(SEARCH("Not cost",E13)))</formula>
    </cfRule>
    <cfRule type="cellIs" dxfId="48" priority="4" stopIfTrue="1" operator="equal">
      <formula>"Cost Reflective"</formula>
    </cfRule>
  </conditionalFormatting>
  <conditionalFormatting sqref="E17">
    <cfRule type="containsText" dxfId="47" priority="1" stopIfTrue="1" operator="containsText" text="Not cost">
      <formula>NOT(ISERROR(SEARCH("Not cost",E17)))</formula>
    </cfRule>
    <cfRule type="cellIs" dxfId="46" priority="2" stopIfTrue="1" operator="equal">
      <formula>"Cost Reflective"</formula>
    </cfRule>
  </conditionalFormatting>
  <pageMargins left="0.7" right="0.7" top="0.75" bottom="0.75" header="0.3" footer="0.3"/>
  <pageSetup paperSize="9" orientation="portrait" r:id="rId2"/>
  <drawing r:id="rId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98D378F-371A-46FA-A843-9F05CF378A2D}">
  <sheetPr codeName="Sheet38">
    <tabColor theme="2" tint="-0.249977111117893"/>
  </sheetPr>
  <dimension ref="A1:AM80"/>
  <sheetViews>
    <sheetView zoomScale="104" zoomScaleNormal="104" workbookViewId="0">
      <selection activeCell="I23" sqref="I23"/>
    </sheetView>
  </sheetViews>
  <sheetFormatPr defaultColWidth="8.7890625" defaultRowHeight="9.6" customHeight="1" x14ac:dyDescent="0.55000000000000004"/>
  <cols>
    <col min="1" max="1" width="2.20703125" style="958" customWidth="1"/>
    <col min="2" max="2" width="2" style="958" customWidth="1"/>
    <col min="3" max="3" width="1.41796875" style="958" customWidth="1"/>
    <col min="4" max="4" width="14.41796875" style="958" customWidth="1"/>
    <col min="5" max="5" width="14.20703125" style="958" customWidth="1"/>
    <col min="6" max="6" width="10.20703125" style="967" hidden="1" customWidth="1"/>
    <col min="7" max="7" width="10.41796875" style="958" hidden="1" customWidth="1"/>
    <col min="8" max="8" width="8.7890625" style="958" hidden="1" customWidth="1"/>
    <col min="9" max="9" width="12.7890625" style="958" customWidth="1"/>
    <col min="10" max="10" width="10.7890625" style="958" customWidth="1"/>
    <col min="11" max="11" width="10.20703125" style="958" customWidth="1"/>
    <col min="12" max="12" width="1.20703125" style="958" customWidth="1"/>
    <col min="13" max="13" width="2.20703125" style="958" customWidth="1"/>
    <col min="14" max="14" width="1.20703125" style="958" customWidth="1"/>
    <col min="15" max="15" width="2.7890625" style="958" customWidth="1"/>
    <col min="16" max="16" width="1.7890625" style="958" customWidth="1"/>
    <col min="17" max="17" width="15" style="958" customWidth="1"/>
    <col min="18" max="18" width="8.7890625" style="958"/>
    <col min="19" max="21" width="0" style="958" hidden="1" customWidth="1"/>
    <col min="22" max="22" width="11.5234375" style="958" customWidth="1"/>
    <col min="23" max="23" width="10.41796875" style="958" customWidth="1"/>
    <col min="24" max="24" width="12" style="958" customWidth="1"/>
    <col min="25" max="25" width="1.20703125" style="958" customWidth="1"/>
    <col min="26" max="26" width="1.5234375" style="958" customWidth="1"/>
    <col min="27" max="28" width="1.7890625" style="958" customWidth="1"/>
    <col min="29" max="29" width="0.7890625" style="958" customWidth="1"/>
    <col min="30" max="30" width="15.20703125" style="958" customWidth="1"/>
    <col min="31" max="31" width="8.7890625" style="958" customWidth="1"/>
    <col min="32" max="32" width="3.89453125" style="958" hidden="1" customWidth="1"/>
    <col min="33" max="33" width="1.68359375" style="958" hidden="1" customWidth="1"/>
    <col min="34" max="34" width="3.20703125" style="958" hidden="1" customWidth="1"/>
    <col min="35" max="35" width="11.7890625" style="958" customWidth="1"/>
    <col min="36" max="36" width="10.7890625" style="958" customWidth="1"/>
    <col min="37" max="37" width="10.41796875" style="958" customWidth="1"/>
    <col min="38" max="38" width="1" style="958" customWidth="1"/>
    <col min="39" max="39" width="3.7890625" style="958" customWidth="1"/>
    <col min="40" max="16384" width="8.7890625" style="958"/>
  </cols>
  <sheetData>
    <row r="1" spans="1:39" ht="9.6" customHeight="1" x14ac:dyDescent="0.55000000000000004">
      <c r="A1" s="960"/>
      <c r="B1" s="960"/>
      <c r="C1" s="960"/>
      <c r="D1" s="960"/>
      <c r="E1" s="960"/>
      <c r="F1" s="961"/>
      <c r="G1" s="962"/>
      <c r="H1" s="962"/>
      <c r="I1" s="962" t="s">
        <v>732</v>
      </c>
      <c r="J1" s="962" t="s">
        <v>764</v>
      </c>
      <c r="K1" s="962" t="s">
        <v>766</v>
      </c>
      <c r="L1" s="962"/>
      <c r="M1" s="963"/>
      <c r="N1" s="960"/>
      <c r="O1" s="960"/>
      <c r="P1" s="960"/>
      <c r="Q1" s="960"/>
      <c r="R1" s="960"/>
      <c r="S1" s="961"/>
      <c r="T1" s="962"/>
      <c r="U1" s="962"/>
      <c r="V1" s="962" t="s">
        <v>732</v>
      </c>
      <c r="W1" s="962" t="s">
        <v>764</v>
      </c>
      <c r="X1" s="962" t="s">
        <v>766</v>
      </c>
      <c r="Y1" s="962"/>
      <c r="Z1" s="963"/>
      <c r="AA1" s="960"/>
      <c r="AB1" s="960"/>
      <c r="AC1" s="960"/>
      <c r="AD1" s="960"/>
      <c r="AE1" s="960"/>
      <c r="AF1" s="961"/>
      <c r="AG1" s="962"/>
      <c r="AH1" s="962"/>
      <c r="AI1" s="962" t="s">
        <v>732</v>
      </c>
      <c r="AJ1" s="962" t="s">
        <v>764</v>
      </c>
      <c r="AK1" s="962" t="s">
        <v>766</v>
      </c>
      <c r="AL1" s="962"/>
      <c r="AM1" s="963"/>
    </row>
    <row r="2" spans="1:39" ht="9.6" customHeight="1" x14ac:dyDescent="0.55000000000000004">
      <c r="A2" s="964"/>
      <c r="B2" s="385"/>
      <c r="C2" s="385"/>
      <c r="D2" s="385"/>
      <c r="E2" s="385"/>
      <c r="F2" s="346"/>
      <c r="G2" s="385"/>
      <c r="H2" s="385"/>
      <c r="I2" s="385"/>
      <c r="J2" s="385"/>
      <c r="K2" s="385"/>
      <c r="L2" s="385"/>
      <c r="M2" s="385"/>
      <c r="N2" s="964"/>
      <c r="O2" s="385"/>
      <c r="P2" s="385"/>
      <c r="Q2" s="385"/>
      <c r="R2" s="385"/>
      <c r="S2" s="346"/>
      <c r="T2" s="385"/>
      <c r="U2" s="385"/>
      <c r="V2" s="385"/>
      <c r="W2" s="385"/>
      <c r="X2" s="385"/>
      <c r="Y2" s="385"/>
      <c r="Z2" s="385"/>
      <c r="AA2" s="964"/>
      <c r="AB2" s="385"/>
      <c r="AC2" s="385"/>
      <c r="AD2" s="385"/>
      <c r="AE2" s="385"/>
      <c r="AF2" s="346"/>
      <c r="AG2" s="385"/>
      <c r="AH2" s="385"/>
      <c r="AI2" s="385"/>
      <c r="AJ2" s="385"/>
      <c r="AK2" s="385"/>
      <c r="AL2" s="385"/>
      <c r="AM2" s="385"/>
    </row>
    <row r="3" spans="1:39" s="1098" customFormat="1" ht="10.95" customHeight="1" x14ac:dyDescent="0.5">
      <c r="A3" s="998"/>
      <c r="B3" s="405"/>
      <c r="C3" s="1743" t="s">
        <v>863</v>
      </c>
      <c r="D3" s="1744"/>
      <c r="E3" s="1744"/>
      <c r="F3" s="1744"/>
      <c r="G3" s="1744"/>
      <c r="H3" s="1744"/>
      <c r="I3" s="1744"/>
      <c r="J3" s="1744"/>
      <c r="K3" s="1744"/>
      <c r="L3" s="1745"/>
      <c r="M3" s="405"/>
      <c r="N3" s="998"/>
      <c r="O3" s="405"/>
      <c r="P3" s="1743" t="s">
        <v>864</v>
      </c>
      <c r="Q3" s="1744"/>
      <c r="R3" s="1744"/>
      <c r="S3" s="1744"/>
      <c r="T3" s="1744"/>
      <c r="U3" s="1744"/>
      <c r="V3" s="1744"/>
      <c r="W3" s="1744"/>
      <c r="X3" s="1744"/>
      <c r="Y3" s="1745"/>
      <c r="Z3" s="405"/>
      <c r="AA3" s="998"/>
      <c r="AB3" s="405"/>
      <c r="AC3" s="1743" t="s">
        <v>865</v>
      </c>
      <c r="AD3" s="1744"/>
      <c r="AE3" s="1744"/>
      <c r="AF3" s="1744"/>
      <c r="AG3" s="1744"/>
      <c r="AH3" s="1744"/>
      <c r="AI3" s="1744"/>
      <c r="AJ3" s="1744"/>
      <c r="AK3" s="1744"/>
      <c r="AL3" s="1745"/>
      <c r="AM3" s="405"/>
    </row>
    <row r="4" spans="1:39" ht="4.95" customHeight="1" x14ac:dyDescent="0.55000000000000004">
      <c r="A4" s="960"/>
      <c r="B4" s="385"/>
      <c r="C4" s="386"/>
      <c r="D4" s="386"/>
      <c r="E4" s="386"/>
      <c r="F4" s="486"/>
      <c r="G4" s="387"/>
      <c r="H4" s="387"/>
      <c r="I4" s="388"/>
      <c r="J4" s="389"/>
      <c r="K4" s="389"/>
      <c r="L4" s="389"/>
      <c r="M4" s="385"/>
      <c r="N4" s="960"/>
      <c r="O4" s="385"/>
      <c r="P4" s="386"/>
      <c r="Q4" s="386"/>
      <c r="R4" s="386"/>
      <c r="S4" s="486"/>
      <c r="T4" s="387"/>
      <c r="U4" s="387"/>
      <c r="V4" s="388"/>
      <c r="W4" s="389"/>
      <c r="X4" s="389"/>
      <c r="Y4" s="389"/>
      <c r="Z4" s="385"/>
      <c r="AA4" s="960"/>
      <c r="AB4" s="385"/>
      <c r="AC4" s="386"/>
      <c r="AD4" s="386"/>
      <c r="AE4" s="386"/>
      <c r="AF4" s="486"/>
      <c r="AG4" s="387"/>
      <c r="AH4" s="387"/>
      <c r="AI4" s="388"/>
      <c r="AJ4" s="389"/>
      <c r="AK4" s="389"/>
      <c r="AL4" s="389"/>
      <c r="AM4" s="385"/>
    </row>
    <row r="5" spans="1:39" ht="24.6" customHeight="1" x14ac:dyDescent="0.55000000000000004">
      <c r="A5" s="960"/>
      <c r="B5" s="385"/>
      <c r="C5" s="386"/>
      <c r="D5" s="390" t="s">
        <v>645</v>
      </c>
      <c r="E5" s="390" t="s">
        <v>646</v>
      </c>
      <c r="F5" s="487"/>
      <c r="G5" s="387"/>
      <c r="H5" s="387"/>
      <c r="I5" s="391" t="s">
        <v>707</v>
      </c>
      <c r="J5" s="392" t="s">
        <v>736</v>
      </c>
      <c r="K5" s="393" t="s">
        <v>762</v>
      </c>
      <c r="L5" s="389"/>
      <c r="M5" s="385"/>
      <c r="N5" s="960"/>
      <c r="O5" s="385"/>
      <c r="P5" s="386"/>
      <c r="Q5" s="390" t="s">
        <v>645</v>
      </c>
      <c r="R5" s="390" t="s">
        <v>646</v>
      </c>
      <c r="S5" s="487"/>
      <c r="T5" s="387"/>
      <c r="U5" s="387"/>
      <c r="V5" s="391" t="s">
        <v>707</v>
      </c>
      <c r="W5" s="392" t="s">
        <v>736</v>
      </c>
      <c r="X5" s="393" t="s">
        <v>762</v>
      </c>
      <c r="Y5" s="389"/>
      <c r="Z5" s="385"/>
      <c r="AA5" s="960"/>
      <c r="AB5" s="385"/>
      <c r="AC5" s="386"/>
      <c r="AD5" s="390" t="s">
        <v>645</v>
      </c>
      <c r="AE5" s="390" t="s">
        <v>646</v>
      </c>
      <c r="AF5" s="487"/>
      <c r="AG5" s="387"/>
      <c r="AH5" s="387"/>
      <c r="AI5" s="391" t="s">
        <v>707</v>
      </c>
      <c r="AJ5" s="392" t="s">
        <v>736</v>
      </c>
      <c r="AK5" s="393" t="s">
        <v>762</v>
      </c>
      <c r="AL5" s="389"/>
      <c r="AM5" s="385"/>
    </row>
    <row r="6" spans="1:39" ht="9.6" customHeight="1" x14ac:dyDescent="0.55000000000000004">
      <c r="A6" s="960"/>
      <c r="B6" s="385"/>
      <c r="C6" s="386"/>
      <c r="D6" s="1157" t="s">
        <v>639</v>
      </c>
      <c r="E6" s="1158" t="s">
        <v>648</v>
      </c>
      <c r="F6" s="1156" t="str">
        <f t="shared" ref="F6:F21" si="0">E6&amp;$I$1</f>
        <v>Executive and Council2900</v>
      </c>
      <c r="G6" s="532" t="str">
        <f>E6&amp;$J$1</f>
        <v>Executive and Council4400</v>
      </c>
      <c r="H6" s="394" t="str">
        <f t="shared" ref="H6:H21" si="1">E6&amp;$K$1</f>
        <v>Executive and Council4500</v>
      </c>
      <c r="I6" s="1175">
        <f>VLOOKUP(F6,'3.Inc &amp; Exp per Function'!$D:$X,18,FALSE)</f>
        <v>118000</v>
      </c>
      <c r="J6" s="1175">
        <f>VLOOKUP(G6,'3.Inc &amp; Exp per Function'!$D:$X,18,FALSE)</f>
        <v>21125744</v>
      </c>
      <c r="K6" s="1175">
        <f>VLOOKUP(H6,'3.Inc &amp; Exp per Function'!$D:$X,18,FALSE)</f>
        <v>-21007744</v>
      </c>
      <c r="L6" s="389"/>
      <c r="M6" s="385"/>
      <c r="N6" s="960"/>
      <c r="O6" s="385"/>
      <c r="P6" s="386"/>
      <c r="Q6" s="1157" t="s">
        <v>639</v>
      </c>
      <c r="R6" s="1158" t="s">
        <v>648</v>
      </c>
      <c r="S6" s="1156" t="str">
        <f t="shared" ref="S6:S21" si="2">R6&amp;$I$1</f>
        <v>Executive and Council2900</v>
      </c>
      <c r="T6" s="532" t="str">
        <f>R6&amp;$J$1</f>
        <v>Executive and Council4400</v>
      </c>
      <c r="U6" s="394" t="str">
        <f t="shared" ref="U6:U21" si="3">R6&amp;$K$1</f>
        <v>Executive and Council4500</v>
      </c>
      <c r="V6" s="1175">
        <f>VLOOKUP(S6,'3.Inc &amp; Exp per Function'!$D:$X,19,FALSE)</f>
        <v>122012</v>
      </c>
      <c r="W6" s="1175">
        <f>VLOOKUP(T6,'3.Inc &amp; Exp per Function'!$D:$X,19,FALSE)</f>
        <v>21844017</v>
      </c>
      <c r="X6" s="1175">
        <f>VLOOKUP(U6,'3.Inc &amp; Exp per Function'!$D:$X,19,FALSE)</f>
        <v>-21722005</v>
      </c>
      <c r="Y6" s="389"/>
      <c r="Z6" s="385"/>
      <c r="AA6" s="960"/>
      <c r="AB6" s="385"/>
      <c r="AC6" s="386"/>
      <c r="AD6" s="1157" t="s">
        <v>639</v>
      </c>
      <c r="AE6" s="1158" t="s">
        <v>648</v>
      </c>
      <c r="AF6" s="1156" t="str">
        <f t="shared" ref="AF6:AF21" si="4">AE6&amp;$I$1</f>
        <v>Executive and Council2900</v>
      </c>
      <c r="AG6" s="532" t="str">
        <f>AE6&amp;$J$1</f>
        <v>Executive and Council4400</v>
      </c>
      <c r="AH6" s="394" t="str">
        <f t="shared" ref="AH6:AH21" si="5">AE6&amp;$K$1</f>
        <v>Executive and Council4500</v>
      </c>
      <c r="AI6" s="1175">
        <f>VLOOKUP(AF6,'3.Inc &amp; Exp per Function'!$D:$X,20,FALSE)</f>
        <v>125916</v>
      </c>
      <c r="AJ6" s="1175">
        <f>VLOOKUP(AG6,'3.Inc &amp; Exp per Function'!$D:$X,20,FALSE)</f>
        <v>22543025</v>
      </c>
      <c r="AK6" s="1175">
        <f>VLOOKUP(AH6,'3.Inc &amp; Exp per Function'!$D:$X,20,FALSE)</f>
        <v>-22417109</v>
      </c>
      <c r="AL6" s="389"/>
      <c r="AM6" s="385"/>
    </row>
    <row r="7" spans="1:39" ht="9.6" customHeight="1" x14ac:dyDescent="0.55000000000000004">
      <c r="A7" s="960"/>
      <c r="B7" s="385"/>
      <c r="C7" s="386"/>
      <c r="D7" s="1159" t="s">
        <v>639</v>
      </c>
      <c r="E7" s="1160" t="s">
        <v>798</v>
      </c>
      <c r="F7" s="1156" t="str">
        <f t="shared" si="0"/>
        <v>Finance and administration2900</v>
      </c>
      <c r="G7" s="532" t="str">
        <f t="shared" ref="G7:G21" si="6">E7&amp;$J$1</f>
        <v>Finance and administration4400</v>
      </c>
      <c r="H7" s="394" t="str">
        <f t="shared" si="1"/>
        <v>Finance and administration4500</v>
      </c>
      <c r="I7" s="1175">
        <f>VLOOKUP(F7,'3.Inc &amp; Exp per Function'!$D:$X,18,FALSE)</f>
        <v>328483797</v>
      </c>
      <c r="J7" s="1175">
        <f>VLOOKUP(G7,'3.Inc &amp; Exp per Function'!$D:$X,18,FALSE)</f>
        <v>224652576</v>
      </c>
      <c r="K7" s="1175">
        <f>VLOOKUP(H7,'3.Inc &amp; Exp per Function'!$D:$X,18,FALSE)</f>
        <v>103831221</v>
      </c>
      <c r="L7" s="389"/>
      <c r="M7" s="385"/>
      <c r="N7" s="960"/>
      <c r="O7" s="385"/>
      <c r="P7" s="386"/>
      <c r="Q7" s="1159" t="s">
        <v>639</v>
      </c>
      <c r="R7" s="1160" t="s">
        <v>798</v>
      </c>
      <c r="S7" s="1156" t="str">
        <f t="shared" si="2"/>
        <v>Finance and administration2900</v>
      </c>
      <c r="T7" s="532" t="str">
        <f t="shared" ref="T7:T21" si="7">R7&amp;$J$1</f>
        <v>Finance and administration4400</v>
      </c>
      <c r="U7" s="394" t="str">
        <f t="shared" si="3"/>
        <v>Finance and administration4500</v>
      </c>
      <c r="V7" s="1175">
        <f>VLOOKUP(S7,'3.Inc &amp; Exp per Function'!$D:$X,19,FALSE)</f>
        <v>339324380</v>
      </c>
      <c r="W7" s="1175">
        <f>VLOOKUP(T7,'3.Inc &amp; Exp per Function'!$D:$X,19,FALSE)</f>
        <v>232372629</v>
      </c>
      <c r="X7" s="1175">
        <f>VLOOKUP(U7,'3.Inc &amp; Exp per Function'!$D:$X,19,FALSE)</f>
        <v>106951751</v>
      </c>
      <c r="Y7" s="389"/>
      <c r="Z7" s="385"/>
      <c r="AA7" s="960"/>
      <c r="AB7" s="385"/>
      <c r="AC7" s="386"/>
      <c r="AD7" s="1159" t="s">
        <v>639</v>
      </c>
      <c r="AE7" s="1160" t="s">
        <v>798</v>
      </c>
      <c r="AF7" s="1156" t="str">
        <f t="shared" si="4"/>
        <v>Finance and administration2900</v>
      </c>
      <c r="AG7" s="532" t="str">
        <f t="shared" ref="AG7:AG21" si="8">AE7&amp;$J$1</f>
        <v>Finance and administration4400</v>
      </c>
      <c r="AH7" s="394" t="str">
        <f t="shared" si="5"/>
        <v>Finance and administration4500</v>
      </c>
      <c r="AI7" s="1175">
        <f>VLOOKUP(AF7,'3.Inc &amp; Exp per Function'!$D:$X,20,FALSE)</f>
        <v>349088875</v>
      </c>
      <c r="AJ7" s="1175">
        <f>VLOOKUP(AG7,'3.Inc &amp; Exp per Function'!$D:$X,20,FALSE)</f>
        <v>239886257</v>
      </c>
      <c r="AK7" s="1175">
        <f>VLOOKUP(AH7,'3.Inc &amp; Exp per Function'!$D:$X,20,FALSE)</f>
        <v>109202618</v>
      </c>
      <c r="AL7" s="389"/>
      <c r="AM7" s="385"/>
    </row>
    <row r="8" spans="1:39" ht="9.6" customHeight="1" x14ac:dyDescent="0.55000000000000004">
      <c r="A8" s="960"/>
      <c r="B8" s="385"/>
      <c r="C8" s="386"/>
      <c r="D8" s="1161" t="s">
        <v>639</v>
      </c>
      <c r="E8" s="1162" t="s">
        <v>800</v>
      </c>
      <c r="F8" s="1156" t="str">
        <f t="shared" si="0"/>
        <v>Internal audit2900</v>
      </c>
      <c r="G8" s="532" t="str">
        <f t="shared" si="6"/>
        <v>Internal audit4400</v>
      </c>
      <c r="H8" s="394" t="str">
        <f t="shared" si="1"/>
        <v>Internal audit4500</v>
      </c>
      <c r="I8" s="1175">
        <f>VLOOKUP(F8,'3.Inc &amp; Exp per Function'!$D:$X,18,FALSE)</f>
        <v>0</v>
      </c>
      <c r="J8" s="1175">
        <f>VLOOKUP(G8,'3.Inc &amp; Exp per Function'!$D:$X,18,FALSE)</f>
        <v>3436716</v>
      </c>
      <c r="K8" s="1175">
        <f>VLOOKUP(H8,'3.Inc &amp; Exp per Function'!$D:$X,18,FALSE)</f>
        <v>-3436716</v>
      </c>
      <c r="L8" s="389"/>
      <c r="M8" s="385"/>
      <c r="N8" s="960"/>
      <c r="O8" s="385"/>
      <c r="P8" s="386"/>
      <c r="Q8" s="1161" t="s">
        <v>639</v>
      </c>
      <c r="R8" s="1162" t="s">
        <v>800</v>
      </c>
      <c r="S8" s="1156" t="str">
        <f t="shared" si="2"/>
        <v>Internal audit2900</v>
      </c>
      <c r="T8" s="532" t="str">
        <f t="shared" si="7"/>
        <v>Internal audit4400</v>
      </c>
      <c r="U8" s="394" t="str">
        <f t="shared" si="3"/>
        <v>Internal audit4500</v>
      </c>
      <c r="V8" s="1175">
        <f>VLOOKUP(S8,'3.Inc &amp; Exp per Function'!$D:$X,19,FALSE)</f>
        <v>0</v>
      </c>
      <c r="W8" s="1175">
        <f>VLOOKUP(T8,'3.Inc &amp; Exp per Function'!$D:$X,19,FALSE)</f>
        <v>3553563</v>
      </c>
      <c r="X8" s="1175">
        <f>VLOOKUP(U8,'3.Inc &amp; Exp per Function'!$D:$X,19,FALSE)</f>
        <v>-3553563</v>
      </c>
      <c r="Y8" s="389"/>
      <c r="Z8" s="385"/>
      <c r="AA8" s="960"/>
      <c r="AB8" s="385"/>
      <c r="AC8" s="386"/>
      <c r="AD8" s="1161" t="s">
        <v>639</v>
      </c>
      <c r="AE8" s="1162" t="s">
        <v>800</v>
      </c>
      <c r="AF8" s="1156" t="str">
        <f t="shared" si="4"/>
        <v>Internal audit2900</v>
      </c>
      <c r="AG8" s="532" t="str">
        <f t="shared" si="8"/>
        <v>Internal audit4400</v>
      </c>
      <c r="AH8" s="394" t="str">
        <f t="shared" si="5"/>
        <v>Internal audit4500</v>
      </c>
      <c r="AI8" s="1175">
        <f>VLOOKUP(AF8,'3.Inc &amp; Exp per Function'!$D:$X,20,FALSE)</f>
        <v>0</v>
      </c>
      <c r="AJ8" s="1175">
        <f>VLOOKUP(AG8,'3.Inc &amp; Exp per Function'!$D:$X,20,FALSE)</f>
        <v>3667277</v>
      </c>
      <c r="AK8" s="1175">
        <f>VLOOKUP(AH8,'3.Inc &amp; Exp per Function'!$D:$X,20,FALSE)</f>
        <v>-3667277</v>
      </c>
      <c r="AL8" s="389"/>
      <c r="AM8" s="385"/>
    </row>
    <row r="9" spans="1:39" ht="9.6" customHeight="1" x14ac:dyDescent="0.55000000000000004">
      <c r="A9" s="960"/>
      <c r="B9" s="385"/>
      <c r="C9" s="386"/>
      <c r="D9" s="396" t="s">
        <v>640</v>
      </c>
      <c r="E9" s="396" t="s">
        <v>804</v>
      </c>
      <c r="F9" s="488" t="str">
        <f t="shared" si="0"/>
        <v>Community and social services2900</v>
      </c>
      <c r="G9" s="532" t="str">
        <f t="shared" si="6"/>
        <v>Community and social services4400</v>
      </c>
      <c r="H9" s="394" t="str">
        <f t="shared" si="1"/>
        <v>Community and social services4500</v>
      </c>
      <c r="I9" s="395">
        <f>VLOOKUP(F9,'3.Inc &amp; Exp per Function'!$D:$X,18,FALSE)</f>
        <v>12607500</v>
      </c>
      <c r="J9" s="395">
        <f>VLOOKUP(G9,'3.Inc &amp; Exp per Function'!$D:$X,18,FALSE)</f>
        <v>13073057</v>
      </c>
      <c r="K9" s="395">
        <f>VLOOKUP(H9,'3.Inc &amp; Exp per Function'!$D:$X,18,FALSE)</f>
        <v>-465557</v>
      </c>
      <c r="L9" s="389"/>
      <c r="M9" s="385"/>
      <c r="N9" s="960"/>
      <c r="O9" s="385"/>
      <c r="P9" s="386"/>
      <c r="Q9" s="396" t="s">
        <v>640</v>
      </c>
      <c r="R9" s="396" t="s">
        <v>804</v>
      </c>
      <c r="S9" s="488" t="str">
        <f t="shared" si="2"/>
        <v>Community and social services2900</v>
      </c>
      <c r="T9" s="532" t="str">
        <f t="shared" si="7"/>
        <v>Community and social services4400</v>
      </c>
      <c r="U9" s="394" t="str">
        <f t="shared" si="3"/>
        <v>Community and social services4500</v>
      </c>
      <c r="V9" s="395">
        <f>VLOOKUP(S9,'3.Inc &amp; Exp per Function'!$D:$X,19,FALSE)</f>
        <v>12753451</v>
      </c>
      <c r="W9" s="395">
        <f>VLOOKUP(T9,'3.Inc &amp; Exp per Function'!$D:$X,19,FALSE)</f>
        <v>13517538</v>
      </c>
      <c r="X9" s="395">
        <f>VLOOKUP(U9,'3.Inc &amp; Exp per Function'!$D:$X,19,FALSE)</f>
        <v>-764087</v>
      </c>
      <c r="Y9" s="389"/>
      <c r="Z9" s="385"/>
      <c r="AA9" s="960"/>
      <c r="AB9" s="385"/>
      <c r="AC9" s="386"/>
      <c r="AD9" s="396" t="s">
        <v>640</v>
      </c>
      <c r="AE9" s="396" t="s">
        <v>804</v>
      </c>
      <c r="AF9" s="488" t="str">
        <f t="shared" si="4"/>
        <v>Community and social services2900</v>
      </c>
      <c r="AG9" s="532" t="str">
        <f t="shared" si="8"/>
        <v>Community and social services4400</v>
      </c>
      <c r="AH9" s="394" t="str">
        <f t="shared" si="5"/>
        <v>Community and social services4500</v>
      </c>
      <c r="AI9" s="395">
        <f>VLOOKUP(AF9,'3.Inc &amp; Exp per Function'!$D:$X,20,FALSE)</f>
        <v>12900626</v>
      </c>
      <c r="AJ9" s="395">
        <f>VLOOKUP(AG9,'3.Inc &amp; Exp per Function'!$D:$X,20,FALSE)</f>
        <v>13950102</v>
      </c>
      <c r="AK9" s="395">
        <f>VLOOKUP(AH9,'3.Inc &amp; Exp per Function'!$D:$X,20,FALSE)</f>
        <v>-1049476</v>
      </c>
      <c r="AL9" s="389"/>
      <c r="AM9" s="385"/>
    </row>
    <row r="10" spans="1:39" ht="9.6" customHeight="1" x14ac:dyDescent="0.55000000000000004">
      <c r="A10" s="960"/>
      <c r="B10" s="385"/>
      <c r="C10" s="386"/>
      <c r="D10" s="396" t="s">
        <v>640</v>
      </c>
      <c r="E10" s="396" t="s">
        <v>810</v>
      </c>
      <c r="F10" s="488" t="str">
        <f t="shared" si="0"/>
        <v>Environmental protection2900</v>
      </c>
      <c r="G10" s="532" t="str">
        <f t="shared" si="6"/>
        <v>Environmental protection4400</v>
      </c>
      <c r="H10" s="394" t="str">
        <f t="shared" si="1"/>
        <v>Environmental protection4500</v>
      </c>
      <c r="I10" s="395">
        <f>VLOOKUP(F10,'3.Inc &amp; Exp per Function'!$D:$X,18,FALSE)</f>
        <v>0</v>
      </c>
      <c r="J10" s="395">
        <f>VLOOKUP(G10,'3.Inc &amp; Exp per Function'!$D:$X,18,FALSE)</f>
        <v>1000</v>
      </c>
      <c r="K10" s="395">
        <f>VLOOKUP(H10,'3.Inc &amp; Exp per Function'!$D:$X,18,FALSE)</f>
        <v>-1000</v>
      </c>
      <c r="L10" s="389"/>
      <c r="M10" s="385"/>
      <c r="N10" s="960"/>
      <c r="O10" s="385"/>
      <c r="P10" s="386"/>
      <c r="Q10" s="396" t="s">
        <v>640</v>
      </c>
      <c r="R10" s="396" t="s">
        <v>810</v>
      </c>
      <c r="S10" s="488" t="str">
        <f t="shared" si="2"/>
        <v>Environmental protection2900</v>
      </c>
      <c r="T10" s="532" t="str">
        <f t="shared" si="7"/>
        <v>Environmental protection4400</v>
      </c>
      <c r="U10" s="394" t="str">
        <f t="shared" si="3"/>
        <v>Environmental protection4500</v>
      </c>
      <c r="V10" s="395">
        <f>VLOOKUP(S10,'3.Inc &amp; Exp per Function'!$D:$X,19,FALSE)</f>
        <v>0</v>
      </c>
      <c r="W10" s="395">
        <f>VLOOKUP(T10,'3.Inc &amp; Exp per Function'!$D:$X,19,FALSE)</f>
        <v>1034</v>
      </c>
      <c r="X10" s="395">
        <f>VLOOKUP(U10,'3.Inc &amp; Exp per Function'!$D:$X,19,FALSE)</f>
        <v>-1034</v>
      </c>
      <c r="Y10" s="389"/>
      <c r="Z10" s="385"/>
      <c r="AA10" s="960"/>
      <c r="AB10" s="385"/>
      <c r="AC10" s="386"/>
      <c r="AD10" s="396" t="s">
        <v>640</v>
      </c>
      <c r="AE10" s="396" t="s">
        <v>810</v>
      </c>
      <c r="AF10" s="488" t="str">
        <f t="shared" si="4"/>
        <v>Environmental protection2900</v>
      </c>
      <c r="AG10" s="532" t="str">
        <f t="shared" si="8"/>
        <v>Environmental protection4400</v>
      </c>
      <c r="AH10" s="394" t="str">
        <f t="shared" si="5"/>
        <v>Environmental protection4500</v>
      </c>
      <c r="AI10" s="395">
        <f>VLOOKUP(AF10,'3.Inc &amp; Exp per Function'!$D:$X,20,FALSE)</f>
        <v>0</v>
      </c>
      <c r="AJ10" s="395">
        <f>VLOOKUP(AG10,'3.Inc &amp; Exp per Function'!$D:$X,20,FALSE)</f>
        <v>1067</v>
      </c>
      <c r="AK10" s="395">
        <f>VLOOKUP(AH10,'3.Inc &amp; Exp per Function'!$D:$X,20,FALSE)</f>
        <v>-1067</v>
      </c>
      <c r="AL10" s="389"/>
      <c r="AM10" s="385"/>
    </row>
    <row r="11" spans="1:39" ht="9.6" customHeight="1" x14ac:dyDescent="0.55000000000000004">
      <c r="A11" s="960"/>
      <c r="B11" s="385"/>
      <c r="C11" s="386"/>
      <c r="D11" s="396" t="s">
        <v>640</v>
      </c>
      <c r="E11" s="396" t="s">
        <v>477</v>
      </c>
      <c r="F11" s="488" t="str">
        <f t="shared" si="0"/>
        <v>Health2900</v>
      </c>
      <c r="G11" s="532" t="str">
        <f t="shared" si="6"/>
        <v>Health4400</v>
      </c>
      <c r="H11" s="394" t="str">
        <f t="shared" si="1"/>
        <v>Health4500</v>
      </c>
      <c r="I11" s="395">
        <f>VLOOKUP(F11,'3.Inc &amp; Exp per Function'!$D:$X,18,FALSE)</f>
        <v>0</v>
      </c>
      <c r="J11" s="395">
        <f>VLOOKUP(G11,'3.Inc &amp; Exp per Function'!$D:$X,18,FALSE)</f>
        <v>0</v>
      </c>
      <c r="K11" s="395">
        <f>VLOOKUP(H11,'3.Inc &amp; Exp per Function'!$D:$X,18,FALSE)</f>
        <v>0</v>
      </c>
      <c r="L11" s="389"/>
      <c r="M11" s="385"/>
      <c r="N11" s="960"/>
      <c r="O11" s="385"/>
      <c r="P11" s="386"/>
      <c r="Q11" s="396" t="s">
        <v>640</v>
      </c>
      <c r="R11" s="396" t="s">
        <v>477</v>
      </c>
      <c r="S11" s="488" t="str">
        <f t="shared" si="2"/>
        <v>Health2900</v>
      </c>
      <c r="T11" s="532" t="str">
        <f t="shared" si="7"/>
        <v>Health4400</v>
      </c>
      <c r="U11" s="394" t="str">
        <f t="shared" si="3"/>
        <v>Health4500</v>
      </c>
      <c r="V11" s="395">
        <f>VLOOKUP(S11,'3.Inc &amp; Exp per Function'!$D:$X,19,FALSE)</f>
        <v>0</v>
      </c>
      <c r="W11" s="395">
        <f>VLOOKUP(T11,'3.Inc &amp; Exp per Function'!$D:$X,19,FALSE)</f>
        <v>0</v>
      </c>
      <c r="X11" s="395">
        <f>VLOOKUP(U11,'3.Inc &amp; Exp per Function'!$D:$X,19,FALSE)</f>
        <v>0</v>
      </c>
      <c r="Y11" s="389"/>
      <c r="Z11" s="385"/>
      <c r="AA11" s="960"/>
      <c r="AB11" s="385"/>
      <c r="AC11" s="386"/>
      <c r="AD11" s="396" t="s">
        <v>640</v>
      </c>
      <c r="AE11" s="396" t="s">
        <v>477</v>
      </c>
      <c r="AF11" s="488" t="str">
        <f t="shared" si="4"/>
        <v>Health2900</v>
      </c>
      <c r="AG11" s="532" t="str">
        <f t="shared" si="8"/>
        <v>Health4400</v>
      </c>
      <c r="AH11" s="394" t="str">
        <f t="shared" si="5"/>
        <v>Health4500</v>
      </c>
      <c r="AI11" s="395">
        <f>VLOOKUP(AF11,'3.Inc &amp; Exp per Function'!$D:$X,20,FALSE)</f>
        <v>0</v>
      </c>
      <c r="AJ11" s="395">
        <f>VLOOKUP(AG11,'3.Inc &amp; Exp per Function'!$D:$X,20,FALSE)</f>
        <v>0</v>
      </c>
      <c r="AK11" s="395">
        <f>VLOOKUP(AH11,'3.Inc &amp; Exp per Function'!$D:$X,20,FALSE)</f>
        <v>0</v>
      </c>
      <c r="AL11" s="389"/>
      <c r="AM11" s="385"/>
    </row>
    <row r="12" spans="1:39" ht="9.6" customHeight="1" x14ac:dyDescent="0.55000000000000004">
      <c r="A12" s="960"/>
      <c r="B12" s="385"/>
      <c r="C12" s="386"/>
      <c r="D12" s="396" t="s">
        <v>640</v>
      </c>
      <c r="E12" s="396" t="s">
        <v>807</v>
      </c>
      <c r="F12" s="488" t="str">
        <f t="shared" si="0"/>
        <v>Housing2900</v>
      </c>
      <c r="G12" s="532" t="str">
        <f t="shared" si="6"/>
        <v>Housing4400</v>
      </c>
      <c r="H12" s="394" t="str">
        <f t="shared" si="1"/>
        <v>Housing4500</v>
      </c>
      <c r="I12" s="395">
        <f>VLOOKUP(F12,'3.Inc &amp; Exp per Function'!$D:$X,18,FALSE)</f>
        <v>0</v>
      </c>
      <c r="J12" s="395">
        <f>VLOOKUP(G12,'3.Inc &amp; Exp per Function'!$D:$X,18,FALSE)</f>
        <v>15896634</v>
      </c>
      <c r="K12" s="395">
        <f>VLOOKUP(H12,'3.Inc &amp; Exp per Function'!$D:$X,18,FALSE)</f>
        <v>-15896634</v>
      </c>
      <c r="L12" s="389"/>
      <c r="M12" s="385"/>
      <c r="N12" s="960"/>
      <c r="O12" s="385"/>
      <c r="P12" s="386"/>
      <c r="Q12" s="396" t="s">
        <v>640</v>
      </c>
      <c r="R12" s="396" t="s">
        <v>807</v>
      </c>
      <c r="S12" s="488" t="str">
        <f t="shared" si="2"/>
        <v>Housing2900</v>
      </c>
      <c r="T12" s="532" t="str">
        <f t="shared" si="7"/>
        <v>Housing4400</v>
      </c>
      <c r="U12" s="394" t="str">
        <f t="shared" si="3"/>
        <v>Housing4500</v>
      </c>
      <c r="V12" s="395">
        <f>VLOOKUP(S12,'3.Inc &amp; Exp per Function'!$D:$X,19,FALSE)</f>
        <v>0</v>
      </c>
      <c r="W12" s="395">
        <f>VLOOKUP(T12,'3.Inc &amp; Exp per Function'!$D:$X,19,FALSE)</f>
        <v>16437127</v>
      </c>
      <c r="X12" s="395">
        <f>VLOOKUP(U12,'3.Inc &amp; Exp per Function'!$D:$X,19,FALSE)</f>
        <v>-16437127</v>
      </c>
      <c r="Y12" s="389"/>
      <c r="Z12" s="385"/>
      <c r="AA12" s="960"/>
      <c r="AB12" s="385"/>
      <c r="AC12" s="386"/>
      <c r="AD12" s="396" t="s">
        <v>640</v>
      </c>
      <c r="AE12" s="396" t="s">
        <v>807</v>
      </c>
      <c r="AF12" s="488" t="str">
        <f t="shared" si="4"/>
        <v>Housing2900</v>
      </c>
      <c r="AG12" s="532" t="str">
        <f t="shared" si="8"/>
        <v>Housing4400</v>
      </c>
      <c r="AH12" s="394" t="str">
        <f t="shared" si="5"/>
        <v>Housing4500</v>
      </c>
      <c r="AI12" s="395">
        <f>VLOOKUP(AF12,'3.Inc &amp; Exp per Function'!$D:$X,20,FALSE)</f>
        <v>0</v>
      </c>
      <c r="AJ12" s="395">
        <f>VLOOKUP(AG12,'3.Inc &amp; Exp per Function'!$D:$X,20,FALSE)</f>
        <v>16963108</v>
      </c>
      <c r="AK12" s="395">
        <f>VLOOKUP(AH12,'3.Inc &amp; Exp per Function'!$D:$X,20,FALSE)</f>
        <v>-16963108</v>
      </c>
      <c r="AL12" s="389"/>
      <c r="AM12" s="385"/>
    </row>
    <row r="13" spans="1:39" ht="9.6" customHeight="1" x14ac:dyDescent="0.55000000000000004">
      <c r="A13" s="960"/>
      <c r="B13" s="385"/>
      <c r="C13" s="386"/>
      <c r="D13" s="396" t="s">
        <v>640</v>
      </c>
      <c r="E13" s="396" t="s">
        <v>811</v>
      </c>
      <c r="F13" s="488" t="str">
        <f t="shared" si="0"/>
        <v>Other2900</v>
      </c>
      <c r="G13" s="532" t="str">
        <f t="shared" si="6"/>
        <v>Other4400</v>
      </c>
      <c r="H13" s="394" t="str">
        <f t="shared" si="1"/>
        <v>Other4500</v>
      </c>
      <c r="I13" s="395">
        <f>VLOOKUP(F13,'3.Inc &amp; Exp per Function'!$D:$X,18,FALSE)</f>
        <v>0</v>
      </c>
      <c r="J13" s="395">
        <f>VLOOKUP(G13,'3.Inc &amp; Exp per Function'!$D:$X,18,FALSE)</f>
        <v>339500</v>
      </c>
      <c r="K13" s="395">
        <f>VLOOKUP(H13,'3.Inc &amp; Exp per Function'!$D:$X,18,FALSE)</f>
        <v>-339500</v>
      </c>
      <c r="L13" s="389"/>
      <c r="M13" s="385"/>
      <c r="N13" s="960"/>
      <c r="O13" s="385"/>
      <c r="P13" s="386"/>
      <c r="Q13" s="396" t="s">
        <v>640</v>
      </c>
      <c r="R13" s="396" t="s">
        <v>811</v>
      </c>
      <c r="S13" s="488" t="str">
        <f t="shared" si="2"/>
        <v>Other2900</v>
      </c>
      <c r="T13" s="532" t="str">
        <f t="shared" si="7"/>
        <v>Other4400</v>
      </c>
      <c r="U13" s="394" t="str">
        <f t="shared" si="3"/>
        <v>Other4500</v>
      </c>
      <c r="V13" s="395">
        <f>VLOOKUP(S13,'3.Inc &amp; Exp per Function'!$D:$X,19,FALSE)</f>
        <v>0</v>
      </c>
      <c r="W13" s="395">
        <f>VLOOKUP(T13,'3.Inc &amp; Exp per Function'!$D:$X,19,FALSE)</f>
        <v>351043</v>
      </c>
      <c r="X13" s="395">
        <f>VLOOKUP(U13,'3.Inc &amp; Exp per Function'!$D:$X,19,FALSE)</f>
        <v>-351043</v>
      </c>
      <c r="Y13" s="389"/>
      <c r="Z13" s="385"/>
      <c r="AA13" s="960"/>
      <c r="AB13" s="385"/>
      <c r="AC13" s="386"/>
      <c r="AD13" s="396" t="s">
        <v>640</v>
      </c>
      <c r="AE13" s="396" t="s">
        <v>811</v>
      </c>
      <c r="AF13" s="488" t="str">
        <f t="shared" si="4"/>
        <v>Other2900</v>
      </c>
      <c r="AG13" s="532" t="str">
        <f t="shared" si="8"/>
        <v>Other4400</v>
      </c>
      <c r="AH13" s="394" t="str">
        <f t="shared" si="5"/>
        <v>Other4500</v>
      </c>
      <c r="AI13" s="395">
        <f>VLOOKUP(AF13,'3.Inc &amp; Exp per Function'!$D:$X,20,FALSE)</f>
        <v>0</v>
      </c>
      <c r="AJ13" s="395">
        <f>VLOOKUP(AG13,'3.Inc &amp; Exp per Function'!$D:$X,20,FALSE)</f>
        <v>362276</v>
      </c>
      <c r="AK13" s="395">
        <f>VLOOKUP(AH13,'3.Inc &amp; Exp per Function'!$D:$X,20,FALSE)</f>
        <v>-362276</v>
      </c>
      <c r="AL13" s="389"/>
      <c r="AM13" s="385"/>
    </row>
    <row r="14" spans="1:39" ht="9.6" customHeight="1" x14ac:dyDescent="0.55000000000000004">
      <c r="A14" s="960"/>
      <c r="B14" s="385"/>
      <c r="C14" s="386"/>
      <c r="D14" s="396" t="s">
        <v>640</v>
      </c>
      <c r="E14" s="396" t="s">
        <v>808</v>
      </c>
      <c r="F14" s="488" t="str">
        <f t="shared" si="0"/>
        <v>Planning and development2900</v>
      </c>
      <c r="G14" s="532" t="str">
        <f t="shared" si="6"/>
        <v>Planning and development4400</v>
      </c>
      <c r="H14" s="394" t="str">
        <f t="shared" si="1"/>
        <v>Planning and development4500</v>
      </c>
      <c r="I14" s="395">
        <f>VLOOKUP(F14,'3.Inc &amp; Exp per Function'!$D:$X,18,FALSE)</f>
        <v>5239500</v>
      </c>
      <c r="J14" s="395">
        <f>VLOOKUP(G14,'3.Inc &amp; Exp per Function'!$D:$X,18,FALSE)</f>
        <v>41056524</v>
      </c>
      <c r="K14" s="395">
        <f>VLOOKUP(H14,'3.Inc &amp; Exp per Function'!$D:$X,18,FALSE)</f>
        <v>-35817024</v>
      </c>
      <c r="L14" s="389"/>
      <c r="M14" s="385"/>
      <c r="N14" s="960"/>
      <c r="O14" s="385"/>
      <c r="P14" s="386"/>
      <c r="Q14" s="396" t="s">
        <v>640</v>
      </c>
      <c r="R14" s="396" t="s">
        <v>808</v>
      </c>
      <c r="S14" s="488" t="str">
        <f t="shared" si="2"/>
        <v>Planning and development2900</v>
      </c>
      <c r="T14" s="532" t="str">
        <f t="shared" si="7"/>
        <v>Planning and development4400</v>
      </c>
      <c r="U14" s="394" t="str">
        <f t="shared" si="3"/>
        <v>Planning and development4500</v>
      </c>
      <c r="V14" s="395">
        <f>VLOOKUP(S14,'3.Inc &amp; Exp per Function'!$D:$X,19,FALSE)</f>
        <v>3440635</v>
      </c>
      <c r="W14" s="395">
        <f>VLOOKUP(T14,'3.Inc &amp; Exp per Function'!$D:$X,19,FALSE)</f>
        <v>42453337</v>
      </c>
      <c r="X14" s="395">
        <f>VLOOKUP(U14,'3.Inc &amp; Exp per Function'!$D:$X,19,FALSE)</f>
        <v>-39012702</v>
      </c>
      <c r="Y14" s="389"/>
      <c r="Z14" s="385"/>
      <c r="AA14" s="960"/>
      <c r="AB14" s="385"/>
      <c r="AC14" s="386"/>
      <c r="AD14" s="396" t="s">
        <v>640</v>
      </c>
      <c r="AE14" s="396" t="s">
        <v>808</v>
      </c>
      <c r="AF14" s="488" t="str">
        <f t="shared" si="4"/>
        <v>Planning and development2900</v>
      </c>
      <c r="AG14" s="532" t="str">
        <f t="shared" si="8"/>
        <v>Planning and development4400</v>
      </c>
      <c r="AH14" s="394" t="str">
        <f t="shared" si="5"/>
        <v>Planning and development4500</v>
      </c>
      <c r="AI14" s="395">
        <f>VLOOKUP(AF14,'3.Inc &amp; Exp per Function'!$D:$X,20,FALSE)</f>
        <v>3550735</v>
      </c>
      <c r="AJ14" s="395">
        <f>VLOOKUP(AG14,'3.Inc &amp; Exp per Function'!$D:$X,20,FALSE)</f>
        <v>43812900</v>
      </c>
      <c r="AK14" s="395">
        <f>VLOOKUP(AH14,'3.Inc &amp; Exp per Function'!$D:$X,20,FALSE)</f>
        <v>-40262165</v>
      </c>
      <c r="AL14" s="389"/>
      <c r="AM14" s="385"/>
    </row>
    <row r="15" spans="1:39" ht="9.6" customHeight="1" x14ac:dyDescent="0.55000000000000004">
      <c r="A15" s="960"/>
      <c r="B15" s="385"/>
      <c r="C15" s="386"/>
      <c r="D15" s="396" t="s">
        <v>640</v>
      </c>
      <c r="E15" s="396" t="s">
        <v>806</v>
      </c>
      <c r="F15" s="488" t="str">
        <f t="shared" si="0"/>
        <v>Public safety2900</v>
      </c>
      <c r="G15" s="532" t="str">
        <f t="shared" si="6"/>
        <v>Public safety4400</v>
      </c>
      <c r="H15" s="394" t="str">
        <f t="shared" si="1"/>
        <v>Public safety4500</v>
      </c>
      <c r="I15" s="395">
        <f>VLOOKUP(F15,'3.Inc &amp; Exp per Function'!$D:$X,18,FALSE)</f>
        <v>41140000</v>
      </c>
      <c r="J15" s="395">
        <f>VLOOKUP(G15,'3.Inc &amp; Exp per Function'!$D:$X,18,FALSE)</f>
        <v>69342194</v>
      </c>
      <c r="K15" s="395">
        <f>VLOOKUP(H15,'3.Inc &amp; Exp per Function'!$D:$X,18,FALSE)</f>
        <v>-28202194</v>
      </c>
      <c r="L15" s="389"/>
      <c r="M15" s="385"/>
      <c r="N15" s="960"/>
      <c r="O15" s="385"/>
      <c r="P15" s="386"/>
      <c r="Q15" s="396" t="s">
        <v>640</v>
      </c>
      <c r="R15" s="396" t="s">
        <v>806</v>
      </c>
      <c r="S15" s="488" t="str">
        <f t="shared" si="2"/>
        <v>Public safety2900</v>
      </c>
      <c r="T15" s="532" t="str">
        <f t="shared" si="7"/>
        <v>Public safety4400</v>
      </c>
      <c r="U15" s="394" t="str">
        <f t="shared" si="3"/>
        <v>Public safety4500</v>
      </c>
      <c r="V15" s="395">
        <f>VLOOKUP(S15,'3.Inc &amp; Exp per Function'!$D:$X,19,FALSE)</f>
        <v>42538760</v>
      </c>
      <c r="W15" s="395">
        <f>VLOOKUP(T15,'3.Inc &amp; Exp per Function'!$D:$X,19,FALSE)</f>
        <v>71699841</v>
      </c>
      <c r="X15" s="395">
        <f>VLOOKUP(U15,'3.Inc &amp; Exp per Function'!$D:$X,19,FALSE)</f>
        <v>-29161081</v>
      </c>
      <c r="Y15" s="389"/>
      <c r="Z15" s="385"/>
      <c r="AA15" s="960"/>
      <c r="AB15" s="385"/>
      <c r="AC15" s="386"/>
      <c r="AD15" s="396" t="s">
        <v>640</v>
      </c>
      <c r="AE15" s="396" t="s">
        <v>806</v>
      </c>
      <c r="AF15" s="488" t="str">
        <f t="shared" si="4"/>
        <v>Public safety2900</v>
      </c>
      <c r="AG15" s="532" t="str">
        <f t="shared" si="8"/>
        <v>Public safety4400</v>
      </c>
      <c r="AH15" s="394" t="str">
        <f t="shared" si="5"/>
        <v>Public safety4500</v>
      </c>
      <c r="AI15" s="395">
        <f>VLOOKUP(AF15,'3.Inc &amp; Exp per Function'!$D:$X,20,FALSE)</f>
        <v>43900000</v>
      </c>
      <c r="AJ15" s="395">
        <f>VLOOKUP(AG15,'3.Inc &amp; Exp per Function'!$D:$X,20,FALSE)</f>
        <v>73994234</v>
      </c>
      <c r="AK15" s="395">
        <f>VLOOKUP(AH15,'3.Inc &amp; Exp per Function'!$D:$X,20,FALSE)</f>
        <v>-30094234</v>
      </c>
      <c r="AL15" s="389"/>
      <c r="AM15" s="385"/>
    </row>
    <row r="16" spans="1:39" ht="9.6" customHeight="1" x14ac:dyDescent="0.55000000000000004">
      <c r="A16" s="960"/>
      <c r="B16" s="385"/>
      <c r="C16" s="386"/>
      <c r="D16" s="396" t="s">
        <v>640</v>
      </c>
      <c r="E16" s="396" t="s">
        <v>809</v>
      </c>
      <c r="F16" s="488" t="str">
        <f t="shared" si="0"/>
        <v>Road transport2900</v>
      </c>
      <c r="G16" s="532" t="str">
        <f t="shared" si="6"/>
        <v>Road transport4400</v>
      </c>
      <c r="H16" s="394" t="str">
        <f t="shared" si="1"/>
        <v>Road transport4500</v>
      </c>
      <c r="I16" s="395">
        <f>VLOOKUP(F16,'3.Inc &amp; Exp per Function'!$D:$X,18,FALSE)</f>
        <v>8456000</v>
      </c>
      <c r="J16" s="395">
        <f>VLOOKUP(G16,'3.Inc &amp; Exp per Function'!$D:$X,18,FALSE)</f>
        <v>50883329</v>
      </c>
      <c r="K16" s="395">
        <f>VLOOKUP(H16,'3.Inc &amp; Exp per Function'!$D:$X,18,FALSE)</f>
        <v>-42427329</v>
      </c>
      <c r="L16" s="389"/>
      <c r="M16" s="385"/>
      <c r="N16" s="960"/>
      <c r="O16" s="385"/>
      <c r="P16" s="386"/>
      <c r="Q16" s="396" t="s">
        <v>640</v>
      </c>
      <c r="R16" s="396" t="s">
        <v>809</v>
      </c>
      <c r="S16" s="488" t="str">
        <f t="shared" si="2"/>
        <v>Road transport2900</v>
      </c>
      <c r="T16" s="532" t="str">
        <f t="shared" si="7"/>
        <v>Road transport4400</v>
      </c>
      <c r="U16" s="394" t="str">
        <f t="shared" si="3"/>
        <v>Road transport4500</v>
      </c>
      <c r="V16" s="395">
        <f>VLOOKUP(S16,'3.Inc &amp; Exp per Function'!$D:$X,19,FALSE)</f>
        <v>8757894</v>
      </c>
      <c r="W16" s="395">
        <f>VLOOKUP(T16,'3.Inc &amp; Exp per Function'!$D:$X,19,FALSE)</f>
        <v>52688165</v>
      </c>
      <c r="X16" s="395">
        <f>VLOOKUP(U16,'3.Inc &amp; Exp per Function'!$D:$X,19,FALSE)</f>
        <v>-43930271</v>
      </c>
      <c r="Y16" s="389"/>
      <c r="Z16" s="385"/>
      <c r="AA16" s="960"/>
      <c r="AB16" s="385"/>
      <c r="AC16" s="386"/>
      <c r="AD16" s="396" t="s">
        <v>640</v>
      </c>
      <c r="AE16" s="396" t="s">
        <v>809</v>
      </c>
      <c r="AF16" s="488" t="str">
        <f t="shared" si="4"/>
        <v>Road transport2900</v>
      </c>
      <c r="AG16" s="532" t="str">
        <f t="shared" si="8"/>
        <v>Road transport4400</v>
      </c>
      <c r="AH16" s="394" t="str">
        <f t="shared" si="5"/>
        <v>Road transport4500</v>
      </c>
      <c r="AI16" s="395">
        <f>VLOOKUP(AF16,'3.Inc &amp; Exp per Function'!$D:$X,20,FALSE)</f>
        <v>9032228</v>
      </c>
      <c r="AJ16" s="395">
        <f>VLOOKUP(AG16,'3.Inc &amp; Exp per Function'!$D:$X,20,FALSE)</f>
        <v>54462539</v>
      </c>
      <c r="AK16" s="395">
        <f>VLOOKUP(AH16,'3.Inc &amp; Exp per Function'!$D:$X,20,FALSE)</f>
        <v>-45430311</v>
      </c>
      <c r="AL16" s="389"/>
      <c r="AM16" s="385"/>
    </row>
    <row r="17" spans="1:39" ht="9.6" customHeight="1" x14ac:dyDescent="0.55000000000000004">
      <c r="A17" s="960"/>
      <c r="B17" s="385"/>
      <c r="C17" s="386"/>
      <c r="D17" s="396" t="s">
        <v>640</v>
      </c>
      <c r="E17" s="396" t="s">
        <v>805</v>
      </c>
      <c r="F17" s="488" t="str">
        <f t="shared" si="0"/>
        <v>Sport and recreation2900</v>
      </c>
      <c r="G17" s="532" t="str">
        <f t="shared" si="6"/>
        <v>Sport and recreation4400</v>
      </c>
      <c r="H17" s="394" t="str">
        <f t="shared" si="1"/>
        <v>Sport and recreation4500</v>
      </c>
      <c r="I17" s="395">
        <f>VLOOKUP(F17,'3.Inc &amp; Exp per Function'!$D:$X,18,FALSE)</f>
        <v>71000</v>
      </c>
      <c r="J17" s="395">
        <f>VLOOKUP(G17,'3.Inc &amp; Exp per Function'!$D:$X,18,FALSE)</f>
        <v>12292492</v>
      </c>
      <c r="K17" s="395">
        <f>VLOOKUP(H17,'3.Inc &amp; Exp per Function'!$D:$X,18,FALSE)</f>
        <v>-12221492</v>
      </c>
      <c r="L17" s="389"/>
      <c r="M17" s="385"/>
      <c r="N17" s="960"/>
      <c r="O17" s="385"/>
      <c r="P17" s="386"/>
      <c r="Q17" s="396" t="s">
        <v>640</v>
      </c>
      <c r="R17" s="396" t="s">
        <v>805</v>
      </c>
      <c r="S17" s="488" t="str">
        <f t="shared" si="2"/>
        <v>Sport and recreation2900</v>
      </c>
      <c r="T17" s="532" t="str">
        <f t="shared" si="7"/>
        <v>Sport and recreation4400</v>
      </c>
      <c r="U17" s="394" t="str">
        <f t="shared" si="3"/>
        <v>Sport and recreation4500</v>
      </c>
      <c r="V17" s="395">
        <f>VLOOKUP(S17,'3.Inc &amp; Exp per Function'!$D:$X,19,FALSE)</f>
        <v>73414</v>
      </c>
      <c r="W17" s="395">
        <f>VLOOKUP(T17,'3.Inc &amp; Exp per Function'!$D:$X,19,FALSE)</f>
        <v>12710923</v>
      </c>
      <c r="X17" s="395">
        <f>VLOOKUP(U17,'3.Inc &amp; Exp per Function'!$D:$X,19,FALSE)</f>
        <v>-12637509</v>
      </c>
      <c r="Y17" s="389"/>
      <c r="Z17" s="385"/>
      <c r="AA17" s="960"/>
      <c r="AB17" s="385"/>
      <c r="AC17" s="386"/>
      <c r="AD17" s="396" t="s">
        <v>640</v>
      </c>
      <c r="AE17" s="396" t="s">
        <v>805</v>
      </c>
      <c r="AF17" s="488" t="str">
        <f t="shared" si="4"/>
        <v>Sport and recreation2900</v>
      </c>
      <c r="AG17" s="532" t="str">
        <f t="shared" si="8"/>
        <v>Sport and recreation4400</v>
      </c>
      <c r="AH17" s="394" t="str">
        <f t="shared" si="5"/>
        <v>Sport and recreation4500</v>
      </c>
      <c r="AI17" s="395">
        <f>VLOOKUP(AF17,'3.Inc &amp; Exp per Function'!$D:$X,20,FALSE)</f>
        <v>75763</v>
      </c>
      <c r="AJ17" s="395">
        <f>VLOOKUP(AG17,'3.Inc &amp; Exp per Function'!$D:$X,20,FALSE)</f>
        <v>13118243</v>
      </c>
      <c r="AK17" s="395">
        <f>VLOOKUP(AH17,'3.Inc &amp; Exp per Function'!$D:$X,20,FALSE)</f>
        <v>-13042480</v>
      </c>
      <c r="AL17" s="389"/>
      <c r="AM17" s="385"/>
    </row>
    <row r="18" spans="1:39" ht="9.6" customHeight="1" x14ac:dyDescent="0.55000000000000004">
      <c r="A18" s="960"/>
      <c r="B18" s="385"/>
      <c r="C18" s="386"/>
      <c r="D18" s="1163" t="s">
        <v>641</v>
      </c>
      <c r="E18" s="1164" t="s">
        <v>813</v>
      </c>
      <c r="F18" s="1156" t="str">
        <f t="shared" si="0"/>
        <v>Energy sources2900</v>
      </c>
      <c r="G18" s="532" t="str">
        <f t="shared" si="6"/>
        <v>Energy sources4400</v>
      </c>
      <c r="H18" s="394" t="str">
        <f t="shared" si="1"/>
        <v>Energy sources4500</v>
      </c>
      <c r="I18" s="1175">
        <f>VLOOKUP(F18,'3.Inc &amp; Exp per Function'!$D:$X,18,FALSE)</f>
        <v>211351768</v>
      </c>
      <c r="J18" s="1175">
        <f>VLOOKUP(G18,'3.Inc &amp; Exp per Function'!$D:$X,18,FALSE)</f>
        <v>198754842</v>
      </c>
      <c r="K18" s="1175">
        <f>VLOOKUP(H18,'3.Inc &amp; Exp per Function'!$D:$X,18,FALSE)</f>
        <v>12596926</v>
      </c>
      <c r="L18" s="389"/>
      <c r="M18" s="385"/>
      <c r="N18" s="960"/>
      <c r="O18" s="385"/>
      <c r="P18" s="386"/>
      <c r="Q18" s="1163" t="s">
        <v>641</v>
      </c>
      <c r="R18" s="1164" t="s">
        <v>813</v>
      </c>
      <c r="S18" s="1156" t="str">
        <f t="shared" si="2"/>
        <v>Energy sources2900</v>
      </c>
      <c r="T18" s="532" t="str">
        <f t="shared" si="7"/>
        <v>Energy sources4400</v>
      </c>
      <c r="U18" s="394" t="str">
        <f t="shared" si="3"/>
        <v>Energy sources4500</v>
      </c>
      <c r="V18" s="1175">
        <f>VLOOKUP(S18,'3.Inc &amp; Exp per Function'!$D:$X,19,FALSE)</f>
        <v>219511857</v>
      </c>
      <c r="W18" s="1175">
        <f>VLOOKUP(T18,'3.Inc &amp; Exp per Function'!$D:$X,19,FALSE)</f>
        <v>205571762</v>
      </c>
      <c r="X18" s="1175">
        <f>VLOOKUP(U18,'3.Inc &amp; Exp per Function'!$D:$X,19,FALSE)</f>
        <v>13940095</v>
      </c>
      <c r="Y18" s="389"/>
      <c r="Z18" s="385"/>
      <c r="AA18" s="960"/>
      <c r="AB18" s="385"/>
      <c r="AC18" s="386"/>
      <c r="AD18" s="1163" t="s">
        <v>641</v>
      </c>
      <c r="AE18" s="1164" t="s">
        <v>813</v>
      </c>
      <c r="AF18" s="1156" t="str">
        <f t="shared" si="4"/>
        <v>Energy sources2900</v>
      </c>
      <c r="AG18" s="532" t="str">
        <f t="shared" si="8"/>
        <v>Energy sources4400</v>
      </c>
      <c r="AH18" s="394" t="str">
        <f t="shared" si="5"/>
        <v>Energy sources4500</v>
      </c>
      <c r="AI18" s="1175">
        <f>VLOOKUP(AF18,'3.Inc &amp; Exp per Function'!$D:$X,20,FALSE)</f>
        <v>226371166</v>
      </c>
      <c r="AJ18" s="1175">
        <f>VLOOKUP(AG18,'3.Inc &amp; Exp per Function'!$D:$X,20,FALSE)</f>
        <v>212220048</v>
      </c>
      <c r="AK18" s="1175">
        <f>VLOOKUP(AH18,'3.Inc &amp; Exp per Function'!$D:$X,20,FALSE)</f>
        <v>14151118</v>
      </c>
      <c r="AL18" s="389"/>
      <c r="AM18" s="385"/>
    </row>
    <row r="19" spans="1:39" ht="9.6" customHeight="1" x14ac:dyDescent="0.55000000000000004">
      <c r="A19" s="960"/>
      <c r="B19" s="385"/>
      <c r="C19" s="386"/>
      <c r="D19" s="1165" t="s">
        <v>641</v>
      </c>
      <c r="E19" s="1166" t="s">
        <v>816</v>
      </c>
      <c r="F19" s="1156" t="str">
        <f t="shared" si="0"/>
        <v>Waste management2900</v>
      </c>
      <c r="G19" s="532" t="str">
        <f t="shared" si="6"/>
        <v>Waste management4400</v>
      </c>
      <c r="H19" s="394" t="str">
        <f t="shared" si="1"/>
        <v>Waste management4500</v>
      </c>
      <c r="I19" s="1175">
        <f>VLOOKUP(F19,'3.Inc &amp; Exp per Function'!$D:$X,18,FALSE)</f>
        <v>71677925</v>
      </c>
      <c r="J19" s="1175">
        <f>VLOOKUP(G19,'3.Inc &amp; Exp per Function'!$D:$X,18,FALSE)</f>
        <v>82489680</v>
      </c>
      <c r="K19" s="1175">
        <f>VLOOKUP(H19,'3.Inc &amp; Exp per Function'!$D:$X,18,FALSE)</f>
        <v>-10811755</v>
      </c>
      <c r="L19" s="389"/>
      <c r="M19" s="385"/>
      <c r="N19" s="960"/>
      <c r="O19" s="385"/>
      <c r="P19" s="386"/>
      <c r="Q19" s="1165" t="s">
        <v>641</v>
      </c>
      <c r="R19" s="1166" t="s">
        <v>816</v>
      </c>
      <c r="S19" s="1156" t="str">
        <f t="shared" si="2"/>
        <v>Waste management2900</v>
      </c>
      <c r="T19" s="532" t="str">
        <f t="shared" si="7"/>
        <v>Waste management4400</v>
      </c>
      <c r="U19" s="394" t="str">
        <f t="shared" si="3"/>
        <v>Waste management4500</v>
      </c>
      <c r="V19" s="1175">
        <f>VLOOKUP(S19,'3.Inc &amp; Exp per Function'!$D:$X,19,FALSE)</f>
        <v>74433566</v>
      </c>
      <c r="W19" s="1175">
        <f>VLOOKUP(T19,'3.Inc &amp; Exp per Function'!$D:$X,19,FALSE)</f>
        <v>85435281</v>
      </c>
      <c r="X19" s="1175">
        <f>VLOOKUP(U19,'3.Inc &amp; Exp per Function'!$D:$X,19,FALSE)</f>
        <v>-11001715</v>
      </c>
      <c r="Y19" s="389"/>
      <c r="Z19" s="385"/>
      <c r="AA19" s="960"/>
      <c r="AB19" s="385"/>
      <c r="AC19" s="386"/>
      <c r="AD19" s="1165" t="s">
        <v>641</v>
      </c>
      <c r="AE19" s="1166" t="s">
        <v>816</v>
      </c>
      <c r="AF19" s="1156" t="str">
        <f t="shared" si="4"/>
        <v>Waste management2900</v>
      </c>
      <c r="AG19" s="532" t="str">
        <f t="shared" si="8"/>
        <v>Waste management4400</v>
      </c>
      <c r="AH19" s="394" t="str">
        <f t="shared" si="5"/>
        <v>Waste management4500</v>
      </c>
      <c r="AI19" s="1175">
        <f>VLOOKUP(AF19,'3.Inc &amp; Exp per Function'!$D:$X,20,FALSE)</f>
        <v>76591914</v>
      </c>
      <c r="AJ19" s="1175">
        <f>VLOOKUP(AG19,'3.Inc &amp; Exp per Function'!$D:$X,20,FALSE)</f>
        <v>88335702</v>
      </c>
      <c r="AK19" s="1175">
        <f>VLOOKUP(AH19,'3.Inc &amp; Exp per Function'!$D:$X,20,FALSE)</f>
        <v>-11743788</v>
      </c>
      <c r="AL19" s="389"/>
      <c r="AM19" s="385"/>
    </row>
    <row r="20" spans="1:39" ht="9.6" customHeight="1" x14ac:dyDescent="0.55000000000000004">
      <c r="A20" s="960"/>
      <c r="B20" s="385"/>
      <c r="C20" s="386"/>
      <c r="D20" s="1165" t="s">
        <v>641</v>
      </c>
      <c r="E20" s="1166" t="s">
        <v>815</v>
      </c>
      <c r="F20" s="1156" t="str">
        <f t="shared" si="0"/>
        <v>Waste water management2900</v>
      </c>
      <c r="G20" s="532" t="str">
        <f t="shared" si="6"/>
        <v>Waste water management4400</v>
      </c>
      <c r="H20" s="394" t="str">
        <f t="shared" si="1"/>
        <v>Waste water management4500</v>
      </c>
      <c r="I20" s="1175">
        <f>VLOOKUP(F20,'3.Inc &amp; Exp per Function'!$D:$X,18,FALSE)</f>
        <v>76680510</v>
      </c>
      <c r="J20" s="1175">
        <f>VLOOKUP(G20,'3.Inc &amp; Exp per Function'!$D:$X,18,FALSE)</f>
        <v>64870504</v>
      </c>
      <c r="K20" s="1175">
        <f>VLOOKUP(H20,'3.Inc &amp; Exp per Function'!$D:$X,18,FALSE)</f>
        <v>11810006</v>
      </c>
      <c r="L20" s="389"/>
      <c r="M20" s="385"/>
      <c r="N20" s="960"/>
      <c r="O20" s="385"/>
      <c r="P20" s="386"/>
      <c r="Q20" s="1165" t="s">
        <v>641</v>
      </c>
      <c r="R20" s="1166" t="s">
        <v>815</v>
      </c>
      <c r="S20" s="1156" t="str">
        <f t="shared" si="2"/>
        <v>Waste water management2900</v>
      </c>
      <c r="T20" s="532" t="str">
        <f t="shared" si="7"/>
        <v>Waste water management4400</v>
      </c>
      <c r="U20" s="394" t="str">
        <f t="shared" si="3"/>
        <v>Waste water management4500</v>
      </c>
      <c r="V20" s="1175">
        <f>VLOOKUP(S20,'3.Inc &amp; Exp per Function'!$D:$X,19,FALSE)</f>
        <v>79552663</v>
      </c>
      <c r="W20" s="1175">
        <f>VLOOKUP(T20,'3.Inc &amp; Exp per Function'!$D:$X,19,FALSE)</f>
        <v>67225029</v>
      </c>
      <c r="X20" s="1175">
        <f>VLOOKUP(U20,'3.Inc &amp; Exp per Function'!$D:$X,19,FALSE)</f>
        <v>12327634</v>
      </c>
      <c r="Y20" s="389"/>
      <c r="Z20" s="385"/>
      <c r="AA20" s="960"/>
      <c r="AB20" s="385"/>
      <c r="AC20" s="386"/>
      <c r="AD20" s="1165" t="s">
        <v>641</v>
      </c>
      <c r="AE20" s="1166" t="s">
        <v>815</v>
      </c>
      <c r="AF20" s="1156" t="str">
        <f t="shared" si="4"/>
        <v>Waste water management2900</v>
      </c>
      <c r="AG20" s="532" t="str">
        <f t="shared" si="8"/>
        <v>Waste water management4400</v>
      </c>
      <c r="AH20" s="394" t="str">
        <f t="shared" si="5"/>
        <v>Waste water management4500</v>
      </c>
      <c r="AI20" s="1175">
        <f>VLOOKUP(AF20,'3.Inc &amp; Exp per Function'!$D:$X,20,FALSE)</f>
        <v>81912411</v>
      </c>
      <c r="AJ20" s="1175">
        <f>VLOOKUP(AG20,'3.Inc &amp; Exp per Function'!$D:$X,20,FALSE)</f>
        <v>69552146</v>
      </c>
      <c r="AK20" s="1175">
        <f>VLOOKUP(AH20,'3.Inc &amp; Exp per Function'!$D:$X,20,FALSE)</f>
        <v>12360265</v>
      </c>
      <c r="AL20" s="389"/>
      <c r="AM20" s="385"/>
    </row>
    <row r="21" spans="1:39" ht="9.6" customHeight="1" x14ac:dyDescent="0.55000000000000004">
      <c r="A21" s="960"/>
      <c r="B21" s="385"/>
      <c r="C21" s="386"/>
      <c r="D21" s="1167" t="s">
        <v>641</v>
      </c>
      <c r="E21" s="1168" t="s">
        <v>814</v>
      </c>
      <c r="F21" s="1156" t="str">
        <f t="shared" si="0"/>
        <v>Water management2900</v>
      </c>
      <c r="G21" s="532" t="str">
        <f t="shared" si="6"/>
        <v>Water management4400</v>
      </c>
      <c r="H21" s="394" t="str">
        <f t="shared" si="1"/>
        <v>Water management4500</v>
      </c>
      <c r="I21" s="1175">
        <f>VLOOKUP(F21,'3.Inc &amp; Exp per Function'!$D:$X,18,FALSE)</f>
        <v>144452160</v>
      </c>
      <c r="J21" s="1175">
        <f>VLOOKUP(G21,'3.Inc &amp; Exp per Function'!$D:$X,18,FALSE)</f>
        <v>97282699</v>
      </c>
      <c r="K21" s="1175">
        <f>VLOOKUP(H21,'3.Inc &amp; Exp per Function'!$D:$X,18,FALSE)</f>
        <v>47169461</v>
      </c>
      <c r="L21" s="389"/>
      <c r="M21" s="385"/>
      <c r="N21" s="960"/>
      <c r="O21" s="385"/>
      <c r="P21" s="386"/>
      <c r="Q21" s="1167" t="s">
        <v>641</v>
      </c>
      <c r="R21" s="1168" t="s">
        <v>814</v>
      </c>
      <c r="S21" s="1156" t="str">
        <f t="shared" si="2"/>
        <v>Water management2900</v>
      </c>
      <c r="T21" s="532" t="str">
        <f t="shared" si="7"/>
        <v>Water management4400</v>
      </c>
      <c r="U21" s="394" t="str">
        <f t="shared" si="3"/>
        <v>Water management4500</v>
      </c>
      <c r="V21" s="1175">
        <f>VLOOKUP(S21,'3.Inc &amp; Exp per Function'!$D:$X,19,FALSE)</f>
        <v>149649968</v>
      </c>
      <c r="W21" s="1175">
        <f>VLOOKUP(T21,'3.Inc &amp; Exp per Function'!$D:$X,19,FALSE)</f>
        <v>100705851</v>
      </c>
      <c r="X21" s="1175">
        <f>VLOOKUP(U21,'3.Inc &amp; Exp per Function'!$D:$X,19,FALSE)</f>
        <v>48944117</v>
      </c>
      <c r="Y21" s="389"/>
      <c r="Z21" s="385"/>
      <c r="AA21" s="960"/>
      <c r="AB21" s="385"/>
      <c r="AC21" s="386"/>
      <c r="AD21" s="1167" t="s">
        <v>641</v>
      </c>
      <c r="AE21" s="1168" t="s">
        <v>814</v>
      </c>
      <c r="AF21" s="1156" t="str">
        <f t="shared" si="4"/>
        <v>Water management2900</v>
      </c>
      <c r="AG21" s="532" t="str">
        <f t="shared" si="8"/>
        <v>Water management4400</v>
      </c>
      <c r="AH21" s="394" t="str">
        <f t="shared" si="5"/>
        <v>Water management4500</v>
      </c>
      <c r="AI21" s="1175">
        <f>VLOOKUP(AF21,'3.Inc &amp; Exp per Function'!$D:$X,20,FALSE)</f>
        <v>154237803</v>
      </c>
      <c r="AJ21" s="1175">
        <f>VLOOKUP(AG21,'3.Inc &amp; Exp per Function'!$D:$X,20,FALSE)</f>
        <v>104064914</v>
      </c>
      <c r="AK21" s="1175">
        <f>VLOOKUP(AH21,'3.Inc &amp; Exp per Function'!$D:$X,20,FALSE)</f>
        <v>50172889</v>
      </c>
      <c r="AL21" s="389"/>
      <c r="AM21" s="385"/>
    </row>
    <row r="22" spans="1:39" ht="9.6" customHeight="1" x14ac:dyDescent="0.55000000000000004">
      <c r="A22" s="960"/>
      <c r="B22" s="385"/>
      <c r="C22" s="386"/>
      <c r="D22" s="386"/>
      <c r="E22" s="386"/>
      <c r="F22" s="486"/>
      <c r="G22" s="386"/>
      <c r="H22" s="386"/>
      <c r="I22" s="386"/>
      <c r="J22" s="386"/>
      <c r="K22" s="386"/>
      <c r="L22" s="389"/>
      <c r="M22" s="385"/>
      <c r="N22" s="960"/>
      <c r="O22" s="385"/>
      <c r="P22" s="386"/>
      <c r="Q22" s="386"/>
      <c r="R22" s="386"/>
      <c r="S22" s="486"/>
      <c r="T22" s="386"/>
      <c r="U22" s="386"/>
      <c r="V22" s="386"/>
      <c r="W22" s="386"/>
      <c r="X22" s="386"/>
      <c r="Y22" s="389"/>
      <c r="Z22" s="385"/>
      <c r="AA22" s="960"/>
      <c r="AB22" s="385"/>
      <c r="AC22" s="386"/>
      <c r="AD22" s="386"/>
      <c r="AE22" s="386"/>
      <c r="AF22" s="486"/>
      <c r="AG22" s="386"/>
      <c r="AH22" s="386"/>
      <c r="AI22" s="1148"/>
      <c r="AJ22" s="1148"/>
      <c r="AK22" s="1149"/>
      <c r="AL22" s="389"/>
      <c r="AM22" s="385"/>
    </row>
    <row r="23" spans="1:39" ht="11.25" customHeight="1" x14ac:dyDescent="0.55000000000000004">
      <c r="A23" s="960"/>
      <c r="B23" s="385"/>
      <c r="C23" s="386"/>
      <c r="D23" s="1169" t="s">
        <v>817</v>
      </c>
      <c r="E23" s="1170"/>
      <c r="F23" s="1155"/>
      <c r="G23" s="1147"/>
      <c r="H23" s="1147"/>
      <c r="I23" s="1148">
        <f>SUM(I6:I21)</f>
        <v>900278160</v>
      </c>
      <c r="J23" s="1148">
        <f>SUM(J6:J21)</f>
        <v>895497491</v>
      </c>
      <c r="K23" s="1149">
        <f>SUM(K6:K21)</f>
        <v>4780669</v>
      </c>
      <c r="L23" s="389"/>
      <c r="M23" s="385"/>
      <c r="N23" s="960"/>
      <c r="O23" s="385"/>
      <c r="P23" s="386"/>
      <c r="Q23" s="1169" t="s">
        <v>817</v>
      </c>
      <c r="R23" s="1170"/>
      <c r="S23" s="1155"/>
      <c r="T23" s="1147"/>
      <c r="U23" s="1147"/>
      <c r="V23" s="1148">
        <f>SUM(V6:V21)</f>
        <v>930158600</v>
      </c>
      <c r="W23" s="1148">
        <f>SUM(W6:W21)</f>
        <v>926567140</v>
      </c>
      <c r="X23" s="1149">
        <f>SUM(X6:X21)</f>
        <v>3591460</v>
      </c>
      <c r="Y23" s="389"/>
      <c r="Z23" s="385"/>
      <c r="AA23" s="960"/>
      <c r="AB23" s="385"/>
      <c r="AC23" s="386"/>
      <c r="AD23" s="1169" t="s">
        <v>817</v>
      </c>
      <c r="AE23" s="1170"/>
      <c r="AF23" s="1155"/>
      <c r="AG23" s="1147"/>
      <c r="AH23" s="1147"/>
      <c r="AI23" s="1148">
        <f>SUM(AI6:AI21)</f>
        <v>957787437</v>
      </c>
      <c r="AJ23" s="1148">
        <f>SUM(AJ6:AJ21)</f>
        <v>956933838</v>
      </c>
      <c r="AK23" s="1149">
        <f>SUM(AK6:AK21)</f>
        <v>853599</v>
      </c>
      <c r="AL23" s="389"/>
      <c r="AM23" s="385"/>
    </row>
    <row r="24" spans="1:39" ht="11.25" customHeight="1" x14ac:dyDescent="0.55000000000000004">
      <c r="A24" s="960"/>
      <c r="B24" s="385"/>
      <c r="C24" s="386"/>
      <c r="D24" s="1228" t="s">
        <v>818</v>
      </c>
      <c r="E24" s="1229"/>
      <c r="F24" s="489"/>
      <c r="G24" s="397"/>
      <c r="H24" s="1150"/>
      <c r="I24" s="1148">
        <f>'4.Inc &amp; Exp Summary'!L34</f>
        <v>18840000</v>
      </c>
      <c r="J24" s="1148">
        <f>'4.Inc &amp; Exp Summary'!L49</f>
        <v>10</v>
      </c>
      <c r="K24" s="1149">
        <f>'4.Inc &amp; Exp Summary'!L50</f>
        <v>3680100</v>
      </c>
      <c r="L24" s="389"/>
      <c r="M24" s="385"/>
      <c r="N24" s="960"/>
      <c r="O24" s="385"/>
      <c r="P24" s="386"/>
      <c r="Q24" s="1171" t="s">
        <v>818</v>
      </c>
      <c r="R24" s="1172"/>
      <c r="S24" s="489"/>
      <c r="T24" s="397"/>
      <c r="U24" s="1150"/>
      <c r="V24" s="1148">
        <f>'4.Inc &amp; Exp Summary'!M34</f>
        <v>19480560</v>
      </c>
      <c r="W24" s="1148">
        <f>'4.Inc &amp; Exp Summary'!M49</f>
        <v>10</v>
      </c>
      <c r="X24" s="1149">
        <f>'4.Inc &amp; Exp Summary'!M50</f>
        <v>3805223</v>
      </c>
      <c r="Y24" s="389"/>
      <c r="Z24" s="385"/>
      <c r="AA24" s="960"/>
      <c r="AB24" s="385"/>
      <c r="AC24" s="386"/>
      <c r="AD24" s="1171" t="s">
        <v>818</v>
      </c>
      <c r="AE24" s="1172"/>
      <c r="AF24" s="489"/>
      <c r="AG24" s="397"/>
      <c r="AH24" s="1150"/>
      <c r="AI24" s="1148">
        <f>'4.Inc &amp; Exp Summary'!N34</f>
        <v>20103937.920000002</v>
      </c>
      <c r="AJ24" s="1148">
        <f>'4.Inc &amp; Exp Summary'!N49</f>
        <v>10.32</v>
      </c>
      <c r="AK24" s="1149">
        <f>'4.Inc &amp; Exp Summary'!N50</f>
        <v>3926990.1359999999</v>
      </c>
      <c r="AL24" s="389"/>
      <c r="AM24" s="385"/>
    </row>
    <row r="25" spans="1:39" ht="16.5" customHeight="1" x14ac:dyDescent="0.55000000000000004">
      <c r="A25" s="960"/>
      <c r="B25" s="385"/>
      <c r="C25" s="386"/>
      <c r="D25" s="1173" t="s">
        <v>634</v>
      </c>
      <c r="E25" s="1174"/>
      <c r="F25" s="1151"/>
      <c r="G25" s="1152"/>
      <c r="H25" s="1153"/>
      <c r="I25" s="1154">
        <f>I23-I24</f>
        <v>881438160</v>
      </c>
      <c r="J25" s="1154">
        <f>J23-J24</f>
        <v>895497481</v>
      </c>
      <c r="K25" s="1154">
        <f>K23-K24</f>
        <v>1100569</v>
      </c>
      <c r="L25" s="389"/>
      <c r="M25" s="385"/>
      <c r="N25" s="960"/>
      <c r="O25" s="385"/>
      <c r="P25" s="386"/>
      <c r="Q25" s="1173" t="s">
        <v>634</v>
      </c>
      <c r="R25" s="1174"/>
      <c r="S25" s="1151"/>
      <c r="T25" s="1152"/>
      <c r="U25" s="1153"/>
      <c r="V25" s="1154">
        <f>V23-V24</f>
        <v>910678040</v>
      </c>
      <c r="W25" s="1154">
        <f>W23-W24</f>
        <v>926567130</v>
      </c>
      <c r="X25" s="1154">
        <f>X23-X24</f>
        <v>-213763</v>
      </c>
      <c r="Y25" s="389"/>
      <c r="Z25" s="385"/>
      <c r="AA25" s="960"/>
      <c r="AB25" s="385"/>
      <c r="AC25" s="386"/>
      <c r="AD25" s="1173" t="s">
        <v>634</v>
      </c>
      <c r="AE25" s="1174"/>
      <c r="AF25" s="1151"/>
      <c r="AG25" s="1152"/>
      <c r="AH25" s="1153"/>
      <c r="AI25" s="1154">
        <f>AI23-AI24</f>
        <v>937683499.08000004</v>
      </c>
      <c r="AJ25" s="1154">
        <f>AJ23-AJ24</f>
        <v>956933827.67999995</v>
      </c>
      <c r="AK25" s="1154">
        <f>AK23-AK24</f>
        <v>-3073391.1359999999</v>
      </c>
      <c r="AL25" s="389"/>
      <c r="AM25" s="385"/>
    </row>
    <row r="26" spans="1:39" ht="9.6" customHeight="1" x14ac:dyDescent="0.55000000000000004">
      <c r="A26" s="960"/>
      <c r="B26" s="385"/>
      <c r="C26" s="386"/>
      <c r="D26" s="386"/>
      <c r="E26" s="386"/>
      <c r="F26" s="486"/>
      <c r="G26" s="386"/>
      <c r="H26" s="386"/>
      <c r="I26" s="386"/>
      <c r="J26" s="386"/>
      <c r="K26" s="386"/>
      <c r="L26" s="386"/>
      <c r="M26" s="385"/>
      <c r="N26" s="960"/>
      <c r="O26" s="385"/>
      <c r="P26" s="386"/>
      <c r="Q26" s="386"/>
      <c r="R26" s="386"/>
      <c r="S26" s="486"/>
      <c r="T26" s="386"/>
      <c r="U26" s="386"/>
      <c r="V26" s="386"/>
      <c r="W26" s="386"/>
      <c r="X26" s="386"/>
      <c r="Y26" s="386"/>
      <c r="Z26" s="385"/>
      <c r="AA26" s="960"/>
      <c r="AB26" s="385"/>
      <c r="AC26" s="386"/>
      <c r="AD26" s="386"/>
      <c r="AE26" s="386"/>
      <c r="AF26" s="486"/>
      <c r="AG26" s="386"/>
      <c r="AH26" s="386"/>
      <c r="AI26" s="386"/>
      <c r="AJ26" s="386"/>
      <c r="AK26" s="386"/>
      <c r="AL26" s="386"/>
      <c r="AM26" s="385"/>
    </row>
    <row r="27" spans="1:39" ht="9.6" customHeight="1" x14ac:dyDescent="0.55000000000000004">
      <c r="A27" s="960"/>
      <c r="B27" s="385"/>
      <c r="C27" s="385"/>
      <c r="D27" s="385"/>
      <c r="E27" s="385"/>
      <c r="F27" s="346"/>
      <c r="G27" s="385"/>
      <c r="H27" s="385"/>
      <c r="I27" s="358"/>
      <c r="J27" s="385"/>
      <c r="K27" s="385"/>
      <c r="L27" s="385"/>
      <c r="M27" s="385"/>
      <c r="N27" s="960"/>
      <c r="O27" s="385"/>
      <c r="P27" s="385"/>
      <c r="Q27" s="385"/>
      <c r="R27" s="385"/>
      <c r="S27" s="346"/>
      <c r="T27" s="385"/>
      <c r="U27" s="385"/>
      <c r="V27" s="358"/>
      <c r="W27" s="385"/>
      <c r="X27" s="385"/>
      <c r="Y27" s="385"/>
      <c r="Z27" s="385"/>
      <c r="AA27" s="960"/>
      <c r="AB27" s="385"/>
      <c r="AC27" s="385"/>
      <c r="AD27" s="385"/>
      <c r="AE27" s="385"/>
      <c r="AF27" s="346"/>
      <c r="AG27" s="385"/>
      <c r="AH27" s="385"/>
      <c r="AI27" s="358"/>
      <c r="AJ27" s="385"/>
      <c r="AK27" s="385"/>
      <c r="AL27" s="385"/>
      <c r="AM27" s="385"/>
    </row>
    <row r="28" spans="1:39" ht="9.4499999999999993" customHeight="1" x14ac:dyDescent="0.55000000000000004">
      <c r="A28" s="960"/>
      <c r="B28" s="960"/>
      <c r="C28" s="960"/>
      <c r="D28" s="960"/>
      <c r="E28" s="960"/>
      <c r="F28" s="961"/>
      <c r="G28" s="962"/>
      <c r="H28" s="962"/>
      <c r="I28" s="965"/>
      <c r="J28" s="966"/>
      <c r="K28" s="963"/>
      <c r="L28" s="963"/>
      <c r="M28" s="963"/>
      <c r="N28" s="960"/>
      <c r="O28" s="960"/>
      <c r="P28" s="960"/>
      <c r="Q28" s="960"/>
      <c r="R28" s="960"/>
      <c r="S28" s="960"/>
      <c r="T28" s="960"/>
      <c r="U28" s="960"/>
      <c r="V28" s="960"/>
      <c r="W28" s="960"/>
      <c r="X28" s="960"/>
      <c r="Y28" s="960"/>
      <c r="Z28" s="960"/>
      <c r="AA28" s="960"/>
      <c r="AB28" s="960"/>
      <c r="AC28" s="960"/>
      <c r="AD28" s="960"/>
      <c r="AE28" s="960"/>
      <c r="AF28" s="967"/>
      <c r="AG28" s="960"/>
      <c r="AH28" s="960"/>
      <c r="AI28" s="968"/>
      <c r="AJ28" s="960"/>
      <c r="AK28" s="960"/>
      <c r="AL28" s="960"/>
      <c r="AM28" s="960"/>
    </row>
    <row r="29" spans="1:39" ht="9.4499999999999993" customHeight="1" x14ac:dyDescent="0.55000000000000004">
      <c r="A29" s="960"/>
      <c r="B29" s="960"/>
      <c r="C29" s="960"/>
      <c r="D29" s="960"/>
      <c r="E29" s="960"/>
      <c r="F29" s="961"/>
      <c r="G29" s="962"/>
      <c r="H29" s="962"/>
      <c r="I29" s="965"/>
      <c r="J29" s="966"/>
      <c r="K29" s="963"/>
      <c r="L29" s="963"/>
      <c r="M29" s="963"/>
      <c r="N29" s="960"/>
      <c r="O29" s="960"/>
      <c r="P29" s="960"/>
      <c r="Q29" s="960"/>
      <c r="R29" s="960"/>
      <c r="S29" s="960"/>
      <c r="T29" s="960"/>
      <c r="U29" s="960"/>
      <c r="V29" s="960"/>
      <c r="W29" s="960"/>
      <c r="X29" s="960"/>
      <c r="Y29" s="960"/>
      <c r="Z29" s="960"/>
      <c r="AA29" s="960"/>
      <c r="AB29" s="960"/>
    </row>
    <row r="30" spans="1:39" ht="9.6" customHeight="1" x14ac:dyDescent="0.55000000000000004">
      <c r="A30" s="960"/>
      <c r="B30" s="960"/>
      <c r="C30" s="960"/>
      <c r="D30" s="960"/>
      <c r="E30" s="960"/>
      <c r="F30" s="961"/>
      <c r="G30" s="962"/>
      <c r="H30" s="962"/>
      <c r="I30" s="965"/>
      <c r="J30" s="966"/>
      <c r="K30" s="963"/>
      <c r="L30" s="963"/>
      <c r="M30" s="963"/>
      <c r="N30" s="960"/>
      <c r="O30" s="960"/>
      <c r="P30" s="960"/>
      <c r="Q30" s="960"/>
      <c r="R30" s="960"/>
      <c r="S30" s="960"/>
      <c r="T30" s="960"/>
      <c r="U30" s="960"/>
      <c r="V30" s="960"/>
      <c r="W30" s="960"/>
      <c r="X30" s="960"/>
      <c r="Y30" s="960"/>
      <c r="Z30" s="960"/>
      <c r="AA30" s="960"/>
      <c r="AB30" s="960"/>
    </row>
    <row r="31" spans="1:39" ht="9.6" customHeight="1" x14ac:dyDescent="0.55000000000000004">
      <c r="A31" s="960"/>
      <c r="B31" s="960"/>
      <c r="C31" s="960"/>
      <c r="D31" s="960"/>
      <c r="E31" s="960"/>
      <c r="F31" s="961"/>
      <c r="G31" s="962"/>
      <c r="H31" s="962"/>
      <c r="I31" s="965"/>
      <c r="J31" s="966"/>
      <c r="K31" s="963"/>
      <c r="L31" s="963"/>
      <c r="M31" s="963"/>
      <c r="N31" s="960"/>
      <c r="O31" s="960"/>
      <c r="P31" s="960"/>
      <c r="Q31" s="960"/>
      <c r="R31" s="960"/>
      <c r="S31" s="960"/>
      <c r="T31" s="960"/>
      <c r="U31" s="960"/>
      <c r="V31" s="960"/>
      <c r="W31" s="960"/>
      <c r="X31" s="960"/>
      <c r="Y31" s="960"/>
      <c r="Z31" s="960"/>
      <c r="AA31" s="960"/>
      <c r="AB31" s="960"/>
    </row>
    <row r="32" spans="1:39" ht="9.6" customHeight="1" x14ac:dyDescent="0.55000000000000004">
      <c r="A32" s="960"/>
      <c r="B32" s="960"/>
      <c r="C32" s="960"/>
      <c r="D32" s="960"/>
      <c r="E32" s="960"/>
      <c r="F32" s="961"/>
      <c r="G32" s="962"/>
      <c r="H32" s="962"/>
      <c r="I32" s="965"/>
      <c r="J32" s="966"/>
      <c r="K32" s="963"/>
      <c r="L32" s="963"/>
      <c r="M32" s="963"/>
      <c r="N32" s="960"/>
      <c r="O32" s="960"/>
      <c r="P32" s="960"/>
      <c r="Q32" s="960"/>
      <c r="R32" s="960"/>
      <c r="S32" s="960"/>
      <c r="T32" s="960"/>
      <c r="U32" s="960"/>
      <c r="V32" s="960"/>
      <c r="W32" s="960"/>
      <c r="X32" s="960"/>
      <c r="Y32" s="960"/>
      <c r="Z32" s="960"/>
      <c r="AA32" s="960"/>
      <c r="AB32" s="960"/>
    </row>
    <row r="33" spans="1:28" ht="9.6" customHeight="1" x14ac:dyDescent="0.55000000000000004">
      <c r="A33" s="960"/>
      <c r="B33" s="960"/>
      <c r="C33" s="960"/>
      <c r="D33" s="960"/>
      <c r="E33" s="960"/>
      <c r="F33" s="961"/>
      <c r="G33" s="962"/>
      <c r="H33" s="962"/>
      <c r="I33" s="965"/>
      <c r="J33" s="966"/>
      <c r="K33" s="963"/>
      <c r="L33" s="963"/>
      <c r="M33" s="963"/>
      <c r="N33" s="960"/>
      <c r="O33" s="960"/>
      <c r="P33" s="960"/>
      <c r="Q33" s="960"/>
      <c r="R33" s="960"/>
      <c r="S33" s="960"/>
      <c r="T33" s="960"/>
      <c r="U33" s="960"/>
      <c r="V33" s="960"/>
      <c r="W33" s="960"/>
      <c r="X33" s="960"/>
      <c r="Y33" s="960"/>
      <c r="Z33" s="960"/>
      <c r="AA33" s="960"/>
      <c r="AB33" s="960"/>
    </row>
    <row r="34" spans="1:28" ht="9.6" customHeight="1" x14ac:dyDescent="0.55000000000000004">
      <c r="A34" s="960"/>
      <c r="B34" s="960"/>
      <c r="C34" s="960"/>
      <c r="D34" s="960"/>
      <c r="E34" s="960"/>
      <c r="F34" s="961"/>
      <c r="G34" s="962"/>
      <c r="H34" s="962"/>
      <c r="I34" s="965"/>
      <c r="J34" s="966"/>
      <c r="K34" s="963"/>
      <c r="L34" s="963"/>
      <c r="M34" s="963"/>
      <c r="N34" s="960"/>
      <c r="O34" s="960"/>
      <c r="P34" s="960"/>
      <c r="Q34" s="960"/>
      <c r="R34" s="960"/>
      <c r="S34" s="960"/>
      <c r="T34" s="960"/>
      <c r="U34" s="960"/>
      <c r="V34" s="960"/>
      <c r="W34" s="960"/>
      <c r="X34" s="960"/>
      <c r="Y34" s="960"/>
      <c r="Z34" s="960"/>
      <c r="AA34" s="960"/>
      <c r="AB34" s="960"/>
    </row>
    <row r="35" spans="1:28" ht="9.6" customHeight="1" x14ac:dyDescent="0.55000000000000004">
      <c r="A35" s="960"/>
      <c r="B35" s="960"/>
      <c r="C35" s="960"/>
      <c r="D35" s="960"/>
      <c r="E35" s="960"/>
      <c r="F35" s="961"/>
      <c r="G35" s="962"/>
      <c r="H35" s="962"/>
      <c r="I35" s="965"/>
      <c r="J35" s="966"/>
      <c r="K35" s="963"/>
      <c r="L35" s="963"/>
      <c r="M35" s="963"/>
      <c r="N35" s="960"/>
      <c r="O35" s="960"/>
      <c r="P35" s="960"/>
      <c r="Q35" s="960"/>
      <c r="R35" s="960"/>
      <c r="S35" s="960"/>
      <c r="T35" s="960"/>
      <c r="U35" s="960"/>
      <c r="V35" s="960"/>
      <c r="W35" s="960"/>
      <c r="X35" s="960"/>
      <c r="Y35" s="960"/>
      <c r="Z35" s="960"/>
      <c r="AA35" s="960"/>
      <c r="AB35" s="960"/>
    </row>
    <row r="36" spans="1:28" ht="9.6" customHeight="1" x14ac:dyDescent="0.55000000000000004">
      <c r="A36" s="960"/>
      <c r="B36" s="960"/>
      <c r="C36" s="960"/>
      <c r="D36" s="960"/>
      <c r="E36" s="960"/>
      <c r="F36" s="961"/>
      <c r="G36" s="962"/>
      <c r="H36" s="962"/>
      <c r="I36" s="965"/>
      <c r="J36" s="966"/>
      <c r="K36" s="963"/>
      <c r="L36" s="963"/>
      <c r="M36" s="963"/>
      <c r="N36" s="960"/>
      <c r="O36" s="960"/>
      <c r="P36" s="960"/>
      <c r="Q36" s="960"/>
      <c r="R36" s="960"/>
      <c r="S36" s="960"/>
      <c r="T36" s="960"/>
      <c r="U36" s="960"/>
      <c r="V36" s="960"/>
      <c r="W36" s="960"/>
      <c r="X36" s="960"/>
      <c r="Y36" s="960"/>
      <c r="Z36" s="960"/>
      <c r="AA36" s="960"/>
      <c r="AB36" s="960"/>
    </row>
    <row r="37" spans="1:28" ht="9.6" customHeight="1" x14ac:dyDescent="0.55000000000000004">
      <c r="A37" s="960"/>
      <c r="B37" s="960"/>
      <c r="C37" s="960"/>
      <c r="D37" s="960"/>
      <c r="E37" s="960"/>
      <c r="F37" s="961"/>
      <c r="G37" s="962"/>
      <c r="H37" s="962"/>
      <c r="I37" s="965"/>
      <c r="J37" s="966"/>
      <c r="K37" s="963"/>
      <c r="L37" s="963"/>
      <c r="M37" s="963"/>
      <c r="N37" s="960"/>
      <c r="O37" s="960"/>
      <c r="P37" s="960"/>
      <c r="Q37" s="960"/>
      <c r="R37" s="960"/>
      <c r="S37" s="960"/>
      <c r="T37" s="960"/>
      <c r="U37" s="960"/>
      <c r="V37" s="960"/>
      <c r="W37" s="960"/>
      <c r="X37" s="960"/>
      <c r="Y37" s="960"/>
      <c r="Z37" s="960"/>
      <c r="AA37" s="960"/>
      <c r="AB37" s="960"/>
    </row>
    <row r="38" spans="1:28" ht="9.6" customHeight="1" x14ac:dyDescent="0.55000000000000004">
      <c r="A38" s="960"/>
      <c r="B38" s="960"/>
      <c r="C38" s="960"/>
      <c r="D38" s="960"/>
      <c r="E38" s="960"/>
      <c r="F38" s="961"/>
      <c r="G38" s="962"/>
      <c r="H38" s="962"/>
      <c r="I38" s="965"/>
      <c r="J38" s="966"/>
      <c r="K38" s="963"/>
      <c r="L38" s="963"/>
      <c r="M38" s="963"/>
      <c r="N38" s="960"/>
      <c r="O38" s="960"/>
      <c r="P38" s="960"/>
      <c r="Q38" s="960"/>
      <c r="R38" s="960"/>
      <c r="S38" s="960"/>
      <c r="T38" s="960"/>
      <c r="U38" s="960"/>
      <c r="V38" s="960"/>
      <c r="W38" s="960"/>
      <c r="X38" s="960"/>
      <c r="Y38" s="960"/>
      <c r="Z38" s="960"/>
      <c r="AA38" s="960"/>
      <c r="AB38" s="960"/>
    </row>
    <row r="39" spans="1:28" ht="9.6" customHeight="1" x14ac:dyDescent="0.55000000000000004">
      <c r="A39" s="960"/>
      <c r="B39" s="960"/>
      <c r="C39" s="960"/>
      <c r="D39" s="960"/>
      <c r="E39" s="960"/>
      <c r="F39" s="961"/>
      <c r="G39" s="962"/>
      <c r="H39" s="962"/>
      <c r="I39" s="965"/>
      <c r="J39" s="966"/>
      <c r="K39" s="963"/>
      <c r="L39" s="963"/>
      <c r="M39" s="963"/>
      <c r="N39" s="960"/>
      <c r="O39" s="960"/>
      <c r="P39" s="960"/>
      <c r="Q39" s="960"/>
      <c r="R39" s="960"/>
      <c r="S39" s="960"/>
      <c r="T39" s="960"/>
      <c r="U39" s="960"/>
      <c r="V39" s="960"/>
      <c r="W39" s="960"/>
      <c r="X39" s="960"/>
      <c r="Y39" s="960"/>
      <c r="Z39" s="960"/>
      <c r="AA39" s="960"/>
      <c r="AB39" s="960"/>
    </row>
    <row r="40" spans="1:28" ht="9.6" customHeight="1" x14ac:dyDescent="0.55000000000000004">
      <c r="A40" s="960"/>
      <c r="B40" s="960"/>
      <c r="C40" s="960"/>
      <c r="D40" s="960"/>
      <c r="E40" s="960"/>
      <c r="F40" s="961"/>
      <c r="G40" s="962"/>
      <c r="H40" s="962"/>
      <c r="I40" s="965"/>
      <c r="J40" s="966"/>
      <c r="K40" s="963"/>
      <c r="L40" s="963"/>
      <c r="M40" s="963"/>
      <c r="N40" s="960"/>
      <c r="O40" s="960"/>
      <c r="P40" s="960"/>
      <c r="Q40" s="960"/>
      <c r="R40" s="960"/>
      <c r="S40" s="960"/>
      <c r="T40" s="960"/>
      <c r="U40" s="960"/>
      <c r="V40" s="960"/>
      <c r="W40" s="960"/>
      <c r="X40" s="960"/>
      <c r="Y40" s="960"/>
      <c r="Z40" s="960"/>
      <c r="AA40" s="960"/>
      <c r="AB40" s="960"/>
    </row>
    <row r="41" spans="1:28" ht="9.6" customHeight="1" x14ac:dyDescent="0.55000000000000004">
      <c r="A41" s="960"/>
      <c r="B41" s="960"/>
      <c r="C41" s="960"/>
      <c r="D41" s="960"/>
      <c r="E41" s="960"/>
      <c r="F41" s="961"/>
      <c r="G41" s="962"/>
      <c r="H41" s="962"/>
      <c r="I41" s="965"/>
      <c r="J41" s="966"/>
      <c r="K41" s="963"/>
      <c r="L41" s="963"/>
      <c r="M41" s="963"/>
      <c r="N41" s="960"/>
      <c r="O41" s="960"/>
      <c r="P41" s="960"/>
      <c r="Q41" s="960"/>
      <c r="R41" s="960"/>
      <c r="S41" s="960"/>
      <c r="T41" s="960"/>
      <c r="U41" s="960"/>
      <c r="V41" s="960"/>
      <c r="W41" s="960"/>
      <c r="X41" s="960"/>
      <c r="Y41" s="960"/>
      <c r="Z41" s="960"/>
      <c r="AA41" s="960"/>
      <c r="AB41" s="960"/>
    </row>
    <row r="42" spans="1:28" ht="9.6" customHeight="1" x14ac:dyDescent="0.55000000000000004">
      <c r="A42" s="960"/>
      <c r="B42" s="960"/>
      <c r="C42" s="960"/>
      <c r="D42" s="960"/>
      <c r="E42" s="960"/>
      <c r="F42" s="961"/>
      <c r="G42" s="962"/>
      <c r="H42" s="962"/>
      <c r="I42" s="965"/>
      <c r="J42" s="966"/>
      <c r="K42" s="963"/>
      <c r="L42" s="963"/>
      <c r="M42" s="963"/>
      <c r="N42" s="960"/>
      <c r="O42" s="960"/>
      <c r="P42" s="960"/>
      <c r="Q42" s="960"/>
      <c r="R42" s="960"/>
      <c r="S42" s="960"/>
      <c r="T42" s="960"/>
      <c r="U42" s="960"/>
      <c r="V42" s="960"/>
      <c r="W42" s="960"/>
      <c r="X42" s="960"/>
      <c r="Y42" s="960"/>
      <c r="Z42" s="960"/>
      <c r="AA42" s="960"/>
      <c r="AB42" s="960"/>
    </row>
    <row r="43" spans="1:28" ht="9.6" customHeight="1" x14ac:dyDescent="0.55000000000000004">
      <c r="A43" s="960"/>
      <c r="B43" s="960"/>
      <c r="C43" s="960"/>
      <c r="D43" s="960"/>
      <c r="E43" s="960"/>
      <c r="F43" s="961"/>
      <c r="G43" s="962"/>
      <c r="H43" s="962"/>
      <c r="I43" s="965"/>
      <c r="J43" s="966"/>
      <c r="K43" s="963"/>
      <c r="L43" s="963"/>
      <c r="M43" s="963"/>
      <c r="N43" s="960"/>
      <c r="O43" s="960"/>
      <c r="P43" s="960"/>
      <c r="Q43" s="960"/>
      <c r="R43" s="960"/>
      <c r="S43" s="960"/>
      <c r="T43" s="960"/>
      <c r="U43" s="960"/>
      <c r="V43" s="960"/>
      <c r="W43" s="960"/>
      <c r="X43" s="960"/>
      <c r="Y43" s="960"/>
      <c r="Z43" s="960"/>
      <c r="AA43" s="960"/>
      <c r="AB43" s="960"/>
    </row>
    <row r="44" spans="1:28" ht="9.6" customHeight="1" x14ac:dyDescent="0.55000000000000004">
      <c r="A44" s="960"/>
      <c r="B44" s="960"/>
      <c r="C44" s="960"/>
      <c r="D44" s="960"/>
      <c r="E44" s="960"/>
      <c r="F44" s="961"/>
      <c r="G44" s="962"/>
      <c r="H44" s="962"/>
      <c r="I44" s="965"/>
      <c r="J44" s="966"/>
      <c r="K44" s="963"/>
      <c r="L44" s="963"/>
      <c r="M44" s="963"/>
      <c r="N44" s="960"/>
      <c r="O44" s="960"/>
      <c r="P44" s="960"/>
      <c r="Q44" s="960"/>
      <c r="R44" s="960"/>
      <c r="S44" s="960"/>
      <c r="T44" s="960"/>
      <c r="U44" s="960"/>
      <c r="V44" s="960"/>
      <c r="W44" s="960"/>
      <c r="X44" s="960"/>
      <c r="Y44" s="960"/>
      <c r="Z44" s="960"/>
      <c r="AA44" s="960"/>
      <c r="AB44" s="960"/>
    </row>
    <row r="45" spans="1:28" ht="9.6" customHeight="1" x14ac:dyDescent="0.55000000000000004">
      <c r="A45" s="960"/>
      <c r="B45" s="960"/>
      <c r="C45" s="960"/>
      <c r="D45" s="960"/>
      <c r="E45" s="960"/>
      <c r="F45" s="961"/>
      <c r="G45" s="962"/>
      <c r="H45" s="962"/>
      <c r="I45" s="965"/>
      <c r="J45" s="966"/>
      <c r="K45" s="963"/>
      <c r="L45" s="963"/>
      <c r="M45" s="963"/>
      <c r="N45" s="960"/>
      <c r="O45" s="960"/>
      <c r="P45" s="960"/>
      <c r="Q45" s="960"/>
      <c r="R45" s="960"/>
      <c r="S45" s="960"/>
      <c r="T45" s="960"/>
      <c r="U45" s="960"/>
      <c r="V45" s="960"/>
      <c r="W45" s="960"/>
      <c r="X45" s="960"/>
      <c r="Y45" s="960"/>
      <c r="Z45" s="960"/>
      <c r="AA45" s="960"/>
      <c r="AB45" s="960"/>
    </row>
    <row r="46" spans="1:28" ht="9.6" customHeight="1" x14ac:dyDescent="0.55000000000000004">
      <c r="A46" s="960"/>
      <c r="B46" s="960"/>
      <c r="C46" s="960"/>
      <c r="D46" s="960"/>
      <c r="E46" s="960"/>
      <c r="F46" s="961"/>
      <c r="G46" s="962"/>
      <c r="H46" s="962"/>
      <c r="I46" s="965"/>
      <c r="J46" s="966"/>
      <c r="K46" s="963"/>
      <c r="L46" s="963"/>
      <c r="M46" s="963"/>
      <c r="N46" s="960"/>
      <c r="O46" s="960"/>
      <c r="P46" s="960"/>
      <c r="Q46" s="960"/>
      <c r="R46" s="960"/>
      <c r="S46" s="960"/>
      <c r="T46" s="960"/>
      <c r="U46" s="960"/>
      <c r="V46" s="960"/>
      <c r="W46" s="960"/>
      <c r="X46" s="960"/>
      <c r="Y46" s="960"/>
      <c r="Z46" s="960"/>
      <c r="AA46" s="960"/>
      <c r="AB46" s="960"/>
    </row>
    <row r="47" spans="1:28" ht="9.6" customHeight="1" x14ac:dyDescent="0.55000000000000004">
      <c r="A47" s="960"/>
      <c r="B47" s="960"/>
      <c r="C47" s="960"/>
      <c r="D47" s="960"/>
      <c r="E47" s="960"/>
      <c r="F47" s="961"/>
      <c r="G47" s="962"/>
      <c r="H47" s="962"/>
      <c r="I47" s="965"/>
      <c r="J47" s="966"/>
      <c r="K47" s="963"/>
      <c r="L47" s="963"/>
      <c r="M47" s="963"/>
      <c r="N47" s="960"/>
      <c r="O47" s="960"/>
      <c r="P47" s="960"/>
      <c r="Q47" s="960"/>
      <c r="R47" s="960"/>
      <c r="S47" s="960"/>
      <c r="T47" s="960"/>
      <c r="U47" s="960"/>
      <c r="V47" s="960"/>
      <c r="W47" s="960"/>
      <c r="X47" s="960"/>
      <c r="Y47" s="960"/>
      <c r="Z47" s="960"/>
      <c r="AA47" s="960"/>
      <c r="AB47" s="960"/>
    </row>
    <row r="48" spans="1:28" ht="9.6" customHeight="1" x14ac:dyDescent="0.55000000000000004">
      <c r="A48" s="960"/>
      <c r="B48" s="960"/>
      <c r="C48" s="960"/>
      <c r="D48" s="960"/>
      <c r="E48" s="960"/>
      <c r="F48" s="961"/>
      <c r="G48" s="962"/>
      <c r="H48" s="962"/>
      <c r="I48" s="965"/>
      <c r="J48" s="966"/>
      <c r="K48" s="963"/>
      <c r="L48" s="963"/>
      <c r="M48" s="963"/>
      <c r="N48" s="960"/>
      <c r="O48" s="960"/>
      <c r="P48" s="960"/>
      <c r="Q48" s="960"/>
      <c r="R48" s="960"/>
      <c r="S48" s="960"/>
      <c r="T48" s="960"/>
      <c r="U48" s="960"/>
      <c r="V48" s="960"/>
      <c r="W48" s="960"/>
      <c r="X48" s="960"/>
      <c r="Y48" s="960"/>
      <c r="Z48" s="960"/>
      <c r="AA48" s="960"/>
      <c r="AB48" s="960"/>
    </row>
    <row r="49" spans="1:28" ht="9.6" customHeight="1" x14ac:dyDescent="0.55000000000000004">
      <c r="A49" s="960"/>
      <c r="B49" s="960"/>
      <c r="C49" s="960"/>
      <c r="D49" s="960"/>
      <c r="E49" s="960"/>
      <c r="F49" s="961"/>
      <c r="G49" s="962"/>
      <c r="H49" s="962"/>
      <c r="I49" s="965"/>
      <c r="J49" s="966"/>
      <c r="K49" s="963"/>
      <c r="L49" s="963"/>
      <c r="M49" s="963"/>
      <c r="N49" s="960"/>
      <c r="O49" s="960"/>
      <c r="P49" s="960"/>
      <c r="Q49" s="960"/>
      <c r="R49" s="960"/>
      <c r="S49" s="960"/>
      <c r="T49" s="960"/>
      <c r="U49" s="960"/>
      <c r="V49" s="960"/>
      <c r="W49" s="960"/>
      <c r="X49" s="960"/>
      <c r="Y49" s="960"/>
      <c r="Z49" s="960"/>
      <c r="AA49" s="960"/>
      <c r="AB49" s="960"/>
    </row>
    <row r="50" spans="1:28" ht="9.6" customHeight="1" x14ac:dyDescent="0.55000000000000004">
      <c r="A50" s="960"/>
      <c r="B50" s="960"/>
      <c r="C50" s="960"/>
      <c r="D50" s="960"/>
      <c r="E50" s="960"/>
      <c r="F50" s="961"/>
      <c r="G50" s="962"/>
      <c r="H50" s="962"/>
      <c r="I50" s="965"/>
      <c r="J50" s="966"/>
      <c r="K50" s="963"/>
      <c r="L50" s="963"/>
      <c r="M50" s="963"/>
      <c r="N50" s="960"/>
      <c r="O50" s="960"/>
      <c r="P50" s="960"/>
      <c r="Q50" s="960"/>
      <c r="R50" s="960"/>
      <c r="S50" s="960"/>
      <c r="T50" s="960"/>
      <c r="U50" s="960"/>
      <c r="V50" s="960"/>
      <c r="W50" s="960"/>
      <c r="X50" s="960"/>
      <c r="Y50" s="960"/>
      <c r="Z50" s="960"/>
      <c r="AA50" s="960"/>
      <c r="AB50" s="960"/>
    </row>
    <row r="51" spans="1:28" ht="9.6" customHeight="1" x14ac:dyDescent="0.55000000000000004">
      <c r="A51" s="960"/>
      <c r="B51" s="960"/>
      <c r="C51" s="960"/>
      <c r="D51" s="960"/>
      <c r="E51" s="960"/>
      <c r="F51" s="961"/>
      <c r="G51" s="962"/>
      <c r="H51" s="962"/>
      <c r="I51" s="965"/>
      <c r="J51" s="966"/>
      <c r="K51" s="963"/>
      <c r="L51" s="963"/>
      <c r="M51" s="963"/>
      <c r="N51" s="960"/>
      <c r="O51" s="960"/>
      <c r="P51" s="960"/>
      <c r="Q51" s="960"/>
      <c r="R51" s="960"/>
      <c r="S51" s="960"/>
      <c r="T51" s="960"/>
      <c r="U51" s="960"/>
      <c r="V51" s="960"/>
      <c r="W51" s="960"/>
      <c r="X51" s="960"/>
      <c r="Y51" s="960"/>
      <c r="Z51" s="960"/>
      <c r="AA51" s="960"/>
      <c r="AB51" s="960"/>
    </row>
    <row r="52" spans="1:28" ht="9.6" customHeight="1" x14ac:dyDescent="0.55000000000000004">
      <c r="A52" s="960"/>
      <c r="B52" s="960"/>
      <c r="C52" s="960"/>
      <c r="D52" s="960"/>
      <c r="E52" s="960"/>
      <c r="F52" s="961"/>
      <c r="G52" s="962"/>
      <c r="H52" s="962"/>
      <c r="I52" s="965"/>
      <c r="J52" s="966"/>
      <c r="K52" s="963"/>
      <c r="L52" s="963"/>
      <c r="M52" s="963"/>
      <c r="N52" s="960"/>
      <c r="O52" s="960"/>
      <c r="P52" s="960"/>
      <c r="Q52" s="960"/>
      <c r="R52" s="960"/>
      <c r="S52" s="960"/>
      <c r="T52" s="960"/>
      <c r="U52" s="960"/>
      <c r="V52" s="960"/>
      <c r="W52" s="960"/>
      <c r="X52" s="960"/>
      <c r="Y52" s="960"/>
      <c r="Z52" s="960"/>
      <c r="AA52" s="960"/>
      <c r="AB52" s="960"/>
    </row>
    <row r="53" spans="1:28" ht="9.6" customHeight="1" x14ac:dyDescent="0.55000000000000004">
      <c r="A53" s="960"/>
      <c r="B53" s="960"/>
      <c r="C53" s="960"/>
      <c r="D53" s="960"/>
      <c r="E53" s="960"/>
      <c r="F53" s="961"/>
      <c r="G53" s="962"/>
      <c r="H53" s="962"/>
      <c r="I53" s="965"/>
      <c r="J53" s="966"/>
      <c r="K53" s="963"/>
      <c r="L53" s="963"/>
      <c r="M53" s="963"/>
      <c r="N53" s="960"/>
      <c r="O53" s="960"/>
      <c r="P53" s="960"/>
      <c r="Q53" s="960"/>
      <c r="R53" s="960"/>
      <c r="S53" s="960"/>
      <c r="T53" s="960"/>
      <c r="U53" s="960"/>
      <c r="V53" s="960"/>
      <c r="W53" s="960"/>
      <c r="X53" s="960"/>
      <c r="Y53" s="960"/>
      <c r="Z53" s="960"/>
      <c r="AA53" s="960"/>
      <c r="AB53" s="960"/>
    </row>
    <row r="54" spans="1:28" ht="9.6" customHeight="1" x14ac:dyDescent="0.55000000000000004">
      <c r="A54" s="960"/>
      <c r="B54" s="960"/>
      <c r="C54" s="960"/>
      <c r="D54" s="960"/>
      <c r="E54" s="960"/>
      <c r="F54" s="961"/>
      <c r="G54" s="962"/>
      <c r="H54" s="962"/>
      <c r="I54" s="965"/>
      <c r="J54" s="966"/>
      <c r="K54" s="963"/>
      <c r="L54" s="963"/>
      <c r="M54" s="963"/>
      <c r="N54" s="960"/>
      <c r="O54" s="960"/>
      <c r="P54" s="960"/>
      <c r="Q54" s="960"/>
      <c r="R54" s="960"/>
      <c r="S54" s="960"/>
      <c r="T54" s="960"/>
      <c r="U54" s="960"/>
      <c r="V54" s="960"/>
      <c r="W54" s="960"/>
      <c r="X54" s="960"/>
      <c r="Y54" s="960"/>
      <c r="Z54" s="960"/>
      <c r="AA54" s="960"/>
      <c r="AB54" s="960"/>
    </row>
    <row r="55" spans="1:28" ht="9.6" customHeight="1" x14ac:dyDescent="0.55000000000000004">
      <c r="A55" s="960"/>
      <c r="B55" s="960"/>
      <c r="C55" s="960"/>
      <c r="D55" s="960"/>
      <c r="E55" s="960"/>
      <c r="F55" s="961"/>
      <c r="G55" s="962"/>
      <c r="H55" s="962"/>
      <c r="I55" s="965"/>
      <c r="J55" s="966"/>
      <c r="K55" s="963"/>
      <c r="L55" s="963"/>
      <c r="M55" s="963"/>
      <c r="N55" s="960"/>
      <c r="O55" s="960"/>
      <c r="P55" s="960"/>
      <c r="Q55" s="960"/>
      <c r="R55" s="960"/>
      <c r="S55" s="960"/>
      <c r="T55" s="960"/>
      <c r="U55" s="960"/>
      <c r="V55" s="960"/>
      <c r="W55" s="960"/>
      <c r="X55" s="960"/>
      <c r="Y55" s="960"/>
      <c r="Z55" s="960"/>
      <c r="AA55" s="960"/>
      <c r="AB55" s="960"/>
    </row>
    <row r="56" spans="1:28" ht="9.6" customHeight="1" x14ac:dyDescent="0.55000000000000004">
      <c r="A56" s="960"/>
      <c r="B56" s="960"/>
      <c r="C56" s="960"/>
      <c r="D56" s="960"/>
      <c r="E56" s="960"/>
      <c r="F56" s="961"/>
      <c r="G56" s="962"/>
      <c r="H56" s="962"/>
      <c r="I56" s="965"/>
      <c r="J56" s="966"/>
      <c r="K56" s="963"/>
      <c r="L56" s="963"/>
      <c r="M56" s="963"/>
      <c r="N56" s="960"/>
      <c r="O56" s="960"/>
      <c r="P56" s="960"/>
      <c r="Q56" s="960"/>
      <c r="R56" s="960"/>
      <c r="S56" s="960"/>
      <c r="T56" s="960"/>
      <c r="U56" s="960"/>
      <c r="V56" s="960"/>
      <c r="W56" s="960"/>
      <c r="X56" s="960"/>
      <c r="Y56" s="960"/>
      <c r="Z56" s="960"/>
      <c r="AA56" s="960"/>
      <c r="AB56" s="960"/>
    </row>
    <row r="57" spans="1:28" ht="9.6" customHeight="1" x14ac:dyDescent="0.55000000000000004">
      <c r="A57" s="960"/>
      <c r="B57" s="960"/>
      <c r="C57" s="960"/>
      <c r="D57" s="960"/>
      <c r="E57" s="960"/>
      <c r="F57" s="961"/>
      <c r="G57" s="962"/>
      <c r="H57" s="962"/>
      <c r="I57" s="965"/>
      <c r="J57" s="966"/>
      <c r="K57" s="963"/>
      <c r="L57" s="963"/>
      <c r="M57" s="963"/>
      <c r="N57" s="960"/>
      <c r="O57" s="960"/>
      <c r="P57" s="960"/>
      <c r="Q57" s="960"/>
      <c r="R57" s="960"/>
      <c r="S57" s="960"/>
      <c r="T57" s="960"/>
      <c r="U57" s="960"/>
      <c r="V57" s="960"/>
      <c r="W57" s="960"/>
      <c r="X57" s="960"/>
      <c r="Y57" s="960"/>
      <c r="Z57" s="960"/>
      <c r="AA57" s="960"/>
      <c r="AB57" s="960"/>
    </row>
    <row r="58" spans="1:28" ht="9.6" customHeight="1" x14ac:dyDescent="0.55000000000000004">
      <c r="A58" s="960"/>
      <c r="B58" s="960"/>
      <c r="C58" s="960"/>
      <c r="D58" s="960"/>
      <c r="E58" s="960"/>
      <c r="F58" s="961"/>
      <c r="G58" s="962"/>
      <c r="H58" s="962"/>
      <c r="I58" s="965"/>
      <c r="J58" s="966"/>
      <c r="K58" s="963"/>
      <c r="L58" s="963"/>
      <c r="M58" s="963"/>
      <c r="N58" s="960"/>
      <c r="O58" s="960"/>
      <c r="P58" s="960"/>
      <c r="Q58" s="960"/>
      <c r="R58" s="960"/>
      <c r="S58" s="960"/>
      <c r="T58" s="960"/>
      <c r="U58" s="960"/>
      <c r="V58" s="960"/>
      <c r="W58" s="960"/>
      <c r="X58" s="960"/>
      <c r="Y58" s="960"/>
      <c r="Z58" s="960"/>
      <c r="AA58" s="960"/>
      <c r="AB58" s="960"/>
    </row>
    <row r="59" spans="1:28" ht="9.6" customHeight="1" x14ac:dyDescent="0.55000000000000004">
      <c r="A59" s="960"/>
      <c r="B59" s="960"/>
      <c r="C59" s="960"/>
      <c r="D59" s="960"/>
      <c r="E59" s="960"/>
      <c r="F59" s="961"/>
      <c r="G59" s="962"/>
      <c r="H59" s="962"/>
      <c r="I59" s="965"/>
      <c r="J59" s="966"/>
      <c r="K59" s="963"/>
      <c r="L59" s="963"/>
      <c r="M59" s="963"/>
      <c r="N59" s="960"/>
      <c r="O59" s="960"/>
      <c r="P59" s="960"/>
      <c r="Q59" s="960"/>
      <c r="R59" s="960"/>
      <c r="S59" s="960"/>
      <c r="T59" s="960"/>
      <c r="U59" s="960"/>
      <c r="V59" s="960"/>
      <c r="W59" s="960"/>
      <c r="X59" s="960"/>
      <c r="Y59" s="960"/>
      <c r="Z59" s="960"/>
      <c r="AA59" s="960"/>
      <c r="AB59" s="960"/>
    </row>
    <row r="60" spans="1:28" ht="9.6" customHeight="1" x14ac:dyDescent="0.55000000000000004">
      <c r="A60" s="960"/>
      <c r="B60" s="960"/>
      <c r="C60" s="960"/>
      <c r="D60" s="960"/>
      <c r="E60" s="960"/>
      <c r="F60" s="961"/>
      <c r="G60" s="962"/>
      <c r="H60" s="962"/>
      <c r="I60" s="965"/>
      <c r="J60" s="966"/>
      <c r="K60" s="963"/>
      <c r="L60" s="963"/>
      <c r="M60" s="963"/>
      <c r="N60" s="960"/>
      <c r="O60" s="960"/>
      <c r="P60" s="960"/>
      <c r="Q60" s="960"/>
      <c r="R60" s="960"/>
      <c r="S60" s="960"/>
      <c r="T60" s="960"/>
      <c r="U60" s="960"/>
      <c r="V60" s="960"/>
      <c r="W60" s="960"/>
      <c r="X60" s="960"/>
      <c r="Y60" s="960"/>
      <c r="Z60" s="960"/>
      <c r="AA60" s="960"/>
      <c r="AB60" s="960"/>
    </row>
    <row r="61" spans="1:28" ht="9.6" customHeight="1" x14ac:dyDescent="0.55000000000000004">
      <c r="A61" s="960"/>
      <c r="B61" s="960"/>
      <c r="C61" s="960"/>
      <c r="D61" s="960"/>
      <c r="E61" s="960"/>
      <c r="F61" s="961"/>
      <c r="G61" s="962"/>
      <c r="H61" s="962"/>
      <c r="I61" s="965"/>
      <c r="J61" s="966"/>
      <c r="K61" s="963"/>
      <c r="L61" s="963"/>
      <c r="M61" s="963"/>
      <c r="N61" s="960"/>
      <c r="O61" s="960"/>
      <c r="P61" s="960"/>
      <c r="Q61" s="960"/>
      <c r="R61" s="960"/>
      <c r="S61" s="960"/>
      <c r="T61" s="960"/>
      <c r="U61" s="960"/>
      <c r="V61" s="960"/>
      <c r="W61" s="960"/>
      <c r="X61" s="960"/>
      <c r="Y61" s="960"/>
      <c r="Z61" s="960"/>
      <c r="AA61" s="960"/>
      <c r="AB61" s="960"/>
    </row>
    <row r="62" spans="1:28" ht="9.6" customHeight="1" x14ac:dyDescent="0.55000000000000004">
      <c r="A62" s="960"/>
      <c r="B62" s="960"/>
      <c r="C62" s="960"/>
      <c r="D62" s="960"/>
      <c r="E62" s="960"/>
      <c r="F62" s="961"/>
      <c r="G62" s="962"/>
      <c r="H62" s="962"/>
      <c r="I62" s="965"/>
      <c r="J62" s="966"/>
      <c r="K62" s="963"/>
      <c r="L62" s="963"/>
      <c r="M62" s="963"/>
      <c r="N62" s="960"/>
      <c r="O62" s="960"/>
      <c r="P62" s="960"/>
      <c r="Q62" s="960"/>
      <c r="R62" s="960"/>
      <c r="S62" s="960"/>
      <c r="T62" s="960"/>
      <c r="U62" s="960"/>
      <c r="V62" s="960"/>
      <c r="W62" s="960"/>
      <c r="X62" s="960"/>
      <c r="Y62" s="960"/>
      <c r="Z62" s="960"/>
      <c r="AA62" s="960"/>
      <c r="AB62" s="960"/>
    </row>
    <row r="63" spans="1:28" ht="9.6" customHeight="1" x14ac:dyDescent="0.55000000000000004">
      <c r="A63" s="960"/>
      <c r="B63" s="960"/>
      <c r="C63" s="960"/>
      <c r="D63" s="960"/>
      <c r="E63" s="960"/>
      <c r="F63" s="961"/>
      <c r="G63" s="962"/>
      <c r="H63" s="962"/>
      <c r="I63" s="965"/>
      <c r="J63" s="966"/>
      <c r="K63" s="963"/>
      <c r="L63" s="963"/>
      <c r="M63" s="963"/>
      <c r="N63" s="960"/>
      <c r="O63" s="960"/>
      <c r="P63" s="960"/>
      <c r="Q63" s="960"/>
      <c r="R63" s="960"/>
      <c r="S63" s="960"/>
      <c r="T63" s="960"/>
      <c r="U63" s="960"/>
      <c r="V63" s="960"/>
      <c r="W63" s="960"/>
      <c r="X63" s="960"/>
      <c r="Y63" s="960"/>
      <c r="Z63" s="960"/>
      <c r="AA63" s="960"/>
      <c r="AB63" s="960"/>
    </row>
    <row r="64" spans="1:28" ht="9.6" customHeight="1" x14ac:dyDescent="0.55000000000000004">
      <c r="A64" s="960"/>
      <c r="B64" s="960"/>
      <c r="C64" s="960"/>
      <c r="D64" s="960"/>
      <c r="E64" s="960"/>
      <c r="F64" s="961"/>
      <c r="G64" s="962"/>
      <c r="H64" s="962"/>
      <c r="I64" s="965"/>
      <c r="J64" s="966"/>
      <c r="K64" s="963"/>
      <c r="L64" s="963"/>
      <c r="M64" s="963"/>
      <c r="N64" s="960"/>
      <c r="O64" s="960"/>
      <c r="P64" s="960"/>
      <c r="Q64" s="960"/>
      <c r="R64" s="960"/>
      <c r="S64" s="960"/>
      <c r="T64" s="960"/>
      <c r="U64" s="960"/>
      <c r="V64" s="960"/>
      <c r="W64" s="960"/>
      <c r="X64" s="960"/>
      <c r="Y64" s="960"/>
      <c r="Z64" s="960"/>
      <c r="AA64" s="960"/>
      <c r="AB64" s="960"/>
    </row>
    <row r="65" spans="1:28" ht="9.6" customHeight="1" x14ac:dyDescent="0.55000000000000004">
      <c r="A65" s="960"/>
      <c r="B65" s="960"/>
      <c r="C65" s="960"/>
      <c r="D65" s="960"/>
      <c r="E65" s="960"/>
      <c r="F65" s="961"/>
      <c r="G65" s="962"/>
      <c r="H65" s="962"/>
      <c r="I65" s="965"/>
      <c r="J65" s="966"/>
      <c r="K65" s="963"/>
      <c r="L65" s="963"/>
      <c r="M65" s="963"/>
      <c r="N65" s="960"/>
      <c r="O65" s="960"/>
      <c r="P65" s="960"/>
      <c r="Q65" s="960"/>
      <c r="R65" s="960"/>
      <c r="S65" s="960"/>
      <c r="T65" s="960"/>
      <c r="U65" s="960"/>
      <c r="V65" s="960"/>
      <c r="W65" s="960"/>
      <c r="X65" s="960"/>
      <c r="Y65" s="960"/>
      <c r="Z65" s="960"/>
      <c r="AA65" s="960"/>
      <c r="AB65" s="960"/>
    </row>
    <row r="66" spans="1:28" ht="9.6" customHeight="1" x14ac:dyDescent="0.55000000000000004">
      <c r="A66" s="960"/>
      <c r="B66" s="960"/>
      <c r="C66" s="960"/>
      <c r="D66" s="960"/>
      <c r="E66" s="960"/>
      <c r="F66" s="961"/>
      <c r="G66" s="962"/>
      <c r="H66" s="962"/>
      <c r="I66" s="965"/>
      <c r="J66" s="966"/>
      <c r="K66" s="963"/>
      <c r="L66" s="963"/>
      <c r="M66" s="963"/>
      <c r="N66" s="960"/>
      <c r="O66" s="960"/>
      <c r="P66" s="960"/>
      <c r="Q66" s="960"/>
      <c r="R66" s="960"/>
      <c r="S66" s="960"/>
      <c r="T66" s="960"/>
      <c r="U66" s="960"/>
      <c r="V66" s="960"/>
      <c r="W66" s="960"/>
      <c r="X66" s="960"/>
      <c r="Y66" s="960"/>
      <c r="Z66" s="960"/>
      <c r="AA66" s="960"/>
      <c r="AB66" s="960"/>
    </row>
    <row r="67" spans="1:28" ht="9.6" customHeight="1" x14ac:dyDescent="0.55000000000000004">
      <c r="A67" s="960"/>
      <c r="B67" s="960"/>
      <c r="C67" s="960"/>
      <c r="D67" s="960"/>
      <c r="E67" s="960"/>
      <c r="F67" s="961"/>
      <c r="G67" s="962"/>
      <c r="H67" s="962"/>
      <c r="I67" s="965"/>
      <c r="J67" s="966"/>
      <c r="K67" s="963"/>
      <c r="L67" s="963"/>
      <c r="M67" s="963"/>
      <c r="N67" s="960"/>
      <c r="O67" s="960"/>
      <c r="P67" s="960"/>
      <c r="Q67" s="960"/>
      <c r="R67" s="960"/>
      <c r="S67" s="960"/>
      <c r="T67" s="960"/>
      <c r="U67" s="960"/>
      <c r="V67" s="960"/>
      <c r="W67" s="960"/>
      <c r="X67" s="960"/>
      <c r="Y67" s="960"/>
      <c r="Z67" s="960"/>
      <c r="AA67" s="960"/>
      <c r="AB67" s="960"/>
    </row>
    <row r="68" spans="1:28" ht="9.6" customHeight="1" x14ac:dyDescent="0.55000000000000004">
      <c r="A68" s="960"/>
      <c r="B68" s="960"/>
      <c r="C68" s="960"/>
      <c r="D68" s="960"/>
      <c r="E68" s="960"/>
      <c r="F68" s="961"/>
      <c r="G68" s="962"/>
      <c r="H68" s="962"/>
      <c r="I68" s="965"/>
      <c r="J68" s="966"/>
      <c r="K68" s="963"/>
      <c r="L68" s="963"/>
      <c r="M68" s="963"/>
      <c r="N68" s="960"/>
      <c r="O68" s="960"/>
      <c r="P68" s="960"/>
      <c r="Q68" s="960"/>
      <c r="R68" s="960"/>
      <c r="S68" s="960"/>
      <c r="T68" s="960"/>
      <c r="U68" s="960"/>
      <c r="V68" s="960"/>
      <c r="W68" s="960"/>
      <c r="X68" s="960"/>
      <c r="Y68" s="960"/>
      <c r="Z68" s="960"/>
      <c r="AA68" s="960"/>
      <c r="AB68" s="960"/>
    </row>
    <row r="69" spans="1:28" ht="9.6" customHeight="1" x14ac:dyDescent="0.55000000000000004">
      <c r="A69" s="960"/>
      <c r="B69" s="960"/>
      <c r="C69" s="960"/>
      <c r="D69" s="960"/>
      <c r="E69" s="960"/>
      <c r="F69" s="961"/>
      <c r="G69" s="962"/>
      <c r="H69" s="962"/>
      <c r="I69" s="965"/>
      <c r="J69" s="966"/>
      <c r="K69" s="963"/>
      <c r="L69" s="963"/>
      <c r="M69" s="963"/>
      <c r="N69" s="960"/>
      <c r="O69" s="960"/>
      <c r="P69" s="960"/>
      <c r="Q69" s="960"/>
      <c r="R69" s="960"/>
      <c r="S69" s="960"/>
      <c r="T69" s="960"/>
      <c r="U69" s="960"/>
      <c r="V69" s="960"/>
      <c r="W69" s="960"/>
      <c r="X69" s="960"/>
      <c r="Y69" s="960"/>
      <c r="Z69" s="960"/>
      <c r="AA69" s="960"/>
      <c r="AB69" s="960"/>
    </row>
    <row r="70" spans="1:28" ht="9.6" customHeight="1" x14ac:dyDescent="0.55000000000000004">
      <c r="A70" s="960"/>
      <c r="B70" s="960"/>
      <c r="C70" s="960"/>
      <c r="D70" s="960"/>
      <c r="E70" s="960"/>
      <c r="F70" s="961"/>
      <c r="G70" s="962"/>
      <c r="H70" s="962"/>
      <c r="I70" s="965"/>
      <c r="J70" s="966"/>
      <c r="K70" s="963"/>
      <c r="L70" s="963"/>
      <c r="M70" s="963"/>
      <c r="N70" s="960"/>
      <c r="O70" s="960"/>
      <c r="P70" s="960"/>
      <c r="Q70" s="960"/>
      <c r="R70" s="960"/>
      <c r="S70" s="960"/>
      <c r="T70" s="960"/>
      <c r="U70" s="960"/>
      <c r="V70" s="960"/>
      <c r="W70" s="960"/>
      <c r="X70" s="960"/>
      <c r="Y70" s="960"/>
      <c r="Z70" s="960"/>
      <c r="AA70" s="960"/>
      <c r="AB70" s="960"/>
    </row>
    <row r="71" spans="1:28" ht="9.6" customHeight="1" x14ac:dyDescent="0.55000000000000004">
      <c r="A71" s="960"/>
      <c r="B71" s="960"/>
      <c r="C71" s="960"/>
      <c r="D71" s="960"/>
      <c r="E71" s="960"/>
      <c r="F71" s="961"/>
      <c r="G71" s="962"/>
      <c r="H71" s="962"/>
      <c r="I71" s="965"/>
      <c r="J71" s="966"/>
      <c r="K71" s="963"/>
      <c r="L71" s="963"/>
      <c r="M71" s="963"/>
      <c r="N71" s="960"/>
      <c r="O71" s="960"/>
      <c r="P71" s="960"/>
      <c r="Q71" s="960"/>
      <c r="R71" s="960"/>
      <c r="S71" s="960"/>
      <c r="T71" s="960"/>
      <c r="U71" s="960"/>
      <c r="V71" s="960"/>
      <c r="W71" s="960"/>
      <c r="X71" s="960"/>
      <c r="Y71" s="960"/>
      <c r="Z71" s="960"/>
      <c r="AA71" s="960"/>
      <c r="AB71" s="960"/>
    </row>
    <row r="72" spans="1:28" ht="9.6" customHeight="1" x14ac:dyDescent="0.55000000000000004">
      <c r="A72" s="960"/>
      <c r="B72" s="960"/>
      <c r="C72" s="960"/>
      <c r="D72" s="960"/>
      <c r="E72" s="960"/>
      <c r="F72" s="961"/>
      <c r="G72" s="962"/>
      <c r="H72" s="962"/>
      <c r="I72" s="965"/>
      <c r="J72" s="966"/>
      <c r="K72" s="963"/>
      <c r="L72" s="963"/>
      <c r="M72" s="963"/>
      <c r="N72" s="960"/>
      <c r="O72" s="960"/>
      <c r="P72" s="960"/>
      <c r="Q72" s="960"/>
      <c r="R72" s="960"/>
      <c r="S72" s="960"/>
      <c r="T72" s="960"/>
      <c r="U72" s="960"/>
      <c r="V72" s="960"/>
      <c r="W72" s="960"/>
      <c r="X72" s="960"/>
      <c r="Y72" s="960"/>
      <c r="Z72" s="960"/>
      <c r="AA72" s="960"/>
      <c r="AB72" s="960"/>
    </row>
    <row r="73" spans="1:28" ht="9.6" customHeight="1" x14ac:dyDescent="0.55000000000000004">
      <c r="A73" s="960"/>
      <c r="B73" s="960"/>
      <c r="C73" s="960"/>
      <c r="D73" s="960"/>
      <c r="E73" s="960"/>
      <c r="F73" s="961"/>
      <c r="G73" s="962"/>
      <c r="H73" s="962"/>
      <c r="I73" s="965"/>
      <c r="J73" s="966"/>
      <c r="K73" s="963"/>
      <c r="L73" s="963"/>
      <c r="M73" s="963"/>
      <c r="N73" s="960"/>
      <c r="O73" s="960"/>
      <c r="P73" s="960"/>
      <c r="Q73" s="960"/>
      <c r="R73" s="960"/>
      <c r="S73" s="960"/>
      <c r="T73" s="960"/>
      <c r="U73" s="960"/>
      <c r="V73" s="960"/>
      <c r="W73" s="960"/>
      <c r="X73" s="960"/>
      <c r="Y73" s="960"/>
      <c r="Z73" s="960"/>
      <c r="AA73" s="960"/>
      <c r="AB73" s="960"/>
    </row>
    <row r="74" spans="1:28" ht="9.6" customHeight="1" x14ac:dyDescent="0.55000000000000004">
      <c r="A74" s="960"/>
      <c r="B74" s="960"/>
      <c r="C74" s="960"/>
      <c r="D74" s="960"/>
      <c r="E74" s="960"/>
      <c r="F74" s="961"/>
      <c r="G74" s="962"/>
      <c r="H74" s="962"/>
      <c r="I74" s="965"/>
      <c r="J74" s="966"/>
      <c r="K74" s="963"/>
      <c r="L74" s="963"/>
      <c r="M74" s="963"/>
      <c r="N74" s="960"/>
      <c r="O74" s="960"/>
      <c r="P74" s="960"/>
      <c r="Q74" s="960"/>
      <c r="R74" s="960"/>
      <c r="S74" s="960"/>
      <c r="T74" s="960"/>
      <c r="U74" s="960"/>
      <c r="V74" s="960"/>
      <c r="W74" s="960"/>
      <c r="X74" s="960"/>
      <c r="Y74" s="960"/>
      <c r="Z74" s="960"/>
      <c r="AA74" s="960"/>
      <c r="AB74" s="960"/>
    </row>
    <row r="75" spans="1:28" ht="9.6" customHeight="1" x14ac:dyDescent="0.55000000000000004">
      <c r="A75" s="960"/>
      <c r="B75" s="960"/>
      <c r="C75" s="960"/>
      <c r="D75" s="960"/>
      <c r="E75" s="960"/>
      <c r="F75" s="961"/>
      <c r="G75" s="962"/>
      <c r="H75" s="962"/>
      <c r="I75" s="965"/>
      <c r="J75" s="966"/>
      <c r="K75" s="963"/>
      <c r="L75" s="963"/>
      <c r="M75" s="963"/>
      <c r="N75" s="960"/>
      <c r="O75" s="960"/>
      <c r="P75" s="960"/>
      <c r="Q75" s="960"/>
      <c r="R75" s="960"/>
      <c r="S75" s="960"/>
      <c r="T75" s="960"/>
      <c r="U75" s="960"/>
      <c r="V75" s="960"/>
      <c r="W75" s="960"/>
      <c r="X75" s="960"/>
      <c r="Y75" s="960"/>
      <c r="Z75" s="960"/>
      <c r="AA75" s="960"/>
      <c r="AB75" s="960"/>
    </row>
    <row r="76" spans="1:28" ht="9.6" customHeight="1" x14ac:dyDescent="0.55000000000000004">
      <c r="A76" s="960"/>
      <c r="B76" s="960"/>
      <c r="C76" s="960"/>
      <c r="D76" s="960"/>
      <c r="E76" s="960"/>
      <c r="F76" s="961"/>
      <c r="G76" s="962"/>
      <c r="H76" s="962"/>
      <c r="I76" s="965"/>
      <c r="J76" s="966"/>
      <c r="K76" s="963"/>
      <c r="L76" s="963"/>
      <c r="M76" s="963"/>
      <c r="N76" s="960"/>
      <c r="O76" s="960"/>
      <c r="P76" s="960"/>
      <c r="Q76" s="960"/>
      <c r="R76" s="960"/>
      <c r="S76" s="960"/>
      <c r="T76" s="960"/>
      <c r="U76" s="960"/>
      <c r="V76" s="960"/>
      <c r="W76" s="960"/>
      <c r="X76" s="960"/>
      <c r="Y76" s="960"/>
      <c r="Z76" s="960"/>
      <c r="AA76" s="960"/>
      <c r="AB76" s="960"/>
    </row>
    <row r="77" spans="1:28" ht="9.6" customHeight="1" x14ac:dyDescent="0.55000000000000004">
      <c r="A77" s="960"/>
      <c r="B77" s="960"/>
      <c r="C77" s="960"/>
      <c r="D77" s="960"/>
      <c r="E77" s="960"/>
      <c r="F77" s="961"/>
      <c r="G77" s="962"/>
      <c r="H77" s="962"/>
      <c r="I77" s="965"/>
      <c r="J77" s="966"/>
      <c r="K77" s="963"/>
      <c r="L77" s="963"/>
      <c r="M77" s="963"/>
      <c r="N77" s="960"/>
      <c r="O77" s="960"/>
      <c r="P77" s="960"/>
      <c r="Q77" s="960"/>
      <c r="R77" s="960"/>
      <c r="S77" s="960"/>
      <c r="T77" s="960"/>
      <c r="U77" s="960"/>
      <c r="V77" s="960"/>
      <c r="W77" s="960"/>
      <c r="X77" s="960"/>
      <c r="Y77" s="960"/>
      <c r="Z77" s="960"/>
      <c r="AA77" s="960"/>
      <c r="AB77" s="960"/>
    </row>
    <row r="78" spans="1:28" ht="9.6" customHeight="1" x14ac:dyDescent="0.55000000000000004">
      <c r="A78" s="960"/>
      <c r="B78" s="960"/>
      <c r="C78" s="960"/>
      <c r="D78" s="960"/>
      <c r="E78" s="960"/>
      <c r="F78" s="961"/>
      <c r="G78" s="962"/>
      <c r="H78" s="962"/>
      <c r="I78" s="965"/>
      <c r="J78" s="966"/>
      <c r="K78" s="963"/>
      <c r="L78" s="963"/>
      <c r="M78" s="963"/>
      <c r="N78" s="960"/>
      <c r="O78" s="960"/>
      <c r="P78" s="960"/>
      <c r="Q78" s="960"/>
      <c r="R78" s="960"/>
      <c r="S78" s="960"/>
      <c r="T78" s="960"/>
      <c r="U78" s="960"/>
      <c r="V78" s="960"/>
      <c r="W78" s="960"/>
      <c r="X78" s="960"/>
      <c r="Y78" s="960"/>
      <c r="Z78" s="960"/>
      <c r="AA78" s="960"/>
      <c r="AB78" s="960"/>
    </row>
    <row r="79" spans="1:28" ht="9.6" customHeight="1" x14ac:dyDescent="0.55000000000000004">
      <c r="A79" s="960"/>
      <c r="B79" s="960"/>
      <c r="C79" s="960"/>
      <c r="D79" s="960"/>
      <c r="E79" s="960"/>
      <c r="F79" s="961"/>
      <c r="G79" s="962"/>
      <c r="H79" s="962"/>
      <c r="I79" s="965"/>
      <c r="J79" s="966"/>
      <c r="K79" s="963"/>
      <c r="L79" s="963"/>
      <c r="M79" s="963"/>
      <c r="N79" s="960"/>
      <c r="O79" s="960"/>
      <c r="P79" s="960"/>
      <c r="Q79" s="960"/>
      <c r="R79" s="960"/>
      <c r="S79" s="960"/>
      <c r="T79" s="960"/>
      <c r="U79" s="960"/>
      <c r="V79" s="960"/>
      <c r="W79" s="960"/>
      <c r="X79" s="960"/>
      <c r="Y79" s="960"/>
      <c r="Z79" s="960"/>
      <c r="AA79" s="960"/>
      <c r="AB79" s="960"/>
    </row>
    <row r="80" spans="1:28" ht="9.6" customHeight="1" x14ac:dyDescent="0.55000000000000004">
      <c r="A80" s="960"/>
      <c r="B80" s="960"/>
      <c r="C80" s="960"/>
      <c r="D80" s="960"/>
      <c r="E80" s="960"/>
      <c r="F80" s="961"/>
      <c r="G80" s="962"/>
      <c r="H80" s="962"/>
      <c r="I80" s="965"/>
      <c r="J80" s="966"/>
      <c r="K80" s="963"/>
      <c r="L80" s="963"/>
      <c r="M80" s="963"/>
      <c r="N80" s="960"/>
      <c r="O80" s="960"/>
      <c r="P80" s="960"/>
      <c r="Q80" s="960"/>
      <c r="R80" s="960"/>
      <c r="S80" s="960"/>
      <c r="T80" s="960"/>
      <c r="U80" s="960"/>
      <c r="V80" s="960"/>
      <c r="W80" s="960"/>
      <c r="X80" s="960"/>
      <c r="Y80" s="960"/>
      <c r="Z80" s="960"/>
      <c r="AA80" s="960"/>
      <c r="AB80" s="960"/>
    </row>
  </sheetData>
  <mergeCells count="3">
    <mergeCell ref="C3:L3"/>
    <mergeCell ref="P3:Y3"/>
    <mergeCell ref="AC3:AL3"/>
  </mergeCells>
  <conditionalFormatting sqref="I25:K25">
    <cfRule type="cellIs" dxfId="45" priority="12" stopIfTrue="1" operator="greaterThan">
      <formula>0</formula>
    </cfRule>
    <cfRule type="cellIs" dxfId="44" priority="13" stopIfTrue="1" operator="equal">
      <formula>0</formula>
    </cfRule>
    <cfRule type="cellIs" dxfId="43" priority="28" stopIfTrue="1" operator="equal">
      <formula>0</formula>
    </cfRule>
    <cfRule type="cellIs" dxfId="42" priority="29" stopIfTrue="1" operator="equal">
      <formula>" -   "</formula>
    </cfRule>
  </conditionalFormatting>
  <conditionalFormatting sqref="I25:K25">
    <cfRule type="cellIs" dxfId="41" priority="11" stopIfTrue="1" operator="lessThan">
      <formula>0</formula>
    </cfRule>
  </conditionalFormatting>
  <conditionalFormatting sqref="V25:X25">
    <cfRule type="cellIs" dxfId="40" priority="7" stopIfTrue="1" operator="greaterThan">
      <formula>0</formula>
    </cfRule>
    <cfRule type="cellIs" dxfId="39" priority="8" stopIfTrue="1" operator="equal">
      <formula>0</formula>
    </cfRule>
    <cfRule type="cellIs" dxfId="38" priority="9" stopIfTrue="1" operator="equal">
      <formula>0</formula>
    </cfRule>
    <cfRule type="cellIs" dxfId="37" priority="10" stopIfTrue="1" operator="equal">
      <formula>" -   "</formula>
    </cfRule>
  </conditionalFormatting>
  <conditionalFormatting sqref="V25:X25">
    <cfRule type="cellIs" dxfId="36" priority="6" stopIfTrue="1" operator="lessThan">
      <formula>0</formula>
    </cfRule>
  </conditionalFormatting>
  <conditionalFormatting sqref="AI25:AK25">
    <cfRule type="cellIs" dxfId="35" priority="2" stopIfTrue="1" operator="greaterThan">
      <formula>0</formula>
    </cfRule>
    <cfRule type="cellIs" dxfId="34" priority="3" stopIfTrue="1" operator="equal">
      <formula>0</formula>
    </cfRule>
    <cfRule type="cellIs" dxfId="33" priority="4" stopIfTrue="1" operator="equal">
      <formula>0</formula>
    </cfRule>
    <cfRule type="cellIs" dxfId="32" priority="5" stopIfTrue="1" operator="equal">
      <formula>" -   "</formula>
    </cfRule>
  </conditionalFormatting>
  <conditionalFormatting sqref="AI25:AK25">
    <cfRule type="cellIs" dxfId="31" priority="1" stopIfTrue="1" operator="lessThan">
      <formula>0</formula>
    </cfRule>
  </conditionalFormatting>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52E75BC-0329-4BE8-8A99-0702D305F974}">
  <sheetPr codeName="Sheet39">
    <tabColor theme="2" tint="-0.249977111117893"/>
  </sheetPr>
  <dimension ref="B1:AG1243"/>
  <sheetViews>
    <sheetView topLeftCell="M917" zoomScale="172" zoomScaleNormal="172" workbookViewId="0">
      <selection activeCell="U926" sqref="U926"/>
    </sheetView>
  </sheetViews>
  <sheetFormatPr defaultColWidth="8.7890625" defaultRowHeight="13.2" customHeight="1" x14ac:dyDescent="0.55000000000000004"/>
  <cols>
    <col min="1" max="1" width="1" style="958" customWidth="1"/>
    <col min="2" max="2" width="3.20703125" style="958" customWidth="1"/>
    <col min="3" max="3" width="11.5234375" style="1016" customWidth="1"/>
    <col min="4" max="4" width="24.20703125" style="958" customWidth="1"/>
    <col min="5" max="5" width="42.20703125" style="958" customWidth="1"/>
    <col min="6" max="6" width="12.7890625" style="958" customWidth="1"/>
    <col min="7" max="7" width="10.7890625" style="958" customWidth="1"/>
    <col min="8" max="8" width="12.20703125" style="958" customWidth="1"/>
    <col min="9" max="9" width="6.7890625" style="977" customWidth="1"/>
    <col min="10" max="10" width="3.20703125" style="977" customWidth="1"/>
    <col min="11" max="11" width="7.7890625" style="958" customWidth="1"/>
    <col min="12" max="12" width="25.7890625" style="958" customWidth="1"/>
    <col min="13" max="20" width="6" style="958" customWidth="1"/>
    <col min="21" max="21" width="13.5234375" style="958" customWidth="1"/>
    <col min="22" max="22" width="13.41796875" style="958" customWidth="1"/>
    <col min="23" max="23" width="12.20703125" style="958" customWidth="1"/>
    <col min="24" max="24" width="3.41796875" style="958" customWidth="1"/>
    <col min="25" max="30" width="3.20703125" style="958" customWidth="1"/>
    <col min="31" max="35" width="0" style="958" hidden="1" customWidth="1"/>
    <col min="36" max="16384" width="8.7890625" style="958"/>
  </cols>
  <sheetData>
    <row r="1" spans="2:33" ht="13.2" customHeight="1" x14ac:dyDescent="0.55000000000000004">
      <c r="C1" s="1006" t="s">
        <v>845</v>
      </c>
      <c r="D1" s="969" t="s">
        <v>846</v>
      </c>
      <c r="E1" s="969"/>
      <c r="F1" s="969"/>
      <c r="G1" s="969"/>
      <c r="H1" s="969"/>
      <c r="I1" s="970"/>
      <c r="J1" s="970"/>
      <c r="K1" s="969"/>
      <c r="L1" s="969"/>
      <c r="M1" s="971"/>
      <c r="N1" s="972"/>
      <c r="O1" s="972"/>
      <c r="P1" s="972"/>
      <c r="Q1" s="972"/>
      <c r="R1" s="972"/>
      <c r="S1" s="972"/>
      <c r="T1" s="972"/>
      <c r="U1" s="972"/>
      <c r="V1" s="971"/>
      <c r="W1" s="971"/>
      <c r="X1" s="969"/>
      <c r="Y1" s="969"/>
      <c r="Z1" s="969"/>
      <c r="AA1" s="969"/>
      <c r="AB1" s="969"/>
      <c r="AC1" s="969"/>
      <c r="AD1" s="969"/>
      <c r="AE1" s="969"/>
      <c r="AF1" s="969"/>
      <c r="AG1" s="969"/>
    </row>
    <row r="2" spans="2:33" s="973" customFormat="1" ht="11.55" customHeight="1" x14ac:dyDescent="0.3">
      <c r="B2" s="371"/>
      <c r="C2" s="1007">
        <v>1</v>
      </c>
      <c r="D2" s="500">
        <v>2</v>
      </c>
      <c r="E2" s="500">
        <v>3</v>
      </c>
      <c r="F2" s="500">
        <v>4</v>
      </c>
      <c r="G2" s="500">
        <v>5</v>
      </c>
      <c r="H2" s="500">
        <v>6</v>
      </c>
      <c r="I2" s="500">
        <v>7</v>
      </c>
      <c r="J2" s="500">
        <v>8</v>
      </c>
      <c r="K2" s="500">
        <v>9</v>
      </c>
      <c r="L2" s="500">
        <v>10</v>
      </c>
      <c r="M2" s="500">
        <v>11</v>
      </c>
      <c r="N2" s="500">
        <v>12</v>
      </c>
      <c r="O2" s="500">
        <v>13</v>
      </c>
      <c r="P2" s="500">
        <v>14</v>
      </c>
      <c r="Q2" s="500">
        <v>15</v>
      </c>
      <c r="R2" s="500">
        <v>16</v>
      </c>
      <c r="S2" s="500">
        <v>17</v>
      </c>
      <c r="T2" s="500">
        <v>18</v>
      </c>
      <c r="U2" s="526">
        <v>19</v>
      </c>
      <c r="V2" s="500">
        <v>20</v>
      </c>
      <c r="W2" s="500">
        <v>21</v>
      </c>
      <c r="X2" s="499"/>
      <c r="Y2" s="974"/>
      <c r="Z2" s="974"/>
      <c r="AA2" s="974"/>
      <c r="AB2" s="974"/>
      <c r="AC2" s="974"/>
      <c r="AD2" s="974"/>
      <c r="AE2" s="974"/>
      <c r="AF2" s="974"/>
      <c r="AG2" s="974"/>
    </row>
    <row r="3" spans="2:33" ht="19.2" customHeight="1" x14ac:dyDescent="0.55000000000000004">
      <c r="B3" s="371"/>
      <c r="C3" s="1748" t="s">
        <v>643</v>
      </c>
      <c r="D3" s="1749"/>
      <c r="E3" s="1749"/>
      <c r="F3" s="1749"/>
      <c r="G3" s="1749"/>
      <c r="H3" s="1750"/>
      <c r="I3" s="492"/>
      <c r="J3" s="493"/>
      <c r="K3" s="371"/>
      <c r="L3" s="1757" t="s">
        <v>844</v>
      </c>
      <c r="M3" s="1758"/>
      <c r="N3" s="1758"/>
      <c r="O3" s="1758"/>
      <c r="P3" s="1758"/>
      <c r="Q3" s="1758"/>
      <c r="R3" s="1758"/>
      <c r="S3" s="1758"/>
      <c r="T3" s="1758"/>
      <c r="U3" s="1758"/>
      <c r="V3" s="1758"/>
      <c r="W3" s="1759"/>
      <c r="X3" s="490"/>
      <c r="Y3" s="969"/>
      <c r="Z3" s="969"/>
      <c r="AA3" s="969"/>
      <c r="AB3" s="969"/>
      <c r="AC3" s="969"/>
      <c r="AD3" s="969"/>
      <c r="AE3" s="969"/>
      <c r="AF3" s="969"/>
      <c r="AG3" s="969"/>
    </row>
    <row r="4" spans="2:33" ht="4.2" customHeight="1" x14ac:dyDescent="0.55000000000000004">
      <c r="B4" s="371"/>
      <c r="C4" s="1751"/>
      <c r="D4" s="1752"/>
      <c r="E4" s="1752"/>
      <c r="F4" s="1752"/>
      <c r="G4" s="1752"/>
      <c r="H4" s="1753"/>
      <c r="I4" s="492"/>
      <c r="J4" s="493"/>
      <c r="K4" s="371"/>
      <c r="L4" s="1760" t="s">
        <v>849</v>
      </c>
      <c r="M4" s="1761"/>
      <c r="N4" s="1761"/>
      <c r="O4" s="1761"/>
      <c r="P4" s="1761"/>
      <c r="Q4" s="1761"/>
      <c r="R4" s="1761"/>
      <c r="S4" s="1761"/>
      <c r="T4" s="1761"/>
      <c r="U4" s="1761"/>
      <c r="V4" s="1761"/>
      <c r="W4" s="1762"/>
      <c r="X4" s="490"/>
      <c r="Y4" s="969"/>
      <c r="Z4" s="969"/>
      <c r="AA4" s="969"/>
      <c r="AB4" s="969"/>
      <c r="AC4" s="969"/>
      <c r="AD4" s="969"/>
      <c r="AE4" s="969" t="e">
        <f>F4&amp;#REF!</f>
        <v>#REF!</v>
      </c>
      <c r="AF4" s="969"/>
      <c r="AG4" s="969"/>
    </row>
    <row r="5" spans="2:33" ht="13.2" customHeight="1" x14ac:dyDescent="0.55000000000000004">
      <c r="B5" s="371"/>
      <c r="C5" s="1754"/>
      <c r="D5" s="1755"/>
      <c r="E5" s="1755"/>
      <c r="F5" s="1755"/>
      <c r="G5" s="1755"/>
      <c r="H5" s="1756"/>
      <c r="I5" s="492"/>
      <c r="J5" s="493"/>
      <c r="K5" s="371"/>
      <c r="L5" s="1763"/>
      <c r="M5" s="1764"/>
      <c r="N5" s="1764"/>
      <c r="O5" s="1764"/>
      <c r="P5" s="1764"/>
      <c r="Q5" s="1764"/>
      <c r="R5" s="1764"/>
      <c r="S5" s="1764"/>
      <c r="T5" s="1764"/>
      <c r="U5" s="1764"/>
      <c r="V5" s="1764"/>
      <c r="W5" s="1765"/>
      <c r="X5" s="490"/>
      <c r="Y5" s="969"/>
      <c r="Z5" s="969"/>
      <c r="AA5" s="969"/>
      <c r="AB5" s="969"/>
      <c r="AC5" s="969"/>
      <c r="AD5" s="969"/>
      <c r="AE5" s="969"/>
      <c r="AF5" s="969"/>
      <c r="AG5" s="969"/>
    </row>
    <row r="6" spans="2:33" ht="16.2" customHeight="1" x14ac:dyDescent="0.55000000000000004">
      <c r="B6" s="371"/>
      <c r="C6" s="1770" t="s">
        <v>847</v>
      </c>
      <c r="D6" s="1766" t="s">
        <v>848</v>
      </c>
      <c r="E6" s="1766" t="s">
        <v>644</v>
      </c>
      <c r="F6" s="1766" t="s">
        <v>626</v>
      </c>
      <c r="G6" s="1766" t="s">
        <v>645</v>
      </c>
      <c r="H6" s="1768" t="s">
        <v>646</v>
      </c>
      <c r="I6" s="494" t="s">
        <v>649</v>
      </c>
      <c r="J6" s="495" t="s">
        <v>650</v>
      </c>
      <c r="K6" s="490"/>
      <c r="L6" s="462" t="s">
        <v>651</v>
      </c>
      <c r="M6" s="362" t="s">
        <v>652</v>
      </c>
      <c r="N6" s="462"/>
      <c r="O6" s="462"/>
      <c r="P6" s="462"/>
      <c r="Q6" s="462"/>
      <c r="R6" s="462"/>
      <c r="S6" s="462"/>
      <c r="T6" s="462"/>
      <c r="U6" s="527"/>
      <c r="V6" s="484"/>
      <c r="W6" s="485"/>
      <c r="X6" s="490"/>
      <c r="Y6" s="969"/>
      <c r="Z6" s="969"/>
      <c r="AA6" s="969"/>
      <c r="AB6" s="969"/>
      <c r="AC6" s="969"/>
      <c r="AD6" s="969"/>
      <c r="AE6" s="969" t="str">
        <f t="shared" ref="AE6:AE70" si="0">F6&amp;L6</f>
        <v>MunicipalityDescription</v>
      </c>
      <c r="AF6" s="969"/>
      <c r="AG6" s="969"/>
    </row>
    <row r="7" spans="2:33" ht="22.2" customHeight="1" thickBot="1" x14ac:dyDescent="0.6">
      <c r="B7" s="371"/>
      <c r="C7" s="1771"/>
      <c r="D7" s="1767"/>
      <c r="E7" s="1767"/>
      <c r="F7" s="1767"/>
      <c r="G7" s="1767"/>
      <c r="H7" s="1769" t="s">
        <v>647</v>
      </c>
      <c r="I7" s="496" t="s">
        <v>649</v>
      </c>
      <c r="J7" s="497" t="s">
        <v>658</v>
      </c>
      <c r="K7" s="490"/>
      <c r="L7" s="365" t="s">
        <v>659</v>
      </c>
      <c r="M7" s="364" t="s">
        <v>660</v>
      </c>
      <c r="N7" s="365"/>
      <c r="O7" s="365"/>
      <c r="P7" s="365"/>
      <c r="Q7" s="365"/>
      <c r="R7" s="365"/>
      <c r="S7" s="365"/>
      <c r="T7" s="365"/>
      <c r="U7" s="1313" t="s">
        <v>1694</v>
      </c>
      <c r="V7" s="1313" t="s">
        <v>1696</v>
      </c>
      <c r="W7" s="1314" t="s">
        <v>1698</v>
      </c>
      <c r="X7" s="490"/>
      <c r="Y7" s="969"/>
      <c r="Z7" s="969"/>
      <c r="AA7" s="969"/>
      <c r="AB7" s="969"/>
      <c r="AC7" s="969"/>
      <c r="AD7" s="969"/>
      <c r="AE7" s="969" t="str">
        <f t="shared" si="0"/>
        <v>R thousands</v>
      </c>
      <c r="AF7" s="969"/>
      <c r="AG7" s="969"/>
    </row>
    <row r="8" spans="2:33" ht="13.2" customHeight="1" x14ac:dyDescent="0.55000000000000004">
      <c r="B8" s="371"/>
      <c r="C8" s="1008" t="s">
        <v>667</v>
      </c>
      <c r="D8" s="360" t="str">
        <f>H8&amp;C8</f>
        <v>Executive and Council0100</v>
      </c>
      <c r="E8" s="360" t="str">
        <f t="shared" ref="E8:E70" si="1">F8&amp;H8&amp;I8</f>
        <v>TheewaterskloofExecutive and CouncilR</v>
      </c>
      <c r="F8" s="360" t="str">
        <f>'PART C- Municipal Details'!$G$7</f>
        <v>Theewaterskloof</v>
      </c>
      <c r="G8" s="360" t="s">
        <v>101</v>
      </c>
      <c r="H8" s="366" t="s">
        <v>648</v>
      </c>
      <c r="I8" s="496" t="s">
        <v>649</v>
      </c>
      <c r="J8" s="497" t="s">
        <v>0</v>
      </c>
      <c r="K8" s="490"/>
      <c r="L8" s="505" t="s">
        <v>162</v>
      </c>
      <c r="M8" s="506"/>
      <c r="N8" s="507"/>
      <c r="O8" s="507"/>
      <c r="P8" s="507"/>
      <c r="Q8" s="507"/>
      <c r="R8" s="507"/>
      <c r="S8" s="507"/>
      <c r="T8" s="507"/>
      <c r="U8" s="529">
        <v>0</v>
      </c>
      <c r="V8" s="529"/>
      <c r="W8" s="529">
        <v>0</v>
      </c>
      <c r="X8" s="490"/>
      <c r="Y8" s="969"/>
      <c r="Z8" s="969"/>
      <c r="AA8" s="969"/>
      <c r="AB8" s="969"/>
      <c r="AC8" s="969"/>
      <c r="AD8" s="969"/>
      <c r="AE8" s="969" t="str">
        <f t="shared" si="0"/>
        <v>TheewaterskloofRevenue</v>
      </c>
      <c r="AF8" s="969"/>
      <c r="AG8" s="969"/>
    </row>
    <row r="9" spans="2:33" ht="13.2" customHeight="1" x14ac:dyDescent="0.55000000000000004">
      <c r="B9" s="371"/>
      <c r="C9" s="1009" t="s">
        <v>668</v>
      </c>
      <c r="D9" s="361" t="str">
        <f t="shared" ref="D9:D73" si="2">H9&amp;C9</f>
        <v>Executive and Council0200</v>
      </c>
      <c r="E9" s="361" t="str">
        <f t="shared" si="1"/>
        <v>TheewaterskloofExecutive and Council</v>
      </c>
      <c r="F9" s="360" t="str">
        <f>'PART C- Municipal Details'!$G$7</f>
        <v>Theewaterskloof</v>
      </c>
      <c r="G9" s="361" t="s">
        <v>101</v>
      </c>
      <c r="H9" s="363" t="s">
        <v>648</v>
      </c>
      <c r="I9" s="496"/>
      <c r="J9" s="497" t="s">
        <v>669</v>
      </c>
      <c r="K9" s="490"/>
      <c r="L9" s="463" t="s">
        <v>670</v>
      </c>
      <c r="M9" s="459"/>
      <c r="N9" s="460"/>
      <c r="O9" s="460"/>
      <c r="P9" s="460"/>
      <c r="Q9" s="460"/>
      <c r="R9" s="460"/>
      <c r="S9" s="460"/>
      <c r="T9" s="460"/>
      <c r="U9" s="530">
        <v>0</v>
      </c>
      <c r="V9" s="530">
        <v>0</v>
      </c>
      <c r="W9" s="530">
        <v>0</v>
      </c>
      <c r="X9" s="490"/>
      <c r="Y9" s="969"/>
      <c r="Z9" s="969"/>
      <c r="AA9" s="969"/>
      <c r="AB9" s="969"/>
      <c r="AC9" s="969"/>
      <c r="AD9" s="969"/>
      <c r="AE9" s="969" t="str">
        <f t="shared" si="0"/>
        <v>TheewaterskloofExchange Revenue</v>
      </c>
      <c r="AF9" s="969"/>
      <c r="AG9" s="969"/>
    </row>
    <row r="10" spans="2:33" ht="13.2" customHeight="1" x14ac:dyDescent="0.55000000000000004">
      <c r="B10" s="371"/>
      <c r="C10" s="1010" t="s">
        <v>671</v>
      </c>
      <c r="D10" s="360" t="str">
        <f t="shared" si="2"/>
        <v>Executive and Council0300</v>
      </c>
      <c r="E10" s="360" t="str">
        <f t="shared" si="1"/>
        <v>TheewaterskloofExecutive and CouncilService charges - electricity revenue</v>
      </c>
      <c r="F10" s="360" t="str">
        <f>'PART C- Municipal Details'!$G$7</f>
        <v>Theewaterskloof</v>
      </c>
      <c r="G10" s="360" t="s">
        <v>101</v>
      </c>
      <c r="H10" s="366" t="s">
        <v>648</v>
      </c>
      <c r="I10" s="496" t="s">
        <v>669</v>
      </c>
      <c r="J10" s="497" t="s">
        <v>672</v>
      </c>
      <c r="K10" s="490"/>
      <c r="L10" s="463" t="s">
        <v>673</v>
      </c>
      <c r="M10" s="459"/>
      <c r="N10" s="461"/>
      <c r="O10" s="461"/>
      <c r="P10" s="461"/>
      <c r="Q10" s="461"/>
      <c r="R10" s="461"/>
      <c r="S10" s="461"/>
      <c r="T10" s="461"/>
      <c r="U10" s="530">
        <v>0</v>
      </c>
      <c r="V10" s="530">
        <v>0</v>
      </c>
      <c r="W10" s="530">
        <v>0</v>
      </c>
      <c r="X10" s="490"/>
      <c r="Y10" s="969"/>
      <c r="Z10" s="969"/>
      <c r="AA10" s="969"/>
      <c r="AB10" s="969"/>
      <c r="AC10" s="969"/>
      <c r="AD10" s="969"/>
      <c r="AE10" s="969" t="str">
        <f t="shared" si="0"/>
        <v>TheewaterskloofService charges - Electricity</v>
      </c>
      <c r="AF10" s="969"/>
      <c r="AG10" s="969"/>
    </row>
    <row r="11" spans="2:33" ht="13.2" customHeight="1" x14ac:dyDescent="0.55000000000000004">
      <c r="B11" s="371"/>
      <c r="C11" s="1010" t="s">
        <v>674</v>
      </c>
      <c r="D11" s="361" t="str">
        <f t="shared" si="2"/>
        <v>Executive and Council0400</v>
      </c>
      <c r="E11" s="361" t="str">
        <f t="shared" si="1"/>
        <v>TheewaterskloofExecutive and CouncilService charges - water revenue</v>
      </c>
      <c r="F11" s="360" t="str">
        <f>'PART C- Municipal Details'!$G$7</f>
        <v>Theewaterskloof</v>
      </c>
      <c r="G11" s="361" t="s">
        <v>101</v>
      </c>
      <c r="H11" s="363" t="s">
        <v>648</v>
      </c>
      <c r="I11" s="496" t="s">
        <v>672</v>
      </c>
      <c r="J11" s="497" t="s">
        <v>675</v>
      </c>
      <c r="K11" s="490"/>
      <c r="L11" s="463" t="s">
        <v>676</v>
      </c>
      <c r="M11" s="459"/>
      <c r="N11" s="461"/>
      <c r="O11" s="461"/>
      <c r="P11" s="461"/>
      <c r="Q11" s="461"/>
      <c r="R11" s="461"/>
      <c r="S11" s="461"/>
      <c r="T11" s="461"/>
      <c r="U11" s="530">
        <v>0</v>
      </c>
      <c r="V11" s="530">
        <v>0</v>
      </c>
      <c r="W11" s="530">
        <v>0</v>
      </c>
      <c r="X11" s="490"/>
      <c r="Y11" s="969"/>
      <c r="Z11" s="969"/>
      <c r="AA11" s="969"/>
      <c r="AB11" s="969"/>
      <c r="AC11" s="969"/>
      <c r="AD11" s="969"/>
      <c r="AE11" s="969" t="str">
        <f t="shared" si="0"/>
        <v>TheewaterskloofService charges - Water</v>
      </c>
      <c r="AF11" s="969"/>
      <c r="AG11" s="969"/>
    </row>
    <row r="12" spans="2:33" ht="13.2" customHeight="1" x14ac:dyDescent="0.55000000000000004">
      <c r="B12" s="371"/>
      <c r="C12" s="1010" t="s">
        <v>677</v>
      </c>
      <c r="D12" s="360" t="str">
        <f t="shared" si="2"/>
        <v>Executive and Council0500</v>
      </c>
      <c r="E12" s="360" t="str">
        <f t="shared" si="1"/>
        <v>TheewaterskloofExecutive and CouncilService charges - sanitation revenue</v>
      </c>
      <c r="F12" s="360" t="str">
        <f>'PART C- Municipal Details'!$G$7</f>
        <v>Theewaterskloof</v>
      </c>
      <c r="G12" s="360" t="s">
        <v>101</v>
      </c>
      <c r="H12" s="366" t="s">
        <v>648</v>
      </c>
      <c r="I12" s="496" t="s">
        <v>675</v>
      </c>
      <c r="J12" s="497" t="s">
        <v>678</v>
      </c>
      <c r="K12" s="490"/>
      <c r="L12" s="463" t="s">
        <v>679</v>
      </c>
      <c r="M12" s="459"/>
      <c r="N12" s="461"/>
      <c r="O12" s="461"/>
      <c r="P12" s="461"/>
      <c r="Q12" s="461"/>
      <c r="R12" s="461"/>
      <c r="S12" s="461"/>
      <c r="T12" s="461"/>
      <c r="U12" s="530">
        <v>0</v>
      </c>
      <c r="V12" s="530">
        <v>0</v>
      </c>
      <c r="W12" s="530">
        <v>0</v>
      </c>
      <c r="X12" s="490"/>
      <c r="Y12" s="969"/>
      <c r="Z12" s="969"/>
      <c r="AA12" s="969"/>
      <c r="AB12" s="969"/>
      <c r="AC12" s="969"/>
      <c r="AD12" s="969"/>
      <c r="AE12" s="969" t="str">
        <f t="shared" si="0"/>
        <v>TheewaterskloofService charges - Waste Water Management</v>
      </c>
      <c r="AF12" s="969"/>
      <c r="AG12" s="969"/>
    </row>
    <row r="13" spans="2:33" ht="13.2" customHeight="1" x14ac:dyDescent="0.55000000000000004">
      <c r="B13" s="371"/>
      <c r="C13" s="1010" t="s">
        <v>680</v>
      </c>
      <c r="D13" s="361" t="str">
        <f t="shared" si="2"/>
        <v>Executive and Council0600</v>
      </c>
      <c r="E13" s="361" t="str">
        <f t="shared" si="1"/>
        <v>TheewaterskloofExecutive and CouncilService charges - refuse revenue</v>
      </c>
      <c r="F13" s="360" t="str">
        <f>'PART C- Municipal Details'!$G$7</f>
        <v>Theewaterskloof</v>
      </c>
      <c r="G13" s="361" t="s">
        <v>101</v>
      </c>
      <c r="H13" s="363" t="s">
        <v>648</v>
      </c>
      <c r="I13" s="496" t="s">
        <v>678</v>
      </c>
      <c r="J13" s="497" t="s">
        <v>681</v>
      </c>
      <c r="K13" s="490"/>
      <c r="L13" s="463" t="s">
        <v>682</v>
      </c>
      <c r="M13" s="459"/>
      <c r="N13" s="461"/>
      <c r="O13" s="461"/>
      <c r="P13" s="461"/>
      <c r="Q13" s="461"/>
      <c r="R13" s="461"/>
      <c r="S13" s="461"/>
      <c r="T13" s="461"/>
      <c r="U13" s="530">
        <v>0</v>
      </c>
      <c r="V13" s="530">
        <v>0</v>
      </c>
      <c r="W13" s="530">
        <v>0</v>
      </c>
      <c r="X13" s="490"/>
      <c r="Y13" s="969"/>
      <c r="Z13" s="969"/>
      <c r="AA13" s="969"/>
      <c r="AB13" s="969"/>
      <c r="AC13" s="969"/>
      <c r="AD13" s="969"/>
      <c r="AE13" s="969" t="str">
        <f t="shared" si="0"/>
        <v>TheewaterskloofService charges - Waste Management</v>
      </c>
      <c r="AF13" s="969"/>
      <c r="AG13" s="969"/>
    </row>
    <row r="14" spans="2:33" ht="13.2" customHeight="1" x14ac:dyDescent="0.55000000000000004">
      <c r="B14" s="371"/>
      <c r="C14" s="1010" t="s">
        <v>683</v>
      </c>
      <c r="D14" s="360" t="str">
        <f t="shared" si="2"/>
        <v>Executive and Council0700</v>
      </c>
      <c r="E14" s="360" t="str">
        <f t="shared" si="1"/>
        <v>TheewaterskloofExecutive and CouncilOther revenue</v>
      </c>
      <c r="F14" s="360" t="str">
        <f>'PART C- Municipal Details'!$G$7</f>
        <v>Theewaterskloof</v>
      </c>
      <c r="G14" s="360" t="s">
        <v>101</v>
      </c>
      <c r="H14" s="366" t="s">
        <v>648</v>
      </c>
      <c r="I14" s="496" t="s">
        <v>7</v>
      </c>
      <c r="J14" s="497" t="s">
        <v>1</v>
      </c>
      <c r="K14" s="490"/>
      <c r="L14" s="463" t="s">
        <v>684</v>
      </c>
      <c r="M14" s="459"/>
      <c r="N14" s="461"/>
      <c r="O14" s="461"/>
      <c r="P14" s="461"/>
      <c r="Q14" s="461"/>
      <c r="R14" s="461"/>
      <c r="S14" s="461"/>
      <c r="T14" s="461"/>
      <c r="U14" s="530">
        <v>0</v>
      </c>
      <c r="V14" s="530">
        <v>0</v>
      </c>
      <c r="W14" s="530">
        <v>0</v>
      </c>
      <c r="X14" s="490"/>
      <c r="Y14" s="969"/>
      <c r="Z14" s="969"/>
      <c r="AA14" s="969"/>
      <c r="AB14" s="969"/>
      <c r="AC14" s="969"/>
      <c r="AD14" s="969"/>
      <c r="AE14" s="969" t="str">
        <f t="shared" si="0"/>
        <v>TheewaterskloofSale of Goods and Rendering of Services</v>
      </c>
      <c r="AF14" s="969"/>
      <c r="AG14" s="969"/>
    </row>
    <row r="15" spans="2:33" ht="13.2" customHeight="1" x14ac:dyDescent="0.55000000000000004">
      <c r="B15" s="371"/>
      <c r="C15" s="1010" t="s">
        <v>685</v>
      </c>
      <c r="D15" s="361" t="str">
        <f t="shared" si="2"/>
        <v>Executive and Council0800</v>
      </c>
      <c r="E15" s="361" t="str">
        <f t="shared" si="1"/>
        <v>TheewaterskloofExecutive and CouncilAgency services</v>
      </c>
      <c r="F15" s="360" t="str">
        <f>'PART C- Municipal Details'!$G$7</f>
        <v>Theewaterskloof</v>
      </c>
      <c r="G15" s="361" t="s">
        <v>101</v>
      </c>
      <c r="H15" s="363" t="s">
        <v>648</v>
      </c>
      <c r="I15" s="496" t="s">
        <v>6</v>
      </c>
      <c r="J15" s="497" t="s">
        <v>2</v>
      </c>
      <c r="K15" s="490"/>
      <c r="L15" s="463" t="s">
        <v>6</v>
      </c>
      <c r="M15" s="459"/>
      <c r="N15" s="461"/>
      <c r="O15" s="461"/>
      <c r="P15" s="461"/>
      <c r="Q15" s="461"/>
      <c r="R15" s="461"/>
      <c r="S15" s="461"/>
      <c r="T15" s="461"/>
      <c r="U15" s="530">
        <v>0</v>
      </c>
      <c r="V15" s="530">
        <v>0</v>
      </c>
      <c r="W15" s="530">
        <v>0</v>
      </c>
      <c r="X15" s="490"/>
      <c r="Y15" s="969"/>
      <c r="Z15" s="969"/>
      <c r="AA15" s="969"/>
      <c r="AB15" s="969"/>
      <c r="AC15" s="969"/>
      <c r="AD15" s="969"/>
      <c r="AE15" s="969" t="str">
        <f t="shared" si="0"/>
        <v>TheewaterskloofAgency services</v>
      </c>
      <c r="AF15" s="969"/>
      <c r="AG15" s="969"/>
    </row>
    <row r="16" spans="2:33" ht="13.2" customHeight="1" x14ac:dyDescent="0.55000000000000004">
      <c r="B16" s="371"/>
      <c r="C16" s="1010" t="s">
        <v>686</v>
      </c>
      <c r="D16" s="360" t="str">
        <f t="shared" si="2"/>
        <v>Executive and Council0900</v>
      </c>
      <c r="E16" s="360" t="str">
        <f t="shared" si="1"/>
        <v>TheewaterskloofExecutive and CouncilInterest earned - external investments</v>
      </c>
      <c r="F16" s="360" t="str">
        <f>'PART C- Municipal Details'!$G$7</f>
        <v>Theewaterskloof</v>
      </c>
      <c r="G16" s="360" t="s">
        <v>101</v>
      </c>
      <c r="H16" s="366" t="s">
        <v>648</v>
      </c>
      <c r="I16" s="496" t="s">
        <v>2</v>
      </c>
      <c r="J16" s="497" t="s">
        <v>3</v>
      </c>
      <c r="K16" s="490"/>
      <c r="L16" s="463" t="s">
        <v>687</v>
      </c>
      <c r="M16" s="459"/>
      <c r="N16" s="461"/>
      <c r="O16" s="461"/>
      <c r="P16" s="461"/>
      <c r="Q16" s="461"/>
      <c r="R16" s="461"/>
      <c r="S16" s="461"/>
      <c r="T16" s="461"/>
      <c r="U16" s="530">
        <v>0</v>
      </c>
      <c r="V16" s="530">
        <v>0</v>
      </c>
      <c r="W16" s="530">
        <v>0</v>
      </c>
      <c r="X16" s="490"/>
      <c r="Y16" s="969"/>
      <c r="Z16" s="969"/>
      <c r="AA16" s="969"/>
      <c r="AB16" s="969"/>
      <c r="AC16" s="969"/>
      <c r="AD16" s="969"/>
      <c r="AE16" s="969" t="str">
        <f t="shared" si="0"/>
        <v>TheewaterskloofInterest</v>
      </c>
      <c r="AF16" s="969"/>
      <c r="AG16" s="969"/>
    </row>
    <row r="17" spans="2:33" ht="13.2" customHeight="1" x14ac:dyDescent="0.55000000000000004">
      <c r="B17" s="371"/>
      <c r="C17" s="1010" t="s">
        <v>688</v>
      </c>
      <c r="D17" s="361" t="str">
        <f t="shared" si="2"/>
        <v>Executive and Council1000</v>
      </c>
      <c r="E17" s="361" t="str">
        <f t="shared" si="1"/>
        <v>TheewaterskloofExecutive and CouncilInterest earned - outstanding debtors</v>
      </c>
      <c r="F17" s="360" t="str">
        <f>'PART C- Municipal Details'!$G$7</f>
        <v>Theewaterskloof</v>
      </c>
      <c r="G17" s="361" t="s">
        <v>101</v>
      </c>
      <c r="H17" s="363" t="s">
        <v>648</v>
      </c>
      <c r="I17" s="496" t="s">
        <v>3</v>
      </c>
      <c r="J17" s="497" t="s">
        <v>4</v>
      </c>
      <c r="K17" s="490"/>
      <c r="L17" s="463" t="s">
        <v>689</v>
      </c>
      <c r="M17" s="459"/>
      <c r="N17" s="461"/>
      <c r="O17" s="461"/>
      <c r="P17" s="461"/>
      <c r="Q17" s="461"/>
      <c r="R17" s="461"/>
      <c r="S17" s="461"/>
      <c r="T17" s="461"/>
      <c r="U17" s="530">
        <v>0</v>
      </c>
      <c r="V17" s="530">
        <v>0</v>
      </c>
      <c r="W17" s="530">
        <v>0</v>
      </c>
      <c r="X17" s="490"/>
      <c r="Y17" s="969"/>
      <c r="Z17" s="969"/>
      <c r="AA17" s="969"/>
      <c r="AB17" s="969"/>
      <c r="AC17" s="969"/>
      <c r="AD17" s="969"/>
      <c r="AE17" s="969" t="str">
        <f t="shared" si="0"/>
        <v>TheewaterskloofInterest earned from Receivables</v>
      </c>
      <c r="AF17" s="969"/>
      <c r="AG17" s="969"/>
    </row>
    <row r="18" spans="2:33" ht="13.2" customHeight="1" x14ac:dyDescent="0.55000000000000004">
      <c r="B18" s="371"/>
      <c r="C18" s="1010" t="s">
        <v>690</v>
      </c>
      <c r="D18" s="360" t="str">
        <f t="shared" si="2"/>
        <v>Executive and Council1100</v>
      </c>
      <c r="E18" s="360" t="str">
        <f t="shared" si="1"/>
        <v>TheewaterskloofExecutive and CouncilInterest earned - external investments</v>
      </c>
      <c r="F18" s="360" t="str">
        <f>'PART C- Municipal Details'!$G$7</f>
        <v>Theewaterskloof</v>
      </c>
      <c r="G18" s="360" t="s">
        <v>101</v>
      </c>
      <c r="H18" s="366" t="s">
        <v>648</v>
      </c>
      <c r="I18" s="496" t="s">
        <v>2</v>
      </c>
      <c r="J18" s="497" t="s">
        <v>691</v>
      </c>
      <c r="K18" s="490"/>
      <c r="L18" s="463" t="s">
        <v>692</v>
      </c>
      <c r="M18" s="459"/>
      <c r="N18" s="461"/>
      <c r="O18" s="461"/>
      <c r="P18" s="461"/>
      <c r="Q18" s="461"/>
      <c r="R18" s="461"/>
      <c r="S18" s="461"/>
      <c r="T18" s="461"/>
      <c r="U18" s="530">
        <v>0</v>
      </c>
      <c r="V18" s="530">
        <v>0</v>
      </c>
      <c r="W18" s="530">
        <v>0</v>
      </c>
      <c r="X18" s="490"/>
      <c r="Y18" s="969"/>
      <c r="Z18" s="969"/>
      <c r="AA18" s="969"/>
      <c r="AB18" s="969"/>
      <c r="AC18" s="969"/>
      <c r="AD18" s="969"/>
      <c r="AE18" s="969" t="str">
        <f t="shared" si="0"/>
        <v>TheewaterskloofInterest earned from Current and Non Current Assets</v>
      </c>
      <c r="AF18" s="969"/>
      <c r="AG18" s="969"/>
    </row>
    <row r="19" spans="2:33" ht="13.2" customHeight="1" x14ac:dyDescent="0.55000000000000004">
      <c r="B19" s="371"/>
      <c r="C19" s="1010" t="s">
        <v>693</v>
      </c>
      <c r="D19" s="361" t="str">
        <f t="shared" si="2"/>
        <v>Executive and Council1200</v>
      </c>
      <c r="E19" s="361" t="str">
        <f t="shared" si="1"/>
        <v>TheewaterskloofExecutive and CouncilDividends received</v>
      </c>
      <c r="F19" s="360" t="str">
        <f>'PART C- Municipal Details'!$G$7</f>
        <v>Theewaterskloof</v>
      </c>
      <c r="G19" s="361" t="s">
        <v>101</v>
      </c>
      <c r="H19" s="363" t="s">
        <v>648</v>
      </c>
      <c r="I19" s="496" t="s">
        <v>4</v>
      </c>
      <c r="J19" s="497" t="s">
        <v>5</v>
      </c>
      <c r="K19" s="490"/>
      <c r="L19" s="463" t="s">
        <v>694</v>
      </c>
      <c r="M19" s="459"/>
      <c r="N19" s="461"/>
      <c r="O19" s="461"/>
      <c r="P19" s="461"/>
      <c r="Q19" s="461"/>
      <c r="R19" s="461"/>
      <c r="S19" s="461"/>
      <c r="T19" s="461"/>
      <c r="U19" s="530">
        <v>0</v>
      </c>
      <c r="V19" s="530">
        <v>0</v>
      </c>
      <c r="W19" s="530">
        <v>0</v>
      </c>
      <c r="X19" s="490"/>
      <c r="Y19" s="969"/>
      <c r="Z19" s="969"/>
      <c r="AA19" s="969"/>
      <c r="AB19" s="969"/>
      <c r="AC19" s="969"/>
      <c r="AD19" s="969"/>
      <c r="AE19" s="969" t="str">
        <f t="shared" si="0"/>
        <v>TheewaterskloofDividends</v>
      </c>
      <c r="AF19" s="969"/>
      <c r="AG19" s="969"/>
    </row>
    <row r="20" spans="2:33" ht="13.2" customHeight="1" x14ac:dyDescent="0.55000000000000004">
      <c r="B20" s="371"/>
      <c r="C20" s="1010" t="s">
        <v>695</v>
      </c>
      <c r="D20" s="360" t="str">
        <f t="shared" si="2"/>
        <v>Executive and Council1300</v>
      </c>
      <c r="E20" s="360" t="str">
        <f t="shared" si="1"/>
        <v>TheewaterskloofExecutive and CouncilRental of facilities and equipment</v>
      </c>
      <c r="F20" s="360" t="str">
        <f>'PART C- Municipal Details'!$G$7</f>
        <v>Theewaterskloof</v>
      </c>
      <c r="G20" s="360" t="s">
        <v>101</v>
      </c>
      <c r="H20" s="366" t="s">
        <v>648</v>
      </c>
      <c r="I20" s="496" t="s">
        <v>1</v>
      </c>
      <c r="J20" s="497" t="s">
        <v>6</v>
      </c>
      <c r="K20" s="490"/>
      <c r="L20" s="463" t="s">
        <v>696</v>
      </c>
      <c r="M20" s="459"/>
      <c r="N20" s="461"/>
      <c r="O20" s="461"/>
      <c r="P20" s="461"/>
      <c r="Q20" s="461"/>
      <c r="R20" s="461"/>
      <c r="S20" s="461"/>
      <c r="T20" s="461"/>
      <c r="U20" s="530">
        <v>0</v>
      </c>
      <c r="V20" s="530">
        <v>0</v>
      </c>
      <c r="W20" s="530">
        <v>0</v>
      </c>
      <c r="X20" s="490"/>
      <c r="Y20" s="969"/>
      <c r="Z20" s="969"/>
      <c r="AA20" s="969"/>
      <c r="AB20" s="969"/>
      <c r="AC20" s="969"/>
      <c r="AD20" s="969"/>
      <c r="AE20" s="969" t="str">
        <f t="shared" si="0"/>
        <v>TheewaterskloofRent on Land</v>
      </c>
      <c r="AF20" s="969"/>
      <c r="AG20" s="969"/>
    </row>
    <row r="21" spans="2:33" ht="13.2" customHeight="1" x14ac:dyDescent="0.55000000000000004">
      <c r="B21" s="371"/>
      <c r="C21" s="1010" t="s">
        <v>697</v>
      </c>
      <c r="D21" s="361" t="str">
        <f t="shared" si="2"/>
        <v>Executive and Council1400</v>
      </c>
      <c r="E21" s="361" t="str">
        <f t="shared" si="1"/>
        <v>TheewaterskloofExecutive and CouncilRental of facilities and equipment</v>
      </c>
      <c r="F21" s="360" t="str">
        <f>'PART C- Municipal Details'!$G$7</f>
        <v>Theewaterskloof</v>
      </c>
      <c r="G21" s="361" t="s">
        <v>101</v>
      </c>
      <c r="H21" s="363" t="s">
        <v>648</v>
      </c>
      <c r="I21" s="496" t="s">
        <v>1</v>
      </c>
      <c r="J21" s="497" t="s">
        <v>698</v>
      </c>
      <c r="K21" s="490"/>
      <c r="L21" s="463" t="s">
        <v>699</v>
      </c>
      <c r="M21" s="459"/>
      <c r="N21" s="461"/>
      <c r="O21" s="461"/>
      <c r="P21" s="461"/>
      <c r="Q21" s="461"/>
      <c r="R21" s="461"/>
      <c r="S21" s="461"/>
      <c r="T21" s="461"/>
      <c r="U21" s="530">
        <v>0</v>
      </c>
      <c r="V21" s="530">
        <v>0</v>
      </c>
      <c r="W21" s="530">
        <v>0</v>
      </c>
      <c r="X21" s="490"/>
      <c r="Y21" s="969"/>
      <c r="Z21" s="969"/>
      <c r="AA21" s="969"/>
      <c r="AB21" s="969"/>
      <c r="AC21" s="969"/>
      <c r="AD21" s="969"/>
      <c r="AE21" s="969" t="str">
        <f t="shared" si="0"/>
        <v>TheewaterskloofRental from Fixed Assets</v>
      </c>
      <c r="AF21" s="969"/>
      <c r="AG21" s="969"/>
    </row>
    <row r="22" spans="2:33" ht="13.2" customHeight="1" x14ac:dyDescent="0.55000000000000004">
      <c r="B22" s="371"/>
      <c r="C22" s="1010" t="s">
        <v>700</v>
      </c>
      <c r="D22" s="360" t="str">
        <f t="shared" si="2"/>
        <v>Executive and Council1500</v>
      </c>
      <c r="E22" s="360" t="str">
        <f t="shared" si="1"/>
        <v>TheewaterskloofExecutive and CouncilLicences and permits</v>
      </c>
      <c r="F22" s="360" t="str">
        <f>'PART C- Municipal Details'!$G$7</f>
        <v>Theewaterskloof</v>
      </c>
      <c r="G22" s="360" t="s">
        <v>101</v>
      </c>
      <c r="H22" s="366" t="s">
        <v>648</v>
      </c>
      <c r="I22" s="496" t="s">
        <v>5</v>
      </c>
      <c r="J22" s="497" t="s">
        <v>7</v>
      </c>
      <c r="K22" s="490"/>
      <c r="L22" s="463" t="s">
        <v>701</v>
      </c>
      <c r="M22" s="459"/>
      <c r="N22" s="461"/>
      <c r="O22" s="461"/>
      <c r="P22" s="461"/>
      <c r="Q22" s="461"/>
      <c r="R22" s="461"/>
      <c r="S22" s="461"/>
      <c r="T22" s="461"/>
      <c r="U22" s="530">
        <v>0</v>
      </c>
      <c r="V22" s="530">
        <v>0</v>
      </c>
      <c r="W22" s="530">
        <v>0</v>
      </c>
      <c r="X22" s="490"/>
      <c r="Y22" s="969"/>
      <c r="Z22" s="969"/>
      <c r="AA22" s="969"/>
      <c r="AB22" s="969"/>
      <c r="AC22" s="969"/>
      <c r="AD22" s="969"/>
      <c r="AE22" s="969" t="str">
        <f t="shared" si="0"/>
        <v>TheewaterskloofLicence and permits</v>
      </c>
      <c r="AF22" s="969"/>
      <c r="AG22" s="969"/>
    </row>
    <row r="23" spans="2:33" ht="13.2" customHeight="1" x14ac:dyDescent="0.55000000000000004">
      <c r="B23" s="371"/>
      <c r="C23" s="1324" t="s">
        <v>1569</v>
      </c>
      <c r="D23" s="360" t="str">
        <f t="shared" si="2"/>
        <v>Executive and Council1550</v>
      </c>
      <c r="E23" s="360" t="str">
        <f t="shared" si="1"/>
        <v>TheewaterskloofExecutive and CouncilSpecial rating Levies</v>
      </c>
      <c r="F23" s="360" t="str">
        <f>'PART C- Municipal Details'!$G$7</f>
        <v>Theewaterskloof</v>
      </c>
      <c r="G23" s="360" t="s">
        <v>101</v>
      </c>
      <c r="H23" s="366" t="s">
        <v>648</v>
      </c>
      <c r="I23" s="496" t="s">
        <v>1568</v>
      </c>
      <c r="J23" s="497" t="s">
        <v>7</v>
      </c>
      <c r="K23" s="490"/>
      <c r="L23" s="463" t="s">
        <v>1567</v>
      </c>
      <c r="M23" s="459"/>
      <c r="N23" s="461"/>
      <c r="O23" s="461"/>
      <c r="P23" s="461"/>
      <c r="Q23" s="461"/>
      <c r="R23" s="461"/>
      <c r="S23" s="461"/>
      <c r="T23" s="461"/>
      <c r="U23" s="530">
        <v>0</v>
      </c>
      <c r="V23" s="530">
        <v>0</v>
      </c>
      <c r="W23" s="530">
        <v>0</v>
      </c>
      <c r="X23" s="490"/>
      <c r="Y23" s="969"/>
      <c r="Z23" s="969"/>
      <c r="AA23" s="969"/>
      <c r="AB23" s="969"/>
      <c r="AC23" s="969"/>
      <c r="AD23" s="969"/>
      <c r="AE23" s="969"/>
      <c r="AF23" s="969"/>
      <c r="AG23" s="969"/>
    </row>
    <row r="24" spans="2:33" ht="13.2" customHeight="1" x14ac:dyDescent="0.55000000000000004">
      <c r="B24" s="371"/>
      <c r="C24" s="1010" t="s">
        <v>702</v>
      </c>
      <c r="D24" s="361" t="str">
        <f t="shared" si="2"/>
        <v>Executive and Council1600</v>
      </c>
      <c r="E24" s="361" t="str">
        <f t="shared" si="1"/>
        <v>TheewaterskloofExecutive and CouncilOther revenue</v>
      </c>
      <c r="F24" s="360" t="str">
        <f>'PART C- Municipal Details'!$G$7</f>
        <v>Theewaterskloof</v>
      </c>
      <c r="G24" s="361" t="s">
        <v>101</v>
      </c>
      <c r="H24" s="363" t="s">
        <v>648</v>
      </c>
      <c r="I24" s="496" t="s">
        <v>7</v>
      </c>
      <c r="J24" s="497" t="s">
        <v>703</v>
      </c>
      <c r="K24" s="490"/>
      <c r="L24" s="463" t="s">
        <v>704</v>
      </c>
      <c r="M24" s="459"/>
      <c r="N24" s="461"/>
      <c r="O24" s="461"/>
      <c r="P24" s="461"/>
      <c r="Q24" s="461"/>
      <c r="R24" s="461"/>
      <c r="S24" s="461"/>
      <c r="T24" s="461"/>
      <c r="U24" s="530">
        <v>0</v>
      </c>
      <c r="V24" s="530">
        <v>0</v>
      </c>
      <c r="W24" s="530">
        <v>0</v>
      </c>
      <c r="X24" s="490"/>
      <c r="Y24" s="969"/>
      <c r="Z24" s="969"/>
      <c r="AA24" s="969"/>
      <c r="AB24" s="969"/>
      <c r="AC24" s="969"/>
      <c r="AD24" s="969"/>
      <c r="AE24" s="969" t="str">
        <f t="shared" si="0"/>
        <v>TheewaterskloofOperational Revenue</v>
      </c>
      <c r="AF24" s="969"/>
      <c r="AG24" s="969"/>
    </row>
    <row r="25" spans="2:33" ht="13.2" customHeight="1" x14ac:dyDescent="0.55000000000000004">
      <c r="B25" s="371"/>
      <c r="C25" s="1009" t="s">
        <v>705</v>
      </c>
      <c r="D25" s="360" t="str">
        <f t="shared" si="2"/>
        <v>Executive and Council1700</v>
      </c>
      <c r="E25" s="360" t="str">
        <f t="shared" si="1"/>
        <v>TheewaterskloofExecutive and CouncilRR</v>
      </c>
      <c r="F25" s="360" t="str">
        <f>'PART C- Municipal Details'!$G$7</f>
        <v>Theewaterskloof</v>
      </c>
      <c r="G25" s="360" t="s">
        <v>101</v>
      </c>
      <c r="H25" s="366" t="s">
        <v>648</v>
      </c>
      <c r="I25" s="496" t="s">
        <v>706</v>
      </c>
      <c r="J25" s="497" t="s">
        <v>707</v>
      </c>
      <c r="K25" s="491"/>
      <c r="L25" s="508" t="s">
        <v>708</v>
      </c>
      <c r="M25" s="509"/>
      <c r="N25" s="510"/>
      <c r="O25" s="510"/>
      <c r="P25" s="510"/>
      <c r="Q25" s="510"/>
      <c r="R25" s="510"/>
      <c r="S25" s="510"/>
      <c r="T25" s="511"/>
      <c r="U25" s="531">
        <v>0</v>
      </c>
      <c r="V25" s="531">
        <v>0</v>
      </c>
      <c r="W25" s="531">
        <v>0</v>
      </c>
      <c r="X25" s="490"/>
      <c r="Y25" s="969"/>
      <c r="Z25" s="969"/>
      <c r="AA25" s="969"/>
      <c r="AB25" s="969"/>
      <c r="AC25" s="969"/>
      <c r="AD25" s="969"/>
      <c r="AE25" s="969" t="str">
        <f t="shared" si="0"/>
        <v>TheewaterskloofNon-Exchange Revenue</v>
      </c>
      <c r="AF25" s="969"/>
      <c r="AG25" s="969"/>
    </row>
    <row r="26" spans="2:33" ht="13.2" customHeight="1" x14ac:dyDescent="0.55000000000000004">
      <c r="B26" s="371"/>
      <c r="C26" s="1010" t="s">
        <v>709</v>
      </c>
      <c r="D26" s="361" t="str">
        <f t="shared" si="2"/>
        <v>Executive and Council1800</v>
      </c>
      <c r="E26" s="361" t="str">
        <f t="shared" si="1"/>
        <v>TheewaterskloofExecutive and CouncilProperty rates</v>
      </c>
      <c r="F26" s="360" t="str">
        <f>'PART C- Municipal Details'!$G$7</f>
        <v>Theewaterskloof</v>
      </c>
      <c r="G26" s="361" t="s">
        <v>101</v>
      </c>
      <c r="H26" s="363" t="s">
        <v>648</v>
      </c>
      <c r="I26" s="496" t="s">
        <v>0</v>
      </c>
      <c r="J26" s="497" t="s">
        <v>710</v>
      </c>
      <c r="K26" s="490"/>
      <c r="L26" s="463" t="s">
        <v>0</v>
      </c>
      <c r="M26" s="459"/>
      <c r="N26" s="460"/>
      <c r="O26" s="460"/>
      <c r="P26" s="460"/>
      <c r="Q26" s="460"/>
      <c r="R26" s="460"/>
      <c r="S26" s="460"/>
      <c r="T26" s="460"/>
      <c r="U26" s="530">
        <v>0</v>
      </c>
      <c r="V26" s="530">
        <v>0</v>
      </c>
      <c r="W26" s="530">
        <v>0</v>
      </c>
      <c r="X26" s="490"/>
      <c r="Y26" s="969"/>
      <c r="Z26" s="969"/>
      <c r="AA26" s="969"/>
      <c r="AB26" s="969"/>
      <c r="AC26" s="969"/>
      <c r="AD26" s="969"/>
      <c r="AE26" s="969" t="str">
        <f t="shared" si="0"/>
        <v>TheewaterskloofProperty rates</v>
      </c>
      <c r="AF26" s="969"/>
      <c r="AG26" s="969"/>
    </row>
    <row r="27" spans="2:33" ht="13.2" customHeight="1" x14ac:dyDescent="0.55000000000000004">
      <c r="B27" s="371"/>
      <c r="C27" s="1010" t="s">
        <v>711</v>
      </c>
      <c r="D27" s="360" t="str">
        <f t="shared" si="2"/>
        <v>Executive and Council1900</v>
      </c>
      <c r="E27" s="360" t="str">
        <f t="shared" si="1"/>
        <v>TheewaterskloofExecutive and CouncilOther revenue</v>
      </c>
      <c r="F27" s="360" t="str">
        <f>'PART C- Municipal Details'!$G$7</f>
        <v>Theewaterskloof</v>
      </c>
      <c r="G27" s="360" t="s">
        <v>101</v>
      </c>
      <c r="H27" s="366" t="s">
        <v>648</v>
      </c>
      <c r="I27" s="496" t="s">
        <v>7</v>
      </c>
      <c r="J27" s="497" t="s">
        <v>712</v>
      </c>
      <c r="K27" s="490"/>
      <c r="L27" s="463" t="s">
        <v>713</v>
      </c>
      <c r="M27" s="459"/>
      <c r="N27" s="461"/>
      <c r="O27" s="461"/>
      <c r="P27" s="461"/>
      <c r="Q27" s="461"/>
      <c r="R27" s="461"/>
      <c r="S27" s="461"/>
      <c r="T27" s="461"/>
      <c r="U27" s="530">
        <v>0</v>
      </c>
      <c r="V27" s="530">
        <v>0</v>
      </c>
      <c r="W27" s="530">
        <v>0</v>
      </c>
      <c r="X27" s="490"/>
      <c r="Y27" s="969"/>
      <c r="Z27" s="969"/>
      <c r="AA27" s="969"/>
      <c r="AB27" s="969"/>
      <c r="AC27" s="969"/>
      <c r="AD27" s="969"/>
      <c r="AE27" s="969" t="str">
        <f t="shared" si="0"/>
        <v>TheewaterskloofSurcharges and Taxes</v>
      </c>
      <c r="AF27" s="969"/>
      <c r="AG27" s="969"/>
    </row>
    <row r="28" spans="2:33" ht="13.2" customHeight="1" x14ac:dyDescent="0.55000000000000004">
      <c r="B28" s="371"/>
      <c r="C28" s="1010" t="s">
        <v>714</v>
      </c>
      <c r="D28" s="361" t="str">
        <f t="shared" si="2"/>
        <v>Executive and Council2000</v>
      </c>
      <c r="E28" s="361" t="str">
        <f t="shared" si="1"/>
        <v>TheewaterskloofExecutive and CouncilFines, penalties and forfeits</v>
      </c>
      <c r="F28" s="360" t="str">
        <f>'PART C- Municipal Details'!$G$7</f>
        <v>Theewaterskloof</v>
      </c>
      <c r="G28" s="361" t="s">
        <v>101</v>
      </c>
      <c r="H28" s="363" t="s">
        <v>648</v>
      </c>
      <c r="I28" s="496" t="s">
        <v>691</v>
      </c>
      <c r="J28" s="497" t="s">
        <v>8</v>
      </c>
      <c r="K28" s="490"/>
      <c r="L28" s="463" t="s">
        <v>691</v>
      </c>
      <c r="M28" s="459"/>
      <c r="N28" s="461"/>
      <c r="O28" s="461"/>
      <c r="P28" s="461"/>
      <c r="Q28" s="461"/>
      <c r="R28" s="461"/>
      <c r="S28" s="461"/>
      <c r="T28" s="461"/>
      <c r="U28" s="530">
        <v>0</v>
      </c>
      <c r="V28" s="530">
        <v>0</v>
      </c>
      <c r="W28" s="530">
        <v>0</v>
      </c>
      <c r="X28" s="490"/>
      <c r="Y28" s="969"/>
      <c r="Z28" s="969"/>
      <c r="AA28" s="969"/>
      <c r="AB28" s="969"/>
      <c r="AC28" s="969"/>
      <c r="AD28" s="969"/>
      <c r="AE28" s="969" t="str">
        <f t="shared" si="0"/>
        <v>TheewaterskloofFines, penalties and forfeits</v>
      </c>
      <c r="AF28" s="969"/>
      <c r="AG28" s="969"/>
    </row>
    <row r="29" spans="2:33" ht="13.2" customHeight="1" x14ac:dyDescent="0.55000000000000004">
      <c r="B29" s="371"/>
      <c r="C29" s="1010" t="s">
        <v>715</v>
      </c>
      <c r="D29" s="360" t="str">
        <f t="shared" si="2"/>
        <v>Executive and Council2100</v>
      </c>
      <c r="E29" s="360" t="str">
        <f t="shared" si="1"/>
        <v>TheewaterskloofExecutive and CouncilLicences and permits</v>
      </c>
      <c r="F29" s="360" t="str">
        <f>'PART C- Municipal Details'!$G$7</f>
        <v>Theewaterskloof</v>
      </c>
      <c r="G29" s="360" t="s">
        <v>101</v>
      </c>
      <c r="H29" s="366" t="s">
        <v>648</v>
      </c>
      <c r="I29" s="496" t="s">
        <v>5</v>
      </c>
      <c r="J29" s="497" t="s">
        <v>9</v>
      </c>
      <c r="K29" s="490"/>
      <c r="L29" s="463" t="s">
        <v>716</v>
      </c>
      <c r="M29" s="459"/>
      <c r="N29" s="461"/>
      <c r="O29" s="461"/>
      <c r="P29" s="461"/>
      <c r="Q29" s="461"/>
      <c r="R29" s="461"/>
      <c r="S29" s="461"/>
      <c r="T29" s="461"/>
      <c r="U29" s="530">
        <v>0</v>
      </c>
      <c r="V29" s="530">
        <v>0</v>
      </c>
      <c r="W29" s="530">
        <v>0</v>
      </c>
      <c r="X29" s="490"/>
      <c r="Y29" s="969"/>
      <c r="Z29" s="969"/>
      <c r="AA29" s="969"/>
      <c r="AB29" s="969"/>
      <c r="AC29" s="969"/>
      <c r="AD29" s="969"/>
      <c r="AE29" s="969" t="str">
        <f t="shared" si="0"/>
        <v>TheewaterskloofLicences or permits</v>
      </c>
      <c r="AF29" s="969"/>
      <c r="AG29" s="969"/>
    </row>
    <row r="30" spans="2:33" ht="13.2" customHeight="1" x14ac:dyDescent="0.55000000000000004">
      <c r="B30" s="371"/>
      <c r="C30" s="1010" t="s">
        <v>717</v>
      </c>
      <c r="D30" s="361" t="str">
        <f t="shared" si="2"/>
        <v>Executive and Council2200</v>
      </c>
      <c r="E30" s="361" t="str">
        <f t="shared" si="1"/>
        <v>TheewaterskloofExecutive and CouncilTransfers and subsidies Income</v>
      </c>
      <c r="F30" s="360" t="str">
        <f>'PART C- Municipal Details'!$G$7</f>
        <v>Theewaterskloof</v>
      </c>
      <c r="G30" s="361" t="s">
        <v>101</v>
      </c>
      <c r="H30" s="363" t="s">
        <v>648</v>
      </c>
      <c r="I30" s="496" t="s">
        <v>698</v>
      </c>
      <c r="J30" s="497" t="s">
        <v>10</v>
      </c>
      <c r="K30" s="490"/>
      <c r="L30" s="463" t="s">
        <v>718</v>
      </c>
      <c r="M30" s="459"/>
      <c r="N30" s="461"/>
      <c r="O30" s="461"/>
      <c r="P30" s="461"/>
      <c r="Q30" s="461"/>
      <c r="R30" s="461"/>
      <c r="S30" s="461"/>
      <c r="T30" s="461"/>
      <c r="U30" s="530">
        <v>118000</v>
      </c>
      <c r="V30" s="530">
        <v>122012</v>
      </c>
      <c r="W30" s="530">
        <v>125916</v>
      </c>
      <c r="X30" s="490"/>
      <c r="Y30" s="969"/>
      <c r="Z30" s="969"/>
      <c r="AA30" s="969"/>
      <c r="AB30" s="969"/>
      <c r="AC30" s="969"/>
      <c r="AD30" s="969"/>
      <c r="AE30" s="969" t="str">
        <f t="shared" si="0"/>
        <v>TheewaterskloofTransfer and subsidies - Operational</v>
      </c>
      <c r="AF30" s="969"/>
      <c r="AG30" s="969"/>
    </row>
    <row r="31" spans="2:33" ht="13.2" customHeight="1" x14ac:dyDescent="0.55000000000000004">
      <c r="B31" s="371"/>
      <c r="C31" s="1010" t="s">
        <v>719</v>
      </c>
      <c r="D31" s="360" t="str">
        <f t="shared" si="2"/>
        <v>Executive and Council2300</v>
      </c>
      <c r="E31" s="360" t="str">
        <f t="shared" si="1"/>
        <v>TheewaterskloofExecutive and CouncilInterest earned - external investments</v>
      </c>
      <c r="F31" s="360" t="str">
        <f>'PART C- Municipal Details'!$G$7</f>
        <v>Theewaterskloof</v>
      </c>
      <c r="G31" s="360" t="s">
        <v>101</v>
      </c>
      <c r="H31" s="366" t="s">
        <v>648</v>
      </c>
      <c r="I31" s="496" t="s">
        <v>2</v>
      </c>
      <c r="J31" s="497" t="s">
        <v>720</v>
      </c>
      <c r="K31" s="490"/>
      <c r="L31" s="463" t="s">
        <v>687</v>
      </c>
      <c r="M31" s="459"/>
      <c r="N31" s="461"/>
      <c r="O31" s="461"/>
      <c r="P31" s="461"/>
      <c r="Q31" s="461"/>
      <c r="R31" s="461"/>
      <c r="S31" s="461"/>
      <c r="T31" s="461"/>
      <c r="U31" s="530">
        <v>0</v>
      </c>
      <c r="V31" s="530">
        <v>0</v>
      </c>
      <c r="W31" s="530">
        <v>0</v>
      </c>
      <c r="X31" s="490"/>
      <c r="Y31" s="969"/>
      <c r="Z31" s="969"/>
      <c r="AA31" s="969"/>
      <c r="AB31" s="969"/>
      <c r="AC31" s="969"/>
      <c r="AD31" s="969"/>
      <c r="AE31" s="969" t="str">
        <f t="shared" si="0"/>
        <v>TheewaterskloofInterest</v>
      </c>
      <c r="AF31" s="969"/>
      <c r="AG31" s="969"/>
    </row>
    <row r="32" spans="2:33" ht="13.2" customHeight="1" x14ac:dyDescent="0.55000000000000004">
      <c r="B32" s="371"/>
      <c r="C32" s="1010" t="s">
        <v>721</v>
      </c>
      <c r="D32" s="361" t="str">
        <f t="shared" si="2"/>
        <v>Executive and Council2400</v>
      </c>
      <c r="E32" s="361" t="str">
        <f t="shared" si="1"/>
        <v>TheewaterskloofExecutive and CouncilOther revenue</v>
      </c>
      <c r="F32" s="360" t="str">
        <f>'PART C- Municipal Details'!$G$7</f>
        <v>Theewaterskloof</v>
      </c>
      <c r="G32" s="361" t="s">
        <v>101</v>
      </c>
      <c r="H32" s="363" t="s">
        <v>648</v>
      </c>
      <c r="I32" s="496" t="s">
        <v>7</v>
      </c>
      <c r="J32" s="497" t="s">
        <v>11</v>
      </c>
      <c r="K32" s="490"/>
      <c r="L32" s="463" t="s">
        <v>722</v>
      </c>
      <c r="M32" s="459"/>
      <c r="N32" s="461"/>
      <c r="O32" s="461"/>
      <c r="P32" s="461"/>
      <c r="Q32" s="461"/>
      <c r="R32" s="461"/>
      <c r="S32" s="461"/>
      <c r="T32" s="461"/>
      <c r="U32" s="530">
        <v>0</v>
      </c>
      <c r="V32" s="530">
        <v>0</v>
      </c>
      <c r="W32" s="530">
        <v>0</v>
      </c>
      <c r="X32" s="490"/>
      <c r="Y32" s="969"/>
      <c r="Z32" s="969"/>
      <c r="AA32" s="969"/>
      <c r="AB32" s="969"/>
      <c r="AC32" s="969"/>
      <c r="AD32" s="969"/>
      <c r="AE32" s="969" t="str">
        <f t="shared" si="0"/>
        <v>TheewaterskloofFuel Levy</v>
      </c>
      <c r="AF32" s="969"/>
      <c r="AG32" s="969"/>
    </row>
    <row r="33" spans="2:33" ht="13.2" customHeight="1" x14ac:dyDescent="0.55000000000000004">
      <c r="B33" s="371"/>
      <c r="C33" s="1010" t="s">
        <v>723</v>
      </c>
      <c r="D33" s="360" t="str">
        <f t="shared" si="2"/>
        <v>Executive and Council2500</v>
      </c>
      <c r="E33" s="360" t="str">
        <f t="shared" si="1"/>
        <v>TheewaterskloofExecutive and CouncilOther revenue</v>
      </c>
      <c r="F33" s="360" t="str">
        <f>'PART C- Municipal Details'!$G$7</f>
        <v>Theewaterskloof</v>
      </c>
      <c r="G33" s="360" t="s">
        <v>101</v>
      </c>
      <c r="H33" s="366" t="s">
        <v>648</v>
      </c>
      <c r="I33" s="496" t="s">
        <v>7</v>
      </c>
      <c r="J33" s="497" t="s">
        <v>724</v>
      </c>
      <c r="K33" s="490"/>
      <c r="L33" s="463" t="s">
        <v>704</v>
      </c>
      <c r="M33" s="459"/>
      <c r="N33" s="461"/>
      <c r="O33" s="461"/>
      <c r="P33" s="461"/>
      <c r="Q33" s="461"/>
      <c r="R33" s="461"/>
      <c r="S33" s="461"/>
      <c r="T33" s="461"/>
      <c r="U33" s="530">
        <v>0</v>
      </c>
      <c r="V33" s="530">
        <v>0</v>
      </c>
      <c r="W33" s="530">
        <v>0</v>
      </c>
      <c r="X33" s="490"/>
      <c r="Y33" s="969"/>
      <c r="Z33" s="969"/>
      <c r="AA33" s="969"/>
      <c r="AB33" s="969"/>
      <c r="AC33" s="969"/>
      <c r="AD33" s="969"/>
      <c r="AE33" s="969" t="str">
        <f t="shared" si="0"/>
        <v>TheewaterskloofOperational Revenue</v>
      </c>
      <c r="AF33" s="969"/>
      <c r="AG33" s="969"/>
    </row>
    <row r="34" spans="2:33" ht="13.2" customHeight="1" x14ac:dyDescent="0.55000000000000004">
      <c r="B34" s="371"/>
      <c r="C34" s="1010" t="s">
        <v>725</v>
      </c>
      <c r="D34" s="361" t="str">
        <f t="shared" si="2"/>
        <v>Executive and Council2600</v>
      </c>
      <c r="E34" s="361" t="str">
        <f t="shared" si="1"/>
        <v>TheewaterskloofExecutive and CouncilGains</v>
      </c>
      <c r="F34" s="360" t="str">
        <f>'PART C- Municipal Details'!$G$7</f>
        <v>Theewaterskloof</v>
      </c>
      <c r="G34" s="361" t="s">
        <v>101</v>
      </c>
      <c r="H34" s="363" t="s">
        <v>648</v>
      </c>
      <c r="I34" s="496" t="s">
        <v>703</v>
      </c>
      <c r="J34" s="497" t="s">
        <v>726</v>
      </c>
      <c r="K34" s="490"/>
      <c r="L34" s="463" t="s">
        <v>727</v>
      </c>
      <c r="M34" s="459"/>
      <c r="N34" s="461"/>
      <c r="O34" s="461"/>
      <c r="P34" s="461"/>
      <c r="Q34" s="461"/>
      <c r="R34" s="461"/>
      <c r="S34" s="461"/>
      <c r="T34" s="461"/>
      <c r="U34" s="530">
        <v>0</v>
      </c>
      <c r="V34" s="530">
        <v>0</v>
      </c>
      <c r="W34" s="530">
        <v>0</v>
      </c>
      <c r="X34" s="490"/>
      <c r="Y34" s="969"/>
      <c r="Z34" s="969"/>
      <c r="AA34" s="969"/>
      <c r="AB34" s="969"/>
      <c r="AC34" s="969"/>
      <c r="AD34" s="969"/>
      <c r="AE34" s="969" t="str">
        <f t="shared" si="0"/>
        <v>TheewaterskloofGains on disposal of Assets</v>
      </c>
      <c r="AF34" s="969"/>
      <c r="AG34" s="969"/>
    </row>
    <row r="35" spans="2:33" ht="13.2" customHeight="1" x14ac:dyDescent="0.55000000000000004">
      <c r="B35" s="371"/>
      <c r="C35" s="1010" t="s">
        <v>728</v>
      </c>
      <c r="D35" s="360" t="str">
        <f t="shared" si="2"/>
        <v>Executive and Council2700</v>
      </c>
      <c r="E35" s="360" t="str">
        <f t="shared" si="1"/>
        <v>TheewaterskloofExecutive and CouncilOther revenue</v>
      </c>
      <c r="F35" s="360" t="str">
        <f>'PART C- Municipal Details'!$G$7</f>
        <v>Theewaterskloof</v>
      </c>
      <c r="G35" s="360" t="s">
        <v>101</v>
      </c>
      <c r="H35" s="366" t="s">
        <v>648</v>
      </c>
      <c r="I35" s="496" t="s">
        <v>7</v>
      </c>
      <c r="J35" s="497" t="s">
        <v>12</v>
      </c>
      <c r="K35" s="490"/>
      <c r="L35" s="463" t="s">
        <v>729</v>
      </c>
      <c r="M35" s="459"/>
      <c r="N35" s="461"/>
      <c r="O35" s="461"/>
      <c r="P35" s="461"/>
      <c r="Q35" s="461"/>
      <c r="R35" s="461"/>
      <c r="S35" s="461"/>
      <c r="T35" s="461"/>
      <c r="U35" s="530">
        <v>0</v>
      </c>
      <c r="V35" s="530">
        <v>0</v>
      </c>
      <c r="W35" s="530">
        <v>0</v>
      </c>
      <c r="X35" s="490"/>
      <c r="Y35" s="969"/>
      <c r="Z35" s="969"/>
      <c r="AA35" s="969"/>
      <c r="AB35" s="969"/>
      <c r="AC35" s="969"/>
      <c r="AD35" s="969"/>
      <c r="AE35" s="969" t="str">
        <f t="shared" si="0"/>
        <v>TheewaterskloofOther Gains</v>
      </c>
      <c r="AF35" s="969"/>
      <c r="AG35" s="969"/>
    </row>
    <row r="36" spans="2:33" ht="13.2" customHeight="1" x14ac:dyDescent="0.55000000000000004">
      <c r="B36" s="371"/>
      <c r="C36" s="1010" t="s">
        <v>730</v>
      </c>
      <c r="D36" s="361" t="str">
        <f t="shared" si="2"/>
        <v>Executive and Council2800</v>
      </c>
      <c r="E36" s="361" t="str">
        <f t="shared" si="1"/>
        <v>TheewaterskloofExecutive and CouncilOther revenue</v>
      </c>
      <c r="F36" s="360" t="str">
        <f>'PART C- Municipal Details'!$G$7</f>
        <v>Theewaterskloof</v>
      </c>
      <c r="G36" s="361" t="s">
        <v>101</v>
      </c>
      <c r="H36" s="363" t="s">
        <v>648</v>
      </c>
      <c r="I36" s="496" t="s">
        <v>7</v>
      </c>
      <c r="J36" s="497" t="s">
        <v>204</v>
      </c>
      <c r="K36" s="490"/>
      <c r="L36" s="464" t="s">
        <v>731</v>
      </c>
      <c r="M36" s="459"/>
      <c r="N36" s="461"/>
      <c r="O36" s="461"/>
      <c r="P36" s="461"/>
      <c r="Q36" s="461"/>
      <c r="R36" s="461"/>
      <c r="S36" s="461"/>
      <c r="T36" s="461"/>
      <c r="U36" s="530">
        <v>0</v>
      </c>
      <c r="V36" s="530">
        <v>0</v>
      </c>
      <c r="W36" s="530">
        <v>0</v>
      </c>
      <c r="X36" s="490"/>
      <c r="Y36" s="969"/>
      <c r="Z36" s="969"/>
      <c r="AA36" s="969"/>
      <c r="AB36" s="969"/>
      <c r="AC36" s="969"/>
      <c r="AD36" s="969"/>
      <c r="AE36" s="969" t="str">
        <f t="shared" si="0"/>
        <v>TheewaterskloofDiscontinued Operations</v>
      </c>
      <c r="AF36" s="969"/>
      <c r="AG36" s="969"/>
    </row>
    <row r="37" spans="2:33" ht="13.2" customHeight="1" x14ac:dyDescent="0.55000000000000004">
      <c r="B37" s="371"/>
      <c r="C37" s="1009" t="s">
        <v>732</v>
      </c>
      <c r="D37" s="360" t="str">
        <f t="shared" si="2"/>
        <v>Executive and Council2900</v>
      </c>
      <c r="E37" s="360" t="str">
        <f t="shared" si="1"/>
        <v>TheewaterskloofExecutive and CouncilTotal Revenue (excluding capital transfers and contributions)</v>
      </c>
      <c r="F37" s="360" t="str">
        <f>'PART C- Municipal Details'!$G$7</f>
        <v>Theewaterskloof</v>
      </c>
      <c r="G37" s="360" t="s">
        <v>101</v>
      </c>
      <c r="H37" s="366" t="s">
        <v>648</v>
      </c>
      <c r="I37" s="496" t="s">
        <v>707</v>
      </c>
      <c r="J37" s="497" t="s">
        <v>13</v>
      </c>
      <c r="K37" s="490"/>
      <c r="L37" s="508" t="s">
        <v>707</v>
      </c>
      <c r="M37" s="509"/>
      <c r="N37" s="510"/>
      <c r="O37" s="510"/>
      <c r="P37" s="510"/>
      <c r="Q37" s="510"/>
      <c r="R37" s="510"/>
      <c r="S37" s="510"/>
      <c r="T37" s="511"/>
      <c r="U37" s="531">
        <v>118000</v>
      </c>
      <c r="V37" s="531">
        <v>122012</v>
      </c>
      <c r="W37" s="531">
        <v>125916</v>
      </c>
      <c r="X37" s="490"/>
      <c r="Y37" s="969"/>
      <c r="Z37" s="969"/>
      <c r="AA37" s="969"/>
      <c r="AB37" s="969"/>
      <c r="AC37" s="969"/>
      <c r="AD37" s="969"/>
      <c r="AE37" s="969" t="str">
        <f t="shared" si="0"/>
        <v>TheewaterskloofTotal Revenue (excluding capital transfers and contributions)</v>
      </c>
      <c r="AF37" s="969"/>
      <c r="AG37" s="969"/>
    </row>
    <row r="38" spans="2:33" ht="13.2" customHeight="1" x14ac:dyDescent="0.55000000000000004">
      <c r="B38" s="371"/>
      <c r="C38" s="1009" t="s">
        <v>733</v>
      </c>
      <c r="D38" s="361" t="str">
        <f t="shared" si="2"/>
        <v>Executive and Council3000</v>
      </c>
      <c r="E38" s="361" t="str">
        <f t="shared" si="1"/>
        <v>TheewaterskloofExecutive and CouncilRR</v>
      </c>
      <c r="F38" s="360" t="str">
        <f>'PART C- Municipal Details'!$G$7</f>
        <v>Theewaterskloof</v>
      </c>
      <c r="G38" s="361" t="s">
        <v>101</v>
      </c>
      <c r="H38" s="363" t="s">
        <v>648</v>
      </c>
      <c r="I38" s="496" t="s">
        <v>706</v>
      </c>
      <c r="J38" s="497" t="s">
        <v>734</v>
      </c>
      <c r="K38" s="490"/>
      <c r="L38" s="505" t="s">
        <v>22</v>
      </c>
      <c r="M38" s="506"/>
      <c r="N38" s="507"/>
      <c r="O38" s="507"/>
      <c r="P38" s="507"/>
      <c r="Q38" s="507"/>
      <c r="R38" s="507"/>
      <c r="S38" s="507"/>
      <c r="T38" s="507"/>
      <c r="U38" s="531">
        <v>0</v>
      </c>
      <c r="V38" s="531">
        <v>0</v>
      </c>
      <c r="W38" s="531">
        <v>0</v>
      </c>
      <c r="X38" s="490"/>
      <c r="Y38" s="969"/>
      <c r="Z38" s="969"/>
      <c r="AA38" s="969"/>
      <c r="AB38" s="969"/>
      <c r="AC38" s="969"/>
      <c r="AD38" s="969"/>
      <c r="AE38" s="969" t="str">
        <f t="shared" si="0"/>
        <v>TheewaterskloofExpenditure</v>
      </c>
      <c r="AF38" s="969"/>
      <c r="AG38" s="969"/>
    </row>
    <row r="39" spans="2:33" ht="13.2" customHeight="1" x14ac:dyDescent="0.55000000000000004">
      <c r="B39" s="371"/>
      <c r="C39" s="1010" t="s">
        <v>735</v>
      </c>
      <c r="D39" s="360" t="str">
        <f t="shared" si="2"/>
        <v>Executive and Council3100</v>
      </c>
      <c r="E39" s="360" t="str">
        <f t="shared" si="1"/>
        <v>TheewaterskloofExecutive and CouncilEmployee related costs</v>
      </c>
      <c r="F39" s="360" t="str">
        <f>'PART C- Municipal Details'!$G$7</f>
        <v>Theewaterskloof</v>
      </c>
      <c r="G39" s="360" t="s">
        <v>101</v>
      </c>
      <c r="H39" s="366" t="s">
        <v>648</v>
      </c>
      <c r="I39" s="496" t="s">
        <v>8</v>
      </c>
      <c r="J39" s="497" t="s">
        <v>736</v>
      </c>
      <c r="K39" s="490"/>
      <c r="L39" s="463" t="s">
        <v>8</v>
      </c>
      <c r="M39" s="459"/>
      <c r="N39" s="461"/>
      <c r="O39" s="461"/>
      <c r="P39" s="461"/>
      <c r="Q39" s="461"/>
      <c r="R39" s="461"/>
      <c r="S39" s="461"/>
      <c r="T39" s="461"/>
      <c r="U39" s="530">
        <v>5832861</v>
      </c>
      <c r="V39" s="530">
        <v>6031177</v>
      </c>
      <c r="W39" s="530">
        <v>6224172</v>
      </c>
      <c r="X39" s="490"/>
      <c r="Y39" s="969"/>
      <c r="Z39" s="969"/>
      <c r="AA39" s="969"/>
      <c r="AB39" s="969"/>
      <c r="AC39" s="969"/>
      <c r="AD39" s="969"/>
      <c r="AE39" s="969" t="str">
        <f t="shared" si="0"/>
        <v>TheewaterskloofEmployee related costs</v>
      </c>
      <c r="AF39" s="969"/>
      <c r="AG39" s="969"/>
    </row>
    <row r="40" spans="2:33" ht="13.2" customHeight="1" x14ac:dyDescent="0.55000000000000004">
      <c r="B40" s="371"/>
      <c r="C40" s="1010" t="s">
        <v>737</v>
      </c>
      <c r="D40" s="361" t="str">
        <f t="shared" si="2"/>
        <v>Executive and Council3200</v>
      </c>
      <c r="E40" s="361" t="str">
        <f t="shared" si="1"/>
        <v>TheewaterskloofExecutive and CouncilRemuneration of councillors</v>
      </c>
      <c r="F40" s="360" t="str">
        <f>'PART C- Municipal Details'!$G$7</f>
        <v>Theewaterskloof</v>
      </c>
      <c r="G40" s="361" t="s">
        <v>101</v>
      </c>
      <c r="H40" s="363" t="s">
        <v>648</v>
      </c>
      <c r="I40" s="496" t="s">
        <v>9</v>
      </c>
      <c r="J40" s="497" t="s">
        <v>710</v>
      </c>
      <c r="K40" s="490"/>
      <c r="L40" s="463" t="s">
        <v>9</v>
      </c>
      <c r="M40" s="459"/>
      <c r="N40" s="461"/>
      <c r="O40" s="461"/>
      <c r="P40" s="461"/>
      <c r="Q40" s="461"/>
      <c r="R40" s="461"/>
      <c r="S40" s="461"/>
      <c r="T40" s="461"/>
      <c r="U40" s="530">
        <v>14271314</v>
      </c>
      <c r="V40" s="530">
        <v>14756538</v>
      </c>
      <c r="W40" s="530">
        <v>15228750</v>
      </c>
      <c r="X40" s="490"/>
      <c r="Y40" s="969"/>
      <c r="Z40" s="969"/>
      <c r="AA40" s="969"/>
      <c r="AB40" s="969"/>
      <c r="AC40" s="969"/>
      <c r="AD40" s="969"/>
      <c r="AE40" s="969" t="str">
        <f t="shared" si="0"/>
        <v>TheewaterskloofRemuneration of councillors</v>
      </c>
      <c r="AF40" s="969"/>
      <c r="AG40" s="969"/>
    </row>
    <row r="41" spans="2:33" ht="13.2" customHeight="1" x14ac:dyDescent="0.55000000000000004">
      <c r="B41" s="371"/>
      <c r="C41" s="1010" t="s">
        <v>738</v>
      </c>
      <c r="D41" s="360" t="str">
        <f t="shared" si="2"/>
        <v>Executive and Council3300</v>
      </c>
      <c r="E41" s="360" t="str">
        <f t="shared" si="1"/>
        <v>TheewaterskloofExecutive and CouncilBulk purchases - electricity</v>
      </c>
      <c r="F41" s="360" t="str">
        <f>'PART C- Municipal Details'!$G$7</f>
        <v>Theewaterskloof</v>
      </c>
      <c r="G41" s="360" t="s">
        <v>101</v>
      </c>
      <c r="H41" s="366" t="s">
        <v>648</v>
      </c>
      <c r="I41" s="496" t="s">
        <v>724</v>
      </c>
      <c r="J41" s="497" t="s">
        <v>635</v>
      </c>
      <c r="K41" s="490"/>
      <c r="L41" s="463" t="s">
        <v>724</v>
      </c>
      <c r="M41" s="459"/>
      <c r="N41" s="461"/>
      <c r="O41" s="461"/>
      <c r="P41" s="461"/>
      <c r="Q41" s="461"/>
      <c r="R41" s="461"/>
      <c r="S41" s="461"/>
      <c r="T41" s="461"/>
      <c r="U41" s="530">
        <v>0</v>
      </c>
      <c r="V41" s="530">
        <v>0</v>
      </c>
      <c r="W41" s="530">
        <v>0</v>
      </c>
      <c r="X41" s="490"/>
      <c r="Y41" s="969"/>
      <c r="Z41" s="969"/>
      <c r="AA41" s="969"/>
      <c r="AB41" s="969"/>
      <c r="AC41" s="969"/>
      <c r="AD41" s="969"/>
      <c r="AE41" s="969" t="str">
        <f t="shared" si="0"/>
        <v>TheewaterskloofBulk purchases - electricity</v>
      </c>
      <c r="AF41" s="969"/>
      <c r="AG41" s="969"/>
    </row>
    <row r="42" spans="2:33" ht="13.2" customHeight="1" x14ac:dyDescent="0.55000000000000004">
      <c r="B42" s="371"/>
      <c r="C42" s="1010" t="s">
        <v>739</v>
      </c>
      <c r="D42" s="361" t="str">
        <f t="shared" si="2"/>
        <v>Executive and Council3400</v>
      </c>
      <c r="E42" s="361" t="str">
        <f t="shared" si="1"/>
        <v>TheewaterskloofExecutive and CouncilInventory consumed</v>
      </c>
      <c r="F42" s="360" t="str">
        <f>'PART C- Municipal Details'!$G$7</f>
        <v>Theewaterskloof</v>
      </c>
      <c r="G42" s="361" t="s">
        <v>101</v>
      </c>
      <c r="H42" s="363" t="s">
        <v>648</v>
      </c>
      <c r="I42" s="496" t="s">
        <v>726</v>
      </c>
      <c r="J42" s="497" t="s">
        <v>740</v>
      </c>
      <c r="K42" s="490"/>
      <c r="L42" s="463" t="s">
        <v>726</v>
      </c>
      <c r="M42" s="459"/>
      <c r="N42" s="461"/>
      <c r="O42" s="461"/>
      <c r="P42" s="461"/>
      <c r="Q42" s="461"/>
      <c r="R42" s="461"/>
      <c r="S42" s="461"/>
      <c r="T42" s="461"/>
      <c r="U42" s="530">
        <v>63000</v>
      </c>
      <c r="V42" s="530">
        <v>65142</v>
      </c>
      <c r="W42" s="530">
        <v>67226</v>
      </c>
      <c r="X42" s="490"/>
      <c r="Y42" s="969"/>
      <c r="Z42" s="969"/>
      <c r="AA42" s="969"/>
      <c r="AB42" s="969"/>
      <c r="AC42" s="969"/>
      <c r="AD42" s="969"/>
      <c r="AE42" s="969" t="str">
        <f t="shared" si="0"/>
        <v>TheewaterskloofInventory consumed</v>
      </c>
      <c r="AF42" s="969"/>
      <c r="AG42" s="969"/>
    </row>
    <row r="43" spans="2:33" ht="13.2" customHeight="1" x14ac:dyDescent="0.55000000000000004">
      <c r="B43" s="371"/>
      <c r="C43" s="1010" t="s">
        <v>741</v>
      </c>
      <c r="D43" s="360" t="str">
        <f t="shared" si="2"/>
        <v>Executive and Council3500</v>
      </c>
      <c r="E43" s="360" t="str">
        <f t="shared" si="1"/>
        <v>TheewaterskloofExecutive and CouncilDebt impairment</v>
      </c>
      <c r="F43" s="360" t="str">
        <f>'PART C- Municipal Details'!$G$7</f>
        <v>Theewaterskloof</v>
      </c>
      <c r="G43" s="360" t="s">
        <v>101</v>
      </c>
      <c r="H43" s="366" t="s">
        <v>648</v>
      </c>
      <c r="I43" s="496" t="s">
        <v>10</v>
      </c>
      <c r="J43" s="497" t="s">
        <v>742</v>
      </c>
      <c r="K43" s="490"/>
      <c r="L43" s="463" t="s">
        <v>10</v>
      </c>
      <c r="M43" s="459"/>
      <c r="N43" s="461"/>
      <c r="O43" s="461"/>
      <c r="P43" s="461"/>
      <c r="Q43" s="461"/>
      <c r="R43" s="461"/>
      <c r="S43" s="461"/>
      <c r="T43" s="461"/>
      <c r="U43" s="530">
        <v>0</v>
      </c>
      <c r="V43" s="530">
        <v>0</v>
      </c>
      <c r="W43" s="530">
        <v>0</v>
      </c>
      <c r="X43" s="490"/>
      <c r="Y43" s="969"/>
      <c r="Z43" s="969"/>
      <c r="AA43" s="969"/>
      <c r="AB43" s="969"/>
      <c r="AC43" s="969"/>
      <c r="AD43" s="969"/>
      <c r="AE43" s="969" t="str">
        <f t="shared" si="0"/>
        <v>TheewaterskloofDebt impairment</v>
      </c>
      <c r="AF43" s="969"/>
      <c r="AG43" s="969"/>
    </row>
    <row r="44" spans="2:33" ht="13.2" customHeight="1" x14ac:dyDescent="0.55000000000000004">
      <c r="B44" s="371"/>
      <c r="C44" s="1010" t="s">
        <v>743</v>
      </c>
      <c r="D44" s="361" t="str">
        <f t="shared" si="2"/>
        <v>Executive and Council3600</v>
      </c>
      <c r="E44" s="361" t="str">
        <f t="shared" si="1"/>
        <v>TheewaterskloofExecutive and CouncilDepreciation and asset impairment</v>
      </c>
      <c r="F44" s="360" t="str">
        <f>'PART C- Municipal Details'!$G$7</f>
        <v>Theewaterskloof</v>
      </c>
      <c r="G44" s="361" t="s">
        <v>101</v>
      </c>
      <c r="H44" s="363" t="s">
        <v>648</v>
      </c>
      <c r="I44" s="496" t="s">
        <v>720</v>
      </c>
      <c r="J44" s="497" t="s">
        <v>744</v>
      </c>
      <c r="K44" s="490"/>
      <c r="L44" s="463" t="s">
        <v>745</v>
      </c>
      <c r="M44" s="459"/>
      <c r="N44" s="461"/>
      <c r="O44" s="461"/>
      <c r="P44" s="461"/>
      <c r="Q44" s="461"/>
      <c r="R44" s="461"/>
      <c r="S44" s="461"/>
      <c r="T44" s="461"/>
      <c r="U44" s="530">
        <v>0</v>
      </c>
      <c r="V44" s="530">
        <v>0</v>
      </c>
      <c r="W44" s="530">
        <v>0</v>
      </c>
      <c r="X44" s="490"/>
      <c r="Y44" s="969"/>
      <c r="Z44" s="969"/>
      <c r="AA44" s="969"/>
      <c r="AB44" s="969"/>
      <c r="AC44" s="969"/>
      <c r="AD44" s="969"/>
      <c r="AE44" s="969" t="str">
        <f t="shared" si="0"/>
        <v>TheewaterskloofDepreciation and amortisation</v>
      </c>
      <c r="AF44" s="969"/>
      <c r="AG44" s="969"/>
    </row>
    <row r="45" spans="2:33" ht="13.2" customHeight="1" x14ac:dyDescent="0.55000000000000004">
      <c r="B45" s="371"/>
      <c r="C45" s="1010" t="s">
        <v>746</v>
      </c>
      <c r="D45" s="360" t="str">
        <f t="shared" si="2"/>
        <v>Executive and Council3700</v>
      </c>
      <c r="E45" s="360" t="str">
        <f t="shared" si="1"/>
        <v>TheewaterskloofExecutive and CouncilFinance charges</v>
      </c>
      <c r="F45" s="360" t="str">
        <f>'PART C- Municipal Details'!$G$7</f>
        <v>Theewaterskloof</v>
      </c>
      <c r="G45" s="360" t="s">
        <v>101</v>
      </c>
      <c r="H45" s="366" t="s">
        <v>648</v>
      </c>
      <c r="I45" s="496" t="s">
        <v>11</v>
      </c>
      <c r="J45" s="497" t="s">
        <v>747</v>
      </c>
      <c r="K45" s="490"/>
      <c r="L45" s="463" t="s">
        <v>687</v>
      </c>
      <c r="M45" s="459"/>
      <c r="N45" s="461"/>
      <c r="O45" s="461"/>
      <c r="P45" s="461"/>
      <c r="Q45" s="461"/>
      <c r="R45" s="461"/>
      <c r="S45" s="461"/>
      <c r="T45" s="461"/>
      <c r="U45" s="530">
        <v>0</v>
      </c>
      <c r="V45" s="530">
        <v>0</v>
      </c>
      <c r="W45" s="530">
        <v>0</v>
      </c>
      <c r="X45" s="490"/>
      <c r="Y45" s="969"/>
      <c r="Z45" s="969"/>
      <c r="AA45" s="969"/>
      <c r="AB45" s="969"/>
      <c r="AC45" s="969"/>
      <c r="AD45" s="969"/>
      <c r="AE45" s="969" t="str">
        <f t="shared" si="0"/>
        <v>TheewaterskloofInterest</v>
      </c>
      <c r="AF45" s="969"/>
      <c r="AG45" s="969"/>
    </row>
    <row r="46" spans="2:33" ht="13.2" customHeight="1" x14ac:dyDescent="0.55000000000000004">
      <c r="B46" s="371"/>
      <c r="C46" s="1010" t="s">
        <v>748</v>
      </c>
      <c r="D46" s="361" t="str">
        <f t="shared" si="2"/>
        <v>Executive and Council3800</v>
      </c>
      <c r="E46" s="361" t="str">
        <f t="shared" si="1"/>
        <v>TheewaterskloofExecutive and CouncilContracted services</v>
      </c>
      <c r="F46" s="360" t="str">
        <f>'PART C- Municipal Details'!$G$7</f>
        <v>Theewaterskloof</v>
      </c>
      <c r="G46" s="361" t="s">
        <v>101</v>
      </c>
      <c r="H46" s="363" t="s">
        <v>648</v>
      </c>
      <c r="I46" s="496" t="s">
        <v>12</v>
      </c>
      <c r="J46" s="497" t="s">
        <v>749</v>
      </c>
      <c r="K46" s="490"/>
      <c r="L46" s="463" t="s">
        <v>12</v>
      </c>
      <c r="M46" s="459"/>
      <c r="N46" s="461"/>
      <c r="O46" s="461"/>
      <c r="P46" s="461"/>
      <c r="Q46" s="461"/>
      <c r="R46" s="461"/>
      <c r="S46" s="461"/>
      <c r="T46" s="461"/>
      <c r="U46" s="530">
        <v>114639</v>
      </c>
      <c r="V46" s="530">
        <v>118537</v>
      </c>
      <c r="W46" s="530">
        <v>122331</v>
      </c>
      <c r="X46" s="490"/>
      <c r="Y46" s="969"/>
      <c r="Z46" s="969"/>
      <c r="AA46" s="969"/>
      <c r="AB46" s="969"/>
      <c r="AC46" s="969"/>
      <c r="AD46" s="969"/>
      <c r="AE46" s="969" t="str">
        <f t="shared" si="0"/>
        <v>TheewaterskloofContracted services</v>
      </c>
      <c r="AF46" s="969"/>
      <c r="AG46" s="969"/>
    </row>
    <row r="47" spans="2:33" ht="13.2" customHeight="1" x14ac:dyDescent="0.55000000000000004">
      <c r="B47" s="371"/>
      <c r="C47" s="1010" t="s">
        <v>750</v>
      </c>
      <c r="D47" s="360" t="str">
        <f t="shared" si="2"/>
        <v>Executive and Council3900</v>
      </c>
      <c r="E47" s="360" t="str">
        <f t="shared" si="1"/>
        <v>TheewaterskloofExecutive and CouncilTransfers and subsidies</v>
      </c>
      <c r="F47" s="360" t="str">
        <f>'PART C- Municipal Details'!$G$7</f>
        <v>Theewaterskloof</v>
      </c>
      <c r="G47" s="360" t="s">
        <v>101</v>
      </c>
      <c r="H47" s="366" t="s">
        <v>648</v>
      </c>
      <c r="I47" s="496" t="s">
        <v>204</v>
      </c>
      <c r="J47" s="497" t="s">
        <v>751</v>
      </c>
      <c r="K47" s="490"/>
      <c r="L47" s="463" t="s">
        <v>204</v>
      </c>
      <c r="M47" s="459"/>
      <c r="N47" s="461"/>
      <c r="O47" s="461"/>
      <c r="P47" s="461"/>
      <c r="Q47" s="461"/>
      <c r="R47" s="461"/>
      <c r="S47" s="461"/>
      <c r="T47" s="461"/>
      <c r="U47" s="530">
        <v>0</v>
      </c>
      <c r="V47" s="530">
        <v>0</v>
      </c>
      <c r="W47" s="530">
        <v>0</v>
      </c>
      <c r="X47" s="490"/>
      <c r="Y47" s="969"/>
      <c r="Z47" s="969"/>
      <c r="AA47" s="969"/>
      <c r="AB47" s="969"/>
      <c r="AC47" s="969"/>
      <c r="AD47" s="969"/>
      <c r="AE47" s="969" t="str">
        <f t="shared" si="0"/>
        <v>TheewaterskloofTransfers and subsidies</v>
      </c>
      <c r="AF47" s="969"/>
      <c r="AG47" s="969"/>
    </row>
    <row r="48" spans="2:33" ht="13.2" customHeight="1" x14ac:dyDescent="0.55000000000000004">
      <c r="B48" s="371"/>
      <c r="C48" s="1010" t="s">
        <v>752</v>
      </c>
      <c r="D48" s="361" t="str">
        <f t="shared" si="2"/>
        <v>Executive and Council4000</v>
      </c>
      <c r="E48" s="361" t="str">
        <f t="shared" si="1"/>
        <v>TheewaterskloofExecutive and CouncilOther expenditure</v>
      </c>
      <c r="F48" s="360" t="str">
        <f>'PART C- Municipal Details'!$G$7</f>
        <v>Theewaterskloof</v>
      </c>
      <c r="G48" s="361" t="s">
        <v>101</v>
      </c>
      <c r="H48" s="363" t="s">
        <v>648</v>
      </c>
      <c r="I48" s="496" t="s">
        <v>13</v>
      </c>
      <c r="J48" s="497" t="s">
        <v>753</v>
      </c>
      <c r="K48" s="490"/>
      <c r="L48" s="463" t="s">
        <v>754</v>
      </c>
      <c r="M48" s="459"/>
      <c r="N48" s="461"/>
      <c r="O48" s="461"/>
      <c r="P48" s="461"/>
      <c r="Q48" s="461"/>
      <c r="R48" s="461"/>
      <c r="S48" s="461"/>
      <c r="T48" s="461"/>
      <c r="U48" s="530">
        <v>0</v>
      </c>
      <c r="V48" s="530">
        <v>0</v>
      </c>
      <c r="W48" s="530">
        <v>0</v>
      </c>
      <c r="X48" s="490"/>
      <c r="Y48" s="969"/>
      <c r="Z48" s="969"/>
      <c r="AA48" s="969"/>
      <c r="AB48" s="969"/>
      <c r="AC48" s="969"/>
      <c r="AD48" s="969"/>
      <c r="AE48" s="969" t="str">
        <f t="shared" si="0"/>
        <v>TheewaterskloofIrrecoverable debts written off</v>
      </c>
      <c r="AF48" s="969"/>
      <c r="AG48" s="969"/>
    </row>
    <row r="49" spans="2:33" ht="13.2" customHeight="1" x14ac:dyDescent="0.55000000000000004">
      <c r="B49" s="371"/>
      <c r="C49" s="1010" t="s">
        <v>755</v>
      </c>
      <c r="D49" s="360" t="str">
        <f t="shared" si="2"/>
        <v>Executive and Council4100</v>
      </c>
      <c r="E49" s="360" t="str">
        <f t="shared" si="1"/>
        <v>TheewaterskloofExecutive and CouncilOther expenditure</v>
      </c>
      <c r="F49" s="360" t="str">
        <f>'PART C- Municipal Details'!$G$7</f>
        <v>Theewaterskloof</v>
      </c>
      <c r="G49" s="360" t="s">
        <v>101</v>
      </c>
      <c r="H49" s="366" t="s">
        <v>648</v>
      </c>
      <c r="I49" s="496" t="s">
        <v>13</v>
      </c>
      <c r="J49" s="497" t="s">
        <v>756</v>
      </c>
      <c r="K49" s="490"/>
      <c r="L49" s="463" t="s">
        <v>757</v>
      </c>
      <c r="M49" s="459"/>
      <c r="N49" s="461"/>
      <c r="O49" s="461"/>
      <c r="P49" s="461"/>
      <c r="Q49" s="461"/>
      <c r="R49" s="461"/>
      <c r="S49" s="461"/>
      <c r="T49" s="461"/>
      <c r="U49" s="530">
        <v>843930</v>
      </c>
      <c r="V49" s="530">
        <v>872623</v>
      </c>
      <c r="W49" s="530">
        <v>900546</v>
      </c>
      <c r="X49" s="490"/>
      <c r="Y49" s="969"/>
      <c r="Z49" s="969"/>
      <c r="AA49" s="969"/>
      <c r="AB49" s="969"/>
      <c r="AC49" s="969"/>
      <c r="AD49" s="969"/>
      <c r="AE49" s="969" t="str">
        <f t="shared" si="0"/>
        <v>TheewaterskloofOperational costs</v>
      </c>
      <c r="AF49" s="969"/>
      <c r="AG49" s="969"/>
    </row>
    <row r="50" spans="2:33" ht="13.2" customHeight="1" x14ac:dyDescent="0.55000000000000004">
      <c r="B50" s="371"/>
      <c r="C50" s="1010" t="s">
        <v>758</v>
      </c>
      <c r="D50" s="361" t="str">
        <f t="shared" si="2"/>
        <v>Executive and Council4200</v>
      </c>
      <c r="E50" s="361" t="str">
        <f t="shared" si="1"/>
        <v>TheewaterskloofExecutive and CouncilLosses</v>
      </c>
      <c r="F50" s="360" t="str">
        <f>'PART C- Municipal Details'!$G$7</f>
        <v>Theewaterskloof</v>
      </c>
      <c r="G50" s="361" t="s">
        <v>101</v>
      </c>
      <c r="H50" s="363" t="s">
        <v>648</v>
      </c>
      <c r="I50" s="496" t="s">
        <v>734</v>
      </c>
      <c r="J50" s="497" t="s">
        <v>759</v>
      </c>
      <c r="K50" s="490"/>
      <c r="L50" s="463" t="s">
        <v>760</v>
      </c>
      <c r="M50" s="459"/>
      <c r="N50" s="461"/>
      <c r="O50" s="461"/>
      <c r="P50" s="461"/>
      <c r="Q50" s="461"/>
      <c r="R50" s="461"/>
      <c r="S50" s="461"/>
      <c r="T50" s="461"/>
      <c r="U50" s="530">
        <v>0</v>
      </c>
      <c r="V50" s="530">
        <v>0</v>
      </c>
      <c r="W50" s="530">
        <v>0</v>
      </c>
      <c r="X50" s="490"/>
      <c r="Y50" s="969"/>
      <c r="Z50" s="969"/>
      <c r="AA50" s="969"/>
      <c r="AB50" s="969"/>
      <c r="AC50" s="969"/>
      <c r="AD50" s="969"/>
      <c r="AE50" s="969" t="str">
        <f t="shared" si="0"/>
        <v>TheewaterskloofLosses on disposal of Assets</v>
      </c>
      <c r="AF50" s="969"/>
      <c r="AG50" s="969"/>
    </row>
    <row r="51" spans="2:33" ht="13.2" customHeight="1" x14ac:dyDescent="0.55000000000000004">
      <c r="B51" s="371"/>
      <c r="C51" s="1010" t="s">
        <v>761</v>
      </c>
      <c r="D51" s="360" t="str">
        <f t="shared" si="2"/>
        <v>Executive and Council4300</v>
      </c>
      <c r="E51" s="360" t="str">
        <f t="shared" si="1"/>
        <v>TheewaterskloofExecutive and CouncilOther expenditure</v>
      </c>
      <c r="F51" s="360" t="str">
        <f>'PART C- Municipal Details'!$G$7</f>
        <v>Theewaterskloof</v>
      </c>
      <c r="G51" s="360" t="s">
        <v>101</v>
      </c>
      <c r="H51" s="366" t="s">
        <v>648</v>
      </c>
      <c r="I51" s="496" t="s">
        <v>13</v>
      </c>
      <c r="J51" s="497" t="s">
        <v>762</v>
      </c>
      <c r="K51" s="490"/>
      <c r="L51" s="463" t="s">
        <v>763</v>
      </c>
      <c r="M51" s="459"/>
      <c r="N51" s="461"/>
      <c r="O51" s="461"/>
      <c r="P51" s="461"/>
      <c r="Q51" s="461"/>
      <c r="R51" s="461"/>
      <c r="S51" s="461"/>
      <c r="T51" s="461"/>
      <c r="U51" s="530">
        <v>0</v>
      </c>
      <c r="V51" s="530">
        <v>0</v>
      </c>
      <c r="W51" s="530">
        <v>0</v>
      </c>
      <c r="X51" s="490"/>
      <c r="Y51" s="969"/>
      <c r="Z51" s="969"/>
      <c r="AA51" s="969"/>
      <c r="AB51" s="969"/>
      <c r="AC51" s="969"/>
      <c r="AD51" s="969"/>
      <c r="AE51" s="969" t="str">
        <f t="shared" si="0"/>
        <v>TheewaterskloofOther Losses</v>
      </c>
      <c r="AF51" s="969"/>
      <c r="AG51" s="969"/>
    </row>
    <row r="52" spans="2:33" ht="13.2" customHeight="1" x14ac:dyDescent="0.55000000000000004">
      <c r="B52" s="371"/>
      <c r="C52" s="1009" t="s">
        <v>764</v>
      </c>
      <c r="D52" s="361" t="str">
        <f t="shared" si="2"/>
        <v>Executive and Council4400</v>
      </c>
      <c r="E52" s="361" t="str">
        <f t="shared" si="1"/>
        <v>TheewaterskloofExecutive and CouncilTotal Expenditure</v>
      </c>
      <c r="F52" s="360" t="str">
        <f>'PART C- Municipal Details'!$G$7</f>
        <v>Theewaterskloof</v>
      </c>
      <c r="G52" s="361" t="s">
        <v>101</v>
      </c>
      <c r="H52" s="363" t="s">
        <v>648</v>
      </c>
      <c r="I52" s="496" t="s">
        <v>736</v>
      </c>
      <c r="J52" s="497" t="s">
        <v>765</v>
      </c>
      <c r="K52" s="490"/>
      <c r="L52" s="508" t="s">
        <v>736</v>
      </c>
      <c r="M52" s="509"/>
      <c r="N52" s="510"/>
      <c r="O52" s="510"/>
      <c r="P52" s="510"/>
      <c r="Q52" s="510"/>
      <c r="R52" s="510"/>
      <c r="S52" s="510"/>
      <c r="T52" s="511"/>
      <c r="U52" s="529">
        <v>21125744</v>
      </c>
      <c r="V52" s="529">
        <v>21844017</v>
      </c>
      <c r="W52" s="529">
        <v>22543025</v>
      </c>
      <c r="X52" s="490"/>
      <c r="Y52" s="969"/>
      <c r="Z52" s="969"/>
      <c r="AA52" s="969"/>
      <c r="AB52" s="969"/>
      <c r="AC52" s="969"/>
      <c r="AD52" s="969"/>
      <c r="AE52" s="969" t="str">
        <f t="shared" si="0"/>
        <v>TheewaterskloofTotal Expenditure</v>
      </c>
      <c r="AF52" s="969"/>
      <c r="AG52" s="969"/>
    </row>
    <row r="53" spans="2:33" ht="13.2" customHeight="1" x14ac:dyDescent="0.55000000000000004">
      <c r="B53" s="371"/>
      <c r="C53" s="1009" t="s">
        <v>766</v>
      </c>
      <c r="D53" s="360" t="str">
        <f t="shared" si="2"/>
        <v>Executive and Council4500</v>
      </c>
      <c r="E53" s="360" t="str">
        <f t="shared" si="1"/>
        <v>TheewaterskloofExecutive and CouncilSurplus/(Deficit)</v>
      </c>
      <c r="F53" s="360" t="str">
        <f>'PART C- Municipal Details'!$G$7</f>
        <v>Theewaterskloof</v>
      </c>
      <c r="G53" s="360" t="s">
        <v>101</v>
      </c>
      <c r="H53" s="366" t="s">
        <v>648</v>
      </c>
      <c r="I53" s="496" t="s">
        <v>635</v>
      </c>
      <c r="J53" s="497" t="s">
        <v>767</v>
      </c>
      <c r="K53" s="490"/>
      <c r="L53" s="463" t="s">
        <v>635</v>
      </c>
      <c r="M53" s="459"/>
      <c r="N53" s="459"/>
      <c r="O53" s="459"/>
      <c r="P53" s="459"/>
      <c r="Q53" s="459"/>
      <c r="R53" s="459"/>
      <c r="S53" s="459"/>
      <c r="T53" s="459"/>
      <c r="U53" s="530">
        <v>-21007744</v>
      </c>
      <c r="V53" s="530">
        <v>-21722005</v>
      </c>
      <c r="W53" s="530">
        <v>-22417109</v>
      </c>
      <c r="X53" s="490"/>
      <c r="Y53" s="969"/>
      <c r="Z53" s="969"/>
      <c r="AA53" s="969"/>
      <c r="AB53" s="969"/>
      <c r="AC53" s="969"/>
      <c r="AD53" s="969"/>
      <c r="AE53" s="969" t="str">
        <f t="shared" si="0"/>
        <v>TheewaterskloofSurplus/(Deficit)</v>
      </c>
      <c r="AF53" s="969"/>
      <c r="AG53" s="969"/>
    </row>
    <row r="54" spans="2:33" ht="13.2" customHeight="1" x14ac:dyDescent="0.55000000000000004">
      <c r="B54" s="371"/>
      <c r="C54" s="1010" t="s">
        <v>768</v>
      </c>
      <c r="D54" s="361" t="str">
        <f t="shared" si="2"/>
        <v>Executive and Council4600</v>
      </c>
      <c r="E54" s="361" t="str">
        <f t="shared" si="1"/>
        <v>TheewaterskloofExecutive and CouncilTransfers and subsidies - capital (monetary allocations) (National / Provincial and District)</v>
      </c>
      <c r="F54" s="360" t="str">
        <f>'PART C- Municipal Details'!$G$7</f>
        <v>Theewaterskloof</v>
      </c>
      <c r="G54" s="361" t="s">
        <v>101</v>
      </c>
      <c r="H54" s="363" t="s">
        <v>648</v>
      </c>
      <c r="I54" s="496" t="s">
        <v>740</v>
      </c>
      <c r="J54" s="497" t="s">
        <v>769</v>
      </c>
      <c r="K54" s="490"/>
      <c r="L54" s="463" t="s">
        <v>770</v>
      </c>
      <c r="M54" s="459"/>
      <c r="N54" s="459"/>
      <c r="O54" s="459"/>
      <c r="P54" s="459"/>
      <c r="Q54" s="459"/>
      <c r="R54" s="459"/>
      <c r="S54" s="459"/>
      <c r="T54" s="459"/>
      <c r="U54" s="530">
        <v>0</v>
      </c>
      <c r="V54" s="530">
        <v>0</v>
      </c>
      <c r="W54" s="530">
        <v>0</v>
      </c>
      <c r="X54" s="490"/>
      <c r="Y54" s="969"/>
      <c r="Z54" s="969"/>
      <c r="AA54" s="969"/>
      <c r="AB54" s="969"/>
      <c r="AC54" s="969"/>
      <c r="AD54" s="969"/>
      <c r="AE54" s="969" t="str">
        <f t="shared" si="0"/>
        <v>TheewaterskloofTransfers and subsidies - capital (monetary allocations)</v>
      </c>
      <c r="AF54" s="969"/>
      <c r="AG54" s="969"/>
    </row>
    <row r="55" spans="2:33" ht="13.2" customHeight="1" x14ac:dyDescent="0.55000000000000004">
      <c r="B55" s="371"/>
      <c r="C55" s="1010" t="s">
        <v>771</v>
      </c>
      <c r="D55" s="360" t="str">
        <f t="shared" si="2"/>
        <v>Executive and Council4700</v>
      </c>
      <c r="E55" s="360" t="str">
        <f t="shared" si="1"/>
        <v>TheewaterskloofExecutive and CouncilTransfers and subsidies - capital (in-kind - all)</v>
      </c>
      <c r="F55" s="360" t="str">
        <f>'PART C- Municipal Details'!$G$7</f>
        <v>Theewaterskloof</v>
      </c>
      <c r="G55" s="360" t="s">
        <v>101</v>
      </c>
      <c r="H55" s="366" t="s">
        <v>648</v>
      </c>
      <c r="I55" s="496" t="s">
        <v>744</v>
      </c>
      <c r="J55" s="497" t="s">
        <v>772</v>
      </c>
      <c r="K55" s="490"/>
      <c r="L55" s="463" t="s">
        <v>773</v>
      </c>
      <c r="M55" s="459"/>
      <c r="N55" s="459"/>
      <c r="O55" s="459"/>
      <c r="P55" s="459"/>
      <c r="Q55" s="459"/>
      <c r="R55" s="459"/>
      <c r="S55" s="459"/>
      <c r="T55" s="459"/>
      <c r="U55" s="530">
        <v>0</v>
      </c>
      <c r="V55" s="530">
        <v>0</v>
      </c>
      <c r="W55" s="530">
        <v>0</v>
      </c>
      <c r="X55" s="490"/>
      <c r="Y55" s="969"/>
      <c r="Z55" s="969"/>
      <c r="AA55" s="969"/>
      <c r="AB55" s="969"/>
      <c r="AC55" s="969"/>
      <c r="AD55" s="969"/>
      <c r="AE55" s="969" t="str">
        <f t="shared" si="0"/>
        <v>TheewaterskloofTransfers and subsidies - capital (in-kind)</v>
      </c>
      <c r="AF55" s="969"/>
      <c r="AG55" s="969"/>
    </row>
    <row r="56" spans="2:33" ht="13.2" customHeight="1" x14ac:dyDescent="0.55000000000000004">
      <c r="B56" s="371"/>
      <c r="C56" s="1009" t="s">
        <v>774</v>
      </c>
      <c r="D56" s="361" t="str">
        <f t="shared" si="2"/>
        <v>Executive and Council4800</v>
      </c>
      <c r="E56" s="361" t="str">
        <f t="shared" si="1"/>
        <v>TheewaterskloofExecutive and CouncilSurplus/(Deficit) after capital transfers and contributions</v>
      </c>
      <c r="F56" s="360" t="str">
        <f>'PART C- Municipal Details'!$G$7</f>
        <v>Theewaterskloof</v>
      </c>
      <c r="G56" s="361" t="s">
        <v>101</v>
      </c>
      <c r="H56" s="363" t="s">
        <v>648</v>
      </c>
      <c r="I56" s="496" t="s">
        <v>747</v>
      </c>
      <c r="J56" s="497" t="s">
        <v>775</v>
      </c>
      <c r="K56" s="490"/>
      <c r="L56" s="463" t="s">
        <v>747</v>
      </c>
      <c r="M56" s="459"/>
      <c r="N56" s="459"/>
      <c r="O56" s="459"/>
      <c r="P56" s="459"/>
      <c r="Q56" s="459"/>
      <c r="R56" s="459"/>
      <c r="S56" s="459"/>
      <c r="T56" s="459"/>
      <c r="U56" s="530">
        <v>-21007744</v>
      </c>
      <c r="V56" s="530">
        <v>-21722005</v>
      </c>
      <c r="W56" s="530">
        <v>-22417109</v>
      </c>
      <c r="X56" s="490"/>
      <c r="Y56" s="969"/>
      <c r="Z56" s="969"/>
      <c r="AA56" s="969"/>
      <c r="AB56" s="969"/>
      <c r="AC56" s="969"/>
      <c r="AD56" s="969"/>
      <c r="AE56" s="969" t="str">
        <f t="shared" si="0"/>
        <v>TheewaterskloofSurplus/(Deficit) after capital transfers and contributions</v>
      </c>
      <c r="AF56" s="969"/>
      <c r="AG56" s="969"/>
    </row>
    <row r="57" spans="2:33" ht="13.2" customHeight="1" x14ac:dyDescent="0.55000000000000004">
      <c r="B57" s="371"/>
      <c r="C57" s="1010" t="s">
        <v>776</v>
      </c>
      <c r="D57" s="360" t="str">
        <f t="shared" si="2"/>
        <v>Executive and Council4900</v>
      </c>
      <c r="E57" s="360" t="str">
        <f t="shared" si="1"/>
        <v>TheewaterskloofExecutive and CouncilTaxation</v>
      </c>
      <c r="F57" s="360" t="str">
        <f>'PART C- Municipal Details'!$G$7</f>
        <v>Theewaterskloof</v>
      </c>
      <c r="G57" s="360" t="s">
        <v>101</v>
      </c>
      <c r="H57" s="366" t="s">
        <v>648</v>
      </c>
      <c r="I57" s="496" t="s">
        <v>749</v>
      </c>
      <c r="J57" s="497" t="s">
        <v>777</v>
      </c>
      <c r="K57" s="490"/>
      <c r="L57" s="463" t="s">
        <v>778</v>
      </c>
      <c r="M57" s="459"/>
      <c r="N57" s="459"/>
      <c r="O57" s="459"/>
      <c r="P57" s="459"/>
      <c r="Q57" s="459"/>
      <c r="R57" s="459"/>
      <c r="S57" s="459"/>
      <c r="T57" s="459"/>
      <c r="U57" s="530">
        <v>0</v>
      </c>
      <c r="V57" s="530">
        <v>0</v>
      </c>
      <c r="W57" s="530">
        <v>0</v>
      </c>
      <c r="X57" s="490"/>
      <c r="Y57" s="969"/>
      <c r="Z57" s="969"/>
      <c r="AA57" s="969"/>
      <c r="AB57" s="969"/>
      <c r="AC57" s="969"/>
      <c r="AD57" s="969"/>
      <c r="AE57" s="969" t="str">
        <f t="shared" si="0"/>
        <v>TheewaterskloofIncome Tax</v>
      </c>
      <c r="AF57" s="969"/>
      <c r="AG57" s="969"/>
    </row>
    <row r="58" spans="2:33" ht="13.2" customHeight="1" x14ac:dyDescent="0.55000000000000004">
      <c r="B58" s="371"/>
      <c r="C58" s="1009" t="s">
        <v>779</v>
      </c>
      <c r="D58" s="361" t="str">
        <f t="shared" si="2"/>
        <v>Executive and Council5000</v>
      </c>
      <c r="E58" s="361" t="str">
        <f t="shared" si="1"/>
        <v>TheewaterskloofExecutive and CouncilSurplus/(Deficit) after taxation</v>
      </c>
      <c r="F58" s="360" t="str">
        <f>'PART C- Municipal Details'!$G$7</f>
        <v>Theewaterskloof</v>
      </c>
      <c r="G58" s="361" t="s">
        <v>101</v>
      </c>
      <c r="H58" s="363" t="s">
        <v>648</v>
      </c>
      <c r="I58" s="496" t="s">
        <v>751</v>
      </c>
      <c r="J58" s="497" t="s">
        <v>780</v>
      </c>
      <c r="K58" s="490"/>
      <c r="L58" s="463" t="s">
        <v>781</v>
      </c>
      <c r="M58" s="459"/>
      <c r="N58" s="459"/>
      <c r="O58" s="459"/>
      <c r="P58" s="459"/>
      <c r="Q58" s="459"/>
      <c r="R58" s="459"/>
      <c r="S58" s="459"/>
      <c r="T58" s="459"/>
      <c r="U58" s="530">
        <v>-21007744</v>
      </c>
      <c r="V58" s="530">
        <v>-21722005</v>
      </c>
      <c r="W58" s="530">
        <v>-22417109</v>
      </c>
      <c r="X58" s="490"/>
      <c r="Y58" s="969"/>
      <c r="Z58" s="969"/>
      <c r="AA58" s="969"/>
      <c r="AB58" s="969"/>
      <c r="AC58" s="969"/>
      <c r="AD58" s="969"/>
      <c r="AE58" s="969" t="str">
        <f t="shared" si="0"/>
        <v>TheewaterskloofSurplus/(Deficit) after income tax</v>
      </c>
      <c r="AF58" s="969"/>
      <c r="AG58" s="969"/>
    </row>
    <row r="59" spans="2:33" ht="13.2" customHeight="1" x14ac:dyDescent="0.55000000000000004">
      <c r="B59" s="371"/>
      <c r="C59" s="1010" t="s">
        <v>782</v>
      </c>
      <c r="D59" s="360" t="str">
        <f t="shared" si="2"/>
        <v>Executive and Council5100</v>
      </c>
      <c r="E59" s="360" t="str">
        <f t="shared" si="1"/>
        <v>TheewaterskloofExecutive and CouncilShare of Surplus/Deficit attributable to Joint Venture</v>
      </c>
      <c r="F59" s="360" t="str">
        <f>'PART C- Municipal Details'!$G$7</f>
        <v>Theewaterskloof</v>
      </c>
      <c r="G59" s="360" t="s">
        <v>101</v>
      </c>
      <c r="H59" s="366" t="s">
        <v>648</v>
      </c>
      <c r="I59" s="496" t="s">
        <v>783</v>
      </c>
      <c r="J59" s="497" t="s">
        <v>784</v>
      </c>
      <c r="K59" s="490"/>
      <c r="L59" s="463" t="s">
        <v>783</v>
      </c>
      <c r="M59" s="459"/>
      <c r="N59" s="459"/>
      <c r="O59" s="459"/>
      <c r="P59" s="459"/>
      <c r="Q59" s="459"/>
      <c r="R59" s="459"/>
      <c r="S59" s="459"/>
      <c r="T59" s="459"/>
      <c r="U59" s="530">
        <v>0</v>
      </c>
      <c r="V59" s="530">
        <v>0</v>
      </c>
      <c r="W59" s="530">
        <v>0</v>
      </c>
      <c r="X59" s="490"/>
      <c r="Y59" s="969"/>
      <c r="Z59" s="969"/>
      <c r="AA59" s="969"/>
      <c r="AB59" s="969"/>
      <c r="AC59" s="969"/>
      <c r="AD59" s="969"/>
      <c r="AE59" s="969" t="str">
        <f t="shared" si="0"/>
        <v>TheewaterskloofShare of Surplus/Deficit attributable to Joint Venture</v>
      </c>
      <c r="AF59" s="969"/>
      <c r="AG59" s="969"/>
    </row>
    <row r="60" spans="2:33" ht="13.2" customHeight="1" x14ac:dyDescent="0.55000000000000004">
      <c r="B60" s="371"/>
      <c r="C60" s="1010" t="s">
        <v>785</v>
      </c>
      <c r="D60" s="361" t="str">
        <f t="shared" si="2"/>
        <v>Executive and Council5200</v>
      </c>
      <c r="E60" s="361" t="str">
        <f t="shared" si="1"/>
        <v>TheewaterskloofExecutive and CouncilAttributable to minorities</v>
      </c>
      <c r="F60" s="360" t="str">
        <f>'PART C- Municipal Details'!$G$7</f>
        <v>Theewaterskloof</v>
      </c>
      <c r="G60" s="361" t="s">
        <v>101</v>
      </c>
      <c r="H60" s="363" t="s">
        <v>648</v>
      </c>
      <c r="I60" s="496" t="s">
        <v>753</v>
      </c>
      <c r="J60" s="497" t="s">
        <v>786</v>
      </c>
      <c r="K60" s="490"/>
      <c r="L60" s="463" t="s">
        <v>787</v>
      </c>
      <c r="M60" s="459"/>
      <c r="N60" s="459"/>
      <c r="O60" s="459"/>
      <c r="P60" s="459"/>
      <c r="Q60" s="459"/>
      <c r="R60" s="459"/>
      <c r="S60" s="459"/>
      <c r="T60" s="459"/>
      <c r="U60" s="530">
        <v>0</v>
      </c>
      <c r="V60" s="530">
        <v>0</v>
      </c>
      <c r="W60" s="530">
        <v>0</v>
      </c>
      <c r="X60" s="490"/>
      <c r="Y60" s="969"/>
      <c r="Z60" s="969"/>
      <c r="AA60" s="969"/>
      <c r="AB60" s="969"/>
      <c r="AC60" s="969"/>
      <c r="AD60" s="969"/>
      <c r="AE60" s="969" t="str">
        <f t="shared" si="0"/>
        <v>TheewaterskloofShare of Surplus/Deficit attributable to Minorities</v>
      </c>
      <c r="AF60" s="969"/>
      <c r="AG60" s="969"/>
    </row>
    <row r="61" spans="2:33" ht="13.2" customHeight="1" x14ac:dyDescent="0.55000000000000004">
      <c r="B61" s="371"/>
      <c r="C61" s="1009" t="s">
        <v>788</v>
      </c>
      <c r="D61" s="360" t="str">
        <f t="shared" si="2"/>
        <v>Executive and Council5300</v>
      </c>
      <c r="E61" s="360" t="str">
        <f t="shared" si="1"/>
        <v>TheewaterskloofExecutive and CouncilSurplus/(Deficit) attributable to municipality</v>
      </c>
      <c r="F61" s="360" t="str">
        <f>'PART C- Municipal Details'!$G$7</f>
        <v>Theewaterskloof</v>
      </c>
      <c r="G61" s="360" t="s">
        <v>101</v>
      </c>
      <c r="H61" s="366" t="s">
        <v>648</v>
      </c>
      <c r="I61" s="496" t="s">
        <v>756</v>
      </c>
      <c r="J61" s="497" t="s">
        <v>789</v>
      </c>
      <c r="K61" s="490"/>
      <c r="L61" s="463" t="s">
        <v>756</v>
      </c>
      <c r="M61" s="459"/>
      <c r="N61" s="459"/>
      <c r="O61" s="459"/>
      <c r="P61" s="459"/>
      <c r="Q61" s="459"/>
      <c r="R61" s="459"/>
      <c r="S61" s="459"/>
      <c r="T61" s="459"/>
      <c r="U61" s="530">
        <v>-21007744</v>
      </c>
      <c r="V61" s="530">
        <v>-21722005</v>
      </c>
      <c r="W61" s="530">
        <v>-22417109</v>
      </c>
      <c r="X61" s="490"/>
      <c r="Y61" s="969"/>
      <c r="Z61" s="969"/>
      <c r="AA61" s="969"/>
      <c r="AB61" s="969"/>
      <c r="AC61" s="969"/>
      <c r="AD61" s="969"/>
      <c r="AE61" s="969" t="str">
        <f t="shared" si="0"/>
        <v>TheewaterskloofSurplus/(Deficit) attributable to municipality</v>
      </c>
      <c r="AF61" s="969"/>
      <c r="AG61" s="969"/>
    </row>
    <row r="62" spans="2:33" ht="13.2" customHeight="1" x14ac:dyDescent="0.55000000000000004">
      <c r="B62" s="371"/>
      <c r="C62" s="1010" t="s">
        <v>790</v>
      </c>
      <c r="D62" s="361" t="str">
        <f t="shared" si="2"/>
        <v>Executive and Council5400</v>
      </c>
      <c r="E62" s="361" t="str">
        <f t="shared" si="1"/>
        <v>TheewaterskloofExecutive and CouncilShare of surplus/ (deficit) of associate</v>
      </c>
      <c r="F62" s="360" t="str">
        <f>'PART C- Municipal Details'!$G$7</f>
        <v>Theewaterskloof</v>
      </c>
      <c r="G62" s="361" t="s">
        <v>101</v>
      </c>
      <c r="H62" s="363" t="s">
        <v>648</v>
      </c>
      <c r="I62" s="496" t="s">
        <v>759</v>
      </c>
      <c r="J62" s="497" t="s">
        <v>789</v>
      </c>
      <c r="K62" s="490"/>
      <c r="L62" s="463" t="s">
        <v>791</v>
      </c>
      <c r="M62" s="459"/>
      <c r="N62" s="459"/>
      <c r="O62" s="459"/>
      <c r="P62" s="459"/>
      <c r="Q62" s="459"/>
      <c r="R62" s="459"/>
      <c r="S62" s="459"/>
      <c r="T62" s="459"/>
      <c r="U62" s="530">
        <v>0</v>
      </c>
      <c r="V62" s="530">
        <v>0</v>
      </c>
      <c r="W62" s="530">
        <v>0</v>
      </c>
      <c r="X62" s="490"/>
      <c r="Y62" s="969"/>
      <c r="Z62" s="969"/>
      <c r="AA62" s="969"/>
      <c r="AB62" s="969"/>
      <c r="AC62" s="969"/>
      <c r="AD62" s="969"/>
      <c r="AE62" s="969" t="str">
        <f t="shared" si="0"/>
        <v>TheewaterskloofShare of Surplus/Deficit attributable to Associate</v>
      </c>
      <c r="AF62" s="969"/>
      <c r="AG62" s="969"/>
    </row>
    <row r="63" spans="2:33" ht="13.2" customHeight="1" x14ac:dyDescent="0.55000000000000004">
      <c r="B63" s="371"/>
      <c r="C63" s="1010" t="s">
        <v>792</v>
      </c>
      <c r="D63" s="360" t="str">
        <f t="shared" si="2"/>
        <v>Executive and Council5500</v>
      </c>
      <c r="E63" s="360" t="str">
        <f t="shared" si="1"/>
        <v>TheewaterskloofExecutive and CouncilIntercompany/Parent subsidiary transactions</v>
      </c>
      <c r="F63" s="360" t="str">
        <f>'PART C- Municipal Details'!$G$7</f>
        <v>Theewaterskloof</v>
      </c>
      <c r="G63" s="360" t="s">
        <v>101</v>
      </c>
      <c r="H63" s="366" t="s">
        <v>648</v>
      </c>
      <c r="I63" s="496" t="s">
        <v>793</v>
      </c>
      <c r="J63" s="497" t="s">
        <v>789</v>
      </c>
      <c r="K63" s="490"/>
      <c r="L63" s="463" t="s">
        <v>793</v>
      </c>
      <c r="M63" s="459"/>
      <c r="N63" s="459"/>
      <c r="O63" s="459"/>
      <c r="P63" s="459"/>
      <c r="Q63" s="459"/>
      <c r="R63" s="459"/>
      <c r="S63" s="459"/>
      <c r="T63" s="459"/>
      <c r="U63" s="530">
        <v>0</v>
      </c>
      <c r="V63" s="530">
        <v>0</v>
      </c>
      <c r="W63" s="530">
        <v>0</v>
      </c>
      <c r="X63" s="490"/>
      <c r="Y63" s="969"/>
      <c r="Z63" s="969"/>
      <c r="AA63" s="969"/>
      <c r="AB63" s="969"/>
      <c r="AC63" s="969"/>
      <c r="AD63" s="969"/>
      <c r="AE63" s="969" t="str">
        <f t="shared" si="0"/>
        <v>TheewaterskloofIntercompany/Parent subsidiary transactions</v>
      </c>
      <c r="AF63" s="969"/>
      <c r="AG63" s="969"/>
    </row>
    <row r="64" spans="2:33" ht="13.2" customHeight="1" x14ac:dyDescent="0.55000000000000004">
      <c r="B64" s="371"/>
      <c r="C64" s="1009" t="s">
        <v>794</v>
      </c>
      <c r="D64" s="361" t="str">
        <f t="shared" si="2"/>
        <v>Executive and Council5600</v>
      </c>
      <c r="E64" s="361" t="str">
        <f t="shared" si="1"/>
        <v>TheewaterskloofExecutive and CouncilSurplus/(Deficit) for the year</v>
      </c>
      <c r="F64" s="360" t="str">
        <f>'PART C- Municipal Details'!$G$7</f>
        <v>Theewaterskloof</v>
      </c>
      <c r="G64" s="361" t="s">
        <v>101</v>
      </c>
      <c r="H64" s="363" t="s">
        <v>648</v>
      </c>
      <c r="I64" s="496" t="s">
        <v>762</v>
      </c>
      <c r="J64" s="497" t="s">
        <v>789</v>
      </c>
      <c r="K64" s="490"/>
      <c r="L64" s="508" t="s">
        <v>762</v>
      </c>
      <c r="M64" s="509"/>
      <c r="N64" s="510"/>
      <c r="O64" s="510"/>
      <c r="P64" s="510"/>
      <c r="Q64" s="510"/>
      <c r="R64" s="510"/>
      <c r="S64" s="510"/>
      <c r="T64" s="511"/>
      <c r="U64" s="530">
        <v>0</v>
      </c>
      <c r="V64" s="530">
        <v>0</v>
      </c>
      <c r="W64" s="530">
        <v>0</v>
      </c>
      <c r="X64" s="490"/>
      <c r="Y64" s="969"/>
      <c r="Z64" s="969"/>
      <c r="AA64" s="969"/>
      <c r="AB64" s="969"/>
      <c r="AC64" s="969"/>
      <c r="AD64" s="969"/>
      <c r="AE64" s="969" t="str">
        <f t="shared" si="0"/>
        <v>TheewaterskloofSurplus/(Deficit) for the year</v>
      </c>
      <c r="AF64" s="969"/>
      <c r="AG64" s="969"/>
    </row>
    <row r="65" spans="2:33" ht="13.2" customHeight="1" x14ac:dyDescent="0.55000000000000004">
      <c r="B65" s="371"/>
      <c r="C65" s="1010">
        <v>55555</v>
      </c>
      <c r="D65" s="360" t="str">
        <f t="shared" si="2"/>
        <v>Executive and Council55555</v>
      </c>
      <c r="E65" s="360" t="str">
        <f t="shared" si="1"/>
        <v>TheewaterskloofExecutive and CouncilReferences</v>
      </c>
      <c r="F65" s="360" t="str">
        <f>'PART C- Municipal Details'!$G$7</f>
        <v>Theewaterskloof</v>
      </c>
      <c r="G65" s="360" t="s">
        <v>101</v>
      </c>
      <c r="H65" s="366" t="s">
        <v>648</v>
      </c>
      <c r="I65" s="496" t="s">
        <v>765</v>
      </c>
      <c r="J65" s="497" t="s">
        <v>789</v>
      </c>
      <c r="K65" s="491"/>
      <c r="L65" s="474" t="s">
        <v>765</v>
      </c>
      <c r="M65" s="475"/>
      <c r="N65" s="476"/>
      <c r="O65" s="476"/>
      <c r="P65" s="476"/>
      <c r="Q65" s="476"/>
      <c r="R65" s="476"/>
      <c r="S65" s="476"/>
      <c r="T65" s="477"/>
      <c r="U65" s="530">
        <v>0</v>
      </c>
      <c r="V65" s="530">
        <v>0</v>
      </c>
      <c r="W65" s="530">
        <v>0</v>
      </c>
      <c r="X65" s="490"/>
      <c r="Y65" s="969"/>
      <c r="Z65" s="969"/>
      <c r="AA65" s="969"/>
      <c r="AB65" s="969"/>
      <c r="AC65" s="969"/>
      <c r="AD65" s="969"/>
      <c r="AE65" s="969" t="str">
        <f t="shared" si="0"/>
        <v>TheewaterskloofReferences</v>
      </c>
      <c r="AF65" s="969"/>
      <c r="AG65" s="969"/>
    </row>
    <row r="66" spans="2:33" ht="13.2" customHeight="1" x14ac:dyDescent="0.55000000000000004">
      <c r="B66" s="371"/>
      <c r="C66" s="1010">
        <v>55555</v>
      </c>
      <c r="D66" s="361" t="str">
        <f t="shared" si="2"/>
        <v>Executive and Council55555</v>
      </c>
      <c r="E66" s="361" t="str">
        <f t="shared" si="1"/>
        <v>TheewaterskloofExecutive and Council1. Classifications are revenue sources and expenditure type</v>
      </c>
      <c r="F66" s="360" t="str">
        <f>'PART C- Municipal Details'!$G$7</f>
        <v>Theewaterskloof</v>
      </c>
      <c r="G66" s="361" t="s">
        <v>101</v>
      </c>
      <c r="H66" s="363" t="s">
        <v>648</v>
      </c>
      <c r="I66" s="496" t="s">
        <v>767</v>
      </c>
      <c r="J66" s="497" t="s">
        <v>789</v>
      </c>
      <c r="K66" s="491"/>
      <c r="L66" s="465" t="s">
        <v>767</v>
      </c>
      <c r="M66" s="472"/>
      <c r="N66" s="473"/>
      <c r="O66" s="473"/>
      <c r="P66" s="473"/>
      <c r="Q66" s="473"/>
      <c r="R66" s="473"/>
      <c r="S66" s="473"/>
      <c r="T66" s="478"/>
      <c r="U66" s="530">
        <v>0</v>
      </c>
      <c r="V66" s="530">
        <v>0</v>
      </c>
      <c r="W66" s="530">
        <v>0</v>
      </c>
      <c r="X66" s="490"/>
      <c r="Y66" s="969"/>
      <c r="Z66" s="969"/>
      <c r="AA66" s="969"/>
      <c r="AB66" s="969"/>
      <c r="AC66" s="969"/>
      <c r="AD66" s="969"/>
      <c r="AE66" s="969" t="str">
        <f t="shared" si="0"/>
        <v>Theewaterskloof1. Classifications are revenue sources and expenditure type</v>
      </c>
      <c r="AF66" s="969"/>
      <c r="AG66" s="969"/>
    </row>
    <row r="67" spans="2:33" ht="13.2" customHeight="1" x14ac:dyDescent="0.55000000000000004">
      <c r="B67" s="371"/>
      <c r="C67" s="1010">
        <v>55555</v>
      </c>
      <c r="D67" s="360" t="str">
        <f t="shared" si="2"/>
        <v>Executive and Council55555</v>
      </c>
      <c r="E67" s="360" t="str">
        <f t="shared" si="1"/>
        <v>TheewaterskloofExecutive and Council2. Detail to be provided in Table SA1</v>
      </c>
      <c r="F67" s="360" t="str">
        <f>'PART C- Municipal Details'!$G$7</f>
        <v>Theewaterskloof</v>
      </c>
      <c r="G67" s="360" t="s">
        <v>101</v>
      </c>
      <c r="H67" s="366" t="s">
        <v>648</v>
      </c>
      <c r="I67" s="496" t="s">
        <v>769</v>
      </c>
      <c r="J67" s="497" t="s">
        <v>789</v>
      </c>
      <c r="K67" s="491"/>
      <c r="L67" s="465" t="s">
        <v>769</v>
      </c>
      <c r="M67" s="472"/>
      <c r="N67" s="473"/>
      <c r="O67" s="473"/>
      <c r="P67" s="473"/>
      <c r="Q67" s="473"/>
      <c r="R67" s="473"/>
      <c r="S67" s="473"/>
      <c r="T67" s="478"/>
      <c r="U67" s="530">
        <v>0</v>
      </c>
      <c r="V67" s="530">
        <v>0</v>
      </c>
      <c r="W67" s="530">
        <v>0</v>
      </c>
      <c r="X67" s="490"/>
      <c r="Y67" s="969"/>
      <c r="Z67" s="969"/>
      <c r="AA67" s="969"/>
      <c r="AB67" s="969"/>
      <c r="AC67" s="969"/>
      <c r="AD67" s="969"/>
      <c r="AE67" s="969" t="str">
        <f t="shared" si="0"/>
        <v>Theewaterskloof2. Detail to be provided in Table SA1</v>
      </c>
      <c r="AF67" s="969"/>
      <c r="AG67" s="969"/>
    </row>
    <row r="68" spans="2:33" ht="13.2" customHeight="1" x14ac:dyDescent="0.55000000000000004">
      <c r="B68" s="371"/>
      <c r="C68" s="1010">
        <v>55555</v>
      </c>
      <c r="D68" s="361" t="str">
        <f t="shared" si="2"/>
        <v>Executive and Council55555</v>
      </c>
      <c r="E68" s="361" t="str">
        <f t="shared" si="1"/>
        <v>TheewaterskloofExecutive and Council3. Debt impairment includes Impairment and Reversal of Impairment Losses</v>
      </c>
      <c r="F68" s="360" t="str">
        <f>'PART C- Municipal Details'!$G$7</f>
        <v>Theewaterskloof</v>
      </c>
      <c r="G68" s="361" t="s">
        <v>101</v>
      </c>
      <c r="H68" s="363" t="s">
        <v>648</v>
      </c>
      <c r="I68" s="496" t="s">
        <v>795</v>
      </c>
      <c r="J68" s="497" t="s">
        <v>789</v>
      </c>
      <c r="K68" s="491"/>
      <c r="L68" s="465" t="s">
        <v>795</v>
      </c>
      <c r="M68" s="472"/>
      <c r="N68" s="473"/>
      <c r="O68" s="473"/>
      <c r="P68" s="473"/>
      <c r="Q68" s="473"/>
      <c r="R68" s="473"/>
      <c r="S68" s="473"/>
      <c r="T68" s="478"/>
      <c r="U68" s="530">
        <v>0</v>
      </c>
      <c r="V68" s="530">
        <v>0</v>
      </c>
      <c r="W68" s="530">
        <v>0</v>
      </c>
      <c r="X68" s="490"/>
      <c r="Y68" s="969"/>
      <c r="Z68" s="969"/>
      <c r="AA68" s="969"/>
      <c r="AB68" s="969"/>
      <c r="AC68" s="969"/>
      <c r="AD68" s="969"/>
      <c r="AE68" s="969" t="str">
        <f t="shared" si="0"/>
        <v>Theewaterskloof3. Debt impairment includes Impairment and Reversal of Impairment Losses</v>
      </c>
      <c r="AF68" s="969"/>
      <c r="AG68" s="969"/>
    </row>
    <row r="69" spans="2:33" ht="13.2" customHeight="1" x14ac:dyDescent="0.55000000000000004">
      <c r="B69" s="371"/>
      <c r="C69" s="1010">
        <v>55555</v>
      </c>
      <c r="D69" s="360" t="str">
        <f t="shared" si="2"/>
        <v>Executive and Council55555</v>
      </c>
      <c r="E69" s="360" t="str">
        <f t="shared" si="1"/>
        <v>TheewaterskloofExecutive and Council4. Expenditure type components previously shown under repairs and maintenance should be allocated back to the originating expenditure group/item; e.g. employee costs</v>
      </c>
      <c r="F69" s="360" t="str">
        <f>'PART C- Municipal Details'!$G$7</f>
        <v>Theewaterskloof</v>
      </c>
      <c r="G69" s="360" t="s">
        <v>101</v>
      </c>
      <c r="H69" s="366" t="s">
        <v>648</v>
      </c>
      <c r="I69" s="496" t="s">
        <v>775</v>
      </c>
      <c r="J69" s="497" t="s">
        <v>789</v>
      </c>
      <c r="K69" s="491"/>
      <c r="L69" s="465" t="s">
        <v>775</v>
      </c>
      <c r="M69" s="472"/>
      <c r="N69" s="473"/>
      <c r="O69" s="473"/>
      <c r="P69" s="473"/>
      <c r="Q69" s="473"/>
      <c r="R69" s="473"/>
      <c r="S69" s="473"/>
      <c r="T69" s="478"/>
      <c r="U69" s="530">
        <v>0</v>
      </c>
      <c r="V69" s="530">
        <v>0</v>
      </c>
      <c r="W69" s="530">
        <v>0</v>
      </c>
      <c r="X69" s="490"/>
      <c r="Y69" s="969"/>
      <c r="Z69" s="969"/>
      <c r="AA69" s="969"/>
      <c r="AB69" s="969"/>
      <c r="AC69" s="969"/>
      <c r="AD69" s="969"/>
      <c r="AE69" s="969" t="str">
        <f t="shared" si="0"/>
        <v>Theewaterskloof4. Expenditure type components previously shown under repairs and maintenance should be allocated back to the originating expenditure group/item; e.g. employee costs</v>
      </c>
      <c r="AF69" s="969"/>
      <c r="AG69" s="969"/>
    </row>
    <row r="70" spans="2:33" ht="13.2" customHeight="1" x14ac:dyDescent="0.55000000000000004">
      <c r="B70" s="371"/>
      <c r="C70" s="1010">
        <v>55555</v>
      </c>
      <c r="D70" s="361" t="str">
        <f t="shared" si="2"/>
        <v>Executive and Council55555</v>
      </c>
      <c r="E70" s="361" t="str">
        <f t="shared" si="1"/>
        <v>TheewaterskloofExecutive and Council5. Repairs &amp; maintenance detailed in Table A9 and Table SA34c</v>
      </c>
      <c r="F70" s="360" t="str">
        <f>'PART C- Municipal Details'!$G$7</f>
        <v>Theewaterskloof</v>
      </c>
      <c r="G70" s="361" t="s">
        <v>101</v>
      </c>
      <c r="H70" s="363" t="s">
        <v>648</v>
      </c>
      <c r="I70" s="496" t="s">
        <v>777</v>
      </c>
      <c r="J70" s="497" t="s">
        <v>789</v>
      </c>
      <c r="K70" s="491"/>
      <c r="L70" s="465" t="s">
        <v>777</v>
      </c>
      <c r="M70" s="472"/>
      <c r="N70" s="473"/>
      <c r="O70" s="473"/>
      <c r="P70" s="473"/>
      <c r="Q70" s="473"/>
      <c r="R70" s="473"/>
      <c r="S70" s="473"/>
      <c r="T70" s="478"/>
      <c r="U70" s="530">
        <v>0</v>
      </c>
      <c r="V70" s="530">
        <v>0</v>
      </c>
      <c r="W70" s="530">
        <v>0</v>
      </c>
      <c r="X70" s="490"/>
      <c r="Y70" s="969"/>
      <c r="Z70" s="969"/>
      <c r="AA70" s="969"/>
      <c r="AB70" s="969"/>
      <c r="AC70" s="969"/>
      <c r="AD70" s="969"/>
      <c r="AE70" s="969" t="str">
        <f t="shared" si="0"/>
        <v>Theewaterskloof5. Repairs &amp; maintenance detailed in Table A9 and Table SA34c</v>
      </c>
      <c r="AF70" s="969"/>
      <c r="AG70" s="969"/>
    </row>
    <row r="71" spans="2:33" ht="13.2" customHeight="1" x14ac:dyDescent="0.55000000000000004">
      <c r="B71" s="371"/>
      <c r="C71" s="1010">
        <v>55555</v>
      </c>
      <c r="D71" s="360" t="str">
        <f t="shared" si="2"/>
        <v>Executive and Council55555</v>
      </c>
      <c r="E71" s="360" t="str">
        <f t="shared" ref="E71:E135" si="3">F71&amp;H71&amp;I71</f>
        <v>TheewaterskloofExecutive and Council6. Contributions are funds provided by external organisations to assist with infrastructure development; e.g. developer contributions (detail to be provided in Table SA1)</v>
      </c>
      <c r="F71" s="360" t="str">
        <f>'PART C- Municipal Details'!$G$7</f>
        <v>Theewaterskloof</v>
      </c>
      <c r="G71" s="360" t="s">
        <v>101</v>
      </c>
      <c r="H71" s="366" t="s">
        <v>648</v>
      </c>
      <c r="I71" s="496" t="s">
        <v>780</v>
      </c>
      <c r="J71" s="497" t="s">
        <v>789</v>
      </c>
      <c r="K71" s="491"/>
      <c r="L71" s="465" t="s">
        <v>780</v>
      </c>
      <c r="M71" s="472"/>
      <c r="N71" s="473"/>
      <c r="O71" s="473"/>
      <c r="P71" s="473"/>
      <c r="Q71" s="473"/>
      <c r="R71" s="473"/>
      <c r="S71" s="473"/>
      <c r="T71" s="478"/>
      <c r="U71" s="530">
        <v>0</v>
      </c>
      <c r="V71" s="530">
        <v>0</v>
      </c>
      <c r="W71" s="530">
        <v>0</v>
      </c>
      <c r="X71" s="490"/>
      <c r="Y71" s="969"/>
      <c r="Z71" s="969"/>
      <c r="AA71" s="969"/>
      <c r="AB71" s="969"/>
      <c r="AC71" s="969"/>
      <c r="AD71" s="969"/>
      <c r="AE71" s="969" t="str">
        <f t="shared" ref="AE71:AE135" si="4">F71&amp;L71</f>
        <v>Theewaterskloof6. Contributions are funds provided by external organisations to assist with infrastructure development; e.g. developer contributions (detail to be provided in Table SA1)</v>
      </c>
      <c r="AF71" s="969"/>
      <c r="AG71" s="969"/>
    </row>
    <row r="72" spans="2:33" ht="13.2" customHeight="1" x14ac:dyDescent="0.55000000000000004">
      <c r="B72" s="371"/>
      <c r="C72" s="1010">
        <v>55555</v>
      </c>
      <c r="D72" s="361" t="str">
        <f t="shared" si="2"/>
        <v>Executive and Council55555</v>
      </c>
      <c r="E72" s="361" t="str">
        <f t="shared" si="3"/>
        <v>TheewaterskloofExecutive and Council7. Equity method ( Includes Joint Ventures)</v>
      </c>
      <c r="F72" s="360" t="str">
        <f>'PART C- Municipal Details'!$G$7</f>
        <v>Theewaterskloof</v>
      </c>
      <c r="G72" s="361" t="s">
        <v>101</v>
      </c>
      <c r="H72" s="363" t="s">
        <v>648</v>
      </c>
      <c r="I72" s="496" t="s">
        <v>796</v>
      </c>
      <c r="J72" s="497" t="s">
        <v>789</v>
      </c>
      <c r="K72" s="491"/>
      <c r="L72" s="479" t="s">
        <v>796</v>
      </c>
      <c r="M72" s="480"/>
      <c r="N72" s="481"/>
      <c r="O72" s="481"/>
      <c r="P72" s="481"/>
      <c r="Q72" s="481"/>
      <c r="R72" s="481"/>
      <c r="S72" s="481"/>
      <c r="T72" s="482"/>
      <c r="U72" s="530">
        <v>0</v>
      </c>
      <c r="V72" s="530">
        <v>0</v>
      </c>
      <c r="W72" s="530">
        <v>0</v>
      </c>
      <c r="X72" s="490"/>
      <c r="Y72" s="1746"/>
      <c r="Z72" s="1747"/>
      <c r="AA72" s="1747"/>
      <c r="AB72" s="969"/>
      <c r="AC72" s="969"/>
      <c r="AD72" s="969"/>
      <c r="AE72" s="969" t="str">
        <f t="shared" si="4"/>
        <v>Theewaterskloof7. Equity method ( Includes Joint Ventures)</v>
      </c>
      <c r="AF72" s="969"/>
      <c r="AG72" s="969"/>
    </row>
    <row r="73" spans="2:33" ht="13.2" customHeight="1" x14ac:dyDescent="0.55000000000000004">
      <c r="B73" s="371"/>
      <c r="C73" s="1010"/>
      <c r="D73" s="360" t="str">
        <f t="shared" si="2"/>
        <v/>
      </c>
      <c r="E73" s="360" t="str">
        <f t="shared" si="3"/>
        <v>Theewaterskloof8. All materials consumed including water consumed and materials used in operations.</v>
      </c>
      <c r="F73" s="360" t="str">
        <f>'PART C- Municipal Details'!$G$7</f>
        <v>Theewaterskloof</v>
      </c>
      <c r="G73" s="360" t="s">
        <v>101</v>
      </c>
      <c r="H73" s="366"/>
      <c r="I73" s="496" t="s">
        <v>797</v>
      </c>
      <c r="J73" s="497">
        <v>57</v>
      </c>
      <c r="K73" s="490"/>
      <c r="L73" s="501"/>
      <c r="M73" s="502"/>
      <c r="N73" s="503"/>
      <c r="O73" s="503"/>
      <c r="P73" s="503"/>
      <c r="Q73" s="503"/>
      <c r="R73" s="503"/>
      <c r="S73" s="503"/>
      <c r="T73" s="503"/>
      <c r="U73" s="504"/>
      <c r="V73" s="504"/>
      <c r="W73" s="504"/>
      <c r="X73" s="490"/>
      <c r="Y73" s="969"/>
      <c r="Z73" s="969"/>
      <c r="AA73" s="969"/>
      <c r="AB73" s="969"/>
      <c r="AC73" s="969"/>
      <c r="AD73" s="969"/>
      <c r="AE73" s="969" t="str">
        <f t="shared" si="4"/>
        <v>Theewaterskloof</v>
      </c>
      <c r="AF73" s="969"/>
      <c r="AG73" s="969"/>
    </row>
    <row r="74" spans="2:33" ht="34.5" customHeight="1" x14ac:dyDescent="0.55000000000000004">
      <c r="B74" s="371"/>
      <c r="C74" s="1010">
        <v>55555</v>
      </c>
      <c r="D74" s="361" t="str">
        <f t="shared" ref="D74:D138" si="5">H74&amp;C74</f>
        <v>Finance and administration55555</v>
      </c>
      <c r="E74" s="361" t="str">
        <f t="shared" si="3"/>
        <v>TheewaterskloofFinance and administrationR</v>
      </c>
      <c r="F74" s="360" t="str">
        <f>'PART C- Municipal Details'!$G$7</f>
        <v>Theewaterskloof</v>
      </c>
      <c r="G74" s="361" t="s">
        <v>101</v>
      </c>
      <c r="H74" s="363" t="s">
        <v>798</v>
      </c>
      <c r="I74" s="494" t="s">
        <v>649</v>
      </c>
      <c r="J74" s="497" t="s">
        <v>799</v>
      </c>
      <c r="K74" s="490"/>
      <c r="L74" s="462" t="s">
        <v>651</v>
      </c>
      <c r="M74" s="362" t="s">
        <v>652</v>
      </c>
      <c r="N74" s="466" t="s">
        <v>653</v>
      </c>
      <c r="O74" s="466" t="s">
        <v>654</v>
      </c>
      <c r="P74" s="467" t="s">
        <v>655</v>
      </c>
      <c r="Q74" s="483" t="s">
        <v>656</v>
      </c>
      <c r="R74" s="468"/>
      <c r="S74" s="468"/>
      <c r="T74" s="467"/>
      <c r="U74" s="527" t="s">
        <v>657</v>
      </c>
      <c r="V74" s="527" t="s">
        <v>657</v>
      </c>
      <c r="W74" s="527" t="s">
        <v>657</v>
      </c>
      <c r="X74" s="490"/>
      <c r="Y74" s="969"/>
      <c r="Z74" s="969"/>
      <c r="AA74" s="969"/>
      <c r="AB74" s="969"/>
      <c r="AC74" s="969"/>
      <c r="AD74" s="969"/>
      <c r="AE74" s="969" t="str">
        <f t="shared" si="4"/>
        <v>TheewaterskloofDescription</v>
      </c>
      <c r="AF74" s="969"/>
      <c r="AG74" s="969"/>
    </row>
    <row r="75" spans="2:33" ht="13.2" customHeight="1" thickBot="1" x14ac:dyDescent="0.6">
      <c r="B75" s="371"/>
      <c r="C75" s="1010">
        <v>55555</v>
      </c>
      <c r="D75" s="360" t="str">
        <f t="shared" si="5"/>
        <v>Finance and administration55555</v>
      </c>
      <c r="E75" s="360" t="str">
        <f t="shared" si="3"/>
        <v>TheewaterskloofFinance and administrationR</v>
      </c>
      <c r="F75" s="360" t="str">
        <f>'PART C- Municipal Details'!$G$7</f>
        <v>Theewaterskloof</v>
      </c>
      <c r="G75" s="360" t="s">
        <v>101</v>
      </c>
      <c r="H75" s="366" t="s">
        <v>798</v>
      </c>
      <c r="I75" s="496" t="s">
        <v>649</v>
      </c>
      <c r="J75" s="497" t="s">
        <v>651</v>
      </c>
      <c r="K75" s="490"/>
      <c r="L75" s="365" t="s">
        <v>659</v>
      </c>
      <c r="M75" s="364" t="s">
        <v>660</v>
      </c>
      <c r="N75" s="469" t="s">
        <v>661</v>
      </c>
      <c r="O75" s="469" t="s">
        <v>661</v>
      </c>
      <c r="P75" s="470" t="s">
        <v>661</v>
      </c>
      <c r="Q75" s="471" t="s">
        <v>662</v>
      </c>
      <c r="R75" s="469" t="s">
        <v>663</v>
      </c>
      <c r="S75" s="469" t="s">
        <v>664</v>
      </c>
      <c r="T75" s="470" t="s">
        <v>665</v>
      </c>
      <c r="U75" s="528" t="s">
        <v>666</v>
      </c>
      <c r="V75" s="528" t="s">
        <v>666</v>
      </c>
      <c r="W75" s="528" t="s">
        <v>666</v>
      </c>
      <c r="X75" s="490"/>
      <c r="Y75" s="969"/>
      <c r="Z75" s="969"/>
      <c r="AA75" s="969"/>
      <c r="AB75" s="969"/>
      <c r="AC75" s="969"/>
      <c r="AD75" s="969"/>
      <c r="AE75" s="969" t="str">
        <f t="shared" si="4"/>
        <v>TheewaterskloofR thousands</v>
      </c>
      <c r="AF75" s="969"/>
      <c r="AG75" s="969"/>
    </row>
    <row r="76" spans="2:33" ht="13.2" customHeight="1" x14ac:dyDescent="0.55000000000000004">
      <c r="B76" s="371"/>
      <c r="C76" s="1008" t="s">
        <v>667</v>
      </c>
      <c r="D76" s="361" t="str">
        <f t="shared" si="5"/>
        <v>Finance and administration0100</v>
      </c>
      <c r="E76" s="361" t="str">
        <f t="shared" si="3"/>
        <v>TheewaterskloofFinance and administrationR</v>
      </c>
      <c r="F76" s="360" t="str">
        <f>'PART C- Municipal Details'!$G$7</f>
        <v>Theewaterskloof</v>
      </c>
      <c r="G76" s="361" t="s">
        <v>101</v>
      </c>
      <c r="H76" s="363" t="s">
        <v>798</v>
      </c>
      <c r="I76" s="496" t="s">
        <v>649</v>
      </c>
      <c r="J76" s="497" t="s">
        <v>650</v>
      </c>
      <c r="K76" s="490"/>
      <c r="L76" s="505" t="s">
        <v>162</v>
      </c>
      <c r="M76" s="506"/>
      <c r="N76" s="507"/>
      <c r="O76" s="507"/>
      <c r="P76" s="507"/>
      <c r="Q76" s="507"/>
      <c r="R76" s="507"/>
      <c r="S76" s="507"/>
      <c r="T76" s="507"/>
      <c r="U76" s="529">
        <v>0</v>
      </c>
      <c r="V76" s="529">
        <v>0</v>
      </c>
      <c r="W76" s="529">
        <v>0</v>
      </c>
      <c r="X76" s="490"/>
      <c r="Y76" s="969"/>
      <c r="Z76" s="969"/>
      <c r="AA76" s="969"/>
      <c r="AB76" s="969"/>
      <c r="AC76" s="969"/>
      <c r="AD76" s="969"/>
      <c r="AE76" s="969" t="str">
        <f t="shared" si="4"/>
        <v>TheewaterskloofRevenue</v>
      </c>
      <c r="AF76" s="969"/>
      <c r="AG76" s="969"/>
    </row>
    <row r="77" spans="2:33" ht="13.2" customHeight="1" x14ac:dyDescent="0.55000000000000004">
      <c r="B77" s="371"/>
      <c r="C77" s="1009" t="s">
        <v>668</v>
      </c>
      <c r="D77" s="360" t="str">
        <f t="shared" si="5"/>
        <v>Finance and administration0200</v>
      </c>
      <c r="E77" s="360" t="str">
        <f t="shared" si="3"/>
        <v>TheewaterskloofFinance and administration</v>
      </c>
      <c r="F77" s="360" t="str">
        <f>'PART C- Municipal Details'!$G$7</f>
        <v>Theewaterskloof</v>
      </c>
      <c r="G77" s="360" t="s">
        <v>101</v>
      </c>
      <c r="H77" s="366" t="s">
        <v>798</v>
      </c>
      <c r="I77" s="496"/>
      <c r="J77" s="497" t="s">
        <v>658</v>
      </c>
      <c r="K77" s="490"/>
      <c r="L77" s="463" t="s">
        <v>670</v>
      </c>
      <c r="M77" s="459"/>
      <c r="N77" s="460"/>
      <c r="O77" s="460"/>
      <c r="P77" s="460"/>
      <c r="Q77" s="460"/>
      <c r="R77" s="460"/>
      <c r="S77" s="460"/>
      <c r="T77" s="460"/>
      <c r="U77" s="530">
        <v>0</v>
      </c>
      <c r="V77" s="530">
        <v>0</v>
      </c>
      <c r="W77" s="530">
        <v>0</v>
      </c>
      <c r="X77" s="490"/>
      <c r="Y77" s="969"/>
      <c r="Z77" s="969"/>
      <c r="AA77" s="969"/>
      <c r="AB77" s="969"/>
      <c r="AC77" s="969"/>
      <c r="AD77" s="969"/>
      <c r="AE77" s="969" t="str">
        <f t="shared" si="4"/>
        <v>TheewaterskloofExchange Revenue</v>
      </c>
      <c r="AF77" s="969"/>
      <c r="AG77" s="969"/>
    </row>
    <row r="78" spans="2:33" ht="13.2" customHeight="1" x14ac:dyDescent="0.55000000000000004">
      <c r="B78" s="371"/>
      <c r="C78" s="1010" t="s">
        <v>671</v>
      </c>
      <c r="D78" s="361" t="str">
        <f t="shared" si="5"/>
        <v>Finance and administration0300</v>
      </c>
      <c r="E78" s="361" t="str">
        <f t="shared" si="3"/>
        <v>TheewaterskloofFinance and administrationService charges - electricity revenue</v>
      </c>
      <c r="F78" s="360" t="str">
        <f>'PART C- Municipal Details'!$G$7</f>
        <v>Theewaterskloof</v>
      </c>
      <c r="G78" s="361" t="s">
        <v>101</v>
      </c>
      <c r="H78" s="363" t="s">
        <v>798</v>
      </c>
      <c r="I78" s="496" t="s">
        <v>669</v>
      </c>
      <c r="J78" s="497" t="s">
        <v>0</v>
      </c>
      <c r="K78" s="490"/>
      <c r="L78" s="463" t="s">
        <v>673</v>
      </c>
      <c r="M78" s="459"/>
      <c r="N78" s="461"/>
      <c r="O78" s="461"/>
      <c r="P78" s="461"/>
      <c r="Q78" s="461"/>
      <c r="R78" s="461"/>
      <c r="S78" s="461"/>
      <c r="T78" s="461"/>
      <c r="U78" s="530">
        <v>0</v>
      </c>
      <c r="V78" s="530">
        <v>0</v>
      </c>
      <c r="W78" s="530">
        <v>0</v>
      </c>
      <c r="X78" s="490"/>
      <c r="Y78" s="969"/>
      <c r="Z78" s="969"/>
      <c r="AA78" s="969"/>
      <c r="AB78" s="969"/>
      <c r="AC78" s="969"/>
      <c r="AD78" s="969"/>
      <c r="AE78" s="969" t="str">
        <f t="shared" si="4"/>
        <v>TheewaterskloofService charges - Electricity</v>
      </c>
      <c r="AF78" s="969"/>
      <c r="AG78" s="969"/>
    </row>
    <row r="79" spans="2:33" ht="13.2" customHeight="1" x14ac:dyDescent="0.55000000000000004">
      <c r="B79" s="371"/>
      <c r="C79" s="1010" t="s">
        <v>674</v>
      </c>
      <c r="D79" s="360" t="str">
        <f t="shared" si="5"/>
        <v>Finance and administration0400</v>
      </c>
      <c r="E79" s="360" t="str">
        <f t="shared" si="3"/>
        <v>TheewaterskloofFinance and administrationService charges - water revenue</v>
      </c>
      <c r="F79" s="360" t="str">
        <f>'PART C- Municipal Details'!$G$7</f>
        <v>Theewaterskloof</v>
      </c>
      <c r="G79" s="360" t="s">
        <v>101</v>
      </c>
      <c r="H79" s="366" t="s">
        <v>798</v>
      </c>
      <c r="I79" s="496" t="s">
        <v>672</v>
      </c>
      <c r="J79" s="497" t="s">
        <v>669</v>
      </c>
      <c r="K79" s="490"/>
      <c r="L79" s="463" t="s">
        <v>676</v>
      </c>
      <c r="M79" s="459"/>
      <c r="N79" s="461"/>
      <c r="O79" s="461"/>
      <c r="P79" s="461"/>
      <c r="Q79" s="461"/>
      <c r="R79" s="461"/>
      <c r="S79" s="461"/>
      <c r="T79" s="461"/>
      <c r="U79" s="530">
        <v>0</v>
      </c>
      <c r="V79" s="530">
        <v>0</v>
      </c>
      <c r="W79" s="530">
        <v>0</v>
      </c>
      <c r="X79" s="490"/>
      <c r="Y79" s="969"/>
      <c r="Z79" s="969"/>
      <c r="AA79" s="969"/>
      <c r="AB79" s="969"/>
      <c r="AC79" s="969"/>
      <c r="AD79" s="969"/>
      <c r="AE79" s="969" t="str">
        <f t="shared" si="4"/>
        <v>TheewaterskloofService charges - Water</v>
      </c>
      <c r="AF79" s="969"/>
      <c r="AG79" s="969"/>
    </row>
    <row r="80" spans="2:33" ht="13.2" customHeight="1" x14ac:dyDescent="0.55000000000000004">
      <c r="B80" s="371"/>
      <c r="C80" s="1010" t="s">
        <v>677</v>
      </c>
      <c r="D80" s="361" t="str">
        <f t="shared" si="5"/>
        <v>Finance and administration0500</v>
      </c>
      <c r="E80" s="361" t="str">
        <f t="shared" si="3"/>
        <v>TheewaterskloofFinance and administrationService charges - sanitation revenue</v>
      </c>
      <c r="F80" s="360" t="str">
        <f>'PART C- Municipal Details'!$G$7</f>
        <v>Theewaterskloof</v>
      </c>
      <c r="G80" s="361" t="s">
        <v>101</v>
      </c>
      <c r="H80" s="363" t="s">
        <v>798</v>
      </c>
      <c r="I80" s="496" t="s">
        <v>675</v>
      </c>
      <c r="J80" s="497" t="s">
        <v>672</v>
      </c>
      <c r="K80" s="490"/>
      <c r="L80" s="463" t="s">
        <v>679</v>
      </c>
      <c r="M80" s="459"/>
      <c r="N80" s="461"/>
      <c r="O80" s="461"/>
      <c r="P80" s="461"/>
      <c r="Q80" s="461"/>
      <c r="R80" s="461"/>
      <c r="S80" s="461"/>
      <c r="T80" s="461"/>
      <c r="U80" s="530">
        <v>0</v>
      </c>
      <c r="V80" s="530">
        <v>0</v>
      </c>
      <c r="W80" s="530">
        <v>0</v>
      </c>
      <c r="X80" s="490"/>
      <c r="Y80" s="969"/>
      <c r="Z80" s="969"/>
      <c r="AA80" s="969"/>
      <c r="AB80" s="969"/>
      <c r="AC80" s="969"/>
      <c r="AD80" s="969"/>
      <c r="AE80" s="969" t="str">
        <f t="shared" si="4"/>
        <v>TheewaterskloofService charges - Waste Water Management</v>
      </c>
      <c r="AF80" s="969"/>
      <c r="AG80" s="969"/>
    </row>
    <row r="81" spans="2:33" ht="13.2" customHeight="1" x14ac:dyDescent="0.55000000000000004">
      <c r="B81" s="371"/>
      <c r="C81" s="1010" t="s">
        <v>680</v>
      </c>
      <c r="D81" s="360" t="str">
        <f t="shared" si="5"/>
        <v>Finance and administration0600</v>
      </c>
      <c r="E81" s="360" t="str">
        <f t="shared" si="3"/>
        <v>TheewaterskloofFinance and administrationService charges - refuse revenue</v>
      </c>
      <c r="F81" s="360" t="str">
        <f>'PART C- Municipal Details'!$G$7</f>
        <v>Theewaterskloof</v>
      </c>
      <c r="G81" s="360" t="s">
        <v>101</v>
      </c>
      <c r="H81" s="366" t="s">
        <v>798</v>
      </c>
      <c r="I81" s="496" t="s">
        <v>678</v>
      </c>
      <c r="J81" s="497" t="s">
        <v>675</v>
      </c>
      <c r="K81" s="490"/>
      <c r="L81" s="463" t="s">
        <v>682</v>
      </c>
      <c r="M81" s="459"/>
      <c r="N81" s="461"/>
      <c r="O81" s="461"/>
      <c r="P81" s="461"/>
      <c r="Q81" s="461"/>
      <c r="R81" s="461"/>
      <c r="S81" s="461"/>
      <c r="T81" s="461"/>
      <c r="U81" s="530">
        <v>0</v>
      </c>
      <c r="V81" s="530">
        <v>0</v>
      </c>
      <c r="W81" s="530">
        <v>0</v>
      </c>
      <c r="X81" s="490"/>
      <c r="Y81" s="969"/>
      <c r="Z81" s="969"/>
      <c r="AA81" s="969"/>
      <c r="AB81" s="969"/>
      <c r="AC81" s="969"/>
      <c r="AD81" s="969"/>
      <c r="AE81" s="969" t="str">
        <f t="shared" si="4"/>
        <v>TheewaterskloofService charges - Waste Management</v>
      </c>
      <c r="AF81" s="969"/>
      <c r="AG81" s="969"/>
    </row>
    <row r="82" spans="2:33" ht="13.2" customHeight="1" x14ac:dyDescent="0.55000000000000004">
      <c r="B82" s="371"/>
      <c r="C82" s="1010" t="s">
        <v>683</v>
      </c>
      <c r="D82" s="361" t="str">
        <f t="shared" si="5"/>
        <v>Finance and administration0700</v>
      </c>
      <c r="E82" s="361" t="str">
        <f t="shared" si="3"/>
        <v>TheewaterskloofFinance and administrationOther revenue</v>
      </c>
      <c r="F82" s="360" t="str">
        <f>'PART C- Municipal Details'!$G$7</f>
        <v>Theewaterskloof</v>
      </c>
      <c r="G82" s="361" t="s">
        <v>101</v>
      </c>
      <c r="H82" s="363" t="s">
        <v>798</v>
      </c>
      <c r="I82" s="496" t="s">
        <v>7</v>
      </c>
      <c r="J82" s="497" t="s">
        <v>678</v>
      </c>
      <c r="K82" s="490"/>
      <c r="L82" s="463" t="s">
        <v>684</v>
      </c>
      <c r="M82" s="459"/>
      <c r="N82" s="461"/>
      <c r="O82" s="461"/>
      <c r="P82" s="461"/>
      <c r="Q82" s="461"/>
      <c r="R82" s="461"/>
      <c r="S82" s="461"/>
      <c r="T82" s="461"/>
      <c r="U82" s="530">
        <v>8816940</v>
      </c>
      <c r="V82" s="530">
        <v>9116716</v>
      </c>
      <c r="W82" s="530">
        <v>9408452</v>
      </c>
      <c r="X82" s="490"/>
      <c r="Y82" s="969"/>
      <c r="Z82" s="969"/>
      <c r="AA82" s="969"/>
      <c r="AB82" s="969"/>
      <c r="AC82" s="969"/>
      <c r="AD82" s="969"/>
      <c r="AE82" s="969" t="str">
        <f t="shared" si="4"/>
        <v>TheewaterskloofSale of Goods and Rendering of Services</v>
      </c>
      <c r="AF82" s="969"/>
      <c r="AG82" s="969"/>
    </row>
    <row r="83" spans="2:33" ht="13.2" customHeight="1" x14ac:dyDescent="0.55000000000000004">
      <c r="B83" s="371"/>
      <c r="C83" s="1010" t="s">
        <v>685</v>
      </c>
      <c r="D83" s="360" t="str">
        <f t="shared" si="5"/>
        <v>Finance and administration0800</v>
      </c>
      <c r="E83" s="360" t="str">
        <f t="shared" si="3"/>
        <v>TheewaterskloofFinance and administrationAgency services</v>
      </c>
      <c r="F83" s="360" t="str">
        <f>'PART C- Municipal Details'!$G$7</f>
        <v>Theewaterskloof</v>
      </c>
      <c r="G83" s="360" t="s">
        <v>101</v>
      </c>
      <c r="H83" s="366" t="s">
        <v>798</v>
      </c>
      <c r="I83" s="496" t="s">
        <v>6</v>
      </c>
      <c r="J83" s="497" t="s">
        <v>681</v>
      </c>
      <c r="K83" s="490"/>
      <c r="L83" s="463" t="s">
        <v>6</v>
      </c>
      <c r="M83" s="459"/>
      <c r="N83" s="461"/>
      <c r="O83" s="461"/>
      <c r="P83" s="461"/>
      <c r="Q83" s="461"/>
      <c r="R83" s="461"/>
      <c r="S83" s="461"/>
      <c r="T83" s="461"/>
      <c r="U83" s="530">
        <v>0</v>
      </c>
      <c r="V83" s="530">
        <v>0</v>
      </c>
      <c r="W83" s="530">
        <v>0</v>
      </c>
      <c r="X83" s="490"/>
      <c r="Y83" s="969"/>
      <c r="Z83" s="969"/>
      <c r="AA83" s="969"/>
      <c r="AB83" s="969"/>
      <c r="AC83" s="969"/>
      <c r="AD83" s="969"/>
      <c r="AE83" s="969" t="str">
        <f t="shared" si="4"/>
        <v>TheewaterskloofAgency services</v>
      </c>
      <c r="AF83" s="969"/>
      <c r="AG83" s="969"/>
    </row>
    <row r="84" spans="2:33" ht="13.2" customHeight="1" x14ac:dyDescent="0.55000000000000004">
      <c r="B84" s="371"/>
      <c r="C84" s="1010" t="s">
        <v>686</v>
      </c>
      <c r="D84" s="361" t="str">
        <f t="shared" si="5"/>
        <v>Finance and administration0900</v>
      </c>
      <c r="E84" s="361" t="str">
        <f t="shared" si="3"/>
        <v>TheewaterskloofFinance and administrationInterest earned - external investments</v>
      </c>
      <c r="F84" s="360" t="str">
        <f>'PART C- Municipal Details'!$G$7</f>
        <v>Theewaterskloof</v>
      </c>
      <c r="G84" s="361" t="s">
        <v>101</v>
      </c>
      <c r="H84" s="363" t="s">
        <v>798</v>
      </c>
      <c r="I84" s="496" t="s">
        <v>2</v>
      </c>
      <c r="J84" s="497" t="s">
        <v>1</v>
      </c>
      <c r="K84" s="490"/>
      <c r="L84" s="463" t="s">
        <v>687</v>
      </c>
      <c r="M84" s="459"/>
      <c r="N84" s="461"/>
      <c r="O84" s="461"/>
      <c r="P84" s="461"/>
      <c r="Q84" s="461"/>
      <c r="R84" s="461"/>
      <c r="S84" s="461"/>
      <c r="T84" s="461"/>
      <c r="U84" s="530">
        <v>0</v>
      </c>
      <c r="V84" s="530">
        <v>0</v>
      </c>
      <c r="W84" s="530">
        <v>0</v>
      </c>
      <c r="X84" s="490"/>
      <c r="Y84" s="969"/>
      <c r="Z84" s="969"/>
      <c r="AA84" s="969"/>
      <c r="AB84" s="969"/>
      <c r="AC84" s="969"/>
      <c r="AD84" s="969"/>
      <c r="AE84" s="969" t="str">
        <f t="shared" si="4"/>
        <v>TheewaterskloofInterest</v>
      </c>
      <c r="AF84" s="969"/>
      <c r="AG84" s="969"/>
    </row>
    <row r="85" spans="2:33" ht="13.2" customHeight="1" x14ac:dyDescent="0.55000000000000004">
      <c r="B85" s="371"/>
      <c r="C85" s="1010" t="s">
        <v>688</v>
      </c>
      <c r="D85" s="360" t="str">
        <f t="shared" si="5"/>
        <v>Finance and administration1000</v>
      </c>
      <c r="E85" s="360" t="str">
        <f t="shared" si="3"/>
        <v>TheewaterskloofFinance and administrationInterest earned - outstanding debtors</v>
      </c>
      <c r="F85" s="360" t="str">
        <f>'PART C- Municipal Details'!$G$7</f>
        <v>Theewaterskloof</v>
      </c>
      <c r="G85" s="360" t="s">
        <v>101</v>
      </c>
      <c r="H85" s="366" t="s">
        <v>798</v>
      </c>
      <c r="I85" s="496" t="s">
        <v>3</v>
      </c>
      <c r="J85" s="497" t="s">
        <v>2</v>
      </c>
      <c r="K85" s="490"/>
      <c r="L85" s="463" t="s">
        <v>689</v>
      </c>
      <c r="M85" s="459"/>
      <c r="N85" s="461"/>
      <c r="O85" s="461"/>
      <c r="P85" s="461"/>
      <c r="Q85" s="461"/>
      <c r="R85" s="461"/>
      <c r="S85" s="461"/>
      <c r="T85" s="461"/>
      <c r="U85" s="530">
        <v>20594498</v>
      </c>
      <c r="V85" s="530">
        <v>21294711</v>
      </c>
      <c r="W85" s="530">
        <v>21976141</v>
      </c>
      <c r="X85" s="490"/>
      <c r="Y85" s="969"/>
      <c r="Z85" s="969"/>
      <c r="AA85" s="969"/>
      <c r="AB85" s="969"/>
      <c r="AC85" s="969"/>
      <c r="AD85" s="969"/>
      <c r="AE85" s="969" t="str">
        <f t="shared" si="4"/>
        <v>TheewaterskloofInterest earned from Receivables</v>
      </c>
      <c r="AF85" s="969"/>
      <c r="AG85" s="969"/>
    </row>
    <row r="86" spans="2:33" ht="13.2" customHeight="1" x14ac:dyDescent="0.55000000000000004">
      <c r="B86" s="371"/>
      <c r="C86" s="1010" t="s">
        <v>690</v>
      </c>
      <c r="D86" s="361" t="str">
        <f t="shared" si="5"/>
        <v>Finance and administration1100</v>
      </c>
      <c r="E86" s="361" t="str">
        <f t="shared" si="3"/>
        <v>TheewaterskloofFinance and administrationInterest earned - external investments</v>
      </c>
      <c r="F86" s="360" t="str">
        <f>'PART C- Municipal Details'!$G$7</f>
        <v>Theewaterskloof</v>
      </c>
      <c r="G86" s="361" t="s">
        <v>101</v>
      </c>
      <c r="H86" s="363" t="s">
        <v>798</v>
      </c>
      <c r="I86" s="496" t="s">
        <v>2</v>
      </c>
      <c r="J86" s="497" t="s">
        <v>3</v>
      </c>
      <c r="K86" s="490"/>
      <c r="L86" s="463" t="s">
        <v>692</v>
      </c>
      <c r="M86" s="459"/>
      <c r="N86" s="461"/>
      <c r="O86" s="461"/>
      <c r="P86" s="461"/>
      <c r="Q86" s="461"/>
      <c r="R86" s="461"/>
      <c r="S86" s="461"/>
      <c r="T86" s="461"/>
      <c r="U86" s="530">
        <v>2548552</v>
      </c>
      <c r="V86" s="530">
        <v>2635203</v>
      </c>
      <c r="W86" s="530">
        <v>2719529</v>
      </c>
      <c r="X86" s="490"/>
      <c r="Y86" s="969"/>
      <c r="Z86" s="969"/>
      <c r="AA86" s="969"/>
      <c r="AB86" s="969"/>
      <c r="AC86" s="969"/>
      <c r="AD86" s="969"/>
      <c r="AE86" s="969" t="str">
        <f t="shared" si="4"/>
        <v>TheewaterskloofInterest earned from Current and Non Current Assets</v>
      </c>
      <c r="AF86" s="969"/>
      <c r="AG86" s="969"/>
    </row>
    <row r="87" spans="2:33" ht="13.2" customHeight="1" x14ac:dyDescent="0.55000000000000004">
      <c r="B87" s="371"/>
      <c r="C87" s="1010" t="s">
        <v>693</v>
      </c>
      <c r="D87" s="360" t="str">
        <f t="shared" si="5"/>
        <v>Finance and administration1200</v>
      </c>
      <c r="E87" s="360" t="str">
        <f t="shared" si="3"/>
        <v>TheewaterskloofFinance and administrationDividends received</v>
      </c>
      <c r="F87" s="360" t="str">
        <f>'PART C- Municipal Details'!$G$7</f>
        <v>Theewaterskloof</v>
      </c>
      <c r="G87" s="360" t="s">
        <v>101</v>
      </c>
      <c r="H87" s="366" t="s">
        <v>798</v>
      </c>
      <c r="I87" s="496" t="s">
        <v>4</v>
      </c>
      <c r="J87" s="497" t="s">
        <v>4</v>
      </c>
      <c r="K87" s="490"/>
      <c r="L87" s="463" t="s">
        <v>694</v>
      </c>
      <c r="M87" s="459"/>
      <c r="N87" s="461"/>
      <c r="O87" s="461"/>
      <c r="P87" s="461"/>
      <c r="Q87" s="461"/>
      <c r="R87" s="461"/>
      <c r="S87" s="461"/>
      <c r="T87" s="461"/>
      <c r="U87" s="530">
        <v>0</v>
      </c>
      <c r="V87" s="530">
        <v>0</v>
      </c>
      <c r="W87" s="530">
        <v>0</v>
      </c>
      <c r="X87" s="490"/>
      <c r="Y87" s="969"/>
      <c r="Z87" s="969"/>
      <c r="AA87" s="969"/>
      <c r="AB87" s="969"/>
      <c r="AC87" s="969"/>
      <c r="AD87" s="969"/>
      <c r="AE87" s="969" t="str">
        <f t="shared" si="4"/>
        <v>TheewaterskloofDividends</v>
      </c>
      <c r="AF87" s="969"/>
      <c r="AG87" s="969"/>
    </row>
    <row r="88" spans="2:33" ht="13.2" customHeight="1" x14ac:dyDescent="0.55000000000000004">
      <c r="B88" s="371"/>
      <c r="C88" s="1010" t="s">
        <v>695</v>
      </c>
      <c r="D88" s="361" t="str">
        <f t="shared" si="5"/>
        <v>Finance and administration1300</v>
      </c>
      <c r="E88" s="361" t="str">
        <f t="shared" si="3"/>
        <v>TheewaterskloofFinance and administrationRental of facilities and equipment</v>
      </c>
      <c r="F88" s="360" t="str">
        <f>'PART C- Municipal Details'!$G$7</f>
        <v>Theewaterskloof</v>
      </c>
      <c r="G88" s="361" t="s">
        <v>101</v>
      </c>
      <c r="H88" s="363" t="s">
        <v>798</v>
      </c>
      <c r="I88" s="496" t="s">
        <v>1</v>
      </c>
      <c r="J88" s="497" t="s">
        <v>691</v>
      </c>
      <c r="K88" s="490"/>
      <c r="L88" s="463" t="s">
        <v>696</v>
      </c>
      <c r="M88" s="459"/>
      <c r="N88" s="461"/>
      <c r="O88" s="461"/>
      <c r="P88" s="461"/>
      <c r="Q88" s="461"/>
      <c r="R88" s="461"/>
      <c r="S88" s="461"/>
      <c r="T88" s="461"/>
      <c r="U88" s="530">
        <v>0</v>
      </c>
      <c r="V88" s="530">
        <v>0</v>
      </c>
      <c r="W88" s="530">
        <v>0</v>
      </c>
      <c r="X88" s="490"/>
      <c r="Y88" s="969"/>
      <c r="Z88" s="969"/>
      <c r="AA88" s="969"/>
      <c r="AB88" s="969"/>
      <c r="AC88" s="969"/>
      <c r="AD88" s="969"/>
      <c r="AE88" s="969" t="str">
        <f t="shared" si="4"/>
        <v>TheewaterskloofRent on Land</v>
      </c>
      <c r="AF88" s="969"/>
      <c r="AG88" s="969"/>
    </row>
    <row r="89" spans="2:33" ht="13.2" customHeight="1" x14ac:dyDescent="0.55000000000000004">
      <c r="B89" s="371"/>
      <c r="C89" s="1010" t="s">
        <v>697</v>
      </c>
      <c r="D89" s="360" t="str">
        <f t="shared" si="5"/>
        <v>Finance and administration1400</v>
      </c>
      <c r="E89" s="360" t="str">
        <f t="shared" si="3"/>
        <v>TheewaterskloofFinance and administrationRental of facilities and equipment</v>
      </c>
      <c r="F89" s="360" t="str">
        <f>'PART C- Municipal Details'!$G$7</f>
        <v>Theewaterskloof</v>
      </c>
      <c r="G89" s="360" t="s">
        <v>101</v>
      </c>
      <c r="H89" s="366" t="s">
        <v>798</v>
      </c>
      <c r="I89" s="496" t="s">
        <v>1</v>
      </c>
      <c r="J89" s="497" t="s">
        <v>5</v>
      </c>
      <c r="K89" s="490"/>
      <c r="L89" s="463" t="s">
        <v>699</v>
      </c>
      <c r="M89" s="459"/>
      <c r="N89" s="461"/>
      <c r="O89" s="461"/>
      <c r="P89" s="461"/>
      <c r="Q89" s="461"/>
      <c r="R89" s="461"/>
      <c r="S89" s="461"/>
      <c r="T89" s="461"/>
      <c r="U89" s="530">
        <v>1230000</v>
      </c>
      <c r="V89" s="530">
        <v>1271820</v>
      </c>
      <c r="W89" s="530">
        <v>1312518</v>
      </c>
      <c r="X89" s="490"/>
      <c r="Y89" s="969"/>
      <c r="Z89" s="969"/>
      <c r="AA89" s="969"/>
      <c r="AB89" s="969"/>
      <c r="AC89" s="969"/>
      <c r="AD89" s="969"/>
      <c r="AE89" s="969" t="str">
        <f t="shared" si="4"/>
        <v>TheewaterskloofRental from Fixed Assets</v>
      </c>
      <c r="AF89" s="969"/>
      <c r="AG89" s="969"/>
    </row>
    <row r="90" spans="2:33" ht="13.2" customHeight="1" x14ac:dyDescent="0.55000000000000004">
      <c r="B90" s="371"/>
      <c r="C90" s="1010" t="s">
        <v>700</v>
      </c>
      <c r="D90" s="361" t="str">
        <f t="shared" si="5"/>
        <v>Finance and administration1500</v>
      </c>
      <c r="E90" s="361" t="str">
        <f t="shared" si="3"/>
        <v>TheewaterskloofFinance and administrationLicences and permits</v>
      </c>
      <c r="F90" s="360" t="str">
        <f>'PART C- Municipal Details'!$G$7</f>
        <v>Theewaterskloof</v>
      </c>
      <c r="G90" s="361" t="s">
        <v>101</v>
      </c>
      <c r="H90" s="363" t="s">
        <v>798</v>
      </c>
      <c r="I90" s="496" t="s">
        <v>5</v>
      </c>
      <c r="J90" s="497" t="s">
        <v>6</v>
      </c>
      <c r="K90" s="490"/>
      <c r="L90" s="463" t="s">
        <v>701</v>
      </c>
      <c r="M90" s="459"/>
      <c r="N90" s="461"/>
      <c r="O90" s="461"/>
      <c r="P90" s="461"/>
      <c r="Q90" s="461"/>
      <c r="R90" s="461"/>
      <c r="S90" s="461"/>
      <c r="T90" s="461"/>
      <c r="U90" s="530">
        <v>0</v>
      </c>
      <c r="V90" s="530">
        <v>0</v>
      </c>
      <c r="W90" s="530">
        <v>0</v>
      </c>
      <c r="X90" s="490"/>
      <c r="Y90" s="969"/>
      <c r="Z90" s="969"/>
      <c r="AA90" s="969"/>
      <c r="AB90" s="969"/>
      <c r="AC90" s="969"/>
      <c r="AD90" s="969"/>
      <c r="AE90" s="969" t="str">
        <f t="shared" si="4"/>
        <v>TheewaterskloofLicence and permits</v>
      </c>
      <c r="AF90" s="969"/>
      <c r="AG90" s="969"/>
    </row>
    <row r="91" spans="2:33" ht="13.2" customHeight="1" x14ac:dyDescent="0.55000000000000004">
      <c r="B91" s="371"/>
      <c r="C91" s="1324" t="s">
        <v>1569</v>
      </c>
      <c r="D91" s="360" t="str">
        <f t="shared" si="5"/>
        <v>Finance and administration1550</v>
      </c>
      <c r="E91" s="360" t="str">
        <f t="shared" si="3"/>
        <v>TheewaterskloofFinance and administrationSpecial rating Levies</v>
      </c>
      <c r="F91" s="360" t="str">
        <f>'PART C- Municipal Details'!$G$7</f>
        <v>Theewaterskloof</v>
      </c>
      <c r="G91" s="360" t="s">
        <v>101</v>
      </c>
      <c r="H91" s="363" t="s">
        <v>798</v>
      </c>
      <c r="I91" s="496" t="s">
        <v>1568</v>
      </c>
      <c r="J91" s="497" t="s">
        <v>7</v>
      </c>
      <c r="K91" s="490"/>
      <c r="L91" s="463" t="s">
        <v>1567</v>
      </c>
      <c r="M91" s="459"/>
      <c r="N91" s="461"/>
      <c r="O91" s="461"/>
      <c r="P91" s="461"/>
      <c r="Q91" s="461"/>
      <c r="R91" s="461"/>
      <c r="S91" s="461"/>
      <c r="T91" s="461"/>
      <c r="U91" s="530">
        <v>0</v>
      </c>
      <c r="V91" s="530">
        <v>0</v>
      </c>
      <c r="W91" s="530">
        <v>0</v>
      </c>
      <c r="X91" s="490"/>
      <c r="Y91" s="969"/>
      <c r="Z91" s="969"/>
      <c r="AA91" s="969"/>
      <c r="AB91" s="969"/>
      <c r="AC91" s="969"/>
      <c r="AD91" s="969"/>
      <c r="AE91" s="969"/>
      <c r="AF91" s="969"/>
      <c r="AG91" s="969"/>
    </row>
    <row r="92" spans="2:33" ht="13.2" customHeight="1" x14ac:dyDescent="0.55000000000000004">
      <c r="B92" s="371"/>
      <c r="C92" s="1010" t="s">
        <v>702</v>
      </c>
      <c r="D92" s="360" t="str">
        <f t="shared" si="5"/>
        <v>Finance and administration1600</v>
      </c>
      <c r="E92" s="360" t="str">
        <f t="shared" si="3"/>
        <v>TheewaterskloofFinance and administrationOther revenue</v>
      </c>
      <c r="F92" s="360" t="str">
        <f>'PART C- Municipal Details'!$G$7</f>
        <v>Theewaterskloof</v>
      </c>
      <c r="G92" s="360" t="s">
        <v>101</v>
      </c>
      <c r="H92" s="366" t="s">
        <v>798</v>
      </c>
      <c r="I92" s="496" t="s">
        <v>7</v>
      </c>
      <c r="J92" s="497" t="s">
        <v>698</v>
      </c>
      <c r="K92" s="490"/>
      <c r="L92" s="463" t="s">
        <v>704</v>
      </c>
      <c r="M92" s="459"/>
      <c r="N92" s="461"/>
      <c r="O92" s="461"/>
      <c r="P92" s="461"/>
      <c r="Q92" s="461"/>
      <c r="R92" s="461"/>
      <c r="S92" s="461"/>
      <c r="T92" s="461"/>
      <c r="U92" s="530">
        <v>3742461</v>
      </c>
      <c r="V92" s="530">
        <v>3828345</v>
      </c>
      <c r="W92" s="530">
        <v>3950853</v>
      </c>
      <c r="X92" s="490"/>
      <c r="Y92" s="969"/>
      <c r="Z92" s="969"/>
      <c r="AA92" s="969"/>
      <c r="AB92" s="969"/>
      <c r="AC92" s="969"/>
      <c r="AD92" s="969"/>
      <c r="AE92" s="969" t="str">
        <f t="shared" si="4"/>
        <v>TheewaterskloofOperational Revenue</v>
      </c>
      <c r="AF92" s="969"/>
      <c r="AG92" s="969"/>
    </row>
    <row r="93" spans="2:33" ht="13.2" customHeight="1" x14ac:dyDescent="0.55000000000000004">
      <c r="B93" s="371"/>
      <c r="C93" s="1009" t="s">
        <v>705</v>
      </c>
      <c r="D93" s="361" t="str">
        <f t="shared" si="5"/>
        <v>Finance and administration1700</v>
      </c>
      <c r="E93" s="361" t="str">
        <f t="shared" si="3"/>
        <v>TheewaterskloofFinance and administrationRR</v>
      </c>
      <c r="F93" s="360" t="str">
        <f>'PART C- Municipal Details'!$G$7</f>
        <v>Theewaterskloof</v>
      </c>
      <c r="G93" s="361" t="s">
        <v>101</v>
      </c>
      <c r="H93" s="363" t="s">
        <v>798</v>
      </c>
      <c r="I93" s="496" t="s">
        <v>706</v>
      </c>
      <c r="J93" s="497" t="s">
        <v>7</v>
      </c>
      <c r="K93" s="490"/>
      <c r="L93" s="508" t="s">
        <v>708</v>
      </c>
      <c r="M93" s="509"/>
      <c r="N93" s="510"/>
      <c r="O93" s="510"/>
      <c r="P93" s="510"/>
      <c r="Q93" s="510"/>
      <c r="R93" s="510"/>
      <c r="S93" s="510"/>
      <c r="T93" s="511"/>
      <c r="U93" s="531">
        <v>0</v>
      </c>
      <c r="V93" s="531">
        <v>0</v>
      </c>
      <c r="W93" s="531">
        <v>0</v>
      </c>
      <c r="X93" s="490"/>
      <c r="Y93" s="969"/>
      <c r="Z93" s="969"/>
      <c r="AA93" s="969"/>
      <c r="AB93" s="969"/>
      <c r="AC93" s="969"/>
      <c r="AD93" s="969"/>
      <c r="AE93" s="969" t="str">
        <f t="shared" si="4"/>
        <v>TheewaterskloofNon-Exchange Revenue</v>
      </c>
      <c r="AF93" s="969"/>
      <c r="AG93" s="969"/>
    </row>
    <row r="94" spans="2:33" ht="13.2" customHeight="1" x14ac:dyDescent="0.55000000000000004">
      <c r="B94" s="371"/>
      <c r="C94" s="1010" t="s">
        <v>709</v>
      </c>
      <c r="D94" s="360" t="str">
        <f t="shared" si="5"/>
        <v>Finance and administration1800</v>
      </c>
      <c r="E94" s="360" t="str">
        <f t="shared" si="3"/>
        <v>TheewaterskloofFinance and administrationProperty rates</v>
      </c>
      <c r="F94" s="360" t="str">
        <f>'PART C- Municipal Details'!$G$7</f>
        <v>Theewaterskloof</v>
      </c>
      <c r="G94" s="360" t="s">
        <v>101</v>
      </c>
      <c r="H94" s="366" t="s">
        <v>798</v>
      </c>
      <c r="I94" s="496" t="s">
        <v>0</v>
      </c>
      <c r="J94" s="497" t="s">
        <v>703</v>
      </c>
      <c r="K94" s="490"/>
      <c r="L94" s="463" t="s">
        <v>0</v>
      </c>
      <c r="M94" s="459"/>
      <c r="N94" s="460"/>
      <c r="O94" s="460"/>
      <c r="P94" s="460"/>
      <c r="Q94" s="460"/>
      <c r="R94" s="460"/>
      <c r="S94" s="460"/>
      <c r="T94" s="460"/>
      <c r="U94" s="530">
        <v>179290650</v>
      </c>
      <c r="V94" s="530">
        <v>185386533</v>
      </c>
      <c r="W94" s="530">
        <v>191318902</v>
      </c>
      <c r="X94" s="490"/>
      <c r="Y94" s="969"/>
      <c r="Z94" s="969"/>
      <c r="AA94" s="969"/>
      <c r="AB94" s="969"/>
      <c r="AC94" s="969"/>
      <c r="AD94" s="969"/>
      <c r="AE94" s="969" t="str">
        <f t="shared" si="4"/>
        <v>TheewaterskloofProperty rates</v>
      </c>
      <c r="AF94" s="969"/>
      <c r="AG94" s="969"/>
    </row>
    <row r="95" spans="2:33" ht="13.2" customHeight="1" x14ac:dyDescent="0.55000000000000004">
      <c r="B95" s="371"/>
      <c r="C95" s="1010" t="s">
        <v>711</v>
      </c>
      <c r="D95" s="361" t="str">
        <f t="shared" si="5"/>
        <v>Finance and administration1900</v>
      </c>
      <c r="E95" s="361" t="str">
        <f t="shared" si="3"/>
        <v>TheewaterskloofFinance and administrationOther revenue</v>
      </c>
      <c r="F95" s="360" t="str">
        <f>'PART C- Municipal Details'!$G$7</f>
        <v>Theewaterskloof</v>
      </c>
      <c r="G95" s="361" t="s">
        <v>101</v>
      </c>
      <c r="H95" s="363" t="s">
        <v>798</v>
      </c>
      <c r="I95" s="496" t="s">
        <v>7</v>
      </c>
      <c r="J95" s="497" t="s">
        <v>707</v>
      </c>
      <c r="K95" s="490"/>
      <c r="L95" s="463" t="s">
        <v>713</v>
      </c>
      <c r="M95" s="459"/>
      <c r="N95" s="461"/>
      <c r="O95" s="461"/>
      <c r="P95" s="461"/>
      <c r="Q95" s="461"/>
      <c r="R95" s="461"/>
      <c r="S95" s="461"/>
      <c r="T95" s="461"/>
      <c r="U95" s="530">
        <v>0</v>
      </c>
      <c r="V95" s="530">
        <v>0</v>
      </c>
      <c r="W95" s="530">
        <v>0</v>
      </c>
      <c r="X95" s="490"/>
      <c r="Y95" s="969"/>
      <c r="Z95" s="969"/>
      <c r="AA95" s="969"/>
      <c r="AB95" s="969"/>
      <c r="AC95" s="969"/>
      <c r="AD95" s="969"/>
      <c r="AE95" s="969" t="str">
        <f t="shared" si="4"/>
        <v>TheewaterskloofSurcharges and Taxes</v>
      </c>
      <c r="AF95" s="969"/>
      <c r="AG95" s="969"/>
    </row>
    <row r="96" spans="2:33" ht="13.2" customHeight="1" x14ac:dyDescent="0.55000000000000004">
      <c r="B96" s="371"/>
      <c r="C96" s="1010" t="s">
        <v>714</v>
      </c>
      <c r="D96" s="360" t="str">
        <f t="shared" si="5"/>
        <v>Finance and administration2000</v>
      </c>
      <c r="E96" s="360" t="str">
        <f t="shared" si="3"/>
        <v>TheewaterskloofFinance and administrationFines, penalties and forfeits</v>
      </c>
      <c r="F96" s="360" t="str">
        <f>'PART C- Municipal Details'!$G$7</f>
        <v>Theewaterskloof</v>
      </c>
      <c r="G96" s="360" t="s">
        <v>101</v>
      </c>
      <c r="H96" s="366" t="s">
        <v>798</v>
      </c>
      <c r="I96" s="496" t="s">
        <v>691</v>
      </c>
      <c r="J96" s="497" t="s">
        <v>710</v>
      </c>
      <c r="K96" s="490"/>
      <c r="L96" s="463" t="s">
        <v>691</v>
      </c>
      <c r="M96" s="459"/>
      <c r="N96" s="461"/>
      <c r="O96" s="461"/>
      <c r="P96" s="461"/>
      <c r="Q96" s="461"/>
      <c r="R96" s="461"/>
      <c r="S96" s="461"/>
      <c r="T96" s="461"/>
      <c r="U96" s="530">
        <v>2850100</v>
      </c>
      <c r="V96" s="530">
        <v>2947003</v>
      </c>
      <c r="W96" s="530">
        <v>3041307</v>
      </c>
      <c r="X96" s="490"/>
      <c r="Y96" s="969"/>
      <c r="Z96" s="969"/>
      <c r="AA96" s="969"/>
      <c r="AB96" s="969"/>
      <c r="AC96" s="969"/>
      <c r="AD96" s="969"/>
      <c r="AE96" s="969" t="str">
        <f t="shared" si="4"/>
        <v>TheewaterskloofFines, penalties and forfeits</v>
      </c>
      <c r="AF96" s="969"/>
      <c r="AG96" s="969"/>
    </row>
    <row r="97" spans="2:33" ht="13.2" customHeight="1" x14ac:dyDescent="0.55000000000000004">
      <c r="B97" s="371"/>
      <c r="C97" s="1010" t="s">
        <v>715</v>
      </c>
      <c r="D97" s="361" t="str">
        <f t="shared" si="5"/>
        <v>Finance and administration2100</v>
      </c>
      <c r="E97" s="361" t="str">
        <f t="shared" si="3"/>
        <v>TheewaterskloofFinance and administrationLicences and permits</v>
      </c>
      <c r="F97" s="360" t="str">
        <f>'PART C- Municipal Details'!$G$7</f>
        <v>Theewaterskloof</v>
      </c>
      <c r="G97" s="361" t="s">
        <v>101</v>
      </c>
      <c r="H97" s="363" t="s">
        <v>798</v>
      </c>
      <c r="I97" s="496" t="s">
        <v>5</v>
      </c>
      <c r="J97" s="497" t="s">
        <v>712</v>
      </c>
      <c r="K97" s="490"/>
      <c r="L97" s="463" t="s">
        <v>716</v>
      </c>
      <c r="M97" s="459"/>
      <c r="N97" s="461"/>
      <c r="O97" s="461"/>
      <c r="P97" s="461"/>
      <c r="Q97" s="461"/>
      <c r="R97" s="461"/>
      <c r="S97" s="461"/>
      <c r="T97" s="461"/>
      <c r="U97" s="530">
        <v>0</v>
      </c>
      <c r="V97" s="530">
        <v>0</v>
      </c>
      <c r="W97" s="530">
        <v>0</v>
      </c>
      <c r="X97" s="490"/>
      <c r="Y97" s="969"/>
      <c r="Z97" s="969"/>
      <c r="AA97" s="969"/>
      <c r="AB97" s="969"/>
      <c r="AC97" s="969"/>
      <c r="AD97" s="969"/>
      <c r="AE97" s="969" t="str">
        <f t="shared" si="4"/>
        <v>TheewaterskloofLicences or permits</v>
      </c>
      <c r="AF97" s="969"/>
      <c r="AG97" s="969"/>
    </row>
    <row r="98" spans="2:33" ht="13.2" customHeight="1" x14ac:dyDescent="0.55000000000000004">
      <c r="B98" s="371"/>
      <c r="C98" s="1010" t="s">
        <v>717</v>
      </c>
      <c r="D98" s="360" t="str">
        <f t="shared" si="5"/>
        <v>Finance and administration2200</v>
      </c>
      <c r="E98" s="360" t="str">
        <f t="shared" si="3"/>
        <v>TheewaterskloofFinance and administrationTransfers and subsidies Income</v>
      </c>
      <c r="F98" s="360" t="str">
        <f>'PART C- Municipal Details'!$G$7</f>
        <v>Theewaterskloof</v>
      </c>
      <c r="G98" s="360" t="s">
        <v>101</v>
      </c>
      <c r="H98" s="366" t="s">
        <v>798</v>
      </c>
      <c r="I98" s="496" t="s">
        <v>698</v>
      </c>
      <c r="J98" s="497" t="s">
        <v>8</v>
      </c>
      <c r="K98" s="490"/>
      <c r="L98" s="463" t="s">
        <v>718</v>
      </c>
      <c r="M98" s="459"/>
      <c r="N98" s="461"/>
      <c r="O98" s="461"/>
      <c r="P98" s="461"/>
      <c r="Q98" s="461"/>
      <c r="R98" s="461"/>
      <c r="S98" s="461"/>
      <c r="T98" s="461"/>
      <c r="U98" s="530">
        <v>100835856</v>
      </c>
      <c r="V98" s="530">
        <v>103977768</v>
      </c>
      <c r="W98" s="530">
        <v>106211171</v>
      </c>
      <c r="X98" s="490"/>
      <c r="Y98" s="969"/>
      <c r="Z98" s="969"/>
      <c r="AA98" s="969"/>
      <c r="AB98" s="969"/>
      <c r="AC98" s="969"/>
      <c r="AD98" s="969"/>
      <c r="AE98" s="969" t="str">
        <f t="shared" si="4"/>
        <v>TheewaterskloofTransfer and subsidies - Operational</v>
      </c>
      <c r="AF98" s="969"/>
      <c r="AG98" s="969"/>
    </row>
    <row r="99" spans="2:33" ht="13.2" customHeight="1" x14ac:dyDescent="0.55000000000000004">
      <c r="B99" s="371"/>
      <c r="C99" s="1010" t="s">
        <v>719</v>
      </c>
      <c r="D99" s="361" t="str">
        <f t="shared" si="5"/>
        <v>Finance and administration2300</v>
      </c>
      <c r="E99" s="361" t="str">
        <f t="shared" si="3"/>
        <v>TheewaterskloofFinance and administrationInterest earned - external investments</v>
      </c>
      <c r="F99" s="360" t="str">
        <f>'PART C- Municipal Details'!$G$7</f>
        <v>Theewaterskloof</v>
      </c>
      <c r="G99" s="361" t="s">
        <v>101</v>
      </c>
      <c r="H99" s="363" t="s">
        <v>798</v>
      </c>
      <c r="I99" s="496" t="s">
        <v>2</v>
      </c>
      <c r="J99" s="497" t="s">
        <v>9</v>
      </c>
      <c r="K99" s="490"/>
      <c r="L99" s="463" t="s">
        <v>687</v>
      </c>
      <c r="M99" s="459"/>
      <c r="N99" s="461"/>
      <c r="O99" s="461"/>
      <c r="P99" s="461"/>
      <c r="Q99" s="461"/>
      <c r="R99" s="461"/>
      <c r="S99" s="461"/>
      <c r="T99" s="461"/>
      <c r="U99" s="530">
        <v>3862950</v>
      </c>
      <c r="V99" s="530">
        <v>3994290</v>
      </c>
      <c r="W99" s="530">
        <v>4122107</v>
      </c>
      <c r="X99" s="490"/>
      <c r="Y99" s="969"/>
      <c r="Z99" s="969"/>
      <c r="AA99" s="969"/>
      <c r="AB99" s="969"/>
      <c r="AC99" s="969"/>
      <c r="AD99" s="969"/>
      <c r="AE99" s="969" t="str">
        <f t="shared" si="4"/>
        <v>TheewaterskloofInterest</v>
      </c>
      <c r="AF99" s="969"/>
      <c r="AG99" s="969"/>
    </row>
    <row r="100" spans="2:33" ht="13.2" customHeight="1" x14ac:dyDescent="0.55000000000000004">
      <c r="B100" s="371"/>
      <c r="C100" s="1010" t="s">
        <v>721</v>
      </c>
      <c r="D100" s="360" t="str">
        <f t="shared" si="5"/>
        <v>Finance and administration2400</v>
      </c>
      <c r="E100" s="360" t="str">
        <f t="shared" si="3"/>
        <v>TheewaterskloofFinance and administrationOther revenue</v>
      </c>
      <c r="F100" s="360" t="str">
        <f>'PART C- Municipal Details'!$G$7</f>
        <v>Theewaterskloof</v>
      </c>
      <c r="G100" s="360" t="s">
        <v>101</v>
      </c>
      <c r="H100" s="366" t="s">
        <v>798</v>
      </c>
      <c r="I100" s="496" t="s">
        <v>7</v>
      </c>
      <c r="J100" s="497" t="s">
        <v>10</v>
      </c>
      <c r="K100" s="490"/>
      <c r="L100" s="463" t="s">
        <v>722</v>
      </c>
      <c r="M100" s="459"/>
      <c r="N100" s="461"/>
      <c r="O100" s="461"/>
      <c r="P100" s="461"/>
      <c r="Q100" s="461"/>
      <c r="R100" s="461"/>
      <c r="S100" s="461"/>
      <c r="T100" s="461"/>
      <c r="U100" s="530">
        <v>0</v>
      </c>
      <c r="V100" s="530">
        <v>0</v>
      </c>
      <c r="W100" s="530">
        <v>0</v>
      </c>
      <c r="X100" s="490"/>
      <c r="Y100" s="969"/>
      <c r="Z100" s="969"/>
      <c r="AA100" s="969"/>
      <c r="AB100" s="969"/>
      <c r="AC100" s="969"/>
      <c r="AD100" s="969"/>
      <c r="AE100" s="969" t="str">
        <f t="shared" si="4"/>
        <v>TheewaterskloofFuel Levy</v>
      </c>
      <c r="AF100" s="969"/>
      <c r="AG100" s="969"/>
    </row>
    <row r="101" spans="2:33" ht="13.2" customHeight="1" x14ac:dyDescent="0.55000000000000004">
      <c r="B101" s="371"/>
      <c r="C101" s="1010" t="s">
        <v>723</v>
      </c>
      <c r="D101" s="361" t="str">
        <f t="shared" si="5"/>
        <v>Finance and administration2500</v>
      </c>
      <c r="E101" s="361" t="str">
        <f t="shared" si="3"/>
        <v>TheewaterskloofFinance and administrationOther revenue</v>
      </c>
      <c r="F101" s="360" t="str">
        <f>'PART C- Municipal Details'!$G$7</f>
        <v>Theewaterskloof</v>
      </c>
      <c r="G101" s="361" t="s">
        <v>101</v>
      </c>
      <c r="H101" s="363" t="s">
        <v>798</v>
      </c>
      <c r="I101" s="496" t="s">
        <v>7</v>
      </c>
      <c r="J101" s="497" t="s">
        <v>720</v>
      </c>
      <c r="K101" s="490"/>
      <c r="L101" s="463" t="s">
        <v>704</v>
      </c>
      <c r="M101" s="459"/>
      <c r="N101" s="461"/>
      <c r="O101" s="461"/>
      <c r="P101" s="461"/>
      <c r="Q101" s="461"/>
      <c r="R101" s="461"/>
      <c r="S101" s="461"/>
      <c r="T101" s="461"/>
      <c r="U101" s="530">
        <v>0</v>
      </c>
      <c r="V101" s="530">
        <v>0</v>
      </c>
      <c r="W101" s="530">
        <v>0</v>
      </c>
      <c r="X101" s="490"/>
      <c r="Y101" s="969"/>
      <c r="Z101" s="969"/>
      <c r="AA101" s="969"/>
      <c r="AB101" s="969"/>
      <c r="AC101" s="969"/>
      <c r="AD101" s="969"/>
      <c r="AE101" s="969" t="str">
        <f t="shared" si="4"/>
        <v>TheewaterskloofOperational Revenue</v>
      </c>
      <c r="AF101" s="969"/>
      <c r="AG101" s="969"/>
    </row>
    <row r="102" spans="2:33" ht="13.2" customHeight="1" x14ac:dyDescent="0.55000000000000004">
      <c r="B102" s="371"/>
      <c r="C102" s="1010" t="s">
        <v>725</v>
      </c>
      <c r="D102" s="360" t="str">
        <f t="shared" si="5"/>
        <v>Finance and administration2600</v>
      </c>
      <c r="E102" s="360" t="str">
        <f t="shared" si="3"/>
        <v>TheewaterskloofFinance and administrationGains</v>
      </c>
      <c r="F102" s="360" t="str">
        <f>'PART C- Municipal Details'!$G$7</f>
        <v>Theewaterskloof</v>
      </c>
      <c r="G102" s="360" t="s">
        <v>101</v>
      </c>
      <c r="H102" s="366" t="s">
        <v>798</v>
      </c>
      <c r="I102" s="496" t="s">
        <v>703</v>
      </c>
      <c r="J102" s="497" t="s">
        <v>11</v>
      </c>
      <c r="K102" s="490"/>
      <c r="L102" s="463" t="s">
        <v>727</v>
      </c>
      <c r="M102" s="459"/>
      <c r="N102" s="461"/>
      <c r="O102" s="461"/>
      <c r="P102" s="461"/>
      <c r="Q102" s="461"/>
      <c r="R102" s="461"/>
      <c r="S102" s="461"/>
      <c r="T102" s="461"/>
      <c r="U102" s="530">
        <v>871790</v>
      </c>
      <c r="V102" s="530">
        <v>901431</v>
      </c>
      <c r="W102" s="530">
        <v>930277</v>
      </c>
      <c r="X102" s="490"/>
      <c r="Y102" s="969"/>
      <c r="Z102" s="969"/>
      <c r="AA102" s="969"/>
      <c r="AB102" s="969"/>
      <c r="AC102" s="969"/>
      <c r="AD102" s="969"/>
      <c r="AE102" s="969" t="str">
        <f t="shared" si="4"/>
        <v>TheewaterskloofGains on disposal of Assets</v>
      </c>
      <c r="AF102" s="969"/>
      <c r="AG102" s="969"/>
    </row>
    <row r="103" spans="2:33" ht="13.2" customHeight="1" x14ac:dyDescent="0.55000000000000004">
      <c r="B103" s="371"/>
      <c r="C103" s="1010" t="s">
        <v>728</v>
      </c>
      <c r="D103" s="361" t="str">
        <f t="shared" si="5"/>
        <v>Finance and administration2700</v>
      </c>
      <c r="E103" s="361" t="str">
        <f t="shared" si="3"/>
        <v>TheewaterskloofFinance and administrationOther revenue</v>
      </c>
      <c r="F103" s="360" t="str">
        <f>'PART C- Municipal Details'!$G$7</f>
        <v>Theewaterskloof</v>
      </c>
      <c r="G103" s="361" t="s">
        <v>101</v>
      </c>
      <c r="H103" s="363" t="s">
        <v>798</v>
      </c>
      <c r="I103" s="496" t="s">
        <v>7</v>
      </c>
      <c r="J103" s="497" t="s">
        <v>724</v>
      </c>
      <c r="K103" s="490"/>
      <c r="L103" s="463" t="s">
        <v>729</v>
      </c>
      <c r="M103" s="459"/>
      <c r="N103" s="461"/>
      <c r="O103" s="461"/>
      <c r="P103" s="461"/>
      <c r="Q103" s="461"/>
      <c r="R103" s="461"/>
      <c r="S103" s="461"/>
      <c r="T103" s="461"/>
      <c r="U103" s="530">
        <v>3840000</v>
      </c>
      <c r="V103" s="530">
        <v>3970560</v>
      </c>
      <c r="W103" s="530">
        <v>4097618</v>
      </c>
      <c r="X103" s="490"/>
      <c r="Y103" s="969"/>
      <c r="Z103" s="969"/>
      <c r="AA103" s="969"/>
      <c r="AB103" s="969"/>
      <c r="AC103" s="969"/>
      <c r="AD103" s="969"/>
      <c r="AE103" s="969" t="str">
        <f t="shared" si="4"/>
        <v>TheewaterskloofOther Gains</v>
      </c>
      <c r="AF103" s="969"/>
      <c r="AG103" s="969"/>
    </row>
    <row r="104" spans="2:33" ht="13.2" customHeight="1" x14ac:dyDescent="0.55000000000000004">
      <c r="B104" s="371"/>
      <c r="C104" s="1010" t="s">
        <v>730</v>
      </c>
      <c r="D104" s="360" t="str">
        <f t="shared" si="5"/>
        <v>Finance and administration2800</v>
      </c>
      <c r="E104" s="360" t="str">
        <f t="shared" si="3"/>
        <v>TheewaterskloofFinance and administrationOther revenue</v>
      </c>
      <c r="F104" s="360" t="str">
        <f>'PART C- Municipal Details'!$G$7</f>
        <v>Theewaterskloof</v>
      </c>
      <c r="G104" s="360" t="s">
        <v>101</v>
      </c>
      <c r="H104" s="366" t="s">
        <v>798</v>
      </c>
      <c r="I104" s="496" t="s">
        <v>7</v>
      </c>
      <c r="J104" s="497" t="s">
        <v>726</v>
      </c>
      <c r="K104" s="490"/>
      <c r="L104" s="464" t="s">
        <v>731</v>
      </c>
      <c r="M104" s="459"/>
      <c r="N104" s="461"/>
      <c r="O104" s="461"/>
      <c r="P104" s="461"/>
      <c r="Q104" s="461"/>
      <c r="R104" s="461"/>
      <c r="S104" s="461"/>
      <c r="T104" s="461"/>
      <c r="U104" s="530">
        <v>0</v>
      </c>
      <c r="V104" s="530">
        <v>0</v>
      </c>
      <c r="W104" s="530">
        <v>0</v>
      </c>
      <c r="X104" s="490"/>
      <c r="Y104" s="969"/>
      <c r="Z104" s="969"/>
      <c r="AA104" s="969"/>
      <c r="AB104" s="969"/>
      <c r="AC104" s="969"/>
      <c r="AD104" s="969"/>
      <c r="AE104" s="969" t="str">
        <f t="shared" si="4"/>
        <v>TheewaterskloofDiscontinued Operations</v>
      </c>
      <c r="AF104" s="969"/>
      <c r="AG104" s="969"/>
    </row>
    <row r="105" spans="2:33" ht="13.2" customHeight="1" x14ac:dyDescent="0.55000000000000004">
      <c r="B105" s="371"/>
      <c r="C105" s="1009" t="s">
        <v>732</v>
      </c>
      <c r="D105" s="361" t="str">
        <f t="shared" si="5"/>
        <v>Finance and administration2900</v>
      </c>
      <c r="E105" s="361" t="str">
        <f t="shared" si="3"/>
        <v>TheewaterskloofFinance and administrationTotal Revenue (excluding capital transfers and contributions)</v>
      </c>
      <c r="F105" s="360" t="str">
        <f>'PART C- Municipal Details'!$G$7</f>
        <v>Theewaterskloof</v>
      </c>
      <c r="G105" s="361" t="s">
        <v>101</v>
      </c>
      <c r="H105" s="363" t="s">
        <v>798</v>
      </c>
      <c r="I105" s="496" t="s">
        <v>707</v>
      </c>
      <c r="J105" s="497" t="s">
        <v>12</v>
      </c>
      <c r="K105" s="490"/>
      <c r="L105" s="508" t="s">
        <v>707</v>
      </c>
      <c r="M105" s="509"/>
      <c r="N105" s="510"/>
      <c r="O105" s="510"/>
      <c r="P105" s="510"/>
      <c r="Q105" s="510"/>
      <c r="R105" s="510"/>
      <c r="S105" s="510"/>
      <c r="T105" s="511"/>
      <c r="U105" s="531">
        <v>328483797</v>
      </c>
      <c r="V105" s="531">
        <v>339324380</v>
      </c>
      <c r="W105" s="531">
        <v>349088875</v>
      </c>
      <c r="X105" s="490"/>
      <c r="Y105" s="969"/>
      <c r="Z105" s="969"/>
      <c r="AA105" s="969"/>
      <c r="AB105" s="969"/>
      <c r="AC105" s="969"/>
      <c r="AD105" s="969"/>
      <c r="AE105" s="969" t="str">
        <f t="shared" si="4"/>
        <v>TheewaterskloofTotal Revenue (excluding capital transfers and contributions)</v>
      </c>
      <c r="AF105" s="969"/>
      <c r="AG105" s="969"/>
    </row>
    <row r="106" spans="2:33" ht="13.2" customHeight="1" x14ac:dyDescent="0.55000000000000004">
      <c r="B106" s="371"/>
      <c r="C106" s="1009" t="s">
        <v>733</v>
      </c>
      <c r="D106" s="360" t="str">
        <f t="shared" si="5"/>
        <v>Finance and administration3000</v>
      </c>
      <c r="E106" s="360" t="str">
        <f t="shared" si="3"/>
        <v>TheewaterskloofFinance and administrationRR</v>
      </c>
      <c r="F106" s="360" t="str">
        <f>'PART C- Municipal Details'!$G$7</f>
        <v>Theewaterskloof</v>
      </c>
      <c r="G106" s="360" t="s">
        <v>101</v>
      </c>
      <c r="H106" s="366" t="s">
        <v>798</v>
      </c>
      <c r="I106" s="496" t="s">
        <v>706</v>
      </c>
      <c r="J106" s="497" t="s">
        <v>204</v>
      </c>
      <c r="K106" s="490"/>
      <c r="L106" s="505" t="s">
        <v>22</v>
      </c>
      <c r="M106" s="506"/>
      <c r="N106" s="507"/>
      <c r="O106" s="507"/>
      <c r="P106" s="507"/>
      <c r="Q106" s="507"/>
      <c r="R106" s="507"/>
      <c r="S106" s="507"/>
      <c r="T106" s="507"/>
      <c r="U106" s="531">
        <v>0</v>
      </c>
      <c r="V106" s="531">
        <v>0</v>
      </c>
      <c r="W106" s="531">
        <v>0</v>
      </c>
      <c r="X106" s="490"/>
      <c r="Y106" s="969"/>
      <c r="Z106" s="969"/>
      <c r="AA106" s="969"/>
      <c r="AB106" s="969"/>
      <c r="AC106" s="969"/>
      <c r="AD106" s="969"/>
      <c r="AE106" s="969" t="str">
        <f t="shared" si="4"/>
        <v>TheewaterskloofExpenditure</v>
      </c>
      <c r="AF106" s="969"/>
      <c r="AG106" s="969"/>
    </row>
    <row r="107" spans="2:33" ht="13.2" customHeight="1" x14ac:dyDescent="0.55000000000000004">
      <c r="B107" s="371"/>
      <c r="C107" s="1010" t="s">
        <v>735</v>
      </c>
      <c r="D107" s="361" t="str">
        <f t="shared" si="5"/>
        <v>Finance and administration3100</v>
      </c>
      <c r="E107" s="361" t="str">
        <f t="shared" si="3"/>
        <v>TheewaterskloofFinance and administrationEmployee related costs</v>
      </c>
      <c r="F107" s="360" t="str">
        <f>'PART C- Municipal Details'!$G$7</f>
        <v>Theewaterskloof</v>
      </c>
      <c r="G107" s="361" t="s">
        <v>101</v>
      </c>
      <c r="H107" s="363" t="s">
        <v>798</v>
      </c>
      <c r="I107" s="496" t="s">
        <v>8</v>
      </c>
      <c r="J107" s="497" t="s">
        <v>13</v>
      </c>
      <c r="K107" s="490"/>
      <c r="L107" s="463" t="s">
        <v>8</v>
      </c>
      <c r="M107" s="459"/>
      <c r="N107" s="461"/>
      <c r="O107" s="461"/>
      <c r="P107" s="461"/>
      <c r="Q107" s="461"/>
      <c r="R107" s="461"/>
      <c r="S107" s="461"/>
      <c r="T107" s="461"/>
      <c r="U107" s="530">
        <v>113069494</v>
      </c>
      <c r="V107" s="530">
        <v>116913980</v>
      </c>
      <c r="W107" s="530">
        <v>120655367</v>
      </c>
      <c r="X107" s="490"/>
      <c r="Y107" s="969"/>
      <c r="Z107" s="969"/>
      <c r="AA107" s="969"/>
      <c r="AB107" s="969"/>
      <c r="AC107" s="969"/>
      <c r="AD107" s="969"/>
      <c r="AE107" s="969" t="str">
        <f t="shared" si="4"/>
        <v>TheewaterskloofEmployee related costs</v>
      </c>
      <c r="AF107" s="969"/>
      <c r="AG107" s="969"/>
    </row>
    <row r="108" spans="2:33" ht="13.2" customHeight="1" x14ac:dyDescent="0.55000000000000004">
      <c r="B108" s="371"/>
      <c r="C108" s="1010" t="s">
        <v>737</v>
      </c>
      <c r="D108" s="360" t="str">
        <f t="shared" si="5"/>
        <v>Finance and administration3200</v>
      </c>
      <c r="E108" s="360" t="str">
        <f t="shared" si="3"/>
        <v>TheewaterskloofFinance and administrationRemuneration of councillors</v>
      </c>
      <c r="F108" s="360" t="str">
        <f>'PART C- Municipal Details'!$G$7</f>
        <v>Theewaterskloof</v>
      </c>
      <c r="G108" s="360" t="s">
        <v>101</v>
      </c>
      <c r="H108" s="366" t="s">
        <v>798</v>
      </c>
      <c r="I108" s="496" t="s">
        <v>9</v>
      </c>
      <c r="J108" s="497" t="s">
        <v>734</v>
      </c>
      <c r="K108" s="490"/>
      <c r="L108" s="463" t="s">
        <v>9</v>
      </c>
      <c r="M108" s="459"/>
      <c r="N108" s="461"/>
      <c r="O108" s="461"/>
      <c r="P108" s="461"/>
      <c r="Q108" s="461"/>
      <c r="R108" s="461"/>
      <c r="S108" s="461"/>
      <c r="T108" s="461"/>
      <c r="U108" s="530">
        <v>0</v>
      </c>
      <c r="V108" s="530">
        <v>0</v>
      </c>
      <c r="W108" s="530">
        <v>0</v>
      </c>
      <c r="X108" s="490"/>
      <c r="Y108" s="969"/>
      <c r="Z108" s="969"/>
      <c r="AA108" s="969"/>
      <c r="AB108" s="969"/>
      <c r="AC108" s="969"/>
      <c r="AD108" s="969"/>
      <c r="AE108" s="969" t="str">
        <f t="shared" si="4"/>
        <v>TheewaterskloofRemuneration of councillors</v>
      </c>
      <c r="AF108" s="969"/>
      <c r="AG108" s="969"/>
    </row>
    <row r="109" spans="2:33" ht="13.2" customHeight="1" x14ac:dyDescent="0.55000000000000004">
      <c r="B109" s="371"/>
      <c r="C109" s="1010" t="s">
        <v>738</v>
      </c>
      <c r="D109" s="361" t="str">
        <f t="shared" si="5"/>
        <v>Finance and administration3300</v>
      </c>
      <c r="E109" s="361" t="str">
        <f t="shared" si="3"/>
        <v>TheewaterskloofFinance and administrationBulk purchases - electricity</v>
      </c>
      <c r="F109" s="360" t="str">
        <f>'PART C- Municipal Details'!$G$7</f>
        <v>Theewaterskloof</v>
      </c>
      <c r="G109" s="361" t="s">
        <v>101</v>
      </c>
      <c r="H109" s="363" t="s">
        <v>798</v>
      </c>
      <c r="I109" s="496" t="s">
        <v>724</v>
      </c>
      <c r="J109" s="497" t="s">
        <v>736</v>
      </c>
      <c r="K109" s="490"/>
      <c r="L109" s="463" t="s">
        <v>724</v>
      </c>
      <c r="M109" s="459"/>
      <c r="N109" s="461"/>
      <c r="O109" s="461"/>
      <c r="P109" s="461"/>
      <c r="Q109" s="461"/>
      <c r="R109" s="461"/>
      <c r="S109" s="461"/>
      <c r="T109" s="461"/>
      <c r="U109" s="530">
        <v>0</v>
      </c>
      <c r="V109" s="530">
        <v>0</v>
      </c>
      <c r="W109" s="530">
        <v>0</v>
      </c>
      <c r="X109" s="490"/>
      <c r="Y109" s="969"/>
      <c r="Z109" s="969"/>
      <c r="AA109" s="969"/>
      <c r="AB109" s="969"/>
      <c r="AC109" s="969"/>
      <c r="AD109" s="969"/>
      <c r="AE109" s="969" t="str">
        <f t="shared" si="4"/>
        <v>TheewaterskloofBulk purchases - electricity</v>
      </c>
      <c r="AF109" s="969"/>
      <c r="AG109" s="969"/>
    </row>
    <row r="110" spans="2:33" ht="13.2" customHeight="1" x14ac:dyDescent="0.55000000000000004">
      <c r="B110" s="371"/>
      <c r="C110" s="1010" t="s">
        <v>739</v>
      </c>
      <c r="D110" s="360" t="str">
        <f t="shared" si="5"/>
        <v>Finance and administration3400</v>
      </c>
      <c r="E110" s="360" t="str">
        <f t="shared" si="3"/>
        <v>TheewaterskloofFinance and administrationInventory consumed</v>
      </c>
      <c r="F110" s="360" t="str">
        <f>'PART C- Municipal Details'!$G$7</f>
        <v>Theewaterskloof</v>
      </c>
      <c r="G110" s="360" t="s">
        <v>101</v>
      </c>
      <c r="H110" s="366" t="s">
        <v>798</v>
      </c>
      <c r="I110" s="496" t="s">
        <v>726</v>
      </c>
      <c r="J110" s="497" t="s">
        <v>710</v>
      </c>
      <c r="K110" s="490"/>
      <c r="L110" s="463" t="s">
        <v>726</v>
      </c>
      <c r="M110" s="459"/>
      <c r="N110" s="461"/>
      <c r="O110" s="461"/>
      <c r="P110" s="461"/>
      <c r="Q110" s="461"/>
      <c r="R110" s="461"/>
      <c r="S110" s="461"/>
      <c r="T110" s="461"/>
      <c r="U110" s="530">
        <v>1733682</v>
      </c>
      <c r="V110" s="530">
        <v>1792628</v>
      </c>
      <c r="W110" s="530">
        <v>1849993</v>
      </c>
      <c r="X110" s="490"/>
      <c r="Y110" s="969"/>
      <c r="Z110" s="969"/>
      <c r="AA110" s="969"/>
      <c r="AB110" s="969"/>
      <c r="AC110" s="969"/>
      <c r="AD110" s="969"/>
      <c r="AE110" s="969" t="str">
        <f t="shared" si="4"/>
        <v>TheewaterskloofInventory consumed</v>
      </c>
      <c r="AF110" s="969"/>
      <c r="AG110" s="969"/>
    </row>
    <row r="111" spans="2:33" ht="13.2" customHeight="1" x14ac:dyDescent="0.55000000000000004">
      <c r="B111" s="371"/>
      <c r="C111" s="1010" t="s">
        <v>741</v>
      </c>
      <c r="D111" s="361" t="str">
        <f t="shared" si="5"/>
        <v>Finance and administration3500</v>
      </c>
      <c r="E111" s="361" t="str">
        <f t="shared" si="3"/>
        <v>TheewaterskloofFinance and administrationDebt impairment</v>
      </c>
      <c r="F111" s="360" t="str">
        <f>'PART C- Municipal Details'!$G$7</f>
        <v>Theewaterskloof</v>
      </c>
      <c r="G111" s="361" t="s">
        <v>101</v>
      </c>
      <c r="H111" s="363" t="s">
        <v>798</v>
      </c>
      <c r="I111" s="496" t="s">
        <v>10</v>
      </c>
      <c r="J111" s="497" t="s">
        <v>635</v>
      </c>
      <c r="K111" s="490"/>
      <c r="L111" s="463" t="s">
        <v>10</v>
      </c>
      <c r="M111" s="459"/>
      <c r="N111" s="461"/>
      <c r="O111" s="461"/>
      <c r="P111" s="461"/>
      <c r="Q111" s="461"/>
      <c r="R111" s="461"/>
      <c r="S111" s="461"/>
      <c r="T111" s="461"/>
      <c r="U111" s="530">
        <v>30117000</v>
      </c>
      <c r="V111" s="530">
        <v>31140978</v>
      </c>
      <c r="W111" s="530">
        <v>32137489</v>
      </c>
      <c r="X111" s="490"/>
      <c r="Y111" s="969"/>
      <c r="Z111" s="969"/>
      <c r="AA111" s="969"/>
      <c r="AB111" s="969"/>
      <c r="AC111" s="969"/>
      <c r="AD111" s="969"/>
      <c r="AE111" s="969" t="str">
        <f t="shared" si="4"/>
        <v>TheewaterskloofDebt impairment</v>
      </c>
      <c r="AF111" s="969"/>
      <c r="AG111" s="969"/>
    </row>
    <row r="112" spans="2:33" ht="13.2" customHeight="1" x14ac:dyDescent="0.55000000000000004">
      <c r="B112" s="371"/>
      <c r="C112" s="1010" t="s">
        <v>743</v>
      </c>
      <c r="D112" s="360" t="str">
        <f t="shared" si="5"/>
        <v>Finance and administration3600</v>
      </c>
      <c r="E112" s="360" t="str">
        <f t="shared" si="3"/>
        <v>TheewaterskloofFinance and administrationDepreciation and asset impairment</v>
      </c>
      <c r="F112" s="360" t="str">
        <f>'PART C- Municipal Details'!$G$7</f>
        <v>Theewaterskloof</v>
      </c>
      <c r="G112" s="360" t="s">
        <v>101</v>
      </c>
      <c r="H112" s="366" t="s">
        <v>798</v>
      </c>
      <c r="I112" s="496" t="s">
        <v>720</v>
      </c>
      <c r="J112" s="497" t="s">
        <v>740</v>
      </c>
      <c r="K112" s="490"/>
      <c r="L112" s="463" t="s">
        <v>745</v>
      </c>
      <c r="M112" s="459"/>
      <c r="N112" s="461"/>
      <c r="O112" s="461"/>
      <c r="P112" s="461"/>
      <c r="Q112" s="461"/>
      <c r="R112" s="461"/>
      <c r="S112" s="461"/>
      <c r="T112" s="461"/>
      <c r="U112" s="530">
        <v>6387407</v>
      </c>
      <c r="V112" s="530">
        <v>6686316</v>
      </c>
      <c r="W112" s="530">
        <v>6977835</v>
      </c>
      <c r="X112" s="490"/>
      <c r="Y112" s="969"/>
      <c r="Z112" s="969"/>
      <c r="AA112" s="969"/>
      <c r="AB112" s="969"/>
      <c r="AC112" s="969"/>
      <c r="AD112" s="969"/>
      <c r="AE112" s="969" t="str">
        <f t="shared" si="4"/>
        <v>TheewaterskloofDepreciation and amortisation</v>
      </c>
      <c r="AF112" s="969"/>
      <c r="AG112" s="969"/>
    </row>
    <row r="113" spans="2:33" ht="13.2" customHeight="1" x14ac:dyDescent="0.55000000000000004">
      <c r="B113" s="371"/>
      <c r="C113" s="1010" t="s">
        <v>746</v>
      </c>
      <c r="D113" s="361" t="str">
        <f t="shared" si="5"/>
        <v>Finance and administration3700</v>
      </c>
      <c r="E113" s="361" t="str">
        <f t="shared" si="3"/>
        <v>TheewaterskloofFinance and administrationFinance charges</v>
      </c>
      <c r="F113" s="360" t="str">
        <f>'PART C- Municipal Details'!$G$7</f>
        <v>Theewaterskloof</v>
      </c>
      <c r="G113" s="361" t="s">
        <v>101</v>
      </c>
      <c r="H113" s="363" t="s">
        <v>798</v>
      </c>
      <c r="I113" s="496" t="s">
        <v>11</v>
      </c>
      <c r="J113" s="497" t="s">
        <v>742</v>
      </c>
      <c r="K113" s="490"/>
      <c r="L113" s="463" t="s">
        <v>687</v>
      </c>
      <c r="M113" s="459"/>
      <c r="N113" s="461"/>
      <c r="O113" s="461"/>
      <c r="P113" s="461"/>
      <c r="Q113" s="461"/>
      <c r="R113" s="461"/>
      <c r="S113" s="461"/>
      <c r="T113" s="461"/>
      <c r="U113" s="530">
        <v>10108307</v>
      </c>
      <c r="V113" s="530">
        <v>10451989</v>
      </c>
      <c r="W113" s="530">
        <v>10786452</v>
      </c>
      <c r="X113" s="490"/>
      <c r="Y113" s="969"/>
      <c r="Z113" s="969"/>
      <c r="AA113" s="969"/>
      <c r="AB113" s="969"/>
      <c r="AC113" s="969"/>
      <c r="AD113" s="969"/>
      <c r="AE113" s="969" t="str">
        <f t="shared" si="4"/>
        <v>TheewaterskloofInterest</v>
      </c>
      <c r="AF113" s="969"/>
      <c r="AG113" s="969"/>
    </row>
    <row r="114" spans="2:33" ht="13.2" customHeight="1" x14ac:dyDescent="0.55000000000000004">
      <c r="B114" s="371"/>
      <c r="C114" s="1010" t="s">
        <v>748</v>
      </c>
      <c r="D114" s="360" t="str">
        <f t="shared" si="5"/>
        <v>Finance and administration3800</v>
      </c>
      <c r="E114" s="360" t="str">
        <f t="shared" si="3"/>
        <v>TheewaterskloofFinance and administrationContracted services</v>
      </c>
      <c r="F114" s="360" t="str">
        <f>'PART C- Municipal Details'!$G$7</f>
        <v>Theewaterskloof</v>
      </c>
      <c r="G114" s="360" t="s">
        <v>101</v>
      </c>
      <c r="H114" s="366" t="s">
        <v>798</v>
      </c>
      <c r="I114" s="496" t="s">
        <v>12</v>
      </c>
      <c r="J114" s="497" t="s">
        <v>744</v>
      </c>
      <c r="K114" s="490"/>
      <c r="L114" s="463" t="s">
        <v>12</v>
      </c>
      <c r="M114" s="459"/>
      <c r="N114" s="461"/>
      <c r="O114" s="461"/>
      <c r="P114" s="461"/>
      <c r="Q114" s="461"/>
      <c r="R114" s="461"/>
      <c r="S114" s="461"/>
      <c r="T114" s="461"/>
      <c r="U114" s="530">
        <v>18449428</v>
      </c>
      <c r="V114" s="530">
        <v>19076713</v>
      </c>
      <c r="W114" s="530">
        <v>19687176</v>
      </c>
      <c r="X114" s="490"/>
      <c r="Y114" s="969"/>
      <c r="Z114" s="969"/>
      <c r="AA114" s="969"/>
      <c r="AB114" s="969"/>
      <c r="AC114" s="969"/>
      <c r="AD114" s="969"/>
      <c r="AE114" s="969" t="str">
        <f t="shared" si="4"/>
        <v>TheewaterskloofContracted services</v>
      </c>
      <c r="AF114" s="969"/>
      <c r="AG114" s="969"/>
    </row>
    <row r="115" spans="2:33" ht="13.2" customHeight="1" x14ac:dyDescent="0.55000000000000004">
      <c r="B115" s="371"/>
      <c r="C115" s="1010" t="s">
        <v>750</v>
      </c>
      <c r="D115" s="361" t="str">
        <f t="shared" si="5"/>
        <v>Finance and administration3900</v>
      </c>
      <c r="E115" s="361" t="str">
        <f t="shared" si="3"/>
        <v>TheewaterskloofFinance and administrationTransfers and subsidies</v>
      </c>
      <c r="F115" s="360" t="str">
        <f>'PART C- Municipal Details'!$G$7</f>
        <v>Theewaterskloof</v>
      </c>
      <c r="G115" s="361" t="s">
        <v>101</v>
      </c>
      <c r="H115" s="363" t="s">
        <v>798</v>
      </c>
      <c r="I115" s="496" t="s">
        <v>204</v>
      </c>
      <c r="J115" s="497" t="s">
        <v>747</v>
      </c>
      <c r="K115" s="490"/>
      <c r="L115" s="463" t="s">
        <v>204</v>
      </c>
      <c r="M115" s="459"/>
      <c r="N115" s="461"/>
      <c r="O115" s="461"/>
      <c r="P115" s="461"/>
      <c r="Q115" s="461"/>
      <c r="R115" s="461"/>
      <c r="S115" s="461"/>
      <c r="T115" s="461"/>
      <c r="U115" s="530">
        <v>0</v>
      </c>
      <c r="V115" s="530">
        <v>0</v>
      </c>
      <c r="W115" s="530">
        <v>0</v>
      </c>
      <c r="X115" s="490"/>
      <c r="Y115" s="969"/>
      <c r="Z115" s="969"/>
      <c r="AA115" s="969"/>
      <c r="AB115" s="969"/>
      <c r="AC115" s="969"/>
      <c r="AD115" s="969"/>
      <c r="AE115" s="969" t="str">
        <f t="shared" si="4"/>
        <v>TheewaterskloofTransfers and subsidies</v>
      </c>
      <c r="AF115" s="969"/>
      <c r="AG115" s="969"/>
    </row>
    <row r="116" spans="2:33" ht="13.2" customHeight="1" x14ac:dyDescent="0.55000000000000004">
      <c r="B116" s="371"/>
      <c r="C116" s="1010" t="s">
        <v>752</v>
      </c>
      <c r="D116" s="360" t="str">
        <f t="shared" si="5"/>
        <v>Finance and administration4000</v>
      </c>
      <c r="E116" s="360" t="str">
        <f t="shared" si="3"/>
        <v>TheewaterskloofFinance and administrationOther expenditure</v>
      </c>
      <c r="F116" s="360" t="str">
        <f>'PART C- Municipal Details'!$G$7</f>
        <v>Theewaterskloof</v>
      </c>
      <c r="G116" s="360" t="s">
        <v>101</v>
      </c>
      <c r="H116" s="366" t="s">
        <v>798</v>
      </c>
      <c r="I116" s="496" t="s">
        <v>13</v>
      </c>
      <c r="J116" s="497" t="s">
        <v>749</v>
      </c>
      <c r="K116" s="490"/>
      <c r="L116" s="463" t="s">
        <v>754</v>
      </c>
      <c r="M116" s="459"/>
      <c r="N116" s="461"/>
      <c r="O116" s="461"/>
      <c r="P116" s="461"/>
      <c r="Q116" s="461"/>
      <c r="R116" s="461"/>
      <c r="S116" s="461"/>
      <c r="T116" s="461"/>
      <c r="U116" s="530">
        <v>996000</v>
      </c>
      <c r="V116" s="530">
        <v>1029864</v>
      </c>
      <c r="W116" s="530">
        <v>1062820</v>
      </c>
      <c r="X116" s="490"/>
      <c r="Y116" s="969"/>
      <c r="Z116" s="969"/>
      <c r="AA116" s="969"/>
      <c r="AB116" s="969"/>
      <c r="AC116" s="969"/>
      <c r="AD116" s="969"/>
      <c r="AE116" s="969" t="str">
        <f t="shared" si="4"/>
        <v>TheewaterskloofIrrecoverable debts written off</v>
      </c>
      <c r="AF116" s="969"/>
      <c r="AG116" s="969"/>
    </row>
    <row r="117" spans="2:33" ht="13.2" customHeight="1" x14ac:dyDescent="0.55000000000000004">
      <c r="B117" s="371"/>
      <c r="C117" s="1010" t="s">
        <v>755</v>
      </c>
      <c r="D117" s="361" t="str">
        <f t="shared" si="5"/>
        <v>Finance and administration4100</v>
      </c>
      <c r="E117" s="361" t="str">
        <f t="shared" si="3"/>
        <v>TheewaterskloofFinance and administrationOther expenditure</v>
      </c>
      <c r="F117" s="360" t="str">
        <f>'PART C- Municipal Details'!$G$7</f>
        <v>Theewaterskloof</v>
      </c>
      <c r="G117" s="361" t="s">
        <v>101</v>
      </c>
      <c r="H117" s="363" t="s">
        <v>798</v>
      </c>
      <c r="I117" s="496" t="s">
        <v>13</v>
      </c>
      <c r="J117" s="497" t="s">
        <v>751</v>
      </c>
      <c r="K117" s="490"/>
      <c r="L117" s="463" t="s">
        <v>757</v>
      </c>
      <c r="M117" s="459"/>
      <c r="N117" s="461"/>
      <c r="O117" s="461"/>
      <c r="P117" s="461"/>
      <c r="Q117" s="461"/>
      <c r="R117" s="461"/>
      <c r="S117" s="461"/>
      <c r="T117" s="461"/>
      <c r="U117" s="530">
        <v>40111148</v>
      </c>
      <c r="V117" s="530">
        <v>41474928</v>
      </c>
      <c r="W117" s="530">
        <v>42802125</v>
      </c>
      <c r="X117" s="490"/>
      <c r="Y117" s="969"/>
      <c r="Z117" s="969"/>
      <c r="AA117" s="969"/>
      <c r="AB117" s="969"/>
      <c r="AC117" s="969"/>
      <c r="AD117" s="969"/>
      <c r="AE117" s="969" t="str">
        <f t="shared" si="4"/>
        <v>TheewaterskloofOperational costs</v>
      </c>
      <c r="AF117" s="969"/>
      <c r="AG117" s="969"/>
    </row>
    <row r="118" spans="2:33" ht="13.2" customHeight="1" x14ac:dyDescent="0.55000000000000004">
      <c r="B118" s="371"/>
      <c r="C118" s="1010" t="s">
        <v>758</v>
      </c>
      <c r="D118" s="360" t="str">
        <f t="shared" si="5"/>
        <v>Finance and administration4200</v>
      </c>
      <c r="E118" s="360" t="str">
        <f t="shared" si="3"/>
        <v>TheewaterskloofFinance and administrationLosses</v>
      </c>
      <c r="F118" s="360" t="str">
        <f>'PART C- Municipal Details'!$G$7</f>
        <v>Theewaterskloof</v>
      </c>
      <c r="G118" s="360" t="s">
        <v>101</v>
      </c>
      <c r="H118" s="366" t="s">
        <v>798</v>
      </c>
      <c r="I118" s="496" t="s">
        <v>734</v>
      </c>
      <c r="J118" s="497" t="s">
        <v>753</v>
      </c>
      <c r="K118" s="490"/>
      <c r="L118" s="463" t="s">
        <v>760</v>
      </c>
      <c r="M118" s="459"/>
      <c r="N118" s="461"/>
      <c r="O118" s="461"/>
      <c r="P118" s="461"/>
      <c r="Q118" s="461"/>
      <c r="R118" s="461"/>
      <c r="S118" s="461"/>
      <c r="T118" s="461"/>
      <c r="U118" s="530">
        <v>10</v>
      </c>
      <c r="V118" s="530">
        <v>10</v>
      </c>
      <c r="W118" s="530">
        <v>10</v>
      </c>
      <c r="X118" s="490"/>
      <c r="Y118" s="969"/>
      <c r="Z118" s="969"/>
      <c r="AA118" s="969"/>
      <c r="AB118" s="969"/>
      <c r="AC118" s="969"/>
      <c r="AD118" s="969"/>
      <c r="AE118" s="969" t="str">
        <f t="shared" si="4"/>
        <v>TheewaterskloofLosses on disposal of Assets</v>
      </c>
      <c r="AF118" s="969"/>
      <c r="AG118" s="969"/>
    </row>
    <row r="119" spans="2:33" ht="13.2" customHeight="1" x14ac:dyDescent="0.55000000000000004">
      <c r="B119" s="371"/>
      <c r="C119" s="1010" t="s">
        <v>761</v>
      </c>
      <c r="D119" s="361" t="str">
        <f t="shared" si="5"/>
        <v>Finance and administration4300</v>
      </c>
      <c r="E119" s="361" t="str">
        <f t="shared" si="3"/>
        <v>TheewaterskloofFinance and administrationOther expenditure</v>
      </c>
      <c r="F119" s="360" t="str">
        <f>'PART C- Municipal Details'!$G$7</f>
        <v>Theewaterskloof</v>
      </c>
      <c r="G119" s="361" t="s">
        <v>101</v>
      </c>
      <c r="H119" s="363" t="s">
        <v>798</v>
      </c>
      <c r="I119" s="496" t="s">
        <v>13</v>
      </c>
      <c r="J119" s="497" t="s">
        <v>756</v>
      </c>
      <c r="K119" s="490"/>
      <c r="L119" s="463" t="s">
        <v>763</v>
      </c>
      <c r="M119" s="459"/>
      <c r="N119" s="461"/>
      <c r="O119" s="461"/>
      <c r="P119" s="461"/>
      <c r="Q119" s="461"/>
      <c r="R119" s="461"/>
      <c r="S119" s="461"/>
      <c r="T119" s="461"/>
      <c r="U119" s="530">
        <v>3680100</v>
      </c>
      <c r="V119" s="530">
        <v>3805223</v>
      </c>
      <c r="W119" s="530">
        <v>3926990</v>
      </c>
      <c r="X119" s="490"/>
      <c r="Y119" s="969"/>
      <c r="Z119" s="969"/>
      <c r="AA119" s="969"/>
      <c r="AB119" s="969"/>
      <c r="AC119" s="969"/>
      <c r="AD119" s="969"/>
      <c r="AE119" s="969" t="str">
        <f t="shared" si="4"/>
        <v>TheewaterskloofOther Losses</v>
      </c>
      <c r="AF119" s="969"/>
      <c r="AG119" s="969"/>
    </row>
    <row r="120" spans="2:33" ht="13.2" customHeight="1" x14ac:dyDescent="0.55000000000000004">
      <c r="B120" s="371"/>
      <c r="C120" s="1009" t="s">
        <v>764</v>
      </c>
      <c r="D120" s="360" t="str">
        <f t="shared" si="5"/>
        <v>Finance and administration4400</v>
      </c>
      <c r="E120" s="360" t="str">
        <f t="shared" si="3"/>
        <v>TheewaterskloofFinance and administrationTotal Expenditure</v>
      </c>
      <c r="F120" s="360" t="str">
        <f>'PART C- Municipal Details'!$G$7</f>
        <v>Theewaterskloof</v>
      </c>
      <c r="G120" s="360" t="s">
        <v>101</v>
      </c>
      <c r="H120" s="366" t="s">
        <v>798</v>
      </c>
      <c r="I120" s="496" t="s">
        <v>736</v>
      </c>
      <c r="J120" s="497" t="s">
        <v>759</v>
      </c>
      <c r="K120" s="490"/>
      <c r="L120" s="508" t="s">
        <v>736</v>
      </c>
      <c r="M120" s="509"/>
      <c r="N120" s="510"/>
      <c r="O120" s="510"/>
      <c r="P120" s="510"/>
      <c r="Q120" s="510"/>
      <c r="R120" s="510"/>
      <c r="S120" s="510"/>
      <c r="T120" s="511"/>
      <c r="U120" s="529">
        <v>224652576</v>
      </c>
      <c r="V120" s="529">
        <v>232372629</v>
      </c>
      <c r="W120" s="529">
        <v>239886257</v>
      </c>
      <c r="X120" s="490"/>
      <c r="Y120" s="969"/>
      <c r="Z120" s="969"/>
      <c r="AA120" s="969"/>
      <c r="AB120" s="969"/>
      <c r="AC120" s="969"/>
      <c r="AD120" s="969"/>
      <c r="AE120" s="969" t="str">
        <f t="shared" si="4"/>
        <v>TheewaterskloofTotal Expenditure</v>
      </c>
      <c r="AF120" s="969"/>
      <c r="AG120" s="969"/>
    </row>
    <row r="121" spans="2:33" ht="13.2" customHeight="1" x14ac:dyDescent="0.55000000000000004">
      <c r="B121" s="371"/>
      <c r="C121" s="1009" t="s">
        <v>766</v>
      </c>
      <c r="D121" s="361" t="str">
        <f t="shared" si="5"/>
        <v>Finance and administration4500</v>
      </c>
      <c r="E121" s="361" t="str">
        <f t="shared" si="3"/>
        <v>TheewaterskloofFinance and administrationSurplus/(Deficit)</v>
      </c>
      <c r="F121" s="360" t="str">
        <f>'PART C- Municipal Details'!$G$7</f>
        <v>Theewaterskloof</v>
      </c>
      <c r="G121" s="361" t="s">
        <v>101</v>
      </c>
      <c r="H121" s="363" t="s">
        <v>798</v>
      </c>
      <c r="I121" s="496" t="s">
        <v>635</v>
      </c>
      <c r="J121" s="497" t="s">
        <v>762</v>
      </c>
      <c r="K121" s="490"/>
      <c r="L121" s="463" t="s">
        <v>635</v>
      </c>
      <c r="M121" s="459"/>
      <c r="N121" s="459"/>
      <c r="O121" s="459"/>
      <c r="P121" s="459"/>
      <c r="Q121" s="459"/>
      <c r="R121" s="459"/>
      <c r="S121" s="459"/>
      <c r="T121" s="459"/>
      <c r="U121" s="530">
        <v>103831221</v>
      </c>
      <c r="V121" s="530">
        <v>106951751</v>
      </c>
      <c r="W121" s="530">
        <v>109202618</v>
      </c>
      <c r="X121" s="490"/>
      <c r="Y121" s="969"/>
      <c r="Z121" s="969"/>
      <c r="AA121" s="969"/>
      <c r="AB121" s="969"/>
      <c r="AC121" s="969"/>
      <c r="AD121" s="969"/>
      <c r="AE121" s="969" t="str">
        <f t="shared" si="4"/>
        <v>TheewaterskloofSurplus/(Deficit)</v>
      </c>
      <c r="AF121" s="969"/>
      <c r="AG121" s="969"/>
    </row>
    <row r="122" spans="2:33" ht="13.2" customHeight="1" x14ac:dyDescent="0.55000000000000004">
      <c r="B122" s="371"/>
      <c r="C122" s="1010" t="s">
        <v>768</v>
      </c>
      <c r="D122" s="360" t="str">
        <f t="shared" si="5"/>
        <v>Finance and administration4600</v>
      </c>
      <c r="E122" s="360" t="str">
        <f t="shared" si="3"/>
        <v>TheewaterskloofFinance and administrationTransfers and subsidies - capital (monetary allocations) (National / Provincial and District)</v>
      </c>
      <c r="F122" s="360" t="str">
        <f>'PART C- Municipal Details'!$G$7</f>
        <v>Theewaterskloof</v>
      </c>
      <c r="G122" s="360" t="s">
        <v>101</v>
      </c>
      <c r="H122" s="366" t="s">
        <v>798</v>
      </c>
      <c r="I122" s="496" t="s">
        <v>740</v>
      </c>
      <c r="J122" s="497" t="s">
        <v>765</v>
      </c>
      <c r="K122" s="490"/>
      <c r="L122" s="463" t="s">
        <v>770</v>
      </c>
      <c r="M122" s="459"/>
      <c r="N122" s="459"/>
      <c r="O122" s="459"/>
      <c r="P122" s="459"/>
      <c r="Q122" s="459"/>
      <c r="R122" s="459"/>
      <c r="S122" s="459"/>
      <c r="T122" s="459"/>
      <c r="U122" s="530">
        <v>0</v>
      </c>
      <c r="V122" s="530">
        <v>0</v>
      </c>
      <c r="W122" s="530">
        <v>0</v>
      </c>
      <c r="X122" s="490"/>
      <c r="Y122" s="969"/>
      <c r="Z122" s="969"/>
      <c r="AA122" s="969"/>
      <c r="AB122" s="969"/>
      <c r="AC122" s="969"/>
      <c r="AD122" s="969"/>
      <c r="AE122" s="969" t="str">
        <f t="shared" si="4"/>
        <v>TheewaterskloofTransfers and subsidies - capital (monetary allocations)</v>
      </c>
      <c r="AF122" s="969"/>
      <c r="AG122" s="969"/>
    </row>
    <row r="123" spans="2:33" ht="13.2" customHeight="1" x14ac:dyDescent="0.55000000000000004">
      <c r="B123" s="371"/>
      <c r="C123" s="1010" t="s">
        <v>771</v>
      </c>
      <c r="D123" s="361" t="str">
        <f t="shared" si="5"/>
        <v>Finance and administration4700</v>
      </c>
      <c r="E123" s="361" t="str">
        <f t="shared" si="3"/>
        <v>TheewaterskloofFinance and administrationTransfers and subsidies - capital (in-kind - all)</v>
      </c>
      <c r="F123" s="360" t="str">
        <f>'PART C- Municipal Details'!$G$7</f>
        <v>Theewaterskloof</v>
      </c>
      <c r="G123" s="361" t="s">
        <v>101</v>
      </c>
      <c r="H123" s="363" t="s">
        <v>798</v>
      </c>
      <c r="I123" s="496" t="s">
        <v>744</v>
      </c>
      <c r="J123" s="497" t="s">
        <v>767</v>
      </c>
      <c r="K123" s="490"/>
      <c r="L123" s="463" t="s">
        <v>773</v>
      </c>
      <c r="M123" s="459"/>
      <c r="N123" s="459"/>
      <c r="O123" s="459"/>
      <c r="P123" s="459"/>
      <c r="Q123" s="459"/>
      <c r="R123" s="459"/>
      <c r="S123" s="459"/>
      <c r="T123" s="459"/>
      <c r="U123" s="530">
        <v>0</v>
      </c>
      <c r="V123" s="530">
        <v>0</v>
      </c>
      <c r="W123" s="530">
        <v>0</v>
      </c>
      <c r="X123" s="490"/>
      <c r="Y123" s="969"/>
      <c r="Z123" s="969"/>
      <c r="AA123" s="969"/>
      <c r="AB123" s="969"/>
      <c r="AC123" s="969"/>
      <c r="AD123" s="969"/>
      <c r="AE123" s="969" t="str">
        <f t="shared" si="4"/>
        <v>TheewaterskloofTransfers and subsidies - capital (in-kind)</v>
      </c>
      <c r="AF123" s="969"/>
      <c r="AG123" s="969"/>
    </row>
    <row r="124" spans="2:33" ht="13.2" customHeight="1" x14ac:dyDescent="0.55000000000000004">
      <c r="B124" s="371"/>
      <c r="C124" s="1009" t="s">
        <v>774</v>
      </c>
      <c r="D124" s="360" t="str">
        <f t="shared" si="5"/>
        <v>Finance and administration4800</v>
      </c>
      <c r="E124" s="360" t="str">
        <f t="shared" si="3"/>
        <v>TheewaterskloofFinance and administrationSurplus/(Deficit) after capital transfers and contributions</v>
      </c>
      <c r="F124" s="360" t="str">
        <f>'PART C- Municipal Details'!$G$7</f>
        <v>Theewaterskloof</v>
      </c>
      <c r="G124" s="360" t="s">
        <v>101</v>
      </c>
      <c r="H124" s="366" t="s">
        <v>798</v>
      </c>
      <c r="I124" s="496" t="s">
        <v>747</v>
      </c>
      <c r="J124" s="497" t="s">
        <v>769</v>
      </c>
      <c r="K124" s="490"/>
      <c r="L124" s="463" t="s">
        <v>747</v>
      </c>
      <c r="M124" s="459"/>
      <c r="N124" s="459"/>
      <c r="O124" s="459"/>
      <c r="P124" s="459"/>
      <c r="Q124" s="459"/>
      <c r="R124" s="459"/>
      <c r="S124" s="459"/>
      <c r="T124" s="459"/>
      <c r="U124" s="530">
        <v>103831221</v>
      </c>
      <c r="V124" s="530">
        <v>106951751</v>
      </c>
      <c r="W124" s="530">
        <v>109202618</v>
      </c>
      <c r="X124" s="490"/>
      <c r="Y124" s="969"/>
      <c r="Z124" s="969"/>
      <c r="AA124" s="969"/>
      <c r="AB124" s="969"/>
      <c r="AC124" s="969"/>
      <c r="AD124" s="969"/>
      <c r="AE124" s="969" t="str">
        <f t="shared" si="4"/>
        <v>TheewaterskloofSurplus/(Deficit) after capital transfers and contributions</v>
      </c>
      <c r="AF124" s="969"/>
      <c r="AG124" s="969"/>
    </row>
    <row r="125" spans="2:33" ht="13.2" customHeight="1" x14ac:dyDescent="0.55000000000000004">
      <c r="B125" s="371"/>
      <c r="C125" s="1010" t="s">
        <v>776</v>
      </c>
      <c r="D125" s="361" t="str">
        <f t="shared" si="5"/>
        <v>Finance and administration4900</v>
      </c>
      <c r="E125" s="361" t="str">
        <f t="shared" si="3"/>
        <v>TheewaterskloofFinance and administrationTaxation</v>
      </c>
      <c r="F125" s="360" t="str">
        <f>'PART C- Municipal Details'!$G$7</f>
        <v>Theewaterskloof</v>
      </c>
      <c r="G125" s="361" t="s">
        <v>101</v>
      </c>
      <c r="H125" s="363" t="s">
        <v>798</v>
      </c>
      <c r="I125" s="496" t="s">
        <v>749</v>
      </c>
      <c r="J125" s="497" t="s">
        <v>772</v>
      </c>
      <c r="K125" s="490"/>
      <c r="L125" s="463" t="s">
        <v>778</v>
      </c>
      <c r="M125" s="459"/>
      <c r="N125" s="459"/>
      <c r="O125" s="459"/>
      <c r="P125" s="459"/>
      <c r="Q125" s="459"/>
      <c r="R125" s="459"/>
      <c r="S125" s="459"/>
      <c r="T125" s="459"/>
      <c r="U125" s="530">
        <v>0</v>
      </c>
      <c r="V125" s="530">
        <v>0</v>
      </c>
      <c r="W125" s="530">
        <v>0</v>
      </c>
      <c r="X125" s="490"/>
      <c r="Y125" s="969"/>
      <c r="Z125" s="969"/>
      <c r="AA125" s="969"/>
      <c r="AB125" s="969"/>
      <c r="AC125" s="969"/>
      <c r="AD125" s="969"/>
      <c r="AE125" s="969" t="str">
        <f t="shared" si="4"/>
        <v>TheewaterskloofIncome Tax</v>
      </c>
      <c r="AF125" s="969"/>
      <c r="AG125" s="969"/>
    </row>
    <row r="126" spans="2:33" ht="13.2" customHeight="1" x14ac:dyDescent="0.55000000000000004">
      <c r="B126" s="371"/>
      <c r="C126" s="1009" t="s">
        <v>779</v>
      </c>
      <c r="D126" s="360" t="str">
        <f t="shared" si="5"/>
        <v>Finance and administration5000</v>
      </c>
      <c r="E126" s="360" t="str">
        <f t="shared" si="3"/>
        <v>TheewaterskloofFinance and administrationSurplus/(Deficit) after taxation</v>
      </c>
      <c r="F126" s="360" t="str">
        <f>'PART C- Municipal Details'!$G$7</f>
        <v>Theewaterskloof</v>
      </c>
      <c r="G126" s="360" t="s">
        <v>101</v>
      </c>
      <c r="H126" s="366" t="s">
        <v>798</v>
      </c>
      <c r="I126" s="496" t="s">
        <v>751</v>
      </c>
      <c r="J126" s="497" t="s">
        <v>775</v>
      </c>
      <c r="K126" s="490"/>
      <c r="L126" s="463" t="s">
        <v>781</v>
      </c>
      <c r="M126" s="459"/>
      <c r="N126" s="459"/>
      <c r="O126" s="459"/>
      <c r="P126" s="459"/>
      <c r="Q126" s="459"/>
      <c r="R126" s="459"/>
      <c r="S126" s="459"/>
      <c r="T126" s="459"/>
      <c r="U126" s="530">
        <v>103831221</v>
      </c>
      <c r="V126" s="530">
        <v>106951751</v>
      </c>
      <c r="W126" s="530">
        <v>109202618</v>
      </c>
      <c r="X126" s="490"/>
      <c r="Y126" s="969"/>
      <c r="Z126" s="969"/>
      <c r="AA126" s="969"/>
      <c r="AB126" s="969"/>
      <c r="AC126" s="969"/>
      <c r="AD126" s="969"/>
      <c r="AE126" s="969" t="str">
        <f t="shared" si="4"/>
        <v>TheewaterskloofSurplus/(Deficit) after income tax</v>
      </c>
      <c r="AF126" s="969"/>
      <c r="AG126" s="969"/>
    </row>
    <row r="127" spans="2:33" ht="13.2" customHeight="1" x14ac:dyDescent="0.55000000000000004">
      <c r="B127" s="371"/>
      <c r="C127" s="1010" t="s">
        <v>782</v>
      </c>
      <c r="D127" s="361" t="str">
        <f t="shared" si="5"/>
        <v>Finance and administration5100</v>
      </c>
      <c r="E127" s="361" t="str">
        <f t="shared" si="3"/>
        <v>TheewaterskloofFinance and administrationShare of Surplus/Deficit attributable to Joint Venture</v>
      </c>
      <c r="F127" s="360" t="str">
        <f>'PART C- Municipal Details'!$G$7</f>
        <v>Theewaterskloof</v>
      </c>
      <c r="G127" s="361" t="s">
        <v>101</v>
      </c>
      <c r="H127" s="363" t="s">
        <v>798</v>
      </c>
      <c r="I127" s="496" t="s">
        <v>783</v>
      </c>
      <c r="J127" s="497" t="s">
        <v>777</v>
      </c>
      <c r="K127" s="490"/>
      <c r="L127" s="463" t="s">
        <v>783</v>
      </c>
      <c r="M127" s="459"/>
      <c r="N127" s="459"/>
      <c r="O127" s="459"/>
      <c r="P127" s="459"/>
      <c r="Q127" s="459"/>
      <c r="R127" s="459"/>
      <c r="S127" s="459"/>
      <c r="T127" s="459"/>
      <c r="U127" s="530">
        <v>0</v>
      </c>
      <c r="V127" s="530">
        <v>0</v>
      </c>
      <c r="W127" s="530">
        <v>0</v>
      </c>
      <c r="X127" s="490"/>
      <c r="Y127" s="969"/>
      <c r="Z127" s="969"/>
      <c r="AA127" s="969"/>
      <c r="AB127" s="969"/>
      <c r="AC127" s="969"/>
      <c r="AD127" s="969"/>
      <c r="AE127" s="969" t="str">
        <f t="shared" si="4"/>
        <v>TheewaterskloofShare of Surplus/Deficit attributable to Joint Venture</v>
      </c>
      <c r="AF127" s="969"/>
      <c r="AG127" s="969"/>
    </row>
    <row r="128" spans="2:33" ht="13.2" customHeight="1" x14ac:dyDescent="0.55000000000000004">
      <c r="B128" s="371"/>
      <c r="C128" s="1010" t="s">
        <v>785</v>
      </c>
      <c r="D128" s="360" t="str">
        <f t="shared" si="5"/>
        <v>Finance and administration5200</v>
      </c>
      <c r="E128" s="360" t="str">
        <f t="shared" si="3"/>
        <v>TheewaterskloofFinance and administrationAttributable to minorities</v>
      </c>
      <c r="F128" s="360" t="str">
        <f>'PART C- Municipal Details'!$G$7</f>
        <v>Theewaterskloof</v>
      </c>
      <c r="G128" s="360" t="s">
        <v>101</v>
      </c>
      <c r="H128" s="366" t="s">
        <v>798</v>
      </c>
      <c r="I128" s="496" t="s">
        <v>753</v>
      </c>
      <c r="J128" s="497" t="s">
        <v>780</v>
      </c>
      <c r="K128" s="490"/>
      <c r="L128" s="463" t="s">
        <v>787</v>
      </c>
      <c r="M128" s="459"/>
      <c r="N128" s="459"/>
      <c r="O128" s="459"/>
      <c r="P128" s="459"/>
      <c r="Q128" s="459"/>
      <c r="R128" s="459"/>
      <c r="S128" s="459"/>
      <c r="T128" s="459"/>
      <c r="U128" s="530">
        <v>0</v>
      </c>
      <c r="V128" s="530">
        <v>0</v>
      </c>
      <c r="W128" s="530">
        <v>0</v>
      </c>
      <c r="X128" s="490"/>
      <c r="Y128" s="969"/>
      <c r="Z128" s="969"/>
      <c r="AA128" s="969"/>
      <c r="AB128" s="969"/>
      <c r="AC128" s="969"/>
      <c r="AD128" s="969"/>
      <c r="AE128" s="969" t="str">
        <f t="shared" si="4"/>
        <v>TheewaterskloofShare of Surplus/Deficit attributable to Minorities</v>
      </c>
      <c r="AF128" s="969"/>
      <c r="AG128" s="969"/>
    </row>
    <row r="129" spans="2:33" ht="13.2" customHeight="1" x14ac:dyDescent="0.55000000000000004">
      <c r="B129" s="371"/>
      <c r="C129" s="1009" t="s">
        <v>788</v>
      </c>
      <c r="D129" s="361" t="str">
        <f t="shared" si="5"/>
        <v>Finance and administration5300</v>
      </c>
      <c r="E129" s="361" t="str">
        <f t="shared" si="3"/>
        <v>TheewaterskloofFinance and administrationSurplus/(Deficit) attributable to municipality</v>
      </c>
      <c r="F129" s="360" t="str">
        <f>'PART C- Municipal Details'!$G$7</f>
        <v>Theewaterskloof</v>
      </c>
      <c r="G129" s="361" t="s">
        <v>101</v>
      </c>
      <c r="H129" s="363" t="s">
        <v>798</v>
      </c>
      <c r="I129" s="496" t="s">
        <v>756</v>
      </c>
      <c r="J129" s="497" t="s">
        <v>784</v>
      </c>
      <c r="K129" s="490"/>
      <c r="L129" s="463" t="s">
        <v>756</v>
      </c>
      <c r="M129" s="459"/>
      <c r="N129" s="459"/>
      <c r="O129" s="459"/>
      <c r="P129" s="459"/>
      <c r="Q129" s="459"/>
      <c r="R129" s="459"/>
      <c r="S129" s="459"/>
      <c r="T129" s="459"/>
      <c r="U129" s="530">
        <v>103831221</v>
      </c>
      <c r="V129" s="530">
        <v>106951751</v>
      </c>
      <c r="W129" s="530">
        <v>109202618</v>
      </c>
      <c r="X129" s="490"/>
      <c r="Y129" s="969"/>
      <c r="Z129" s="969"/>
      <c r="AA129" s="969"/>
      <c r="AB129" s="969"/>
      <c r="AC129" s="969"/>
      <c r="AD129" s="969"/>
      <c r="AE129" s="969" t="str">
        <f t="shared" si="4"/>
        <v>TheewaterskloofSurplus/(Deficit) attributable to municipality</v>
      </c>
      <c r="AF129" s="969"/>
      <c r="AG129" s="969"/>
    </row>
    <row r="130" spans="2:33" ht="13.2" customHeight="1" x14ac:dyDescent="0.55000000000000004">
      <c r="B130" s="371"/>
      <c r="C130" s="1010" t="s">
        <v>790</v>
      </c>
      <c r="D130" s="360" t="str">
        <f t="shared" si="5"/>
        <v>Finance and administration5400</v>
      </c>
      <c r="E130" s="360" t="str">
        <f t="shared" si="3"/>
        <v>TheewaterskloofFinance and administrationShare of surplus/ (deficit) of associate</v>
      </c>
      <c r="F130" s="360" t="str">
        <f>'PART C- Municipal Details'!$G$7</f>
        <v>Theewaterskloof</v>
      </c>
      <c r="G130" s="360" t="s">
        <v>101</v>
      </c>
      <c r="H130" s="366" t="s">
        <v>798</v>
      </c>
      <c r="I130" s="496" t="s">
        <v>759</v>
      </c>
      <c r="J130" s="497" t="s">
        <v>786</v>
      </c>
      <c r="K130" s="490"/>
      <c r="L130" s="463" t="s">
        <v>791</v>
      </c>
      <c r="M130" s="459"/>
      <c r="N130" s="459"/>
      <c r="O130" s="459"/>
      <c r="P130" s="459"/>
      <c r="Q130" s="459"/>
      <c r="R130" s="459"/>
      <c r="S130" s="459"/>
      <c r="T130" s="459"/>
      <c r="U130" s="530">
        <v>0</v>
      </c>
      <c r="V130" s="530">
        <v>0</v>
      </c>
      <c r="W130" s="530">
        <v>0</v>
      </c>
      <c r="X130" s="490"/>
      <c r="Y130" s="969"/>
      <c r="Z130" s="969"/>
      <c r="AA130" s="969"/>
      <c r="AB130" s="969"/>
      <c r="AC130" s="969"/>
      <c r="AD130" s="969"/>
      <c r="AE130" s="969" t="str">
        <f t="shared" si="4"/>
        <v>TheewaterskloofShare of Surplus/Deficit attributable to Associate</v>
      </c>
      <c r="AF130" s="969"/>
      <c r="AG130" s="969"/>
    </row>
    <row r="131" spans="2:33" ht="13.2" customHeight="1" x14ac:dyDescent="0.55000000000000004">
      <c r="B131" s="371"/>
      <c r="C131" s="1010" t="s">
        <v>792</v>
      </c>
      <c r="D131" s="361" t="str">
        <f t="shared" si="5"/>
        <v>Finance and administration5500</v>
      </c>
      <c r="E131" s="361" t="str">
        <f t="shared" si="3"/>
        <v>TheewaterskloofFinance and administrationIntercompany/Parent subsidiary transactions</v>
      </c>
      <c r="F131" s="360" t="str">
        <f>'PART C- Municipal Details'!$G$7</f>
        <v>Theewaterskloof</v>
      </c>
      <c r="G131" s="361" t="s">
        <v>101</v>
      </c>
      <c r="H131" s="363" t="s">
        <v>798</v>
      </c>
      <c r="I131" s="496" t="s">
        <v>793</v>
      </c>
      <c r="J131" s="497" t="s">
        <v>789</v>
      </c>
      <c r="K131" s="490"/>
      <c r="L131" s="463" t="s">
        <v>793</v>
      </c>
      <c r="M131" s="459"/>
      <c r="N131" s="459"/>
      <c r="O131" s="459"/>
      <c r="P131" s="459"/>
      <c r="Q131" s="459"/>
      <c r="R131" s="459"/>
      <c r="S131" s="459"/>
      <c r="T131" s="459"/>
      <c r="U131" s="530">
        <v>0</v>
      </c>
      <c r="V131" s="530">
        <v>0</v>
      </c>
      <c r="W131" s="530">
        <v>0</v>
      </c>
      <c r="X131" s="490"/>
      <c r="Y131" s="969"/>
      <c r="Z131" s="969"/>
      <c r="AA131" s="969"/>
      <c r="AB131" s="969"/>
      <c r="AC131" s="969"/>
      <c r="AD131" s="969"/>
      <c r="AE131" s="969" t="str">
        <f t="shared" si="4"/>
        <v>TheewaterskloofIntercompany/Parent subsidiary transactions</v>
      </c>
      <c r="AF131" s="969"/>
      <c r="AG131" s="969"/>
    </row>
    <row r="132" spans="2:33" ht="13.2" customHeight="1" x14ac:dyDescent="0.55000000000000004">
      <c r="B132" s="371"/>
      <c r="C132" s="1009" t="s">
        <v>794</v>
      </c>
      <c r="D132" s="360" t="str">
        <f t="shared" si="5"/>
        <v>Finance and administration5600</v>
      </c>
      <c r="E132" s="360" t="str">
        <f t="shared" si="3"/>
        <v>TheewaterskloofFinance and administrationSurplus/(Deficit) for the year</v>
      </c>
      <c r="F132" s="360" t="str">
        <f>'PART C- Municipal Details'!$G$7</f>
        <v>Theewaterskloof</v>
      </c>
      <c r="G132" s="360" t="s">
        <v>101</v>
      </c>
      <c r="H132" s="366" t="s">
        <v>798</v>
      </c>
      <c r="I132" s="496" t="s">
        <v>762</v>
      </c>
      <c r="J132" s="497" t="s">
        <v>789</v>
      </c>
      <c r="K132" s="490"/>
      <c r="L132" s="508" t="s">
        <v>762</v>
      </c>
      <c r="M132" s="509"/>
      <c r="N132" s="510"/>
      <c r="O132" s="510"/>
      <c r="P132" s="510"/>
      <c r="Q132" s="510"/>
      <c r="R132" s="510"/>
      <c r="S132" s="510"/>
      <c r="T132" s="511"/>
      <c r="U132" s="530">
        <v>0</v>
      </c>
      <c r="V132" s="530">
        <v>0</v>
      </c>
      <c r="W132" s="530">
        <v>0</v>
      </c>
      <c r="X132" s="490"/>
      <c r="Y132" s="969"/>
      <c r="Z132" s="969"/>
      <c r="AA132" s="969"/>
      <c r="AB132" s="969"/>
      <c r="AC132" s="969"/>
      <c r="AD132" s="969"/>
      <c r="AE132" s="969" t="str">
        <f t="shared" si="4"/>
        <v>TheewaterskloofSurplus/(Deficit) for the year</v>
      </c>
      <c r="AF132" s="969"/>
      <c r="AG132" s="969"/>
    </row>
    <row r="133" spans="2:33" ht="13.2" customHeight="1" x14ac:dyDescent="0.55000000000000004">
      <c r="B133" s="371"/>
      <c r="C133" s="1011">
        <v>55555</v>
      </c>
      <c r="D133" s="361" t="str">
        <f t="shared" si="5"/>
        <v>Finance and administration55555</v>
      </c>
      <c r="E133" s="361" t="str">
        <f t="shared" si="3"/>
        <v>TheewaterskloofFinance and administrationReferences</v>
      </c>
      <c r="F133" s="360" t="str">
        <f>'PART C- Municipal Details'!$G$7</f>
        <v>Theewaterskloof</v>
      </c>
      <c r="G133" s="361" t="s">
        <v>101</v>
      </c>
      <c r="H133" s="363" t="s">
        <v>798</v>
      </c>
      <c r="I133" s="496" t="s">
        <v>765</v>
      </c>
      <c r="J133" s="497" t="s">
        <v>789</v>
      </c>
      <c r="K133" s="490"/>
      <c r="L133" s="474" t="s">
        <v>765</v>
      </c>
      <c r="M133" s="475"/>
      <c r="N133" s="476"/>
      <c r="O133" s="476"/>
      <c r="P133" s="476"/>
      <c r="Q133" s="476"/>
      <c r="R133" s="476"/>
      <c r="S133" s="476"/>
      <c r="T133" s="477"/>
      <c r="U133" s="530">
        <v>0</v>
      </c>
      <c r="V133" s="530">
        <v>0</v>
      </c>
      <c r="W133" s="530">
        <v>0</v>
      </c>
      <c r="X133" s="490"/>
      <c r="Y133" s="969"/>
      <c r="Z133" s="969"/>
      <c r="AA133" s="969"/>
      <c r="AB133" s="969"/>
      <c r="AC133" s="969"/>
      <c r="AD133" s="969"/>
      <c r="AE133" s="969" t="str">
        <f t="shared" si="4"/>
        <v>TheewaterskloofReferences</v>
      </c>
      <c r="AF133" s="969"/>
      <c r="AG133" s="969"/>
    </row>
    <row r="134" spans="2:33" ht="13.2" customHeight="1" x14ac:dyDescent="0.55000000000000004">
      <c r="B134" s="371"/>
      <c r="C134" s="1011">
        <v>55555</v>
      </c>
      <c r="D134" s="360" t="str">
        <f t="shared" si="5"/>
        <v>Finance and administration55555</v>
      </c>
      <c r="E134" s="360" t="str">
        <f t="shared" si="3"/>
        <v>TheewaterskloofFinance and administration1. Classifications are revenue sources and expenditure type</v>
      </c>
      <c r="F134" s="360" t="str">
        <f>'PART C- Municipal Details'!$G$7</f>
        <v>Theewaterskloof</v>
      </c>
      <c r="G134" s="360" t="s">
        <v>101</v>
      </c>
      <c r="H134" s="366" t="s">
        <v>798</v>
      </c>
      <c r="I134" s="496" t="s">
        <v>767</v>
      </c>
      <c r="J134" s="497" t="s">
        <v>789</v>
      </c>
      <c r="K134" s="490"/>
      <c r="L134" s="465" t="s">
        <v>767</v>
      </c>
      <c r="M134" s="472"/>
      <c r="N134" s="473"/>
      <c r="O134" s="473"/>
      <c r="P134" s="473"/>
      <c r="Q134" s="473"/>
      <c r="R134" s="473"/>
      <c r="S134" s="473"/>
      <c r="T134" s="478"/>
      <c r="U134" s="530">
        <v>0</v>
      </c>
      <c r="V134" s="530">
        <v>0</v>
      </c>
      <c r="W134" s="530">
        <v>0</v>
      </c>
      <c r="X134" s="490"/>
      <c r="Y134" s="969"/>
      <c r="Z134" s="969"/>
      <c r="AA134" s="969"/>
      <c r="AB134" s="969"/>
      <c r="AC134" s="969"/>
      <c r="AD134" s="969"/>
      <c r="AE134" s="969" t="str">
        <f t="shared" si="4"/>
        <v>Theewaterskloof1. Classifications are revenue sources and expenditure type</v>
      </c>
      <c r="AF134" s="969"/>
      <c r="AG134" s="969"/>
    </row>
    <row r="135" spans="2:33" ht="13.2" customHeight="1" x14ac:dyDescent="0.55000000000000004">
      <c r="B135" s="371"/>
      <c r="C135" s="1011">
        <v>55555</v>
      </c>
      <c r="D135" s="361" t="str">
        <f t="shared" si="5"/>
        <v>Finance and administration55555</v>
      </c>
      <c r="E135" s="361" t="str">
        <f t="shared" si="3"/>
        <v>TheewaterskloofFinance and administration2. Detail to be provided in Table SA1</v>
      </c>
      <c r="F135" s="360" t="str">
        <f>'PART C- Municipal Details'!$G$7</f>
        <v>Theewaterskloof</v>
      </c>
      <c r="G135" s="361" t="s">
        <v>101</v>
      </c>
      <c r="H135" s="363" t="s">
        <v>798</v>
      </c>
      <c r="I135" s="496" t="s">
        <v>769</v>
      </c>
      <c r="J135" s="497" t="s">
        <v>789</v>
      </c>
      <c r="K135" s="490"/>
      <c r="L135" s="465" t="s">
        <v>769</v>
      </c>
      <c r="M135" s="472"/>
      <c r="N135" s="473"/>
      <c r="O135" s="473"/>
      <c r="P135" s="473"/>
      <c r="Q135" s="473"/>
      <c r="R135" s="473"/>
      <c r="S135" s="473"/>
      <c r="T135" s="478"/>
      <c r="U135" s="530">
        <v>0</v>
      </c>
      <c r="V135" s="530">
        <v>0</v>
      </c>
      <c r="W135" s="530">
        <v>0</v>
      </c>
      <c r="X135" s="490"/>
      <c r="Y135" s="969"/>
      <c r="Z135" s="969"/>
      <c r="AA135" s="969"/>
      <c r="AB135" s="969"/>
      <c r="AC135" s="969"/>
      <c r="AD135" s="969"/>
      <c r="AE135" s="969" t="str">
        <f t="shared" si="4"/>
        <v>Theewaterskloof2. Detail to be provided in Table SA1</v>
      </c>
      <c r="AF135" s="969"/>
      <c r="AG135" s="969"/>
    </row>
    <row r="136" spans="2:33" ht="13.2" customHeight="1" x14ac:dyDescent="0.55000000000000004">
      <c r="B136" s="371"/>
      <c r="C136" s="1011">
        <v>55555</v>
      </c>
      <c r="D136" s="360" t="str">
        <f t="shared" si="5"/>
        <v>Finance and administration55555</v>
      </c>
      <c r="E136" s="360" t="str">
        <f t="shared" ref="E136:E199" si="6">F136&amp;H136&amp;I136</f>
        <v>TheewaterskloofFinance and administration3. Debt impairment includes Impairment and Reversal of Impairment Losses</v>
      </c>
      <c r="F136" s="360" t="str">
        <f>'PART C- Municipal Details'!$G$7</f>
        <v>Theewaterskloof</v>
      </c>
      <c r="G136" s="360" t="s">
        <v>101</v>
      </c>
      <c r="H136" s="366" t="s">
        <v>798</v>
      </c>
      <c r="I136" s="496" t="s">
        <v>795</v>
      </c>
      <c r="J136" s="497" t="s">
        <v>789</v>
      </c>
      <c r="K136" s="490"/>
      <c r="L136" s="465" t="s">
        <v>795</v>
      </c>
      <c r="M136" s="472"/>
      <c r="N136" s="473"/>
      <c r="O136" s="473"/>
      <c r="P136" s="473"/>
      <c r="Q136" s="473"/>
      <c r="R136" s="473"/>
      <c r="S136" s="473"/>
      <c r="T136" s="478"/>
      <c r="U136" s="530">
        <v>0</v>
      </c>
      <c r="V136" s="530">
        <v>0</v>
      </c>
      <c r="W136" s="530">
        <v>0</v>
      </c>
      <c r="X136" s="490"/>
      <c r="Y136" s="969"/>
      <c r="Z136" s="969"/>
      <c r="AA136" s="969"/>
      <c r="AB136" s="969"/>
      <c r="AC136" s="969"/>
      <c r="AD136" s="969"/>
      <c r="AE136" s="969" t="str">
        <f t="shared" ref="AE136:AE199" si="7">F136&amp;L136</f>
        <v>Theewaterskloof3. Debt impairment includes Impairment and Reversal of Impairment Losses</v>
      </c>
      <c r="AF136" s="969"/>
      <c r="AG136" s="969"/>
    </row>
    <row r="137" spans="2:33" ht="13.2" customHeight="1" x14ac:dyDescent="0.55000000000000004">
      <c r="B137" s="371"/>
      <c r="C137" s="1011">
        <v>55555</v>
      </c>
      <c r="D137" s="361" t="str">
        <f t="shared" si="5"/>
        <v>Finance and administration55555</v>
      </c>
      <c r="E137" s="361" t="str">
        <f t="shared" si="6"/>
        <v>TheewaterskloofFinance and administration4. Expenditure type components previously shown under repairs and maintenance should be allocated back to the originating expenditure group/item; e.g. employee costs</v>
      </c>
      <c r="F137" s="360" t="str">
        <f>'PART C- Municipal Details'!$G$7</f>
        <v>Theewaterskloof</v>
      </c>
      <c r="G137" s="361" t="s">
        <v>101</v>
      </c>
      <c r="H137" s="363" t="s">
        <v>798</v>
      </c>
      <c r="I137" s="496" t="s">
        <v>775</v>
      </c>
      <c r="J137" s="497" t="s">
        <v>789</v>
      </c>
      <c r="K137" s="490"/>
      <c r="L137" s="465" t="s">
        <v>775</v>
      </c>
      <c r="M137" s="472"/>
      <c r="N137" s="473"/>
      <c r="O137" s="473"/>
      <c r="P137" s="473"/>
      <c r="Q137" s="473"/>
      <c r="R137" s="473"/>
      <c r="S137" s="473"/>
      <c r="T137" s="478"/>
      <c r="U137" s="530">
        <v>0</v>
      </c>
      <c r="V137" s="530">
        <v>0</v>
      </c>
      <c r="W137" s="530">
        <v>0</v>
      </c>
      <c r="X137" s="490"/>
      <c r="Y137" s="969"/>
      <c r="Z137" s="969"/>
      <c r="AA137" s="969"/>
      <c r="AB137" s="969"/>
      <c r="AC137" s="969"/>
      <c r="AD137" s="969"/>
      <c r="AE137" s="969" t="str">
        <f t="shared" si="7"/>
        <v>Theewaterskloof4. Expenditure type components previously shown under repairs and maintenance should be allocated back to the originating expenditure group/item; e.g. employee costs</v>
      </c>
      <c r="AF137" s="969"/>
      <c r="AG137" s="969"/>
    </row>
    <row r="138" spans="2:33" ht="13.2" customHeight="1" x14ac:dyDescent="0.55000000000000004">
      <c r="B138" s="371"/>
      <c r="C138" s="1011">
        <v>55555</v>
      </c>
      <c r="D138" s="360" t="str">
        <f t="shared" si="5"/>
        <v>Finance and administration55555</v>
      </c>
      <c r="E138" s="360" t="str">
        <f t="shared" si="6"/>
        <v>TheewaterskloofFinance and administration5. Repairs &amp; maintenance detailed in Table A9 and Table SA34c</v>
      </c>
      <c r="F138" s="360" t="str">
        <f>'PART C- Municipal Details'!$G$7</f>
        <v>Theewaterskloof</v>
      </c>
      <c r="G138" s="360" t="s">
        <v>101</v>
      </c>
      <c r="H138" s="366" t="s">
        <v>798</v>
      </c>
      <c r="I138" s="496" t="s">
        <v>777</v>
      </c>
      <c r="J138" s="497" t="s">
        <v>789</v>
      </c>
      <c r="K138" s="490"/>
      <c r="L138" s="465" t="s">
        <v>777</v>
      </c>
      <c r="M138" s="472"/>
      <c r="N138" s="473"/>
      <c r="O138" s="473"/>
      <c r="P138" s="473"/>
      <c r="Q138" s="473"/>
      <c r="R138" s="473"/>
      <c r="S138" s="473"/>
      <c r="T138" s="478"/>
      <c r="U138" s="530">
        <v>0</v>
      </c>
      <c r="V138" s="530">
        <v>0</v>
      </c>
      <c r="W138" s="530">
        <v>0</v>
      </c>
      <c r="X138" s="490"/>
      <c r="Y138" s="969"/>
      <c r="Z138" s="969"/>
      <c r="AA138" s="969"/>
      <c r="AB138" s="969"/>
      <c r="AC138" s="969"/>
      <c r="AD138" s="969"/>
      <c r="AE138" s="969" t="str">
        <f t="shared" si="7"/>
        <v>Theewaterskloof5. Repairs &amp; maintenance detailed in Table A9 and Table SA34c</v>
      </c>
      <c r="AF138" s="969"/>
      <c r="AG138" s="969"/>
    </row>
    <row r="139" spans="2:33" ht="13.2" customHeight="1" x14ac:dyDescent="0.55000000000000004">
      <c r="B139" s="371"/>
      <c r="C139" s="1011">
        <v>55555</v>
      </c>
      <c r="D139" s="361" t="str">
        <f t="shared" ref="D139:D202" si="8">H139&amp;C139</f>
        <v>Finance and administration55555</v>
      </c>
      <c r="E139" s="361" t="str">
        <f t="shared" si="6"/>
        <v>TheewaterskloofFinance and administration6. Contributions are funds provided by external organisations to assist with infrastructure development; e.g. developer contributions (detail to be provided in Table SA1)</v>
      </c>
      <c r="F139" s="360" t="str">
        <f>'PART C- Municipal Details'!$G$7</f>
        <v>Theewaterskloof</v>
      </c>
      <c r="G139" s="361" t="s">
        <v>101</v>
      </c>
      <c r="H139" s="363" t="s">
        <v>798</v>
      </c>
      <c r="I139" s="496" t="s">
        <v>780</v>
      </c>
      <c r="J139" s="497" t="s">
        <v>789</v>
      </c>
      <c r="K139" s="490"/>
      <c r="L139" s="465" t="s">
        <v>780</v>
      </c>
      <c r="M139" s="472"/>
      <c r="N139" s="473"/>
      <c r="O139" s="473"/>
      <c r="P139" s="473"/>
      <c r="Q139" s="473"/>
      <c r="R139" s="473"/>
      <c r="S139" s="473"/>
      <c r="T139" s="478"/>
      <c r="U139" s="530">
        <v>0</v>
      </c>
      <c r="V139" s="530">
        <v>0</v>
      </c>
      <c r="W139" s="530">
        <v>0</v>
      </c>
      <c r="X139" s="490"/>
      <c r="Y139" s="969"/>
      <c r="Z139" s="969"/>
      <c r="AA139" s="969"/>
      <c r="AB139" s="969"/>
      <c r="AC139" s="969"/>
      <c r="AD139" s="969"/>
      <c r="AE139" s="969" t="str">
        <f t="shared" si="7"/>
        <v>Theewaterskloof6. Contributions are funds provided by external organisations to assist with infrastructure development; e.g. developer contributions (detail to be provided in Table SA1)</v>
      </c>
      <c r="AF139" s="969"/>
      <c r="AG139" s="969"/>
    </row>
    <row r="140" spans="2:33" ht="13.2" customHeight="1" x14ac:dyDescent="0.55000000000000004">
      <c r="B140" s="371"/>
      <c r="C140" s="1011">
        <v>55555</v>
      </c>
      <c r="D140" s="360" t="str">
        <f t="shared" si="8"/>
        <v>Finance and administration55555</v>
      </c>
      <c r="E140" s="360" t="str">
        <f t="shared" si="6"/>
        <v>TheewaterskloofFinance and administration7. Equity method ( Includes Joint Ventures)</v>
      </c>
      <c r="F140" s="360" t="str">
        <f>'PART C- Municipal Details'!$G$7</f>
        <v>Theewaterskloof</v>
      </c>
      <c r="G140" s="360" t="s">
        <v>101</v>
      </c>
      <c r="H140" s="366" t="s">
        <v>798</v>
      </c>
      <c r="I140" s="496" t="s">
        <v>796</v>
      </c>
      <c r="J140" s="497" t="s">
        <v>789</v>
      </c>
      <c r="K140" s="490"/>
      <c r="L140" s="479" t="s">
        <v>796</v>
      </c>
      <c r="M140" s="480"/>
      <c r="N140" s="481"/>
      <c r="O140" s="481"/>
      <c r="P140" s="481"/>
      <c r="Q140" s="481"/>
      <c r="R140" s="481"/>
      <c r="S140" s="481"/>
      <c r="T140" s="482"/>
      <c r="U140" s="530">
        <v>0</v>
      </c>
      <c r="V140" s="530">
        <v>0</v>
      </c>
      <c r="W140" s="530">
        <v>0</v>
      </c>
      <c r="X140" s="490"/>
      <c r="Y140" s="969"/>
      <c r="Z140" s="969"/>
      <c r="AA140" s="969"/>
      <c r="AB140" s="969"/>
      <c r="AC140" s="969"/>
      <c r="AD140" s="969"/>
      <c r="AE140" s="969" t="str">
        <f t="shared" si="7"/>
        <v>Theewaterskloof7. Equity method ( Includes Joint Ventures)</v>
      </c>
      <c r="AF140" s="969"/>
      <c r="AG140" s="969"/>
    </row>
    <row r="141" spans="2:33" ht="13.2" customHeight="1" x14ac:dyDescent="0.55000000000000004">
      <c r="B141" s="371"/>
      <c r="C141" s="1011">
        <v>55555</v>
      </c>
      <c r="D141" s="361" t="str">
        <f t="shared" si="8"/>
        <v>Finance and administration55555</v>
      </c>
      <c r="E141" s="361" t="str">
        <f t="shared" si="6"/>
        <v>TheewaterskloofFinance and administration8. All materials consumed including water consumed and materials used in operations.</v>
      </c>
      <c r="F141" s="360" t="str">
        <f>'PART C- Municipal Details'!$G$7</f>
        <v>Theewaterskloof</v>
      </c>
      <c r="G141" s="361" t="s">
        <v>101</v>
      </c>
      <c r="H141" s="363" t="s">
        <v>798</v>
      </c>
      <c r="I141" s="496" t="s">
        <v>797</v>
      </c>
      <c r="J141" s="497" t="s">
        <v>789</v>
      </c>
      <c r="K141" s="490"/>
      <c r="L141" s="501"/>
      <c r="M141" s="502"/>
      <c r="N141" s="503"/>
      <c r="O141" s="503"/>
      <c r="P141" s="503"/>
      <c r="Q141" s="503"/>
      <c r="R141" s="503"/>
      <c r="S141" s="503"/>
      <c r="T141" s="503"/>
      <c r="U141" s="504">
        <v>0</v>
      </c>
      <c r="V141" s="504">
        <v>0</v>
      </c>
      <c r="W141" s="504">
        <v>0</v>
      </c>
      <c r="X141" s="490"/>
      <c r="Y141" s="969"/>
      <c r="Z141" s="969"/>
      <c r="AA141" s="969"/>
      <c r="AB141" s="969"/>
      <c r="AC141" s="969"/>
      <c r="AD141" s="969"/>
      <c r="AE141" s="969" t="str">
        <f t="shared" si="7"/>
        <v>Theewaterskloof</v>
      </c>
      <c r="AF141" s="969"/>
      <c r="AG141" s="969"/>
    </row>
    <row r="142" spans="2:33" ht="13.2" customHeight="1" x14ac:dyDescent="0.55000000000000004">
      <c r="B142" s="371"/>
      <c r="C142" s="1011"/>
      <c r="D142" s="361" t="str">
        <f t="shared" si="8"/>
        <v/>
      </c>
      <c r="E142" s="361" t="str">
        <f t="shared" si="6"/>
        <v>TheewaterskloofX</v>
      </c>
      <c r="F142" s="360" t="str">
        <f>'PART C- Municipal Details'!$G$7</f>
        <v>Theewaterskloof</v>
      </c>
      <c r="G142" s="361" t="s">
        <v>101</v>
      </c>
      <c r="H142" s="363"/>
      <c r="I142" s="496" t="s">
        <v>647</v>
      </c>
      <c r="J142" s="497"/>
      <c r="K142" s="490"/>
      <c r="L142" s="512"/>
      <c r="M142" s="513"/>
      <c r="N142" s="514"/>
      <c r="O142" s="514"/>
      <c r="P142" s="514"/>
      <c r="Q142" s="514"/>
      <c r="R142" s="514"/>
      <c r="S142" s="514"/>
      <c r="T142" s="514"/>
      <c r="U142" s="515"/>
      <c r="V142" s="515"/>
      <c r="W142" s="515"/>
      <c r="X142" s="490"/>
      <c r="Y142" s="969"/>
      <c r="Z142" s="969"/>
      <c r="AA142" s="969"/>
      <c r="AB142" s="969"/>
      <c r="AC142" s="969"/>
      <c r="AD142" s="969"/>
      <c r="AE142" s="969" t="str">
        <f t="shared" si="7"/>
        <v>Theewaterskloof</v>
      </c>
      <c r="AF142" s="969"/>
      <c r="AG142" s="969"/>
    </row>
    <row r="143" spans="2:33" ht="13.2" customHeight="1" x14ac:dyDescent="0.55000000000000004">
      <c r="B143" s="371"/>
      <c r="C143" s="1010">
        <v>55555</v>
      </c>
      <c r="D143" s="360" t="str">
        <f t="shared" si="8"/>
        <v>Internal audit55555</v>
      </c>
      <c r="E143" s="361" t="str">
        <f t="shared" si="6"/>
        <v>TheewaterskloofInternal auditzz</v>
      </c>
      <c r="F143" s="360" t="str">
        <f>'PART C- Municipal Details'!$G$7</f>
        <v>Theewaterskloof</v>
      </c>
      <c r="G143" s="361" t="s">
        <v>101</v>
      </c>
      <c r="H143" s="363" t="s">
        <v>800</v>
      </c>
      <c r="I143" s="496" t="s">
        <v>801</v>
      </c>
      <c r="J143" s="497" t="s">
        <v>651</v>
      </c>
      <c r="K143" s="490"/>
      <c r="L143" s="462" t="s">
        <v>651</v>
      </c>
      <c r="M143" s="362" t="s">
        <v>652</v>
      </c>
      <c r="N143" s="466" t="s">
        <v>653</v>
      </c>
      <c r="O143" s="466" t="s">
        <v>654</v>
      </c>
      <c r="P143" s="467" t="s">
        <v>655</v>
      </c>
      <c r="Q143" s="483" t="s">
        <v>656</v>
      </c>
      <c r="R143" s="468"/>
      <c r="S143" s="468"/>
      <c r="T143" s="467"/>
      <c r="U143" s="527" t="s">
        <v>657</v>
      </c>
      <c r="V143" s="527" t="s">
        <v>657</v>
      </c>
      <c r="W143" s="527" t="s">
        <v>657</v>
      </c>
      <c r="X143" s="490"/>
      <c r="Y143" s="969"/>
      <c r="Z143" s="969"/>
      <c r="AA143" s="969"/>
      <c r="AB143" s="969"/>
      <c r="AC143" s="969"/>
      <c r="AD143" s="969"/>
      <c r="AE143" s="969" t="str">
        <f t="shared" si="7"/>
        <v>TheewaterskloofDescription</v>
      </c>
      <c r="AF143" s="969"/>
      <c r="AG143" s="969"/>
    </row>
    <row r="144" spans="2:33" ht="13.2" customHeight="1" thickBot="1" x14ac:dyDescent="0.6">
      <c r="B144" s="371"/>
      <c r="C144" s="1010">
        <v>55555</v>
      </c>
      <c r="D144" s="361" t="str">
        <f t="shared" si="8"/>
        <v>Internal audit55555</v>
      </c>
      <c r="E144" s="360" t="str">
        <f t="shared" si="6"/>
        <v>TheewaterskloofInternal auditz</v>
      </c>
      <c r="F144" s="360" t="str">
        <f>'PART C- Municipal Details'!$G$7</f>
        <v>Theewaterskloof</v>
      </c>
      <c r="G144" s="360" t="s">
        <v>101</v>
      </c>
      <c r="H144" s="366" t="s">
        <v>800</v>
      </c>
      <c r="I144" s="496" t="s">
        <v>802</v>
      </c>
      <c r="J144" s="497" t="s">
        <v>650</v>
      </c>
      <c r="K144" s="490"/>
      <c r="L144" s="365" t="s">
        <v>659</v>
      </c>
      <c r="M144" s="364" t="s">
        <v>660</v>
      </c>
      <c r="N144" s="469" t="s">
        <v>661</v>
      </c>
      <c r="O144" s="469" t="s">
        <v>661</v>
      </c>
      <c r="P144" s="470" t="s">
        <v>661</v>
      </c>
      <c r="Q144" s="471" t="s">
        <v>662</v>
      </c>
      <c r="R144" s="469" t="s">
        <v>663</v>
      </c>
      <c r="S144" s="469" t="s">
        <v>664</v>
      </c>
      <c r="T144" s="470" t="s">
        <v>665</v>
      </c>
      <c r="U144" s="528" t="s">
        <v>666</v>
      </c>
      <c r="V144" s="528" t="s">
        <v>666</v>
      </c>
      <c r="W144" s="528" t="s">
        <v>666</v>
      </c>
      <c r="X144" s="490"/>
      <c r="Y144" s="969"/>
      <c r="Z144" s="969"/>
      <c r="AA144" s="969"/>
      <c r="AB144" s="969"/>
      <c r="AC144" s="969"/>
      <c r="AD144" s="969"/>
      <c r="AE144" s="969" t="str">
        <f t="shared" si="7"/>
        <v>TheewaterskloofR thousands</v>
      </c>
      <c r="AF144" s="969"/>
      <c r="AG144" s="969"/>
    </row>
    <row r="145" spans="2:33" ht="13.2" customHeight="1" x14ac:dyDescent="0.55000000000000004">
      <c r="B145" s="371"/>
      <c r="C145" s="1008" t="s">
        <v>667</v>
      </c>
      <c r="D145" s="360" t="str">
        <f t="shared" si="8"/>
        <v>Internal audit0100</v>
      </c>
      <c r="E145" s="361" t="str">
        <f t="shared" si="6"/>
        <v>TheewaterskloofInternal auditz</v>
      </c>
      <c r="F145" s="360" t="str">
        <f>'PART C- Municipal Details'!$G$7</f>
        <v>Theewaterskloof</v>
      </c>
      <c r="G145" s="361" t="s">
        <v>101</v>
      </c>
      <c r="H145" s="363" t="s">
        <v>800</v>
      </c>
      <c r="I145" s="496" t="s">
        <v>802</v>
      </c>
      <c r="J145" s="497" t="s">
        <v>658</v>
      </c>
      <c r="K145" s="490"/>
      <c r="L145" s="505" t="s">
        <v>162</v>
      </c>
      <c r="M145" s="506"/>
      <c r="N145" s="507"/>
      <c r="O145" s="507"/>
      <c r="P145" s="507"/>
      <c r="Q145" s="507"/>
      <c r="R145" s="507"/>
      <c r="S145" s="507"/>
      <c r="T145" s="507"/>
      <c r="U145" s="529">
        <v>0</v>
      </c>
      <c r="V145" s="529">
        <v>0</v>
      </c>
      <c r="W145" s="529">
        <v>0</v>
      </c>
      <c r="X145" s="490"/>
      <c r="Y145" s="969"/>
      <c r="Z145" s="969"/>
      <c r="AA145" s="969"/>
      <c r="AB145" s="969"/>
      <c r="AC145" s="969"/>
      <c r="AD145" s="969"/>
      <c r="AE145" s="969" t="str">
        <f t="shared" si="7"/>
        <v>TheewaterskloofRevenue</v>
      </c>
      <c r="AF145" s="969"/>
      <c r="AG145" s="969"/>
    </row>
    <row r="146" spans="2:33" ht="13.2" customHeight="1" x14ac:dyDescent="0.55000000000000004">
      <c r="B146" s="371"/>
      <c r="C146" s="1009" t="s">
        <v>668</v>
      </c>
      <c r="D146" s="361" t="str">
        <f t="shared" si="8"/>
        <v>Internal audit0200</v>
      </c>
      <c r="E146" s="360" t="str">
        <f t="shared" si="6"/>
        <v>TheewaterskloofInternal auditz</v>
      </c>
      <c r="F146" s="360" t="str">
        <f>'PART C- Municipal Details'!$G$7</f>
        <v>Theewaterskloof</v>
      </c>
      <c r="G146" s="360" t="s">
        <v>101</v>
      </c>
      <c r="H146" s="366" t="s">
        <v>800</v>
      </c>
      <c r="I146" s="496" t="s">
        <v>802</v>
      </c>
      <c r="J146" s="497" t="s">
        <v>0</v>
      </c>
      <c r="K146" s="490"/>
      <c r="L146" s="463" t="s">
        <v>670</v>
      </c>
      <c r="M146" s="459"/>
      <c r="N146" s="460"/>
      <c r="O146" s="460"/>
      <c r="P146" s="460"/>
      <c r="Q146" s="460"/>
      <c r="R146" s="460"/>
      <c r="S146" s="460"/>
      <c r="T146" s="460"/>
      <c r="U146" s="530">
        <v>0</v>
      </c>
      <c r="V146" s="530">
        <v>0</v>
      </c>
      <c r="W146" s="530">
        <v>0</v>
      </c>
      <c r="X146" s="490"/>
      <c r="Y146" s="969"/>
      <c r="Z146" s="969"/>
      <c r="AA146" s="969"/>
      <c r="AB146" s="969"/>
      <c r="AC146" s="969"/>
      <c r="AD146" s="969"/>
      <c r="AE146" s="969" t="str">
        <f t="shared" si="7"/>
        <v>TheewaterskloofExchange Revenue</v>
      </c>
      <c r="AF146" s="969"/>
      <c r="AG146" s="969"/>
    </row>
    <row r="147" spans="2:33" ht="13.2" customHeight="1" x14ac:dyDescent="0.55000000000000004">
      <c r="B147" s="371"/>
      <c r="C147" s="1010" t="s">
        <v>671</v>
      </c>
      <c r="D147" s="360" t="str">
        <f t="shared" si="8"/>
        <v>Internal audit0300</v>
      </c>
      <c r="E147" s="361" t="str">
        <f t="shared" si="6"/>
        <v>TheewaterskloofInternal auditService charges - electricity revenue</v>
      </c>
      <c r="F147" s="360" t="str">
        <f>'PART C- Municipal Details'!$G$7</f>
        <v>Theewaterskloof</v>
      </c>
      <c r="G147" s="361" t="s">
        <v>101</v>
      </c>
      <c r="H147" s="363" t="s">
        <v>800</v>
      </c>
      <c r="I147" s="496" t="s">
        <v>669</v>
      </c>
      <c r="J147" s="497" t="s">
        <v>669</v>
      </c>
      <c r="K147" s="490"/>
      <c r="L147" s="463" t="s">
        <v>673</v>
      </c>
      <c r="M147" s="459"/>
      <c r="N147" s="461"/>
      <c r="O147" s="461"/>
      <c r="P147" s="461"/>
      <c r="Q147" s="461"/>
      <c r="R147" s="461"/>
      <c r="S147" s="461"/>
      <c r="T147" s="461"/>
      <c r="U147" s="530">
        <v>0</v>
      </c>
      <c r="V147" s="530">
        <v>0</v>
      </c>
      <c r="W147" s="530">
        <v>0</v>
      </c>
      <c r="X147" s="490"/>
      <c r="Y147" s="969"/>
      <c r="Z147" s="969"/>
      <c r="AA147" s="969"/>
      <c r="AB147" s="969"/>
      <c r="AC147" s="969"/>
      <c r="AD147" s="969"/>
      <c r="AE147" s="969" t="str">
        <f t="shared" si="7"/>
        <v>TheewaterskloofService charges - Electricity</v>
      </c>
      <c r="AF147" s="969"/>
      <c r="AG147" s="969"/>
    </row>
    <row r="148" spans="2:33" ht="13.2" customHeight="1" x14ac:dyDescent="0.55000000000000004">
      <c r="B148" s="371"/>
      <c r="C148" s="1010" t="s">
        <v>674</v>
      </c>
      <c r="D148" s="361" t="str">
        <f t="shared" si="8"/>
        <v>Internal audit0400</v>
      </c>
      <c r="E148" s="360" t="str">
        <f t="shared" si="6"/>
        <v>TheewaterskloofInternal auditService charges - water revenue</v>
      </c>
      <c r="F148" s="360" t="str">
        <f>'PART C- Municipal Details'!$G$7</f>
        <v>Theewaterskloof</v>
      </c>
      <c r="G148" s="360" t="s">
        <v>101</v>
      </c>
      <c r="H148" s="366" t="s">
        <v>800</v>
      </c>
      <c r="I148" s="496" t="s">
        <v>672</v>
      </c>
      <c r="J148" s="497" t="s">
        <v>672</v>
      </c>
      <c r="K148" s="490"/>
      <c r="L148" s="463" t="s">
        <v>676</v>
      </c>
      <c r="M148" s="459"/>
      <c r="N148" s="461"/>
      <c r="O148" s="461"/>
      <c r="P148" s="461"/>
      <c r="Q148" s="461"/>
      <c r="R148" s="461"/>
      <c r="S148" s="461"/>
      <c r="T148" s="461"/>
      <c r="U148" s="530">
        <v>0</v>
      </c>
      <c r="V148" s="530">
        <v>0</v>
      </c>
      <c r="W148" s="530">
        <v>0</v>
      </c>
      <c r="X148" s="490"/>
      <c r="Y148" s="969"/>
      <c r="Z148" s="969"/>
      <c r="AA148" s="969"/>
      <c r="AB148" s="969"/>
      <c r="AC148" s="969"/>
      <c r="AD148" s="969"/>
      <c r="AE148" s="969" t="str">
        <f t="shared" si="7"/>
        <v>TheewaterskloofService charges - Water</v>
      </c>
      <c r="AF148" s="969"/>
      <c r="AG148" s="969"/>
    </row>
    <row r="149" spans="2:33" ht="13.2" customHeight="1" x14ac:dyDescent="0.55000000000000004">
      <c r="B149" s="371"/>
      <c r="C149" s="1010" t="s">
        <v>677</v>
      </c>
      <c r="D149" s="360" t="str">
        <f t="shared" si="8"/>
        <v>Internal audit0500</v>
      </c>
      <c r="E149" s="361" t="str">
        <f t="shared" si="6"/>
        <v>TheewaterskloofInternal auditService charges - sanitation revenue</v>
      </c>
      <c r="F149" s="360" t="str">
        <f>'PART C- Municipal Details'!$G$7</f>
        <v>Theewaterskloof</v>
      </c>
      <c r="G149" s="361" t="s">
        <v>101</v>
      </c>
      <c r="H149" s="363" t="s">
        <v>800</v>
      </c>
      <c r="I149" s="496" t="s">
        <v>675</v>
      </c>
      <c r="J149" s="497" t="s">
        <v>675</v>
      </c>
      <c r="K149" s="490"/>
      <c r="L149" s="463" t="s">
        <v>679</v>
      </c>
      <c r="M149" s="459"/>
      <c r="N149" s="461"/>
      <c r="O149" s="461"/>
      <c r="P149" s="461"/>
      <c r="Q149" s="461"/>
      <c r="R149" s="461"/>
      <c r="S149" s="461"/>
      <c r="T149" s="461"/>
      <c r="U149" s="530">
        <v>0</v>
      </c>
      <c r="V149" s="530">
        <v>0</v>
      </c>
      <c r="W149" s="530">
        <v>0</v>
      </c>
      <c r="X149" s="490"/>
      <c r="Y149" s="969"/>
      <c r="Z149" s="969"/>
      <c r="AA149" s="969"/>
      <c r="AB149" s="969"/>
      <c r="AC149" s="969"/>
      <c r="AD149" s="969"/>
      <c r="AE149" s="969" t="str">
        <f t="shared" si="7"/>
        <v>TheewaterskloofService charges - Waste Water Management</v>
      </c>
      <c r="AF149" s="969"/>
      <c r="AG149" s="969"/>
    </row>
    <row r="150" spans="2:33" ht="13.2" customHeight="1" x14ac:dyDescent="0.55000000000000004">
      <c r="B150" s="371"/>
      <c r="C150" s="1010" t="s">
        <v>680</v>
      </c>
      <c r="D150" s="361" t="str">
        <f t="shared" si="8"/>
        <v>Internal audit0600</v>
      </c>
      <c r="E150" s="360" t="str">
        <f t="shared" si="6"/>
        <v>TheewaterskloofInternal auditService charges - refuse revenue</v>
      </c>
      <c r="F150" s="360" t="str">
        <f>'PART C- Municipal Details'!$G$7</f>
        <v>Theewaterskloof</v>
      </c>
      <c r="G150" s="360" t="s">
        <v>101</v>
      </c>
      <c r="H150" s="366" t="s">
        <v>800</v>
      </c>
      <c r="I150" s="496" t="s">
        <v>678</v>
      </c>
      <c r="J150" s="497" t="s">
        <v>678</v>
      </c>
      <c r="K150" s="490"/>
      <c r="L150" s="463" t="s">
        <v>682</v>
      </c>
      <c r="M150" s="459"/>
      <c r="N150" s="461"/>
      <c r="O150" s="461"/>
      <c r="P150" s="461"/>
      <c r="Q150" s="461"/>
      <c r="R150" s="461"/>
      <c r="S150" s="461"/>
      <c r="T150" s="461"/>
      <c r="U150" s="530">
        <v>0</v>
      </c>
      <c r="V150" s="530">
        <v>0</v>
      </c>
      <c r="W150" s="530">
        <v>0</v>
      </c>
      <c r="X150" s="490"/>
      <c r="Y150" s="969"/>
      <c r="Z150" s="969"/>
      <c r="AA150" s="969"/>
      <c r="AB150" s="969"/>
      <c r="AC150" s="969"/>
      <c r="AD150" s="969"/>
      <c r="AE150" s="969" t="str">
        <f t="shared" si="7"/>
        <v>TheewaterskloofService charges - Waste Management</v>
      </c>
      <c r="AF150" s="969"/>
      <c r="AG150" s="969"/>
    </row>
    <row r="151" spans="2:33" ht="13.2" customHeight="1" x14ac:dyDescent="0.55000000000000004">
      <c r="B151" s="371"/>
      <c r="C151" s="1010" t="s">
        <v>683</v>
      </c>
      <c r="D151" s="360" t="str">
        <f t="shared" si="8"/>
        <v>Internal audit0700</v>
      </c>
      <c r="E151" s="361" t="str">
        <f t="shared" si="6"/>
        <v>TheewaterskloofInternal auditOther revenue</v>
      </c>
      <c r="F151" s="360" t="str">
        <f>'PART C- Municipal Details'!$G$7</f>
        <v>Theewaterskloof</v>
      </c>
      <c r="G151" s="361" t="s">
        <v>101</v>
      </c>
      <c r="H151" s="363" t="s">
        <v>800</v>
      </c>
      <c r="I151" s="496" t="s">
        <v>7</v>
      </c>
      <c r="J151" s="497" t="s">
        <v>681</v>
      </c>
      <c r="K151" s="490"/>
      <c r="L151" s="463" t="s">
        <v>684</v>
      </c>
      <c r="M151" s="459"/>
      <c r="N151" s="461"/>
      <c r="O151" s="461"/>
      <c r="P151" s="461"/>
      <c r="Q151" s="461"/>
      <c r="R151" s="461"/>
      <c r="S151" s="461"/>
      <c r="T151" s="461"/>
      <c r="U151" s="530">
        <v>0</v>
      </c>
      <c r="V151" s="530">
        <v>0</v>
      </c>
      <c r="W151" s="530">
        <v>0</v>
      </c>
      <c r="X151" s="490"/>
      <c r="Y151" s="969"/>
      <c r="Z151" s="969"/>
      <c r="AA151" s="969"/>
      <c r="AB151" s="969"/>
      <c r="AC151" s="969"/>
      <c r="AD151" s="969"/>
      <c r="AE151" s="969" t="str">
        <f t="shared" si="7"/>
        <v>TheewaterskloofSale of Goods and Rendering of Services</v>
      </c>
      <c r="AF151" s="969"/>
      <c r="AG151" s="969"/>
    </row>
    <row r="152" spans="2:33" ht="13.2" customHeight="1" x14ac:dyDescent="0.55000000000000004">
      <c r="B152" s="371"/>
      <c r="C152" s="1010" t="s">
        <v>685</v>
      </c>
      <c r="D152" s="361" t="str">
        <f t="shared" si="8"/>
        <v>Internal audit0800</v>
      </c>
      <c r="E152" s="360" t="str">
        <f t="shared" si="6"/>
        <v>TheewaterskloofInternal auditAgency services</v>
      </c>
      <c r="F152" s="360" t="str">
        <f>'PART C- Municipal Details'!$G$7</f>
        <v>Theewaterskloof</v>
      </c>
      <c r="G152" s="360" t="s">
        <v>101</v>
      </c>
      <c r="H152" s="366" t="s">
        <v>800</v>
      </c>
      <c r="I152" s="496" t="s">
        <v>6</v>
      </c>
      <c r="J152" s="497" t="s">
        <v>1</v>
      </c>
      <c r="K152" s="490"/>
      <c r="L152" s="463" t="s">
        <v>6</v>
      </c>
      <c r="M152" s="459"/>
      <c r="N152" s="461"/>
      <c r="O152" s="461"/>
      <c r="P152" s="461"/>
      <c r="Q152" s="461"/>
      <c r="R152" s="461"/>
      <c r="S152" s="461"/>
      <c r="T152" s="461"/>
      <c r="U152" s="530">
        <v>0</v>
      </c>
      <c r="V152" s="530">
        <v>0</v>
      </c>
      <c r="W152" s="530">
        <v>0</v>
      </c>
      <c r="X152" s="490"/>
      <c r="Y152" s="969"/>
      <c r="Z152" s="969"/>
      <c r="AA152" s="969"/>
      <c r="AB152" s="969"/>
      <c r="AC152" s="969"/>
      <c r="AD152" s="969"/>
      <c r="AE152" s="969" t="str">
        <f t="shared" si="7"/>
        <v>TheewaterskloofAgency services</v>
      </c>
      <c r="AF152" s="969"/>
      <c r="AG152" s="969"/>
    </row>
    <row r="153" spans="2:33" ht="13.2" customHeight="1" x14ac:dyDescent="0.55000000000000004">
      <c r="B153" s="371"/>
      <c r="C153" s="1010" t="s">
        <v>686</v>
      </c>
      <c r="D153" s="360" t="str">
        <f t="shared" si="8"/>
        <v>Internal audit0900</v>
      </c>
      <c r="E153" s="361" t="str">
        <f t="shared" si="6"/>
        <v>TheewaterskloofInternal auditInterest earned - external investments</v>
      </c>
      <c r="F153" s="360" t="str">
        <f>'PART C- Municipal Details'!$G$7</f>
        <v>Theewaterskloof</v>
      </c>
      <c r="G153" s="361" t="s">
        <v>101</v>
      </c>
      <c r="H153" s="363" t="s">
        <v>800</v>
      </c>
      <c r="I153" s="496" t="s">
        <v>2</v>
      </c>
      <c r="J153" s="497" t="s">
        <v>2</v>
      </c>
      <c r="K153" s="490"/>
      <c r="L153" s="463" t="s">
        <v>687</v>
      </c>
      <c r="M153" s="459"/>
      <c r="N153" s="461"/>
      <c r="O153" s="461"/>
      <c r="P153" s="461"/>
      <c r="Q153" s="461"/>
      <c r="R153" s="461"/>
      <c r="S153" s="461"/>
      <c r="T153" s="461"/>
      <c r="U153" s="530">
        <v>0</v>
      </c>
      <c r="V153" s="530">
        <v>0</v>
      </c>
      <c r="W153" s="530">
        <v>0</v>
      </c>
      <c r="X153" s="490"/>
      <c r="Y153" s="969"/>
      <c r="Z153" s="969"/>
      <c r="AA153" s="969"/>
      <c r="AB153" s="969"/>
      <c r="AC153" s="969"/>
      <c r="AD153" s="969"/>
      <c r="AE153" s="969" t="str">
        <f t="shared" si="7"/>
        <v>TheewaterskloofInterest</v>
      </c>
      <c r="AF153" s="969"/>
      <c r="AG153" s="969"/>
    </row>
    <row r="154" spans="2:33" ht="13.2" customHeight="1" x14ac:dyDescent="0.55000000000000004">
      <c r="B154" s="371"/>
      <c r="C154" s="1010" t="s">
        <v>688</v>
      </c>
      <c r="D154" s="361" t="str">
        <f t="shared" si="8"/>
        <v>Internal audit1000</v>
      </c>
      <c r="E154" s="360" t="str">
        <f t="shared" si="6"/>
        <v>TheewaterskloofInternal auditInterest earned - outstanding debtors</v>
      </c>
      <c r="F154" s="360" t="str">
        <f>'PART C- Municipal Details'!$G$7</f>
        <v>Theewaterskloof</v>
      </c>
      <c r="G154" s="360" t="s">
        <v>101</v>
      </c>
      <c r="H154" s="366" t="s">
        <v>800</v>
      </c>
      <c r="I154" s="496" t="s">
        <v>3</v>
      </c>
      <c r="J154" s="497" t="s">
        <v>3</v>
      </c>
      <c r="K154" s="490"/>
      <c r="L154" s="463" t="s">
        <v>689</v>
      </c>
      <c r="M154" s="459"/>
      <c r="N154" s="461"/>
      <c r="O154" s="461"/>
      <c r="P154" s="461"/>
      <c r="Q154" s="461"/>
      <c r="R154" s="461"/>
      <c r="S154" s="461"/>
      <c r="T154" s="461"/>
      <c r="U154" s="530">
        <v>0</v>
      </c>
      <c r="V154" s="530">
        <v>0</v>
      </c>
      <c r="W154" s="530">
        <v>0</v>
      </c>
      <c r="X154" s="490"/>
      <c r="Y154" s="969"/>
      <c r="Z154" s="969"/>
      <c r="AA154" s="969"/>
      <c r="AB154" s="969"/>
      <c r="AC154" s="969"/>
      <c r="AD154" s="969"/>
      <c r="AE154" s="969" t="str">
        <f t="shared" si="7"/>
        <v>TheewaterskloofInterest earned from Receivables</v>
      </c>
      <c r="AF154" s="969"/>
      <c r="AG154" s="969"/>
    </row>
    <row r="155" spans="2:33" ht="13.2" customHeight="1" x14ac:dyDescent="0.55000000000000004">
      <c r="B155" s="371"/>
      <c r="C155" s="1010" t="s">
        <v>690</v>
      </c>
      <c r="D155" s="360" t="str">
        <f t="shared" si="8"/>
        <v>Internal audit1100</v>
      </c>
      <c r="E155" s="361" t="str">
        <f t="shared" si="6"/>
        <v>TheewaterskloofInternal auditInterest earned - external investments</v>
      </c>
      <c r="F155" s="360" t="str">
        <f>'PART C- Municipal Details'!$G$7</f>
        <v>Theewaterskloof</v>
      </c>
      <c r="G155" s="361" t="s">
        <v>101</v>
      </c>
      <c r="H155" s="363" t="s">
        <v>800</v>
      </c>
      <c r="I155" s="496" t="s">
        <v>2</v>
      </c>
      <c r="J155" s="497" t="s">
        <v>4</v>
      </c>
      <c r="K155" s="490"/>
      <c r="L155" s="463" t="s">
        <v>692</v>
      </c>
      <c r="M155" s="459"/>
      <c r="N155" s="461"/>
      <c r="O155" s="461"/>
      <c r="P155" s="461"/>
      <c r="Q155" s="461"/>
      <c r="R155" s="461"/>
      <c r="S155" s="461"/>
      <c r="T155" s="461"/>
      <c r="U155" s="530">
        <v>0</v>
      </c>
      <c r="V155" s="530">
        <v>0</v>
      </c>
      <c r="W155" s="530">
        <v>0</v>
      </c>
      <c r="X155" s="490"/>
      <c r="Y155" s="969"/>
      <c r="Z155" s="969"/>
      <c r="AA155" s="969"/>
      <c r="AB155" s="969"/>
      <c r="AC155" s="969"/>
      <c r="AD155" s="969"/>
      <c r="AE155" s="969" t="str">
        <f t="shared" si="7"/>
        <v>TheewaterskloofInterest earned from Current and Non Current Assets</v>
      </c>
      <c r="AF155" s="969"/>
      <c r="AG155" s="969"/>
    </row>
    <row r="156" spans="2:33" ht="13.2" customHeight="1" x14ac:dyDescent="0.55000000000000004">
      <c r="B156" s="371"/>
      <c r="C156" s="1010" t="s">
        <v>693</v>
      </c>
      <c r="D156" s="361" t="str">
        <f t="shared" si="8"/>
        <v>Internal audit1200</v>
      </c>
      <c r="E156" s="360" t="str">
        <f t="shared" si="6"/>
        <v>TheewaterskloofInternal auditDividends received</v>
      </c>
      <c r="F156" s="360" t="str">
        <f>'PART C- Municipal Details'!$G$7</f>
        <v>Theewaterskloof</v>
      </c>
      <c r="G156" s="360" t="s">
        <v>101</v>
      </c>
      <c r="H156" s="366" t="s">
        <v>800</v>
      </c>
      <c r="I156" s="496" t="s">
        <v>4</v>
      </c>
      <c r="J156" s="497" t="s">
        <v>691</v>
      </c>
      <c r="K156" s="490"/>
      <c r="L156" s="463" t="s">
        <v>694</v>
      </c>
      <c r="M156" s="459"/>
      <c r="N156" s="461"/>
      <c r="O156" s="461"/>
      <c r="P156" s="461"/>
      <c r="Q156" s="461"/>
      <c r="R156" s="461"/>
      <c r="S156" s="461"/>
      <c r="T156" s="461"/>
      <c r="U156" s="530">
        <v>0</v>
      </c>
      <c r="V156" s="530">
        <v>0</v>
      </c>
      <c r="W156" s="530">
        <v>0</v>
      </c>
      <c r="X156" s="490"/>
      <c r="Y156" s="969"/>
      <c r="Z156" s="969"/>
      <c r="AA156" s="969"/>
      <c r="AB156" s="969"/>
      <c r="AC156" s="969"/>
      <c r="AD156" s="969"/>
      <c r="AE156" s="969" t="str">
        <f t="shared" si="7"/>
        <v>TheewaterskloofDividends</v>
      </c>
      <c r="AF156" s="969"/>
      <c r="AG156" s="969"/>
    </row>
    <row r="157" spans="2:33" ht="13.2" customHeight="1" x14ac:dyDescent="0.55000000000000004">
      <c r="B157" s="371"/>
      <c r="C157" s="1010" t="s">
        <v>695</v>
      </c>
      <c r="D157" s="360" t="str">
        <f t="shared" si="8"/>
        <v>Internal audit1300</v>
      </c>
      <c r="E157" s="361" t="str">
        <f t="shared" si="6"/>
        <v>TheewaterskloofInternal auditRental of facilities and equipment</v>
      </c>
      <c r="F157" s="360" t="str">
        <f>'PART C- Municipal Details'!$G$7</f>
        <v>Theewaterskloof</v>
      </c>
      <c r="G157" s="361" t="s">
        <v>101</v>
      </c>
      <c r="H157" s="363" t="s">
        <v>800</v>
      </c>
      <c r="I157" s="496" t="s">
        <v>1</v>
      </c>
      <c r="J157" s="497" t="s">
        <v>5</v>
      </c>
      <c r="K157" s="490"/>
      <c r="L157" s="463" t="s">
        <v>696</v>
      </c>
      <c r="M157" s="459"/>
      <c r="N157" s="461"/>
      <c r="O157" s="461"/>
      <c r="P157" s="461"/>
      <c r="Q157" s="461"/>
      <c r="R157" s="461"/>
      <c r="S157" s="461"/>
      <c r="T157" s="461"/>
      <c r="U157" s="530">
        <v>0</v>
      </c>
      <c r="V157" s="530">
        <v>0</v>
      </c>
      <c r="W157" s="530">
        <v>0</v>
      </c>
      <c r="X157" s="490"/>
      <c r="Y157" s="969"/>
      <c r="Z157" s="969"/>
      <c r="AA157" s="969"/>
      <c r="AB157" s="969"/>
      <c r="AC157" s="969"/>
      <c r="AD157" s="969"/>
      <c r="AE157" s="969" t="str">
        <f t="shared" si="7"/>
        <v>TheewaterskloofRent on Land</v>
      </c>
      <c r="AF157" s="969"/>
      <c r="AG157" s="969"/>
    </row>
    <row r="158" spans="2:33" ht="13.2" customHeight="1" x14ac:dyDescent="0.55000000000000004">
      <c r="B158" s="371"/>
      <c r="C158" s="1010" t="s">
        <v>697</v>
      </c>
      <c r="D158" s="361" t="str">
        <f t="shared" si="8"/>
        <v>Internal audit1400</v>
      </c>
      <c r="E158" s="360" t="str">
        <f t="shared" si="6"/>
        <v>TheewaterskloofInternal auditRental of facilities and equipment</v>
      </c>
      <c r="F158" s="360" t="str">
        <f>'PART C- Municipal Details'!$G$7</f>
        <v>Theewaterskloof</v>
      </c>
      <c r="G158" s="360" t="s">
        <v>101</v>
      </c>
      <c r="H158" s="366" t="s">
        <v>800</v>
      </c>
      <c r="I158" s="496" t="s">
        <v>1</v>
      </c>
      <c r="J158" s="497" t="s">
        <v>6</v>
      </c>
      <c r="K158" s="490"/>
      <c r="L158" s="463" t="s">
        <v>699</v>
      </c>
      <c r="M158" s="459"/>
      <c r="N158" s="461"/>
      <c r="O158" s="461"/>
      <c r="P158" s="461"/>
      <c r="Q158" s="461"/>
      <c r="R158" s="461"/>
      <c r="S158" s="461"/>
      <c r="T158" s="461"/>
      <c r="U158" s="530">
        <v>0</v>
      </c>
      <c r="V158" s="530">
        <v>0</v>
      </c>
      <c r="W158" s="530">
        <v>0</v>
      </c>
      <c r="X158" s="490"/>
      <c r="Y158" s="969"/>
      <c r="Z158" s="969"/>
      <c r="AA158" s="969"/>
      <c r="AB158" s="969"/>
      <c r="AC158" s="969"/>
      <c r="AD158" s="969"/>
      <c r="AE158" s="969" t="str">
        <f t="shared" si="7"/>
        <v>TheewaterskloofRental from Fixed Assets</v>
      </c>
      <c r="AF158" s="969"/>
      <c r="AG158" s="969"/>
    </row>
    <row r="159" spans="2:33" ht="13.2" customHeight="1" x14ac:dyDescent="0.55000000000000004">
      <c r="B159" s="371"/>
      <c r="C159" s="1010" t="s">
        <v>700</v>
      </c>
      <c r="D159" s="360" t="str">
        <f t="shared" si="8"/>
        <v>Internal audit1500</v>
      </c>
      <c r="E159" s="361" t="str">
        <f t="shared" si="6"/>
        <v>TheewaterskloofInternal auditLicences and permits</v>
      </c>
      <c r="F159" s="360" t="str">
        <f>'PART C- Municipal Details'!$G$7</f>
        <v>Theewaterskloof</v>
      </c>
      <c r="G159" s="361" t="s">
        <v>101</v>
      </c>
      <c r="H159" s="363" t="s">
        <v>800</v>
      </c>
      <c r="I159" s="496" t="s">
        <v>5</v>
      </c>
      <c r="J159" s="497" t="s">
        <v>698</v>
      </c>
      <c r="K159" s="490"/>
      <c r="L159" s="463" t="s">
        <v>701</v>
      </c>
      <c r="M159" s="459"/>
      <c r="N159" s="461"/>
      <c r="O159" s="461"/>
      <c r="P159" s="461"/>
      <c r="Q159" s="461"/>
      <c r="R159" s="461"/>
      <c r="S159" s="461"/>
      <c r="T159" s="461"/>
      <c r="U159" s="530">
        <v>0</v>
      </c>
      <c r="V159" s="530">
        <v>0</v>
      </c>
      <c r="W159" s="530">
        <v>0</v>
      </c>
      <c r="X159" s="490"/>
      <c r="Y159" s="969"/>
      <c r="Z159" s="969"/>
      <c r="AA159" s="969"/>
      <c r="AB159" s="969"/>
      <c r="AC159" s="969"/>
      <c r="AD159" s="969"/>
      <c r="AE159" s="969" t="str">
        <f t="shared" si="7"/>
        <v>TheewaterskloofLicence and permits</v>
      </c>
      <c r="AF159" s="969"/>
      <c r="AG159" s="969"/>
    </row>
    <row r="160" spans="2:33" ht="13.2" customHeight="1" x14ac:dyDescent="0.55000000000000004">
      <c r="B160" s="371"/>
      <c r="C160" s="1324" t="s">
        <v>1569</v>
      </c>
      <c r="D160" s="360" t="str">
        <f t="shared" si="8"/>
        <v>Internal audit1550</v>
      </c>
      <c r="E160" s="360" t="str">
        <f t="shared" si="6"/>
        <v>TheewaterskloofInternal auditSpecial rating Levies</v>
      </c>
      <c r="F160" s="360" t="str">
        <f>'PART C- Municipal Details'!$G$7</f>
        <v>Theewaterskloof</v>
      </c>
      <c r="G160" s="360" t="s">
        <v>101</v>
      </c>
      <c r="H160" s="363" t="s">
        <v>800</v>
      </c>
      <c r="I160" s="496" t="s">
        <v>1568</v>
      </c>
      <c r="J160" s="497" t="s">
        <v>7</v>
      </c>
      <c r="K160" s="490"/>
      <c r="L160" s="463" t="s">
        <v>1567</v>
      </c>
      <c r="M160" s="459"/>
      <c r="N160" s="461"/>
      <c r="O160" s="461"/>
      <c r="P160" s="461"/>
      <c r="Q160" s="461"/>
      <c r="R160" s="461"/>
      <c r="S160" s="461"/>
      <c r="T160" s="461"/>
      <c r="U160" s="530">
        <v>0</v>
      </c>
      <c r="V160" s="530">
        <v>0</v>
      </c>
      <c r="W160" s="530">
        <v>0</v>
      </c>
      <c r="X160" s="490"/>
      <c r="Y160" s="969"/>
      <c r="Z160" s="969"/>
      <c r="AA160" s="969"/>
      <c r="AB160" s="969"/>
      <c r="AC160" s="969"/>
      <c r="AD160" s="969"/>
      <c r="AE160" s="969"/>
      <c r="AF160" s="969"/>
      <c r="AG160" s="969"/>
    </row>
    <row r="161" spans="2:33" ht="13.2" customHeight="1" x14ac:dyDescent="0.55000000000000004">
      <c r="B161" s="371"/>
      <c r="C161" s="1010" t="s">
        <v>702</v>
      </c>
      <c r="D161" s="361" t="str">
        <f t="shared" si="8"/>
        <v>Internal audit1600</v>
      </c>
      <c r="E161" s="360" t="str">
        <f t="shared" si="6"/>
        <v>TheewaterskloofInternal auditOther revenue</v>
      </c>
      <c r="F161" s="360" t="str">
        <f>'PART C- Municipal Details'!$G$7</f>
        <v>Theewaterskloof</v>
      </c>
      <c r="G161" s="360" t="s">
        <v>101</v>
      </c>
      <c r="H161" s="366" t="s">
        <v>800</v>
      </c>
      <c r="I161" s="496" t="s">
        <v>7</v>
      </c>
      <c r="J161" s="497" t="s">
        <v>7</v>
      </c>
      <c r="K161" s="490"/>
      <c r="L161" s="463" t="s">
        <v>704</v>
      </c>
      <c r="M161" s="459"/>
      <c r="N161" s="461"/>
      <c r="O161" s="461"/>
      <c r="P161" s="461"/>
      <c r="Q161" s="461"/>
      <c r="R161" s="461"/>
      <c r="S161" s="461"/>
      <c r="T161" s="461"/>
      <c r="U161" s="530">
        <v>0</v>
      </c>
      <c r="V161" s="530">
        <v>0</v>
      </c>
      <c r="W161" s="530">
        <v>0</v>
      </c>
      <c r="X161" s="490"/>
      <c r="Y161" s="969"/>
      <c r="Z161" s="969"/>
      <c r="AA161" s="969"/>
      <c r="AB161" s="969"/>
      <c r="AC161" s="969"/>
      <c r="AD161" s="969"/>
      <c r="AE161" s="969" t="str">
        <f t="shared" si="7"/>
        <v>TheewaterskloofOperational Revenue</v>
      </c>
      <c r="AF161" s="969"/>
      <c r="AG161" s="969"/>
    </row>
    <row r="162" spans="2:33" ht="13.2" customHeight="1" x14ac:dyDescent="0.55000000000000004">
      <c r="B162" s="371"/>
      <c r="C162" s="1009" t="s">
        <v>705</v>
      </c>
      <c r="D162" s="360" t="str">
        <f t="shared" si="8"/>
        <v>Internal audit1700</v>
      </c>
      <c r="E162" s="361" t="str">
        <f t="shared" si="6"/>
        <v>TheewaterskloofInternal auditR</v>
      </c>
      <c r="F162" s="360" t="str">
        <f>'PART C- Municipal Details'!$G$7</f>
        <v>Theewaterskloof</v>
      </c>
      <c r="G162" s="361" t="s">
        <v>101</v>
      </c>
      <c r="H162" s="363" t="s">
        <v>800</v>
      </c>
      <c r="I162" s="496" t="s">
        <v>649</v>
      </c>
      <c r="J162" s="497" t="s">
        <v>703</v>
      </c>
      <c r="K162" s="490"/>
      <c r="L162" s="508" t="s">
        <v>708</v>
      </c>
      <c r="M162" s="509"/>
      <c r="N162" s="510"/>
      <c r="O162" s="510"/>
      <c r="P162" s="510"/>
      <c r="Q162" s="510"/>
      <c r="R162" s="510"/>
      <c r="S162" s="510"/>
      <c r="T162" s="511"/>
      <c r="U162" s="531">
        <v>0</v>
      </c>
      <c r="V162" s="531">
        <v>0</v>
      </c>
      <c r="W162" s="531">
        <v>0</v>
      </c>
      <c r="X162" s="490"/>
      <c r="Y162" s="969"/>
      <c r="Z162" s="969"/>
      <c r="AA162" s="969"/>
      <c r="AB162" s="969"/>
      <c r="AC162" s="969"/>
      <c r="AD162" s="969"/>
      <c r="AE162" s="969" t="str">
        <f t="shared" si="7"/>
        <v>TheewaterskloofNon-Exchange Revenue</v>
      </c>
      <c r="AF162" s="969"/>
      <c r="AG162" s="969"/>
    </row>
    <row r="163" spans="2:33" ht="13.2" customHeight="1" x14ac:dyDescent="0.55000000000000004">
      <c r="B163" s="371"/>
      <c r="C163" s="1010" t="s">
        <v>709</v>
      </c>
      <c r="D163" s="361" t="str">
        <f t="shared" si="8"/>
        <v>Internal audit1800</v>
      </c>
      <c r="E163" s="360" t="str">
        <f t="shared" si="6"/>
        <v>TheewaterskloofInternal auditProperty rates</v>
      </c>
      <c r="F163" s="360" t="str">
        <f>'PART C- Municipal Details'!$G$7</f>
        <v>Theewaterskloof</v>
      </c>
      <c r="G163" s="360" t="s">
        <v>101</v>
      </c>
      <c r="H163" s="366" t="s">
        <v>800</v>
      </c>
      <c r="I163" s="496" t="s">
        <v>0</v>
      </c>
      <c r="J163" s="497" t="s">
        <v>707</v>
      </c>
      <c r="K163" s="490"/>
      <c r="L163" s="463" t="s">
        <v>0</v>
      </c>
      <c r="M163" s="459"/>
      <c r="N163" s="460"/>
      <c r="O163" s="460"/>
      <c r="P163" s="460"/>
      <c r="Q163" s="460"/>
      <c r="R163" s="460"/>
      <c r="S163" s="460"/>
      <c r="T163" s="460"/>
      <c r="U163" s="530">
        <v>0</v>
      </c>
      <c r="V163" s="530">
        <v>0</v>
      </c>
      <c r="W163" s="530">
        <v>0</v>
      </c>
      <c r="X163" s="490"/>
      <c r="Y163" s="969"/>
      <c r="Z163" s="969"/>
      <c r="AA163" s="969"/>
      <c r="AB163" s="969"/>
      <c r="AC163" s="969"/>
      <c r="AD163" s="969"/>
      <c r="AE163" s="969" t="str">
        <f t="shared" si="7"/>
        <v>TheewaterskloofProperty rates</v>
      </c>
      <c r="AF163" s="969"/>
      <c r="AG163" s="969"/>
    </row>
    <row r="164" spans="2:33" ht="13.2" customHeight="1" x14ac:dyDescent="0.55000000000000004">
      <c r="B164" s="371"/>
      <c r="C164" s="1010" t="s">
        <v>711</v>
      </c>
      <c r="D164" s="360" t="str">
        <f t="shared" si="8"/>
        <v>Internal audit1900</v>
      </c>
      <c r="E164" s="361" t="str">
        <f t="shared" si="6"/>
        <v>TheewaterskloofInternal auditOther revenue</v>
      </c>
      <c r="F164" s="360" t="str">
        <f>'PART C- Municipal Details'!$G$7</f>
        <v>Theewaterskloof</v>
      </c>
      <c r="G164" s="361" t="s">
        <v>101</v>
      </c>
      <c r="H164" s="363" t="s">
        <v>800</v>
      </c>
      <c r="I164" s="496" t="s">
        <v>7</v>
      </c>
      <c r="J164" s="497" t="s">
        <v>710</v>
      </c>
      <c r="K164" s="490"/>
      <c r="L164" s="463" t="s">
        <v>713</v>
      </c>
      <c r="M164" s="459"/>
      <c r="N164" s="461"/>
      <c r="O164" s="461"/>
      <c r="P164" s="461"/>
      <c r="Q164" s="461"/>
      <c r="R164" s="461"/>
      <c r="S164" s="461"/>
      <c r="T164" s="461"/>
      <c r="U164" s="530">
        <v>0</v>
      </c>
      <c r="V164" s="530">
        <v>0</v>
      </c>
      <c r="W164" s="530">
        <v>0</v>
      </c>
      <c r="X164" s="490"/>
      <c r="Y164" s="969"/>
      <c r="Z164" s="969"/>
      <c r="AA164" s="969"/>
      <c r="AB164" s="969"/>
      <c r="AC164" s="969"/>
      <c r="AD164" s="969"/>
      <c r="AE164" s="969" t="str">
        <f t="shared" si="7"/>
        <v>TheewaterskloofSurcharges and Taxes</v>
      </c>
      <c r="AF164" s="969"/>
      <c r="AG164" s="969"/>
    </row>
    <row r="165" spans="2:33" ht="13.2" customHeight="1" x14ac:dyDescent="0.55000000000000004">
      <c r="B165" s="371"/>
      <c r="C165" s="1010" t="s">
        <v>714</v>
      </c>
      <c r="D165" s="361" t="str">
        <f t="shared" si="8"/>
        <v>Internal audit2000</v>
      </c>
      <c r="E165" s="360" t="str">
        <f t="shared" si="6"/>
        <v>TheewaterskloofInternal auditFines, penalties and forfeits</v>
      </c>
      <c r="F165" s="360" t="str">
        <f>'PART C- Municipal Details'!$G$7</f>
        <v>Theewaterskloof</v>
      </c>
      <c r="G165" s="360" t="s">
        <v>101</v>
      </c>
      <c r="H165" s="366" t="s">
        <v>800</v>
      </c>
      <c r="I165" s="496" t="s">
        <v>691</v>
      </c>
      <c r="J165" s="497" t="s">
        <v>712</v>
      </c>
      <c r="K165" s="490"/>
      <c r="L165" s="463" t="s">
        <v>691</v>
      </c>
      <c r="M165" s="459"/>
      <c r="N165" s="461"/>
      <c r="O165" s="461"/>
      <c r="P165" s="461"/>
      <c r="Q165" s="461"/>
      <c r="R165" s="461"/>
      <c r="S165" s="461"/>
      <c r="T165" s="461"/>
      <c r="U165" s="530">
        <v>0</v>
      </c>
      <c r="V165" s="530">
        <v>0</v>
      </c>
      <c r="W165" s="530">
        <v>0</v>
      </c>
      <c r="X165" s="490"/>
      <c r="Y165" s="969"/>
      <c r="Z165" s="969"/>
      <c r="AA165" s="969"/>
      <c r="AB165" s="969"/>
      <c r="AC165" s="969"/>
      <c r="AD165" s="969"/>
      <c r="AE165" s="969" t="str">
        <f t="shared" si="7"/>
        <v>TheewaterskloofFines, penalties and forfeits</v>
      </c>
      <c r="AF165" s="969"/>
      <c r="AG165" s="969"/>
    </row>
    <row r="166" spans="2:33" ht="13.2" customHeight="1" x14ac:dyDescent="0.55000000000000004">
      <c r="B166" s="371"/>
      <c r="C166" s="1010" t="s">
        <v>715</v>
      </c>
      <c r="D166" s="360" t="str">
        <f t="shared" si="8"/>
        <v>Internal audit2100</v>
      </c>
      <c r="E166" s="361" t="str">
        <f t="shared" si="6"/>
        <v>TheewaterskloofInternal auditLicences and permits</v>
      </c>
      <c r="F166" s="360" t="str">
        <f>'PART C- Municipal Details'!$G$7</f>
        <v>Theewaterskloof</v>
      </c>
      <c r="G166" s="361" t="s">
        <v>101</v>
      </c>
      <c r="H166" s="363" t="s">
        <v>800</v>
      </c>
      <c r="I166" s="496" t="s">
        <v>5</v>
      </c>
      <c r="J166" s="497" t="s">
        <v>8</v>
      </c>
      <c r="K166" s="490"/>
      <c r="L166" s="463" t="s">
        <v>716</v>
      </c>
      <c r="M166" s="459"/>
      <c r="N166" s="461"/>
      <c r="O166" s="461"/>
      <c r="P166" s="461"/>
      <c r="Q166" s="461"/>
      <c r="R166" s="461"/>
      <c r="S166" s="461"/>
      <c r="T166" s="461"/>
      <c r="U166" s="530">
        <v>0</v>
      </c>
      <c r="V166" s="530">
        <v>0</v>
      </c>
      <c r="W166" s="530">
        <v>0</v>
      </c>
      <c r="X166" s="490"/>
      <c r="Y166" s="969"/>
      <c r="Z166" s="969"/>
      <c r="AA166" s="969"/>
      <c r="AB166" s="969"/>
      <c r="AC166" s="969"/>
      <c r="AD166" s="969"/>
      <c r="AE166" s="969" t="str">
        <f t="shared" si="7"/>
        <v>TheewaterskloofLicences or permits</v>
      </c>
      <c r="AF166" s="969"/>
      <c r="AG166" s="969"/>
    </row>
    <row r="167" spans="2:33" ht="13.2" customHeight="1" x14ac:dyDescent="0.55000000000000004">
      <c r="B167" s="371"/>
      <c r="C167" s="1010" t="s">
        <v>717</v>
      </c>
      <c r="D167" s="361" t="str">
        <f t="shared" si="8"/>
        <v>Internal audit2200</v>
      </c>
      <c r="E167" s="360" t="str">
        <f t="shared" si="6"/>
        <v>TheewaterskloofInternal auditTransfers and subsidies Income</v>
      </c>
      <c r="F167" s="360" t="str">
        <f>'PART C- Municipal Details'!$G$7</f>
        <v>Theewaterskloof</v>
      </c>
      <c r="G167" s="360" t="s">
        <v>101</v>
      </c>
      <c r="H167" s="366" t="s">
        <v>800</v>
      </c>
      <c r="I167" s="496" t="s">
        <v>698</v>
      </c>
      <c r="J167" s="497" t="s">
        <v>9</v>
      </c>
      <c r="K167" s="490"/>
      <c r="L167" s="463" t="s">
        <v>718</v>
      </c>
      <c r="M167" s="459"/>
      <c r="N167" s="461"/>
      <c r="O167" s="461"/>
      <c r="P167" s="461"/>
      <c r="Q167" s="461"/>
      <c r="R167" s="461"/>
      <c r="S167" s="461"/>
      <c r="T167" s="461"/>
      <c r="U167" s="530">
        <v>0</v>
      </c>
      <c r="V167" s="530">
        <v>0</v>
      </c>
      <c r="W167" s="530">
        <v>0</v>
      </c>
      <c r="X167" s="490"/>
      <c r="Y167" s="969"/>
      <c r="Z167" s="969"/>
      <c r="AA167" s="969"/>
      <c r="AB167" s="969"/>
      <c r="AC167" s="969"/>
      <c r="AD167" s="969"/>
      <c r="AE167" s="969" t="str">
        <f t="shared" si="7"/>
        <v>TheewaterskloofTransfer and subsidies - Operational</v>
      </c>
      <c r="AF167" s="969"/>
      <c r="AG167" s="969"/>
    </row>
    <row r="168" spans="2:33" ht="13.2" customHeight="1" x14ac:dyDescent="0.55000000000000004">
      <c r="B168" s="371"/>
      <c r="C168" s="1010" t="s">
        <v>719</v>
      </c>
      <c r="D168" s="360" t="str">
        <f t="shared" si="8"/>
        <v>Internal audit2300</v>
      </c>
      <c r="E168" s="361" t="str">
        <f t="shared" si="6"/>
        <v>TheewaterskloofInternal auditInterest earned - external investments</v>
      </c>
      <c r="F168" s="360" t="str">
        <f>'PART C- Municipal Details'!$G$7</f>
        <v>Theewaterskloof</v>
      </c>
      <c r="G168" s="361" t="s">
        <v>101</v>
      </c>
      <c r="H168" s="363" t="s">
        <v>800</v>
      </c>
      <c r="I168" s="496" t="s">
        <v>2</v>
      </c>
      <c r="J168" s="497" t="s">
        <v>10</v>
      </c>
      <c r="K168" s="490"/>
      <c r="L168" s="463" t="s">
        <v>687</v>
      </c>
      <c r="M168" s="459"/>
      <c r="N168" s="461"/>
      <c r="O168" s="461"/>
      <c r="P168" s="461"/>
      <c r="Q168" s="461"/>
      <c r="R168" s="461"/>
      <c r="S168" s="461"/>
      <c r="T168" s="461"/>
      <c r="U168" s="530">
        <v>0</v>
      </c>
      <c r="V168" s="530">
        <v>0</v>
      </c>
      <c r="W168" s="530">
        <v>0</v>
      </c>
      <c r="X168" s="490"/>
      <c r="Y168" s="969"/>
      <c r="Z168" s="969"/>
      <c r="AA168" s="969"/>
      <c r="AB168" s="969"/>
      <c r="AC168" s="969"/>
      <c r="AD168" s="969"/>
      <c r="AE168" s="969" t="str">
        <f t="shared" si="7"/>
        <v>TheewaterskloofInterest</v>
      </c>
      <c r="AF168" s="969"/>
      <c r="AG168" s="969"/>
    </row>
    <row r="169" spans="2:33" ht="13.2" customHeight="1" x14ac:dyDescent="0.55000000000000004">
      <c r="B169" s="371"/>
      <c r="C169" s="1010" t="s">
        <v>721</v>
      </c>
      <c r="D169" s="361" t="str">
        <f t="shared" si="8"/>
        <v>Internal audit2400</v>
      </c>
      <c r="E169" s="360" t="str">
        <f t="shared" si="6"/>
        <v>TheewaterskloofInternal auditOther revenue</v>
      </c>
      <c r="F169" s="360" t="str">
        <f>'PART C- Municipal Details'!$G$7</f>
        <v>Theewaterskloof</v>
      </c>
      <c r="G169" s="360" t="s">
        <v>101</v>
      </c>
      <c r="H169" s="366" t="s">
        <v>800</v>
      </c>
      <c r="I169" s="496" t="s">
        <v>7</v>
      </c>
      <c r="J169" s="497" t="s">
        <v>720</v>
      </c>
      <c r="K169" s="490"/>
      <c r="L169" s="463" t="s">
        <v>722</v>
      </c>
      <c r="M169" s="459"/>
      <c r="N169" s="461"/>
      <c r="O169" s="461"/>
      <c r="P169" s="461"/>
      <c r="Q169" s="461"/>
      <c r="R169" s="461"/>
      <c r="S169" s="461"/>
      <c r="T169" s="461"/>
      <c r="U169" s="530">
        <v>0</v>
      </c>
      <c r="V169" s="530">
        <v>0</v>
      </c>
      <c r="W169" s="530">
        <v>0</v>
      </c>
      <c r="X169" s="490"/>
      <c r="Y169" s="969"/>
      <c r="Z169" s="969"/>
      <c r="AA169" s="969"/>
      <c r="AB169" s="969"/>
      <c r="AC169" s="969"/>
      <c r="AD169" s="969"/>
      <c r="AE169" s="969" t="str">
        <f t="shared" si="7"/>
        <v>TheewaterskloofFuel Levy</v>
      </c>
      <c r="AF169" s="969"/>
      <c r="AG169" s="969"/>
    </row>
    <row r="170" spans="2:33" ht="13.2" customHeight="1" x14ac:dyDescent="0.55000000000000004">
      <c r="B170" s="371"/>
      <c r="C170" s="1010" t="s">
        <v>723</v>
      </c>
      <c r="D170" s="360" t="str">
        <f t="shared" si="8"/>
        <v>Internal audit2500</v>
      </c>
      <c r="E170" s="361" t="str">
        <f t="shared" si="6"/>
        <v>TheewaterskloofInternal auditOther revenue</v>
      </c>
      <c r="F170" s="360" t="str">
        <f>'PART C- Municipal Details'!$G$7</f>
        <v>Theewaterskloof</v>
      </c>
      <c r="G170" s="361" t="s">
        <v>101</v>
      </c>
      <c r="H170" s="363" t="s">
        <v>800</v>
      </c>
      <c r="I170" s="496" t="s">
        <v>7</v>
      </c>
      <c r="J170" s="497" t="s">
        <v>11</v>
      </c>
      <c r="K170" s="490"/>
      <c r="L170" s="463" t="s">
        <v>704</v>
      </c>
      <c r="M170" s="459"/>
      <c r="N170" s="461"/>
      <c r="O170" s="461"/>
      <c r="P170" s="461"/>
      <c r="Q170" s="461"/>
      <c r="R170" s="461"/>
      <c r="S170" s="461"/>
      <c r="T170" s="461"/>
      <c r="U170" s="530">
        <v>0</v>
      </c>
      <c r="V170" s="530">
        <v>0</v>
      </c>
      <c r="W170" s="530">
        <v>0</v>
      </c>
      <c r="X170" s="490"/>
      <c r="Y170" s="969"/>
      <c r="Z170" s="969"/>
      <c r="AA170" s="969"/>
      <c r="AB170" s="969"/>
      <c r="AC170" s="969"/>
      <c r="AD170" s="969"/>
      <c r="AE170" s="969" t="str">
        <f t="shared" si="7"/>
        <v>TheewaterskloofOperational Revenue</v>
      </c>
      <c r="AF170" s="969"/>
      <c r="AG170" s="969"/>
    </row>
    <row r="171" spans="2:33" ht="13.2" customHeight="1" x14ac:dyDescent="0.55000000000000004">
      <c r="B171" s="371"/>
      <c r="C171" s="1010" t="s">
        <v>725</v>
      </c>
      <c r="D171" s="361" t="str">
        <f t="shared" si="8"/>
        <v>Internal audit2600</v>
      </c>
      <c r="E171" s="360" t="str">
        <f t="shared" si="6"/>
        <v>TheewaterskloofInternal auditGains</v>
      </c>
      <c r="F171" s="360" t="str">
        <f>'PART C- Municipal Details'!$G$7</f>
        <v>Theewaterskloof</v>
      </c>
      <c r="G171" s="360" t="s">
        <v>101</v>
      </c>
      <c r="H171" s="366" t="s">
        <v>800</v>
      </c>
      <c r="I171" s="496" t="s">
        <v>703</v>
      </c>
      <c r="J171" s="497" t="s">
        <v>724</v>
      </c>
      <c r="K171" s="490"/>
      <c r="L171" s="463" t="s">
        <v>727</v>
      </c>
      <c r="M171" s="459"/>
      <c r="N171" s="461"/>
      <c r="O171" s="461"/>
      <c r="P171" s="461"/>
      <c r="Q171" s="461"/>
      <c r="R171" s="461"/>
      <c r="S171" s="461"/>
      <c r="T171" s="461"/>
      <c r="U171" s="530">
        <v>0</v>
      </c>
      <c r="V171" s="530">
        <v>0</v>
      </c>
      <c r="W171" s="530">
        <v>0</v>
      </c>
      <c r="X171" s="490"/>
      <c r="Y171" s="969"/>
      <c r="Z171" s="969"/>
      <c r="AA171" s="969"/>
      <c r="AB171" s="969"/>
      <c r="AC171" s="969"/>
      <c r="AD171" s="969"/>
      <c r="AE171" s="969" t="str">
        <f t="shared" si="7"/>
        <v>TheewaterskloofGains on disposal of Assets</v>
      </c>
      <c r="AF171" s="969"/>
      <c r="AG171" s="969"/>
    </row>
    <row r="172" spans="2:33" ht="13.2" customHeight="1" x14ac:dyDescent="0.55000000000000004">
      <c r="B172" s="371"/>
      <c r="C172" s="1010" t="s">
        <v>728</v>
      </c>
      <c r="D172" s="360" t="str">
        <f t="shared" si="8"/>
        <v>Internal audit2700</v>
      </c>
      <c r="E172" s="361" t="str">
        <f t="shared" si="6"/>
        <v>TheewaterskloofInternal auditOther revenue</v>
      </c>
      <c r="F172" s="360" t="str">
        <f>'PART C- Municipal Details'!$G$7</f>
        <v>Theewaterskloof</v>
      </c>
      <c r="G172" s="361" t="s">
        <v>101</v>
      </c>
      <c r="H172" s="363" t="s">
        <v>800</v>
      </c>
      <c r="I172" s="496" t="s">
        <v>7</v>
      </c>
      <c r="J172" s="497" t="s">
        <v>726</v>
      </c>
      <c r="K172" s="490"/>
      <c r="L172" s="463" t="s">
        <v>729</v>
      </c>
      <c r="M172" s="459"/>
      <c r="N172" s="461"/>
      <c r="O172" s="461"/>
      <c r="P172" s="461"/>
      <c r="Q172" s="461"/>
      <c r="R172" s="461"/>
      <c r="S172" s="461"/>
      <c r="T172" s="461"/>
      <c r="U172" s="530">
        <v>0</v>
      </c>
      <c r="V172" s="530">
        <v>0</v>
      </c>
      <c r="W172" s="530">
        <v>0</v>
      </c>
      <c r="X172" s="490"/>
      <c r="Y172" s="969"/>
      <c r="Z172" s="969"/>
      <c r="AA172" s="969"/>
      <c r="AB172" s="969"/>
      <c r="AC172" s="969"/>
      <c r="AD172" s="969"/>
      <c r="AE172" s="969" t="str">
        <f t="shared" si="7"/>
        <v>TheewaterskloofOther Gains</v>
      </c>
      <c r="AF172" s="969"/>
      <c r="AG172" s="969"/>
    </row>
    <row r="173" spans="2:33" ht="13.2" customHeight="1" x14ac:dyDescent="0.55000000000000004">
      <c r="B173" s="371"/>
      <c r="C173" s="1010" t="s">
        <v>730</v>
      </c>
      <c r="D173" s="361" t="str">
        <f t="shared" si="8"/>
        <v>Internal audit2800</v>
      </c>
      <c r="E173" s="360" t="str">
        <f t="shared" si="6"/>
        <v>TheewaterskloofInternal auditOther revenue</v>
      </c>
      <c r="F173" s="360" t="str">
        <f>'PART C- Municipal Details'!$G$7</f>
        <v>Theewaterskloof</v>
      </c>
      <c r="G173" s="360" t="s">
        <v>101</v>
      </c>
      <c r="H173" s="366" t="s">
        <v>800</v>
      </c>
      <c r="I173" s="496" t="s">
        <v>7</v>
      </c>
      <c r="J173" s="497" t="s">
        <v>12</v>
      </c>
      <c r="K173" s="490"/>
      <c r="L173" s="464" t="s">
        <v>731</v>
      </c>
      <c r="M173" s="459"/>
      <c r="N173" s="461"/>
      <c r="O173" s="461"/>
      <c r="P173" s="461"/>
      <c r="Q173" s="461"/>
      <c r="R173" s="461"/>
      <c r="S173" s="461"/>
      <c r="T173" s="461"/>
      <c r="U173" s="530">
        <v>0</v>
      </c>
      <c r="V173" s="530">
        <v>0</v>
      </c>
      <c r="W173" s="530">
        <v>0</v>
      </c>
      <c r="X173" s="490"/>
      <c r="Y173" s="969"/>
      <c r="Z173" s="969"/>
      <c r="AA173" s="969"/>
      <c r="AB173" s="969"/>
      <c r="AC173" s="969"/>
      <c r="AD173" s="969"/>
      <c r="AE173" s="969" t="str">
        <f t="shared" si="7"/>
        <v>TheewaterskloofDiscontinued Operations</v>
      </c>
      <c r="AF173" s="969"/>
      <c r="AG173" s="969"/>
    </row>
    <row r="174" spans="2:33" ht="13.2" customHeight="1" x14ac:dyDescent="0.55000000000000004">
      <c r="B174" s="371"/>
      <c r="C174" s="1009" t="s">
        <v>732</v>
      </c>
      <c r="D174" s="360" t="str">
        <f t="shared" si="8"/>
        <v>Internal audit2900</v>
      </c>
      <c r="E174" s="361" t="str">
        <f t="shared" si="6"/>
        <v>TheewaterskloofInternal auditTotal Revenue (excluding capital transfers and contributions)</v>
      </c>
      <c r="F174" s="360" t="str">
        <f>'PART C- Municipal Details'!$G$7</f>
        <v>Theewaterskloof</v>
      </c>
      <c r="G174" s="361" t="s">
        <v>101</v>
      </c>
      <c r="H174" s="363" t="s">
        <v>800</v>
      </c>
      <c r="I174" s="496" t="s">
        <v>707</v>
      </c>
      <c r="J174" s="497" t="s">
        <v>204</v>
      </c>
      <c r="K174" s="490"/>
      <c r="L174" s="508" t="s">
        <v>707</v>
      </c>
      <c r="M174" s="509"/>
      <c r="N174" s="510"/>
      <c r="O174" s="510"/>
      <c r="P174" s="510"/>
      <c r="Q174" s="510"/>
      <c r="R174" s="510"/>
      <c r="S174" s="510"/>
      <c r="T174" s="511"/>
      <c r="U174" s="531">
        <v>0</v>
      </c>
      <c r="V174" s="531">
        <v>0</v>
      </c>
      <c r="W174" s="531">
        <v>0</v>
      </c>
      <c r="X174" s="490"/>
      <c r="Y174" s="969"/>
      <c r="Z174" s="969"/>
      <c r="AA174" s="969"/>
      <c r="AB174" s="969"/>
      <c r="AC174" s="969"/>
      <c r="AD174" s="969"/>
      <c r="AE174" s="969" t="str">
        <f t="shared" si="7"/>
        <v>TheewaterskloofTotal Revenue (excluding capital transfers and contributions)</v>
      </c>
      <c r="AF174" s="969"/>
      <c r="AG174" s="969"/>
    </row>
    <row r="175" spans="2:33" ht="13.2" customHeight="1" x14ac:dyDescent="0.55000000000000004">
      <c r="B175" s="371"/>
      <c r="C175" s="1009" t="s">
        <v>733</v>
      </c>
      <c r="D175" s="361" t="str">
        <f t="shared" si="8"/>
        <v>Internal audit3000</v>
      </c>
      <c r="E175" s="360" t="str">
        <f t="shared" si="6"/>
        <v>TheewaterskloofInternal auditR</v>
      </c>
      <c r="F175" s="360" t="str">
        <f>'PART C- Municipal Details'!$G$7</f>
        <v>Theewaterskloof</v>
      </c>
      <c r="G175" s="360" t="s">
        <v>101</v>
      </c>
      <c r="H175" s="366" t="s">
        <v>800</v>
      </c>
      <c r="I175" s="496" t="s">
        <v>649</v>
      </c>
      <c r="J175" s="497" t="s">
        <v>13</v>
      </c>
      <c r="K175" s="490"/>
      <c r="L175" s="505" t="s">
        <v>22</v>
      </c>
      <c r="M175" s="506"/>
      <c r="N175" s="507"/>
      <c r="O175" s="507"/>
      <c r="P175" s="507"/>
      <c r="Q175" s="507"/>
      <c r="R175" s="507"/>
      <c r="S175" s="507"/>
      <c r="T175" s="507"/>
      <c r="U175" s="531">
        <v>0</v>
      </c>
      <c r="V175" s="531">
        <v>0</v>
      </c>
      <c r="W175" s="531">
        <v>0</v>
      </c>
      <c r="X175" s="490"/>
      <c r="Y175" s="969"/>
      <c r="Z175" s="969"/>
      <c r="AA175" s="969"/>
      <c r="AB175" s="969"/>
      <c r="AC175" s="969"/>
      <c r="AD175" s="969"/>
      <c r="AE175" s="969" t="str">
        <f t="shared" si="7"/>
        <v>TheewaterskloofExpenditure</v>
      </c>
      <c r="AF175" s="969"/>
      <c r="AG175" s="969"/>
    </row>
    <row r="176" spans="2:33" ht="13.2" customHeight="1" x14ac:dyDescent="0.55000000000000004">
      <c r="B176" s="371"/>
      <c r="C176" s="1010" t="s">
        <v>735</v>
      </c>
      <c r="D176" s="360" t="str">
        <f t="shared" si="8"/>
        <v>Internal audit3100</v>
      </c>
      <c r="E176" s="361" t="str">
        <f t="shared" si="6"/>
        <v>TheewaterskloofInternal auditEmployee related costs</v>
      </c>
      <c r="F176" s="360" t="str">
        <f>'PART C- Municipal Details'!$G$7</f>
        <v>Theewaterskloof</v>
      </c>
      <c r="G176" s="361" t="s">
        <v>101</v>
      </c>
      <c r="H176" s="363" t="s">
        <v>800</v>
      </c>
      <c r="I176" s="496" t="s">
        <v>8</v>
      </c>
      <c r="J176" s="497" t="s">
        <v>734</v>
      </c>
      <c r="K176" s="490"/>
      <c r="L176" s="463" t="s">
        <v>8</v>
      </c>
      <c r="M176" s="459"/>
      <c r="N176" s="461"/>
      <c r="O176" s="461"/>
      <c r="P176" s="461"/>
      <c r="Q176" s="461"/>
      <c r="R176" s="461"/>
      <c r="S176" s="461"/>
      <c r="T176" s="461"/>
      <c r="U176" s="530">
        <v>3256916</v>
      </c>
      <c r="V176" s="530">
        <v>3367650</v>
      </c>
      <c r="W176" s="530">
        <v>3475415</v>
      </c>
      <c r="X176" s="490"/>
      <c r="Y176" s="969"/>
      <c r="Z176" s="969"/>
      <c r="AA176" s="969"/>
      <c r="AB176" s="969"/>
      <c r="AC176" s="969"/>
      <c r="AD176" s="969"/>
      <c r="AE176" s="969" t="str">
        <f t="shared" si="7"/>
        <v>TheewaterskloofEmployee related costs</v>
      </c>
      <c r="AF176" s="969"/>
      <c r="AG176" s="969"/>
    </row>
    <row r="177" spans="2:33" ht="13.2" customHeight="1" x14ac:dyDescent="0.55000000000000004">
      <c r="B177" s="371"/>
      <c r="C177" s="1010" t="s">
        <v>737</v>
      </c>
      <c r="D177" s="361" t="str">
        <f t="shared" si="8"/>
        <v>Internal audit3200</v>
      </c>
      <c r="E177" s="360" t="str">
        <f t="shared" si="6"/>
        <v>TheewaterskloofInternal auditRemuneration of councillors</v>
      </c>
      <c r="F177" s="360" t="str">
        <f>'PART C- Municipal Details'!$G$7</f>
        <v>Theewaterskloof</v>
      </c>
      <c r="G177" s="360" t="s">
        <v>101</v>
      </c>
      <c r="H177" s="366" t="s">
        <v>800</v>
      </c>
      <c r="I177" s="496" t="s">
        <v>9</v>
      </c>
      <c r="J177" s="497" t="s">
        <v>736</v>
      </c>
      <c r="K177" s="490"/>
      <c r="L177" s="463" t="s">
        <v>9</v>
      </c>
      <c r="M177" s="459"/>
      <c r="N177" s="461"/>
      <c r="O177" s="461"/>
      <c r="P177" s="461"/>
      <c r="Q177" s="461"/>
      <c r="R177" s="461"/>
      <c r="S177" s="461"/>
      <c r="T177" s="461"/>
      <c r="U177" s="530">
        <v>0</v>
      </c>
      <c r="V177" s="530">
        <v>0</v>
      </c>
      <c r="W177" s="530">
        <v>0</v>
      </c>
      <c r="X177" s="490"/>
      <c r="Y177" s="969"/>
      <c r="Z177" s="969"/>
      <c r="AA177" s="969"/>
      <c r="AB177" s="969"/>
      <c r="AC177" s="969"/>
      <c r="AD177" s="969"/>
      <c r="AE177" s="969" t="str">
        <f t="shared" si="7"/>
        <v>TheewaterskloofRemuneration of councillors</v>
      </c>
      <c r="AF177" s="969"/>
      <c r="AG177" s="969"/>
    </row>
    <row r="178" spans="2:33" ht="13.2" customHeight="1" x14ac:dyDescent="0.55000000000000004">
      <c r="B178" s="371"/>
      <c r="C178" s="1010" t="s">
        <v>738</v>
      </c>
      <c r="D178" s="360" t="str">
        <f t="shared" si="8"/>
        <v>Internal audit3300</v>
      </c>
      <c r="E178" s="361" t="str">
        <f t="shared" si="6"/>
        <v>TheewaterskloofInternal auditBulk purchases - electricity</v>
      </c>
      <c r="F178" s="360" t="str">
        <f>'PART C- Municipal Details'!$G$7</f>
        <v>Theewaterskloof</v>
      </c>
      <c r="G178" s="361" t="s">
        <v>101</v>
      </c>
      <c r="H178" s="363" t="s">
        <v>800</v>
      </c>
      <c r="I178" s="496" t="s">
        <v>724</v>
      </c>
      <c r="J178" s="497" t="s">
        <v>710</v>
      </c>
      <c r="K178" s="490"/>
      <c r="L178" s="463" t="s">
        <v>724</v>
      </c>
      <c r="M178" s="459"/>
      <c r="N178" s="461"/>
      <c r="O178" s="461"/>
      <c r="P178" s="461"/>
      <c r="Q178" s="461"/>
      <c r="R178" s="461"/>
      <c r="S178" s="461"/>
      <c r="T178" s="461"/>
      <c r="U178" s="530">
        <v>0</v>
      </c>
      <c r="V178" s="530">
        <v>0</v>
      </c>
      <c r="W178" s="530">
        <v>0</v>
      </c>
      <c r="X178" s="490"/>
      <c r="Y178" s="969"/>
      <c r="Z178" s="969"/>
      <c r="AA178" s="969"/>
      <c r="AB178" s="969"/>
      <c r="AC178" s="969"/>
      <c r="AD178" s="969"/>
      <c r="AE178" s="969" t="str">
        <f t="shared" si="7"/>
        <v>TheewaterskloofBulk purchases - electricity</v>
      </c>
      <c r="AF178" s="969"/>
      <c r="AG178" s="969"/>
    </row>
    <row r="179" spans="2:33" ht="13.2" customHeight="1" x14ac:dyDescent="0.55000000000000004">
      <c r="B179" s="371"/>
      <c r="C179" s="1010" t="s">
        <v>739</v>
      </c>
      <c r="D179" s="361" t="str">
        <f t="shared" si="8"/>
        <v>Internal audit3400</v>
      </c>
      <c r="E179" s="360" t="str">
        <f t="shared" si="6"/>
        <v>TheewaterskloofInternal auditInventory consumed</v>
      </c>
      <c r="F179" s="360" t="str">
        <f>'PART C- Municipal Details'!$G$7</f>
        <v>Theewaterskloof</v>
      </c>
      <c r="G179" s="360" t="s">
        <v>101</v>
      </c>
      <c r="H179" s="366" t="s">
        <v>800</v>
      </c>
      <c r="I179" s="496" t="s">
        <v>726</v>
      </c>
      <c r="J179" s="497" t="s">
        <v>635</v>
      </c>
      <c r="K179" s="490"/>
      <c r="L179" s="463" t="s">
        <v>726</v>
      </c>
      <c r="M179" s="459"/>
      <c r="N179" s="461"/>
      <c r="O179" s="461"/>
      <c r="P179" s="461"/>
      <c r="Q179" s="461"/>
      <c r="R179" s="461"/>
      <c r="S179" s="461"/>
      <c r="T179" s="461"/>
      <c r="U179" s="530">
        <v>500</v>
      </c>
      <c r="V179" s="530">
        <v>517</v>
      </c>
      <c r="W179" s="530">
        <v>534</v>
      </c>
      <c r="X179" s="490"/>
      <c r="Y179" s="969"/>
      <c r="Z179" s="969"/>
      <c r="AA179" s="969"/>
      <c r="AB179" s="969"/>
      <c r="AC179" s="969"/>
      <c r="AD179" s="969"/>
      <c r="AE179" s="969" t="str">
        <f t="shared" si="7"/>
        <v>TheewaterskloofInventory consumed</v>
      </c>
      <c r="AF179" s="969"/>
      <c r="AG179" s="969"/>
    </row>
    <row r="180" spans="2:33" ht="13.2" customHeight="1" x14ac:dyDescent="0.55000000000000004">
      <c r="B180" s="371"/>
      <c r="C180" s="1010" t="s">
        <v>741</v>
      </c>
      <c r="D180" s="360" t="str">
        <f t="shared" si="8"/>
        <v>Internal audit3500</v>
      </c>
      <c r="E180" s="361" t="str">
        <f t="shared" si="6"/>
        <v>TheewaterskloofInternal auditDebt impairment</v>
      </c>
      <c r="F180" s="360" t="str">
        <f>'PART C- Municipal Details'!$G$7</f>
        <v>Theewaterskloof</v>
      </c>
      <c r="G180" s="361" t="s">
        <v>101</v>
      </c>
      <c r="H180" s="363" t="s">
        <v>800</v>
      </c>
      <c r="I180" s="496" t="s">
        <v>10</v>
      </c>
      <c r="J180" s="497" t="s">
        <v>740</v>
      </c>
      <c r="K180" s="490"/>
      <c r="L180" s="463" t="s">
        <v>10</v>
      </c>
      <c r="M180" s="459"/>
      <c r="N180" s="461"/>
      <c r="O180" s="461"/>
      <c r="P180" s="461"/>
      <c r="Q180" s="461"/>
      <c r="R180" s="461"/>
      <c r="S180" s="461"/>
      <c r="T180" s="461"/>
      <c r="U180" s="530">
        <v>0</v>
      </c>
      <c r="V180" s="530">
        <v>0</v>
      </c>
      <c r="W180" s="530">
        <v>0</v>
      </c>
      <c r="X180" s="490"/>
      <c r="Y180" s="969"/>
      <c r="Z180" s="969"/>
      <c r="AA180" s="969"/>
      <c r="AB180" s="969"/>
      <c r="AC180" s="969"/>
      <c r="AD180" s="969"/>
      <c r="AE180" s="969" t="str">
        <f t="shared" si="7"/>
        <v>TheewaterskloofDebt impairment</v>
      </c>
      <c r="AF180" s="969"/>
      <c r="AG180" s="969"/>
    </row>
    <row r="181" spans="2:33" ht="13.2" customHeight="1" x14ac:dyDescent="0.55000000000000004">
      <c r="B181" s="371"/>
      <c r="C181" s="1010" t="s">
        <v>743</v>
      </c>
      <c r="D181" s="361" t="str">
        <f t="shared" si="8"/>
        <v>Internal audit3600</v>
      </c>
      <c r="E181" s="360" t="str">
        <f t="shared" si="6"/>
        <v>TheewaterskloofInternal auditDepreciation and asset impairment</v>
      </c>
      <c r="F181" s="360" t="str">
        <f>'PART C- Municipal Details'!$G$7</f>
        <v>Theewaterskloof</v>
      </c>
      <c r="G181" s="360" t="s">
        <v>101</v>
      </c>
      <c r="H181" s="366" t="s">
        <v>800</v>
      </c>
      <c r="I181" s="496" t="s">
        <v>720</v>
      </c>
      <c r="J181" s="497" t="s">
        <v>742</v>
      </c>
      <c r="K181" s="490"/>
      <c r="L181" s="463" t="s">
        <v>745</v>
      </c>
      <c r="M181" s="459"/>
      <c r="N181" s="461"/>
      <c r="O181" s="461"/>
      <c r="P181" s="461"/>
      <c r="Q181" s="461"/>
      <c r="R181" s="461"/>
      <c r="S181" s="461"/>
      <c r="T181" s="461"/>
      <c r="U181" s="530">
        <v>0</v>
      </c>
      <c r="V181" s="530">
        <v>0</v>
      </c>
      <c r="W181" s="530">
        <v>0</v>
      </c>
      <c r="X181" s="490"/>
      <c r="Y181" s="969"/>
      <c r="Z181" s="969"/>
      <c r="AA181" s="969"/>
      <c r="AB181" s="969"/>
      <c r="AC181" s="969"/>
      <c r="AD181" s="969"/>
      <c r="AE181" s="969" t="str">
        <f t="shared" si="7"/>
        <v>TheewaterskloofDepreciation and amortisation</v>
      </c>
      <c r="AF181" s="969"/>
      <c r="AG181" s="969"/>
    </row>
    <row r="182" spans="2:33" ht="13.2" customHeight="1" x14ac:dyDescent="0.55000000000000004">
      <c r="B182" s="371"/>
      <c r="C182" s="1010" t="s">
        <v>746</v>
      </c>
      <c r="D182" s="360" t="str">
        <f t="shared" si="8"/>
        <v>Internal audit3700</v>
      </c>
      <c r="E182" s="361" t="str">
        <f t="shared" si="6"/>
        <v>TheewaterskloofInternal auditFinance charges</v>
      </c>
      <c r="F182" s="360" t="str">
        <f>'PART C- Municipal Details'!$G$7</f>
        <v>Theewaterskloof</v>
      </c>
      <c r="G182" s="361" t="s">
        <v>101</v>
      </c>
      <c r="H182" s="363" t="s">
        <v>800</v>
      </c>
      <c r="I182" s="496" t="s">
        <v>11</v>
      </c>
      <c r="J182" s="497" t="s">
        <v>744</v>
      </c>
      <c r="K182" s="490"/>
      <c r="L182" s="463" t="s">
        <v>687</v>
      </c>
      <c r="M182" s="459"/>
      <c r="N182" s="461"/>
      <c r="O182" s="461"/>
      <c r="P182" s="461"/>
      <c r="Q182" s="461"/>
      <c r="R182" s="461"/>
      <c r="S182" s="461"/>
      <c r="T182" s="461"/>
      <c r="U182" s="530">
        <v>0</v>
      </c>
      <c r="V182" s="530">
        <v>0</v>
      </c>
      <c r="W182" s="530">
        <v>0</v>
      </c>
      <c r="X182" s="490"/>
      <c r="Y182" s="969"/>
      <c r="Z182" s="969"/>
      <c r="AA182" s="969"/>
      <c r="AB182" s="969"/>
      <c r="AC182" s="969"/>
      <c r="AD182" s="969"/>
      <c r="AE182" s="969" t="str">
        <f t="shared" si="7"/>
        <v>TheewaterskloofInterest</v>
      </c>
      <c r="AF182" s="969"/>
      <c r="AG182" s="969"/>
    </row>
    <row r="183" spans="2:33" ht="13.2" customHeight="1" x14ac:dyDescent="0.55000000000000004">
      <c r="B183" s="371"/>
      <c r="C183" s="1010" t="s">
        <v>748</v>
      </c>
      <c r="D183" s="361" t="str">
        <f t="shared" si="8"/>
        <v>Internal audit3800</v>
      </c>
      <c r="E183" s="360" t="str">
        <f t="shared" si="6"/>
        <v>TheewaterskloofInternal auditContracted services</v>
      </c>
      <c r="F183" s="360" t="str">
        <f>'PART C- Municipal Details'!$G$7</f>
        <v>Theewaterskloof</v>
      </c>
      <c r="G183" s="360" t="s">
        <v>101</v>
      </c>
      <c r="H183" s="366" t="s">
        <v>800</v>
      </c>
      <c r="I183" s="496" t="s">
        <v>12</v>
      </c>
      <c r="J183" s="497" t="s">
        <v>747</v>
      </c>
      <c r="K183" s="490"/>
      <c r="L183" s="463" t="s">
        <v>12</v>
      </c>
      <c r="M183" s="459"/>
      <c r="N183" s="461"/>
      <c r="O183" s="461"/>
      <c r="P183" s="461"/>
      <c r="Q183" s="461"/>
      <c r="R183" s="461"/>
      <c r="S183" s="461"/>
      <c r="T183" s="461"/>
      <c r="U183" s="530">
        <v>150000</v>
      </c>
      <c r="V183" s="530">
        <v>155100</v>
      </c>
      <c r="W183" s="530">
        <v>160063</v>
      </c>
      <c r="X183" s="490"/>
      <c r="Y183" s="969"/>
      <c r="Z183" s="969"/>
      <c r="AA183" s="969"/>
      <c r="AB183" s="969"/>
      <c r="AC183" s="969"/>
      <c r="AD183" s="969"/>
      <c r="AE183" s="969" t="str">
        <f t="shared" si="7"/>
        <v>TheewaterskloofContracted services</v>
      </c>
      <c r="AF183" s="969"/>
      <c r="AG183" s="969"/>
    </row>
    <row r="184" spans="2:33" ht="13.2" customHeight="1" x14ac:dyDescent="0.55000000000000004">
      <c r="B184" s="371"/>
      <c r="C184" s="1010" t="s">
        <v>750</v>
      </c>
      <c r="D184" s="360" t="str">
        <f t="shared" si="8"/>
        <v>Internal audit3900</v>
      </c>
      <c r="E184" s="361" t="str">
        <f t="shared" si="6"/>
        <v>TheewaterskloofInternal auditTransfers and subsidies</v>
      </c>
      <c r="F184" s="360" t="str">
        <f>'PART C- Municipal Details'!$G$7</f>
        <v>Theewaterskloof</v>
      </c>
      <c r="G184" s="361" t="s">
        <v>101</v>
      </c>
      <c r="H184" s="363" t="s">
        <v>800</v>
      </c>
      <c r="I184" s="496" t="s">
        <v>204</v>
      </c>
      <c r="J184" s="497" t="s">
        <v>749</v>
      </c>
      <c r="K184" s="490"/>
      <c r="L184" s="463" t="s">
        <v>204</v>
      </c>
      <c r="M184" s="459"/>
      <c r="N184" s="461"/>
      <c r="O184" s="461"/>
      <c r="P184" s="461"/>
      <c r="Q184" s="461"/>
      <c r="R184" s="461"/>
      <c r="S184" s="461"/>
      <c r="T184" s="461"/>
      <c r="U184" s="530">
        <v>0</v>
      </c>
      <c r="V184" s="530">
        <v>0</v>
      </c>
      <c r="W184" s="530">
        <v>0</v>
      </c>
      <c r="X184" s="490"/>
      <c r="Y184" s="969"/>
      <c r="Z184" s="969"/>
      <c r="AA184" s="969"/>
      <c r="AB184" s="969"/>
      <c r="AC184" s="969"/>
      <c r="AD184" s="969"/>
      <c r="AE184" s="969" t="str">
        <f t="shared" si="7"/>
        <v>TheewaterskloofTransfers and subsidies</v>
      </c>
      <c r="AF184" s="969"/>
      <c r="AG184" s="969"/>
    </row>
    <row r="185" spans="2:33" ht="13.2" customHeight="1" x14ac:dyDescent="0.55000000000000004">
      <c r="B185" s="371"/>
      <c r="C185" s="1010" t="s">
        <v>752</v>
      </c>
      <c r="D185" s="361" t="str">
        <f t="shared" si="8"/>
        <v>Internal audit4000</v>
      </c>
      <c r="E185" s="360" t="str">
        <f t="shared" si="6"/>
        <v>TheewaterskloofInternal auditOther expenditure</v>
      </c>
      <c r="F185" s="360" t="str">
        <f>'PART C- Municipal Details'!$G$7</f>
        <v>Theewaterskloof</v>
      </c>
      <c r="G185" s="360" t="s">
        <v>101</v>
      </c>
      <c r="H185" s="366" t="s">
        <v>800</v>
      </c>
      <c r="I185" s="496" t="s">
        <v>13</v>
      </c>
      <c r="J185" s="497" t="s">
        <v>751</v>
      </c>
      <c r="K185" s="490"/>
      <c r="L185" s="463" t="s">
        <v>754</v>
      </c>
      <c r="M185" s="459"/>
      <c r="N185" s="461"/>
      <c r="O185" s="461"/>
      <c r="P185" s="461"/>
      <c r="Q185" s="461"/>
      <c r="R185" s="461"/>
      <c r="S185" s="461"/>
      <c r="T185" s="461"/>
      <c r="U185" s="530">
        <v>0</v>
      </c>
      <c r="V185" s="530">
        <v>0</v>
      </c>
      <c r="W185" s="530">
        <v>0</v>
      </c>
      <c r="X185" s="490"/>
      <c r="Y185" s="969"/>
      <c r="Z185" s="969"/>
      <c r="AA185" s="969"/>
      <c r="AB185" s="969"/>
      <c r="AC185" s="969"/>
      <c r="AD185" s="969"/>
      <c r="AE185" s="969" t="str">
        <f t="shared" si="7"/>
        <v>TheewaterskloofIrrecoverable debts written off</v>
      </c>
      <c r="AF185" s="969"/>
      <c r="AG185" s="969"/>
    </row>
    <row r="186" spans="2:33" ht="13.2" customHeight="1" x14ac:dyDescent="0.55000000000000004">
      <c r="B186" s="371"/>
      <c r="C186" s="1010" t="s">
        <v>755</v>
      </c>
      <c r="D186" s="360" t="str">
        <f t="shared" si="8"/>
        <v>Internal audit4100</v>
      </c>
      <c r="E186" s="361" t="str">
        <f t="shared" si="6"/>
        <v>TheewaterskloofInternal auditOther expenditure</v>
      </c>
      <c r="F186" s="360" t="str">
        <f>'PART C- Municipal Details'!$G$7</f>
        <v>Theewaterskloof</v>
      </c>
      <c r="G186" s="361" t="s">
        <v>101</v>
      </c>
      <c r="H186" s="363" t="s">
        <v>800</v>
      </c>
      <c r="I186" s="496" t="s">
        <v>13</v>
      </c>
      <c r="J186" s="497" t="s">
        <v>753</v>
      </c>
      <c r="K186" s="490"/>
      <c r="L186" s="463" t="s">
        <v>757</v>
      </c>
      <c r="M186" s="459"/>
      <c r="N186" s="461"/>
      <c r="O186" s="461"/>
      <c r="P186" s="461"/>
      <c r="Q186" s="461"/>
      <c r="R186" s="461"/>
      <c r="S186" s="461"/>
      <c r="T186" s="461"/>
      <c r="U186" s="530">
        <v>29300</v>
      </c>
      <c r="V186" s="530">
        <v>30296</v>
      </c>
      <c r="W186" s="530">
        <v>31265</v>
      </c>
      <c r="X186" s="490"/>
      <c r="Y186" s="969"/>
      <c r="Z186" s="969"/>
      <c r="AA186" s="969"/>
      <c r="AB186" s="969"/>
      <c r="AC186" s="969"/>
      <c r="AD186" s="969"/>
      <c r="AE186" s="969" t="str">
        <f t="shared" si="7"/>
        <v>TheewaterskloofOperational costs</v>
      </c>
      <c r="AF186" s="969"/>
      <c r="AG186" s="969"/>
    </row>
    <row r="187" spans="2:33" ht="13.2" customHeight="1" x14ac:dyDescent="0.55000000000000004">
      <c r="B187" s="371"/>
      <c r="C187" s="1010" t="s">
        <v>758</v>
      </c>
      <c r="D187" s="361" t="str">
        <f t="shared" si="8"/>
        <v>Internal audit4200</v>
      </c>
      <c r="E187" s="360" t="str">
        <f t="shared" si="6"/>
        <v>TheewaterskloofInternal auditLosses</v>
      </c>
      <c r="F187" s="360" t="str">
        <f>'PART C- Municipal Details'!$G$7</f>
        <v>Theewaterskloof</v>
      </c>
      <c r="G187" s="360" t="s">
        <v>101</v>
      </c>
      <c r="H187" s="366" t="s">
        <v>800</v>
      </c>
      <c r="I187" s="496" t="s">
        <v>734</v>
      </c>
      <c r="J187" s="497" t="s">
        <v>756</v>
      </c>
      <c r="K187" s="490"/>
      <c r="L187" s="463" t="s">
        <v>760</v>
      </c>
      <c r="M187" s="459"/>
      <c r="N187" s="461"/>
      <c r="O187" s="461"/>
      <c r="P187" s="461"/>
      <c r="Q187" s="461"/>
      <c r="R187" s="461"/>
      <c r="S187" s="461"/>
      <c r="T187" s="461"/>
      <c r="U187" s="530">
        <v>0</v>
      </c>
      <c r="V187" s="530">
        <v>0</v>
      </c>
      <c r="W187" s="530">
        <v>0</v>
      </c>
      <c r="X187" s="490"/>
      <c r="Y187" s="969"/>
      <c r="Z187" s="969"/>
      <c r="AA187" s="969"/>
      <c r="AB187" s="969"/>
      <c r="AC187" s="969"/>
      <c r="AD187" s="969"/>
      <c r="AE187" s="969" t="str">
        <f t="shared" si="7"/>
        <v>TheewaterskloofLosses on disposal of Assets</v>
      </c>
      <c r="AF187" s="969"/>
      <c r="AG187" s="969"/>
    </row>
    <row r="188" spans="2:33" ht="13.2" customHeight="1" x14ac:dyDescent="0.55000000000000004">
      <c r="B188" s="371"/>
      <c r="C188" s="1010" t="s">
        <v>761</v>
      </c>
      <c r="D188" s="360" t="str">
        <f t="shared" si="8"/>
        <v>Internal audit4300</v>
      </c>
      <c r="E188" s="361" t="str">
        <f t="shared" si="6"/>
        <v>TheewaterskloofInternal auditOther expenditure</v>
      </c>
      <c r="F188" s="360" t="str">
        <f>'PART C- Municipal Details'!$G$7</f>
        <v>Theewaterskloof</v>
      </c>
      <c r="G188" s="361" t="s">
        <v>101</v>
      </c>
      <c r="H188" s="363" t="s">
        <v>800</v>
      </c>
      <c r="I188" s="496" t="s">
        <v>13</v>
      </c>
      <c r="J188" s="497" t="s">
        <v>759</v>
      </c>
      <c r="K188" s="490"/>
      <c r="L188" s="463" t="s">
        <v>763</v>
      </c>
      <c r="M188" s="459"/>
      <c r="N188" s="461"/>
      <c r="O188" s="461"/>
      <c r="P188" s="461"/>
      <c r="Q188" s="461"/>
      <c r="R188" s="461"/>
      <c r="S188" s="461"/>
      <c r="T188" s="461"/>
      <c r="U188" s="530">
        <v>0</v>
      </c>
      <c r="V188" s="530">
        <v>0</v>
      </c>
      <c r="W188" s="530">
        <v>0</v>
      </c>
      <c r="X188" s="490"/>
      <c r="Y188" s="969"/>
      <c r="Z188" s="969"/>
      <c r="AA188" s="969"/>
      <c r="AB188" s="969"/>
      <c r="AC188" s="969"/>
      <c r="AD188" s="969"/>
      <c r="AE188" s="969" t="str">
        <f t="shared" si="7"/>
        <v>TheewaterskloofOther Losses</v>
      </c>
      <c r="AF188" s="969"/>
      <c r="AG188" s="969"/>
    </row>
    <row r="189" spans="2:33" ht="13.2" customHeight="1" x14ac:dyDescent="0.55000000000000004">
      <c r="B189" s="371"/>
      <c r="C189" s="1009" t="s">
        <v>764</v>
      </c>
      <c r="D189" s="361" t="str">
        <f t="shared" si="8"/>
        <v>Internal audit4400</v>
      </c>
      <c r="E189" s="360" t="str">
        <f t="shared" si="6"/>
        <v>TheewaterskloofInternal auditTotal Expenditure</v>
      </c>
      <c r="F189" s="360" t="str">
        <f>'PART C- Municipal Details'!$G$7</f>
        <v>Theewaterskloof</v>
      </c>
      <c r="G189" s="360" t="s">
        <v>101</v>
      </c>
      <c r="H189" s="366" t="s">
        <v>800</v>
      </c>
      <c r="I189" s="496" t="s">
        <v>736</v>
      </c>
      <c r="J189" s="497" t="s">
        <v>762</v>
      </c>
      <c r="K189" s="490"/>
      <c r="L189" s="508" t="s">
        <v>736</v>
      </c>
      <c r="M189" s="509"/>
      <c r="N189" s="510"/>
      <c r="O189" s="510"/>
      <c r="P189" s="510"/>
      <c r="Q189" s="510"/>
      <c r="R189" s="510"/>
      <c r="S189" s="510"/>
      <c r="T189" s="511"/>
      <c r="U189" s="529">
        <v>3436716</v>
      </c>
      <c r="V189" s="529">
        <v>3553563</v>
      </c>
      <c r="W189" s="529">
        <v>3667277</v>
      </c>
      <c r="X189" s="490"/>
      <c r="Y189" s="969"/>
      <c r="Z189" s="969"/>
      <c r="AA189" s="969"/>
      <c r="AB189" s="969"/>
      <c r="AC189" s="969"/>
      <c r="AD189" s="969"/>
      <c r="AE189" s="969" t="str">
        <f t="shared" si="7"/>
        <v>TheewaterskloofTotal Expenditure</v>
      </c>
      <c r="AF189" s="969"/>
      <c r="AG189" s="969"/>
    </row>
    <row r="190" spans="2:33" ht="13.2" customHeight="1" x14ac:dyDescent="0.55000000000000004">
      <c r="B190" s="371"/>
      <c r="C190" s="1009" t="s">
        <v>766</v>
      </c>
      <c r="D190" s="360" t="str">
        <f t="shared" si="8"/>
        <v>Internal audit4500</v>
      </c>
      <c r="E190" s="361" t="str">
        <f t="shared" si="6"/>
        <v>TheewaterskloofInternal auditSurplus/(Deficit)</v>
      </c>
      <c r="F190" s="360" t="str">
        <f>'PART C- Municipal Details'!$G$7</f>
        <v>Theewaterskloof</v>
      </c>
      <c r="G190" s="361" t="s">
        <v>101</v>
      </c>
      <c r="H190" s="363" t="s">
        <v>800</v>
      </c>
      <c r="I190" s="496" t="s">
        <v>635</v>
      </c>
      <c r="J190" s="497" t="s">
        <v>765</v>
      </c>
      <c r="K190" s="490"/>
      <c r="L190" s="463" t="s">
        <v>635</v>
      </c>
      <c r="M190" s="459"/>
      <c r="N190" s="459"/>
      <c r="O190" s="459"/>
      <c r="P190" s="459"/>
      <c r="Q190" s="459"/>
      <c r="R190" s="459"/>
      <c r="S190" s="459"/>
      <c r="T190" s="459"/>
      <c r="U190" s="530">
        <v>-3436716</v>
      </c>
      <c r="V190" s="530">
        <v>-3553563</v>
      </c>
      <c r="W190" s="530">
        <v>-3667277</v>
      </c>
      <c r="X190" s="490"/>
      <c r="Y190" s="969"/>
      <c r="Z190" s="969"/>
      <c r="AA190" s="969"/>
      <c r="AB190" s="969"/>
      <c r="AC190" s="969"/>
      <c r="AD190" s="969"/>
      <c r="AE190" s="969" t="str">
        <f t="shared" si="7"/>
        <v>TheewaterskloofSurplus/(Deficit)</v>
      </c>
      <c r="AF190" s="969"/>
      <c r="AG190" s="969"/>
    </row>
    <row r="191" spans="2:33" ht="13.2" customHeight="1" x14ac:dyDescent="0.55000000000000004">
      <c r="B191" s="371"/>
      <c r="C191" s="1010" t="s">
        <v>768</v>
      </c>
      <c r="D191" s="361" t="str">
        <f t="shared" si="8"/>
        <v>Internal audit4600</v>
      </c>
      <c r="E191" s="360" t="str">
        <f t="shared" si="6"/>
        <v>TheewaterskloofInternal auditTransfers and subsidies - capital (monetary allocations) (National / Provincial and District)</v>
      </c>
      <c r="F191" s="360" t="str">
        <f>'PART C- Municipal Details'!$G$7</f>
        <v>Theewaterskloof</v>
      </c>
      <c r="G191" s="360" t="s">
        <v>101</v>
      </c>
      <c r="H191" s="366" t="s">
        <v>800</v>
      </c>
      <c r="I191" s="496" t="s">
        <v>740</v>
      </c>
      <c r="J191" s="497" t="s">
        <v>767</v>
      </c>
      <c r="K191" s="490"/>
      <c r="L191" s="463" t="s">
        <v>770</v>
      </c>
      <c r="M191" s="459"/>
      <c r="N191" s="459"/>
      <c r="O191" s="459"/>
      <c r="P191" s="459"/>
      <c r="Q191" s="459"/>
      <c r="R191" s="459"/>
      <c r="S191" s="459"/>
      <c r="T191" s="459"/>
      <c r="U191" s="530">
        <v>0</v>
      </c>
      <c r="V191" s="530">
        <v>0</v>
      </c>
      <c r="W191" s="530">
        <v>0</v>
      </c>
      <c r="X191" s="490"/>
      <c r="Y191" s="969"/>
      <c r="Z191" s="969"/>
      <c r="AA191" s="969"/>
      <c r="AB191" s="969"/>
      <c r="AC191" s="969"/>
      <c r="AD191" s="969"/>
      <c r="AE191" s="969" t="str">
        <f t="shared" si="7"/>
        <v>TheewaterskloofTransfers and subsidies - capital (monetary allocations)</v>
      </c>
      <c r="AF191" s="969"/>
      <c r="AG191" s="969"/>
    </row>
    <row r="192" spans="2:33" ht="13.2" customHeight="1" x14ac:dyDescent="0.55000000000000004">
      <c r="B192" s="371"/>
      <c r="C192" s="1010" t="s">
        <v>771</v>
      </c>
      <c r="D192" s="360" t="str">
        <f t="shared" si="8"/>
        <v>Internal audit4700</v>
      </c>
      <c r="E192" s="361" t="str">
        <f t="shared" si="6"/>
        <v>TheewaterskloofInternal auditTransfers and subsidies - capital (in-kind - all)</v>
      </c>
      <c r="F192" s="360" t="str">
        <f>'PART C- Municipal Details'!$G$7</f>
        <v>Theewaterskloof</v>
      </c>
      <c r="G192" s="361" t="s">
        <v>101</v>
      </c>
      <c r="H192" s="363" t="s">
        <v>800</v>
      </c>
      <c r="I192" s="496" t="s">
        <v>744</v>
      </c>
      <c r="J192" s="497" t="s">
        <v>769</v>
      </c>
      <c r="K192" s="490"/>
      <c r="L192" s="463" t="s">
        <v>773</v>
      </c>
      <c r="M192" s="459"/>
      <c r="N192" s="459"/>
      <c r="O192" s="459"/>
      <c r="P192" s="459"/>
      <c r="Q192" s="459"/>
      <c r="R192" s="459"/>
      <c r="S192" s="459"/>
      <c r="T192" s="459"/>
      <c r="U192" s="530">
        <v>0</v>
      </c>
      <c r="V192" s="530">
        <v>0</v>
      </c>
      <c r="W192" s="530">
        <v>0</v>
      </c>
      <c r="X192" s="490"/>
      <c r="Y192" s="969"/>
      <c r="Z192" s="969"/>
      <c r="AA192" s="969"/>
      <c r="AB192" s="969"/>
      <c r="AC192" s="969"/>
      <c r="AD192" s="969"/>
      <c r="AE192" s="969" t="str">
        <f t="shared" si="7"/>
        <v>TheewaterskloofTransfers and subsidies - capital (in-kind)</v>
      </c>
      <c r="AF192" s="969"/>
      <c r="AG192" s="969"/>
    </row>
    <row r="193" spans="2:33" ht="13.2" customHeight="1" x14ac:dyDescent="0.55000000000000004">
      <c r="B193" s="371"/>
      <c r="C193" s="1009" t="s">
        <v>774</v>
      </c>
      <c r="D193" s="361" t="str">
        <f t="shared" si="8"/>
        <v>Internal audit4800</v>
      </c>
      <c r="E193" s="360" t="str">
        <f t="shared" si="6"/>
        <v>TheewaterskloofInternal auditSurplus/(Deficit) after capital transfers and contributions</v>
      </c>
      <c r="F193" s="360" t="str">
        <f>'PART C- Municipal Details'!$G$7</f>
        <v>Theewaterskloof</v>
      </c>
      <c r="G193" s="360" t="s">
        <v>101</v>
      </c>
      <c r="H193" s="366" t="s">
        <v>800</v>
      </c>
      <c r="I193" s="496" t="s">
        <v>747</v>
      </c>
      <c r="J193" s="497" t="s">
        <v>772</v>
      </c>
      <c r="K193" s="490"/>
      <c r="L193" s="463" t="s">
        <v>747</v>
      </c>
      <c r="M193" s="459"/>
      <c r="N193" s="459"/>
      <c r="O193" s="459"/>
      <c r="P193" s="459"/>
      <c r="Q193" s="459"/>
      <c r="R193" s="459"/>
      <c r="S193" s="459"/>
      <c r="T193" s="459"/>
      <c r="U193" s="530">
        <v>-3436716</v>
      </c>
      <c r="V193" s="530">
        <v>-3553563</v>
      </c>
      <c r="W193" s="530">
        <v>-3667277</v>
      </c>
      <c r="X193" s="490"/>
      <c r="Y193" s="969"/>
      <c r="Z193" s="969"/>
      <c r="AA193" s="969"/>
      <c r="AB193" s="969"/>
      <c r="AC193" s="969"/>
      <c r="AD193" s="969"/>
      <c r="AE193" s="969" t="str">
        <f t="shared" si="7"/>
        <v>TheewaterskloofSurplus/(Deficit) after capital transfers and contributions</v>
      </c>
      <c r="AF193" s="969"/>
      <c r="AG193" s="969"/>
    </row>
    <row r="194" spans="2:33" ht="13.2" customHeight="1" x14ac:dyDescent="0.55000000000000004">
      <c r="B194" s="371"/>
      <c r="C194" s="1010" t="s">
        <v>776</v>
      </c>
      <c r="D194" s="360" t="str">
        <f t="shared" si="8"/>
        <v>Internal audit4900</v>
      </c>
      <c r="E194" s="361" t="str">
        <f t="shared" si="6"/>
        <v>TheewaterskloofInternal auditTaxation</v>
      </c>
      <c r="F194" s="360" t="str">
        <f>'PART C- Municipal Details'!$G$7</f>
        <v>Theewaterskloof</v>
      </c>
      <c r="G194" s="361" t="s">
        <v>101</v>
      </c>
      <c r="H194" s="363" t="s">
        <v>800</v>
      </c>
      <c r="I194" s="496" t="s">
        <v>749</v>
      </c>
      <c r="J194" s="497" t="s">
        <v>775</v>
      </c>
      <c r="K194" s="490"/>
      <c r="L194" s="463" t="s">
        <v>778</v>
      </c>
      <c r="M194" s="459"/>
      <c r="N194" s="459"/>
      <c r="O194" s="459"/>
      <c r="P194" s="459"/>
      <c r="Q194" s="459"/>
      <c r="R194" s="459"/>
      <c r="S194" s="459"/>
      <c r="T194" s="459"/>
      <c r="U194" s="530">
        <v>0</v>
      </c>
      <c r="V194" s="530">
        <v>0</v>
      </c>
      <c r="W194" s="530">
        <v>0</v>
      </c>
      <c r="X194" s="490"/>
      <c r="Y194" s="969"/>
      <c r="Z194" s="969"/>
      <c r="AA194" s="969"/>
      <c r="AB194" s="969"/>
      <c r="AC194" s="969"/>
      <c r="AD194" s="969"/>
      <c r="AE194" s="969" t="str">
        <f t="shared" si="7"/>
        <v>TheewaterskloofIncome Tax</v>
      </c>
      <c r="AF194" s="969"/>
      <c r="AG194" s="969"/>
    </row>
    <row r="195" spans="2:33" ht="13.2" customHeight="1" x14ac:dyDescent="0.55000000000000004">
      <c r="B195" s="371"/>
      <c r="C195" s="1009" t="s">
        <v>779</v>
      </c>
      <c r="D195" s="361" t="str">
        <f t="shared" si="8"/>
        <v>Internal audit5000</v>
      </c>
      <c r="E195" s="360" t="str">
        <f t="shared" si="6"/>
        <v>TheewaterskloofInternal auditSurplus/(Deficit) after taxation</v>
      </c>
      <c r="F195" s="360" t="str">
        <f>'PART C- Municipal Details'!$G$7</f>
        <v>Theewaterskloof</v>
      </c>
      <c r="G195" s="360" t="s">
        <v>101</v>
      </c>
      <c r="H195" s="366" t="s">
        <v>800</v>
      </c>
      <c r="I195" s="496" t="s">
        <v>751</v>
      </c>
      <c r="J195" s="497" t="s">
        <v>777</v>
      </c>
      <c r="K195" s="490"/>
      <c r="L195" s="463" t="s">
        <v>781</v>
      </c>
      <c r="M195" s="459"/>
      <c r="N195" s="459"/>
      <c r="O195" s="459"/>
      <c r="P195" s="459"/>
      <c r="Q195" s="459"/>
      <c r="R195" s="459"/>
      <c r="S195" s="459"/>
      <c r="T195" s="459"/>
      <c r="U195" s="530">
        <v>-3436716</v>
      </c>
      <c r="V195" s="530">
        <v>-3553563</v>
      </c>
      <c r="W195" s="530">
        <v>-3667277</v>
      </c>
      <c r="X195" s="490"/>
      <c r="Y195" s="969"/>
      <c r="Z195" s="969"/>
      <c r="AA195" s="969"/>
      <c r="AB195" s="969"/>
      <c r="AC195" s="969"/>
      <c r="AD195" s="969"/>
      <c r="AE195" s="969" t="str">
        <f t="shared" si="7"/>
        <v>TheewaterskloofSurplus/(Deficit) after income tax</v>
      </c>
      <c r="AF195" s="969"/>
      <c r="AG195" s="969"/>
    </row>
    <row r="196" spans="2:33" ht="13.2" customHeight="1" x14ac:dyDescent="0.55000000000000004">
      <c r="B196" s="371"/>
      <c r="C196" s="1010" t="s">
        <v>782</v>
      </c>
      <c r="D196" s="360" t="str">
        <f t="shared" si="8"/>
        <v>Internal audit5100</v>
      </c>
      <c r="E196" s="361" t="str">
        <f t="shared" si="6"/>
        <v>TheewaterskloofInternal auditShare of Surplus/Deficit attributable to Joint Venture</v>
      </c>
      <c r="F196" s="360" t="str">
        <f>'PART C- Municipal Details'!$G$7</f>
        <v>Theewaterskloof</v>
      </c>
      <c r="G196" s="361" t="s">
        <v>101</v>
      </c>
      <c r="H196" s="363" t="s">
        <v>800</v>
      </c>
      <c r="I196" s="496" t="s">
        <v>783</v>
      </c>
      <c r="J196" s="497" t="s">
        <v>780</v>
      </c>
      <c r="K196" s="490"/>
      <c r="L196" s="463" t="s">
        <v>783</v>
      </c>
      <c r="M196" s="459"/>
      <c r="N196" s="459"/>
      <c r="O196" s="459"/>
      <c r="P196" s="459"/>
      <c r="Q196" s="459"/>
      <c r="R196" s="459"/>
      <c r="S196" s="459"/>
      <c r="T196" s="459"/>
      <c r="U196" s="530">
        <v>0</v>
      </c>
      <c r="V196" s="530">
        <v>0</v>
      </c>
      <c r="W196" s="530">
        <v>0</v>
      </c>
      <c r="X196" s="490"/>
      <c r="Y196" s="969"/>
      <c r="Z196" s="969"/>
      <c r="AA196" s="969"/>
      <c r="AB196" s="969"/>
      <c r="AC196" s="969"/>
      <c r="AD196" s="969"/>
      <c r="AE196" s="969" t="str">
        <f t="shared" si="7"/>
        <v>TheewaterskloofShare of Surplus/Deficit attributable to Joint Venture</v>
      </c>
      <c r="AF196" s="969"/>
      <c r="AG196" s="969"/>
    </row>
    <row r="197" spans="2:33" ht="13.2" customHeight="1" x14ac:dyDescent="0.55000000000000004">
      <c r="B197" s="371"/>
      <c r="C197" s="1010" t="s">
        <v>785</v>
      </c>
      <c r="D197" s="361" t="str">
        <f t="shared" si="8"/>
        <v>Internal audit5200</v>
      </c>
      <c r="E197" s="360" t="str">
        <f t="shared" si="6"/>
        <v>TheewaterskloofInternal auditAttributable to minorities</v>
      </c>
      <c r="F197" s="360" t="str">
        <f>'PART C- Municipal Details'!$G$7</f>
        <v>Theewaterskloof</v>
      </c>
      <c r="G197" s="360" t="s">
        <v>101</v>
      </c>
      <c r="H197" s="366" t="s">
        <v>800</v>
      </c>
      <c r="I197" s="496" t="s">
        <v>753</v>
      </c>
      <c r="J197" s="497" t="s">
        <v>784</v>
      </c>
      <c r="K197" s="490"/>
      <c r="L197" s="463" t="s">
        <v>787</v>
      </c>
      <c r="M197" s="459"/>
      <c r="N197" s="459"/>
      <c r="O197" s="459"/>
      <c r="P197" s="459"/>
      <c r="Q197" s="459"/>
      <c r="R197" s="459"/>
      <c r="S197" s="459"/>
      <c r="T197" s="459"/>
      <c r="U197" s="530">
        <v>0</v>
      </c>
      <c r="V197" s="530">
        <v>0</v>
      </c>
      <c r="W197" s="530">
        <v>0</v>
      </c>
      <c r="X197" s="490"/>
      <c r="Y197" s="969"/>
      <c r="Z197" s="969"/>
      <c r="AA197" s="969"/>
      <c r="AB197" s="969"/>
      <c r="AC197" s="969"/>
      <c r="AD197" s="969"/>
      <c r="AE197" s="969" t="str">
        <f t="shared" si="7"/>
        <v>TheewaterskloofShare of Surplus/Deficit attributable to Minorities</v>
      </c>
      <c r="AF197" s="969"/>
      <c r="AG197" s="969"/>
    </row>
    <row r="198" spans="2:33" ht="13.2" customHeight="1" x14ac:dyDescent="0.55000000000000004">
      <c r="B198" s="371"/>
      <c r="C198" s="1009" t="s">
        <v>788</v>
      </c>
      <c r="D198" s="360" t="str">
        <f t="shared" si="8"/>
        <v>Internal audit5300</v>
      </c>
      <c r="E198" s="361" t="str">
        <f t="shared" si="6"/>
        <v>TheewaterskloofInternal auditSurplus/(Deficit) attributable to municipality</v>
      </c>
      <c r="F198" s="360" t="str">
        <f>'PART C- Municipal Details'!$G$7</f>
        <v>Theewaterskloof</v>
      </c>
      <c r="G198" s="361" t="s">
        <v>101</v>
      </c>
      <c r="H198" s="363" t="s">
        <v>800</v>
      </c>
      <c r="I198" s="496" t="s">
        <v>756</v>
      </c>
      <c r="J198" s="497" t="s">
        <v>786</v>
      </c>
      <c r="K198" s="490"/>
      <c r="L198" s="463" t="s">
        <v>756</v>
      </c>
      <c r="M198" s="459"/>
      <c r="N198" s="459"/>
      <c r="O198" s="459"/>
      <c r="P198" s="459"/>
      <c r="Q198" s="459"/>
      <c r="R198" s="459"/>
      <c r="S198" s="459"/>
      <c r="T198" s="459"/>
      <c r="U198" s="530">
        <v>-3436716</v>
      </c>
      <c r="V198" s="530">
        <v>-3553563</v>
      </c>
      <c r="W198" s="530">
        <v>-3667277</v>
      </c>
      <c r="X198" s="490"/>
      <c r="Y198" s="969"/>
      <c r="Z198" s="969"/>
      <c r="AA198" s="969"/>
      <c r="AB198" s="969"/>
      <c r="AC198" s="969"/>
      <c r="AD198" s="969"/>
      <c r="AE198" s="969" t="str">
        <f t="shared" si="7"/>
        <v>TheewaterskloofSurplus/(Deficit) attributable to municipality</v>
      </c>
      <c r="AF198" s="969"/>
      <c r="AG198" s="969"/>
    </row>
    <row r="199" spans="2:33" ht="13.2" customHeight="1" x14ac:dyDescent="0.55000000000000004">
      <c r="B199" s="371"/>
      <c r="C199" s="1010" t="s">
        <v>790</v>
      </c>
      <c r="D199" s="361" t="str">
        <f t="shared" si="8"/>
        <v>Internal audit5400</v>
      </c>
      <c r="E199" s="360" t="str">
        <f t="shared" si="6"/>
        <v>TheewaterskloofInternal auditShare of surplus/ (deficit) of associate</v>
      </c>
      <c r="F199" s="360" t="str">
        <f>'PART C- Municipal Details'!$G$7</f>
        <v>Theewaterskloof</v>
      </c>
      <c r="G199" s="360" t="s">
        <v>101</v>
      </c>
      <c r="H199" s="366" t="s">
        <v>800</v>
      </c>
      <c r="I199" s="496" t="s">
        <v>759</v>
      </c>
      <c r="J199" s="497" t="s">
        <v>789</v>
      </c>
      <c r="K199" s="490"/>
      <c r="L199" s="463" t="s">
        <v>791</v>
      </c>
      <c r="M199" s="459"/>
      <c r="N199" s="459"/>
      <c r="O199" s="459"/>
      <c r="P199" s="459"/>
      <c r="Q199" s="459"/>
      <c r="R199" s="459"/>
      <c r="S199" s="459"/>
      <c r="T199" s="459"/>
      <c r="U199" s="530">
        <v>0</v>
      </c>
      <c r="V199" s="530">
        <v>0</v>
      </c>
      <c r="W199" s="530">
        <v>0</v>
      </c>
      <c r="X199" s="490"/>
      <c r="Y199" s="969"/>
      <c r="Z199" s="969"/>
      <c r="AA199" s="969"/>
      <c r="AB199" s="969"/>
      <c r="AC199" s="969"/>
      <c r="AD199" s="969"/>
      <c r="AE199" s="969" t="str">
        <f t="shared" si="7"/>
        <v>TheewaterskloofShare of Surplus/Deficit attributable to Associate</v>
      </c>
      <c r="AF199" s="969"/>
      <c r="AG199" s="969"/>
    </row>
    <row r="200" spans="2:33" ht="13.2" customHeight="1" x14ac:dyDescent="0.55000000000000004">
      <c r="B200" s="371"/>
      <c r="C200" s="1010" t="s">
        <v>792</v>
      </c>
      <c r="D200" s="360" t="str">
        <f t="shared" si="8"/>
        <v>Internal audit5500</v>
      </c>
      <c r="E200" s="361" t="str">
        <f t="shared" ref="E200:E264" si="9">F200&amp;H200&amp;I200</f>
        <v>TheewaterskloofInternal auditIntercompany/Parent subsidiary transactions</v>
      </c>
      <c r="F200" s="360" t="str">
        <f>'PART C- Municipal Details'!$G$7</f>
        <v>Theewaterskloof</v>
      </c>
      <c r="G200" s="361" t="s">
        <v>101</v>
      </c>
      <c r="H200" s="363" t="s">
        <v>800</v>
      </c>
      <c r="I200" s="496" t="s">
        <v>793</v>
      </c>
      <c r="J200" s="497" t="s">
        <v>789</v>
      </c>
      <c r="K200" s="490"/>
      <c r="L200" s="463" t="s">
        <v>793</v>
      </c>
      <c r="M200" s="459"/>
      <c r="N200" s="459"/>
      <c r="O200" s="459"/>
      <c r="P200" s="459"/>
      <c r="Q200" s="459"/>
      <c r="R200" s="459"/>
      <c r="S200" s="459"/>
      <c r="T200" s="459"/>
      <c r="U200" s="530">
        <v>0</v>
      </c>
      <c r="V200" s="530">
        <v>0</v>
      </c>
      <c r="W200" s="530">
        <v>0</v>
      </c>
      <c r="X200" s="490"/>
      <c r="Y200" s="969"/>
      <c r="Z200" s="969"/>
      <c r="AA200" s="969"/>
      <c r="AB200" s="969"/>
      <c r="AC200" s="969"/>
      <c r="AD200" s="969"/>
      <c r="AE200" s="969" t="str">
        <f t="shared" ref="AE200:AE264" si="10">F200&amp;L200</f>
        <v>TheewaterskloofIntercompany/Parent subsidiary transactions</v>
      </c>
      <c r="AF200" s="969"/>
      <c r="AG200" s="969"/>
    </row>
    <row r="201" spans="2:33" ht="13.2" customHeight="1" x14ac:dyDescent="0.55000000000000004">
      <c r="B201" s="371"/>
      <c r="C201" s="1009" t="s">
        <v>794</v>
      </c>
      <c r="D201" s="361" t="str">
        <f t="shared" si="8"/>
        <v>Internal audit5600</v>
      </c>
      <c r="E201" s="360" t="str">
        <f t="shared" si="9"/>
        <v>TheewaterskloofInternal auditSurplus/(Deficit) for the year</v>
      </c>
      <c r="F201" s="360" t="str">
        <f>'PART C- Municipal Details'!$G$7</f>
        <v>Theewaterskloof</v>
      </c>
      <c r="G201" s="360" t="s">
        <v>101</v>
      </c>
      <c r="H201" s="366" t="s">
        <v>800</v>
      </c>
      <c r="I201" s="496" t="s">
        <v>762</v>
      </c>
      <c r="J201" s="497" t="s">
        <v>789</v>
      </c>
      <c r="K201" s="490"/>
      <c r="L201" s="508" t="s">
        <v>762</v>
      </c>
      <c r="M201" s="509"/>
      <c r="N201" s="510"/>
      <c r="O201" s="510"/>
      <c r="P201" s="510"/>
      <c r="Q201" s="510"/>
      <c r="R201" s="510"/>
      <c r="S201" s="510"/>
      <c r="T201" s="511"/>
      <c r="U201" s="530">
        <v>0</v>
      </c>
      <c r="V201" s="530">
        <v>0</v>
      </c>
      <c r="W201" s="530">
        <v>0</v>
      </c>
      <c r="X201" s="490"/>
      <c r="Y201" s="969"/>
      <c r="Z201" s="969"/>
      <c r="AA201" s="969"/>
      <c r="AB201" s="969"/>
      <c r="AC201" s="969"/>
      <c r="AD201" s="969"/>
      <c r="AE201" s="969" t="str">
        <f t="shared" si="10"/>
        <v>TheewaterskloofSurplus/(Deficit) for the year</v>
      </c>
      <c r="AF201" s="969"/>
      <c r="AG201" s="969"/>
    </row>
    <row r="202" spans="2:33" ht="13.2" customHeight="1" x14ac:dyDescent="0.55000000000000004">
      <c r="B202" s="371"/>
      <c r="C202" s="1011">
        <v>55555</v>
      </c>
      <c r="D202" s="360" t="str">
        <f t="shared" si="8"/>
        <v>Internal audit55555</v>
      </c>
      <c r="E202" s="361" t="str">
        <f t="shared" si="9"/>
        <v>TheewaterskloofInternal auditReferences</v>
      </c>
      <c r="F202" s="360" t="str">
        <f>'PART C- Municipal Details'!$G$7</f>
        <v>Theewaterskloof</v>
      </c>
      <c r="G202" s="361" t="s">
        <v>101</v>
      </c>
      <c r="H202" s="363" t="s">
        <v>800</v>
      </c>
      <c r="I202" s="496" t="s">
        <v>765</v>
      </c>
      <c r="J202" s="497" t="s">
        <v>789</v>
      </c>
      <c r="K202" s="490"/>
      <c r="L202" s="474" t="s">
        <v>765</v>
      </c>
      <c r="M202" s="475"/>
      <c r="N202" s="476"/>
      <c r="O202" s="476"/>
      <c r="P202" s="476"/>
      <c r="Q202" s="476"/>
      <c r="R202" s="476"/>
      <c r="S202" s="476"/>
      <c r="T202" s="477"/>
      <c r="U202" s="530">
        <v>0</v>
      </c>
      <c r="V202" s="530">
        <v>0</v>
      </c>
      <c r="W202" s="530">
        <v>0</v>
      </c>
      <c r="X202" s="490"/>
      <c r="Y202" s="969"/>
      <c r="Z202" s="969"/>
      <c r="AA202" s="969"/>
      <c r="AB202" s="969"/>
      <c r="AC202" s="969"/>
      <c r="AD202" s="969"/>
      <c r="AE202" s="969" t="str">
        <f t="shared" si="10"/>
        <v>TheewaterskloofReferences</v>
      </c>
      <c r="AF202" s="969"/>
      <c r="AG202" s="969"/>
    </row>
    <row r="203" spans="2:33" ht="13.2" customHeight="1" x14ac:dyDescent="0.55000000000000004">
      <c r="B203" s="371"/>
      <c r="C203" s="1011">
        <v>55555</v>
      </c>
      <c r="D203" s="361" t="str">
        <f t="shared" ref="D203:D267" si="11">H203&amp;C203</f>
        <v>Internal audit55555</v>
      </c>
      <c r="E203" s="360" t="str">
        <f t="shared" si="9"/>
        <v>TheewaterskloofInternal audit1. Classifications are revenue sources and expenditure type</v>
      </c>
      <c r="F203" s="360" t="str">
        <f>'PART C- Municipal Details'!$G$7</f>
        <v>Theewaterskloof</v>
      </c>
      <c r="G203" s="360" t="s">
        <v>101</v>
      </c>
      <c r="H203" s="366" t="s">
        <v>800</v>
      </c>
      <c r="I203" s="496" t="s">
        <v>767</v>
      </c>
      <c r="J203" s="497" t="s">
        <v>789</v>
      </c>
      <c r="K203" s="490"/>
      <c r="L203" s="465" t="s">
        <v>767</v>
      </c>
      <c r="M203" s="472"/>
      <c r="N203" s="473"/>
      <c r="O203" s="473"/>
      <c r="P203" s="473"/>
      <c r="Q203" s="473"/>
      <c r="R203" s="473"/>
      <c r="S203" s="473"/>
      <c r="T203" s="478"/>
      <c r="U203" s="530">
        <v>0</v>
      </c>
      <c r="V203" s="530">
        <v>0</v>
      </c>
      <c r="W203" s="530">
        <v>0</v>
      </c>
      <c r="X203" s="490"/>
      <c r="Y203" s="969"/>
      <c r="Z203" s="969"/>
      <c r="AA203" s="969"/>
      <c r="AB203" s="969"/>
      <c r="AC203" s="969"/>
      <c r="AD203" s="969"/>
      <c r="AE203" s="969" t="str">
        <f t="shared" si="10"/>
        <v>Theewaterskloof1. Classifications are revenue sources and expenditure type</v>
      </c>
      <c r="AF203" s="969"/>
      <c r="AG203" s="969"/>
    </row>
    <row r="204" spans="2:33" ht="13.2" customHeight="1" x14ac:dyDescent="0.55000000000000004">
      <c r="B204" s="371"/>
      <c r="C204" s="1011">
        <v>55555</v>
      </c>
      <c r="D204" s="360" t="str">
        <f t="shared" si="11"/>
        <v>Internal audit55555</v>
      </c>
      <c r="E204" s="361" t="str">
        <f t="shared" si="9"/>
        <v>TheewaterskloofInternal audit2. Detail to be provided in Table SA1</v>
      </c>
      <c r="F204" s="360" t="str">
        <f>'PART C- Municipal Details'!$G$7</f>
        <v>Theewaterskloof</v>
      </c>
      <c r="G204" s="361" t="s">
        <v>101</v>
      </c>
      <c r="H204" s="363" t="s">
        <v>800</v>
      </c>
      <c r="I204" s="496" t="s">
        <v>769</v>
      </c>
      <c r="J204" s="497" t="s">
        <v>789</v>
      </c>
      <c r="K204" s="490"/>
      <c r="L204" s="465" t="s">
        <v>769</v>
      </c>
      <c r="M204" s="472"/>
      <c r="N204" s="473"/>
      <c r="O204" s="473"/>
      <c r="P204" s="473"/>
      <c r="Q204" s="473"/>
      <c r="R204" s="473"/>
      <c r="S204" s="473"/>
      <c r="T204" s="478"/>
      <c r="U204" s="530">
        <v>0</v>
      </c>
      <c r="V204" s="530">
        <v>0</v>
      </c>
      <c r="W204" s="530">
        <v>0</v>
      </c>
      <c r="X204" s="490"/>
      <c r="Y204" s="969"/>
      <c r="Z204" s="969"/>
      <c r="AA204" s="969"/>
      <c r="AB204" s="969"/>
      <c r="AC204" s="969"/>
      <c r="AD204" s="969"/>
      <c r="AE204" s="969" t="str">
        <f t="shared" si="10"/>
        <v>Theewaterskloof2. Detail to be provided in Table SA1</v>
      </c>
      <c r="AF204" s="969"/>
      <c r="AG204" s="969"/>
    </row>
    <row r="205" spans="2:33" ht="13.2" customHeight="1" x14ac:dyDescent="0.55000000000000004">
      <c r="B205" s="371"/>
      <c r="C205" s="1011">
        <v>55555</v>
      </c>
      <c r="D205" s="361" t="str">
        <f t="shared" si="11"/>
        <v>Internal audit55555</v>
      </c>
      <c r="E205" s="360" t="str">
        <f t="shared" si="9"/>
        <v>TheewaterskloofInternal audit3. Debt impairment includes Impairment and Reversal of Impairment Losses</v>
      </c>
      <c r="F205" s="360" t="str">
        <f>'PART C- Municipal Details'!$G$7</f>
        <v>Theewaterskloof</v>
      </c>
      <c r="G205" s="360" t="s">
        <v>101</v>
      </c>
      <c r="H205" s="366" t="s">
        <v>800</v>
      </c>
      <c r="I205" s="496" t="s">
        <v>795</v>
      </c>
      <c r="J205" s="497" t="s">
        <v>789</v>
      </c>
      <c r="K205" s="490"/>
      <c r="L205" s="465" t="s">
        <v>795</v>
      </c>
      <c r="M205" s="472"/>
      <c r="N205" s="473"/>
      <c r="O205" s="473"/>
      <c r="P205" s="473"/>
      <c r="Q205" s="473"/>
      <c r="R205" s="473"/>
      <c r="S205" s="473"/>
      <c r="T205" s="478"/>
      <c r="U205" s="530">
        <v>0</v>
      </c>
      <c r="V205" s="530">
        <v>0</v>
      </c>
      <c r="W205" s="530">
        <v>0</v>
      </c>
      <c r="X205" s="490"/>
      <c r="Y205" s="969"/>
      <c r="Z205" s="969"/>
      <c r="AA205" s="969"/>
      <c r="AB205" s="969"/>
      <c r="AC205" s="969"/>
      <c r="AD205" s="969"/>
      <c r="AE205" s="969" t="str">
        <f t="shared" si="10"/>
        <v>Theewaterskloof3. Debt impairment includes Impairment and Reversal of Impairment Losses</v>
      </c>
      <c r="AF205" s="969"/>
      <c r="AG205" s="969"/>
    </row>
    <row r="206" spans="2:33" ht="13.2" customHeight="1" x14ac:dyDescent="0.55000000000000004">
      <c r="B206" s="371"/>
      <c r="C206" s="1011">
        <v>55555</v>
      </c>
      <c r="D206" s="360" t="str">
        <f t="shared" si="11"/>
        <v>Internal audit55555</v>
      </c>
      <c r="E206" s="361" t="str">
        <f t="shared" si="9"/>
        <v>TheewaterskloofInternal audit4. Expenditure type components previously shown under repairs and maintenance should be allocated back to the originating expenditure group/item; e.g. employee costs</v>
      </c>
      <c r="F206" s="360" t="str">
        <f>'PART C- Municipal Details'!$G$7</f>
        <v>Theewaterskloof</v>
      </c>
      <c r="G206" s="361" t="s">
        <v>101</v>
      </c>
      <c r="H206" s="363" t="s">
        <v>800</v>
      </c>
      <c r="I206" s="496" t="s">
        <v>775</v>
      </c>
      <c r="J206" s="497" t="s">
        <v>789</v>
      </c>
      <c r="K206" s="490"/>
      <c r="L206" s="465" t="s">
        <v>775</v>
      </c>
      <c r="M206" s="472"/>
      <c r="N206" s="473"/>
      <c r="O206" s="473"/>
      <c r="P206" s="473"/>
      <c r="Q206" s="473"/>
      <c r="R206" s="473"/>
      <c r="S206" s="473"/>
      <c r="T206" s="478"/>
      <c r="U206" s="530">
        <v>0</v>
      </c>
      <c r="V206" s="530">
        <v>0</v>
      </c>
      <c r="W206" s="530">
        <v>0</v>
      </c>
      <c r="X206" s="490"/>
      <c r="Y206" s="969"/>
      <c r="Z206" s="969"/>
      <c r="AA206" s="969"/>
      <c r="AB206" s="969"/>
      <c r="AC206" s="969"/>
      <c r="AD206" s="969"/>
      <c r="AE206" s="969" t="str">
        <f t="shared" si="10"/>
        <v>Theewaterskloof4. Expenditure type components previously shown under repairs and maintenance should be allocated back to the originating expenditure group/item; e.g. employee costs</v>
      </c>
      <c r="AF206" s="969"/>
      <c r="AG206" s="969"/>
    </row>
    <row r="207" spans="2:33" ht="13.2" customHeight="1" x14ac:dyDescent="0.55000000000000004">
      <c r="B207" s="371"/>
      <c r="C207" s="1011">
        <v>55555</v>
      </c>
      <c r="D207" s="361" t="str">
        <f t="shared" si="11"/>
        <v>Internal audit55555</v>
      </c>
      <c r="E207" s="360" t="str">
        <f t="shared" si="9"/>
        <v>TheewaterskloofInternal audit5. Repairs &amp; maintenance detailed in Table A9 and Table SA34c</v>
      </c>
      <c r="F207" s="360" t="str">
        <f>'PART C- Municipal Details'!$G$7</f>
        <v>Theewaterskloof</v>
      </c>
      <c r="G207" s="360" t="s">
        <v>101</v>
      </c>
      <c r="H207" s="366" t="s">
        <v>800</v>
      </c>
      <c r="I207" s="496" t="s">
        <v>777</v>
      </c>
      <c r="J207" s="497" t="s">
        <v>789</v>
      </c>
      <c r="K207" s="490"/>
      <c r="L207" s="465" t="s">
        <v>777</v>
      </c>
      <c r="M207" s="472"/>
      <c r="N207" s="473"/>
      <c r="O207" s="473"/>
      <c r="P207" s="473"/>
      <c r="Q207" s="473"/>
      <c r="R207" s="473"/>
      <c r="S207" s="473"/>
      <c r="T207" s="478"/>
      <c r="U207" s="530">
        <v>0</v>
      </c>
      <c r="V207" s="530">
        <v>0</v>
      </c>
      <c r="W207" s="530">
        <v>0</v>
      </c>
      <c r="X207" s="490"/>
      <c r="Y207" s="969"/>
      <c r="Z207" s="969"/>
      <c r="AA207" s="969"/>
      <c r="AB207" s="969"/>
      <c r="AC207" s="969"/>
      <c r="AD207" s="969"/>
      <c r="AE207" s="969" t="str">
        <f t="shared" si="10"/>
        <v>Theewaterskloof5. Repairs &amp; maintenance detailed in Table A9 and Table SA34c</v>
      </c>
      <c r="AF207" s="969"/>
      <c r="AG207" s="969"/>
    </row>
    <row r="208" spans="2:33" ht="13.2" customHeight="1" x14ac:dyDescent="0.55000000000000004">
      <c r="B208" s="371"/>
      <c r="C208" s="1011">
        <v>55555</v>
      </c>
      <c r="D208" s="360" t="str">
        <f t="shared" si="11"/>
        <v>Internal audit55555</v>
      </c>
      <c r="E208" s="361" t="str">
        <f t="shared" si="9"/>
        <v>TheewaterskloofInternal audit6. Contributions are funds provided by external organisations to assist with infrastructure development; e.g. developer contributions (detail to be provided in Table SA1)</v>
      </c>
      <c r="F208" s="360" t="str">
        <f>'PART C- Municipal Details'!$G$7</f>
        <v>Theewaterskloof</v>
      </c>
      <c r="G208" s="361" t="s">
        <v>101</v>
      </c>
      <c r="H208" s="363" t="s">
        <v>800</v>
      </c>
      <c r="I208" s="496" t="s">
        <v>780</v>
      </c>
      <c r="J208" s="497" t="s">
        <v>789</v>
      </c>
      <c r="K208" s="490"/>
      <c r="L208" s="465" t="s">
        <v>780</v>
      </c>
      <c r="M208" s="472"/>
      <c r="N208" s="473"/>
      <c r="O208" s="473"/>
      <c r="P208" s="473"/>
      <c r="Q208" s="473"/>
      <c r="R208" s="473"/>
      <c r="S208" s="473"/>
      <c r="T208" s="478"/>
      <c r="U208" s="530">
        <v>0</v>
      </c>
      <c r="V208" s="530">
        <v>0</v>
      </c>
      <c r="W208" s="530">
        <v>0</v>
      </c>
      <c r="X208" s="490"/>
      <c r="Y208" s="969"/>
      <c r="Z208" s="969"/>
      <c r="AA208" s="969"/>
      <c r="AB208" s="969"/>
      <c r="AC208" s="969"/>
      <c r="AD208" s="969"/>
      <c r="AE208" s="969" t="str">
        <f t="shared" si="10"/>
        <v>Theewaterskloof6. Contributions are funds provided by external organisations to assist with infrastructure development; e.g. developer contributions (detail to be provided in Table SA1)</v>
      </c>
      <c r="AF208" s="969"/>
      <c r="AG208" s="969"/>
    </row>
    <row r="209" spans="2:33" ht="13.2" customHeight="1" x14ac:dyDescent="0.55000000000000004">
      <c r="B209" s="371"/>
      <c r="C209" s="1011">
        <v>55555</v>
      </c>
      <c r="D209" s="361" t="str">
        <f t="shared" si="11"/>
        <v>Internal audit55555</v>
      </c>
      <c r="E209" s="360" t="str">
        <f t="shared" si="9"/>
        <v>TheewaterskloofInternal audit7. Equity method ( Includes Joint Ventures)</v>
      </c>
      <c r="F209" s="360" t="str">
        <f>'PART C- Municipal Details'!$G$7</f>
        <v>Theewaterskloof</v>
      </c>
      <c r="G209" s="360" t="s">
        <v>101</v>
      </c>
      <c r="H209" s="366" t="s">
        <v>800</v>
      </c>
      <c r="I209" s="496" t="s">
        <v>796</v>
      </c>
      <c r="J209" s="497" t="s">
        <v>789</v>
      </c>
      <c r="K209" s="490"/>
      <c r="L209" s="479" t="s">
        <v>796</v>
      </c>
      <c r="M209" s="480"/>
      <c r="N209" s="481"/>
      <c r="O209" s="481"/>
      <c r="P209" s="481"/>
      <c r="Q209" s="481"/>
      <c r="R209" s="481"/>
      <c r="S209" s="481"/>
      <c r="T209" s="482"/>
      <c r="U209" s="530">
        <v>0</v>
      </c>
      <c r="V209" s="530">
        <v>0</v>
      </c>
      <c r="W209" s="530">
        <v>0</v>
      </c>
      <c r="X209" s="490"/>
      <c r="Y209" s="969"/>
      <c r="Z209" s="969"/>
      <c r="AA209" s="969"/>
      <c r="AB209" s="969"/>
      <c r="AC209" s="969"/>
      <c r="AD209" s="969"/>
      <c r="AE209" s="969" t="str">
        <f t="shared" si="10"/>
        <v>Theewaterskloof7. Equity method ( Includes Joint Ventures)</v>
      </c>
      <c r="AF209" s="969"/>
      <c r="AG209" s="969"/>
    </row>
    <row r="210" spans="2:33" ht="13.2" customHeight="1" x14ac:dyDescent="0.55000000000000004">
      <c r="B210" s="371"/>
      <c r="C210" s="1011">
        <v>55555</v>
      </c>
      <c r="D210" s="360" t="str">
        <f t="shared" si="11"/>
        <v>Internal audit55555</v>
      </c>
      <c r="E210" s="361" t="str">
        <f t="shared" si="9"/>
        <v>TheewaterskloofInternal audit8. All materials consumed including water consumed and materials used in operations.</v>
      </c>
      <c r="F210" s="360" t="str">
        <f>'PART C- Municipal Details'!$G$7</f>
        <v>Theewaterskloof</v>
      </c>
      <c r="G210" s="361" t="s">
        <v>101</v>
      </c>
      <c r="H210" s="363" t="s">
        <v>800</v>
      </c>
      <c r="I210" s="496" t="s">
        <v>797</v>
      </c>
      <c r="J210" s="497" t="s">
        <v>789</v>
      </c>
      <c r="K210" s="490"/>
      <c r="L210" s="501"/>
      <c r="M210" s="502"/>
      <c r="N210" s="503"/>
      <c r="O210" s="503"/>
      <c r="P210" s="503"/>
      <c r="Q210" s="503"/>
      <c r="R210" s="503"/>
      <c r="S210" s="503"/>
      <c r="T210" s="503"/>
      <c r="U210" s="504"/>
      <c r="V210" s="504"/>
      <c r="W210" s="504"/>
      <c r="X210" s="490"/>
      <c r="Y210" s="969"/>
      <c r="Z210" s="969"/>
      <c r="AA210" s="969"/>
      <c r="AB210" s="969"/>
      <c r="AC210" s="969"/>
      <c r="AD210" s="969"/>
      <c r="AE210" s="969" t="str">
        <f t="shared" si="10"/>
        <v>Theewaterskloof</v>
      </c>
      <c r="AF210" s="969"/>
      <c r="AG210" s="969"/>
    </row>
    <row r="211" spans="2:33" ht="13.2" customHeight="1" x14ac:dyDescent="0.55000000000000004">
      <c r="B211" s="371"/>
      <c r="C211" s="1011">
        <v>55555</v>
      </c>
      <c r="D211" s="361" t="str">
        <f t="shared" si="11"/>
        <v>55555</v>
      </c>
      <c r="E211" s="360" t="str">
        <f t="shared" si="9"/>
        <v>TheewaterskloofX</v>
      </c>
      <c r="F211" s="360" t="str">
        <f>'PART C- Municipal Details'!$G$7</f>
        <v>Theewaterskloof</v>
      </c>
      <c r="G211" s="360" t="s">
        <v>101</v>
      </c>
      <c r="H211" s="366"/>
      <c r="I211" s="496" t="s">
        <v>647</v>
      </c>
      <c r="J211" s="497"/>
      <c r="K211" s="490"/>
      <c r="L211" s="516"/>
      <c r="M211" s="517"/>
      <c r="N211" s="515"/>
      <c r="O211" s="515"/>
      <c r="P211" s="515"/>
      <c r="Q211" s="515"/>
      <c r="R211" s="515"/>
      <c r="S211" s="515"/>
      <c r="T211" s="515"/>
      <c r="U211" s="517"/>
      <c r="V211" s="517"/>
      <c r="W211" s="517"/>
      <c r="X211" s="490"/>
      <c r="Y211" s="969"/>
      <c r="Z211" s="969"/>
      <c r="AA211" s="969"/>
      <c r="AB211" s="969"/>
      <c r="AC211" s="969"/>
      <c r="AD211" s="969"/>
      <c r="AE211" s="969" t="str">
        <f t="shared" si="10"/>
        <v>Theewaterskloof</v>
      </c>
      <c r="AF211" s="969"/>
      <c r="AG211" s="969"/>
    </row>
    <row r="212" spans="2:33" ht="13.2" customHeight="1" x14ac:dyDescent="0.55000000000000004">
      <c r="B212" s="371"/>
      <c r="C212" s="1011">
        <v>55555</v>
      </c>
      <c r="D212" s="360" t="str">
        <f t="shared" si="11"/>
        <v>Community and social services55555</v>
      </c>
      <c r="E212" s="360" t="str">
        <f t="shared" si="9"/>
        <v>TheewaterskloofCommunity and social serviceszz</v>
      </c>
      <c r="F212" s="360" t="str">
        <f>'PART C- Municipal Details'!$G$7</f>
        <v>Theewaterskloof</v>
      </c>
      <c r="G212" s="360" t="s">
        <v>803</v>
      </c>
      <c r="H212" s="366" t="s">
        <v>804</v>
      </c>
      <c r="I212" s="496" t="s">
        <v>801</v>
      </c>
      <c r="J212" s="497" t="s">
        <v>651</v>
      </c>
      <c r="K212" s="490"/>
      <c r="L212" s="462" t="s">
        <v>651</v>
      </c>
      <c r="M212" s="362" t="s">
        <v>652</v>
      </c>
      <c r="N212" s="466" t="s">
        <v>653</v>
      </c>
      <c r="O212" s="466" t="s">
        <v>654</v>
      </c>
      <c r="P212" s="467" t="s">
        <v>655</v>
      </c>
      <c r="Q212" s="483" t="s">
        <v>656</v>
      </c>
      <c r="R212" s="468"/>
      <c r="S212" s="468"/>
      <c r="T212" s="467"/>
      <c r="U212" s="527" t="s">
        <v>657</v>
      </c>
      <c r="V212" s="527" t="s">
        <v>657</v>
      </c>
      <c r="W212" s="527" t="s">
        <v>657</v>
      </c>
      <c r="X212" s="490"/>
      <c r="Y212" s="969"/>
      <c r="Z212" s="969"/>
      <c r="AA212" s="969"/>
      <c r="AB212" s="969"/>
      <c r="AC212" s="969"/>
      <c r="AD212" s="969"/>
      <c r="AE212" s="969" t="str">
        <f t="shared" si="10"/>
        <v>TheewaterskloofDescription</v>
      </c>
      <c r="AF212" s="969"/>
      <c r="AG212" s="969"/>
    </row>
    <row r="213" spans="2:33" ht="13.2" customHeight="1" thickBot="1" x14ac:dyDescent="0.6">
      <c r="B213" s="371"/>
      <c r="C213" s="1011">
        <v>55555</v>
      </c>
      <c r="D213" s="361" t="str">
        <f t="shared" si="11"/>
        <v>Community and social services55555</v>
      </c>
      <c r="E213" s="361" t="str">
        <f t="shared" si="9"/>
        <v>TheewaterskloofCommunity and social servicesz</v>
      </c>
      <c r="F213" s="360" t="str">
        <f>'PART C- Municipal Details'!$G$7</f>
        <v>Theewaterskloof</v>
      </c>
      <c r="G213" s="361" t="s">
        <v>803</v>
      </c>
      <c r="H213" s="363" t="s">
        <v>804</v>
      </c>
      <c r="I213" s="496" t="s">
        <v>802</v>
      </c>
      <c r="J213" s="497" t="s">
        <v>650</v>
      </c>
      <c r="K213" s="490"/>
      <c r="L213" s="365" t="s">
        <v>659</v>
      </c>
      <c r="M213" s="364" t="s">
        <v>660</v>
      </c>
      <c r="N213" s="469" t="s">
        <v>661</v>
      </c>
      <c r="O213" s="469" t="s">
        <v>661</v>
      </c>
      <c r="P213" s="470" t="s">
        <v>661</v>
      </c>
      <c r="Q213" s="471" t="s">
        <v>662</v>
      </c>
      <c r="R213" s="469" t="s">
        <v>663</v>
      </c>
      <c r="S213" s="469" t="s">
        <v>664</v>
      </c>
      <c r="T213" s="470" t="s">
        <v>665</v>
      </c>
      <c r="U213" s="528" t="s">
        <v>666</v>
      </c>
      <c r="V213" s="528" t="s">
        <v>666</v>
      </c>
      <c r="W213" s="528" t="s">
        <v>666</v>
      </c>
      <c r="X213" s="490"/>
      <c r="Y213" s="969"/>
      <c r="Z213" s="969"/>
      <c r="AA213" s="969"/>
      <c r="AB213" s="969"/>
      <c r="AC213" s="969"/>
      <c r="AD213" s="969"/>
      <c r="AE213" s="969" t="str">
        <f t="shared" si="10"/>
        <v>TheewaterskloofR thousands</v>
      </c>
      <c r="AF213" s="969"/>
      <c r="AG213" s="969"/>
    </row>
    <row r="214" spans="2:33" ht="13.2" customHeight="1" x14ac:dyDescent="0.55000000000000004">
      <c r="B214" s="371"/>
      <c r="C214" s="1008" t="s">
        <v>667</v>
      </c>
      <c r="D214" s="360" t="str">
        <f t="shared" si="11"/>
        <v>Community and social services0100</v>
      </c>
      <c r="E214" s="360" t="str">
        <f t="shared" si="9"/>
        <v>TheewaterskloofCommunity and social servicesz</v>
      </c>
      <c r="F214" s="360" t="str">
        <f>'PART C- Municipal Details'!$G$7</f>
        <v>Theewaterskloof</v>
      </c>
      <c r="G214" s="360" t="s">
        <v>803</v>
      </c>
      <c r="H214" s="366" t="s">
        <v>804</v>
      </c>
      <c r="I214" s="496" t="s">
        <v>802</v>
      </c>
      <c r="J214" s="497" t="s">
        <v>658</v>
      </c>
      <c r="K214" s="490"/>
      <c r="L214" s="505" t="s">
        <v>162</v>
      </c>
      <c r="M214" s="506"/>
      <c r="N214" s="507"/>
      <c r="O214" s="507"/>
      <c r="P214" s="507"/>
      <c r="Q214" s="507"/>
      <c r="R214" s="507"/>
      <c r="S214" s="507"/>
      <c r="T214" s="507"/>
      <c r="U214" s="529">
        <v>0</v>
      </c>
      <c r="V214" s="529">
        <v>0</v>
      </c>
      <c r="W214" s="529">
        <v>0</v>
      </c>
      <c r="X214" s="490"/>
      <c r="Y214" s="969"/>
      <c r="Z214" s="969"/>
      <c r="AA214" s="969"/>
      <c r="AB214" s="969"/>
      <c r="AC214" s="969"/>
      <c r="AD214" s="969"/>
      <c r="AE214" s="969" t="str">
        <f t="shared" si="10"/>
        <v>TheewaterskloofRevenue</v>
      </c>
      <c r="AF214" s="969"/>
      <c r="AG214" s="969"/>
    </row>
    <row r="215" spans="2:33" ht="13.2" customHeight="1" x14ac:dyDescent="0.55000000000000004">
      <c r="B215" s="371"/>
      <c r="C215" s="1009" t="s">
        <v>668</v>
      </c>
      <c r="D215" s="361" t="str">
        <f t="shared" si="11"/>
        <v>Community and social services0200</v>
      </c>
      <c r="E215" s="361" t="str">
        <f t="shared" si="9"/>
        <v>TheewaterskloofCommunity and social servicesz</v>
      </c>
      <c r="F215" s="360" t="str">
        <f>'PART C- Municipal Details'!$G$7</f>
        <v>Theewaterskloof</v>
      </c>
      <c r="G215" s="361" t="s">
        <v>803</v>
      </c>
      <c r="H215" s="363" t="s">
        <v>804</v>
      </c>
      <c r="I215" s="496" t="s">
        <v>802</v>
      </c>
      <c r="J215" s="497" t="s">
        <v>0</v>
      </c>
      <c r="K215" s="490"/>
      <c r="L215" s="463" t="s">
        <v>670</v>
      </c>
      <c r="M215" s="459"/>
      <c r="N215" s="460"/>
      <c r="O215" s="460"/>
      <c r="P215" s="460"/>
      <c r="Q215" s="460"/>
      <c r="R215" s="460"/>
      <c r="S215" s="460"/>
      <c r="T215" s="460"/>
      <c r="U215" s="530">
        <v>0</v>
      </c>
      <c r="V215" s="530">
        <v>0</v>
      </c>
      <c r="W215" s="530">
        <v>0</v>
      </c>
      <c r="X215" s="490"/>
      <c r="Y215" s="969"/>
      <c r="Z215" s="969"/>
      <c r="AA215" s="969"/>
      <c r="AB215" s="969"/>
      <c r="AC215" s="969"/>
      <c r="AD215" s="969"/>
      <c r="AE215" s="969" t="str">
        <f t="shared" si="10"/>
        <v>TheewaterskloofExchange Revenue</v>
      </c>
      <c r="AF215" s="975"/>
      <c r="AG215" s="976"/>
    </row>
    <row r="216" spans="2:33" ht="13.2" customHeight="1" x14ac:dyDescent="0.55000000000000004">
      <c r="B216" s="371"/>
      <c r="C216" s="1010" t="s">
        <v>671</v>
      </c>
      <c r="D216" s="360" t="str">
        <f t="shared" si="11"/>
        <v>Community and social services0300</v>
      </c>
      <c r="E216" s="360" t="str">
        <f t="shared" si="9"/>
        <v>TheewaterskloofCommunity and social servicesService charges - electricity revenue</v>
      </c>
      <c r="F216" s="360" t="str">
        <f>'PART C- Municipal Details'!$G$7</f>
        <v>Theewaterskloof</v>
      </c>
      <c r="G216" s="360" t="s">
        <v>803</v>
      </c>
      <c r="H216" s="366" t="s">
        <v>804</v>
      </c>
      <c r="I216" s="496" t="s">
        <v>669</v>
      </c>
      <c r="J216" s="497" t="s">
        <v>669</v>
      </c>
      <c r="K216" s="490"/>
      <c r="L216" s="463" t="s">
        <v>673</v>
      </c>
      <c r="M216" s="459"/>
      <c r="N216" s="461"/>
      <c r="O216" s="461"/>
      <c r="P216" s="461"/>
      <c r="Q216" s="461"/>
      <c r="R216" s="461"/>
      <c r="S216" s="461"/>
      <c r="T216" s="461"/>
      <c r="U216" s="530">
        <v>0</v>
      </c>
      <c r="V216" s="530">
        <v>0</v>
      </c>
      <c r="W216" s="530">
        <v>0</v>
      </c>
      <c r="X216" s="490"/>
      <c r="Y216" s="969"/>
      <c r="Z216" s="969"/>
      <c r="AA216" s="969"/>
      <c r="AB216" s="969"/>
      <c r="AC216" s="969"/>
      <c r="AD216" s="969"/>
      <c r="AE216" s="969" t="str">
        <f t="shared" si="10"/>
        <v>TheewaterskloofService charges - Electricity</v>
      </c>
      <c r="AF216" s="975"/>
      <c r="AG216" s="976"/>
    </row>
    <row r="217" spans="2:33" ht="13.2" customHeight="1" x14ac:dyDescent="0.55000000000000004">
      <c r="B217" s="371"/>
      <c r="C217" s="1010" t="s">
        <v>674</v>
      </c>
      <c r="D217" s="361" t="str">
        <f t="shared" si="11"/>
        <v>Community and social services0400</v>
      </c>
      <c r="E217" s="361" t="str">
        <f t="shared" si="9"/>
        <v>TheewaterskloofCommunity and social servicesService charges - water revenue</v>
      </c>
      <c r="F217" s="360" t="str">
        <f>'PART C- Municipal Details'!$G$7</f>
        <v>Theewaterskloof</v>
      </c>
      <c r="G217" s="361" t="s">
        <v>803</v>
      </c>
      <c r="H217" s="363" t="s">
        <v>804</v>
      </c>
      <c r="I217" s="496" t="s">
        <v>672</v>
      </c>
      <c r="J217" s="497" t="s">
        <v>672</v>
      </c>
      <c r="K217" s="490"/>
      <c r="L217" s="463" t="s">
        <v>676</v>
      </c>
      <c r="M217" s="459"/>
      <c r="N217" s="461"/>
      <c r="O217" s="461"/>
      <c r="P217" s="461"/>
      <c r="Q217" s="461"/>
      <c r="R217" s="461"/>
      <c r="S217" s="461"/>
      <c r="T217" s="461"/>
      <c r="U217" s="530">
        <v>0</v>
      </c>
      <c r="V217" s="530">
        <v>0</v>
      </c>
      <c r="W217" s="530">
        <v>0</v>
      </c>
      <c r="X217" s="490"/>
      <c r="Y217" s="969"/>
      <c r="Z217" s="969"/>
      <c r="AA217" s="969"/>
      <c r="AB217" s="969"/>
      <c r="AC217" s="969"/>
      <c r="AD217" s="969"/>
      <c r="AE217" s="969" t="str">
        <f t="shared" si="10"/>
        <v>TheewaterskloofService charges - Water</v>
      </c>
      <c r="AF217" s="975"/>
      <c r="AG217" s="976"/>
    </row>
    <row r="218" spans="2:33" ht="13.2" customHeight="1" x14ac:dyDescent="0.55000000000000004">
      <c r="B218" s="371"/>
      <c r="C218" s="1010" t="s">
        <v>677</v>
      </c>
      <c r="D218" s="360" t="str">
        <f t="shared" si="11"/>
        <v>Community and social services0500</v>
      </c>
      <c r="E218" s="360" t="str">
        <f t="shared" si="9"/>
        <v>TheewaterskloofCommunity and social servicesService charges - sanitation revenue</v>
      </c>
      <c r="F218" s="360" t="str">
        <f>'PART C- Municipal Details'!$G$7</f>
        <v>Theewaterskloof</v>
      </c>
      <c r="G218" s="360" t="s">
        <v>803</v>
      </c>
      <c r="H218" s="366" t="s">
        <v>804</v>
      </c>
      <c r="I218" s="496" t="s">
        <v>675</v>
      </c>
      <c r="J218" s="497" t="s">
        <v>675</v>
      </c>
      <c r="K218" s="490"/>
      <c r="L218" s="463" t="s">
        <v>679</v>
      </c>
      <c r="M218" s="459"/>
      <c r="N218" s="461"/>
      <c r="O218" s="461"/>
      <c r="P218" s="461"/>
      <c r="Q218" s="461"/>
      <c r="R218" s="461"/>
      <c r="S218" s="461"/>
      <c r="T218" s="461"/>
      <c r="U218" s="530">
        <v>0</v>
      </c>
      <c r="V218" s="530">
        <v>0</v>
      </c>
      <c r="W218" s="530">
        <v>0</v>
      </c>
      <c r="X218" s="490"/>
      <c r="Y218" s="969"/>
      <c r="Z218" s="969"/>
      <c r="AA218" s="969"/>
      <c r="AB218" s="969"/>
      <c r="AC218" s="969"/>
      <c r="AD218" s="969"/>
      <c r="AE218" s="969" t="str">
        <f t="shared" si="10"/>
        <v>TheewaterskloofService charges - Waste Water Management</v>
      </c>
      <c r="AF218" s="975"/>
      <c r="AG218" s="976"/>
    </row>
    <row r="219" spans="2:33" ht="13.2" customHeight="1" x14ac:dyDescent="0.55000000000000004">
      <c r="B219" s="371"/>
      <c r="C219" s="1010" t="s">
        <v>680</v>
      </c>
      <c r="D219" s="361" t="str">
        <f t="shared" si="11"/>
        <v>Community and social services0600</v>
      </c>
      <c r="E219" s="361" t="str">
        <f t="shared" si="9"/>
        <v>TheewaterskloofCommunity and social servicesService charges - refuse revenue</v>
      </c>
      <c r="F219" s="360" t="str">
        <f>'PART C- Municipal Details'!$G$7</f>
        <v>Theewaterskloof</v>
      </c>
      <c r="G219" s="361" t="s">
        <v>803</v>
      </c>
      <c r="H219" s="363" t="s">
        <v>804</v>
      </c>
      <c r="I219" s="496" t="s">
        <v>678</v>
      </c>
      <c r="J219" s="497" t="s">
        <v>678</v>
      </c>
      <c r="K219" s="490"/>
      <c r="L219" s="463" t="s">
        <v>682</v>
      </c>
      <c r="M219" s="459"/>
      <c r="N219" s="461"/>
      <c r="O219" s="461"/>
      <c r="P219" s="461"/>
      <c r="Q219" s="461"/>
      <c r="R219" s="461"/>
      <c r="S219" s="461"/>
      <c r="T219" s="461"/>
      <c r="U219" s="530">
        <v>0</v>
      </c>
      <c r="V219" s="530">
        <v>0</v>
      </c>
      <c r="W219" s="530">
        <v>0</v>
      </c>
      <c r="X219" s="490"/>
      <c r="Y219" s="969"/>
      <c r="Z219" s="969"/>
      <c r="AA219" s="969"/>
      <c r="AB219" s="969"/>
      <c r="AC219" s="969"/>
      <c r="AD219" s="969"/>
      <c r="AE219" s="969" t="str">
        <f t="shared" si="10"/>
        <v>TheewaterskloofService charges - Waste Management</v>
      </c>
      <c r="AF219" s="975"/>
      <c r="AG219" s="976"/>
    </row>
    <row r="220" spans="2:33" ht="13.2" customHeight="1" x14ac:dyDescent="0.55000000000000004">
      <c r="B220" s="371"/>
      <c r="C220" s="1010" t="s">
        <v>683</v>
      </c>
      <c r="D220" s="360" t="str">
        <f t="shared" si="11"/>
        <v>Community and social services0700</v>
      </c>
      <c r="E220" s="360" t="str">
        <f t="shared" si="9"/>
        <v>TheewaterskloofCommunity and social servicesOther revenue</v>
      </c>
      <c r="F220" s="360" t="str">
        <f>'PART C- Municipal Details'!$G$7</f>
        <v>Theewaterskloof</v>
      </c>
      <c r="G220" s="360" t="s">
        <v>803</v>
      </c>
      <c r="H220" s="366" t="s">
        <v>804</v>
      </c>
      <c r="I220" s="496" t="s">
        <v>7</v>
      </c>
      <c r="J220" s="497" t="s">
        <v>681</v>
      </c>
      <c r="K220" s="490"/>
      <c r="L220" s="463" t="s">
        <v>684</v>
      </c>
      <c r="M220" s="459"/>
      <c r="N220" s="461"/>
      <c r="O220" s="461"/>
      <c r="P220" s="461"/>
      <c r="Q220" s="461"/>
      <c r="R220" s="461"/>
      <c r="S220" s="461"/>
      <c r="T220" s="461"/>
      <c r="U220" s="530">
        <v>839500</v>
      </c>
      <c r="V220" s="530">
        <v>868043</v>
      </c>
      <c r="W220" s="530">
        <v>895821</v>
      </c>
      <c r="X220" s="490"/>
      <c r="Y220" s="969"/>
      <c r="Z220" s="969"/>
      <c r="AA220" s="969"/>
      <c r="AB220" s="969"/>
      <c r="AC220" s="969"/>
      <c r="AD220" s="969"/>
      <c r="AE220" s="969" t="str">
        <f t="shared" si="10"/>
        <v>TheewaterskloofSale of Goods and Rendering of Services</v>
      </c>
      <c r="AF220" s="975"/>
      <c r="AG220" s="976"/>
    </row>
    <row r="221" spans="2:33" ht="13.2" customHeight="1" x14ac:dyDescent="0.55000000000000004">
      <c r="B221" s="371"/>
      <c r="C221" s="1010" t="s">
        <v>685</v>
      </c>
      <c r="D221" s="361" t="str">
        <f t="shared" si="11"/>
        <v>Community and social services0800</v>
      </c>
      <c r="E221" s="361" t="str">
        <f t="shared" si="9"/>
        <v>TheewaterskloofCommunity and social servicesAgency services</v>
      </c>
      <c r="F221" s="360" t="str">
        <f>'PART C- Municipal Details'!$G$7</f>
        <v>Theewaterskloof</v>
      </c>
      <c r="G221" s="361" t="s">
        <v>803</v>
      </c>
      <c r="H221" s="363" t="s">
        <v>804</v>
      </c>
      <c r="I221" s="496" t="s">
        <v>6</v>
      </c>
      <c r="J221" s="497" t="s">
        <v>1</v>
      </c>
      <c r="K221" s="490"/>
      <c r="L221" s="463" t="s">
        <v>6</v>
      </c>
      <c r="M221" s="459"/>
      <c r="N221" s="461"/>
      <c r="O221" s="461"/>
      <c r="P221" s="461"/>
      <c r="Q221" s="461"/>
      <c r="R221" s="461"/>
      <c r="S221" s="461"/>
      <c r="T221" s="461"/>
      <c r="U221" s="530">
        <v>0</v>
      </c>
      <c r="V221" s="530">
        <v>0</v>
      </c>
      <c r="W221" s="530">
        <v>0</v>
      </c>
      <c r="X221" s="490"/>
      <c r="Y221" s="969"/>
      <c r="Z221" s="969"/>
      <c r="AA221" s="969"/>
      <c r="AB221" s="969"/>
      <c r="AC221" s="969"/>
      <c r="AD221" s="969"/>
      <c r="AE221" s="969" t="str">
        <f t="shared" si="10"/>
        <v>TheewaterskloofAgency services</v>
      </c>
      <c r="AF221" s="975"/>
      <c r="AG221" s="976"/>
    </row>
    <row r="222" spans="2:33" ht="13.2" customHeight="1" x14ac:dyDescent="0.55000000000000004">
      <c r="B222" s="371"/>
      <c r="C222" s="1010" t="s">
        <v>686</v>
      </c>
      <c r="D222" s="360" t="str">
        <f t="shared" si="11"/>
        <v>Community and social services0900</v>
      </c>
      <c r="E222" s="360" t="str">
        <f t="shared" si="9"/>
        <v>TheewaterskloofCommunity and social servicesInterest earned - external investments</v>
      </c>
      <c r="F222" s="360" t="str">
        <f>'PART C- Municipal Details'!$G$7</f>
        <v>Theewaterskloof</v>
      </c>
      <c r="G222" s="360" t="s">
        <v>803</v>
      </c>
      <c r="H222" s="366" t="s">
        <v>804</v>
      </c>
      <c r="I222" s="496" t="s">
        <v>2</v>
      </c>
      <c r="J222" s="497" t="s">
        <v>2</v>
      </c>
      <c r="K222" s="490"/>
      <c r="L222" s="463" t="s">
        <v>687</v>
      </c>
      <c r="M222" s="459"/>
      <c r="N222" s="461"/>
      <c r="O222" s="461"/>
      <c r="P222" s="461"/>
      <c r="Q222" s="461"/>
      <c r="R222" s="461"/>
      <c r="S222" s="461"/>
      <c r="T222" s="461"/>
      <c r="U222" s="530">
        <v>0</v>
      </c>
      <c r="V222" s="530">
        <v>0</v>
      </c>
      <c r="W222" s="530">
        <v>0</v>
      </c>
      <c r="X222" s="490"/>
      <c r="Y222" s="969"/>
      <c r="Z222" s="969"/>
      <c r="AA222" s="969"/>
      <c r="AB222" s="969"/>
      <c r="AC222" s="969"/>
      <c r="AD222" s="969"/>
      <c r="AE222" s="969" t="str">
        <f t="shared" si="10"/>
        <v>TheewaterskloofInterest</v>
      </c>
      <c r="AF222" s="975"/>
      <c r="AG222" s="976"/>
    </row>
    <row r="223" spans="2:33" ht="13.2" customHeight="1" x14ac:dyDescent="0.55000000000000004">
      <c r="B223" s="371"/>
      <c r="C223" s="1010" t="s">
        <v>688</v>
      </c>
      <c r="D223" s="361" t="str">
        <f t="shared" si="11"/>
        <v>Community and social services1000</v>
      </c>
      <c r="E223" s="361" t="str">
        <f t="shared" si="9"/>
        <v>TheewaterskloofCommunity and social servicesInterest earned - outstanding debtors</v>
      </c>
      <c r="F223" s="360" t="str">
        <f>'PART C- Municipal Details'!$G$7</f>
        <v>Theewaterskloof</v>
      </c>
      <c r="G223" s="361" t="s">
        <v>803</v>
      </c>
      <c r="H223" s="363" t="s">
        <v>804</v>
      </c>
      <c r="I223" s="496" t="s">
        <v>3</v>
      </c>
      <c r="J223" s="497" t="s">
        <v>3</v>
      </c>
      <c r="K223" s="490"/>
      <c r="L223" s="463" t="s">
        <v>689</v>
      </c>
      <c r="M223" s="459"/>
      <c r="N223" s="461"/>
      <c r="O223" s="461"/>
      <c r="P223" s="461"/>
      <c r="Q223" s="461"/>
      <c r="R223" s="461"/>
      <c r="S223" s="461"/>
      <c r="T223" s="461"/>
      <c r="U223" s="530">
        <v>0</v>
      </c>
      <c r="V223" s="530">
        <v>0</v>
      </c>
      <c r="W223" s="530">
        <v>0</v>
      </c>
      <c r="X223" s="490"/>
      <c r="Y223" s="969"/>
      <c r="Z223" s="969"/>
      <c r="AA223" s="969"/>
      <c r="AB223" s="969"/>
      <c r="AC223" s="969"/>
      <c r="AD223" s="969"/>
      <c r="AE223" s="969" t="str">
        <f t="shared" si="10"/>
        <v>TheewaterskloofInterest earned from Receivables</v>
      </c>
      <c r="AF223" s="975"/>
      <c r="AG223" s="976"/>
    </row>
    <row r="224" spans="2:33" ht="13.2" customHeight="1" x14ac:dyDescent="0.55000000000000004">
      <c r="B224" s="371"/>
      <c r="C224" s="1010" t="s">
        <v>690</v>
      </c>
      <c r="D224" s="360" t="str">
        <f t="shared" si="11"/>
        <v>Community and social services1100</v>
      </c>
      <c r="E224" s="360" t="str">
        <f t="shared" si="9"/>
        <v>TheewaterskloofCommunity and social servicesInterest earned - external investments</v>
      </c>
      <c r="F224" s="360" t="str">
        <f>'PART C- Municipal Details'!$G$7</f>
        <v>Theewaterskloof</v>
      </c>
      <c r="G224" s="360" t="s">
        <v>803</v>
      </c>
      <c r="H224" s="366" t="s">
        <v>804</v>
      </c>
      <c r="I224" s="496" t="s">
        <v>2</v>
      </c>
      <c r="J224" s="497" t="s">
        <v>4</v>
      </c>
      <c r="K224" s="490"/>
      <c r="L224" s="463" t="s">
        <v>692</v>
      </c>
      <c r="M224" s="459"/>
      <c r="N224" s="461"/>
      <c r="O224" s="461"/>
      <c r="P224" s="461"/>
      <c r="Q224" s="461"/>
      <c r="R224" s="461"/>
      <c r="S224" s="461"/>
      <c r="T224" s="461"/>
      <c r="U224" s="530">
        <v>0</v>
      </c>
      <c r="V224" s="530">
        <v>0</v>
      </c>
      <c r="W224" s="530">
        <v>0</v>
      </c>
      <c r="X224" s="490"/>
      <c r="Y224" s="969"/>
      <c r="Z224" s="969"/>
      <c r="AA224" s="969"/>
      <c r="AB224" s="969"/>
      <c r="AC224" s="969"/>
      <c r="AD224" s="969"/>
      <c r="AE224" s="969" t="str">
        <f t="shared" si="10"/>
        <v>TheewaterskloofInterest earned from Current and Non Current Assets</v>
      </c>
      <c r="AF224" s="975"/>
      <c r="AG224" s="976"/>
    </row>
    <row r="225" spans="2:33" ht="13.2" customHeight="1" x14ac:dyDescent="0.55000000000000004">
      <c r="B225" s="371"/>
      <c r="C225" s="1010" t="s">
        <v>693</v>
      </c>
      <c r="D225" s="361" t="str">
        <f t="shared" si="11"/>
        <v>Community and social services1200</v>
      </c>
      <c r="E225" s="361" t="str">
        <f t="shared" si="9"/>
        <v>TheewaterskloofCommunity and social servicesDividends received</v>
      </c>
      <c r="F225" s="360" t="str">
        <f>'PART C- Municipal Details'!$G$7</f>
        <v>Theewaterskloof</v>
      </c>
      <c r="G225" s="361" t="s">
        <v>803</v>
      </c>
      <c r="H225" s="363" t="s">
        <v>804</v>
      </c>
      <c r="I225" s="496" t="s">
        <v>4</v>
      </c>
      <c r="J225" s="497" t="s">
        <v>691</v>
      </c>
      <c r="K225" s="490"/>
      <c r="L225" s="463" t="s">
        <v>694</v>
      </c>
      <c r="M225" s="459"/>
      <c r="N225" s="461"/>
      <c r="O225" s="461"/>
      <c r="P225" s="461"/>
      <c r="Q225" s="461"/>
      <c r="R225" s="461"/>
      <c r="S225" s="461"/>
      <c r="T225" s="461"/>
      <c r="U225" s="530">
        <v>0</v>
      </c>
      <c r="V225" s="530">
        <v>0</v>
      </c>
      <c r="W225" s="530">
        <v>0</v>
      </c>
      <c r="X225" s="490"/>
      <c r="Y225" s="969"/>
      <c r="Z225" s="969"/>
      <c r="AA225" s="969"/>
      <c r="AB225" s="969"/>
      <c r="AC225" s="969"/>
      <c r="AD225" s="969"/>
      <c r="AE225" s="969" t="str">
        <f t="shared" si="10"/>
        <v>TheewaterskloofDividends</v>
      </c>
      <c r="AF225" s="975"/>
      <c r="AG225" s="976"/>
    </row>
    <row r="226" spans="2:33" ht="13.2" customHeight="1" x14ac:dyDescent="0.55000000000000004">
      <c r="B226" s="371"/>
      <c r="C226" s="1010" t="s">
        <v>695</v>
      </c>
      <c r="D226" s="360" t="str">
        <f t="shared" si="11"/>
        <v>Community and social services1300</v>
      </c>
      <c r="E226" s="360" t="str">
        <f t="shared" si="9"/>
        <v>TheewaterskloofCommunity and social servicesRental of facilities and equipment</v>
      </c>
      <c r="F226" s="360" t="str">
        <f>'PART C- Municipal Details'!$G$7</f>
        <v>Theewaterskloof</v>
      </c>
      <c r="G226" s="360" t="s">
        <v>803</v>
      </c>
      <c r="H226" s="366" t="s">
        <v>804</v>
      </c>
      <c r="I226" s="496" t="s">
        <v>1</v>
      </c>
      <c r="J226" s="497" t="s">
        <v>5</v>
      </c>
      <c r="K226" s="490"/>
      <c r="L226" s="463" t="s">
        <v>696</v>
      </c>
      <c r="M226" s="459"/>
      <c r="N226" s="461"/>
      <c r="O226" s="461"/>
      <c r="P226" s="461"/>
      <c r="Q226" s="461"/>
      <c r="R226" s="461"/>
      <c r="S226" s="461"/>
      <c r="T226" s="461"/>
      <c r="U226" s="530">
        <v>0</v>
      </c>
      <c r="V226" s="530">
        <v>0</v>
      </c>
      <c r="W226" s="530">
        <v>0</v>
      </c>
      <c r="X226" s="490"/>
      <c r="Y226" s="969"/>
      <c r="Z226" s="969"/>
      <c r="AA226" s="969"/>
      <c r="AB226" s="969"/>
      <c r="AC226" s="969"/>
      <c r="AD226" s="969"/>
      <c r="AE226" s="969" t="str">
        <f t="shared" si="10"/>
        <v>TheewaterskloofRent on Land</v>
      </c>
      <c r="AF226" s="975"/>
      <c r="AG226" s="976"/>
    </row>
    <row r="227" spans="2:33" ht="13.2" customHeight="1" x14ac:dyDescent="0.55000000000000004">
      <c r="B227" s="371"/>
      <c r="C227" s="1010" t="s">
        <v>697</v>
      </c>
      <c r="D227" s="361" t="str">
        <f t="shared" si="11"/>
        <v>Community and social services1400</v>
      </c>
      <c r="E227" s="361" t="str">
        <f t="shared" si="9"/>
        <v>TheewaterskloofCommunity and social servicesRental of facilities and equipment</v>
      </c>
      <c r="F227" s="360" t="str">
        <f>'PART C- Municipal Details'!$G$7</f>
        <v>Theewaterskloof</v>
      </c>
      <c r="G227" s="361" t="s">
        <v>803</v>
      </c>
      <c r="H227" s="363" t="s">
        <v>804</v>
      </c>
      <c r="I227" s="496" t="s">
        <v>1</v>
      </c>
      <c r="J227" s="497" t="s">
        <v>6</v>
      </c>
      <c r="K227" s="490"/>
      <c r="L227" s="463" t="s">
        <v>699</v>
      </c>
      <c r="M227" s="459"/>
      <c r="N227" s="461"/>
      <c r="O227" s="461"/>
      <c r="P227" s="461"/>
      <c r="Q227" s="461"/>
      <c r="R227" s="461"/>
      <c r="S227" s="461"/>
      <c r="T227" s="461"/>
      <c r="U227" s="530">
        <v>0</v>
      </c>
      <c r="V227" s="530">
        <v>0</v>
      </c>
      <c r="W227" s="530">
        <v>0</v>
      </c>
      <c r="X227" s="490"/>
      <c r="Y227" s="969"/>
      <c r="Z227" s="969"/>
      <c r="AA227" s="969"/>
      <c r="AB227" s="969"/>
      <c r="AC227" s="969"/>
      <c r="AD227" s="969"/>
      <c r="AE227" s="969" t="str">
        <f t="shared" si="10"/>
        <v>TheewaterskloofRental from Fixed Assets</v>
      </c>
      <c r="AF227" s="975"/>
      <c r="AG227" s="976"/>
    </row>
    <row r="228" spans="2:33" ht="13.2" customHeight="1" x14ac:dyDescent="0.55000000000000004">
      <c r="B228" s="371"/>
      <c r="C228" s="1010" t="s">
        <v>700</v>
      </c>
      <c r="D228" s="360" t="str">
        <f t="shared" si="11"/>
        <v>Community and social services1500</v>
      </c>
      <c r="E228" s="360" t="str">
        <f t="shared" si="9"/>
        <v>TheewaterskloofCommunity and social servicesLicences and permits</v>
      </c>
      <c r="F228" s="360" t="str">
        <f>'PART C- Municipal Details'!$G$7</f>
        <v>Theewaterskloof</v>
      </c>
      <c r="G228" s="360" t="s">
        <v>803</v>
      </c>
      <c r="H228" s="366" t="s">
        <v>804</v>
      </c>
      <c r="I228" s="496" t="s">
        <v>5</v>
      </c>
      <c r="J228" s="497" t="s">
        <v>698</v>
      </c>
      <c r="K228" s="490"/>
      <c r="L228" s="463" t="s">
        <v>701</v>
      </c>
      <c r="M228" s="459"/>
      <c r="N228" s="461"/>
      <c r="O228" s="461"/>
      <c r="P228" s="461"/>
      <c r="Q228" s="461"/>
      <c r="R228" s="461"/>
      <c r="S228" s="461"/>
      <c r="T228" s="461"/>
      <c r="U228" s="530">
        <v>0</v>
      </c>
      <c r="V228" s="530">
        <v>0</v>
      </c>
      <c r="W228" s="530">
        <v>0</v>
      </c>
      <c r="X228" s="490"/>
      <c r="Y228" s="969"/>
      <c r="Z228" s="969"/>
      <c r="AA228" s="969"/>
      <c r="AB228" s="969"/>
      <c r="AC228" s="969"/>
      <c r="AD228" s="969"/>
      <c r="AE228" s="969" t="str">
        <f t="shared" si="10"/>
        <v>TheewaterskloofLicence and permits</v>
      </c>
      <c r="AF228" s="975"/>
      <c r="AG228" s="976"/>
    </row>
    <row r="229" spans="2:33" ht="13.2" customHeight="1" x14ac:dyDescent="0.55000000000000004">
      <c r="B229" s="371"/>
      <c r="C229" s="1324" t="s">
        <v>1569</v>
      </c>
      <c r="D229" s="360" t="str">
        <f t="shared" si="11"/>
        <v>Community and social services1550</v>
      </c>
      <c r="E229" s="360" t="str">
        <f t="shared" si="9"/>
        <v>TheewaterskloofCommunity and social servicesSpecial rating Levies</v>
      </c>
      <c r="F229" s="360" t="str">
        <f>'PART C- Municipal Details'!$G$7</f>
        <v>Theewaterskloof</v>
      </c>
      <c r="G229" s="360" t="s">
        <v>803</v>
      </c>
      <c r="H229" s="366" t="s">
        <v>804</v>
      </c>
      <c r="I229" s="496" t="s">
        <v>1568</v>
      </c>
      <c r="J229" s="497" t="s">
        <v>7</v>
      </c>
      <c r="K229" s="490"/>
      <c r="L229" s="463" t="s">
        <v>1567</v>
      </c>
      <c r="M229" s="459"/>
      <c r="N229" s="461"/>
      <c r="O229" s="461"/>
      <c r="P229" s="461"/>
      <c r="Q229" s="461"/>
      <c r="R229" s="461"/>
      <c r="S229" s="461"/>
      <c r="T229" s="461"/>
      <c r="U229" s="530">
        <v>0</v>
      </c>
      <c r="V229" s="530">
        <v>0</v>
      </c>
      <c r="W229" s="530">
        <v>0</v>
      </c>
      <c r="X229" s="490"/>
      <c r="Y229" s="969"/>
      <c r="Z229" s="969"/>
      <c r="AA229" s="969"/>
      <c r="AB229" s="969"/>
      <c r="AC229" s="969"/>
      <c r="AD229" s="969"/>
      <c r="AE229" s="969"/>
      <c r="AF229" s="969"/>
      <c r="AG229" s="969"/>
    </row>
    <row r="230" spans="2:33" ht="13.2" customHeight="1" x14ac:dyDescent="0.55000000000000004">
      <c r="B230" s="371"/>
      <c r="C230" s="1010" t="s">
        <v>702</v>
      </c>
      <c r="D230" s="361" t="str">
        <f t="shared" si="11"/>
        <v>Community and social services1600</v>
      </c>
      <c r="E230" s="361" t="str">
        <f t="shared" si="9"/>
        <v>TheewaterskloofCommunity and social servicesOther revenue</v>
      </c>
      <c r="F230" s="360" t="str">
        <f>'PART C- Municipal Details'!$G$7</f>
        <v>Theewaterskloof</v>
      </c>
      <c r="G230" s="361" t="s">
        <v>803</v>
      </c>
      <c r="H230" s="363" t="s">
        <v>804</v>
      </c>
      <c r="I230" s="496" t="s">
        <v>7</v>
      </c>
      <c r="J230" s="497" t="s">
        <v>7</v>
      </c>
      <c r="K230" s="490"/>
      <c r="L230" s="463" t="s">
        <v>704</v>
      </c>
      <c r="M230" s="459"/>
      <c r="N230" s="461"/>
      <c r="O230" s="461"/>
      <c r="P230" s="461"/>
      <c r="Q230" s="461"/>
      <c r="R230" s="461"/>
      <c r="S230" s="461"/>
      <c r="T230" s="461"/>
      <c r="U230" s="530">
        <v>0</v>
      </c>
      <c r="V230" s="530">
        <v>0</v>
      </c>
      <c r="W230" s="530">
        <v>0</v>
      </c>
      <c r="X230" s="490"/>
      <c r="Y230" s="969"/>
      <c r="Z230" s="969"/>
      <c r="AA230" s="969"/>
      <c r="AB230" s="969"/>
      <c r="AC230" s="969"/>
      <c r="AD230" s="969"/>
      <c r="AE230" s="969" t="str">
        <f t="shared" si="10"/>
        <v>TheewaterskloofOperational Revenue</v>
      </c>
      <c r="AF230" s="975"/>
      <c r="AG230" s="976"/>
    </row>
    <row r="231" spans="2:33" ht="13.2" customHeight="1" x14ac:dyDescent="0.55000000000000004">
      <c r="B231" s="371"/>
      <c r="C231" s="1009" t="s">
        <v>705</v>
      </c>
      <c r="D231" s="360" t="str">
        <f t="shared" si="11"/>
        <v>Community and social services1700</v>
      </c>
      <c r="E231" s="360" t="str">
        <f t="shared" si="9"/>
        <v>TheewaterskloofCommunity and social servicesR</v>
      </c>
      <c r="F231" s="360" t="str">
        <f>'PART C- Municipal Details'!$G$7</f>
        <v>Theewaterskloof</v>
      </c>
      <c r="G231" s="360" t="s">
        <v>803</v>
      </c>
      <c r="H231" s="366" t="s">
        <v>804</v>
      </c>
      <c r="I231" s="496" t="s">
        <v>649</v>
      </c>
      <c r="J231" s="497" t="s">
        <v>703</v>
      </c>
      <c r="K231" s="490"/>
      <c r="L231" s="508" t="s">
        <v>708</v>
      </c>
      <c r="M231" s="509"/>
      <c r="N231" s="510"/>
      <c r="O231" s="510"/>
      <c r="P231" s="510"/>
      <c r="Q231" s="510"/>
      <c r="R231" s="510"/>
      <c r="S231" s="510"/>
      <c r="T231" s="511"/>
      <c r="U231" s="531">
        <v>0</v>
      </c>
      <c r="V231" s="531">
        <v>0</v>
      </c>
      <c r="W231" s="531">
        <v>0</v>
      </c>
      <c r="X231" s="490"/>
      <c r="Y231" s="969"/>
      <c r="Z231" s="969"/>
      <c r="AA231" s="969"/>
      <c r="AB231" s="969"/>
      <c r="AC231" s="969"/>
      <c r="AD231" s="969"/>
      <c r="AE231" s="969" t="str">
        <f t="shared" si="10"/>
        <v>TheewaterskloofNon-Exchange Revenue</v>
      </c>
      <c r="AF231" s="975"/>
      <c r="AG231" s="976"/>
    </row>
    <row r="232" spans="2:33" ht="13.2" customHeight="1" x14ac:dyDescent="0.55000000000000004">
      <c r="B232" s="371"/>
      <c r="C232" s="1010" t="s">
        <v>709</v>
      </c>
      <c r="D232" s="361" t="str">
        <f t="shared" si="11"/>
        <v>Community and social services1800</v>
      </c>
      <c r="E232" s="361" t="str">
        <f t="shared" si="9"/>
        <v>TheewaterskloofCommunity and social servicesProperty rates</v>
      </c>
      <c r="F232" s="360" t="str">
        <f>'PART C- Municipal Details'!$G$7</f>
        <v>Theewaterskloof</v>
      </c>
      <c r="G232" s="361" t="s">
        <v>803</v>
      </c>
      <c r="H232" s="363" t="s">
        <v>804</v>
      </c>
      <c r="I232" s="496" t="s">
        <v>0</v>
      </c>
      <c r="J232" s="497" t="s">
        <v>707</v>
      </c>
      <c r="K232" s="490"/>
      <c r="L232" s="463" t="s">
        <v>0</v>
      </c>
      <c r="M232" s="459"/>
      <c r="N232" s="460"/>
      <c r="O232" s="460"/>
      <c r="P232" s="460"/>
      <c r="Q232" s="460"/>
      <c r="R232" s="460"/>
      <c r="S232" s="460"/>
      <c r="T232" s="460"/>
      <c r="U232" s="530">
        <v>0</v>
      </c>
      <c r="V232" s="530">
        <v>0</v>
      </c>
      <c r="W232" s="530">
        <v>0</v>
      </c>
      <c r="X232" s="490"/>
      <c r="Y232" s="969"/>
      <c r="Z232" s="969"/>
      <c r="AA232" s="969"/>
      <c r="AB232" s="969"/>
      <c r="AC232" s="969"/>
      <c r="AD232" s="969"/>
      <c r="AE232" s="969" t="str">
        <f t="shared" si="10"/>
        <v>TheewaterskloofProperty rates</v>
      </c>
      <c r="AF232" s="975"/>
      <c r="AG232" s="976"/>
    </row>
    <row r="233" spans="2:33" ht="13.2" customHeight="1" x14ac:dyDescent="0.55000000000000004">
      <c r="B233" s="371"/>
      <c r="C233" s="1010" t="s">
        <v>711</v>
      </c>
      <c r="D233" s="360" t="str">
        <f t="shared" si="11"/>
        <v>Community and social services1900</v>
      </c>
      <c r="E233" s="360" t="str">
        <f t="shared" si="9"/>
        <v>TheewaterskloofCommunity and social servicesOther revenue</v>
      </c>
      <c r="F233" s="360" t="str">
        <f>'PART C- Municipal Details'!$G$7</f>
        <v>Theewaterskloof</v>
      </c>
      <c r="G233" s="360" t="s">
        <v>803</v>
      </c>
      <c r="H233" s="366" t="s">
        <v>804</v>
      </c>
      <c r="I233" s="496" t="s">
        <v>7</v>
      </c>
      <c r="J233" s="497" t="s">
        <v>710</v>
      </c>
      <c r="K233" s="490"/>
      <c r="L233" s="463" t="s">
        <v>713</v>
      </c>
      <c r="M233" s="459"/>
      <c r="N233" s="461"/>
      <c r="O233" s="461"/>
      <c r="P233" s="461"/>
      <c r="Q233" s="461"/>
      <c r="R233" s="461"/>
      <c r="S233" s="461"/>
      <c r="T233" s="461"/>
      <c r="U233" s="530">
        <v>0</v>
      </c>
      <c r="V233" s="530">
        <v>0</v>
      </c>
      <c r="W233" s="530">
        <v>0</v>
      </c>
      <c r="X233" s="490"/>
      <c r="Y233" s="969"/>
      <c r="Z233" s="969"/>
      <c r="AA233" s="969"/>
      <c r="AB233" s="969"/>
      <c r="AC233" s="969"/>
      <c r="AD233" s="969"/>
      <c r="AE233" s="969" t="str">
        <f t="shared" si="10"/>
        <v>TheewaterskloofSurcharges and Taxes</v>
      </c>
      <c r="AF233" s="975"/>
      <c r="AG233" s="976"/>
    </row>
    <row r="234" spans="2:33" ht="13.2" customHeight="1" x14ac:dyDescent="0.55000000000000004">
      <c r="B234" s="371"/>
      <c r="C234" s="1010" t="s">
        <v>714</v>
      </c>
      <c r="D234" s="361" t="str">
        <f t="shared" si="11"/>
        <v>Community and social services2000</v>
      </c>
      <c r="E234" s="361" t="str">
        <f t="shared" si="9"/>
        <v>TheewaterskloofCommunity and social servicesFines, penalties and forfeits</v>
      </c>
      <c r="F234" s="360" t="str">
        <f>'PART C- Municipal Details'!$G$7</f>
        <v>Theewaterskloof</v>
      </c>
      <c r="G234" s="361" t="s">
        <v>803</v>
      </c>
      <c r="H234" s="363" t="s">
        <v>804</v>
      </c>
      <c r="I234" s="496" t="s">
        <v>691</v>
      </c>
      <c r="J234" s="497" t="s">
        <v>712</v>
      </c>
      <c r="K234" s="490"/>
      <c r="L234" s="463" t="s">
        <v>691</v>
      </c>
      <c r="M234" s="459"/>
      <c r="N234" s="461"/>
      <c r="O234" s="461"/>
      <c r="P234" s="461"/>
      <c r="Q234" s="461"/>
      <c r="R234" s="461"/>
      <c r="S234" s="461"/>
      <c r="T234" s="461"/>
      <c r="U234" s="530">
        <v>12000</v>
      </c>
      <c r="V234" s="530">
        <v>12408</v>
      </c>
      <c r="W234" s="530">
        <v>12805</v>
      </c>
      <c r="X234" s="490"/>
      <c r="Y234" s="969"/>
      <c r="Z234" s="969"/>
      <c r="AA234" s="969"/>
      <c r="AB234" s="969"/>
      <c r="AC234" s="969"/>
      <c r="AD234" s="969"/>
      <c r="AE234" s="969" t="str">
        <f t="shared" si="10"/>
        <v>TheewaterskloofFines, penalties and forfeits</v>
      </c>
      <c r="AF234" s="975"/>
      <c r="AG234" s="976"/>
    </row>
    <row r="235" spans="2:33" ht="13.2" customHeight="1" x14ac:dyDescent="0.55000000000000004">
      <c r="B235" s="371"/>
      <c r="C235" s="1010" t="s">
        <v>715</v>
      </c>
      <c r="D235" s="360" t="str">
        <f t="shared" si="11"/>
        <v>Community and social services2100</v>
      </c>
      <c r="E235" s="360" t="str">
        <f t="shared" si="9"/>
        <v>TheewaterskloofCommunity and social servicesLicences and permits</v>
      </c>
      <c r="F235" s="360" t="str">
        <f>'PART C- Municipal Details'!$G$7</f>
        <v>Theewaterskloof</v>
      </c>
      <c r="G235" s="360" t="s">
        <v>803</v>
      </c>
      <c r="H235" s="366" t="s">
        <v>804</v>
      </c>
      <c r="I235" s="496" t="s">
        <v>5</v>
      </c>
      <c r="J235" s="497" t="s">
        <v>8</v>
      </c>
      <c r="K235" s="490"/>
      <c r="L235" s="463" t="s">
        <v>716</v>
      </c>
      <c r="M235" s="459"/>
      <c r="N235" s="461"/>
      <c r="O235" s="461"/>
      <c r="P235" s="461"/>
      <c r="Q235" s="461"/>
      <c r="R235" s="461"/>
      <c r="S235" s="461"/>
      <c r="T235" s="461"/>
      <c r="U235" s="530">
        <v>0</v>
      </c>
      <c r="V235" s="530">
        <v>0</v>
      </c>
      <c r="W235" s="530">
        <v>0</v>
      </c>
      <c r="X235" s="490"/>
      <c r="Y235" s="969"/>
      <c r="Z235" s="969"/>
      <c r="AA235" s="969"/>
      <c r="AB235" s="969"/>
      <c r="AC235" s="969"/>
      <c r="AD235" s="969"/>
      <c r="AE235" s="969" t="str">
        <f t="shared" si="10"/>
        <v>TheewaterskloofLicences or permits</v>
      </c>
      <c r="AF235" s="975"/>
      <c r="AG235" s="976"/>
    </row>
    <row r="236" spans="2:33" ht="13.2" customHeight="1" x14ac:dyDescent="0.55000000000000004">
      <c r="B236" s="371"/>
      <c r="C236" s="1010" t="s">
        <v>717</v>
      </c>
      <c r="D236" s="361" t="str">
        <f t="shared" si="11"/>
        <v>Community and social services2200</v>
      </c>
      <c r="E236" s="361" t="str">
        <f t="shared" si="9"/>
        <v>TheewaterskloofCommunity and social servicesTransfers and subsidies Income</v>
      </c>
      <c r="F236" s="360" t="str">
        <f>'PART C- Municipal Details'!$G$7</f>
        <v>Theewaterskloof</v>
      </c>
      <c r="G236" s="361" t="s">
        <v>803</v>
      </c>
      <c r="H236" s="363" t="s">
        <v>804</v>
      </c>
      <c r="I236" s="496" t="s">
        <v>698</v>
      </c>
      <c r="J236" s="497" t="s">
        <v>9</v>
      </c>
      <c r="K236" s="490"/>
      <c r="L236" s="463" t="s">
        <v>718</v>
      </c>
      <c r="M236" s="459"/>
      <c r="N236" s="461"/>
      <c r="O236" s="461"/>
      <c r="P236" s="461"/>
      <c r="Q236" s="461"/>
      <c r="R236" s="461"/>
      <c r="S236" s="461"/>
      <c r="T236" s="461"/>
      <c r="U236" s="530">
        <v>11756000</v>
      </c>
      <c r="V236" s="530">
        <v>11873000</v>
      </c>
      <c r="W236" s="530">
        <v>11992000</v>
      </c>
      <c r="X236" s="490"/>
      <c r="Y236" s="969"/>
      <c r="Z236" s="969"/>
      <c r="AA236" s="969"/>
      <c r="AB236" s="969"/>
      <c r="AC236" s="969"/>
      <c r="AD236" s="969"/>
      <c r="AE236" s="969" t="str">
        <f t="shared" si="10"/>
        <v>TheewaterskloofTransfer and subsidies - Operational</v>
      </c>
      <c r="AF236" s="975"/>
      <c r="AG236" s="976"/>
    </row>
    <row r="237" spans="2:33" ht="13.2" customHeight="1" x14ac:dyDescent="0.55000000000000004">
      <c r="B237" s="371"/>
      <c r="C237" s="1010" t="s">
        <v>719</v>
      </c>
      <c r="D237" s="360" t="str">
        <f t="shared" si="11"/>
        <v>Community and social services2300</v>
      </c>
      <c r="E237" s="360" t="str">
        <f t="shared" si="9"/>
        <v>TheewaterskloofCommunity and social servicesInterest earned - external investments</v>
      </c>
      <c r="F237" s="360" t="str">
        <f>'PART C- Municipal Details'!$G$7</f>
        <v>Theewaterskloof</v>
      </c>
      <c r="G237" s="360" t="s">
        <v>803</v>
      </c>
      <c r="H237" s="366" t="s">
        <v>804</v>
      </c>
      <c r="I237" s="496" t="s">
        <v>2</v>
      </c>
      <c r="J237" s="497" t="s">
        <v>10</v>
      </c>
      <c r="K237" s="490"/>
      <c r="L237" s="463" t="s">
        <v>687</v>
      </c>
      <c r="M237" s="459"/>
      <c r="N237" s="461"/>
      <c r="O237" s="461"/>
      <c r="P237" s="461"/>
      <c r="Q237" s="461"/>
      <c r="R237" s="461"/>
      <c r="S237" s="461"/>
      <c r="T237" s="461"/>
      <c r="U237" s="530">
        <v>0</v>
      </c>
      <c r="V237" s="530">
        <v>0</v>
      </c>
      <c r="W237" s="530">
        <v>0</v>
      </c>
      <c r="X237" s="490"/>
      <c r="Y237" s="969"/>
      <c r="Z237" s="969"/>
      <c r="AA237" s="969"/>
      <c r="AB237" s="969"/>
      <c r="AC237" s="969"/>
      <c r="AD237" s="969"/>
      <c r="AE237" s="969" t="str">
        <f t="shared" si="10"/>
        <v>TheewaterskloofInterest</v>
      </c>
      <c r="AF237" s="975"/>
      <c r="AG237" s="976"/>
    </row>
    <row r="238" spans="2:33" ht="13.2" customHeight="1" x14ac:dyDescent="0.55000000000000004">
      <c r="B238" s="371"/>
      <c r="C238" s="1010" t="s">
        <v>721</v>
      </c>
      <c r="D238" s="361" t="str">
        <f t="shared" si="11"/>
        <v>Community and social services2400</v>
      </c>
      <c r="E238" s="361" t="str">
        <f t="shared" si="9"/>
        <v>TheewaterskloofCommunity and social servicesOther revenue</v>
      </c>
      <c r="F238" s="360" t="str">
        <f>'PART C- Municipal Details'!$G$7</f>
        <v>Theewaterskloof</v>
      </c>
      <c r="G238" s="361" t="s">
        <v>803</v>
      </c>
      <c r="H238" s="363" t="s">
        <v>804</v>
      </c>
      <c r="I238" s="496" t="s">
        <v>7</v>
      </c>
      <c r="J238" s="497" t="s">
        <v>720</v>
      </c>
      <c r="K238" s="490"/>
      <c r="L238" s="463" t="s">
        <v>722</v>
      </c>
      <c r="M238" s="459"/>
      <c r="N238" s="461"/>
      <c r="O238" s="461"/>
      <c r="P238" s="461"/>
      <c r="Q238" s="461"/>
      <c r="R238" s="461"/>
      <c r="S238" s="461"/>
      <c r="T238" s="461"/>
      <c r="U238" s="530">
        <v>0</v>
      </c>
      <c r="V238" s="530">
        <v>0</v>
      </c>
      <c r="W238" s="530">
        <v>0</v>
      </c>
      <c r="X238" s="490"/>
      <c r="Y238" s="969"/>
      <c r="Z238" s="969"/>
      <c r="AA238" s="969"/>
      <c r="AB238" s="969"/>
      <c r="AC238" s="969"/>
      <c r="AD238" s="969"/>
      <c r="AE238" s="969" t="str">
        <f t="shared" si="10"/>
        <v>TheewaterskloofFuel Levy</v>
      </c>
      <c r="AF238" s="975"/>
      <c r="AG238" s="976"/>
    </row>
    <row r="239" spans="2:33" ht="13.2" customHeight="1" x14ac:dyDescent="0.55000000000000004">
      <c r="B239" s="371"/>
      <c r="C239" s="1010" t="s">
        <v>723</v>
      </c>
      <c r="D239" s="360" t="str">
        <f t="shared" si="11"/>
        <v>Community and social services2500</v>
      </c>
      <c r="E239" s="360" t="str">
        <f t="shared" si="9"/>
        <v>TheewaterskloofCommunity and social servicesOther revenue</v>
      </c>
      <c r="F239" s="360" t="str">
        <f>'PART C- Municipal Details'!$G$7</f>
        <v>Theewaterskloof</v>
      </c>
      <c r="G239" s="360" t="s">
        <v>803</v>
      </c>
      <c r="H239" s="366" t="s">
        <v>804</v>
      </c>
      <c r="I239" s="496" t="s">
        <v>7</v>
      </c>
      <c r="J239" s="497" t="s">
        <v>11</v>
      </c>
      <c r="K239" s="490"/>
      <c r="L239" s="463" t="s">
        <v>704</v>
      </c>
      <c r="M239" s="459"/>
      <c r="N239" s="461"/>
      <c r="O239" s="461"/>
      <c r="P239" s="461"/>
      <c r="Q239" s="461"/>
      <c r="R239" s="461"/>
      <c r="S239" s="461"/>
      <c r="T239" s="461"/>
      <c r="U239" s="530">
        <v>0</v>
      </c>
      <c r="V239" s="530">
        <v>0</v>
      </c>
      <c r="W239" s="530">
        <v>0</v>
      </c>
      <c r="X239" s="490"/>
      <c r="Y239" s="969"/>
      <c r="Z239" s="969"/>
      <c r="AA239" s="969"/>
      <c r="AB239" s="969"/>
      <c r="AC239" s="969"/>
      <c r="AD239" s="969"/>
      <c r="AE239" s="969" t="str">
        <f t="shared" si="10"/>
        <v>TheewaterskloofOperational Revenue</v>
      </c>
      <c r="AF239" s="975"/>
      <c r="AG239" s="976"/>
    </row>
    <row r="240" spans="2:33" ht="13.2" customHeight="1" x14ac:dyDescent="0.55000000000000004">
      <c r="B240" s="371"/>
      <c r="C240" s="1010" t="s">
        <v>725</v>
      </c>
      <c r="D240" s="361" t="str">
        <f t="shared" si="11"/>
        <v>Community and social services2600</v>
      </c>
      <c r="E240" s="361" t="str">
        <f t="shared" si="9"/>
        <v>TheewaterskloofCommunity and social servicesGains</v>
      </c>
      <c r="F240" s="360" t="str">
        <f>'PART C- Municipal Details'!$G$7</f>
        <v>Theewaterskloof</v>
      </c>
      <c r="G240" s="361" t="s">
        <v>803</v>
      </c>
      <c r="H240" s="363" t="s">
        <v>804</v>
      </c>
      <c r="I240" s="496" t="s">
        <v>703</v>
      </c>
      <c r="J240" s="497" t="s">
        <v>724</v>
      </c>
      <c r="K240" s="490"/>
      <c r="L240" s="463" t="s">
        <v>727</v>
      </c>
      <c r="M240" s="459"/>
      <c r="N240" s="461"/>
      <c r="O240" s="461"/>
      <c r="P240" s="461"/>
      <c r="Q240" s="461"/>
      <c r="R240" s="461"/>
      <c r="S240" s="461"/>
      <c r="T240" s="461"/>
      <c r="U240" s="530">
        <v>0</v>
      </c>
      <c r="V240" s="530">
        <v>0</v>
      </c>
      <c r="W240" s="530">
        <v>0</v>
      </c>
      <c r="X240" s="490"/>
      <c r="Y240" s="969"/>
      <c r="Z240" s="969"/>
      <c r="AA240" s="969"/>
      <c r="AB240" s="969"/>
      <c r="AC240" s="969"/>
      <c r="AD240" s="969"/>
      <c r="AE240" s="969" t="str">
        <f t="shared" si="10"/>
        <v>TheewaterskloofGains on disposal of Assets</v>
      </c>
      <c r="AF240" s="975"/>
      <c r="AG240" s="976"/>
    </row>
    <row r="241" spans="2:33" ht="13.2" customHeight="1" x14ac:dyDescent="0.55000000000000004">
      <c r="B241" s="371"/>
      <c r="C241" s="1010" t="s">
        <v>728</v>
      </c>
      <c r="D241" s="360" t="str">
        <f t="shared" si="11"/>
        <v>Community and social services2700</v>
      </c>
      <c r="E241" s="360" t="str">
        <f t="shared" si="9"/>
        <v>TheewaterskloofCommunity and social servicesOther revenue</v>
      </c>
      <c r="F241" s="360" t="str">
        <f>'PART C- Municipal Details'!$G$7</f>
        <v>Theewaterskloof</v>
      </c>
      <c r="G241" s="360" t="s">
        <v>803</v>
      </c>
      <c r="H241" s="366" t="s">
        <v>804</v>
      </c>
      <c r="I241" s="496" t="s">
        <v>7</v>
      </c>
      <c r="J241" s="497" t="s">
        <v>726</v>
      </c>
      <c r="K241" s="490"/>
      <c r="L241" s="463" t="s">
        <v>729</v>
      </c>
      <c r="M241" s="459"/>
      <c r="N241" s="461"/>
      <c r="O241" s="461"/>
      <c r="P241" s="461"/>
      <c r="Q241" s="461"/>
      <c r="R241" s="461"/>
      <c r="S241" s="461"/>
      <c r="T241" s="461"/>
      <c r="U241" s="530">
        <v>0</v>
      </c>
      <c r="V241" s="530">
        <v>0</v>
      </c>
      <c r="W241" s="530">
        <v>0</v>
      </c>
      <c r="X241" s="490"/>
      <c r="Y241" s="969"/>
      <c r="Z241" s="969"/>
      <c r="AA241" s="969"/>
      <c r="AB241" s="969"/>
      <c r="AC241" s="969"/>
      <c r="AD241" s="969"/>
      <c r="AE241" s="969" t="str">
        <f t="shared" si="10"/>
        <v>TheewaterskloofOther Gains</v>
      </c>
      <c r="AF241" s="975"/>
      <c r="AG241" s="976"/>
    </row>
    <row r="242" spans="2:33" ht="13.2" customHeight="1" x14ac:dyDescent="0.55000000000000004">
      <c r="B242" s="371"/>
      <c r="C242" s="1010" t="s">
        <v>730</v>
      </c>
      <c r="D242" s="361" t="str">
        <f t="shared" si="11"/>
        <v>Community and social services2800</v>
      </c>
      <c r="E242" s="361" t="str">
        <f t="shared" si="9"/>
        <v>TheewaterskloofCommunity and social servicesOther revenue</v>
      </c>
      <c r="F242" s="360" t="str">
        <f>'PART C- Municipal Details'!$G$7</f>
        <v>Theewaterskloof</v>
      </c>
      <c r="G242" s="361" t="s">
        <v>803</v>
      </c>
      <c r="H242" s="363" t="s">
        <v>804</v>
      </c>
      <c r="I242" s="496" t="s">
        <v>7</v>
      </c>
      <c r="J242" s="497" t="s">
        <v>12</v>
      </c>
      <c r="K242" s="490"/>
      <c r="L242" s="464" t="s">
        <v>731</v>
      </c>
      <c r="M242" s="459"/>
      <c r="N242" s="461"/>
      <c r="O242" s="461"/>
      <c r="P242" s="461"/>
      <c r="Q242" s="461"/>
      <c r="R242" s="461"/>
      <c r="S242" s="461"/>
      <c r="T242" s="461"/>
      <c r="U242" s="530">
        <v>0</v>
      </c>
      <c r="V242" s="530">
        <v>0</v>
      </c>
      <c r="W242" s="530">
        <v>0</v>
      </c>
      <c r="X242" s="490"/>
      <c r="Y242" s="969"/>
      <c r="Z242" s="969"/>
      <c r="AA242" s="969"/>
      <c r="AB242" s="969"/>
      <c r="AC242" s="969"/>
      <c r="AD242" s="969"/>
      <c r="AE242" s="969" t="str">
        <f t="shared" si="10"/>
        <v>TheewaterskloofDiscontinued Operations</v>
      </c>
      <c r="AF242" s="975"/>
      <c r="AG242" s="976"/>
    </row>
    <row r="243" spans="2:33" ht="13.2" customHeight="1" x14ac:dyDescent="0.55000000000000004">
      <c r="B243" s="371"/>
      <c r="C243" s="1009" t="s">
        <v>732</v>
      </c>
      <c r="D243" s="360" t="str">
        <f t="shared" si="11"/>
        <v>Community and social services2900</v>
      </c>
      <c r="E243" s="360" t="str">
        <f t="shared" si="9"/>
        <v>TheewaterskloofCommunity and social servicesTotal Revenue (excluding capital transfers and contributions)</v>
      </c>
      <c r="F243" s="360" t="str">
        <f>'PART C- Municipal Details'!$G$7</f>
        <v>Theewaterskloof</v>
      </c>
      <c r="G243" s="360" t="s">
        <v>803</v>
      </c>
      <c r="H243" s="366" t="s">
        <v>804</v>
      </c>
      <c r="I243" s="496" t="s">
        <v>707</v>
      </c>
      <c r="J243" s="497" t="s">
        <v>204</v>
      </c>
      <c r="K243" s="490"/>
      <c r="L243" s="508" t="s">
        <v>707</v>
      </c>
      <c r="M243" s="509"/>
      <c r="N243" s="510"/>
      <c r="O243" s="510"/>
      <c r="P243" s="510"/>
      <c r="Q243" s="510"/>
      <c r="R243" s="510"/>
      <c r="S243" s="510"/>
      <c r="T243" s="511"/>
      <c r="U243" s="531">
        <v>12607500</v>
      </c>
      <c r="V243" s="531">
        <v>12753451</v>
      </c>
      <c r="W243" s="531">
        <v>12900626</v>
      </c>
      <c r="X243" s="490"/>
      <c r="Y243" s="969"/>
      <c r="Z243" s="969"/>
      <c r="AA243" s="969"/>
      <c r="AB243" s="969"/>
      <c r="AC243" s="969"/>
      <c r="AD243" s="969"/>
      <c r="AE243" s="969" t="str">
        <f t="shared" si="10"/>
        <v>TheewaterskloofTotal Revenue (excluding capital transfers and contributions)</v>
      </c>
      <c r="AF243" s="975"/>
      <c r="AG243" s="976"/>
    </row>
    <row r="244" spans="2:33" ht="13.2" customHeight="1" x14ac:dyDescent="0.55000000000000004">
      <c r="B244" s="371"/>
      <c r="C244" s="1009" t="s">
        <v>733</v>
      </c>
      <c r="D244" s="361" t="str">
        <f t="shared" si="11"/>
        <v>Community and social services3000</v>
      </c>
      <c r="E244" s="361" t="str">
        <f t="shared" si="9"/>
        <v>TheewaterskloofCommunity and social servicesR</v>
      </c>
      <c r="F244" s="360" t="str">
        <f>'PART C- Municipal Details'!$G$7</f>
        <v>Theewaterskloof</v>
      </c>
      <c r="G244" s="361" t="s">
        <v>803</v>
      </c>
      <c r="H244" s="363" t="s">
        <v>804</v>
      </c>
      <c r="I244" s="496" t="s">
        <v>649</v>
      </c>
      <c r="J244" s="497" t="s">
        <v>13</v>
      </c>
      <c r="K244" s="490"/>
      <c r="L244" s="505" t="s">
        <v>22</v>
      </c>
      <c r="M244" s="506"/>
      <c r="N244" s="507"/>
      <c r="O244" s="507"/>
      <c r="P244" s="507"/>
      <c r="Q244" s="507"/>
      <c r="R244" s="507"/>
      <c r="S244" s="507"/>
      <c r="T244" s="507"/>
      <c r="U244" s="531">
        <v>0</v>
      </c>
      <c r="V244" s="531">
        <v>0</v>
      </c>
      <c r="W244" s="531">
        <v>0</v>
      </c>
      <c r="X244" s="490"/>
      <c r="Y244" s="969"/>
      <c r="Z244" s="969"/>
      <c r="AA244" s="969"/>
      <c r="AB244" s="969"/>
      <c r="AC244" s="969"/>
      <c r="AD244" s="969"/>
      <c r="AE244" s="969" t="str">
        <f t="shared" si="10"/>
        <v>TheewaterskloofExpenditure</v>
      </c>
      <c r="AF244" s="975"/>
      <c r="AG244" s="976"/>
    </row>
    <row r="245" spans="2:33" ht="13.2" customHeight="1" x14ac:dyDescent="0.55000000000000004">
      <c r="B245" s="371"/>
      <c r="C245" s="1010" t="s">
        <v>735</v>
      </c>
      <c r="D245" s="360" t="str">
        <f t="shared" si="11"/>
        <v>Community and social services3100</v>
      </c>
      <c r="E245" s="360" t="str">
        <f t="shared" si="9"/>
        <v>TheewaterskloofCommunity and social servicesEmployee related costs</v>
      </c>
      <c r="F245" s="360" t="str">
        <f>'PART C- Municipal Details'!$G$7</f>
        <v>Theewaterskloof</v>
      </c>
      <c r="G245" s="360" t="s">
        <v>803</v>
      </c>
      <c r="H245" s="366" t="s">
        <v>804</v>
      </c>
      <c r="I245" s="496" t="s">
        <v>8</v>
      </c>
      <c r="J245" s="497" t="s">
        <v>734</v>
      </c>
      <c r="K245" s="490"/>
      <c r="L245" s="463" t="s">
        <v>8</v>
      </c>
      <c r="M245" s="459"/>
      <c r="N245" s="461"/>
      <c r="O245" s="461"/>
      <c r="P245" s="461"/>
      <c r="Q245" s="461"/>
      <c r="R245" s="461"/>
      <c r="S245" s="461"/>
      <c r="T245" s="461"/>
      <c r="U245" s="530">
        <v>10894923</v>
      </c>
      <c r="V245" s="530">
        <v>11265348</v>
      </c>
      <c r="W245" s="530">
        <v>11625838</v>
      </c>
      <c r="X245" s="490"/>
      <c r="Y245" s="969"/>
      <c r="Z245" s="969"/>
      <c r="AA245" s="969"/>
      <c r="AB245" s="969"/>
      <c r="AC245" s="969"/>
      <c r="AD245" s="969"/>
      <c r="AE245" s="969" t="str">
        <f t="shared" si="10"/>
        <v>TheewaterskloofEmployee related costs</v>
      </c>
      <c r="AF245" s="975"/>
      <c r="AG245" s="976"/>
    </row>
    <row r="246" spans="2:33" ht="13.2" customHeight="1" x14ac:dyDescent="0.55000000000000004">
      <c r="B246" s="371"/>
      <c r="C246" s="1010" t="s">
        <v>737</v>
      </c>
      <c r="D246" s="361" t="str">
        <f t="shared" si="11"/>
        <v>Community and social services3200</v>
      </c>
      <c r="E246" s="361" t="str">
        <f t="shared" si="9"/>
        <v>TheewaterskloofCommunity and social servicesRemuneration of councillors</v>
      </c>
      <c r="F246" s="360" t="str">
        <f>'PART C- Municipal Details'!$G$7</f>
        <v>Theewaterskloof</v>
      </c>
      <c r="G246" s="361" t="s">
        <v>803</v>
      </c>
      <c r="H246" s="363" t="s">
        <v>804</v>
      </c>
      <c r="I246" s="496" t="s">
        <v>9</v>
      </c>
      <c r="J246" s="497" t="s">
        <v>736</v>
      </c>
      <c r="K246" s="490"/>
      <c r="L246" s="463" t="s">
        <v>9</v>
      </c>
      <c r="M246" s="459"/>
      <c r="N246" s="461"/>
      <c r="O246" s="461"/>
      <c r="P246" s="461"/>
      <c r="Q246" s="461"/>
      <c r="R246" s="461"/>
      <c r="S246" s="461"/>
      <c r="T246" s="461"/>
      <c r="U246" s="530">
        <v>0</v>
      </c>
      <c r="V246" s="530">
        <v>0</v>
      </c>
      <c r="W246" s="530">
        <v>0</v>
      </c>
      <c r="X246" s="490"/>
      <c r="Y246" s="969"/>
      <c r="Z246" s="969"/>
      <c r="AA246" s="969"/>
      <c r="AB246" s="969"/>
      <c r="AC246" s="969"/>
      <c r="AD246" s="969"/>
      <c r="AE246" s="969" t="str">
        <f t="shared" si="10"/>
        <v>TheewaterskloofRemuneration of councillors</v>
      </c>
      <c r="AF246" s="975"/>
      <c r="AG246" s="976"/>
    </row>
    <row r="247" spans="2:33" ht="13.2" customHeight="1" x14ac:dyDescent="0.55000000000000004">
      <c r="B247" s="371"/>
      <c r="C247" s="1010" t="s">
        <v>738</v>
      </c>
      <c r="D247" s="360" t="str">
        <f t="shared" si="11"/>
        <v>Community and social services3300</v>
      </c>
      <c r="E247" s="360" t="str">
        <f t="shared" si="9"/>
        <v>TheewaterskloofCommunity and social servicesBulk purchases - electricity</v>
      </c>
      <c r="F247" s="360" t="str">
        <f>'PART C- Municipal Details'!$G$7</f>
        <v>Theewaterskloof</v>
      </c>
      <c r="G247" s="360" t="s">
        <v>803</v>
      </c>
      <c r="H247" s="366" t="s">
        <v>804</v>
      </c>
      <c r="I247" s="496" t="s">
        <v>724</v>
      </c>
      <c r="J247" s="497" t="s">
        <v>710</v>
      </c>
      <c r="K247" s="490"/>
      <c r="L247" s="463" t="s">
        <v>724</v>
      </c>
      <c r="M247" s="459"/>
      <c r="N247" s="461"/>
      <c r="O247" s="461"/>
      <c r="P247" s="461"/>
      <c r="Q247" s="461"/>
      <c r="R247" s="461"/>
      <c r="S247" s="461"/>
      <c r="T247" s="461"/>
      <c r="U247" s="530">
        <v>0</v>
      </c>
      <c r="V247" s="530">
        <v>0</v>
      </c>
      <c r="W247" s="530">
        <v>0</v>
      </c>
      <c r="X247" s="490"/>
      <c r="Y247" s="969"/>
      <c r="Z247" s="969"/>
      <c r="AA247" s="969"/>
      <c r="AB247" s="969"/>
      <c r="AC247" s="969"/>
      <c r="AD247" s="969"/>
      <c r="AE247" s="969" t="str">
        <f t="shared" si="10"/>
        <v>TheewaterskloofBulk purchases - electricity</v>
      </c>
      <c r="AF247" s="975"/>
      <c r="AG247" s="976"/>
    </row>
    <row r="248" spans="2:33" ht="13.2" customHeight="1" x14ac:dyDescent="0.55000000000000004">
      <c r="B248" s="371"/>
      <c r="C248" s="1010" t="s">
        <v>739</v>
      </c>
      <c r="D248" s="361" t="str">
        <f t="shared" si="11"/>
        <v>Community and social services3400</v>
      </c>
      <c r="E248" s="361" t="str">
        <f t="shared" si="9"/>
        <v>TheewaterskloofCommunity and social servicesInventory consumed</v>
      </c>
      <c r="F248" s="360" t="str">
        <f>'PART C- Municipal Details'!$G$7</f>
        <v>Theewaterskloof</v>
      </c>
      <c r="G248" s="361" t="s">
        <v>803</v>
      </c>
      <c r="H248" s="363" t="s">
        <v>804</v>
      </c>
      <c r="I248" s="496" t="s">
        <v>726</v>
      </c>
      <c r="J248" s="497" t="s">
        <v>635</v>
      </c>
      <c r="K248" s="490"/>
      <c r="L248" s="463" t="s">
        <v>726</v>
      </c>
      <c r="M248" s="459"/>
      <c r="N248" s="461"/>
      <c r="O248" s="461"/>
      <c r="P248" s="461"/>
      <c r="Q248" s="461"/>
      <c r="R248" s="461"/>
      <c r="S248" s="461"/>
      <c r="T248" s="461"/>
      <c r="U248" s="530">
        <v>301738</v>
      </c>
      <c r="V248" s="530">
        <v>311997</v>
      </c>
      <c r="W248" s="530">
        <v>321982</v>
      </c>
      <c r="X248" s="490"/>
      <c r="Y248" s="969"/>
      <c r="Z248" s="969"/>
      <c r="AA248" s="969"/>
      <c r="AB248" s="969"/>
      <c r="AC248" s="969"/>
      <c r="AD248" s="969"/>
      <c r="AE248" s="969" t="str">
        <f t="shared" si="10"/>
        <v>TheewaterskloofInventory consumed</v>
      </c>
      <c r="AF248" s="975"/>
      <c r="AG248" s="976"/>
    </row>
    <row r="249" spans="2:33" ht="13.2" customHeight="1" x14ac:dyDescent="0.55000000000000004">
      <c r="B249" s="371"/>
      <c r="C249" s="1010" t="s">
        <v>741</v>
      </c>
      <c r="D249" s="360" t="str">
        <f t="shared" si="11"/>
        <v>Community and social services3500</v>
      </c>
      <c r="E249" s="360" t="str">
        <f t="shared" si="9"/>
        <v>TheewaterskloofCommunity and social servicesDebt impairment</v>
      </c>
      <c r="F249" s="360" t="str">
        <f>'PART C- Municipal Details'!$G$7</f>
        <v>Theewaterskloof</v>
      </c>
      <c r="G249" s="360" t="s">
        <v>803</v>
      </c>
      <c r="H249" s="366" t="s">
        <v>804</v>
      </c>
      <c r="I249" s="496" t="s">
        <v>10</v>
      </c>
      <c r="J249" s="497" t="s">
        <v>740</v>
      </c>
      <c r="K249" s="490"/>
      <c r="L249" s="463" t="s">
        <v>10</v>
      </c>
      <c r="M249" s="459"/>
      <c r="N249" s="461"/>
      <c r="O249" s="461"/>
      <c r="P249" s="461"/>
      <c r="Q249" s="461"/>
      <c r="R249" s="461"/>
      <c r="S249" s="461"/>
      <c r="T249" s="461"/>
      <c r="U249" s="530">
        <v>0</v>
      </c>
      <c r="V249" s="530">
        <v>0</v>
      </c>
      <c r="W249" s="530">
        <v>0</v>
      </c>
      <c r="X249" s="490"/>
      <c r="Y249" s="969"/>
      <c r="Z249" s="969"/>
      <c r="AA249" s="969"/>
      <c r="AB249" s="969"/>
      <c r="AC249" s="969"/>
      <c r="AD249" s="969"/>
      <c r="AE249" s="969" t="str">
        <f t="shared" si="10"/>
        <v>TheewaterskloofDebt impairment</v>
      </c>
      <c r="AF249" s="975"/>
      <c r="AG249" s="976"/>
    </row>
    <row r="250" spans="2:33" ht="13.2" customHeight="1" x14ac:dyDescent="0.55000000000000004">
      <c r="B250" s="371"/>
      <c r="C250" s="1010" t="s">
        <v>743</v>
      </c>
      <c r="D250" s="361" t="str">
        <f t="shared" si="11"/>
        <v>Community and social services3600</v>
      </c>
      <c r="E250" s="361" t="str">
        <f t="shared" si="9"/>
        <v>TheewaterskloofCommunity and social servicesDepreciation and asset impairment</v>
      </c>
      <c r="F250" s="360" t="str">
        <f>'PART C- Municipal Details'!$G$7</f>
        <v>Theewaterskloof</v>
      </c>
      <c r="G250" s="361" t="s">
        <v>803</v>
      </c>
      <c r="H250" s="363" t="s">
        <v>804</v>
      </c>
      <c r="I250" s="496" t="s">
        <v>720</v>
      </c>
      <c r="J250" s="497" t="s">
        <v>742</v>
      </c>
      <c r="K250" s="490"/>
      <c r="L250" s="463" t="s">
        <v>745</v>
      </c>
      <c r="M250" s="459"/>
      <c r="N250" s="461"/>
      <c r="O250" s="461"/>
      <c r="P250" s="461"/>
      <c r="Q250" s="461"/>
      <c r="R250" s="461"/>
      <c r="S250" s="461"/>
      <c r="T250" s="461"/>
      <c r="U250" s="530">
        <v>0</v>
      </c>
      <c r="V250" s="530">
        <v>0</v>
      </c>
      <c r="W250" s="530">
        <v>0</v>
      </c>
      <c r="X250" s="490"/>
      <c r="Y250" s="969"/>
      <c r="Z250" s="969"/>
      <c r="AA250" s="969"/>
      <c r="AB250" s="969"/>
      <c r="AC250" s="969"/>
      <c r="AD250" s="969"/>
      <c r="AE250" s="969" t="str">
        <f t="shared" si="10"/>
        <v>TheewaterskloofDepreciation and amortisation</v>
      </c>
      <c r="AF250" s="975"/>
      <c r="AG250" s="976"/>
    </row>
    <row r="251" spans="2:33" ht="13.2" customHeight="1" x14ac:dyDescent="0.55000000000000004">
      <c r="B251" s="371"/>
      <c r="C251" s="1010" t="s">
        <v>746</v>
      </c>
      <c r="D251" s="360" t="str">
        <f t="shared" si="11"/>
        <v>Community and social services3700</v>
      </c>
      <c r="E251" s="360" t="str">
        <f t="shared" si="9"/>
        <v>TheewaterskloofCommunity and social servicesFinance charges</v>
      </c>
      <c r="F251" s="360" t="str">
        <f>'PART C- Municipal Details'!$G$7</f>
        <v>Theewaterskloof</v>
      </c>
      <c r="G251" s="360" t="s">
        <v>803</v>
      </c>
      <c r="H251" s="366" t="s">
        <v>804</v>
      </c>
      <c r="I251" s="496" t="s">
        <v>11</v>
      </c>
      <c r="J251" s="497" t="s">
        <v>744</v>
      </c>
      <c r="K251" s="490"/>
      <c r="L251" s="463" t="s">
        <v>687</v>
      </c>
      <c r="M251" s="459"/>
      <c r="N251" s="461"/>
      <c r="O251" s="461"/>
      <c r="P251" s="461"/>
      <c r="Q251" s="461"/>
      <c r="R251" s="461"/>
      <c r="S251" s="461"/>
      <c r="T251" s="461"/>
      <c r="U251" s="530">
        <v>0</v>
      </c>
      <c r="V251" s="530">
        <v>0</v>
      </c>
      <c r="W251" s="530">
        <v>0</v>
      </c>
      <c r="X251" s="490"/>
      <c r="Y251" s="969"/>
      <c r="Z251" s="969"/>
      <c r="AA251" s="969"/>
      <c r="AB251" s="969"/>
      <c r="AC251" s="969"/>
      <c r="AD251" s="969"/>
      <c r="AE251" s="969" t="str">
        <f t="shared" si="10"/>
        <v>TheewaterskloofInterest</v>
      </c>
      <c r="AF251" s="975"/>
      <c r="AG251" s="976"/>
    </row>
    <row r="252" spans="2:33" ht="13.2" customHeight="1" x14ac:dyDescent="0.55000000000000004">
      <c r="B252" s="371"/>
      <c r="C252" s="1010" t="s">
        <v>748</v>
      </c>
      <c r="D252" s="361" t="str">
        <f t="shared" si="11"/>
        <v>Community and social services3800</v>
      </c>
      <c r="E252" s="361" t="str">
        <f t="shared" si="9"/>
        <v>TheewaterskloofCommunity and social servicesContracted services</v>
      </c>
      <c r="F252" s="360" t="str">
        <f>'PART C- Municipal Details'!$G$7</f>
        <v>Theewaterskloof</v>
      </c>
      <c r="G252" s="361" t="s">
        <v>803</v>
      </c>
      <c r="H252" s="363" t="s">
        <v>804</v>
      </c>
      <c r="I252" s="496" t="s">
        <v>12</v>
      </c>
      <c r="J252" s="497" t="s">
        <v>747</v>
      </c>
      <c r="K252" s="490"/>
      <c r="L252" s="463" t="s">
        <v>12</v>
      </c>
      <c r="M252" s="459"/>
      <c r="N252" s="461"/>
      <c r="O252" s="461"/>
      <c r="P252" s="461"/>
      <c r="Q252" s="461"/>
      <c r="R252" s="461"/>
      <c r="S252" s="461"/>
      <c r="T252" s="461"/>
      <c r="U252" s="530">
        <v>1495602</v>
      </c>
      <c r="V252" s="530">
        <v>1546452</v>
      </c>
      <c r="W252" s="530">
        <v>1595941</v>
      </c>
      <c r="X252" s="490"/>
      <c r="Y252" s="969"/>
      <c r="Z252" s="969"/>
      <c r="AA252" s="969"/>
      <c r="AB252" s="969"/>
      <c r="AC252" s="969"/>
      <c r="AD252" s="969"/>
      <c r="AE252" s="969" t="str">
        <f t="shared" si="10"/>
        <v>TheewaterskloofContracted services</v>
      </c>
      <c r="AF252" s="975"/>
      <c r="AG252" s="976"/>
    </row>
    <row r="253" spans="2:33" ht="13.2" customHeight="1" x14ac:dyDescent="0.55000000000000004">
      <c r="B253" s="371"/>
      <c r="C253" s="1010" t="s">
        <v>750</v>
      </c>
      <c r="D253" s="360" t="str">
        <f t="shared" si="11"/>
        <v>Community and social services3900</v>
      </c>
      <c r="E253" s="360" t="str">
        <f t="shared" si="9"/>
        <v>TheewaterskloofCommunity and social servicesTransfers and subsidies</v>
      </c>
      <c r="F253" s="360" t="str">
        <f>'PART C- Municipal Details'!$G$7</f>
        <v>Theewaterskloof</v>
      </c>
      <c r="G253" s="360" t="s">
        <v>803</v>
      </c>
      <c r="H253" s="366" t="s">
        <v>804</v>
      </c>
      <c r="I253" s="496" t="s">
        <v>204</v>
      </c>
      <c r="J253" s="497" t="s">
        <v>749</v>
      </c>
      <c r="K253" s="490"/>
      <c r="L253" s="463" t="s">
        <v>204</v>
      </c>
      <c r="M253" s="459"/>
      <c r="N253" s="461"/>
      <c r="O253" s="461"/>
      <c r="P253" s="461"/>
      <c r="Q253" s="461"/>
      <c r="R253" s="461"/>
      <c r="S253" s="461"/>
      <c r="T253" s="461"/>
      <c r="U253" s="530">
        <v>0</v>
      </c>
      <c r="V253" s="530">
        <v>0</v>
      </c>
      <c r="W253" s="530">
        <v>0</v>
      </c>
      <c r="X253" s="490"/>
      <c r="Y253" s="969"/>
      <c r="Z253" s="969"/>
      <c r="AA253" s="969"/>
      <c r="AB253" s="969"/>
      <c r="AC253" s="969"/>
      <c r="AD253" s="969"/>
      <c r="AE253" s="969" t="str">
        <f t="shared" si="10"/>
        <v>TheewaterskloofTransfers and subsidies</v>
      </c>
      <c r="AF253" s="975"/>
      <c r="AG253" s="976"/>
    </row>
    <row r="254" spans="2:33" ht="13.2" customHeight="1" x14ac:dyDescent="0.55000000000000004">
      <c r="B254" s="371"/>
      <c r="C254" s="1010" t="s">
        <v>752</v>
      </c>
      <c r="D254" s="361" t="str">
        <f t="shared" si="11"/>
        <v>Community and social services4000</v>
      </c>
      <c r="E254" s="361" t="str">
        <f t="shared" si="9"/>
        <v>TheewaterskloofCommunity and social servicesOther expenditure</v>
      </c>
      <c r="F254" s="360" t="str">
        <f>'PART C- Municipal Details'!$G$7</f>
        <v>Theewaterskloof</v>
      </c>
      <c r="G254" s="361" t="s">
        <v>803</v>
      </c>
      <c r="H254" s="363" t="s">
        <v>804</v>
      </c>
      <c r="I254" s="496" t="s">
        <v>13</v>
      </c>
      <c r="J254" s="497" t="s">
        <v>751</v>
      </c>
      <c r="K254" s="490"/>
      <c r="L254" s="463" t="s">
        <v>754</v>
      </c>
      <c r="M254" s="459"/>
      <c r="N254" s="461"/>
      <c r="O254" s="461"/>
      <c r="P254" s="461"/>
      <c r="Q254" s="461"/>
      <c r="R254" s="461"/>
      <c r="S254" s="461"/>
      <c r="T254" s="461"/>
      <c r="U254" s="530">
        <v>0</v>
      </c>
      <c r="V254" s="530">
        <v>0</v>
      </c>
      <c r="W254" s="530">
        <v>0</v>
      </c>
      <c r="X254" s="490"/>
      <c r="Y254" s="969"/>
      <c r="Z254" s="969"/>
      <c r="AA254" s="969"/>
      <c r="AB254" s="969"/>
      <c r="AC254" s="969"/>
      <c r="AD254" s="969"/>
      <c r="AE254" s="969" t="str">
        <f t="shared" si="10"/>
        <v>TheewaterskloofIrrecoverable debts written off</v>
      </c>
      <c r="AF254" s="975"/>
      <c r="AG254" s="976"/>
    </row>
    <row r="255" spans="2:33" ht="13.2" customHeight="1" x14ac:dyDescent="0.55000000000000004">
      <c r="B255" s="371"/>
      <c r="C255" s="1010" t="s">
        <v>755</v>
      </c>
      <c r="D255" s="360" t="str">
        <f t="shared" si="11"/>
        <v>Community and social services4100</v>
      </c>
      <c r="E255" s="360" t="str">
        <f t="shared" si="9"/>
        <v>TheewaterskloofCommunity and social servicesOther expenditure</v>
      </c>
      <c r="F255" s="360" t="str">
        <f>'PART C- Municipal Details'!$G$7</f>
        <v>Theewaterskloof</v>
      </c>
      <c r="G255" s="360" t="s">
        <v>803</v>
      </c>
      <c r="H255" s="366" t="s">
        <v>804</v>
      </c>
      <c r="I255" s="496" t="s">
        <v>13</v>
      </c>
      <c r="J255" s="497" t="s">
        <v>753</v>
      </c>
      <c r="K255" s="490"/>
      <c r="L255" s="463" t="s">
        <v>757</v>
      </c>
      <c r="M255" s="459"/>
      <c r="N255" s="461"/>
      <c r="O255" s="461"/>
      <c r="P255" s="461"/>
      <c r="Q255" s="461"/>
      <c r="R255" s="461"/>
      <c r="S255" s="461"/>
      <c r="T255" s="461"/>
      <c r="U255" s="530">
        <v>380794</v>
      </c>
      <c r="V255" s="530">
        <v>393741</v>
      </c>
      <c r="W255" s="530">
        <v>406341</v>
      </c>
      <c r="X255" s="490"/>
      <c r="Y255" s="969"/>
      <c r="Z255" s="969"/>
      <c r="AA255" s="969"/>
      <c r="AB255" s="969"/>
      <c r="AC255" s="969"/>
      <c r="AD255" s="969"/>
      <c r="AE255" s="969" t="str">
        <f t="shared" si="10"/>
        <v>TheewaterskloofOperational costs</v>
      </c>
      <c r="AF255" s="975"/>
      <c r="AG255" s="976"/>
    </row>
    <row r="256" spans="2:33" ht="13.2" customHeight="1" x14ac:dyDescent="0.55000000000000004">
      <c r="B256" s="371"/>
      <c r="C256" s="1010" t="s">
        <v>758</v>
      </c>
      <c r="D256" s="361" t="str">
        <f t="shared" si="11"/>
        <v>Community and social services4200</v>
      </c>
      <c r="E256" s="361" t="str">
        <f t="shared" si="9"/>
        <v>TheewaterskloofCommunity and social servicesLosses</v>
      </c>
      <c r="F256" s="360" t="str">
        <f>'PART C- Municipal Details'!$G$7</f>
        <v>Theewaterskloof</v>
      </c>
      <c r="G256" s="361" t="s">
        <v>803</v>
      </c>
      <c r="H256" s="363" t="s">
        <v>804</v>
      </c>
      <c r="I256" s="496" t="s">
        <v>734</v>
      </c>
      <c r="J256" s="497" t="s">
        <v>756</v>
      </c>
      <c r="K256" s="490"/>
      <c r="L256" s="463" t="s">
        <v>760</v>
      </c>
      <c r="M256" s="459"/>
      <c r="N256" s="461"/>
      <c r="O256" s="461"/>
      <c r="P256" s="461"/>
      <c r="Q256" s="461"/>
      <c r="R256" s="461"/>
      <c r="S256" s="461"/>
      <c r="T256" s="461"/>
      <c r="U256" s="530">
        <v>0</v>
      </c>
      <c r="V256" s="530">
        <v>0</v>
      </c>
      <c r="W256" s="530">
        <v>0</v>
      </c>
      <c r="X256" s="490"/>
      <c r="Y256" s="969"/>
      <c r="Z256" s="969"/>
      <c r="AA256" s="969"/>
      <c r="AB256" s="969"/>
      <c r="AC256" s="969"/>
      <c r="AD256" s="969"/>
      <c r="AE256" s="969" t="str">
        <f t="shared" si="10"/>
        <v>TheewaterskloofLosses on disposal of Assets</v>
      </c>
      <c r="AF256" s="975"/>
      <c r="AG256" s="976"/>
    </row>
    <row r="257" spans="2:33" ht="13.2" customHeight="1" x14ac:dyDescent="0.55000000000000004">
      <c r="B257" s="371"/>
      <c r="C257" s="1010" t="s">
        <v>761</v>
      </c>
      <c r="D257" s="360" t="str">
        <f t="shared" si="11"/>
        <v>Community and social services4300</v>
      </c>
      <c r="E257" s="360" t="str">
        <f t="shared" si="9"/>
        <v>TheewaterskloofCommunity and social servicesOther expenditure</v>
      </c>
      <c r="F257" s="360" t="str">
        <f>'PART C- Municipal Details'!$G$7</f>
        <v>Theewaterskloof</v>
      </c>
      <c r="G257" s="360" t="s">
        <v>803</v>
      </c>
      <c r="H257" s="366" t="s">
        <v>804</v>
      </c>
      <c r="I257" s="496" t="s">
        <v>13</v>
      </c>
      <c r="J257" s="497" t="s">
        <v>759</v>
      </c>
      <c r="K257" s="490"/>
      <c r="L257" s="463" t="s">
        <v>763</v>
      </c>
      <c r="M257" s="459"/>
      <c r="N257" s="461"/>
      <c r="O257" s="461"/>
      <c r="P257" s="461"/>
      <c r="Q257" s="461"/>
      <c r="R257" s="461"/>
      <c r="S257" s="461"/>
      <c r="T257" s="461"/>
      <c r="U257" s="530">
        <v>0</v>
      </c>
      <c r="V257" s="530">
        <v>0</v>
      </c>
      <c r="W257" s="530">
        <v>0</v>
      </c>
      <c r="X257" s="490"/>
      <c r="Y257" s="969"/>
      <c r="Z257" s="969"/>
      <c r="AA257" s="969"/>
      <c r="AB257" s="969"/>
      <c r="AC257" s="969"/>
      <c r="AD257" s="969"/>
      <c r="AE257" s="969" t="str">
        <f t="shared" si="10"/>
        <v>TheewaterskloofOther Losses</v>
      </c>
      <c r="AF257" s="975"/>
      <c r="AG257" s="976"/>
    </row>
    <row r="258" spans="2:33" ht="13.2" customHeight="1" x14ac:dyDescent="0.55000000000000004">
      <c r="B258" s="371"/>
      <c r="C258" s="1009" t="s">
        <v>764</v>
      </c>
      <c r="D258" s="361" t="str">
        <f t="shared" si="11"/>
        <v>Community and social services4400</v>
      </c>
      <c r="E258" s="361" t="str">
        <f t="shared" si="9"/>
        <v>TheewaterskloofCommunity and social servicesTotal Expenditure</v>
      </c>
      <c r="F258" s="360" t="str">
        <f>'PART C- Municipal Details'!$G$7</f>
        <v>Theewaterskloof</v>
      </c>
      <c r="G258" s="361" t="s">
        <v>803</v>
      </c>
      <c r="H258" s="363" t="s">
        <v>804</v>
      </c>
      <c r="I258" s="496" t="s">
        <v>736</v>
      </c>
      <c r="J258" s="497" t="s">
        <v>762</v>
      </c>
      <c r="K258" s="490"/>
      <c r="L258" s="508" t="s">
        <v>736</v>
      </c>
      <c r="M258" s="509"/>
      <c r="N258" s="510"/>
      <c r="O258" s="510"/>
      <c r="P258" s="510"/>
      <c r="Q258" s="510"/>
      <c r="R258" s="510"/>
      <c r="S258" s="510"/>
      <c r="T258" s="511"/>
      <c r="U258" s="529">
        <v>13073057</v>
      </c>
      <c r="V258" s="529">
        <v>13517538</v>
      </c>
      <c r="W258" s="529">
        <v>13950102</v>
      </c>
      <c r="X258" s="490"/>
      <c r="Y258" s="969"/>
      <c r="Z258" s="969"/>
      <c r="AA258" s="969"/>
      <c r="AB258" s="969"/>
      <c r="AC258" s="969"/>
      <c r="AD258" s="969"/>
      <c r="AE258" s="969" t="str">
        <f t="shared" si="10"/>
        <v>TheewaterskloofTotal Expenditure</v>
      </c>
      <c r="AF258" s="975"/>
      <c r="AG258" s="976"/>
    </row>
    <row r="259" spans="2:33" ht="13.2" customHeight="1" x14ac:dyDescent="0.55000000000000004">
      <c r="B259" s="371"/>
      <c r="C259" s="1009" t="s">
        <v>766</v>
      </c>
      <c r="D259" s="360" t="str">
        <f t="shared" si="11"/>
        <v>Community and social services4500</v>
      </c>
      <c r="E259" s="360" t="str">
        <f t="shared" si="9"/>
        <v>TheewaterskloofCommunity and social servicesSurplus/(Deficit)</v>
      </c>
      <c r="F259" s="360" t="str">
        <f>'PART C- Municipal Details'!$G$7</f>
        <v>Theewaterskloof</v>
      </c>
      <c r="G259" s="360" t="s">
        <v>803</v>
      </c>
      <c r="H259" s="366" t="s">
        <v>804</v>
      </c>
      <c r="I259" s="496" t="s">
        <v>635</v>
      </c>
      <c r="J259" s="497" t="s">
        <v>765</v>
      </c>
      <c r="K259" s="490"/>
      <c r="L259" s="463" t="s">
        <v>635</v>
      </c>
      <c r="M259" s="459"/>
      <c r="N259" s="459"/>
      <c r="O259" s="459"/>
      <c r="P259" s="459"/>
      <c r="Q259" s="459"/>
      <c r="R259" s="459"/>
      <c r="S259" s="459"/>
      <c r="T259" s="459"/>
      <c r="U259" s="530">
        <v>-465557</v>
      </c>
      <c r="V259" s="530">
        <v>-764087</v>
      </c>
      <c r="W259" s="530">
        <v>-1049476</v>
      </c>
      <c r="X259" s="490"/>
      <c r="Y259" s="969"/>
      <c r="Z259" s="969"/>
      <c r="AA259" s="969"/>
      <c r="AB259" s="969"/>
      <c r="AC259" s="969"/>
      <c r="AD259" s="969"/>
      <c r="AE259" s="969" t="str">
        <f t="shared" si="10"/>
        <v>TheewaterskloofSurplus/(Deficit)</v>
      </c>
      <c r="AF259" s="975"/>
      <c r="AG259" s="976"/>
    </row>
    <row r="260" spans="2:33" ht="13.2" customHeight="1" x14ac:dyDescent="0.55000000000000004">
      <c r="B260" s="371"/>
      <c r="C260" s="1010" t="s">
        <v>768</v>
      </c>
      <c r="D260" s="361" t="str">
        <f t="shared" si="11"/>
        <v>Community and social services4600</v>
      </c>
      <c r="E260" s="361" t="str">
        <f t="shared" si="9"/>
        <v>TheewaterskloofCommunity and social servicesTransfers and subsidies - capital (monetary allocations) (National / Provincial and District)</v>
      </c>
      <c r="F260" s="360" t="str">
        <f>'PART C- Municipal Details'!$G$7</f>
        <v>Theewaterskloof</v>
      </c>
      <c r="G260" s="361" t="s">
        <v>803</v>
      </c>
      <c r="H260" s="363" t="s">
        <v>804</v>
      </c>
      <c r="I260" s="496" t="s">
        <v>740</v>
      </c>
      <c r="J260" s="497" t="s">
        <v>767</v>
      </c>
      <c r="K260" s="490"/>
      <c r="L260" s="463" t="s">
        <v>770</v>
      </c>
      <c r="M260" s="459"/>
      <c r="N260" s="459"/>
      <c r="O260" s="459"/>
      <c r="P260" s="459"/>
      <c r="Q260" s="459"/>
      <c r="R260" s="459"/>
      <c r="S260" s="459"/>
      <c r="T260" s="459"/>
      <c r="U260" s="530">
        <v>0</v>
      </c>
      <c r="V260" s="530">
        <v>0</v>
      </c>
      <c r="W260" s="530">
        <v>0</v>
      </c>
      <c r="X260" s="490"/>
      <c r="Y260" s="969"/>
      <c r="Z260" s="969"/>
      <c r="AA260" s="969"/>
      <c r="AB260" s="969"/>
      <c r="AC260" s="969"/>
      <c r="AD260" s="969"/>
      <c r="AE260" s="969" t="str">
        <f t="shared" si="10"/>
        <v>TheewaterskloofTransfers and subsidies - capital (monetary allocations)</v>
      </c>
      <c r="AF260" s="975"/>
      <c r="AG260" s="976"/>
    </row>
    <row r="261" spans="2:33" ht="13.2" customHeight="1" x14ac:dyDescent="0.55000000000000004">
      <c r="B261" s="371"/>
      <c r="C261" s="1010" t="s">
        <v>771</v>
      </c>
      <c r="D261" s="360" t="str">
        <f t="shared" si="11"/>
        <v>Community and social services4700</v>
      </c>
      <c r="E261" s="360" t="str">
        <f t="shared" si="9"/>
        <v>TheewaterskloofCommunity and social servicesTransfers and subsidies - capital (in-kind - all)</v>
      </c>
      <c r="F261" s="360" t="str">
        <f>'PART C- Municipal Details'!$G$7</f>
        <v>Theewaterskloof</v>
      </c>
      <c r="G261" s="360" t="s">
        <v>803</v>
      </c>
      <c r="H261" s="366" t="s">
        <v>804</v>
      </c>
      <c r="I261" s="496" t="s">
        <v>744</v>
      </c>
      <c r="J261" s="497" t="s">
        <v>769</v>
      </c>
      <c r="K261" s="490"/>
      <c r="L261" s="463" t="s">
        <v>773</v>
      </c>
      <c r="M261" s="459"/>
      <c r="N261" s="459"/>
      <c r="O261" s="459"/>
      <c r="P261" s="459"/>
      <c r="Q261" s="459"/>
      <c r="R261" s="459"/>
      <c r="S261" s="459"/>
      <c r="T261" s="459"/>
      <c r="U261" s="530">
        <v>0</v>
      </c>
      <c r="V261" s="530">
        <v>0</v>
      </c>
      <c r="W261" s="530">
        <v>0</v>
      </c>
      <c r="X261" s="490"/>
      <c r="Y261" s="969"/>
      <c r="Z261" s="969"/>
      <c r="AA261" s="969"/>
      <c r="AB261" s="969"/>
      <c r="AC261" s="969"/>
      <c r="AD261" s="969"/>
      <c r="AE261" s="969" t="str">
        <f t="shared" si="10"/>
        <v>TheewaterskloofTransfers and subsidies - capital (in-kind)</v>
      </c>
      <c r="AF261" s="975"/>
      <c r="AG261" s="976"/>
    </row>
    <row r="262" spans="2:33" ht="13.2" customHeight="1" x14ac:dyDescent="0.55000000000000004">
      <c r="B262" s="371"/>
      <c r="C262" s="1009" t="s">
        <v>774</v>
      </c>
      <c r="D262" s="361" t="str">
        <f t="shared" si="11"/>
        <v>Community and social services4800</v>
      </c>
      <c r="E262" s="361" t="str">
        <f t="shared" si="9"/>
        <v>TheewaterskloofCommunity and social servicesSurplus/(Deficit) after capital transfers and contributions</v>
      </c>
      <c r="F262" s="360" t="str">
        <f>'PART C- Municipal Details'!$G$7</f>
        <v>Theewaterskloof</v>
      </c>
      <c r="G262" s="361" t="s">
        <v>803</v>
      </c>
      <c r="H262" s="363" t="s">
        <v>804</v>
      </c>
      <c r="I262" s="496" t="s">
        <v>747</v>
      </c>
      <c r="J262" s="497" t="s">
        <v>772</v>
      </c>
      <c r="K262" s="490"/>
      <c r="L262" s="463" t="s">
        <v>747</v>
      </c>
      <c r="M262" s="459"/>
      <c r="N262" s="459"/>
      <c r="O262" s="459"/>
      <c r="P262" s="459"/>
      <c r="Q262" s="459"/>
      <c r="R262" s="459"/>
      <c r="S262" s="459"/>
      <c r="T262" s="459"/>
      <c r="U262" s="530">
        <v>-465557</v>
      </c>
      <c r="V262" s="530">
        <v>-764087</v>
      </c>
      <c r="W262" s="530">
        <v>-1049476</v>
      </c>
      <c r="X262" s="490"/>
      <c r="Y262" s="969"/>
      <c r="Z262" s="969"/>
      <c r="AA262" s="969"/>
      <c r="AB262" s="969"/>
      <c r="AC262" s="969"/>
      <c r="AD262" s="969"/>
      <c r="AE262" s="969" t="str">
        <f t="shared" si="10"/>
        <v>TheewaterskloofSurplus/(Deficit) after capital transfers and contributions</v>
      </c>
      <c r="AF262" s="975"/>
      <c r="AG262" s="976"/>
    </row>
    <row r="263" spans="2:33" ht="13.2" customHeight="1" x14ac:dyDescent="0.55000000000000004">
      <c r="B263" s="371"/>
      <c r="C263" s="1010" t="s">
        <v>776</v>
      </c>
      <c r="D263" s="360" t="str">
        <f t="shared" si="11"/>
        <v>Community and social services4900</v>
      </c>
      <c r="E263" s="360" t="str">
        <f t="shared" si="9"/>
        <v>TheewaterskloofCommunity and social servicesTaxation</v>
      </c>
      <c r="F263" s="360" t="str">
        <f>'PART C- Municipal Details'!$G$7</f>
        <v>Theewaterskloof</v>
      </c>
      <c r="G263" s="360" t="s">
        <v>803</v>
      </c>
      <c r="H263" s="366" t="s">
        <v>804</v>
      </c>
      <c r="I263" s="496" t="s">
        <v>749</v>
      </c>
      <c r="J263" s="497" t="s">
        <v>775</v>
      </c>
      <c r="K263" s="490"/>
      <c r="L263" s="463" t="s">
        <v>778</v>
      </c>
      <c r="M263" s="459"/>
      <c r="N263" s="459"/>
      <c r="O263" s="459"/>
      <c r="P263" s="459"/>
      <c r="Q263" s="459"/>
      <c r="R263" s="459"/>
      <c r="S263" s="459"/>
      <c r="T263" s="459"/>
      <c r="U263" s="530">
        <v>0</v>
      </c>
      <c r="V263" s="530">
        <v>0</v>
      </c>
      <c r="W263" s="530">
        <v>0</v>
      </c>
      <c r="X263" s="490"/>
      <c r="Y263" s="969"/>
      <c r="Z263" s="969"/>
      <c r="AA263" s="969"/>
      <c r="AB263" s="969"/>
      <c r="AC263" s="969"/>
      <c r="AD263" s="969"/>
      <c r="AE263" s="969" t="str">
        <f t="shared" si="10"/>
        <v>TheewaterskloofIncome Tax</v>
      </c>
      <c r="AF263" s="975"/>
      <c r="AG263" s="976"/>
    </row>
    <row r="264" spans="2:33" ht="13.2" customHeight="1" x14ac:dyDescent="0.55000000000000004">
      <c r="B264" s="371"/>
      <c r="C264" s="1009" t="s">
        <v>779</v>
      </c>
      <c r="D264" s="361" t="str">
        <f t="shared" si="11"/>
        <v>Community and social services5000</v>
      </c>
      <c r="E264" s="361" t="str">
        <f t="shared" si="9"/>
        <v>TheewaterskloofCommunity and social servicesSurplus/(Deficit) after taxation</v>
      </c>
      <c r="F264" s="360" t="str">
        <f>'PART C- Municipal Details'!$G$7</f>
        <v>Theewaterskloof</v>
      </c>
      <c r="G264" s="361" t="s">
        <v>803</v>
      </c>
      <c r="H264" s="363" t="s">
        <v>804</v>
      </c>
      <c r="I264" s="496" t="s">
        <v>751</v>
      </c>
      <c r="J264" s="497" t="s">
        <v>777</v>
      </c>
      <c r="K264" s="490"/>
      <c r="L264" s="463" t="s">
        <v>781</v>
      </c>
      <c r="M264" s="459"/>
      <c r="N264" s="459"/>
      <c r="O264" s="459"/>
      <c r="P264" s="459"/>
      <c r="Q264" s="459"/>
      <c r="R264" s="459"/>
      <c r="S264" s="459"/>
      <c r="T264" s="459"/>
      <c r="U264" s="530">
        <v>-465557</v>
      </c>
      <c r="V264" s="530">
        <v>-764087</v>
      </c>
      <c r="W264" s="530">
        <v>-1049476</v>
      </c>
      <c r="X264" s="490"/>
      <c r="Y264" s="969"/>
      <c r="Z264" s="969"/>
      <c r="AA264" s="969"/>
      <c r="AB264" s="969"/>
      <c r="AC264" s="969"/>
      <c r="AD264" s="969"/>
      <c r="AE264" s="969" t="str">
        <f t="shared" si="10"/>
        <v>TheewaterskloofSurplus/(Deficit) after income tax</v>
      </c>
      <c r="AF264" s="975"/>
      <c r="AG264" s="976"/>
    </row>
    <row r="265" spans="2:33" ht="13.2" customHeight="1" x14ac:dyDescent="0.55000000000000004">
      <c r="B265" s="371"/>
      <c r="C265" s="1010" t="s">
        <v>782</v>
      </c>
      <c r="D265" s="360" t="str">
        <f t="shared" si="11"/>
        <v>Community and social services5100</v>
      </c>
      <c r="E265" s="360" t="str">
        <f t="shared" ref="E265:E329" si="12">F265&amp;H265&amp;I265</f>
        <v>TheewaterskloofCommunity and social servicesShare of Surplus/Deficit attributable to Joint Venture</v>
      </c>
      <c r="F265" s="360" t="str">
        <f>'PART C- Municipal Details'!$G$7</f>
        <v>Theewaterskloof</v>
      </c>
      <c r="G265" s="360" t="s">
        <v>803</v>
      </c>
      <c r="H265" s="366" t="s">
        <v>804</v>
      </c>
      <c r="I265" s="496" t="s">
        <v>783</v>
      </c>
      <c r="J265" s="497" t="s">
        <v>780</v>
      </c>
      <c r="K265" s="490"/>
      <c r="L265" s="463" t="s">
        <v>783</v>
      </c>
      <c r="M265" s="459"/>
      <c r="N265" s="459"/>
      <c r="O265" s="459"/>
      <c r="P265" s="459"/>
      <c r="Q265" s="459"/>
      <c r="R265" s="459"/>
      <c r="S265" s="459"/>
      <c r="T265" s="459"/>
      <c r="U265" s="530">
        <v>0</v>
      </c>
      <c r="V265" s="530">
        <v>0</v>
      </c>
      <c r="W265" s="530">
        <v>0</v>
      </c>
      <c r="X265" s="490"/>
      <c r="Y265" s="969"/>
      <c r="Z265" s="969"/>
      <c r="AA265" s="969"/>
      <c r="AB265" s="969"/>
      <c r="AC265" s="969"/>
      <c r="AD265" s="969"/>
      <c r="AE265" s="969" t="str">
        <f t="shared" ref="AE265:AE329" si="13">F265&amp;L265</f>
        <v>TheewaterskloofShare of Surplus/Deficit attributable to Joint Venture</v>
      </c>
      <c r="AF265" s="975"/>
      <c r="AG265" s="976"/>
    </row>
    <row r="266" spans="2:33" ht="13.2" customHeight="1" x14ac:dyDescent="0.55000000000000004">
      <c r="B266" s="371"/>
      <c r="C266" s="1010" t="s">
        <v>785</v>
      </c>
      <c r="D266" s="361" t="str">
        <f t="shared" si="11"/>
        <v>Community and social services5200</v>
      </c>
      <c r="E266" s="361" t="str">
        <f t="shared" si="12"/>
        <v>TheewaterskloofCommunity and social servicesAttributable to minorities</v>
      </c>
      <c r="F266" s="360" t="str">
        <f>'PART C- Municipal Details'!$G$7</f>
        <v>Theewaterskloof</v>
      </c>
      <c r="G266" s="361" t="s">
        <v>803</v>
      </c>
      <c r="H266" s="363" t="s">
        <v>804</v>
      </c>
      <c r="I266" s="496" t="s">
        <v>753</v>
      </c>
      <c r="J266" s="497" t="s">
        <v>784</v>
      </c>
      <c r="K266" s="490"/>
      <c r="L266" s="463" t="s">
        <v>787</v>
      </c>
      <c r="M266" s="459"/>
      <c r="N266" s="459"/>
      <c r="O266" s="459"/>
      <c r="P266" s="459"/>
      <c r="Q266" s="459"/>
      <c r="R266" s="459"/>
      <c r="S266" s="459"/>
      <c r="T266" s="459"/>
      <c r="U266" s="530">
        <v>0</v>
      </c>
      <c r="V266" s="530">
        <v>0</v>
      </c>
      <c r="W266" s="530">
        <v>0</v>
      </c>
      <c r="X266" s="490"/>
      <c r="Y266" s="969"/>
      <c r="Z266" s="969"/>
      <c r="AA266" s="969"/>
      <c r="AB266" s="969"/>
      <c r="AC266" s="969"/>
      <c r="AD266" s="969"/>
      <c r="AE266" s="969" t="str">
        <f t="shared" si="13"/>
        <v>TheewaterskloofShare of Surplus/Deficit attributable to Minorities</v>
      </c>
      <c r="AF266" s="975"/>
      <c r="AG266" s="976"/>
    </row>
    <row r="267" spans="2:33" ht="13.2" customHeight="1" x14ac:dyDescent="0.55000000000000004">
      <c r="B267" s="371"/>
      <c r="C267" s="1009" t="s">
        <v>788</v>
      </c>
      <c r="D267" s="360" t="str">
        <f t="shared" si="11"/>
        <v>Community and social services5300</v>
      </c>
      <c r="E267" s="360" t="str">
        <f t="shared" si="12"/>
        <v>TheewaterskloofCommunity and social servicesSurplus/(Deficit) attributable to municipality</v>
      </c>
      <c r="F267" s="360" t="str">
        <f>'PART C- Municipal Details'!$G$7</f>
        <v>Theewaterskloof</v>
      </c>
      <c r="G267" s="360" t="s">
        <v>803</v>
      </c>
      <c r="H267" s="366" t="s">
        <v>804</v>
      </c>
      <c r="I267" s="496" t="s">
        <v>756</v>
      </c>
      <c r="J267" s="497" t="s">
        <v>786</v>
      </c>
      <c r="K267" s="490"/>
      <c r="L267" s="463" t="s">
        <v>756</v>
      </c>
      <c r="M267" s="459"/>
      <c r="N267" s="459"/>
      <c r="O267" s="459"/>
      <c r="P267" s="459"/>
      <c r="Q267" s="459"/>
      <c r="R267" s="459"/>
      <c r="S267" s="459"/>
      <c r="T267" s="459"/>
      <c r="U267" s="530">
        <v>-465557</v>
      </c>
      <c r="V267" s="530">
        <v>-764087</v>
      </c>
      <c r="W267" s="530">
        <v>-1049476</v>
      </c>
      <c r="X267" s="490"/>
      <c r="Y267" s="969"/>
      <c r="Z267" s="969"/>
      <c r="AA267" s="969"/>
      <c r="AB267" s="969"/>
      <c r="AC267" s="969"/>
      <c r="AD267" s="969"/>
      <c r="AE267" s="969" t="str">
        <f t="shared" si="13"/>
        <v>TheewaterskloofSurplus/(Deficit) attributable to municipality</v>
      </c>
      <c r="AF267" s="975"/>
      <c r="AG267" s="976"/>
    </row>
    <row r="268" spans="2:33" ht="13.2" customHeight="1" x14ac:dyDescent="0.55000000000000004">
      <c r="B268" s="371"/>
      <c r="C268" s="1010" t="s">
        <v>790</v>
      </c>
      <c r="D268" s="361" t="str">
        <f t="shared" ref="D268:D332" si="14">H268&amp;C268</f>
        <v>Community and social services5400</v>
      </c>
      <c r="E268" s="361" t="str">
        <f t="shared" si="12"/>
        <v>TheewaterskloofCommunity and social servicesShare of surplus/ (deficit) of associate</v>
      </c>
      <c r="F268" s="360" t="str">
        <f>'PART C- Municipal Details'!$G$7</f>
        <v>Theewaterskloof</v>
      </c>
      <c r="G268" s="361" t="s">
        <v>803</v>
      </c>
      <c r="H268" s="363" t="s">
        <v>804</v>
      </c>
      <c r="I268" s="496" t="s">
        <v>759</v>
      </c>
      <c r="J268" s="497" t="s">
        <v>789</v>
      </c>
      <c r="K268" s="490"/>
      <c r="L268" s="463" t="s">
        <v>791</v>
      </c>
      <c r="M268" s="459"/>
      <c r="N268" s="459"/>
      <c r="O268" s="459"/>
      <c r="P268" s="459"/>
      <c r="Q268" s="459"/>
      <c r="R268" s="459"/>
      <c r="S268" s="459"/>
      <c r="T268" s="459"/>
      <c r="U268" s="530">
        <v>0</v>
      </c>
      <c r="V268" s="530">
        <v>0</v>
      </c>
      <c r="W268" s="530">
        <v>0</v>
      </c>
      <c r="X268" s="490"/>
      <c r="Y268" s="969"/>
      <c r="Z268" s="969"/>
      <c r="AA268" s="969"/>
      <c r="AB268" s="969"/>
      <c r="AC268" s="969"/>
      <c r="AD268" s="969"/>
      <c r="AE268" s="969" t="str">
        <f t="shared" si="13"/>
        <v>TheewaterskloofShare of Surplus/Deficit attributable to Associate</v>
      </c>
      <c r="AF268" s="975"/>
      <c r="AG268" s="976"/>
    </row>
    <row r="269" spans="2:33" ht="13.2" customHeight="1" x14ac:dyDescent="0.55000000000000004">
      <c r="B269" s="371"/>
      <c r="C269" s="1010" t="s">
        <v>792</v>
      </c>
      <c r="D269" s="360" t="str">
        <f t="shared" si="14"/>
        <v>Community and social services5500</v>
      </c>
      <c r="E269" s="360" t="str">
        <f t="shared" si="12"/>
        <v>TheewaterskloofCommunity and social servicesIntercompany/Parent subsidiary transactions</v>
      </c>
      <c r="F269" s="360" t="str">
        <f>'PART C- Municipal Details'!$G$7</f>
        <v>Theewaterskloof</v>
      </c>
      <c r="G269" s="360" t="s">
        <v>803</v>
      </c>
      <c r="H269" s="366" t="s">
        <v>804</v>
      </c>
      <c r="I269" s="496" t="s">
        <v>793</v>
      </c>
      <c r="J269" s="497" t="s">
        <v>789</v>
      </c>
      <c r="K269" s="490"/>
      <c r="L269" s="463" t="s">
        <v>793</v>
      </c>
      <c r="M269" s="459"/>
      <c r="N269" s="459"/>
      <c r="O269" s="459"/>
      <c r="P269" s="459"/>
      <c r="Q269" s="459"/>
      <c r="R269" s="459"/>
      <c r="S269" s="459"/>
      <c r="T269" s="459"/>
      <c r="U269" s="530">
        <v>0</v>
      </c>
      <c r="V269" s="530">
        <v>0</v>
      </c>
      <c r="W269" s="530">
        <v>0</v>
      </c>
      <c r="X269" s="490"/>
      <c r="Y269" s="969"/>
      <c r="Z269" s="969"/>
      <c r="AA269" s="969"/>
      <c r="AB269" s="969"/>
      <c r="AC269" s="969"/>
      <c r="AD269" s="969"/>
      <c r="AE269" s="969" t="str">
        <f t="shared" si="13"/>
        <v>TheewaterskloofIntercompany/Parent subsidiary transactions</v>
      </c>
      <c r="AF269" s="975"/>
      <c r="AG269" s="976"/>
    </row>
    <row r="270" spans="2:33" ht="13.2" customHeight="1" x14ac:dyDescent="0.55000000000000004">
      <c r="B270" s="371"/>
      <c r="C270" s="1009" t="s">
        <v>794</v>
      </c>
      <c r="D270" s="361" t="str">
        <f t="shared" si="14"/>
        <v>Community and social services5600</v>
      </c>
      <c r="E270" s="361" t="str">
        <f t="shared" si="12"/>
        <v>TheewaterskloofCommunity and social servicesSurplus/(Deficit) for the year</v>
      </c>
      <c r="F270" s="360" t="str">
        <f>'PART C- Municipal Details'!$G$7</f>
        <v>Theewaterskloof</v>
      </c>
      <c r="G270" s="361" t="s">
        <v>803</v>
      </c>
      <c r="H270" s="363" t="s">
        <v>804</v>
      </c>
      <c r="I270" s="496" t="s">
        <v>762</v>
      </c>
      <c r="J270" s="497" t="s">
        <v>789</v>
      </c>
      <c r="K270" s="490"/>
      <c r="L270" s="508" t="s">
        <v>762</v>
      </c>
      <c r="M270" s="509"/>
      <c r="N270" s="510"/>
      <c r="O270" s="510"/>
      <c r="P270" s="510"/>
      <c r="Q270" s="510"/>
      <c r="R270" s="510"/>
      <c r="S270" s="510"/>
      <c r="T270" s="511"/>
      <c r="U270" s="530">
        <v>0</v>
      </c>
      <c r="V270" s="530">
        <v>0</v>
      </c>
      <c r="W270" s="530">
        <v>0</v>
      </c>
      <c r="X270" s="490"/>
      <c r="Y270" s="969"/>
      <c r="Z270" s="969"/>
      <c r="AA270" s="969"/>
      <c r="AB270" s="969"/>
      <c r="AC270" s="969"/>
      <c r="AD270" s="969"/>
      <c r="AE270" s="969" t="str">
        <f t="shared" si="13"/>
        <v>TheewaterskloofSurplus/(Deficit) for the year</v>
      </c>
      <c r="AF270" s="975"/>
      <c r="AG270" s="976"/>
    </row>
    <row r="271" spans="2:33" ht="13.2" customHeight="1" x14ac:dyDescent="0.55000000000000004">
      <c r="B271" s="371"/>
      <c r="C271" s="1010">
        <v>55555</v>
      </c>
      <c r="D271" s="360" t="str">
        <f t="shared" si="14"/>
        <v>Community and social services55555</v>
      </c>
      <c r="E271" s="360" t="str">
        <f t="shared" si="12"/>
        <v>TheewaterskloofCommunity and social servicesReferences</v>
      </c>
      <c r="F271" s="360" t="str">
        <f>'PART C- Municipal Details'!$G$7</f>
        <v>Theewaterskloof</v>
      </c>
      <c r="G271" s="360" t="s">
        <v>803</v>
      </c>
      <c r="H271" s="366" t="s">
        <v>804</v>
      </c>
      <c r="I271" s="496" t="s">
        <v>765</v>
      </c>
      <c r="J271" s="497" t="s">
        <v>789</v>
      </c>
      <c r="K271" s="490"/>
      <c r="L271" s="474" t="s">
        <v>765</v>
      </c>
      <c r="M271" s="475"/>
      <c r="N271" s="476"/>
      <c r="O271" s="476"/>
      <c r="P271" s="476"/>
      <c r="Q271" s="476"/>
      <c r="R271" s="476"/>
      <c r="S271" s="476"/>
      <c r="T271" s="477"/>
      <c r="U271" s="530">
        <v>0</v>
      </c>
      <c r="V271" s="530">
        <v>0</v>
      </c>
      <c r="W271" s="530">
        <v>0</v>
      </c>
      <c r="X271" s="490"/>
      <c r="Y271" s="969"/>
      <c r="Z271" s="969"/>
      <c r="AA271" s="969"/>
      <c r="AB271" s="969"/>
      <c r="AC271" s="969"/>
      <c r="AD271" s="969"/>
      <c r="AE271" s="969" t="str">
        <f t="shared" si="13"/>
        <v>TheewaterskloofReferences</v>
      </c>
      <c r="AF271" s="975"/>
      <c r="AG271" s="976"/>
    </row>
    <row r="272" spans="2:33" ht="13.2" customHeight="1" x14ac:dyDescent="0.55000000000000004">
      <c r="B272" s="371"/>
      <c r="C272" s="1010">
        <v>55555</v>
      </c>
      <c r="D272" s="361" t="str">
        <f t="shared" si="14"/>
        <v>Community and social services55555</v>
      </c>
      <c r="E272" s="361" t="str">
        <f t="shared" si="12"/>
        <v>TheewaterskloofCommunity and social services1. Classifications are revenue sources and expenditure type</v>
      </c>
      <c r="F272" s="360" t="str">
        <f>'PART C- Municipal Details'!$G$7</f>
        <v>Theewaterskloof</v>
      </c>
      <c r="G272" s="361" t="s">
        <v>803</v>
      </c>
      <c r="H272" s="363" t="s">
        <v>804</v>
      </c>
      <c r="I272" s="496" t="s">
        <v>767</v>
      </c>
      <c r="J272" s="497" t="s">
        <v>789</v>
      </c>
      <c r="K272" s="490"/>
      <c r="L272" s="465" t="s">
        <v>767</v>
      </c>
      <c r="M272" s="472"/>
      <c r="N272" s="473"/>
      <c r="O272" s="473"/>
      <c r="P272" s="473"/>
      <c r="Q272" s="473"/>
      <c r="R272" s="473"/>
      <c r="S272" s="473"/>
      <c r="T272" s="478"/>
      <c r="U272" s="530">
        <v>0</v>
      </c>
      <c r="V272" s="530">
        <v>0</v>
      </c>
      <c r="W272" s="530">
        <v>0</v>
      </c>
      <c r="X272" s="490"/>
      <c r="Y272" s="969"/>
      <c r="Z272" s="969"/>
      <c r="AA272" s="969"/>
      <c r="AB272" s="969"/>
      <c r="AC272" s="969"/>
      <c r="AD272" s="969"/>
      <c r="AE272" s="969" t="str">
        <f t="shared" si="13"/>
        <v>Theewaterskloof1. Classifications are revenue sources and expenditure type</v>
      </c>
      <c r="AF272" s="975"/>
      <c r="AG272" s="976"/>
    </row>
    <row r="273" spans="2:33" ht="13.2" customHeight="1" x14ac:dyDescent="0.55000000000000004">
      <c r="B273" s="371"/>
      <c r="C273" s="1010">
        <v>55555</v>
      </c>
      <c r="D273" s="360" t="str">
        <f t="shared" si="14"/>
        <v>Community and social services55555</v>
      </c>
      <c r="E273" s="360" t="str">
        <f t="shared" si="12"/>
        <v>TheewaterskloofCommunity and social services2. Detail to be provided in Table SA1</v>
      </c>
      <c r="F273" s="360" t="str">
        <f>'PART C- Municipal Details'!$G$7</f>
        <v>Theewaterskloof</v>
      </c>
      <c r="G273" s="360" t="s">
        <v>803</v>
      </c>
      <c r="H273" s="366" t="s">
        <v>804</v>
      </c>
      <c r="I273" s="496" t="s">
        <v>769</v>
      </c>
      <c r="J273" s="497" t="s">
        <v>789</v>
      </c>
      <c r="K273" s="490"/>
      <c r="L273" s="465" t="s">
        <v>769</v>
      </c>
      <c r="M273" s="472"/>
      <c r="N273" s="473"/>
      <c r="O273" s="473"/>
      <c r="P273" s="473"/>
      <c r="Q273" s="473"/>
      <c r="R273" s="473"/>
      <c r="S273" s="473"/>
      <c r="T273" s="478"/>
      <c r="U273" s="530">
        <v>0</v>
      </c>
      <c r="V273" s="530">
        <v>0</v>
      </c>
      <c r="W273" s="530">
        <v>0</v>
      </c>
      <c r="X273" s="490"/>
      <c r="Y273" s="969"/>
      <c r="Z273" s="969"/>
      <c r="AA273" s="969"/>
      <c r="AB273" s="969"/>
      <c r="AC273" s="969"/>
      <c r="AD273" s="969"/>
      <c r="AE273" s="969" t="str">
        <f t="shared" si="13"/>
        <v>Theewaterskloof2. Detail to be provided in Table SA1</v>
      </c>
      <c r="AF273" s="975"/>
      <c r="AG273" s="976"/>
    </row>
    <row r="274" spans="2:33" ht="13.2" customHeight="1" x14ac:dyDescent="0.55000000000000004">
      <c r="B274" s="371"/>
      <c r="C274" s="1010">
        <v>55555</v>
      </c>
      <c r="D274" s="361" t="str">
        <f t="shared" si="14"/>
        <v>Community and social services55555</v>
      </c>
      <c r="E274" s="361" t="str">
        <f t="shared" si="12"/>
        <v>TheewaterskloofCommunity and social services3. Debt impairment includes Impairment and Reversal of Impairment Losses</v>
      </c>
      <c r="F274" s="360" t="str">
        <f>'PART C- Municipal Details'!$G$7</f>
        <v>Theewaterskloof</v>
      </c>
      <c r="G274" s="361" t="s">
        <v>803</v>
      </c>
      <c r="H274" s="363" t="s">
        <v>804</v>
      </c>
      <c r="I274" s="496" t="s">
        <v>795</v>
      </c>
      <c r="J274" s="497" t="s">
        <v>789</v>
      </c>
      <c r="K274" s="490"/>
      <c r="L274" s="465" t="s">
        <v>795</v>
      </c>
      <c r="M274" s="472"/>
      <c r="N274" s="473"/>
      <c r="O274" s="473"/>
      <c r="P274" s="473"/>
      <c r="Q274" s="473"/>
      <c r="R274" s="473"/>
      <c r="S274" s="473"/>
      <c r="T274" s="478"/>
      <c r="U274" s="530">
        <v>0</v>
      </c>
      <c r="V274" s="530">
        <v>0</v>
      </c>
      <c r="W274" s="530">
        <v>0</v>
      </c>
      <c r="X274" s="490"/>
      <c r="Y274" s="969"/>
      <c r="Z274" s="969"/>
      <c r="AA274" s="969"/>
      <c r="AB274" s="969"/>
      <c r="AC274" s="969"/>
      <c r="AD274" s="969"/>
      <c r="AE274" s="969" t="str">
        <f t="shared" si="13"/>
        <v>Theewaterskloof3. Debt impairment includes Impairment and Reversal of Impairment Losses</v>
      </c>
      <c r="AF274" s="975"/>
      <c r="AG274" s="976"/>
    </row>
    <row r="275" spans="2:33" ht="13.2" customHeight="1" x14ac:dyDescent="0.55000000000000004">
      <c r="B275" s="371"/>
      <c r="C275" s="1010">
        <v>55555</v>
      </c>
      <c r="D275" s="360" t="str">
        <f t="shared" si="14"/>
        <v>Community and social services55555</v>
      </c>
      <c r="E275" s="360" t="str">
        <f t="shared" si="12"/>
        <v>TheewaterskloofCommunity and social services4. Expenditure type components previously shown under repairs and maintenance should be allocated back to the originating expenditure group/item; e.g. employee costs</v>
      </c>
      <c r="F275" s="360" t="str">
        <f>'PART C- Municipal Details'!$G$7</f>
        <v>Theewaterskloof</v>
      </c>
      <c r="G275" s="360" t="s">
        <v>803</v>
      </c>
      <c r="H275" s="366" t="s">
        <v>804</v>
      </c>
      <c r="I275" s="496" t="s">
        <v>775</v>
      </c>
      <c r="J275" s="497" t="s">
        <v>789</v>
      </c>
      <c r="K275" s="490"/>
      <c r="L275" s="465" t="s">
        <v>775</v>
      </c>
      <c r="M275" s="472"/>
      <c r="N275" s="473"/>
      <c r="O275" s="473"/>
      <c r="P275" s="473"/>
      <c r="Q275" s="473"/>
      <c r="R275" s="473"/>
      <c r="S275" s="473"/>
      <c r="T275" s="478"/>
      <c r="U275" s="530">
        <v>0</v>
      </c>
      <c r="V275" s="530">
        <v>0</v>
      </c>
      <c r="W275" s="530">
        <v>0</v>
      </c>
      <c r="X275" s="490"/>
      <c r="Y275" s="969"/>
      <c r="Z275" s="969"/>
      <c r="AA275" s="969"/>
      <c r="AB275" s="969"/>
      <c r="AC275" s="969"/>
      <c r="AD275" s="969"/>
      <c r="AE275" s="969" t="str">
        <f t="shared" si="13"/>
        <v>Theewaterskloof4. Expenditure type components previously shown under repairs and maintenance should be allocated back to the originating expenditure group/item; e.g. employee costs</v>
      </c>
      <c r="AF275" s="975"/>
      <c r="AG275" s="976"/>
    </row>
    <row r="276" spans="2:33" ht="13.2" customHeight="1" x14ac:dyDescent="0.55000000000000004">
      <c r="B276" s="371"/>
      <c r="C276" s="1010">
        <v>55555</v>
      </c>
      <c r="D276" s="361" t="str">
        <f t="shared" si="14"/>
        <v>Community and social services55555</v>
      </c>
      <c r="E276" s="361" t="str">
        <f t="shared" si="12"/>
        <v>TheewaterskloofCommunity and social services5. Repairs &amp; maintenance detailed in Table A9 and Table SA34c</v>
      </c>
      <c r="F276" s="360" t="str">
        <f>'PART C- Municipal Details'!$G$7</f>
        <v>Theewaterskloof</v>
      </c>
      <c r="G276" s="361" t="s">
        <v>803</v>
      </c>
      <c r="H276" s="363" t="s">
        <v>804</v>
      </c>
      <c r="I276" s="496" t="s">
        <v>777</v>
      </c>
      <c r="J276" s="497" t="s">
        <v>789</v>
      </c>
      <c r="K276" s="490"/>
      <c r="L276" s="465" t="s">
        <v>777</v>
      </c>
      <c r="M276" s="472"/>
      <c r="N276" s="473"/>
      <c r="O276" s="473"/>
      <c r="P276" s="473"/>
      <c r="Q276" s="473"/>
      <c r="R276" s="473"/>
      <c r="S276" s="473"/>
      <c r="T276" s="478"/>
      <c r="U276" s="530">
        <v>0</v>
      </c>
      <c r="V276" s="530">
        <v>0</v>
      </c>
      <c r="W276" s="530">
        <v>0</v>
      </c>
      <c r="X276" s="490"/>
      <c r="Y276" s="969"/>
      <c r="Z276" s="969"/>
      <c r="AA276" s="969"/>
      <c r="AB276" s="969"/>
      <c r="AC276" s="969"/>
      <c r="AD276" s="969"/>
      <c r="AE276" s="969" t="str">
        <f t="shared" si="13"/>
        <v>Theewaterskloof5. Repairs &amp; maintenance detailed in Table A9 and Table SA34c</v>
      </c>
      <c r="AF276" s="975"/>
      <c r="AG276" s="976"/>
    </row>
    <row r="277" spans="2:33" ht="13.2" customHeight="1" x14ac:dyDescent="0.55000000000000004">
      <c r="B277" s="371"/>
      <c r="C277" s="1010">
        <v>55555</v>
      </c>
      <c r="D277" s="360" t="str">
        <f t="shared" si="14"/>
        <v>Community and social services55555</v>
      </c>
      <c r="E277" s="360" t="str">
        <f t="shared" si="12"/>
        <v>TheewaterskloofCommunity and social services6. Contributions are funds provided by external organisations to assist with infrastructure development; e.g. developer contributions (detail to be provided in Table SA1)</v>
      </c>
      <c r="F277" s="360" t="str">
        <f>'PART C- Municipal Details'!$G$7</f>
        <v>Theewaterskloof</v>
      </c>
      <c r="G277" s="360" t="s">
        <v>803</v>
      </c>
      <c r="H277" s="366" t="s">
        <v>804</v>
      </c>
      <c r="I277" s="496" t="s">
        <v>780</v>
      </c>
      <c r="J277" s="497" t="s">
        <v>789</v>
      </c>
      <c r="K277" s="490"/>
      <c r="L277" s="465" t="s">
        <v>780</v>
      </c>
      <c r="M277" s="472"/>
      <c r="N277" s="473"/>
      <c r="O277" s="473"/>
      <c r="P277" s="473"/>
      <c r="Q277" s="473"/>
      <c r="R277" s="473"/>
      <c r="S277" s="473"/>
      <c r="T277" s="478"/>
      <c r="U277" s="530">
        <v>0</v>
      </c>
      <c r="V277" s="530">
        <v>0</v>
      </c>
      <c r="W277" s="530">
        <v>0</v>
      </c>
      <c r="X277" s="490"/>
      <c r="Y277" s="969"/>
      <c r="Z277" s="969"/>
      <c r="AA277" s="969"/>
      <c r="AB277" s="969"/>
      <c r="AC277" s="969"/>
      <c r="AD277" s="969"/>
      <c r="AE277" s="969" t="str">
        <f t="shared" si="13"/>
        <v>Theewaterskloof6. Contributions are funds provided by external organisations to assist with infrastructure development; e.g. developer contributions (detail to be provided in Table SA1)</v>
      </c>
      <c r="AF277" s="975"/>
      <c r="AG277" s="976"/>
    </row>
    <row r="278" spans="2:33" ht="13.2" customHeight="1" x14ac:dyDescent="0.55000000000000004">
      <c r="B278" s="371"/>
      <c r="C278" s="1010">
        <v>55555</v>
      </c>
      <c r="D278" s="361" t="str">
        <f t="shared" si="14"/>
        <v>Community and social services55555</v>
      </c>
      <c r="E278" s="361" t="str">
        <f t="shared" si="12"/>
        <v>TheewaterskloofCommunity and social services7. Equity method ( Includes Joint Ventures)</v>
      </c>
      <c r="F278" s="360" t="str">
        <f>'PART C- Municipal Details'!$G$7</f>
        <v>Theewaterskloof</v>
      </c>
      <c r="G278" s="361" t="s">
        <v>803</v>
      </c>
      <c r="H278" s="363" t="s">
        <v>804</v>
      </c>
      <c r="I278" s="496" t="s">
        <v>796</v>
      </c>
      <c r="J278" s="497" t="s">
        <v>789</v>
      </c>
      <c r="K278" s="490"/>
      <c r="L278" s="479" t="s">
        <v>796</v>
      </c>
      <c r="M278" s="480"/>
      <c r="N278" s="481"/>
      <c r="O278" s="481"/>
      <c r="P278" s="481"/>
      <c r="Q278" s="481"/>
      <c r="R278" s="481"/>
      <c r="S278" s="481"/>
      <c r="T278" s="482"/>
      <c r="U278" s="530">
        <v>0</v>
      </c>
      <c r="V278" s="530">
        <v>0</v>
      </c>
      <c r="W278" s="530">
        <v>0</v>
      </c>
      <c r="X278" s="490"/>
      <c r="Y278" s="969"/>
      <c r="Z278" s="969"/>
      <c r="AA278" s="969"/>
      <c r="AB278" s="969"/>
      <c r="AC278" s="969"/>
      <c r="AD278" s="969"/>
      <c r="AE278" s="969" t="str">
        <f t="shared" si="13"/>
        <v>Theewaterskloof7. Equity method ( Includes Joint Ventures)</v>
      </c>
      <c r="AF278" s="975"/>
      <c r="AG278" s="976"/>
    </row>
    <row r="279" spans="2:33" ht="13.2" customHeight="1" x14ac:dyDescent="0.55000000000000004">
      <c r="B279" s="371"/>
      <c r="C279" s="1010">
        <v>55555</v>
      </c>
      <c r="D279" s="360" t="str">
        <f t="shared" si="14"/>
        <v>Community and social services55555</v>
      </c>
      <c r="E279" s="360" t="str">
        <f t="shared" si="12"/>
        <v>TheewaterskloofCommunity and social services8. All materials consumed including water consumed and materials used in operations.</v>
      </c>
      <c r="F279" s="360" t="str">
        <f>'PART C- Municipal Details'!$G$7</f>
        <v>Theewaterskloof</v>
      </c>
      <c r="G279" s="360" t="s">
        <v>803</v>
      </c>
      <c r="H279" s="366" t="s">
        <v>804</v>
      </c>
      <c r="I279" s="496" t="s">
        <v>797</v>
      </c>
      <c r="J279" s="497" t="s">
        <v>789</v>
      </c>
      <c r="K279" s="490"/>
      <c r="L279" s="501"/>
      <c r="M279" s="502"/>
      <c r="N279" s="503"/>
      <c r="O279" s="503"/>
      <c r="P279" s="503"/>
      <c r="Q279" s="503"/>
      <c r="R279" s="503"/>
      <c r="S279" s="503"/>
      <c r="T279" s="503"/>
      <c r="U279" s="504"/>
      <c r="V279" s="504"/>
      <c r="W279" s="504"/>
      <c r="X279" s="490"/>
      <c r="Y279" s="969"/>
      <c r="Z279" s="969"/>
      <c r="AA279" s="969"/>
      <c r="AB279" s="969"/>
      <c r="AC279" s="969"/>
      <c r="AD279" s="969"/>
      <c r="AE279" s="969" t="str">
        <f t="shared" si="13"/>
        <v>Theewaterskloof</v>
      </c>
      <c r="AF279" s="975"/>
      <c r="AG279" s="976"/>
    </row>
    <row r="280" spans="2:33" ht="13.2" customHeight="1" x14ac:dyDescent="0.55000000000000004">
      <c r="B280" s="371"/>
      <c r="C280" s="1010"/>
      <c r="D280" s="361" t="str">
        <f t="shared" si="14"/>
        <v/>
      </c>
      <c r="E280" s="361" t="str">
        <f t="shared" si="12"/>
        <v>TheewaterskloofX</v>
      </c>
      <c r="F280" s="360" t="str">
        <f>'PART C- Municipal Details'!$G$7</f>
        <v>Theewaterskloof</v>
      </c>
      <c r="G280" s="361" t="s">
        <v>803</v>
      </c>
      <c r="H280" s="363"/>
      <c r="I280" s="496" t="s">
        <v>647</v>
      </c>
      <c r="J280" s="497"/>
      <c r="K280" s="490"/>
      <c r="L280" s="516"/>
      <c r="M280" s="517"/>
      <c r="N280" s="515"/>
      <c r="O280" s="515"/>
      <c r="P280" s="515"/>
      <c r="Q280" s="515"/>
      <c r="R280" s="515"/>
      <c r="S280" s="515"/>
      <c r="T280" s="515"/>
      <c r="U280" s="517"/>
      <c r="V280" s="517"/>
      <c r="W280" s="517"/>
      <c r="X280" s="490"/>
      <c r="Y280" s="969"/>
      <c r="Z280" s="969"/>
      <c r="AA280" s="969"/>
      <c r="AB280" s="969"/>
      <c r="AC280" s="969"/>
      <c r="AD280" s="969"/>
      <c r="AE280" s="969" t="str">
        <f t="shared" si="13"/>
        <v>Theewaterskloof</v>
      </c>
      <c r="AF280" s="975"/>
      <c r="AG280" s="976"/>
    </row>
    <row r="281" spans="2:33" ht="13.2" customHeight="1" x14ac:dyDescent="0.55000000000000004">
      <c r="B281" s="371"/>
      <c r="C281" s="1010">
        <v>55555</v>
      </c>
      <c r="D281" s="360" t="str">
        <f t="shared" si="14"/>
        <v>Sport and recreation55555</v>
      </c>
      <c r="E281" s="361" t="str">
        <f t="shared" si="12"/>
        <v>TheewaterskloofSport and recreationzz</v>
      </c>
      <c r="F281" s="360" t="str">
        <f>'PART C- Municipal Details'!$G$7</f>
        <v>Theewaterskloof</v>
      </c>
      <c r="G281" s="361" t="s">
        <v>803</v>
      </c>
      <c r="H281" s="363" t="s">
        <v>805</v>
      </c>
      <c r="I281" s="496" t="s">
        <v>801</v>
      </c>
      <c r="J281" s="497" t="s">
        <v>651</v>
      </c>
      <c r="K281" s="490"/>
      <c r="L281" s="462" t="s">
        <v>651</v>
      </c>
      <c r="M281" s="362" t="s">
        <v>652</v>
      </c>
      <c r="N281" s="466" t="s">
        <v>653</v>
      </c>
      <c r="O281" s="466" t="s">
        <v>654</v>
      </c>
      <c r="P281" s="467" t="s">
        <v>655</v>
      </c>
      <c r="Q281" s="483" t="s">
        <v>656</v>
      </c>
      <c r="R281" s="468"/>
      <c r="S281" s="468"/>
      <c r="T281" s="467"/>
      <c r="U281" s="527" t="s">
        <v>657</v>
      </c>
      <c r="V281" s="527" t="s">
        <v>657</v>
      </c>
      <c r="W281" s="527" t="s">
        <v>657</v>
      </c>
      <c r="X281" s="490"/>
      <c r="Y281" s="969"/>
      <c r="Z281" s="969"/>
      <c r="AA281" s="969"/>
      <c r="AB281" s="969"/>
      <c r="AC281" s="969"/>
      <c r="AD281" s="969"/>
      <c r="AE281" s="969" t="str">
        <f t="shared" si="13"/>
        <v>TheewaterskloofDescription</v>
      </c>
      <c r="AF281" s="969"/>
      <c r="AG281" s="969"/>
    </row>
    <row r="282" spans="2:33" ht="13.2" customHeight="1" thickBot="1" x14ac:dyDescent="0.6">
      <c r="B282" s="371"/>
      <c r="C282" s="1010">
        <v>55555</v>
      </c>
      <c r="D282" s="361" t="str">
        <f t="shared" si="14"/>
        <v>Sport and recreation55555</v>
      </c>
      <c r="E282" s="360" t="str">
        <f t="shared" si="12"/>
        <v>TheewaterskloofSport and recreationz</v>
      </c>
      <c r="F282" s="360" t="str">
        <f>'PART C- Municipal Details'!$G$7</f>
        <v>Theewaterskloof</v>
      </c>
      <c r="G282" s="360" t="s">
        <v>803</v>
      </c>
      <c r="H282" s="366" t="s">
        <v>805</v>
      </c>
      <c r="I282" s="496" t="s">
        <v>802</v>
      </c>
      <c r="J282" s="497" t="s">
        <v>650</v>
      </c>
      <c r="K282" s="490"/>
      <c r="L282" s="365" t="s">
        <v>659</v>
      </c>
      <c r="M282" s="364" t="s">
        <v>660</v>
      </c>
      <c r="N282" s="469" t="s">
        <v>661</v>
      </c>
      <c r="O282" s="469" t="s">
        <v>661</v>
      </c>
      <c r="P282" s="470" t="s">
        <v>661</v>
      </c>
      <c r="Q282" s="471" t="s">
        <v>662</v>
      </c>
      <c r="R282" s="469" t="s">
        <v>663</v>
      </c>
      <c r="S282" s="469" t="s">
        <v>664</v>
      </c>
      <c r="T282" s="470" t="s">
        <v>665</v>
      </c>
      <c r="U282" s="528" t="s">
        <v>666</v>
      </c>
      <c r="V282" s="528" t="s">
        <v>666</v>
      </c>
      <c r="W282" s="528" t="s">
        <v>666</v>
      </c>
      <c r="X282" s="490"/>
      <c r="Y282" s="969"/>
      <c r="Z282" s="969"/>
      <c r="AA282" s="969"/>
      <c r="AB282" s="969"/>
      <c r="AC282" s="969"/>
      <c r="AD282" s="969"/>
      <c r="AE282" s="969" t="str">
        <f t="shared" si="13"/>
        <v>TheewaterskloofR thousands</v>
      </c>
      <c r="AF282" s="969"/>
      <c r="AG282" s="969"/>
    </row>
    <row r="283" spans="2:33" ht="13.2" customHeight="1" x14ac:dyDescent="0.55000000000000004">
      <c r="B283" s="371"/>
      <c r="C283" s="1008" t="s">
        <v>667</v>
      </c>
      <c r="D283" s="360" t="str">
        <f t="shared" si="14"/>
        <v>Sport and recreation0100</v>
      </c>
      <c r="E283" s="361" t="str">
        <f t="shared" si="12"/>
        <v>TheewaterskloofSport and recreationz</v>
      </c>
      <c r="F283" s="360" t="str">
        <f>'PART C- Municipal Details'!$G$7</f>
        <v>Theewaterskloof</v>
      </c>
      <c r="G283" s="361" t="s">
        <v>803</v>
      </c>
      <c r="H283" s="363" t="s">
        <v>805</v>
      </c>
      <c r="I283" s="496" t="s">
        <v>802</v>
      </c>
      <c r="J283" s="497" t="s">
        <v>658</v>
      </c>
      <c r="K283" s="490"/>
      <c r="L283" s="505" t="s">
        <v>162</v>
      </c>
      <c r="M283" s="506"/>
      <c r="N283" s="507"/>
      <c r="O283" s="507"/>
      <c r="P283" s="507"/>
      <c r="Q283" s="507"/>
      <c r="R283" s="507"/>
      <c r="S283" s="507"/>
      <c r="T283" s="507"/>
      <c r="U283" s="529">
        <v>0</v>
      </c>
      <c r="V283" s="529">
        <v>0</v>
      </c>
      <c r="W283" s="529">
        <v>0</v>
      </c>
      <c r="X283" s="490"/>
      <c r="Y283" s="969"/>
      <c r="Z283" s="969"/>
      <c r="AA283" s="969"/>
      <c r="AB283" s="969"/>
      <c r="AC283" s="969"/>
      <c r="AD283" s="969"/>
      <c r="AE283" s="969" t="str">
        <f t="shared" si="13"/>
        <v>TheewaterskloofRevenue</v>
      </c>
      <c r="AF283" s="969"/>
      <c r="AG283" s="969"/>
    </row>
    <row r="284" spans="2:33" ht="13.2" customHeight="1" x14ac:dyDescent="0.55000000000000004">
      <c r="B284" s="371"/>
      <c r="C284" s="1009" t="s">
        <v>668</v>
      </c>
      <c r="D284" s="361" t="str">
        <f t="shared" si="14"/>
        <v>Sport and recreation0200</v>
      </c>
      <c r="E284" s="360" t="str">
        <f t="shared" si="12"/>
        <v>TheewaterskloofSport and recreationz</v>
      </c>
      <c r="F284" s="360" t="str">
        <f>'PART C- Municipal Details'!$G$7</f>
        <v>Theewaterskloof</v>
      </c>
      <c r="G284" s="360" t="s">
        <v>803</v>
      </c>
      <c r="H284" s="366" t="s">
        <v>805</v>
      </c>
      <c r="I284" s="496" t="s">
        <v>802</v>
      </c>
      <c r="J284" s="497" t="s">
        <v>0</v>
      </c>
      <c r="K284" s="490"/>
      <c r="L284" s="463" t="s">
        <v>670</v>
      </c>
      <c r="M284" s="459"/>
      <c r="N284" s="460"/>
      <c r="O284" s="460"/>
      <c r="P284" s="460"/>
      <c r="Q284" s="460"/>
      <c r="R284" s="460"/>
      <c r="S284" s="460"/>
      <c r="T284" s="460"/>
      <c r="U284" s="530">
        <v>0</v>
      </c>
      <c r="V284" s="530">
        <v>0</v>
      </c>
      <c r="W284" s="530">
        <v>0</v>
      </c>
      <c r="X284" s="490"/>
      <c r="Y284" s="969"/>
      <c r="Z284" s="969"/>
      <c r="AA284" s="969"/>
      <c r="AB284" s="969"/>
      <c r="AC284" s="969"/>
      <c r="AD284" s="969"/>
      <c r="AE284" s="969" t="str">
        <f t="shared" si="13"/>
        <v>TheewaterskloofExchange Revenue</v>
      </c>
      <c r="AF284" s="969"/>
      <c r="AG284" s="969"/>
    </row>
    <row r="285" spans="2:33" ht="13.2" customHeight="1" x14ac:dyDescent="0.55000000000000004">
      <c r="B285" s="371"/>
      <c r="C285" s="1010" t="s">
        <v>671</v>
      </c>
      <c r="D285" s="360" t="str">
        <f t="shared" si="14"/>
        <v>Sport and recreation0300</v>
      </c>
      <c r="E285" s="361" t="str">
        <f t="shared" si="12"/>
        <v>TheewaterskloofSport and recreationService charges - electricity revenue</v>
      </c>
      <c r="F285" s="360" t="str">
        <f>'PART C- Municipal Details'!$G$7</f>
        <v>Theewaterskloof</v>
      </c>
      <c r="G285" s="361" t="s">
        <v>803</v>
      </c>
      <c r="H285" s="363" t="s">
        <v>805</v>
      </c>
      <c r="I285" s="496" t="s">
        <v>669</v>
      </c>
      <c r="J285" s="497" t="s">
        <v>669</v>
      </c>
      <c r="K285" s="490"/>
      <c r="L285" s="463" t="s">
        <v>673</v>
      </c>
      <c r="M285" s="459"/>
      <c r="N285" s="461"/>
      <c r="O285" s="461"/>
      <c r="P285" s="461"/>
      <c r="Q285" s="461"/>
      <c r="R285" s="461"/>
      <c r="S285" s="461"/>
      <c r="T285" s="461"/>
      <c r="U285" s="530">
        <v>0</v>
      </c>
      <c r="V285" s="530">
        <v>0</v>
      </c>
      <c r="W285" s="530">
        <v>0</v>
      </c>
      <c r="X285" s="490"/>
      <c r="Y285" s="969"/>
      <c r="Z285" s="969"/>
      <c r="AA285" s="969"/>
      <c r="AB285" s="969"/>
      <c r="AC285" s="969"/>
      <c r="AD285" s="969"/>
      <c r="AE285" s="969" t="str">
        <f t="shared" si="13"/>
        <v>TheewaterskloofService charges - Electricity</v>
      </c>
      <c r="AF285" s="969"/>
      <c r="AG285" s="969"/>
    </row>
    <row r="286" spans="2:33" ht="13.2" customHeight="1" x14ac:dyDescent="0.55000000000000004">
      <c r="B286" s="371"/>
      <c r="C286" s="1010" t="s">
        <v>674</v>
      </c>
      <c r="D286" s="361" t="str">
        <f t="shared" si="14"/>
        <v>Sport and recreation0400</v>
      </c>
      <c r="E286" s="360" t="str">
        <f t="shared" si="12"/>
        <v>TheewaterskloofSport and recreationService charges - water revenue</v>
      </c>
      <c r="F286" s="360" t="str">
        <f>'PART C- Municipal Details'!$G$7</f>
        <v>Theewaterskloof</v>
      </c>
      <c r="G286" s="360" t="s">
        <v>803</v>
      </c>
      <c r="H286" s="366" t="s">
        <v>805</v>
      </c>
      <c r="I286" s="496" t="s">
        <v>672</v>
      </c>
      <c r="J286" s="497" t="s">
        <v>672</v>
      </c>
      <c r="K286" s="490"/>
      <c r="L286" s="463" t="s">
        <v>676</v>
      </c>
      <c r="M286" s="459"/>
      <c r="N286" s="461"/>
      <c r="O286" s="461"/>
      <c r="P286" s="461"/>
      <c r="Q286" s="461"/>
      <c r="R286" s="461"/>
      <c r="S286" s="461"/>
      <c r="T286" s="461"/>
      <c r="U286" s="530">
        <v>0</v>
      </c>
      <c r="V286" s="530">
        <v>0</v>
      </c>
      <c r="W286" s="530">
        <v>0</v>
      </c>
      <c r="X286" s="490"/>
      <c r="Y286" s="969"/>
      <c r="Z286" s="969"/>
      <c r="AA286" s="969"/>
      <c r="AB286" s="969"/>
      <c r="AC286" s="969"/>
      <c r="AD286" s="969"/>
      <c r="AE286" s="969" t="str">
        <f t="shared" si="13"/>
        <v>TheewaterskloofService charges - Water</v>
      </c>
      <c r="AF286" s="969"/>
      <c r="AG286" s="969"/>
    </row>
    <row r="287" spans="2:33" ht="13.2" customHeight="1" x14ac:dyDescent="0.55000000000000004">
      <c r="B287" s="371"/>
      <c r="C287" s="1010" t="s">
        <v>677</v>
      </c>
      <c r="D287" s="360" t="str">
        <f t="shared" si="14"/>
        <v>Sport and recreation0500</v>
      </c>
      <c r="E287" s="361" t="str">
        <f t="shared" si="12"/>
        <v>TheewaterskloofSport and recreationService charges - sanitation revenue</v>
      </c>
      <c r="F287" s="360" t="str">
        <f>'PART C- Municipal Details'!$G$7</f>
        <v>Theewaterskloof</v>
      </c>
      <c r="G287" s="361" t="s">
        <v>803</v>
      </c>
      <c r="H287" s="363" t="s">
        <v>805</v>
      </c>
      <c r="I287" s="496" t="s">
        <v>675</v>
      </c>
      <c r="J287" s="497" t="s">
        <v>675</v>
      </c>
      <c r="K287" s="490"/>
      <c r="L287" s="463" t="s">
        <v>679</v>
      </c>
      <c r="M287" s="459"/>
      <c r="N287" s="461"/>
      <c r="O287" s="461"/>
      <c r="P287" s="461"/>
      <c r="Q287" s="461"/>
      <c r="R287" s="461"/>
      <c r="S287" s="461"/>
      <c r="T287" s="461"/>
      <c r="U287" s="530">
        <v>0</v>
      </c>
      <c r="V287" s="530">
        <v>0</v>
      </c>
      <c r="W287" s="530">
        <v>0</v>
      </c>
      <c r="X287" s="490"/>
      <c r="Y287" s="969"/>
      <c r="Z287" s="969"/>
      <c r="AA287" s="969"/>
      <c r="AB287" s="969"/>
      <c r="AC287" s="969"/>
      <c r="AD287" s="969"/>
      <c r="AE287" s="969" t="str">
        <f t="shared" si="13"/>
        <v>TheewaterskloofService charges - Waste Water Management</v>
      </c>
      <c r="AF287" s="969"/>
      <c r="AG287" s="969"/>
    </row>
    <row r="288" spans="2:33" ht="13.2" customHeight="1" x14ac:dyDescent="0.55000000000000004">
      <c r="B288" s="371"/>
      <c r="C288" s="1010" t="s">
        <v>680</v>
      </c>
      <c r="D288" s="361" t="str">
        <f t="shared" si="14"/>
        <v>Sport and recreation0600</v>
      </c>
      <c r="E288" s="360" t="str">
        <f t="shared" si="12"/>
        <v>TheewaterskloofSport and recreationService charges - refuse revenue</v>
      </c>
      <c r="F288" s="360" t="str">
        <f>'PART C- Municipal Details'!$G$7</f>
        <v>Theewaterskloof</v>
      </c>
      <c r="G288" s="360" t="s">
        <v>803</v>
      </c>
      <c r="H288" s="366" t="s">
        <v>805</v>
      </c>
      <c r="I288" s="496" t="s">
        <v>678</v>
      </c>
      <c r="J288" s="497" t="s">
        <v>678</v>
      </c>
      <c r="K288" s="490"/>
      <c r="L288" s="463" t="s">
        <v>682</v>
      </c>
      <c r="M288" s="459"/>
      <c r="N288" s="461"/>
      <c r="O288" s="461"/>
      <c r="P288" s="461"/>
      <c r="Q288" s="461"/>
      <c r="R288" s="461"/>
      <c r="S288" s="461"/>
      <c r="T288" s="461"/>
      <c r="U288" s="530">
        <v>0</v>
      </c>
      <c r="V288" s="530">
        <v>0</v>
      </c>
      <c r="W288" s="530">
        <v>0</v>
      </c>
      <c r="X288" s="490"/>
      <c r="Y288" s="969"/>
      <c r="Z288" s="969"/>
      <c r="AA288" s="969"/>
      <c r="AB288" s="969"/>
      <c r="AC288" s="969"/>
      <c r="AD288" s="969"/>
      <c r="AE288" s="969" t="str">
        <f t="shared" si="13"/>
        <v>TheewaterskloofService charges - Waste Management</v>
      </c>
      <c r="AF288" s="969"/>
      <c r="AG288" s="969"/>
    </row>
    <row r="289" spans="2:33" ht="13.2" customHeight="1" x14ac:dyDescent="0.55000000000000004">
      <c r="B289" s="371"/>
      <c r="C289" s="1010" t="s">
        <v>683</v>
      </c>
      <c r="D289" s="360" t="str">
        <f t="shared" si="14"/>
        <v>Sport and recreation0700</v>
      </c>
      <c r="E289" s="361" t="str">
        <f t="shared" si="12"/>
        <v>TheewaterskloofSport and recreationOther revenue</v>
      </c>
      <c r="F289" s="360" t="str">
        <f>'PART C- Municipal Details'!$G$7</f>
        <v>Theewaterskloof</v>
      </c>
      <c r="G289" s="361" t="s">
        <v>803</v>
      </c>
      <c r="H289" s="363" t="s">
        <v>805</v>
      </c>
      <c r="I289" s="496" t="s">
        <v>7</v>
      </c>
      <c r="J289" s="497" t="s">
        <v>681</v>
      </c>
      <c r="K289" s="490"/>
      <c r="L289" s="463" t="s">
        <v>684</v>
      </c>
      <c r="M289" s="459"/>
      <c r="N289" s="461"/>
      <c r="O289" s="461"/>
      <c r="P289" s="461"/>
      <c r="Q289" s="461"/>
      <c r="R289" s="461"/>
      <c r="S289" s="461"/>
      <c r="T289" s="461"/>
      <c r="U289" s="530">
        <v>1000</v>
      </c>
      <c r="V289" s="530">
        <v>1034</v>
      </c>
      <c r="W289" s="530">
        <v>1067</v>
      </c>
      <c r="X289" s="490"/>
      <c r="Y289" s="969"/>
      <c r="Z289" s="969"/>
      <c r="AA289" s="969"/>
      <c r="AB289" s="969"/>
      <c r="AC289" s="969"/>
      <c r="AD289" s="969"/>
      <c r="AE289" s="969" t="str">
        <f t="shared" si="13"/>
        <v>TheewaterskloofSale of Goods and Rendering of Services</v>
      </c>
      <c r="AF289" s="969"/>
      <c r="AG289" s="969"/>
    </row>
    <row r="290" spans="2:33" ht="13.2" customHeight="1" x14ac:dyDescent="0.55000000000000004">
      <c r="B290" s="371"/>
      <c r="C290" s="1010" t="s">
        <v>685</v>
      </c>
      <c r="D290" s="361" t="str">
        <f t="shared" si="14"/>
        <v>Sport and recreation0800</v>
      </c>
      <c r="E290" s="360" t="str">
        <f t="shared" si="12"/>
        <v>TheewaterskloofSport and recreationAgency services</v>
      </c>
      <c r="F290" s="360" t="str">
        <f>'PART C- Municipal Details'!$G$7</f>
        <v>Theewaterskloof</v>
      </c>
      <c r="G290" s="360" t="s">
        <v>803</v>
      </c>
      <c r="H290" s="366" t="s">
        <v>805</v>
      </c>
      <c r="I290" s="496" t="s">
        <v>6</v>
      </c>
      <c r="J290" s="497" t="s">
        <v>1</v>
      </c>
      <c r="K290" s="490"/>
      <c r="L290" s="463" t="s">
        <v>6</v>
      </c>
      <c r="M290" s="459"/>
      <c r="N290" s="461"/>
      <c r="O290" s="461"/>
      <c r="P290" s="461"/>
      <c r="Q290" s="461"/>
      <c r="R290" s="461"/>
      <c r="S290" s="461"/>
      <c r="T290" s="461"/>
      <c r="U290" s="530">
        <v>0</v>
      </c>
      <c r="V290" s="530">
        <v>0</v>
      </c>
      <c r="W290" s="530">
        <v>0</v>
      </c>
      <c r="X290" s="490"/>
      <c r="Y290" s="969"/>
      <c r="Z290" s="969"/>
      <c r="AA290" s="969"/>
      <c r="AB290" s="969"/>
      <c r="AC290" s="969"/>
      <c r="AD290" s="969"/>
      <c r="AE290" s="969" t="str">
        <f t="shared" si="13"/>
        <v>TheewaterskloofAgency services</v>
      </c>
      <c r="AF290" s="969"/>
      <c r="AG290" s="969"/>
    </row>
    <row r="291" spans="2:33" ht="13.2" customHeight="1" x14ac:dyDescent="0.55000000000000004">
      <c r="B291" s="371"/>
      <c r="C291" s="1010" t="s">
        <v>686</v>
      </c>
      <c r="D291" s="360" t="str">
        <f t="shared" si="14"/>
        <v>Sport and recreation0900</v>
      </c>
      <c r="E291" s="361" t="str">
        <f t="shared" si="12"/>
        <v>TheewaterskloofSport and recreationInterest earned - external investments</v>
      </c>
      <c r="F291" s="360" t="str">
        <f>'PART C- Municipal Details'!$G$7</f>
        <v>Theewaterskloof</v>
      </c>
      <c r="G291" s="361" t="s">
        <v>803</v>
      </c>
      <c r="H291" s="363" t="s">
        <v>805</v>
      </c>
      <c r="I291" s="496" t="s">
        <v>2</v>
      </c>
      <c r="J291" s="497" t="s">
        <v>2</v>
      </c>
      <c r="K291" s="490"/>
      <c r="L291" s="463" t="s">
        <v>687</v>
      </c>
      <c r="M291" s="459"/>
      <c r="N291" s="461"/>
      <c r="O291" s="461"/>
      <c r="P291" s="461"/>
      <c r="Q291" s="461"/>
      <c r="R291" s="461"/>
      <c r="S291" s="461"/>
      <c r="T291" s="461"/>
      <c r="U291" s="530">
        <v>0</v>
      </c>
      <c r="V291" s="530">
        <v>0</v>
      </c>
      <c r="W291" s="530">
        <v>0</v>
      </c>
      <c r="X291" s="490"/>
      <c r="Y291" s="969"/>
      <c r="Z291" s="969"/>
      <c r="AA291" s="969"/>
      <c r="AB291" s="969"/>
      <c r="AC291" s="969"/>
      <c r="AD291" s="969"/>
      <c r="AE291" s="969" t="str">
        <f t="shared" si="13"/>
        <v>TheewaterskloofInterest</v>
      </c>
      <c r="AF291" s="969"/>
      <c r="AG291" s="969"/>
    </row>
    <row r="292" spans="2:33" ht="13.2" customHeight="1" x14ac:dyDescent="0.55000000000000004">
      <c r="B292" s="371"/>
      <c r="C292" s="1010" t="s">
        <v>688</v>
      </c>
      <c r="D292" s="361" t="str">
        <f t="shared" si="14"/>
        <v>Sport and recreation1000</v>
      </c>
      <c r="E292" s="360" t="str">
        <f t="shared" si="12"/>
        <v>TheewaterskloofSport and recreationInterest earned - outstanding debtors</v>
      </c>
      <c r="F292" s="360" t="str">
        <f>'PART C- Municipal Details'!$G$7</f>
        <v>Theewaterskloof</v>
      </c>
      <c r="G292" s="360" t="s">
        <v>803</v>
      </c>
      <c r="H292" s="366" t="s">
        <v>805</v>
      </c>
      <c r="I292" s="496" t="s">
        <v>3</v>
      </c>
      <c r="J292" s="497" t="s">
        <v>3</v>
      </c>
      <c r="K292" s="490"/>
      <c r="L292" s="463" t="s">
        <v>689</v>
      </c>
      <c r="M292" s="459"/>
      <c r="N292" s="461"/>
      <c r="O292" s="461"/>
      <c r="P292" s="461"/>
      <c r="Q292" s="461"/>
      <c r="R292" s="461"/>
      <c r="S292" s="461"/>
      <c r="T292" s="461"/>
      <c r="U292" s="530">
        <v>0</v>
      </c>
      <c r="V292" s="530">
        <v>0</v>
      </c>
      <c r="W292" s="530">
        <v>0</v>
      </c>
      <c r="X292" s="490"/>
      <c r="Y292" s="969"/>
      <c r="Z292" s="969"/>
      <c r="AA292" s="969"/>
      <c r="AB292" s="969"/>
      <c r="AC292" s="969"/>
      <c r="AD292" s="969"/>
      <c r="AE292" s="969" t="str">
        <f t="shared" si="13"/>
        <v>TheewaterskloofInterest earned from Receivables</v>
      </c>
      <c r="AF292" s="969"/>
      <c r="AG292" s="969"/>
    </row>
    <row r="293" spans="2:33" ht="13.2" customHeight="1" x14ac:dyDescent="0.55000000000000004">
      <c r="B293" s="371"/>
      <c r="C293" s="1010" t="s">
        <v>690</v>
      </c>
      <c r="D293" s="360" t="str">
        <f t="shared" si="14"/>
        <v>Sport and recreation1100</v>
      </c>
      <c r="E293" s="361" t="str">
        <f t="shared" si="12"/>
        <v>TheewaterskloofSport and recreationInterest earned - external investments</v>
      </c>
      <c r="F293" s="360" t="str">
        <f>'PART C- Municipal Details'!$G$7</f>
        <v>Theewaterskloof</v>
      </c>
      <c r="G293" s="361" t="s">
        <v>803</v>
      </c>
      <c r="H293" s="363" t="s">
        <v>805</v>
      </c>
      <c r="I293" s="496" t="s">
        <v>2</v>
      </c>
      <c r="J293" s="497" t="s">
        <v>4</v>
      </c>
      <c r="K293" s="490"/>
      <c r="L293" s="463" t="s">
        <v>692</v>
      </c>
      <c r="M293" s="459"/>
      <c r="N293" s="461"/>
      <c r="O293" s="461"/>
      <c r="P293" s="461"/>
      <c r="Q293" s="461"/>
      <c r="R293" s="461"/>
      <c r="S293" s="461"/>
      <c r="T293" s="461"/>
      <c r="U293" s="530">
        <v>0</v>
      </c>
      <c r="V293" s="530">
        <v>0</v>
      </c>
      <c r="W293" s="530">
        <v>0</v>
      </c>
      <c r="X293" s="490"/>
      <c r="Y293" s="969"/>
      <c r="Z293" s="969"/>
      <c r="AA293" s="969"/>
      <c r="AB293" s="969"/>
      <c r="AC293" s="969"/>
      <c r="AD293" s="969"/>
      <c r="AE293" s="969" t="str">
        <f t="shared" si="13"/>
        <v>TheewaterskloofInterest earned from Current and Non Current Assets</v>
      </c>
      <c r="AF293" s="969"/>
      <c r="AG293" s="969"/>
    </row>
    <row r="294" spans="2:33" ht="13.2" customHeight="1" x14ac:dyDescent="0.55000000000000004">
      <c r="B294" s="371"/>
      <c r="C294" s="1010" t="s">
        <v>693</v>
      </c>
      <c r="D294" s="361" t="str">
        <f t="shared" si="14"/>
        <v>Sport and recreation1200</v>
      </c>
      <c r="E294" s="360" t="str">
        <f t="shared" si="12"/>
        <v>TheewaterskloofSport and recreationDividends received</v>
      </c>
      <c r="F294" s="360" t="str">
        <f>'PART C- Municipal Details'!$G$7</f>
        <v>Theewaterskloof</v>
      </c>
      <c r="G294" s="360" t="s">
        <v>803</v>
      </c>
      <c r="H294" s="366" t="s">
        <v>805</v>
      </c>
      <c r="I294" s="496" t="s">
        <v>4</v>
      </c>
      <c r="J294" s="497" t="s">
        <v>691</v>
      </c>
      <c r="K294" s="490"/>
      <c r="L294" s="463" t="s">
        <v>694</v>
      </c>
      <c r="M294" s="459"/>
      <c r="N294" s="461"/>
      <c r="O294" s="461"/>
      <c r="P294" s="461"/>
      <c r="Q294" s="461"/>
      <c r="R294" s="461"/>
      <c r="S294" s="461"/>
      <c r="T294" s="461"/>
      <c r="U294" s="530">
        <v>0</v>
      </c>
      <c r="V294" s="530">
        <v>0</v>
      </c>
      <c r="W294" s="530">
        <v>0</v>
      </c>
      <c r="X294" s="490"/>
      <c r="Y294" s="969"/>
      <c r="Z294" s="969"/>
      <c r="AA294" s="969"/>
      <c r="AB294" s="969"/>
      <c r="AC294" s="969"/>
      <c r="AD294" s="969"/>
      <c r="AE294" s="969" t="str">
        <f t="shared" si="13"/>
        <v>TheewaterskloofDividends</v>
      </c>
      <c r="AF294" s="969"/>
      <c r="AG294" s="969"/>
    </row>
    <row r="295" spans="2:33" ht="13.2" customHeight="1" x14ac:dyDescent="0.55000000000000004">
      <c r="B295" s="371"/>
      <c r="C295" s="1010" t="s">
        <v>695</v>
      </c>
      <c r="D295" s="360" t="str">
        <f t="shared" si="14"/>
        <v>Sport and recreation1300</v>
      </c>
      <c r="E295" s="361" t="str">
        <f t="shared" si="12"/>
        <v>TheewaterskloofSport and recreationRental of facilities and equipment</v>
      </c>
      <c r="F295" s="360" t="str">
        <f>'PART C- Municipal Details'!$G$7</f>
        <v>Theewaterskloof</v>
      </c>
      <c r="G295" s="361" t="s">
        <v>803</v>
      </c>
      <c r="H295" s="363" t="s">
        <v>805</v>
      </c>
      <c r="I295" s="496" t="s">
        <v>1</v>
      </c>
      <c r="J295" s="497" t="s">
        <v>5</v>
      </c>
      <c r="K295" s="490"/>
      <c r="L295" s="463" t="s">
        <v>696</v>
      </c>
      <c r="M295" s="459"/>
      <c r="N295" s="461"/>
      <c r="O295" s="461"/>
      <c r="P295" s="461"/>
      <c r="Q295" s="461"/>
      <c r="R295" s="461"/>
      <c r="S295" s="461"/>
      <c r="T295" s="461"/>
      <c r="U295" s="530">
        <v>0</v>
      </c>
      <c r="V295" s="530">
        <v>0</v>
      </c>
      <c r="W295" s="530">
        <v>0</v>
      </c>
      <c r="X295" s="490"/>
      <c r="Y295" s="969"/>
      <c r="Z295" s="969"/>
      <c r="AA295" s="969"/>
      <c r="AB295" s="969"/>
      <c r="AC295" s="969"/>
      <c r="AD295" s="969"/>
      <c r="AE295" s="969" t="str">
        <f t="shared" si="13"/>
        <v>TheewaterskloofRent on Land</v>
      </c>
      <c r="AF295" s="969"/>
      <c r="AG295" s="969"/>
    </row>
    <row r="296" spans="2:33" ht="13.2" customHeight="1" x14ac:dyDescent="0.55000000000000004">
      <c r="B296" s="371"/>
      <c r="C296" s="1010" t="s">
        <v>697</v>
      </c>
      <c r="D296" s="361" t="str">
        <f t="shared" si="14"/>
        <v>Sport and recreation1400</v>
      </c>
      <c r="E296" s="360" t="str">
        <f t="shared" si="12"/>
        <v>TheewaterskloofSport and recreationRental of facilities and equipment</v>
      </c>
      <c r="F296" s="360" t="str">
        <f>'PART C- Municipal Details'!$G$7</f>
        <v>Theewaterskloof</v>
      </c>
      <c r="G296" s="360" t="s">
        <v>803</v>
      </c>
      <c r="H296" s="366" t="s">
        <v>805</v>
      </c>
      <c r="I296" s="496" t="s">
        <v>1</v>
      </c>
      <c r="J296" s="497" t="s">
        <v>6</v>
      </c>
      <c r="K296" s="490"/>
      <c r="L296" s="463" t="s">
        <v>699</v>
      </c>
      <c r="M296" s="459"/>
      <c r="N296" s="461"/>
      <c r="O296" s="461"/>
      <c r="P296" s="461"/>
      <c r="Q296" s="461"/>
      <c r="R296" s="461"/>
      <c r="S296" s="461"/>
      <c r="T296" s="461"/>
      <c r="U296" s="530">
        <v>70000</v>
      </c>
      <c r="V296" s="530">
        <v>72380</v>
      </c>
      <c r="W296" s="530">
        <v>74696</v>
      </c>
      <c r="X296" s="490"/>
      <c r="Y296" s="969"/>
      <c r="Z296" s="969"/>
      <c r="AA296" s="969"/>
      <c r="AB296" s="969"/>
      <c r="AC296" s="969"/>
      <c r="AD296" s="969"/>
      <c r="AE296" s="969" t="str">
        <f t="shared" si="13"/>
        <v>TheewaterskloofRental from Fixed Assets</v>
      </c>
      <c r="AF296" s="969"/>
      <c r="AG296" s="969"/>
    </row>
    <row r="297" spans="2:33" ht="13.2" customHeight="1" x14ac:dyDescent="0.55000000000000004">
      <c r="B297" s="371"/>
      <c r="C297" s="1010" t="s">
        <v>700</v>
      </c>
      <c r="D297" s="360" t="str">
        <f t="shared" si="14"/>
        <v>Sport and recreation1500</v>
      </c>
      <c r="E297" s="361" t="str">
        <f t="shared" si="12"/>
        <v>TheewaterskloofSport and recreationLicences and permits</v>
      </c>
      <c r="F297" s="360" t="str">
        <f>'PART C- Municipal Details'!$G$7</f>
        <v>Theewaterskloof</v>
      </c>
      <c r="G297" s="361" t="s">
        <v>803</v>
      </c>
      <c r="H297" s="363" t="s">
        <v>805</v>
      </c>
      <c r="I297" s="496" t="s">
        <v>5</v>
      </c>
      <c r="J297" s="497" t="s">
        <v>698</v>
      </c>
      <c r="K297" s="490"/>
      <c r="L297" s="463" t="s">
        <v>701</v>
      </c>
      <c r="M297" s="459"/>
      <c r="N297" s="461"/>
      <c r="O297" s="461"/>
      <c r="P297" s="461"/>
      <c r="Q297" s="461"/>
      <c r="R297" s="461"/>
      <c r="S297" s="461"/>
      <c r="T297" s="461"/>
      <c r="U297" s="530">
        <v>0</v>
      </c>
      <c r="V297" s="530">
        <v>0</v>
      </c>
      <c r="W297" s="530">
        <v>0</v>
      </c>
      <c r="X297" s="490"/>
      <c r="Y297" s="969"/>
      <c r="Z297" s="969"/>
      <c r="AA297" s="969"/>
      <c r="AB297" s="969"/>
      <c r="AC297" s="969"/>
      <c r="AD297" s="969"/>
      <c r="AE297" s="969" t="str">
        <f t="shared" si="13"/>
        <v>TheewaterskloofLicence and permits</v>
      </c>
      <c r="AF297" s="969"/>
      <c r="AG297" s="969"/>
    </row>
    <row r="298" spans="2:33" ht="13.2" customHeight="1" x14ac:dyDescent="0.55000000000000004">
      <c r="B298" s="371"/>
      <c r="C298" s="1324" t="s">
        <v>1569</v>
      </c>
      <c r="D298" s="360" t="str">
        <f t="shared" si="14"/>
        <v>Sport and recreation1550</v>
      </c>
      <c r="E298" s="360" t="str">
        <f t="shared" si="12"/>
        <v>TheewaterskloofSport and recreationSpecial rating Levies</v>
      </c>
      <c r="F298" s="360" t="str">
        <f>'PART C- Municipal Details'!$G$7</f>
        <v>Theewaterskloof</v>
      </c>
      <c r="G298" s="360" t="s">
        <v>803</v>
      </c>
      <c r="H298" s="363" t="s">
        <v>805</v>
      </c>
      <c r="I298" s="496" t="s">
        <v>1568</v>
      </c>
      <c r="J298" s="497" t="s">
        <v>7</v>
      </c>
      <c r="K298" s="490"/>
      <c r="L298" s="463" t="s">
        <v>1567</v>
      </c>
      <c r="M298" s="459"/>
      <c r="N298" s="461"/>
      <c r="O298" s="461"/>
      <c r="P298" s="461"/>
      <c r="Q298" s="461"/>
      <c r="R298" s="461"/>
      <c r="S298" s="461"/>
      <c r="T298" s="461"/>
      <c r="U298" s="530">
        <v>0</v>
      </c>
      <c r="V298" s="530">
        <v>0</v>
      </c>
      <c r="W298" s="530">
        <v>0</v>
      </c>
      <c r="X298" s="490"/>
      <c r="Y298" s="969"/>
      <c r="Z298" s="969"/>
      <c r="AA298" s="969"/>
      <c r="AB298" s="969"/>
      <c r="AC298" s="969"/>
      <c r="AD298" s="969"/>
      <c r="AE298" s="969"/>
      <c r="AF298" s="969"/>
      <c r="AG298" s="969"/>
    </row>
    <row r="299" spans="2:33" ht="13.2" customHeight="1" x14ac:dyDescent="0.55000000000000004">
      <c r="B299" s="371"/>
      <c r="C299" s="1010" t="s">
        <v>702</v>
      </c>
      <c r="D299" s="361" t="str">
        <f t="shared" si="14"/>
        <v>Sport and recreation1600</v>
      </c>
      <c r="E299" s="360" t="str">
        <f t="shared" si="12"/>
        <v>TheewaterskloofSport and recreationOther revenue</v>
      </c>
      <c r="F299" s="360" t="str">
        <f>'PART C- Municipal Details'!$G$7</f>
        <v>Theewaterskloof</v>
      </c>
      <c r="G299" s="360" t="s">
        <v>803</v>
      </c>
      <c r="H299" s="366" t="s">
        <v>805</v>
      </c>
      <c r="I299" s="496" t="s">
        <v>7</v>
      </c>
      <c r="J299" s="497" t="s">
        <v>7</v>
      </c>
      <c r="K299" s="490"/>
      <c r="L299" s="463" t="s">
        <v>704</v>
      </c>
      <c r="M299" s="459"/>
      <c r="N299" s="461"/>
      <c r="O299" s="461"/>
      <c r="P299" s="461"/>
      <c r="Q299" s="461"/>
      <c r="R299" s="461"/>
      <c r="S299" s="461"/>
      <c r="T299" s="461"/>
      <c r="U299" s="530">
        <v>0</v>
      </c>
      <c r="V299" s="530">
        <v>0</v>
      </c>
      <c r="W299" s="530">
        <v>0</v>
      </c>
      <c r="X299" s="490"/>
      <c r="Y299" s="969"/>
      <c r="Z299" s="969"/>
      <c r="AA299" s="969"/>
      <c r="AB299" s="969"/>
      <c r="AC299" s="969"/>
      <c r="AD299" s="969"/>
      <c r="AE299" s="969" t="str">
        <f t="shared" si="13"/>
        <v>TheewaterskloofOperational Revenue</v>
      </c>
      <c r="AF299" s="969"/>
      <c r="AG299" s="969"/>
    </row>
    <row r="300" spans="2:33" ht="13.2" customHeight="1" x14ac:dyDescent="0.55000000000000004">
      <c r="B300" s="371"/>
      <c r="C300" s="1009" t="s">
        <v>705</v>
      </c>
      <c r="D300" s="360" t="str">
        <f t="shared" si="14"/>
        <v>Sport and recreation1700</v>
      </c>
      <c r="E300" s="361" t="str">
        <f t="shared" si="12"/>
        <v>TheewaterskloofSport and recreationx</v>
      </c>
      <c r="F300" s="360" t="str">
        <f>'PART C- Municipal Details'!$G$7</f>
        <v>Theewaterskloof</v>
      </c>
      <c r="G300" s="361" t="s">
        <v>803</v>
      </c>
      <c r="H300" s="363" t="s">
        <v>805</v>
      </c>
      <c r="I300" s="496" t="s">
        <v>789</v>
      </c>
      <c r="J300" s="497" t="s">
        <v>703</v>
      </c>
      <c r="K300" s="490"/>
      <c r="L300" s="508" t="s">
        <v>708</v>
      </c>
      <c r="M300" s="509"/>
      <c r="N300" s="510"/>
      <c r="O300" s="510"/>
      <c r="P300" s="510"/>
      <c r="Q300" s="510"/>
      <c r="R300" s="510"/>
      <c r="S300" s="510"/>
      <c r="T300" s="511"/>
      <c r="U300" s="531">
        <v>0</v>
      </c>
      <c r="V300" s="531">
        <v>0</v>
      </c>
      <c r="W300" s="531">
        <v>0</v>
      </c>
      <c r="X300" s="490"/>
      <c r="Y300" s="969"/>
      <c r="Z300" s="969"/>
      <c r="AA300" s="969"/>
      <c r="AB300" s="969"/>
      <c r="AC300" s="969"/>
      <c r="AD300" s="969"/>
      <c r="AE300" s="969" t="str">
        <f t="shared" si="13"/>
        <v>TheewaterskloofNon-Exchange Revenue</v>
      </c>
      <c r="AF300" s="969"/>
      <c r="AG300" s="969"/>
    </row>
    <row r="301" spans="2:33" ht="13.2" customHeight="1" x14ac:dyDescent="0.55000000000000004">
      <c r="B301" s="371"/>
      <c r="C301" s="1010" t="s">
        <v>709</v>
      </c>
      <c r="D301" s="361" t="str">
        <f t="shared" si="14"/>
        <v>Sport and recreation1800</v>
      </c>
      <c r="E301" s="360" t="str">
        <f t="shared" si="12"/>
        <v>TheewaterskloofSport and recreationProperty rates</v>
      </c>
      <c r="F301" s="360" t="str">
        <f>'PART C- Municipal Details'!$G$7</f>
        <v>Theewaterskloof</v>
      </c>
      <c r="G301" s="360" t="s">
        <v>803</v>
      </c>
      <c r="H301" s="366" t="s">
        <v>805</v>
      </c>
      <c r="I301" s="496" t="s">
        <v>0</v>
      </c>
      <c r="J301" s="497" t="s">
        <v>707</v>
      </c>
      <c r="K301" s="490"/>
      <c r="L301" s="463" t="s">
        <v>0</v>
      </c>
      <c r="M301" s="459"/>
      <c r="N301" s="460"/>
      <c r="O301" s="460"/>
      <c r="P301" s="460"/>
      <c r="Q301" s="460"/>
      <c r="R301" s="460"/>
      <c r="S301" s="460"/>
      <c r="T301" s="460"/>
      <c r="U301" s="530">
        <v>0</v>
      </c>
      <c r="V301" s="530">
        <v>0</v>
      </c>
      <c r="W301" s="530">
        <v>0</v>
      </c>
      <c r="X301" s="490"/>
      <c r="Y301" s="969"/>
      <c r="Z301" s="969"/>
      <c r="AA301" s="969"/>
      <c r="AB301" s="969"/>
      <c r="AC301" s="969"/>
      <c r="AD301" s="969"/>
      <c r="AE301" s="969" t="str">
        <f t="shared" si="13"/>
        <v>TheewaterskloofProperty rates</v>
      </c>
      <c r="AF301" s="969"/>
      <c r="AG301" s="969"/>
    </row>
    <row r="302" spans="2:33" ht="13.2" customHeight="1" x14ac:dyDescent="0.55000000000000004">
      <c r="B302" s="371"/>
      <c r="C302" s="1010" t="s">
        <v>711</v>
      </c>
      <c r="D302" s="360" t="str">
        <f t="shared" si="14"/>
        <v>Sport and recreation1900</v>
      </c>
      <c r="E302" s="361" t="str">
        <f t="shared" si="12"/>
        <v>TheewaterskloofSport and recreationOther revenue</v>
      </c>
      <c r="F302" s="360" t="str">
        <f>'PART C- Municipal Details'!$G$7</f>
        <v>Theewaterskloof</v>
      </c>
      <c r="G302" s="361" t="s">
        <v>803</v>
      </c>
      <c r="H302" s="363" t="s">
        <v>805</v>
      </c>
      <c r="I302" s="496" t="s">
        <v>7</v>
      </c>
      <c r="J302" s="497" t="s">
        <v>710</v>
      </c>
      <c r="K302" s="490"/>
      <c r="L302" s="463" t="s">
        <v>713</v>
      </c>
      <c r="M302" s="459"/>
      <c r="N302" s="461"/>
      <c r="O302" s="461"/>
      <c r="P302" s="461"/>
      <c r="Q302" s="461"/>
      <c r="R302" s="461"/>
      <c r="S302" s="461"/>
      <c r="T302" s="461"/>
      <c r="U302" s="530">
        <v>0</v>
      </c>
      <c r="V302" s="530">
        <v>0</v>
      </c>
      <c r="W302" s="530">
        <v>0</v>
      </c>
      <c r="X302" s="490"/>
      <c r="Y302" s="969"/>
      <c r="Z302" s="969"/>
      <c r="AA302" s="969"/>
      <c r="AB302" s="969"/>
      <c r="AC302" s="969"/>
      <c r="AD302" s="969"/>
      <c r="AE302" s="969" t="str">
        <f t="shared" si="13"/>
        <v>TheewaterskloofSurcharges and Taxes</v>
      </c>
      <c r="AF302" s="969"/>
      <c r="AG302" s="969"/>
    </row>
    <row r="303" spans="2:33" ht="13.2" customHeight="1" x14ac:dyDescent="0.55000000000000004">
      <c r="B303" s="371"/>
      <c r="C303" s="1010" t="s">
        <v>714</v>
      </c>
      <c r="D303" s="361" t="str">
        <f t="shared" si="14"/>
        <v>Sport and recreation2000</v>
      </c>
      <c r="E303" s="360" t="str">
        <f t="shared" si="12"/>
        <v>TheewaterskloofSport and recreationFines, penalties and forfeits</v>
      </c>
      <c r="F303" s="360" t="str">
        <f>'PART C- Municipal Details'!$G$7</f>
        <v>Theewaterskloof</v>
      </c>
      <c r="G303" s="360" t="s">
        <v>803</v>
      </c>
      <c r="H303" s="366" t="s">
        <v>805</v>
      </c>
      <c r="I303" s="496" t="s">
        <v>691</v>
      </c>
      <c r="J303" s="497" t="s">
        <v>712</v>
      </c>
      <c r="K303" s="490"/>
      <c r="L303" s="463" t="s">
        <v>691</v>
      </c>
      <c r="M303" s="459"/>
      <c r="N303" s="461"/>
      <c r="O303" s="461"/>
      <c r="P303" s="461"/>
      <c r="Q303" s="461"/>
      <c r="R303" s="461"/>
      <c r="S303" s="461"/>
      <c r="T303" s="461"/>
      <c r="U303" s="530">
        <v>0</v>
      </c>
      <c r="V303" s="530">
        <v>0</v>
      </c>
      <c r="W303" s="530">
        <v>0</v>
      </c>
      <c r="X303" s="490"/>
      <c r="Y303" s="969"/>
      <c r="Z303" s="969"/>
      <c r="AA303" s="969"/>
      <c r="AB303" s="969"/>
      <c r="AC303" s="969"/>
      <c r="AD303" s="969"/>
      <c r="AE303" s="969" t="str">
        <f t="shared" si="13"/>
        <v>TheewaterskloofFines, penalties and forfeits</v>
      </c>
      <c r="AF303" s="969"/>
      <c r="AG303" s="969"/>
    </row>
    <row r="304" spans="2:33" ht="13.2" customHeight="1" x14ac:dyDescent="0.55000000000000004">
      <c r="B304" s="371"/>
      <c r="C304" s="1010" t="s">
        <v>715</v>
      </c>
      <c r="D304" s="360" t="str">
        <f t="shared" si="14"/>
        <v>Sport and recreation2100</v>
      </c>
      <c r="E304" s="361" t="str">
        <f t="shared" si="12"/>
        <v>TheewaterskloofSport and recreationLicences and permits</v>
      </c>
      <c r="F304" s="360" t="str">
        <f>'PART C- Municipal Details'!$G$7</f>
        <v>Theewaterskloof</v>
      </c>
      <c r="G304" s="361" t="s">
        <v>803</v>
      </c>
      <c r="H304" s="363" t="s">
        <v>805</v>
      </c>
      <c r="I304" s="496" t="s">
        <v>5</v>
      </c>
      <c r="J304" s="497" t="s">
        <v>8</v>
      </c>
      <c r="K304" s="490"/>
      <c r="L304" s="463" t="s">
        <v>716</v>
      </c>
      <c r="M304" s="459"/>
      <c r="N304" s="461"/>
      <c r="O304" s="461"/>
      <c r="P304" s="461"/>
      <c r="Q304" s="461"/>
      <c r="R304" s="461"/>
      <c r="S304" s="461"/>
      <c r="T304" s="461"/>
      <c r="U304" s="530">
        <v>0</v>
      </c>
      <c r="V304" s="530">
        <v>0</v>
      </c>
      <c r="W304" s="530">
        <v>0</v>
      </c>
      <c r="X304" s="490"/>
      <c r="Y304" s="969"/>
      <c r="Z304" s="969"/>
      <c r="AA304" s="969"/>
      <c r="AB304" s="969"/>
      <c r="AC304" s="969"/>
      <c r="AD304" s="969"/>
      <c r="AE304" s="969" t="str">
        <f t="shared" si="13"/>
        <v>TheewaterskloofLicences or permits</v>
      </c>
      <c r="AF304" s="969"/>
      <c r="AG304" s="969"/>
    </row>
    <row r="305" spans="2:33" ht="13.2" customHeight="1" x14ac:dyDescent="0.55000000000000004">
      <c r="B305" s="371"/>
      <c r="C305" s="1010" t="s">
        <v>717</v>
      </c>
      <c r="D305" s="361" t="str">
        <f t="shared" si="14"/>
        <v>Sport and recreation2200</v>
      </c>
      <c r="E305" s="360" t="str">
        <f t="shared" si="12"/>
        <v>TheewaterskloofSport and recreationTransfers and subsidies Income</v>
      </c>
      <c r="F305" s="360" t="str">
        <f>'PART C- Municipal Details'!$G$7</f>
        <v>Theewaterskloof</v>
      </c>
      <c r="G305" s="360" t="s">
        <v>803</v>
      </c>
      <c r="H305" s="366" t="s">
        <v>805</v>
      </c>
      <c r="I305" s="496" t="s">
        <v>698</v>
      </c>
      <c r="J305" s="497" t="s">
        <v>9</v>
      </c>
      <c r="K305" s="490"/>
      <c r="L305" s="463" t="s">
        <v>718</v>
      </c>
      <c r="M305" s="459"/>
      <c r="N305" s="461"/>
      <c r="O305" s="461"/>
      <c r="P305" s="461"/>
      <c r="Q305" s="461"/>
      <c r="R305" s="461"/>
      <c r="S305" s="461"/>
      <c r="T305" s="461"/>
      <c r="U305" s="530">
        <v>0</v>
      </c>
      <c r="V305" s="530">
        <v>0</v>
      </c>
      <c r="W305" s="530">
        <v>0</v>
      </c>
      <c r="X305" s="490"/>
      <c r="Y305" s="969"/>
      <c r="Z305" s="969"/>
      <c r="AA305" s="969"/>
      <c r="AB305" s="969"/>
      <c r="AC305" s="969"/>
      <c r="AD305" s="969"/>
      <c r="AE305" s="969" t="str">
        <f t="shared" si="13"/>
        <v>TheewaterskloofTransfer and subsidies - Operational</v>
      </c>
      <c r="AF305" s="969"/>
      <c r="AG305" s="969"/>
    </row>
    <row r="306" spans="2:33" ht="13.2" customHeight="1" x14ac:dyDescent="0.55000000000000004">
      <c r="B306" s="371"/>
      <c r="C306" s="1010" t="s">
        <v>719</v>
      </c>
      <c r="D306" s="360" t="str">
        <f t="shared" si="14"/>
        <v>Sport and recreation2300</v>
      </c>
      <c r="E306" s="361" t="str">
        <f t="shared" si="12"/>
        <v>TheewaterskloofSport and recreationInterest earned - external investments</v>
      </c>
      <c r="F306" s="360" t="str">
        <f>'PART C- Municipal Details'!$G$7</f>
        <v>Theewaterskloof</v>
      </c>
      <c r="G306" s="361" t="s">
        <v>803</v>
      </c>
      <c r="H306" s="363" t="s">
        <v>805</v>
      </c>
      <c r="I306" s="496" t="s">
        <v>2</v>
      </c>
      <c r="J306" s="497" t="s">
        <v>10</v>
      </c>
      <c r="K306" s="490"/>
      <c r="L306" s="463" t="s">
        <v>687</v>
      </c>
      <c r="M306" s="459"/>
      <c r="N306" s="461"/>
      <c r="O306" s="461"/>
      <c r="P306" s="461"/>
      <c r="Q306" s="461"/>
      <c r="R306" s="461"/>
      <c r="S306" s="461"/>
      <c r="T306" s="461"/>
      <c r="U306" s="530">
        <v>0</v>
      </c>
      <c r="V306" s="530">
        <v>0</v>
      </c>
      <c r="W306" s="530">
        <v>0</v>
      </c>
      <c r="X306" s="490"/>
      <c r="Y306" s="969"/>
      <c r="Z306" s="969"/>
      <c r="AA306" s="969"/>
      <c r="AB306" s="969"/>
      <c r="AC306" s="969"/>
      <c r="AD306" s="969"/>
      <c r="AE306" s="969" t="str">
        <f t="shared" si="13"/>
        <v>TheewaterskloofInterest</v>
      </c>
      <c r="AF306" s="969"/>
      <c r="AG306" s="969"/>
    </row>
    <row r="307" spans="2:33" ht="13.2" customHeight="1" x14ac:dyDescent="0.55000000000000004">
      <c r="B307" s="371"/>
      <c r="C307" s="1010" t="s">
        <v>721</v>
      </c>
      <c r="D307" s="361" t="str">
        <f t="shared" si="14"/>
        <v>Sport and recreation2400</v>
      </c>
      <c r="E307" s="360" t="str">
        <f t="shared" si="12"/>
        <v>TheewaterskloofSport and recreationOther revenue</v>
      </c>
      <c r="F307" s="360" t="str">
        <f>'PART C- Municipal Details'!$G$7</f>
        <v>Theewaterskloof</v>
      </c>
      <c r="G307" s="360" t="s">
        <v>803</v>
      </c>
      <c r="H307" s="366" t="s">
        <v>805</v>
      </c>
      <c r="I307" s="496" t="s">
        <v>7</v>
      </c>
      <c r="J307" s="497" t="s">
        <v>720</v>
      </c>
      <c r="K307" s="490"/>
      <c r="L307" s="463" t="s">
        <v>722</v>
      </c>
      <c r="M307" s="459"/>
      <c r="N307" s="461"/>
      <c r="O307" s="461"/>
      <c r="P307" s="461"/>
      <c r="Q307" s="461"/>
      <c r="R307" s="461"/>
      <c r="S307" s="461"/>
      <c r="T307" s="461"/>
      <c r="U307" s="530">
        <v>0</v>
      </c>
      <c r="V307" s="530">
        <v>0</v>
      </c>
      <c r="W307" s="530">
        <v>0</v>
      </c>
      <c r="X307" s="490"/>
      <c r="Y307" s="969"/>
      <c r="Z307" s="969"/>
      <c r="AA307" s="969"/>
      <c r="AB307" s="969"/>
      <c r="AC307" s="969"/>
      <c r="AD307" s="969"/>
      <c r="AE307" s="969" t="str">
        <f t="shared" si="13"/>
        <v>TheewaterskloofFuel Levy</v>
      </c>
      <c r="AF307" s="969"/>
      <c r="AG307" s="969"/>
    </row>
    <row r="308" spans="2:33" ht="13.2" customHeight="1" x14ac:dyDescent="0.55000000000000004">
      <c r="B308" s="371"/>
      <c r="C308" s="1010" t="s">
        <v>723</v>
      </c>
      <c r="D308" s="360" t="str">
        <f t="shared" si="14"/>
        <v>Sport and recreation2500</v>
      </c>
      <c r="E308" s="361" t="str">
        <f t="shared" si="12"/>
        <v>TheewaterskloofSport and recreationOther revenue</v>
      </c>
      <c r="F308" s="360" t="str">
        <f>'PART C- Municipal Details'!$G$7</f>
        <v>Theewaterskloof</v>
      </c>
      <c r="G308" s="361" t="s">
        <v>803</v>
      </c>
      <c r="H308" s="363" t="s">
        <v>805</v>
      </c>
      <c r="I308" s="496" t="s">
        <v>7</v>
      </c>
      <c r="J308" s="497" t="s">
        <v>11</v>
      </c>
      <c r="K308" s="490"/>
      <c r="L308" s="463" t="s">
        <v>704</v>
      </c>
      <c r="M308" s="459"/>
      <c r="N308" s="461"/>
      <c r="O308" s="461"/>
      <c r="P308" s="461"/>
      <c r="Q308" s="461"/>
      <c r="R308" s="461"/>
      <c r="S308" s="461"/>
      <c r="T308" s="461"/>
      <c r="U308" s="530">
        <v>0</v>
      </c>
      <c r="V308" s="530">
        <v>0</v>
      </c>
      <c r="W308" s="530">
        <v>0</v>
      </c>
      <c r="X308" s="490"/>
      <c r="Y308" s="969"/>
      <c r="Z308" s="969"/>
      <c r="AA308" s="969"/>
      <c r="AB308" s="969"/>
      <c r="AC308" s="969"/>
      <c r="AD308" s="969"/>
      <c r="AE308" s="969" t="str">
        <f t="shared" si="13"/>
        <v>TheewaterskloofOperational Revenue</v>
      </c>
      <c r="AF308" s="969"/>
      <c r="AG308" s="969"/>
    </row>
    <row r="309" spans="2:33" ht="13.2" customHeight="1" x14ac:dyDescent="0.55000000000000004">
      <c r="B309" s="371"/>
      <c r="C309" s="1010" t="s">
        <v>725</v>
      </c>
      <c r="D309" s="361" t="str">
        <f t="shared" si="14"/>
        <v>Sport and recreation2600</v>
      </c>
      <c r="E309" s="360" t="str">
        <f t="shared" si="12"/>
        <v>TheewaterskloofSport and recreationGains</v>
      </c>
      <c r="F309" s="360" t="str">
        <f>'PART C- Municipal Details'!$G$7</f>
        <v>Theewaterskloof</v>
      </c>
      <c r="G309" s="360" t="s">
        <v>803</v>
      </c>
      <c r="H309" s="366" t="s">
        <v>805</v>
      </c>
      <c r="I309" s="496" t="s">
        <v>703</v>
      </c>
      <c r="J309" s="497" t="s">
        <v>724</v>
      </c>
      <c r="K309" s="490"/>
      <c r="L309" s="463" t="s">
        <v>727</v>
      </c>
      <c r="M309" s="459"/>
      <c r="N309" s="461"/>
      <c r="O309" s="461"/>
      <c r="P309" s="461"/>
      <c r="Q309" s="461"/>
      <c r="R309" s="461"/>
      <c r="S309" s="461"/>
      <c r="T309" s="461"/>
      <c r="U309" s="530">
        <v>0</v>
      </c>
      <c r="V309" s="530">
        <v>0</v>
      </c>
      <c r="W309" s="530">
        <v>0</v>
      </c>
      <c r="X309" s="490"/>
      <c r="Y309" s="969"/>
      <c r="Z309" s="969"/>
      <c r="AA309" s="969"/>
      <c r="AB309" s="969"/>
      <c r="AC309" s="969"/>
      <c r="AD309" s="969"/>
      <c r="AE309" s="969" t="str">
        <f t="shared" si="13"/>
        <v>TheewaterskloofGains on disposal of Assets</v>
      </c>
      <c r="AF309" s="969"/>
      <c r="AG309" s="969"/>
    </row>
    <row r="310" spans="2:33" ht="13.2" customHeight="1" x14ac:dyDescent="0.55000000000000004">
      <c r="B310" s="371"/>
      <c r="C310" s="1010" t="s">
        <v>728</v>
      </c>
      <c r="D310" s="360" t="str">
        <f t="shared" si="14"/>
        <v>Sport and recreation2700</v>
      </c>
      <c r="E310" s="361" t="str">
        <f t="shared" si="12"/>
        <v>TheewaterskloofSport and recreationOther revenue</v>
      </c>
      <c r="F310" s="360" t="str">
        <f>'PART C- Municipal Details'!$G$7</f>
        <v>Theewaterskloof</v>
      </c>
      <c r="G310" s="361" t="s">
        <v>803</v>
      </c>
      <c r="H310" s="363" t="s">
        <v>805</v>
      </c>
      <c r="I310" s="496" t="s">
        <v>7</v>
      </c>
      <c r="J310" s="497" t="s">
        <v>726</v>
      </c>
      <c r="K310" s="490"/>
      <c r="L310" s="463" t="s">
        <v>729</v>
      </c>
      <c r="M310" s="459"/>
      <c r="N310" s="461"/>
      <c r="O310" s="461"/>
      <c r="P310" s="461"/>
      <c r="Q310" s="461"/>
      <c r="R310" s="461"/>
      <c r="S310" s="461"/>
      <c r="T310" s="461"/>
      <c r="U310" s="530">
        <v>0</v>
      </c>
      <c r="V310" s="530">
        <v>0</v>
      </c>
      <c r="W310" s="530">
        <v>0</v>
      </c>
      <c r="X310" s="490"/>
      <c r="Y310" s="969"/>
      <c r="Z310" s="969"/>
      <c r="AA310" s="969"/>
      <c r="AB310" s="969"/>
      <c r="AC310" s="969"/>
      <c r="AD310" s="969"/>
      <c r="AE310" s="969" t="str">
        <f t="shared" si="13"/>
        <v>TheewaterskloofOther Gains</v>
      </c>
      <c r="AF310" s="969"/>
      <c r="AG310" s="969"/>
    </row>
    <row r="311" spans="2:33" ht="13.2" customHeight="1" x14ac:dyDescent="0.55000000000000004">
      <c r="B311" s="371"/>
      <c r="C311" s="1010" t="s">
        <v>730</v>
      </c>
      <c r="D311" s="361" t="str">
        <f t="shared" si="14"/>
        <v>Sport and recreation2800</v>
      </c>
      <c r="E311" s="360" t="str">
        <f t="shared" si="12"/>
        <v>TheewaterskloofSport and recreationOther revenue</v>
      </c>
      <c r="F311" s="360" t="str">
        <f>'PART C- Municipal Details'!$G$7</f>
        <v>Theewaterskloof</v>
      </c>
      <c r="G311" s="360" t="s">
        <v>803</v>
      </c>
      <c r="H311" s="366" t="s">
        <v>805</v>
      </c>
      <c r="I311" s="496" t="s">
        <v>7</v>
      </c>
      <c r="J311" s="497" t="s">
        <v>12</v>
      </c>
      <c r="K311" s="490"/>
      <c r="L311" s="464" t="s">
        <v>731</v>
      </c>
      <c r="M311" s="459"/>
      <c r="N311" s="461"/>
      <c r="O311" s="461"/>
      <c r="P311" s="461"/>
      <c r="Q311" s="461"/>
      <c r="R311" s="461"/>
      <c r="S311" s="461"/>
      <c r="T311" s="461"/>
      <c r="U311" s="530">
        <v>0</v>
      </c>
      <c r="V311" s="530">
        <v>0</v>
      </c>
      <c r="W311" s="530">
        <v>0</v>
      </c>
      <c r="X311" s="490"/>
      <c r="Y311" s="969"/>
      <c r="Z311" s="969"/>
      <c r="AA311" s="969"/>
      <c r="AB311" s="969"/>
      <c r="AC311" s="969"/>
      <c r="AD311" s="969"/>
      <c r="AE311" s="969" t="str">
        <f t="shared" si="13"/>
        <v>TheewaterskloofDiscontinued Operations</v>
      </c>
      <c r="AF311" s="969"/>
      <c r="AG311" s="969"/>
    </row>
    <row r="312" spans="2:33" ht="13.2" customHeight="1" x14ac:dyDescent="0.55000000000000004">
      <c r="B312" s="371"/>
      <c r="C312" s="1009" t="s">
        <v>732</v>
      </c>
      <c r="D312" s="360" t="str">
        <f t="shared" si="14"/>
        <v>Sport and recreation2900</v>
      </c>
      <c r="E312" s="361" t="str">
        <f t="shared" si="12"/>
        <v>TheewaterskloofSport and recreationTotal Revenue (excluding capital transfers and contributions)</v>
      </c>
      <c r="F312" s="360" t="str">
        <f>'PART C- Municipal Details'!$G$7</f>
        <v>Theewaterskloof</v>
      </c>
      <c r="G312" s="361" t="s">
        <v>803</v>
      </c>
      <c r="H312" s="363" t="s">
        <v>805</v>
      </c>
      <c r="I312" s="496" t="s">
        <v>707</v>
      </c>
      <c r="J312" s="497" t="s">
        <v>204</v>
      </c>
      <c r="K312" s="490"/>
      <c r="L312" s="508" t="s">
        <v>707</v>
      </c>
      <c r="M312" s="509"/>
      <c r="N312" s="510"/>
      <c r="O312" s="510"/>
      <c r="P312" s="510"/>
      <c r="Q312" s="510"/>
      <c r="R312" s="510"/>
      <c r="S312" s="510"/>
      <c r="T312" s="511"/>
      <c r="U312" s="531">
        <v>71000</v>
      </c>
      <c r="V312" s="531">
        <v>73414</v>
      </c>
      <c r="W312" s="531">
        <v>75763</v>
      </c>
      <c r="X312" s="490"/>
      <c r="Y312" s="969"/>
      <c r="Z312" s="969"/>
      <c r="AA312" s="969"/>
      <c r="AB312" s="969"/>
      <c r="AC312" s="969"/>
      <c r="AD312" s="969"/>
      <c r="AE312" s="969" t="str">
        <f t="shared" si="13"/>
        <v>TheewaterskloofTotal Revenue (excluding capital transfers and contributions)</v>
      </c>
      <c r="AF312" s="969"/>
      <c r="AG312" s="969"/>
    </row>
    <row r="313" spans="2:33" ht="13.2" customHeight="1" x14ac:dyDescent="0.55000000000000004">
      <c r="B313" s="371"/>
      <c r="C313" s="1009" t="s">
        <v>733</v>
      </c>
      <c r="D313" s="361" t="str">
        <f t="shared" si="14"/>
        <v>Sport and recreation3000</v>
      </c>
      <c r="E313" s="360" t="str">
        <f t="shared" si="12"/>
        <v>TheewaterskloofSport and recreationx</v>
      </c>
      <c r="F313" s="360" t="str">
        <f>'PART C- Municipal Details'!$G$7</f>
        <v>Theewaterskloof</v>
      </c>
      <c r="G313" s="360" t="s">
        <v>803</v>
      </c>
      <c r="H313" s="366" t="s">
        <v>805</v>
      </c>
      <c r="I313" s="496" t="s">
        <v>789</v>
      </c>
      <c r="J313" s="497" t="s">
        <v>13</v>
      </c>
      <c r="K313" s="490"/>
      <c r="L313" s="505" t="s">
        <v>22</v>
      </c>
      <c r="M313" s="506"/>
      <c r="N313" s="507"/>
      <c r="O313" s="507"/>
      <c r="P313" s="507"/>
      <c r="Q313" s="507"/>
      <c r="R313" s="507"/>
      <c r="S313" s="507"/>
      <c r="T313" s="507"/>
      <c r="U313" s="531">
        <v>0</v>
      </c>
      <c r="V313" s="531">
        <v>0</v>
      </c>
      <c r="W313" s="531">
        <v>0</v>
      </c>
      <c r="X313" s="490"/>
      <c r="Y313" s="969"/>
      <c r="Z313" s="969"/>
      <c r="AA313" s="969"/>
      <c r="AB313" s="969"/>
      <c r="AC313" s="969"/>
      <c r="AD313" s="969"/>
      <c r="AE313" s="969" t="str">
        <f t="shared" si="13"/>
        <v>TheewaterskloofExpenditure</v>
      </c>
      <c r="AF313" s="969"/>
      <c r="AG313" s="969"/>
    </row>
    <row r="314" spans="2:33" ht="13.2" customHeight="1" x14ac:dyDescent="0.55000000000000004">
      <c r="B314" s="371"/>
      <c r="C314" s="1010" t="s">
        <v>735</v>
      </c>
      <c r="D314" s="360" t="str">
        <f t="shared" si="14"/>
        <v>Sport and recreation3100</v>
      </c>
      <c r="E314" s="361" t="str">
        <f t="shared" si="12"/>
        <v>TheewaterskloofSport and recreationEmployee related costs</v>
      </c>
      <c r="F314" s="360" t="str">
        <f>'PART C- Municipal Details'!$G$7</f>
        <v>Theewaterskloof</v>
      </c>
      <c r="G314" s="361" t="s">
        <v>803</v>
      </c>
      <c r="H314" s="363" t="s">
        <v>805</v>
      </c>
      <c r="I314" s="496" t="s">
        <v>8</v>
      </c>
      <c r="J314" s="497" t="s">
        <v>734</v>
      </c>
      <c r="K314" s="490"/>
      <c r="L314" s="463" t="s">
        <v>8</v>
      </c>
      <c r="M314" s="459"/>
      <c r="N314" s="461"/>
      <c r="O314" s="461"/>
      <c r="P314" s="461"/>
      <c r="Q314" s="461"/>
      <c r="R314" s="461"/>
      <c r="S314" s="461"/>
      <c r="T314" s="461"/>
      <c r="U314" s="530">
        <v>9466370</v>
      </c>
      <c r="V314" s="530">
        <v>9788708</v>
      </c>
      <c r="W314" s="530">
        <v>10102514</v>
      </c>
      <c r="X314" s="490"/>
      <c r="Y314" s="969"/>
      <c r="Z314" s="969"/>
      <c r="AA314" s="969"/>
      <c r="AB314" s="969"/>
      <c r="AC314" s="969"/>
      <c r="AD314" s="969"/>
      <c r="AE314" s="969" t="str">
        <f t="shared" si="13"/>
        <v>TheewaterskloofEmployee related costs</v>
      </c>
      <c r="AF314" s="969"/>
      <c r="AG314" s="969"/>
    </row>
    <row r="315" spans="2:33" ht="13.2" customHeight="1" x14ac:dyDescent="0.55000000000000004">
      <c r="B315" s="371"/>
      <c r="C315" s="1010" t="s">
        <v>737</v>
      </c>
      <c r="D315" s="361" t="str">
        <f t="shared" si="14"/>
        <v>Sport and recreation3200</v>
      </c>
      <c r="E315" s="360" t="str">
        <f t="shared" si="12"/>
        <v>TheewaterskloofSport and recreationRemuneration of councillors</v>
      </c>
      <c r="F315" s="360" t="str">
        <f>'PART C- Municipal Details'!$G$7</f>
        <v>Theewaterskloof</v>
      </c>
      <c r="G315" s="360" t="s">
        <v>803</v>
      </c>
      <c r="H315" s="366" t="s">
        <v>805</v>
      </c>
      <c r="I315" s="496" t="s">
        <v>9</v>
      </c>
      <c r="J315" s="497" t="s">
        <v>736</v>
      </c>
      <c r="K315" s="490"/>
      <c r="L315" s="463" t="s">
        <v>9</v>
      </c>
      <c r="M315" s="459"/>
      <c r="N315" s="461"/>
      <c r="O315" s="461"/>
      <c r="P315" s="461"/>
      <c r="Q315" s="461"/>
      <c r="R315" s="461"/>
      <c r="S315" s="461"/>
      <c r="T315" s="461"/>
      <c r="U315" s="530">
        <v>0</v>
      </c>
      <c r="V315" s="530">
        <v>0</v>
      </c>
      <c r="W315" s="530">
        <v>0</v>
      </c>
      <c r="X315" s="490"/>
      <c r="Y315" s="969"/>
      <c r="Z315" s="969"/>
      <c r="AA315" s="969"/>
      <c r="AB315" s="969"/>
      <c r="AC315" s="969"/>
      <c r="AD315" s="969"/>
      <c r="AE315" s="969" t="str">
        <f t="shared" si="13"/>
        <v>TheewaterskloofRemuneration of councillors</v>
      </c>
      <c r="AF315" s="969"/>
      <c r="AG315" s="969"/>
    </row>
    <row r="316" spans="2:33" ht="13.2" customHeight="1" x14ac:dyDescent="0.55000000000000004">
      <c r="B316" s="371"/>
      <c r="C316" s="1010" t="s">
        <v>738</v>
      </c>
      <c r="D316" s="360" t="str">
        <f t="shared" si="14"/>
        <v>Sport and recreation3300</v>
      </c>
      <c r="E316" s="361" t="str">
        <f t="shared" si="12"/>
        <v>TheewaterskloofSport and recreationBulk purchases - electricity</v>
      </c>
      <c r="F316" s="360" t="str">
        <f>'PART C- Municipal Details'!$G$7</f>
        <v>Theewaterskloof</v>
      </c>
      <c r="G316" s="361" t="s">
        <v>803</v>
      </c>
      <c r="H316" s="363" t="s">
        <v>805</v>
      </c>
      <c r="I316" s="496" t="s">
        <v>724</v>
      </c>
      <c r="J316" s="497" t="s">
        <v>710</v>
      </c>
      <c r="K316" s="490"/>
      <c r="L316" s="463" t="s">
        <v>724</v>
      </c>
      <c r="M316" s="459"/>
      <c r="N316" s="461"/>
      <c r="O316" s="461"/>
      <c r="P316" s="461"/>
      <c r="Q316" s="461"/>
      <c r="R316" s="461"/>
      <c r="S316" s="461"/>
      <c r="T316" s="461"/>
      <c r="U316" s="530">
        <v>0</v>
      </c>
      <c r="V316" s="530">
        <v>0</v>
      </c>
      <c r="W316" s="530">
        <v>0</v>
      </c>
      <c r="X316" s="490"/>
      <c r="Y316" s="969"/>
      <c r="Z316" s="969"/>
      <c r="AA316" s="969"/>
      <c r="AB316" s="969"/>
      <c r="AC316" s="969"/>
      <c r="AD316" s="969"/>
      <c r="AE316" s="969" t="str">
        <f t="shared" si="13"/>
        <v>TheewaterskloofBulk purchases - electricity</v>
      </c>
      <c r="AF316" s="969"/>
      <c r="AG316" s="969"/>
    </row>
    <row r="317" spans="2:33" ht="13.2" customHeight="1" x14ac:dyDescent="0.55000000000000004">
      <c r="B317" s="371"/>
      <c r="C317" s="1010" t="s">
        <v>739</v>
      </c>
      <c r="D317" s="361" t="str">
        <f t="shared" si="14"/>
        <v>Sport and recreation3400</v>
      </c>
      <c r="E317" s="360" t="str">
        <f t="shared" si="12"/>
        <v>TheewaterskloofSport and recreationInventory consumed</v>
      </c>
      <c r="F317" s="360" t="str">
        <f>'PART C- Municipal Details'!$G$7</f>
        <v>Theewaterskloof</v>
      </c>
      <c r="G317" s="360" t="s">
        <v>803</v>
      </c>
      <c r="H317" s="366" t="s">
        <v>805</v>
      </c>
      <c r="I317" s="496" t="s">
        <v>726</v>
      </c>
      <c r="J317" s="497" t="s">
        <v>635</v>
      </c>
      <c r="K317" s="490"/>
      <c r="L317" s="463" t="s">
        <v>726</v>
      </c>
      <c r="M317" s="459"/>
      <c r="N317" s="461"/>
      <c r="O317" s="461"/>
      <c r="P317" s="461"/>
      <c r="Q317" s="461"/>
      <c r="R317" s="461"/>
      <c r="S317" s="461"/>
      <c r="T317" s="461"/>
      <c r="U317" s="530">
        <v>601804</v>
      </c>
      <c r="V317" s="530">
        <v>622266</v>
      </c>
      <c r="W317" s="530">
        <v>642179</v>
      </c>
      <c r="X317" s="490"/>
      <c r="Y317" s="969"/>
      <c r="Z317" s="969"/>
      <c r="AA317" s="969"/>
      <c r="AB317" s="969"/>
      <c r="AC317" s="969"/>
      <c r="AD317" s="969"/>
      <c r="AE317" s="969" t="str">
        <f t="shared" si="13"/>
        <v>TheewaterskloofInventory consumed</v>
      </c>
      <c r="AF317" s="969"/>
      <c r="AG317" s="969"/>
    </row>
    <row r="318" spans="2:33" ht="13.2" customHeight="1" x14ac:dyDescent="0.55000000000000004">
      <c r="B318" s="371"/>
      <c r="C318" s="1010" t="s">
        <v>741</v>
      </c>
      <c r="D318" s="360" t="str">
        <f t="shared" si="14"/>
        <v>Sport and recreation3500</v>
      </c>
      <c r="E318" s="361" t="str">
        <f t="shared" si="12"/>
        <v>TheewaterskloofSport and recreationDebt impairment</v>
      </c>
      <c r="F318" s="360" t="str">
        <f>'PART C- Municipal Details'!$G$7</f>
        <v>Theewaterskloof</v>
      </c>
      <c r="G318" s="361" t="s">
        <v>803</v>
      </c>
      <c r="H318" s="363" t="s">
        <v>805</v>
      </c>
      <c r="I318" s="496" t="s">
        <v>10</v>
      </c>
      <c r="J318" s="497" t="s">
        <v>740</v>
      </c>
      <c r="K318" s="490"/>
      <c r="L318" s="463" t="s">
        <v>10</v>
      </c>
      <c r="M318" s="459"/>
      <c r="N318" s="461"/>
      <c r="O318" s="461"/>
      <c r="P318" s="461"/>
      <c r="Q318" s="461"/>
      <c r="R318" s="461"/>
      <c r="S318" s="461"/>
      <c r="T318" s="461"/>
      <c r="U318" s="530">
        <v>0</v>
      </c>
      <c r="V318" s="530">
        <v>0</v>
      </c>
      <c r="W318" s="530">
        <v>0</v>
      </c>
      <c r="X318" s="490"/>
      <c r="Y318" s="969"/>
      <c r="Z318" s="969"/>
      <c r="AA318" s="969"/>
      <c r="AB318" s="969"/>
      <c r="AC318" s="969"/>
      <c r="AD318" s="969"/>
      <c r="AE318" s="969" t="str">
        <f t="shared" si="13"/>
        <v>TheewaterskloofDebt impairment</v>
      </c>
      <c r="AF318" s="969"/>
      <c r="AG318" s="969"/>
    </row>
    <row r="319" spans="2:33" ht="13.2" customHeight="1" x14ac:dyDescent="0.55000000000000004">
      <c r="B319" s="371"/>
      <c r="C319" s="1010" t="s">
        <v>743</v>
      </c>
      <c r="D319" s="361" t="str">
        <f t="shared" si="14"/>
        <v>Sport and recreation3600</v>
      </c>
      <c r="E319" s="360" t="str">
        <f t="shared" si="12"/>
        <v>TheewaterskloofSport and recreationDepreciation and asset impairment</v>
      </c>
      <c r="F319" s="360" t="str">
        <f>'PART C- Municipal Details'!$G$7</f>
        <v>Theewaterskloof</v>
      </c>
      <c r="G319" s="360" t="s">
        <v>803</v>
      </c>
      <c r="H319" s="366" t="s">
        <v>805</v>
      </c>
      <c r="I319" s="496" t="s">
        <v>720</v>
      </c>
      <c r="J319" s="497" t="s">
        <v>742</v>
      </c>
      <c r="K319" s="490"/>
      <c r="L319" s="463" t="s">
        <v>745</v>
      </c>
      <c r="M319" s="459"/>
      <c r="N319" s="461"/>
      <c r="O319" s="461"/>
      <c r="P319" s="461"/>
      <c r="Q319" s="461"/>
      <c r="R319" s="461"/>
      <c r="S319" s="461"/>
      <c r="T319" s="461"/>
      <c r="U319" s="530">
        <v>0</v>
      </c>
      <c r="V319" s="530">
        <v>0</v>
      </c>
      <c r="W319" s="530">
        <v>0</v>
      </c>
      <c r="X319" s="490"/>
      <c r="Y319" s="969"/>
      <c r="Z319" s="969"/>
      <c r="AA319" s="969"/>
      <c r="AB319" s="969"/>
      <c r="AC319" s="969"/>
      <c r="AD319" s="969"/>
      <c r="AE319" s="969" t="str">
        <f t="shared" si="13"/>
        <v>TheewaterskloofDepreciation and amortisation</v>
      </c>
      <c r="AF319" s="969"/>
      <c r="AG319" s="969"/>
    </row>
    <row r="320" spans="2:33" ht="13.2" customHeight="1" x14ac:dyDescent="0.55000000000000004">
      <c r="B320" s="371"/>
      <c r="C320" s="1010" t="s">
        <v>746</v>
      </c>
      <c r="D320" s="360" t="str">
        <f t="shared" si="14"/>
        <v>Sport and recreation3700</v>
      </c>
      <c r="E320" s="361" t="str">
        <f t="shared" si="12"/>
        <v>TheewaterskloofSport and recreationFinance charges</v>
      </c>
      <c r="F320" s="360" t="str">
        <f>'PART C- Municipal Details'!$G$7</f>
        <v>Theewaterskloof</v>
      </c>
      <c r="G320" s="361" t="s">
        <v>803</v>
      </c>
      <c r="H320" s="363" t="s">
        <v>805</v>
      </c>
      <c r="I320" s="496" t="s">
        <v>11</v>
      </c>
      <c r="J320" s="497" t="s">
        <v>744</v>
      </c>
      <c r="K320" s="490"/>
      <c r="L320" s="463" t="s">
        <v>687</v>
      </c>
      <c r="M320" s="459"/>
      <c r="N320" s="461"/>
      <c r="O320" s="461"/>
      <c r="P320" s="461"/>
      <c r="Q320" s="461"/>
      <c r="R320" s="461"/>
      <c r="S320" s="461"/>
      <c r="T320" s="461"/>
      <c r="U320" s="530">
        <v>1179</v>
      </c>
      <c r="V320" s="530">
        <v>1219</v>
      </c>
      <c r="W320" s="530">
        <v>1258</v>
      </c>
      <c r="X320" s="490"/>
      <c r="Y320" s="969"/>
      <c r="Z320" s="969"/>
      <c r="AA320" s="969"/>
      <c r="AB320" s="969"/>
      <c r="AC320" s="969"/>
      <c r="AD320" s="969"/>
      <c r="AE320" s="969" t="str">
        <f t="shared" si="13"/>
        <v>TheewaterskloofInterest</v>
      </c>
      <c r="AF320" s="969"/>
      <c r="AG320" s="969"/>
    </row>
    <row r="321" spans="2:33" ht="13.2" customHeight="1" x14ac:dyDescent="0.55000000000000004">
      <c r="B321" s="371"/>
      <c r="C321" s="1010" t="s">
        <v>748</v>
      </c>
      <c r="D321" s="361" t="str">
        <f t="shared" si="14"/>
        <v>Sport and recreation3800</v>
      </c>
      <c r="E321" s="360" t="str">
        <f t="shared" si="12"/>
        <v>TheewaterskloofSport and recreationContracted services</v>
      </c>
      <c r="F321" s="360" t="str">
        <f>'PART C- Municipal Details'!$G$7</f>
        <v>Theewaterskloof</v>
      </c>
      <c r="G321" s="360" t="s">
        <v>803</v>
      </c>
      <c r="H321" s="366" t="s">
        <v>805</v>
      </c>
      <c r="I321" s="496" t="s">
        <v>12</v>
      </c>
      <c r="J321" s="497" t="s">
        <v>747</v>
      </c>
      <c r="K321" s="490"/>
      <c r="L321" s="463" t="s">
        <v>12</v>
      </c>
      <c r="M321" s="459"/>
      <c r="N321" s="461"/>
      <c r="O321" s="461"/>
      <c r="P321" s="461"/>
      <c r="Q321" s="461"/>
      <c r="R321" s="461"/>
      <c r="S321" s="461"/>
      <c r="T321" s="461"/>
      <c r="U321" s="530">
        <v>1695503</v>
      </c>
      <c r="V321" s="530">
        <v>1753153</v>
      </c>
      <c r="W321" s="530">
        <v>1809256</v>
      </c>
      <c r="X321" s="490"/>
      <c r="Y321" s="969"/>
      <c r="Z321" s="969"/>
      <c r="AA321" s="969"/>
      <c r="AB321" s="969"/>
      <c r="AC321" s="969"/>
      <c r="AD321" s="969"/>
      <c r="AE321" s="969" t="str">
        <f t="shared" si="13"/>
        <v>TheewaterskloofContracted services</v>
      </c>
      <c r="AF321" s="969"/>
      <c r="AG321" s="969"/>
    </row>
    <row r="322" spans="2:33" ht="13.2" customHeight="1" x14ac:dyDescent="0.55000000000000004">
      <c r="B322" s="371"/>
      <c r="C322" s="1010" t="s">
        <v>750</v>
      </c>
      <c r="D322" s="360" t="str">
        <f t="shared" si="14"/>
        <v>Sport and recreation3900</v>
      </c>
      <c r="E322" s="361" t="str">
        <f t="shared" si="12"/>
        <v>TheewaterskloofSport and recreationTransfers and subsidies</v>
      </c>
      <c r="F322" s="360" t="str">
        <f>'PART C- Municipal Details'!$G$7</f>
        <v>Theewaterskloof</v>
      </c>
      <c r="G322" s="361" t="s">
        <v>803</v>
      </c>
      <c r="H322" s="363" t="s">
        <v>805</v>
      </c>
      <c r="I322" s="496" t="s">
        <v>204</v>
      </c>
      <c r="J322" s="497" t="s">
        <v>749</v>
      </c>
      <c r="K322" s="490"/>
      <c r="L322" s="463" t="s">
        <v>204</v>
      </c>
      <c r="M322" s="459"/>
      <c r="N322" s="461"/>
      <c r="O322" s="461"/>
      <c r="P322" s="461"/>
      <c r="Q322" s="461"/>
      <c r="R322" s="461"/>
      <c r="S322" s="461"/>
      <c r="T322" s="461"/>
      <c r="U322" s="530">
        <v>0</v>
      </c>
      <c r="V322" s="530">
        <v>0</v>
      </c>
      <c r="W322" s="530">
        <v>0</v>
      </c>
      <c r="X322" s="490"/>
      <c r="Y322" s="969"/>
      <c r="Z322" s="969"/>
      <c r="AA322" s="969"/>
      <c r="AB322" s="969"/>
      <c r="AC322" s="969"/>
      <c r="AD322" s="969"/>
      <c r="AE322" s="969" t="str">
        <f t="shared" si="13"/>
        <v>TheewaterskloofTransfers and subsidies</v>
      </c>
      <c r="AF322" s="969"/>
      <c r="AG322" s="969"/>
    </row>
    <row r="323" spans="2:33" ht="13.2" customHeight="1" x14ac:dyDescent="0.55000000000000004">
      <c r="B323" s="371"/>
      <c r="C323" s="1010" t="s">
        <v>752</v>
      </c>
      <c r="D323" s="361" t="str">
        <f t="shared" si="14"/>
        <v>Sport and recreation4000</v>
      </c>
      <c r="E323" s="360" t="str">
        <f t="shared" si="12"/>
        <v>TheewaterskloofSport and recreationOther expenditure</v>
      </c>
      <c r="F323" s="360" t="str">
        <f>'PART C- Municipal Details'!$G$7</f>
        <v>Theewaterskloof</v>
      </c>
      <c r="G323" s="360" t="s">
        <v>803</v>
      </c>
      <c r="H323" s="366" t="s">
        <v>805</v>
      </c>
      <c r="I323" s="496" t="s">
        <v>13</v>
      </c>
      <c r="J323" s="497" t="s">
        <v>751</v>
      </c>
      <c r="K323" s="490"/>
      <c r="L323" s="463" t="s">
        <v>754</v>
      </c>
      <c r="M323" s="459"/>
      <c r="N323" s="461"/>
      <c r="O323" s="461"/>
      <c r="P323" s="461"/>
      <c r="Q323" s="461"/>
      <c r="R323" s="461"/>
      <c r="S323" s="461"/>
      <c r="T323" s="461"/>
      <c r="U323" s="530">
        <v>0</v>
      </c>
      <c r="V323" s="530">
        <v>0</v>
      </c>
      <c r="W323" s="530">
        <v>0</v>
      </c>
      <c r="X323" s="490"/>
      <c r="Y323" s="969"/>
      <c r="Z323" s="969"/>
      <c r="AA323" s="969"/>
      <c r="AB323" s="969"/>
      <c r="AC323" s="969"/>
      <c r="AD323" s="969"/>
      <c r="AE323" s="969" t="str">
        <f t="shared" si="13"/>
        <v>TheewaterskloofIrrecoverable debts written off</v>
      </c>
      <c r="AF323" s="969"/>
      <c r="AG323" s="969"/>
    </row>
    <row r="324" spans="2:33" ht="13.2" customHeight="1" x14ac:dyDescent="0.55000000000000004">
      <c r="B324" s="371"/>
      <c r="C324" s="1010" t="s">
        <v>755</v>
      </c>
      <c r="D324" s="360" t="str">
        <f t="shared" si="14"/>
        <v>Sport and recreation4100</v>
      </c>
      <c r="E324" s="361" t="str">
        <f t="shared" si="12"/>
        <v>TheewaterskloofSport and recreationOther expenditure</v>
      </c>
      <c r="F324" s="360" t="str">
        <f>'PART C- Municipal Details'!$G$7</f>
        <v>Theewaterskloof</v>
      </c>
      <c r="G324" s="361" t="s">
        <v>803</v>
      </c>
      <c r="H324" s="363" t="s">
        <v>805</v>
      </c>
      <c r="I324" s="496" t="s">
        <v>13</v>
      </c>
      <c r="J324" s="497" t="s">
        <v>753</v>
      </c>
      <c r="K324" s="490"/>
      <c r="L324" s="463" t="s">
        <v>757</v>
      </c>
      <c r="M324" s="459"/>
      <c r="N324" s="461"/>
      <c r="O324" s="461"/>
      <c r="P324" s="461"/>
      <c r="Q324" s="461"/>
      <c r="R324" s="461"/>
      <c r="S324" s="461"/>
      <c r="T324" s="461"/>
      <c r="U324" s="530">
        <v>527636</v>
      </c>
      <c r="V324" s="530">
        <v>545577</v>
      </c>
      <c r="W324" s="530">
        <v>563036</v>
      </c>
      <c r="X324" s="490"/>
      <c r="Y324" s="969"/>
      <c r="Z324" s="969"/>
      <c r="AA324" s="969"/>
      <c r="AB324" s="969"/>
      <c r="AC324" s="969"/>
      <c r="AD324" s="969"/>
      <c r="AE324" s="969" t="str">
        <f t="shared" si="13"/>
        <v>TheewaterskloofOperational costs</v>
      </c>
      <c r="AF324" s="969"/>
      <c r="AG324" s="969"/>
    </row>
    <row r="325" spans="2:33" ht="13.2" customHeight="1" x14ac:dyDescent="0.55000000000000004">
      <c r="B325" s="371"/>
      <c r="C325" s="1010" t="s">
        <v>758</v>
      </c>
      <c r="D325" s="361" t="str">
        <f t="shared" si="14"/>
        <v>Sport and recreation4200</v>
      </c>
      <c r="E325" s="360" t="str">
        <f t="shared" si="12"/>
        <v>TheewaterskloofSport and recreationLosses</v>
      </c>
      <c r="F325" s="360" t="str">
        <f>'PART C- Municipal Details'!$G$7</f>
        <v>Theewaterskloof</v>
      </c>
      <c r="G325" s="360" t="s">
        <v>803</v>
      </c>
      <c r="H325" s="366" t="s">
        <v>805</v>
      </c>
      <c r="I325" s="496" t="s">
        <v>734</v>
      </c>
      <c r="J325" s="497" t="s">
        <v>756</v>
      </c>
      <c r="K325" s="490"/>
      <c r="L325" s="463" t="s">
        <v>760</v>
      </c>
      <c r="M325" s="459"/>
      <c r="N325" s="461"/>
      <c r="O325" s="461"/>
      <c r="P325" s="461"/>
      <c r="Q325" s="461"/>
      <c r="R325" s="461"/>
      <c r="S325" s="461"/>
      <c r="T325" s="461"/>
      <c r="U325" s="530">
        <v>0</v>
      </c>
      <c r="V325" s="530">
        <v>0</v>
      </c>
      <c r="W325" s="530">
        <v>0</v>
      </c>
      <c r="X325" s="490"/>
      <c r="Y325" s="969"/>
      <c r="Z325" s="969"/>
      <c r="AA325" s="969"/>
      <c r="AB325" s="969"/>
      <c r="AC325" s="969"/>
      <c r="AD325" s="969"/>
      <c r="AE325" s="969" t="str">
        <f t="shared" si="13"/>
        <v>TheewaterskloofLosses on disposal of Assets</v>
      </c>
      <c r="AF325" s="969"/>
      <c r="AG325" s="969"/>
    </row>
    <row r="326" spans="2:33" ht="13.2" customHeight="1" x14ac:dyDescent="0.55000000000000004">
      <c r="B326" s="371"/>
      <c r="C326" s="1010" t="s">
        <v>761</v>
      </c>
      <c r="D326" s="360" t="str">
        <f t="shared" si="14"/>
        <v>Sport and recreation4300</v>
      </c>
      <c r="E326" s="361" t="str">
        <f t="shared" si="12"/>
        <v>TheewaterskloofSport and recreationOther expenditure</v>
      </c>
      <c r="F326" s="360" t="str">
        <f>'PART C- Municipal Details'!$G$7</f>
        <v>Theewaterskloof</v>
      </c>
      <c r="G326" s="361" t="s">
        <v>803</v>
      </c>
      <c r="H326" s="363" t="s">
        <v>805</v>
      </c>
      <c r="I326" s="496" t="s">
        <v>13</v>
      </c>
      <c r="J326" s="497" t="s">
        <v>759</v>
      </c>
      <c r="K326" s="490"/>
      <c r="L326" s="463" t="s">
        <v>763</v>
      </c>
      <c r="M326" s="459"/>
      <c r="N326" s="461"/>
      <c r="O326" s="461"/>
      <c r="P326" s="461"/>
      <c r="Q326" s="461"/>
      <c r="R326" s="461"/>
      <c r="S326" s="461"/>
      <c r="T326" s="461"/>
      <c r="U326" s="530">
        <v>0</v>
      </c>
      <c r="V326" s="530">
        <v>0</v>
      </c>
      <c r="W326" s="530">
        <v>0</v>
      </c>
      <c r="X326" s="490"/>
      <c r="Y326" s="969"/>
      <c r="Z326" s="969"/>
      <c r="AA326" s="969"/>
      <c r="AB326" s="969"/>
      <c r="AC326" s="969"/>
      <c r="AD326" s="969"/>
      <c r="AE326" s="969" t="str">
        <f t="shared" si="13"/>
        <v>TheewaterskloofOther Losses</v>
      </c>
      <c r="AF326" s="969"/>
      <c r="AG326" s="969"/>
    </row>
    <row r="327" spans="2:33" ht="13.2" customHeight="1" x14ac:dyDescent="0.55000000000000004">
      <c r="B327" s="371"/>
      <c r="C327" s="1009" t="s">
        <v>764</v>
      </c>
      <c r="D327" s="361" t="str">
        <f t="shared" si="14"/>
        <v>Sport and recreation4400</v>
      </c>
      <c r="E327" s="360" t="str">
        <f t="shared" si="12"/>
        <v>TheewaterskloofSport and recreationTotal Expenditure</v>
      </c>
      <c r="F327" s="360" t="str">
        <f>'PART C- Municipal Details'!$G$7</f>
        <v>Theewaterskloof</v>
      </c>
      <c r="G327" s="360" t="s">
        <v>803</v>
      </c>
      <c r="H327" s="366" t="s">
        <v>805</v>
      </c>
      <c r="I327" s="496" t="s">
        <v>736</v>
      </c>
      <c r="J327" s="497" t="s">
        <v>762</v>
      </c>
      <c r="K327" s="490"/>
      <c r="L327" s="508" t="s">
        <v>736</v>
      </c>
      <c r="M327" s="509"/>
      <c r="N327" s="510"/>
      <c r="O327" s="510"/>
      <c r="P327" s="510"/>
      <c r="Q327" s="510"/>
      <c r="R327" s="510"/>
      <c r="S327" s="510"/>
      <c r="T327" s="511"/>
      <c r="U327" s="529">
        <v>12292492</v>
      </c>
      <c r="V327" s="529">
        <v>12710923</v>
      </c>
      <c r="W327" s="529">
        <v>13118243</v>
      </c>
      <c r="X327" s="490"/>
      <c r="Y327" s="969"/>
      <c r="Z327" s="969"/>
      <c r="AA327" s="969"/>
      <c r="AB327" s="969"/>
      <c r="AC327" s="969"/>
      <c r="AD327" s="969"/>
      <c r="AE327" s="969" t="str">
        <f t="shared" si="13"/>
        <v>TheewaterskloofTotal Expenditure</v>
      </c>
      <c r="AF327" s="969"/>
      <c r="AG327" s="969"/>
    </row>
    <row r="328" spans="2:33" ht="13.2" customHeight="1" x14ac:dyDescent="0.55000000000000004">
      <c r="B328" s="371"/>
      <c r="C328" s="1009" t="s">
        <v>766</v>
      </c>
      <c r="D328" s="360" t="str">
        <f t="shared" si="14"/>
        <v>Sport and recreation4500</v>
      </c>
      <c r="E328" s="361" t="str">
        <f t="shared" si="12"/>
        <v>TheewaterskloofSport and recreationSurplus/(Deficit)</v>
      </c>
      <c r="F328" s="360" t="str">
        <f>'PART C- Municipal Details'!$G$7</f>
        <v>Theewaterskloof</v>
      </c>
      <c r="G328" s="361" t="s">
        <v>803</v>
      </c>
      <c r="H328" s="363" t="s">
        <v>805</v>
      </c>
      <c r="I328" s="496" t="s">
        <v>635</v>
      </c>
      <c r="J328" s="497" t="s">
        <v>765</v>
      </c>
      <c r="K328" s="490"/>
      <c r="L328" s="463" t="s">
        <v>635</v>
      </c>
      <c r="M328" s="459"/>
      <c r="N328" s="459"/>
      <c r="O328" s="459"/>
      <c r="P328" s="459"/>
      <c r="Q328" s="459"/>
      <c r="R328" s="459"/>
      <c r="S328" s="459"/>
      <c r="T328" s="459"/>
      <c r="U328" s="530">
        <v>-12221492</v>
      </c>
      <c r="V328" s="530">
        <v>-12637509</v>
      </c>
      <c r="W328" s="530">
        <v>-13042480</v>
      </c>
      <c r="X328" s="490"/>
      <c r="Y328" s="969"/>
      <c r="Z328" s="969"/>
      <c r="AA328" s="969"/>
      <c r="AB328" s="969"/>
      <c r="AC328" s="969"/>
      <c r="AD328" s="969"/>
      <c r="AE328" s="969" t="str">
        <f t="shared" si="13"/>
        <v>TheewaterskloofSurplus/(Deficit)</v>
      </c>
      <c r="AF328" s="969"/>
      <c r="AG328" s="969"/>
    </row>
    <row r="329" spans="2:33" ht="13.2" customHeight="1" x14ac:dyDescent="0.55000000000000004">
      <c r="B329" s="371"/>
      <c r="C329" s="1010" t="s">
        <v>768</v>
      </c>
      <c r="D329" s="361" t="str">
        <f t="shared" si="14"/>
        <v>Sport and recreation4600</v>
      </c>
      <c r="E329" s="360" t="str">
        <f t="shared" si="12"/>
        <v>TheewaterskloofSport and recreationTransfers and subsidies - capital (monetary allocations) (National / Provincial and District)</v>
      </c>
      <c r="F329" s="360" t="str">
        <f>'PART C- Municipal Details'!$G$7</f>
        <v>Theewaterskloof</v>
      </c>
      <c r="G329" s="360" t="s">
        <v>803</v>
      </c>
      <c r="H329" s="366" t="s">
        <v>805</v>
      </c>
      <c r="I329" s="496" t="s">
        <v>740</v>
      </c>
      <c r="J329" s="497" t="s">
        <v>767</v>
      </c>
      <c r="K329" s="490"/>
      <c r="L329" s="463" t="s">
        <v>770</v>
      </c>
      <c r="M329" s="459"/>
      <c r="N329" s="459"/>
      <c r="O329" s="459"/>
      <c r="P329" s="459"/>
      <c r="Q329" s="459"/>
      <c r="R329" s="459"/>
      <c r="S329" s="459"/>
      <c r="T329" s="459"/>
      <c r="U329" s="530">
        <v>0</v>
      </c>
      <c r="V329" s="530">
        <v>0</v>
      </c>
      <c r="W329" s="530">
        <v>0</v>
      </c>
      <c r="X329" s="490"/>
      <c r="Y329" s="969"/>
      <c r="Z329" s="969"/>
      <c r="AA329" s="969"/>
      <c r="AB329" s="969"/>
      <c r="AC329" s="969"/>
      <c r="AD329" s="969"/>
      <c r="AE329" s="969" t="str">
        <f t="shared" si="13"/>
        <v>TheewaterskloofTransfers and subsidies - capital (monetary allocations)</v>
      </c>
      <c r="AF329" s="969"/>
      <c r="AG329" s="969"/>
    </row>
    <row r="330" spans="2:33" ht="13.2" customHeight="1" x14ac:dyDescent="0.55000000000000004">
      <c r="B330" s="371"/>
      <c r="C330" s="1010" t="s">
        <v>771</v>
      </c>
      <c r="D330" s="360" t="str">
        <f t="shared" si="14"/>
        <v>Sport and recreation4700</v>
      </c>
      <c r="E330" s="361" t="str">
        <f t="shared" ref="E330:E394" si="15">F330&amp;H330&amp;I330</f>
        <v>TheewaterskloofSport and recreationTransfers and subsidies - capital (in-kind - all)</v>
      </c>
      <c r="F330" s="360" t="str">
        <f>'PART C- Municipal Details'!$G$7</f>
        <v>Theewaterskloof</v>
      </c>
      <c r="G330" s="361" t="s">
        <v>803</v>
      </c>
      <c r="H330" s="363" t="s">
        <v>805</v>
      </c>
      <c r="I330" s="496" t="s">
        <v>744</v>
      </c>
      <c r="J330" s="497" t="s">
        <v>769</v>
      </c>
      <c r="K330" s="490"/>
      <c r="L330" s="463" t="s">
        <v>773</v>
      </c>
      <c r="M330" s="459"/>
      <c r="N330" s="459"/>
      <c r="O330" s="459"/>
      <c r="P330" s="459"/>
      <c r="Q330" s="459"/>
      <c r="R330" s="459"/>
      <c r="S330" s="459"/>
      <c r="T330" s="459"/>
      <c r="U330" s="530">
        <v>0</v>
      </c>
      <c r="V330" s="530">
        <v>0</v>
      </c>
      <c r="W330" s="530">
        <v>0</v>
      </c>
      <c r="X330" s="490"/>
      <c r="Y330" s="969"/>
      <c r="Z330" s="969"/>
      <c r="AA330" s="969"/>
      <c r="AB330" s="969"/>
      <c r="AC330" s="969"/>
      <c r="AD330" s="969"/>
      <c r="AE330" s="969" t="str">
        <f t="shared" ref="AE330:AE394" si="16">F330&amp;L330</f>
        <v>TheewaterskloofTransfers and subsidies - capital (in-kind)</v>
      </c>
      <c r="AF330" s="969"/>
      <c r="AG330" s="969"/>
    </row>
    <row r="331" spans="2:33" ht="13.2" customHeight="1" x14ac:dyDescent="0.55000000000000004">
      <c r="B331" s="371"/>
      <c r="C331" s="1009" t="s">
        <v>774</v>
      </c>
      <c r="D331" s="361" t="str">
        <f t="shared" si="14"/>
        <v>Sport and recreation4800</v>
      </c>
      <c r="E331" s="360" t="str">
        <f t="shared" si="15"/>
        <v>TheewaterskloofSport and recreationSurplus/(Deficit) after capital transfers and contributions</v>
      </c>
      <c r="F331" s="360" t="str">
        <f>'PART C- Municipal Details'!$G$7</f>
        <v>Theewaterskloof</v>
      </c>
      <c r="G331" s="360" t="s">
        <v>803</v>
      </c>
      <c r="H331" s="366" t="s">
        <v>805</v>
      </c>
      <c r="I331" s="496" t="s">
        <v>747</v>
      </c>
      <c r="J331" s="497" t="s">
        <v>772</v>
      </c>
      <c r="K331" s="490"/>
      <c r="L331" s="463" t="s">
        <v>747</v>
      </c>
      <c r="M331" s="459"/>
      <c r="N331" s="459"/>
      <c r="O331" s="459"/>
      <c r="P331" s="459"/>
      <c r="Q331" s="459"/>
      <c r="R331" s="459"/>
      <c r="S331" s="459"/>
      <c r="T331" s="459"/>
      <c r="U331" s="530">
        <v>-12221492</v>
      </c>
      <c r="V331" s="530">
        <v>-12637509</v>
      </c>
      <c r="W331" s="530">
        <v>-13042480</v>
      </c>
      <c r="X331" s="490"/>
      <c r="Y331" s="969"/>
      <c r="Z331" s="969"/>
      <c r="AA331" s="969"/>
      <c r="AB331" s="969"/>
      <c r="AC331" s="969"/>
      <c r="AD331" s="969"/>
      <c r="AE331" s="969" t="str">
        <f t="shared" si="16"/>
        <v>TheewaterskloofSurplus/(Deficit) after capital transfers and contributions</v>
      </c>
      <c r="AF331" s="969"/>
      <c r="AG331" s="969"/>
    </row>
    <row r="332" spans="2:33" ht="13.2" customHeight="1" x14ac:dyDescent="0.55000000000000004">
      <c r="B332" s="371"/>
      <c r="C332" s="1010" t="s">
        <v>776</v>
      </c>
      <c r="D332" s="360" t="str">
        <f t="shared" si="14"/>
        <v>Sport and recreation4900</v>
      </c>
      <c r="E332" s="361" t="str">
        <f t="shared" si="15"/>
        <v>TheewaterskloofSport and recreationTaxation</v>
      </c>
      <c r="F332" s="360" t="str">
        <f>'PART C- Municipal Details'!$G$7</f>
        <v>Theewaterskloof</v>
      </c>
      <c r="G332" s="361" t="s">
        <v>803</v>
      </c>
      <c r="H332" s="363" t="s">
        <v>805</v>
      </c>
      <c r="I332" s="496" t="s">
        <v>749</v>
      </c>
      <c r="J332" s="497" t="s">
        <v>775</v>
      </c>
      <c r="K332" s="490"/>
      <c r="L332" s="463" t="s">
        <v>778</v>
      </c>
      <c r="M332" s="459"/>
      <c r="N332" s="459"/>
      <c r="O332" s="459"/>
      <c r="P332" s="459"/>
      <c r="Q332" s="459"/>
      <c r="R332" s="459"/>
      <c r="S332" s="459"/>
      <c r="T332" s="459"/>
      <c r="U332" s="530">
        <v>0</v>
      </c>
      <c r="V332" s="530">
        <v>0</v>
      </c>
      <c r="W332" s="530">
        <v>0</v>
      </c>
      <c r="X332" s="490"/>
      <c r="Y332" s="969"/>
      <c r="Z332" s="969"/>
      <c r="AA332" s="969"/>
      <c r="AB332" s="969"/>
      <c r="AC332" s="969"/>
      <c r="AD332" s="969"/>
      <c r="AE332" s="969" t="str">
        <f t="shared" si="16"/>
        <v>TheewaterskloofIncome Tax</v>
      </c>
      <c r="AF332" s="969"/>
      <c r="AG332" s="969"/>
    </row>
    <row r="333" spans="2:33" ht="13.2" customHeight="1" x14ac:dyDescent="0.55000000000000004">
      <c r="B333" s="371"/>
      <c r="C333" s="1009" t="s">
        <v>779</v>
      </c>
      <c r="D333" s="361" t="str">
        <f t="shared" ref="D333:D397" si="17">H333&amp;C333</f>
        <v>Sport and recreation5000</v>
      </c>
      <c r="E333" s="360" t="str">
        <f t="shared" si="15"/>
        <v>TheewaterskloofSport and recreationSurplus/(Deficit) after taxation</v>
      </c>
      <c r="F333" s="360" t="str">
        <f>'PART C- Municipal Details'!$G$7</f>
        <v>Theewaterskloof</v>
      </c>
      <c r="G333" s="360" t="s">
        <v>803</v>
      </c>
      <c r="H333" s="366" t="s">
        <v>805</v>
      </c>
      <c r="I333" s="496" t="s">
        <v>751</v>
      </c>
      <c r="J333" s="497" t="s">
        <v>777</v>
      </c>
      <c r="K333" s="490"/>
      <c r="L333" s="463" t="s">
        <v>781</v>
      </c>
      <c r="M333" s="459"/>
      <c r="N333" s="459"/>
      <c r="O333" s="459"/>
      <c r="P333" s="459"/>
      <c r="Q333" s="459"/>
      <c r="R333" s="459"/>
      <c r="S333" s="459"/>
      <c r="T333" s="459"/>
      <c r="U333" s="530">
        <v>-12221492</v>
      </c>
      <c r="V333" s="530">
        <v>-12637509</v>
      </c>
      <c r="W333" s="530">
        <v>-13042480</v>
      </c>
      <c r="X333" s="490"/>
      <c r="Y333" s="969"/>
      <c r="Z333" s="969"/>
      <c r="AA333" s="969"/>
      <c r="AB333" s="969"/>
      <c r="AC333" s="969"/>
      <c r="AD333" s="969"/>
      <c r="AE333" s="969" t="str">
        <f t="shared" si="16"/>
        <v>TheewaterskloofSurplus/(Deficit) after income tax</v>
      </c>
      <c r="AF333" s="969"/>
      <c r="AG333" s="969"/>
    </row>
    <row r="334" spans="2:33" ht="13.2" customHeight="1" x14ac:dyDescent="0.55000000000000004">
      <c r="B334" s="371"/>
      <c r="C334" s="1010" t="s">
        <v>782</v>
      </c>
      <c r="D334" s="360" t="str">
        <f t="shared" si="17"/>
        <v>Sport and recreation5100</v>
      </c>
      <c r="E334" s="361" t="str">
        <f t="shared" si="15"/>
        <v>TheewaterskloofSport and recreationShare of Surplus/Deficit attributable to Joint Venture</v>
      </c>
      <c r="F334" s="360" t="str">
        <f>'PART C- Municipal Details'!$G$7</f>
        <v>Theewaterskloof</v>
      </c>
      <c r="G334" s="361" t="s">
        <v>803</v>
      </c>
      <c r="H334" s="363" t="s">
        <v>805</v>
      </c>
      <c r="I334" s="496" t="s">
        <v>783</v>
      </c>
      <c r="J334" s="497" t="s">
        <v>780</v>
      </c>
      <c r="K334" s="490"/>
      <c r="L334" s="463" t="s">
        <v>783</v>
      </c>
      <c r="M334" s="459"/>
      <c r="N334" s="459"/>
      <c r="O334" s="459"/>
      <c r="P334" s="459"/>
      <c r="Q334" s="459"/>
      <c r="R334" s="459"/>
      <c r="S334" s="459"/>
      <c r="T334" s="459"/>
      <c r="U334" s="530">
        <v>0</v>
      </c>
      <c r="V334" s="530">
        <v>0</v>
      </c>
      <c r="W334" s="530">
        <v>0</v>
      </c>
      <c r="X334" s="490"/>
      <c r="Y334" s="969"/>
      <c r="Z334" s="969"/>
      <c r="AA334" s="969"/>
      <c r="AB334" s="969"/>
      <c r="AC334" s="969"/>
      <c r="AD334" s="969"/>
      <c r="AE334" s="969" t="str">
        <f t="shared" si="16"/>
        <v>TheewaterskloofShare of Surplus/Deficit attributable to Joint Venture</v>
      </c>
      <c r="AF334" s="969"/>
      <c r="AG334" s="969"/>
    </row>
    <row r="335" spans="2:33" ht="13.2" customHeight="1" x14ac:dyDescent="0.55000000000000004">
      <c r="B335" s="371"/>
      <c r="C335" s="1010" t="s">
        <v>785</v>
      </c>
      <c r="D335" s="361" t="str">
        <f t="shared" si="17"/>
        <v>Sport and recreation5200</v>
      </c>
      <c r="E335" s="360" t="str">
        <f t="shared" si="15"/>
        <v>TheewaterskloofSport and recreationAttributable to minorities</v>
      </c>
      <c r="F335" s="360" t="str">
        <f>'PART C- Municipal Details'!$G$7</f>
        <v>Theewaterskloof</v>
      </c>
      <c r="G335" s="360" t="s">
        <v>803</v>
      </c>
      <c r="H335" s="366" t="s">
        <v>805</v>
      </c>
      <c r="I335" s="496" t="s">
        <v>753</v>
      </c>
      <c r="J335" s="497" t="s">
        <v>784</v>
      </c>
      <c r="K335" s="490"/>
      <c r="L335" s="463" t="s">
        <v>787</v>
      </c>
      <c r="M335" s="459"/>
      <c r="N335" s="459"/>
      <c r="O335" s="459"/>
      <c r="P335" s="459"/>
      <c r="Q335" s="459"/>
      <c r="R335" s="459"/>
      <c r="S335" s="459"/>
      <c r="T335" s="459"/>
      <c r="U335" s="530">
        <v>0</v>
      </c>
      <c r="V335" s="530">
        <v>0</v>
      </c>
      <c r="W335" s="530">
        <v>0</v>
      </c>
      <c r="X335" s="490"/>
      <c r="Y335" s="969"/>
      <c r="Z335" s="969"/>
      <c r="AA335" s="969"/>
      <c r="AB335" s="969"/>
      <c r="AC335" s="969"/>
      <c r="AD335" s="969"/>
      <c r="AE335" s="969" t="str">
        <f t="shared" si="16"/>
        <v>TheewaterskloofShare of Surplus/Deficit attributable to Minorities</v>
      </c>
      <c r="AF335" s="969"/>
      <c r="AG335" s="969"/>
    </row>
    <row r="336" spans="2:33" ht="13.2" customHeight="1" x14ac:dyDescent="0.55000000000000004">
      <c r="B336" s="371"/>
      <c r="C336" s="1009" t="s">
        <v>788</v>
      </c>
      <c r="D336" s="360" t="str">
        <f t="shared" si="17"/>
        <v>Sport and recreation5300</v>
      </c>
      <c r="E336" s="361" t="str">
        <f t="shared" si="15"/>
        <v>TheewaterskloofSport and recreationSurplus/(Deficit) attributable to municipality</v>
      </c>
      <c r="F336" s="360" t="str">
        <f>'PART C- Municipal Details'!$G$7</f>
        <v>Theewaterskloof</v>
      </c>
      <c r="G336" s="361" t="s">
        <v>803</v>
      </c>
      <c r="H336" s="363" t="s">
        <v>805</v>
      </c>
      <c r="I336" s="496" t="s">
        <v>756</v>
      </c>
      <c r="J336" s="497" t="s">
        <v>786</v>
      </c>
      <c r="K336" s="490"/>
      <c r="L336" s="463" t="s">
        <v>756</v>
      </c>
      <c r="M336" s="459"/>
      <c r="N336" s="459"/>
      <c r="O336" s="459"/>
      <c r="P336" s="459"/>
      <c r="Q336" s="459"/>
      <c r="R336" s="459"/>
      <c r="S336" s="459"/>
      <c r="T336" s="459"/>
      <c r="U336" s="530">
        <v>-12221492</v>
      </c>
      <c r="V336" s="530">
        <v>-12637509</v>
      </c>
      <c r="W336" s="530">
        <v>-13042480</v>
      </c>
      <c r="X336" s="490"/>
      <c r="Y336" s="969"/>
      <c r="Z336" s="969"/>
      <c r="AA336" s="969"/>
      <c r="AB336" s="969"/>
      <c r="AC336" s="969"/>
      <c r="AD336" s="969"/>
      <c r="AE336" s="969" t="str">
        <f t="shared" si="16"/>
        <v>TheewaterskloofSurplus/(Deficit) attributable to municipality</v>
      </c>
      <c r="AF336" s="969"/>
      <c r="AG336" s="969"/>
    </row>
    <row r="337" spans="2:33" ht="13.2" customHeight="1" x14ac:dyDescent="0.55000000000000004">
      <c r="B337" s="371"/>
      <c r="C337" s="1010" t="s">
        <v>790</v>
      </c>
      <c r="D337" s="361" t="str">
        <f t="shared" si="17"/>
        <v>Sport and recreation5400</v>
      </c>
      <c r="E337" s="360" t="str">
        <f t="shared" si="15"/>
        <v>TheewaterskloofSport and recreationShare of surplus/ (deficit) of associate</v>
      </c>
      <c r="F337" s="360" t="str">
        <f>'PART C- Municipal Details'!$G$7</f>
        <v>Theewaterskloof</v>
      </c>
      <c r="G337" s="360" t="s">
        <v>803</v>
      </c>
      <c r="H337" s="366" t="s">
        <v>805</v>
      </c>
      <c r="I337" s="496" t="s">
        <v>759</v>
      </c>
      <c r="J337" s="497" t="s">
        <v>789</v>
      </c>
      <c r="K337" s="490"/>
      <c r="L337" s="463" t="s">
        <v>791</v>
      </c>
      <c r="M337" s="459"/>
      <c r="N337" s="459"/>
      <c r="O337" s="459"/>
      <c r="P337" s="459"/>
      <c r="Q337" s="459"/>
      <c r="R337" s="459"/>
      <c r="S337" s="459"/>
      <c r="T337" s="459"/>
      <c r="U337" s="530">
        <v>0</v>
      </c>
      <c r="V337" s="530">
        <v>0</v>
      </c>
      <c r="W337" s="530">
        <v>0</v>
      </c>
      <c r="X337" s="490"/>
      <c r="Y337" s="969"/>
      <c r="Z337" s="969"/>
      <c r="AA337" s="969"/>
      <c r="AB337" s="969"/>
      <c r="AC337" s="969"/>
      <c r="AD337" s="969"/>
      <c r="AE337" s="969" t="str">
        <f t="shared" si="16"/>
        <v>TheewaterskloofShare of Surplus/Deficit attributable to Associate</v>
      </c>
      <c r="AF337" s="969"/>
      <c r="AG337" s="969"/>
    </row>
    <row r="338" spans="2:33" ht="13.2" customHeight="1" x14ac:dyDescent="0.55000000000000004">
      <c r="B338" s="371"/>
      <c r="C338" s="1010" t="s">
        <v>792</v>
      </c>
      <c r="D338" s="360" t="str">
        <f t="shared" si="17"/>
        <v>Sport and recreation5500</v>
      </c>
      <c r="E338" s="361" t="str">
        <f t="shared" si="15"/>
        <v>TheewaterskloofSport and recreationIntercompany/Parent subsidiary transactions</v>
      </c>
      <c r="F338" s="360" t="str">
        <f>'PART C- Municipal Details'!$G$7</f>
        <v>Theewaterskloof</v>
      </c>
      <c r="G338" s="361" t="s">
        <v>803</v>
      </c>
      <c r="H338" s="363" t="s">
        <v>805</v>
      </c>
      <c r="I338" s="496" t="s">
        <v>793</v>
      </c>
      <c r="J338" s="497" t="s">
        <v>789</v>
      </c>
      <c r="K338" s="490"/>
      <c r="L338" s="463" t="s">
        <v>793</v>
      </c>
      <c r="M338" s="459"/>
      <c r="N338" s="459"/>
      <c r="O338" s="459"/>
      <c r="P338" s="459"/>
      <c r="Q338" s="459"/>
      <c r="R338" s="459"/>
      <c r="S338" s="459"/>
      <c r="T338" s="459"/>
      <c r="U338" s="530">
        <v>0</v>
      </c>
      <c r="V338" s="530">
        <v>0</v>
      </c>
      <c r="W338" s="530">
        <v>0</v>
      </c>
      <c r="X338" s="490"/>
      <c r="Y338" s="969"/>
      <c r="Z338" s="969"/>
      <c r="AA338" s="969"/>
      <c r="AB338" s="969"/>
      <c r="AC338" s="969"/>
      <c r="AD338" s="969"/>
      <c r="AE338" s="969" t="str">
        <f t="shared" si="16"/>
        <v>TheewaterskloofIntercompany/Parent subsidiary transactions</v>
      </c>
      <c r="AF338" s="969"/>
      <c r="AG338" s="969"/>
    </row>
    <row r="339" spans="2:33" ht="13.2" customHeight="1" x14ac:dyDescent="0.55000000000000004">
      <c r="B339" s="371"/>
      <c r="C339" s="1009" t="s">
        <v>794</v>
      </c>
      <c r="D339" s="361" t="str">
        <f t="shared" si="17"/>
        <v>Sport and recreation5600</v>
      </c>
      <c r="E339" s="360" t="str">
        <f t="shared" si="15"/>
        <v>TheewaterskloofSport and recreationSurplus/(Deficit) for the year</v>
      </c>
      <c r="F339" s="360" t="str">
        <f>'PART C- Municipal Details'!$G$7</f>
        <v>Theewaterskloof</v>
      </c>
      <c r="G339" s="360" t="s">
        <v>803</v>
      </c>
      <c r="H339" s="366" t="s">
        <v>805</v>
      </c>
      <c r="I339" s="496" t="s">
        <v>762</v>
      </c>
      <c r="J339" s="497" t="s">
        <v>789</v>
      </c>
      <c r="K339" s="490"/>
      <c r="L339" s="508" t="s">
        <v>762</v>
      </c>
      <c r="M339" s="509"/>
      <c r="N339" s="510"/>
      <c r="O339" s="510"/>
      <c r="P339" s="510"/>
      <c r="Q339" s="510"/>
      <c r="R339" s="510"/>
      <c r="S339" s="510"/>
      <c r="T339" s="511"/>
      <c r="U339" s="530">
        <v>0</v>
      </c>
      <c r="V339" s="530">
        <v>0</v>
      </c>
      <c r="W339" s="530">
        <v>0</v>
      </c>
      <c r="X339" s="490"/>
      <c r="Y339" s="969"/>
      <c r="Z339" s="969"/>
      <c r="AA339" s="969"/>
      <c r="AB339" s="969"/>
      <c r="AC339" s="969"/>
      <c r="AD339" s="969"/>
      <c r="AE339" s="969" t="str">
        <f t="shared" si="16"/>
        <v>TheewaterskloofSurplus/(Deficit) for the year</v>
      </c>
      <c r="AF339" s="969"/>
      <c r="AG339" s="969"/>
    </row>
    <row r="340" spans="2:33" ht="13.2" customHeight="1" x14ac:dyDescent="0.55000000000000004">
      <c r="B340" s="371"/>
      <c r="C340" s="1011">
        <v>55555</v>
      </c>
      <c r="D340" s="360" t="str">
        <f t="shared" si="17"/>
        <v>Sport and recreation55555</v>
      </c>
      <c r="E340" s="361" t="str">
        <f t="shared" si="15"/>
        <v>TheewaterskloofSport and recreationReferences</v>
      </c>
      <c r="F340" s="360" t="str">
        <f>'PART C- Municipal Details'!$G$7</f>
        <v>Theewaterskloof</v>
      </c>
      <c r="G340" s="361" t="s">
        <v>803</v>
      </c>
      <c r="H340" s="363" t="s">
        <v>805</v>
      </c>
      <c r="I340" s="496" t="s">
        <v>765</v>
      </c>
      <c r="J340" s="497" t="s">
        <v>789</v>
      </c>
      <c r="K340" s="490"/>
      <c r="L340" s="474" t="s">
        <v>765</v>
      </c>
      <c r="M340" s="475"/>
      <c r="N340" s="476"/>
      <c r="O340" s="476"/>
      <c r="P340" s="476"/>
      <c r="Q340" s="476"/>
      <c r="R340" s="476"/>
      <c r="S340" s="476"/>
      <c r="T340" s="477"/>
      <c r="U340" s="530">
        <v>0</v>
      </c>
      <c r="V340" s="530">
        <v>0</v>
      </c>
      <c r="W340" s="530">
        <v>0</v>
      </c>
      <c r="X340" s="490"/>
      <c r="Y340" s="969"/>
      <c r="Z340" s="969"/>
      <c r="AA340" s="969"/>
      <c r="AB340" s="969"/>
      <c r="AC340" s="969"/>
      <c r="AD340" s="969"/>
      <c r="AE340" s="969" t="str">
        <f t="shared" si="16"/>
        <v>TheewaterskloofReferences</v>
      </c>
      <c r="AF340" s="969"/>
      <c r="AG340" s="969"/>
    </row>
    <row r="341" spans="2:33" ht="13.2" customHeight="1" x14ac:dyDescent="0.55000000000000004">
      <c r="B341" s="371"/>
      <c r="C341" s="1011">
        <v>55555</v>
      </c>
      <c r="D341" s="361" t="str">
        <f t="shared" si="17"/>
        <v>Sport and recreation55555</v>
      </c>
      <c r="E341" s="360" t="str">
        <f t="shared" si="15"/>
        <v>TheewaterskloofSport and recreation1. Classifications are revenue sources and expenditure type</v>
      </c>
      <c r="F341" s="360" t="str">
        <f>'PART C- Municipal Details'!$G$7</f>
        <v>Theewaterskloof</v>
      </c>
      <c r="G341" s="360" t="s">
        <v>803</v>
      </c>
      <c r="H341" s="366" t="s">
        <v>805</v>
      </c>
      <c r="I341" s="496" t="s">
        <v>767</v>
      </c>
      <c r="J341" s="497" t="s">
        <v>789</v>
      </c>
      <c r="K341" s="490"/>
      <c r="L341" s="465" t="s">
        <v>767</v>
      </c>
      <c r="M341" s="472"/>
      <c r="N341" s="473"/>
      <c r="O341" s="473"/>
      <c r="P341" s="473"/>
      <c r="Q341" s="473"/>
      <c r="R341" s="473"/>
      <c r="S341" s="473"/>
      <c r="T341" s="478"/>
      <c r="U341" s="530">
        <v>0</v>
      </c>
      <c r="V341" s="530">
        <v>0</v>
      </c>
      <c r="W341" s="530">
        <v>0</v>
      </c>
      <c r="X341" s="490"/>
      <c r="Y341" s="969"/>
      <c r="Z341" s="969"/>
      <c r="AA341" s="969"/>
      <c r="AB341" s="969"/>
      <c r="AC341" s="969"/>
      <c r="AD341" s="969"/>
      <c r="AE341" s="969" t="str">
        <f t="shared" si="16"/>
        <v>Theewaterskloof1. Classifications are revenue sources and expenditure type</v>
      </c>
      <c r="AF341" s="969"/>
      <c r="AG341" s="969"/>
    </row>
    <row r="342" spans="2:33" ht="13.2" customHeight="1" x14ac:dyDescent="0.55000000000000004">
      <c r="B342" s="371"/>
      <c r="C342" s="1011">
        <v>55555</v>
      </c>
      <c r="D342" s="360" t="str">
        <f t="shared" si="17"/>
        <v>Sport and recreation55555</v>
      </c>
      <c r="E342" s="361" t="str">
        <f t="shared" si="15"/>
        <v>TheewaterskloofSport and recreation2. Detail to be provided in Table SA1</v>
      </c>
      <c r="F342" s="360" t="str">
        <f>'PART C- Municipal Details'!$G$7</f>
        <v>Theewaterskloof</v>
      </c>
      <c r="G342" s="361" t="s">
        <v>803</v>
      </c>
      <c r="H342" s="363" t="s">
        <v>805</v>
      </c>
      <c r="I342" s="496" t="s">
        <v>769</v>
      </c>
      <c r="J342" s="497" t="s">
        <v>789</v>
      </c>
      <c r="K342" s="490"/>
      <c r="L342" s="465" t="s">
        <v>769</v>
      </c>
      <c r="M342" s="472"/>
      <c r="N342" s="473"/>
      <c r="O342" s="473"/>
      <c r="P342" s="473"/>
      <c r="Q342" s="473"/>
      <c r="R342" s="473"/>
      <c r="S342" s="473"/>
      <c r="T342" s="478"/>
      <c r="U342" s="530">
        <v>0</v>
      </c>
      <c r="V342" s="530">
        <v>0</v>
      </c>
      <c r="W342" s="530">
        <v>0</v>
      </c>
      <c r="X342" s="490"/>
      <c r="Y342" s="969"/>
      <c r="Z342" s="969"/>
      <c r="AA342" s="969"/>
      <c r="AB342" s="969"/>
      <c r="AC342" s="969"/>
      <c r="AD342" s="969"/>
      <c r="AE342" s="969" t="str">
        <f t="shared" si="16"/>
        <v>Theewaterskloof2. Detail to be provided in Table SA1</v>
      </c>
      <c r="AF342" s="969"/>
      <c r="AG342" s="969"/>
    </row>
    <row r="343" spans="2:33" ht="13.2" customHeight="1" x14ac:dyDescent="0.55000000000000004">
      <c r="B343" s="371"/>
      <c r="C343" s="1011">
        <v>55555</v>
      </c>
      <c r="D343" s="361" t="str">
        <f t="shared" si="17"/>
        <v>Sport and recreation55555</v>
      </c>
      <c r="E343" s="360" t="str">
        <f t="shared" si="15"/>
        <v>TheewaterskloofSport and recreation3. Debt impairment includes Impairment and Reversal of Impairment Losses</v>
      </c>
      <c r="F343" s="360" t="str">
        <f>'PART C- Municipal Details'!$G$7</f>
        <v>Theewaterskloof</v>
      </c>
      <c r="G343" s="360" t="s">
        <v>803</v>
      </c>
      <c r="H343" s="366" t="s">
        <v>805</v>
      </c>
      <c r="I343" s="496" t="s">
        <v>795</v>
      </c>
      <c r="J343" s="497" t="s">
        <v>789</v>
      </c>
      <c r="K343" s="490"/>
      <c r="L343" s="465" t="s">
        <v>795</v>
      </c>
      <c r="M343" s="472"/>
      <c r="N343" s="473"/>
      <c r="O343" s="473"/>
      <c r="P343" s="473"/>
      <c r="Q343" s="473"/>
      <c r="R343" s="473"/>
      <c r="S343" s="473"/>
      <c r="T343" s="478"/>
      <c r="U343" s="530">
        <v>0</v>
      </c>
      <c r="V343" s="530">
        <v>0</v>
      </c>
      <c r="W343" s="530">
        <v>0</v>
      </c>
      <c r="X343" s="490"/>
      <c r="Y343" s="969"/>
      <c r="Z343" s="969"/>
      <c r="AA343" s="969"/>
      <c r="AB343" s="969"/>
      <c r="AC343" s="969"/>
      <c r="AD343" s="969"/>
      <c r="AE343" s="969" t="str">
        <f t="shared" si="16"/>
        <v>Theewaterskloof3. Debt impairment includes Impairment and Reversal of Impairment Losses</v>
      </c>
      <c r="AF343" s="969"/>
      <c r="AG343" s="969"/>
    </row>
    <row r="344" spans="2:33" ht="13.2" customHeight="1" x14ac:dyDescent="0.55000000000000004">
      <c r="B344" s="371"/>
      <c r="C344" s="1011">
        <v>55555</v>
      </c>
      <c r="D344" s="360" t="str">
        <f t="shared" si="17"/>
        <v>Sport and recreation55555</v>
      </c>
      <c r="E344" s="361" t="str">
        <f t="shared" si="15"/>
        <v>TheewaterskloofSport and recreation4. Expenditure type components previously shown under repairs and maintenance should be allocated back to the originating expenditure group/item; e.g. employee costs</v>
      </c>
      <c r="F344" s="360" t="str">
        <f>'PART C- Municipal Details'!$G$7</f>
        <v>Theewaterskloof</v>
      </c>
      <c r="G344" s="361" t="s">
        <v>803</v>
      </c>
      <c r="H344" s="363" t="s">
        <v>805</v>
      </c>
      <c r="I344" s="496" t="s">
        <v>775</v>
      </c>
      <c r="J344" s="497" t="s">
        <v>789</v>
      </c>
      <c r="K344" s="490"/>
      <c r="L344" s="465" t="s">
        <v>775</v>
      </c>
      <c r="M344" s="472"/>
      <c r="N344" s="473"/>
      <c r="O344" s="473"/>
      <c r="P344" s="473"/>
      <c r="Q344" s="473"/>
      <c r="R344" s="473"/>
      <c r="S344" s="473"/>
      <c r="T344" s="478"/>
      <c r="U344" s="530">
        <v>0</v>
      </c>
      <c r="V344" s="530">
        <v>0</v>
      </c>
      <c r="W344" s="530">
        <v>0</v>
      </c>
      <c r="X344" s="490"/>
      <c r="Y344" s="969"/>
      <c r="Z344" s="969"/>
      <c r="AA344" s="969"/>
      <c r="AB344" s="969"/>
      <c r="AC344" s="969"/>
      <c r="AD344" s="969"/>
      <c r="AE344" s="969" t="str">
        <f t="shared" si="16"/>
        <v>Theewaterskloof4. Expenditure type components previously shown under repairs and maintenance should be allocated back to the originating expenditure group/item; e.g. employee costs</v>
      </c>
      <c r="AF344" s="969"/>
      <c r="AG344" s="969"/>
    </row>
    <row r="345" spans="2:33" ht="13.2" customHeight="1" x14ac:dyDescent="0.55000000000000004">
      <c r="B345" s="371"/>
      <c r="C345" s="1011">
        <v>55555</v>
      </c>
      <c r="D345" s="361" t="str">
        <f t="shared" si="17"/>
        <v>Sport and recreation55555</v>
      </c>
      <c r="E345" s="360" t="str">
        <f t="shared" si="15"/>
        <v>TheewaterskloofSport and recreation5. Repairs &amp; maintenance detailed in Table A9 and Table SA34c</v>
      </c>
      <c r="F345" s="360" t="str">
        <f>'PART C- Municipal Details'!$G$7</f>
        <v>Theewaterskloof</v>
      </c>
      <c r="G345" s="360" t="s">
        <v>803</v>
      </c>
      <c r="H345" s="366" t="s">
        <v>805</v>
      </c>
      <c r="I345" s="496" t="s">
        <v>777</v>
      </c>
      <c r="J345" s="497" t="s">
        <v>789</v>
      </c>
      <c r="K345" s="490"/>
      <c r="L345" s="465" t="s">
        <v>777</v>
      </c>
      <c r="M345" s="472"/>
      <c r="N345" s="473"/>
      <c r="O345" s="473"/>
      <c r="P345" s="473"/>
      <c r="Q345" s="473"/>
      <c r="R345" s="473"/>
      <c r="S345" s="473"/>
      <c r="T345" s="478"/>
      <c r="U345" s="530">
        <v>0</v>
      </c>
      <c r="V345" s="530">
        <v>0</v>
      </c>
      <c r="W345" s="530">
        <v>0</v>
      </c>
      <c r="X345" s="490"/>
      <c r="Y345" s="969"/>
      <c r="Z345" s="969"/>
      <c r="AA345" s="969"/>
      <c r="AB345" s="969"/>
      <c r="AC345" s="969"/>
      <c r="AD345" s="969"/>
      <c r="AE345" s="969" t="str">
        <f t="shared" si="16"/>
        <v>Theewaterskloof5. Repairs &amp; maintenance detailed in Table A9 and Table SA34c</v>
      </c>
      <c r="AF345" s="969"/>
      <c r="AG345" s="969"/>
    </row>
    <row r="346" spans="2:33" ht="13.2" customHeight="1" x14ac:dyDescent="0.55000000000000004">
      <c r="B346" s="371"/>
      <c r="C346" s="1011">
        <v>55555</v>
      </c>
      <c r="D346" s="360" t="str">
        <f t="shared" si="17"/>
        <v>Sport and recreation55555</v>
      </c>
      <c r="E346" s="361" t="str">
        <f t="shared" si="15"/>
        <v>TheewaterskloofSport and recreation6. Contributions are funds provided by external organisations to assist with infrastructure development; e.g. developer contributions (detail to be provided in Table SA1)</v>
      </c>
      <c r="F346" s="360" t="str">
        <f>'PART C- Municipal Details'!$G$7</f>
        <v>Theewaterskloof</v>
      </c>
      <c r="G346" s="361" t="s">
        <v>803</v>
      </c>
      <c r="H346" s="363" t="s">
        <v>805</v>
      </c>
      <c r="I346" s="496" t="s">
        <v>780</v>
      </c>
      <c r="J346" s="497" t="s">
        <v>789</v>
      </c>
      <c r="K346" s="490"/>
      <c r="L346" s="465" t="s">
        <v>780</v>
      </c>
      <c r="M346" s="472"/>
      <c r="N346" s="473"/>
      <c r="O346" s="473"/>
      <c r="P346" s="473"/>
      <c r="Q346" s="473"/>
      <c r="R346" s="473"/>
      <c r="S346" s="473"/>
      <c r="T346" s="478"/>
      <c r="U346" s="530">
        <v>0</v>
      </c>
      <c r="V346" s="530">
        <v>0</v>
      </c>
      <c r="W346" s="530">
        <v>0</v>
      </c>
      <c r="X346" s="490"/>
      <c r="Y346" s="969"/>
      <c r="Z346" s="969"/>
      <c r="AA346" s="969"/>
      <c r="AB346" s="969"/>
      <c r="AC346" s="969"/>
      <c r="AD346" s="969"/>
      <c r="AE346" s="969" t="str">
        <f t="shared" si="16"/>
        <v>Theewaterskloof6. Contributions are funds provided by external organisations to assist with infrastructure development; e.g. developer contributions (detail to be provided in Table SA1)</v>
      </c>
      <c r="AF346" s="969"/>
      <c r="AG346" s="969"/>
    </row>
    <row r="347" spans="2:33" ht="13.2" customHeight="1" x14ac:dyDescent="0.55000000000000004">
      <c r="B347" s="371"/>
      <c r="C347" s="1011">
        <v>55555</v>
      </c>
      <c r="D347" s="361" t="str">
        <f t="shared" si="17"/>
        <v>Sport and recreation55555</v>
      </c>
      <c r="E347" s="360" t="str">
        <f t="shared" si="15"/>
        <v>TheewaterskloofSport and recreation7. Equity method ( Includes Joint Ventures)</v>
      </c>
      <c r="F347" s="360" t="str">
        <f>'PART C- Municipal Details'!$G$7</f>
        <v>Theewaterskloof</v>
      </c>
      <c r="G347" s="360" t="s">
        <v>803</v>
      </c>
      <c r="H347" s="366" t="s">
        <v>805</v>
      </c>
      <c r="I347" s="496" t="s">
        <v>796</v>
      </c>
      <c r="J347" s="497" t="s">
        <v>789</v>
      </c>
      <c r="K347" s="490"/>
      <c r="L347" s="479" t="s">
        <v>796</v>
      </c>
      <c r="M347" s="480"/>
      <c r="N347" s="481"/>
      <c r="O347" s="481"/>
      <c r="P347" s="481"/>
      <c r="Q347" s="481"/>
      <c r="R347" s="481"/>
      <c r="S347" s="481"/>
      <c r="T347" s="482"/>
      <c r="U347" s="530">
        <v>0</v>
      </c>
      <c r="V347" s="530">
        <v>0</v>
      </c>
      <c r="W347" s="530">
        <v>0</v>
      </c>
      <c r="X347" s="490"/>
      <c r="Y347" s="969"/>
      <c r="Z347" s="969"/>
      <c r="AA347" s="969"/>
      <c r="AB347" s="969"/>
      <c r="AC347" s="969"/>
      <c r="AD347" s="969"/>
      <c r="AE347" s="969" t="str">
        <f t="shared" si="16"/>
        <v>Theewaterskloof7. Equity method ( Includes Joint Ventures)</v>
      </c>
      <c r="AF347" s="969"/>
      <c r="AG347" s="969"/>
    </row>
    <row r="348" spans="2:33" ht="13.2" customHeight="1" x14ac:dyDescent="0.55000000000000004">
      <c r="B348" s="371"/>
      <c r="C348" s="1011">
        <v>55555</v>
      </c>
      <c r="D348" s="360" t="str">
        <f t="shared" si="17"/>
        <v>Sport and recreation55555</v>
      </c>
      <c r="E348" s="361" t="str">
        <f t="shared" si="15"/>
        <v>TheewaterskloofSport and recreation8. All materials consumed including water consumed and materials used in operations.</v>
      </c>
      <c r="F348" s="360" t="str">
        <f>'PART C- Municipal Details'!$G$7</f>
        <v>Theewaterskloof</v>
      </c>
      <c r="G348" s="361" t="s">
        <v>803</v>
      </c>
      <c r="H348" s="363" t="s">
        <v>805</v>
      </c>
      <c r="I348" s="496" t="s">
        <v>797</v>
      </c>
      <c r="J348" s="497" t="s">
        <v>789</v>
      </c>
      <c r="K348" s="490"/>
      <c r="L348" s="501"/>
      <c r="M348" s="502"/>
      <c r="N348" s="503"/>
      <c r="O348" s="503"/>
      <c r="P348" s="503"/>
      <c r="Q348" s="503"/>
      <c r="R348" s="503"/>
      <c r="S348" s="503"/>
      <c r="T348" s="503"/>
      <c r="U348" s="504"/>
      <c r="V348" s="504"/>
      <c r="W348" s="504"/>
      <c r="X348" s="490"/>
      <c r="Y348" s="969"/>
      <c r="Z348" s="969"/>
      <c r="AA348" s="969"/>
      <c r="AB348" s="969"/>
      <c r="AC348" s="969"/>
      <c r="AD348" s="969"/>
      <c r="AE348" s="969" t="str">
        <f t="shared" si="16"/>
        <v>Theewaterskloof</v>
      </c>
      <c r="AF348" s="969"/>
      <c r="AG348" s="969"/>
    </row>
    <row r="349" spans="2:33" ht="13.2" customHeight="1" x14ac:dyDescent="0.55000000000000004">
      <c r="B349" s="371"/>
      <c r="C349" s="1011">
        <v>55555</v>
      </c>
      <c r="D349" s="361" t="str">
        <f t="shared" si="17"/>
        <v>55555</v>
      </c>
      <c r="E349" s="360" t="str">
        <f t="shared" si="15"/>
        <v>TheewaterskloofX</v>
      </c>
      <c r="F349" s="360" t="str">
        <f>'PART C- Municipal Details'!$G$7</f>
        <v>Theewaterskloof</v>
      </c>
      <c r="G349" s="360" t="s">
        <v>803</v>
      </c>
      <c r="H349" s="366"/>
      <c r="I349" s="496" t="s">
        <v>647</v>
      </c>
      <c r="J349" s="497"/>
      <c r="K349" s="490"/>
      <c r="L349" s="516"/>
      <c r="M349" s="517"/>
      <c r="N349" s="515"/>
      <c r="O349" s="515"/>
      <c r="P349" s="515"/>
      <c r="Q349" s="515"/>
      <c r="R349" s="515"/>
      <c r="S349" s="515"/>
      <c r="T349" s="515"/>
      <c r="U349" s="517"/>
      <c r="V349" s="517"/>
      <c r="W349" s="517"/>
      <c r="X349" s="490"/>
      <c r="Y349" s="969"/>
      <c r="Z349" s="969"/>
      <c r="AA349" s="969"/>
      <c r="AB349" s="969"/>
      <c r="AC349" s="969"/>
      <c r="AD349" s="969"/>
      <c r="AE349" s="969" t="str">
        <f t="shared" si="16"/>
        <v>Theewaterskloof</v>
      </c>
      <c r="AF349" s="969"/>
      <c r="AG349" s="969"/>
    </row>
    <row r="350" spans="2:33" ht="13.2" customHeight="1" x14ac:dyDescent="0.55000000000000004">
      <c r="B350" s="371"/>
      <c r="C350" s="1011">
        <v>55555</v>
      </c>
      <c r="D350" s="360" t="str">
        <f t="shared" si="17"/>
        <v>Public safety55555</v>
      </c>
      <c r="E350" s="360" t="str">
        <f t="shared" si="15"/>
        <v>TheewaterskloofPublic safetyzz</v>
      </c>
      <c r="F350" s="360" t="str">
        <f>'PART C- Municipal Details'!$G$7</f>
        <v>Theewaterskloof</v>
      </c>
      <c r="G350" s="360" t="s">
        <v>803</v>
      </c>
      <c r="H350" s="366" t="s">
        <v>806</v>
      </c>
      <c r="I350" s="496" t="s">
        <v>801</v>
      </c>
      <c r="J350" s="497" t="s">
        <v>651</v>
      </c>
      <c r="K350" s="490"/>
      <c r="L350" s="462" t="s">
        <v>651</v>
      </c>
      <c r="M350" s="362" t="s">
        <v>652</v>
      </c>
      <c r="N350" s="466" t="s">
        <v>653</v>
      </c>
      <c r="O350" s="466" t="s">
        <v>654</v>
      </c>
      <c r="P350" s="467" t="s">
        <v>655</v>
      </c>
      <c r="Q350" s="483" t="s">
        <v>656</v>
      </c>
      <c r="R350" s="468"/>
      <c r="S350" s="468"/>
      <c r="T350" s="467"/>
      <c r="U350" s="527" t="s">
        <v>657</v>
      </c>
      <c r="V350" s="527" t="s">
        <v>657</v>
      </c>
      <c r="W350" s="527" t="s">
        <v>657</v>
      </c>
      <c r="X350" s="490"/>
      <c r="Y350" s="969"/>
      <c r="Z350" s="969"/>
      <c r="AA350" s="969"/>
      <c r="AB350" s="969"/>
      <c r="AC350" s="969"/>
      <c r="AD350" s="969"/>
      <c r="AE350" s="969" t="str">
        <f t="shared" si="16"/>
        <v>TheewaterskloofDescription</v>
      </c>
      <c r="AF350" s="969"/>
      <c r="AG350" s="969"/>
    </row>
    <row r="351" spans="2:33" ht="13.2" customHeight="1" thickBot="1" x14ac:dyDescent="0.6">
      <c r="B351" s="371"/>
      <c r="C351" s="1011">
        <v>55555</v>
      </c>
      <c r="D351" s="361" t="str">
        <f t="shared" si="17"/>
        <v>Public safety55555</v>
      </c>
      <c r="E351" s="361" t="str">
        <f t="shared" si="15"/>
        <v>TheewaterskloofPublic safetyz</v>
      </c>
      <c r="F351" s="360" t="str">
        <f>'PART C- Municipal Details'!$G$7</f>
        <v>Theewaterskloof</v>
      </c>
      <c r="G351" s="361" t="s">
        <v>803</v>
      </c>
      <c r="H351" s="363" t="s">
        <v>806</v>
      </c>
      <c r="I351" s="496" t="s">
        <v>802</v>
      </c>
      <c r="J351" s="497" t="s">
        <v>650</v>
      </c>
      <c r="K351" s="490"/>
      <c r="L351" s="365" t="s">
        <v>659</v>
      </c>
      <c r="M351" s="364" t="s">
        <v>660</v>
      </c>
      <c r="N351" s="469" t="s">
        <v>661</v>
      </c>
      <c r="O351" s="469" t="s">
        <v>661</v>
      </c>
      <c r="P351" s="470" t="s">
        <v>661</v>
      </c>
      <c r="Q351" s="471" t="s">
        <v>662</v>
      </c>
      <c r="R351" s="469" t="s">
        <v>663</v>
      </c>
      <c r="S351" s="469" t="s">
        <v>664</v>
      </c>
      <c r="T351" s="470" t="s">
        <v>665</v>
      </c>
      <c r="U351" s="528" t="s">
        <v>666</v>
      </c>
      <c r="V351" s="528" t="s">
        <v>666</v>
      </c>
      <c r="W351" s="528" t="s">
        <v>666</v>
      </c>
      <c r="X351" s="490"/>
      <c r="Y351" s="969"/>
      <c r="Z351" s="969"/>
      <c r="AA351" s="969"/>
      <c r="AB351" s="969"/>
      <c r="AC351" s="969"/>
      <c r="AD351" s="969"/>
      <c r="AE351" s="969" t="str">
        <f t="shared" si="16"/>
        <v>TheewaterskloofR thousands</v>
      </c>
      <c r="AF351" s="969"/>
      <c r="AG351" s="969"/>
    </row>
    <row r="352" spans="2:33" ht="13.2" customHeight="1" x14ac:dyDescent="0.55000000000000004">
      <c r="B352" s="371"/>
      <c r="C352" s="1008" t="s">
        <v>667</v>
      </c>
      <c r="D352" s="360" t="str">
        <f t="shared" si="17"/>
        <v>Public safety0100</v>
      </c>
      <c r="E352" s="360" t="str">
        <f t="shared" si="15"/>
        <v>TheewaterskloofPublic safetyz</v>
      </c>
      <c r="F352" s="360" t="str">
        <f>'PART C- Municipal Details'!$G$7</f>
        <v>Theewaterskloof</v>
      </c>
      <c r="G352" s="360" t="s">
        <v>803</v>
      </c>
      <c r="H352" s="366" t="s">
        <v>806</v>
      </c>
      <c r="I352" s="496" t="s">
        <v>802</v>
      </c>
      <c r="J352" s="497" t="s">
        <v>658</v>
      </c>
      <c r="K352" s="490"/>
      <c r="L352" s="505" t="s">
        <v>162</v>
      </c>
      <c r="M352" s="506"/>
      <c r="N352" s="507"/>
      <c r="O352" s="507"/>
      <c r="P352" s="507"/>
      <c r="Q352" s="507"/>
      <c r="R352" s="507"/>
      <c r="S352" s="507"/>
      <c r="T352" s="507"/>
      <c r="U352" s="529">
        <v>0</v>
      </c>
      <c r="V352" s="529">
        <v>0</v>
      </c>
      <c r="W352" s="529">
        <v>0</v>
      </c>
      <c r="X352" s="490"/>
      <c r="Y352" s="969"/>
      <c r="Z352" s="969"/>
      <c r="AA352" s="969"/>
      <c r="AB352" s="969"/>
      <c r="AC352" s="969"/>
      <c r="AD352" s="969"/>
      <c r="AE352" s="969" t="str">
        <f t="shared" si="16"/>
        <v>TheewaterskloofRevenue</v>
      </c>
      <c r="AF352" s="969"/>
      <c r="AG352" s="969"/>
    </row>
    <row r="353" spans="2:33" ht="13.2" customHeight="1" x14ac:dyDescent="0.55000000000000004">
      <c r="B353" s="371"/>
      <c r="C353" s="1009" t="s">
        <v>668</v>
      </c>
      <c r="D353" s="361" t="str">
        <f t="shared" si="17"/>
        <v>Public safety0200</v>
      </c>
      <c r="E353" s="361" t="str">
        <f t="shared" si="15"/>
        <v>TheewaterskloofPublic safetyz</v>
      </c>
      <c r="F353" s="360" t="str">
        <f>'PART C- Municipal Details'!$G$7</f>
        <v>Theewaterskloof</v>
      </c>
      <c r="G353" s="361" t="s">
        <v>803</v>
      </c>
      <c r="H353" s="363" t="s">
        <v>806</v>
      </c>
      <c r="I353" s="496" t="s">
        <v>802</v>
      </c>
      <c r="J353" s="497" t="s">
        <v>0</v>
      </c>
      <c r="K353" s="490"/>
      <c r="L353" s="463" t="s">
        <v>670</v>
      </c>
      <c r="M353" s="459"/>
      <c r="N353" s="460"/>
      <c r="O353" s="460"/>
      <c r="P353" s="460"/>
      <c r="Q353" s="460"/>
      <c r="R353" s="460"/>
      <c r="S353" s="460"/>
      <c r="T353" s="460"/>
      <c r="U353" s="530">
        <v>0</v>
      </c>
      <c r="V353" s="530">
        <v>0</v>
      </c>
      <c r="W353" s="530">
        <v>0</v>
      </c>
      <c r="X353" s="490"/>
      <c r="Y353" s="969"/>
      <c r="Z353" s="969"/>
      <c r="AA353" s="969"/>
      <c r="AB353" s="969"/>
      <c r="AC353" s="969"/>
      <c r="AD353" s="969"/>
      <c r="AE353" s="969" t="str">
        <f t="shared" si="16"/>
        <v>TheewaterskloofExchange Revenue</v>
      </c>
      <c r="AF353" s="969"/>
      <c r="AG353" s="969"/>
    </row>
    <row r="354" spans="2:33" ht="13.2" customHeight="1" x14ac:dyDescent="0.55000000000000004">
      <c r="B354" s="371"/>
      <c r="C354" s="1010" t="s">
        <v>671</v>
      </c>
      <c r="D354" s="360" t="str">
        <f t="shared" si="17"/>
        <v>Public safety0300</v>
      </c>
      <c r="E354" s="360" t="str">
        <f t="shared" si="15"/>
        <v>TheewaterskloofPublic safetyService charges - electricity revenue</v>
      </c>
      <c r="F354" s="360" t="str">
        <f>'PART C- Municipal Details'!$G$7</f>
        <v>Theewaterskloof</v>
      </c>
      <c r="G354" s="360" t="s">
        <v>803</v>
      </c>
      <c r="H354" s="366" t="s">
        <v>806</v>
      </c>
      <c r="I354" s="496" t="s">
        <v>669</v>
      </c>
      <c r="J354" s="497" t="s">
        <v>669</v>
      </c>
      <c r="K354" s="490"/>
      <c r="L354" s="463" t="s">
        <v>673</v>
      </c>
      <c r="M354" s="459"/>
      <c r="N354" s="461"/>
      <c r="O354" s="461"/>
      <c r="P354" s="461"/>
      <c r="Q354" s="461"/>
      <c r="R354" s="461"/>
      <c r="S354" s="461"/>
      <c r="T354" s="461"/>
      <c r="U354" s="530">
        <v>0</v>
      </c>
      <c r="V354" s="530">
        <v>0</v>
      </c>
      <c r="W354" s="530">
        <v>0</v>
      </c>
      <c r="X354" s="490"/>
      <c r="Y354" s="969"/>
      <c r="Z354" s="969"/>
      <c r="AA354" s="969"/>
      <c r="AB354" s="969"/>
      <c r="AC354" s="969"/>
      <c r="AD354" s="969"/>
      <c r="AE354" s="969" t="str">
        <f t="shared" si="16"/>
        <v>TheewaterskloofService charges - Electricity</v>
      </c>
      <c r="AF354" s="969"/>
      <c r="AG354" s="969"/>
    </row>
    <row r="355" spans="2:33" ht="13.2" customHeight="1" x14ac:dyDescent="0.55000000000000004">
      <c r="B355" s="371"/>
      <c r="C355" s="1010" t="s">
        <v>674</v>
      </c>
      <c r="D355" s="361" t="str">
        <f t="shared" si="17"/>
        <v>Public safety0400</v>
      </c>
      <c r="E355" s="361" t="str">
        <f t="shared" si="15"/>
        <v>TheewaterskloofPublic safetyService charges - water revenue</v>
      </c>
      <c r="F355" s="360" t="str">
        <f>'PART C- Municipal Details'!$G$7</f>
        <v>Theewaterskloof</v>
      </c>
      <c r="G355" s="361" t="s">
        <v>803</v>
      </c>
      <c r="H355" s="363" t="s">
        <v>806</v>
      </c>
      <c r="I355" s="496" t="s">
        <v>672</v>
      </c>
      <c r="J355" s="497" t="s">
        <v>672</v>
      </c>
      <c r="K355" s="490"/>
      <c r="L355" s="463" t="s">
        <v>676</v>
      </c>
      <c r="M355" s="459"/>
      <c r="N355" s="461"/>
      <c r="O355" s="461"/>
      <c r="P355" s="461"/>
      <c r="Q355" s="461"/>
      <c r="R355" s="461"/>
      <c r="S355" s="461"/>
      <c r="T355" s="461"/>
      <c r="U355" s="530">
        <v>0</v>
      </c>
      <c r="V355" s="530">
        <v>0</v>
      </c>
      <c r="W355" s="530">
        <v>0</v>
      </c>
      <c r="X355" s="490"/>
      <c r="Y355" s="969"/>
      <c r="Z355" s="969"/>
      <c r="AA355" s="969"/>
      <c r="AB355" s="969"/>
      <c r="AC355" s="969"/>
      <c r="AD355" s="969"/>
      <c r="AE355" s="969" t="str">
        <f t="shared" si="16"/>
        <v>TheewaterskloofService charges - Water</v>
      </c>
      <c r="AF355" s="969"/>
      <c r="AG355" s="969"/>
    </row>
    <row r="356" spans="2:33" ht="13.2" customHeight="1" x14ac:dyDescent="0.55000000000000004">
      <c r="B356" s="371"/>
      <c r="C356" s="1010" t="s">
        <v>677</v>
      </c>
      <c r="D356" s="360" t="str">
        <f t="shared" si="17"/>
        <v>Public safety0500</v>
      </c>
      <c r="E356" s="360" t="str">
        <f t="shared" si="15"/>
        <v>TheewaterskloofPublic safetyService charges - sanitation revenue</v>
      </c>
      <c r="F356" s="360" t="str">
        <f>'PART C- Municipal Details'!$G$7</f>
        <v>Theewaterskloof</v>
      </c>
      <c r="G356" s="360" t="s">
        <v>803</v>
      </c>
      <c r="H356" s="366" t="s">
        <v>806</v>
      </c>
      <c r="I356" s="496" t="s">
        <v>675</v>
      </c>
      <c r="J356" s="497" t="s">
        <v>675</v>
      </c>
      <c r="K356" s="490"/>
      <c r="L356" s="463" t="s">
        <v>679</v>
      </c>
      <c r="M356" s="459"/>
      <c r="N356" s="461"/>
      <c r="O356" s="461"/>
      <c r="P356" s="461"/>
      <c r="Q356" s="461"/>
      <c r="R356" s="461"/>
      <c r="S356" s="461"/>
      <c r="T356" s="461"/>
      <c r="U356" s="530">
        <v>0</v>
      </c>
      <c r="V356" s="530">
        <v>0</v>
      </c>
      <c r="W356" s="530">
        <v>0</v>
      </c>
      <c r="X356" s="490"/>
      <c r="Y356" s="969"/>
      <c r="Z356" s="969"/>
      <c r="AA356" s="969"/>
      <c r="AB356" s="969"/>
      <c r="AC356" s="969"/>
      <c r="AD356" s="969"/>
      <c r="AE356" s="969" t="str">
        <f t="shared" si="16"/>
        <v>TheewaterskloofService charges - Waste Water Management</v>
      </c>
      <c r="AF356" s="969"/>
      <c r="AG356" s="969"/>
    </row>
    <row r="357" spans="2:33" ht="13.2" customHeight="1" x14ac:dyDescent="0.55000000000000004">
      <c r="B357" s="371"/>
      <c r="C357" s="1010" t="s">
        <v>680</v>
      </c>
      <c r="D357" s="361" t="str">
        <f t="shared" si="17"/>
        <v>Public safety0600</v>
      </c>
      <c r="E357" s="361" t="str">
        <f t="shared" si="15"/>
        <v>TheewaterskloofPublic safetyService charges - refuse revenue</v>
      </c>
      <c r="F357" s="360" t="str">
        <f>'PART C- Municipal Details'!$G$7</f>
        <v>Theewaterskloof</v>
      </c>
      <c r="G357" s="361" t="s">
        <v>803</v>
      </c>
      <c r="H357" s="363" t="s">
        <v>806</v>
      </c>
      <c r="I357" s="496" t="s">
        <v>678</v>
      </c>
      <c r="J357" s="497" t="s">
        <v>678</v>
      </c>
      <c r="K357" s="490"/>
      <c r="L357" s="463" t="s">
        <v>682</v>
      </c>
      <c r="M357" s="459"/>
      <c r="N357" s="461"/>
      <c r="O357" s="461"/>
      <c r="P357" s="461"/>
      <c r="Q357" s="461"/>
      <c r="R357" s="461"/>
      <c r="S357" s="461"/>
      <c r="T357" s="461"/>
      <c r="U357" s="530">
        <v>0</v>
      </c>
      <c r="V357" s="530">
        <v>0</v>
      </c>
      <c r="W357" s="530">
        <v>0</v>
      </c>
      <c r="X357" s="490"/>
      <c r="Y357" s="969"/>
      <c r="Z357" s="969"/>
      <c r="AA357" s="969"/>
      <c r="AB357" s="969"/>
      <c r="AC357" s="969"/>
      <c r="AD357" s="969"/>
      <c r="AE357" s="969" t="str">
        <f t="shared" si="16"/>
        <v>TheewaterskloofService charges - Waste Management</v>
      </c>
      <c r="AF357" s="969"/>
      <c r="AG357" s="969"/>
    </row>
    <row r="358" spans="2:33" ht="13.2" customHeight="1" x14ac:dyDescent="0.55000000000000004">
      <c r="B358" s="371"/>
      <c r="C358" s="1010" t="s">
        <v>683</v>
      </c>
      <c r="D358" s="360" t="str">
        <f t="shared" si="17"/>
        <v>Public safety0700</v>
      </c>
      <c r="E358" s="360" t="str">
        <f t="shared" si="15"/>
        <v>TheewaterskloofPublic safetyOther revenue</v>
      </c>
      <c r="F358" s="360" t="str">
        <f>'PART C- Municipal Details'!$G$7</f>
        <v>Theewaterskloof</v>
      </c>
      <c r="G358" s="360" t="s">
        <v>803</v>
      </c>
      <c r="H358" s="366" t="s">
        <v>806</v>
      </c>
      <c r="I358" s="496" t="s">
        <v>7</v>
      </c>
      <c r="J358" s="497" t="s">
        <v>681</v>
      </c>
      <c r="K358" s="490"/>
      <c r="L358" s="463" t="s">
        <v>684</v>
      </c>
      <c r="M358" s="459"/>
      <c r="N358" s="461"/>
      <c r="O358" s="461"/>
      <c r="P358" s="461"/>
      <c r="Q358" s="461"/>
      <c r="R358" s="461"/>
      <c r="S358" s="461"/>
      <c r="T358" s="461"/>
      <c r="U358" s="530">
        <v>330000</v>
      </c>
      <c r="V358" s="530">
        <v>341220</v>
      </c>
      <c r="W358" s="530">
        <v>352139</v>
      </c>
      <c r="X358" s="490"/>
      <c r="Y358" s="969"/>
      <c r="Z358" s="969"/>
      <c r="AA358" s="969"/>
      <c r="AB358" s="969"/>
      <c r="AC358" s="969"/>
      <c r="AD358" s="969"/>
      <c r="AE358" s="969" t="str">
        <f t="shared" si="16"/>
        <v>TheewaterskloofSale of Goods and Rendering of Services</v>
      </c>
      <c r="AF358" s="969"/>
      <c r="AG358" s="969"/>
    </row>
    <row r="359" spans="2:33" ht="13.2" customHeight="1" x14ac:dyDescent="0.55000000000000004">
      <c r="B359" s="371"/>
      <c r="C359" s="1010" t="s">
        <v>685</v>
      </c>
      <c r="D359" s="361" t="str">
        <f t="shared" si="17"/>
        <v>Public safety0800</v>
      </c>
      <c r="E359" s="361" t="str">
        <f t="shared" si="15"/>
        <v>TheewaterskloofPublic safetyAgency services</v>
      </c>
      <c r="F359" s="360" t="str">
        <f>'PART C- Municipal Details'!$G$7</f>
        <v>Theewaterskloof</v>
      </c>
      <c r="G359" s="361" t="s">
        <v>803</v>
      </c>
      <c r="H359" s="363" t="s">
        <v>806</v>
      </c>
      <c r="I359" s="496" t="s">
        <v>6</v>
      </c>
      <c r="J359" s="497" t="s">
        <v>1</v>
      </c>
      <c r="K359" s="490"/>
      <c r="L359" s="463" t="s">
        <v>6</v>
      </c>
      <c r="M359" s="459"/>
      <c r="N359" s="461"/>
      <c r="O359" s="461"/>
      <c r="P359" s="461"/>
      <c r="Q359" s="461"/>
      <c r="R359" s="461"/>
      <c r="S359" s="461"/>
      <c r="T359" s="461"/>
      <c r="U359" s="530">
        <v>0</v>
      </c>
      <c r="V359" s="530">
        <v>0</v>
      </c>
      <c r="W359" s="530">
        <v>0</v>
      </c>
      <c r="X359" s="490"/>
      <c r="Y359" s="969"/>
      <c r="Z359" s="969"/>
      <c r="AA359" s="969"/>
      <c r="AB359" s="969"/>
      <c r="AC359" s="969"/>
      <c r="AD359" s="969"/>
      <c r="AE359" s="969" t="str">
        <f t="shared" si="16"/>
        <v>TheewaterskloofAgency services</v>
      </c>
      <c r="AF359" s="969"/>
      <c r="AG359" s="969"/>
    </row>
    <row r="360" spans="2:33" ht="13.2" customHeight="1" x14ac:dyDescent="0.55000000000000004">
      <c r="B360" s="371"/>
      <c r="C360" s="1010" t="s">
        <v>686</v>
      </c>
      <c r="D360" s="360" t="str">
        <f t="shared" si="17"/>
        <v>Public safety0900</v>
      </c>
      <c r="E360" s="360" t="str">
        <f t="shared" si="15"/>
        <v>TheewaterskloofPublic safetyInterest earned - external investments</v>
      </c>
      <c r="F360" s="360" t="str">
        <f>'PART C- Municipal Details'!$G$7</f>
        <v>Theewaterskloof</v>
      </c>
      <c r="G360" s="360" t="s">
        <v>803</v>
      </c>
      <c r="H360" s="366" t="s">
        <v>806</v>
      </c>
      <c r="I360" s="496" t="s">
        <v>2</v>
      </c>
      <c r="J360" s="497" t="s">
        <v>2</v>
      </c>
      <c r="K360" s="490"/>
      <c r="L360" s="463" t="s">
        <v>687</v>
      </c>
      <c r="M360" s="459"/>
      <c r="N360" s="461"/>
      <c r="O360" s="461"/>
      <c r="P360" s="461"/>
      <c r="Q360" s="461"/>
      <c r="R360" s="461"/>
      <c r="S360" s="461"/>
      <c r="T360" s="461"/>
      <c r="U360" s="530">
        <v>0</v>
      </c>
      <c r="V360" s="530">
        <v>0</v>
      </c>
      <c r="W360" s="530">
        <v>0</v>
      </c>
      <c r="X360" s="490"/>
      <c r="Y360" s="969"/>
      <c r="Z360" s="969"/>
      <c r="AA360" s="969"/>
      <c r="AB360" s="969"/>
      <c r="AC360" s="969"/>
      <c r="AD360" s="969"/>
      <c r="AE360" s="969" t="str">
        <f t="shared" si="16"/>
        <v>TheewaterskloofInterest</v>
      </c>
      <c r="AF360" s="969"/>
      <c r="AG360" s="969"/>
    </row>
    <row r="361" spans="2:33" ht="13.2" customHeight="1" x14ac:dyDescent="0.55000000000000004">
      <c r="B361" s="371"/>
      <c r="C361" s="1010" t="s">
        <v>688</v>
      </c>
      <c r="D361" s="361" t="str">
        <f t="shared" si="17"/>
        <v>Public safety1000</v>
      </c>
      <c r="E361" s="361" t="str">
        <f t="shared" si="15"/>
        <v>TheewaterskloofPublic safetyInterest earned - outstanding debtors</v>
      </c>
      <c r="F361" s="360" t="str">
        <f>'PART C- Municipal Details'!$G$7</f>
        <v>Theewaterskloof</v>
      </c>
      <c r="G361" s="361" t="s">
        <v>803</v>
      </c>
      <c r="H361" s="363" t="s">
        <v>806</v>
      </c>
      <c r="I361" s="496" t="s">
        <v>3</v>
      </c>
      <c r="J361" s="497" t="s">
        <v>3</v>
      </c>
      <c r="K361" s="490"/>
      <c r="L361" s="463" t="s">
        <v>689</v>
      </c>
      <c r="M361" s="459"/>
      <c r="N361" s="461"/>
      <c r="O361" s="461"/>
      <c r="P361" s="461"/>
      <c r="Q361" s="461"/>
      <c r="R361" s="461"/>
      <c r="S361" s="461"/>
      <c r="T361" s="461"/>
      <c r="U361" s="530">
        <v>0</v>
      </c>
      <c r="V361" s="530">
        <v>0</v>
      </c>
      <c r="W361" s="530">
        <v>0</v>
      </c>
      <c r="X361" s="490"/>
      <c r="Y361" s="969"/>
      <c r="Z361" s="969"/>
      <c r="AA361" s="969"/>
      <c r="AB361" s="969"/>
      <c r="AC361" s="969"/>
      <c r="AD361" s="969"/>
      <c r="AE361" s="969" t="str">
        <f t="shared" si="16"/>
        <v>TheewaterskloofInterest earned from Receivables</v>
      </c>
      <c r="AF361" s="969"/>
      <c r="AG361" s="969"/>
    </row>
    <row r="362" spans="2:33" ht="13.2" customHeight="1" x14ac:dyDescent="0.55000000000000004">
      <c r="B362" s="371"/>
      <c r="C362" s="1010" t="s">
        <v>690</v>
      </c>
      <c r="D362" s="360" t="str">
        <f t="shared" si="17"/>
        <v>Public safety1100</v>
      </c>
      <c r="E362" s="360" t="str">
        <f t="shared" si="15"/>
        <v>TheewaterskloofPublic safetyInterest earned - external investments</v>
      </c>
      <c r="F362" s="360" t="str">
        <f>'PART C- Municipal Details'!$G$7</f>
        <v>Theewaterskloof</v>
      </c>
      <c r="G362" s="360" t="s">
        <v>803</v>
      </c>
      <c r="H362" s="366" t="s">
        <v>806</v>
      </c>
      <c r="I362" s="496" t="s">
        <v>2</v>
      </c>
      <c r="J362" s="497" t="s">
        <v>4</v>
      </c>
      <c r="K362" s="490"/>
      <c r="L362" s="463" t="s">
        <v>692</v>
      </c>
      <c r="M362" s="459"/>
      <c r="N362" s="461"/>
      <c r="O362" s="461"/>
      <c r="P362" s="461"/>
      <c r="Q362" s="461"/>
      <c r="R362" s="461"/>
      <c r="S362" s="461"/>
      <c r="T362" s="461"/>
      <c r="U362" s="530">
        <v>0</v>
      </c>
      <c r="V362" s="530">
        <v>0</v>
      </c>
      <c r="W362" s="530">
        <v>0</v>
      </c>
      <c r="X362" s="490"/>
      <c r="Y362" s="969"/>
      <c r="Z362" s="969"/>
      <c r="AA362" s="969"/>
      <c r="AB362" s="969"/>
      <c r="AC362" s="969"/>
      <c r="AD362" s="969"/>
      <c r="AE362" s="969" t="str">
        <f t="shared" si="16"/>
        <v>TheewaterskloofInterest earned from Current and Non Current Assets</v>
      </c>
      <c r="AF362" s="969"/>
      <c r="AG362" s="969"/>
    </row>
    <row r="363" spans="2:33" ht="13.2" customHeight="1" x14ac:dyDescent="0.55000000000000004">
      <c r="B363" s="371"/>
      <c r="C363" s="1010" t="s">
        <v>693</v>
      </c>
      <c r="D363" s="361" t="str">
        <f t="shared" si="17"/>
        <v>Public safety1200</v>
      </c>
      <c r="E363" s="361" t="str">
        <f t="shared" si="15"/>
        <v>TheewaterskloofPublic safetyDividends received</v>
      </c>
      <c r="F363" s="360" t="str">
        <f>'PART C- Municipal Details'!$G$7</f>
        <v>Theewaterskloof</v>
      </c>
      <c r="G363" s="361" t="s">
        <v>803</v>
      </c>
      <c r="H363" s="363" t="s">
        <v>806</v>
      </c>
      <c r="I363" s="496" t="s">
        <v>4</v>
      </c>
      <c r="J363" s="497" t="s">
        <v>691</v>
      </c>
      <c r="K363" s="490"/>
      <c r="L363" s="463" t="s">
        <v>694</v>
      </c>
      <c r="M363" s="459"/>
      <c r="N363" s="461"/>
      <c r="O363" s="461"/>
      <c r="P363" s="461"/>
      <c r="Q363" s="461"/>
      <c r="R363" s="461"/>
      <c r="S363" s="461"/>
      <c r="T363" s="461"/>
      <c r="U363" s="530">
        <v>0</v>
      </c>
      <c r="V363" s="530">
        <v>0</v>
      </c>
      <c r="W363" s="530">
        <v>0</v>
      </c>
      <c r="X363" s="490"/>
      <c r="Y363" s="969"/>
      <c r="Z363" s="969"/>
      <c r="AA363" s="969"/>
      <c r="AB363" s="969"/>
      <c r="AC363" s="969"/>
      <c r="AD363" s="969"/>
      <c r="AE363" s="969" t="str">
        <f t="shared" si="16"/>
        <v>TheewaterskloofDividends</v>
      </c>
      <c r="AF363" s="969"/>
      <c r="AG363" s="969"/>
    </row>
    <row r="364" spans="2:33" ht="13.2" customHeight="1" x14ac:dyDescent="0.55000000000000004">
      <c r="B364" s="371"/>
      <c r="C364" s="1010" t="s">
        <v>695</v>
      </c>
      <c r="D364" s="360" t="str">
        <f t="shared" si="17"/>
        <v>Public safety1300</v>
      </c>
      <c r="E364" s="360" t="str">
        <f t="shared" si="15"/>
        <v>TheewaterskloofPublic safetyRental of facilities and equipment</v>
      </c>
      <c r="F364" s="360" t="str">
        <f>'PART C- Municipal Details'!$G$7</f>
        <v>Theewaterskloof</v>
      </c>
      <c r="G364" s="360" t="s">
        <v>803</v>
      </c>
      <c r="H364" s="366" t="s">
        <v>806</v>
      </c>
      <c r="I364" s="496" t="s">
        <v>1</v>
      </c>
      <c r="J364" s="497" t="s">
        <v>5</v>
      </c>
      <c r="K364" s="490"/>
      <c r="L364" s="463" t="s">
        <v>696</v>
      </c>
      <c r="M364" s="459"/>
      <c r="N364" s="461"/>
      <c r="O364" s="461"/>
      <c r="P364" s="461"/>
      <c r="Q364" s="461"/>
      <c r="R364" s="461"/>
      <c r="S364" s="461"/>
      <c r="T364" s="461"/>
      <c r="U364" s="530">
        <v>0</v>
      </c>
      <c r="V364" s="530">
        <v>0</v>
      </c>
      <c r="W364" s="530">
        <v>0</v>
      </c>
      <c r="X364" s="490"/>
      <c r="Y364" s="969"/>
      <c r="Z364" s="969"/>
      <c r="AA364" s="969"/>
      <c r="AB364" s="969"/>
      <c r="AC364" s="969"/>
      <c r="AD364" s="969"/>
      <c r="AE364" s="969" t="str">
        <f t="shared" si="16"/>
        <v>TheewaterskloofRent on Land</v>
      </c>
      <c r="AF364" s="969"/>
      <c r="AG364" s="969"/>
    </row>
    <row r="365" spans="2:33" ht="13.2" customHeight="1" x14ac:dyDescent="0.55000000000000004">
      <c r="B365" s="371"/>
      <c r="C365" s="1010" t="s">
        <v>697</v>
      </c>
      <c r="D365" s="361" t="str">
        <f t="shared" si="17"/>
        <v>Public safety1400</v>
      </c>
      <c r="E365" s="361" t="str">
        <f t="shared" si="15"/>
        <v>TheewaterskloofPublic safetyRental of facilities and equipment</v>
      </c>
      <c r="F365" s="360" t="str">
        <f>'PART C- Municipal Details'!$G$7</f>
        <v>Theewaterskloof</v>
      </c>
      <c r="G365" s="361" t="s">
        <v>803</v>
      </c>
      <c r="H365" s="363" t="s">
        <v>806</v>
      </c>
      <c r="I365" s="496" t="s">
        <v>1</v>
      </c>
      <c r="J365" s="497" t="s">
        <v>6</v>
      </c>
      <c r="K365" s="490"/>
      <c r="L365" s="463" t="s">
        <v>699</v>
      </c>
      <c r="M365" s="459"/>
      <c r="N365" s="461"/>
      <c r="O365" s="461"/>
      <c r="P365" s="461"/>
      <c r="Q365" s="461"/>
      <c r="R365" s="461"/>
      <c r="S365" s="461"/>
      <c r="T365" s="461"/>
      <c r="U365" s="530">
        <v>0</v>
      </c>
      <c r="V365" s="530">
        <v>0</v>
      </c>
      <c r="W365" s="530">
        <v>0</v>
      </c>
      <c r="X365" s="490"/>
      <c r="Y365" s="969"/>
      <c r="Z365" s="969"/>
      <c r="AA365" s="969"/>
      <c r="AB365" s="969"/>
      <c r="AC365" s="969"/>
      <c r="AD365" s="969"/>
      <c r="AE365" s="969" t="str">
        <f t="shared" si="16"/>
        <v>TheewaterskloofRental from Fixed Assets</v>
      </c>
      <c r="AF365" s="969"/>
      <c r="AG365" s="969"/>
    </row>
    <row r="366" spans="2:33" ht="13.2" customHeight="1" x14ac:dyDescent="0.55000000000000004">
      <c r="B366" s="371"/>
      <c r="C366" s="1010" t="s">
        <v>700</v>
      </c>
      <c r="D366" s="360" t="str">
        <f t="shared" si="17"/>
        <v>Public safety1500</v>
      </c>
      <c r="E366" s="360" t="str">
        <f t="shared" si="15"/>
        <v>TheewaterskloofPublic safetyLicences and permits</v>
      </c>
      <c r="F366" s="360" t="str">
        <f>'PART C- Municipal Details'!$G$7</f>
        <v>Theewaterskloof</v>
      </c>
      <c r="G366" s="360" t="s">
        <v>803</v>
      </c>
      <c r="H366" s="366" t="s">
        <v>806</v>
      </c>
      <c r="I366" s="496" t="s">
        <v>5</v>
      </c>
      <c r="J366" s="497" t="s">
        <v>698</v>
      </c>
      <c r="K366" s="490"/>
      <c r="L366" s="463" t="s">
        <v>701</v>
      </c>
      <c r="M366" s="459"/>
      <c r="N366" s="461"/>
      <c r="O366" s="461"/>
      <c r="P366" s="461"/>
      <c r="Q366" s="461"/>
      <c r="R366" s="461"/>
      <c r="S366" s="461"/>
      <c r="T366" s="461"/>
      <c r="U366" s="530">
        <v>1000</v>
      </c>
      <c r="V366" s="530">
        <v>1034</v>
      </c>
      <c r="W366" s="530">
        <v>1067</v>
      </c>
      <c r="X366" s="490"/>
      <c r="Y366" s="969"/>
      <c r="Z366" s="969"/>
      <c r="AA366" s="969"/>
      <c r="AB366" s="969"/>
      <c r="AC366" s="969"/>
      <c r="AD366" s="969"/>
      <c r="AE366" s="969" t="str">
        <f t="shared" si="16"/>
        <v>TheewaterskloofLicence and permits</v>
      </c>
      <c r="AF366" s="969"/>
      <c r="AG366" s="969"/>
    </row>
    <row r="367" spans="2:33" ht="13.2" customHeight="1" x14ac:dyDescent="0.55000000000000004">
      <c r="B367" s="371"/>
      <c r="C367" s="1324" t="s">
        <v>1569</v>
      </c>
      <c r="D367" s="360" t="str">
        <f t="shared" si="17"/>
        <v>Public safety1550</v>
      </c>
      <c r="E367" s="360" t="str">
        <f t="shared" si="15"/>
        <v>TheewaterskloofPublic safetySpecial rating Levies</v>
      </c>
      <c r="F367" s="360" t="str">
        <f>'PART C- Municipal Details'!$G$7</f>
        <v>Theewaterskloof</v>
      </c>
      <c r="G367" s="360" t="s">
        <v>803</v>
      </c>
      <c r="H367" s="366" t="s">
        <v>806</v>
      </c>
      <c r="I367" s="496" t="s">
        <v>1568</v>
      </c>
      <c r="J367" s="497" t="s">
        <v>7</v>
      </c>
      <c r="K367" s="490"/>
      <c r="L367" s="463" t="s">
        <v>1567</v>
      </c>
      <c r="M367" s="459"/>
      <c r="N367" s="461"/>
      <c r="O367" s="461"/>
      <c r="P367" s="461"/>
      <c r="Q367" s="461"/>
      <c r="R367" s="461"/>
      <c r="S367" s="461"/>
      <c r="T367" s="461"/>
      <c r="U367" s="530">
        <v>0</v>
      </c>
      <c r="V367" s="530">
        <v>0</v>
      </c>
      <c r="W367" s="530">
        <v>0</v>
      </c>
      <c r="X367" s="490"/>
      <c r="Y367" s="969"/>
      <c r="Z367" s="969"/>
      <c r="AA367" s="969"/>
      <c r="AB367" s="969"/>
      <c r="AC367" s="969"/>
      <c r="AD367" s="969"/>
      <c r="AE367" s="969"/>
      <c r="AF367" s="969"/>
      <c r="AG367" s="969"/>
    </row>
    <row r="368" spans="2:33" ht="13.2" customHeight="1" x14ac:dyDescent="0.55000000000000004">
      <c r="B368" s="371"/>
      <c r="C368" s="1010" t="s">
        <v>702</v>
      </c>
      <c r="D368" s="361" t="str">
        <f t="shared" si="17"/>
        <v>Public safety1600</v>
      </c>
      <c r="E368" s="361" t="str">
        <f t="shared" si="15"/>
        <v>TheewaterskloofPublic safetyOther revenue</v>
      </c>
      <c r="F368" s="360" t="str">
        <f>'PART C- Municipal Details'!$G$7</f>
        <v>Theewaterskloof</v>
      </c>
      <c r="G368" s="361" t="s">
        <v>803</v>
      </c>
      <c r="H368" s="363" t="s">
        <v>806</v>
      </c>
      <c r="I368" s="496" t="s">
        <v>7</v>
      </c>
      <c r="J368" s="497" t="s">
        <v>7</v>
      </c>
      <c r="K368" s="490"/>
      <c r="L368" s="463" t="s">
        <v>704</v>
      </c>
      <c r="M368" s="459"/>
      <c r="N368" s="461"/>
      <c r="O368" s="461"/>
      <c r="P368" s="461"/>
      <c r="Q368" s="461"/>
      <c r="R368" s="461"/>
      <c r="S368" s="461"/>
      <c r="T368" s="461"/>
      <c r="U368" s="530">
        <v>0</v>
      </c>
      <c r="V368" s="530">
        <v>0</v>
      </c>
      <c r="W368" s="530">
        <v>0</v>
      </c>
      <c r="X368" s="490"/>
      <c r="Y368" s="969"/>
      <c r="Z368" s="969"/>
      <c r="AA368" s="969"/>
      <c r="AB368" s="969"/>
      <c r="AC368" s="969"/>
      <c r="AD368" s="969"/>
      <c r="AE368" s="969" t="str">
        <f t="shared" si="16"/>
        <v>TheewaterskloofOperational Revenue</v>
      </c>
      <c r="AF368" s="969"/>
      <c r="AG368" s="969"/>
    </row>
    <row r="369" spans="2:33" ht="13.2" customHeight="1" x14ac:dyDescent="0.55000000000000004">
      <c r="B369" s="371"/>
      <c r="C369" s="1009" t="s">
        <v>705</v>
      </c>
      <c r="D369" s="360" t="str">
        <f t="shared" si="17"/>
        <v>Public safety1700</v>
      </c>
      <c r="E369" s="360" t="str">
        <f t="shared" si="15"/>
        <v>TheewaterskloofPublic safetyx</v>
      </c>
      <c r="F369" s="360" t="str">
        <f>'PART C- Municipal Details'!$G$7</f>
        <v>Theewaterskloof</v>
      </c>
      <c r="G369" s="360" t="s">
        <v>803</v>
      </c>
      <c r="H369" s="366" t="s">
        <v>806</v>
      </c>
      <c r="I369" s="496" t="s">
        <v>789</v>
      </c>
      <c r="J369" s="497" t="s">
        <v>703</v>
      </c>
      <c r="K369" s="490"/>
      <c r="L369" s="508" t="s">
        <v>708</v>
      </c>
      <c r="M369" s="509"/>
      <c r="N369" s="510"/>
      <c r="O369" s="510"/>
      <c r="P369" s="510"/>
      <c r="Q369" s="510"/>
      <c r="R369" s="510"/>
      <c r="S369" s="510"/>
      <c r="T369" s="511"/>
      <c r="U369" s="531">
        <v>0</v>
      </c>
      <c r="V369" s="531">
        <v>0</v>
      </c>
      <c r="W369" s="531">
        <v>0</v>
      </c>
      <c r="X369" s="490"/>
      <c r="Y369" s="969"/>
      <c r="Z369" s="969"/>
      <c r="AA369" s="969"/>
      <c r="AB369" s="969"/>
      <c r="AC369" s="969"/>
      <c r="AD369" s="969"/>
      <c r="AE369" s="969" t="str">
        <f t="shared" si="16"/>
        <v>TheewaterskloofNon-Exchange Revenue</v>
      </c>
      <c r="AF369" s="969"/>
      <c r="AG369" s="969"/>
    </row>
    <row r="370" spans="2:33" ht="13.2" customHeight="1" x14ac:dyDescent="0.55000000000000004">
      <c r="B370" s="371"/>
      <c r="C370" s="1010" t="s">
        <v>709</v>
      </c>
      <c r="D370" s="361" t="str">
        <f t="shared" si="17"/>
        <v>Public safety1800</v>
      </c>
      <c r="E370" s="361" t="str">
        <f t="shared" si="15"/>
        <v>TheewaterskloofPublic safetyProperty rates</v>
      </c>
      <c r="F370" s="360" t="str">
        <f>'PART C- Municipal Details'!$G$7</f>
        <v>Theewaterskloof</v>
      </c>
      <c r="G370" s="361" t="s">
        <v>803</v>
      </c>
      <c r="H370" s="363" t="s">
        <v>806</v>
      </c>
      <c r="I370" s="496" t="s">
        <v>0</v>
      </c>
      <c r="J370" s="497" t="s">
        <v>707</v>
      </c>
      <c r="K370" s="490"/>
      <c r="L370" s="463" t="s">
        <v>0</v>
      </c>
      <c r="M370" s="459"/>
      <c r="N370" s="460"/>
      <c r="O370" s="460"/>
      <c r="P370" s="460"/>
      <c r="Q370" s="460"/>
      <c r="R370" s="460"/>
      <c r="S370" s="460"/>
      <c r="T370" s="460"/>
      <c r="U370" s="530">
        <v>0</v>
      </c>
      <c r="V370" s="530">
        <v>0</v>
      </c>
      <c r="W370" s="530">
        <v>0</v>
      </c>
      <c r="X370" s="490"/>
      <c r="Y370" s="969"/>
      <c r="Z370" s="969"/>
      <c r="AA370" s="969"/>
      <c r="AB370" s="969"/>
      <c r="AC370" s="969"/>
      <c r="AD370" s="969"/>
      <c r="AE370" s="969" t="str">
        <f t="shared" si="16"/>
        <v>TheewaterskloofProperty rates</v>
      </c>
      <c r="AF370" s="969"/>
      <c r="AG370" s="969"/>
    </row>
    <row r="371" spans="2:33" ht="13.2" customHeight="1" x14ac:dyDescent="0.55000000000000004">
      <c r="B371" s="371"/>
      <c r="C371" s="1010" t="s">
        <v>711</v>
      </c>
      <c r="D371" s="360" t="str">
        <f t="shared" si="17"/>
        <v>Public safety1900</v>
      </c>
      <c r="E371" s="360" t="str">
        <f t="shared" si="15"/>
        <v>TheewaterskloofPublic safetyOther revenue</v>
      </c>
      <c r="F371" s="360" t="str">
        <f>'PART C- Municipal Details'!$G$7</f>
        <v>Theewaterskloof</v>
      </c>
      <c r="G371" s="360" t="s">
        <v>803</v>
      </c>
      <c r="H371" s="366" t="s">
        <v>806</v>
      </c>
      <c r="I371" s="496" t="s">
        <v>7</v>
      </c>
      <c r="J371" s="497" t="s">
        <v>710</v>
      </c>
      <c r="K371" s="490"/>
      <c r="L371" s="463" t="s">
        <v>713</v>
      </c>
      <c r="M371" s="459"/>
      <c r="N371" s="461"/>
      <c r="O371" s="461"/>
      <c r="P371" s="461"/>
      <c r="Q371" s="461"/>
      <c r="R371" s="461"/>
      <c r="S371" s="461"/>
      <c r="T371" s="461"/>
      <c r="U371" s="530">
        <v>0</v>
      </c>
      <c r="V371" s="530">
        <v>0</v>
      </c>
      <c r="W371" s="530">
        <v>0</v>
      </c>
      <c r="X371" s="490"/>
      <c r="Y371" s="969"/>
      <c r="Z371" s="969"/>
      <c r="AA371" s="969"/>
      <c r="AB371" s="969"/>
      <c r="AC371" s="969"/>
      <c r="AD371" s="969"/>
      <c r="AE371" s="969" t="str">
        <f t="shared" si="16"/>
        <v>TheewaterskloofSurcharges and Taxes</v>
      </c>
      <c r="AF371" s="969"/>
      <c r="AG371" s="969"/>
    </row>
    <row r="372" spans="2:33" ht="13.2" customHeight="1" x14ac:dyDescent="0.55000000000000004">
      <c r="B372" s="371"/>
      <c r="C372" s="1010" t="s">
        <v>714</v>
      </c>
      <c r="D372" s="361" t="str">
        <f t="shared" si="17"/>
        <v>Public safety2000</v>
      </c>
      <c r="E372" s="361" t="str">
        <f t="shared" si="15"/>
        <v>TheewaterskloofPublic safetyFines, penalties and forfeits</v>
      </c>
      <c r="F372" s="360" t="str">
        <f>'PART C- Municipal Details'!$G$7</f>
        <v>Theewaterskloof</v>
      </c>
      <c r="G372" s="361" t="s">
        <v>803</v>
      </c>
      <c r="H372" s="363" t="s">
        <v>806</v>
      </c>
      <c r="I372" s="496" t="s">
        <v>691</v>
      </c>
      <c r="J372" s="497" t="s">
        <v>712</v>
      </c>
      <c r="K372" s="490"/>
      <c r="L372" s="463" t="s">
        <v>691</v>
      </c>
      <c r="M372" s="459"/>
      <c r="N372" s="461"/>
      <c r="O372" s="461"/>
      <c r="P372" s="461"/>
      <c r="Q372" s="461"/>
      <c r="R372" s="461"/>
      <c r="S372" s="461"/>
      <c r="T372" s="461"/>
      <c r="U372" s="530">
        <v>40809000</v>
      </c>
      <c r="V372" s="530">
        <v>42196506</v>
      </c>
      <c r="W372" s="530">
        <v>43546794</v>
      </c>
      <c r="X372" s="490"/>
      <c r="Y372" s="969"/>
      <c r="Z372" s="969"/>
      <c r="AA372" s="969"/>
      <c r="AB372" s="969"/>
      <c r="AC372" s="969"/>
      <c r="AD372" s="969"/>
      <c r="AE372" s="969" t="str">
        <f t="shared" si="16"/>
        <v>TheewaterskloofFines, penalties and forfeits</v>
      </c>
      <c r="AF372" s="969"/>
      <c r="AG372" s="969"/>
    </row>
    <row r="373" spans="2:33" ht="13.2" customHeight="1" x14ac:dyDescent="0.55000000000000004">
      <c r="B373" s="371"/>
      <c r="C373" s="1010" t="s">
        <v>715</v>
      </c>
      <c r="D373" s="360" t="str">
        <f t="shared" si="17"/>
        <v>Public safety2100</v>
      </c>
      <c r="E373" s="360" t="str">
        <f t="shared" si="15"/>
        <v>TheewaterskloofPublic safetyLicences and permits</v>
      </c>
      <c r="F373" s="360" t="str">
        <f>'PART C- Municipal Details'!$G$7</f>
        <v>Theewaterskloof</v>
      </c>
      <c r="G373" s="360" t="s">
        <v>803</v>
      </c>
      <c r="H373" s="366" t="s">
        <v>806</v>
      </c>
      <c r="I373" s="496" t="s">
        <v>5</v>
      </c>
      <c r="J373" s="497" t="s">
        <v>8</v>
      </c>
      <c r="K373" s="490"/>
      <c r="L373" s="463" t="s">
        <v>716</v>
      </c>
      <c r="M373" s="459"/>
      <c r="N373" s="461"/>
      <c r="O373" s="461"/>
      <c r="P373" s="461"/>
      <c r="Q373" s="461"/>
      <c r="R373" s="461"/>
      <c r="S373" s="461"/>
      <c r="T373" s="461"/>
      <c r="U373" s="530">
        <v>0</v>
      </c>
      <c r="V373" s="530">
        <v>0</v>
      </c>
      <c r="W373" s="530">
        <v>0</v>
      </c>
      <c r="X373" s="490"/>
      <c r="Y373" s="969"/>
      <c r="Z373" s="969"/>
      <c r="AA373" s="969"/>
      <c r="AB373" s="969"/>
      <c r="AC373" s="969"/>
      <c r="AD373" s="969"/>
      <c r="AE373" s="969" t="str">
        <f t="shared" si="16"/>
        <v>TheewaterskloofLicences or permits</v>
      </c>
      <c r="AF373" s="969"/>
      <c r="AG373" s="969"/>
    </row>
    <row r="374" spans="2:33" ht="13.2" customHeight="1" x14ac:dyDescent="0.55000000000000004">
      <c r="B374" s="371"/>
      <c r="C374" s="1010" t="s">
        <v>717</v>
      </c>
      <c r="D374" s="361" t="str">
        <f t="shared" si="17"/>
        <v>Public safety2200</v>
      </c>
      <c r="E374" s="361" t="str">
        <f t="shared" si="15"/>
        <v>TheewaterskloofPublic safetyTransfers and subsidies Income</v>
      </c>
      <c r="F374" s="360" t="str">
        <f>'PART C- Municipal Details'!$G$7</f>
        <v>Theewaterskloof</v>
      </c>
      <c r="G374" s="361" t="s">
        <v>803</v>
      </c>
      <c r="H374" s="363" t="s">
        <v>806</v>
      </c>
      <c r="I374" s="496" t="s">
        <v>698</v>
      </c>
      <c r="J374" s="497" t="s">
        <v>9</v>
      </c>
      <c r="K374" s="490"/>
      <c r="L374" s="463" t="s">
        <v>718</v>
      </c>
      <c r="M374" s="459"/>
      <c r="N374" s="461"/>
      <c r="O374" s="461"/>
      <c r="P374" s="461"/>
      <c r="Q374" s="461"/>
      <c r="R374" s="461"/>
      <c r="S374" s="461"/>
      <c r="T374" s="461"/>
      <c r="U374" s="530">
        <v>0</v>
      </c>
      <c r="V374" s="530">
        <v>0</v>
      </c>
      <c r="W374" s="530">
        <v>0</v>
      </c>
      <c r="X374" s="490"/>
      <c r="Y374" s="969"/>
      <c r="Z374" s="969"/>
      <c r="AA374" s="969"/>
      <c r="AB374" s="969"/>
      <c r="AC374" s="969"/>
      <c r="AD374" s="969"/>
      <c r="AE374" s="969" t="str">
        <f t="shared" si="16"/>
        <v>TheewaterskloofTransfer and subsidies - Operational</v>
      </c>
      <c r="AF374" s="969"/>
      <c r="AG374" s="969"/>
    </row>
    <row r="375" spans="2:33" ht="13.2" customHeight="1" x14ac:dyDescent="0.55000000000000004">
      <c r="B375" s="371"/>
      <c r="C375" s="1010" t="s">
        <v>719</v>
      </c>
      <c r="D375" s="360" t="str">
        <f t="shared" si="17"/>
        <v>Public safety2300</v>
      </c>
      <c r="E375" s="360" t="str">
        <f t="shared" si="15"/>
        <v>TheewaterskloofPublic safetyInterest earned - external investments</v>
      </c>
      <c r="F375" s="360" t="str">
        <f>'PART C- Municipal Details'!$G$7</f>
        <v>Theewaterskloof</v>
      </c>
      <c r="G375" s="360" t="s">
        <v>803</v>
      </c>
      <c r="H375" s="366" t="s">
        <v>806</v>
      </c>
      <c r="I375" s="496" t="s">
        <v>2</v>
      </c>
      <c r="J375" s="497" t="s">
        <v>10</v>
      </c>
      <c r="K375" s="490"/>
      <c r="L375" s="463" t="s">
        <v>687</v>
      </c>
      <c r="M375" s="459"/>
      <c r="N375" s="461"/>
      <c r="O375" s="461"/>
      <c r="P375" s="461"/>
      <c r="Q375" s="461"/>
      <c r="R375" s="461"/>
      <c r="S375" s="461"/>
      <c r="T375" s="461"/>
      <c r="U375" s="530">
        <v>0</v>
      </c>
      <c r="V375" s="530">
        <v>0</v>
      </c>
      <c r="W375" s="530">
        <v>0</v>
      </c>
      <c r="X375" s="490"/>
      <c r="Y375" s="969"/>
      <c r="Z375" s="969"/>
      <c r="AA375" s="969"/>
      <c r="AB375" s="969"/>
      <c r="AC375" s="969"/>
      <c r="AD375" s="969"/>
      <c r="AE375" s="969" t="str">
        <f t="shared" si="16"/>
        <v>TheewaterskloofInterest</v>
      </c>
      <c r="AF375" s="969"/>
      <c r="AG375" s="969"/>
    </row>
    <row r="376" spans="2:33" ht="13.2" customHeight="1" x14ac:dyDescent="0.55000000000000004">
      <c r="B376" s="371"/>
      <c r="C376" s="1010" t="s">
        <v>721</v>
      </c>
      <c r="D376" s="361" t="str">
        <f t="shared" si="17"/>
        <v>Public safety2400</v>
      </c>
      <c r="E376" s="361" t="str">
        <f t="shared" si="15"/>
        <v>TheewaterskloofPublic safetyOther revenue</v>
      </c>
      <c r="F376" s="360" t="str">
        <f>'PART C- Municipal Details'!$G$7</f>
        <v>Theewaterskloof</v>
      </c>
      <c r="G376" s="361" t="s">
        <v>803</v>
      </c>
      <c r="H376" s="363" t="s">
        <v>806</v>
      </c>
      <c r="I376" s="496" t="s">
        <v>7</v>
      </c>
      <c r="J376" s="497" t="s">
        <v>720</v>
      </c>
      <c r="K376" s="490"/>
      <c r="L376" s="463" t="s">
        <v>722</v>
      </c>
      <c r="M376" s="459"/>
      <c r="N376" s="461"/>
      <c r="O376" s="461"/>
      <c r="P376" s="461"/>
      <c r="Q376" s="461"/>
      <c r="R376" s="461"/>
      <c r="S376" s="461"/>
      <c r="T376" s="461"/>
      <c r="U376" s="530">
        <v>0</v>
      </c>
      <c r="V376" s="530">
        <v>0</v>
      </c>
      <c r="W376" s="530">
        <v>0</v>
      </c>
      <c r="X376" s="490"/>
      <c r="Y376" s="969"/>
      <c r="Z376" s="969"/>
      <c r="AA376" s="969"/>
      <c r="AB376" s="969"/>
      <c r="AC376" s="969"/>
      <c r="AD376" s="969"/>
      <c r="AE376" s="969" t="str">
        <f t="shared" si="16"/>
        <v>TheewaterskloofFuel Levy</v>
      </c>
      <c r="AF376" s="969"/>
      <c r="AG376" s="969"/>
    </row>
    <row r="377" spans="2:33" ht="13.2" customHeight="1" x14ac:dyDescent="0.55000000000000004">
      <c r="B377" s="371"/>
      <c r="C377" s="1010" t="s">
        <v>723</v>
      </c>
      <c r="D377" s="360" t="str">
        <f t="shared" si="17"/>
        <v>Public safety2500</v>
      </c>
      <c r="E377" s="360" t="str">
        <f t="shared" si="15"/>
        <v>TheewaterskloofPublic safetyOther revenue</v>
      </c>
      <c r="F377" s="360" t="str">
        <f>'PART C- Municipal Details'!$G$7</f>
        <v>Theewaterskloof</v>
      </c>
      <c r="G377" s="360" t="s">
        <v>803</v>
      </c>
      <c r="H377" s="366" t="s">
        <v>806</v>
      </c>
      <c r="I377" s="496" t="s">
        <v>7</v>
      </c>
      <c r="J377" s="497" t="s">
        <v>11</v>
      </c>
      <c r="K377" s="490"/>
      <c r="L377" s="463" t="s">
        <v>704</v>
      </c>
      <c r="M377" s="459"/>
      <c r="N377" s="461"/>
      <c r="O377" s="461"/>
      <c r="P377" s="461"/>
      <c r="Q377" s="461"/>
      <c r="R377" s="461"/>
      <c r="S377" s="461"/>
      <c r="T377" s="461"/>
      <c r="U377" s="530">
        <v>0</v>
      </c>
      <c r="V377" s="530">
        <v>0</v>
      </c>
      <c r="W377" s="530">
        <v>0</v>
      </c>
      <c r="X377" s="490"/>
      <c r="Y377" s="969"/>
      <c r="Z377" s="969"/>
      <c r="AA377" s="969"/>
      <c r="AB377" s="969"/>
      <c r="AC377" s="969"/>
      <c r="AD377" s="969"/>
      <c r="AE377" s="969" t="str">
        <f t="shared" si="16"/>
        <v>TheewaterskloofOperational Revenue</v>
      </c>
      <c r="AF377" s="969"/>
      <c r="AG377" s="969"/>
    </row>
    <row r="378" spans="2:33" ht="13.2" customHeight="1" x14ac:dyDescent="0.55000000000000004">
      <c r="B378" s="371"/>
      <c r="C378" s="1010" t="s">
        <v>725</v>
      </c>
      <c r="D378" s="361" t="str">
        <f t="shared" si="17"/>
        <v>Public safety2600</v>
      </c>
      <c r="E378" s="361" t="str">
        <f t="shared" si="15"/>
        <v>TheewaterskloofPublic safetyGains</v>
      </c>
      <c r="F378" s="360" t="str">
        <f>'PART C- Municipal Details'!$G$7</f>
        <v>Theewaterskloof</v>
      </c>
      <c r="G378" s="361" t="s">
        <v>803</v>
      </c>
      <c r="H378" s="363" t="s">
        <v>806</v>
      </c>
      <c r="I378" s="496" t="s">
        <v>703</v>
      </c>
      <c r="J378" s="497" t="s">
        <v>724</v>
      </c>
      <c r="K378" s="490"/>
      <c r="L378" s="463" t="s">
        <v>727</v>
      </c>
      <c r="M378" s="459"/>
      <c r="N378" s="461"/>
      <c r="O378" s="461"/>
      <c r="P378" s="461"/>
      <c r="Q378" s="461"/>
      <c r="R378" s="461"/>
      <c r="S378" s="461"/>
      <c r="T378" s="461"/>
      <c r="U378" s="530">
        <v>0</v>
      </c>
      <c r="V378" s="530">
        <v>0</v>
      </c>
      <c r="W378" s="530">
        <v>0</v>
      </c>
      <c r="X378" s="490"/>
      <c r="Y378" s="969"/>
      <c r="Z378" s="969"/>
      <c r="AA378" s="969"/>
      <c r="AB378" s="969"/>
      <c r="AC378" s="969"/>
      <c r="AD378" s="969"/>
      <c r="AE378" s="969" t="str">
        <f t="shared" si="16"/>
        <v>TheewaterskloofGains on disposal of Assets</v>
      </c>
      <c r="AF378" s="969"/>
      <c r="AG378" s="969"/>
    </row>
    <row r="379" spans="2:33" ht="13.2" customHeight="1" x14ac:dyDescent="0.55000000000000004">
      <c r="B379" s="371"/>
      <c r="C379" s="1010" t="s">
        <v>728</v>
      </c>
      <c r="D379" s="360" t="str">
        <f t="shared" si="17"/>
        <v>Public safety2700</v>
      </c>
      <c r="E379" s="360" t="str">
        <f t="shared" si="15"/>
        <v>TheewaterskloofPublic safetyOther revenue</v>
      </c>
      <c r="F379" s="360" t="str">
        <f>'PART C- Municipal Details'!$G$7</f>
        <v>Theewaterskloof</v>
      </c>
      <c r="G379" s="360" t="s">
        <v>803</v>
      </c>
      <c r="H379" s="366" t="s">
        <v>806</v>
      </c>
      <c r="I379" s="496" t="s">
        <v>7</v>
      </c>
      <c r="J379" s="497" t="s">
        <v>726</v>
      </c>
      <c r="K379" s="490"/>
      <c r="L379" s="463" t="s">
        <v>729</v>
      </c>
      <c r="M379" s="459"/>
      <c r="N379" s="461"/>
      <c r="O379" s="461"/>
      <c r="P379" s="461"/>
      <c r="Q379" s="461"/>
      <c r="R379" s="461"/>
      <c r="S379" s="461"/>
      <c r="T379" s="461"/>
      <c r="U379" s="530">
        <v>0</v>
      </c>
      <c r="V379" s="530">
        <v>0</v>
      </c>
      <c r="W379" s="530">
        <v>0</v>
      </c>
      <c r="X379" s="490"/>
      <c r="Y379" s="969"/>
      <c r="Z379" s="969"/>
      <c r="AA379" s="969"/>
      <c r="AB379" s="969"/>
      <c r="AC379" s="969"/>
      <c r="AD379" s="969"/>
      <c r="AE379" s="969" t="str">
        <f t="shared" si="16"/>
        <v>TheewaterskloofOther Gains</v>
      </c>
      <c r="AF379" s="969"/>
      <c r="AG379" s="969"/>
    </row>
    <row r="380" spans="2:33" ht="13.2" customHeight="1" x14ac:dyDescent="0.55000000000000004">
      <c r="B380" s="371"/>
      <c r="C380" s="1010" t="s">
        <v>730</v>
      </c>
      <c r="D380" s="361" t="str">
        <f t="shared" si="17"/>
        <v>Public safety2800</v>
      </c>
      <c r="E380" s="361" t="str">
        <f t="shared" si="15"/>
        <v>TheewaterskloofPublic safetyOther revenue</v>
      </c>
      <c r="F380" s="360" t="str">
        <f>'PART C- Municipal Details'!$G$7</f>
        <v>Theewaterskloof</v>
      </c>
      <c r="G380" s="361" t="s">
        <v>803</v>
      </c>
      <c r="H380" s="363" t="s">
        <v>806</v>
      </c>
      <c r="I380" s="496" t="s">
        <v>7</v>
      </c>
      <c r="J380" s="497" t="s">
        <v>12</v>
      </c>
      <c r="K380" s="490"/>
      <c r="L380" s="464" t="s">
        <v>731</v>
      </c>
      <c r="M380" s="459"/>
      <c r="N380" s="461"/>
      <c r="O380" s="461"/>
      <c r="P380" s="461"/>
      <c r="Q380" s="461"/>
      <c r="R380" s="461"/>
      <c r="S380" s="461"/>
      <c r="T380" s="461"/>
      <c r="U380" s="530">
        <v>0</v>
      </c>
      <c r="V380" s="530">
        <v>0</v>
      </c>
      <c r="W380" s="530">
        <v>0</v>
      </c>
      <c r="X380" s="490"/>
      <c r="Y380" s="969"/>
      <c r="Z380" s="969"/>
      <c r="AA380" s="969"/>
      <c r="AB380" s="969"/>
      <c r="AC380" s="969"/>
      <c r="AD380" s="969"/>
      <c r="AE380" s="969" t="str">
        <f t="shared" si="16"/>
        <v>TheewaterskloofDiscontinued Operations</v>
      </c>
      <c r="AF380" s="969"/>
      <c r="AG380" s="969"/>
    </row>
    <row r="381" spans="2:33" ht="13.2" customHeight="1" x14ac:dyDescent="0.55000000000000004">
      <c r="B381" s="371"/>
      <c r="C381" s="1009" t="s">
        <v>732</v>
      </c>
      <c r="D381" s="360" t="str">
        <f t="shared" si="17"/>
        <v>Public safety2900</v>
      </c>
      <c r="E381" s="360" t="str">
        <f t="shared" si="15"/>
        <v>TheewaterskloofPublic safetyTotal Revenue (excluding capital transfers and contributions)</v>
      </c>
      <c r="F381" s="360" t="str">
        <f>'PART C- Municipal Details'!$G$7</f>
        <v>Theewaterskloof</v>
      </c>
      <c r="G381" s="360" t="s">
        <v>803</v>
      </c>
      <c r="H381" s="366" t="s">
        <v>806</v>
      </c>
      <c r="I381" s="496" t="s">
        <v>707</v>
      </c>
      <c r="J381" s="497" t="s">
        <v>204</v>
      </c>
      <c r="K381" s="490"/>
      <c r="L381" s="508" t="s">
        <v>707</v>
      </c>
      <c r="M381" s="509"/>
      <c r="N381" s="510"/>
      <c r="O381" s="510"/>
      <c r="P381" s="510"/>
      <c r="Q381" s="510"/>
      <c r="R381" s="510"/>
      <c r="S381" s="510"/>
      <c r="T381" s="511"/>
      <c r="U381" s="531">
        <v>41140000</v>
      </c>
      <c r="V381" s="531">
        <v>42538760</v>
      </c>
      <c r="W381" s="531">
        <v>43900000</v>
      </c>
      <c r="X381" s="490"/>
      <c r="Y381" s="969"/>
      <c r="Z381" s="969"/>
      <c r="AA381" s="969"/>
      <c r="AB381" s="969"/>
      <c r="AC381" s="969"/>
      <c r="AD381" s="969"/>
      <c r="AE381" s="969" t="str">
        <f t="shared" si="16"/>
        <v>TheewaterskloofTotal Revenue (excluding capital transfers and contributions)</v>
      </c>
      <c r="AF381" s="969"/>
      <c r="AG381" s="969"/>
    </row>
    <row r="382" spans="2:33" ht="13.2" customHeight="1" x14ac:dyDescent="0.55000000000000004">
      <c r="B382" s="371"/>
      <c r="C382" s="1009" t="s">
        <v>733</v>
      </c>
      <c r="D382" s="361" t="str">
        <f t="shared" si="17"/>
        <v>Public safety3000</v>
      </c>
      <c r="E382" s="361" t="str">
        <f t="shared" si="15"/>
        <v>TheewaterskloofPublic safetyx</v>
      </c>
      <c r="F382" s="360" t="str">
        <f>'PART C- Municipal Details'!$G$7</f>
        <v>Theewaterskloof</v>
      </c>
      <c r="G382" s="361" t="s">
        <v>803</v>
      </c>
      <c r="H382" s="363" t="s">
        <v>806</v>
      </c>
      <c r="I382" s="496" t="s">
        <v>789</v>
      </c>
      <c r="J382" s="497" t="s">
        <v>13</v>
      </c>
      <c r="K382" s="490"/>
      <c r="L382" s="505" t="s">
        <v>22</v>
      </c>
      <c r="M382" s="506"/>
      <c r="N382" s="507"/>
      <c r="O382" s="507"/>
      <c r="P382" s="507"/>
      <c r="Q382" s="507"/>
      <c r="R382" s="507"/>
      <c r="S382" s="507"/>
      <c r="T382" s="507"/>
      <c r="U382" s="531">
        <v>0</v>
      </c>
      <c r="V382" s="531">
        <v>0</v>
      </c>
      <c r="W382" s="531">
        <v>0</v>
      </c>
      <c r="X382" s="490"/>
      <c r="Y382" s="969"/>
      <c r="Z382" s="969"/>
      <c r="AA382" s="969"/>
      <c r="AB382" s="969"/>
      <c r="AC382" s="969"/>
      <c r="AD382" s="969"/>
      <c r="AE382" s="969" t="str">
        <f t="shared" si="16"/>
        <v>TheewaterskloofExpenditure</v>
      </c>
      <c r="AF382" s="969"/>
      <c r="AG382" s="969"/>
    </row>
    <row r="383" spans="2:33" ht="13.2" customHeight="1" x14ac:dyDescent="0.55000000000000004">
      <c r="B383" s="371"/>
      <c r="C383" s="1010" t="s">
        <v>735</v>
      </c>
      <c r="D383" s="360" t="str">
        <f t="shared" si="17"/>
        <v>Public safety3100</v>
      </c>
      <c r="E383" s="360" t="str">
        <f t="shared" si="15"/>
        <v>TheewaterskloofPublic safetyEmployee related costs</v>
      </c>
      <c r="F383" s="360" t="str">
        <f>'PART C- Municipal Details'!$G$7</f>
        <v>Theewaterskloof</v>
      </c>
      <c r="G383" s="360" t="s">
        <v>803</v>
      </c>
      <c r="H383" s="366" t="s">
        <v>806</v>
      </c>
      <c r="I383" s="496" t="s">
        <v>8</v>
      </c>
      <c r="J383" s="497" t="s">
        <v>734</v>
      </c>
      <c r="K383" s="490"/>
      <c r="L383" s="463" t="s">
        <v>8</v>
      </c>
      <c r="M383" s="459"/>
      <c r="N383" s="461"/>
      <c r="O383" s="461"/>
      <c r="P383" s="461"/>
      <c r="Q383" s="461"/>
      <c r="R383" s="461"/>
      <c r="S383" s="461"/>
      <c r="T383" s="461"/>
      <c r="U383" s="530">
        <v>25280265</v>
      </c>
      <c r="V383" s="530">
        <v>26139799</v>
      </c>
      <c r="W383" s="530">
        <v>26976273</v>
      </c>
      <c r="X383" s="490"/>
      <c r="Y383" s="969"/>
      <c r="Z383" s="969"/>
      <c r="AA383" s="969"/>
      <c r="AB383" s="969"/>
      <c r="AC383" s="969"/>
      <c r="AD383" s="969"/>
      <c r="AE383" s="969" t="str">
        <f t="shared" si="16"/>
        <v>TheewaterskloofEmployee related costs</v>
      </c>
      <c r="AF383" s="969"/>
      <c r="AG383" s="969"/>
    </row>
    <row r="384" spans="2:33" ht="13.2" customHeight="1" x14ac:dyDescent="0.55000000000000004">
      <c r="B384" s="371"/>
      <c r="C384" s="1010" t="s">
        <v>737</v>
      </c>
      <c r="D384" s="361" t="str">
        <f t="shared" si="17"/>
        <v>Public safety3200</v>
      </c>
      <c r="E384" s="361" t="str">
        <f t="shared" si="15"/>
        <v>TheewaterskloofPublic safetyRemuneration of councillors</v>
      </c>
      <c r="F384" s="360" t="str">
        <f>'PART C- Municipal Details'!$G$7</f>
        <v>Theewaterskloof</v>
      </c>
      <c r="G384" s="361" t="s">
        <v>803</v>
      </c>
      <c r="H384" s="363" t="s">
        <v>806</v>
      </c>
      <c r="I384" s="496" t="s">
        <v>9</v>
      </c>
      <c r="J384" s="497" t="s">
        <v>736</v>
      </c>
      <c r="K384" s="490"/>
      <c r="L384" s="463" t="s">
        <v>9</v>
      </c>
      <c r="M384" s="459"/>
      <c r="N384" s="461"/>
      <c r="O384" s="461"/>
      <c r="P384" s="461"/>
      <c r="Q384" s="461"/>
      <c r="R384" s="461"/>
      <c r="S384" s="461"/>
      <c r="T384" s="461"/>
      <c r="U384" s="530">
        <v>0</v>
      </c>
      <c r="V384" s="530">
        <v>0</v>
      </c>
      <c r="W384" s="530">
        <v>0</v>
      </c>
      <c r="X384" s="490"/>
      <c r="Y384" s="969"/>
      <c r="Z384" s="969"/>
      <c r="AA384" s="969"/>
      <c r="AB384" s="969"/>
      <c r="AC384" s="969"/>
      <c r="AD384" s="969"/>
      <c r="AE384" s="969" t="str">
        <f t="shared" si="16"/>
        <v>TheewaterskloofRemuneration of councillors</v>
      </c>
      <c r="AF384" s="969"/>
      <c r="AG384" s="969"/>
    </row>
    <row r="385" spans="2:33" ht="13.2" customHeight="1" x14ac:dyDescent="0.55000000000000004">
      <c r="B385" s="371"/>
      <c r="C385" s="1010" t="s">
        <v>738</v>
      </c>
      <c r="D385" s="360" t="str">
        <f t="shared" si="17"/>
        <v>Public safety3300</v>
      </c>
      <c r="E385" s="360" t="str">
        <f t="shared" si="15"/>
        <v>TheewaterskloofPublic safetyBulk purchases - electricity</v>
      </c>
      <c r="F385" s="360" t="str">
        <f>'PART C- Municipal Details'!$G$7</f>
        <v>Theewaterskloof</v>
      </c>
      <c r="G385" s="360" t="s">
        <v>803</v>
      </c>
      <c r="H385" s="366" t="s">
        <v>806</v>
      </c>
      <c r="I385" s="496" t="s">
        <v>724</v>
      </c>
      <c r="J385" s="497" t="s">
        <v>710</v>
      </c>
      <c r="K385" s="490"/>
      <c r="L385" s="463" t="s">
        <v>724</v>
      </c>
      <c r="M385" s="459"/>
      <c r="N385" s="461"/>
      <c r="O385" s="461"/>
      <c r="P385" s="461"/>
      <c r="Q385" s="461"/>
      <c r="R385" s="461"/>
      <c r="S385" s="461"/>
      <c r="T385" s="461"/>
      <c r="U385" s="530">
        <v>0</v>
      </c>
      <c r="V385" s="530">
        <v>0</v>
      </c>
      <c r="W385" s="530">
        <v>0</v>
      </c>
      <c r="X385" s="490"/>
      <c r="Y385" s="969"/>
      <c r="Z385" s="969"/>
      <c r="AA385" s="969"/>
      <c r="AB385" s="969"/>
      <c r="AC385" s="969"/>
      <c r="AD385" s="969"/>
      <c r="AE385" s="969" t="str">
        <f t="shared" si="16"/>
        <v>TheewaterskloofBulk purchases - electricity</v>
      </c>
      <c r="AF385" s="969"/>
      <c r="AG385" s="969"/>
    </row>
    <row r="386" spans="2:33" ht="13.2" customHeight="1" x14ac:dyDescent="0.55000000000000004">
      <c r="B386" s="371"/>
      <c r="C386" s="1010" t="s">
        <v>739</v>
      </c>
      <c r="D386" s="361" t="str">
        <f t="shared" si="17"/>
        <v>Public safety3400</v>
      </c>
      <c r="E386" s="361" t="str">
        <f t="shared" si="15"/>
        <v>TheewaterskloofPublic safetyInventory consumed</v>
      </c>
      <c r="F386" s="360" t="str">
        <f>'PART C- Municipal Details'!$G$7</f>
        <v>Theewaterskloof</v>
      </c>
      <c r="G386" s="361" t="s">
        <v>803</v>
      </c>
      <c r="H386" s="363" t="s">
        <v>806</v>
      </c>
      <c r="I386" s="496" t="s">
        <v>726</v>
      </c>
      <c r="J386" s="497" t="s">
        <v>635</v>
      </c>
      <c r="K386" s="490"/>
      <c r="L386" s="463" t="s">
        <v>726</v>
      </c>
      <c r="M386" s="459"/>
      <c r="N386" s="461"/>
      <c r="O386" s="461"/>
      <c r="P386" s="461"/>
      <c r="Q386" s="461"/>
      <c r="R386" s="461"/>
      <c r="S386" s="461"/>
      <c r="T386" s="461"/>
      <c r="U386" s="530">
        <v>513425</v>
      </c>
      <c r="V386" s="530">
        <v>530882</v>
      </c>
      <c r="W386" s="530">
        <v>547870</v>
      </c>
      <c r="X386" s="490"/>
      <c r="Y386" s="969"/>
      <c r="Z386" s="969"/>
      <c r="AA386" s="969"/>
      <c r="AB386" s="969"/>
      <c r="AC386" s="969"/>
      <c r="AD386" s="969"/>
      <c r="AE386" s="969" t="str">
        <f t="shared" si="16"/>
        <v>TheewaterskloofInventory consumed</v>
      </c>
      <c r="AF386" s="969"/>
      <c r="AG386" s="969"/>
    </row>
    <row r="387" spans="2:33" ht="13.2" customHeight="1" x14ac:dyDescent="0.55000000000000004">
      <c r="B387" s="371"/>
      <c r="C387" s="1010" t="s">
        <v>741</v>
      </c>
      <c r="D387" s="360" t="str">
        <f t="shared" si="17"/>
        <v>Public safety3500</v>
      </c>
      <c r="E387" s="360" t="str">
        <f t="shared" si="15"/>
        <v>TheewaterskloofPublic safetyDebt impairment</v>
      </c>
      <c r="F387" s="360" t="str">
        <f>'PART C- Municipal Details'!$G$7</f>
        <v>Theewaterskloof</v>
      </c>
      <c r="G387" s="360" t="s">
        <v>803</v>
      </c>
      <c r="H387" s="366" t="s">
        <v>806</v>
      </c>
      <c r="I387" s="496" t="s">
        <v>10</v>
      </c>
      <c r="J387" s="497" t="s">
        <v>740</v>
      </c>
      <c r="K387" s="490"/>
      <c r="L387" s="463" t="s">
        <v>10</v>
      </c>
      <c r="M387" s="459"/>
      <c r="N387" s="461"/>
      <c r="O387" s="461"/>
      <c r="P387" s="461"/>
      <c r="Q387" s="461"/>
      <c r="R387" s="461"/>
      <c r="S387" s="461"/>
      <c r="T387" s="461"/>
      <c r="U387" s="530">
        <v>35588000</v>
      </c>
      <c r="V387" s="530">
        <v>36797992</v>
      </c>
      <c r="W387" s="530">
        <v>37975528</v>
      </c>
      <c r="X387" s="490"/>
      <c r="Y387" s="969"/>
      <c r="Z387" s="969"/>
      <c r="AA387" s="969"/>
      <c r="AB387" s="969"/>
      <c r="AC387" s="969"/>
      <c r="AD387" s="969"/>
      <c r="AE387" s="969" t="str">
        <f t="shared" si="16"/>
        <v>TheewaterskloofDebt impairment</v>
      </c>
      <c r="AF387" s="969"/>
      <c r="AG387" s="969"/>
    </row>
    <row r="388" spans="2:33" ht="13.2" customHeight="1" x14ac:dyDescent="0.55000000000000004">
      <c r="B388" s="371"/>
      <c r="C388" s="1010" t="s">
        <v>743</v>
      </c>
      <c r="D388" s="361" t="str">
        <f t="shared" si="17"/>
        <v>Public safety3600</v>
      </c>
      <c r="E388" s="361" t="str">
        <f t="shared" si="15"/>
        <v>TheewaterskloofPublic safetyDepreciation and asset impairment</v>
      </c>
      <c r="F388" s="360" t="str">
        <f>'PART C- Municipal Details'!$G$7</f>
        <v>Theewaterskloof</v>
      </c>
      <c r="G388" s="361" t="s">
        <v>803</v>
      </c>
      <c r="H388" s="363" t="s">
        <v>806</v>
      </c>
      <c r="I388" s="496" t="s">
        <v>720</v>
      </c>
      <c r="J388" s="497" t="s">
        <v>742</v>
      </c>
      <c r="K388" s="490"/>
      <c r="L388" s="463" t="s">
        <v>745</v>
      </c>
      <c r="M388" s="459"/>
      <c r="N388" s="461"/>
      <c r="O388" s="461"/>
      <c r="P388" s="461"/>
      <c r="Q388" s="461"/>
      <c r="R388" s="461"/>
      <c r="S388" s="461"/>
      <c r="T388" s="461"/>
      <c r="U388" s="530">
        <v>0</v>
      </c>
      <c r="V388" s="530">
        <v>0</v>
      </c>
      <c r="W388" s="530">
        <v>0</v>
      </c>
      <c r="X388" s="490"/>
      <c r="Y388" s="969"/>
      <c r="Z388" s="969"/>
      <c r="AA388" s="969"/>
      <c r="AB388" s="969"/>
      <c r="AC388" s="969"/>
      <c r="AD388" s="969"/>
      <c r="AE388" s="969" t="str">
        <f t="shared" si="16"/>
        <v>TheewaterskloofDepreciation and amortisation</v>
      </c>
      <c r="AF388" s="969"/>
      <c r="AG388" s="969"/>
    </row>
    <row r="389" spans="2:33" ht="13.2" customHeight="1" x14ac:dyDescent="0.55000000000000004">
      <c r="B389" s="371"/>
      <c r="C389" s="1010" t="s">
        <v>746</v>
      </c>
      <c r="D389" s="360" t="str">
        <f t="shared" si="17"/>
        <v>Public safety3700</v>
      </c>
      <c r="E389" s="360" t="str">
        <f t="shared" si="15"/>
        <v>TheewaterskloofPublic safetyFinance charges</v>
      </c>
      <c r="F389" s="360" t="str">
        <f>'PART C- Municipal Details'!$G$7</f>
        <v>Theewaterskloof</v>
      </c>
      <c r="G389" s="360" t="s">
        <v>803</v>
      </c>
      <c r="H389" s="366" t="s">
        <v>806</v>
      </c>
      <c r="I389" s="496" t="s">
        <v>11</v>
      </c>
      <c r="J389" s="497" t="s">
        <v>744</v>
      </c>
      <c r="K389" s="490"/>
      <c r="L389" s="463" t="s">
        <v>687</v>
      </c>
      <c r="M389" s="459"/>
      <c r="N389" s="461"/>
      <c r="O389" s="461"/>
      <c r="P389" s="461"/>
      <c r="Q389" s="461"/>
      <c r="R389" s="461"/>
      <c r="S389" s="461"/>
      <c r="T389" s="461"/>
      <c r="U389" s="530">
        <v>1452</v>
      </c>
      <c r="V389" s="530">
        <v>1501</v>
      </c>
      <c r="W389" s="530">
        <v>1549</v>
      </c>
      <c r="X389" s="490"/>
      <c r="Y389" s="969"/>
      <c r="Z389" s="969"/>
      <c r="AA389" s="969"/>
      <c r="AB389" s="969"/>
      <c r="AC389" s="969"/>
      <c r="AD389" s="969"/>
      <c r="AE389" s="969" t="str">
        <f t="shared" si="16"/>
        <v>TheewaterskloofInterest</v>
      </c>
      <c r="AF389" s="969"/>
      <c r="AG389" s="969"/>
    </row>
    <row r="390" spans="2:33" ht="13.2" customHeight="1" x14ac:dyDescent="0.55000000000000004">
      <c r="B390" s="371"/>
      <c r="C390" s="1010" t="s">
        <v>748</v>
      </c>
      <c r="D390" s="361" t="str">
        <f t="shared" si="17"/>
        <v>Public safety3800</v>
      </c>
      <c r="E390" s="361" t="str">
        <f t="shared" si="15"/>
        <v>TheewaterskloofPublic safetyContracted services</v>
      </c>
      <c r="F390" s="360" t="str">
        <f>'PART C- Municipal Details'!$G$7</f>
        <v>Theewaterskloof</v>
      </c>
      <c r="G390" s="361" t="s">
        <v>803</v>
      </c>
      <c r="H390" s="363" t="s">
        <v>806</v>
      </c>
      <c r="I390" s="496" t="s">
        <v>12</v>
      </c>
      <c r="J390" s="497" t="s">
        <v>747</v>
      </c>
      <c r="K390" s="490"/>
      <c r="L390" s="463" t="s">
        <v>12</v>
      </c>
      <c r="M390" s="459"/>
      <c r="N390" s="461"/>
      <c r="O390" s="461"/>
      <c r="P390" s="461"/>
      <c r="Q390" s="461"/>
      <c r="R390" s="461"/>
      <c r="S390" s="461"/>
      <c r="T390" s="461"/>
      <c r="U390" s="530">
        <v>5957842</v>
      </c>
      <c r="V390" s="530">
        <v>6160416</v>
      </c>
      <c r="W390" s="530">
        <v>6357555</v>
      </c>
      <c r="X390" s="490"/>
      <c r="Y390" s="969"/>
      <c r="Z390" s="969"/>
      <c r="AA390" s="969"/>
      <c r="AB390" s="969"/>
      <c r="AC390" s="969"/>
      <c r="AD390" s="969"/>
      <c r="AE390" s="969" t="str">
        <f t="shared" si="16"/>
        <v>TheewaterskloofContracted services</v>
      </c>
      <c r="AF390" s="969"/>
      <c r="AG390" s="969"/>
    </row>
    <row r="391" spans="2:33" ht="13.2" customHeight="1" x14ac:dyDescent="0.55000000000000004">
      <c r="B391" s="371"/>
      <c r="C391" s="1010" t="s">
        <v>750</v>
      </c>
      <c r="D391" s="360" t="str">
        <f t="shared" si="17"/>
        <v>Public safety3900</v>
      </c>
      <c r="E391" s="360" t="str">
        <f t="shared" si="15"/>
        <v>TheewaterskloofPublic safetyTransfers and subsidies</v>
      </c>
      <c r="F391" s="360" t="str">
        <f>'PART C- Municipal Details'!$G$7</f>
        <v>Theewaterskloof</v>
      </c>
      <c r="G391" s="360" t="s">
        <v>803</v>
      </c>
      <c r="H391" s="366" t="s">
        <v>806</v>
      </c>
      <c r="I391" s="496" t="s">
        <v>204</v>
      </c>
      <c r="J391" s="497" t="s">
        <v>749</v>
      </c>
      <c r="K391" s="490"/>
      <c r="L391" s="463" t="s">
        <v>204</v>
      </c>
      <c r="M391" s="459"/>
      <c r="N391" s="461"/>
      <c r="O391" s="461"/>
      <c r="P391" s="461"/>
      <c r="Q391" s="461"/>
      <c r="R391" s="461"/>
      <c r="S391" s="461"/>
      <c r="T391" s="461"/>
      <c r="U391" s="530">
        <v>0</v>
      </c>
      <c r="V391" s="530">
        <v>0</v>
      </c>
      <c r="W391" s="530">
        <v>0</v>
      </c>
      <c r="X391" s="490"/>
      <c r="Y391" s="969"/>
      <c r="Z391" s="969"/>
      <c r="AA391" s="969"/>
      <c r="AB391" s="969"/>
      <c r="AC391" s="969"/>
      <c r="AD391" s="969"/>
      <c r="AE391" s="969" t="str">
        <f t="shared" si="16"/>
        <v>TheewaterskloofTransfers and subsidies</v>
      </c>
      <c r="AF391" s="969"/>
      <c r="AG391" s="969"/>
    </row>
    <row r="392" spans="2:33" ht="13.2" customHeight="1" x14ac:dyDescent="0.55000000000000004">
      <c r="B392" s="371"/>
      <c r="C392" s="1010" t="s">
        <v>752</v>
      </c>
      <c r="D392" s="361" t="str">
        <f t="shared" si="17"/>
        <v>Public safety4000</v>
      </c>
      <c r="E392" s="361" t="str">
        <f t="shared" si="15"/>
        <v>TheewaterskloofPublic safetyOther expenditure</v>
      </c>
      <c r="F392" s="360" t="str">
        <f>'PART C- Municipal Details'!$G$7</f>
        <v>Theewaterskloof</v>
      </c>
      <c r="G392" s="361" t="s">
        <v>803</v>
      </c>
      <c r="H392" s="363" t="s">
        <v>806</v>
      </c>
      <c r="I392" s="496" t="s">
        <v>13</v>
      </c>
      <c r="J392" s="497" t="s">
        <v>751</v>
      </c>
      <c r="K392" s="490"/>
      <c r="L392" s="463" t="s">
        <v>754</v>
      </c>
      <c r="M392" s="459"/>
      <c r="N392" s="461"/>
      <c r="O392" s="461"/>
      <c r="P392" s="461"/>
      <c r="Q392" s="461"/>
      <c r="R392" s="461"/>
      <c r="S392" s="461"/>
      <c r="T392" s="461"/>
      <c r="U392" s="530">
        <v>0</v>
      </c>
      <c r="V392" s="530">
        <v>0</v>
      </c>
      <c r="W392" s="530">
        <v>0</v>
      </c>
      <c r="X392" s="490"/>
      <c r="Y392" s="969"/>
      <c r="Z392" s="969"/>
      <c r="AA392" s="969"/>
      <c r="AB392" s="969"/>
      <c r="AC392" s="969"/>
      <c r="AD392" s="969"/>
      <c r="AE392" s="969" t="str">
        <f t="shared" si="16"/>
        <v>TheewaterskloofIrrecoverable debts written off</v>
      </c>
      <c r="AF392" s="969"/>
      <c r="AG392" s="969"/>
    </row>
    <row r="393" spans="2:33" ht="13.2" customHeight="1" x14ac:dyDescent="0.55000000000000004">
      <c r="B393" s="371"/>
      <c r="C393" s="1010" t="s">
        <v>755</v>
      </c>
      <c r="D393" s="360" t="str">
        <f t="shared" si="17"/>
        <v>Public safety4100</v>
      </c>
      <c r="E393" s="360" t="str">
        <f t="shared" si="15"/>
        <v>TheewaterskloofPublic safetyOther expenditure</v>
      </c>
      <c r="F393" s="360" t="str">
        <f>'PART C- Municipal Details'!$G$7</f>
        <v>Theewaterskloof</v>
      </c>
      <c r="G393" s="360" t="s">
        <v>803</v>
      </c>
      <c r="H393" s="366" t="s">
        <v>806</v>
      </c>
      <c r="I393" s="496" t="s">
        <v>13</v>
      </c>
      <c r="J393" s="497" t="s">
        <v>753</v>
      </c>
      <c r="K393" s="490"/>
      <c r="L393" s="463" t="s">
        <v>757</v>
      </c>
      <c r="M393" s="459"/>
      <c r="N393" s="461"/>
      <c r="O393" s="461"/>
      <c r="P393" s="461"/>
      <c r="Q393" s="461"/>
      <c r="R393" s="461"/>
      <c r="S393" s="461"/>
      <c r="T393" s="461"/>
      <c r="U393" s="530">
        <v>2001210</v>
      </c>
      <c r="V393" s="530">
        <v>2069251</v>
      </c>
      <c r="W393" s="530">
        <v>2135459</v>
      </c>
      <c r="X393" s="490"/>
      <c r="Y393" s="969"/>
      <c r="Z393" s="969"/>
      <c r="AA393" s="969"/>
      <c r="AB393" s="969"/>
      <c r="AC393" s="969"/>
      <c r="AD393" s="969"/>
      <c r="AE393" s="969" t="str">
        <f t="shared" si="16"/>
        <v>TheewaterskloofOperational costs</v>
      </c>
      <c r="AF393" s="969"/>
      <c r="AG393" s="969"/>
    </row>
    <row r="394" spans="2:33" ht="13.2" customHeight="1" x14ac:dyDescent="0.55000000000000004">
      <c r="B394" s="371"/>
      <c r="C394" s="1010" t="s">
        <v>758</v>
      </c>
      <c r="D394" s="361" t="str">
        <f t="shared" si="17"/>
        <v>Public safety4200</v>
      </c>
      <c r="E394" s="361" t="str">
        <f t="shared" si="15"/>
        <v>TheewaterskloofPublic safetyLosses</v>
      </c>
      <c r="F394" s="360" t="str">
        <f>'PART C- Municipal Details'!$G$7</f>
        <v>Theewaterskloof</v>
      </c>
      <c r="G394" s="361" t="s">
        <v>803</v>
      </c>
      <c r="H394" s="363" t="s">
        <v>806</v>
      </c>
      <c r="I394" s="496" t="s">
        <v>734</v>
      </c>
      <c r="J394" s="497" t="s">
        <v>756</v>
      </c>
      <c r="K394" s="490"/>
      <c r="L394" s="463" t="s">
        <v>760</v>
      </c>
      <c r="M394" s="459"/>
      <c r="N394" s="461"/>
      <c r="O394" s="461"/>
      <c r="P394" s="461"/>
      <c r="Q394" s="461"/>
      <c r="R394" s="461"/>
      <c r="S394" s="461"/>
      <c r="T394" s="461"/>
      <c r="U394" s="530">
        <v>0</v>
      </c>
      <c r="V394" s="530">
        <v>0</v>
      </c>
      <c r="W394" s="530">
        <v>0</v>
      </c>
      <c r="X394" s="490"/>
      <c r="Y394" s="969"/>
      <c r="Z394" s="969"/>
      <c r="AA394" s="969"/>
      <c r="AB394" s="969"/>
      <c r="AC394" s="969"/>
      <c r="AD394" s="969"/>
      <c r="AE394" s="969" t="str">
        <f t="shared" si="16"/>
        <v>TheewaterskloofLosses on disposal of Assets</v>
      </c>
      <c r="AF394" s="969"/>
      <c r="AG394" s="969"/>
    </row>
    <row r="395" spans="2:33" ht="13.2" customHeight="1" x14ac:dyDescent="0.55000000000000004">
      <c r="B395" s="371"/>
      <c r="C395" s="1010" t="s">
        <v>761</v>
      </c>
      <c r="D395" s="360" t="str">
        <f t="shared" si="17"/>
        <v>Public safety4300</v>
      </c>
      <c r="E395" s="360" t="str">
        <f t="shared" ref="E395:E459" si="18">F395&amp;H395&amp;I395</f>
        <v>TheewaterskloofPublic safetyOther expenditure</v>
      </c>
      <c r="F395" s="360" t="str">
        <f>'PART C- Municipal Details'!$G$7</f>
        <v>Theewaterskloof</v>
      </c>
      <c r="G395" s="360" t="s">
        <v>803</v>
      </c>
      <c r="H395" s="366" t="s">
        <v>806</v>
      </c>
      <c r="I395" s="496" t="s">
        <v>13</v>
      </c>
      <c r="J395" s="497" t="s">
        <v>759</v>
      </c>
      <c r="K395" s="490"/>
      <c r="L395" s="463" t="s">
        <v>763</v>
      </c>
      <c r="M395" s="459"/>
      <c r="N395" s="461"/>
      <c r="O395" s="461"/>
      <c r="P395" s="461"/>
      <c r="Q395" s="461"/>
      <c r="R395" s="461"/>
      <c r="S395" s="461"/>
      <c r="T395" s="461"/>
      <c r="U395" s="530">
        <v>0</v>
      </c>
      <c r="V395" s="530">
        <v>0</v>
      </c>
      <c r="W395" s="530">
        <v>0</v>
      </c>
      <c r="X395" s="490"/>
      <c r="Y395" s="969"/>
      <c r="Z395" s="969"/>
      <c r="AA395" s="969"/>
      <c r="AB395" s="969"/>
      <c r="AC395" s="969"/>
      <c r="AD395" s="969"/>
      <c r="AE395" s="969" t="str">
        <f t="shared" ref="AE395:AE459" si="19">F395&amp;L395</f>
        <v>TheewaterskloofOther Losses</v>
      </c>
      <c r="AF395" s="969"/>
      <c r="AG395" s="969"/>
    </row>
    <row r="396" spans="2:33" ht="13.2" customHeight="1" x14ac:dyDescent="0.55000000000000004">
      <c r="B396" s="371"/>
      <c r="C396" s="1009" t="s">
        <v>764</v>
      </c>
      <c r="D396" s="361" t="str">
        <f t="shared" si="17"/>
        <v>Public safety4400</v>
      </c>
      <c r="E396" s="361" t="str">
        <f t="shared" si="18"/>
        <v>TheewaterskloofPublic safetyTotal Expenditure</v>
      </c>
      <c r="F396" s="360" t="str">
        <f>'PART C- Municipal Details'!$G$7</f>
        <v>Theewaterskloof</v>
      </c>
      <c r="G396" s="361" t="s">
        <v>803</v>
      </c>
      <c r="H396" s="363" t="s">
        <v>806</v>
      </c>
      <c r="I396" s="496" t="s">
        <v>736</v>
      </c>
      <c r="J396" s="497" t="s">
        <v>762</v>
      </c>
      <c r="K396" s="490"/>
      <c r="L396" s="508" t="s">
        <v>736</v>
      </c>
      <c r="M396" s="509"/>
      <c r="N396" s="510"/>
      <c r="O396" s="510"/>
      <c r="P396" s="510"/>
      <c r="Q396" s="510"/>
      <c r="R396" s="510"/>
      <c r="S396" s="510"/>
      <c r="T396" s="511"/>
      <c r="U396" s="529">
        <v>69342194</v>
      </c>
      <c r="V396" s="529">
        <v>71699841</v>
      </c>
      <c r="W396" s="529">
        <v>73994234</v>
      </c>
      <c r="X396" s="490"/>
      <c r="Y396" s="969"/>
      <c r="Z396" s="969"/>
      <c r="AA396" s="969"/>
      <c r="AB396" s="969"/>
      <c r="AC396" s="969"/>
      <c r="AD396" s="969"/>
      <c r="AE396" s="969" t="str">
        <f t="shared" si="19"/>
        <v>TheewaterskloofTotal Expenditure</v>
      </c>
      <c r="AF396" s="969"/>
      <c r="AG396" s="969"/>
    </row>
    <row r="397" spans="2:33" ht="13.2" customHeight="1" x14ac:dyDescent="0.55000000000000004">
      <c r="B397" s="371"/>
      <c r="C397" s="1009" t="s">
        <v>766</v>
      </c>
      <c r="D397" s="360" t="str">
        <f t="shared" si="17"/>
        <v>Public safety4500</v>
      </c>
      <c r="E397" s="360" t="str">
        <f t="shared" si="18"/>
        <v>TheewaterskloofPublic safetySurplus/(Deficit)</v>
      </c>
      <c r="F397" s="360" t="str">
        <f>'PART C- Municipal Details'!$G$7</f>
        <v>Theewaterskloof</v>
      </c>
      <c r="G397" s="360" t="s">
        <v>803</v>
      </c>
      <c r="H397" s="366" t="s">
        <v>806</v>
      </c>
      <c r="I397" s="496" t="s">
        <v>635</v>
      </c>
      <c r="J397" s="497" t="s">
        <v>765</v>
      </c>
      <c r="K397" s="490"/>
      <c r="L397" s="463" t="s">
        <v>635</v>
      </c>
      <c r="M397" s="459"/>
      <c r="N397" s="459"/>
      <c r="O397" s="459"/>
      <c r="P397" s="459"/>
      <c r="Q397" s="459"/>
      <c r="R397" s="459"/>
      <c r="S397" s="459"/>
      <c r="T397" s="459"/>
      <c r="U397" s="530">
        <v>-28202194</v>
      </c>
      <c r="V397" s="530">
        <v>-29161081</v>
      </c>
      <c r="W397" s="530">
        <v>-30094234</v>
      </c>
      <c r="X397" s="490"/>
      <c r="Y397" s="969"/>
      <c r="Z397" s="969"/>
      <c r="AA397" s="969"/>
      <c r="AB397" s="969"/>
      <c r="AC397" s="969"/>
      <c r="AD397" s="969"/>
      <c r="AE397" s="969" t="str">
        <f t="shared" si="19"/>
        <v>TheewaterskloofSurplus/(Deficit)</v>
      </c>
      <c r="AF397" s="969"/>
      <c r="AG397" s="969"/>
    </row>
    <row r="398" spans="2:33" ht="13.2" customHeight="1" x14ac:dyDescent="0.55000000000000004">
      <c r="B398" s="371"/>
      <c r="C398" s="1010" t="s">
        <v>768</v>
      </c>
      <c r="D398" s="361" t="str">
        <f t="shared" ref="D398:D462" si="20">H398&amp;C398</f>
        <v>Public safety4600</v>
      </c>
      <c r="E398" s="361" t="str">
        <f t="shared" si="18"/>
        <v>TheewaterskloofPublic safetyTransfers and subsidies - capital (monetary allocations) (National / Provincial and District)</v>
      </c>
      <c r="F398" s="360" t="str">
        <f>'PART C- Municipal Details'!$G$7</f>
        <v>Theewaterskloof</v>
      </c>
      <c r="G398" s="361" t="s">
        <v>803</v>
      </c>
      <c r="H398" s="363" t="s">
        <v>806</v>
      </c>
      <c r="I398" s="496" t="s">
        <v>740</v>
      </c>
      <c r="J398" s="497" t="s">
        <v>767</v>
      </c>
      <c r="K398" s="490"/>
      <c r="L398" s="463" t="s">
        <v>770</v>
      </c>
      <c r="M398" s="459"/>
      <c r="N398" s="459"/>
      <c r="O398" s="459"/>
      <c r="P398" s="459"/>
      <c r="Q398" s="459"/>
      <c r="R398" s="459"/>
      <c r="S398" s="459"/>
      <c r="T398" s="459"/>
      <c r="U398" s="530">
        <v>0</v>
      </c>
      <c r="V398" s="530">
        <v>0</v>
      </c>
      <c r="W398" s="530">
        <v>0</v>
      </c>
      <c r="X398" s="490"/>
      <c r="Y398" s="969"/>
      <c r="Z398" s="969"/>
      <c r="AA398" s="969"/>
      <c r="AB398" s="969"/>
      <c r="AC398" s="969"/>
      <c r="AD398" s="969"/>
      <c r="AE398" s="969" t="str">
        <f t="shared" si="19"/>
        <v>TheewaterskloofTransfers and subsidies - capital (monetary allocations)</v>
      </c>
      <c r="AF398" s="969"/>
      <c r="AG398" s="969"/>
    </row>
    <row r="399" spans="2:33" ht="13.2" customHeight="1" x14ac:dyDescent="0.55000000000000004">
      <c r="B399" s="371"/>
      <c r="C399" s="1010" t="s">
        <v>771</v>
      </c>
      <c r="D399" s="360" t="str">
        <f t="shared" si="20"/>
        <v>Public safety4700</v>
      </c>
      <c r="E399" s="360" t="str">
        <f t="shared" si="18"/>
        <v>TheewaterskloofPublic safetyTransfers and subsidies - capital (in-kind - all)</v>
      </c>
      <c r="F399" s="360" t="str">
        <f>'PART C- Municipal Details'!$G$7</f>
        <v>Theewaterskloof</v>
      </c>
      <c r="G399" s="360" t="s">
        <v>803</v>
      </c>
      <c r="H399" s="366" t="s">
        <v>806</v>
      </c>
      <c r="I399" s="496" t="s">
        <v>744</v>
      </c>
      <c r="J399" s="497" t="s">
        <v>769</v>
      </c>
      <c r="K399" s="490"/>
      <c r="L399" s="463" t="s">
        <v>773</v>
      </c>
      <c r="M399" s="459"/>
      <c r="N399" s="459"/>
      <c r="O399" s="459"/>
      <c r="P399" s="459"/>
      <c r="Q399" s="459"/>
      <c r="R399" s="459"/>
      <c r="S399" s="459"/>
      <c r="T399" s="459"/>
      <c r="U399" s="530">
        <v>0</v>
      </c>
      <c r="V399" s="530">
        <v>0</v>
      </c>
      <c r="W399" s="530">
        <v>0</v>
      </c>
      <c r="X399" s="490"/>
      <c r="Y399" s="969"/>
      <c r="Z399" s="969"/>
      <c r="AA399" s="969"/>
      <c r="AB399" s="969"/>
      <c r="AC399" s="969"/>
      <c r="AD399" s="969"/>
      <c r="AE399" s="969" t="str">
        <f t="shared" si="19"/>
        <v>TheewaterskloofTransfers and subsidies - capital (in-kind)</v>
      </c>
      <c r="AF399" s="969"/>
      <c r="AG399" s="969"/>
    </row>
    <row r="400" spans="2:33" ht="13.2" customHeight="1" x14ac:dyDescent="0.55000000000000004">
      <c r="B400" s="371"/>
      <c r="C400" s="1009" t="s">
        <v>774</v>
      </c>
      <c r="D400" s="361" t="str">
        <f t="shared" si="20"/>
        <v>Public safety4800</v>
      </c>
      <c r="E400" s="361" t="str">
        <f t="shared" si="18"/>
        <v>TheewaterskloofPublic safetySurplus/(Deficit) after capital transfers and contributions</v>
      </c>
      <c r="F400" s="360" t="str">
        <f>'PART C- Municipal Details'!$G$7</f>
        <v>Theewaterskloof</v>
      </c>
      <c r="G400" s="361" t="s">
        <v>803</v>
      </c>
      <c r="H400" s="363" t="s">
        <v>806</v>
      </c>
      <c r="I400" s="496" t="s">
        <v>747</v>
      </c>
      <c r="J400" s="497" t="s">
        <v>772</v>
      </c>
      <c r="K400" s="490"/>
      <c r="L400" s="463" t="s">
        <v>747</v>
      </c>
      <c r="M400" s="459"/>
      <c r="N400" s="459"/>
      <c r="O400" s="459"/>
      <c r="P400" s="459"/>
      <c r="Q400" s="459"/>
      <c r="R400" s="459"/>
      <c r="S400" s="459"/>
      <c r="T400" s="459"/>
      <c r="U400" s="530">
        <v>-28202194</v>
      </c>
      <c r="V400" s="530">
        <v>-29161081</v>
      </c>
      <c r="W400" s="530">
        <v>-30094234</v>
      </c>
      <c r="X400" s="490"/>
      <c r="Y400" s="969"/>
      <c r="Z400" s="969"/>
      <c r="AA400" s="969"/>
      <c r="AB400" s="969"/>
      <c r="AC400" s="969"/>
      <c r="AD400" s="969"/>
      <c r="AE400" s="969" t="str">
        <f t="shared" si="19"/>
        <v>TheewaterskloofSurplus/(Deficit) after capital transfers and contributions</v>
      </c>
      <c r="AF400" s="969"/>
      <c r="AG400" s="969"/>
    </row>
    <row r="401" spans="2:33" ht="13.2" customHeight="1" x14ac:dyDescent="0.55000000000000004">
      <c r="B401" s="371"/>
      <c r="C401" s="1010" t="s">
        <v>776</v>
      </c>
      <c r="D401" s="360" t="str">
        <f t="shared" si="20"/>
        <v>Public safety4900</v>
      </c>
      <c r="E401" s="360" t="str">
        <f t="shared" si="18"/>
        <v>TheewaterskloofPublic safetyTaxation</v>
      </c>
      <c r="F401" s="360" t="str">
        <f>'PART C- Municipal Details'!$G$7</f>
        <v>Theewaterskloof</v>
      </c>
      <c r="G401" s="360" t="s">
        <v>803</v>
      </c>
      <c r="H401" s="366" t="s">
        <v>806</v>
      </c>
      <c r="I401" s="496" t="s">
        <v>749</v>
      </c>
      <c r="J401" s="497" t="s">
        <v>775</v>
      </c>
      <c r="K401" s="490"/>
      <c r="L401" s="463" t="s">
        <v>778</v>
      </c>
      <c r="M401" s="459"/>
      <c r="N401" s="459"/>
      <c r="O401" s="459"/>
      <c r="P401" s="459"/>
      <c r="Q401" s="459"/>
      <c r="R401" s="459"/>
      <c r="S401" s="459"/>
      <c r="T401" s="459"/>
      <c r="U401" s="530">
        <v>0</v>
      </c>
      <c r="V401" s="530">
        <v>0</v>
      </c>
      <c r="W401" s="530">
        <v>0</v>
      </c>
      <c r="X401" s="490"/>
      <c r="Y401" s="969"/>
      <c r="Z401" s="969"/>
      <c r="AA401" s="969"/>
      <c r="AB401" s="969"/>
      <c r="AC401" s="969"/>
      <c r="AD401" s="969"/>
      <c r="AE401" s="969" t="str">
        <f t="shared" si="19"/>
        <v>TheewaterskloofIncome Tax</v>
      </c>
      <c r="AF401" s="969"/>
      <c r="AG401" s="969"/>
    </row>
    <row r="402" spans="2:33" ht="13.2" customHeight="1" x14ac:dyDescent="0.55000000000000004">
      <c r="B402" s="371"/>
      <c r="C402" s="1009" t="s">
        <v>779</v>
      </c>
      <c r="D402" s="361" t="str">
        <f t="shared" si="20"/>
        <v>Public safety5000</v>
      </c>
      <c r="E402" s="361" t="str">
        <f t="shared" si="18"/>
        <v>TheewaterskloofPublic safetySurplus/(Deficit) after taxation</v>
      </c>
      <c r="F402" s="360" t="str">
        <f>'PART C- Municipal Details'!$G$7</f>
        <v>Theewaterskloof</v>
      </c>
      <c r="G402" s="361" t="s">
        <v>803</v>
      </c>
      <c r="H402" s="363" t="s">
        <v>806</v>
      </c>
      <c r="I402" s="496" t="s">
        <v>751</v>
      </c>
      <c r="J402" s="497" t="s">
        <v>777</v>
      </c>
      <c r="K402" s="490"/>
      <c r="L402" s="463" t="s">
        <v>781</v>
      </c>
      <c r="M402" s="459"/>
      <c r="N402" s="459"/>
      <c r="O402" s="459"/>
      <c r="P402" s="459"/>
      <c r="Q402" s="459"/>
      <c r="R402" s="459"/>
      <c r="S402" s="459"/>
      <c r="T402" s="459"/>
      <c r="U402" s="530">
        <v>-28202194</v>
      </c>
      <c r="V402" s="530">
        <v>-29161081</v>
      </c>
      <c r="W402" s="530">
        <v>-30094234</v>
      </c>
      <c r="X402" s="490"/>
      <c r="Y402" s="969"/>
      <c r="Z402" s="969"/>
      <c r="AA402" s="969"/>
      <c r="AB402" s="969"/>
      <c r="AC402" s="969"/>
      <c r="AD402" s="969"/>
      <c r="AE402" s="969" t="str">
        <f t="shared" si="19"/>
        <v>TheewaterskloofSurplus/(Deficit) after income tax</v>
      </c>
      <c r="AF402" s="969"/>
      <c r="AG402" s="969"/>
    </row>
    <row r="403" spans="2:33" ht="13.2" customHeight="1" x14ac:dyDescent="0.55000000000000004">
      <c r="B403" s="371"/>
      <c r="C403" s="1010" t="s">
        <v>782</v>
      </c>
      <c r="D403" s="360" t="str">
        <f t="shared" si="20"/>
        <v>Public safety5100</v>
      </c>
      <c r="E403" s="360" t="str">
        <f t="shared" si="18"/>
        <v>TheewaterskloofPublic safetyShare of Surplus/Deficit attributable to Joint Venture</v>
      </c>
      <c r="F403" s="360" t="str">
        <f>'PART C- Municipal Details'!$G$7</f>
        <v>Theewaterskloof</v>
      </c>
      <c r="G403" s="360" t="s">
        <v>803</v>
      </c>
      <c r="H403" s="366" t="s">
        <v>806</v>
      </c>
      <c r="I403" s="496" t="s">
        <v>783</v>
      </c>
      <c r="J403" s="497" t="s">
        <v>780</v>
      </c>
      <c r="K403" s="490"/>
      <c r="L403" s="463" t="s">
        <v>783</v>
      </c>
      <c r="M403" s="459"/>
      <c r="N403" s="459"/>
      <c r="O403" s="459"/>
      <c r="P403" s="459"/>
      <c r="Q403" s="459"/>
      <c r="R403" s="459"/>
      <c r="S403" s="459"/>
      <c r="T403" s="459"/>
      <c r="U403" s="530">
        <v>0</v>
      </c>
      <c r="V403" s="530">
        <v>0</v>
      </c>
      <c r="W403" s="530">
        <v>0</v>
      </c>
      <c r="X403" s="490"/>
      <c r="Y403" s="969"/>
      <c r="Z403" s="969"/>
      <c r="AA403" s="969"/>
      <c r="AB403" s="969"/>
      <c r="AC403" s="969"/>
      <c r="AD403" s="969"/>
      <c r="AE403" s="969" t="str">
        <f t="shared" si="19"/>
        <v>TheewaterskloofShare of Surplus/Deficit attributable to Joint Venture</v>
      </c>
      <c r="AF403" s="969"/>
      <c r="AG403" s="969"/>
    </row>
    <row r="404" spans="2:33" ht="13.2" customHeight="1" x14ac:dyDescent="0.55000000000000004">
      <c r="B404" s="371"/>
      <c r="C404" s="1010" t="s">
        <v>785</v>
      </c>
      <c r="D404" s="361" t="str">
        <f t="shared" si="20"/>
        <v>Public safety5200</v>
      </c>
      <c r="E404" s="361" t="str">
        <f t="shared" si="18"/>
        <v>TheewaterskloofPublic safetyAttributable to minorities</v>
      </c>
      <c r="F404" s="360" t="str">
        <f>'PART C- Municipal Details'!$G$7</f>
        <v>Theewaterskloof</v>
      </c>
      <c r="G404" s="361" t="s">
        <v>803</v>
      </c>
      <c r="H404" s="363" t="s">
        <v>806</v>
      </c>
      <c r="I404" s="496" t="s">
        <v>753</v>
      </c>
      <c r="J404" s="497" t="s">
        <v>784</v>
      </c>
      <c r="K404" s="490"/>
      <c r="L404" s="463" t="s">
        <v>787</v>
      </c>
      <c r="M404" s="459"/>
      <c r="N404" s="459"/>
      <c r="O404" s="459"/>
      <c r="P404" s="459"/>
      <c r="Q404" s="459"/>
      <c r="R404" s="459"/>
      <c r="S404" s="459"/>
      <c r="T404" s="459"/>
      <c r="U404" s="530">
        <v>0</v>
      </c>
      <c r="V404" s="530">
        <v>0</v>
      </c>
      <c r="W404" s="530">
        <v>0</v>
      </c>
      <c r="X404" s="490"/>
      <c r="Y404" s="969"/>
      <c r="Z404" s="969"/>
      <c r="AA404" s="969"/>
      <c r="AB404" s="969"/>
      <c r="AC404" s="969"/>
      <c r="AD404" s="969"/>
      <c r="AE404" s="969" t="str">
        <f t="shared" si="19"/>
        <v>TheewaterskloofShare of Surplus/Deficit attributable to Minorities</v>
      </c>
      <c r="AF404" s="969"/>
      <c r="AG404" s="969"/>
    </row>
    <row r="405" spans="2:33" ht="13.2" customHeight="1" x14ac:dyDescent="0.55000000000000004">
      <c r="B405" s="371"/>
      <c r="C405" s="1009" t="s">
        <v>788</v>
      </c>
      <c r="D405" s="360" t="str">
        <f t="shared" si="20"/>
        <v>Public safety5300</v>
      </c>
      <c r="E405" s="360" t="str">
        <f t="shared" si="18"/>
        <v>TheewaterskloofPublic safetySurplus/(Deficit) attributable to municipality</v>
      </c>
      <c r="F405" s="360" t="str">
        <f>'PART C- Municipal Details'!$G$7</f>
        <v>Theewaterskloof</v>
      </c>
      <c r="G405" s="360" t="s">
        <v>803</v>
      </c>
      <c r="H405" s="366" t="s">
        <v>806</v>
      </c>
      <c r="I405" s="496" t="s">
        <v>756</v>
      </c>
      <c r="J405" s="497" t="s">
        <v>786</v>
      </c>
      <c r="K405" s="490"/>
      <c r="L405" s="463" t="s">
        <v>756</v>
      </c>
      <c r="M405" s="459"/>
      <c r="N405" s="459"/>
      <c r="O405" s="459"/>
      <c r="P405" s="459"/>
      <c r="Q405" s="459"/>
      <c r="R405" s="459"/>
      <c r="S405" s="459"/>
      <c r="T405" s="459"/>
      <c r="U405" s="530">
        <v>-28202194</v>
      </c>
      <c r="V405" s="530">
        <v>-29161081</v>
      </c>
      <c r="W405" s="530">
        <v>-30094234</v>
      </c>
      <c r="X405" s="490"/>
      <c r="Y405" s="969"/>
      <c r="Z405" s="969"/>
      <c r="AA405" s="969"/>
      <c r="AB405" s="969"/>
      <c r="AC405" s="969"/>
      <c r="AD405" s="969"/>
      <c r="AE405" s="969" t="str">
        <f t="shared" si="19"/>
        <v>TheewaterskloofSurplus/(Deficit) attributable to municipality</v>
      </c>
      <c r="AF405" s="969"/>
      <c r="AG405" s="969"/>
    </row>
    <row r="406" spans="2:33" ht="13.2" customHeight="1" x14ac:dyDescent="0.55000000000000004">
      <c r="B406" s="371"/>
      <c r="C406" s="1010" t="s">
        <v>790</v>
      </c>
      <c r="D406" s="361" t="str">
        <f t="shared" si="20"/>
        <v>Public safety5400</v>
      </c>
      <c r="E406" s="361" t="str">
        <f t="shared" si="18"/>
        <v>TheewaterskloofPublic safetyShare of surplus/ (deficit) of associate</v>
      </c>
      <c r="F406" s="360" t="str">
        <f>'PART C- Municipal Details'!$G$7</f>
        <v>Theewaterskloof</v>
      </c>
      <c r="G406" s="361" t="s">
        <v>803</v>
      </c>
      <c r="H406" s="363" t="s">
        <v>806</v>
      </c>
      <c r="I406" s="496" t="s">
        <v>759</v>
      </c>
      <c r="J406" s="497" t="s">
        <v>789</v>
      </c>
      <c r="K406" s="490"/>
      <c r="L406" s="463" t="s">
        <v>791</v>
      </c>
      <c r="M406" s="459"/>
      <c r="N406" s="459"/>
      <c r="O406" s="459"/>
      <c r="P406" s="459"/>
      <c r="Q406" s="459"/>
      <c r="R406" s="459"/>
      <c r="S406" s="459"/>
      <c r="T406" s="459"/>
      <c r="U406" s="530">
        <v>0</v>
      </c>
      <c r="V406" s="530">
        <v>0</v>
      </c>
      <c r="W406" s="530">
        <v>0</v>
      </c>
      <c r="X406" s="490"/>
      <c r="Y406" s="969"/>
      <c r="Z406" s="969"/>
      <c r="AA406" s="969"/>
      <c r="AB406" s="969"/>
      <c r="AC406" s="969"/>
      <c r="AD406" s="969"/>
      <c r="AE406" s="969" t="str">
        <f t="shared" si="19"/>
        <v>TheewaterskloofShare of Surplus/Deficit attributable to Associate</v>
      </c>
      <c r="AF406" s="969"/>
      <c r="AG406" s="969"/>
    </row>
    <row r="407" spans="2:33" ht="13.2" customHeight="1" x14ac:dyDescent="0.55000000000000004">
      <c r="B407" s="371"/>
      <c r="C407" s="1010" t="s">
        <v>792</v>
      </c>
      <c r="D407" s="360" t="str">
        <f t="shared" si="20"/>
        <v>Public safety5500</v>
      </c>
      <c r="E407" s="360" t="str">
        <f t="shared" si="18"/>
        <v>TheewaterskloofPublic safetyIntercompany/Parent subsidiary transactions</v>
      </c>
      <c r="F407" s="360" t="str">
        <f>'PART C- Municipal Details'!$G$7</f>
        <v>Theewaterskloof</v>
      </c>
      <c r="G407" s="360" t="s">
        <v>803</v>
      </c>
      <c r="H407" s="366" t="s">
        <v>806</v>
      </c>
      <c r="I407" s="496" t="s">
        <v>793</v>
      </c>
      <c r="J407" s="497" t="s">
        <v>789</v>
      </c>
      <c r="K407" s="490"/>
      <c r="L407" s="463" t="s">
        <v>793</v>
      </c>
      <c r="M407" s="459"/>
      <c r="N407" s="459"/>
      <c r="O407" s="459"/>
      <c r="P407" s="459"/>
      <c r="Q407" s="459"/>
      <c r="R407" s="459"/>
      <c r="S407" s="459"/>
      <c r="T407" s="459"/>
      <c r="U407" s="530">
        <v>0</v>
      </c>
      <c r="V407" s="530">
        <v>0</v>
      </c>
      <c r="W407" s="530">
        <v>0</v>
      </c>
      <c r="X407" s="490"/>
      <c r="Y407" s="969"/>
      <c r="Z407" s="969"/>
      <c r="AA407" s="969"/>
      <c r="AB407" s="969"/>
      <c r="AC407" s="969"/>
      <c r="AD407" s="969"/>
      <c r="AE407" s="969" t="str">
        <f t="shared" si="19"/>
        <v>TheewaterskloofIntercompany/Parent subsidiary transactions</v>
      </c>
      <c r="AF407" s="969"/>
      <c r="AG407" s="969"/>
    </row>
    <row r="408" spans="2:33" ht="13.2" customHeight="1" x14ac:dyDescent="0.55000000000000004">
      <c r="B408" s="371"/>
      <c r="C408" s="1009" t="s">
        <v>794</v>
      </c>
      <c r="D408" s="361" t="str">
        <f t="shared" si="20"/>
        <v>Public safety5600</v>
      </c>
      <c r="E408" s="361" t="str">
        <f t="shared" si="18"/>
        <v>TheewaterskloofPublic safetySurplus/(Deficit) for the year</v>
      </c>
      <c r="F408" s="360" t="str">
        <f>'PART C- Municipal Details'!$G$7</f>
        <v>Theewaterskloof</v>
      </c>
      <c r="G408" s="361" t="s">
        <v>803</v>
      </c>
      <c r="H408" s="363" t="s">
        <v>806</v>
      </c>
      <c r="I408" s="496" t="s">
        <v>762</v>
      </c>
      <c r="J408" s="497" t="s">
        <v>789</v>
      </c>
      <c r="K408" s="490"/>
      <c r="L408" s="508" t="s">
        <v>762</v>
      </c>
      <c r="M408" s="509"/>
      <c r="N408" s="510"/>
      <c r="O408" s="510"/>
      <c r="P408" s="510"/>
      <c r="Q408" s="510"/>
      <c r="R408" s="510"/>
      <c r="S408" s="510"/>
      <c r="T408" s="511"/>
      <c r="U408" s="530">
        <v>0</v>
      </c>
      <c r="V408" s="530">
        <v>0</v>
      </c>
      <c r="W408" s="530">
        <v>0</v>
      </c>
      <c r="X408" s="490"/>
      <c r="Y408" s="969"/>
      <c r="Z408" s="969"/>
      <c r="AA408" s="969"/>
      <c r="AB408" s="969"/>
      <c r="AC408" s="969"/>
      <c r="AD408" s="969"/>
      <c r="AE408" s="969" t="str">
        <f t="shared" si="19"/>
        <v>TheewaterskloofSurplus/(Deficit) for the year</v>
      </c>
      <c r="AF408" s="969"/>
      <c r="AG408" s="969"/>
    </row>
    <row r="409" spans="2:33" ht="13.2" customHeight="1" x14ac:dyDescent="0.55000000000000004">
      <c r="B409" s="371"/>
      <c r="C409" s="1011">
        <v>55555</v>
      </c>
      <c r="D409" s="360" t="str">
        <f t="shared" si="20"/>
        <v>Public safety55555</v>
      </c>
      <c r="E409" s="360" t="str">
        <f t="shared" si="18"/>
        <v>TheewaterskloofPublic safetyReferences</v>
      </c>
      <c r="F409" s="360" t="str">
        <f>'PART C- Municipal Details'!$G$7</f>
        <v>Theewaterskloof</v>
      </c>
      <c r="G409" s="360" t="s">
        <v>803</v>
      </c>
      <c r="H409" s="366" t="s">
        <v>806</v>
      </c>
      <c r="I409" s="496" t="s">
        <v>765</v>
      </c>
      <c r="J409" s="497" t="s">
        <v>789</v>
      </c>
      <c r="K409" s="490"/>
      <c r="L409" s="474" t="s">
        <v>765</v>
      </c>
      <c r="M409" s="475"/>
      <c r="N409" s="476"/>
      <c r="O409" s="476"/>
      <c r="P409" s="476"/>
      <c r="Q409" s="476"/>
      <c r="R409" s="476"/>
      <c r="S409" s="476"/>
      <c r="T409" s="477"/>
      <c r="U409" s="530">
        <v>0</v>
      </c>
      <c r="V409" s="530">
        <v>0</v>
      </c>
      <c r="W409" s="530">
        <v>0</v>
      </c>
      <c r="X409" s="490"/>
      <c r="Y409" s="969"/>
      <c r="Z409" s="969"/>
      <c r="AA409" s="969"/>
      <c r="AB409" s="969"/>
      <c r="AC409" s="969"/>
      <c r="AD409" s="969"/>
      <c r="AE409" s="969" t="str">
        <f t="shared" si="19"/>
        <v>TheewaterskloofReferences</v>
      </c>
      <c r="AF409" s="969"/>
      <c r="AG409" s="969"/>
    </row>
    <row r="410" spans="2:33" ht="13.2" customHeight="1" x14ac:dyDescent="0.55000000000000004">
      <c r="B410" s="371"/>
      <c r="C410" s="1011">
        <v>55555</v>
      </c>
      <c r="D410" s="361" t="str">
        <f t="shared" si="20"/>
        <v>Public safety55555</v>
      </c>
      <c r="E410" s="361" t="str">
        <f t="shared" si="18"/>
        <v>TheewaterskloofPublic safety1. Classifications are revenue sources and expenditure type</v>
      </c>
      <c r="F410" s="360" t="str">
        <f>'PART C- Municipal Details'!$G$7</f>
        <v>Theewaterskloof</v>
      </c>
      <c r="G410" s="361" t="s">
        <v>803</v>
      </c>
      <c r="H410" s="363" t="s">
        <v>806</v>
      </c>
      <c r="I410" s="496" t="s">
        <v>767</v>
      </c>
      <c r="J410" s="497" t="s">
        <v>789</v>
      </c>
      <c r="K410" s="490"/>
      <c r="L410" s="465" t="s">
        <v>767</v>
      </c>
      <c r="M410" s="472"/>
      <c r="N410" s="473"/>
      <c r="O410" s="473"/>
      <c r="P410" s="473"/>
      <c r="Q410" s="473"/>
      <c r="R410" s="473"/>
      <c r="S410" s="473"/>
      <c r="T410" s="478"/>
      <c r="U410" s="530">
        <v>0</v>
      </c>
      <c r="V410" s="530">
        <v>0</v>
      </c>
      <c r="W410" s="530">
        <v>0</v>
      </c>
      <c r="X410" s="490"/>
      <c r="Y410" s="969"/>
      <c r="Z410" s="969"/>
      <c r="AA410" s="969"/>
      <c r="AB410" s="969"/>
      <c r="AC410" s="969"/>
      <c r="AD410" s="969"/>
      <c r="AE410" s="969" t="str">
        <f t="shared" si="19"/>
        <v>Theewaterskloof1. Classifications are revenue sources and expenditure type</v>
      </c>
      <c r="AF410" s="969"/>
      <c r="AG410" s="969"/>
    </row>
    <row r="411" spans="2:33" ht="13.2" customHeight="1" x14ac:dyDescent="0.55000000000000004">
      <c r="B411" s="371"/>
      <c r="C411" s="1011">
        <v>55555</v>
      </c>
      <c r="D411" s="360" t="str">
        <f t="shared" si="20"/>
        <v>Public safety55555</v>
      </c>
      <c r="E411" s="360" t="str">
        <f t="shared" si="18"/>
        <v>TheewaterskloofPublic safety2. Detail to be provided in Table SA1</v>
      </c>
      <c r="F411" s="360" t="str">
        <f>'PART C- Municipal Details'!$G$7</f>
        <v>Theewaterskloof</v>
      </c>
      <c r="G411" s="360" t="s">
        <v>803</v>
      </c>
      <c r="H411" s="366" t="s">
        <v>806</v>
      </c>
      <c r="I411" s="496" t="s">
        <v>769</v>
      </c>
      <c r="J411" s="497" t="s">
        <v>789</v>
      </c>
      <c r="K411" s="490"/>
      <c r="L411" s="465" t="s">
        <v>769</v>
      </c>
      <c r="M411" s="472"/>
      <c r="N411" s="473"/>
      <c r="O411" s="473"/>
      <c r="P411" s="473"/>
      <c r="Q411" s="473"/>
      <c r="R411" s="473"/>
      <c r="S411" s="473"/>
      <c r="T411" s="478"/>
      <c r="U411" s="530">
        <v>0</v>
      </c>
      <c r="V411" s="530">
        <v>0</v>
      </c>
      <c r="W411" s="530">
        <v>0</v>
      </c>
      <c r="X411" s="490"/>
      <c r="Y411" s="969"/>
      <c r="Z411" s="969"/>
      <c r="AA411" s="969"/>
      <c r="AB411" s="969"/>
      <c r="AC411" s="969"/>
      <c r="AD411" s="969"/>
      <c r="AE411" s="969" t="str">
        <f t="shared" si="19"/>
        <v>Theewaterskloof2. Detail to be provided in Table SA1</v>
      </c>
      <c r="AF411" s="969"/>
      <c r="AG411" s="969"/>
    </row>
    <row r="412" spans="2:33" ht="13.2" customHeight="1" x14ac:dyDescent="0.55000000000000004">
      <c r="B412" s="371"/>
      <c r="C412" s="1011">
        <v>55555</v>
      </c>
      <c r="D412" s="361" t="str">
        <f t="shared" si="20"/>
        <v>Public safety55555</v>
      </c>
      <c r="E412" s="361" t="str">
        <f t="shared" si="18"/>
        <v>TheewaterskloofPublic safety3. Debt impairment includes Impairment and Reversal of Impairment Losses</v>
      </c>
      <c r="F412" s="360" t="str">
        <f>'PART C- Municipal Details'!$G$7</f>
        <v>Theewaterskloof</v>
      </c>
      <c r="G412" s="361" t="s">
        <v>803</v>
      </c>
      <c r="H412" s="363" t="s">
        <v>806</v>
      </c>
      <c r="I412" s="496" t="s">
        <v>795</v>
      </c>
      <c r="J412" s="497" t="s">
        <v>789</v>
      </c>
      <c r="K412" s="490"/>
      <c r="L412" s="465" t="s">
        <v>795</v>
      </c>
      <c r="M412" s="472"/>
      <c r="N412" s="473"/>
      <c r="O412" s="473"/>
      <c r="P412" s="473"/>
      <c r="Q412" s="473"/>
      <c r="R412" s="473"/>
      <c r="S412" s="473"/>
      <c r="T412" s="478"/>
      <c r="U412" s="530">
        <v>0</v>
      </c>
      <c r="V412" s="530">
        <v>0</v>
      </c>
      <c r="W412" s="530">
        <v>0</v>
      </c>
      <c r="X412" s="490"/>
      <c r="Y412" s="969"/>
      <c r="Z412" s="969"/>
      <c r="AA412" s="969"/>
      <c r="AB412" s="969"/>
      <c r="AC412" s="969"/>
      <c r="AD412" s="969"/>
      <c r="AE412" s="969" t="str">
        <f t="shared" si="19"/>
        <v>Theewaterskloof3. Debt impairment includes Impairment and Reversal of Impairment Losses</v>
      </c>
      <c r="AF412" s="969"/>
      <c r="AG412" s="969"/>
    </row>
    <row r="413" spans="2:33" ht="13.2" customHeight="1" x14ac:dyDescent="0.55000000000000004">
      <c r="B413" s="371"/>
      <c r="C413" s="1011">
        <v>55555</v>
      </c>
      <c r="D413" s="360" t="str">
        <f t="shared" si="20"/>
        <v>Public safety55555</v>
      </c>
      <c r="E413" s="360" t="str">
        <f t="shared" si="18"/>
        <v>TheewaterskloofPublic safety4. Expenditure type components previously shown under repairs and maintenance should be allocated back to the originating expenditure group/item; e.g. employee costs</v>
      </c>
      <c r="F413" s="360" t="str">
        <f>'PART C- Municipal Details'!$G$7</f>
        <v>Theewaterskloof</v>
      </c>
      <c r="G413" s="360" t="s">
        <v>803</v>
      </c>
      <c r="H413" s="366" t="s">
        <v>806</v>
      </c>
      <c r="I413" s="496" t="s">
        <v>775</v>
      </c>
      <c r="J413" s="497" t="s">
        <v>789</v>
      </c>
      <c r="K413" s="490"/>
      <c r="L413" s="465" t="s">
        <v>775</v>
      </c>
      <c r="M413" s="472"/>
      <c r="N413" s="473"/>
      <c r="O413" s="473"/>
      <c r="P413" s="473"/>
      <c r="Q413" s="473"/>
      <c r="R413" s="473"/>
      <c r="S413" s="473"/>
      <c r="T413" s="478"/>
      <c r="U413" s="530">
        <v>0</v>
      </c>
      <c r="V413" s="530">
        <v>0</v>
      </c>
      <c r="W413" s="530">
        <v>0</v>
      </c>
      <c r="X413" s="490"/>
      <c r="Y413" s="969"/>
      <c r="Z413" s="969"/>
      <c r="AA413" s="969"/>
      <c r="AB413" s="969"/>
      <c r="AC413" s="969"/>
      <c r="AD413" s="969"/>
      <c r="AE413" s="969" t="str">
        <f t="shared" si="19"/>
        <v>Theewaterskloof4. Expenditure type components previously shown under repairs and maintenance should be allocated back to the originating expenditure group/item; e.g. employee costs</v>
      </c>
      <c r="AF413" s="969"/>
      <c r="AG413" s="969"/>
    </row>
    <row r="414" spans="2:33" ht="13.2" customHeight="1" x14ac:dyDescent="0.55000000000000004">
      <c r="B414" s="371"/>
      <c r="C414" s="1011">
        <v>55555</v>
      </c>
      <c r="D414" s="361" t="str">
        <f t="shared" si="20"/>
        <v>Public safety55555</v>
      </c>
      <c r="E414" s="361" t="str">
        <f t="shared" si="18"/>
        <v>TheewaterskloofPublic safety5. Repairs &amp; maintenance detailed in Table A9 and Table SA34c</v>
      </c>
      <c r="F414" s="360" t="str">
        <f>'PART C- Municipal Details'!$G$7</f>
        <v>Theewaterskloof</v>
      </c>
      <c r="G414" s="361" t="s">
        <v>803</v>
      </c>
      <c r="H414" s="363" t="s">
        <v>806</v>
      </c>
      <c r="I414" s="496" t="s">
        <v>777</v>
      </c>
      <c r="J414" s="497" t="s">
        <v>789</v>
      </c>
      <c r="K414" s="490"/>
      <c r="L414" s="465" t="s">
        <v>777</v>
      </c>
      <c r="M414" s="472"/>
      <c r="N414" s="473"/>
      <c r="O414" s="473"/>
      <c r="P414" s="473"/>
      <c r="Q414" s="473"/>
      <c r="R414" s="473"/>
      <c r="S414" s="473"/>
      <c r="T414" s="478"/>
      <c r="U414" s="530">
        <v>0</v>
      </c>
      <c r="V414" s="530">
        <v>0</v>
      </c>
      <c r="W414" s="530">
        <v>0</v>
      </c>
      <c r="X414" s="490"/>
      <c r="Y414" s="969"/>
      <c r="Z414" s="969"/>
      <c r="AA414" s="969"/>
      <c r="AB414" s="969"/>
      <c r="AC414" s="969"/>
      <c r="AD414" s="969"/>
      <c r="AE414" s="969" t="str">
        <f t="shared" si="19"/>
        <v>Theewaterskloof5. Repairs &amp; maintenance detailed in Table A9 and Table SA34c</v>
      </c>
      <c r="AF414" s="969"/>
      <c r="AG414" s="969"/>
    </row>
    <row r="415" spans="2:33" ht="13.2" customHeight="1" x14ac:dyDescent="0.55000000000000004">
      <c r="B415" s="371"/>
      <c r="C415" s="1011">
        <v>55555</v>
      </c>
      <c r="D415" s="360" t="str">
        <f t="shared" si="20"/>
        <v>Public safety55555</v>
      </c>
      <c r="E415" s="360" t="str">
        <f t="shared" si="18"/>
        <v>TheewaterskloofPublic safety6. Contributions are funds provided by external organisations to assist with infrastructure development; e.g. developer contributions (detail to be provided in Table SA1)</v>
      </c>
      <c r="F415" s="360" t="str">
        <f>'PART C- Municipal Details'!$G$7</f>
        <v>Theewaterskloof</v>
      </c>
      <c r="G415" s="360" t="s">
        <v>803</v>
      </c>
      <c r="H415" s="366" t="s">
        <v>806</v>
      </c>
      <c r="I415" s="496" t="s">
        <v>780</v>
      </c>
      <c r="J415" s="497" t="s">
        <v>789</v>
      </c>
      <c r="K415" s="490"/>
      <c r="L415" s="465" t="s">
        <v>780</v>
      </c>
      <c r="M415" s="472"/>
      <c r="N415" s="473"/>
      <c r="O415" s="473"/>
      <c r="P415" s="473"/>
      <c r="Q415" s="473"/>
      <c r="R415" s="473"/>
      <c r="S415" s="473"/>
      <c r="T415" s="478"/>
      <c r="U415" s="530">
        <v>0</v>
      </c>
      <c r="V415" s="530">
        <v>0</v>
      </c>
      <c r="W415" s="530">
        <v>0</v>
      </c>
      <c r="X415" s="490"/>
      <c r="Y415" s="969"/>
      <c r="Z415" s="969"/>
      <c r="AA415" s="969"/>
      <c r="AB415" s="969"/>
      <c r="AC415" s="969"/>
      <c r="AD415" s="969"/>
      <c r="AE415" s="969" t="str">
        <f t="shared" si="19"/>
        <v>Theewaterskloof6. Contributions are funds provided by external organisations to assist with infrastructure development; e.g. developer contributions (detail to be provided in Table SA1)</v>
      </c>
      <c r="AF415" s="969"/>
      <c r="AG415" s="969"/>
    </row>
    <row r="416" spans="2:33" ht="13.2" customHeight="1" x14ac:dyDescent="0.55000000000000004">
      <c r="B416" s="371"/>
      <c r="C416" s="1011">
        <v>55555</v>
      </c>
      <c r="D416" s="361" t="str">
        <f t="shared" si="20"/>
        <v>Public safety55555</v>
      </c>
      <c r="E416" s="361" t="str">
        <f t="shared" si="18"/>
        <v>TheewaterskloofPublic safety7. Equity method ( Includes Joint Ventures)</v>
      </c>
      <c r="F416" s="360" t="str">
        <f>'PART C- Municipal Details'!$G$7</f>
        <v>Theewaterskloof</v>
      </c>
      <c r="G416" s="361" t="s">
        <v>803</v>
      </c>
      <c r="H416" s="363" t="s">
        <v>806</v>
      </c>
      <c r="I416" s="496" t="s">
        <v>796</v>
      </c>
      <c r="J416" s="497" t="s">
        <v>789</v>
      </c>
      <c r="K416" s="490"/>
      <c r="L416" s="479" t="s">
        <v>796</v>
      </c>
      <c r="M416" s="480"/>
      <c r="N416" s="481"/>
      <c r="O416" s="481"/>
      <c r="P416" s="481"/>
      <c r="Q416" s="481"/>
      <c r="R416" s="481"/>
      <c r="S416" s="481"/>
      <c r="T416" s="482"/>
      <c r="U416" s="530">
        <v>0</v>
      </c>
      <c r="V416" s="530">
        <v>0</v>
      </c>
      <c r="W416" s="530">
        <v>0</v>
      </c>
      <c r="X416" s="490"/>
      <c r="Y416" s="969"/>
      <c r="Z416" s="969"/>
      <c r="AA416" s="969"/>
      <c r="AB416" s="969"/>
      <c r="AC416" s="969"/>
      <c r="AD416" s="969"/>
      <c r="AE416" s="969" t="str">
        <f t="shared" si="19"/>
        <v>Theewaterskloof7. Equity method ( Includes Joint Ventures)</v>
      </c>
      <c r="AF416" s="969"/>
      <c r="AG416" s="969"/>
    </row>
    <row r="417" spans="2:33" ht="13.2" customHeight="1" x14ac:dyDescent="0.55000000000000004">
      <c r="B417" s="371"/>
      <c r="C417" s="1011">
        <v>55555</v>
      </c>
      <c r="D417" s="360" t="str">
        <f t="shared" si="20"/>
        <v>Public safety55555</v>
      </c>
      <c r="E417" s="360" t="str">
        <f t="shared" si="18"/>
        <v>TheewaterskloofPublic safety8. All materials consumed including water consumed and materials used in operations.</v>
      </c>
      <c r="F417" s="360" t="str">
        <f>'PART C- Municipal Details'!$G$7</f>
        <v>Theewaterskloof</v>
      </c>
      <c r="G417" s="360" t="s">
        <v>803</v>
      </c>
      <c r="H417" s="366" t="s">
        <v>806</v>
      </c>
      <c r="I417" s="496" t="s">
        <v>797</v>
      </c>
      <c r="J417" s="497" t="s">
        <v>789</v>
      </c>
      <c r="K417" s="490"/>
      <c r="L417" s="501"/>
      <c r="M417" s="502"/>
      <c r="N417" s="503"/>
      <c r="O417" s="503"/>
      <c r="P417" s="503"/>
      <c r="Q417" s="503"/>
      <c r="R417" s="503"/>
      <c r="S417" s="503"/>
      <c r="T417" s="503"/>
      <c r="U417" s="504"/>
      <c r="V417" s="504"/>
      <c r="W417" s="504"/>
      <c r="X417" s="490"/>
      <c r="Y417" s="969"/>
      <c r="Z417" s="969"/>
      <c r="AA417" s="969"/>
      <c r="AB417" s="969"/>
      <c r="AC417" s="969"/>
      <c r="AD417" s="969"/>
      <c r="AE417" s="969" t="str">
        <f t="shared" si="19"/>
        <v>Theewaterskloof</v>
      </c>
      <c r="AF417" s="969"/>
      <c r="AG417" s="969"/>
    </row>
    <row r="418" spans="2:33" ht="13.2" customHeight="1" x14ac:dyDescent="0.55000000000000004">
      <c r="B418" s="371"/>
      <c r="C418" s="1011"/>
      <c r="D418" s="361" t="str">
        <f t="shared" si="20"/>
        <v/>
      </c>
      <c r="E418" s="361" t="str">
        <f t="shared" si="18"/>
        <v>TheewaterskloofR</v>
      </c>
      <c r="F418" s="360" t="str">
        <f>'PART C- Municipal Details'!$G$7</f>
        <v>Theewaterskloof</v>
      </c>
      <c r="G418" s="361" t="s">
        <v>803</v>
      </c>
      <c r="H418" s="363"/>
      <c r="I418" s="496" t="s">
        <v>649</v>
      </c>
      <c r="J418" s="497"/>
      <c r="K418" s="490"/>
      <c r="L418" s="516"/>
      <c r="M418" s="517"/>
      <c r="N418" s="515"/>
      <c r="O418" s="515"/>
      <c r="P418" s="515"/>
      <c r="Q418" s="515"/>
      <c r="R418" s="515"/>
      <c r="S418" s="515"/>
      <c r="T418" s="515"/>
      <c r="U418" s="517"/>
      <c r="V418" s="517"/>
      <c r="W418" s="517"/>
      <c r="X418" s="490"/>
      <c r="Y418" s="969"/>
      <c r="Z418" s="969"/>
      <c r="AA418" s="969"/>
      <c r="AB418" s="969"/>
      <c r="AC418" s="969"/>
      <c r="AD418" s="969"/>
      <c r="AE418" s="969" t="str">
        <f t="shared" si="19"/>
        <v>Theewaterskloof</v>
      </c>
      <c r="AF418" s="969"/>
      <c r="AG418" s="969"/>
    </row>
    <row r="419" spans="2:33" ht="13.2" customHeight="1" x14ac:dyDescent="0.55000000000000004">
      <c r="B419" s="371"/>
      <c r="C419" s="1010">
        <v>55555</v>
      </c>
      <c r="D419" s="360" t="str">
        <f t="shared" si="20"/>
        <v>Housing55555</v>
      </c>
      <c r="E419" s="361" t="str">
        <f t="shared" si="18"/>
        <v>TheewaterskloofHousingzz</v>
      </c>
      <c r="F419" s="360" t="str">
        <f>'PART C- Municipal Details'!$G$7</f>
        <v>Theewaterskloof</v>
      </c>
      <c r="G419" s="361" t="s">
        <v>803</v>
      </c>
      <c r="H419" s="363" t="s">
        <v>807</v>
      </c>
      <c r="I419" s="496" t="s">
        <v>801</v>
      </c>
      <c r="J419" s="497" t="s">
        <v>651</v>
      </c>
      <c r="K419" s="490"/>
      <c r="L419" s="462" t="s">
        <v>651</v>
      </c>
      <c r="M419" s="362" t="s">
        <v>652</v>
      </c>
      <c r="N419" s="466" t="s">
        <v>653</v>
      </c>
      <c r="O419" s="466" t="s">
        <v>654</v>
      </c>
      <c r="P419" s="467" t="s">
        <v>655</v>
      </c>
      <c r="Q419" s="483" t="s">
        <v>656</v>
      </c>
      <c r="R419" s="468"/>
      <c r="S419" s="468"/>
      <c r="T419" s="467"/>
      <c r="U419" s="527" t="s">
        <v>657</v>
      </c>
      <c r="V419" s="527" t="s">
        <v>657</v>
      </c>
      <c r="W419" s="527" t="s">
        <v>657</v>
      </c>
      <c r="X419" s="490"/>
      <c r="Y419" s="969"/>
      <c r="Z419" s="969"/>
      <c r="AA419" s="969"/>
      <c r="AB419" s="969"/>
      <c r="AC419" s="969"/>
      <c r="AD419" s="969"/>
      <c r="AE419" s="969" t="str">
        <f t="shared" si="19"/>
        <v>TheewaterskloofDescription</v>
      </c>
      <c r="AF419" s="969"/>
      <c r="AG419" s="969"/>
    </row>
    <row r="420" spans="2:33" ht="13.2" customHeight="1" thickBot="1" x14ac:dyDescent="0.6">
      <c r="B420" s="371"/>
      <c r="C420" s="1010">
        <v>55555</v>
      </c>
      <c r="D420" s="361" t="str">
        <f t="shared" si="20"/>
        <v>Housing55555</v>
      </c>
      <c r="E420" s="360" t="str">
        <f t="shared" si="18"/>
        <v>TheewaterskloofHousingz</v>
      </c>
      <c r="F420" s="360" t="str">
        <f>'PART C- Municipal Details'!$G$7</f>
        <v>Theewaterskloof</v>
      </c>
      <c r="G420" s="360" t="s">
        <v>803</v>
      </c>
      <c r="H420" s="366" t="s">
        <v>807</v>
      </c>
      <c r="I420" s="496" t="s">
        <v>802</v>
      </c>
      <c r="J420" s="497" t="s">
        <v>650</v>
      </c>
      <c r="K420" s="490"/>
      <c r="L420" s="365" t="s">
        <v>659</v>
      </c>
      <c r="M420" s="364" t="s">
        <v>660</v>
      </c>
      <c r="N420" s="469" t="s">
        <v>661</v>
      </c>
      <c r="O420" s="469" t="s">
        <v>661</v>
      </c>
      <c r="P420" s="470" t="s">
        <v>661</v>
      </c>
      <c r="Q420" s="471" t="s">
        <v>662</v>
      </c>
      <c r="R420" s="469" t="s">
        <v>663</v>
      </c>
      <c r="S420" s="469" t="s">
        <v>664</v>
      </c>
      <c r="T420" s="470" t="s">
        <v>665</v>
      </c>
      <c r="U420" s="528" t="s">
        <v>666</v>
      </c>
      <c r="V420" s="528" t="s">
        <v>666</v>
      </c>
      <c r="W420" s="528" t="s">
        <v>666</v>
      </c>
      <c r="X420" s="490"/>
      <c r="Y420" s="969"/>
      <c r="Z420" s="969"/>
      <c r="AA420" s="969"/>
      <c r="AB420" s="969"/>
      <c r="AC420" s="969"/>
      <c r="AD420" s="969"/>
      <c r="AE420" s="969" t="str">
        <f t="shared" si="19"/>
        <v>TheewaterskloofR thousands</v>
      </c>
      <c r="AF420" s="969"/>
      <c r="AG420" s="969"/>
    </row>
    <row r="421" spans="2:33" ht="13.2" customHeight="1" x14ac:dyDescent="0.55000000000000004">
      <c r="B421" s="371"/>
      <c r="C421" s="1008" t="s">
        <v>667</v>
      </c>
      <c r="D421" s="360" t="str">
        <f t="shared" si="20"/>
        <v>Housing0100</v>
      </c>
      <c r="E421" s="361" t="str">
        <f t="shared" si="18"/>
        <v>TheewaterskloofHousingz</v>
      </c>
      <c r="F421" s="360" t="str">
        <f>'PART C- Municipal Details'!$G$7</f>
        <v>Theewaterskloof</v>
      </c>
      <c r="G421" s="361" t="s">
        <v>803</v>
      </c>
      <c r="H421" s="363" t="s">
        <v>807</v>
      </c>
      <c r="I421" s="496" t="s">
        <v>802</v>
      </c>
      <c r="J421" s="497" t="s">
        <v>658</v>
      </c>
      <c r="K421" s="490"/>
      <c r="L421" s="505" t="s">
        <v>162</v>
      </c>
      <c r="M421" s="506"/>
      <c r="N421" s="507"/>
      <c r="O421" s="507"/>
      <c r="P421" s="507"/>
      <c r="Q421" s="507"/>
      <c r="R421" s="507"/>
      <c r="S421" s="507"/>
      <c r="T421" s="507"/>
      <c r="U421" s="529">
        <v>0</v>
      </c>
      <c r="V421" s="529">
        <v>0</v>
      </c>
      <c r="W421" s="529">
        <v>0</v>
      </c>
      <c r="X421" s="490"/>
      <c r="Y421" s="969"/>
      <c r="Z421" s="969"/>
      <c r="AA421" s="969"/>
      <c r="AB421" s="969"/>
      <c r="AC421" s="969"/>
      <c r="AD421" s="969"/>
      <c r="AE421" s="969" t="str">
        <f t="shared" si="19"/>
        <v>TheewaterskloofRevenue</v>
      </c>
      <c r="AF421" s="969"/>
      <c r="AG421" s="969"/>
    </row>
    <row r="422" spans="2:33" ht="13.2" customHeight="1" x14ac:dyDescent="0.55000000000000004">
      <c r="B422" s="371"/>
      <c r="C422" s="1009" t="s">
        <v>668</v>
      </c>
      <c r="D422" s="361" t="str">
        <f t="shared" si="20"/>
        <v>Housing0200</v>
      </c>
      <c r="E422" s="360" t="str">
        <f t="shared" si="18"/>
        <v>TheewaterskloofHousingz</v>
      </c>
      <c r="F422" s="360" t="str">
        <f>'PART C- Municipal Details'!$G$7</f>
        <v>Theewaterskloof</v>
      </c>
      <c r="G422" s="360" t="s">
        <v>803</v>
      </c>
      <c r="H422" s="366" t="s">
        <v>807</v>
      </c>
      <c r="I422" s="496" t="s">
        <v>802</v>
      </c>
      <c r="J422" s="497" t="s">
        <v>0</v>
      </c>
      <c r="K422" s="490"/>
      <c r="L422" s="463" t="s">
        <v>670</v>
      </c>
      <c r="M422" s="459"/>
      <c r="N422" s="460"/>
      <c r="O422" s="460"/>
      <c r="P422" s="460"/>
      <c r="Q422" s="460"/>
      <c r="R422" s="460"/>
      <c r="S422" s="460"/>
      <c r="T422" s="460"/>
      <c r="U422" s="530">
        <v>0</v>
      </c>
      <c r="V422" s="530">
        <v>0</v>
      </c>
      <c r="W422" s="530">
        <v>0</v>
      </c>
      <c r="X422" s="490"/>
      <c r="Y422" s="969"/>
      <c r="Z422" s="969"/>
      <c r="AA422" s="969"/>
      <c r="AB422" s="969"/>
      <c r="AC422" s="969"/>
      <c r="AD422" s="969"/>
      <c r="AE422" s="969" t="str">
        <f t="shared" si="19"/>
        <v>TheewaterskloofExchange Revenue</v>
      </c>
      <c r="AF422" s="969"/>
      <c r="AG422" s="969"/>
    </row>
    <row r="423" spans="2:33" ht="13.2" customHeight="1" x14ac:dyDescent="0.55000000000000004">
      <c r="B423" s="371"/>
      <c r="C423" s="1010" t="s">
        <v>671</v>
      </c>
      <c r="D423" s="360" t="str">
        <f t="shared" si="20"/>
        <v>Housing0300</v>
      </c>
      <c r="E423" s="361" t="str">
        <f t="shared" si="18"/>
        <v>TheewaterskloofHousingService charges - electricity revenue</v>
      </c>
      <c r="F423" s="360" t="str">
        <f>'PART C- Municipal Details'!$G$7</f>
        <v>Theewaterskloof</v>
      </c>
      <c r="G423" s="361" t="s">
        <v>803</v>
      </c>
      <c r="H423" s="363" t="s">
        <v>807</v>
      </c>
      <c r="I423" s="496" t="s">
        <v>669</v>
      </c>
      <c r="J423" s="497" t="s">
        <v>669</v>
      </c>
      <c r="K423" s="490"/>
      <c r="L423" s="463" t="s">
        <v>673</v>
      </c>
      <c r="M423" s="459"/>
      <c r="N423" s="461"/>
      <c r="O423" s="461"/>
      <c r="P423" s="461"/>
      <c r="Q423" s="461"/>
      <c r="R423" s="461"/>
      <c r="S423" s="461"/>
      <c r="T423" s="461"/>
      <c r="U423" s="530">
        <v>0</v>
      </c>
      <c r="V423" s="530">
        <v>0</v>
      </c>
      <c r="W423" s="530">
        <v>0</v>
      </c>
      <c r="X423" s="490"/>
      <c r="Y423" s="969"/>
      <c r="Z423" s="969"/>
      <c r="AA423" s="969"/>
      <c r="AB423" s="969"/>
      <c r="AC423" s="969"/>
      <c r="AD423" s="969"/>
      <c r="AE423" s="969" t="str">
        <f t="shared" si="19"/>
        <v>TheewaterskloofService charges - Electricity</v>
      </c>
      <c r="AF423" s="969"/>
      <c r="AG423" s="969"/>
    </row>
    <row r="424" spans="2:33" ht="13.2" customHeight="1" x14ac:dyDescent="0.55000000000000004">
      <c r="B424" s="371"/>
      <c r="C424" s="1010" t="s">
        <v>674</v>
      </c>
      <c r="D424" s="361" t="str">
        <f t="shared" si="20"/>
        <v>Housing0400</v>
      </c>
      <c r="E424" s="360" t="str">
        <f t="shared" si="18"/>
        <v>TheewaterskloofHousingService charges - water revenue</v>
      </c>
      <c r="F424" s="360" t="str">
        <f>'PART C- Municipal Details'!$G$7</f>
        <v>Theewaterskloof</v>
      </c>
      <c r="G424" s="360" t="s">
        <v>803</v>
      </c>
      <c r="H424" s="366" t="s">
        <v>807</v>
      </c>
      <c r="I424" s="496" t="s">
        <v>672</v>
      </c>
      <c r="J424" s="497" t="s">
        <v>672</v>
      </c>
      <c r="K424" s="490"/>
      <c r="L424" s="463" t="s">
        <v>676</v>
      </c>
      <c r="M424" s="459"/>
      <c r="N424" s="461"/>
      <c r="O424" s="461"/>
      <c r="P424" s="461"/>
      <c r="Q424" s="461"/>
      <c r="R424" s="461"/>
      <c r="S424" s="461"/>
      <c r="T424" s="461"/>
      <c r="U424" s="530">
        <v>0</v>
      </c>
      <c r="V424" s="530">
        <v>0</v>
      </c>
      <c r="W424" s="530">
        <v>0</v>
      </c>
      <c r="X424" s="490"/>
      <c r="Y424" s="969"/>
      <c r="Z424" s="969"/>
      <c r="AA424" s="969"/>
      <c r="AB424" s="969"/>
      <c r="AC424" s="969"/>
      <c r="AD424" s="969"/>
      <c r="AE424" s="969" t="str">
        <f t="shared" si="19"/>
        <v>TheewaterskloofService charges - Water</v>
      </c>
      <c r="AF424" s="969"/>
      <c r="AG424" s="969"/>
    </row>
    <row r="425" spans="2:33" ht="13.2" customHeight="1" x14ac:dyDescent="0.55000000000000004">
      <c r="B425" s="371"/>
      <c r="C425" s="1010" t="s">
        <v>677</v>
      </c>
      <c r="D425" s="360" t="str">
        <f t="shared" si="20"/>
        <v>Housing0500</v>
      </c>
      <c r="E425" s="361" t="str">
        <f t="shared" si="18"/>
        <v>TheewaterskloofHousingService charges - sanitation revenue</v>
      </c>
      <c r="F425" s="360" t="str">
        <f>'PART C- Municipal Details'!$G$7</f>
        <v>Theewaterskloof</v>
      </c>
      <c r="G425" s="361" t="s">
        <v>803</v>
      </c>
      <c r="H425" s="363" t="s">
        <v>807</v>
      </c>
      <c r="I425" s="496" t="s">
        <v>675</v>
      </c>
      <c r="J425" s="497" t="s">
        <v>675</v>
      </c>
      <c r="K425" s="490"/>
      <c r="L425" s="463" t="s">
        <v>679</v>
      </c>
      <c r="M425" s="459"/>
      <c r="N425" s="461"/>
      <c r="O425" s="461"/>
      <c r="P425" s="461"/>
      <c r="Q425" s="461"/>
      <c r="R425" s="461"/>
      <c r="S425" s="461"/>
      <c r="T425" s="461"/>
      <c r="U425" s="530">
        <v>0</v>
      </c>
      <c r="V425" s="530">
        <v>0</v>
      </c>
      <c r="W425" s="530">
        <v>0</v>
      </c>
      <c r="X425" s="490"/>
      <c r="Y425" s="969"/>
      <c r="Z425" s="969"/>
      <c r="AA425" s="969"/>
      <c r="AB425" s="969"/>
      <c r="AC425" s="969"/>
      <c r="AD425" s="969"/>
      <c r="AE425" s="969" t="str">
        <f t="shared" si="19"/>
        <v>TheewaterskloofService charges - Waste Water Management</v>
      </c>
      <c r="AF425" s="969"/>
      <c r="AG425" s="969"/>
    </row>
    <row r="426" spans="2:33" ht="13.2" customHeight="1" x14ac:dyDescent="0.55000000000000004">
      <c r="B426" s="371"/>
      <c r="C426" s="1010" t="s">
        <v>680</v>
      </c>
      <c r="D426" s="361" t="str">
        <f t="shared" si="20"/>
        <v>Housing0600</v>
      </c>
      <c r="E426" s="360" t="str">
        <f t="shared" si="18"/>
        <v>TheewaterskloofHousingService charges - refuse revenue</v>
      </c>
      <c r="F426" s="360" t="str">
        <f>'PART C- Municipal Details'!$G$7</f>
        <v>Theewaterskloof</v>
      </c>
      <c r="G426" s="360" t="s">
        <v>803</v>
      </c>
      <c r="H426" s="366" t="s">
        <v>807</v>
      </c>
      <c r="I426" s="496" t="s">
        <v>678</v>
      </c>
      <c r="J426" s="497" t="s">
        <v>678</v>
      </c>
      <c r="K426" s="490"/>
      <c r="L426" s="463" t="s">
        <v>682</v>
      </c>
      <c r="M426" s="459"/>
      <c r="N426" s="461"/>
      <c r="O426" s="461"/>
      <c r="P426" s="461"/>
      <c r="Q426" s="461"/>
      <c r="R426" s="461"/>
      <c r="S426" s="461"/>
      <c r="T426" s="461"/>
      <c r="U426" s="530">
        <v>0</v>
      </c>
      <c r="V426" s="530">
        <v>0</v>
      </c>
      <c r="W426" s="530">
        <v>0</v>
      </c>
      <c r="X426" s="490"/>
      <c r="Y426" s="969"/>
      <c r="Z426" s="969"/>
      <c r="AA426" s="969"/>
      <c r="AB426" s="969"/>
      <c r="AC426" s="969"/>
      <c r="AD426" s="969"/>
      <c r="AE426" s="969" t="str">
        <f t="shared" si="19"/>
        <v>TheewaterskloofService charges - Waste Management</v>
      </c>
      <c r="AF426" s="969"/>
      <c r="AG426" s="969"/>
    </row>
    <row r="427" spans="2:33" ht="13.2" customHeight="1" x14ac:dyDescent="0.55000000000000004">
      <c r="B427" s="371"/>
      <c r="C427" s="1010" t="s">
        <v>683</v>
      </c>
      <c r="D427" s="360" t="str">
        <f t="shared" si="20"/>
        <v>Housing0700</v>
      </c>
      <c r="E427" s="361" t="str">
        <f t="shared" si="18"/>
        <v>TheewaterskloofHousingOther revenue</v>
      </c>
      <c r="F427" s="360" t="str">
        <f>'PART C- Municipal Details'!$G$7</f>
        <v>Theewaterskloof</v>
      </c>
      <c r="G427" s="361" t="s">
        <v>803</v>
      </c>
      <c r="H427" s="363" t="s">
        <v>807</v>
      </c>
      <c r="I427" s="496" t="s">
        <v>7</v>
      </c>
      <c r="J427" s="497" t="s">
        <v>681</v>
      </c>
      <c r="K427" s="490"/>
      <c r="L427" s="463" t="s">
        <v>684</v>
      </c>
      <c r="M427" s="459"/>
      <c r="N427" s="461"/>
      <c r="O427" s="461"/>
      <c r="P427" s="461"/>
      <c r="Q427" s="461"/>
      <c r="R427" s="461"/>
      <c r="S427" s="461"/>
      <c r="T427" s="461"/>
      <c r="U427" s="530">
        <v>0</v>
      </c>
      <c r="V427" s="530">
        <v>0</v>
      </c>
      <c r="W427" s="530">
        <v>0</v>
      </c>
      <c r="X427" s="490"/>
      <c r="Y427" s="969"/>
      <c r="Z427" s="969"/>
      <c r="AA427" s="969"/>
      <c r="AB427" s="969"/>
      <c r="AC427" s="969"/>
      <c r="AD427" s="969"/>
      <c r="AE427" s="969" t="str">
        <f t="shared" si="19"/>
        <v>TheewaterskloofSale of Goods and Rendering of Services</v>
      </c>
      <c r="AF427" s="969"/>
      <c r="AG427" s="969"/>
    </row>
    <row r="428" spans="2:33" ht="13.2" customHeight="1" x14ac:dyDescent="0.55000000000000004">
      <c r="B428" s="371"/>
      <c r="C428" s="1010" t="s">
        <v>685</v>
      </c>
      <c r="D428" s="361" t="str">
        <f t="shared" si="20"/>
        <v>Housing0800</v>
      </c>
      <c r="E428" s="360" t="str">
        <f t="shared" si="18"/>
        <v>TheewaterskloofHousingAgency services</v>
      </c>
      <c r="F428" s="360" t="str">
        <f>'PART C- Municipal Details'!$G$7</f>
        <v>Theewaterskloof</v>
      </c>
      <c r="G428" s="360" t="s">
        <v>803</v>
      </c>
      <c r="H428" s="366" t="s">
        <v>807</v>
      </c>
      <c r="I428" s="496" t="s">
        <v>6</v>
      </c>
      <c r="J428" s="497" t="s">
        <v>1</v>
      </c>
      <c r="K428" s="490"/>
      <c r="L428" s="463" t="s">
        <v>6</v>
      </c>
      <c r="M428" s="459"/>
      <c r="N428" s="461"/>
      <c r="O428" s="461"/>
      <c r="P428" s="461"/>
      <c r="Q428" s="461"/>
      <c r="R428" s="461"/>
      <c r="S428" s="461"/>
      <c r="T428" s="461"/>
      <c r="U428" s="530">
        <v>0</v>
      </c>
      <c r="V428" s="530">
        <v>0</v>
      </c>
      <c r="W428" s="530">
        <v>0</v>
      </c>
      <c r="X428" s="490"/>
      <c r="Y428" s="969"/>
      <c r="Z428" s="969"/>
      <c r="AA428" s="969"/>
      <c r="AB428" s="969"/>
      <c r="AC428" s="969"/>
      <c r="AD428" s="969"/>
      <c r="AE428" s="969" t="str">
        <f t="shared" si="19"/>
        <v>TheewaterskloofAgency services</v>
      </c>
      <c r="AF428" s="969"/>
      <c r="AG428" s="969"/>
    </row>
    <row r="429" spans="2:33" ht="13.2" customHeight="1" x14ac:dyDescent="0.55000000000000004">
      <c r="B429" s="371"/>
      <c r="C429" s="1010" t="s">
        <v>686</v>
      </c>
      <c r="D429" s="360" t="str">
        <f t="shared" si="20"/>
        <v>Housing0900</v>
      </c>
      <c r="E429" s="361" t="str">
        <f t="shared" si="18"/>
        <v>TheewaterskloofHousingInterest earned - external investments</v>
      </c>
      <c r="F429" s="360" t="str">
        <f>'PART C- Municipal Details'!$G$7</f>
        <v>Theewaterskloof</v>
      </c>
      <c r="G429" s="361" t="s">
        <v>803</v>
      </c>
      <c r="H429" s="363" t="s">
        <v>807</v>
      </c>
      <c r="I429" s="496" t="s">
        <v>2</v>
      </c>
      <c r="J429" s="497" t="s">
        <v>2</v>
      </c>
      <c r="K429" s="490"/>
      <c r="L429" s="463" t="s">
        <v>687</v>
      </c>
      <c r="M429" s="459"/>
      <c r="N429" s="461"/>
      <c r="O429" s="461"/>
      <c r="P429" s="461"/>
      <c r="Q429" s="461"/>
      <c r="R429" s="461"/>
      <c r="S429" s="461"/>
      <c r="T429" s="461"/>
      <c r="U429" s="530">
        <v>0</v>
      </c>
      <c r="V429" s="530">
        <v>0</v>
      </c>
      <c r="W429" s="530">
        <v>0</v>
      </c>
      <c r="X429" s="490"/>
      <c r="Y429" s="969"/>
      <c r="Z429" s="969"/>
      <c r="AA429" s="969"/>
      <c r="AB429" s="969"/>
      <c r="AC429" s="969"/>
      <c r="AD429" s="969"/>
      <c r="AE429" s="969" t="str">
        <f t="shared" si="19"/>
        <v>TheewaterskloofInterest</v>
      </c>
      <c r="AF429" s="969"/>
      <c r="AG429" s="969"/>
    </row>
    <row r="430" spans="2:33" ht="13.2" customHeight="1" x14ac:dyDescent="0.55000000000000004">
      <c r="B430" s="371"/>
      <c r="C430" s="1010" t="s">
        <v>688</v>
      </c>
      <c r="D430" s="361" t="str">
        <f t="shared" si="20"/>
        <v>Housing1000</v>
      </c>
      <c r="E430" s="360" t="str">
        <f t="shared" si="18"/>
        <v>TheewaterskloofHousingInterest earned - outstanding debtors</v>
      </c>
      <c r="F430" s="360" t="str">
        <f>'PART C- Municipal Details'!$G$7</f>
        <v>Theewaterskloof</v>
      </c>
      <c r="G430" s="360" t="s">
        <v>803</v>
      </c>
      <c r="H430" s="366" t="s">
        <v>807</v>
      </c>
      <c r="I430" s="496" t="s">
        <v>3</v>
      </c>
      <c r="J430" s="497" t="s">
        <v>3</v>
      </c>
      <c r="K430" s="490"/>
      <c r="L430" s="463" t="s">
        <v>689</v>
      </c>
      <c r="M430" s="459"/>
      <c r="N430" s="461"/>
      <c r="O430" s="461"/>
      <c r="P430" s="461"/>
      <c r="Q430" s="461"/>
      <c r="R430" s="461"/>
      <c r="S430" s="461"/>
      <c r="T430" s="461"/>
      <c r="U430" s="530">
        <v>0</v>
      </c>
      <c r="V430" s="530">
        <v>0</v>
      </c>
      <c r="W430" s="530">
        <v>0</v>
      </c>
      <c r="X430" s="490"/>
      <c r="Y430" s="969"/>
      <c r="Z430" s="969"/>
      <c r="AA430" s="969"/>
      <c r="AB430" s="969"/>
      <c r="AC430" s="969"/>
      <c r="AD430" s="969"/>
      <c r="AE430" s="969" t="str">
        <f t="shared" si="19"/>
        <v>TheewaterskloofInterest earned from Receivables</v>
      </c>
      <c r="AF430" s="969"/>
      <c r="AG430" s="969"/>
    </row>
    <row r="431" spans="2:33" ht="13.2" customHeight="1" x14ac:dyDescent="0.55000000000000004">
      <c r="B431" s="371"/>
      <c r="C431" s="1010" t="s">
        <v>690</v>
      </c>
      <c r="D431" s="360" t="str">
        <f t="shared" si="20"/>
        <v>Housing1100</v>
      </c>
      <c r="E431" s="361" t="str">
        <f t="shared" si="18"/>
        <v>TheewaterskloofHousingInterest earned - external investments</v>
      </c>
      <c r="F431" s="360" t="str">
        <f>'PART C- Municipal Details'!$G$7</f>
        <v>Theewaterskloof</v>
      </c>
      <c r="G431" s="361" t="s">
        <v>803</v>
      </c>
      <c r="H431" s="363" t="s">
        <v>807</v>
      </c>
      <c r="I431" s="496" t="s">
        <v>2</v>
      </c>
      <c r="J431" s="497" t="s">
        <v>4</v>
      </c>
      <c r="K431" s="490"/>
      <c r="L431" s="463" t="s">
        <v>692</v>
      </c>
      <c r="M431" s="459"/>
      <c r="N431" s="461"/>
      <c r="O431" s="461"/>
      <c r="P431" s="461"/>
      <c r="Q431" s="461"/>
      <c r="R431" s="461"/>
      <c r="S431" s="461"/>
      <c r="T431" s="461"/>
      <c r="U431" s="530">
        <v>0</v>
      </c>
      <c r="V431" s="530">
        <v>0</v>
      </c>
      <c r="W431" s="530">
        <v>0</v>
      </c>
      <c r="X431" s="490"/>
      <c r="Y431" s="969"/>
      <c r="Z431" s="969"/>
      <c r="AA431" s="969"/>
      <c r="AB431" s="969"/>
      <c r="AC431" s="969"/>
      <c r="AD431" s="969"/>
      <c r="AE431" s="969" t="str">
        <f t="shared" si="19"/>
        <v>TheewaterskloofInterest earned from Current and Non Current Assets</v>
      </c>
      <c r="AF431" s="969"/>
      <c r="AG431" s="969"/>
    </row>
    <row r="432" spans="2:33" ht="13.2" customHeight="1" x14ac:dyDescent="0.55000000000000004">
      <c r="B432" s="371"/>
      <c r="C432" s="1010" t="s">
        <v>693</v>
      </c>
      <c r="D432" s="361" t="str">
        <f t="shared" si="20"/>
        <v>Housing1200</v>
      </c>
      <c r="E432" s="360" t="str">
        <f t="shared" si="18"/>
        <v>TheewaterskloofHousingDividends received</v>
      </c>
      <c r="F432" s="360" t="str">
        <f>'PART C- Municipal Details'!$G$7</f>
        <v>Theewaterskloof</v>
      </c>
      <c r="G432" s="360" t="s">
        <v>803</v>
      </c>
      <c r="H432" s="366" t="s">
        <v>807</v>
      </c>
      <c r="I432" s="496" t="s">
        <v>4</v>
      </c>
      <c r="J432" s="497" t="s">
        <v>691</v>
      </c>
      <c r="K432" s="490"/>
      <c r="L432" s="463" t="s">
        <v>694</v>
      </c>
      <c r="M432" s="459"/>
      <c r="N432" s="461"/>
      <c r="O432" s="461"/>
      <c r="P432" s="461"/>
      <c r="Q432" s="461"/>
      <c r="R432" s="461"/>
      <c r="S432" s="461"/>
      <c r="T432" s="461"/>
      <c r="U432" s="530">
        <v>0</v>
      </c>
      <c r="V432" s="530">
        <v>0</v>
      </c>
      <c r="W432" s="530">
        <v>0</v>
      </c>
      <c r="X432" s="490"/>
      <c r="Y432" s="969"/>
      <c r="Z432" s="969"/>
      <c r="AA432" s="969"/>
      <c r="AB432" s="969"/>
      <c r="AC432" s="969"/>
      <c r="AD432" s="969"/>
      <c r="AE432" s="969" t="str">
        <f t="shared" si="19"/>
        <v>TheewaterskloofDividends</v>
      </c>
      <c r="AF432" s="969"/>
      <c r="AG432" s="969"/>
    </row>
    <row r="433" spans="2:33" ht="13.2" customHeight="1" x14ac:dyDescent="0.55000000000000004">
      <c r="B433" s="371"/>
      <c r="C433" s="1010" t="s">
        <v>695</v>
      </c>
      <c r="D433" s="360" t="str">
        <f t="shared" si="20"/>
        <v>Housing1300</v>
      </c>
      <c r="E433" s="361" t="str">
        <f t="shared" si="18"/>
        <v>TheewaterskloofHousingRental of facilities and equipment</v>
      </c>
      <c r="F433" s="360" t="str">
        <f>'PART C- Municipal Details'!$G$7</f>
        <v>Theewaterskloof</v>
      </c>
      <c r="G433" s="361" t="s">
        <v>803</v>
      </c>
      <c r="H433" s="363" t="s">
        <v>807</v>
      </c>
      <c r="I433" s="496" t="s">
        <v>1</v>
      </c>
      <c r="J433" s="497" t="s">
        <v>5</v>
      </c>
      <c r="K433" s="490"/>
      <c r="L433" s="463" t="s">
        <v>696</v>
      </c>
      <c r="M433" s="459"/>
      <c r="N433" s="461"/>
      <c r="O433" s="461"/>
      <c r="P433" s="461"/>
      <c r="Q433" s="461"/>
      <c r="R433" s="461"/>
      <c r="S433" s="461"/>
      <c r="T433" s="461"/>
      <c r="U433" s="530">
        <v>0</v>
      </c>
      <c r="V433" s="530">
        <v>0</v>
      </c>
      <c r="W433" s="530">
        <v>0</v>
      </c>
      <c r="X433" s="490"/>
      <c r="Y433" s="969"/>
      <c r="Z433" s="969"/>
      <c r="AA433" s="969"/>
      <c r="AB433" s="969"/>
      <c r="AC433" s="969"/>
      <c r="AD433" s="969"/>
      <c r="AE433" s="969" t="str">
        <f t="shared" si="19"/>
        <v>TheewaterskloofRent on Land</v>
      </c>
      <c r="AF433" s="969"/>
      <c r="AG433" s="969"/>
    </row>
    <row r="434" spans="2:33" ht="13.2" customHeight="1" x14ac:dyDescent="0.55000000000000004">
      <c r="B434" s="371"/>
      <c r="C434" s="1010" t="s">
        <v>697</v>
      </c>
      <c r="D434" s="361" t="str">
        <f t="shared" si="20"/>
        <v>Housing1400</v>
      </c>
      <c r="E434" s="360" t="str">
        <f t="shared" si="18"/>
        <v>TheewaterskloofHousingRental of facilities and equipment</v>
      </c>
      <c r="F434" s="360" t="str">
        <f>'PART C- Municipal Details'!$G$7</f>
        <v>Theewaterskloof</v>
      </c>
      <c r="G434" s="360" t="s">
        <v>803</v>
      </c>
      <c r="H434" s="366" t="s">
        <v>807</v>
      </c>
      <c r="I434" s="496" t="s">
        <v>1</v>
      </c>
      <c r="J434" s="497" t="s">
        <v>6</v>
      </c>
      <c r="K434" s="490"/>
      <c r="L434" s="463" t="s">
        <v>699</v>
      </c>
      <c r="M434" s="459"/>
      <c r="N434" s="461"/>
      <c r="O434" s="461"/>
      <c r="P434" s="461"/>
      <c r="Q434" s="461"/>
      <c r="R434" s="461"/>
      <c r="S434" s="461"/>
      <c r="T434" s="461"/>
      <c r="U434" s="530">
        <v>0</v>
      </c>
      <c r="V434" s="530">
        <v>0</v>
      </c>
      <c r="W434" s="530">
        <v>0</v>
      </c>
      <c r="X434" s="490"/>
      <c r="Y434" s="969"/>
      <c r="Z434" s="969"/>
      <c r="AA434" s="969"/>
      <c r="AB434" s="969"/>
      <c r="AC434" s="969"/>
      <c r="AD434" s="969"/>
      <c r="AE434" s="969" t="str">
        <f t="shared" si="19"/>
        <v>TheewaterskloofRental from Fixed Assets</v>
      </c>
      <c r="AF434" s="969"/>
      <c r="AG434" s="969"/>
    </row>
    <row r="435" spans="2:33" ht="13.2" customHeight="1" x14ac:dyDescent="0.55000000000000004">
      <c r="B435" s="371"/>
      <c r="C435" s="1010" t="s">
        <v>700</v>
      </c>
      <c r="D435" s="360" t="str">
        <f t="shared" si="20"/>
        <v>Housing1500</v>
      </c>
      <c r="E435" s="361" t="str">
        <f t="shared" si="18"/>
        <v>TheewaterskloofHousingLicences and permits</v>
      </c>
      <c r="F435" s="360" t="str">
        <f>'PART C- Municipal Details'!$G$7</f>
        <v>Theewaterskloof</v>
      </c>
      <c r="G435" s="361" t="s">
        <v>803</v>
      </c>
      <c r="H435" s="363" t="s">
        <v>807</v>
      </c>
      <c r="I435" s="496" t="s">
        <v>5</v>
      </c>
      <c r="J435" s="497" t="s">
        <v>698</v>
      </c>
      <c r="K435" s="490"/>
      <c r="L435" s="463" t="s">
        <v>701</v>
      </c>
      <c r="M435" s="459"/>
      <c r="N435" s="461"/>
      <c r="O435" s="461"/>
      <c r="P435" s="461"/>
      <c r="Q435" s="461"/>
      <c r="R435" s="461"/>
      <c r="S435" s="461"/>
      <c r="T435" s="461"/>
      <c r="U435" s="530">
        <v>0</v>
      </c>
      <c r="V435" s="530">
        <v>0</v>
      </c>
      <c r="W435" s="530">
        <v>0</v>
      </c>
      <c r="X435" s="490"/>
      <c r="Y435" s="969"/>
      <c r="Z435" s="969"/>
      <c r="AA435" s="969"/>
      <c r="AB435" s="969"/>
      <c r="AC435" s="969"/>
      <c r="AD435" s="969"/>
      <c r="AE435" s="969" t="str">
        <f t="shared" si="19"/>
        <v>TheewaterskloofLicence and permits</v>
      </c>
      <c r="AF435" s="969"/>
      <c r="AG435" s="969"/>
    </row>
    <row r="436" spans="2:33" ht="13.2" customHeight="1" x14ac:dyDescent="0.55000000000000004">
      <c r="B436" s="371"/>
      <c r="C436" s="1324" t="s">
        <v>1569</v>
      </c>
      <c r="D436" s="360" t="str">
        <f t="shared" si="20"/>
        <v>Housing1550</v>
      </c>
      <c r="E436" s="360" t="str">
        <f t="shared" si="18"/>
        <v>TheewaterskloofHousingSpecial rating Levies</v>
      </c>
      <c r="F436" s="360" t="str">
        <f>'PART C- Municipal Details'!$G$7</f>
        <v>Theewaterskloof</v>
      </c>
      <c r="G436" s="360" t="s">
        <v>803</v>
      </c>
      <c r="H436" s="363" t="s">
        <v>807</v>
      </c>
      <c r="I436" s="496" t="s">
        <v>1568</v>
      </c>
      <c r="J436" s="497" t="s">
        <v>7</v>
      </c>
      <c r="K436" s="490"/>
      <c r="L436" s="463" t="s">
        <v>1567</v>
      </c>
      <c r="M436" s="459"/>
      <c r="N436" s="461"/>
      <c r="O436" s="461"/>
      <c r="P436" s="461"/>
      <c r="Q436" s="461"/>
      <c r="R436" s="461"/>
      <c r="S436" s="461"/>
      <c r="T436" s="461"/>
      <c r="U436" s="530">
        <v>0</v>
      </c>
      <c r="V436" s="530">
        <v>0</v>
      </c>
      <c r="W436" s="530">
        <v>0</v>
      </c>
      <c r="X436" s="490"/>
      <c r="Y436" s="969"/>
      <c r="Z436" s="969"/>
      <c r="AA436" s="969"/>
      <c r="AB436" s="969"/>
      <c r="AC436" s="969"/>
      <c r="AD436" s="969"/>
      <c r="AE436" s="969"/>
      <c r="AF436" s="969"/>
      <c r="AG436" s="969"/>
    </row>
    <row r="437" spans="2:33" ht="13.2" customHeight="1" x14ac:dyDescent="0.55000000000000004">
      <c r="B437" s="371"/>
      <c r="C437" s="1010" t="s">
        <v>702</v>
      </c>
      <c r="D437" s="361" t="str">
        <f t="shared" si="20"/>
        <v>Housing1600</v>
      </c>
      <c r="E437" s="360" t="str">
        <f t="shared" si="18"/>
        <v>TheewaterskloofHousingOther revenue</v>
      </c>
      <c r="F437" s="360" t="str">
        <f>'PART C- Municipal Details'!$G$7</f>
        <v>Theewaterskloof</v>
      </c>
      <c r="G437" s="360" t="s">
        <v>803</v>
      </c>
      <c r="H437" s="366" t="s">
        <v>807</v>
      </c>
      <c r="I437" s="496" t="s">
        <v>7</v>
      </c>
      <c r="J437" s="497" t="s">
        <v>7</v>
      </c>
      <c r="K437" s="490"/>
      <c r="L437" s="463" t="s">
        <v>704</v>
      </c>
      <c r="M437" s="459"/>
      <c r="N437" s="461"/>
      <c r="O437" s="461"/>
      <c r="P437" s="461"/>
      <c r="Q437" s="461"/>
      <c r="R437" s="461"/>
      <c r="S437" s="461"/>
      <c r="T437" s="461"/>
      <c r="U437" s="530">
        <v>0</v>
      </c>
      <c r="V437" s="530">
        <v>0</v>
      </c>
      <c r="W437" s="530">
        <v>0</v>
      </c>
      <c r="X437" s="490"/>
      <c r="Y437" s="969"/>
      <c r="Z437" s="969"/>
      <c r="AA437" s="969"/>
      <c r="AB437" s="969"/>
      <c r="AC437" s="969"/>
      <c r="AD437" s="969"/>
      <c r="AE437" s="969" t="str">
        <f t="shared" si="19"/>
        <v>TheewaterskloofOperational Revenue</v>
      </c>
      <c r="AF437" s="969"/>
      <c r="AG437" s="969"/>
    </row>
    <row r="438" spans="2:33" ht="13.2" customHeight="1" x14ac:dyDescent="0.55000000000000004">
      <c r="B438" s="371"/>
      <c r="C438" s="1009" t="s">
        <v>705</v>
      </c>
      <c r="D438" s="360" t="str">
        <f t="shared" si="20"/>
        <v>Housing1700</v>
      </c>
      <c r="E438" s="361" t="str">
        <f t="shared" si="18"/>
        <v>TheewaterskloofHousingx</v>
      </c>
      <c r="F438" s="360" t="str">
        <f>'PART C- Municipal Details'!$G$7</f>
        <v>Theewaterskloof</v>
      </c>
      <c r="G438" s="361" t="s">
        <v>803</v>
      </c>
      <c r="H438" s="363" t="s">
        <v>807</v>
      </c>
      <c r="I438" s="496" t="s">
        <v>789</v>
      </c>
      <c r="J438" s="497" t="s">
        <v>703</v>
      </c>
      <c r="K438" s="490"/>
      <c r="L438" s="508" t="s">
        <v>708</v>
      </c>
      <c r="M438" s="509"/>
      <c r="N438" s="510"/>
      <c r="O438" s="510"/>
      <c r="P438" s="510"/>
      <c r="Q438" s="510"/>
      <c r="R438" s="510"/>
      <c r="S438" s="510"/>
      <c r="T438" s="511"/>
      <c r="U438" s="531">
        <v>0</v>
      </c>
      <c r="V438" s="531">
        <v>0</v>
      </c>
      <c r="W438" s="531">
        <v>0</v>
      </c>
      <c r="X438" s="490"/>
      <c r="Y438" s="969"/>
      <c r="Z438" s="969"/>
      <c r="AA438" s="969"/>
      <c r="AB438" s="969"/>
      <c r="AC438" s="969"/>
      <c r="AD438" s="969"/>
      <c r="AE438" s="969" t="str">
        <f t="shared" si="19"/>
        <v>TheewaterskloofNon-Exchange Revenue</v>
      </c>
      <c r="AF438" s="969"/>
      <c r="AG438" s="969"/>
    </row>
    <row r="439" spans="2:33" ht="13.2" customHeight="1" x14ac:dyDescent="0.55000000000000004">
      <c r="B439" s="371"/>
      <c r="C439" s="1010" t="s">
        <v>709</v>
      </c>
      <c r="D439" s="361" t="str">
        <f t="shared" si="20"/>
        <v>Housing1800</v>
      </c>
      <c r="E439" s="360" t="str">
        <f t="shared" si="18"/>
        <v>TheewaterskloofHousingProperty rates</v>
      </c>
      <c r="F439" s="360" t="str">
        <f>'PART C- Municipal Details'!$G$7</f>
        <v>Theewaterskloof</v>
      </c>
      <c r="G439" s="360" t="s">
        <v>803</v>
      </c>
      <c r="H439" s="366" t="s">
        <v>807</v>
      </c>
      <c r="I439" s="496" t="s">
        <v>0</v>
      </c>
      <c r="J439" s="497" t="s">
        <v>707</v>
      </c>
      <c r="K439" s="490"/>
      <c r="L439" s="463" t="s">
        <v>0</v>
      </c>
      <c r="M439" s="459"/>
      <c r="N439" s="460"/>
      <c r="O439" s="460"/>
      <c r="P439" s="460"/>
      <c r="Q439" s="460"/>
      <c r="R439" s="460"/>
      <c r="S439" s="460"/>
      <c r="T439" s="460"/>
      <c r="U439" s="530">
        <v>0</v>
      </c>
      <c r="V439" s="530">
        <v>0</v>
      </c>
      <c r="W439" s="530">
        <v>0</v>
      </c>
      <c r="X439" s="490"/>
      <c r="Y439" s="969"/>
      <c r="Z439" s="969"/>
      <c r="AA439" s="969"/>
      <c r="AB439" s="969"/>
      <c r="AC439" s="969"/>
      <c r="AD439" s="969"/>
      <c r="AE439" s="969" t="str">
        <f t="shared" si="19"/>
        <v>TheewaterskloofProperty rates</v>
      </c>
      <c r="AF439" s="969"/>
      <c r="AG439" s="969"/>
    </row>
    <row r="440" spans="2:33" ht="13.2" customHeight="1" x14ac:dyDescent="0.55000000000000004">
      <c r="B440" s="371"/>
      <c r="C440" s="1010" t="s">
        <v>711</v>
      </c>
      <c r="D440" s="360" t="str">
        <f t="shared" si="20"/>
        <v>Housing1900</v>
      </c>
      <c r="E440" s="361" t="str">
        <f t="shared" si="18"/>
        <v>TheewaterskloofHousingOther revenue</v>
      </c>
      <c r="F440" s="360" t="str">
        <f>'PART C- Municipal Details'!$G$7</f>
        <v>Theewaterskloof</v>
      </c>
      <c r="G440" s="361" t="s">
        <v>803</v>
      </c>
      <c r="H440" s="363" t="s">
        <v>807</v>
      </c>
      <c r="I440" s="496" t="s">
        <v>7</v>
      </c>
      <c r="J440" s="497" t="s">
        <v>710</v>
      </c>
      <c r="K440" s="490"/>
      <c r="L440" s="463" t="s">
        <v>713</v>
      </c>
      <c r="M440" s="459"/>
      <c r="N440" s="461"/>
      <c r="O440" s="461"/>
      <c r="P440" s="461"/>
      <c r="Q440" s="461"/>
      <c r="R440" s="461"/>
      <c r="S440" s="461"/>
      <c r="T440" s="461"/>
      <c r="U440" s="530">
        <v>0</v>
      </c>
      <c r="V440" s="530">
        <v>0</v>
      </c>
      <c r="W440" s="530">
        <v>0</v>
      </c>
      <c r="X440" s="490"/>
      <c r="Y440" s="969"/>
      <c r="Z440" s="969"/>
      <c r="AA440" s="969"/>
      <c r="AB440" s="969"/>
      <c r="AC440" s="969"/>
      <c r="AD440" s="969"/>
      <c r="AE440" s="969" t="str">
        <f t="shared" si="19"/>
        <v>TheewaterskloofSurcharges and Taxes</v>
      </c>
      <c r="AF440" s="969"/>
      <c r="AG440" s="969"/>
    </row>
    <row r="441" spans="2:33" ht="13.2" customHeight="1" x14ac:dyDescent="0.55000000000000004">
      <c r="B441" s="371"/>
      <c r="C441" s="1010" t="s">
        <v>714</v>
      </c>
      <c r="D441" s="361" t="str">
        <f t="shared" si="20"/>
        <v>Housing2000</v>
      </c>
      <c r="E441" s="360" t="str">
        <f t="shared" si="18"/>
        <v>TheewaterskloofHousingFines, penalties and forfeits</v>
      </c>
      <c r="F441" s="360" t="str">
        <f>'PART C- Municipal Details'!$G$7</f>
        <v>Theewaterskloof</v>
      </c>
      <c r="G441" s="360" t="s">
        <v>803</v>
      </c>
      <c r="H441" s="366" t="s">
        <v>807</v>
      </c>
      <c r="I441" s="496" t="s">
        <v>691</v>
      </c>
      <c r="J441" s="497" t="s">
        <v>712</v>
      </c>
      <c r="K441" s="490"/>
      <c r="L441" s="463" t="s">
        <v>691</v>
      </c>
      <c r="M441" s="459"/>
      <c r="N441" s="461"/>
      <c r="O441" s="461"/>
      <c r="P441" s="461"/>
      <c r="Q441" s="461"/>
      <c r="R441" s="461"/>
      <c r="S441" s="461"/>
      <c r="T441" s="461"/>
      <c r="U441" s="530">
        <v>0</v>
      </c>
      <c r="V441" s="530">
        <v>0</v>
      </c>
      <c r="W441" s="530">
        <v>0</v>
      </c>
      <c r="X441" s="490"/>
      <c r="Y441" s="969"/>
      <c r="Z441" s="969"/>
      <c r="AA441" s="969"/>
      <c r="AB441" s="969"/>
      <c r="AC441" s="969"/>
      <c r="AD441" s="969"/>
      <c r="AE441" s="969" t="str">
        <f t="shared" si="19"/>
        <v>TheewaterskloofFines, penalties and forfeits</v>
      </c>
      <c r="AF441" s="969"/>
      <c r="AG441" s="969"/>
    </row>
    <row r="442" spans="2:33" ht="13.2" customHeight="1" x14ac:dyDescent="0.55000000000000004">
      <c r="B442" s="371"/>
      <c r="C442" s="1010" t="s">
        <v>715</v>
      </c>
      <c r="D442" s="360" t="str">
        <f t="shared" si="20"/>
        <v>Housing2100</v>
      </c>
      <c r="E442" s="361" t="str">
        <f t="shared" si="18"/>
        <v>TheewaterskloofHousingLicences and permits</v>
      </c>
      <c r="F442" s="360" t="str">
        <f>'PART C- Municipal Details'!$G$7</f>
        <v>Theewaterskloof</v>
      </c>
      <c r="G442" s="361" t="s">
        <v>803</v>
      </c>
      <c r="H442" s="363" t="s">
        <v>807</v>
      </c>
      <c r="I442" s="496" t="s">
        <v>5</v>
      </c>
      <c r="J442" s="497" t="s">
        <v>8</v>
      </c>
      <c r="K442" s="490"/>
      <c r="L442" s="463" t="s">
        <v>716</v>
      </c>
      <c r="M442" s="459"/>
      <c r="N442" s="461"/>
      <c r="O442" s="461"/>
      <c r="P442" s="461"/>
      <c r="Q442" s="461"/>
      <c r="R442" s="461"/>
      <c r="S442" s="461"/>
      <c r="T442" s="461"/>
      <c r="U442" s="530">
        <v>0</v>
      </c>
      <c r="V442" s="530">
        <v>0</v>
      </c>
      <c r="W442" s="530">
        <v>0</v>
      </c>
      <c r="X442" s="490"/>
      <c r="Y442" s="969"/>
      <c r="Z442" s="969"/>
      <c r="AA442" s="969"/>
      <c r="AB442" s="969"/>
      <c r="AC442" s="969"/>
      <c r="AD442" s="969"/>
      <c r="AE442" s="969" t="str">
        <f t="shared" si="19"/>
        <v>TheewaterskloofLicences or permits</v>
      </c>
      <c r="AF442" s="969"/>
      <c r="AG442" s="969"/>
    </row>
    <row r="443" spans="2:33" ht="13.2" customHeight="1" x14ac:dyDescent="0.55000000000000004">
      <c r="B443" s="371"/>
      <c r="C443" s="1010" t="s">
        <v>717</v>
      </c>
      <c r="D443" s="361" t="str">
        <f t="shared" si="20"/>
        <v>Housing2200</v>
      </c>
      <c r="E443" s="360" t="str">
        <f t="shared" si="18"/>
        <v>TheewaterskloofHousingTransfers and subsidies Income</v>
      </c>
      <c r="F443" s="360" t="str">
        <f>'PART C- Municipal Details'!$G$7</f>
        <v>Theewaterskloof</v>
      </c>
      <c r="G443" s="360" t="s">
        <v>803</v>
      </c>
      <c r="H443" s="366" t="s">
        <v>807</v>
      </c>
      <c r="I443" s="496" t="s">
        <v>698</v>
      </c>
      <c r="J443" s="497" t="s">
        <v>9</v>
      </c>
      <c r="K443" s="490"/>
      <c r="L443" s="463" t="s">
        <v>718</v>
      </c>
      <c r="M443" s="459"/>
      <c r="N443" s="461"/>
      <c r="O443" s="461"/>
      <c r="P443" s="461"/>
      <c r="Q443" s="461"/>
      <c r="R443" s="461"/>
      <c r="S443" s="461"/>
      <c r="T443" s="461"/>
      <c r="U443" s="530">
        <v>0</v>
      </c>
      <c r="V443" s="530">
        <v>0</v>
      </c>
      <c r="W443" s="530">
        <v>0</v>
      </c>
      <c r="X443" s="490"/>
      <c r="Y443" s="969"/>
      <c r="Z443" s="969"/>
      <c r="AA443" s="969"/>
      <c r="AB443" s="969"/>
      <c r="AC443" s="969"/>
      <c r="AD443" s="969"/>
      <c r="AE443" s="969" t="str">
        <f t="shared" si="19"/>
        <v>TheewaterskloofTransfer and subsidies - Operational</v>
      </c>
      <c r="AF443" s="969"/>
      <c r="AG443" s="969"/>
    </row>
    <row r="444" spans="2:33" ht="13.2" customHeight="1" x14ac:dyDescent="0.55000000000000004">
      <c r="B444" s="371"/>
      <c r="C444" s="1010" t="s">
        <v>719</v>
      </c>
      <c r="D444" s="360" t="str">
        <f t="shared" si="20"/>
        <v>Housing2300</v>
      </c>
      <c r="E444" s="361" t="str">
        <f t="shared" si="18"/>
        <v>TheewaterskloofHousingInterest earned - external investments</v>
      </c>
      <c r="F444" s="360" t="str">
        <f>'PART C- Municipal Details'!$G$7</f>
        <v>Theewaterskloof</v>
      </c>
      <c r="G444" s="361" t="s">
        <v>803</v>
      </c>
      <c r="H444" s="363" t="s">
        <v>807</v>
      </c>
      <c r="I444" s="496" t="s">
        <v>2</v>
      </c>
      <c r="J444" s="497" t="s">
        <v>10</v>
      </c>
      <c r="K444" s="490"/>
      <c r="L444" s="463" t="s">
        <v>687</v>
      </c>
      <c r="M444" s="459"/>
      <c r="N444" s="461"/>
      <c r="O444" s="461"/>
      <c r="P444" s="461"/>
      <c r="Q444" s="461"/>
      <c r="R444" s="461"/>
      <c r="S444" s="461"/>
      <c r="T444" s="461"/>
      <c r="U444" s="530">
        <v>0</v>
      </c>
      <c r="V444" s="530">
        <v>0</v>
      </c>
      <c r="W444" s="530">
        <v>0</v>
      </c>
      <c r="X444" s="490"/>
      <c r="Y444" s="969"/>
      <c r="Z444" s="969"/>
      <c r="AA444" s="969"/>
      <c r="AB444" s="969"/>
      <c r="AC444" s="969"/>
      <c r="AD444" s="969"/>
      <c r="AE444" s="969" t="str">
        <f t="shared" si="19"/>
        <v>TheewaterskloofInterest</v>
      </c>
      <c r="AF444" s="969"/>
      <c r="AG444" s="969"/>
    </row>
    <row r="445" spans="2:33" ht="13.2" customHeight="1" x14ac:dyDescent="0.55000000000000004">
      <c r="B445" s="371"/>
      <c r="C445" s="1010" t="s">
        <v>721</v>
      </c>
      <c r="D445" s="361" t="str">
        <f t="shared" si="20"/>
        <v>Housing2400</v>
      </c>
      <c r="E445" s="360" t="str">
        <f t="shared" si="18"/>
        <v>TheewaterskloofHousingOther revenue</v>
      </c>
      <c r="F445" s="360" t="str">
        <f>'PART C- Municipal Details'!$G$7</f>
        <v>Theewaterskloof</v>
      </c>
      <c r="G445" s="360" t="s">
        <v>803</v>
      </c>
      <c r="H445" s="366" t="s">
        <v>807</v>
      </c>
      <c r="I445" s="496" t="s">
        <v>7</v>
      </c>
      <c r="J445" s="497" t="s">
        <v>720</v>
      </c>
      <c r="K445" s="490"/>
      <c r="L445" s="463" t="s">
        <v>722</v>
      </c>
      <c r="M445" s="459"/>
      <c r="N445" s="461"/>
      <c r="O445" s="461"/>
      <c r="P445" s="461"/>
      <c r="Q445" s="461"/>
      <c r="R445" s="461"/>
      <c r="S445" s="461"/>
      <c r="T445" s="461"/>
      <c r="U445" s="530">
        <v>0</v>
      </c>
      <c r="V445" s="530">
        <v>0</v>
      </c>
      <c r="W445" s="530">
        <v>0</v>
      </c>
      <c r="X445" s="490"/>
      <c r="Y445" s="969"/>
      <c r="Z445" s="969"/>
      <c r="AA445" s="969"/>
      <c r="AB445" s="969"/>
      <c r="AC445" s="969"/>
      <c r="AD445" s="969"/>
      <c r="AE445" s="969" t="str">
        <f t="shared" si="19"/>
        <v>TheewaterskloofFuel Levy</v>
      </c>
      <c r="AF445" s="969"/>
      <c r="AG445" s="969"/>
    </row>
    <row r="446" spans="2:33" ht="13.2" customHeight="1" x14ac:dyDescent="0.55000000000000004">
      <c r="B446" s="371"/>
      <c r="C446" s="1010" t="s">
        <v>723</v>
      </c>
      <c r="D446" s="360" t="str">
        <f t="shared" si="20"/>
        <v>Housing2500</v>
      </c>
      <c r="E446" s="361" t="str">
        <f t="shared" si="18"/>
        <v>TheewaterskloofHousingOther revenue</v>
      </c>
      <c r="F446" s="360" t="str">
        <f>'PART C- Municipal Details'!$G$7</f>
        <v>Theewaterskloof</v>
      </c>
      <c r="G446" s="361" t="s">
        <v>803</v>
      </c>
      <c r="H446" s="363" t="s">
        <v>807</v>
      </c>
      <c r="I446" s="496" t="s">
        <v>7</v>
      </c>
      <c r="J446" s="497" t="s">
        <v>11</v>
      </c>
      <c r="K446" s="490"/>
      <c r="L446" s="463" t="s">
        <v>704</v>
      </c>
      <c r="M446" s="459"/>
      <c r="N446" s="461"/>
      <c r="O446" s="461"/>
      <c r="P446" s="461"/>
      <c r="Q446" s="461"/>
      <c r="R446" s="461"/>
      <c r="S446" s="461"/>
      <c r="T446" s="461"/>
      <c r="U446" s="530">
        <v>0</v>
      </c>
      <c r="V446" s="530">
        <v>0</v>
      </c>
      <c r="W446" s="530">
        <v>0</v>
      </c>
      <c r="X446" s="490"/>
      <c r="Y446" s="969"/>
      <c r="Z446" s="969"/>
      <c r="AA446" s="969"/>
      <c r="AB446" s="969"/>
      <c r="AC446" s="969"/>
      <c r="AD446" s="969"/>
      <c r="AE446" s="969" t="str">
        <f t="shared" si="19"/>
        <v>TheewaterskloofOperational Revenue</v>
      </c>
      <c r="AF446" s="969"/>
      <c r="AG446" s="969"/>
    </row>
    <row r="447" spans="2:33" ht="13.2" customHeight="1" x14ac:dyDescent="0.55000000000000004">
      <c r="B447" s="371"/>
      <c r="C447" s="1010" t="s">
        <v>725</v>
      </c>
      <c r="D447" s="361" t="str">
        <f t="shared" si="20"/>
        <v>Housing2600</v>
      </c>
      <c r="E447" s="360" t="str">
        <f t="shared" si="18"/>
        <v>TheewaterskloofHousingGains</v>
      </c>
      <c r="F447" s="360" t="str">
        <f>'PART C- Municipal Details'!$G$7</f>
        <v>Theewaterskloof</v>
      </c>
      <c r="G447" s="360" t="s">
        <v>803</v>
      </c>
      <c r="H447" s="366" t="s">
        <v>807</v>
      </c>
      <c r="I447" s="496" t="s">
        <v>703</v>
      </c>
      <c r="J447" s="497" t="s">
        <v>724</v>
      </c>
      <c r="K447" s="490"/>
      <c r="L447" s="463" t="s">
        <v>727</v>
      </c>
      <c r="M447" s="459"/>
      <c r="N447" s="461"/>
      <c r="O447" s="461"/>
      <c r="P447" s="461"/>
      <c r="Q447" s="461"/>
      <c r="R447" s="461"/>
      <c r="S447" s="461"/>
      <c r="T447" s="461"/>
      <c r="U447" s="530">
        <v>0</v>
      </c>
      <c r="V447" s="530">
        <v>0</v>
      </c>
      <c r="W447" s="530">
        <v>0</v>
      </c>
      <c r="X447" s="490"/>
      <c r="Y447" s="969"/>
      <c r="Z447" s="969"/>
      <c r="AA447" s="969"/>
      <c r="AB447" s="969"/>
      <c r="AC447" s="969"/>
      <c r="AD447" s="969"/>
      <c r="AE447" s="969" t="str">
        <f t="shared" si="19"/>
        <v>TheewaterskloofGains on disposal of Assets</v>
      </c>
      <c r="AF447" s="969"/>
      <c r="AG447" s="969"/>
    </row>
    <row r="448" spans="2:33" ht="13.2" customHeight="1" x14ac:dyDescent="0.55000000000000004">
      <c r="B448" s="371"/>
      <c r="C448" s="1010" t="s">
        <v>728</v>
      </c>
      <c r="D448" s="360" t="str">
        <f t="shared" si="20"/>
        <v>Housing2700</v>
      </c>
      <c r="E448" s="361" t="str">
        <f t="shared" si="18"/>
        <v>TheewaterskloofHousingOther revenue</v>
      </c>
      <c r="F448" s="360" t="str">
        <f>'PART C- Municipal Details'!$G$7</f>
        <v>Theewaterskloof</v>
      </c>
      <c r="G448" s="361" t="s">
        <v>803</v>
      </c>
      <c r="H448" s="363" t="s">
        <v>807</v>
      </c>
      <c r="I448" s="496" t="s">
        <v>7</v>
      </c>
      <c r="J448" s="497" t="s">
        <v>726</v>
      </c>
      <c r="K448" s="490"/>
      <c r="L448" s="463" t="s">
        <v>729</v>
      </c>
      <c r="M448" s="459"/>
      <c r="N448" s="461"/>
      <c r="O448" s="461"/>
      <c r="P448" s="461"/>
      <c r="Q448" s="461"/>
      <c r="R448" s="461"/>
      <c r="S448" s="461"/>
      <c r="T448" s="461"/>
      <c r="U448" s="530">
        <v>0</v>
      </c>
      <c r="V448" s="530">
        <v>0</v>
      </c>
      <c r="W448" s="530">
        <v>0</v>
      </c>
      <c r="X448" s="490"/>
      <c r="Y448" s="969"/>
      <c r="Z448" s="969"/>
      <c r="AA448" s="969"/>
      <c r="AB448" s="969"/>
      <c r="AC448" s="969"/>
      <c r="AD448" s="969"/>
      <c r="AE448" s="969" t="str">
        <f t="shared" si="19"/>
        <v>TheewaterskloofOther Gains</v>
      </c>
      <c r="AF448" s="969"/>
      <c r="AG448" s="969"/>
    </row>
    <row r="449" spans="2:33" ht="13.2" customHeight="1" x14ac:dyDescent="0.55000000000000004">
      <c r="B449" s="371"/>
      <c r="C449" s="1010" t="s">
        <v>730</v>
      </c>
      <c r="D449" s="361" t="str">
        <f t="shared" si="20"/>
        <v>Housing2800</v>
      </c>
      <c r="E449" s="360" t="str">
        <f t="shared" si="18"/>
        <v>TheewaterskloofHousingOther revenue</v>
      </c>
      <c r="F449" s="360" t="str">
        <f>'PART C- Municipal Details'!$G$7</f>
        <v>Theewaterskloof</v>
      </c>
      <c r="G449" s="360" t="s">
        <v>803</v>
      </c>
      <c r="H449" s="366" t="s">
        <v>807</v>
      </c>
      <c r="I449" s="496" t="s">
        <v>7</v>
      </c>
      <c r="J449" s="497" t="s">
        <v>12</v>
      </c>
      <c r="K449" s="490"/>
      <c r="L449" s="464" t="s">
        <v>731</v>
      </c>
      <c r="M449" s="459"/>
      <c r="N449" s="461"/>
      <c r="O449" s="461"/>
      <c r="P449" s="461"/>
      <c r="Q449" s="461"/>
      <c r="R449" s="461"/>
      <c r="S449" s="461"/>
      <c r="T449" s="461"/>
      <c r="U449" s="530">
        <v>0</v>
      </c>
      <c r="V449" s="530">
        <v>0</v>
      </c>
      <c r="W449" s="530">
        <v>0</v>
      </c>
      <c r="X449" s="490"/>
      <c r="Y449" s="969"/>
      <c r="Z449" s="969"/>
      <c r="AA449" s="969"/>
      <c r="AB449" s="969"/>
      <c r="AC449" s="969"/>
      <c r="AD449" s="969"/>
      <c r="AE449" s="969" t="str">
        <f t="shared" si="19"/>
        <v>TheewaterskloofDiscontinued Operations</v>
      </c>
      <c r="AF449" s="969"/>
      <c r="AG449" s="969"/>
    </row>
    <row r="450" spans="2:33" ht="13.2" customHeight="1" x14ac:dyDescent="0.55000000000000004">
      <c r="B450" s="371"/>
      <c r="C450" s="1009" t="s">
        <v>732</v>
      </c>
      <c r="D450" s="360" t="str">
        <f t="shared" si="20"/>
        <v>Housing2900</v>
      </c>
      <c r="E450" s="361" t="str">
        <f t="shared" si="18"/>
        <v>TheewaterskloofHousingTotal Revenue (excluding capital transfers and contributions)</v>
      </c>
      <c r="F450" s="360" t="str">
        <f>'PART C- Municipal Details'!$G$7</f>
        <v>Theewaterskloof</v>
      </c>
      <c r="G450" s="361" t="s">
        <v>803</v>
      </c>
      <c r="H450" s="363" t="s">
        <v>807</v>
      </c>
      <c r="I450" s="496" t="s">
        <v>707</v>
      </c>
      <c r="J450" s="497" t="s">
        <v>204</v>
      </c>
      <c r="K450" s="490"/>
      <c r="L450" s="508" t="s">
        <v>707</v>
      </c>
      <c r="M450" s="509"/>
      <c r="N450" s="510"/>
      <c r="O450" s="510"/>
      <c r="P450" s="510"/>
      <c r="Q450" s="510"/>
      <c r="R450" s="510"/>
      <c r="S450" s="510"/>
      <c r="T450" s="511"/>
      <c r="U450" s="531">
        <v>0</v>
      </c>
      <c r="V450" s="531">
        <v>0</v>
      </c>
      <c r="W450" s="531">
        <v>0</v>
      </c>
      <c r="X450" s="490"/>
      <c r="Y450" s="969"/>
      <c r="Z450" s="969"/>
      <c r="AA450" s="969"/>
      <c r="AB450" s="969"/>
      <c r="AC450" s="969"/>
      <c r="AD450" s="969"/>
      <c r="AE450" s="969" t="str">
        <f t="shared" si="19"/>
        <v>TheewaterskloofTotal Revenue (excluding capital transfers and contributions)</v>
      </c>
      <c r="AF450" s="969"/>
      <c r="AG450" s="969"/>
    </row>
    <row r="451" spans="2:33" ht="13.2" customHeight="1" x14ac:dyDescent="0.55000000000000004">
      <c r="B451" s="371"/>
      <c r="C451" s="1009" t="s">
        <v>733</v>
      </c>
      <c r="D451" s="361" t="str">
        <f t="shared" si="20"/>
        <v>Housing3000</v>
      </c>
      <c r="E451" s="360" t="str">
        <f t="shared" si="18"/>
        <v>TheewaterskloofHousingx</v>
      </c>
      <c r="F451" s="360" t="str">
        <f>'PART C- Municipal Details'!$G$7</f>
        <v>Theewaterskloof</v>
      </c>
      <c r="G451" s="360" t="s">
        <v>803</v>
      </c>
      <c r="H451" s="366" t="s">
        <v>807</v>
      </c>
      <c r="I451" s="496" t="s">
        <v>789</v>
      </c>
      <c r="J451" s="497" t="s">
        <v>13</v>
      </c>
      <c r="K451" s="490"/>
      <c r="L451" s="505" t="s">
        <v>22</v>
      </c>
      <c r="M451" s="506"/>
      <c r="N451" s="507"/>
      <c r="O451" s="507"/>
      <c r="P451" s="507"/>
      <c r="Q451" s="507"/>
      <c r="R451" s="507"/>
      <c r="S451" s="507"/>
      <c r="T451" s="507"/>
      <c r="U451" s="531">
        <v>0</v>
      </c>
      <c r="V451" s="531">
        <v>0</v>
      </c>
      <c r="W451" s="531">
        <v>0</v>
      </c>
      <c r="X451" s="490"/>
      <c r="Y451" s="969"/>
      <c r="Z451" s="969"/>
      <c r="AA451" s="969"/>
      <c r="AB451" s="969"/>
      <c r="AC451" s="969"/>
      <c r="AD451" s="969"/>
      <c r="AE451" s="969" t="str">
        <f t="shared" si="19"/>
        <v>TheewaterskloofExpenditure</v>
      </c>
      <c r="AF451" s="969"/>
      <c r="AG451" s="969"/>
    </row>
    <row r="452" spans="2:33" ht="13.2" customHeight="1" x14ac:dyDescent="0.55000000000000004">
      <c r="B452" s="371"/>
      <c r="C452" s="1010" t="s">
        <v>735</v>
      </c>
      <c r="D452" s="360" t="str">
        <f t="shared" si="20"/>
        <v>Housing3100</v>
      </c>
      <c r="E452" s="361" t="str">
        <f t="shared" si="18"/>
        <v>TheewaterskloofHousingEmployee related costs</v>
      </c>
      <c r="F452" s="360" t="str">
        <f>'PART C- Municipal Details'!$G$7</f>
        <v>Theewaterskloof</v>
      </c>
      <c r="G452" s="361" t="s">
        <v>803</v>
      </c>
      <c r="H452" s="363" t="s">
        <v>807</v>
      </c>
      <c r="I452" s="496" t="s">
        <v>8</v>
      </c>
      <c r="J452" s="497" t="s">
        <v>734</v>
      </c>
      <c r="K452" s="490"/>
      <c r="L452" s="463" t="s">
        <v>8</v>
      </c>
      <c r="M452" s="459"/>
      <c r="N452" s="461"/>
      <c r="O452" s="461"/>
      <c r="P452" s="461"/>
      <c r="Q452" s="461"/>
      <c r="R452" s="461"/>
      <c r="S452" s="461"/>
      <c r="T452" s="461"/>
      <c r="U452" s="530">
        <v>11129005</v>
      </c>
      <c r="V452" s="530">
        <v>11507394</v>
      </c>
      <c r="W452" s="530">
        <v>11875629</v>
      </c>
      <c r="X452" s="490"/>
      <c r="Y452" s="969"/>
      <c r="Z452" s="969"/>
      <c r="AA452" s="969"/>
      <c r="AB452" s="969"/>
      <c r="AC452" s="969"/>
      <c r="AD452" s="969"/>
      <c r="AE452" s="969" t="str">
        <f t="shared" si="19"/>
        <v>TheewaterskloofEmployee related costs</v>
      </c>
      <c r="AF452" s="969"/>
      <c r="AG452" s="969"/>
    </row>
    <row r="453" spans="2:33" ht="13.2" customHeight="1" x14ac:dyDescent="0.55000000000000004">
      <c r="B453" s="371"/>
      <c r="C453" s="1010" t="s">
        <v>737</v>
      </c>
      <c r="D453" s="361" t="str">
        <f t="shared" si="20"/>
        <v>Housing3200</v>
      </c>
      <c r="E453" s="360" t="str">
        <f t="shared" si="18"/>
        <v>TheewaterskloofHousingRemuneration of councillors</v>
      </c>
      <c r="F453" s="360" t="str">
        <f>'PART C- Municipal Details'!$G$7</f>
        <v>Theewaterskloof</v>
      </c>
      <c r="G453" s="360" t="s">
        <v>803</v>
      </c>
      <c r="H453" s="366" t="s">
        <v>807</v>
      </c>
      <c r="I453" s="496" t="s">
        <v>9</v>
      </c>
      <c r="J453" s="497" t="s">
        <v>736</v>
      </c>
      <c r="K453" s="490"/>
      <c r="L453" s="463" t="s">
        <v>9</v>
      </c>
      <c r="M453" s="459"/>
      <c r="N453" s="461"/>
      <c r="O453" s="461"/>
      <c r="P453" s="461"/>
      <c r="Q453" s="461"/>
      <c r="R453" s="461"/>
      <c r="S453" s="461"/>
      <c r="T453" s="461"/>
      <c r="U453" s="530">
        <v>0</v>
      </c>
      <c r="V453" s="530">
        <v>0</v>
      </c>
      <c r="W453" s="530">
        <v>0</v>
      </c>
      <c r="X453" s="490"/>
      <c r="Y453" s="969"/>
      <c r="Z453" s="969"/>
      <c r="AA453" s="969"/>
      <c r="AB453" s="969"/>
      <c r="AC453" s="969"/>
      <c r="AD453" s="969"/>
      <c r="AE453" s="969" t="str">
        <f t="shared" si="19"/>
        <v>TheewaterskloofRemuneration of councillors</v>
      </c>
      <c r="AF453" s="969"/>
      <c r="AG453" s="969"/>
    </row>
    <row r="454" spans="2:33" ht="13.2" customHeight="1" x14ac:dyDescent="0.55000000000000004">
      <c r="B454" s="371"/>
      <c r="C454" s="1010" t="s">
        <v>738</v>
      </c>
      <c r="D454" s="360" t="str">
        <f t="shared" si="20"/>
        <v>Housing3300</v>
      </c>
      <c r="E454" s="361" t="str">
        <f t="shared" si="18"/>
        <v>TheewaterskloofHousingBulk purchases - electricity</v>
      </c>
      <c r="F454" s="360" t="str">
        <f>'PART C- Municipal Details'!$G$7</f>
        <v>Theewaterskloof</v>
      </c>
      <c r="G454" s="361" t="s">
        <v>803</v>
      </c>
      <c r="H454" s="363" t="s">
        <v>807</v>
      </c>
      <c r="I454" s="496" t="s">
        <v>724</v>
      </c>
      <c r="J454" s="497" t="s">
        <v>710</v>
      </c>
      <c r="K454" s="490"/>
      <c r="L454" s="463" t="s">
        <v>724</v>
      </c>
      <c r="M454" s="459"/>
      <c r="N454" s="461"/>
      <c r="O454" s="461"/>
      <c r="P454" s="461"/>
      <c r="Q454" s="461"/>
      <c r="R454" s="461"/>
      <c r="S454" s="461"/>
      <c r="T454" s="461"/>
      <c r="U454" s="530">
        <v>0</v>
      </c>
      <c r="V454" s="530">
        <v>0</v>
      </c>
      <c r="W454" s="530">
        <v>0</v>
      </c>
      <c r="X454" s="490"/>
      <c r="Y454" s="969"/>
      <c r="Z454" s="969"/>
      <c r="AA454" s="969"/>
      <c r="AB454" s="969"/>
      <c r="AC454" s="969"/>
      <c r="AD454" s="969"/>
      <c r="AE454" s="969" t="str">
        <f t="shared" si="19"/>
        <v>TheewaterskloofBulk purchases - electricity</v>
      </c>
      <c r="AF454" s="969"/>
      <c r="AG454" s="969"/>
    </row>
    <row r="455" spans="2:33" ht="13.2" customHeight="1" x14ac:dyDescent="0.55000000000000004">
      <c r="B455" s="371"/>
      <c r="C455" s="1010" t="s">
        <v>739</v>
      </c>
      <c r="D455" s="361" t="str">
        <f t="shared" si="20"/>
        <v>Housing3400</v>
      </c>
      <c r="E455" s="360" t="str">
        <f t="shared" si="18"/>
        <v>TheewaterskloofHousingInventory consumed</v>
      </c>
      <c r="F455" s="360" t="str">
        <f>'PART C- Municipal Details'!$G$7</f>
        <v>Theewaterskloof</v>
      </c>
      <c r="G455" s="360" t="s">
        <v>803</v>
      </c>
      <c r="H455" s="366" t="s">
        <v>807</v>
      </c>
      <c r="I455" s="496" t="s">
        <v>726</v>
      </c>
      <c r="J455" s="497" t="s">
        <v>635</v>
      </c>
      <c r="K455" s="490"/>
      <c r="L455" s="463" t="s">
        <v>726</v>
      </c>
      <c r="M455" s="459"/>
      <c r="N455" s="461"/>
      <c r="O455" s="461"/>
      <c r="P455" s="461"/>
      <c r="Q455" s="461"/>
      <c r="R455" s="461"/>
      <c r="S455" s="461"/>
      <c r="T455" s="461"/>
      <c r="U455" s="530">
        <v>220180</v>
      </c>
      <c r="V455" s="530">
        <v>227667</v>
      </c>
      <c r="W455" s="530">
        <v>234951</v>
      </c>
      <c r="X455" s="490"/>
      <c r="Y455" s="969"/>
      <c r="Z455" s="969"/>
      <c r="AA455" s="969"/>
      <c r="AB455" s="969"/>
      <c r="AC455" s="969"/>
      <c r="AD455" s="969"/>
      <c r="AE455" s="969" t="str">
        <f t="shared" si="19"/>
        <v>TheewaterskloofInventory consumed</v>
      </c>
      <c r="AF455" s="969"/>
      <c r="AG455" s="969"/>
    </row>
    <row r="456" spans="2:33" ht="13.2" customHeight="1" x14ac:dyDescent="0.55000000000000004">
      <c r="B456" s="371"/>
      <c r="C456" s="1010" t="s">
        <v>741</v>
      </c>
      <c r="D456" s="360" t="str">
        <f t="shared" si="20"/>
        <v>Housing3500</v>
      </c>
      <c r="E456" s="361" t="str">
        <f t="shared" si="18"/>
        <v>TheewaterskloofHousingDebt impairment</v>
      </c>
      <c r="F456" s="360" t="str">
        <f>'PART C- Municipal Details'!$G$7</f>
        <v>Theewaterskloof</v>
      </c>
      <c r="G456" s="361" t="s">
        <v>803</v>
      </c>
      <c r="H456" s="363" t="s">
        <v>807</v>
      </c>
      <c r="I456" s="496" t="s">
        <v>10</v>
      </c>
      <c r="J456" s="497" t="s">
        <v>740</v>
      </c>
      <c r="K456" s="490"/>
      <c r="L456" s="463" t="s">
        <v>10</v>
      </c>
      <c r="M456" s="459"/>
      <c r="N456" s="461"/>
      <c r="O456" s="461"/>
      <c r="P456" s="461"/>
      <c r="Q456" s="461"/>
      <c r="R456" s="461"/>
      <c r="S456" s="461"/>
      <c r="T456" s="461"/>
      <c r="U456" s="530">
        <v>0</v>
      </c>
      <c r="V456" s="530">
        <v>0</v>
      </c>
      <c r="W456" s="530">
        <v>0</v>
      </c>
      <c r="X456" s="490"/>
      <c r="Y456" s="969"/>
      <c r="Z456" s="969"/>
      <c r="AA456" s="969"/>
      <c r="AB456" s="969"/>
      <c r="AC456" s="969"/>
      <c r="AD456" s="969"/>
      <c r="AE456" s="969" t="str">
        <f t="shared" si="19"/>
        <v>TheewaterskloofDebt impairment</v>
      </c>
      <c r="AF456" s="969"/>
      <c r="AG456" s="969"/>
    </row>
    <row r="457" spans="2:33" ht="13.2" customHeight="1" x14ac:dyDescent="0.55000000000000004">
      <c r="B457" s="371"/>
      <c r="C457" s="1010" t="s">
        <v>743</v>
      </c>
      <c r="D457" s="361" t="str">
        <f t="shared" si="20"/>
        <v>Housing3600</v>
      </c>
      <c r="E457" s="360" t="str">
        <f t="shared" si="18"/>
        <v>TheewaterskloofHousingDepreciation and asset impairment</v>
      </c>
      <c r="F457" s="360" t="str">
        <f>'PART C- Municipal Details'!$G$7</f>
        <v>Theewaterskloof</v>
      </c>
      <c r="G457" s="360" t="s">
        <v>803</v>
      </c>
      <c r="H457" s="366" t="s">
        <v>807</v>
      </c>
      <c r="I457" s="496" t="s">
        <v>720</v>
      </c>
      <c r="J457" s="497" t="s">
        <v>742</v>
      </c>
      <c r="K457" s="490"/>
      <c r="L457" s="463" t="s">
        <v>745</v>
      </c>
      <c r="M457" s="459"/>
      <c r="N457" s="461"/>
      <c r="O457" s="461"/>
      <c r="P457" s="461"/>
      <c r="Q457" s="461"/>
      <c r="R457" s="461"/>
      <c r="S457" s="461"/>
      <c r="T457" s="461"/>
      <c r="U457" s="530">
        <v>0</v>
      </c>
      <c r="V457" s="530">
        <v>0</v>
      </c>
      <c r="W457" s="530">
        <v>0</v>
      </c>
      <c r="X457" s="490"/>
      <c r="Y457" s="969"/>
      <c r="Z457" s="969"/>
      <c r="AA457" s="969"/>
      <c r="AB457" s="969"/>
      <c r="AC457" s="969"/>
      <c r="AD457" s="969"/>
      <c r="AE457" s="969" t="str">
        <f t="shared" si="19"/>
        <v>TheewaterskloofDepreciation and amortisation</v>
      </c>
      <c r="AF457" s="969"/>
      <c r="AG457" s="969"/>
    </row>
    <row r="458" spans="2:33" ht="13.2" customHeight="1" x14ac:dyDescent="0.55000000000000004">
      <c r="B458" s="371"/>
      <c r="C458" s="1010" t="s">
        <v>746</v>
      </c>
      <c r="D458" s="360" t="str">
        <f t="shared" si="20"/>
        <v>Housing3700</v>
      </c>
      <c r="E458" s="361" t="str">
        <f t="shared" si="18"/>
        <v>TheewaterskloofHousingFinance charges</v>
      </c>
      <c r="F458" s="360" t="str">
        <f>'PART C- Municipal Details'!$G$7</f>
        <v>Theewaterskloof</v>
      </c>
      <c r="G458" s="361" t="s">
        <v>803</v>
      </c>
      <c r="H458" s="363" t="s">
        <v>807</v>
      </c>
      <c r="I458" s="496" t="s">
        <v>11</v>
      </c>
      <c r="J458" s="497" t="s">
        <v>744</v>
      </c>
      <c r="K458" s="490"/>
      <c r="L458" s="463" t="s">
        <v>687</v>
      </c>
      <c r="M458" s="459"/>
      <c r="N458" s="461"/>
      <c r="O458" s="461"/>
      <c r="P458" s="461"/>
      <c r="Q458" s="461"/>
      <c r="R458" s="461"/>
      <c r="S458" s="461"/>
      <c r="T458" s="461"/>
      <c r="U458" s="530">
        <v>0</v>
      </c>
      <c r="V458" s="530">
        <v>0</v>
      </c>
      <c r="W458" s="530">
        <v>0</v>
      </c>
      <c r="X458" s="490"/>
      <c r="Y458" s="969"/>
      <c r="Z458" s="969"/>
      <c r="AA458" s="969"/>
      <c r="AB458" s="969"/>
      <c r="AC458" s="969"/>
      <c r="AD458" s="969"/>
      <c r="AE458" s="969" t="str">
        <f t="shared" si="19"/>
        <v>TheewaterskloofInterest</v>
      </c>
      <c r="AF458" s="969"/>
      <c r="AG458" s="969"/>
    </row>
    <row r="459" spans="2:33" ht="13.2" customHeight="1" x14ac:dyDescent="0.55000000000000004">
      <c r="B459" s="371"/>
      <c r="C459" s="1010" t="s">
        <v>748</v>
      </c>
      <c r="D459" s="361" t="str">
        <f t="shared" si="20"/>
        <v>Housing3800</v>
      </c>
      <c r="E459" s="360" t="str">
        <f t="shared" si="18"/>
        <v>TheewaterskloofHousingContracted services</v>
      </c>
      <c r="F459" s="360" t="str">
        <f>'PART C- Municipal Details'!$G$7</f>
        <v>Theewaterskloof</v>
      </c>
      <c r="G459" s="360" t="s">
        <v>803</v>
      </c>
      <c r="H459" s="366" t="s">
        <v>807</v>
      </c>
      <c r="I459" s="496" t="s">
        <v>12</v>
      </c>
      <c r="J459" s="497" t="s">
        <v>747</v>
      </c>
      <c r="K459" s="490"/>
      <c r="L459" s="463" t="s">
        <v>12</v>
      </c>
      <c r="M459" s="459"/>
      <c r="N459" s="461"/>
      <c r="O459" s="461"/>
      <c r="P459" s="461"/>
      <c r="Q459" s="461"/>
      <c r="R459" s="461"/>
      <c r="S459" s="461"/>
      <c r="T459" s="461"/>
      <c r="U459" s="530">
        <v>3012192</v>
      </c>
      <c r="V459" s="530">
        <v>3114610</v>
      </c>
      <c r="W459" s="530">
        <v>3214278</v>
      </c>
      <c r="X459" s="490"/>
      <c r="Y459" s="969"/>
      <c r="Z459" s="969"/>
      <c r="AA459" s="969"/>
      <c r="AB459" s="969"/>
      <c r="AC459" s="969"/>
      <c r="AD459" s="969"/>
      <c r="AE459" s="969" t="str">
        <f t="shared" si="19"/>
        <v>TheewaterskloofContracted services</v>
      </c>
      <c r="AF459" s="969"/>
      <c r="AG459" s="969"/>
    </row>
    <row r="460" spans="2:33" ht="13.2" customHeight="1" x14ac:dyDescent="0.55000000000000004">
      <c r="B460" s="371"/>
      <c r="C460" s="1010" t="s">
        <v>750</v>
      </c>
      <c r="D460" s="360" t="str">
        <f t="shared" si="20"/>
        <v>Housing3900</v>
      </c>
      <c r="E460" s="361" t="str">
        <f t="shared" ref="E460:E524" si="21">F460&amp;H460&amp;I460</f>
        <v>TheewaterskloofHousingTransfers and subsidies</v>
      </c>
      <c r="F460" s="360" t="str">
        <f>'PART C- Municipal Details'!$G$7</f>
        <v>Theewaterskloof</v>
      </c>
      <c r="G460" s="361" t="s">
        <v>803</v>
      </c>
      <c r="H460" s="363" t="s">
        <v>807</v>
      </c>
      <c r="I460" s="496" t="s">
        <v>204</v>
      </c>
      <c r="J460" s="497" t="s">
        <v>749</v>
      </c>
      <c r="K460" s="490"/>
      <c r="L460" s="463" t="s">
        <v>204</v>
      </c>
      <c r="M460" s="459"/>
      <c r="N460" s="461"/>
      <c r="O460" s="461"/>
      <c r="P460" s="461"/>
      <c r="Q460" s="461"/>
      <c r="R460" s="461"/>
      <c r="S460" s="461"/>
      <c r="T460" s="461"/>
      <c r="U460" s="530">
        <v>11800</v>
      </c>
      <c r="V460" s="530">
        <v>12201</v>
      </c>
      <c r="W460" s="530">
        <v>12591</v>
      </c>
      <c r="X460" s="490"/>
      <c r="Y460" s="969"/>
      <c r="Z460" s="969"/>
      <c r="AA460" s="969"/>
      <c r="AB460" s="969"/>
      <c r="AC460" s="969"/>
      <c r="AD460" s="969"/>
      <c r="AE460" s="969" t="str">
        <f t="shared" ref="AE460:AE524" si="22">F460&amp;L460</f>
        <v>TheewaterskloofTransfers and subsidies</v>
      </c>
      <c r="AF460" s="969"/>
      <c r="AG460" s="969"/>
    </row>
    <row r="461" spans="2:33" ht="13.2" customHeight="1" x14ac:dyDescent="0.55000000000000004">
      <c r="B461" s="371"/>
      <c r="C461" s="1010" t="s">
        <v>752</v>
      </c>
      <c r="D461" s="361" t="str">
        <f t="shared" si="20"/>
        <v>Housing4000</v>
      </c>
      <c r="E461" s="360" t="str">
        <f t="shared" si="21"/>
        <v>TheewaterskloofHousingOther expenditure</v>
      </c>
      <c r="F461" s="360" t="str">
        <f>'PART C- Municipal Details'!$G$7</f>
        <v>Theewaterskloof</v>
      </c>
      <c r="G461" s="360" t="s">
        <v>803</v>
      </c>
      <c r="H461" s="366" t="s">
        <v>807</v>
      </c>
      <c r="I461" s="496" t="s">
        <v>13</v>
      </c>
      <c r="J461" s="497" t="s">
        <v>751</v>
      </c>
      <c r="K461" s="490"/>
      <c r="L461" s="463" t="s">
        <v>754</v>
      </c>
      <c r="M461" s="459"/>
      <c r="N461" s="461"/>
      <c r="O461" s="461"/>
      <c r="P461" s="461"/>
      <c r="Q461" s="461"/>
      <c r="R461" s="461"/>
      <c r="S461" s="461"/>
      <c r="T461" s="461"/>
      <c r="U461" s="530">
        <v>0</v>
      </c>
      <c r="V461" s="530">
        <v>0</v>
      </c>
      <c r="W461" s="530">
        <v>0</v>
      </c>
      <c r="X461" s="490"/>
      <c r="Y461" s="969"/>
      <c r="Z461" s="969"/>
      <c r="AA461" s="969"/>
      <c r="AB461" s="969"/>
      <c r="AC461" s="969"/>
      <c r="AD461" s="969"/>
      <c r="AE461" s="969" t="str">
        <f t="shared" si="22"/>
        <v>TheewaterskloofIrrecoverable debts written off</v>
      </c>
      <c r="AF461" s="969"/>
      <c r="AG461" s="969"/>
    </row>
    <row r="462" spans="2:33" ht="13.2" customHeight="1" x14ac:dyDescent="0.55000000000000004">
      <c r="B462" s="371"/>
      <c r="C462" s="1010" t="s">
        <v>755</v>
      </c>
      <c r="D462" s="360" t="str">
        <f t="shared" si="20"/>
        <v>Housing4100</v>
      </c>
      <c r="E462" s="361" t="str">
        <f t="shared" si="21"/>
        <v>TheewaterskloofHousingOther expenditure</v>
      </c>
      <c r="F462" s="360" t="str">
        <f>'PART C- Municipal Details'!$G$7</f>
        <v>Theewaterskloof</v>
      </c>
      <c r="G462" s="361" t="s">
        <v>803</v>
      </c>
      <c r="H462" s="363" t="s">
        <v>807</v>
      </c>
      <c r="I462" s="496" t="s">
        <v>13</v>
      </c>
      <c r="J462" s="497" t="s">
        <v>753</v>
      </c>
      <c r="K462" s="490"/>
      <c r="L462" s="463" t="s">
        <v>757</v>
      </c>
      <c r="M462" s="459"/>
      <c r="N462" s="461"/>
      <c r="O462" s="461"/>
      <c r="P462" s="461"/>
      <c r="Q462" s="461"/>
      <c r="R462" s="461"/>
      <c r="S462" s="461"/>
      <c r="T462" s="461"/>
      <c r="U462" s="530">
        <v>1523457</v>
      </c>
      <c r="V462" s="530">
        <v>1575255</v>
      </c>
      <c r="W462" s="530">
        <v>1625659</v>
      </c>
      <c r="X462" s="490"/>
      <c r="Y462" s="969"/>
      <c r="Z462" s="969"/>
      <c r="AA462" s="969"/>
      <c r="AB462" s="969"/>
      <c r="AC462" s="969"/>
      <c r="AD462" s="969"/>
      <c r="AE462" s="969" t="str">
        <f t="shared" si="22"/>
        <v>TheewaterskloofOperational costs</v>
      </c>
      <c r="AF462" s="969"/>
      <c r="AG462" s="969"/>
    </row>
    <row r="463" spans="2:33" ht="13.2" customHeight="1" x14ac:dyDescent="0.55000000000000004">
      <c r="B463" s="371"/>
      <c r="C463" s="1010" t="s">
        <v>758</v>
      </c>
      <c r="D463" s="361" t="str">
        <f t="shared" ref="D463:D527" si="23">H463&amp;C463</f>
        <v>Housing4200</v>
      </c>
      <c r="E463" s="360" t="str">
        <f t="shared" si="21"/>
        <v>TheewaterskloofHousingLosses</v>
      </c>
      <c r="F463" s="360" t="str">
        <f>'PART C- Municipal Details'!$G$7</f>
        <v>Theewaterskloof</v>
      </c>
      <c r="G463" s="360" t="s">
        <v>803</v>
      </c>
      <c r="H463" s="366" t="s">
        <v>807</v>
      </c>
      <c r="I463" s="496" t="s">
        <v>734</v>
      </c>
      <c r="J463" s="497" t="s">
        <v>756</v>
      </c>
      <c r="K463" s="490"/>
      <c r="L463" s="463" t="s">
        <v>760</v>
      </c>
      <c r="M463" s="459"/>
      <c r="N463" s="461"/>
      <c r="O463" s="461"/>
      <c r="P463" s="461"/>
      <c r="Q463" s="461"/>
      <c r="R463" s="461"/>
      <c r="S463" s="461"/>
      <c r="T463" s="461"/>
      <c r="U463" s="530">
        <v>0</v>
      </c>
      <c r="V463" s="530">
        <v>0</v>
      </c>
      <c r="W463" s="530">
        <v>0</v>
      </c>
      <c r="X463" s="490"/>
      <c r="Y463" s="969"/>
      <c r="Z463" s="969"/>
      <c r="AA463" s="969"/>
      <c r="AB463" s="969"/>
      <c r="AC463" s="969"/>
      <c r="AD463" s="969"/>
      <c r="AE463" s="969" t="str">
        <f t="shared" si="22"/>
        <v>TheewaterskloofLosses on disposal of Assets</v>
      </c>
      <c r="AF463" s="969"/>
      <c r="AG463" s="969"/>
    </row>
    <row r="464" spans="2:33" ht="13.2" customHeight="1" x14ac:dyDescent="0.55000000000000004">
      <c r="B464" s="371"/>
      <c r="C464" s="1010" t="s">
        <v>761</v>
      </c>
      <c r="D464" s="360" t="str">
        <f t="shared" si="23"/>
        <v>Housing4300</v>
      </c>
      <c r="E464" s="361" t="str">
        <f t="shared" si="21"/>
        <v>TheewaterskloofHousingOther expenditure</v>
      </c>
      <c r="F464" s="360" t="str">
        <f>'PART C- Municipal Details'!$G$7</f>
        <v>Theewaterskloof</v>
      </c>
      <c r="G464" s="361" t="s">
        <v>803</v>
      </c>
      <c r="H464" s="363" t="s">
        <v>807</v>
      </c>
      <c r="I464" s="496" t="s">
        <v>13</v>
      </c>
      <c r="J464" s="497" t="s">
        <v>759</v>
      </c>
      <c r="K464" s="490"/>
      <c r="L464" s="463" t="s">
        <v>763</v>
      </c>
      <c r="M464" s="459"/>
      <c r="N464" s="461"/>
      <c r="O464" s="461"/>
      <c r="P464" s="461"/>
      <c r="Q464" s="461"/>
      <c r="R464" s="461"/>
      <c r="S464" s="461"/>
      <c r="T464" s="461"/>
      <c r="U464" s="530">
        <v>0</v>
      </c>
      <c r="V464" s="530">
        <v>0</v>
      </c>
      <c r="W464" s="530">
        <v>0</v>
      </c>
      <c r="X464" s="490"/>
      <c r="Y464" s="969"/>
      <c r="Z464" s="969"/>
      <c r="AA464" s="969"/>
      <c r="AB464" s="969"/>
      <c r="AC464" s="969"/>
      <c r="AD464" s="969"/>
      <c r="AE464" s="969" t="str">
        <f t="shared" si="22"/>
        <v>TheewaterskloofOther Losses</v>
      </c>
      <c r="AF464" s="969"/>
      <c r="AG464" s="969"/>
    </row>
    <row r="465" spans="2:33" ht="13.2" customHeight="1" x14ac:dyDescent="0.55000000000000004">
      <c r="B465" s="371"/>
      <c r="C465" s="1009" t="s">
        <v>764</v>
      </c>
      <c r="D465" s="361" t="str">
        <f t="shared" si="23"/>
        <v>Housing4400</v>
      </c>
      <c r="E465" s="360" t="str">
        <f t="shared" si="21"/>
        <v>TheewaterskloofHousingTotal Expenditure</v>
      </c>
      <c r="F465" s="360" t="str">
        <f>'PART C- Municipal Details'!$G$7</f>
        <v>Theewaterskloof</v>
      </c>
      <c r="G465" s="360" t="s">
        <v>803</v>
      </c>
      <c r="H465" s="366" t="s">
        <v>807</v>
      </c>
      <c r="I465" s="496" t="s">
        <v>736</v>
      </c>
      <c r="J465" s="497" t="s">
        <v>762</v>
      </c>
      <c r="K465" s="490"/>
      <c r="L465" s="508" t="s">
        <v>736</v>
      </c>
      <c r="M465" s="509"/>
      <c r="N465" s="510"/>
      <c r="O465" s="510"/>
      <c r="P465" s="510"/>
      <c r="Q465" s="510"/>
      <c r="R465" s="510"/>
      <c r="S465" s="510"/>
      <c r="T465" s="511"/>
      <c r="U465" s="529">
        <v>15896634</v>
      </c>
      <c r="V465" s="529">
        <v>16437127</v>
      </c>
      <c r="W465" s="529">
        <v>16963108</v>
      </c>
      <c r="X465" s="490"/>
      <c r="Y465" s="969"/>
      <c r="Z465" s="969"/>
      <c r="AA465" s="969"/>
      <c r="AB465" s="969"/>
      <c r="AC465" s="969"/>
      <c r="AD465" s="969"/>
      <c r="AE465" s="969" t="str">
        <f t="shared" si="22"/>
        <v>TheewaterskloofTotal Expenditure</v>
      </c>
      <c r="AF465" s="969"/>
      <c r="AG465" s="969"/>
    </row>
    <row r="466" spans="2:33" ht="13.2" customHeight="1" x14ac:dyDescent="0.55000000000000004">
      <c r="B466" s="371"/>
      <c r="C466" s="1009" t="s">
        <v>766</v>
      </c>
      <c r="D466" s="360" t="str">
        <f t="shared" si="23"/>
        <v>Housing4500</v>
      </c>
      <c r="E466" s="361" t="str">
        <f t="shared" si="21"/>
        <v>TheewaterskloofHousingSurplus/(Deficit)</v>
      </c>
      <c r="F466" s="360" t="str">
        <f>'PART C- Municipal Details'!$G$7</f>
        <v>Theewaterskloof</v>
      </c>
      <c r="G466" s="361" t="s">
        <v>803</v>
      </c>
      <c r="H466" s="363" t="s">
        <v>807</v>
      </c>
      <c r="I466" s="496" t="s">
        <v>635</v>
      </c>
      <c r="J466" s="497" t="s">
        <v>765</v>
      </c>
      <c r="K466" s="490"/>
      <c r="L466" s="463" t="s">
        <v>635</v>
      </c>
      <c r="M466" s="459"/>
      <c r="N466" s="459"/>
      <c r="O466" s="459"/>
      <c r="P466" s="459"/>
      <c r="Q466" s="459"/>
      <c r="R466" s="459"/>
      <c r="S466" s="459"/>
      <c r="T466" s="459"/>
      <c r="U466" s="530">
        <v>-15896634</v>
      </c>
      <c r="V466" s="530">
        <v>-16437127</v>
      </c>
      <c r="W466" s="530">
        <v>-16963108</v>
      </c>
      <c r="X466" s="490"/>
      <c r="Y466" s="969"/>
      <c r="Z466" s="969"/>
      <c r="AA466" s="969"/>
      <c r="AB466" s="969"/>
      <c r="AC466" s="969"/>
      <c r="AD466" s="969"/>
      <c r="AE466" s="969" t="str">
        <f t="shared" si="22"/>
        <v>TheewaterskloofSurplus/(Deficit)</v>
      </c>
      <c r="AF466" s="969"/>
      <c r="AG466" s="969"/>
    </row>
    <row r="467" spans="2:33" ht="13.2" customHeight="1" x14ac:dyDescent="0.55000000000000004">
      <c r="B467" s="371"/>
      <c r="C467" s="1010" t="s">
        <v>768</v>
      </c>
      <c r="D467" s="361" t="str">
        <f t="shared" si="23"/>
        <v>Housing4600</v>
      </c>
      <c r="E467" s="360" t="str">
        <f t="shared" si="21"/>
        <v>TheewaterskloofHousingTransfers and subsidies - capital (monetary allocations) (National / Provincial and District)</v>
      </c>
      <c r="F467" s="360" t="str">
        <f>'PART C- Municipal Details'!$G$7</f>
        <v>Theewaterskloof</v>
      </c>
      <c r="G467" s="360" t="s">
        <v>803</v>
      </c>
      <c r="H467" s="366" t="s">
        <v>807</v>
      </c>
      <c r="I467" s="496" t="s">
        <v>740</v>
      </c>
      <c r="J467" s="497" t="s">
        <v>767</v>
      </c>
      <c r="K467" s="490"/>
      <c r="L467" s="463" t="s">
        <v>770</v>
      </c>
      <c r="M467" s="459"/>
      <c r="N467" s="459"/>
      <c r="O467" s="459"/>
      <c r="P467" s="459"/>
      <c r="Q467" s="459"/>
      <c r="R467" s="459"/>
      <c r="S467" s="459"/>
      <c r="T467" s="459"/>
      <c r="U467" s="530">
        <v>0</v>
      </c>
      <c r="V467" s="530">
        <v>0</v>
      </c>
      <c r="W467" s="530">
        <v>0</v>
      </c>
      <c r="X467" s="490"/>
      <c r="Y467" s="969"/>
      <c r="Z467" s="969"/>
      <c r="AA467" s="969"/>
      <c r="AB467" s="969"/>
      <c r="AC467" s="969"/>
      <c r="AD467" s="969"/>
      <c r="AE467" s="969" t="str">
        <f t="shared" si="22"/>
        <v>TheewaterskloofTransfers and subsidies - capital (monetary allocations)</v>
      </c>
      <c r="AF467" s="969"/>
      <c r="AG467" s="969"/>
    </row>
    <row r="468" spans="2:33" ht="13.2" customHeight="1" x14ac:dyDescent="0.55000000000000004">
      <c r="B468" s="371"/>
      <c r="C468" s="1010" t="s">
        <v>771</v>
      </c>
      <c r="D468" s="360" t="str">
        <f t="shared" si="23"/>
        <v>Housing4700</v>
      </c>
      <c r="E468" s="361" t="str">
        <f t="shared" si="21"/>
        <v>TheewaterskloofHousingTransfers and subsidies - capital (in-kind - all)</v>
      </c>
      <c r="F468" s="360" t="str">
        <f>'PART C- Municipal Details'!$G$7</f>
        <v>Theewaterskloof</v>
      </c>
      <c r="G468" s="361" t="s">
        <v>803</v>
      </c>
      <c r="H468" s="363" t="s">
        <v>807</v>
      </c>
      <c r="I468" s="496" t="s">
        <v>744</v>
      </c>
      <c r="J468" s="497" t="s">
        <v>769</v>
      </c>
      <c r="K468" s="490"/>
      <c r="L468" s="463" t="s">
        <v>773</v>
      </c>
      <c r="M468" s="459"/>
      <c r="N468" s="459"/>
      <c r="O468" s="459"/>
      <c r="P468" s="459"/>
      <c r="Q468" s="459"/>
      <c r="R468" s="459"/>
      <c r="S468" s="459"/>
      <c r="T468" s="459"/>
      <c r="U468" s="530">
        <v>0</v>
      </c>
      <c r="V468" s="530">
        <v>0</v>
      </c>
      <c r="W468" s="530">
        <v>0</v>
      </c>
      <c r="X468" s="490"/>
      <c r="Y468" s="969"/>
      <c r="Z468" s="969"/>
      <c r="AA468" s="969"/>
      <c r="AB468" s="969"/>
      <c r="AC468" s="969"/>
      <c r="AD468" s="969"/>
      <c r="AE468" s="969" t="str">
        <f t="shared" si="22"/>
        <v>TheewaterskloofTransfers and subsidies - capital (in-kind)</v>
      </c>
      <c r="AF468" s="969"/>
      <c r="AG468" s="969"/>
    </row>
    <row r="469" spans="2:33" ht="13.2" customHeight="1" x14ac:dyDescent="0.55000000000000004">
      <c r="B469" s="371"/>
      <c r="C469" s="1009" t="s">
        <v>774</v>
      </c>
      <c r="D469" s="361" t="str">
        <f t="shared" si="23"/>
        <v>Housing4800</v>
      </c>
      <c r="E469" s="360" t="str">
        <f t="shared" si="21"/>
        <v>TheewaterskloofHousingSurplus/(Deficit) after capital transfers and contributions</v>
      </c>
      <c r="F469" s="360" t="str">
        <f>'PART C- Municipal Details'!$G$7</f>
        <v>Theewaterskloof</v>
      </c>
      <c r="G469" s="360" t="s">
        <v>803</v>
      </c>
      <c r="H469" s="366" t="s">
        <v>807</v>
      </c>
      <c r="I469" s="496" t="s">
        <v>747</v>
      </c>
      <c r="J469" s="497" t="s">
        <v>772</v>
      </c>
      <c r="K469" s="490"/>
      <c r="L469" s="463" t="s">
        <v>747</v>
      </c>
      <c r="M469" s="459"/>
      <c r="N469" s="459"/>
      <c r="O469" s="459"/>
      <c r="P469" s="459"/>
      <c r="Q469" s="459"/>
      <c r="R469" s="459"/>
      <c r="S469" s="459"/>
      <c r="T469" s="459"/>
      <c r="U469" s="530">
        <v>-15896634</v>
      </c>
      <c r="V469" s="530">
        <v>-16437127</v>
      </c>
      <c r="W469" s="530">
        <v>-16963108</v>
      </c>
      <c r="X469" s="490"/>
      <c r="Y469" s="969"/>
      <c r="Z469" s="969"/>
      <c r="AA469" s="969"/>
      <c r="AB469" s="969"/>
      <c r="AC469" s="969"/>
      <c r="AD469" s="969"/>
      <c r="AE469" s="969" t="str">
        <f t="shared" si="22"/>
        <v>TheewaterskloofSurplus/(Deficit) after capital transfers and contributions</v>
      </c>
      <c r="AF469" s="969"/>
      <c r="AG469" s="969"/>
    </row>
    <row r="470" spans="2:33" ht="13.2" customHeight="1" x14ac:dyDescent="0.55000000000000004">
      <c r="B470" s="371"/>
      <c r="C470" s="1010" t="s">
        <v>776</v>
      </c>
      <c r="D470" s="360" t="str">
        <f t="shared" si="23"/>
        <v>Housing4900</v>
      </c>
      <c r="E470" s="361" t="str">
        <f t="shared" si="21"/>
        <v>TheewaterskloofHousingTaxation</v>
      </c>
      <c r="F470" s="360" t="str">
        <f>'PART C- Municipal Details'!$G$7</f>
        <v>Theewaterskloof</v>
      </c>
      <c r="G470" s="361" t="s">
        <v>803</v>
      </c>
      <c r="H470" s="363" t="s">
        <v>807</v>
      </c>
      <c r="I470" s="496" t="s">
        <v>749</v>
      </c>
      <c r="J470" s="497" t="s">
        <v>775</v>
      </c>
      <c r="K470" s="490"/>
      <c r="L470" s="463" t="s">
        <v>778</v>
      </c>
      <c r="M470" s="459"/>
      <c r="N470" s="459"/>
      <c r="O470" s="459"/>
      <c r="P470" s="459"/>
      <c r="Q470" s="459"/>
      <c r="R470" s="459"/>
      <c r="S470" s="459"/>
      <c r="T470" s="459"/>
      <c r="U470" s="530">
        <v>0</v>
      </c>
      <c r="V470" s="530">
        <v>0</v>
      </c>
      <c r="W470" s="530">
        <v>0</v>
      </c>
      <c r="X470" s="490"/>
      <c r="Y470" s="969"/>
      <c r="Z470" s="969"/>
      <c r="AA470" s="969"/>
      <c r="AB470" s="969"/>
      <c r="AC470" s="969"/>
      <c r="AD470" s="969"/>
      <c r="AE470" s="969" t="str">
        <f t="shared" si="22"/>
        <v>TheewaterskloofIncome Tax</v>
      </c>
      <c r="AF470" s="969"/>
      <c r="AG470" s="969"/>
    </row>
    <row r="471" spans="2:33" ht="13.2" customHeight="1" x14ac:dyDescent="0.55000000000000004">
      <c r="B471" s="371"/>
      <c r="C471" s="1009" t="s">
        <v>779</v>
      </c>
      <c r="D471" s="361" t="str">
        <f t="shared" si="23"/>
        <v>Housing5000</v>
      </c>
      <c r="E471" s="360" t="str">
        <f t="shared" si="21"/>
        <v>TheewaterskloofHousingSurplus/(Deficit) after taxation</v>
      </c>
      <c r="F471" s="360" t="str">
        <f>'PART C- Municipal Details'!$G$7</f>
        <v>Theewaterskloof</v>
      </c>
      <c r="G471" s="360" t="s">
        <v>803</v>
      </c>
      <c r="H471" s="366" t="s">
        <v>807</v>
      </c>
      <c r="I471" s="496" t="s">
        <v>751</v>
      </c>
      <c r="J471" s="497" t="s">
        <v>777</v>
      </c>
      <c r="K471" s="490"/>
      <c r="L471" s="463" t="s">
        <v>781</v>
      </c>
      <c r="M471" s="459"/>
      <c r="N471" s="459"/>
      <c r="O471" s="459"/>
      <c r="P471" s="459"/>
      <c r="Q471" s="459"/>
      <c r="R471" s="459"/>
      <c r="S471" s="459"/>
      <c r="T471" s="459"/>
      <c r="U471" s="530">
        <v>-15896634</v>
      </c>
      <c r="V471" s="530">
        <v>-16437127</v>
      </c>
      <c r="W471" s="530">
        <v>-16963108</v>
      </c>
      <c r="X471" s="490"/>
      <c r="Y471" s="969"/>
      <c r="Z471" s="969"/>
      <c r="AA471" s="969"/>
      <c r="AB471" s="969"/>
      <c r="AC471" s="969"/>
      <c r="AD471" s="969"/>
      <c r="AE471" s="969" t="str">
        <f t="shared" si="22"/>
        <v>TheewaterskloofSurplus/(Deficit) after income tax</v>
      </c>
      <c r="AF471" s="969"/>
      <c r="AG471" s="969"/>
    </row>
    <row r="472" spans="2:33" ht="13.2" customHeight="1" x14ac:dyDescent="0.55000000000000004">
      <c r="B472" s="371"/>
      <c r="C472" s="1010" t="s">
        <v>782</v>
      </c>
      <c r="D472" s="360" t="str">
        <f t="shared" si="23"/>
        <v>Housing5100</v>
      </c>
      <c r="E472" s="361" t="str">
        <f t="shared" si="21"/>
        <v>TheewaterskloofHousingShare of Surplus/Deficit attributable to Joint Venture</v>
      </c>
      <c r="F472" s="360" t="str">
        <f>'PART C- Municipal Details'!$G$7</f>
        <v>Theewaterskloof</v>
      </c>
      <c r="G472" s="361" t="s">
        <v>803</v>
      </c>
      <c r="H472" s="363" t="s">
        <v>807</v>
      </c>
      <c r="I472" s="496" t="s">
        <v>783</v>
      </c>
      <c r="J472" s="497" t="s">
        <v>780</v>
      </c>
      <c r="K472" s="490"/>
      <c r="L472" s="463" t="s">
        <v>783</v>
      </c>
      <c r="M472" s="459"/>
      <c r="N472" s="459"/>
      <c r="O472" s="459"/>
      <c r="P472" s="459"/>
      <c r="Q472" s="459"/>
      <c r="R472" s="459"/>
      <c r="S472" s="459"/>
      <c r="T472" s="459"/>
      <c r="U472" s="530">
        <v>0</v>
      </c>
      <c r="V472" s="530">
        <v>0</v>
      </c>
      <c r="W472" s="530">
        <v>0</v>
      </c>
      <c r="X472" s="490"/>
      <c r="Y472" s="969"/>
      <c r="Z472" s="969"/>
      <c r="AA472" s="969"/>
      <c r="AB472" s="969"/>
      <c r="AC472" s="969"/>
      <c r="AD472" s="969"/>
      <c r="AE472" s="969" t="str">
        <f t="shared" si="22"/>
        <v>TheewaterskloofShare of Surplus/Deficit attributable to Joint Venture</v>
      </c>
      <c r="AF472" s="969"/>
      <c r="AG472" s="969"/>
    </row>
    <row r="473" spans="2:33" ht="13.2" customHeight="1" x14ac:dyDescent="0.55000000000000004">
      <c r="B473" s="371"/>
      <c r="C473" s="1010" t="s">
        <v>785</v>
      </c>
      <c r="D473" s="361" t="str">
        <f t="shared" si="23"/>
        <v>Housing5200</v>
      </c>
      <c r="E473" s="360" t="str">
        <f t="shared" si="21"/>
        <v>TheewaterskloofHousingAttributable to minorities</v>
      </c>
      <c r="F473" s="360" t="str">
        <f>'PART C- Municipal Details'!$G$7</f>
        <v>Theewaterskloof</v>
      </c>
      <c r="G473" s="360" t="s">
        <v>803</v>
      </c>
      <c r="H473" s="366" t="s">
        <v>807</v>
      </c>
      <c r="I473" s="496" t="s">
        <v>753</v>
      </c>
      <c r="J473" s="497" t="s">
        <v>784</v>
      </c>
      <c r="K473" s="490"/>
      <c r="L473" s="463" t="s">
        <v>787</v>
      </c>
      <c r="M473" s="459"/>
      <c r="N473" s="459"/>
      <c r="O473" s="459"/>
      <c r="P473" s="459"/>
      <c r="Q473" s="459"/>
      <c r="R473" s="459"/>
      <c r="S473" s="459"/>
      <c r="T473" s="459"/>
      <c r="U473" s="530">
        <v>0</v>
      </c>
      <c r="V473" s="530">
        <v>0</v>
      </c>
      <c r="W473" s="530">
        <v>0</v>
      </c>
      <c r="X473" s="490"/>
      <c r="Y473" s="969"/>
      <c r="Z473" s="969"/>
      <c r="AA473" s="969"/>
      <c r="AB473" s="969"/>
      <c r="AC473" s="969"/>
      <c r="AD473" s="969"/>
      <c r="AE473" s="969" t="str">
        <f t="shared" si="22"/>
        <v>TheewaterskloofShare of Surplus/Deficit attributable to Minorities</v>
      </c>
      <c r="AF473" s="969"/>
      <c r="AG473" s="969"/>
    </row>
    <row r="474" spans="2:33" ht="13.2" customHeight="1" x14ac:dyDescent="0.55000000000000004">
      <c r="B474" s="371"/>
      <c r="C474" s="1009" t="s">
        <v>788</v>
      </c>
      <c r="D474" s="360" t="str">
        <f t="shared" si="23"/>
        <v>Housing5300</v>
      </c>
      <c r="E474" s="361" t="str">
        <f t="shared" si="21"/>
        <v>TheewaterskloofHousingSurplus/(Deficit) attributable to municipality</v>
      </c>
      <c r="F474" s="360" t="str">
        <f>'PART C- Municipal Details'!$G$7</f>
        <v>Theewaterskloof</v>
      </c>
      <c r="G474" s="361" t="s">
        <v>803</v>
      </c>
      <c r="H474" s="363" t="s">
        <v>807</v>
      </c>
      <c r="I474" s="496" t="s">
        <v>756</v>
      </c>
      <c r="J474" s="497" t="s">
        <v>786</v>
      </c>
      <c r="K474" s="490"/>
      <c r="L474" s="463" t="s">
        <v>756</v>
      </c>
      <c r="M474" s="459"/>
      <c r="N474" s="459"/>
      <c r="O474" s="459"/>
      <c r="P474" s="459"/>
      <c r="Q474" s="459"/>
      <c r="R474" s="459"/>
      <c r="S474" s="459"/>
      <c r="T474" s="459"/>
      <c r="U474" s="530">
        <v>-15896634</v>
      </c>
      <c r="V474" s="530">
        <v>-16437127</v>
      </c>
      <c r="W474" s="530">
        <v>-16963108</v>
      </c>
      <c r="X474" s="490"/>
      <c r="Y474" s="969"/>
      <c r="Z474" s="969"/>
      <c r="AA474" s="969"/>
      <c r="AB474" s="969"/>
      <c r="AC474" s="969"/>
      <c r="AD474" s="969"/>
      <c r="AE474" s="969" t="str">
        <f t="shared" si="22"/>
        <v>TheewaterskloofSurplus/(Deficit) attributable to municipality</v>
      </c>
      <c r="AF474" s="969"/>
      <c r="AG474" s="969"/>
    </row>
    <row r="475" spans="2:33" ht="13.2" customHeight="1" x14ac:dyDescent="0.55000000000000004">
      <c r="B475" s="371"/>
      <c r="C475" s="1010" t="s">
        <v>790</v>
      </c>
      <c r="D475" s="361" t="str">
        <f t="shared" si="23"/>
        <v>Housing5400</v>
      </c>
      <c r="E475" s="360" t="str">
        <f t="shared" si="21"/>
        <v>TheewaterskloofHousingShare of surplus/ (deficit) of associate</v>
      </c>
      <c r="F475" s="360" t="str">
        <f>'PART C- Municipal Details'!$G$7</f>
        <v>Theewaterskloof</v>
      </c>
      <c r="G475" s="360" t="s">
        <v>803</v>
      </c>
      <c r="H475" s="366" t="s">
        <v>807</v>
      </c>
      <c r="I475" s="496" t="s">
        <v>759</v>
      </c>
      <c r="J475" s="497" t="s">
        <v>789</v>
      </c>
      <c r="K475" s="490"/>
      <c r="L475" s="463" t="s">
        <v>791</v>
      </c>
      <c r="M475" s="459"/>
      <c r="N475" s="459"/>
      <c r="O475" s="459"/>
      <c r="P475" s="459"/>
      <c r="Q475" s="459"/>
      <c r="R475" s="459"/>
      <c r="S475" s="459"/>
      <c r="T475" s="459"/>
      <c r="U475" s="530">
        <v>0</v>
      </c>
      <c r="V475" s="530">
        <v>0</v>
      </c>
      <c r="W475" s="530">
        <v>0</v>
      </c>
      <c r="X475" s="490"/>
      <c r="Y475" s="969"/>
      <c r="Z475" s="969"/>
      <c r="AA475" s="969"/>
      <c r="AB475" s="969"/>
      <c r="AC475" s="969"/>
      <c r="AD475" s="969"/>
      <c r="AE475" s="969" t="str">
        <f t="shared" si="22"/>
        <v>TheewaterskloofShare of Surplus/Deficit attributable to Associate</v>
      </c>
      <c r="AF475" s="969"/>
      <c r="AG475" s="969"/>
    </row>
    <row r="476" spans="2:33" ht="13.2" customHeight="1" x14ac:dyDescent="0.55000000000000004">
      <c r="B476" s="371"/>
      <c r="C476" s="1010" t="s">
        <v>792</v>
      </c>
      <c r="D476" s="360" t="str">
        <f t="shared" si="23"/>
        <v>Housing5500</v>
      </c>
      <c r="E476" s="361" t="str">
        <f t="shared" si="21"/>
        <v>TheewaterskloofHousingIntercompany/Parent subsidiary transactions</v>
      </c>
      <c r="F476" s="360" t="str">
        <f>'PART C- Municipal Details'!$G$7</f>
        <v>Theewaterskloof</v>
      </c>
      <c r="G476" s="361" t="s">
        <v>803</v>
      </c>
      <c r="H476" s="363" t="s">
        <v>807</v>
      </c>
      <c r="I476" s="496" t="s">
        <v>793</v>
      </c>
      <c r="J476" s="497" t="s">
        <v>789</v>
      </c>
      <c r="K476" s="490"/>
      <c r="L476" s="463" t="s">
        <v>793</v>
      </c>
      <c r="M476" s="459"/>
      <c r="N476" s="459"/>
      <c r="O476" s="459"/>
      <c r="P476" s="459"/>
      <c r="Q476" s="459"/>
      <c r="R476" s="459"/>
      <c r="S476" s="459"/>
      <c r="T476" s="459"/>
      <c r="U476" s="530">
        <v>0</v>
      </c>
      <c r="V476" s="530">
        <v>0</v>
      </c>
      <c r="W476" s="530">
        <v>0</v>
      </c>
      <c r="X476" s="490"/>
      <c r="Y476" s="969"/>
      <c r="Z476" s="969"/>
      <c r="AA476" s="969"/>
      <c r="AB476" s="969"/>
      <c r="AC476" s="969"/>
      <c r="AD476" s="969"/>
      <c r="AE476" s="969" t="str">
        <f t="shared" si="22"/>
        <v>TheewaterskloofIntercompany/Parent subsidiary transactions</v>
      </c>
      <c r="AF476" s="969"/>
      <c r="AG476" s="969"/>
    </row>
    <row r="477" spans="2:33" ht="13.2" customHeight="1" x14ac:dyDescent="0.55000000000000004">
      <c r="B477" s="371"/>
      <c r="C477" s="1009" t="s">
        <v>794</v>
      </c>
      <c r="D477" s="361" t="str">
        <f t="shared" si="23"/>
        <v>Housing5600</v>
      </c>
      <c r="E477" s="360" t="str">
        <f t="shared" si="21"/>
        <v>TheewaterskloofHousingSurplus/(Deficit) for the year</v>
      </c>
      <c r="F477" s="360" t="str">
        <f>'PART C- Municipal Details'!$G$7</f>
        <v>Theewaterskloof</v>
      </c>
      <c r="G477" s="360" t="s">
        <v>803</v>
      </c>
      <c r="H477" s="366" t="s">
        <v>807</v>
      </c>
      <c r="I477" s="496" t="s">
        <v>762</v>
      </c>
      <c r="J477" s="497" t="s">
        <v>789</v>
      </c>
      <c r="K477" s="490"/>
      <c r="L477" s="508" t="s">
        <v>762</v>
      </c>
      <c r="M477" s="509"/>
      <c r="N477" s="510"/>
      <c r="O477" s="510"/>
      <c r="P477" s="510"/>
      <c r="Q477" s="510"/>
      <c r="R477" s="510"/>
      <c r="S477" s="510"/>
      <c r="T477" s="511"/>
      <c r="U477" s="530">
        <v>0</v>
      </c>
      <c r="V477" s="530">
        <v>0</v>
      </c>
      <c r="W477" s="530">
        <v>0</v>
      </c>
      <c r="X477" s="490"/>
      <c r="Y477" s="969"/>
      <c r="Z477" s="969"/>
      <c r="AA477" s="969"/>
      <c r="AB477" s="969"/>
      <c r="AC477" s="969"/>
      <c r="AD477" s="969"/>
      <c r="AE477" s="969" t="str">
        <f t="shared" si="22"/>
        <v>TheewaterskloofSurplus/(Deficit) for the year</v>
      </c>
      <c r="AF477" s="969"/>
      <c r="AG477" s="969"/>
    </row>
    <row r="478" spans="2:33" ht="13.2" customHeight="1" x14ac:dyDescent="0.55000000000000004">
      <c r="B478" s="371"/>
      <c r="C478" s="1011">
        <v>55555</v>
      </c>
      <c r="D478" s="360" t="str">
        <f t="shared" si="23"/>
        <v>Housing55555</v>
      </c>
      <c r="E478" s="361" t="str">
        <f t="shared" si="21"/>
        <v>TheewaterskloofHousingReferences</v>
      </c>
      <c r="F478" s="360" t="str">
        <f>'PART C- Municipal Details'!$G$7</f>
        <v>Theewaterskloof</v>
      </c>
      <c r="G478" s="361" t="s">
        <v>803</v>
      </c>
      <c r="H478" s="363" t="s">
        <v>807</v>
      </c>
      <c r="I478" s="496" t="s">
        <v>765</v>
      </c>
      <c r="J478" s="497" t="s">
        <v>789</v>
      </c>
      <c r="K478" s="490"/>
      <c r="L478" s="474" t="s">
        <v>765</v>
      </c>
      <c r="M478" s="475"/>
      <c r="N478" s="476"/>
      <c r="O478" s="476"/>
      <c r="P478" s="476"/>
      <c r="Q478" s="476"/>
      <c r="R478" s="476"/>
      <c r="S478" s="476"/>
      <c r="T478" s="477"/>
      <c r="U478" s="530">
        <v>0</v>
      </c>
      <c r="V478" s="530">
        <v>0</v>
      </c>
      <c r="W478" s="530">
        <v>0</v>
      </c>
      <c r="X478" s="490"/>
      <c r="Y478" s="969"/>
      <c r="Z478" s="969"/>
      <c r="AA478" s="969"/>
      <c r="AB478" s="969"/>
      <c r="AC478" s="969"/>
      <c r="AD478" s="969"/>
      <c r="AE478" s="969" t="str">
        <f t="shared" si="22"/>
        <v>TheewaterskloofReferences</v>
      </c>
      <c r="AF478" s="969"/>
      <c r="AG478" s="969"/>
    </row>
    <row r="479" spans="2:33" ht="13.2" customHeight="1" x14ac:dyDescent="0.55000000000000004">
      <c r="B479" s="371"/>
      <c r="C479" s="1011">
        <v>55555</v>
      </c>
      <c r="D479" s="361" t="str">
        <f t="shared" si="23"/>
        <v>Housing55555</v>
      </c>
      <c r="E479" s="360" t="str">
        <f t="shared" si="21"/>
        <v>TheewaterskloofHousing1. Classifications are revenue sources and expenditure type</v>
      </c>
      <c r="F479" s="360" t="str">
        <f>'PART C- Municipal Details'!$G$7</f>
        <v>Theewaterskloof</v>
      </c>
      <c r="G479" s="360" t="s">
        <v>803</v>
      </c>
      <c r="H479" s="366" t="s">
        <v>807</v>
      </c>
      <c r="I479" s="496" t="s">
        <v>767</v>
      </c>
      <c r="J479" s="497" t="s">
        <v>789</v>
      </c>
      <c r="K479" s="490"/>
      <c r="L479" s="465" t="s">
        <v>767</v>
      </c>
      <c r="M479" s="472"/>
      <c r="N479" s="473"/>
      <c r="O479" s="473"/>
      <c r="P479" s="473"/>
      <c r="Q479" s="473"/>
      <c r="R479" s="473"/>
      <c r="S479" s="473"/>
      <c r="T479" s="478"/>
      <c r="U479" s="530">
        <v>0</v>
      </c>
      <c r="V479" s="530">
        <v>0</v>
      </c>
      <c r="W479" s="530">
        <v>0</v>
      </c>
      <c r="X479" s="490"/>
      <c r="Y479" s="969"/>
      <c r="Z479" s="969"/>
      <c r="AA479" s="969"/>
      <c r="AB479" s="969"/>
      <c r="AC479" s="969"/>
      <c r="AD479" s="969"/>
      <c r="AE479" s="969" t="str">
        <f t="shared" si="22"/>
        <v>Theewaterskloof1. Classifications are revenue sources and expenditure type</v>
      </c>
      <c r="AF479" s="969"/>
      <c r="AG479" s="969"/>
    </row>
    <row r="480" spans="2:33" ht="13.2" customHeight="1" x14ac:dyDescent="0.55000000000000004">
      <c r="B480" s="371"/>
      <c r="C480" s="1011">
        <v>55555</v>
      </c>
      <c r="D480" s="360" t="str">
        <f t="shared" si="23"/>
        <v>Housing55555</v>
      </c>
      <c r="E480" s="361" t="str">
        <f t="shared" si="21"/>
        <v>TheewaterskloofHousing2. Detail to be provided in Table SA1</v>
      </c>
      <c r="F480" s="360" t="str">
        <f>'PART C- Municipal Details'!$G$7</f>
        <v>Theewaterskloof</v>
      </c>
      <c r="G480" s="361" t="s">
        <v>803</v>
      </c>
      <c r="H480" s="363" t="s">
        <v>807</v>
      </c>
      <c r="I480" s="496" t="s">
        <v>769</v>
      </c>
      <c r="J480" s="497" t="s">
        <v>789</v>
      </c>
      <c r="K480" s="490"/>
      <c r="L480" s="465" t="s">
        <v>769</v>
      </c>
      <c r="M480" s="472"/>
      <c r="N480" s="473"/>
      <c r="O480" s="473"/>
      <c r="P480" s="473"/>
      <c r="Q480" s="473"/>
      <c r="R480" s="473"/>
      <c r="S480" s="473"/>
      <c r="T480" s="478"/>
      <c r="U480" s="530">
        <v>0</v>
      </c>
      <c r="V480" s="530">
        <v>0</v>
      </c>
      <c r="W480" s="530">
        <v>0</v>
      </c>
      <c r="X480" s="490"/>
      <c r="Y480" s="969"/>
      <c r="Z480" s="969"/>
      <c r="AA480" s="969"/>
      <c r="AB480" s="969"/>
      <c r="AC480" s="969"/>
      <c r="AD480" s="969"/>
      <c r="AE480" s="969" t="str">
        <f t="shared" si="22"/>
        <v>Theewaterskloof2. Detail to be provided in Table SA1</v>
      </c>
      <c r="AF480" s="969"/>
      <c r="AG480" s="969"/>
    </row>
    <row r="481" spans="2:33" ht="13.2" customHeight="1" x14ac:dyDescent="0.55000000000000004">
      <c r="B481" s="371"/>
      <c r="C481" s="1011">
        <v>55555</v>
      </c>
      <c r="D481" s="361" t="str">
        <f t="shared" si="23"/>
        <v>Housing55555</v>
      </c>
      <c r="E481" s="360" t="str">
        <f t="shared" si="21"/>
        <v>TheewaterskloofHousing3. Debt impairment includes Impairment and Reversal of Impairment Losses</v>
      </c>
      <c r="F481" s="360" t="str">
        <f>'PART C- Municipal Details'!$G$7</f>
        <v>Theewaterskloof</v>
      </c>
      <c r="G481" s="360" t="s">
        <v>803</v>
      </c>
      <c r="H481" s="366" t="s">
        <v>807</v>
      </c>
      <c r="I481" s="496" t="s">
        <v>795</v>
      </c>
      <c r="J481" s="497" t="s">
        <v>789</v>
      </c>
      <c r="K481" s="490"/>
      <c r="L481" s="465" t="s">
        <v>795</v>
      </c>
      <c r="M481" s="472"/>
      <c r="N481" s="473"/>
      <c r="O481" s="473"/>
      <c r="P481" s="473"/>
      <c r="Q481" s="473"/>
      <c r="R481" s="473"/>
      <c r="S481" s="473"/>
      <c r="T481" s="478"/>
      <c r="U481" s="530">
        <v>0</v>
      </c>
      <c r="V481" s="530">
        <v>0</v>
      </c>
      <c r="W481" s="530">
        <v>0</v>
      </c>
      <c r="X481" s="490"/>
      <c r="Y481" s="969"/>
      <c r="Z481" s="969"/>
      <c r="AA481" s="969"/>
      <c r="AB481" s="969"/>
      <c r="AC481" s="969"/>
      <c r="AD481" s="969"/>
      <c r="AE481" s="969" t="str">
        <f t="shared" si="22"/>
        <v>Theewaterskloof3. Debt impairment includes Impairment and Reversal of Impairment Losses</v>
      </c>
      <c r="AF481" s="969"/>
      <c r="AG481" s="969"/>
    </row>
    <row r="482" spans="2:33" ht="13.2" customHeight="1" x14ac:dyDescent="0.55000000000000004">
      <c r="B482" s="371"/>
      <c r="C482" s="1011">
        <v>55555</v>
      </c>
      <c r="D482" s="360" t="str">
        <f t="shared" si="23"/>
        <v>Housing55555</v>
      </c>
      <c r="E482" s="361" t="str">
        <f t="shared" si="21"/>
        <v>TheewaterskloofHousing4. Expenditure type components previously shown under repairs and maintenance should be allocated back to the originating expenditure group/item; e.g. employee costs</v>
      </c>
      <c r="F482" s="360" t="str">
        <f>'PART C- Municipal Details'!$G$7</f>
        <v>Theewaterskloof</v>
      </c>
      <c r="G482" s="361" t="s">
        <v>803</v>
      </c>
      <c r="H482" s="363" t="s">
        <v>807</v>
      </c>
      <c r="I482" s="496" t="s">
        <v>775</v>
      </c>
      <c r="J482" s="497" t="s">
        <v>789</v>
      </c>
      <c r="K482" s="490"/>
      <c r="L482" s="465" t="s">
        <v>775</v>
      </c>
      <c r="M482" s="472"/>
      <c r="N482" s="473"/>
      <c r="O482" s="473"/>
      <c r="P482" s="473"/>
      <c r="Q482" s="473"/>
      <c r="R482" s="473"/>
      <c r="S482" s="473"/>
      <c r="T482" s="478"/>
      <c r="U482" s="530">
        <v>0</v>
      </c>
      <c r="V482" s="530">
        <v>0</v>
      </c>
      <c r="W482" s="530">
        <v>0</v>
      </c>
      <c r="X482" s="490"/>
      <c r="Y482" s="969"/>
      <c r="Z482" s="969"/>
      <c r="AA482" s="969"/>
      <c r="AB482" s="969"/>
      <c r="AC482" s="969"/>
      <c r="AD482" s="969"/>
      <c r="AE482" s="969" t="str">
        <f t="shared" si="22"/>
        <v>Theewaterskloof4. Expenditure type components previously shown under repairs and maintenance should be allocated back to the originating expenditure group/item; e.g. employee costs</v>
      </c>
      <c r="AF482" s="969"/>
      <c r="AG482" s="969"/>
    </row>
    <row r="483" spans="2:33" ht="13.2" customHeight="1" x14ac:dyDescent="0.55000000000000004">
      <c r="B483" s="371"/>
      <c r="C483" s="1011">
        <v>55555</v>
      </c>
      <c r="D483" s="361" t="str">
        <f t="shared" si="23"/>
        <v>Housing55555</v>
      </c>
      <c r="E483" s="360" t="str">
        <f t="shared" si="21"/>
        <v>TheewaterskloofHousing5. Repairs &amp; maintenance detailed in Table A9 and Table SA34c</v>
      </c>
      <c r="F483" s="360" t="str">
        <f>'PART C- Municipal Details'!$G$7</f>
        <v>Theewaterskloof</v>
      </c>
      <c r="G483" s="360" t="s">
        <v>803</v>
      </c>
      <c r="H483" s="366" t="s">
        <v>807</v>
      </c>
      <c r="I483" s="496" t="s">
        <v>777</v>
      </c>
      <c r="J483" s="497" t="s">
        <v>789</v>
      </c>
      <c r="K483" s="490"/>
      <c r="L483" s="465" t="s">
        <v>777</v>
      </c>
      <c r="M483" s="472"/>
      <c r="N483" s="473"/>
      <c r="O483" s="473"/>
      <c r="P483" s="473"/>
      <c r="Q483" s="473"/>
      <c r="R483" s="473"/>
      <c r="S483" s="473"/>
      <c r="T483" s="478"/>
      <c r="U483" s="530">
        <v>0</v>
      </c>
      <c r="V483" s="530">
        <v>0</v>
      </c>
      <c r="W483" s="530">
        <v>0</v>
      </c>
      <c r="X483" s="490"/>
      <c r="Y483" s="969"/>
      <c r="Z483" s="969"/>
      <c r="AA483" s="969"/>
      <c r="AB483" s="969"/>
      <c r="AC483" s="969"/>
      <c r="AD483" s="969"/>
      <c r="AE483" s="969" t="str">
        <f t="shared" si="22"/>
        <v>Theewaterskloof5. Repairs &amp; maintenance detailed in Table A9 and Table SA34c</v>
      </c>
      <c r="AF483" s="969"/>
      <c r="AG483" s="969"/>
    </row>
    <row r="484" spans="2:33" ht="13.2" customHeight="1" x14ac:dyDescent="0.55000000000000004">
      <c r="B484" s="371"/>
      <c r="C484" s="1011">
        <v>55555</v>
      </c>
      <c r="D484" s="360" t="str">
        <f t="shared" si="23"/>
        <v>Housing55555</v>
      </c>
      <c r="E484" s="361" t="str">
        <f t="shared" si="21"/>
        <v>TheewaterskloofHousing6. Contributions are funds provided by external organisations to assist with infrastructure development; e.g. developer contributions (detail to be provided in Table SA1)</v>
      </c>
      <c r="F484" s="360" t="str">
        <f>'PART C- Municipal Details'!$G$7</f>
        <v>Theewaterskloof</v>
      </c>
      <c r="G484" s="361" t="s">
        <v>803</v>
      </c>
      <c r="H484" s="363" t="s">
        <v>807</v>
      </c>
      <c r="I484" s="496" t="s">
        <v>780</v>
      </c>
      <c r="J484" s="497" t="s">
        <v>789</v>
      </c>
      <c r="K484" s="490"/>
      <c r="L484" s="465" t="s">
        <v>780</v>
      </c>
      <c r="M484" s="472"/>
      <c r="N484" s="473"/>
      <c r="O484" s="473"/>
      <c r="P484" s="473"/>
      <c r="Q484" s="473"/>
      <c r="R484" s="473"/>
      <c r="S484" s="473"/>
      <c r="T484" s="478"/>
      <c r="U484" s="530">
        <v>0</v>
      </c>
      <c r="V484" s="530">
        <v>0</v>
      </c>
      <c r="W484" s="530">
        <v>0</v>
      </c>
      <c r="X484" s="490"/>
      <c r="Y484" s="969"/>
      <c r="Z484" s="969"/>
      <c r="AA484" s="969"/>
      <c r="AB484" s="969"/>
      <c r="AC484" s="969"/>
      <c r="AD484" s="969"/>
      <c r="AE484" s="969" t="str">
        <f t="shared" si="22"/>
        <v>Theewaterskloof6. Contributions are funds provided by external organisations to assist with infrastructure development; e.g. developer contributions (detail to be provided in Table SA1)</v>
      </c>
      <c r="AF484" s="969"/>
      <c r="AG484" s="969"/>
    </row>
    <row r="485" spans="2:33" ht="13.2" customHeight="1" x14ac:dyDescent="0.55000000000000004">
      <c r="B485" s="371"/>
      <c r="C485" s="1011">
        <v>55555</v>
      </c>
      <c r="D485" s="361" t="str">
        <f t="shared" si="23"/>
        <v>Housing55555</v>
      </c>
      <c r="E485" s="360" t="str">
        <f t="shared" si="21"/>
        <v>TheewaterskloofHousing7. Equity method ( Includes Joint Ventures)</v>
      </c>
      <c r="F485" s="360" t="str">
        <f>'PART C- Municipal Details'!$G$7</f>
        <v>Theewaterskloof</v>
      </c>
      <c r="G485" s="360" t="s">
        <v>803</v>
      </c>
      <c r="H485" s="366" t="s">
        <v>807</v>
      </c>
      <c r="I485" s="496" t="s">
        <v>796</v>
      </c>
      <c r="J485" s="497" t="s">
        <v>789</v>
      </c>
      <c r="K485" s="490"/>
      <c r="L485" s="479" t="s">
        <v>796</v>
      </c>
      <c r="M485" s="480"/>
      <c r="N485" s="481"/>
      <c r="O485" s="481"/>
      <c r="P485" s="481"/>
      <c r="Q485" s="481"/>
      <c r="R485" s="481"/>
      <c r="S485" s="481"/>
      <c r="T485" s="482"/>
      <c r="U485" s="530">
        <v>0</v>
      </c>
      <c r="V485" s="530">
        <v>0</v>
      </c>
      <c r="W485" s="530">
        <v>0</v>
      </c>
      <c r="X485" s="490"/>
      <c r="Y485" s="969"/>
      <c r="Z485" s="969"/>
      <c r="AA485" s="969"/>
      <c r="AB485" s="969"/>
      <c r="AC485" s="969"/>
      <c r="AD485" s="969"/>
      <c r="AE485" s="969" t="str">
        <f t="shared" si="22"/>
        <v>Theewaterskloof7. Equity method ( Includes Joint Ventures)</v>
      </c>
      <c r="AF485" s="969"/>
      <c r="AG485" s="969"/>
    </row>
    <row r="486" spans="2:33" ht="13.2" customHeight="1" x14ac:dyDescent="0.55000000000000004">
      <c r="B486" s="371"/>
      <c r="C486" s="1011">
        <v>55555</v>
      </c>
      <c r="D486" s="360" t="str">
        <f t="shared" si="23"/>
        <v>Housing55555</v>
      </c>
      <c r="E486" s="361" t="str">
        <f t="shared" si="21"/>
        <v>TheewaterskloofHousing8. All materials consumed including water consumed and materials used in operations.</v>
      </c>
      <c r="F486" s="360" t="str">
        <f>'PART C- Municipal Details'!$G$7</f>
        <v>Theewaterskloof</v>
      </c>
      <c r="G486" s="361" t="s">
        <v>803</v>
      </c>
      <c r="H486" s="363" t="s">
        <v>807</v>
      </c>
      <c r="I486" s="496" t="s">
        <v>797</v>
      </c>
      <c r="J486" s="497" t="s">
        <v>789</v>
      </c>
      <c r="K486" s="490"/>
      <c r="L486" s="501"/>
      <c r="M486" s="502"/>
      <c r="N486" s="503"/>
      <c r="O486" s="503"/>
      <c r="P486" s="503"/>
      <c r="Q486" s="503"/>
      <c r="R486" s="503"/>
      <c r="S486" s="503"/>
      <c r="T486" s="503"/>
      <c r="U486" s="504"/>
      <c r="V486" s="504"/>
      <c r="W486" s="504"/>
      <c r="X486" s="490"/>
      <c r="Y486" s="969"/>
      <c r="Z486" s="969"/>
      <c r="AA486" s="969"/>
      <c r="AB486" s="969"/>
      <c r="AC486" s="969"/>
      <c r="AD486" s="969"/>
      <c r="AE486" s="969" t="str">
        <f t="shared" si="22"/>
        <v>Theewaterskloof</v>
      </c>
      <c r="AF486" s="969"/>
      <c r="AG486" s="969"/>
    </row>
    <row r="487" spans="2:33" ht="13.2" customHeight="1" x14ac:dyDescent="0.55000000000000004">
      <c r="B487" s="371"/>
      <c r="C487" s="1011">
        <v>55555</v>
      </c>
      <c r="D487" s="361" t="str">
        <f t="shared" si="23"/>
        <v>55555</v>
      </c>
      <c r="E487" s="360" t="str">
        <f t="shared" si="21"/>
        <v>Theewaterskloof</v>
      </c>
      <c r="F487" s="360" t="str">
        <f>'PART C- Municipal Details'!$G$7</f>
        <v>Theewaterskloof</v>
      </c>
      <c r="G487" s="360" t="s">
        <v>803</v>
      </c>
      <c r="H487" s="366"/>
      <c r="I487" s="496"/>
      <c r="J487" s="497"/>
      <c r="K487" s="490"/>
      <c r="L487" s="516"/>
      <c r="M487" s="517"/>
      <c r="N487" s="515"/>
      <c r="O487" s="515"/>
      <c r="P487" s="515"/>
      <c r="Q487" s="515"/>
      <c r="R487" s="515"/>
      <c r="S487" s="515"/>
      <c r="T487" s="515"/>
      <c r="U487" s="517"/>
      <c r="V487" s="517"/>
      <c r="W487" s="517"/>
      <c r="X487" s="490"/>
      <c r="Y487" s="969"/>
      <c r="Z487" s="969"/>
      <c r="AA487" s="969"/>
      <c r="AB487" s="969"/>
      <c r="AC487" s="969"/>
      <c r="AD487" s="969"/>
      <c r="AE487" s="969" t="str">
        <f t="shared" si="22"/>
        <v>Theewaterskloof</v>
      </c>
      <c r="AF487" s="969"/>
      <c r="AG487" s="969"/>
    </row>
    <row r="488" spans="2:33" ht="13.2" customHeight="1" thickBot="1" x14ac:dyDescent="0.6">
      <c r="B488" s="371"/>
      <c r="C488" s="1010">
        <v>55555</v>
      </c>
      <c r="D488" s="360" t="str">
        <f t="shared" si="23"/>
        <v>Health55555</v>
      </c>
      <c r="E488" s="360" t="str">
        <f t="shared" si="21"/>
        <v>TheewaterskloofHealthzz</v>
      </c>
      <c r="F488" s="360" t="str">
        <f>'PART C- Municipal Details'!$G$7</f>
        <v>Theewaterskloof</v>
      </c>
      <c r="G488" s="360" t="s">
        <v>803</v>
      </c>
      <c r="H488" s="366" t="s">
        <v>477</v>
      </c>
      <c r="I488" s="496" t="s">
        <v>801</v>
      </c>
      <c r="J488" s="497" t="s">
        <v>651</v>
      </c>
      <c r="K488" s="490"/>
      <c r="L488" s="462" t="s">
        <v>651</v>
      </c>
      <c r="M488" s="362" t="s">
        <v>652</v>
      </c>
      <c r="N488" s="466" t="s">
        <v>653</v>
      </c>
      <c r="O488" s="466" t="s">
        <v>654</v>
      </c>
      <c r="P488" s="467" t="s">
        <v>655</v>
      </c>
      <c r="Q488" s="483" t="s">
        <v>656</v>
      </c>
      <c r="R488" s="468"/>
      <c r="S488" s="468"/>
      <c r="T488" s="467"/>
      <c r="U488" s="527" t="s">
        <v>657</v>
      </c>
      <c r="V488" s="527" t="s">
        <v>657</v>
      </c>
      <c r="W488" s="527" t="s">
        <v>657</v>
      </c>
      <c r="X488" s="490"/>
      <c r="Y488" s="969"/>
      <c r="Z488" s="969"/>
      <c r="AA488" s="969"/>
      <c r="AB488" s="969"/>
      <c r="AC488" s="969"/>
      <c r="AD488" s="969"/>
      <c r="AE488" s="969" t="str">
        <f t="shared" si="22"/>
        <v>TheewaterskloofDescription</v>
      </c>
      <c r="AF488" s="969"/>
      <c r="AG488" s="969"/>
    </row>
    <row r="489" spans="2:33" ht="13.2" customHeight="1" x14ac:dyDescent="0.55000000000000004">
      <c r="B489" s="371"/>
      <c r="C489" s="1008" t="s">
        <v>667</v>
      </c>
      <c r="D489" s="361" t="str">
        <f t="shared" si="23"/>
        <v>Health0100</v>
      </c>
      <c r="E489" s="361" t="str">
        <f t="shared" si="21"/>
        <v>TheewaterskloofHealthz</v>
      </c>
      <c r="F489" s="360" t="str">
        <f>'PART C- Municipal Details'!$G$7</f>
        <v>Theewaterskloof</v>
      </c>
      <c r="G489" s="361" t="s">
        <v>803</v>
      </c>
      <c r="H489" s="363" t="s">
        <v>477</v>
      </c>
      <c r="I489" s="496" t="s">
        <v>802</v>
      </c>
      <c r="J489" s="497" t="s">
        <v>650</v>
      </c>
      <c r="K489" s="490"/>
      <c r="L489" s="365" t="s">
        <v>659</v>
      </c>
      <c r="M489" s="364" t="s">
        <v>660</v>
      </c>
      <c r="N489" s="469" t="s">
        <v>661</v>
      </c>
      <c r="O489" s="469" t="s">
        <v>661</v>
      </c>
      <c r="P489" s="470" t="s">
        <v>661</v>
      </c>
      <c r="Q489" s="471" t="s">
        <v>662</v>
      </c>
      <c r="R489" s="469" t="s">
        <v>663</v>
      </c>
      <c r="S489" s="469" t="s">
        <v>664</v>
      </c>
      <c r="T489" s="470" t="s">
        <v>665</v>
      </c>
      <c r="U489" s="528" t="s">
        <v>666</v>
      </c>
      <c r="V489" s="528" t="s">
        <v>666</v>
      </c>
      <c r="W489" s="528" t="s">
        <v>666</v>
      </c>
      <c r="X489" s="490"/>
      <c r="Y489" s="969"/>
      <c r="Z489" s="969"/>
      <c r="AA489" s="969"/>
      <c r="AB489" s="969"/>
      <c r="AC489" s="969"/>
      <c r="AD489" s="969"/>
      <c r="AE489" s="969" t="str">
        <f t="shared" si="22"/>
        <v>TheewaterskloofR thousands</v>
      </c>
      <c r="AF489" s="969"/>
      <c r="AG489" s="969"/>
    </row>
    <row r="490" spans="2:33" ht="13.2" customHeight="1" x14ac:dyDescent="0.55000000000000004">
      <c r="B490" s="371"/>
      <c r="C490" s="1009" t="s">
        <v>668</v>
      </c>
      <c r="D490" s="360" t="str">
        <f t="shared" si="23"/>
        <v>Health0200</v>
      </c>
      <c r="E490" s="360" t="str">
        <f t="shared" si="21"/>
        <v>TheewaterskloofHealthz</v>
      </c>
      <c r="F490" s="360" t="str">
        <f>'PART C- Municipal Details'!$G$7</f>
        <v>Theewaterskloof</v>
      </c>
      <c r="G490" s="360" t="s">
        <v>803</v>
      </c>
      <c r="H490" s="366" t="s">
        <v>477</v>
      </c>
      <c r="I490" s="496" t="s">
        <v>802</v>
      </c>
      <c r="J490" s="497" t="s">
        <v>658</v>
      </c>
      <c r="K490" s="490"/>
      <c r="L490" s="505" t="s">
        <v>162</v>
      </c>
      <c r="M490" s="506"/>
      <c r="N490" s="507"/>
      <c r="O490" s="507"/>
      <c r="P490" s="507"/>
      <c r="Q490" s="507"/>
      <c r="R490" s="507"/>
      <c r="S490" s="507"/>
      <c r="T490" s="507"/>
      <c r="U490" s="529">
        <v>0</v>
      </c>
      <c r="V490" s="529">
        <v>0</v>
      </c>
      <c r="W490" s="529">
        <v>0</v>
      </c>
      <c r="X490" s="490"/>
      <c r="Y490" s="969"/>
      <c r="Z490" s="969"/>
      <c r="AA490" s="969"/>
      <c r="AB490" s="969"/>
      <c r="AC490" s="969"/>
      <c r="AD490" s="969"/>
      <c r="AE490" s="969" t="str">
        <f t="shared" si="22"/>
        <v>TheewaterskloofRevenue</v>
      </c>
      <c r="AF490" s="969"/>
      <c r="AG490" s="969"/>
    </row>
    <row r="491" spans="2:33" ht="13.2" customHeight="1" x14ac:dyDescent="0.55000000000000004">
      <c r="B491" s="371"/>
      <c r="C491" s="1010" t="s">
        <v>671</v>
      </c>
      <c r="D491" s="361" t="str">
        <f t="shared" si="23"/>
        <v>Health0300</v>
      </c>
      <c r="E491" s="361" t="str">
        <f t="shared" si="21"/>
        <v>TheewaterskloofHealthz</v>
      </c>
      <c r="F491" s="360" t="str">
        <f>'PART C- Municipal Details'!$G$7</f>
        <v>Theewaterskloof</v>
      </c>
      <c r="G491" s="361" t="s">
        <v>803</v>
      </c>
      <c r="H491" s="363" t="s">
        <v>477</v>
      </c>
      <c r="I491" s="496" t="s">
        <v>802</v>
      </c>
      <c r="J491" s="497" t="s">
        <v>0</v>
      </c>
      <c r="K491" s="490"/>
      <c r="L491" s="463" t="s">
        <v>670</v>
      </c>
      <c r="M491" s="459"/>
      <c r="N491" s="460"/>
      <c r="O491" s="460"/>
      <c r="P491" s="460"/>
      <c r="Q491" s="460"/>
      <c r="R491" s="460"/>
      <c r="S491" s="460"/>
      <c r="T491" s="460"/>
      <c r="U491" s="530">
        <v>0</v>
      </c>
      <c r="V491" s="530">
        <v>0</v>
      </c>
      <c r="W491" s="530">
        <v>0</v>
      </c>
      <c r="X491" s="490"/>
      <c r="Y491" s="969"/>
      <c r="Z491" s="969"/>
      <c r="AA491" s="969"/>
      <c r="AB491" s="969"/>
      <c r="AC491" s="969"/>
      <c r="AD491" s="969"/>
      <c r="AE491" s="969" t="str">
        <f t="shared" si="22"/>
        <v>TheewaterskloofExchange Revenue</v>
      </c>
      <c r="AF491" s="969"/>
      <c r="AG491" s="969"/>
    </row>
    <row r="492" spans="2:33" ht="13.2" customHeight="1" x14ac:dyDescent="0.55000000000000004">
      <c r="B492" s="371"/>
      <c r="C492" s="1010" t="s">
        <v>674</v>
      </c>
      <c r="D492" s="360" t="str">
        <f t="shared" si="23"/>
        <v>Health0400</v>
      </c>
      <c r="E492" s="360" t="str">
        <f t="shared" si="21"/>
        <v>TheewaterskloofHealthService charges - electricity revenue</v>
      </c>
      <c r="F492" s="360" t="str">
        <f>'PART C- Municipal Details'!$G$7</f>
        <v>Theewaterskloof</v>
      </c>
      <c r="G492" s="360" t="s">
        <v>803</v>
      </c>
      <c r="H492" s="366" t="s">
        <v>477</v>
      </c>
      <c r="I492" s="496" t="s">
        <v>669</v>
      </c>
      <c r="J492" s="497" t="s">
        <v>669</v>
      </c>
      <c r="K492" s="490"/>
      <c r="L492" s="463" t="s">
        <v>673</v>
      </c>
      <c r="M492" s="459"/>
      <c r="N492" s="461"/>
      <c r="O492" s="461"/>
      <c r="P492" s="461"/>
      <c r="Q492" s="461"/>
      <c r="R492" s="461"/>
      <c r="S492" s="461"/>
      <c r="T492" s="461"/>
      <c r="U492" s="530">
        <v>0</v>
      </c>
      <c r="V492" s="530">
        <v>0</v>
      </c>
      <c r="W492" s="530">
        <v>0</v>
      </c>
      <c r="X492" s="490"/>
      <c r="Y492" s="969"/>
      <c r="Z492" s="969"/>
      <c r="AA492" s="969"/>
      <c r="AB492" s="969"/>
      <c r="AC492" s="969"/>
      <c r="AD492" s="969"/>
      <c r="AE492" s="969" t="str">
        <f t="shared" si="22"/>
        <v>TheewaterskloofService charges - Electricity</v>
      </c>
      <c r="AF492" s="969"/>
      <c r="AG492" s="969"/>
    </row>
    <row r="493" spans="2:33" ht="13.2" customHeight="1" x14ac:dyDescent="0.55000000000000004">
      <c r="B493" s="371"/>
      <c r="C493" s="1010" t="s">
        <v>677</v>
      </c>
      <c r="D493" s="361" t="str">
        <f t="shared" si="23"/>
        <v>Health0500</v>
      </c>
      <c r="E493" s="361" t="str">
        <f t="shared" si="21"/>
        <v>TheewaterskloofHealthService charges - water revenue</v>
      </c>
      <c r="F493" s="360" t="str">
        <f>'PART C- Municipal Details'!$G$7</f>
        <v>Theewaterskloof</v>
      </c>
      <c r="G493" s="361" t="s">
        <v>803</v>
      </c>
      <c r="H493" s="363" t="s">
        <v>477</v>
      </c>
      <c r="I493" s="496" t="s">
        <v>672</v>
      </c>
      <c r="J493" s="497" t="s">
        <v>672</v>
      </c>
      <c r="K493" s="490"/>
      <c r="L493" s="463" t="s">
        <v>676</v>
      </c>
      <c r="M493" s="459"/>
      <c r="N493" s="461"/>
      <c r="O493" s="461"/>
      <c r="P493" s="461"/>
      <c r="Q493" s="461"/>
      <c r="R493" s="461"/>
      <c r="S493" s="461"/>
      <c r="T493" s="461"/>
      <c r="U493" s="530">
        <v>0</v>
      </c>
      <c r="V493" s="530">
        <v>0</v>
      </c>
      <c r="W493" s="530">
        <v>0</v>
      </c>
      <c r="X493" s="490"/>
      <c r="Y493" s="969"/>
      <c r="Z493" s="969"/>
      <c r="AA493" s="969"/>
      <c r="AB493" s="969"/>
      <c r="AC493" s="969"/>
      <c r="AD493" s="969"/>
      <c r="AE493" s="969" t="str">
        <f t="shared" si="22"/>
        <v>TheewaterskloofService charges - Water</v>
      </c>
      <c r="AF493" s="969"/>
      <c r="AG493" s="969"/>
    </row>
    <row r="494" spans="2:33" ht="13.2" customHeight="1" x14ac:dyDescent="0.55000000000000004">
      <c r="B494" s="371"/>
      <c r="C494" s="1010" t="s">
        <v>680</v>
      </c>
      <c r="D494" s="360" t="str">
        <f t="shared" si="23"/>
        <v>Health0600</v>
      </c>
      <c r="E494" s="360" t="str">
        <f t="shared" si="21"/>
        <v>TheewaterskloofHealthService charges - sanitation revenue</v>
      </c>
      <c r="F494" s="360" t="str">
        <f>'PART C- Municipal Details'!$G$7</f>
        <v>Theewaterskloof</v>
      </c>
      <c r="G494" s="360" t="s">
        <v>803</v>
      </c>
      <c r="H494" s="366" t="s">
        <v>477</v>
      </c>
      <c r="I494" s="496" t="s">
        <v>675</v>
      </c>
      <c r="J494" s="497" t="s">
        <v>675</v>
      </c>
      <c r="K494" s="490"/>
      <c r="L494" s="463" t="s">
        <v>679</v>
      </c>
      <c r="M494" s="459"/>
      <c r="N494" s="461"/>
      <c r="O494" s="461"/>
      <c r="P494" s="461"/>
      <c r="Q494" s="461"/>
      <c r="R494" s="461"/>
      <c r="S494" s="461"/>
      <c r="T494" s="461"/>
      <c r="U494" s="530">
        <v>0</v>
      </c>
      <c r="V494" s="530">
        <v>0</v>
      </c>
      <c r="W494" s="530">
        <v>0</v>
      </c>
      <c r="X494" s="490"/>
      <c r="Y494" s="969"/>
      <c r="Z494" s="969"/>
      <c r="AA494" s="969"/>
      <c r="AB494" s="969"/>
      <c r="AC494" s="969"/>
      <c r="AD494" s="969"/>
      <c r="AE494" s="969" t="str">
        <f t="shared" si="22"/>
        <v>TheewaterskloofService charges - Waste Water Management</v>
      </c>
      <c r="AF494" s="969"/>
      <c r="AG494" s="969"/>
    </row>
    <row r="495" spans="2:33" ht="13.2" customHeight="1" x14ac:dyDescent="0.55000000000000004">
      <c r="B495" s="371"/>
      <c r="C495" s="1010" t="s">
        <v>683</v>
      </c>
      <c r="D495" s="361" t="str">
        <f t="shared" si="23"/>
        <v>Health0700</v>
      </c>
      <c r="E495" s="361" t="str">
        <f t="shared" si="21"/>
        <v>TheewaterskloofHealthService charges - refuse revenue</v>
      </c>
      <c r="F495" s="360" t="str">
        <f>'PART C- Municipal Details'!$G$7</f>
        <v>Theewaterskloof</v>
      </c>
      <c r="G495" s="361" t="s">
        <v>803</v>
      </c>
      <c r="H495" s="363" t="s">
        <v>477</v>
      </c>
      <c r="I495" s="496" t="s">
        <v>678</v>
      </c>
      <c r="J495" s="497" t="s">
        <v>678</v>
      </c>
      <c r="K495" s="490"/>
      <c r="L495" s="463" t="s">
        <v>682</v>
      </c>
      <c r="M495" s="459"/>
      <c r="N495" s="461"/>
      <c r="O495" s="461"/>
      <c r="P495" s="461"/>
      <c r="Q495" s="461"/>
      <c r="R495" s="461"/>
      <c r="S495" s="461"/>
      <c r="T495" s="461"/>
      <c r="U495" s="530">
        <v>0</v>
      </c>
      <c r="V495" s="530">
        <v>0</v>
      </c>
      <c r="W495" s="530">
        <v>0</v>
      </c>
      <c r="X495" s="490"/>
      <c r="Y495" s="969"/>
      <c r="Z495" s="969"/>
      <c r="AA495" s="969"/>
      <c r="AB495" s="969"/>
      <c r="AC495" s="969"/>
      <c r="AD495" s="969"/>
      <c r="AE495" s="969" t="str">
        <f t="shared" si="22"/>
        <v>TheewaterskloofService charges - Waste Management</v>
      </c>
      <c r="AF495" s="969"/>
      <c r="AG495" s="969"/>
    </row>
    <row r="496" spans="2:33" ht="13.2" customHeight="1" x14ac:dyDescent="0.55000000000000004">
      <c r="B496" s="371"/>
      <c r="C496" s="1010" t="s">
        <v>685</v>
      </c>
      <c r="D496" s="360" t="str">
        <f t="shared" si="23"/>
        <v>Health0800</v>
      </c>
      <c r="E496" s="360" t="str">
        <f t="shared" si="21"/>
        <v>TheewaterskloofHealthOther revenue</v>
      </c>
      <c r="F496" s="360" t="str">
        <f>'PART C- Municipal Details'!$G$7</f>
        <v>Theewaterskloof</v>
      </c>
      <c r="G496" s="360" t="s">
        <v>803</v>
      </c>
      <c r="H496" s="366" t="s">
        <v>477</v>
      </c>
      <c r="I496" s="496" t="s">
        <v>7</v>
      </c>
      <c r="J496" s="497" t="s">
        <v>681</v>
      </c>
      <c r="K496" s="490"/>
      <c r="L496" s="463" t="s">
        <v>684</v>
      </c>
      <c r="M496" s="459"/>
      <c r="N496" s="461"/>
      <c r="O496" s="461"/>
      <c r="P496" s="461"/>
      <c r="Q496" s="461"/>
      <c r="R496" s="461"/>
      <c r="S496" s="461"/>
      <c r="T496" s="461"/>
      <c r="U496" s="530">
        <v>0</v>
      </c>
      <c r="V496" s="530">
        <v>0</v>
      </c>
      <c r="W496" s="530">
        <v>0</v>
      </c>
      <c r="X496" s="490"/>
      <c r="Y496" s="969"/>
      <c r="Z496" s="969"/>
      <c r="AA496" s="969"/>
      <c r="AB496" s="969"/>
      <c r="AC496" s="969"/>
      <c r="AD496" s="969"/>
      <c r="AE496" s="969" t="str">
        <f t="shared" si="22"/>
        <v>TheewaterskloofSale of Goods and Rendering of Services</v>
      </c>
      <c r="AF496" s="969"/>
      <c r="AG496" s="969"/>
    </row>
    <row r="497" spans="2:33" ht="13.2" customHeight="1" x14ac:dyDescent="0.55000000000000004">
      <c r="B497" s="371"/>
      <c r="C497" s="1010" t="s">
        <v>686</v>
      </c>
      <c r="D497" s="361" t="str">
        <f t="shared" si="23"/>
        <v>Health0900</v>
      </c>
      <c r="E497" s="361" t="str">
        <f t="shared" si="21"/>
        <v>TheewaterskloofHealthAgency services</v>
      </c>
      <c r="F497" s="360" t="str">
        <f>'PART C- Municipal Details'!$G$7</f>
        <v>Theewaterskloof</v>
      </c>
      <c r="G497" s="361" t="s">
        <v>803</v>
      </c>
      <c r="H497" s="363" t="s">
        <v>477</v>
      </c>
      <c r="I497" s="496" t="s">
        <v>6</v>
      </c>
      <c r="J497" s="497" t="s">
        <v>1</v>
      </c>
      <c r="K497" s="490"/>
      <c r="L497" s="463" t="s">
        <v>6</v>
      </c>
      <c r="M497" s="459"/>
      <c r="N497" s="461"/>
      <c r="O497" s="461"/>
      <c r="P497" s="461"/>
      <c r="Q497" s="461"/>
      <c r="R497" s="461"/>
      <c r="S497" s="461"/>
      <c r="T497" s="461"/>
      <c r="U497" s="530">
        <v>0</v>
      </c>
      <c r="V497" s="530">
        <v>0</v>
      </c>
      <c r="W497" s="530">
        <v>0</v>
      </c>
      <c r="X497" s="490"/>
      <c r="Y497" s="969"/>
      <c r="Z497" s="969"/>
      <c r="AA497" s="969"/>
      <c r="AB497" s="969"/>
      <c r="AC497" s="969"/>
      <c r="AD497" s="969"/>
      <c r="AE497" s="969" t="str">
        <f t="shared" si="22"/>
        <v>TheewaterskloofAgency services</v>
      </c>
      <c r="AF497" s="969"/>
      <c r="AG497" s="969"/>
    </row>
    <row r="498" spans="2:33" ht="13.2" customHeight="1" x14ac:dyDescent="0.55000000000000004">
      <c r="B498" s="371"/>
      <c r="C498" s="1010" t="s">
        <v>688</v>
      </c>
      <c r="D498" s="360" t="str">
        <f t="shared" si="23"/>
        <v>Health1000</v>
      </c>
      <c r="E498" s="360" t="str">
        <f t="shared" si="21"/>
        <v>TheewaterskloofHealthInterest earned - external investments</v>
      </c>
      <c r="F498" s="360" t="str">
        <f>'PART C- Municipal Details'!$G$7</f>
        <v>Theewaterskloof</v>
      </c>
      <c r="G498" s="360" t="s">
        <v>803</v>
      </c>
      <c r="H498" s="366" t="s">
        <v>477</v>
      </c>
      <c r="I498" s="496" t="s">
        <v>2</v>
      </c>
      <c r="J498" s="497" t="s">
        <v>2</v>
      </c>
      <c r="K498" s="490"/>
      <c r="L498" s="463" t="s">
        <v>687</v>
      </c>
      <c r="M498" s="459"/>
      <c r="N498" s="461"/>
      <c r="O498" s="461"/>
      <c r="P498" s="461"/>
      <c r="Q498" s="461"/>
      <c r="R498" s="461"/>
      <c r="S498" s="461"/>
      <c r="T498" s="461"/>
      <c r="U498" s="530">
        <v>0</v>
      </c>
      <c r="V498" s="530">
        <v>0</v>
      </c>
      <c r="W498" s="530">
        <v>0</v>
      </c>
      <c r="X498" s="490"/>
      <c r="Y498" s="969"/>
      <c r="Z498" s="969"/>
      <c r="AA498" s="969"/>
      <c r="AB498" s="969"/>
      <c r="AC498" s="969"/>
      <c r="AD498" s="969"/>
      <c r="AE498" s="969" t="str">
        <f t="shared" si="22"/>
        <v>TheewaterskloofInterest</v>
      </c>
      <c r="AF498" s="969"/>
      <c r="AG498" s="969"/>
    </row>
    <row r="499" spans="2:33" ht="13.2" customHeight="1" x14ac:dyDescent="0.55000000000000004">
      <c r="B499" s="371"/>
      <c r="C499" s="1010" t="s">
        <v>690</v>
      </c>
      <c r="D499" s="361" t="str">
        <f t="shared" si="23"/>
        <v>Health1100</v>
      </c>
      <c r="E499" s="361" t="str">
        <f t="shared" si="21"/>
        <v>TheewaterskloofHealthInterest earned - outstanding debtors</v>
      </c>
      <c r="F499" s="360" t="str">
        <f>'PART C- Municipal Details'!$G$7</f>
        <v>Theewaterskloof</v>
      </c>
      <c r="G499" s="361" t="s">
        <v>803</v>
      </c>
      <c r="H499" s="363" t="s">
        <v>477</v>
      </c>
      <c r="I499" s="496" t="s">
        <v>3</v>
      </c>
      <c r="J499" s="497" t="s">
        <v>3</v>
      </c>
      <c r="K499" s="490"/>
      <c r="L499" s="463" t="s">
        <v>689</v>
      </c>
      <c r="M499" s="459"/>
      <c r="N499" s="461"/>
      <c r="O499" s="461"/>
      <c r="P499" s="461"/>
      <c r="Q499" s="461"/>
      <c r="R499" s="461"/>
      <c r="S499" s="461"/>
      <c r="T499" s="461"/>
      <c r="U499" s="530">
        <v>0</v>
      </c>
      <c r="V499" s="530">
        <v>0</v>
      </c>
      <c r="W499" s="530">
        <v>0</v>
      </c>
      <c r="X499" s="490"/>
      <c r="Y499" s="969"/>
      <c r="Z499" s="969"/>
      <c r="AA499" s="969"/>
      <c r="AB499" s="969"/>
      <c r="AC499" s="969"/>
      <c r="AD499" s="969"/>
      <c r="AE499" s="969" t="str">
        <f t="shared" si="22"/>
        <v>TheewaterskloofInterest earned from Receivables</v>
      </c>
      <c r="AF499" s="969"/>
      <c r="AG499" s="969"/>
    </row>
    <row r="500" spans="2:33" ht="13.2" customHeight="1" x14ac:dyDescent="0.55000000000000004">
      <c r="B500" s="371"/>
      <c r="C500" s="1010" t="s">
        <v>693</v>
      </c>
      <c r="D500" s="360" t="str">
        <f t="shared" si="23"/>
        <v>Health1200</v>
      </c>
      <c r="E500" s="360" t="str">
        <f t="shared" si="21"/>
        <v>TheewaterskloofHealthInterest earned - external investments</v>
      </c>
      <c r="F500" s="360" t="str">
        <f>'PART C- Municipal Details'!$G$7</f>
        <v>Theewaterskloof</v>
      </c>
      <c r="G500" s="360" t="s">
        <v>803</v>
      </c>
      <c r="H500" s="366" t="s">
        <v>477</v>
      </c>
      <c r="I500" s="496" t="s">
        <v>2</v>
      </c>
      <c r="J500" s="497" t="s">
        <v>4</v>
      </c>
      <c r="K500" s="490"/>
      <c r="L500" s="463" t="s">
        <v>692</v>
      </c>
      <c r="M500" s="459"/>
      <c r="N500" s="461"/>
      <c r="O500" s="461"/>
      <c r="P500" s="461"/>
      <c r="Q500" s="461"/>
      <c r="R500" s="461"/>
      <c r="S500" s="461"/>
      <c r="T500" s="461"/>
      <c r="U500" s="530">
        <v>0</v>
      </c>
      <c r="V500" s="530">
        <v>0</v>
      </c>
      <c r="W500" s="530">
        <v>0</v>
      </c>
      <c r="X500" s="490"/>
      <c r="Y500" s="969"/>
      <c r="Z500" s="969"/>
      <c r="AA500" s="969"/>
      <c r="AB500" s="969"/>
      <c r="AC500" s="969"/>
      <c r="AD500" s="969"/>
      <c r="AE500" s="969" t="str">
        <f t="shared" si="22"/>
        <v>TheewaterskloofInterest earned from Current and Non Current Assets</v>
      </c>
      <c r="AF500" s="969"/>
      <c r="AG500" s="969"/>
    </row>
    <row r="501" spans="2:33" ht="13.2" customHeight="1" x14ac:dyDescent="0.55000000000000004">
      <c r="B501" s="371"/>
      <c r="C501" s="1010" t="s">
        <v>695</v>
      </c>
      <c r="D501" s="361" t="str">
        <f t="shared" si="23"/>
        <v>Health1300</v>
      </c>
      <c r="E501" s="361" t="str">
        <f t="shared" si="21"/>
        <v>TheewaterskloofHealthDividends received</v>
      </c>
      <c r="F501" s="360" t="str">
        <f>'PART C- Municipal Details'!$G$7</f>
        <v>Theewaterskloof</v>
      </c>
      <c r="G501" s="361" t="s">
        <v>803</v>
      </c>
      <c r="H501" s="363" t="s">
        <v>477</v>
      </c>
      <c r="I501" s="496" t="s">
        <v>4</v>
      </c>
      <c r="J501" s="497" t="s">
        <v>691</v>
      </c>
      <c r="K501" s="490"/>
      <c r="L501" s="463" t="s">
        <v>694</v>
      </c>
      <c r="M501" s="459"/>
      <c r="N501" s="461"/>
      <c r="O501" s="461"/>
      <c r="P501" s="461"/>
      <c r="Q501" s="461"/>
      <c r="R501" s="461"/>
      <c r="S501" s="461"/>
      <c r="T501" s="461"/>
      <c r="U501" s="530">
        <v>0</v>
      </c>
      <c r="V501" s="530">
        <v>0</v>
      </c>
      <c r="W501" s="530">
        <v>0</v>
      </c>
      <c r="X501" s="490"/>
      <c r="Y501" s="969"/>
      <c r="Z501" s="969"/>
      <c r="AA501" s="969"/>
      <c r="AB501" s="969"/>
      <c r="AC501" s="969"/>
      <c r="AD501" s="969"/>
      <c r="AE501" s="969" t="str">
        <f t="shared" si="22"/>
        <v>TheewaterskloofDividends</v>
      </c>
      <c r="AF501" s="969"/>
      <c r="AG501" s="969"/>
    </row>
    <row r="502" spans="2:33" ht="13.2" customHeight="1" x14ac:dyDescent="0.55000000000000004">
      <c r="B502" s="371"/>
      <c r="C502" s="1010" t="s">
        <v>697</v>
      </c>
      <c r="D502" s="360" t="str">
        <f t="shared" si="23"/>
        <v>Health1400</v>
      </c>
      <c r="E502" s="360" t="str">
        <f t="shared" si="21"/>
        <v>TheewaterskloofHealthRental of facilities and equipment</v>
      </c>
      <c r="F502" s="360" t="str">
        <f>'PART C- Municipal Details'!$G$7</f>
        <v>Theewaterskloof</v>
      </c>
      <c r="G502" s="360" t="s">
        <v>803</v>
      </c>
      <c r="H502" s="366" t="s">
        <v>477</v>
      </c>
      <c r="I502" s="496" t="s">
        <v>1</v>
      </c>
      <c r="J502" s="497" t="s">
        <v>5</v>
      </c>
      <c r="K502" s="490"/>
      <c r="L502" s="463" t="s">
        <v>696</v>
      </c>
      <c r="M502" s="459"/>
      <c r="N502" s="461"/>
      <c r="O502" s="461"/>
      <c r="P502" s="461"/>
      <c r="Q502" s="461"/>
      <c r="R502" s="461"/>
      <c r="S502" s="461"/>
      <c r="T502" s="461"/>
      <c r="U502" s="530">
        <v>0</v>
      </c>
      <c r="V502" s="530">
        <v>0</v>
      </c>
      <c r="W502" s="530">
        <v>0</v>
      </c>
      <c r="X502" s="490"/>
      <c r="Y502" s="969"/>
      <c r="Z502" s="969"/>
      <c r="AA502" s="969"/>
      <c r="AB502" s="969"/>
      <c r="AC502" s="969"/>
      <c r="AD502" s="969"/>
      <c r="AE502" s="969" t="str">
        <f t="shared" si="22"/>
        <v>TheewaterskloofRent on Land</v>
      </c>
      <c r="AF502" s="969"/>
      <c r="AG502" s="969"/>
    </row>
    <row r="503" spans="2:33" ht="13.2" customHeight="1" x14ac:dyDescent="0.55000000000000004">
      <c r="B503" s="371"/>
      <c r="C503" s="1010" t="s">
        <v>700</v>
      </c>
      <c r="D503" s="361" t="str">
        <f t="shared" si="23"/>
        <v>Health1500</v>
      </c>
      <c r="E503" s="361" t="str">
        <f t="shared" si="21"/>
        <v>TheewaterskloofHealthRental of facilities and equipment</v>
      </c>
      <c r="F503" s="360" t="str">
        <f>'PART C- Municipal Details'!$G$7</f>
        <v>Theewaterskloof</v>
      </c>
      <c r="G503" s="361" t="s">
        <v>803</v>
      </c>
      <c r="H503" s="363" t="s">
        <v>477</v>
      </c>
      <c r="I503" s="496" t="s">
        <v>1</v>
      </c>
      <c r="J503" s="497" t="s">
        <v>6</v>
      </c>
      <c r="K503" s="490"/>
      <c r="L503" s="463" t="s">
        <v>699</v>
      </c>
      <c r="M503" s="459"/>
      <c r="N503" s="461"/>
      <c r="O503" s="461"/>
      <c r="P503" s="461"/>
      <c r="Q503" s="461"/>
      <c r="R503" s="461"/>
      <c r="S503" s="461"/>
      <c r="T503" s="461"/>
      <c r="U503" s="530">
        <v>0</v>
      </c>
      <c r="V503" s="530">
        <v>0</v>
      </c>
      <c r="W503" s="530">
        <v>0</v>
      </c>
      <c r="X503" s="490"/>
      <c r="Y503" s="969"/>
      <c r="Z503" s="969"/>
      <c r="AA503" s="969"/>
      <c r="AB503" s="969"/>
      <c r="AC503" s="969"/>
      <c r="AD503" s="969"/>
      <c r="AE503" s="969" t="str">
        <f t="shared" si="22"/>
        <v>TheewaterskloofRental from Fixed Assets</v>
      </c>
      <c r="AF503" s="969"/>
      <c r="AG503" s="969"/>
    </row>
    <row r="504" spans="2:33" ht="13.2" customHeight="1" x14ac:dyDescent="0.55000000000000004">
      <c r="B504" s="371"/>
      <c r="C504" s="1324" t="s">
        <v>1569</v>
      </c>
      <c r="D504" s="360" t="str">
        <f t="shared" si="23"/>
        <v>Health1550</v>
      </c>
      <c r="E504" s="360" t="str">
        <f t="shared" si="21"/>
        <v>TheewaterskloofHealthSpecial rating Levies</v>
      </c>
      <c r="F504" s="360" t="str">
        <f>'PART C- Municipal Details'!$G$7</f>
        <v>Theewaterskloof</v>
      </c>
      <c r="G504" s="360" t="s">
        <v>803</v>
      </c>
      <c r="H504" s="363" t="s">
        <v>477</v>
      </c>
      <c r="I504" s="496" t="s">
        <v>1568</v>
      </c>
      <c r="J504" s="497" t="s">
        <v>7</v>
      </c>
      <c r="K504" s="490"/>
      <c r="L504" s="463" t="s">
        <v>1567</v>
      </c>
      <c r="M504" s="459"/>
      <c r="N504" s="461"/>
      <c r="O504" s="461"/>
      <c r="P504" s="461"/>
      <c r="Q504" s="461"/>
      <c r="R504" s="461"/>
      <c r="S504" s="461"/>
      <c r="T504" s="461"/>
      <c r="U504" s="530">
        <v>0</v>
      </c>
      <c r="V504" s="530">
        <v>0</v>
      </c>
      <c r="W504" s="530">
        <v>0</v>
      </c>
      <c r="X504" s="490"/>
      <c r="Y504" s="969"/>
      <c r="Z504" s="969"/>
      <c r="AA504" s="969"/>
      <c r="AB504" s="969"/>
      <c r="AC504" s="969"/>
      <c r="AD504" s="969"/>
      <c r="AE504" s="969"/>
      <c r="AF504" s="969"/>
      <c r="AG504" s="969"/>
    </row>
    <row r="505" spans="2:33" ht="13.2" customHeight="1" x14ac:dyDescent="0.55000000000000004">
      <c r="B505" s="371"/>
      <c r="C505" s="1010" t="s">
        <v>702</v>
      </c>
      <c r="D505" s="360" t="str">
        <f t="shared" si="23"/>
        <v>Health1600</v>
      </c>
      <c r="E505" s="360" t="str">
        <f t="shared" si="21"/>
        <v>TheewaterskloofHealthLicences and permits</v>
      </c>
      <c r="F505" s="360" t="str">
        <f>'PART C- Municipal Details'!$G$7</f>
        <v>Theewaterskloof</v>
      </c>
      <c r="G505" s="360" t="s">
        <v>803</v>
      </c>
      <c r="H505" s="366" t="s">
        <v>477</v>
      </c>
      <c r="I505" s="496" t="s">
        <v>5</v>
      </c>
      <c r="J505" s="497" t="s">
        <v>698</v>
      </c>
      <c r="K505" s="490"/>
      <c r="L505" s="463" t="s">
        <v>701</v>
      </c>
      <c r="M505" s="459"/>
      <c r="N505" s="461"/>
      <c r="O505" s="461"/>
      <c r="P505" s="461"/>
      <c r="Q505" s="461"/>
      <c r="R505" s="461"/>
      <c r="S505" s="461"/>
      <c r="T505" s="461"/>
      <c r="U505" s="530">
        <v>0</v>
      </c>
      <c r="V505" s="530">
        <v>0</v>
      </c>
      <c r="W505" s="530">
        <v>0</v>
      </c>
      <c r="X505" s="490"/>
      <c r="Y505" s="969"/>
      <c r="Z505" s="969"/>
      <c r="AA505" s="969"/>
      <c r="AB505" s="969"/>
      <c r="AC505" s="969"/>
      <c r="AD505" s="969"/>
      <c r="AE505" s="969" t="str">
        <f t="shared" si="22"/>
        <v>TheewaterskloofLicence and permits</v>
      </c>
      <c r="AF505" s="969"/>
      <c r="AG505" s="969"/>
    </row>
    <row r="506" spans="2:33" ht="13.2" customHeight="1" x14ac:dyDescent="0.55000000000000004">
      <c r="B506" s="371"/>
      <c r="C506" s="1009" t="s">
        <v>705</v>
      </c>
      <c r="D506" s="361" t="str">
        <f t="shared" si="23"/>
        <v>Health1700</v>
      </c>
      <c r="E506" s="361" t="str">
        <f t="shared" si="21"/>
        <v>TheewaterskloofHealthOther revenue</v>
      </c>
      <c r="F506" s="360" t="str">
        <f>'PART C- Municipal Details'!$G$7</f>
        <v>Theewaterskloof</v>
      </c>
      <c r="G506" s="361" t="s">
        <v>803</v>
      </c>
      <c r="H506" s="363" t="s">
        <v>477</v>
      </c>
      <c r="I506" s="496" t="s">
        <v>7</v>
      </c>
      <c r="J506" s="497" t="s">
        <v>7</v>
      </c>
      <c r="K506" s="490"/>
      <c r="L506" s="463" t="s">
        <v>704</v>
      </c>
      <c r="M506" s="459"/>
      <c r="N506" s="461"/>
      <c r="O506" s="461"/>
      <c r="P506" s="461"/>
      <c r="Q506" s="461"/>
      <c r="R506" s="461"/>
      <c r="S506" s="461"/>
      <c r="T506" s="461"/>
      <c r="U506" s="530">
        <v>0</v>
      </c>
      <c r="V506" s="530">
        <v>0</v>
      </c>
      <c r="W506" s="530">
        <v>0</v>
      </c>
      <c r="X506" s="490"/>
      <c r="Y506" s="969"/>
      <c r="Z506" s="969"/>
      <c r="AA506" s="969"/>
      <c r="AB506" s="969"/>
      <c r="AC506" s="969"/>
      <c r="AD506" s="969"/>
      <c r="AE506" s="969" t="str">
        <f t="shared" si="22"/>
        <v>TheewaterskloofOperational Revenue</v>
      </c>
      <c r="AF506" s="969"/>
      <c r="AG506" s="969"/>
    </row>
    <row r="507" spans="2:33" ht="13.2" customHeight="1" x14ac:dyDescent="0.55000000000000004">
      <c r="B507" s="371"/>
      <c r="C507" s="1010" t="s">
        <v>709</v>
      </c>
      <c r="D507" s="360" t="str">
        <f t="shared" si="23"/>
        <v>Health1800</v>
      </c>
      <c r="E507" s="360" t="str">
        <f t="shared" si="21"/>
        <v>TheewaterskloofHealthx</v>
      </c>
      <c r="F507" s="360" t="str">
        <f>'PART C- Municipal Details'!$G$7</f>
        <v>Theewaterskloof</v>
      </c>
      <c r="G507" s="360" t="s">
        <v>803</v>
      </c>
      <c r="H507" s="366" t="s">
        <v>477</v>
      </c>
      <c r="I507" s="496" t="s">
        <v>789</v>
      </c>
      <c r="J507" s="497" t="s">
        <v>703</v>
      </c>
      <c r="K507" s="490"/>
      <c r="L507" s="508" t="s">
        <v>708</v>
      </c>
      <c r="M507" s="509"/>
      <c r="N507" s="510"/>
      <c r="O507" s="510"/>
      <c r="P507" s="510"/>
      <c r="Q507" s="510"/>
      <c r="R507" s="510"/>
      <c r="S507" s="510"/>
      <c r="T507" s="511"/>
      <c r="U507" s="531">
        <v>0</v>
      </c>
      <c r="V507" s="531">
        <v>0</v>
      </c>
      <c r="W507" s="531">
        <v>0</v>
      </c>
      <c r="X507" s="490"/>
      <c r="Y507" s="969"/>
      <c r="Z507" s="969"/>
      <c r="AA507" s="969"/>
      <c r="AB507" s="969"/>
      <c r="AC507" s="969"/>
      <c r="AD507" s="969"/>
      <c r="AE507" s="969" t="str">
        <f t="shared" si="22"/>
        <v>TheewaterskloofNon-Exchange Revenue</v>
      </c>
      <c r="AF507" s="969"/>
      <c r="AG507" s="969"/>
    </row>
    <row r="508" spans="2:33" ht="13.2" customHeight="1" x14ac:dyDescent="0.55000000000000004">
      <c r="B508" s="371"/>
      <c r="C508" s="1010" t="s">
        <v>711</v>
      </c>
      <c r="D508" s="361" t="str">
        <f t="shared" si="23"/>
        <v>Health1900</v>
      </c>
      <c r="E508" s="361" t="str">
        <f t="shared" si="21"/>
        <v>TheewaterskloofHealthProperty rates</v>
      </c>
      <c r="F508" s="360" t="str">
        <f>'PART C- Municipal Details'!$G$7</f>
        <v>Theewaterskloof</v>
      </c>
      <c r="G508" s="361" t="s">
        <v>803</v>
      </c>
      <c r="H508" s="363" t="s">
        <v>477</v>
      </c>
      <c r="I508" s="496" t="s">
        <v>0</v>
      </c>
      <c r="J508" s="497" t="s">
        <v>707</v>
      </c>
      <c r="K508" s="490"/>
      <c r="L508" s="463" t="s">
        <v>0</v>
      </c>
      <c r="M508" s="459"/>
      <c r="N508" s="460"/>
      <c r="O508" s="460"/>
      <c r="P508" s="460"/>
      <c r="Q508" s="460"/>
      <c r="R508" s="460"/>
      <c r="S508" s="460"/>
      <c r="T508" s="460"/>
      <c r="U508" s="530">
        <v>0</v>
      </c>
      <c r="V508" s="530">
        <v>0</v>
      </c>
      <c r="W508" s="530">
        <v>0</v>
      </c>
      <c r="X508" s="490"/>
      <c r="Y508" s="969"/>
      <c r="Z508" s="969"/>
      <c r="AA508" s="969"/>
      <c r="AB508" s="969"/>
      <c r="AC508" s="969"/>
      <c r="AD508" s="969"/>
      <c r="AE508" s="969" t="str">
        <f t="shared" si="22"/>
        <v>TheewaterskloofProperty rates</v>
      </c>
      <c r="AF508" s="969"/>
      <c r="AG508" s="969"/>
    </row>
    <row r="509" spans="2:33" ht="13.2" customHeight="1" x14ac:dyDescent="0.55000000000000004">
      <c r="B509" s="371"/>
      <c r="C509" s="1010" t="s">
        <v>714</v>
      </c>
      <c r="D509" s="360" t="str">
        <f t="shared" si="23"/>
        <v>Health2000</v>
      </c>
      <c r="E509" s="360" t="str">
        <f t="shared" si="21"/>
        <v>TheewaterskloofHealthOther revenue</v>
      </c>
      <c r="F509" s="360" t="str">
        <f>'PART C- Municipal Details'!$G$7</f>
        <v>Theewaterskloof</v>
      </c>
      <c r="G509" s="360" t="s">
        <v>803</v>
      </c>
      <c r="H509" s="366" t="s">
        <v>477</v>
      </c>
      <c r="I509" s="496" t="s">
        <v>7</v>
      </c>
      <c r="J509" s="497" t="s">
        <v>710</v>
      </c>
      <c r="K509" s="490"/>
      <c r="L509" s="463" t="s">
        <v>713</v>
      </c>
      <c r="M509" s="459"/>
      <c r="N509" s="461"/>
      <c r="O509" s="461"/>
      <c r="P509" s="461"/>
      <c r="Q509" s="461"/>
      <c r="R509" s="461"/>
      <c r="S509" s="461"/>
      <c r="T509" s="461"/>
      <c r="U509" s="530">
        <v>0</v>
      </c>
      <c r="V509" s="530">
        <v>0</v>
      </c>
      <c r="W509" s="530">
        <v>0</v>
      </c>
      <c r="X509" s="490"/>
      <c r="Y509" s="969"/>
      <c r="Z509" s="969"/>
      <c r="AA509" s="969"/>
      <c r="AB509" s="969"/>
      <c r="AC509" s="969"/>
      <c r="AD509" s="969"/>
      <c r="AE509" s="969" t="str">
        <f t="shared" si="22"/>
        <v>TheewaterskloofSurcharges and Taxes</v>
      </c>
      <c r="AF509" s="969"/>
      <c r="AG509" s="969"/>
    </row>
    <row r="510" spans="2:33" ht="13.2" customHeight="1" x14ac:dyDescent="0.55000000000000004">
      <c r="B510" s="371"/>
      <c r="C510" s="1010" t="s">
        <v>715</v>
      </c>
      <c r="D510" s="361" t="str">
        <f t="shared" si="23"/>
        <v>Health2100</v>
      </c>
      <c r="E510" s="361" t="str">
        <f t="shared" si="21"/>
        <v>TheewaterskloofHealthFines, penalties and forfeits</v>
      </c>
      <c r="F510" s="360" t="str">
        <f>'PART C- Municipal Details'!$G$7</f>
        <v>Theewaterskloof</v>
      </c>
      <c r="G510" s="361" t="s">
        <v>803</v>
      </c>
      <c r="H510" s="363" t="s">
        <v>477</v>
      </c>
      <c r="I510" s="496" t="s">
        <v>691</v>
      </c>
      <c r="J510" s="497" t="s">
        <v>712</v>
      </c>
      <c r="K510" s="490"/>
      <c r="L510" s="463" t="s">
        <v>691</v>
      </c>
      <c r="M510" s="459"/>
      <c r="N510" s="461"/>
      <c r="O510" s="461"/>
      <c r="P510" s="461"/>
      <c r="Q510" s="461"/>
      <c r="R510" s="461"/>
      <c r="S510" s="461"/>
      <c r="T510" s="461"/>
      <c r="U510" s="530">
        <v>0</v>
      </c>
      <c r="V510" s="530">
        <v>0</v>
      </c>
      <c r="W510" s="530">
        <v>0</v>
      </c>
      <c r="X510" s="490"/>
      <c r="Y510" s="969"/>
      <c r="Z510" s="969"/>
      <c r="AA510" s="969"/>
      <c r="AB510" s="969"/>
      <c r="AC510" s="969"/>
      <c r="AD510" s="969"/>
      <c r="AE510" s="969" t="str">
        <f t="shared" si="22"/>
        <v>TheewaterskloofFines, penalties and forfeits</v>
      </c>
      <c r="AF510" s="969"/>
      <c r="AG510" s="969"/>
    </row>
    <row r="511" spans="2:33" ht="13.2" customHeight="1" x14ac:dyDescent="0.55000000000000004">
      <c r="B511" s="371"/>
      <c r="C511" s="1010" t="s">
        <v>717</v>
      </c>
      <c r="D511" s="360" t="str">
        <f t="shared" si="23"/>
        <v>Health2200</v>
      </c>
      <c r="E511" s="360" t="str">
        <f>F511&amp;H511&amp;I511</f>
        <v>TheewaterskloofHealthTransfers and subsidies Income</v>
      </c>
      <c r="F511" s="360" t="str">
        <f>'PART C- Municipal Details'!$G$7</f>
        <v>Theewaterskloof</v>
      </c>
      <c r="G511" s="360" t="s">
        <v>803</v>
      </c>
      <c r="H511" s="366" t="s">
        <v>477</v>
      </c>
      <c r="I511" s="496" t="s">
        <v>698</v>
      </c>
      <c r="J511" s="497" t="s">
        <v>8</v>
      </c>
      <c r="K511" s="490"/>
      <c r="L511" s="463" t="s">
        <v>718</v>
      </c>
      <c r="M511" s="459"/>
      <c r="N511" s="461"/>
      <c r="O511" s="461"/>
      <c r="P511" s="461"/>
      <c r="Q511" s="461"/>
      <c r="R511" s="461"/>
      <c r="S511" s="461"/>
      <c r="T511" s="461"/>
      <c r="U511" s="530">
        <v>0</v>
      </c>
      <c r="V511" s="530">
        <v>0</v>
      </c>
      <c r="W511" s="530">
        <v>0</v>
      </c>
      <c r="X511" s="490"/>
      <c r="Y511" s="969"/>
      <c r="Z511" s="969"/>
      <c r="AA511" s="969"/>
      <c r="AB511" s="969"/>
      <c r="AC511" s="969"/>
      <c r="AD511" s="969"/>
      <c r="AE511" s="969" t="str">
        <f t="shared" si="22"/>
        <v>TheewaterskloofTransfer and subsidies - Operational</v>
      </c>
      <c r="AF511" s="969"/>
      <c r="AG511" s="969"/>
    </row>
    <row r="512" spans="2:33" ht="13.2" customHeight="1" x14ac:dyDescent="0.55000000000000004">
      <c r="B512" s="371"/>
      <c r="C512" s="1010" t="s">
        <v>719</v>
      </c>
      <c r="D512" s="361" t="str">
        <f t="shared" si="23"/>
        <v>Health2300</v>
      </c>
      <c r="E512" s="361" t="str">
        <f t="shared" si="21"/>
        <v>TheewaterskloofHealthTransfers and subsidies Income</v>
      </c>
      <c r="F512" s="360" t="str">
        <f>'PART C- Municipal Details'!$G$7</f>
        <v>Theewaterskloof</v>
      </c>
      <c r="G512" s="361" t="s">
        <v>803</v>
      </c>
      <c r="H512" s="363" t="s">
        <v>477</v>
      </c>
      <c r="I512" s="496" t="s">
        <v>698</v>
      </c>
      <c r="J512" s="497" t="s">
        <v>9</v>
      </c>
      <c r="K512" s="490"/>
      <c r="L512" s="463" t="s">
        <v>718</v>
      </c>
      <c r="M512" s="459"/>
      <c r="N512" s="461"/>
      <c r="O512" s="461"/>
      <c r="P512" s="461"/>
      <c r="Q512" s="461"/>
      <c r="R512" s="461"/>
      <c r="S512" s="461"/>
      <c r="T512" s="461"/>
      <c r="U512" s="530">
        <v>0</v>
      </c>
      <c r="V512" s="530">
        <v>0</v>
      </c>
      <c r="W512" s="530">
        <v>0</v>
      </c>
      <c r="X512" s="490"/>
      <c r="Y512" s="969"/>
      <c r="Z512" s="969"/>
      <c r="AA512" s="969"/>
      <c r="AB512" s="969"/>
      <c r="AC512" s="969"/>
      <c r="AD512" s="969"/>
      <c r="AE512" s="969" t="str">
        <f t="shared" si="22"/>
        <v>TheewaterskloofTransfer and subsidies - Operational</v>
      </c>
      <c r="AF512" s="969"/>
      <c r="AG512" s="969"/>
    </row>
    <row r="513" spans="2:33" ht="13.2" customHeight="1" x14ac:dyDescent="0.55000000000000004">
      <c r="B513" s="371"/>
      <c r="C513" s="1010" t="s">
        <v>721</v>
      </c>
      <c r="D513" s="360" t="str">
        <f t="shared" si="23"/>
        <v>Health2400</v>
      </c>
      <c r="E513" s="360" t="str">
        <f t="shared" si="21"/>
        <v>TheewaterskloofHealthInterest earned - external investments</v>
      </c>
      <c r="F513" s="360" t="str">
        <f>'PART C- Municipal Details'!$G$7</f>
        <v>Theewaterskloof</v>
      </c>
      <c r="G513" s="360" t="s">
        <v>803</v>
      </c>
      <c r="H513" s="366" t="s">
        <v>477</v>
      </c>
      <c r="I513" s="496" t="s">
        <v>2</v>
      </c>
      <c r="J513" s="497" t="s">
        <v>10</v>
      </c>
      <c r="K513" s="490"/>
      <c r="L513" s="463" t="s">
        <v>687</v>
      </c>
      <c r="M513" s="459"/>
      <c r="N513" s="461"/>
      <c r="O513" s="461"/>
      <c r="P513" s="461"/>
      <c r="Q513" s="461"/>
      <c r="R513" s="461"/>
      <c r="S513" s="461"/>
      <c r="T513" s="461"/>
      <c r="U513" s="530">
        <v>0</v>
      </c>
      <c r="V513" s="530">
        <v>0</v>
      </c>
      <c r="W513" s="530">
        <v>0</v>
      </c>
      <c r="X513" s="490"/>
      <c r="Y513" s="969"/>
      <c r="Z513" s="969"/>
      <c r="AA513" s="969"/>
      <c r="AB513" s="969"/>
      <c r="AC513" s="969"/>
      <c r="AD513" s="969"/>
      <c r="AE513" s="969" t="str">
        <f t="shared" si="22"/>
        <v>TheewaterskloofInterest</v>
      </c>
      <c r="AF513" s="969"/>
      <c r="AG513" s="969"/>
    </row>
    <row r="514" spans="2:33" ht="13.2" customHeight="1" x14ac:dyDescent="0.55000000000000004">
      <c r="B514" s="371"/>
      <c r="C514" s="1010" t="s">
        <v>723</v>
      </c>
      <c r="D514" s="361" t="str">
        <f t="shared" si="23"/>
        <v>Health2500</v>
      </c>
      <c r="E514" s="361" t="str">
        <f t="shared" si="21"/>
        <v>TheewaterskloofHealthOther revenue</v>
      </c>
      <c r="F514" s="360" t="str">
        <f>'PART C- Municipal Details'!$G$7</f>
        <v>Theewaterskloof</v>
      </c>
      <c r="G514" s="361" t="s">
        <v>803</v>
      </c>
      <c r="H514" s="363" t="s">
        <v>477</v>
      </c>
      <c r="I514" s="496" t="s">
        <v>7</v>
      </c>
      <c r="J514" s="497" t="s">
        <v>720</v>
      </c>
      <c r="K514" s="490"/>
      <c r="L514" s="463" t="s">
        <v>722</v>
      </c>
      <c r="M514" s="459"/>
      <c r="N514" s="461"/>
      <c r="O514" s="461"/>
      <c r="P514" s="461"/>
      <c r="Q514" s="461"/>
      <c r="R514" s="461"/>
      <c r="S514" s="461"/>
      <c r="T514" s="461"/>
      <c r="U514" s="530">
        <v>0</v>
      </c>
      <c r="V514" s="530">
        <v>0</v>
      </c>
      <c r="W514" s="530">
        <v>0</v>
      </c>
      <c r="X514" s="490"/>
      <c r="Y514" s="969"/>
      <c r="Z514" s="969"/>
      <c r="AA514" s="969"/>
      <c r="AB514" s="969"/>
      <c r="AC514" s="969"/>
      <c r="AD514" s="969"/>
      <c r="AE514" s="969" t="str">
        <f t="shared" si="22"/>
        <v>TheewaterskloofFuel Levy</v>
      </c>
      <c r="AF514" s="969"/>
      <c r="AG514" s="969"/>
    </row>
    <row r="515" spans="2:33" ht="13.2" customHeight="1" x14ac:dyDescent="0.55000000000000004">
      <c r="B515" s="371"/>
      <c r="C515" s="1010" t="s">
        <v>725</v>
      </c>
      <c r="D515" s="360" t="str">
        <f t="shared" si="23"/>
        <v>Health2600</v>
      </c>
      <c r="E515" s="360" t="str">
        <f t="shared" si="21"/>
        <v>TheewaterskloofHealthOther revenue</v>
      </c>
      <c r="F515" s="360" t="str">
        <f>'PART C- Municipal Details'!$G$7</f>
        <v>Theewaterskloof</v>
      </c>
      <c r="G515" s="360" t="s">
        <v>803</v>
      </c>
      <c r="H515" s="366" t="s">
        <v>477</v>
      </c>
      <c r="I515" s="496" t="s">
        <v>7</v>
      </c>
      <c r="J515" s="497" t="s">
        <v>11</v>
      </c>
      <c r="K515" s="490"/>
      <c r="L515" s="463" t="s">
        <v>704</v>
      </c>
      <c r="M515" s="459"/>
      <c r="N515" s="461"/>
      <c r="O515" s="461"/>
      <c r="P515" s="461"/>
      <c r="Q515" s="461"/>
      <c r="R515" s="461"/>
      <c r="S515" s="461"/>
      <c r="T515" s="461"/>
      <c r="U515" s="530">
        <v>0</v>
      </c>
      <c r="V515" s="530">
        <v>0</v>
      </c>
      <c r="W515" s="530">
        <v>0</v>
      </c>
      <c r="X515" s="490"/>
      <c r="Y515" s="969"/>
      <c r="Z515" s="969"/>
      <c r="AA515" s="969"/>
      <c r="AB515" s="969"/>
      <c r="AC515" s="969"/>
      <c r="AD515" s="969"/>
      <c r="AE515" s="969" t="str">
        <f t="shared" si="22"/>
        <v>TheewaterskloofOperational Revenue</v>
      </c>
      <c r="AF515" s="969"/>
      <c r="AG515" s="969"/>
    </row>
    <row r="516" spans="2:33" ht="13.2" customHeight="1" x14ac:dyDescent="0.55000000000000004">
      <c r="B516" s="371"/>
      <c r="C516" s="1010" t="s">
        <v>728</v>
      </c>
      <c r="D516" s="361" t="str">
        <f t="shared" si="23"/>
        <v>Health2700</v>
      </c>
      <c r="E516" s="361" t="str">
        <f t="shared" si="21"/>
        <v>TheewaterskloofHealthGains</v>
      </c>
      <c r="F516" s="360" t="str">
        <f>'PART C- Municipal Details'!$G$7</f>
        <v>Theewaterskloof</v>
      </c>
      <c r="G516" s="361" t="s">
        <v>803</v>
      </c>
      <c r="H516" s="363" t="s">
        <v>477</v>
      </c>
      <c r="I516" s="496" t="s">
        <v>703</v>
      </c>
      <c r="J516" s="497" t="s">
        <v>724</v>
      </c>
      <c r="K516" s="490"/>
      <c r="L516" s="463" t="s">
        <v>727</v>
      </c>
      <c r="M516" s="459"/>
      <c r="N516" s="461"/>
      <c r="O516" s="461"/>
      <c r="P516" s="461"/>
      <c r="Q516" s="461"/>
      <c r="R516" s="461"/>
      <c r="S516" s="461"/>
      <c r="T516" s="461"/>
      <c r="U516" s="530">
        <v>0</v>
      </c>
      <c r="V516" s="530">
        <v>0</v>
      </c>
      <c r="W516" s="530">
        <v>0</v>
      </c>
      <c r="X516" s="490"/>
      <c r="Y516" s="969"/>
      <c r="Z516" s="969"/>
      <c r="AA516" s="969"/>
      <c r="AB516" s="969"/>
      <c r="AC516" s="969"/>
      <c r="AD516" s="969"/>
      <c r="AE516" s="969" t="str">
        <f t="shared" si="22"/>
        <v>TheewaterskloofGains on disposal of Assets</v>
      </c>
      <c r="AF516" s="969"/>
      <c r="AG516" s="969"/>
    </row>
    <row r="517" spans="2:33" ht="13.2" customHeight="1" x14ac:dyDescent="0.55000000000000004">
      <c r="B517" s="371"/>
      <c r="C517" s="1010" t="s">
        <v>730</v>
      </c>
      <c r="D517" s="360" t="str">
        <f t="shared" si="23"/>
        <v>Health2800</v>
      </c>
      <c r="E517" s="360" t="str">
        <f t="shared" si="21"/>
        <v>TheewaterskloofHealthOther revenue</v>
      </c>
      <c r="F517" s="360" t="str">
        <f>'PART C- Municipal Details'!$G$7</f>
        <v>Theewaterskloof</v>
      </c>
      <c r="G517" s="360" t="s">
        <v>803</v>
      </c>
      <c r="H517" s="366" t="s">
        <v>477</v>
      </c>
      <c r="I517" s="496" t="s">
        <v>7</v>
      </c>
      <c r="J517" s="497" t="s">
        <v>726</v>
      </c>
      <c r="K517" s="490"/>
      <c r="L517" s="463" t="s">
        <v>729</v>
      </c>
      <c r="M517" s="459"/>
      <c r="N517" s="461"/>
      <c r="O517" s="461"/>
      <c r="P517" s="461"/>
      <c r="Q517" s="461"/>
      <c r="R517" s="461"/>
      <c r="S517" s="461"/>
      <c r="T517" s="461"/>
      <c r="U517" s="530">
        <v>0</v>
      </c>
      <c r="V517" s="530">
        <v>0</v>
      </c>
      <c r="W517" s="530">
        <v>0</v>
      </c>
      <c r="X517" s="490"/>
      <c r="Y517" s="969"/>
      <c r="Z517" s="969"/>
      <c r="AA517" s="969"/>
      <c r="AB517" s="969"/>
      <c r="AC517" s="969"/>
      <c r="AD517" s="969"/>
      <c r="AE517" s="969" t="str">
        <f t="shared" si="22"/>
        <v>TheewaterskloofOther Gains</v>
      </c>
      <c r="AF517" s="969"/>
      <c r="AG517" s="969"/>
    </row>
    <row r="518" spans="2:33" ht="13.2" customHeight="1" x14ac:dyDescent="0.55000000000000004">
      <c r="B518" s="371"/>
      <c r="C518" s="1009" t="s">
        <v>732</v>
      </c>
      <c r="D518" s="361" t="str">
        <f t="shared" si="23"/>
        <v>Health2900</v>
      </c>
      <c r="E518" s="361" t="str">
        <f t="shared" si="21"/>
        <v>TheewaterskloofHealthOther revenue</v>
      </c>
      <c r="F518" s="360" t="str">
        <f>'PART C- Municipal Details'!$G$7</f>
        <v>Theewaterskloof</v>
      </c>
      <c r="G518" s="361" t="s">
        <v>803</v>
      </c>
      <c r="H518" s="363" t="s">
        <v>477</v>
      </c>
      <c r="I518" s="496" t="s">
        <v>7</v>
      </c>
      <c r="J518" s="497" t="s">
        <v>12</v>
      </c>
      <c r="K518" s="490"/>
      <c r="L518" s="464" t="s">
        <v>731</v>
      </c>
      <c r="M518" s="459"/>
      <c r="N518" s="461"/>
      <c r="O518" s="461"/>
      <c r="P518" s="461"/>
      <c r="Q518" s="461"/>
      <c r="R518" s="461"/>
      <c r="S518" s="461"/>
      <c r="T518" s="461"/>
      <c r="U518" s="530">
        <v>0</v>
      </c>
      <c r="V518" s="530">
        <v>0</v>
      </c>
      <c r="W518" s="530">
        <v>0</v>
      </c>
      <c r="X518" s="490"/>
      <c r="Y518" s="969"/>
      <c r="Z518" s="969"/>
      <c r="AA518" s="969"/>
      <c r="AB518" s="969"/>
      <c r="AC518" s="969"/>
      <c r="AD518" s="969"/>
      <c r="AE518" s="969" t="str">
        <f t="shared" si="22"/>
        <v>TheewaterskloofDiscontinued Operations</v>
      </c>
      <c r="AF518" s="969"/>
      <c r="AG518" s="969"/>
    </row>
    <row r="519" spans="2:33" ht="13.2" customHeight="1" x14ac:dyDescent="0.55000000000000004">
      <c r="B519" s="371"/>
      <c r="C519" s="1009" t="s">
        <v>733</v>
      </c>
      <c r="D519" s="360" t="str">
        <f t="shared" si="23"/>
        <v>Health3000</v>
      </c>
      <c r="E519" s="360" t="str">
        <f t="shared" si="21"/>
        <v>TheewaterskloofHealthTotal Revenue (excluding capital transfers and contributions)</v>
      </c>
      <c r="F519" s="360" t="str">
        <f>'PART C- Municipal Details'!$G$7</f>
        <v>Theewaterskloof</v>
      </c>
      <c r="G519" s="360" t="s">
        <v>803</v>
      </c>
      <c r="H519" s="366" t="s">
        <v>477</v>
      </c>
      <c r="I519" s="496" t="s">
        <v>707</v>
      </c>
      <c r="J519" s="497" t="s">
        <v>204</v>
      </c>
      <c r="K519" s="490"/>
      <c r="L519" s="508" t="s">
        <v>707</v>
      </c>
      <c r="M519" s="509"/>
      <c r="N519" s="510"/>
      <c r="O519" s="510"/>
      <c r="P519" s="510"/>
      <c r="Q519" s="510"/>
      <c r="R519" s="510"/>
      <c r="S519" s="510"/>
      <c r="T519" s="511"/>
      <c r="U519" s="531">
        <v>0</v>
      </c>
      <c r="V519" s="531">
        <v>0</v>
      </c>
      <c r="W519" s="531">
        <v>0</v>
      </c>
      <c r="X519" s="490"/>
      <c r="Y519" s="969"/>
      <c r="Z519" s="969"/>
      <c r="AA519" s="969"/>
      <c r="AB519" s="969"/>
      <c r="AC519" s="969"/>
      <c r="AD519" s="969"/>
      <c r="AE519" s="969" t="str">
        <f t="shared" si="22"/>
        <v>TheewaterskloofTotal Revenue (excluding capital transfers and contributions)</v>
      </c>
      <c r="AF519" s="969"/>
      <c r="AG519" s="969"/>
    </row>
    <row r="520" spans="2:33" ht="13.2" customHeight="1" x14ac:dyDescent="0.55000000000000004">
      <c r="B520" s="371"/>
      <c r="C520" s="1010" t="s">
        <v>735</v>
      </c>
      <c r="D520" s="361" t="str">
        <f t="shared" si="23"/>
        <v>Health3100</v>
      </c>
      <c r="E520" s="361" t="str">
        <f t="shared" si="21"/>
        <v>TheewaterskloofHealthx</v>
      </c>
      <c r="F520" s="360" t="str">
        <f>'PART C- Municipal Details'!$G$7</f>
        <v>Theewaterskloof</v>
      </c>
      <c r="G520" s="361" t="s">
        <v>803</v>
      </c>
      <c r="H520" s="363" t="s">
        <v>477</v>
      </c>
      <c r="I520" s="496" t="s">
        <v>789</v>
      </c>
      <c r="J520" s="497" t="s">
        <v>13</v>
      </c>
      <c r="K520" s="490"/>
      <c r="L520" s="505" t="s">
        <v>22</v>
      </c>
      <c r="M520" s="506"/>
      <c r="N520" s="507"/>
      <c r="O520" s="507"/>
      <c r="P520" s="507"/>
      <c r="Q520" s="507"/>
      <c r="R520" s="507"/>
      <c r="S520" s="507"/>
      <c r="T520" s="507"/>
      <c r="U520" s="531">
        <v>0</v>
      </c>
      <c r="V520" s="531">
        <v>0</v>
      </c>
      <c r="W520" s="531">
        <v>0</v>
      </c>
      <c r="X520" s="490"/>
      <c r="Y520" s="969"/>
      <c r="Z520" s="969"/>
      <c r="AA520" s="969"/>
      <c r="AB520" s="969"/>
      <c r="AC520" s="969"/>
      <c r="AD520" s="969"/>
      <c r="AE520" s="969" t="str">
        <f t="shared" si="22"/>
        <v>TheewaterskloofExpenditure</v>
      </c>
      <c r="AF520" s="969"/>
      <c r="AG520" s="969"/>
    </row>
    <row r="521" spans="2:33" ht="13.2" customHeight="1" x14ac:dyDescent="0.55000000000000004">
      <c r="B521" s="371"/>
      <c r="C521" s="1010" t="s">
        <v>737</v>
      </c>
      <c r="D521" s="360" t="str">
        <f t="shared" si="23"/>
        <v>Health3200</v>
      </c>
      <c r="E521" s="360" t="str">
        <f t="shared" si="21"/>
        <v>TheewaterskloofHealthEmployee related costs</v>
      </c>
      <c r="F521" s="360" t="str">
        <f>'PART C- Municipal Details'!$G$7</f>
        <v>Theewaterskloof</v>
      </c>
      <c r="G521" s="360" t="s">
        <v>803</v>
      </c>
      <c r="H521" s="366" t="s">
        <v>477</v>
      </c>
      <c r="I521" s="496" t="s">
        <v>8</v>
      </c>
      <c r="J521" s="497" t="s">
        <v>734</v>
      </c>
      <c r="K521" s="490"/>
      <c r="L521" s="463" t="s">
        <v>8</v>
      </c>
      <c r="M521" s="459"/>
      <c r="N521" s="461"/>
      <c r="O521" s="461"/>
      <c r="P521" s="461"/>
      <c r="Q521" s="461"/>
      <c r="R521" s="461"/>
      <c r="S521" s="461"/>
      <c r="T521" s="461"/>
      <c r="U521" s="530">
        <v>0</v>
      </c>
      <c r="V521" s="530">
        <v>0</v>
      </c>
      <c r="W521" s="530">
        <v>0</v>
      </c>
      <c r="X521" s="490"/>
      <c r="Y521" s="969"/>
      <c r="Z521" s="969"/>
      <c r="AA521" s="969"/>
      <c r="AB521" s="969"/>
      <c r="AC521" s="969"/>
      <c r="AD521" s="969"/>
      <c r="AE521" s="969" t="str">
        <f t="shared" si="22"/>
        <v>TheewaterskloofEmployee related costs</v>
      </c>
      <c r="AF521" s="969"/>
      <c r="AG521" s="969"/>
    </row>
    <row r="522" spans="2:33" ht="13.2" customHeight="1" x14ac:dyDescent="0.55000000000000004">
      <c r="B522" s="371"/>
      <c r="C522" s="1010" t="s">
        <v>738</v>
      </c>
      <c r="D522" s="361" t="str">
        <f t="shared" si="23"/>
        <v>Health3300</v>
      </c>
      <c r="E522" s="361" t="str">
        <f t="shared" si="21"/>
        <v>TheewaterskloofHealthRemuneration of councillors</v>
      </c>
      <c r="F522" s="360" t="str">
        <f>'PART C- Municipal Details'!$G$7</f>
        <v>Theewaterskloof</v>
      </c>
      <c r="G522" s="361" t="s">
        <v>803</v>
      </c>
      <c r="H522" s="363" t="s">
        <v>477</v>
      </c>
      <c r="I522" s="496" t="s">
        <v>9</v>
      </c>
      <c r="J522" s="497" t="s">
        <v>736</v>
      </c>
      <c r="K522" s="490"/>
      <c r="L522" s="463" t="s">
        <v>9</v>
      </c>
      <c r="M522" s="459"/>
      <c r="N522" s="461"/>
      <c r="O522" s="461"/>
      <c r="P522" s="461"/>
      <c r="Q522" s="461"/>
      <c r="R522" s="461"/>
      <c r="S522" s="461"/>
      <c r="T522" s="461"/>
      <c r="U522" s="530">
        <v>0</v>
      </c>
      <c r="V522" s="530">
        <v>0</v>
      </c>
      <c r="W522" s="530">
        <v>0</v>
      </c>
      <c r="X522" s="490"/>
      <c r="Y522" s="969"/>
      <c r="Z522" s="969"/>
      <c r="AA522" s="969"/>
      <c r="AB522" s="969"/>
      <c r="AC522" s="969"/>
      <c r="AD522" s="969"/>
      <c r="AE522" s="969" t="str">
        <f t="shared" si="22"/>
        <v>TheewaterskloofRemuneration of councillors</v>
      </c>
      <c r="AF522" s="969"/>
      <c r="AG522" s="969"/>
    </row>
    <row r="523" spans="2:33" ht="13.2" customHeight="1" x14ac:dyDescent="0.55000000000000004">
      <c r="B523" s="371"/>
      <c r="C523" s="1010" t="s">
        <v>739</v>
      </c>
      <c r="D523" s="360" t="str">
        <f t="shared" si="23"/>
        <v>Health3400</v>
      </c>
      <c r="E523" s="360" t="str">
        <f t="shared" si="21"/>
        <v>TheewaterskloofHealthBulk purchases - electricity</v>
      </c>
      <c r="F523" s="360" t="str">
        <f>'PART C- Municipal Details'!$G$7</f>
        <v>Theewaterskloof</v>
      </c>
      <c r="G523" s="360" t="s">
        <v>803</v>
      </c>
      <c r="H523" s="366" t="s">
        <v>477</v>
      </c>
      <c r="I523" s="496" t="s">
        <v>724</v>
      </c>
      <c r="J523" s="497" t="s">
        <v>710</v>
      </c>
      <c r="K523" s="490"/>
      <c r="L523" s="463" t="s">
        <v>724</v>
      </c>
      <c r="M523" s="459"/>
      <c r="N523" s="461"/>
      <c r="O523" s="461"/>
      <c r="P523" s="461"/>
      <c r="Q523" s="461"/>
      <c r="R523" s="461"/>
      <c r="S523" s="461"/>
      <c r="T523" s="461"/>
      <c r="U523" s="530">
        <v>0</v>
      </c>
      <c r="V523" s="530">
        <v>0</v>
      </c>
      <c r="W523" s="530">
        <v>0</v>
      </c>
      <c r="X523" s="490"/>
      <c r="Y523" s="969"/>
      <c r="Z523" s="969"/>
      <c r="AA523" s="969"/>
      <c r="AB523" s="969"/>
      <c r="AC523" s="969"/>
      <c r="AD523" s="969"/>
      <c r="AE523" s="969" t="str">
        <f t="shared" si="22"/>
        <v>TheewaterskloofBulk purchases - electricity</v>
      </c>
      <c r="AF523" s="969"/>
      <c r="AG523" s="969"/>
    </row>
    <row r="524" spans="2:33" ht="13.2" customHeight="1" x14ac:dyDescent="0.55000000000000004">
      <c r="B524" s="371"/>
      <c r="C524" s="1010" t="s">
        <v>741</v>
      </c>
      <c r="D524" s="361" t="str">
        <f t="shared" si="23"/>
        <v>Health3500</v>
      </c>
      <c r="E524" s="361" t="str">
        <f t="shared" si="21"/>
        <v>TheewaterskloofHealthInventory consumed</v>
      </c>
      <c r="F524" s="360" t="str">
        <f>'PART C- Municipal Details'!$G$7</f>
        <v>Theewaterskloof</v>
      </c>
      <c r="G524" s="361" t="s">
        <v>803</v>
      </c>
      <c r="H524" s="363" t="s">
        <v>477</v>
      </c>
      <c r="I524" s="496" t="s">
        <v>726</v>
      </c>
      <c r="J524" s="497" t="s">
        <v>635</v>
      </c>
      <c r="K524" s="490"/>
      <c r="L524" s="463" t="s">
        <v>726</v>
      </c>
      <c r="M524" s="459"/>
      <c r="N524" s="461"/>
      <c r="O524" s="461"/>
      <c r="P524" s="461"/>
      <c r="Q524" s="461"/>
      <c r="R524" s="461"/>
      <c r="S524" s="461"/>
      <c r="T524" s="461"/>
      <c r="U524" s="530">
        <v>0</v>
      </c>
      <c r="V524" s="530">
        <v>0</v>
      </c>
      <c r="W524" s="530">
        <v>0</v>
      </c>
      <c r="X524" s="490"/>
      <c r="Y524" s="969"/>
      <c r="Z524" s="969"/>
      <c r="AA524" s="969"/>
      <c r="AB524" s="969"/>
      <c r="AC524" s="969"/>
      <c r="AD524" s="969"/>
      <c r="AE524" s="969" t="str">
        <f t="shared" si="22"/>
        <v>TheewaterskloofInventory consumed</v>
      </c>
      <c r="AF524" s="969"/>
      <c r="AG524" s="969"/>
    </row>
    <row r="525" spans="2:33" ht="13.2" customHeight="1" x14ac:dyDescent="0.55000000000000004">
      <c r="B525" s="371"/>
      <c r="C525" s="1010" t="s">
        <v>743</v>
      </c>
      <c r="D525" s="360" t="str">
        <f t="shared" si="23"/>
        <v>Health3600</v>
      </c>
      <c r="E525" s="360" t="str">
        <f t="shared" ref="E525:E589" si="24">F525&amp;H525&amp;I525</f>
        <v>TheewaterskloofHealthDebt impairment</v>
      </c>
      <c r="F525" s="360" t="str">
        <f>'PART C- Municipal Details'!$G$7</f>
        <v>Theewaterskloof</v>
      </c>
      <c r="G525" s="360" t="s">
        <v>803</v>
      </c>
      <c r="H525" s="366" t="s">
        <v>477</v>
      </c>
      <c r="I525" s="496" t="s">
        <v>10</v>
      </c>
      <c r="J525" s="497" t="s">
        <v>740</v>
      </c>
      <c r="K525" s="490"/>
      <c r="L525" s="463" t="s">
        <v>10</v>
      </c>
      <c r="M525" s="459"/>
      <c r="N525" s="461"/>
      <c r="O525" s="461"/>
      <c r="P525" s="461"/>
      <c r="Q525" s="461"/>
      <c r="R525" s="461"/>
      <c r="S525" s="461"/>
      <c r="T525" s="461"/>
      <c r="U525" s="530">
        <v>0</v>
      </c>
      <c r="V525" s="530">
        <v>0</v>
      </c>
      <c r="W525" s="530">
        <v>0</v>
      </c>
      <c r="X525" s="490"/>
      <c r="Y525" s="969"/>
      <c r="Z525" s="969"/>
      <c r="AA525" s="969"/>
      <c r="AB525" s="969"/>
      <c r="AC525" s="969"/>
      <c r="AD525" s="969"/>
      <c r="AE525" s="969" t="str">
        <f t="shared" ref="AE525:AE589" si="25">F525&amp;L525</f>
        <v>TheewaterskloofDebt impairment</v>
      </c>
      <c r="AF525" s="969"/>
      <c r="AG525" s="969"/>
    </row>
    <row r="526" spans="2:33" ht="13.2" customHeight="1" x14ac:dyDescent="0.55000000000000004">
      <c r="B526" s="371"/>
      <c r="C526" s="1010" t="s">
        <v>746</v>
      </c>
      <c r="D526" s="361" t="str">
        <f t="shared" si="23"/>
        <v>Health3700</v>
      </c>
      <c r="E526" s="361" t="str">
        <f t="shared" si="24"/>
        <v>TheewaterskloofHealthDepreciation and asset impairment</v>
      </c>
      <c r="F526" s="360" t="str">
        <f>'PART C- Municipal Details'!$G$7</f>
        <v>Theewaterskloof</v>
      </c>
      <c r="G526" s="361" t="s">
        <v>803</v>
      </c>
      <c r="H526" s="363" t="s">
        <v>477</v>
      </c>
      <c r="I526" s="496" t="s">
        <v>720</v>
      </c>
      <c r="J526" s="497" t="s">
        <v>742</v>
      </c>
      <c r="K526" s="490"/>
      <c r="L526" s="463" t="s">
        <v>745</v>
      </c>
      <c r="M526" s="459"/>
      <c r="N526" s="461"/>
      <c r="O526" s="461"/>
      <c r="P526" s="461"/>
      <c r="Q526" s="461"/>
      <c r="R526" s="461"/>
      <c r="S526" s="461"/>
      <c r="T526" s="461"/>
      <c r="U526" s="530">
        <v>0</v>
      </c>
      <c r="V526" s="530">
        <v>0</v>
      </c>
      <c r="W526" s="530">
        <v>0</v>
      </c>
      <c r="X526" s="490"/>
      <c r="Y526" s="969"/>
      <c r="Z526" s="969"/>
      <c r="AA526" s="969"/>
      <c r="AB526" s="969"/>
      <c r="AC526" s="969"/>
      <c r="AD526" s="969"/>
      <c r="AE526" s="969" t="str">
        <f t="shared" si="25"/>
        <v>TheewaterskloofDepreciation and amortisation</v>
      </c>
      <c r="AF526" s="969"/>
      <c r="AG526" s="969"/>
    </row>
    <row r="527" spans="2:33" ht="13.2" customHeight="1" x14ac:dyDescent="0.55000000000000004">
      <c r="B527" s="371"/>
      <c r="C527" s="1010" t="s">
        <v>748</v>
      </c>
      <c r="D527" s="360" t="str">
        <f t="shared" si="23"/>
        <v>Health3800</v>
      </c>
      <c r="E527" s="360" t="str">
        <f t="shared" si="24"/>
        <v>TheewaterskloofHealthFinance charges</v>
      </c>
      <c r="F527" s="360" t="str">
        <f>'PART C- Municipal Details'!$G$7</f>
        <v>Theewaterskloof</v>
      </c>
      <c r="G527" s="360" t="s">
        <v>803</v>
      </c>
      <c r="H527" s="366" t="s">
        <v>477</v>
      </c>
      <c r="I527" s="496" t="s">
        <v>11</v>
      </c>
      <c r="J527" s="497" t="s">
        <v>744</v>
      </c>
      <c r="K527" s="490"/>
      <c r="L527" s="463" t="s">
        <v>687</v>
      </c>
      <c r="M527" s="459"/>
      <c r="N527" s="461"/>
      <c r="O527" s="461"/>
      <c r="P527" s="461"/>
      <c r="Q527" s="461"/>
      <c r="R527" s="461"/>
      <c r="S527" s="461"/>
      <c r="T527" s="461"/>
      <c r="U527" s="530">
        <v>0</v>
      </c>
      <c r="V527" s="530">
        <v>0</v>
      </c>
      <c r="W527" s="530">
        <v>0</v>
      </c>
      <c r="X527" s="490"/>
      <c r="Y527" s="969"/>
      <c r="Z527" s="969"/>
      <c r="AA527" s="969"/>
      <c r="AB527" s="969"/>
      <c r="AC527" s="969"/>
      <c r="AD527" s="969"/>
      <c r="AE527" s="969" t="str">
        <f t="shared" si="25"/>
        <v>TheewaterskloofInterest</v>
      </c>
      <c r="AF527" s="969"/>
      <c r="AG527" s="969"/>
    </row>
    <row r="528" spans="2:33" ht="13.2" customHeight="1" x14ac:dyDescent="0.55000000000000004">
      <c r="B528" s="371"/>
      <c r="C528" s="1010" t="s">
        <v>750</v>
      </c>
      <c r="D528" s="361" t="str">
        <f t="shared" ref="D528:D592" si="26">H528&amp;C528</f>
        <v>Health3900</v>
      </c>
      <c r="E528" s="361" t="str">
        <f t="shared" si="24"/>
        <v>TheewaterskloofHealthContracted services</v>
      </c>
      <c r="F528" s="360" t="str">
        <f>'PART C- Municipal Details'!$G$7</f>
        <v>Theewaterskloof</v>
      </c>
      <c r="G528" s="361" t="s">
        <v>803</v>
      </c>
      <c r="H528" s="363" t="s">
        <v>477</v>
      </c>
      <c r="I528" s="496" t="s">
        <v>12</v>
      </c>
      <c r="J528" s="497" t="s">
        <v>747</v>
      </c>
      <c r="K528" s="490"/>
      <c r="L528" s="463" t="s">
        <v>12</v>
      </c>
      <c r="M528" s="459"/>
      <c r="N528" s="461"/>
      <c r="O528" s="461"/>
      <c r="P528" s="461"/>
      <c r="Q528" s="461"/>
      <c r="R528" s="461"/>
      <c r="S528" s="461"/>
      <c r="T528" s="461"/>
      <c r="U528" s="530">
        <v>0</v>
      </c>
      <c r="V528" s="530">
        <v>0</v>
      </c>
      <c r="W528" s="530">
        <v>0</v>
      </c>
      <c r="X528" s="490"/>
      <c r="Y528" s="969"/>
      <c r="Z528" s="969"/>
      <c r="AA528" s="969"/>
      <c r="AB528" s="969"/>
      <c r="AC528" s="969"/>
      <c r="AD528" s="969"/>
      <c r="AE528" s="969" t="str">
        <f t="shared" si="25"/>
        <v>TheewaterskloofContracted services</v>
      </c>
      <c r="AF528" s="969"/>
      <c r="AG528" s="969"/>
    </row>
    <row r="529" spans="2:33" ht="13.2" customHeight="1" x14ac:dyDescent="0.55000000000000004">
      <c r="B529" s="371"/>
      <c r="C529" s="1010" t="s">
        <v>752</v>
      </c>
      <c r="D529" s="360" t="str">
        <f t="shared" si="26"/>
        <v>Health4000</v>
      </c>
      <c r="E529" s="360" t="str">
        <f t="shared" si="24"/>
        <v>TheewaterskloofHealthTransfers and subsidies</v>
      </c>
      <c r="F529" s="360" t="str">
        <f>'PART C- Municipal Details'!$G$7</f>
        <v>Theewaterskloof</v>
      </c>
      <c r="G529" s="360" t="s">
        <v>803</v>
      </c>
      <c r="H529" s="366" t="s">
        <v>477</v>
      </c>
      <c r="I529" s="496" t="s">
        <v>204</v>
      </c>
      <c r="J529" s="497" t="s">
        <v>749</v>
      </c>
      <c r="K529" s="490"/>
      <c r="L529" s="463" t="s">
        <v>204</v>
      </c>
      <c r="M529" s="459"/>
      <c r="N529" s="461"/>
      <c r="O529" s="461"/>
      <c r="P529" s="461"/>
      <c r="Q529" s="461"/>
      <c r="R529" s="461"/>
      <c r="S529" s="461"/>
      <c r="T529" s="461"/>
      <c r="U529" s="530">
        <v>0</v>
      </c>
      <c r="V529" s="530">
        <v>0</v>
      </c>
      <c r="W529" s="530">
        <v>0</v>
      </c>
      <c r="X529" s="490"/>
      <c r="Y529" s="969"/>
      <c r="Z529" s="969"/>
      <c r="AA529" s="969"/>
      <c r="AB529" s="969"/>
      <c r="AC529" s="969"/>
      <c r="AD529" s="969"/>
      <c r="AE529" s="969" t="str">
        <f t="shared" si="25"/>
        <v>TheewaterskloofTransfers and subsidies</v>
      </c>
      <c r="AF529" s="969"/>
      <c r="AG529" s="969"/>
    </row>
    <row r="530" spans="2:33" ht="13.2" customHeight="1" x14ac:dyDescent="0.55000000000000004">
      <c r="B530" s="371"/>
      <c r="C530" s="1010" t="s">
        <v>755</v>
      </c>
      <c r="D530" s="361" t="str">
        <f t="shared" si="26"/>
        <v>Health4100</v>
      </c>
      <c r="E530" s="361" t="str">
        <f t="shared" si="24"/>
        <v>TheewaterskloofHealthOther expenditure</v>
      </c>
      <c r="F530" s="360" t="str">
        <f>'PART C- Municipal Details'!$G$7</f>
        <v>Theewaterskloof</v>
      </c>
      <c r="G530" s="361" t="s">
        <v>803</v>
      </c>
      <c r="H530" s="363" t="s">
        <v>477</v>
      </c>
      <c r="I530" s="496" t="s">
        <v>13</v>
      </c>
      <c r="J530" s="497" t="s">
        <v>751</v>
      </c>
      <c r="K530" s="490"/>
      <c r="L530" s="463" t="s">
        <v>754</v>
      </c>
      <c r="M530" s="459"/>
      <c r="N530" s="461"/>
      <c r="O530" s="461"/>
      <c r="P530" s="461"/>
      <c r="Q530" s="461"/>
      <c r="R530" s="461"/>
      <c r="S530" s="461"/>
      <c r="T530" s="461"/>
      <c r="U530" s="530">
        <v>0</v>
      </c>
      <c r="V530" s="530">
        <v>0</v>
      </c>
      <c r="W530" s="530">
        <v>0</v>
      </c>
      <c r="X530" s="490"/>
      <c r="Y530" s="969"/>
      <c r="Z530" s="969"/>
      <c r="AA530" s="969"/>
      <c r="AB530" s="969"/>
      <c r="AC530" s="969"/>
      <c r="AD530" s="969"/>
      <c r="AE530" s="969" t="str">
        <f t="shared" si="25"/>
        <v>TheewaterskloofIrrecoverable debts written off</v>
      </c>
      <c r="AF530" s="969"/>
      <c r="AG530" s="969"/>
    </row>
    <row r="531" spans="2:33" ht="13.2" customHeight="1" x14ac:dyDescent="0.55000000000000004">
      <c r="B531" s="371"/>
      <c r="C531" s="1010" t="s">
        <v>758</v>
      </c>
      <c r="D531" s="360" t="str">
        <f t="shared" si="26"/>
        <v>Health4200</v>
      </c>
      <c r="E531" s="360" t="str">
        <f t="shared" si="24"/>
        <v>TheewaterskloofHealthOther expenditure</v>
      </c>
      <c r="F531" s="360" t="str">
        <f>'PART C- Municipal Details'!$G$7</f>
        <v>Theewaterskloof</v>
      </c>
      <c r="G531" s="360" t="s">
        <v>803</v>
      </c>
      <c r="H531" s="366" t="s">
        <v>477</v>
      </c>
      <c r="I531" s="496" t="s">
        <v>13</v>
      </c>
      <c r="J531" s="497" t="s">
        <v>753</v>
      </c>
      <c r="K531" s="490"/>
      <c r="L531" s="463" t="s">
        <v>757</v>
      </c>
      <c r="M531" s="459"/>
      <c r="N531" s="461"/>
      <c r="O531" s="461"/>
      <c r="P531" s="461"/>
      <c r="Q531" s="461"/>
      <c r="R531" s="461"/>
      <c r="S531" s="461"/>
      <c r="T531" s="461"/>
      <c r="U531" s="530">
        <v>0</v>
      </c>
      <c r="V531" s="530">
        <v>0</v>
      </c>
      <c r="W531" s="530">
        <v>0</v>
      </c>
      <c r="X531" s="490"/>
      <c r="Y531" s="969"/>
      <c r="Z531" s="969"/>
      <c r="AA531" s="969"/>
      <c r="AB531" s="969"/>
      <c r="AC531" s="969"/>
      <c r="AD531" s="969"/>
      <c r="AE531" s="969" t="str">
        <f t="shared" si="25"/>
        <v>TheewaterskloofOperational costs</v>
      </c>
      <c r="AF531" s="969"/>
      <c r="AG531" s="969"/>
    </row>
    <row r="532" spans="2:33" ht="13.2" customHeight="1" x14ac:dyDescent="0.55000000000000004">
      <c r="B532" s="371"/>
      <c r="C532" s="1010" t="s">
        <v>761</v>
      </c>
      <c r="D532" s="361" t="str">
        <f t="shared" si="26"/>
        <v>Health4300</v>
      </c>
      <c r="E532" s="361" t="str">
        <f t="shared" si="24"/>
        <v>TheewaterskloofHealthLosses</v>
      </c>
      <c r="F532" s="360" t="str">
        <f>'PART C- Municipal Details'!$G$7</f>
        <v>Theewaterskloof</v>
      </c>
      <c r="G532" s="361" t="s">
        <v>803</v>
      </c>
      <c r="H532" s="363" t="s">
        <v>477</v>
      </c>
      <c r="I532" s="496" t="s">
        <v>734</v>
      </c>
      <c r="J532" s="497" t="s">
        <v>756</v>
      </c>
      <c r="K532" s="490"/>
      <c r="L532" s="463" t="s">
        <v>760</v>
      </c>
      <c r="M532" s="459"/>
      <c r="N532" s="461"/>
      <c r="O532" s="461"/>
      <c r="P532" s="461"/>
      <c r="Q532" s="461"/>
      <c r="R532" s="461"/>
      <c r="S532" s="461"/>
      <c r="T532" s="461"/>
      <c r="U532" s="530">
        <v>0</v>
      </c>
      <c r="V532" s="530">
        <v>0</v>
      </c>
      <c r="W532" s="530">
        <v>0</v>
      </c>
      <c r="X532" s="490"/>
      <c r="Y532" s="969"/>
      <c r="Z532" s="969"/>
      <c r="AA532" s="969"/>
      <c r="AB532" s="969"/>
      <c r="AC532" s="969"/>
      <c r="AD532" s="969"/>
      <c r="AE532" s="969" t="str">
        <f t="shared" si="25"/>
        <v>TheewaterskloofLosses on disposal of Assets</v>
      </c>
      <c r="AF532" s="969"/>
      <c r="AG532" s="969"/>
    </row>
    <row r="533" spans="2:33" ht="13.2" customHeight="1" x14ac:dyDescent="0.55000000000000004">
      <c r="B533" s="371"/>
      <c r="C533" s="1009" t="s">
        <v>764</v>
      </c>
      <c r="D533" s="360" t="str">
        <f t="shared" si="26"/>
        <v>Health4400</v>
      </c>
      <c r="E533" s="360" t="str">
        <f t="shared" si="24"/>
        <v>TheewaterskloofHealthOther expenditure</v>
      </c>
      <c r="F533" s="360" t="str">
        <f>'PART C- Municipal Details'!$G$7</f>
        <v>Theewaterskloof</v>
      </c>
      <c r="G533" s="360" t="s">
        <v>803</v>
      </c>
      <c r="H533" s="366" t="s">
        <v>477</v>
      </c>
      <c r="I533" s="496" t="s">
        <v>13</v>
      </c>
      <c r="J533" s="497" t="s">
        <v>759</v>
      </c>
      <c r="K533" s="490"/>
      <c r="L533" s="463" t="s">
        <v>763</v>
      </c>
      <c r="M533" s="459"/>
      <c r="N533" s="461"/>
      <c r="O533" s="461"/>
      <c r="P533" s="461"/>
      <c r="Q533" s="461"/>
      <c r="R533" s="461"/>
      <c r="S533" s="461"/>
      <c r="T533" s="461"/>
      <c r="U533" s="530">
        <v>0</v>
      </c>
      <c r="V533" s="530">
        <v>0</v>
      </c>
      <c r="W533" s="530">
        <v>0</v>
      </c>
      <c r="X533" s="490"/>
      <c r="Y533" s="969"/>
      <c r="Z533" s="969"/>
      <c r="AA533" s="969"/>
      <c r="AB533" s="969"/>
      <c r="AC533" s="969"/>
      <c r="AD533" s="969"/>
      <c r="AE533" s="969" t="str">
        <f t="shared" si="25"/>
        <v>TheewaterskloofOther Losses</v>
      </c>
      <c r="AF533" s="969"/>
      <c r="AG533" s="969"/>
    </row>
    <row r="534" spans="2:33" ht="13.2" customHeight="1" x14ac:dyDescent="0.55000000000000004">
      <c r="B534" s="371"/>
      <c r="C534" s="1009" t="s">
        <v>766</v>
      </c>
      <c r="D534" s="361" t="str">
        <f t="shared" si="26"/>
        <v>Health4500</v>
      </c>
      <c r="E534" s="361" t="str">
        <f t="shared" si="24"/>
        <v>TheewaterskloofHealthTotal Expenditure</v>
      </c>
      <c r="F534" s="360" t="str">
        <f>'PART C- Municipal Details'!$G$7</f>
        <v>Theewaterskloof</v>
      </c>
      <c r="G534" s="361" t="s">
        <v>803</v>
      </c>
      <c r="H534" s="363" t="s">
        <v>477</v>
      </c>
      <c r="I534" s="496" t="s">
        <v>736</v>
      </c>
      <c r="J534" s="497" t="s">
        <v>762</v>
      </c>
      <c r="K534" s="490"/>
      <c r="L534" s="508" t="s">
        <v>736</v>
      </c>
      <c r="M534" s="509"/>
      <c r="N534" s="510"/>
      <c r="O534" s="510"/>
      <c r="P534" s="510"/>
      <c r="Q534" s="510"/>
      <c r="R534" s="510"/>
      <c r="S534" s="510"/>
      <c r="T534" s="511"/>
      <c r="U534" s="529">
        <v>0</v>
      </c>
      <c r="V534" s="529">
        <v>0</v>
      </c>
      <c r="W534" s="529">
        <v>0</v>
      </c>
      <c r="X534" s="490"/>
      <c r="Y534" s="969"/>
      <c r="Z534" s="969"/>
      <c r="AA534" s="969"/>
      <c r="AB534" s="969"/>
      <c r="AC534" s="969"/>
      <c r="AD534" s="969"/>
      <c r="AE534" s="969" t="str">
        <f t="shared" si="25"/>
        <v>TheewaterskloofTotal Expenditure</v>
      </c>
      <c r="AF534" s="969"/>
      <c r="AG534" s="969"/>
    </row>
    <row r="535" spans="2:33" ht="13.2" customHeight="1" x14ac:dyDescent="0.55000000000000004">
      <c r="B535" s="371"/>
      <c r="C535" s="1010" t="s">
        <v>768</v>
      </c>
      <c r="D535" s="360" t="str">
        <f t="shared" si="26"/>
        <v>Health4600</v>
      </c>
      <c r="E535" s="360" t="str">
        <f t="shared" si="24"/>
        <v>TheewaterskloofHealthSurplus/(Deficit)</v>
      </c>
      <c r="F535" s="360" t="str">
        <f>'PART C- Municipal Details'!$G$7</f>
        <v>Theewaterskloof</v>
      </c>
      <c r="G535" s="360" t="s">
        <v>803</v>
      </c>
      <c r="H535" s="366" t="s">
        <v>477</v>
      </c>
      <c r="I535" s="496" t="s">
        <v>635</v>
      </c>
      <c r="J535" s="497" t="s">
        <v>765</v>
      </c>
      <c r="K535" s="490"/>
      <c r="L535" s="463" t="s">
        <v>635</v>
      </c>
      <c r="M535" s="459"/>
      <c r="N535" s="459"/>
      <c r="O535" s="459"/>
      <c r="P535" s="459"/>
      <c r="Q535" s="459"/>
      <c r="R535" s="459"/>
      <c r="S535" s="459"/>
      <c r="T535" s="459"/>
      <c r="U535" s="530">
        <v>0</v>
      </c>
      <c r="V535" s="530">
        <v>0</v>
      </c>
      <c r="W535" s="530">
        <v>0</v>
      </c>
      <c r="X535" s="490"/>
      <c r="Y535" s="969"/>
      <c r="Z535" s="969"/>
      <c r="AA535" s="969"/>
      <c r="AB535" s="969"/>
      <c r="AC535" s="969"/>
      <c r="AD535" s="969"/>
      <c r="AE535" s="969" t="str">
        <f t="shared" si="25"/>
        <v>TheewaterskloofSurplus/(Deficit)</v>
      </c>
      <c r="AF535" s="969"/>
      <c r="AG535" s="969"/>
    </row>
    <row r="536" spans="2:33" ht="13.2" customHeight="1" x14ac:dyDescent="0.55000000000000004">
      <c r="B536" s="371"/>
      <c r="C536" s="1010" t="s">
        <v>771</v>
      </c>
      <c r="D536" s="361" t="str">
        <f t="shared" si="26"/>
        <v>Health4700</v>
      </c>
      <c r="E536" s="361" t="str">
        <f t="shared" si="24"/>
        <v>TheewaterskloofHealthTransfers and subsidies - capital (monetary allocations) (National / Provincial and District)</v>
      </c>
      <c r="F536" s="360" t="str">
        <f>'PART C- Municipal Details'!$G$7</f>
        <v>Theewaterskloof</v>
      </c>
      <c r="G536" s="361" t="s">
        <v>803</v>
      </c>
      <c r="H536" s="363" t="s">
        <v>477</v>
      </c>
      <c r="I536" s="496" t="s">
        <v>740</v>
      </c>
      <c r="J536" s="497" t="s">
        <v>767</v>
      </c>
      <c r="K536" s="490"/>
      <c r="L536" s="463" t="s">
        <v>770</v>
      </c>
      <c r="M536" s="459"/>
      <c r="N536" s="459"/>
      <c r="O536" s="459"/>
      <c r="P536" s="459"/>
      <c r="Q536" s="459"/>
      <c r="R536" s="459"/>
      <c r="S536" s="459"/>
      <c r="T536" s="459"/>
      <c r="U536" s="530">
        <v>0</v>
      </c>
      <c r="V536" s="530">
        <v>0</v>
      </c>
      <c r="W536" s="530">
        <v>0</v>
      </c>
      <c r="X536" s="490"/>
      <c r="Y536" s="969"/>
      <c r="Z536" s="969"/>
      <c r="AA536" s="969"/>
      <c r="AB536" s="969"/>
      <c r="AC536" s="969"/>
      <c r="AD536" s="969"/>
      <c r="AE536" s="969" t="str">
        <f t="shared" si="25"/>
        <v>TheewaterskloofTransfers and subsidies - capital (monetary allocations)</v>
      </c>
      <c r="AF536" s="969"/>
      <c r="AG536" s="969"/>
    </row>
    <row r="537" spans="2:33" ht="13.2" customHeight="1" x14ac:dyDescent="0.55000000000000004">
      <c r="B537" s="371"/>
      <c r="C537" s="1009" t="s">
        <v>774</v>
      </c>
      <c r="D537" s="360" t="str">
        <f t="shared" si="26"/>
        <v>Health4800</v>
      </c>
      <c r="E537" s="360" t="str">
        <f t="shared" si="24"/>
        <v>TheewaterskloofHealthTransfers and subsidies - capital (in-kind - all)</v>
      </c>
      <c r="F537" s="360" t="str">
        <f>'PART C- Municipal Details'!$G$7</f>
        <v>Theewaterskloof</v>
      </c>
      <c r="G537" s="360" t="s">
        <v>803</v>
      </c>
      <c r="H537" s="366" t="s">
        <v>477</v>
      </c>
      <c r="I537" s="496" t="s">
        <v>744</v>
      </c>
      <c r="J537" s="497" t="s">
        <v>769</v>
      </c>
      <c r="K537" s="490"/>
      <c r="L537" s="463" t="s">
        <v>773</v>
      </c>
      <c r="M537" s="459"/>
      <c r="N537" s="459"/>
      <c r="O537" s="459"/>
      <c r="P537" s="459"/>
      <c r="Q537" s="459"/>
      <c r="R537" s="459"/>
      <c r="S537" s="459"/>
      <c r="T537" s="459"/>
      <c r="U537" s="530">
        <v>0</v>
      </c>
      <c r="V537" s="530">
        <v>0</v>
      </c>
      <c r="W537" s="530">
        <v>0</v>
      </c>
      <c r="X537" s="490"/>
      <c r="Y537" s="969"/>
      <c r="Z537" s="969"/>
      <c r="AA537" s="969"/>
      <c r="AB537" s="969"/>
      <c r="AC537" s="969"/>
      <c r="AD537" s="969"/>
      <c r="AE537" s="969" t="str">
        <f t="shared" si="25"/>
        <v>TheewaterskloofTransfers and subsidies - capital (in-kind)</v>
      </c>
      <c r="AF537" s="969"/>
      <c r="AG537" s="969"/>
    </row>
    <row r="538" spans="2:33" ht="13.2" customHeight="1" x14ac:dyDescent="0.55000000000000004">
      <c r="B538" s="371"/>
      <c r="C538" s="1010" t="s">
        <v>776</v>
      </c>
      <c r="D538" s="361" t="str">
        <f t="shared" si="26"/>
        <v>Health4900</v>
      </c>
      <c r="E538" s="361" t="str">
        <f t="shared" si="24"/>
        <v>TheewaterskloofHealthSurplus/(Deficit) after capital transfers and contributions</v>
      </c>
      <c r="F538" s="360" t="str">
        <f>'PART C- Municipal Details'!$G$7</f>
        <v>Theewaterskloof</v>
      </c>
      <c r="G538" s="361" t="s">
        <v>803</v>
      </c>
      <c r="H538" s="363" t="s">
        <v>477</v>
      </c>
      <c r="I538" s="496" t="s">
        <v>747</v>
      </c>
      <c r="J538" s="497" t="s">
        <v>772</v>
      </c>
      <c r="K538" s="490"/>
      <c r="L538" s="463" t="s">
        <v>747</v>
      </c>
      <c r="M538" s="459"/>
      <c r="N538" s="459"/>
      <c r="O538" s="459"/>
      <c r="P538" s="459"/>
      <c r="Q538" s="459"/>
      <c r="R538" s="459"/>
      <c r="S538" s="459"/>
      <c r="T538" s="459"/>
      <c r="U538" s="530">
        <v>0</v>
      </c>
      <c r="V538" s="530">
        <v>0</v>
      </c>
      <c r="W538" s="530">
        <v>0</v>
      </c>
      <c r="X538" s="490"/>
      <c r="Y538" s="969"/>
      <c r="Z538" s="969"/>
      <c r="AA538" s="969"/>
      <c r="AB538" s="969"/>
      <c r="AC538" s="969"/>
      <c r="AD538" s="969"/>
      <c r="AE538" s="969" t="str">
        <f t="shared" si="25"/>
        <v>TheewaterskloofSurplus/(Deficit) after capital transfers and contributions</v>
      </c>
      <c r="AF538" s="969"/>
      <c r="AG538" s="969"/>
    </row>
    <row r="539" spans="2:33" ht="13.2" customHeight="1" x14ac:dyDescent="0.55000000000000004">
      <c r="B539" s="371"/>
      <c r="C539" s="1009" t="s">
        <v>779</v>
      </c>
      <c r="D539" s="360" t="str">
        <f t="shared" si="26"/>
        <v>Health5000</v>
      </c>
      <c r="E539" s="360" t="str">
        <f t="shared" si="24"/>
        <v>TheewaterskloofHealthTaxation</v>
      </c>
      <c r="F539" s="360" t="str">
        <f>'PART C- Municipal Details'!$G$7</f>
        <v>Theewaterskloof</v>
      </c>
      <c r="G539" s="360" t="s">
        <v>803</v>
      </c>
      <c r="H539" s="366" t="s">
        <v>477</v>
      </c>
      <c r="I539" s="496" t="s">
        <v>749</v>
      </c>
      <c r="J539" s="497" t="s">
        <v>775</v>
      </c>
      <c r="K539" s="490"/>
      <c r="L539" s="463" t="s">
        <v>778</v>
      </c>
      <c r="M539" s="459"/>
      <c r="N539" s="459"/>
      <c r="O539" s="459"/>
      <c r="P539" s="459"/>
      <c r="Q539" s="459"/>
      <c r="R539" s="459"/>
      <c r="S539" s="459"/>
      <c r="T539" s="459"/>
      <c r="U539" s="530">
        <v>0</v>
      </c>
      <c r="V539" s="530">
        <v>0</v>
      </c>
      <c r="W539" s="530">
        <v>0</v>
      </c>
      <c r="X539" s="490"/>
      <c r="Y539" s="969"/>
      <c r="Z539" s="969"/>
      <c r="AA539" s="969"/>
      <c r="AB539" s="969"/>
      <c r="AC539" s="969"/>
      <c r="AD539" s="969"/>
      <c r="AE539" s="969" t="str">
        <f t="shared" si="25"/>
        <v>TheewaterskloofIncome Tax</v>
      </c>
      <c r="AF539" s="969"/>
      <c r="AG539" s="969"/>
    </row>
    <row r="540" spans="2:33" ht="13.2" customHeight="1" x14ac:dyDescent="0.55000000000000004">
      <c r="B540" s="371"/>
      <c r="C540" s="1010" t="s">
        <v>782</v>
      </c>
      <c r="D540" s="361" t="str">
        <f t="shared" si="26"/>
        <v>Health5100</v>
      </c>
      <c r="E540" s="361" t="str">
        <f t="shared" si="24"/>
        <v>TheewaterskloofHealthSurplus/(Deficit) after taxation</v>
      </c>
      <c r="F540" s="360" t="str">
        <f>'PART C- Municipal Details'!$G$7</f>
        <v>Theewaterskloof</v>
      </c>
      <c r="G540" s="361" t="s">
        <v>803</v>
      </c>
      <c r="H540" s="363" t="s">
        <v>477</v>
      </c>
      <c r="I540" s="496" t="s">
        <v>751</v>
      </c>
      <c r="J540" s="497" t="s">
        <v>777</v>
      </c>
      <c r="K540" s="490"/>
      <c r="L540" s="463" t="s">
        <v>781</v>
      </c>
      <c r="M540" s="459"/>
      <c r="N540" s="459"/>
      <c r="O540" s="459"/>
      <c r="P540" s="459"/>
      <c r="Q540" s="459"/>
      <c r="R540" s="459"/>
      <c r="S540" s="459"/>
      <c r="T540" s="459"/>
      <c r="U540" s="530">
        <v>0</v>
      </c>
      <c r="V540" s="530">
        <v>0</v>
      </c>
      <c r="W540" s="530">
        <v>0</v>
      </c>
      <c r="X540" s="490"/>
      <c r="Y540" s="969"/>
      <c r="Z540" s="969"/>
      <c r="AA540" s="969"/>
      <c r="AB540" s="969"/>
      <c r="AC540" s="969"/>
      <c r="AD540" s="969"/>
      <c r="AE540" s="969" t="str">
        <f t="shared" si="25"/>
        <v>TheewaterskloofSurplus/(Deficit) after income tax</v>
      </c>
      <c r="AF540" s="969"/>
      <c r="AG540" s="969"/>
    </row>
    <row r="541" spans="2:33" ht="13.2" customHeight="1" x14ac:dyDescent="0.55000000000000004">
      <c r="B541" s="371"/>
      <c r="C541" s="1010" t="s">
        <v>785</v>
      </c>
      <c r="D541" s="360" t="str">
        <f t="shared" si="26"/>
        <v>Health5200</v>
      </c>
      <c r="E541" s="360" t="str">
        <f t="shared" si="24"/>
        <v>TheewaterskloofHealthShare of Surplus/Deficit attributable to Joint Venture</v>
      </c>
      <c r="F541" s="360" t="str">
        <f>'PART C- Municipal Details'!$G$7</f>
        <v>Theewaterskloof</v>
      </c>
      <c r="G541" s="360" t="s">
        <v>803</v>
      </c>
      <c r="H541" s="366" t="s">
        <v>477</v>
      </c>
      <c r="I541" s="496" t="s">
        <v>783</v>
      </c>
      <c r="J541" s="497" t="s">
        <v>780</v>
      </c>
      <c r="K541" s="490"/>
      <c r="L541" s="463" t="s">
        <v>783</v>
      </c>
      <c r="M541" s="459"/>
      <c r="N541" s="459"/>
      <c r="O541" s="459"/>
      <c r="P541" s="459"/>
      <c r="Q541" s="459"/>
      <c r="R541" s="459"/>
      <c r="S541" s="459"/>
      <c r="T541" s="459"/>
      <c r="U541" s="530">
        <v>0</v>
      </c>
      <c r="V541" s="530">
        <v>0</v>
      </c>
      <c r="W541" s="530">
        <v>0</v>
      </c>
      <c r="X541" s="490"/>
      <c r="Y541" s="969"/>
      <c r="Z541" s="969"/>
      <c r="AA541" s="969"/>
      <c r="AB541" s="969"/>
      <c r="AC541" s="969"/>
      <c r="AD541" s="969"/>
      <c r="AE541" s="969" t="str">
        <f t="shared" si="25"/>
        <v>TheewaterskloofShare of Surplus/Deficit attributable to Joint Venture</v>
      </c>
      <c r="AF541" s="969"/>
      <c r="AG541" s="969"/>
    </row>
    <row r="542" spans="2:33" ht="13.2" customHeight="1" x14ac:dyDescent="0.55000000000000004">
      <c r="B542" s="371"/>
      <c r="C542" s="1009" t="s">
        <v>788</v>
      </c>
      <c r="D542" s="361" t="str">
        <f t="shared" si="26"/>
        <v>Health5300</v>
      </c>
      <c r="E542" s="361" t="str">
        <f t="shared" si="24"/>
        <v>TheewaterskloofHealthAttributable to minorities</v>
      </c>
      <c r="F542" s="360" t="str">
        <f>'PART C- Municipal Details'!$G$7</f>
        <v>Theewaterskloof</v>
      </c>
      <c r="G542" s="361" t="s">
        <v>803</v>
      </c>
      <c r="H542" s="363" t="s">
        <v>477</v>
      </c>
      <c r="I542" s="496" t="s">
        <v>753</v>
      </c>
      <c r="J542" s="497" t="s">
        <v>784</v>
      </c>
      <c r="K542" s="490"/>
      <c r="L542" s="463" t="s">
        <v>787</v>
      </c>
      <c r="M542" s="459"/>
      <c r="N542" s="459"/>
      <c r="O542" s="459"/>
      <c r="P542" s="459"/>
      <c r="Q542" s="459"/>
      <c r="R542" s="459"/>
      <c r="S542" s="459"/>
      <c r="T542" s="459"/>
      <c r="U542" s="530">
        <v>0</v>
      </c>
      <c r="V542" s="530">
        <v>0</v>
      </c>
      <c r="W542" s="530">
        <v>0</v>
      </c>
      <c r="X542" s="490"/>
      <c r="Y542" s="969"/>
      <c r="Z542" s="969"/>
      <c r="AA542" s="969"/>
      <c r="AB542" s="969"/>
      <c r="AC542" s="969"/>
      <c r="AD542" s="969"/>
      <c r="AE542" s="969" t="str">
        <f t="shared" si="25"/>
        <v>TheewaterskloofShare of Surplus/Deficit attributable to Minorities</v>
      </c>
      <c r="AF542" s="969"/>
      <c r="AG542" s="969"/>
    </row>
    <row r="543" spans="2:33" ht="13.2" customHeight="1" x14ac:dyDescent="0.55000000000000004">
      <c r="B543" s="371"/>
      <c r="C543" s="1010" t="s">
        <v>790</v>
      </c>
      <c r="D543" s="360" t="str">
        <f t="shared" si="26"/>
        <v>Health5400</v>
      </c>
      <c r="E543" s="360" t="str">
        <f t="shared" si="24"/>
        <v>TheewaterskloofHealthSurplus/(Deficit) attributable to municipality</v>
      </c>
      <c r="F543" s="360" t="str">
        <f>'PART C- Municipal Details'!$G$7</f>
        <v>Theewaterskloof</v>
      </c>
      <c r="G543" s="360" t="s">
        <v>803</v>
      </c>
      <c r="H543" s="366" t="s">
        <v>477</v>
      </c>
      <c r="I543" s="496" t="s">
        <v>756</v>
      </c>
      <c r="J543" s="497" t="s">
        <v>786</v>
      </c>
      <c r="K543" s="490"/>
      <c r="L543" s="463" t="s">
        <v>756</v>
      </c>
      <c r="M543" s="459"/>
      <c r="N543" s="459"/>
      <c r="O543" s="459"/>
      <c r="P543" s="459"/>
      <c r="Q543" s="459"/>
      <c r="R543" s="459"/>
      <c r="S543" s="459"/>
      <c r="T543" s="459"/>
      <c r="U543" s="530">
        <v>0</v>
      </c>
      <c r="V543" s="530">
        <v>0</v>
      </c>
      <c r="W543" s="530">
        <v>0</v>
      </c>
      <c r="X543" s="490"/>
      <c r="Y543" s="969"/>
      <c r="Z543" s="969"/>
      <c r="AA543" s="969"/>
      <c r="AB543" s="969"/>
      <c r="AC543" s="969"/>
      <c r="AD543" s="969"/>
      <c r="AE543" s="969" t="str">
        <f t="shared" si="25"/>
        <v>TheewaterskloofSurplus/(Deficit) attributable to municipality</v>
      </c>
      <c r="AF543" s="969"/>
      <c r="AG543" s="969"/>
    </row>
    <row r="544" spans="2:33" ht="13.2" customHeight="1" x14ac:dyDescent="0.55000000000000004">
      <c r="B544" s="371"/>
      <c r="C544" s="1010" t="s">
        <v>792</v>
      </c>
      <c r="D544" s="361" t="str">
        <f t="shared" si="26"/>
        <v>Health5500</v>
      </c>
      <c r="E544" s="361" t="str">
        <f t="shared" si="24"/>
        <v>TheewaterskloofHealthShare of surplus/ (deficit) of associate</v>
      </c>
      <c r="F544" s="360" t="str">
        <f>'PART C- Municipal Details'!$G$7</f>
        <v>Theewaterskloof</v>
      </c>
      <c r="G544" s="361" t="s">
        <v>803</v>
      </c>
      <c r="H544" s="363" t="s">
        <v>477</v>
      </c>
      <c r="I544" s="496" t="s">
        <v>759</v>
      </c>
      <c r="J544" s="497" t="s">
        <v>789</v>
      </c>
      <c r="K544" s="490"/>
      <c r="L544" s="463" t="s">
        <v>791</v>
      </c>
      <c r="M544" s="459"/>
      <c r="N544" s="459"/>
      <c r="O544" s="459"/>
      <c r="P544" s="459"/>
      <c r="Q544" s="459"/>
      <c r="R544" s="459"/>
      <c r="S544" s="459"/>
      <c r="T544" s="459"/>
      <c r="U544" s="530">
        <v>0</v>
      </c>
      <c r="V544" s="530">
        <v>0</v>
      </c>
      <c r="W544" s="530">
        <v>0</v>
      </c>
      <c r="X544" s="490"/>
      <c r="Y544" s="969"/>
      <c r="Z544" s="969"/>
      <c r="AA544" s="969"/>
      <c r="AB544" s="969"/>
      <c r="AC544" s="969"/>
      <c r="AD544" s="969"/>
      <c r="AE544" s="969" t="str">
        <f t="shared" si="25"/>
        <v>TheewaterskloofShare of Surplus/Deficit attributable to Associate</v>
      </c>
      <c r="AF544" s="969"/>
      <c r="AG544" s="969"/>
    </row>
    <row r="545" spans="2:33" ht="13.2" customHeight="1" x14ac:dyDescent="0.55000000000000004">
      <c r="B545" s="371"/>
      <c r="C545" s="1009" t="s">
        <v>794</v>
      </c>
      <c r="D545" s="360" t="str">
        <f t="shared" si="26"/>
        <v>Health5600</v>
      </c>
      <c r="E545" s="360" t="str">
        <f t="shared" si="24"/>
        <v>TheewaterskloofHealthIntercompany/Parent subsidiary transactions</v>
      </c>
      <c r="F545" s="360" t="str">
        <f>'PART C- Municipal Details'!$G$7</f>
        <v>Theewaterskloof</v>
      </c>
      <c r="G545" s="360" t="s">
        <v>803</v>
      </c>
      <c r="H545" s="366" t="s">
        <v>477</v>
      </c>
      <c r="I545" s="496" t="s">
        <v>793</v>
      </c>
      <c r="J545" s="497" t="s">
        <v>789</v>
      </c>
      <c r="K545" s="490"/>
      <c r="L545" s="463" t="s">
        <v>793</v>
      </c>
      <c r="M545" s="459"/>
      <c r="N545" s="459"/>
      <c r="O545" s="459"/>
      <c r="P545" s="459"/>
      <c r="Q545" s="459"/>
      <c r="R545" s="459"/>
      <c r="S545" s="459"/>
      <c r="T545" s="459"/>
      <c r="U545" s="530">
        <v>0</v>
      </c>
      <c r="V545" s="530">
        <v>0</v>
      </c>
      <c r="W545" s="530">
        <v>0</v>
      </c>
      <c r="X545" s="490"/>
      <c r="Y545" s="969"/>
      <c r="Z545" s="969"/>
      <c r="AA545" s="969"/>
      <c r="AB545" s="969"/>
      <c r="AC545" s="969"/>
      <c r="AD545" s="969"/>
      <c r="AE545" s="969" t="str">
        <f t="shared" si="25"/>
        <v>TheewaterskloofIntercompany/Parent subsidiary transactions</v>
      </c>
      <c r="AF545" s="969"/>
      <c r="AG545" s="969"/>
    </row>
    <row r="546" spans="2:33" ht="13.2" customHeight="1" x14ac:dyDescent="0.55000000000000004">
      <c r="B546" s="371"/>
      <c r="C546" s="1011">
        <v>55555</v>
      </c>
      <c r="D546" s="361" t="str">
        <f t="shared" si="26"/>
        <v>Health55555</v>
      </c>
      <c r="E546" s="361" t="str">
        <f t="shared" si="24"/>
        <v>TheewaterskloofHealthSurplus/(Deficit) for the year</v>
      </c>
      <c r="F546" s="360" t="str">
        <f>'PART C- Municipal Details'!$G$7</f>
        <v>Theewaterskloof</v>
      </c>
      <c r="G546" s="361" t="s">
        <v>803</v>
      </c>
      <c r="H546" s="363" t="s">
        <v>477</v>
      </c>
      <c r="I546" s="496" t="s">
        <v>762</v>
      </c>
      <c r="J546" s="497" t="s">
        <v>789</v>
      </c>
      <c r="K546" s="490"/>
      <c r="L546" s="508" t="s">
        <v>762</v>
      </c>
      <c r="M546" s="509"/>
      <c r="N546" s="510"/>
      <c r="O546" s="510"/>
      <c r="P546" s="510"/>
      <c r="Q546" s="510"/>
      <c r="R546" s="510"/>
      <c r="S546" s="510"/>
      <c r="T546" s="511"/>
      <c r="U546" s="530">
        <v>0</v>
      </c>
      <c r="V546" s="530">
        <v>0</v>
      </c>
      <c r="W546" s="530">
        <v>0</v>
      </c>
      <c r="X546" s="490"/>
      <c r="Y546" s="969"/>
      <c r="Z546" s="969"/>
      <c r="AA546" s="969"/>
      <c r="AB546" s="969"/>
      <c r="AC546" s="969"/>
      <c r="AD546" s="969"/>
      <c r="AE546" s="969" t="str">
        <f t="shared" si="25"/>
        <v>TheewaterskloofSurplus/(Deficit) for the year</v>
      </c>
      <c r="AF546" s="969"/>
      <c r="AG546" s="969"/>
    </row>
    <row r="547" spans="2:33" ht="13.2" customHeight="1" x14ac:dyDescent="0.55000000000000004">
      <c r="B547" s="371"/>
      <c r="C547" s="1011">
        <v>55555</v>
      </c>
      <c r="D547" s="360" t="str">
        <f t="shared" si="26"/>
        <v>Health55555</v>
      </c>
      <c r="E547" s="360" t="str">
        <f t="shared" si="24"/>
        <v>TheewaterskloofHealthReferences</v>
      </c>
      <c r="F547" s="360" t="str">
        <f>'PART C- Municipal Details'!$G$7</f>
        <v>Theewaterskloof</v>
      </c>
      <c r="G547" s="360" t="s">
        <v>803</v>
      </c>
      <c r="H547" s="366" t="s">
        <v>477</v>
      </c>
      <c r="I547" s="496" t="s">
        <v>765</v>
      </c>
      <c r="J547" s="497" t="s">
        <v>789</v>
      </c>
      <c r="K547" s="490"/>
      <c r="L547" s="474" t="s">
        <v>765</v>
      </c>
      <c r="M547" s="475"/>
      <c r="N547" s="476"/>
      <c r="O547" s="476"/>
      <c r="P547" s="476"/>
      <c r="Q547" s="476"/>
      <c r="R547" s="476"/>
      <c r="S547" s="476"/>
      <c r="T547" s="477"/>
      <c r="U547" s="530">
        <v>0</v>
      </c>
      <c r="V547" s="530">
        <v>0</v>
      </c>
      <c r="W547" s="530">
        <v>0</v>
      </c>
      <c r="X547" s="490"/>
      <c r="Y547" s="969"/>
      <c r="Z547" s="969"/>
      <c r="AA547" s="969"/>
      <c r="AB547" s="969"/>
      <c r="AC547" s="969"/>
      <c r="AD547" s="969"/>
      <c r="AE547" s="969" t="str">
        <f t="shared" si="25"/>
        <v>TheewaterskloofReferences</v>
      </c>
      <c r="AF547" s="969"/>
      <c r="AG547" s="969"/>
    </row>
    <row r="548" spans="2:33" ht="13.2" customHeight="1" x14ac:dyDescent="0.55000000000000004">
      <c r="B548" s="371"/>
      <c r="C548" s="1011">
        <v>55555</v>
      </c>
      <c r="D548" s="361" t="str">
        <f t="shared" si="26"/>
        <v>Health55555</v>
      </c>
      <c r="E548" s="361" t="str">
        <f t="shared" si="24"/>
        <v>TheewaterskloofHealth1. Classifications are revenue sources and expenditure type</v>
      </c>
      <c r="F548" s="360" t="str">
        <f>'PART C- Municipal Details'!$G$7</f>
        <v>Theewaterskloof</v>
      </c>
      <c r="G548" s="361" t="s">
        <v>803</v>
      </c>
      <c r="H548" s="363" t="s">
        <v>477</v>
      </c>
      <c r="I548" s="496" t="s">
        <v>767</v>
      </c>
      <c r="J548" s="497" t="s">
        <v>789</v>
      </c>
      <c r="K548" s="490"/>
      <c r="L548" s="465" t="s">
        <v>767</v>
      </c>
      <c r="M548" s="472"/>
      <c r="N548" s="473"/>
      <c r="O548" s="473"/>
      <c r="P548" s="473"/>
      <c r="Q548" s="473"/>
      <c r="R548" s="473"/>
      <c r="S548" s="473"/>
      <c r="T548" s="478"/>
      <c r="U548" s="530">
        <v>0</v>
      </c>
      <c r="V548" s="530">
        <v>0</v>
      </c>
      <c r="W548" s="530">
        <v>0</v>
      </c>
      <c r="X548" s="490"/>
      <c r="Y548" s="969"/>
      <c r="Z548" s="969"/>
      <c r="AA548" s="969"/>
      <c r="AB548" s="969"/>
      <c r="AC548" s="969"/>
      <c r="AD548" s="969"/>
      <c r="AE548" s="969" t="str">
        <f t="shared" si="25"/>
        <v>Theewaterskloof1. Classifications are revenue sources and expenditure type</v>
      </c>
      <c r="AF548" s="969"/>
      <c r="AG548" s="969"/>
    </row>
    <row r="549" spans="2:33" ht="13.2" customHeight="1" x14ac:dyDescent="0.55000000000000004">
      <c r="B549" s="371"/>
      <c r="C549" s="1011">
        <v>55555</v>
      </c>
      <c r="D549" s="360" t="str">
        <f t="shared" si="26"/>
        <v>Health55555</v>
      </c>
      <c r="E549" s="360" t="str">
        <f t="shared" si="24"/>
        <v>TheewaterskloofHealth2. Detail to be provided in Table SA1</v>
      </c>
      <c r="F549" s="360" t="str">
        <f>'PART C- Municipal Details'!$G$7</f>
        <v>Theewaterskloof</v>
      </c>
      <c r="G549" s="360" t="s">
        <v>803</v>
      </c>
      <c r="H549" s="366" t="s">
        <v>477</v>
      </c>
      <c r="I549" s="496" t="s">
        <v>769</v>
      </c>
      <c r="J549" s="497" t="s">
        <v>789</v>
      </c>
      <c r="K549" s="490"/>
      <c r="L549" s="465" t="s">
        <v>769</v>
      </c>
      <c r="M549" s="472"/>
      <c r="N549" s="473"/>
      <c r="O549" s="473"/>
      <c r="P549" s="473"/>
      <c r="Q549" s="473"/>
      <c r="R549" s="473"/>
      <c r="S549" s="473"/>
      <c r="T549" s="478"/>
      <c r="U549" s="530">
        <v>0</v>
      </c>
      <c r="V549" s="530">
        <v>0</v>
      </c>
      <c r="W549" s="530">
        <v>0</v>
      </c>
      <c r="X549" s="490"/>
      <c r="Y549" s="969"/>
      <c r="Z549" s="969"/>
      <c r="AA549" s="969"/>
      <c r="AB549" s="969"/>
      <c r="AC549" s="969"/>
      <c r="AD549" s="969"/>
      <c r="AE549" s="969" t="str">
        <f t="shared" si="25"/>
        <v>Theewaterskloof2. Detail to be provided in Table SA1</v>
      </c>
      <c r="AF549" s="969"/>
      <c r="AG549" s="969"/>
    </row>
    <row r="550" spans="2:33" ht="13.2" customHeight="1" x14ac:dyDescent="0.55000000000000004">
      <c r="B550" s="371"/>
      <c r="C550" s="1011">
        <v>55555</v>
      </c>
      <c r="D550" s="361" t="str">
        <f t="shared" si="26"/>
        <v>Health55555</v>
      </c>
      <c r="E550" s="361" t="str">
        <f t="shared" si="24"/>
        <v>TheewaterskloofHealth3. Debt impairment includes Impairment and Reversal of Impairment Losses</v>
      </c>
      <c r="F550" s="360" t="str">
        <f>'PART C- Municipal Details'!$G$7</f>
        <v>Theewaterskloof</v>
      </c>
      <c r="G550" s="361" t="s">
        <v>803</v>
      </c>
      <c r="H550" s="363" t="s">
        <v>477</v>
      </c>
      <c r="I550" s="496" t="s">
        <v>795</v>
      </c>
      <c r="J550" s="497" t="s">
        <v>789</v>
      </c>
      <c r="K550" s="490"/>
      <c r="L550" s="465" t="s">
        <v>795</v>
      </c>
      <c r="M550" s="472"/>
      <c r="N550" s="473"/>
      <c r="O550" s="473"/>
      <c r="P550" s="473"/>
      <c r="Q550" s="473"/>
      <c r="R550" s="473"/>
      <c r="S550" s="473"/>
      <c r="T550" s="478"/>
      <c r="U550" s="530">
        <v>0</v>
      </c>
      <c r="V550" s="530">
        <v>0</v>
      </c>
      <c r="W550" s="530">
        <v>0</v>
      </c>
      <c r="X550" s="490"/>
      <c r="Y550" s="969"/>
      <c r="Z550" s="969"/>
      <c r="AA550" s="969"/>
      <c r="AB550" s="969"/>
      <c r="AC550" s="969"/>
      <c r="AD550" s="969"/>
      <c r="AE550" s="969" t="str">
        <f t="shared" si="25"/>
        <v>Theewaterskloof3. Debt impairment includes Impairment and Reversal of Impairment Losses</v>
      </c>
      <c r="AF550" s="969"/>
      <c r="AG550" s="969"/>
    </row>
    <row r="551" spans="2:33" ht="13.2" customHeight="1" x14ac:dyDescent="0.55000000000000004">
      <c r="B551" s="371"/>
      <c r="C551" s="1011">
        <v>55555</v>
      </c>
      <c r="D551" s="360" t="str">
        <f t="shared" si="26"/>
        <v>Health55555</v>
      </c>
      <c r="E551" s="360" t="str">
        <f t="shared" si="24"/>
        <v>TheewaterskloofHealth4. Expenditure type components previously shown under repairs and maintenance should be allocated back to the originating expenditure group/item; e.g. employee costs</v>
      </c>
      <c r="F551" s="360" t="str">
        <f>'PART C- Municipal Details'!$G$7</f>
        <v>Theewaterskloof</v>
      </c>
      <c r="G551" s="360" t="s">
        <v>803</v>
      </c>
      <c r="H551" s="366" t="s">
        <v>477</v>
      </c>
      <c r="I551" s="496" t="s">
        <v>775</v>
      </c>
      <c r="J551" s="497" t="s">
        <v>789</v>
      </c>
      <c r="K551" s="490"/>
      <c r="L551" s="465" t="s">
        <v>775</v>
      </c>
      <c r="M551" s="472"/>
      <c r="N551" s="473"/>
      <c r="O551" s="473"/>
      <c r="P551" s="473"/>
      <c r="Q551" s="473"/>
      <c r="R551" s="473"/>
      <c r="S551" s="473"/>
      <c r="T551" s="478"/>
      <c r="U551" s="530">
        <v>0</v>
      </c>
      <c r="V551" s="530">
        <v>0</v>
      </c>
      <c r="W551" s="530">
        <v>0</v>
      </c>
      <c r="X551" s="490"/>
      <c r="Y551" s="969"/>
      <c r="Z551" s="969"/>
      <c r="AA551" s="969"/>
      <c r="AB551" s="969"/>
      <c r="AC551" s="969"/>
      <c r="AD551" s="969"/>
      <c r="AE551" s="969" t="str">
        <f t="shared" si="25"/>
        <v>Theewaterskloof4. Expenditure type components previously shown under repairs and maintenance should be allocated back to the originating expenditure group/item; e.g. employee costs</v>
      </c>
      <c r="AF551" s="969"/>
      <c r="AG551" s="969"/>
    </row>
    <row r="552" spans="2:33" ht="13.2" customHeight="1" x14ac:dyDescent="0.55000000000000004">
      <c r="B552" s="371"/>
      <c r="C552" s="1011">
        <v>55555</v>
      </c>
      <c r="D552" s="361" t="str">
        <f t="shared" si="26"/>
        <v>Health55555</v>
      </c>
      <c r="E552" s="361" t="str">
        <f t="shared" si="24"/>
        <v>TheewaterskloofHealth5. Repairs &amp; maintenance detailed in Table A9 and Table SA34c</v>
      </c>
      <c r="F552" s="360" t="str">
        <f>'PART C- Municipal Details'!$G$7</f>
        <v>Theewaterskloof</v>
      </c>
      <c r="G552" s="361" t="s">
        <v>803</v>
      </c>
      <c r="H552" s="363" t="s">
        <v>477</v>
      </c>
      <c r="I552" s="496" t="s">
        <v>777</v>
      </c>
      <c r="J552" s="497" t="s">
        <v>789</v>
      </c>
      <c r="K552" s="490"/>
      <c r="L552" s="465" t="s">
        <v>777</v>
      </c>
      <c r="M552" s="472"/>
      <c r="N552" s="473"/>
      <c r="O552" s="473"/>
      <c r="P552" s="473"/>
      <c r="Q552" s="473"/>
      <c r="R552" s="473"/>
      <c r="S552" s="473"/>
      <c r="T552" s="478"/>
      <c r="U552" s="530">
        <v>0</v>
      </c>
      <c r="V552" s="530">
        <v>0</v>
      </c>
      <c r="W552" s="530">
        <v>0</v>
      </c>
      <c r="X552" s="490"/>
      <c r="Y552" s="969"/>
      <c r="Z552" s="969"/>
      <c r="AA552" s="969"/>
      <c r="AB552" s="969"/>
      <c r="AC552" s="969"/>
      <c r="AD552" s="969"/>
      <c r="AE552" s="969" t="str">
        <f t="shared" si="25"/>
        <v>Theewaterskloof5. Repairs &amp; maintenance detailed in Table A9 and Table SA34c</v>
      </c>
      <c r="AF552" s="969"/>
      <c r="AG552" s="969"/>
    </row>
    <row r="553" spans="2:33" ht="13.2" customHeight="1" x14ac:dyDescent="0.55000000000000004">
      <c r="B553" s="371"/>
      <c r="C553" s="1011">
        <v>55555</v>
      </c>
      <c r="D553" s="360" t="str">
        <f t="shared" si="26"/>
        <v>Health55555</v>
      </c>
      <c r="E553" s="360" t="str">
        <f t="shared" si="24"/>
        <v>TheewaterskloofHealth6. Contributions are funds provided by external organisations to assist with infrastructure development; e.g. developer contributions (detail to be provided in Table SA1)</v>
      </c>
      <c r="F553" s="360" t="str">
        <f>'PART C- Municipal Details'!$G$7</f>
        <v>Theewaterskloof</v>
      </c>
      <c r="G553" s="360" t="s">
        <v>803</v>
      </c>
      <c r="H553" s="366" t="s">
        <v>477</v>
      </c>
      <c r="I553" s="496" t="s">
        <v>780</v>
      </c>
      <c r="J553" s="497" t="s">
        <v>789</v>
      </c>
      <c r="K553" s="490"/>
      <c r="L553" s="465" t="s">
        <v>780</v>
      </c>
      <c r="M553" s="472"/>
      <c r="N553" s="473"/>
      <c r="O553" s="473"/>
      <c r="P553" s="473"/>
      <c r="Q553" s="473"/>
      <c r="R553" s="473"/>
      <c r="S553" s="473"/>
      <c r="T553" s="478"/>
      <c r="U553" s="530">
        <v>0</v>
      </c>
      <c r="V553" s="530">
        <v>0</v>
      </c>
      <c r="W553" s="530">
        <v>0</v>
      </c>
      <c r="X553" s="490"/>
      <c r="Y553" s="969"/>
      <c r="Z553" s="969"/>
      <c r="AA553" s="969"/>
      <c r="AB553" s="969"/>
      <c r="AC553" s="969"/>
      <c r="AD553" s="969"/>
      <c r="AE553" s="969" t="str">
        <f t="shared" si="25"/>
        <v>Theewaterskloof6. Contributions are funds provided by external organisations to assist with infrastructure development; e.g. developer contributions (detail to be provided in Table SA1)</v>
      </c>
      <c r="AF553" s="969"/>
      <c r="AG553" s="969"/>
    </row>
    <row r="554" spans="2:33" ht="13.2" customHeight="1" x14ac:dyDescent="0.55000000000000004">
      <c r="B554" s="371"/>
      <c r="C554" s="1011">
        <v>55555</v>
      </c>
      <c r="D554" s="361" t="str">
        <f t="shared" si="26"/>
        <v>Health55555</v>
      </c>
      <c r="E554" s="361" t="str">
        <f t="shared" si="24"/>
        <v>TheewaterskloofHealth7. Equity method ( Includes Joint Ventures)</v>
      </c>
      <c r="F554" s="360" t="str">
        <f>'PART C- Municipal Details'!$G$7</f>
        <v>Theewaterskloof</v>
      </c>
      <c r="G554" s="361" t="s">
        <v>803</v>
      </c>
      <c r="H554" s="363" t="s">
        <v>477</v>
      </c>
      <c r="I554" s="496" t="s">
        <v>796</v>
      </c>
      <c r="J554" s="497" t="s">
        <v>789</v>
      </c>
      <c r="K554" s="490"/>
      <c r="L554" s="479" t="s">
        <v>796</v>
      </c>
      <c r="M554" s="480"/>
      <c r="N554" s="481"/>
      <c r="O554" s="481"/>
      <c r="P554" s="481"/>
      <c r="Q554" s="481"/>
      <c r="R554" s="481"/>
      <c r="S554" s="481"/>
      <c r="T554" s="482"/>
      <c r="U554" s="530">
        <v>0</v>
      </c>
      <c r="V554" s="530">
        <v>0</v>
      </c>
      <c r="W554" s="530">
        <v>0</v>
      </c>
      <c r="X554" s="490"/>
      <c r="Y554" s="969"/>
      <c r="Z554" s="969"/>
      <c r="AA554" s="969"/>
      <c r="AB554" s="969"/>
      <c r="AC554" s="969"/>
      <c r="AD554" s="969"/>
      <c r="AE554" s="969" t="str">
        <f t="shared" si="25"/>
        <v>Theewaterskloof7. Equity method ( Includes Joint Ventures)</v>
      </c>
      <c r="AF554" s="969"/>
      <c r="AG554" s="969"/>
    </row>
    <row r="555" spans="2:33" ht="13.2" customHeight="1" x14ac:dyDescent="0.55000000000000004">
      <c r="B555" s="371"/>
      <c r="C555" s="1011">
        <v>55555</v>
      </c>
      <c r="D555" s="360" t="str">
        <f t="shared" si="26"/>
        <v>Health55555</v>
      </c>
      <c r="E555" s="360" t="str">
        <f t="shared" si="24"/>
        <v>TheewaterskloofHealth8. All materials consumed including water consumed and materials used in operations.</v>
      </c>
      <c r="F555" s="360" t="str">
        <f>'PART C- Municipal Details'!$G$7</f>
        <v>Theewaterskloof</v>
      </c>
      <c r="G555" s="360" t="s">
        <v>803</v>
      </c>
      <c r="H555" s="366" t="s">
        <v>477</v>
      </c>
      <c r="I555" s="496" t="s">
        <v>797</v>
      </c>
      <c r="J555" s="497" t="s">
        <v>789</v>
      </c>
      <c r="K555" s="490"/>
      <c r="L555" s="501"/>
      <c r="M555" s="502"/>
      <c r="N555" s="503"/>
      <c r="O555" s="503"/>
      <c r="P555" s="503"/>
      <c r="Q555" s="503"/>
      <c r="R555" s="503"/>
      <c r="S555" s="503"/>
      <c r="T555" s="503"/>
      <c r="U555" s="504"/>
      <c r="V555" s="504"/>
      <c r="W555" s="504"/>
      <c r="X555" s="490"/>
      <c r="Y555" s="969"/>
      <c r="Z555" s="969"/>
      <c r="AA555" s="969"/>
      <c r="AB555" s="969"/>
      <c r="AC555" s="969"/>
      <c r="AD555" s="969"/>
      <c r="AE555" s="969" t="str">
        <f t="shared" si="25"/>
        <v>Theewaterskloof</v>
      </c>
      <c r="AF555" s="969"/>
      <c r="AG555" s="969"/>
    </row>
    <row r="556" spans="2:33" ht="13.2" customHeight="1" x14ac:dyDescent="0.55000000000000004">
      <c r="B556" s="371"/>
      <c r="C556" s="1011"/>
      <c r="D556" s="361" t="str">
        <f t="shared" si="26"/>
        <v/>
      </c>
      <c r="E556" s="361" t="str">
        <f t="shared" si="24"/>
        <v>Theewaterskloof</v>
      </c>
      <c r="F556" s="360" t="str">
        <f>'PART C- Municipal Details'!$G$7</f>
        <v>Theewaterskloof</v>
      </c>
      <c r="G556" s="361" t="s">
        <v>803</v>
      </c>
      <c r="H556" s="363"/>
      <c r="I556" s="496"/>
      <c r="J556" s="497"/>
      <c r="K556" s="490"/>
      <c r="L556" s="516"/>
      <c r="M556" s="517"/>
      <c r="N556" s="515"/>
      <c r="O556" s="515"/>
      <c r="P556" s="515"/>
      <c r="Q556" s="515"/>
      <c r="R556" s="515"/>
      <c r="S556" s="515"/>
      <c r="T556" s="515"/>
      <c r="U556" s="517"/>
      <c r="V556" s="517"/>
      <c r="W556" s="517"/>
      <c r="X556" s="490"/>
      <c r="Y556" s="969"/>
      <c r="Z556" s="969"/>
      <c r="AA556" s="969"/>
      <c r="AB556" s="969"/>
      <c r="AC556" s="969"/>
      <c r="AD556" s="969"/>
      <c r="AE556" s="969" t="str">
        <f t="shared" si="25"/>
        <v>Theewaterskloof</v>
      </c>
      <c r="AF556" s="969"/>
      <c r="AG556" s="969"/>
    </row>
    <row r="557" spans="2:33" ht="13.2" customHeight="1" x14ac:dyDescent="0.55000000000000004">
      <c r="B557" s="371"/>
      <c r="C557" s="1010">
        <v>55555</v>
      </c>
      <c r="D557" s="360" t="str">
        <f t="shared" si="26"/>
        <v>Planning and development55555</v>
      </c>
      <c r="E557" s="361" t="str">
        <f t="shared" si="24"/>
        <v>TheewaterskloofPlanning and developmentzz</v>
      </c>
      <c r="F557" s="360" t="str">
        <f>'PART C- Municipal Details'!$G$7</f>
        <v>Theewaterskloof</v>
      </c>
      <c r="G557" s="361" t="s">
        <v>803</v>
      </c>
      <c r="H557" s="363" t="s">
        <v>808</v>
      </c>
      <c r="I557" s="496" t="s">
        <v>801</v>
      </c>
      <c r="J557" s="497" t="s">
        <v>651</v>
      </c>
      <c r="K557" s="490"/>
      <c r="L557" s="462" t="s">
        <v>651</v>
      </c>
      <c r="M557" s="362" t="s">
        <v>652</v>
      </c>
      <c r="N557" s="466" t="s">
        <v>653</v>
      </c>
      <c r="O557" s="466" t="s">
        <v>654</v>
      </c>
      <c r="P557" s="467" t="s">
        <v>655</v>
      </c>
      <c r="Q557" s="483" t="s">
        <v>656</v>
      </c>
      <c r="R557" s="468"/>
      <c r="S557" s="468"/>
      <c r="T557" s="467"/>
      <c r="U557" s="527" t="s">
        <v>657</v>
      </c>
      <c r="V557" s="527" t="s">
        <v>657</v>
      </c>
      <c r="W557" s="527" t="s">
        <v>657</v>
      </c>
      <c r="X557" s="490"/>
      <c r="Y557" s="969"/>
      <c r="Z557" s="969"/>
      <c r="AA557" s="969"/>
      <c r="AB557" s="969"/>
      <c r="AC557" s="969"/>
      <c r="AD557" s="969"/>
      <c r="AE557" s="969" t="str">
        <f t="shared" si="25"/>
        <v>TheewaterskloofDescription</v>
      </c>
      <c r="AF557" s="969"/>
      <c r="AG557" s="969"/>
    </row>
    <row r="558" spans="2:33" ht="13.2" customHeight="1" thickBot="1" x14ac:dyDescent="0.6">
      <c r="B558" s="371"/>
      <c r="C558" s="1010">
        <v>55555</v>
      </c>
      <c r="D558" s="361" t="str">
        <f t="shared" si="26"/>
        <v>Planning and development55555</v>
      </c>
      <c r="E558" s="360" t="str">
        <f t="shared" si="24"/>
        <v>TheewaterskloofPlanning and developmentz</v>
      </c>
      <c r="F558" s="360" t="str">
        <f>'PART C- Municipal Details'!$G$7</f>
        <v>Theewaterskloof</v>
      </c>
      <c r="G558" s="360" t="s">
        <v>803</v>
      </c>
      <c r="H558" s="366" t="s">
        <v>808</v>
      </c>
      <c r="I558" s="496" t="s">
        <v>802</v>
      </c>
      <c r="J558" s="497" t="s">
        <v>650</v>
      </c>
      <c r="K558" s="490"/>
      <c r="L558" s="365" t="s">
        <v>659</v>
      </c>
      <c r="M558" s="364" t="s">
        <v>660</v>
      </c>
      <c r="N558" s="469" t="s">
        <v>661</v>
      </c>
      <c r="O558" s="469" t="s">
        <v>661</v>
      </c>
      <c r="P558" s="470" t="s">
        <v>661</v>
      </c>
      <c r="Q558" s="471" t="s">
        <v>662</v>
      </c>
      <c r="R558" s="469" t="s">
        <v>663</v>
      </c>
      <c r="S558" s="469" t="s">
        <v>664</v>
      </c>
      <c r="T558" s="470" t="s">
        <v>665</v>
      </c>
      <c r="U558" s="528" t="s">
        <v>666</v>
      </c>
      <c r="V558" s="528" t="s">
        <v>666</v>
      </c>
      <c r="W558" s="528" t="s">
        <v>666</v>
      </c>
      <c r="X558" s="490"/>
      <c r="Y558" s="969"/>
      <c r="Z558" s="969"/>
      <c r="AA558" s="969"/>
      <c r="AB558" s="969"/>
      <c r="AC558" s="969"/>
      <c r="AD558" s="969"/>
      <c r="AE558" s="969" t="str">
        <f t="shared" si="25"/>
        <v>TheewaterskloofR thousands</v>
      </c>
      <c r="AF558" s="969"/>
      <c r="AG558" s="969"/>
    </row>
    <row r="559" spans="2:33" ht="13.2" customHeight="1" x14ac:dyDescent="0.55000000000000004">
      <c r="B559" s="371"/>
      <c r="C559" s="1008" t="s">
        <v>667</v>
      </c>
      <c r="D559" s="360" t="str">
        <f t="shared" si="26"/>
        <v>Planning and development0100</v>
      </c>
      <c r="E559" s="361" t="str">
        <f t="shared" si="24"/>
        <v>TheewaterskloofPlanning and developmentz</v>
      </c>
      <c r="F559" s="360" t="str">
        <f>'PART C- Municipal Details'!$G$7</f>
        <v>Theewaterskloof</v>
      </c>
      <c r="G559" s="361" t="s">
        <v>803</v>
      </c>
      <c r="H559" s="363" t="s">
        <v>808</v>
      </c>
      <c r="I559" s="496" t="s">
        <v>802</v>
      </c>
      <c r="J559" s="497" t="s">
        <v>658</v>
      </c>
      <c r="K559" s="490"/>
      <c r="L559" s="505" t="s">
        <v>162</v>
      </c>
      <c r="M559" s="506"/>
      <c r="N559" s="507"/>
      <c r="O559" s="507"/>
      <c r="P559" s="507"/>
      <c r="Q559" s="507"/>
      <c r="R559" s="507"/>
      <c r="S559" s="507"/>
      <c r="T559" s="507"/>
      <c r="U559" s="529">
        <v>0</v>
      </c>
      <c r="V559" s="529">
        <v>0</v>
      </c>
      <c r="W559" s="529">
        <v>0</v>
      </c>
      <c r="X559" s="490"/>
      <c r="Y559" s="969"/>
      <c r="Z559" s="969"/>
      <c r="AA559" s="969"/>
      <c r="AB559" s="969"/>
      <c r="AC559" s="969"/>
      <c r="AD559" s="969"/>
      <c r="AE559" s="969" t="str">
        <f t="shared" si="25"/>
        <v>TheewaterskloofRevenue</v>
      </c>
      <c r="AF559" s="969"/>
      <c r="AG559" s="969"/>
    </row>
    <row r="560" spans="2:33" ht="13.2" customHeight="1" x14ac:dyDescent="0.55000000000000004">
      <c r="B560" s="371"/>
      <c r="C560" s="1009" t="s">
        <v>668</v>
      </c>
      <c r="D560" s="361" t="str">
        <f t="shared" si="26"/>
        <v>Planning and development0200</v>
      </c>
      <c r="E560" s="360" t="str">
        <f t="shared" si="24"/>
        <v>TheewaterskloofPlanning and developmentz</v>
      </c>
      <c r="F560" s="360" t="str">
        <f>'PART C- Municipal Details'!$G$7</f>
        <v>Theewaterskloof</v>
      </c>
      <c r="G560" s="360" t="s">
        <v>803</v>
      </c>
      <c r="H560" s="366" t="s">
        <v>808</v>
      </c>
      <c r="I560" s="496" t="s">
        <v>802</v>
      </c>
      <c r="J560" s="497" t="s">
        <v>0</v>
      </c>
      <c r="K560" s="490"/>
      <c r="L560" s="463" t="s">
        <v>670</v>
      </c>
      <c r="M560" s="459"/>
      <c r="N560" s="460"/>
      <c r="O560" s="460"/>
      <c r="P560" s="460"/>
      <c r="Q560" s="460"/>
      <c r="R560" s="460"/>
      <c r="S560" s="460"/>
      <c r="T560" s="460"/>
      <c r="U560" s="530">
        <v>0</v>
      </c>
      <c r="V560" s="530">
        <v>0</v>
      </c>
      <c r="W560" s="530">
        <v>0</v>
      </c>
      <c r="X560" s="490"/>
      <c r="Y560" s="969"/>
      <c r="Z560" s="969"/>
      <c r="AA560" s="969"/>
      <c r="AB560" s="969"/>
      <c r="AC560" s="969"/>
      <c r="AD560" s="969"/>
      <c r="AE560" s="969" t="str">
        <f t="shared" si="25"/>
        <v>TheewaterskloofExchange Revenue</v>
      </c>
      <c r="AF560" s="969"/>
      <c r="AG560" s="969"/>
    </row>
    <row r="561" spans="2:33" ht="13.2" customHeight="1" x14ac:dyDescent="0.55000000000000004">
      <c r="B561" s="371"/>
      <c r="C561" s="1010" t="s">
        <v>671</v>
      </c>
      <c r="D561" s="360" t="str">
        <f t="shared" si="26"/>
        <v>Planning and development0300</v>
      </c>
      <c r="E561" s="361" t="str">
        <f t="shared" si="24"/>
        <v>TheewaterskloofPlanning and developmentService charges - electricity revenue</v>
      </c>
      <c r="F561" s="360" t="str">
        <f>'PART C- Municipal Details'!$G$7</f>
        <v>Theewaterskloof</v>
      </c>
      <c r="G561" s="361" t="s">
        <v>803</v>
      </c>
      <c r="H561" s="363" t="s">
        <v>808</v>
      </c>
      <c r="I561" s="496" t="s">
        <v>669</v>
      </c>
      <c r="J561" s="497" t="s">
        <v>669</v>
      </c>
      <c r="K561" s="490"/>
      <c r="L561" s="463" t="s">
        <v>673</v>
      </c>
      <c r="M561" s="459"/>
      <c r="N561" s="461"/>
      <c r="O561" s="461"/>
      <c r="P561" s="461"/>
      <c r="Q561" s="461"/>
      <c r="R561" s="461"/>
      <c r="S561" s="461"/>
      <c r="T561" s="461"/>
      <c r="U561" s="530">
        <v>0</v>
      </c>
      <c r="V561" s="530">
        <v>0</v>
      </c>
      <c r="W561" s="530">
        <v>0</v>
      </c>
      <c r="X561" s="490"/>
      <c r="Y561" s="969"/>
      <c r="Z561" s="969"/>
      <c r="AA561" s="969"/>
      <c r="AB561" s="969"/>
      <c r="AC561" s="969"/>
      <c r="AD561" s="969"/>
      <c r="AE561" s="969" t="str">
        <f t="shared" si="25"/>
        <v>TheewaterskloofService charges - Electricity</v>
      </c>
      <c r="AF561" s="969"/>
      <c r="AG561" s="969"/>
    </row>
    <row r="562" spans="2:33" ht="13.2" customHeight="1" x14ac:dyDescent="0.55000000000000004">
      <c r="B562" s="371"/>
      <c r="C562" s="1010" t="s">
        <v>674</v>
      </c>
      <c r="D562" s="361" t="str">
        <f t="shared" si="26"/>
        <v>Planning and development0400</v>
      </c>
      <c r="E562" s="360" t="str">
        <f t="shared" si="24"/>
        <v>TheewaterskloofPlanning and developmentService charges - water revenue</v>
      </c>
      <c r="F562" s="360" t="str">
        <f>'PART C- Municipal Details'!$G$7</f>
        <v>Theewaterskloof</v>
      </c>
      <c r="G562" s="360" t="s">
        <v>803</v>
      </c>
      <c r="H562" s="366" t="s">
        <v>808</v>
      </c>
      <c r="I562" s="496" t="s">
        <v>672</v>
      </c>
      <c r="J562" s="497" t="s">
        <v>672</v>
      </c>
      <c r="K562" s="490"/>
      <c r="L562" s="463" t="s">
        <v>676</v>
      </c>
      <c r="M562" s="459"/>
      <c r="N562" s="461"/>
      <c r="O562" s="461"/>
      <c r="P562" s="461"/>
      <c r="Q562" s="461"/>
      <c r="R562" s="461"/>
      <c r="S562" s="461"/>
      <c r="T562" s="461"/>
      <c r="U562" s="530">
        <v>0</v>
      </c>
      <c r="V562" s="530">
        <v>0</v>
      </c>
      <c r="W562" s="530">
        <v>0</v>
      </c>
      <c r="X562" s="490"/>
      <c r="Y562" s="969"/>
      <c r="Z562" s="969"/>
      <c r="AA562" s="969"/>
      <c r="AB562" s="969"/>
      <c r="AC562" s="969"/>
      <c r="AD562" s="969"/>
      <c r="AE562" s="969" t="str">
        <f t="shared" si="25"/>
        <v>TheewaterskloofService charges - Water</v>
      </c>
      <c r="AF562" s="969"/>
      <c r="AG562" s="969"/>
    </row>
    <row r="563" spans="2:33" ht="13.2" customHeight="1" x14ac:dyDescent="0.55000000000000004">
      <c r="B563" s="371"/>
      <c r="C563" s="1010" t="s">
        <v>677</v>
      </c>
      <c r="D563" s="360" t="str">
        <f t="shared" si="26"/>
        <v>Planning and development0500</v>
      </c>
      <c r="E563" s="361" t="str">
        <f t="shared" si="24"/>
        <v>TheewaterskloofPlanning and developmentService charges - sanitation revenue</v>
      </c>
      <c r="F563" s="360" t="str">
        <f>'PART C- Municipal Details'!$G$7</f>
        <v>Theewaterskloof</v>
      </c>
      <c r="G563" s="361" t="s">
        <v>803</v>
      </c>
      <c r="H563" s="363" t="s">
        <v>808</v>
      </c>
      <c r="I563" s="496" t="s">
        <v>675</v>
      </c>
      <c r="J563" s="497" t="s">
        <v>675</v>
      </c>
      <c r="K563" s="490"/>
      <c r="L563" s="463" t="s">
        <v>679</v>
      </c>
      <c r="M563" s="459"/>
      <c r="N563" s="461"/>
      <c r="O563" s="461"/>
      <c r="P563" s="461"/>
      <c r="Q563" s="461"/>
      <c r="R563" s="461"/>
      <c r="S563" s="461"/>
      <c r="T563" s="461"/>
      <c r="U563" s="530">
        <v>0</v>
      </c>
      <c r="V563" s="530">
        <v>0</v>
      </c>
      <c r="W563" s="530">
        <v>0</v>
      </c>
      <c r="X563" s="490"/>
      <c r="Y563" s="969"/>
      <c r="Z563" s="969"/>
      <c r="AA563" s="969"/>
      <c r="AB563" s="969"/>
      <c r="AC563" s="969"/>
      <c r="AD563" s="969"/>
      <c r="AE563" s="969" t="str">
        <f t="shared" si="25"/>
        <v>TheewaterskloofService charges - Waste Water Management</v>
      </c>
      <c r="AF563" s="969"/>
      <c r="AG563" s="969"/>
    </row>
    <row r="564" spans="2:33" ht="13.2" customHeight="1" x14ac:dyDescent="0.55000000000000004">
      <c r="B564" s="371"/>
      <c r="C564" s="1010" t="s">
        <v>680</v>
      </c>
      <c r="D564" s="361" t="str">
        <f t="shared" si="26"/>
        <v>Planning and development0600</v>
      </c>
      <c r="E564" s="360" t="str">
        <f t="shared" si="24"/>
        <v>TheewaterskloofPlanning and developmentService charges - refuse revenue</v>
      </c>
      <c r="F564" s="360" t="str">
        <f>'PART C- Municipal Details'!$G$7</f>
        <v>Theewaterskloof</v>
      </c>
      <c r="G564" s="360" t="s">
        <v>803</v>
      </c>
      <c r="H564" s="366" t="s">
        <v>808</v>
      </c>
      <c r="I564" s="496" t="s">
        <v>678</v>
      </c>
      <c r="J564" s="497" t="s">
        <v>678</v>
      </c>
      <c r="K564" s="490"/>
      <c r="L564" s="463" t="s">
        <v>682</v>
      </c>
      <c r="M564" s="459"/>
      <c r="N564" s="461"/>
      <c r="O564" s="461"/>
      <c r="P564" s="461"/>
      <c r="Q564" s="461"/>
      <c r="R564" s="461"/>
      <c r="S564" s="461"/>
      <c r="T564" s="461"/>
      <c r="U564" s="530">
        <v>0</v>
      </c>
      <c r="V564" s="530">
        <v>0</v>
      </c>
      <c r="W564" s="530">
        <v>0</v>
      </c>
      <c r="X564" s="490"/>
      <c r="Y564" s="969"/>
      <c r="Z564" s="969"/>
      <c r="AA564" s="969"/>
      <c r="AB564" s="969"/>
      <c r="AC564" s="969"/>
      <c r="AD564" s="969"/>
      <c r="AE564" s="969" t="str">
        <f t="shared" si="25"/>
        <v>TheewaterskloofService charges - Waste Management</v>
      </c>
      <c r="AF564" s="969"/>
      <c r="AG564" s="969"/>
    </row>
    <row r="565" spans="2:33" ht="13.2" customHeight="1" x14ac:dyDescent="0.55000000000000004">
      <c r="B565" s="371"/>
      <c r="C565" s="1010" t="s">
        <v>683</v>
      </c>
      <c r="D565" s="360" t="str">
        <f t="shared" si="26"/>
        <v>Planning and development0700</v>
      </c>
      <c r="E565" s="361" t="str">
        <f t="shared" si="24"/>
        <v>TheewaterskloofPlanning and developmentOther revenue</v>
      </c>
      <c r="F565" s="360" t="str">
        <f>'PART C- Municipal Details'!$G$7</f>
        <v>Theewaterskloof</v>
      </c>
      <c r="G565" s="361" t="s">
        <v>803</v>
      </c>
      <c r="H565" s="363" t="s">
        <v>808</v>
      </c>
      <c r="I565" s="496" t="s">
        <v>7</v>
      </c>
      <c r="J565" s="497" t="s">
        <v>681</v>
      </c>
      <c r="K565" s="490"/>
      <c r="L565" s="463" t="s">
        <v>684</v>
      </c>
      <c r="M565" s="459"/>
      <c r="N565" s="461"/>
      <c r="O565" s="461"/>
      <c r="P565" s="461"/>
      <c r="Q565" s="461"/>
      <c r="R565" s="461"/>
      <c r="S565" s="461"/>
      <c r="T565" s="461"/>
      <c r="U565" s="530">
        <v>2231500</v>
      </c>
      <c r="V565" s="530">
        <v>2307371</v>
      </c>
      <c r="W565" s="530">
        <v>2381206</v>
      </c>
      <c r="X565" s="490"/>
      <c r="Y565" s="969"/>
      <c r="Z565" s="969"/>
      <c r="AA565" s="969"/>
      <c r="AB565" s="969"/>
      <c r="AC565" s="969"/>
      <c r="AD565" s="969"/>
      <c r="AE565" s="969" t="str">
        <f t="shared" si="25"/>
        <v>TheewaterskloofSale of Goods and Rendering of Services</v>
      </c>
      <c r="AF565" s="969"/>
      <c r="AG565" s="969"/>
    </row>
    <row r="566" spans="2:33" ht="13.2" customHeight="1" x14ac:dyDescent="0.55000000000000004">
      <c r="B566" s="371"/>
      <c r="C566" s="1010" t="s">
        <v>685</v>
      </c>
      <c r="D566" s="361" t="str">
        <f t="shared" si="26"/>
        <v>Planning and development0800</v>
      </c>
      <c r="E566" s="360" t="str">
        <f t="shared" si="24"/>
        <v>TheewaterskloofPlanning and developmentAgency services</v>
      </c>
      <c r="F566" s="360" t="str">
        <f>'PART C- Municipal Details'!$G$7</f>
        <v>Theewaterskloof</v>
      </c>
      <c r="G566" s="360" t="s">
        <v>803</v>
      </c>
      <c r="H566" s="366" t="s">
        <v>808</v>
      </c>
      <c r="I566" s="496" t="s">
        <v>6</v>
      </c>
      <c r="J566" s="497" t="s">
        <v>1</v>
      </c>
      <c r="K566" s="490"/>
      <c r="L566" s="463" t="s">
        <v>6</v>
      </c>
      <c r="M566" s="459"/>
      <c r="N566" s="461"/>
      <c r="O566" s="461"/>
      <c r="P566" s="461"/>
      <c r="Q566" s="461"/>
      <c r="R566" s="461"/>
      <c r="S566" s="461"/>
      <c r="T566" s="461"/>
      <c r="U566" s="530">
        <v>0</v>
      </c>
      <c r="V566" s="530">
        <v>0</v>
      </c>
      <c r="W566" s="530">
        <v>0</v>
      </c>
      <c r="X566" s="490"/>
      <c r="Y566" s="969"/>
      <c r="Z566" s="969"/>
      <c r="AA566" s="969"/>
      <c r="AB566" s="969"/>
      <c r="AC566" s="969"/>
      <c r="AD566" s="969"/>
      <c r="AE566" s="969" t="str">
        <f t="shared" si="25"/>
        <v>TheewaterskloofAgency services</v>
      </c>
      <c r="AF566" s="969"/>
      <c r="AG566" s="969"/>
    </row>
    <row r="567" spans="2:33" ht="13.2" customHeight="1" x14ac:dyDescent="0.55000000000000004">
      <c r="B567" s="371"/>
      <c r="C567" s="1010" t="s">
        <v>686</v>
      </c>
      <c r="D567" s="360" t="str">
        <f t="shared" si="26"/>
        <v>Planning and development0900</v>
      </c>
      <c r="E567" s="361" t="str">
        <f t="shared" si="24"/>
        <v>TheewaterskloofPlanning and developmentInterest earned - external investments</v>
      </c>
      <c r="F567" s="360" t="str">
        <f>'PART C- Municipal Details'!$G$7</f>
        <v>Theewaterskloof</v>
      </c>
      <c r="G567" s="361" t="s">
        <v>803</v>
      </c>
      <c r="H567" s="363" t="s">
        <v>808</v>
      </c>
      <c r="I567" s="496" t="s">
        <v>2</v>
      </c>
      <c r="J567" s="497" t="s">
        <v>2</v>
      </c>
      <c r="K567" s="490"/>
      <c r="L567" s="463" t="s">
        <v>687</v>
      </c>
      <c r="M567" s="459"/>
      <c r="N567" s="461"/>
      <c r="O567" s="461"/>
      <c r="P567" s="461"/>
      <c r="Q567" s="461"/>
      <c r="R567" s="461"/>
      <c r="S567" s="461"/>
      <c r="T567" s="461"/>
      <c r="U567" s="530">
        <v>0</v>
      </c>
      <c r="V567" s="530">
        <v>0</v>
      </c>
      <c r="W567" s="530">
        <v>0</v>
      </c>
      <c r="X567" s="490"/>
      <c r="Y567" s="969"/>
      <c r="Z567" s="969"/>
      <c r="AA567" s="969"/>
      <c r="AB567" s="969"/>
      <c r="AC567" s="969"/>
      <c r="AD567" s="969"/>
      <c r="AE567" s="969" t="str">
        <f t="shared" si="25"/>
        <v>TheewaterskloofInterest</v>
      </c>
      <c r="AF567" s="969"/>
      <c r="AG567" s="969"/>
    </row>
    <row r="568" spans="2:33" ht="13.2" customHeight="1" x14ac:dyDescent="0.55000000000000004">
      <c r="B568" s="371"/>
      <c r="C568" s="1010" t="s">
        <v>688</v>
      </c>
      <c r="D568" s="361" t="str">
        <f t="shared" si="26"/>
        <v>Planning and development1000</v>
      </c>
      <c r="E568" s="360" t="str">
        <f t="shared" si="24"/>
        <v>TheewaterskloofPlanning and developmentInterest earned - outstanding debtors</v>
      </c>
      <c r="F568" s="360" t="str">
        <f>'PART C- Municipal Details'!$G$7</f>
        <v>Theewaterskloof</v>
      </c>
      <c r="G568" s="360" t="s">
        <v>803</v>
      </c>
      <c r="H568" s="366" t="s">
        <v>808</v>
      </c>
      <c r="I568" s="496" t="s">
        <v>3</v>
      </c>
      <c r="J568" s="497" t="s">
        <v>3</v>
      </c>
      <c r="K568" s="490"/>
      <c r="L568" s="463" t="s">
        <v>689</v>
      </c>
      <c r="M568" s="459"/>
      <c r="N568" s="461"/>
      <c r="O568" s="461"/>
      <c r="P568" s="461"/>
      <c r="Q568" s="461"/>
      <c r="R568" s="461"/>
      <c r="S568" s="461"/>
      <c r="T568" s="461"/>
      <c r="U568" s="530">
        <v>0</v>
      </c>
      <c r="V568" s="530">
        <v>0</v>
      </c>
      <c r="W568" s="530">
        <v>0</v>
      </c>
      <c r="X568" s="490"/>
      <c r="Y568" s="969"/>
      <c r="Z568" s="969"/>
      <c r="AA568" s="969"/>
      <c r="AB568" s="969"/>
      <c r="AC568" s="969"/>
      <c r="AD568" s="969"/>
      <c r="AE568" s="969" t="str">
        <f t="shared" si="25"/>
        <v>TheewaterskloofInterest earned from Receivables</v>
      </c>
      <c r="AF568" s="969"/>
      <c r="AG568" s="969"/>
    </row>
    <row r="569" spans="2:33" ht="13.2" customHeight="1" x14ac:dyDescent="0.55000000000000004">
      <c r="B569" s="371"/>
      <c r="C569" s="1010" t="s">
        <v>690</v>
      </c>
      <c r="D569" s="360" t="str">
        <f t="shared" si="26"/>
        <v>Planning and development1100</v>
      </c>
      <c r="E569" s="361" t="str">
        <f t="shared" si="24"/>
        <v>TheewaterskloofPlanning and developmentInterest earned - external investments</v>
      </c>
      <c r="F569" s="360" t="str">
        <f>'PART C- Municipal Details'!$G$7</f>
        <v>Theewaterskloof</v>
      </c>
      <c r="G569" s="361" t="s">
        <v>803</v>
      </c>
      <c r="H569" s="363" t="s">
        <v>808</v>
      </c>
      <c r="I569" s="496" t="s">
        <v>2</v>
      </c>
      <c r="J569" s="497" t="s">
        <v>4</v>
      </c>
      <c r="K569" s="490"/>
      <c r="L569" s="463" t="s">
        <v>692</v>
      </c>
      <c r="M569" s="459"/>
      <c r="N569" s="461"/>
      <c r="O569" s="461"/>
      <c r="P569" s="461"/>
      <c r="Q569" s="461"/>
      <c r="R569" s="461"/>
      <c r="S569" s="461"/>
      <c r="T569" s="461"/>
      <c r="U569" s="530">
        <v>0</v>
      </c>
      <c r="V569" s="530">
        <v>0</v>
      </c>
      <c r="W569" s="530">
        <v>0</v>
      </c>
      <c r="X569" s="490"/>
      <c r="Y569" s="969"/>
      <c r="Z569" s="969"/>
      <c r="AA569" s="969"/>
      <c r="AB569" s="969"/>
      <c r="AC569" s="969"/>
      <c r="AD569" s="969"/>
      <c r="AE569" s="969" t="str">
        <f t="shared" si="25"/>
        <v>TheewaterskloofInterest earned from Current and Non Current Assets</v>
      </c>
      <c r="AF569" s="969"/>
      <c r="AG569" s="969"/>
    </row>
    <row r="570" spans="2:33" ht="13.2" customHeight="1" x14ac:dyDescent="0.55000000000000004">
      <c r="B570" s="371"/>
      <c r="C570" s="1010" t="s">
        <v>693</v>
      </c>
      <c r="D570" s="361" t="str">
        <f t="shared" si="26"/>
        <v>Planning and development1200</v>
      </c>
      <c r="E570" s="360" t="str">
        <f t="shared" si="24"/>
        <v>TheewaterskloofPlanning and developmentDividends received</v>
      </c>
      <c r="F570" s="360" t="str">
        <f>'PART C- Municipal Details'!$G$7</f>
        <v>Theewaterskloof</v>
      </c>
      <c r="G570" s="360" t="s">
        <v>803</v>
      </c>
      <c r="H570" s="366" t="s">
        <v>808</v>
      </c>
      <c r="I570" s="496" t="s">
        <v>4</v>
      </c>
      <c r="J570" s="497" t="s">
        <v>691</v>
      </c>
      <c r="K570" s="490"/>
      <c r="L570" s="463" t="s">
        <v>694</v>
      </c>
      <c r="M570" s="459"/>
      <c r="N570" s="461"/>
      <c r="O570" s="461"/>
      <c r="P570" s="461"/>
      <c r="Q570" s="461"/>
      <c r="R570" s="461"/>
      <c r="S570" s="461"/>
      <c r="T570" s="461"/>
      <c r="U570" s="530">
        <v>0</v>
      </c>
      <c r="V570" s="530">
        <v>0</v>
      </c>
      <c r="W570" s="530">
        <v>0</v>
      </c>
      <c r="X570" s="490"/>
      <c r="Y570" s="969"/>
      <c r="Z570" s="969"/>
      <c r="AA570" s="969"/>
      <c r="AB570" s="969"/>
      <c r="AC570" s="969"/>
      <c r="AD570" s="969"/>
      <c r="AE570" s="969" t="str">
        <f t="shared" si="25"/>
        <v>TheewaterskloofDividends</v>
      </c>
      <c r="AF570" s="969"/>
      <c r="AG570" s="969"/>
    </row>
    <row r="571" spans="2:33" ht="13.2" customHeight="1" x14ac:dyDescent="0.55000000000000004">
      <c r="B571" s="371"/>
      <c r="C571" s="1010" t="s">
        <v>695</v>
      </c>
      <c r="D571" s="360" t="str">
        <f t="shared" si="26"/>
        <v>Planning and development1300</v>
      </c>
      <c r="E571" s="361" t="str">
        <f t="shared" si="24"/>
        <v>TheewaterskloofPlanning and developmentRental of facilities and equipment</v>
      </c>
      <c r="F571" s="360" t="str">
        <f>'PART C- Municipal Details'!$G$7</f>
        <v>Theewaterskloof</v>
      </c>
      <c r="G571" s="361" t="s">
        <v>803</v>
      </c>
      <c r="H571" s="363" t="s">
        <v>808</v>
      </c>
      <c r="I571" s="496" t="s">
        <v>1</v>
      </c>
      <c r="J571" s="497" t="s">
        <v>5</v>
      </c>
      <c r="K571" s="490"/>
      <c r="L571" s="463" t="s">
        <v>696</v>
      </c>
      <c r="M571" s="459"/>
      <c r="N571" s="461"/>
      <c r="O571" s="461"/>
      <c r="P571" s="461"/>
      <c r="Q571" s="461"/>
      <c r="R571" s="461"/>
      <c r="S571" s="461"/>
      <c r="T571" s="461"/>
      <c r="U571" s="530">
        <v>0</v>
      </c>
      <c r="V571" s="530">
        <v>0</v>
      </c>
      <c r="W571" s="530">
        <v>0</v>
      </c>
      <c r="X571" s="490"/>
      <c r="Y571" s="969"/>
      <c r="Z571" s="969"/>
      <c r="AA571" s="969"/>
      <c r="AB571" s="969"/>
      <c r="AC571" s="969"/>
      <c r="AD571" s="969"/>
      <c r="AE571" s="969" t="str">
        <f t="shared" si="25"/>
        <v>TheewaterskloofRent on Land</v>
      </c>
      <c r="AF571" s="969"/>
      <c r="AG571" s="969"/>
    </row>
    <row r="572" spans="2:33" ht="13.2" customHeight="1" x14ac:dyDescent="0.55000000000000004">
      <c r="B572" s="371"/>
      <c r="C572" s="1010" t="s">
        <v>697</v>
      </c>
      <c r="D572" s="361" t="str">
        <f t="shared" si="26"/>
        <v>Planning and development1400</v>
      </c>
      <c r="E572" s="360" t="str">
        <f t="shared" si="24"/>
        <v>TheewaterskloofPlanning and developmentRental of facilities and equipment</v>
      </c>
      <c r="F572" s="360" t="str">
        <f>'PART C- Municipal Details'!$G$7</f>
        <v>Theewaterskloof</v>
      </c>
      <c r="G572" s="360" t="s">
        <v>803</v>
      </c>
      <c r="H572" s="366" t="s">
        <v>808</v>
      </c>
      <c r="I572" s="496" t="s">
        <v>1</v>
      </c>
      <c r="J572" s="497" t="s">
        <v>6</v>
      </c>
      <c r="K572" s="490"/>
      <c r="L572" s="463" t="s">
        <v>699</v>
      </c>
      <c r="M572" s="459"/>
      <c r="N572" s="461"/>
      <c r="O572" s="461"/>
      <c r="P572" s="461"/>
      <c r="Q572" s="461"/>
      <c r="R572" s="461"/>
      <c r="S572" s="461"/>
      <c r="T572" s="461"/>
      <c r="U572" s="530">
        <v>0</v>
      </c>
      <c r="V572" s="530">
        <v>0</v>
      </c>
      <c r="W572" s="530">
        <v>0</v>
      </c>
      <c r="X572" s="490"/>
      <c r="Y572" s="969"/>
      <c r="Z572" s="969"/>
      <c r="AA572" s="969"/>
      <c r="AB572" s="969"/>
      <c r="AC572" s="969"/>
      <c r="AD572" s="969"/>
      <c r="AE572" s="969" t="str">
        <f t="shared" si="25"/>
        <v>TheewaterskloofRental from Fixed Assets</v>
      </c>
      <c r="AF572" s="969"/>
      <c r="AG572" s="969"/>
    </row>
    <row r="573" spans="2:33" ht="13.2" customHeight="1" x14ac:dyDescent="0.55000000000000004">
      <c r="B573" s="371"/>
      <c r="C573" s="1010" t="s">
        <v>700</v>
      </c>
      <c r="D573" s="360" t="str">
        <f t="shared" si="26"/>
        <v>Planning and development1500</v>
      </c>
      <c r="E573" s="361" t="str">
        <f t="shared" si="24"/>
        <v>TheewaterskloofPlanning and developmentLicences and permits</v>
      </c>
      <c r="F573" s="360" t="str">
        <f>'PART C- Municipal Details'!$G$7</f>
        <v>Theewaterskloof</v>
      </c>
      <c r="G573" s="361" t="s">
        <v>803</v>
      </c>
      <c r="H573" s="363" t="s">
        <v>808</v>
      </c>
      <c r="I573" s="496" t="s">
        <v>5</v>
      </c>
      <c r="J573" s="497" t="s">
        <v>698</v>
      </c>
      <c r="K573" s="490"/>
      <c r="L573" s="463" t="s">
        <v>701</v>
      </c>
      <c r="M573" s="459"/>
      <c r="N573" s="461"/>
      <c r="O573" s="461"/>
      <c r="P573" s="461"/>
      <c r="Q573" s="461"/>
      <c r="R573" s="461"/>
      <c r="S573" s="461"/>
      <c r="T573" s="461"/>
      <c r="U573" s="530">
        <v>75000</v>
      </c>
      <c r="V573" s="530">
        <v>77550</v>
      </c>
      <c r="W573" s="530">
        <v>80032</v>
      </c>
      <c r="X573" s="490"/>
      <c r="Y573" s="969"/>
      <c r="Z573" s="969"/>
      <c r="AA573" s="969"/>
      <c r="AB573" s="969"/>
      <c r="AC573" s="969"/>
      <c r="AD573" s="969"/>
      <c r="AE573" s="969" t="str">
        <f t="shared" si="25"/>
        <v>TheewaterskloofLicence and permits</v>
      </c>
      <c r="AF573" s="969"/>
      <c r="AG573" s="969"/>
    </row>
    <row r="574" spans="2:33" ht="13.2" customHeight="1" x14ac:dyDescent="0.55000000000000004">
      <c r="B574" s="371"/>
      <c r="C574" s="1324" t="s">
        <v>1569</v>
      </c>
      <c r="D574" s="360" t="str">
        <f t="shared" si="26"/>
        <v>Planning and development1550</v>
      </c>
      <c r="E574" s="360" t="str">
        <f t="shared" si="24"/>
        <v>TheewaterskloofPlanning and developmentSpecial rating Levies</v>
      </c>
      <c r="F574" s="360" t="str">
        <f>'PART C- Municipal Details'!$G$7</f>
        <v>Theewaterskloof</v>
      </c>
      <c r="G574" s="360" t="s">
        <v>803</v>
      </c>
      <c r="H574" s="363" t="s">
        <v>808</v>
      </c>
      <c r="I574" s="496" t="s">
        <v>1568</v>
      </c>
      <c r="J574" s="497" t="s">
        <v>7</v>
      </c>
      <c r="K574" s="490"/>
      <c r="L574" s="463" t="s">
        <v>1567</v>
      </c>
      <c r="M574" s="459"/>
      <c r="N574" s="461"/>
      <c r="O574" s="461"/>
      <c r="P574" s="461"/>
      <c r="Q574" s="461"/>
      <c r="R574" s="461"/>
      <c r="S574" s="461"/>
      <c r="T574" s="461"/>
      <c r="U574" s="530">
        <v>0</v>
      </c>
      <c r="V574" s="530">
        <v>0</v>
      </c>
      <c r="W574" s="530">
        <v>0</v>
      </c>
      <c r="X574" s="490"/>
      <c r="Y574" s="969"/>
      <c r="Z574" s="969"/>
      <c r="AA574" s="969"/>
      <c r="AB574" s="969"/>
      <c r="AC574" s="969"/>
      <c r="AD574" s="969"/>
      <c r="AE574" s="969"/>
      <c r="AF574" s="969"/>
      <c r="AG574" s="969"/>
    </row>
    <row r="575" spans="2:33" ht="13.2" customHeight="1" x14ac:dyDescent="0.55000000000000004">
      <c r="B575" s="371"/>
      <c r="C575" s="1010" t="s">
        <v>702</v>
      </c>
      <c r="D575" s="361" t="str">
        <f t="shared" si="26"/>
        <v>Planning and development1600</v>
      </c>
      <c r="E575" s="360" t="str">
        <f t="shared" si="24"/>
        <v>TheewaterskloofPlanning and developmentOther revenue</v>
      </c>
      <c r="F575" s="360" t="str">
        <f>'PART C- Municipal Details'!$G$7</f>
        <v>Theewaterskloof</v>
      </c>
      <c r="G575" s="360" t="s">
        <v>803</v>
      </c>
      <c r="H575" s="366" t="s">
        <v>808</v>
      </c>
      <c r="I575" s="496" t="s">
        <v>7</v>
      </c>
      <c r="J575" s="497" t="s">
        <v>7</v>
      </c>
      <c r="K575" s="490"/>
      <c r="L575" s="463" t="s">
        <v>704</v>
      </c>
      <c r="M575" s="459"/>
      <c r="N575" s="461"/>
      <c r="O575" s="461"/>
      <c r="P575" s="461"/>
      <c r="Q575" s="461"/>
      <c r="R575" s="461"/>
      <c r="S575" s="461"/>
      <c r="T575" s="461"/>
      <c r="U575" s="530">
        <v>21000</v>
      </c>
      <c r="V575" s="530">
        <v>21714</v>
      </c>
      <c r="W575" s="530">
        <v>22409</v>
      </c>
      <c r="X575" s="490"/>
      <c r="Y575" s="969"/>
      <c r="Z575" s="969"/>
      <c r="AA575" s="969"/>
      <c r="AB575" s="969"/>
      <c r="AC575" s="969"/>
      <c r="AD575" s="969"/>
      <c r="AE575" s="969" t="str">
        <f t="shared" si="25"/>
        <v>TheewaterskloofOperational Revenue</v>
      </c>
      <c r="AF575" s="969"/>
      <c r="AG575" s="969"/>
    </row>
    <row r="576" spans="2:33" ht="13.2" customHeight="1" x14ac:dyDescent="0.55000000000000004">
      <c r="B576" s="371"/>
      <c r="C576" s="1009" t="s">
        <v>705</v>
      </c>
      <c r="D576" s="360" t="str">
        <f t="shared" si="26"/>
        <v>Planning and development1700</v>
      </c>
      <c r="E576" s="361" t="str">
        <f t="shared" si="24"/>
        <v>TheewaterskloofPlanning and developmentx</v>
      </c>
      <c r="F576" s="360" t="str">
        <f>'PART C- Municipal Details'!$G$7</f>
        <v>Theewaterskloof</v>
      </c>
      <c r="G576" s="361" t="s">
        <v>803</v>
      </c>
      <c r="H576" s="363" t="s">
        <v>808</v>
      </c>
      <c r="I576" s="496" t="s">
        <v>789</v>
      </c>
      <c r="J576" s="497" t="s">
        <v>703</v>
      </c>
      <c r="K576" s="490"/>
      <c r="L576" s="508" t="s">
        <v>708</v>
      </c>
      <c r="M576" s="509"/>
      <c r="N576" s="510"/>
      <c r="O576" s="510"/>
      <c r="P576" s="510"/>
      <c r="Q576" s="510"/>
      <c r="R576" s="510"/>
      <c r="S576" s="510"/>
      <c r="T576" s="511"/>
      <c r="U576" s="531">
        <v>0</v>
      </c>
      <c r="V576" s="531">
        <v>0</v>
      </c>
      <c r="W576" s="531">
        <v>0</v>
      </c>
      <c r="X576" s="490"/>
      <c r="Y576" s="969"/>
      <c r="Z576" s="969"/>
      <c r="AA576" s="969"/>
      <c r="AB576" s="969"/>
      <c r="AC576" s="969"/>
      <c r="AD576" s="969"/>
      <c r="AE576" s="969" t="str">
        <f t="shared" si="25"/>
        <v>TheewaterskloofNon-Exchange Revenue</v>
      </c>
      <c r="AF576" s="969"/>
      <c r="AG576" s="969"/>
    </row>
    <row r="577" spans="2:33" ht="13.2" customHeight="1" x14ac:dyDescent="0.55000000000000004">
      <c r="B577" s="371"/>
      <c r="C577" s="1010" t="s">
        <v>709</v>
      </c>
      <c r="D577" s="361" t="str">
        <f t="shared" si="26"/>
        <v>Planning and development1800</v>
      </c>
      <c r="E577" s="360" t="str">
        <f t="shared" si="24"/>
        <v>TheewaterskloofPlanning and developmentProperty rates</v>
      </c>
      <c r="F577" s="360" t="str">
        <f>'PART C- Municipal Details'!$G$7</f>
        <v>Theewaterskloof</v>
      </c>
      <c r="G577" s="360" t="s">
        <v>803</v>
      </c>
      <c r="H577" s="366" t="s">
        <v>808</v>
      </c>
      <c r="I577" s="496" t="s">
        <v>0</v>
      </c>
      <c r="J577" s="497" t="s">
        <v>707</v>
      </c>
      <c r="K577" s="490"/>
      <c r="L577" s="463" t="s">
        <v>0</v>
      </c>
      <c r="M577" s="459"/>
      <c r="N577" s="460"/>
      <c r="O577" s="460"/>
      <c r="P577" s="460"/>
      <c r="Q577" s="460"/>
      <c r="R577" s="460"/>
      <c r="S577" s="460"/>
      <c r="T577" s="460"/>
      <c r="U577" s="530">
        <v>0</v>
      </c>
      <c r="V577" s="530">
        <v>0</v>
      </c>
      <c r="W577" s="530">
        <v>0</v>
      </c>
      <c r="X577" s="490"/>
      <c r="Y577" s="969"/>
      <c r="Z577" s="969"/>
      <c r="AA577" s="969"/>
      <c r="AB577" s="969"/>
      <c r="AC577" s="969"/>
      <c r="AD577" s="969"/>
      <c r="AE577" s="969" t="str">
        <f t="shared" si="25"/>
        <v>TheewaterskloofProperty rates</v>
      </c>
      <c r="AF577" s="969"/>
      <c r="AG577" s="969"/>
    </row>
    <row r="578" spans="2:33" ht="13.2" customHeight="1" x14ac:dyDescent="0.55000000000000004">
      <c r="B578" s="371"/>
      <c r="C578" s="1010" t="s">
        <v>711</v>
      </c>
      <c r="D578" s="360" t="str">
        <f t="shared" si="26"/>
        <v>Planning and development1900</v>
      </c>
      <c r="E578" s="361" t="str">
        <f t="shared" si="24"/>
        <v>TheewaterskloofPlanning and developmentOther revenue</v>
      </c>
      <c r="F578" s="360" t="str">
        <f>'PART C- Municipal Details'!$G$7</f>
        <v>Theewaterskloof</v>
      </c>
      <c r="G578" s="361" t="s">
        <v>803</v>
      </c>
      <c r="H578" s="363" t="s">
        <v>808</v>
      </c>
      <c r="I578" s="496" t="s">
        <v>7</v>
      </c>
      <c r="J578" s="497" t="s">
        <v>710</v>
      </c>
      <c r="K578" s="490"/>
      <c r="L578" s="463" t="s">
        <v>713</v>
      </c>
      <c r="M578" s="459"/>
      <c r="N578" s="461"/>
      <c r="O578" s="461"/>
      <c r="P578" s="461"/>
      <c r="Q578" s="461"/>
      <c r="R578" s="461"/>
      <c r="S578" s="461"/>
      <c r="T578" s="461"/>
      <c r="U578" s="530">
        <v>0</v>
      </c>
      <c r="V578" s="530">
        <v>0</v>
      </c>
      <c r="W578" s="530">
        <v>0</v>
      </c>
      <c r="X578" s="490"/>
      <c r="Y578" s="969"/>
      <c r="Z578" s="969"/>
      <c r="AA578" s="969"/>
      <c r="AB578" s="969"/>
      <c r="AC578" s="969"/>
      <c r="AD578" s="969"/>
      <c r="AE578" s="969" t="str">
        <f t="shared" si="25"/>
        <v>TheewaterskloofSurcharges and Taxes</v>
      </c>
      <c r="AF578" s="969"/>
      <c r="AG578" s="969"/>
    </row>
    <row r="579" spans="2:33" ht="13.2" customHeight="1" x14ac:dyDescent="0.55000000000000004">
      <c r="B579" s="371"/>
      <c r="C579" s="1010" t="s">
        <v>714</v>
      </c>
      <c r="D579" s="361" t="str">
        <f t="shared" si="26"/>
        <v>Planning and development2000</v>
      </c>
      <c r="E579" s="360" t="str">
        <f t="shared" si="24"/>
        <v>TheewaterskloofPlanning and developmentFines, penalties and forfeits</v>
      </c>
      <c r="F579" s="360" t="str">
        <f>'PART C- Municipal Details'!$G$7</f>
        <v>Theewaterskloof</v>
      </c>
      <c r="G579" s="360" t="s">
        <v>803</v>
      </c>
      <c r="H579" s="366" t="s">
        <v>808</v>
      </c>
      <c r="I579" s="496" t="s">
        <v>691</v>
      </c>
      <c r="J579" s="497" t="s">
        <v>712</v>
      </c>
      <c r="K579" s="490"/>
      <c r="L579" s="463" t="s">
        <v>691</v>
      </c>
      <c r="M579" s="459"/>
      <c r="N579" s="461"/>
      <c r="O579" s="461"/>
      <c r="P579" s="461"/>
      <c r="Q579" s="461"/>
      <c r="R579" s="461"/>
      <c r="S579" s="461"/>
      <c r="T579" s="461"/>
      <c r="U579" s="530">
        <v>0</v>
      </c>
      <c r="V579" s="530">
        <v>0</v>
      </c>
      <c r="W579" s="530">
        <v>0</v>
      </c>
      <c r="X579" s="490"/>
      <c r="Y579" s="969"/>
      <c r="Z579" s="969"/>
      <c r="AA579" s="969"/>
      <c r="AB579" s="969"/>
      <c r="AC579" s="969"/>
      <c r="AD579" s="969"/>
      <c r="AE579" s="969" t="str">
        <f t="shared" si="25"/>
        <v>TheewaterskloofFines, penalties and forfeits</v>
      </c>
      <c r="AF579" s="969"/>
      <c r="AG579" s="969"/>
    </row>
    <row r="580" spans="2:33" ht="13.2" customHeight="1" x14ac:dyDescent="0.55000000000000004">
      <c r="B580" s="371"/>
      <c r="C580" s="1010" t="s">
        <v>715</v>
      </c>
      <c r="D580" s="360" t="str">
        <f t="shared" si="26"/>
        <v>Planning and development2100</v>
      </c>
      <c r="E580" s="361" t="str">
        <f t="shared" si="24"/>
        <v>TheewaterskloofPlanning and developmentLicences and permits</v>
      </c>
      <c r="F580" s="360" t="str">
        <f>'PART C- Municipal Details'!$G$7</f>
        <v>Theewaterskloof</v>
      </c>
      <c r="G580" s="361" t="s">
        <v>803</v>
      </c>
      <c r="H580" s="363" t="s">
        <v>808</v>
      </c>
      <c r="I580" s="496" t="s">
        <v>5</v>
      </c>
      <c r="J580" s="497" t="s">
        <v>8</v>
      </c>
      <c r="K580" s="490"/>
      <c r="L580" s="463" t="s">
        <v>716</v>
      </c>
      <c r="M580" s="459"/>
      <c r="N580" s="461"/>
      <c r="O580" s="461"/>
      <c r="P580" s="461"/>
      <c r="Q580" s="461"/>
      <c r="R580" s="461"/>
      <c r="S580" s="461"/>
      <c r="T580" s="461"/>
      <c r="U580" s="530">
        <v>0</v>
      </c>
      <c r="V580" s="530">
        <v>0</v>
      </c>
      <c r="W580" s="530">
        <v>0</v>
      </c>
      <c r="X580" s="490"/>
      <c r="Y580" s="969"/>
      <c r="Z580" s="969"/>
      <c r="AA580" s="969"/>
      <c r="AB580" s="969"/>
      <c r="AC580" s="969"/>
      <c r="AD580" s="969"/>
      <c r="AE580" s="969" t="str">
        <f t="shared" si="25"/>
        <v>TheewaterskloofLicences or permits</v>
      </c>
      <c r="AF580" s="969"/>
      <c r="AG580" s="969"/>
    </row>
    <row r="581" spans="2:33" ht="13.2" customHeight="1" x14ac:dyDescent="0.55000000000000004">
      <c r="B581" s="371"/>
      <c r="C581" s="1010" t="s">
        <v>717</v>
      </c>
      <c r="D581" s="361" t="str">
        <f t="shared" si="26"/>
        <v>Planning and development2200</v>
      </c>
      <c r="E581" s="360" t="str">
        <f t="shared" si="24"/>
        <v>TheewaterskloofPlanning and developmentTransfers and subsidies Income</v>
      </c>
      <c r="F581" s="360" t="str">
        <f>'PART C- Municipal Details'!$G$7</f>
        <v>Theewaterskloof</v>
      </c>
      <c r="G581" s="360" t="s">
        <v>803</v>
      </c>
      <c r="H581" s="366" t="s">
        <v>808</v>
      </c>
      <c r="I581" s="496" t="s">
        <v>698</v>
      </c>
      <c r="J581" s="497" t="s">
        <v>9</v>
      </c>
      <c r="K581" s="490"/>
      <c r="L581" s="463" t="s">
        <v>718</v>
      </c>
      <c r="M581" s="459"/>
      <c r="N581" s="461"/>
      <c r="O581" s="461"/>
      <c r="P581" s="461"/>
      <c r="Q581" s="461"/>
      <c r="R581" s="461"/>
      <c r="S581" s="461"/>
      <c r="T581" s="461"/>
      <c r="U581" s="530">
        <v>1912000</v>
      </c>
      <c r="V581" s="530">
        <v>0</v>
      </c>
      <c r="W581" s="530">
        <v>0</v>
      </c>
      <c r="X581" s="490"/>
      <c r="Y581" s="969"/>
      <c r="Z581" s="969"/>
      <c r="AA581" s="969"/>
      <c r="AB581" s="969"/>
      <c r="AC581" s="969"/>
      <c r="AD581" s="969"/>
      <c r="AE581" s="969" t="str">
        <f t="shared" si="25"/>
        <v>TheewaterskloofTransfer and subsidies - Operational</v>
      </c>
      <c r="AF581" s="969"/>
      <c r="AG581" s="969"/>
    </row>
    <row r="582" spans="2:33" ht="13.2" customHeight="1" x14ac:dyDescent="0.55000000000000004">
      <c r="B582" s="371"/>
      <c r="C582" s="1010" t="s">
        <v>719</v>
      </c>
      <c r="D582" s="360" t="str">
        <f t="shared" si="26"/>
        <v>Planning and development2300</v>
      </c>
      <c r="E582" s="361" t="str">
        <f t="shared" si="24"/>
        <v>TheewaterskloofPlanning and developmentInterest earned - external investments</v>
      </c>
      <c r="F582" s="360" t="str">
        <f>'PART C- Municipal Details'!$G$7</f>
        <v>Theewaterskloof</v>
      </c>
      <c r="G582" s="361" t="s">
        <v>803</v>
      </c>
      <c r="H582" s="363" t="s">
        <v>808</v>
      </c>
      <c r="I582" s="496" t="s">
        <v>2</v>
      </c>
      <c r="J582" s="497" t="s">
        <v>10</v>
      </c>
      <c r="K582" s="490"/>
      <c r="L582" s="463" t="s">
        <v>687</v>
      </c>
      <c r="M582" s="459"/>
      <c r="N582" s="461"/>
      <c r="O582" s="461"/>
      <c r="P582" s="461"/>
      <c r="Q582" s="461"/>
      <c r="R582" s="461"/>
      <c r="S582" s="461"/>
      <c r="T582" s="461"/>
      <c r="U582" s="530">
        <v>0</v>
      </c>
      <c r="V582" s="530">
        <v>0</v>
      </c>
      <c r="W582" s="530">
        <v>0</v>
      </c>
      <c r="X582" s="490"/>
      <c r="Y582" s="969"/>
      <c r="Z582" s="969"/>
      <c r="AA582" s="969"/>
      <c r="AB582" s="969"/>
      <c r="AC582" s="969"/>
      <c r="AD582" s="969"/>
      <c r="AE582" s="969" t="str">
        <f t="shared" si="25"/>
        <v>TheewaterskloofInterest</v>
      </c>
      <c r="AF582" s="969"/>
      <c r="AG582" s="969"/>
    </row>
    <row r="583" spans="2:33" ht="13.2" customHeight="1" x14ac:dyDescent="0.55000000000000004">
      <c r="B583" s="371"/>
      <c r="C583" s="1010" t="s">
        <v>721</v>
      </c>
      <c r="D583" s="361" t="str">
        <f t="shared" si="26"/>
        <v>Planning and development2400</v>
      </c>
      <c r="E583" s="360" t="str">
        <f t="shared" si="24"/>
        <v>TheewaterskloofPlanning and developmentOther revenue</v>
      </c>
      <c r="F583" s="360" t="str">
        <f>'PART C- Municipal Details'!$G$7</f>
        <v>Theewaterskloof</v>
      </c>
      <c r="G583" s="360" t="s">
        <v>803</v>
      </c>
      <c r="H583" s="366" t="s">
        <v>808</v>
      </c>
      <c r="I583" s="496" t="s">
        <v>7</v>
      </c>
      <c r="J583" s="497" t="s">
        <v>720</v>
      </c>
      <c r="K583" s="490"/>
      <c r="L583" s="463" t="s">
        <v>722</v>
      </c>
      <c r="M583" s="459"/>
      <c r="N583" s="461"/>
      <c r="O583" s="461"/>
      <c r="P583" s="461"/>
      <c r="Q583" s="461"/>
      <c r="R583" s="461"/>
      <c r="S583" s="461"/>
      <c r="T583" s="461"/>
      <c r="U583" s="530">
        <v>0</v>
      </c>
      <c r="V583" s="530">
        <v>0</v>
      </c>
      <c r="W583" s="530">
        <v>0</v>
      </c>
      <c r="X583" s="490"/>
      <c r="Y583" s="969"/>
      <c r="Z583" s="969"/>
      <c r="AA583" s="969"/>
      <c r="AB583" s="969"/>
      <c r="AC583" s="969"/>
      <c r="AD583" s="969"/>
      <c r="AE583" s="969" t="str">
        <f t="shared" si="25"/>
        <v>TheewaterskloofFuel Levy</v>
      </c>
      <c r="AF583" s="969"/>
      <c r="AG583" s="969"/>
    </row>
    <row r="584" spans="2:33" ht="13.2" customHeight="1" x14ac:dyDescent="0.55000000000000004">
      <c r="B584" s="371"/>
      <c r="C584" s="1010" t="s">
        <v>723</v>
      </c>
      <c r="D584" s="360" t="str">
        <f t="shared" si="26"/>
        <v>Planning and development2500</v>
      </c>
      <c r="E584" s="361" t="str">
        <f t="shared" si="24"/>
        <v>TheewaterskloofPlanning and developmentOther revenue</v>
      </c>
      <c r="F584" s="360" t="str">
        <f>'PART C- Municipal Details'!$G$7</f>
        <v>Theewaterskloof</v>
      </c>
      <c r="G584" s="361" t="s">
        <v>803</v>
      </c>
      <c r="H584" s="363" t="s">
        <v>808</v>
      </c>
      <c r="I584" s="496" t="s">
        <v>7</v>
      </c>
      <c r="J584" s="497" t="s">
        <v>11</v>
      </c>
      <c r="K584" s="490"/>
      <c r="L584" s="463" t="s">
        <v>704</v>
      </c>
      <c r="M584" s="459"/>
      <c r="N584" s="461"/>
      <c r="O584" s="461"/>
      <c r="P584" s="461"/>
      <c r="Q584" s="461"/>
      <c r="R584" s="461"/>
      <c r="S584" s="461"/>
      <c r="T584" s="461"/>
      <c r="U584" s="530">
        <v>0</v>
      </c>
      <c r="V584" s="530">
        <v>0</v>
      </c>
      <c r="W584" s="530">
        <v>0</v>
      </c>
      <c r="X584" s="490"/>
      <c r="Y584" s="969"/>
      <c r="Z584" s="969"/>
      <c r="AA584" s="969"/>
      <c r="AB584" s="969"/>
      <c r="AC584" s="969"/>
      <c r="AD584" s="969"/>
      <c r="AE584" s="969" t="str">
        <f t="shared" si="25"/>
        <v>TheewaterskloofOperational Revenue</v>
      </c>
      <c r="AF584" s="969"/>
      <c r="AG584" s="969"/>
    </row>
    <row r="585" spans="2:33" ht="13.2" customHeight="1" x14ac:dyDescent="0.55000000000000004">
      <c r="B585" s="371"/>
      <c r="C585" s="1010" t="s">
        <v>725</v>
      </c>
      <c r="D585" s="361" t="str">
        <f t="shared" si="26"/>
        <v>Planning and development2600</v>
      </c>
      <c r="E585" s="360" t="str">
        <f t="shared" si="24"/>
        <v>TheewaterskloofPlanning and developmentGains</v>
      </c>
      <c r="F585" s="360" t="str">
        <f>'PART C- Municipal Details'!$G$7</f>
        <v>Theewaterskloof</v>
      </c>
      <c r="G585" s="360" t="s">
        <v>803</v>
      </c>
      <c r="H585" s="366" t="s">
        <v>808</v>
      </c>
      <c r="I585" s="496" t="s">
        <v>703</v>
      </c>
      <c r="J585" s="497" t="s">
        <v>724</v>
      </c>
      <c r="K585" s="490"/>
      <c r="L585" s="463" t="s">
        <v>727</v>
      </c>
      <c r="M585" s="459"/>
      <c r="N585" s="461"/>
      <c r="O585" s="461"/>
      <c r="P585" s="461"/>
      <c r="Q585" s="461"/>
      <c r="R585" s="461"/>
      <c r="S585" s="461"/>
      <c r="T585" s="461"/>
      <c r="U585" s="530">
        <v>0</v>
      </c>
      <c r="V585" s="530">
        <v>0</v>
      </c>
      <c r="W585" s="530">
        <v>0</v>
      </c>
      <c r="X585" s="490"/>
      <c r="Y585" s="969"/>
      <c r="Z585" s="969"/>
      <c r="AA585" s="969"/>
      <c r="AB585" s="969"/>
      <c r="AC585" s="969"/>
      <c r="AD585" s="969"/>
      <c r="AE585" s="969" t="str">
        <f t="shared" si="25"/>
        <v>TheewaterskloofGains on disposal of Assets</v>
      </c>
      <c r="AF585" s="969"/>
      <c r="AG585" s="969"/>
    </row>
    <row r="586" spans="2:33" ht="13.2" customHeight="1" x14ac:dyDescent="0.55000000000000004">
      <c r="B586" s="371"/>
      <c r="C586" s="1010" t="s">
        <v>728</v>
      </c>
      <c r="D586" s="360" t="str">
        <f t="shared" si="26"/>
        <v>Planning and development2700</v>
      </c>
      <c r="E586" s="361" t="str">
        <f t="shared" si="24"/>
        <v>TheewaterskloofPlanning and developmentOther revenue</v>
      </c>
      <c r="F586" s="360" t="str">
        <f>'PART C- Municipal Details'!$G$7</f>
        <v>Theewaterskloof</v>
      </c>
      <c r="G586" s="361" t="s">
        <v>803</v>
      </c>
      <c r="H586" s="363" t="s">
        <v>808</v>
      </c>
      <c r="I586" s="496" t="s">
        <v>7</v>
      </c>
      <c r="J586" s="497" t="s">
        <v>726</v>
      </c>
      <c r="K586" s="490"/>
      <c r="L586" s="463" t="s">
        <v>729</v>
      </c>
      <c r="M586" s="459"/>
      <c r="N586" s="461"/>
      <c r="O586" s="461"/>
      <c r="P586" s="461"/>
      <c r="Q586" s="461"/>
      <c r="R586" s="461"/>
      <c r="S586" s="461"/>
      <c r="T586" s="461"/>
      <c r="U586" s="530">
        <v>0</v>
      </c>
      <c r="V586" s="530">
        <v>0</v>
      </c>
      <c r="W586" s="530">
        <v>0</v>
      </c>
      <c r="X586" s="490"/>
      <c r="Y586" s="969"/>
      <c r="Z586" s="969"/>
      <c r="AA586" s="969"/>
      <c r="AB586" s="969"/>
      <c r="AC586" s="969"/>
      <c r="AD586" s="969"/>
      <c r="AE586" s="969" t="str">
        <f t="shared" si="25"/>
        <v>TheewaterskloofOther Gains</v>
      </c>
      <c r="AF586" s="969"/>
      <c r="AG586" s="969"/>
    </row>
    <row r="587" spans="2:33" ht="13.2" customHeight="1" x14ac:dyDescent="0.55000000000000004">
      <c r="B587" s="371"/>
      <c r="C587" s="1010" t="s">
        <v>730</v>
      </c>
      <c r="D587" s="361" t="str">
        <f t="shared" si="26"/>
        <v>Planning and development2800</v>
      </c>
      <c r="E587" s="360" t="str">
        <f t="shared" si="24"/>
        <v>TheewaterskloofPlanning and developmentOther revenue</v>
      </c>
      <c r="F587" s="360" t="str">
        <f>'PART C- Municipal Details'!$G$7</f>
        <v>Theewaterskloof</v>
      </c>
      <c r="G587" s="360" t="s">
        <v>803</v>
      </c>
      <c r="H587" s="366" t="s">
        <v>808</v>
      </c>
      <c r="I587" s="496" t="s">
        <v>7</v>
      </c>
      <c r="J587" s="497" t="s">
        <v>12</v>
      </c>
      <c r="K587" s="490"/>
      <c r="L587" s="464" t="s">
        <v>731</v>
      </c>
      <c r="M587" s="459"/>
      <c r="N587" s="461"/>
      <c r="O587" s="461"/>
      <c r="P587" s="461"/>
      <c r="Q587" s="461"/>
      <c r="R587" s="461"/>
      <c r="S587" s="461"/>
      <c r="T587" s="461"/>
      <c r="U587" s="530">
        <v>0</v>
      </c>
      <c r="V587" s="530">
        <v>0</v>
      </c>
      <c r="W587" s="530">
        <v>0</v>
      </c>
      <c r="X587" s="490"/>
      <c r="Y587" s="969"/>
      <c r="Z587" s="969"/>
      <c r="AA587" s="969"/>
      <c r="AB587" s="969"/>
      <c r="AC587" s="969"/>
      <c r="AD587" s="969"/>
      <c r="AE587" s="969" t="str">
        <f t="shared" si="25"/>
        <v>TheewaterskloofDiscontinued Operations</v>
      </c>
      <c r="AF587" s="969"/>
      <c r="AG587" s="969"/>
    </row>
    <row r="588" spans="2:33" ht="13.2" customHeight="1" x14ac:dyDescent="0.55000000000000004">
      <c r="B588" s="371"/>
      <c r="C588" s="1009" t="s">
        <v>732</v>
      </c>
      <c r="D588" s="360" t="str">
        <f t="shared" si="26"/>
        <v>Planning and development2900</v>
      </c>
      <c r="E588" s="361" t="str">
        <f t="shared" si="24"/>
        <v>TheewaterskloofPlanning and developmentTotal Revenue (excluding capital transfers and contributions)</v>
      </c>
      <c r="F588" s="360" t="str">
        <f>'PART C- Municipal Details'!$G$7</f>
        <v>Theewaterskloof</v>
      </c>
      <c r="G588" s="361" t="s">
        <v>803</v>
      </c>
      <c r="H588" s="363" t="s">
        <v>808</v>
      </c>
      <c r="I588" s="496" t="s">
        <v>707</v>
      </c>
      <c r="J588" s="497" t="s">
        <v>204</v>
      </c>
      <c r="K588" s="490"/>
      <c r="L588" s="508" t="s">
        <v>707</v>
      </c>
      <c r="M588" s="509"/>
      <c r="N588" s="510"/>
      <c r="O588" s="510"/>
      <c r="P588" s="510"/>
      <c r="Q588" s="510"/>
      <c r="R588" s="510"/>
      <c r="S588" s="510"/>
      <c r="T588" s="511"/>
      <c r="U588" s="531">
        <v>5239500</v>
      </c>
      <c r="V588" s="531">
        <v>3440635</v>
      </c>
      <c r="W588" s="531">
        <v>3550735</v>
      </c>
      <c r="X588" s="490"/>
      <c r="Y588" s="969"/>
      <c r="Z588" s="969"/>
      <c r="AA588" s="969"/>
      <c r="AB588" s="969"/>
      <c r="AC588" s="969"/>
      <c r="AD588" s="969"/>
      <c r="AE588" s="969" t="str">
        <f t="shared" si="25"/>
        <v>TheewaterskloofTotal Revenue (excluding capital transfers and contributions)</v>
      </c>
      <c r="AF588" s="969"/>
      <c r="AG588" s="969"/>
    </row>
    <row r="589" spans="2:33" ht="13.2" customHeight="1" x14ac:dyDescent="0.55000000000000004">
      <c r="B589" s="371"/>
      <c r="C589" s="1009" t="s">
        <v>733</v>
      </c>
      <c r="D589" s="361" t="str">
        <f t="shared" si="26"/>
        <v>Planning and development3000</v>
      </c>
      <c r="E589" s="360" t="str">
        <f t="shared" si="24"/>
        <v>TheewaterskloofPlanning and developmentx</v>
      </c>
      <c r="F589" s="360" t="str">
        <f>'PART C- Municipal Details'!$G$7</f>
        <v>Theewaterskloof</v>
      </c>
      <c r="G589" s="360" t="s">
        <v>803</v>
      </c>
      <c r="H589" s="366" t="s">
        <v>808</v>
      </c>
      <c r="I589" s="496" t="s">
        <v>789</v>
      </c>
      <c r="J589" s="497" t="s">
        <v>13</v>
      </c>
      <c r="K589" s="490"/>
      <c r="L589" s="505" t="s">
        <v>22</v>
      </c>
      <c r="M589" s="506"/>
      <c r="N589" s="507"/>
      <c r="O589" s="507"/>
      <c r="P589" s="507"/>
      <c r="Q589" s="507"/>
      <c r="R589" s="507"/>
      <c r="S589" s="507"/>
      <c r="T589" s="507"/>
      <c r="U589" s="531">
        <v>0</v>
      </c>
      <c r="V589" s="531">
        <v>0</v>
      </c>
      <c r="W589" s="531">
        <v>0</v>
      </c>
      <c r="X589" s="490"/>
      <c r="Y589" s="969"/>
      <c r="Z589" s="969"/>
      <c r="AA589" s="969"/>
      <c r="AB589" s="969"/>
      <c r="AC589" s="969"/>
      <c r="AD589" s="969"/>
      <c r="AE589" s="969" t="str">
        <f t="shared" si="25"/>
        <v>TheewaterskloofExpenditure</v>
      </c>
      <c r="AF589" s="969"/>
      <c r="AG589" s="969"/>
    </row>
    <row r="590" spans="2:33" ht="13.2" customHeight="1" x14ac:dyDescent="0.55000000000000004">
      <c r="B590" s="371"/>
      <c r="C590" s="1010" t="s">
        <v>735</v>
      </c>
      <c r="D590" s="360" t="str">
        <f t="shared" si="26"/>
        <v>Planning and development3100</v>
      </c>
      <c r="E590" s="361" t="str">
        <f t="shared" ref="E590:E654" si="27">F590&amp;H590&amp;I590</f>
        <v>TheewaterskloofPlanning and developmentEmployee related costs</v>
      </c>
      <c r="F590" s="360" t="str">
        <f>'PART C- Municipal Details'!$G$7</f>
        <v>Theewaterskloof</v>
      </c>
      <c r="G590" s="361" t="s">
        <v>803</v>
      </c>
      <c r="H590" s="363" t="s">
        <v>808</v>
      </c>
      <c r="I590" s="496" t="s">
        <v>8</v>
      </c>
      <c r="J590" s="497" t="s">
        <v>734</v>
      </c>
      <c r="K590" s="490"/>
      <c r="L590" s="463" t="s">
        <v>8</v>
      </c>
      <c r="M590" s="459"/>
      <c r="N590" s="461"/>
      <c r="O590" s="461"/>
      <c r="P590" s="461"/>
      <c r="Q590" s="461"/>
      <c r="R590" s="461"/>
      <c r="S590" s="461"/>
      <c r="T590" s="461"/>
      <c r="U590" s="530">
        <v>36449315</v>
      </c>
      <c r="V590" s="530">
        <v>37689484</v>
      </c>
      <c r="W590" s="530">
        <v>38896605</v>
      </c>
      <c r="X590" s="490"/>
      <c r="Y590" s="969"/>
      <c r="Z590" s="969"/>
      <c r="AA590" s="969"/>
      <c r="AB590" s="969"/>
      <c r="AC590" s="969"/>
      <c r="AD590" s="969"/>
      <c r="AE590" s="969" t="str">
        <f t="shared" ref="AE590:AE654" si="28">F590&amp;L590</f>
        <v>TheewaterskloofEmployee related costs</v>
      </c>
      <c r="AF590" s="969"/>
      <c r="AG590" s="969"/>
    </row>
    <row r="591" spans="2:33" ht="13.2" customHeight="1" x14ac:dyDescent="0.55000000000000004">
      <c r="B591" s="371"/>
      <c r="C591" s="1010" t="s">
        <v>737</v>
      </c>
      <c r="D591" s="361" t="str">
        <f t="shared" si="26"/>
        <v>Planning and development3200</v>
      </c>
      <c r="E591" s="360" t="str">
        <f t="shared" si="27"/>
        <v>TheewaterskloofPlanning and developmentRemuneration of councillors</v>
      </c>
      <c r="F591" s="360" t="str">
        <f>'PART C- Municipal Details'!$G$7</f>
        <v>Theewaterskloof</v>
      </c>
      <c r="G591" s="360" t="s">
        <v>803</v>
      </c>
      <c r="H591" s="366" t="s">
        <v>808</v>
      </c>
      <c r="I591" s="496" t="s">
        <v>9</v>
      </c>
      <c r="J591" s="497" t="s">
        <v>736</v>
      </c>
      <c r="K591" s="490"/>
      <c r="L591" s="463" t="s">
        <v>9</v>
      </c>
      <c r="M591" s="459"/>
      <c r="N591" s="461"/>
      <c r="O591" s="461"/>
      <c r="P591" s="461"/>
      <c r="Q591" s="461"/>
      <c r="R591" s="461"/>
      <c r="S591" s="461"/>
      <c r="T591" s="461"/>
      <c r="U591" s="530">
        <v>0</v>
      </c>
      <c r="V591" s="530">
        <v>0</v>
      </c>
      <c r="W591" s="530">
        <v>0</v>
      </c>
      <c r="X591" s="490"/>
      <c r="Y591" s="969"/>
      <c r="Z591" s="969"/>
      <c r="AA591" s="969"/>
      <c r="AB591" s="969"/>
      <c r="AC591" s="969"/>
      <c r="AD591" s="969"/>
      <c r="AE591" s="969" t="str">
        <f t="shared" si="28"/>
        <v>TheewaterskloofRemuneration of councillors</v>
      </c>
      <c r="AF591" s="969"/>
      <c r="AG591" s="969"/>
    </row>
    <row r="592" spans="2:33" ht="13.2" customHeight="1" x14ac:dyDescent="0.55000000000000004">
      <c r="B592" s="371"/>
      <c r="C592" s="1010" t="s">
        <v>738</v>
      </c>
      <c r="D592" s="360" t="str">
        <f t="shared" si="26"/>
        <v>Planning and development3300</v>
      </c>
      <c r="E592" s="361" t="str">
        <f t="shared" si="27"/>
        <v>TheewaterskloofPlanning and developmentBulk purchases - electricity</v>
      </c>
      <c r="F592" s="360" t="str">
        <f>'PART C- Municipal Details'!$G$7</f>
        <v>Theewaterskloof</v>
      </c>
      <c r="G592" s="361" t="s">
        <v>803</v>
      </c>
      <c r="H592" s="363" t="s">
        <v>808</v>
      </c>
      <c r="I592" s="496" t="s">
        <v>724</v>
      </c>
      <c r="J592" s="497" t="s">
        <v>710</v>
      </c>
      <c r="K592" s="490"/>
      <c r="L592" s="463" t="s">
        <v>724</v>
      </c>
      <c r="M592" s="459"/>
      <c r="N592" s="461"/>
      <c r="O592" s="461"/>
      <c r="P592" s="461"/>
      <c r="Q592" s="461"/>
      <c r="R592" s="461"/>
      <c r="S592" s="461"/>
      <c r="T592" s="461"/>
      <c r="U592" s="530">
        <v>0</v>
      </c>
      <c r="V592" s="530">
        <v>0</v>
      </c>
      <c r="W592" s="530">
        <v>0</v>
      </c>
      <c r="X592" s="490"/>
      <c r="Y592" s="969"/>
      <c r="Z592" s="969"/>
      <c r="AA592" s="969"/>
      <c r="AB592" s="969"/>
      <c r="AC592" s="969"/>
      <c r="AD592" s="969"/>
      <c r="AE592" s="969" t="str">
        <f t="shared" si="28"/>
        <v>TheewaterskloofBulk purchases - electricity</v>
      </c>
      <c r="AF592" s="969"/>
      <c r="AG592" s="969"/>
    </row>
    <row r="593" spans="2:33" ht="13.2" customHeight="1" x14ac:dyDescent="0.55000000000000004">
      <c r="B593" s="371"/>
      <c r="C593" s="1010" t="s">
        <v>739</v>
      </c>
      <c r="D593" s="361" t="str">
        <f t="shared" ref="D593:D657" si="29">H593&amp;C593</f>
        <v>Planning and development3400</v>
      </c>
      <c r="E593" s="360" t="str">
        <f t="shared" si="27"/>
        <v>TheewaterskloofPlanning and developmentInventory consumed</v>
      </c>
      <c r="F593" s="360" t="str">
        <f>'PART C- Municipal Details'!$G$7</f>
        <v>Theewaterskloof</v>
      </c>
      <c r="G593" s="360" t="s">
        <v>803</v>
      </c>
      <c r="H593" s="366" t="s">
        <v>808</v>
      </c>
      <c r="I593" s="496" t="s">
        <v>726</v>
      </c>
      <c r="J593" s="497" t="s">
        <v>635</v>
      </c>
      <c r="K593" s="490"/>
      <c r="L593" s="463" t="s">
        <v>726</v>
      </c>
      <c r="M593" s="459"/>
      <c r="N593" s="461"/>
      <c r="O593" s="461"/>
      <c r="P593" s="461"/>
      <c r="Q593" s="461"/>
      <c r="R593" s="461"/>
      <c r="S593" s="461"/>
      <c r="T593" s="461"/>
      <c r="U593" s="530">
        <v>57078</v>
      </c>
      <c r="V593" s="530">
        <v>59019</v>
      </c>
      <c r="W593" s="530">
        <v>60906</v>
      </c>
      <c r="X593" s="490"/>
      <c r="Y593" s="969"/>
      <c r="Z593" s="969"/>
      <c r="AA593" s="969"/>
      <c r="AB593" s="969"/>
      <c r="AC593" s="969"/>
      <c r="AD593" s="969"/>
      <c r="AE593" s="969" t="str">
        <f t="shared" si="28"/>
        <v>TheewaterskloofInventory consumed</v>
      </c>
      <c r="AF593" s="969"/>
      <c r="AG593" s="969"/>
    </row>
    <row r="594" spans="2:33" ht="13.2" customHeight="1" x14ac:dyDescent="0.55000000000000004">
      <c r="B594" s="371"/>
      <c r="C594" s="1010" t="s">
        <v>741</v>
      </c>
      <c r="D594" s="360" t="str">
        <f t="shared" si="29"/>
        <v>Planning and development3500</v>
      </c>
      <c r="E594" s="361" t="str">
        <f t="shared" si="27"/>
        <v>TheewaterskloofPlanning and developmentDebt impairment</v>
      </c>
      <c r="F594" s="360" t="str">
        <f>'PART C- Municipal Details'!$G$7</f>
        <v>Theewaterskloof</v>
      </c>
      <c r="G594" s="361" t="s">
        <v>803</v>
      </c>
      <c r="H594" s="363" t="s">
        <v>808</v>
      </c>
      <c r="I594" s="496" t="s">
        <v>10</v>
      </c>
      <c r="J594" s="497" t="s">
        <v>740</v>
      </c>
      <c r="K594" s="490"/>
      <c r="L594" s="463" t="s">
        <v>10</v>
      </c>
      <c r="M594" s="459"/>
      <c r="N594" s="461"/>
      <c r="O594" s="461"/>
      <c r="P594" s="461"/>
      <c r="Q594" s="461"/>
      <c r="R594" s="461"/>
      <c r="S594" s="461"/>
      <c r="T594" s="461"/>
      <c r="U594" s="530">
        <v>0</v>
      </c>
      <c r="V594" s="530">
        <v>0</v>
      </c>
      <c r="W594" s="530">
        <v>0</v>
      </c>
      <c r="X594" s="490"/>
      <c r="Y594" s="969"/>
      <c r="Z594" s="969"/>
      <c r="AA594" s="969"/>
      <c r="AB594" s="969"/>
      <c r="AC594" s="969"/>
      <c r="AD594" s="969"/>
      <c r="AE594" s="969" t="str">
        <f t="shared" si="28"/>
        <v>TheewaterskloofDebt impairment</v>
      </c>
      <c r="AF594" s="969"/>
      <c r="AG594" s="969"/>
    </row>
    <row r="595" spans="2:33" ht="13.2" customHeight="1" x14ac:dyDescent="0.55000000000000004">
      <c r="B595" s="371"/>
      <c r="C595" s="1010" t="s">
        <v>743</v>
      </c>
      <c r="D595" s="361" t="str">
        <f t="shared" si="29"/>
        <v>Planning and development3600</v>
      </c>
      <c r="E595" s="360" t="str">
        <f t="shared" si="27"/>
        <v>TheewaterskloofPlanning and developmentDepreciation and asset impairment</v>
      </c>
      <c r="F595" s="360" t="str">
        <f>'PART C- Municipal Details'!$G$7</f>
        <v>Theewaterskloof</v>
      </c>
      <c r="G595" s="360" t="s">
        <v>803</v>
      </c>
      <c r="H595" s="366" t="s">
        <v>808</v>
      </c>
      <c r="I595" s="496" t="s">
        <v>720</v>
      </c>
      <c r="J595" s="497" t="s">
        <v>742</v>
      </c>
      <c r="K595" s="490"/>
      <c r="L595" s="463" t="s">
        <v>745</v>
      </c>
      <c r="M595" s="459"/>
      <c r="N595" s="461"/>
      <c r="O595" s="461"/>
      <c r="P595" s="461"/>
      <c r="Q595" s="461"/>
      <c r="R595" s="461"/>
      <c r="S595" s="461"/>
      <c r="T595" s="461"/>
      <c r="U595" s="530">
        <v>0</v>
      </c>
      <c r="V595" s="530">
        <v>0</v>
      </c>
      <c r="W595" s="530">
        <v>0</v>
      </c>
      <c r="X595" s="490"/>
      <c r="Y595" s="969"/>
      <c r="Z595" s="969"/>
      <c r="AA595" s="969"/>
      <c r="AB595" s="969"/>
      <c r="AC595" s="969"/>
      <c r="AD595" s="969"/>
      <c r="AE595" s="969" t="str">
        <f t="shared" si="28"/>
        <v>TheewaterskloofDepreciation and amortisation</v>
      </c>
      <c r="AF595" s="969"/>
      <c r="AG595" s="969"/>
    </row>
    <row r="596" spans="2:33" ht="13.2" customHeight="1" x14ac:dyDescent="0.55000000000000004">
      <c r="B596" s="371"/>
      <c r="C596" s="1010" t="s">
        <v>746</v>
      </c>
      <c r="D596" s="360" t="str">
        <f t="shared" si="29"/>
        <v>Planning and development3700</v>
      </c>
      <c r="E596" s="361" t="str">
        <f t="shared" si="27"/>
        <v>TheewaterskloofPlanning and developmentFinance charges</v>
      </c>
      <c r="F596" s="360" t="str">
        <f>'PART C- Municipal Details'!$G$7</f>
        <v>Theewaterskloof</v>
      </c>
      <c r="G596" s="361" t="s">
        <v>803</v>
      </c>
      <c r="H596" s="363" t="s">
        <v>808</v>
      </c>
      <c r="I596" s="496" t="s">
        <v>11</v>
      </c>
      <c r="J596" s="497" t="s">
        <v>744</v>
      </c>
      <c r="K596" s="490"/>
      <c r="L596" s="463" t="s">
        <v>687</v>
      </c>
      <c r="M596" s="459"/>
      <c r="N596" s="461"/>
      <c r="O596" s="461"/>
      <c r="P596" s="461"/>
      <c r="Q596" s="461"/>
      <c r="R596" s="461"/>
      <c r="S596" s="461"/>
      <c r="T596" s="461"/>
      <c r="U596" s="530">
        <v>0</v>
      </c>
      <c r="V596" s="530">
        <v>0</v>
      </c>
      <c r="W596" s="530">
        <v>0</v>
      </c>
      <c r="X596" s="490"/>
      <c r="Y596" s="969"/>
      <c r="Z596" s="969"/>
      <c r="AA596" s="969"/>
      <c r="AB596" s="969"/>
      <c r="AC596" s="969"/>
      <c r="AD596" s="969"/>
      <c r="AE596" s="969" t="str">
        <f t="shared" si="28"/>
        <v>TheewaterskloofInterest</v>
      </c>
      <c r="AF596" s="969"/>
      <c r="AG596" s="969"/>
    </row>
    <row r="597" spans="2:33" ht="13.2" customHeight="1" x14ac:dyDescent="0.55000000000000004">
      <c r="B597" s="371"/>
      <c r="C597" s="1010" t="s">
        <v>748</v>
      </c>
      <c r="D597" s="361" t="str">
        <f t="shared" si="29"/>
        <v>Planning and development3800</v>
      </c>
      <c r="E597" s="360" t="str">
        <f t="shared" si="27"/>
        <v>TheewaterskloofPlanning and developmentContracted services</v>
      </c>
      <c r="F597" s="360" t="str">
        <f>'PART C- Municipal Details'!$G$7</f>
        <v>Theewaterskloof</v>
      </c>
      <c r="G597" s="360" t="s">
        <v>803</v>
      </c>
      <c r="H597" s="366" t="s">
        <v>808</v>
      </c>
      <c r="I597" s="496" t="s">
        <v>12</v>
      </c>
      <c r="J597" s="497" t="s">
        <v>747</v>
      </c>
      <c r="K597" s="490"/>
      <c r="L597" s="463" t="s">
        <v>12</v>
      </c>
      <c r="M597" s="459"/>
      <c r="N597" s="461"/>
      <c r="O597" s="461"/>
      <c r="P597" s="461"/>
      <c r="Q597" s="461"/>
      <c r="R597" s="461"/>
      <c r="S597" s="461"/>
      <c r="T597" s="461"/>
      <c r="U597" s="530">
        <v>2660474</v>
      </c>
      <c r="V597" s="530">
        <v>2750929</v>
      </c>
      <c r="W597" s="530">
        <v>2838960</v>
      </c>
      <c r="X597" s="490"/>
      <c r="Y597" s="969"/>
      <c r="Z597" s="969"/>
      <c r="AA597" s="969"/>
      <c r="AB597" s="969"/>
      <c r="AC597" s="969"/>
      <c r="AD597" s="969"/>
      <c r="AE597" s="969" t="str">
        <f t="shared" si="28"/>
        <v>TheewaterskloofContracted services</v>
      </c>
      <c r="AF597" s="969"/>
      <c r="AG597" s="969"/>
    </row>
    <row r="598" spans="2:33" ht="13.2" customHeight="1" x14ac:dyDescent="0.55000000000000004">
      <c r="B598" s="371"/>
      <c r="C598" s="1010" t="s">
        <v>750</v>
      </c>
      <c r="D598" s="360" t="str">
        <f t="shared" si="29"/>
        <v>Planning and development3900</v>
      </c>
      <c r="E598" s="361" t="str">
        <f t="shared" si="27"/>
        <v>TheewaterskloofPlanning and developmentTransfers and subsidies</v>
      </c>
      <c r="F598" s="360" t="str">
        <f>'PART C- Municipal Details'!$G$7</f>
        <v>Theewaterskloof</v>
      </c>
      <c r="G598" s="361" t="s">
        <v>803</v>
      </c>
      <c r="H598" s="363" t="s">
        <v>808</v>
      </c>
      <c r="I598" s="496" t="s">
        <v>204</v>
      </c>
      <c r="J598" s="497" t="s">
        <v>749</v>
      </c>
      <c r="K598" s="490"/>
      <c r="L598" s="463" t="s">
        <v>204</v>
      </c>
      <c r="M598" s="459"/>
      <c r="N598" s="461"/>
      <c r="O598" s="461"/>
      <c r="P598" s="461"/>
      <c r="Q598" s="461"/>
      <c r="R598" s="461"/>
      <c r="S598" s="461"/>
      <c r="T598" s="461"/>
      <c r="U598" s="530">
        <v>0</v>
      </c>
      <c r="V598" s="530">
        <v>0</v>
      </c>
      <c r="W598" s="530">
        <v>0</v>
      </c>
      <c r="X598" s="490"/>
      <c r="Y598" s="969"/>
      <c r="Z598" s="969"/>
      <c r="AA598" s="969"/>
      <c r="AB598" s="969"/>
      <c r="AC598" s="969"/>
      <c r="AD598" s="969"/>
      <c r="AE598" s="969" t="str">
        <f t="shared" si="28"/>
        <v>TheewaterskloofTransfers and subsidies</v>
      </c>
      <c r="AF598" s="969"/>
      <c r="AG598" s="969"/>
    </row>
    <row r="599" spans="2:33" ht="13.2" customHeight="1" x14ac:dyDescent="0.55000000000000004">
      <c r="B599" s="371"/>
      <c r="C599" s="1010" t="s">
        <v>752</v>
      </c>
      <c r="D599" s="361" t="str">
        <f t="shared" si="29"/>
        <v>Planning and development4000</v>
      </c>
      <c r="E599" s="360" t="str">
        <f t="shared" si="27"/>
        <v>TheewaterskloofPlanning and developmentOther expenditure</v>
      </c>
      <c r="F599" s="360" t="str">
        <f>'PART C- Municipal Details'!$G$7</f>
        <v>Theewaterskloof</v>
      </c>
      <c r="G599" s="360" t="s">
        <v>803</v>
      </c>
      <c r="H599" s="366" t="s">
        <v>808</v>
      </c>
      <c r="I599" s="496" t="s">
        <v>13</v>
      </c>
      <c r="J599" s="497" t="s">
        <v>751</v>
      </c>
      <c r="K599" s="490"/>
      <c r="L599" s="463" t="s">
        <v>754</v>
      </c>
      <c r="M599" s="459"/>
      <c r="N599" s="461"/>
      <c r="O599" s="461"/>
      <c r="P599" s="461"/>
      <c r="Q599" s="461"/>
      <c r="R599" s="461"/>
      <c r="S599" s="461"/>
      <c r="T599" s="461"/>
      <c r="U599" s="530">
        <v>0</v>
      </c>
      <c r="V599" s="530">
        <v>0</v>
      </c>
      <c r="W599" s="530">
        <v>0</v>
      </c>
      <c r="X599" s="490"/>
      <c r="Y599" s="969"/>
      <c r="Z599" s="969"/>
      <c r="AA599" s="969"/>
      <c r="AB599" s="969"/>
      <c r="AC599" s="969"/>
      <c r="AD599" s="969"/>
      <c r="AE599" s="969" t="str">
        <f t="shared" si="28"/>
        <v>TheewaterskloofIrrecoverable debts written off</v>
      </c>
      <c r="AF599" s="969"/>
      <c r="AG599" s="969"/>
    </row>
    <row r="600" spans="2:33" ht="13.2" customHeight="1" x14ac:dyDescent="0.55000000000000004">
      <c r="B600" s="371"/>
      <c r="C600" s="1010" t="s">
        <v>755</v>
      </c>
      <c r="D600" s="360" t="str">
        <f t="shared" si="29"/>
        <v>Planning and development4100</v>
      </c>
      <c r="E600" s="361" t="str">
        <f t="shared" si="27"/>
        <v>TheewaterskloofPlanning and developmentOther expenditure</v>
      </c>
      <c r="F600" s="360" t="str">
        <f>'PART C- Municipal Details'!$G$7</f>
        <v>Theewaterskloof</v>
      </c>
      <c r="G600" s="361" t="s">
        <v>803</v>
      </c>
      <c r="H600" s="363" t="s">
        <v>808</v>
      </c>
      <c r="I600" s="496" t="s">
        <v>13</v>
      </c>
      <c r="J600" s="497" t="s">
        <v>753</v>
      </c>
      <c r="K600" s="490"/>
      <c r="L600" s="463" t="s">
        <v>757</v>
      </c>
      <c r="M600" s="459"/>
      <c r="N600" s="461"/>
      <c r="O600" s="461"/>
      <c r="P600" s="461"/>
      <c r="Q600" s="461"/>
      <c r="R600" s="461"/>
      <c r="S600" s="461"/>
      <c r="T600" s="461"/>
      <c r="U600" s="530">
        <v>1889657</v>
      </c>
      <c r="V600" s="530">
        <v>1953905</v>
      </c>
      <c r="W600" s="530">
        <v>2016429</v>
      </c>
      <c r="X600" s="490"/>
      <c r="Y600" s="969"/>
      <c r="Z600" s="969"/>
      <c r="AA600" s="969"/>
      <c r="AB600" s="969"/>
      <c r="AC600" s="969"/>
      <c r="AD600" s="969"/>
      <c r="AE600" s="969" t="str">
        <f t="shared" si="28"/>
        <v>TheewaterskloofOperational costs</v>
      </c>
      <c r="AF600" s="969"/>
      <c r="AG600" s="969"/>
    </row>
    <row r="601" spans="2:33" ht="13.2" customHeight="1" x14ac:dyDescent="0.55000000000000004">
      <c r="B601" s="371"/>
      <c r="C601" s="1010" t="s">
        <v>758</v>
      </c>
      <c r="D601" s="361" t="str">
        <f t="shared" si="29"/>
        <v>Planning and development4200</v>
      </c>
      <c r="E601" s="360" t="str">
        <f t="shared" si="27"/>
        <v>TheewaterskloofPlanning and developmentLosses</v>
      </c>
      <c r="F601" s="360" t="str">
        <f>'PART C- Municipal Details'!$G$7</f>
        <v>Theewaterskloof</v>
      </c>
      <c r="G601" s="360" t="s">
        <v>803</v>
      </c>
      <c r="H601" s="366" t="s">
        <v>808</v>
      </c>
      <c r="I601" s="496" t="s">
        <v>734</v>
      </c>
      <c r="J601" s="497" t="s">
        <v>756</v>
      </c>
      <c r="K601" s="490"/>
      <c r="L601" s="463" t="s">
        <v>760</v>
      </c>
      <c r="M601" s="459"/>
      <c r="N601" s="461"/>
      <c r="O601" s="461"/>
      <c r="P601" s="461"/>
      <c r="Q601" s="461"/>
      <c r="R601" s="461"/>
      <c r="S601" s="461"/>
      <c r="T601" s="461"/>
      <c r="U601" s="530">
        <v>0</v>
      </c>
      <c r="V601" s="530">
        <v>0</v>
      </c>
      <c r="W601" s="530">
        <v>0</v>
      </c>
      <c r="X601" s="490"/>
      <c r="Y601" s="969"/>
      <c r="Z601" s="969"/>
      <c r="AA601" s="969"/>
      <c r="AB601" s="969"/>
      <c r="AC601" s="969"/>
      <c r="AD601" s="969"/>
      <c r="AE601" s="969" t="str">
        <f t="shared" si="28"/>
        <v>TheewaterskloofLosses on disposal of Assets</v>
      </c>
      <c r="AF601" s="969"/>
      <c r="AG601" s="969"/>
    </row>
    <row r="602" spans="2:33" ht="13.2" customHeight="1" x14ac:dyDescent="0.55000000000000004">
      <c r="B602" s="371"/>
      <c r="C602" s="1010" t="s">
        <v>761</v>
      </c>
      <c r="D602" s="360" t="str">
        <f t="shared" si="29"/>
        <v>Planning and development4300</v>
      </c>
      <c r="E602" s="361" t="str">
        <f t="shared" si="27"/>
        <v>TheewaterskloofPlanning and developmentOther expenditure</v>
      </c>
      <c r="F602" s="360" t="str">
        <f>'PART C- Municipal Details'!$G$7</f>
        <v>Theewaterskloof</v>
      </c>
      <c r="G602" s="361" t="s">
        <v>803</v>
      </c>
      <c r="H602" s="363" t="s">
        <v>808</v>
      </c>
      <c r="I602" s="496" t="s">
        <v>13</v>
      </c>
      <c r="J602" s="497" t="s">
        <v>759</v>
      </c>
      <c r="K602" s="490"/>
      <c r="L602" s="463" t="s">
        <v>763</v>
      </c>
      <c r="M602" s="459"/>
      <c r="N602" s="461"/>
      <c r="O602" s="461"/>
      <c r="P602" s="461"/>
      <c r="Q602" s="461"/>
      <c r="R602" s="461"/>
      <c r="S602" s="461"/>
      <c r="T602" s="461"/>
      <c r="U602" s="530">
        <v>0</v>
      </c>
      <c r="V602" s="530">
        <v>0</v>
      </c>
      <c r="W602" s="530">
        <v>0</v>
      </c>
      <c r="X602" s="490"/>
      <c r="Y602" s="969"/>
      <c r="Z602" s="969"/>
      <c r="AA602" s="969"/>
      <c r="AB602" s="969"/>
      <c r="AC602" s="969"/>
      <c r="AD602" s="969"/>
      <c r="AE602" s="969" t="str">
        <f t="shared" si="28"/>
        <v>TheewaterskloofOther Losses</v>
      </c>
      <c r="AF602" s="969"/>
      <c r="AG602" s="969"/>
    </row>
    <row r="603" spans="2:33" ht="13.2" customHeight="1" x14ac:dyDescent="0.55000000000000004">
      <c r="B603" s="371"/>
      <c r="C603" s="1009" t="s">
        <v>764</v>
      </c>
      <c r="D603" s="361" t="str">
        <f t="shared" si="29"/>
        <v>Planning and development4400</v>
      </c>
      <c r="E603" s="360" t="str">
        <f t="shared" si="27"/>
        <v>TheewaterskloofPlanning and developmentTotal Expenditure</v>
      </c>
      <c r="F603" s="360" t="str">
        <f>'PART C- Municipal Details'!$G$7</f>
        <v>Theewaterskloof</v>
      </c>
      <c r="G603" s="360" t="s">
        <v>803</v>
      </c>
      <c r="H603" s="366" t="s">
        <v>808</v>
      </c>
      <c r="I603" s="496" t="s">
        <v>736</v>
      </c>
      <c r="J603" s="497" t="s">
        <v>762</v>
      </c>
      <c r="K603" s="490"/>
      <c r="L603" s="508" t="s">
        <v>736</v>
      </c>
      <c r="M603" s="509"/>
      <c r="N603" s="510"/>
      <c r="O603" s="510"/>
      <c r="P603" s="510"/>
      <c r="Q603" s="510"/>
      <c r="R603" s="510"/>
      <c r="S603" s="510"/>
      <c r="T603" s="511"/>
      <c r="U603" s="529">
        <v>41056524</v>
      </c>
      <c r="V603" s="529">
        <v>42453337</v>
      </c>
      <c r="W603" s="529">
        <v>43812900</v>
      </c>
      <c r="X603" s="490"/>
      <c r="Y603" s="969"/>
      <c r="Z603" s="969"/>
      <c r="AA603" s="969"/>
      <c r="AB603" s="969"/>
      <c r="AC603" s="969"/>
      <c r="AD603" s="969"/>
      <c r="AE603" s="969" t="str">
        <f t="shared" si="28"/>
        <v>TheewaterskloofTotal Expenditure</v>
      </c>
      <c r="AF603" s="969"/>
      <c r="AG603" s="969"/>
    </row>
    <row r="604" spans="2:33" ht="13.2" customHeight="1" x14ac:dyDescent="0.55000000000000004">
      <c r="B604" s="371"/>
      <c r="C604" s="1009" t="s">
        <v>766</v>
      </c>
      <c r="D604" s="360" t="str">
        <f t="shared" si="29"/>
        <v>Planning and development4500</v>
      </c>
      <c r="E604" s="361" t="str">
        <f t="shared" si="27"/>
        <v>TheewaterskloofPlanning and developmentSurplus/(Deficit)</v>
      </c>
      <c r="F604" s="360" t="str">
        <f>'PART C- Municipal Details'!$G$7</f>
        <v>Theewaterskloof</v>
      </c>
      <c r="G604" s="361" t="s">
        <v>803</v>
      </c>
      <c r="H604" s="363" t="s">
        <v>808</v>
      </c>
      <c r="I604" s="496" t="s">
        <v>635</v>
      </c>
      <c r="J604" s="497" t="s">
        <v>765</v>
      </c>
      <c r="K604" s="490"/>
      <c r="L604" s="463" t="s">
        <v>635</v>
      </c>
      <c r="M604" s="459"/>
      <c r="N604" s="459"/>
      <c r="O604" s="459"/>
      <c r="P604" s="459"/>
      <c r="Q604" s="459"/>
      <c r="R604" s="459"/>
      <c r="S604" s="459"/>
      <c r="T604" s="459"/>
      <c r="U604" s="530">
        <v>-35817024</v>
      </c>
      <c r="V604" s="530">
        <v>-39012702</v>
      </c>
      <c r="W604" s="530">
        <v>-40262165</v>
      </c>
      <c r="X604" s="490"/>
      <c r="Y604" s="969"/>
      <c r="Z604" s="969"/>
      <c r="AA604" s="969"/>
      <c r="AB604" s="969"/>
      <c r="AC604" s="969"/>
      <c r="AD604" s="969"/>
      <c r="AE604" s="969" t="str">
        <f t="shared" si="28"/>
        <v>TheewaterskloofSurplus/(Deficit)</v>
      </c>
      <c r="AF604" s="969"/>
      <c r="AG604" s="969"/>
    </row>
    <row r="605" spans="2:33" ht="13.2" customHeight="1" x14ac:dyDescent="0.55000000000000004">
      <c r="B605" s="371"/>
      <c r="C605" s="1010" t="s">
        <v>768</v>
      </c>
      <c r="D605" s="361" t="str">
        <f t="shared" si="29"/>
        <v>Planning and development4600</v>
      </c>
      <c r="E605" s="360" t="str">
        <f t="shared" si="27"/>
        <v>TheewaterskloofPlanning and developmentTransfers and subsidies - capital (monetary allocations) (National / Provincial and District)</v>
      </c>
      <c r="F605" s="360" t="str">
        <f>'PART C- Municipal Details'!$G$7</f>
        <v>Theewaterskloof</v>
      </c>
      <c r="G605" s="360" t="s">
        <v>803</v>
      </c>
      <c r="H605" s="366" t="s">
        <v>808</v>
      </c>
      <c r="I605" s="496" t="s">
        <v>740</v>
      </c>
      <c r="J605" s="497" t="s">
        <v>767</v>
      </c>
      <c r="K605" s="490"/>
      <c r="L605" s="463" t="s">
        <v>770</v>
      </c>
      <c r="M605" s="459"/>
      <c r="N605" s="459"/>
      <c r="O605" s="459"/>
      <c r="P605" s="459"/>
      <c r="Q605" s="459"/>
      <c r="R605" s="459"/>
      <c r="S605" s="459"/>
      <c r="T605" s="459"/>
      <c r="U605" s="530">
        <v>32600870</v>
      </c>
      <c r="V605" s="530">
        <v>30633043</v>
      </c>
      <c r="W605" s="530">
        <v>31517391</v>
      </c>
      <c r="X605" s="490"/>
      <c r="Y605" s="969"/>
      <c r="Z605" s="969"/>
      <c r="AA605" s="969"/>
      <c r="AB605" s="969"/>
      <c r="AC605" s="969"/>
      <c r="AD605" s="969"/>
      <c r="AE605" s="969" t="str">
        <f t="shared" si="28"/>
        <v>TheewaterskloofTransfers and subsidies - capital (monetary allocations)</v>
      </c>
      <c r="AF605" s="969"/>
      <c r="AG605" s="969"/>
    </row>
    <row r="606" spans="2:33" ht="13.2" customHeight="1" x14ac:dyDescent="0.55000000000000004">
      <c r="B606" s="371"/>
      <c r="C606" s="1010" t="s">
        <v>771</v>
      </c>
      <c r="D606" s="360" t="str">
        <f t="shared" si="29"/>
        <v>Planning and development4700</v>
      </c>
      <c r="E606" s="361" t="str">
        <f t="shared" si="27"/>
        <v>TheewaterskloofPlanning and developmentTransfers and subsidies - capital (in-kind - all)</v>
      </c>
      <c r="F606" s="360" t="str">
        <f>'PART C- Municipal Details'!$G$7</f>
        <v>Theewaterskloof</v>
      </c>
      <c r="G606" s="361" t="s">
        <v>803</v>
      </c>
      <c r="H606" s="363" t="s">
        <v>808</v>
      </c>
      <c r="I606" s="496" t="s">
        <v>744</v>
      </c>
      <c r="J606" s="497" t="s">
        <v>769</v>
      </c>
      <c r="K606" s="490"/>
      <c r="L606" s="463" t="s">
        <v>773</v>
      </c>
      <c r="M606" s="459"/>
      <c r="N606" s="459"/>
      <c r="O606" s="459"/>
      <c r="P606" s="459"/>
      <c r="Q606" s="459"/>
      <c r="R606" s="459"/>
      <c r="S606" s="459"/>
      <c r="T606" s="459"/>
      <c r="U606" s="530">
        <v>0</v>
      </c>
      <c r="V606" s="530">
        <v>0</v>
      </c>
      <c r="W606" s="530">
        <v>0</v>
      </c>
      <c r="X606" s="490"/>
      <c r="Y606" s="969"/>
      <c r="Z606" s="969"/>
      <c r="AA606" s="969"/>
      <c r="AB606" s="969"/>
      <c r="AC606" s="969"/>
      <c r="AD606" s="969"/>
      <c r="AE606" s="969" t="str">
        <f t="shared" si="28"/>
        <v>TheewaterskloofTransfers and subsidies - capital (in-kind)</v>
      </c>
      <c r="AF606" s="969"/>
      <c r="AG606" s="969"/>
    </row>
    <row r="607" spans="2:33" ht="13.2" customHeight="1" x14ac:dyDescent="0.55000000000000004">
      <c r="B607" s="371"/>
      <c r="C607" s="1009" t="s">
        <v>774</v>
      </c>
      <c r="D607" s="361" t="str">
        <f t="shared" si="29"/>
        <v>Planning and development4800</v>
      </c>
      <c r="E607" s="360" t="str">
        <f t="shared" si="27"/>
        <v>TheewaterskloofPlanning and developmentSurplus/(Deficit) after capital transfers and contributions</v>
      </c>
      <c r="F607" s="360" t="str">
        <f>'PART C- Municipal Details'!$G$7</f>
        <v>Theewaterskloof</v>
      </c>
      <c r="G607" s="360" t="s">
        <v>803</v>
      </c>
      <c r="H607" s="366" t="s">
        <v>808</v>
      </c>
      <c r="I607" s="496" t="s">
        <v>747</v>
      </c>
      <c r="J607" s="497" t="s">
        <v>772</v>
      </c>
      <c r="K607" s="490"/>
      <c r="L607" s="463" t="s">
        <v>747</v>
      </c>
      <c r="M607" s="459"/>
      <c r="N607" s="459"/>
      <c r="O607" s="459"/>
      <c r="P607" s="459"/>
      <c r="Q607" s="459"/>
      <c r="R607" s="459"/>
      <c r="S607" s="459"/>
      <c r="T607" s="459"/>
      <c r="U607" s="530">
        <v>-3216154</v>
      </c>
      <c r="V607" s="530">
        <v>-8379659</v>
      </c>
      <c r="W607" s="530">
        <v>-8744774</v>
      </c>
      <c r="X607" s="490"/>
      <c r="Y607" s="969"/>
      <c r="Z607" s="969"/>
      <c r="AA607" s="969"/>
      <c r="AB607" s="969"/>
      <c r="AC607" s="969"/>
      <c r="AD607" s="969"/>
      <c r="AE607" s="969" t="str">
        <f t="shared" si="28"/>
        <v>TheewaterskloofSurplus/(Deficit) after capital transfers and contributions</v>
      </c>
      <c r="AF607" s="969"/>
      <c r="AG607" s="969"/>
    </row>
    <row r="608" spans="2:33" ht="13.2" customHeight="1" x14ac:dyDescent="0.55000000000000004">
      <c r="B608" s="371"/>
      <c r="C608" s="1010" t="s">
        <v>776</v>
      </c>
      <c r="D608" s="360" t="str">
        <f t="shared" si="29"/>
        <v>Planning and development4900</v>
      </c>
      <c r="E608" s="361" t="str">
        <f t="shared" si="27"/>
        <v>TheewaterskloofPlanning and developmentTaxation</v>
      </c>
      <c r="F608" s="360" t="str">
        <f>'PART C- Municipal Details'!$G$7</f>
        <v>Theewaterskloof</v>
      </c>
      <c r="G608" s="361" t="s">
        <v>803</v>
      </c>
      <c r="H608" s="363" t="s">
        <v>808</v>
      </c>
      <c r="I608" s="496" t="s">
        <v>749</v>
      </c>
      <c r="J608" s="497" t="s">
        <v>775</v>
      </c>
      <c r="K608" s="490"/>
      <c r="L608" s="463" t="s">
        <v>778</v>
      </c>
      <c r="M608" s="459"/>
      <c r="N608" s="459"/>
      <c r="O608" s="459"/>
      <c r="P608" s="459"/>
      <c r="Q608" s="459"/>
      <c r="R608" s="459"/>
      <c r="S608" s="459"/>
      <c r="T608" s="459"/>
      <c r="U608" s="530">
        <v>0</v>
      </c>
      <c r="V608" s="530">
        <v>0</v>
      </c>
      <c r="W608" s="530">
        <v>0</v>
      </c>
      <c r="X608" s="490"/>
      <c r="Y608" s="969"/>
      <c r="Z608" s="969"/>
      <c r="AA608" s="969"/>
      <c r="AB608" s="969"/>
      <c r="AC608" s="969"/>
      <c r="AD608" s="969"/>
      <c r="AE608" s="969" t="str">
        <f t="shared" si="28"/>
        <v>TheewaterskloofIncome Tax</v>
      </c>
      <c r="AF608" s="969"/>
      <c r="AG608" s="969"/>
    </row>
    <row r="609" spans="2:33" ht="13.2" customHeight="1" x14ac:dyDescent="0.55000000000000004">
      <c r="B609" s="371"/>
      <c r="C609" s="1009" t="s">
        <v>779</v>
      </c>
      <c r="D609" s="361" t="str">
        <f t="shared" si="29"/>
        <v>Planning and development5000</v>
      </c>
      <c r="E609" s="360" t="str">
        <f t="shared" si="27"/>
        <v>TheewaterskloofPlanning and developmentSurplus/(Deficit) after taxation</v>
      </c>
      <c r="F609" s="360" t="str">
        <f>'PART C- Municipal Details'!$G$7</f>
        <v>Theewaterskloof</v>
      </c>
      <c r="G609" s="360" t="s">
        <v>803</v>
      </c>
      <c r="H609" s="366" t="s">
        <v>808</v>
      </c>
      <c r="I609" s="496" t="s">
        <v>751</v>
      </c>
      <c r="J609" s="497" t="s">
        <v>777</v>
      </c>
      <c r="K609" s="490"/>
      <c r="L609" s="463" t="s">
        <v>781</v>
      </c>
      <c r="M609" s="459"/>
      <c r="N609" s="459"/>
      <c r="O609" s="459"/>
      <c r="P609" s="459"/>
      <c r="Q609" s="459"/>
      <c r="R609" s="459"/>
      <c r="S609" s="459"/>
      <c r="T609" s="459"/>
      <c r="U609" s="530">
        <v>-3216154</v>
      </c>
      <c r="V609" s="530">
        <v>-8379659</v>
      </c>
      <c r="W609" s="530">
        <v>-8744774</v>
      </c>
      <c r="X609" s="490"/>
      <c r="Y609" s="969"/>
      <c r="Z609" s="969"/>
      <c r="AA609" s="969"/>
      <c r="AB609" s="969"/>
      <c r="AC609" s="969"/>
      <c r="AD609" s="969"/>
      <c r="AE609" s="969" t="str">
        <f t="shared" si="28"/>
        <v>TheewaterskloofSurplus/(Deficit) after income tax</v>
      </c>
      <c r="AF609" s="969"/>
      <c r="AG609" s="969"/>
    </row>
    <row r="610" spans="2:33" ht="13.2" customHeight="1" x14ac:dyDescent="0.55000000000000004">
      <c r="B610" s="371"/>
      <c r="C610" s="1010" t="s">
        <v>782</v>
      </c>
      <c r="D610" s="360" t="str">
        <f t="shared" si="29"/>
        <v>Planning and development5100</v>
      </c>
      <c r="E610" s="361" t="str">
        <f t="shared" si="27"/>
        <v>TheewaterskloofPlanning and developmentShare of Surplus/Deficit attributable to Joint Venture</v>
      </c>
      <c r="F610" s="360" t="str">
        <f>'PART C- Municipal Details'!$G$7</f>
        <v>Theewaterskloof</v>
      </c>
      <c r="G610" s="361" t="s">
        <v>803</v>
      </c>
      <c r="H610" s="363" t="s">
        <v>808</v>
      </c>
      <c r="I610" s="496" t="s">
        <v>783</v>
      </c>
      <c r="J610" s="497" t="s">
        <v>780</v>
      </c>
      <c r="K610" s="490"/>
      <c r="L610" s="463" t="s">
        <v>783</v>
      </c>
      <c r="M610" s="459"/>
      <c r="N610" s="459"/>
      <c r="O610" s="459"/>
      <c r="P610" s="459"/>
      <c r="Q610" s="459"/>
      <c r="R610" s="459"/>
      <c r="S610" s="459"/>
      <c r="T610" s="459"/>
      <c r="U610" s="530">
        <v>0</v>
      </c>
      <c r="V610" s="530">
        <v>0</v>
      </c>
      <c r="W610" s="530">
        <v>0</v>
      </c>
      <c r="X610" s="490"/>
      <c r="Y610" s="969"/>
      <c r="Z610" s="969"/>
      <c r="AA610" s="969"/>
      <c r="AB610" s="969"/>
      <c r="AC610" s="969"/>
      <c r="AD610" s="969"/>
      <c r="AE610" s="969" t="str">
        <f t="shared" si="28"/>
        <v>TheewaterskloofShare of Surplus/Deficit attributable to Joint Venture</v>
      </c>
      <c r="AF610" s="969"/>
      <c r="AG610" s="969"/>
    </row>
    <row r="611" spans="2:33" ht="13.2" customHeight="1" x14ac:dyDescent="0.55000000000000004">
      <c r="B611" s="371"/>
      <c r="C611" s="1010" t="s">
        <v>785</v>
      </c>
      <c r="D611" s="361" t="str">
        <f t="shared" si="29"/>
        <v>Planning and development5200</v>
      </c>
      <c r="E611" s="360" t="str">
        <f t="shared" si="27"/>
        <v>TheewaterskloofPlanning and developmentAttributable to minorities</v>
      </c>
      <c r="F611" s="360" t="str">
        <f>'PART C- Municipal Details'!$G$7</f>
        <v>Theewaterskloof</v>
      </c>
      <c r="G611" s="360" t="s">
        <v>803</v>
      </c>
      <c r="H611" s="366" t="s">
        <v>808</v>
      </c>
      <c r="I611" s="496" t="s">
        <v>753</v>
      </c>
      <c r="J611" s="497" t="s">
        <v>784</v>
      </c>
      <c r="K611" s="490"/>
      <c r="L611" s="463" t="s">
        <v>787</v>
      </c>
      <c r="M611" s="459"/>
      <c r="N611" s="459"/>
      <c r="O611" s="459"/>
      <c r="P611" s="459"/>
      <c r="Q611" s="459"/>
      <c r="R611" s="459"/>
      <c r="S611" s="459"/>
      <c r="T611" s="459"/>
      <c r="U611" s="530">
        <v>0</v>
      </c>
      <c r="V611" s="530">
        <v>0</v>
      </c>
      <c r="W611" s="530">
        <v>0</v>
      </c>
      <c r="X611" s="490"/>
      <c r="Y611" s="969"/>
      <c r="Z611" s="969"/>
      <c r="AA611" s="969"/>
      <c r="AB611" s="969"/>
      <c r="AC611" s="969"/>
      <c r="AD611" s="969"/>
      <c r="AE611" s="969" t="str">
        <f t="shared" si="28"/>
        <v>TheewaterskloofShare of Surplus/Deficit attributable to Minorities</v>
      </c>
      <c r="AF611" s="969"/>
      <c r="AG611" s="969"/>
    </row>
    <row r="612" spans="2:33" ht="13.2" customHeight="1" x14ac:dyDescent="0.55000000000000004">
      <c r="B612" s="371"/>
      <c r="C612" s="1009" t="s">
        <v>788</v>
      </c>
      <c r="D612" s="360" t="str">
        <f t="shared" si="29"/>
        <v>Planning and development5300</v>
      </c>
      <c r="E612" s="361" t="str">
        <f t="shared" si="27"/>
        <v>TheewaterskloofPlanning and developmentSurplus/(Deficit) attributable to municipality</v>
      </c>
      <c r="F612" s="360" t="str">
        <f>'PART C- Municipal Details'!$G$7</f>
        <v>Theewaterskloof</v>
      </c>
      <c r="G612" s="361" t="s">
        <v>803</v>
      </c>
      <c r="H612" s="363" t="s">
        <v>808</v>
      </c>
      <c r="I612" s="496" t="s">
        <v>756</v>
      </c>
      <c r="J612" s="497" t="s">
        <v>786</v>
      </c>
      <c r="K612" s="490"/>
      <c r="L612" s="463" t="s">
        <v>756</v>
      </c>
      <c r="M612" s="459"/>
      <c r="N612" s="459"/>
      <c r="O612" s="459"/>
      <c r="P612" s="459"/>
      <c r="Q612" s="459"/>
      <c r="R612" s="459"/>
      <c r="S612" s="459"/>
      <c r="T612" s="459"/>
      <c r="U612" s="530">
        <v>-3216154</v>
      </c>
      <c r="V612" s="530">
        <v>-8379659</v>
      </c>
      <c r="W612" s="530">
        <v>-8744774</v>
      </c>
      <c r="X612" s="490"/>
      <c r="Y612" s="969"/>
      <c r="Z612" s="969"/>
      <c r="AA612" s="969"/>
      <c r="AB612" s="969"/>
      <c r="AC612" s="969"/>
      <c r="AD612" s="969"/>
      <c r="AE612" s="969" t="str">
        <f t="shared" si="28"/>
        <v>TheewaterskloofSurplus/(Deficit) attributable to municipality</v>
      </c>
      <c r="AF612" s="969"/>
      <c r="AG612" s="969"/>
    </row>
    <row r="613" spans="2:33" ht="13.2" customHeight="1" x14ac:dyDescent="0.55000000000000004">
      <c r="B613" s="371"/>
      <c r="C613" s="1010" t="s">
        <v>790</v>
      </c>
      <c r="D613" s="361" t="str">
        <f t="shared" si="29"/>
        <v>Planning and development5400</v>
      </c>
      <c r="E613" s="360" t="str">
        <f t="shared" si="27"/>
        <v>TheewaterskloofPlanning and developmentShare of surplus/ (deficit) of associate</v>
      </c>
      <c r="F613" s="360" t="str">
        <f>'PART C- Municipal Details'!$G$7</f>
        <v>Theewaterskloof</v>
      </c>
      <c r="G613" s="360" t="s">
        <v>803</v>
      </c>
      <c r="H613" s="366" t="s">
        <v>808</v>
      </c>
      <c r="I613" s="496" t="s">
        <v>759</v>
      </c>
      <c r="J613" s="497" t="s">
        <v>789</v>
      </c>
      <c r="K613" s="490"/>
      <c r="L613" s="463" t="s">
        <v>791</v>
      </c>
      <c r="M613" s="459"/>
      <c r="N613" s="459"/>
      <c r="O613" s="459"/>
      <c r="P613" s="459"/>
      <c r="Q613" s="459"/>
      <c r="R613" s="459"/>
      <c r="S613" s="459"/>
      <c r="T613" s="459"/>
      <c r="U613" s="530">
        <v>0</v>
      </c>
      <c r="V613" s="530">
        <v>0</v>
      </c>
      <c r="W613" s="530">
        <v>0</v>
      </c>
      <c r="X613" s="490"/>
      <c r="Y613" s="969"/>
      <c r="Z613" s="969"/>
      <c r="AA613" s="969"/>
      <c r="AB613" s="969"/>
      <c r="AC613" s="969"/>
      <c r="AD613" s="969"/>
      <c r="AE613" s="969" t="str">
        <f t="shared" si="28"/>
        <v>TheewaterskloofShare of Surplus/Deficit attributable to Associate</v>
      </c>
      <c r="AF613" s="969"/>
      <c r="AG613" s="969"/>
    </row>
    <row r="614" spans="2:33" ht="13.2" customHeight="1" x14ac:dyDescent="0.55000000000000004">
      <c r="B614" s="371"/>
      <c r="C614" s="1010" t="s">
        <v>792</v>
      </c>
      <c r="D614" s="360" t="str">
        <f t="shared" si="29"/>
        <v>Planning and development5500</v>
      </c>
      <c r="E614" s="361" t="str">
        <f t="shared" si="27"/>
        <v>TheewaterskloofPlanning and developmentIntercompany/Parent subsidiary transactions</v>
      </c>
      <c r="F614" s="360" t="str">
        <f>'PART C- Municipal Details'!$G$7</f>
        <v>Theewaterskloof</v>
      </c>
      <c r="G614" s="361" t="s">
        <v>803</v>
      </c>
      <c r="H614" s="363" t="s">
        <v>808</v>
      </c>
      <c r="I614" s="496" t="s">
        <v>793</v>
      </c>
      <c r="J614" s="497" t="s">
        <v>789</v>
      </c>
      <c r="K614" s="490"/>
      <c r="L614" s="463" t="s">
        <v>793</v>
      </c>
      <c r="M614" s="459"/>
      <c r="N614" s="459"/>
      <c r="O614" s="459"/>
      <c r="P614" s="459"/>
      <c r="Q614" s="459"/>
      <c r="R614" s="459"/>
      <c r="S614" s="459"/>
      <c r="T614" s="459"/>
      <c r="U614" s="530">
        <v>0</v>
      </c>
      <c r="V614" s="530">
        <v>0</v>
      </c>
      <c r="W614" s="530">
        <v>0</v>
      </c>
      <c r="X614" s="490"/>
      <c r="Y614" s="969"/>
      <c r="Z614" s="969"/>
      <c r="AA614" s="969"/>
      <c r="AB614" s="969"/>
      <c r="AC614" s="969"/>
      <c r="AD614" s="969"/>
      <c r="AE614" s="969" t="str">
        <f t="shared" si="28"/>
        <v>TheewaterskloofIntercompany/Parent subsidiary transactions</v>
      </c>
      <c r="AF614" s="969"/>
      <c r="AG614" s="969"/>
    </row>
    <row r="615" spans="2:33" ht="13.2" customHeight="1" x14ac:dyDescent="0.55000000000000004">
      <c r="B615" s="371"/>
      <c r="C615" s="1009" t="s">
        <v>794</v>
      </c>
      <c r="D615" s="361" t="str">
        <f t="shared" si="29"/>
        <v>Planning and development5600</v>
      </c>
      <c r="E615" s="360" t="str">
        <f t="shared" si="27"/>
        <v>TheewaterskloofPlanning and developmentSurplus/(Deficit) for the year</v>
      </c>
      <c r="F615" s="360" t="str">
        <f>'PART C- Municipal Details'!$G$7</f>
        <v>Theewaterskloof</v>
      </c>
      <c r="G615" s="360" t="s">
        <v>803</v>
      </c>
      <c r="H615" s="366" t="s">
        <v>808</v>
      </c>
      <c r="I615" s="496" t="s">
        <v>762</v>
      </c>
      <c r="J615" s="497" t="s">
        <v>789</v>
      </c>
      <c r="K615" s="490"/>
      <c r="L615" s="508" t="s">
        <v>762</v>
      </c>
      <c r="M615" s="509"/>
      <c r="N615" s="510"/>
      <c r="O615" s="510"/>
      <c r="P615" s="510"/>
      <c r="Q615" s="510"/>
      <c r="R615" s="510"/>
      <c r="S615" s="510"/>
      <c r="T615" s="511"/>
      <c r="U615" s="530">
        <v>0</v>
      </c>
      <c r="V615" s="530">
        <v>0</v>
      </c>
      <c r="W615" s="530">
        <v>0</v>
      </c>
      <c r="X615" s="490"/>
      <c r="Y615" s="969"/>
      <c r="Z615" s="969"/>
      <c r="AA615" s="969"/>
      <c r="AB615" s="969"/>
      <c r="AC615" s="969"/>
      <c r="AD615" s="969"/>
      <c r="AE615" s="969" t="str">
        <f t="shared" si="28"/>
        <v>TheewaterskloofSurplus/(Deficit) for the year</v>
      </c>
      <c r="AF615" s="969"/>
      <c r="AG615" s="969"/>
    </row>
    <row r="616" spans="2:33" ht="13.2" customHeight="1" x14ac:dyDescent="0.55000000000000004">
      <c r="B616" s="371"/>
      <c r="C616" s="1011">
        <v>55555</v>
      </c>
      <c r="D616" s="360" t="str">
        <f t="shared" si="29"/>
        <v>Planning and development55555</v>
      </c>
      <c r="E616" s="361" t="str">
        <f t="shared" si="27"/>
        <v>TheewaterskloofPlanning and developmentReferences</v>
      </c>
      <c r="F616" s="360" t="str">
        <f>'PART C- Municipal Details'!$G$7</f>
        <v>Theewaterskloof</v>
      </c>
      <c r="G616" s="361" t="s">
        <v>803</v>
      </c>
      <c r="H616" s="363" t="s">
        <v>808</v>
      </c>
      <c r="I616" s="496" t="s">
        <v>765</v>
      </c>
      <c r="J616" s="497" t="s">
        <v>789</v>
      </c>
      <c r="K616" s="490"/>
      <c r="L616" s="474" t="s">
        <v>765</v>
      </c>
      <c r="M616" s="475"/>
      <c r="N616" s="476"/>
      <c r="O616" s="476"/>
      <c r="P616" s="476"/>
      <c r="Q616" s="476"/>
      <c r="R616" s="476"/>
      <c r="S616" s="476"/>
      <c r="T616" s="477"/>
      <c r="U616" s="530">
        <v>0</v>
      </c>
      <c r="V616" s="530">
        <v>0</v>
      </c>
      <c r="W616" s="530">
        <v>0</v>
      </c>
      <c r="X616" s="490"/>
      <c r="Y616" s="969"/>
      <c r="Z616" s="969"/>
      <c r="AA616" s="969"/>
      <c r="AB616" s="969"/>
      <c r="AC616" s="969"/>
      <c r="AD616" s="969"/>
      <c r="AE616" s="969" t="str">
        <f t="shared" si="28"/>
        <v>TheewaterskloofReferences</v>
      </c>
      <c r="AF616" s="969"/>
      <c r="AG616" s="969"/>
    </row>
    <row r="617" spans="2:33" ht="13.2" customHeight="1" x14ac:dyDescent="0.55000000000000004">
      <c r="B617" s="371"/>
      <c r="C617" s="1011">
        <v>55555</v>
      </c>
      <c r="D617" s="361" t="str">
        <f t="shared" si="29"/>
        <v>Planning and development55555</v>
      </c>
      <c r="E617" s="360" t="str">
        <f t="shared" si="27"/>
        <v>TheewaterskloofPlanning and development1. Classifications are revenue sources and expenditure type</v>
      </c>
      <c r="F617" s="360" t="str">
        <f>'PART C- Municipal Details'!$G$7</f>
        <v>Theewaterskloof</v>
      </c>
      <c r="G617" s="360" t="s">
        <v>803</v>
      </c>
      <c r="H617" s="366" t="s">
        <v>808</v>
      </c>
      <c r="I617" s="496" t="s">
        <v>767</v>
      </c>
      <c r="J617" s="497" t="s">
        <v>789</v>
      </c>
      <c r="K617" s="490"/>
      <c r="L617" s="465" t="s">
        <v>767</v>
      </c>
      <c r="M617" s="472"/>
      <c r="N617" s="473"/>
      <c r="O617" s="473"/>
      <c r="P617" s="473"/>
      <c r="Q617" s="473"/>
      <c r="R617" s="473"/>
      <c r="S617" s="473"/>
      <c r="T617" s="478"/>
      <c r="U617" s="530">
        <v>0</v>
      </c>
      <c r="V617" s="530">
        <v>0</v>
      </c>
      <c r="W617" s="530">
        <v>0</v>
      </c>
      <c r="X617" s="490"/>
      <c r="Y617" s="969"/>
      <c r="Z617" s="969"/>
      <c r="AA617" s="969"/>
      <c r="AB617" s="969"/>
      <c r="AC617" s="969"/>
      <c r="AD617" s="969"/>
      <c r="AE617" s="969" t="str">
        <f t="shared" si="28"/>
        <v>Theewaterskloof1. Classifications are revenue sources and expenditure type</v>
      </c>
      <c r="AF617" s="969"/>
      <c r="AG617" s="969"/>
    </row>
    <row r="618" spans="2:33" ht="13.2" customHeight="1" x14ac:dyDescent="0.55000000000000004">
      <c r="B618" s="371"/>
      <c r="C618" s="1011">
        <v>55555</v>
      </c>
      <c r="D618" s="360" t="str">
        <f t="shared" si="29"/>
        <v>Planning and development55555</v>
      </c>
      <c r="E618" s="361" t="str">
        <f t="shared" si="27"/>
        <v>TheewaterskloofPlanning and development2. Detail to be provided in Table SA1</v>
      </c>
      <c r="F618" s="360" t="str">
        <f>'PART C- Municipal Details'!$G$7</f>
        <v>Theewaterskloof</v>
      </c>
      <c r="G618" s="361" t="s">
        <v>803</v>
      </c>
      <c r="H618" s="363" t="s">
        <v>808</v>
      </c>
      <c r="I618" s="496" t="s">
        <v>769</v>
      </c>
      <c r="J618" s="497" t="s">
        <v>789</v>
      </c>
      <c r="K618" s="490"/>
      <c r="L618" s="465" t="s">
        <v>769</v>
      </c>
      <c r="M618" s="472"/>
      <c r="N618" s="473"/>
      <c r="O618" s="473"/>
      <c r="P618" s="473"/>
      <c r="Q618" s="473"/>
      <c r="R618" s="473"/>
      <c r="S618" s="473"/>
      <c r="T618" s="478"/>
      <c r="U618" s="530">
        <v>0</v>
      </c>
      <c r="V618" s="530">
        <v>0</v>
      </c>
      <c r="W618" s="530">
        <v>0</v>
      </c>
      <c r="X618" s="490"/>
      <c r="Y618" s="969"/>
      <c r="Z618" s="969"/>
      <c r="AA618" s="969"/>
      <c r="AB618" s="969"/>
      <c r="AC618" s="969"/>
      <c r="AD618" s="969"/>
      <c r="AE618" s="969" t="str">
        <f t="shared" si="28"/>
        <v>Theewaterskloof2. Detail to be provided in Table SA1</v>
      </c>
      <c r="AF618" s="969"/>
      <c r="AG618" s="969"/>
    </row>
    <row r="619" spans="2:33" ht="13.2" customHeight="1" x14ac:dyDescent="0.55000000000000004">
      <c r="B619" s="371"/>
      <c r="C619" s="1011">
        <v>55555</v>
      </c>
      <c r="D619" s="361" t="str">
        <f t="shared" si="29"/>
        <v>Planning and development55555</v>
      </c>
      <c r="E619" s="360" t="str">
        <f t="shared" si="27"/>
        <v>TheewaterskloofPlanning and development3. Debt impairment includes Impairment and Reversal of Impairment Losses</v>
      </c>
      <c r="F619" s="360" t="str">
        <f>'PART C- Municipal Details'!$G$7</f>
        <v>Theewaterskloof</v>
      </c>
      <c r="G619" s="360" t="s">
        <v>803</v>
      </c>
      <c r="H619" s="366" t="s">
        <v>808</v>
      </c>
      <c r="I619" s="496" t="s">
        <v>795</v>
      </c>
      <c r="J619" s="497" t="s">
        <v>789</v>
      </c>
      <c r="K619" s="490"/>
      <c r="L619" s="465" t="s">
        <v>795</v>
      </c>
      <c r="M619" s="472"/>
      <c r="N619" s="473"/>
      <c r="O619" s="473"/>
      <c r="P619" s="473"/>
      <c r="Q619" s="473"/>
      <c r="R619" s="473"/>
      <c r="S619" s="473"/>
      <c r="T619" s="478"/>
      <c r="U619" s="530">
        <v>0</v>
      </c>
      <c r="V619" s="530">
        <v>0</v>
      </c>
      <c r="W619" s="530">
        <v>0</v>
      </c>
      <c r="X619" s="490"/>
      <c r="Y619" s="969"/>
      <c r="Z619" s="969"/>
      <c r="AA619" s="969"/>
      <c r="AB619" s="969"/>
      <c r="AC619" s="969"/>
      <c r="AD619" s="969"/>
      <c r="AE619" s="969" t="str">
        <f t="shared" si="28"/>
        <v>Theewaterskloof3. Debt impairment includes Impairment and Reversal of Impairment Losses</v>
      </c>
      <c r="AF619" s="969"/>
      <c r="AG619" s="969"/>
    </row>
    <row r="620" spans="2:33" ht="13.2" customHeight="1" x14ac:dyDescent="0.55000000000000004">
      <c r="B620" s="371"/>
      <c r="C620" s="1011">
        <v>55555</v>
      </c>
      <c r="D620" s="360" t="str">
        <f t="shared" si="29"/>
        <v>Planning and development55555</v>
      </c>
      <c r="E620" s="361" t="str">
        <f t="shared" si="27"/>
        <v>TheewaterskloofPlanning and development4. Expenditure type components previously shown under repairs and maintenance should be allocated back to the originating expenditure group/item; e.g. employee costs</v>
      </c>
      <c r="F620" s="360" t="str">
        <f>'PART C- Municipal Details'!$G$7</f>
        <v>Theewaterskloof</v>
      </c>
      <c r="G620" s="361" t="s">
        <v>803</v>
      </c>
      <c r="H620" s="363" t="s">
        <v>808</v>
      </c>
      <c r="I620" s="496" t="s">
        <v>775</v>
      </c>
      <c r="J620" s="497" t="s">
        <v>789</v>
      </c>
      <c r="K620" s="490"/>
      <c r="L620" s="465" t="s">
        <v>775</v>
      </c>
      <c r="M620" s="472"/>
      <c r="N620" s="473"/>
      <c r="O620" s="473"/>
      <c r="P620" s="473"/>
      <c r="Q620" s="473"/>
      <c r="R620" s="473"/>
      <c r="S620" s="473"/>
      <c r="T620" s="478"/>
      <c r="U620" s="530">
        <v>0</v>
      </c>
      <c r="V620" s="530">
        <v>0</v>
      </c>
      <c r="W620" s="530">
        <v>0</v>
      </c>
      <c r="X620" s="490"/>
      <c r="Y620" s="969"/>
      <c r="Z620" s="969"/>
      <c r="AA620" s="969"/>
      <c r="AB620" s="969"/>
      <c r="AC620" s="969"/>
      <c r="AD620" s="969"/>
      <c r="AE620" s="969" t="str">
        <f t="shared" si="28"/>
        <v>Theewaterskloof4. Expenditure type components previously shown under repairs and maintenance should be allocated back to the originating expenditure group/item; e.g. employee costs</v>
      </c>
      <c r="AF620" s="969"/>
      <c r="AG620" s="969"/>
    </row>
    <row r="621" spans="2:33" ht="13.2" customHeight="1" x14ac:dyDescent="0.55000000000000004">
      <c r="B621" s="371"/>
      <c r="C621" s="1011">
        <v>55555</v>
      </c>
      <c r="D621" s="361" t="str">
        <f t="shared" si="29"/>
        <v>Planning and development55555</v>
      </c>
      <c r="E621" s="360" t="str">
        <f t="shared" si="27"/>
        <v>TheewaterskloofPlanning and development5. Repairs &amp; maintenance detailed in Table A9 and Table SA34c</v>
      </c>
      <c r="F621" s="360" t="str">
        <f>'PART C- Municipal Details'!$G$7</f>
        <v>Theewaterskloof</v>
      </c>
      <c r="G621" s="360" t="s">
        <v>803</v>
      </c>
      <c r="H621" s="366" t="s">
        <v>808</v>
      </c>
      <c r="I621" s="496" t="s">
        <v>777</v>
      </c>
      <c r="J621" s="497" t="s">
        <v>789</v>
      </c>
      <c r="K621" s="490"/>
      <c r="L621" s="465" t="s">
        <v>777</v>
      </c>
      <c r="M621" s="472"/>
      <c r="N621" s="473"/>
      <c r="O621" s="473"/>
      <c r="P621" s="473"/>
      <c r="Q621" s="473"/>
      <c r="R621" s="473"/>
      <c r="S621" s="473"/>
      <c r="T621" s="478"/>
      <c r="U621" s="530">
        <v>0</v>
      </c>
      <c r="V621" s="530">
        <v>0</v>
      </c>
      <c r="W621" s="530">
        <v>0</v>
      </c>
      <c r="X621" s="490"/>
      <c r="Y621" s="969"/>
      <c r="Z621" s="969"/>
      <c r="AA621" s="969"/>
      <c r="AB621" s="969"/>
      <c r="AC621" s="969"/>
      <c r="AD621" s="969"/>
      <c r="AE621" s="969" t="str">
        <f t="shared" si="28"/>
        <v>Theewaterskloof5. Repairs &amp; maintenance detailed in Table A9 and Table SA34c</v>
      </c>
      <c r="AF621" s="969"/>
      <c r="AG621" s="969"/>
    </row>
    <row r="622" spans="2:33" ht="13.2" customHeight="1" x14ac:dyDescent="0.55000000000000004">
      <c r="B622" s="371"/>
      <c r="C622" s="1011">
        <v>55555</v>
      </c>
      <c r="D622" s="360" t="str">
        <f t="shared" si="29"/>
        <v>Planning and development55555</v>
      </c>
      <c r="E622" s="361" t="str">
        <f t="shared" si="27"/>
        <v>TheewaterskloofPlanning and development6. Contributions are funds provided by external organisations to assist with infrastructure development; e.g. developer contributions (detail to be provided in Table SA1)</v>
      </c>
      <c r="F622" s="360" t="str">
        <f>'PART C- Municipal Details'!$G$7</f>
        <v>Theewaterskloof</v>
      </c>
      <c r="G622" s="361" t="s">
        <v>803</v>
      </c>
      <c r="H622" s="363" t="s">
        <v>808</v>
      </c>
      <c r="I622" s="496" t="s">
        <v>780</v>
      </c>
      <c r="J622" s="497" t="s">
        <v>789</v>
      </c>
      <c r="K622" s="490"/>
      <c r="L622" s="465" t="s">
        <v>780</v>
      </c>
      <c r="M622" s="472"/>
      <c r="N622" s="473"/>
      <c r="O622" s="473"/>
      <c r="P622" s="473"/>
      <c r="Q622" s="473"/>
      <c r="R622" s="473"/>
      <c r="S622" s="473"/>
      <c r="T622" s="478"/>
      <c r="U622" s="530">
        <v>0</v>
      </c>
      <c r="V622" s="530">
        <v>0</v>
      </c>
      <c r="W622" s="530">
        <v>0</v>
      </c>
      <c r="X622" s="490"/>
      <c r="Y622" s="969"/>
      <c r="Z622" s="969"/>
      <c r="AA622" s="969"/>
      <c r="AB622" s="969"/>
      <c r="AC622" s="969"/>
      <c r="AD622" s="969"/>
      <c r="AE622" s="969" t="str">
        <f t="shared" si="28"/>
        <v>Theewaterskloof6. Contributions are funds provided by external organisations to assist with infrastructure development; e.g. developer contributions (detail to be provided in Table SA1)</v>
      </c>
      <c r="AF622" s="969"/>
      <c r="AG622" s="969"/>
    </row>
    <row r="623" spans="2:33" ht="13.2" customHeight="1" x14ac:dyDescent="0.55000000000000004">
      <c r="B623" s="371"/>
      <c r="C623" s="1011">
        <v>55555</v>
      </c>
      <c r="D623" s="361" t="str">
        <f t="shared" si="29"/>
        <v>Planning and development55555</v>
      </c>
      <c r="E623" s="360" t="str">
        <f t="shared" si="27"/>
        <v>TheewaterskloofPlanning and development7. Equity method ( Includes Joint Ventures)</v>
      </c>
      <c r="F623" s="360" t="str">
        <f>'PART C- Municipal Details'!$G$7</f>
        <v>Theewaterskloof</v>
      </c>
      <c r="G623" s="360" t="s">
        <v>803</v>
      </c>
      <c r="H623" s="366" t="s">
        <v>808</v>
      </c>
      <c r="I623" s="496" t="s">
        <v>796</v>
      </c>
      <c r="J623" s="497" t="s">
        <v>789</v>
      </c>
      <c r="K623" s="490"/>
      <c r="L623" s="479" t="s">
        <v>796</v>
      </c>
      <c r="M623" s="480"/>
      <c r="N623" s="481"/>
      <c r="O623" s="481"/>
      <c r="P623" s="481"/>
      <c r="Q623" s="481"/>
      <c r="R623" s="481"/>
      <c r="S623" s="481"/>
      <c r="T623" s="482"/>
      <c r="U623" s="530">
        <v>0</v>
      </c>
      <c r="V623" s="530">
        <v>0</v>
      </c>
      <c r="W623" s="530">
        <v>0</v>
      </c>
      <c r="X623" s="490"/>
      <c r="Y623" s="969"/>
      <c r="Z623" s="969"/>
      <c r="AA623" s="969"/>
      <c r="AB623" s="969"/>
      <c r="AC623" s="969"/>
      <c r="AD623" s="969"/>
      <c r="AE623" s="969" t="str">
        <f t="shared" si="28"/>
        <v>Theewaterskloof7. Equity method ( Includes Joint Ventures)</v>
      </c>
      <c r="AF623" s="969"/>
      <c r="AG623" s="969"/>
    </row>
    <row r="624" spans="2:33" ht="13.2" customHeight="1" x14ac:dyDescent="0.55000000000000004">
      <c r="B624" s="371"/>
      <c r="C624" s="1011">
        <v>55555</v>
      </c>
      <c r="D624" s="360" t="str">
        <f t="shared" si="29"/>
        <v>Planning and development55555</v>
      </c>
      <c r="E624" s="361" t="str">
        <f t="shared" si="27"/>
        <v>TheewaterskloofPlanning and development8. All materials consumed including water consumed and materials used in operations.</v>
      </c>
      <c r="F624" s="360" t="str">
        <f>'PART C- Municipal Details'!$G$7</f>
        <v>Theewaterskloof</v>
      </c>
      <c r="G624" s="361" t="s">
        <v>803</v>
      </c>
      <c r="H624" s="363" t="s">
        <v>808</v>
      </c>
      <c r="I624" s="496" t="s">
        <v>797</v>
      </c>
      <c r="J624" s="497" t="s">
        <v>789</v>
      </c>
      <c r="K624" s="490"/>
      <c r="L624" s="501" t="s">
        <v>797</v>
      </c>
      <c r="M624" s="502" t="e">
        <f>#REF!</f>
        <v>#REF!</v>
      </c>
      <c r="N624" s="503"/>
      <c r="O624" s="503"/>
      <c r="P624" s="503"/>
      <c r="Q624" s="503"/>
      <c r="R624" s="503"/>
      <c r="S624" s="503"/>
      <c r="T624" s="503"/>
      <c r="U624" s="504"/>
      <c r="V624" s="504"/>
      <c r="W624" s="504"/>
      <c r="X624" s="490"/>
      <c r="Y624" s="969"/>
      <c r="Z624" s="969"/>
      <c r="AA624" s="969"/>
      <c r="AB624" s="969"/>
      <c r="AC624" s="969"/>
      <c r="AD624" s="969"/>
      <c r="AE624" s="969" t="str">
        <f t="shared" si="28"/>
        <v>Theewaterskloof8. All materials consumed including water consumed and materials used in operations.</v>
      </c>
      <c r="AF624" s="969"/>
      <c r="AG624" s="969"/>
    </row>
    <row r="625" spans="2:33" ht="13.2" customHeight="1" x14ac:dyDescent="0.55000000000000004">
      <c r="B625" s="371"/>
      <c r="C625" s="1011">
        <v>55555</v>
      </c>
      <c r="D625" s="361" t="str">
        <f t="shared" si="29"/>
        <v>55555</v>
      </c>
      <c r="E625" s="360" t="str">
        <f t="shared" si="27"/>
        <v>Theewaterskloof</v>
      </c>
      <c r="F625" s="360" t="str">
        <f>'PART C- Municipal Details'!$G$7</f>
        <v>Theewaterskloof</v>
      </c>
      <c r="G625" s="360" t="s">
        <v>803</v>
      </c>
      <c r="H625" s="366"/>
      <c r="I625" s="496"/>
      <c r="J625" s="497"/>
      <c r="K625" s="490"/>
      <c r="L625" s="516"/>
      <c r="M625" s="517"/>
      <c r="N625" s="515"/>
      <c r="O625" s="515"/>
      <c r="P625" s="515"/>
      <c r="Q625" s="515"/>
      <c r="R625" s="515"/>
      <c r="S625" s="515"/>
      <c r="T625" s="515"/>
      <c r="U625" s="517"/>
      <c r="V625" s="517"/>
      <c r="W625" s="517"/>
      <c r="X625" s="490"/>
      <c r="Y625" s="969"/>
      <c r="Z625" s="969"/>
      <c r="AA625" s="969"/>
      <c r="AB625" s="969"/>
      <c r="AC625" s="969"/>
      <c r="AD625" s="969"/>
      <c r="AE625" s="969" t="str">
        <f t="shared" si="28"/>
        <v>Theewaterskloof</v>
      </c>
      <c r="AF625" s="969"/>
      <c r="AG625" s="969"/>
    </row>
    <row r="626" spans="2:33" ht="13.2" customHeight="1" x14ac:dyDescent="0.55000000000000004">
      <c r="B626" s="371"/>
      <c r="C626" s="1011">
        <v>55555</v>
      </c>
      <c r="D626" s="360" t="str">
        <f t="shared" si="29"/>
        <v>Road transport55555</v>
      </c>
      <c r="E626" s="360" t="str">
        <f t="shared" si="27"/>
        <v>TheewaterskloofRoad transportzz</v>
      </c>
      <c r="F626" s="360" t="str">
        <f>'PART C- Municipal Details'!$G$7</f>
        <v>Theewaterskloof</v>
      </c>
      <c r="G626" s="360" t="s">
        <v>803</v>
      </c>
      <c r="H626" s="366" t="s">
        <v>809</v>
      </c>
      <c r="I626" s="496" t="s">
        <v>801</v>
      </c>
      <c r="J626" s="497" t="s">
        <v>651</v>
      </c>
      <c r="K626" s="490"/>
      <c r="L626" s="462" t="s">
        <v>651</v>
      </c>
      <c r="M626" s="362" t="s">
        <v>652</v>
      </c>
      <c r="N626" s="466" t="s">
        <v>653</v>
      </c>
      <c r="O626" s="466" t="s">
        <v>654</v>
      </c>
      <c r="P626" s="467" t="s">
        <v>655</v>
      </c>
      <c r="Q626" s="483" t="s">
        <v>656</v>
      </c>
      <c r="R626" s="468"/>
      <c r="S626" s="468"/>
      <c r="T626" s="467"/>
      <c r="U626" s="527" t="s">
        <v>657</v>
      </c>
      <c r="V626" s="527" t="s">
        <v>657</v>
      </c>
      <c r="W626" s="527" t="s">
        <v>657</v>
      </c>
      <c r="X626" s="490"/>
      <c r="Y626" s="969"/>
      <c r="Z626" s="969"/>
      <c r="AA626" s="969"/>
      <c r="AB626" s="969"/>
      <c r="AC626" s="969"/>
      <c r="AD626" s="969"/>
      <c r="AE626" s="969" t="str">
        <f t="shared" si="28"/>
        <v>TheewaterskloofDescription</v>
      </c>
      <c r="AF626" s="969"/>
      <c r="AG626" s="969"/>
    </row>
    <row r="627" spans="2:33" ht="13.2" customHeight="1" thickBot="1" x14ac:dyDescent="0.6">
      <c r="B627" s="371"/>
      <c r="C627" s="1011">
        <v>55555</v>
      </c>
      <c r="D627" s="361" t="str">
        <f t="shared" si="29"/>
        <v>Road transport55555</v>
      </c>
      <c r="E627" s="361" t="str">
        <f t="shared" si="27"/>
        <v>TheewaterskloofRoad transportz</v>
      </c>
      <c r="F627" s="360" t="str">
        <f>'PART C- Municipal Details'!$G$7</f>
        <v>Theewaterskloof</v>
      </c>
      <c r="G627" s="361" t="s">
        <v>803</v>
      </c>
      <c r="H627" s="363" t="s">
        <v>809</v>
      </c>
      <c r="I627" s="496" t="s">
        <v>802</v>
      </c>
      <c r="J627" s="497" t="s">
        <v>650</v>
      </c>
      <c r="K627" s="490"/>
      <c r="L627" s="365" t="s">
        <v>659</v>
      </c>
      <c r="M627" s="364" t="s">
        <v>660</v>
      </c>
      <c r="N627" s="469" t="s">
        <v>661</v>
      </c>
      <c r="O627" s="469" t="s">
        <v>661</v>
      </c>
      <c r="P627" s="470" t="s">
        <v>661</v>
      </c>
      <c r="Q627" s="471" t="s">
        <v>662</v>
      </c>
      <c r="R627" s="469" t="s">
        <v>663</v>
      </c>
      <c r="S627" s="469" t="s">
        <v>664</v>
      </c>
      <c r="T627" s="470" t="s">
        <v>665</v>
      </c>
      <c r="U627" s="528" t="s">
        <v>666</v>
      </c>
      <c r="V627" s="528" t="s">
        <v>666</v>
      </c>
      <c r="W627" s="528" t="s">
        <v>666</v>
      </c>
      <c r="X627" s="490"/>
      <c r="Y627" s="969"/>
      <c r="Z627" s="969"/>
      <c r="AA627" s="969"/>
      <c r="AB627" s="969"/>
      <c r="AC627" s="969"/>
      <c r="AD627" s="969"/>
      <c r="AE627" s="969" t="str">
        <f t="shared" si="28"/>
        <v>TheewaterskloofR thousands</v>
      </c>
      <c r="AF627" s="969"/>
      <c r="AG627" s="969"/>
    </row>
    <row r="628" spans="2:33" ht="13.2" customHeight="1" x14ac:dyDescent="0.55000000000000004">
      <c r="B628" s="371"/>
      <c r="C628" s="1008" t="s">
        <v>667</v>
      </c>
      <c r="D628" s="360" t="str">
        <f t="shared" si="29"/>
        <v>Road transport0100</v>
      </c>
      <c r="E628" s="360" t="str">
        <f t="shared" si="27"/>
        <v>TheewaterskloofRoad transportz</v>
      </c>
      <c r="F628" s="360" t="str">
        <f>'PART C- Municipal Details'!$G$7</f>
        <v>Theewaterskloof</v>
      </c>
      <c r="G628" s="360" t="s">
        <v>803</v>
      </c>
      <c r="H628" s="366" t="s">
        <v>809</v>
      </c>
      <c r="I628" s="496" t="s">
        <v>802</v>
      </c>
      <c r="J628" s="497" t="s">
        <v>658</v>
      </c>
      <c r="K628" s="490"/>
      <c r="L628" s="505" t="s">
        <v>162</v>
      </c>
      <c r="M628" s="506"/>
      <c r="N628" s="507"/>
      <c r="O628" s="507"/>
      <c r="P628" s="507"/>
      <c r="Q628" s="507"/>
      <c r="R628" s="507"/>
      <c r="S628" s="507"/>
      <c r="T628" s="507"/>
      <c r="U628" s="529">
        <v>0</v>
      </c>
      <c r="V628" s="529">
        <v>0</v>
      </c>
      <c r="W628" s="529">
        <v>0</v>
      </c>
      <c r="X628" s="490"/>
      <c r="Y628" s="969"/>
      <c r="Z628" s="969"/>
      <c r="AA628" s="969"/>
      <c r="AB628" s="969"/>
      <c r="AC628" s="969"/>
      <c r="AD628" s="969"/>
      <c r="AE628" s="969" t="str">
        <f t="shared" si="28"/>
        <v>TheewaterskloofRevenue</v>
      </c>
      <c r="AF628" s="969"/>
      <c r="AG628" s="969"/>
    </row>
    <row r="629" spans="2:33" ht="13.2" customHeight="1" x14ac:dyDescent="0.55000000000000004">
      <c r="B629" s="371"/>
      <c r="C629" s="1009" t="s">
        <v>668</v>
      </c>
      <c r="D629" s="361" t="str">
        <f t="shared" si="29"/>
        <v>Road transport0200</v>
      </c>
      <c r="E629" s="361" t="str">
        <f t="shared" si="27"/>
        <v>TheewaterskloofRoad transportz</v>
      </c>
      <c r="F629" s="360" t="str">
        <f>'PART C- Municipal Details'!$G$7</f>
        <v>Theewaterskloof</v>
      </c>
      <c r="G629" s="361" t="s">
        <v>803</v>
      </c>
      <c r="H629" s="363" t="s">
        <v>809</v>
      </c>
      <c r="I629" s="496" t="s">
        <v>802</v>
      </c>
      <c r="J629" s="497" t="s">
        <v>0</v>
      </c>
      <c r="K629" s="490"/>
      <c r="L629" s="463" t="s">
        <v>670</v>
      </c>
      <c r="M629" s="459"/>
      <c r="N629" s="460"/>
      <c r="O629" s="460"/>
      <c r="P629" s="460"/>
      <c r="Q629" s="460"/>
      <c r="R629" s="460"/>
      <c r="S629" s="460"/>
      <c r="T629" s="460"/>
      <c r="U629" s="530">
        <v>0</v>
      </c>
      <c r="V629" s="530">
        <v>0</v>
      </c>
      <c r="W629" s="530">
        <v>0</v>
      </c>
      <c r="X629" s="490"/>
      <c r="Y629" s="969"/>
      <c r="Z629" s="969"/>
      <c r="AA629" s="969"/>
      <c r="AB629" s="969"/>
      <c r="AC629" s="969"/>
      <c r="AD629" s="969"/>
      <c r="AE629" s="969" t="str">
        <f t="shared" si="28"/>
        <v>TheewaterskloofExchange Revenue</v>
      </c>
      <c r="AF629" s="969"/>
      <c r="AG629" s="969"/>
    </row>
    <row r="630" spans="2:33" ht="13.2" customHeight="1" x14ac:dyDescent="0.55000000000000004">
      <c r="B630" s="371"/>
      <c r="C630" s="1010" t="s">
        <v>671</v>
      </c>
      <c r="D630" s="360" t="str">
        <f t="shared" si="29"/>
        <v>Road transport0300</v>
      </c>
      <c r="E630" s="360" t="str">
        <f t="shared" si="27"/>
        <v>TheewaterskloofRoad transportService charges - electricity revenue</v>
      </c>
      <c r="F630" s="360" t="str">
        <f>'PART C- Municipal Details'!$G$7</f>
        <v>Theewaterskloof</v>
      </c>
      <c r="G630" s="360" t="s">
        <v>803</v>
      </c>
      <c r="H630" s="366" t="s">
        <v>809</v>
      </c>
      <c r="I630" s="496" t="s">
        <v>669</v>
      </c>
      <c r="J630" s="497" t="s">
        <v>669</v>
      </c>
      <c r="K630" s="490"/>
      <c r="L630" s="463" t="s">
        <v>673</v>
      </c>
      <c r="M630" s="459"/>
      <c r="N630" s="461"/>
      <c r="O630" s="461"/>
      <c r="P630" s="461"/>
      <c r="Q630" s="461"/>
      <c r="R630" s="461"/>
      <c r="S630" s="461"/>
      <c r="T630" s="461"/>
      <c r="U630" s="530">
        <v>0</v>
      </c>
      <c r="V630" s="530">
        <v>0</v>
      </c>
      <c r="W630" s="530">
        <v>0</v>
      </c>
      <c r="X630" s="490"/>
      <c r="Y630" s="969"/>
      <c r="Z630" s="969"/>
      <c r="AA630" s="969"/>
      <c r="AB630" s="969"/>
      <c r="AC630" s="969"/>
      <c r="AD630" s="969"/>
      <c r="AE630" s="969" t="str">
        <f t="shared" si="28"/>
        <v>TheewaterskloofService charges - Electricity</v>
      </c>
      <c r="AF630" s="969"/>
      <c r="AG630" s="969"/>
    </row>
    <row r="631" spans="2:33" ht="13.2" customHeight="1" x14ac:dyDescent="0.55000000000000004">
      <c r="B631" s="371"/>
      <c r="C631" s="1010" t="s">
        <v>674</v>
      </c>
      <c r="D631" s="361" t="str">
        <f t="shared" si="29"/>
        <v>Road transport0400</v>
      </c>
      <c r="E631" s="361" t="str">
        <f t="shared" si="27"/>
        <v>TheewaterskloofRoad transportService charges - water revenue</v>
      </c>
      <c r="F631" s="360" t="str">
        <f>'PART C- Municipal Details'!$G$7</f>
        <v>Theewaterskloof</v>
      </c>
      <c r="G631" s="361" t="s">
        <v>803</v>
      </c>
      <c r="H631" s="363" t="s">
        <v>809</v>
      </c>
      <c r="I631" s="496" t="s">
        <v>672</v>
      </c>
      <c r="J631" s="497" t="s">
        <v>672</v>
      </c>
      <c r="K631" s="490"/>
      <c r="L631" s="463" t="s">
        <v>676</v>
      </c>
      <c r="M631" s="459"/>
      <c r="N631" s="461"/>
      <c r="O631" s="461"/>
      <c r="P631" s="461"/>
      <c r="Q631" s="461"/>
      <c r="R631" s="461"/>
      <c r="S631" s="461"/>
      <c r="T631" s="461"/>
      <c r="U631" s="530">
        <v>0</v>
      </c>
      <c r="V631" s="530">
        <v>0</v>
      </c>
      <c r="W631" s="530">
        <v>0</v>
      </c>
      <c r="X631" s="490"/>
      <c r="Y631" s="969"/>
      <c r="Z631" s="969"/>
      <c r="AA631" s="969"/>
      <c r="AB631" s="969"/>
      <c r="AC631" s="969"/>
      <c r="AD631" s="969"/>
      <c r="AE631" s="969" t="str">
        <f t="shared" si="28"/>
        <v>TheewaterskloofService charges - Water</v>
      </c>
      <c r="AF631" s="969"/>
      <c r="AG631" s="969"/>
    </row>
    <row r="632" spans="2:33" ht="13.2" customHeight="1" x14ac:dyDescent="0.55000000000000004">
      <c r="B632" s="371"/>
      <c r="C632" s="1010" t="s">
        <v>677</v>
      </c>
      <c r="D632" s="360" t="str">
        <f t="shared" si="29"/>
        <v>Road transport0500</v>
      </c>
      <c r="E632" s="360" t="str">
        <f t="shared" si="27"/>
        <v>TheewaterskloofRoad transportService charges - sanitation revenue</v>
      </c>
      <c r="F632" s="360" t="str">
        <f>'PART C- Municipal Details'!$G$7</f>
        <v>Theewaterskloof</v>
      </c>
      <c r="G632" s="360" t="s">
        <v>803</v>
      </c>
      <c r="H632" s="366" t="s">
        <v>809</v>
      </c>
      <c r="I632" s="496" t="s">
        <v>675</v>
      </c>
      <c r="J632" s="497" t="s">
        <v>675</v>
      </c>
      <c r="K632" s="490"/>
      <c r="L632" s="463" t="s">
        <v>679</v>
      </c>
      <c r="M632" s="459"/>
      <c r="N632" s="461"/>
      <c r="O632" s="461"/>
      <c r="P632" s="461"/>
      <c r="Q632" s="461"/>
      <c r="R632" s="461"/>
      <c r="S632" s="461"/>
      <c r="T632" s="461"/>
      <c r="U632" s="530">
        <v>0</v>
      </c>
      <c r="V632" s="530">
        <v>0</v>
      </c>
      <c r="W632" s="530">
        <v>0</v>
      </c>
      <c r="X632" s="490"/>
      <c r="Y632" s="969"/>
      <c r="Z632" s="969"/>
      <c r="AA632" s="969"/>
      <c r="AB632" s="969"/>
      <c r="AC632" s="969"/>
      <c r="AD632" s="969"/>
      <c r="AE632" s="969" t="str">
        <f t="shared" si="28"/>
        <v>TheewaterskloofService charges - Waste Water Management</v>
      </c>
      <c r="AF632" s="969"/>
      <c r="AG632" s="969"/>
    </row>
    <row r="633" spans="2:33" ht="13.2" customHeight="1" x14ac:dyDescent="0.55000000000000004">
      <c r="B633" s="371"/>
      <c r="C633" s="1010" t="s">
        <v>680</v>
      </c>
      <c r="D633" s="361" t="str">
        <f t="shared" si="29"/>
        <v>Road transport0600</v>
      </c>
      <c r="E633" s="361" t="str">
        <f t="shared" si="27"/>
        <v>TheewaterskloofRoad transportService charges - refuse revenue</v>
      </c>
      <c r="F633" s="360" t="str">
        <f>'PART C- Municipal Details'!$G$7</f>
        <v>Theewaterskloof</v>
      </c>
      <c r="G633" s="361" t="s">
        <v>803</v>
      </c>
      <c r="H633" s="363" t="s">
        <v>809</v>
      </c>
      <c r="I633" s="496" t="s">
        <v>678</v>
      </c>
      <c r="J633" s="497" t="s">
        <v>678</v>
      </c>
      <c r="K633" s="490"/>
      <c r="L633" s="463" t="s">
        <v>682</v>
      </c>
      <c r="M633" s="459"/>
      <c r="N633" s="461"/>
      <c r="O633" s="461"/>
      <c r="P633" s="461"/>
      <c r="Q633" s="461"/>
      <c r="R633" s="461"/>
      <c r="S633" s="461"/>
      <c r="T633" s="461"/>
      <c r="U633" s="530">
        <v>0</v>
      </c>
      <c r="V633" s="530">
        <v>0</v>
      </c>
      <c r="W633" s="530">
        <v>0</v>
      </c>
      <c r="X633" s="490"/>
      <c r="Y633" s="969"/>
      <c r="Z633" s="969"/>
      <c r="AA633" s="969"/>
      <c r="AB633" s="969"/>
      <c r="AC633" s="969"/>
      <c r="AD633" s="969"/>
      <c r="AE633" s="969" t="str">
        <f t="shared" si="28"/>
        <v>TheewaterskloofService charges - Waste Management</v>
      </c>
      <c r="AF633" s="969"/>
      <c r="AG633" s="969"/>
    </row>
    <row r="634" spans="2:33" ht="13.2" customHeight="1" x14ac:dyDescent="0.55000000000000004">
      <c r="B634" s="371"/>
      <c r="C634" s="1010" t="s">
        <v>683</v>
      </c>
      <c r="D634" s="360" t="str">
        <f t="shared" si="29"/>
        <v>Road transport0700</v>
      </c>
      <c r="E634" s="360" t="str">
        <f t="shared" si="27"/>
        <v>TheewaterskloofRoad transportOther revenue</v>
      </c>
      <c r="F634" s="360" t="str">
        <f>'PART C- Municipal Details'!$G$7</f>
        <v>Theewaterskloof</v>
      </c>
      <c r="G634" s="360" t="s">
        <v>803</v>
      </c>
      <c r="H634" s="366" t="s">
        <v>809</v>
      </c>
      <c r="I634" s="496" t="s">
        <v>7</v>
      </c>
      <c r="J634" s="497" t="s">
        <v>681</v>
      </c>
      <c r="K634" s="490"/>
      <c r="L634" s="463" t="s">
        <v>684</v>
      </c>
      <c r="M634" s="459"/>
      <c r="N634" s="461"/>
      <c r="O634" s="461"/>
      <c r="P634" s="461"/>
      <c r="Q634" s="461"/>
      <c r="R634" s="461"/>
      <c r="S634" s="461"/>
      <c r="T634" s="461"/>
      <c r="U634" s="530">
        <v>0</v>
      </c>
      <c r="V634" s="530">
        <v>0</v>
      </c>
      <c r="W634" s="530">
        <v>0</v>
      </c>
      <c r="X634" s="490"/>
      <c r="Y634" s="969"/>
      <c r="Z634" s="969"/>
      <c r="AA634" s="969"/>
      <c r="AB634" s="969"/>
      <c r="AC634" s="969"/>
      <c r="AD634" s="969"/>
      <c r="AE634" s="969" t="str">
        <f t="shared" si="28"/>
        <v>TheewaterskloofSale of Goods and Rendering of Services</v>
      </c>
      <c r="AF634" s="969"/>
      <c r="AG634" s="969"/>
    </row>
    <row r="635" spans="2:33" ht="13.2" customHeight="1" x14ac:dyDescent="0.55000000000000004">
      <c r="B635" s="371"/>
      <c r="C635" s="1010" t="s">
        <v>685</v>
      </c>
      <c r="D635" s="361" t="str">
        <f t="shared" si="29"/>
        <v>Road transport0800</v>
      </c>
      <c r="E635" s="361" t="str">
        <f t="shared" si="27"/>
        <v>TheewaterskloofRoad transportAgency services</v>
      </c>
      <c r="F635" s="360" t="str">
        <f>'PART C- Municipal Details'!$G$7</f>
        <v>Theewaterskloof</v>
      </c>
      <c r="G635" s="361" t="s">
        <v>803</v>
      </c>
      <c r="H635" s="363" t="s">
        <v>809</v>
      </c>
      <c r="I635" s="496" t="s">
        <v>6</v>
      </c>
      <c r="J635" s="497" t="s">
        <v>1</v>
      </c>
      <c r="K635" s="490"/>
      <c r="L635" s="463" t="s">
        <v>6</v>
      </c>
      <c r="M635" s="459"/>
      <c r="N635" s="461"/>
      <c r="O635" s="461"/>
      <c r="P635" s="461"/>
      <c r="Q635" s="461"/>
      <c r="R635" s="461"/>
      <c r="S635" s="461"/>
      <c r="T635" s="461"/>
      <c r="U635" s="530">
        <v>8291000</v>
      </c>
      <c r="V635" s="530">
        <v>8572894</v>
      </c>
      <c r="W635" s="530">
        <v>8847228</v>
      </c>
      <c r="X635" s="490"/>
      <c r="Y635" s="969"/>
      <c r="Z635" s="969"/>
      <c r="AA635" s="969"/>
      <c r="AB635" s="969"/>
      <c r="AC635" s="969"/>
      <c r="AD635" s="969"/>
      <c r="AE635" s="969" t="str">
        <f t="shared" si="28"/>
        <v>TheewaterskloofAgency services</v>
      </c>
      <c r="AF635" s="969"/>
      <c r="AG635" s="969"/>
    </row>
    <row r="636" spans="2:33" ht="13.2" customHeight="1" x14ac:dyDescent="0.55000000000000004">
      <c r="B636" s="371"/>
      <c r="C636" s="1010" t="s">
        <v>686</v>
      </c>
      <c r="D636" s="360" t="str">
        <f t="shared" si="29"/>
        <v>Road transport0900</v>
      </c>
      <c r="E636" s="360" t="str">
        <f t="shared" si="27"/>
        <v>TheewaterskloofRoad transportInterest earned - external investments</v>
      </c>
      <c r="F636" s="360" t="str">
        <f>'PART C- Municipal Details'!$G$7</f>
        <v>Theewaterskloof</v>
      </c>
      <c r="G636" s="360" t="s">
        <v>803</v>
      </c>
      <c r="H636" s="366" t="s">
        <v>809</v>
      </c>
      <c r="I636" s="496" t="s">
        <v>2</v>
      </c>
      <c r="J636" s="497" t="s">
        <v>2</v>
      </c>
      <c r="K636" s="490"/>
      <c r="L636" s="463" t="s">
        <v>687</v>
      </c>
      <c r="M636" s="459"/>
      <c r="N636" s="461"/>
      <c r="O636" s="461"/>
      <c r="P636" s="461"/>
      <c r="Q636" s="461"/>
      <c r="R636" s="461"/>
      <c r="S636" s="461"/>
      <c r="T636" s="461"/>
      <c r="U636" s="530">
        <v>0</v>
      </c>
      <c r="V636" s="530">
        <v>0</v>
      </c>
      <c r="W636" s="530">
        <v>0</v>
      </c>
      <c r="X636" s="490"/>
      <c r="Y636" s="969"/>
      <c r="Z636" s="969"/>
      <c r="AA636" s="969"/>
      <c r="AB636" s="969"/>
      <c r="AC636" s="969"/>
      <c r="AD636" s="969"/>
      <c r="AE636" s="969" t="str">
        <f t="shared" si="28"/>
        <v>TheewaterskloofInterest</v>
      </c>
      <c r="AF636" s="969"/>
      <c r="AG636" s="969"/>
    </row>
    <row r="637" spans="2:33" ht="13.2" customHeight="1" x14ac:dyDescent="0.55000000000000004">
      <c r="B637" s="371"/>
      <c r="C637" s="1010" t="s">
        <v>688</v>
      </c>
      <c r="D637" s="361" t="str">
        <f t="shared" si="29"/>
        <v>Road transport1000</v>
      </c>
      <c r="E637" s="361" t="str">
        <f t="shared" si="27"/>
        <v>TheewaterskloofRoad transportInterest earned - outstanding debtors</v>
      </c>
      <c r="F637" s="360" t="str">
        <f>'PART C- Municipal Details'!$G$7</f>
        <v>Theewaterskloof</v>
      </c>
      <c r="G637" s="361" t="s">
        <v>803</v>
      </c>
      <c r="H637" s="363" t="s">
        <v>809</v>
      </c>
      <c r="I637" s="496" t="s">
        <v>3</v>
      </c>
      <c r="J637" s="497" t="s">
        <v>3</v>
      </c>
      <c r="K637" s="490"/>
      <c r="L637" s="463" t="s">
        <v>689</v>
      </c>
      <c r="M637" s="459"/>
      <c r="N637" s="461"/>
      <c r="O637" s="461"/>
      <c r="P637" s="461"/>
      <c r="Q637" s="461"/>
      <c r="R637" s="461"/>
      <c r="S637" s="461"/>
      <c r="T637" s="461"/>
      <c r="U637" s="530">
        <v>0</v>
      </c>
      <c r="V637" s="530">
        <v>0</v>
      </c>
      <c r="W637" s="530">
        <v>0</v>
      </c>
      <c r="X637" s="490"/>
      <c r="Y637" s="969"/>
      <c r="Z637" s="969"/>
      <c r="AA637" s="969"/>
      <c r="AB637" s="969"/>
      <c r="AC637" s="969"/>
      <c r="AD637" s="969"/>
      <c r="AE637" s="969" t="str">
        <f t="shared" si="28"/>
        <v>TheewaterskloofInterest earned from Receivables</v>
      </c>
      <c r="AF637" s="969"/>
      <c r="AG637" s="969"/>
    </row>
    <row r="638" spans="2:33" ht="13.2" customHeight="1" x14ac:dyDescent="0.55000000000000004">
      <c r="B638" s="371"/>
      <c r="C638" s="1010" t="s">
        <v>690</v>
      </c>
      <c r="D638" s="360" t="str">
        <f t="shared" si="29"/>
        <v>Road transport1100</v>
      </c>
      <c r="E638" s="360" t="str">
        <f t="shared" si="27"/>
        <v>TheewaterskloofRoad transportInterest earned - external investments</v>
      </c>
      <c r="F638" s="360" t="str">
        <f>'PART C- Municipal Details'!$G$7</f>
        <v>Theewaterskloof</v>
      </c>
      <c r="G638" s="360" t="s">
        <v>803</v>
      </c>
      <c r="H638" s="366" t="s">
        <v>809</v>
      </c>
      <c r="I638" s="496" t="s">
        <v>2</v>
      </c>
      <c r="J638" s="497" t="s">
        <v>4</v>
      </c>
      <c r="K638" s="490"/>
      <c r="L638" s="463" t="s">
        <v>692</v>
      </c>
      <c r="M638" s="459"/>
      <c r="N638" s="461"/>
      <c r="O638" s="461"/>
      <c r="P638" s="461"/>
      <c r="Q638" s="461"/>
      <c r="R638" s="461"/>
      <c r="S638" s="461"/>
      <c r="T638" s="461"/>
      <c r="U638" s="530">
        <v>0</v>
      </c>
      <c r="V638" s="530">
        <v>0</v>
      </c>
      <c r="W638" s="530">
        <v>0</v>
      </c>
      <c r="X638" s="490"/>
      <c r="Y638" s="969"/>
      <c r="Z638" s="969"/>
      <c r="AA638" s="969"/>
      <c r="AB638" s="969"/>
      <c r="AC638" s="969"/>
      <c r="AD638" s="969"/>
      <c r="AE638" s="969" t="str">
        <f t="shared" si="28"/>
        <v>TheewaterskloofInterest earned from Current and Non Current Assets</v>
      </c>
      <c r="AF638" s="969"/>
      <c r="AG638" s="969"/>
    </row>
    <row r="639" spans="2:33" ht="13.2" customHeight="1" x14ac:dyDescent="0.55000000000000004">
      <c r="B639" s="371"/>
      <c r="C639" s="1010" t="s">
        <v>693</v>
      </c>
      <c r="D639" s="361" t="str">
        <f t="shared" si="29"/>
        <v>Road transport1200</v>
      </c>
      <c r="E639" s="361" t="str">
        <f t="shared" si="27"/>
        <v>TheewaterskloofRoad transportDividends received</v>
      </c>
      <c r="F639" s="360" t="str">
        <f>'PART C- Municipal Details'!$G$7</f>
        <v>Theewaterskloof</v>
      </c>
      <c r="G639" s="361" t="s">
        <v>803</v>
      </c>
      <c r="H639" s="363" t="s">
        <v>809</v>
      </c>
      <c r="I639" s="496" t="s">
        <v>4</v>
      </c>
      <c r="J639" s="497" t="s">
        <v>691</v>
      </c>
      <c r="K639" s="490"/>
      <c r="L639" s="463" t="s">
        <v>694</v>
      </c>
      <c r="M639" s="459"/>
      <c r="N639" s="461"/>
      <c r="O639" s="461"/>
      <c r="P639" s="461"/>
      <c r="Q639" s="461"/>
      <c r="R639" s="461"/>
      <c r="S639" s="461"/>
      <c r="T639" s="461"/>
      <c r="U639" s="530">
        <v>0</v>
      </c>
      <c r="V639" s="530">
        <v>0</v>
      </c>
      <c r="W639" s="530">
        <v>0</v>
      </c>
      <c r="X639" s="490"/>
      <c r="Y639" s="969"/>
      <c r="Z639" s="969"/>
      <c r="AA639" s="969"/>
      <c r="AB639" s="969"/>
      <c r="AC639" s="969"/>
      <c r="AD639" s="969"/>
      <c r="AE639" s="969" t="str">
        <f t="shared" si="28"/>
        <v>TheewaterskloofDividends</v>
      </c>
      <c r="AF639" s="969"/>
      <c r="AG639" s="969"/>
    </row>
    <row r="640" spans="2:33" ht="13.2" customHeight="1" x14ac:dyDescent="0.55000000000000004">
      <c r="B640" s="371"/>
      <c r="C640" s="1010" t="s">
        <v>695</v>
      </c>
      <c r="D640" s="360" t="str">
        <f t="shared" si="29"/>
        <v>Road transport1300</v>
      </c>
      <c r="E640" s="360" t="str">
        <f t="shared" si="27"/>
        <v>TheewaterskloofRoad transportRental of facilities and equipment</v>
      </c>
      <c r="F640" s="360" t="str">
        <f>'PART C- Municipal Details'!$G$7</f>
        <v>Theewaterskloof</v>
      </c>
      <c r="G640" s="360" t="s">
        <v>803</v>
      </c>
      <c r="H640" s="366" t="s">
        <v>809</v>
      </c>
      <c r="I640" s="496" t="s">
        <v>1</v>
      </c>
      <c r="J640" s="497" t="s">
        <v>5</v>
      </c>
      <c r="K640" s="490"/>
      <c r="L640" s="463" t="s">
        <v>696</v>
      </c>
      <c r="M640" s="459"/>
      <c r="N640" s="461"/>
      <c r="O640" s="461"/>
      <c r="P640" s="461"/>
      <c r="Q640" s="461"/>
      <c r="R640" s="461"/>
      <c r="S640" s="461"/>
      <c r="T640" s="461"/>
      <c r="U640" s="530">
        <v>0</v>
      </c>
      <c r="V640" s="530">
        <v>0</v>
      </c>
      <c r="W640" s="530">
        <v>0</v>
      </c>
      <c r="X640" s="490"/>
      <c r="Y640" s="969"/>
      <c r="Z640" s="969"/>
      <c r="AA640" s="969"/>
      <c r="AB640" s="969"/>
      <c r="AC640" s="969"/>
      <c r="AD640" s="969"/>
      <c r="AE640" s="969" t="str">
        <f t="shared" si="28"/>
        <v>TheewaterskloofRent on Land</v>
      </c>
      <c r="AF640" s="969"/>
      <c r="AG640" s="969"/>
    </row>
    <row r="641" spans="2:33" ht="13.2" customHeight="1" x14ac:dyDescent="0.55000000000000004">
      <c r="B641" s="371"/>
      <c r="C641" s="1010" t="s">
        <v>697</v>
      </c>
      <c r="D641" s="361" t="str">
        <f t="shared" si="29"/>
        <v>Road transport1400</v>
      </c>
      <c r="E641" s="361" t="str">
        <f t="shared" si="27"/>
        <v>TheewaterskloofRoad transportRental of facilities and equipment</v>
      </c>
      <c r="F641" s="360" t="str">
        <f>'PART C- Municipal Details'!$G$7</f>
        <v>Theewaterskloof</v>
      </c>
      <c r="G641" s="361" t="s">
        <v>803</v>
      </c>
      <c r="H641" s="363" t="s">
        <v>809</v>
      </c>
      <c r="I641" s="496" t="s">
        <v>1</v>
      </c>
      <c r="J641" s="497" t="s">
        <v>6</v>
      </c>
      <c r="K641" s="490"/>
      <c r="L641" s="463" t="s">
        <v>699</v>
      </c>
      <c r="M641" s="459"/>
      <c r="N641" s="461"/>
      <c r="O641" s="461"/>
      <c r="P641" s="461"/>
      <c r="Q641" s="461"/>
      <c r="R641" s="461"/>
      <c r="S641" s="461"/>
      <c r="T641" s="461"/>
      <c r="U641" s="530">
        <v>0</v>
      </c>
      <c r="V641" s="530">
        <v>0</v>
      </c>
      <c r="W641" s="530">
        <v>0</v>
      </c>
      <c r="X641" s="490"/>
      <c r="Y641" s="969"/>
      <c r="Z641" s="969"/>
      <c r="AA641" s="969"/>
      <c r="AB641" s="969"/>
      <c r="AC641" s="969"/>
      <c r="AD641" s="969"/>
      <c r="AE641" s="969" t="str">
        <f t="shared" si="28"/>
        <v>TheewaterskloofRental from Fixed Assets</v>
      </c>
      <c r="AF641" s="969"/>
      <c r="AG641" s="969"/>
    </row>
    <row r="642" spans="2:33" ht="13.2" customHeight="1" x14ac:dyDescent="0.55000000000000004">
      <c r="B642" s="371"/>
      <c r="C642" s="1010" t="s">
        <v>700</v>
      </c>
      <c r="D642" s="360" t="str">
        <f t="shared" si="29"/>
        <v>Road transport1500</v>
      </c>
      <c r="E642" s="360" t="str">
        <f t="shared" si="27"/>
        <v>TheewaterskloofRoad transportLicences and permits</v>
      </c>
      <c r="F642" s="360" t="str">
        <f>'PART C- Municipal Details'!$G$7</f>
        <v>Theewaterskloof</v>
      </c>
      <c r="G642" s="360" t="s">
        <v>803</v>
      </c>
      <c r="H642" s="366" t="s">
        <v>809</v>
      </c>
      <c r="I642" s="496" t="s">
        <v>5</v>
      </c>
      <c r="J642" s="497" t="s">
        <v>698</v>
      </c>
      <c r="K642" s="490"/>
      <c r="L642" s="463" t="s">
        <v>701</v>
      </c>
      <c r="M642" s="459"/>
      <c r="N642" s="461"/>
      <c r="O642" s="461"/>
      <c r="P642" s="461"/>
      <c r="Q642" s="461"/>
      <c r="R642" s="461"/>
      <c r="S642" s="461"/>
      <c r="T642" s="461"/>
      <c r="U642" s="530">
        <v>0</v>
      </c>
      <c r="V642" s="530">
        <v>0</v>
      </c>
      <c r="W642" s="530">
        <v>0</v>
      </c>
      <c r="X642" s="490"/>
      <c r="Y642" s="969"/>
      <c r="Z642" s="969"/>
      <c r="AA642" s="969"/>
      <c r="AB642" s="969"/>
      <c r="AC642" s="969"/>
      <c r="AD642" s="969"/>
      <c r="AE642" s="969" t="str">
        <f t="shared" si="28"/>
        <v>TheewaterskloofLicence and permits</v>
      </c>
      <c r="AF642" s="969"/>
      <c r="AG642" s="969"/>
    </row>
    <row r="643" spans="2:33" ht="13.2" customHeight="1" x14ac:dyDescent="0.55000000000000004">
      <c r="B643" s="371"/>
      <c r="C643" s="1324" t="s">
        <v>1569</v>
      </c>
      <c r="D643" s="360" t="str">
        <f t="shared" si="29"/>
        <v>Road transport1550</v>
      </c>
      <c r="E643" s="360" t="str">
        <f t="shared" si="27"/>
        <v>TheewaterskloofRoad transportSpecial rating Levies</v>
      </c>
      <c r="F643" s="360" t="str">
        <f>'PART C- Municipal Details'!$G$7</f>
        <v>Theewaterskloof</v>
      </c>
      <c r="G643" s="360" t="s">
        <v>803</v>
      </c>
      <c r="H643" s="366" t="s">
        <v>809</v>
      </c>
      <c r="I643" s="496" t="s">
        <v>1568</v>
      </c>
      <c r="J643" s="497" t="s">
        <v>7</v>
      </c>
      <c r="K643" s="490"/>
      <c r="L643" s="463" t="s">
        <v>1567</v>
      </c>
      <c r="M643" s="459"/>
      <c r="N643" s="461"/>
      <c r="O643" s="461"/>
      <c r="P643" s="461"/>
      <c r="Q643" s="461"/>
      <c r="R643" s="461"/>
      <c r="S643" s="461"/>
      <c r="T643" s="461"/>
      <c r="U643" s="530">
        <v>0</v>
      </c>
      <c r="V643" s="530">
        <v>0</v>
      </c>
      <c r="W643" s="530">
        <v>0</v>
      </c>
      <c r="X643" s="490"/>
      <c r="Y643" s="969"/>
      <c r="Z643" s="969"/>
      <c r="AA643" s="969"/>
      <c r="AB643" s="969"/>
      <c r="AC643" s="969"/>
      <c r="AD643" s="969"/>
      <c r="AE643" s="969"/>
      <c r="AF643" s="969"/>
      <c r="AG643" s="969"/>
    </row>
    <row r="644" spans="2:33" ht="13.2" customHeight="1" x14ac:dyDescent="0.55000000000000004">
      <c r="B644" s="371"/>
      <c r="C644" s="1010" t="s">
        <v>702</v>
      </c>
      <c r="D644" s="361" t="str">
        <f t="shared" si="29"/>
        <v>Road transport1600</v>
      </c>
      <c r="E644" s="361" t="str">
        <f t="shared" si="27"/>
        <v>TheewaterskloofRoad transportOther revenue</v>
      </c>
      <c r="F644" s="360" t="str">
        <f>'PART C- Municipal Details'!$G$7</f>
        <v>Theewaterskloof</v>
      </c>
      <c r="G644" s="361" t="s">
        <v>803</v>
      </c>
      <c r="H644" s="363" t="s">
        <v>809</v>
      </c>
      <c r="I644" s="496" t="s">
        <v>7</v>
      </c>
      <c r="J644" s="497" t="s">
        <v>7</v>
      </c>
      <c r="K644" s="490"/>
      <c r="L644" s="463" t="s">
        <v>704</v>
      </c>
      <c r="M644" s="459"/>
      <c r="N644" s="461"/>
      <c r="O644" s="461"/>
      <c r="P644" s="461"/>
      <c r="Q644" s="461"/>
      <c r="R644" s="461"/>
      <c r="S644" s="461"/>
      <c r="T644" s="461"/>
      <c r="U644" s="530">
        <v>0</v>
      </c>
      <c r="V644" s="530">
        <v>0</v>
      </c>
      <c r="W644" s="530">
        <v>0</v>
      </c>
      <c r="X644" s="490"/>
      <c r="Y644" s="969"/>
      <c r="Z644" s="969"/>
      <c r="AA644" s="969"/>
      <c r="AB644" s="969"/>
      <c r="AC644" s="969"/>
      <c r="AD644" s="969"/>
      <c r="AE644" s="969" t="str">
        <f t="shared" si="28"/>
        <v>TheewaterskloofOperational Revenue</v>
      </c>
      <c r="AF644" s="969"/>
      <c r="AG644" s="969"/>
    </row>
    <row r="645" spans="2:33" ht="13.2" customHeight="1" x14ac:dyDescent="0.55000000000000004">
      <c r="B645" s="371"/>
      <c r="C645" s="1009" t="s">
        <v>705</v>
      </c>
      <c r="D645" s="360" t="str">
        <f t="shared" si="29"/>
        <v>Road transport1700</v>
      </c>
      <c r="E645" s="360" t="str">
        <f t="shared" si="27"/>
        <v>TheewaterskloofRoad transportx</v>
      </c>
      <c r="F645" s="360" t="str">
        <f>'PART C- Municipal Details'!$G$7</f>
        <v>Theewaterskloof</v>
      </c>
      <c r="G645" s="360" t="s">
        <v>803</v>
      </c>
      <c r="H645" s="366" t="s">
        <v>809</v>
      </c>
      <c r="I645" s="496" t="s">
        <v>789</v>
      </c>
      <c r="J645" s="497" t="s">
        <v>703</v>
      </c>
      <c r="K645" s="490"/>
      <c r="L645" s="508" t="s">
        <v>708</v>
      </c>
      <c r="M645" s="509"/>
      <c r="N645" s="510"/>
      <c r="O645" s="510"/>
      <c r="P645" s="510"/>
      <c r="Q645" s="510"/>
      <c r="R645" s="510"/>
      <c r="S645" s="510"/>
      <c r="T645" s="511"/>
      <c r="U645" s="531">
        <v>0</v>
      </c>
      <c r="V645" s="531">
        <v>0</v>
      </c>
      <c r="W645" s="531">
        <v>0</v>
      </c>
      <c r="X645" s="490"/>
      <c r="Y645" s="969"/>
      <c r="Z645" s="969"/>
      <c r="AA645" s="969"/>
      <c r="AB645" s="969"/>
      <c r="AC645" s="969"/>
      <c r="AD645" s="969"/>
      <c r="AE645" s="969" t="str">
        <f t="shared" si="28"/>
        <v>TheewaterskloofNon-Exchange Revenue</v>
      </c>
      <c r="AF645" s="969"/>
      <c r="AG645" s="969"/>
    </row>
    <row r="646" spans="2:33" ht="13.2" customHeight="1" x14ac:dyDescent="0.55000000000000004">
      <c r="B646" s="371"/>
      <c r="C646" s="1010" t="s">
        <v>709</v>
      </c>
      <c r="D646" s="361" t="str">
        <f t="shared" si="29"/>
        <v>Road transport1800</v>
      </c>
      <c r="E646" s="361" t="str">
        <f t="shared" si="27"/>
        <v>TheewaterskloofRoad transportProperty rates</v>
      </c>
      <c r="F646" s="360" t="str">
        <f>'PART C- Municipal Details'!$G$7</f>
        <v>Theewaterskloof</v>
      </c>
      <c r="G646" s="361" t="s">
        <v>803</v>
      </c>
      <c r="H646" s="363" t="s">
        <v>809</v>
      </c>
      <c r="I646" s="496" t="s">
        <v>0</v>
      </c>
      <c r="J646" s="497" t="s">
        <v>707</v>
      </c>
      <c r="K646" s="490"/>
      <c r="L646" s="463" t="s">
        <v>0</v>
      </c>
      <c r="M646" s="459"/>
      <c r="N646" s="460"/>
      <c r="O646" s="460"/>
      <c r="P646" s="460"/>
      <c r="Q646" s="460"/>
      <c r="R646" s="460"/>
      <c r="S646" s="460"/>
      <c r="T646" s="460"/>
      <c r="U646" s="530">
        <v>0</v>
      </c>
      <c r="V646" s="530">
        <v>0</v>
      </c>
      <c r="W646" s="530">
        <v>0</v>
      </c>
      <c r="X646" s="490"/>
      <c r="Y646" s="969"/>
      <c r="Z646" s="969"/>
      <c r="AA646" s="969"/>
      <c r="AB646" s="969"/>
      <c r="AC646" s="969"/>
      <c r="AD646" s="969"/>
      <c r="AE646" s="969" t="str">
        <f t="shared" si="28"/>
        <v>TheewaterskloofProperty rates</v>
      </c>
      <c r="AF646" s="969"/>
      <c r="AG646" s="969"/>
    </row>
    <row r="647" spans="2:33" ht="13.2" customHeight="1" x14ac:dyDescent="0.55000000000000004">
      <c r="B647" s="371"/>
      <c r="C647" s="1010" t="s">
        <v>711</v>
      </c>
      <c r="D647" s="360" t="str">
        <f t="shared" si="29"/>
        <v>Road transport1900</v>
      </c>
      <c r="E647" s="360" t="str">
        <f t="shared" si="27"/>
        <v>TheewaterskloofRoad transportOther revenue</v>
      </c>
      <c r="F647" s="360" t="str">
        <f>'PART C- Municipal Details'!$G$7</f>
        <v>Theewaterskloof</v>
      </c>
      <c r="G647" s="360" t="s">
        <v>803</v>
      </c>
      <c r="H647" s="366" t="s">
        <v>809</v>
      </c>
      <c r="I647" s="496" t="s">
        <v>7</v>
      </c>
      <c r="J647" s="497" t="s">
        <v>710</v>
      </c>
      <c r="K647" s="490"/>
      <c r="L647" s="463" t="s">
        <v>713</v>
      </c>
      <c r="M647" s="459"/>
      <c r="N647" s="461"/>
      <c r="O647" s="461"/>
      <c r="P647" s="461"/>
      <c r="Q647" s="461"/>
      <c r="R647" s="461"/>
      <c r="S647" s="461"/>
      <c r="T647" s="461"/>
      <c r="U647" s="530">
        <v>0</v>
      </c>
      <c r="V647" s="530">
        <v>0</v>
      </c>
      <c r="W647" s="530">
        <v>0</v>
      </c>
      <c r="X647" s="490"/>
      <c r="Y647" s="969"/>
      <c r="Z647" s="969"/>
      <c r="AA647" s="969"/>
      <c r="AB647" s="969"/>
      <c r="AC647" s="969"/>
      <c r="AD647" s="969"/>
      <c r="AE647" s="969" t="str">
        <f t="shared" si="28"/>
        <v>TheewaterskloofSurcharges and Taxes</v>
      </c>
      <c r="AF647" s="969"/>
      <c r="AG647" s="969"/>
    </row>
    <row r="648" spans="2:33" ht="13.2" customHeight="1" x14ac:dyDescent="0.55000000000000004">
      <c r="B648" s="371"/>
      <c r="C648" s="1010" t="s">
        <v>714</v>
      </c>
      <c r="D648" s="361" t="str">
        <f t="shared" si="29"/>
        <v>Road transport2000</v>
      </c>
      <c r="E648" s="361" t="str">
        <f t="shared" si="27"/>
        <v>TheewaterskloofRoad transportFines, penalties and forfeits</v>
      </c>
      <c r="F648" s="360" t="str">
        <f>'PART C- Municipal Details'!$G$7</f>
        <v>Theewaterskloof</v>
      </c>
      <c r="G648" s="361" t="s">
        <v>803</v>
      </c>
      <c r="H648" s="363" t="s">
        <v>809</v>
      </c>
      <c r="I648" s="496" t="s">
        <v>691</v>
      </c>
      <c r="J648" s="497" t="s">
        <v>712</v>
      </c>
      <c r="K648" s="490"/>
      <c r="L648" s="463" t="s">
        <v>691</v>
      </c>
      <c r="M648" s="459"/>
      <c r="N648" s="461"/>
      <c r="O648" s="461"/>
      <c r="P648" s="461"/>
      <c r="Q648" s="461"/>
      <c r="R648" s="461"/>
      <c r="S648" s="461"/>
      <c r="T648" s="461"/>
      <c r="U648" s="530">
        <v>0</v>
      </c>
      <c r="V648" s="530">
        <v>0</v>
      </c>
      <c r="W648" s="530">
        <v>0</v>
      </c>
      <c r="X648" s="490"/>
      <c r="Y648" s="969"/>
      <c r="Z648" s="969"/>
      <c r="AA648" s="969"/>
      <c r="AB648" s="969"/>
      <c r="AC648" s="969"/>
      <c r="AD648" s="969"/>
      <c r="AE648" s="969" t="str">
        <f t="shared" si="28"/>
        <v>TheewaterskloofFines, penalties and forfeits</v>
      </c>
      <c r="AF648" s="969"/>
      <c r="AG648" s="969"/>
    </row>
    <row r="649" spans="2:33" ht="13.2" customHeight="1" x14ac:dyDescent="0.55000000000000004">
      <c r="B649" s="371"/>
      <c r="C649" s="1010" t="s">
        <v>715</v>
      </c>
      <c r="D649" s="360" t="str">
        <f t="shared" si="29"/>
        <v>Road transport2100</v>
      </c>
      <c r="E649" s="360" t="str">
        <f t="shared" si="27"/>
        <v>TheewaterskloofRoad transportLicences and permits</v>
      </c>
      <c r="F649" s="360" t="str">
        <f>'PART C- Municipal Details'!$G$7</f>
        <v>Theewaterskloof</v>
      </c>
      <c r="G649" s="360" t="s">
        <v>803</v>
      </c>
      <c r="H649" s="366" t="s">
        <v>809</v>
      </c>
      <c r="I649" s="496" t="s">
        <v>5</v>
      </c>
      <c r="J649" s="497" t="s">
        <v>8</v>
      </c>
      <c r="K649" s="490"/>
      <c r="L649" s="463" t="s">
        <v>716</v>
      </c>
      <c r="M649" s="459"/>
      <c r="N649" s="461"/>
      <c r="O649" s="461"/>
      <c r="P649" s="461"/>
      <c r="Q649" s="461"/>
      <c r="R649" s="461"/>
      <c r="S649" s="461"/>
      <c r="T649" s="461"/>
      <c r="U649" s="530">
        <v>0</v>
      </c>
      <c r="V649" s="530">
        <v>0</v>
      </c>
      <c r="W649" s="530">
        <v>0</v>
      </c>
      <c r="X649" s="490"/>
      <c r="Y649" s="969"/>
      <c r="Z649" s="969"/>
      <c r="AA649" s="969"/>
      <c r="AB649" s="969"/>
      <c r="AC649" s="969"/>
      <c r="AD649" s="969"/>
      <c r="AE649" s="969" t="str">
        <f t="shared" si="28"/>
        <v>TheewaterskloofLicences or permits</v>
      </c>
      <c r="AF649" s="969"/>
      <c r="AG649" s="969"/>
    </row>
    <row r="650" spans="2:33" ht="13.2" customHeight="1" x14ac:dyDescent="0.55000000000000004">
      <c r="B650" s="371"/>
      <c r="C650" s="1010" t="s">
        <v>717</v>
      </c>
      <c r="D650" s="361" t="str">
        <f t="shared" si="29"/>
        <v>Road transport2200</v>
      </c>
      <c r="E650" s="361" t="str">
        <f t="shared" si="27"/>
        <v>TheewaterskloofRoad transportTransfers and subsidies Income</v>
      </c>
      <c r="F650" s="360" t="str">
        <f>'PART C- Municipal Details'!$G$7</f>
        <v>Theewaterskloof</v>
      </c>
      <c r="G650" s="361" t="s">
        <v>803</v>
      </c>
      <c r="H650" s="363" t="s">
        <v>809</v>
      </c>
      <c r="I650" s="496" t="s">
        <v>698</v>
      </c>
      <c r="J650" s="497" t="s">
        <v>9</v>
      </c>
      <c r="K650" s="490"/>
      <c r="L650" s="463" t="s">
        <v>718</v>
      </c>
      <c r="M650" s="459"/>
      <c r="N650" s="461"/>
      <c r="O650" s="461"/>
      <c r="P650" s="461"/>
      <c r="Q650" s="461"/>
      <c r="R650" s="461"/>
      <c r="S650" s="461"/>
      <c r="T650" s="461"/>
      <c r="U650" s="530">
        <v>165000</v>
      </c>
      <c r="V650" s="530">
        <v>185000</v>
      </c>
      <c r="W650" s="530">
        <v>185000</v>
      </c>
      <c r="X650" s="490"/>
      <c r="Y650" s="969"/>
      <c r="Z650" s="969"/>
      <c r="AA650" s="969"/>
      <c r="AB650" s="969"/>
      <c r="AC650" s="969"/>
      <c r="AD650" s="969"/>
      <c r="AE650" s="969" t="str">
        <f t="shared" si="28"/>
        <v>TheewaterskloofTransfer and subsidies - Operational</v>
      </c>
      <c r="AF650" s="969"/>
      <c r="AG650" s="969"/>
    </row>
    <row r="651" spans="2:33" ht="13.2" customHeight="1" x14ac:dyDescent="0.55000000000000004">
      <c r="B651" s="371"/>
      <c r="C651" s="1010" t="s">
        <v>719</v>
      </c>
      <c r="D651" s="360" t="str">
        <f t="shared" si="29"/>
        <v>Road transport2300</v>
      </c>
      <c r="E651" s="360" t="str">
        <f t="shared" si="27"/>
        <v>TheewaterskloofRoad transportInterest earned - external investments</v>
      </c>
      <c r="F651" s="360" t="str">
        <f>'PART C- Municipal Details'!$G$7</f>
        <v>Theewaterskloof</v>
      </c>
      <c r="G651" s="360" t="s">
        <v>803</v>
      </c>
      <c r="H651" s="366" t="s">
        <v>809</v>
      </c>
      <c r="I651" s="496" t="s">
        <v>2</v>
      </c>
      <c r="J651" s="497" t="s">
        <v>10</v>
      </c>
      <c r="K651" s="490"/>
      <c r="L651" s="463" t="s">
        <v>687</v>
      </c>
      <c r="M651" s="459"/>
      <c r="N651" s="461"/>
      <c r="O651" s="461"/>
      <c r="P651" s="461"/>
      <c r="Q651" s="461"/>
      <c r="R651" s="461"/>
      <c r="S651" s="461"/>
      <c r="T651" s="461"/>
      <c r="U651" s="530">
        <v>0</v>
      </c>
      <c r="V651" s="530">
        <v>0</v>
      </c>
      <c r="W651" s="530">
        <v>0</v>
      </c>
      <c r="X651" s="490"/>
      <c r="Y651" s="969"/>
      <c r="Z651" s="969"/>
      <c r="AA651" s="969"/>
      <c r="AB651" s="969"/>
      <c r="AC651" s="969"/>
      <c r="AD651" s="969"/>
      <c r="AE651" s="969" t="str">
        <f t="shared" si="28"/>
        <v>TheewaterskloofInterest</v>
      </c>
      <c r="AF651" s="969"/>
      <c r="AG651" s="969"/>
    </row>
    <row r="652" spans="2:33" ht="13.2" customHeight="1" x14ac:dyDescent="0.55000000000000004">
      <c r="B652" s="371"/>
      <c r="C652" s="1010" t="s">
        <v>721</v>
      </c>
      <c r="D652" s="361" t="str">
        <f t="shared" si="29"/>
        <v>Road transport2400</v>
      </c>
      <c r="E652" s="361" t="str">
        <f t="shared" si="27"/>
        <v>TheewaterskloofRoad transportOther revenue</v>
      </c>
      <c r="F652" s="360" t="str">
        <f>'PART C- Municipal Details'!$G$7</f>
        <v>Theewaterskloof</v>
      </c>
      <c r="G652" s="361" t="s">
        <v>803</v>
      </c>
      <c r="H652" s="363" t="s">
        <v>809</v>
      </c>
      <c r="I652" s="496" t="s">
        <v>7</v>
      </c>
      <c r="J652" s="497" t="s">
        <v>720</v>
      </c>
      <c r="K652" s="490"/>
      <c r="L652" s="463" t="s">
        <v>722</v>
      </c>
      <c r="M652" s="459"/>
      <c r="N652" s="461"/>
      <c r="O652" s="461"/>
      <c r="P652" s="461"/>
      <c r="Q652" s="461"/>
      <c r="R652" s="461"/>
      <c r="S652" s="461"/>
      <c r="T652" s="461"/>
      <c r="U652" s="530">
        <v>0</v>
      </c>
      <c r="V652" s="530">
        <v>0</v>
      </c>
      <c r="W652" s="530">
        <v>0</v>
      </c>
      <c r="X652" s="490"/>
      <c r="Y652" s="969"/>
      <c r="Z652" s="969"/>
      <c r="AA652" s="969"/>
      <c r="AB652" s="969"/>
      <c r="AC652" s="969"/>
      <c r="AD652" s="969"/>
      <c r="AE652" s="969" t="str">
        <f t="shared" si="28"/>
        <v>TheewaterskloofFuel Levy</v>
      </c>
      <c r="AF652" s="969"/>
      <c r="AG652" s="969"/>
    </row>
    <row r="653" spans="2:33" ht="13.2" customHeight="1" x14ac:dyDescent="0.55000000000000004">
      <c r="B653" s="371"/>
      <c r="C653" s="1010" t="s">
        <v>723</v>
      </c>
      <c r="D653" s="360" t="str">
        <f t="shared" si="29"/>
        <v>Road transport2500</v>
      </c>
      <c r="E653" s="360" t="str">
        <f t="shared" si="27"/>
        <v>TheewaterskloofRoad transportOther revenue</v>
      </c>
      <c r="F653" s="360" t="str">
        <f>'PART C- Municipal Details'!$G$7</f>
        <v>Theewaterskloof</v>
      </c>
      <c r="G653" s="360" t="s">
        <v>803</v>
      </c>
      <c r="H653" s="366" t="s">
        <v>809</v>
      </c>
      <c r="I653" s="496" t="s">
        <v>7</v>
      </c>
      <c r="J653" s="497" t="s">
        <v>11</v>
      </c>
      <c r="K653" s="490"/>
      <c r="L653" s="463" t="s">
        <v>704</v>
      </c>
      <c r="M653" s="459"/>
      <c r="N653" s="461"/>
      <c r="O653" s="461"/>
      <c r="P653" s="461"/>
      <c r="Q653" s="461"/>
      <c r="R653" s="461"/>
      <c r="S653" s="461"/>
      <c r="T653" s="461"/>
      <c r="U653" s="530">
        <v>0</v>
      </c>
      <c r="V653" s="530">
        <v>0</v>
      </c>
      <c r="W653" s="530">
        <v>0</v>
      </c>
      <c r="X653" s="490"/>
      <c r="Y653" s="969"/>
      <c r="Z653" s="969"/>
      <c r="AA653" s="969"/>
      <c r="AB653" s="969"/>
      <c r="AC653" s="969"/>
      <c r="AD653" s="969"/>
      <c r="AE653" s="969" t="str">
        <f t="shared" si="28"/>
        <v>TheewaterskloofOperational Revenue</v>
      </c>
      <c r="AF653" s="969"/>
      <c r="AG653" s="969"/>
    </row>
    <row r="654" spans="2:33" ht="13.2" customHeight="1" x14ac:dyDescent="0.55000000000000004">
      <c r="B654" s="371"/>
      <c r="C654" s="1010" t="s">
        <v>725</v>
      </c>
      <c r="D654" s="361" t="str">
        <f t="shared" si="29"/>
        <v>Road transport2600</v>
      </c>
      <c r="E654" s="361" t="str">
        <f t="shared" si="27"/>
        <v>TheewaterskloofRoad transportGains</v>
      </c>
      <c r="F654" s="360" t="str">
        <f>'PART C- Municipal Details'!$G$7</f>
        <v>Theewaterskloof</v>
      </c>
      <c r="G654" s="361" t="s">
        <v>803</v>
      </c>
      <c r="H654" s="363" t="s">
        <v>809</v>
      </c>
      <c r="I654" s="496" t="s">
        <v>703</v>
      </c>
      <c r="J654" s="497" t="s">
        <v>724</v>
      </c>
      <c r="K654" s="490"/>
      <c r="L654" s="463" t="s">
        <v>727</v>
      </c>
      <c r="M654" s="459"/>
      <c r="N654" s="461"/>
      <c r="O654" s="461"/>
      <c r="P654" s="461"/>
      <c r="Q654" s="461"/>
      <c r="R654" s="461"/>
      <c r="S654" s="461"/>
      <c r="T654" s="461"/>
      <c r="U654" s="530">
        <v>0</v>
      </c>
      <c r="V654" s="530">
        <v>0</v>
      </c>
      <c r="W654" s="530">
        <v>0</v>
      </c>
      <c r="X654" s="490"/>
      <c r="Y654" s="969"/>
      <c r="Z654" s="969"/>
      <c r="AA654" s="969"/>
      <c r="AB654" s="969"/>
      <c r="AC654" s="969"/>
      <c r="AD654" s="969"/>
      <c r="AE654" s="969" t="str">
        <f t="shared" si="28"/>
        <v>TheewaterskloofGains on disposal of Assets</v>
      </c>
      <c r="AF654" s="969"/>
      <c r="AG654" s="969"/>
    </row>
    <row r="655" spans="2:33" ht="13.2" customHeight="1" x14ac:dyDescent="0.55000000000000004">
      <c r="B655" s="371"/>
      <c r="C655" s="1010" t="s">
        <v>728</v>
      </c>
      <c r="D655" s="360" t="str">
        <f t="shared" si="29"/>
        <v>Road transport2700</v>
      </c>
      <c r="E655" s="360" t="str">
        <f t="shared" ref="E655:E719" si="30">F655&amp;H655&amp;I655</f>
        <v>TheewaterskloofRoad transportOther revenue</v>
      </c>
      <c r="F655" s="360" t="str">
        <f>'PART C- Municipal Details'!$G$7</f>
        <v>Theewaterskloof</v>
      </c>
      <c r="G655" s="360" t="s">
        <v>803</v>
      </c>
      <c r="H655" s="366" t="s">
        <v>809</v>
      </c>
      <c r="I655" s="496" t="s">
        <v>7</v>
      </c>
      <c r="J655" s="497" t="s">
        <v>726</v>
      </c>
      <c r="K655" s="490"/>
      <c r="L655" s="463" t="s">
        <v>729</v>
      </c>
      <c r="M655" s="459"/>
      <c r="N655" s="461"/>
      <c r="O655" s="461"/>
      <c r="P655" s="461"/>
      <c r="Q655" s="461"/>
      <c r="R655" s="461"/>
      <c r="S655" s="461"/>
      <c r="T655" s="461"/>
      <c r="U655" s="530">
        <v>0</v>
      </c>
      <c r="V655" s="530">
        <v>0</v>
      </c>
      <c r="W655" s="530">
        <v>0</v>
      </c>
      <c r="X655" s="490"/>
      <c r="Y655" s="969"/>
      <c r="Z655" s="969"/>
      <c r="AA655" s="969"/>
      <c r="AB655" s="969"/>
      <c r="AC655" s="969"/>
      <c r="AD655" s="969"/>
      <c r="AE655" s="969" t="str">
        <f t="shared" ref="AE655:AE719" si="31">F655&amp;L655</f>
        <v>TheewaterskloofOther Gains</v>
      </c>
      <c r="AF655" s="969"/>
      <c r="AG655" s="969"/>
    </row>
    <row r="656" spans="2:33" ht="13.2" customHeight="1" x14ac:dyDescent="0.55000000000000004">
      <c r="B656" s="371"/>
      <c r="C656" s="1010" t="s">
        <v>730</v>
      </c>
      <c r="D656" s="361" t="str">
        <f t="shared" si="29"/>
        <v>Road transport2800</v>
      </c>
      <c r="E656" s="361" t="str">
        <f t="shared" si="30"/>
        <v>TheewaterskloofRoad transportOther revenue</v>
      </c>
      <c r="F656" s="360" t="str">
        <f>'PART C- Municipal Details'!$G$7</f>
        <v>Theewaterskloof</v>
      </c>
      <c r="G656" s="361" t="s">
        <v>803</v>
      </c>
      <c r="H656" s="363" t="s">
        <v>809</v>
      </c>
      <c r="I656" s="496" t="s">
        <v>7</v>
      </c>
      <c r="J656" s="497" t="s">
        <v>12</v>
      </c>
      <c r="K656" s="490"/>
      <c r="L656" s="464" t="s">
        <v>731</v>
      </c>
      <c r="M656" s="459"/>
      <c r="N656" s="461"/>
      <c r="O656" s="461"/>
      <c r="P656" s="461"/>
      <c r="Q656" s="461"/>
      <c r="R656" s="461"/>
      <c r="S656" s="461"/>
      <c r="T656" s="461"/>
      <c r="U656" s="530">
        <v>0</v>
      </c>
      <c r="V656" s="530">
        <v>0</v>
      </c>
      <c r="W656" s="530">
        <v>0</v>
      </c>
      <c r="X656" s="490"/>
      <c r="Y656" s="969"/>
      <c r="Z656" s="969"/>
      <c r="AA656" s="969"/>
      <c r="AB656" s="969"/>
      <c r="AC656" s="969"/>
      <c r="AD656" s="969"/>
      <c r="AE656" s="969" t="str">
        <f t="shared" si="31"/>
        <v>TheewaterskloofDiscontinued Operations</v>
      </c>
      <c r="AF656" s="969"/>
      <c r="AG656" s="969"/>
    </row>
    <row r="657" spans="2:33" ht="13.2" customHeight="1" x14ac:dyDescent="0.55000000000000004">
      <c r="B657" s="371"/>
      <c r="C657" s="1009" t="s">
        <v>732</v>
      </c>
      <c r="D657" s="360" t="str">
        <f t="shared" si="29"/>
        <v>Road transport2900</v>
      </c>
      <c r="E657" s="360" t="str">
        <f t="shared" si="30"/>
        <v>TheewaterskloofRoad transportTotal Revenue (excluding capital transfers and contributions)</v>
      </c>
      <c r="F657" s="360" t="str">
        <f>'PART C- Municipal Details'!$G$7</f>
        <v>Theewaterskloof</v>
      </c>
      <c r="G657" s="360" t="s">
        <v>803</v>
      </c>
      <c r="H657" s="366" t="s">
        <v>809</v>
      </c>
      <c r="I657" s="496" t="s">
        <v>707</v>
      </c>
      <c r="J657" s="497" t="s">
        <v>204</v>
      </c>
      <c r="K657" s="490"/>
      <c r="L657" s="508" t="s">
        <v>707</v>
      </c>
      <c r="M657" s="509"/>
      <c r="N657" s="510"/>
      <c r="O657" s="510"/>
      <c r="P657" s="510"/>
      <c r="Q657" s="510"/>
      <c r="R657" s="510"/>
      <c r="S657" s="510"/>
      <c r="T657" s="511"/>
      <c r="U657" s="531">
        <v>8456000</v>
      </c>
      <c r="V657" s="531">
        <v>8757894</v>
      </c>
      <c r="W657" s="531">
        <v>9032228</v>
      </c>
      <c r="X657" s="490"/>
      <c r="Y657" s="969"/>
      <c r="Z657" s="969"/>
      <c r="AA657" s="969"/>
      <c r="AB657" s="969"/>
      <c r="AC657" s="969"/>
      <c r="AD657" s="969"/>
      <c r="AE657" s="969" t="str">
        <f t="shared" si="31"/>
        <v>TheewaterskloofTotal Revenue (excluding capital transfers and contributions)</v>
      </c>
      <c r="AF657" s="969"/>
      <c r="AG657" s="969"/>
    </row>
    <row r="658" spans="2:33" ht="13.2" customHeight="1" x14ac:dyDescent="0.55000000000000004">
      <c r="B658" s="371"/>
      <c r="C658" s="1009" t="s">
        <v>733</v>
      </c>
      <c r="D658" s="361" t="str">
        <f t="shared" ref="D658:D722" si="32">H658&amp;C658</f>
        <v>Road transport3000</v>
      </c>
      <c r="E658" s="361" t="str">
        <f t="shared" si="30"/>
        <v>TheewaterskloofRoad transportx</v>
      </c>
      <c r="F658" s="360" t="str">
        <f>'PART C- Municipal Details'!$G$7</f>
        <v>Theewaterskloof</v>
      </c>
      <c r="G658" s="361" t="s">
        <v>803</v>
      </c>
      <c r="H658" s="363" t="s">
        <v>809</v>
      </c>
      <c r="I658" s="496" t="s">
        <v>789</v>
      </c>
      <c r="J658" s="497" t="s">
        <v>13</v>
      </c>
      <c r="K658" s="490"/>
      <c r="L658" s="505" t="s">
        <v>22</v>
      </c>
      <c r="M658" s="506"/>
      <c r="N658" s="507"/>
      <c r="O658" s="507"/>
      <c r="P658" s="507"/>
      <c r="Q658" s="507"/>
      <c r="R658" s="507"/>
      <c r="S658" s="507"/>
      <c r="T658" s="507"/>
      <c r="U658" s="531">
        <v>0</v>
      </c>
      <c r="V658" s="531">
        <v>0</v>
      </c>
      <c r="W658" s="531">
        <v>0</v>
      </c>
      <c r="X658" s="490"/>
      <c r="Y658" s="969"/>
      <c r="Z658" s="969"/>
      <c r="AA658" s="969"/>
      <c r="AB658" s="969"/>
      <c r="AC658" s="969"/>
      <c r="AD658" s="969"/>
      <c r="AE658" s="969" t="str">
        <f t="shared" si="31"/>
        <v>TheewaterskloofExpenditure</v>
      </c>
      <c r="AF658" s="969"/>
      <c r="AG658" s="969"/>
    </row>
    <row r="659" spans="2:33" ht="13.2" customHeight="1" x14ac:dyDescent="0.55000000000000004">
      <c r="B659" s="371"/>
      <c r="C659" s="1010" t="s">
        <v>735</v>
      </c>
      <c r="D659" s="360" t="str">
        <f t="shared" si="32"/>
        <v>Road transport3100</v>
      </c>
      <c r="E659" s="360" t="str">
        <f t="shared" si="30"/>
        <v>TheewaterskloofRoad transportEmployee related costs</v>
      </c>
      <c r="F659" s="360" t="str">
        <f>'PART C- Municipal Details'!$G$7</f>
        <v>Theewaterskloof</v>
      </c>
      <c r="G659" s="360" t="s">
        <v>803</v>
      </c>
      <c r="H659" s="366" t="s">
        <v>809</v>
      </c>
      <c r="I659" s="496" t="s">
        <v>8</v>
      </c>
      <c r="J659" s="497" t="s">
        <v>734</v>
      </c>
      <c r="K659" s="490"/>
      <c r="L659" s="463" t="s">
        <v>8</v>
      </c>
      <c r="M659" s="459"/>
      <c r="N659" s="461"/>
      <c r="O659" s="461"/>
      <c r="P659" s="461"/>
      <c r="Q659" s="461"/>
      <c r="R659" s="461"/>
      <c r="S659" s="461"/>
      <c r="T659" s="461"/>
      <c r="U659" s="530">
        <v>33670868</v>
      </c>
      <c r="V659" s="530">
        <v>34815679</v>
      </c>
      <c r="W659" s="530">
        <v>35929780</v>
      </c>
      <c r="X659" s="490"/>
      <c r="Y659" s="969"/>
      <c r="Z659" s="969"/>
      <c r="AA659" s="969"/>
      <c r="AB659" s="969"/>
      <c r="AC659" s="969"/>
      <c r="AD659" s="969"/>
      <c r="AE659" s="969" t="str">
        <f t="shared" si="31"/>
        <v>TheewaterskloofEmployee related costs</v>
      </c>
      <c r="AF659" s="969"/>
      <c r="AG659" s="969"/>
    </row>
    <row r="660" spans="2:33" ht="13.2" customHeight="1" x14ac:dyDescent="0.55000000000000004">
      <c r="B660" s="371"/>
      <c r="C660" s="1010" t="s">
        <v>737</v>
      </c>
      <c r="D660" s="361" t="str">
        <f t="shared" si="32"/>
        <v>Road transport3200</v>
      </c>
      <c r="E660" s="361" t="str">
        <f t="shared" si="30"/>
        <v>TheewaterskloofRoad transportRemuneration of councillors</v>
      </c>
      <c r="F660" s="360" t="str">
        <f>'PART C- Municipal Details'!$G$7</f>
        <v>Theewaterskloof</v>
      </c>
      <c r="G660" s="361" t="s">
        <v>803</v>
      </c>
      <c r="H660" s="363" t="s">
        <v>809</v>
      </c>
      <c r="I660" s="496" t="s">
        <v>9</v>
      </c>
      <c r="J660" s="497" t="s">
        <v>736</v>
      </c>
      <c r="K660" s="490"/>
      <c r="L660" s="463" t="s">
        <v>9</v>
      </c>
      <c r="M660" s="459"/>
      <c r="N660" s="461"/>
      <c r="O660" s="461"/>
      <c r="P660" s="461"/>
      <c r="Q660" s="461"/>
      <c r="R660" s="461"/>
      <c r="S660" s="461"/>
      <c r="T660" s="461"/>
      <c r="U660" s="530">
        <v>0</v>
      </c>
      <c r="V660" s="530">
        <v>0</v>
      </c>
      <c r="W660" s="530">
        <v>0</v>
      </c>
      <c r="X660" s="490"/>
      <c r="Y660" s="969"/>
      <c r="Z660" s="969"/>
      <c r="AA660" s="969"/>
      <c r="AB660" s="969"/>
      <c r="AC660" s="969"/>
      <c r="AD660" s="969"/>
      <c r="AE660" s="969" t="str">
        <f t="shared" si="31"/>
        <v>TheewaterskloofRemuneration of councillors</v>
      </c>
      <c r="AF660" s="969"/>
      <c r="AG660" s="969"/>
    </row>
    <row r="661" spans="2:33" ht="13.2" customHeight="1" x14ac:dyDescent="0.55000000000000004">
      <c r="B661" s="371"/>
      <c r="C661" s="1010" t="s">
        <v>738</v>
      </c>
      <c r="D661" s="360" t="str">
        <f t="shared" si="32"/>
        <v>Road transport3300</v>
      </c>
      <c r="E661" s="360" t="str">
        <f t="shared" si="30"/>
        <v>TheewaterskloofRoad transportBulk purchases - electricity</v>
      </c>
      <c r="F661" s="360" t="str">
        <f>'PART C- Municipal Details'!$G$7</f>
        <v>Theewaterskloof</v>
      </c>
      <c r="G661" s="360" t="s">
        <v>803</v>
      </c>
      <c r="H661" s="366" t="s">
        <v>809</v>
      </c>
      <c r="I661" s="496" t="s">
        <v>724</v>
      </c>
      <c r="J661" s="497" t="s">
        <v>710</v>
      </c>
      <c r="K661" s="490"/>
      <c r="L661" s="463" t="s">
        <v>724</v>
      </c>
      <c r="M661" s="459"/>
      <c r="N661" s="461"/>
      <c r="O661" s="461"/>
      <c r="P661" s="461"/>
      <c r="Q661" s="461"/>
      <c r="R661" s="461"/>
      <c r="S661" s="461"/>
      <c r="T661" s="461"/>
      <c r="U661" s="530">
        <v>0</v>
      </c>
      <c r="V661" s="530">
        <v>0</v>
      </c>
      <c r="W661" s="530">
        <v>0</v>
      </c>
      <c r="X661" s="490"/>
      <c r="Y661" s="969"/>
      <c r="Z661" s="969"/>
      <c r="AA661" s="969"/>
      <c r="AB661" s="969"/>
      <c r="AC661" s="969"/>
      <c r="AD661" s="969"/>
      <c r="AE661" s="969" t="str">
        <f t="shared" si="31"/>
        <v>TheewaterskloofBulk purchases - electricity</v>
      </c>
      <c r="AF661" s="969"/>
      <c r="AG661" s="969"/>
    </row>
    <row r="662" spans="2:33" ht="13.2" customHeight="1" x14ac:dyDescent="0.55000000000000004">
      <c r="B662" s="371"/>
      <c r="C662" s="1010" t="s">
        <v>739</v>
      </c>
      <c r="D662" s="361" t="str">
        <f t="shared" si="32"/>
        <v>Road transport3400</v>
      </c>
      <c r="E662" s="361" t="str">
        <f t="shared" si="30"/>
        <v>TheewaterskloofRoad transportInventory consumed</v>
      </c>
      <c r="F662" s="360" t="str">
        <f>'PART C- Municipal Details'!$G$7</f>
        <v>Theewaterskloof</v>
      </c>
      <c r="G662" s="361" t="s">
        <v>803</v>
      </c>
      <c r="H662" s="363" t="s">
        <v>809</v>
      </c>
      <c r="I662" s="496" t="s">
        <v>726</v>
      </c>
      <c r="J662" s="497" t="s">
        <v>635</v>
      </c>
      <c r="K662" s="490"/>
      <c r="L662" s="463" t="s">
        <v>726</v>
      </c>
      <c r="M662" s="459"/>
      <c r="N662" s="461"/>
      <c r="O662" s="461"/>
      <c r="P662" s="461"/>
      <c r="Q662" s="461"/>
      <c r="R662" s="461"/>
      <c r="S662" s="461"/>
      <c r="T662" s="461"/>
      <c r="U662" s="530">
        <v>2165780</v>
      </c>
      <c r="V662" s="530">
        <v>2239419</v>
      </c>
      <c r="W662" s="530">
        <v>2311081</v>
      </c>
      <c r="X662" s="490"/>
      <c r="Y662" s="969"/>
      <c r="Z662" s="969"/>
      <c r="AA662" s="969"/>
      <c r="AB662" s="969"/>
      <c r="AC662" s="969"/>
      <c r="AD662" s="969"/>
      <c r="AE662" s="969" t="str">
        <f t="shared" si="31"/>
        <v>TheewaterskloofInventory consumed</v>
      </c>
      <c r="AF662" s="969"/>
      <c r="AG662" s="969"/>
    </row>
    <row r="663" spans="2:33" ht="13.2" customHeight="1" x14ac:dyDescent="0.55000000000000004">
      <c r="B663" s="371"/>
      <c r="C663" s="1010" t="s">
        <v>741</v>
      </c>
      <c r="D663" s="360" t="str">
        <f t="shared" si="32"/>
        <v>Road transport3500</v>
      </c>
      <c r="E663" s="360" t="str">
        <f t="shared" si="30"/>
        <v>TheewaterskloofRoad transportDebt impairment</v>
      </c>
      <c r="F663" s="360" t="str">
        <f>'PART C- Municipal Details'!$G$7</f>
        <v>Theewaterskloof</v>
      </c>
      <c r="G663" s="360" t="s">
        <v>803</v>
      </c>
      <c r="H663" s="366" t="s">
        <v>809</v>
      </c>
      <c r="I663" s="496" t="s">
        <v>10</v>
      </c>
      <c r="J663" s="497" t="s">
        <v>740</v>
      </c>
      <c r="K663" s="490"/>
      <c r="L663" s="463" t="s">
        <v>10</v>
      </c>
      <c r="M663" s="459"/>
      <c r="N663" s="461"/>
      <c r="O663" s="461"/>
      <c r="P663" s="461"/>
      <c r="Q663" s="461"/>
      <c r="R663" s="461"/>
      <c r="S663" s="461"/>
      <c r="T663" s="461"/>
      <c r="U663" s="530">
        <v>0</v>
      </c>
      <c r="V663" s="530">
        <v>0</v>
      </c>
      <c r="W663" s="530">
        <v>0</v>
      </c>
      <c r="X663" s="490"/>
      <c r="Y663" s="969"/>
      <c r="Z663" s="969"/>
      <c r="AA663" s="969"/>
      <c r="AB663" s="969"/>
      <c r="AC663" s="969"/>
      <c r="AD663" s="969"/>
      <c r="AE663" s="969" t="str">
        <f t="shared" si="31"/>
        <v>TheewaterskloofDebt impairment</v>
      </c>
      <c r="AF663" s="969"/>
      <c r="AG663" s="969"/>
    </row>
    <row r="664" spans="2:33" ht="13.2" customHeight="1" x14ac:dyDescent="0.55000000000000004">
      <c r="B664" s="371"/>
      <c r="C664" s="1010" t="s">
        <v>743</v>
      </c>
      <c r="D664" s="361" t="str">
        <f t="shared" si="32"/>
        <v>Road transport3600</v>
      </c>
      <c r="E664" s="361" t="str">
        <f t="shared" si="30"/>
        <v>TheewaterskloofRoad transportDepreciation and asset impairment</v>
      </c>
      <c r="F664" s="360" t="str">
        <f>'PART C- Municipal Details'!$G$7</f>
        <v>Theewaterskloof</v>
      </c>
      <c r="G664" s="361" t="s">
        <v>803</v>
      </c>
      <c r="H664" s="363" t="s">
        <v>809</v>
      </c>
      <c r="I664" s="496" t="s">
        <v>720</v>
      </c>
      <c r="J664" s="497" t="s">
        <v>742</v>
      </c>
      <c r="K664" s="490"/>
      <c r="L664" s="463" t="s">
        <v>745</v>
      </c>
      <c r="M664" s="459"/>
      <c r="N664" s="461"/>
      <c r="O664" s="461"/>
      <c r="P664" s="461"/>
      <c r="Q664" s="461"/>
      <c r="R664" s="461"/>
      <c r="S664" s="461"/>
      <c r="T664" s="461"/>
      <c r="U664" s="530">
        <v>4673514</v>
      </c>
      <c r="V664" s="530">
        <v>4907190</v>
      </c>
      <c r="W664" s="530">
        <v>5152549</v>
      </c>
      <c r="X664" s="490"/>
      <c r="Y664" s="969"/>
      <c r="Z664" s="969"/>
      <c r="AA664" s="969"/>
      <c r="AB664" s="969"/>
      <c r="AC664" s="969"/>
      <c r="AD664" s="969"/>
      <c r="AE664" s="969" t="str">
        <f t="shared" si="31"/>
        <v>TheewaterskloofDepreciation and amortisation</v>
      </c>
      <c r="AF664" s="969"/>
      <c r="AG664" s="969"/>
    </row>
    <row r="665" spans="2:33" ht="13.2" customHeight="1" x14ac:dyDescent="0.55000000000000004">
      <c r="B665" s="371"/>
      <c r="C665" s="1010" t="s">
        <v>746</v>
      </c>
      <c r="D665" s="360" t="str">
        <f t="shared" si="32"/>
        <v>Road transport3700</v>
      </c>
      <c r="E665" s="360" t="str">
        <f t="shared" si="30"/>
        <v>TheewaterskloofRoad transportFinance charges</v>
      </c>
      <c r="F665" s="360" t="str">
        <f>'PART C- Municipal Details'!$G$7</f>
        <v>Theewaterskloof</v>
      </c>
      <c r="G665" s="360" t="s">
        <v>803</v>
      </c>
      <c r="H665" s="366" t="s">
        <v>809</v>
      </c>
      <c r="I665" s="496" t="s">
        <v>11</v>
      </c>
      <c r="J665" s="497" t="s">
        <v>744</v>
      </c>
      <c r="K665" s="490"/>
      <c r="L665" s="463" t="s">
        <v>687</v>
      </c>
      <c r="M665" s="459"/>
      <c r="N665" s="461"/>
      <c r="O665" s="461"/>
      <c r="P665" s="461"/>
      <c r="Q665" s="461"/>
      <c r="R665" s="461"/>
      <c r="S665" s="461"/>
      <c r="T665" s="461"/>
      <c r="U665" s="530">
        <v>582031</v>
      </c>
      <c r="V665" s="530">
        <v>601820</v>
      </c>
      <c r="W665" s="530">
        <v>621078</v>
      </c>
      <c r="X665" s="490"/>
      <c r="Y665" s="969"/>
      <c r="Z665" s="969"/>
      <c r="AA665" s="969"/>
      <c r="AB665" s="969"/>
      <c r="AC665" s="969"/>
      <c r="AD665" s="969"/>
      <c r="AE665" s="969" t="str">
        <f t="shared" si="31"/>
        <v>TheewaterskloofInterest</v>
      </c>
      <c r="AF665" s="969"/>
      <c r="AG665" s="969"/>
    </row>
    <row r="666" spans="2:33" ht="13.2" customHeight="1" x14ac:dyDescent="0.55000000000000004">
      <c r="B666" s="371"/>
      <c r="C666" s="1010" t="s">
        <v>748</v>
      </c>
      <c r="D666" s="361" t="str">
        <f t="shared" si="32"/>
        <v>Road transport3800</v>
      </c>
      <c r="E666" s="361" t="str">
        <f t="shared" si="30"/>
        <v>TheewaterskloofRoad transportContracted services</v>
      </c>
      <c r="F666" s="360" t="str">
        <f>'PART C- Municipal Details'!$G$7</f>
        <v>Theewaterskloof</v>
      </c>
      <c r="G666" s="361" t="s">
        <v>803</v>
      </c>
      <c r="H666" s="363" t="s">
        <v>809</v>
      </c>
      <c r="I666" s="496" t="s">
        <v>12</v>
      </c>
      <c r="J666" s="497" t="s">
        <v>747</v>
      </c>
      <c r="K666" s="490"/>
      <c r="L666" s="463" t="s">
        <v>12</v>
      </c>
      <c r="M666" s="459"/>
      <c r="N666" s="461"/>
      <c r="O666" s="461"/>
      <c r="P666" s="461"/>
      <c r="Q666" s="461"/>
      <c r="R666" s="461"/>
      <c r="S666" s="461"/>
      <c r="T666" s="461"/>
      <c r="U666" s="530">
        <v>6846304</v>
      </c>
      <c r="V666" s="530">
        <v>7079102</v>
      </c>
      <c r="W666" s="530">
        <v>7305659</v>
      </c>
      <c r="X666" s="490"/>
      <c r="Y666" s="969"/>
      <c r="Z666" s="969"/>
      <c r="AA666" s="969"/>
      <c r="AB666" s="969"/>
      <c r="AC666" s="969"/>
      <c r="AD666" s="969"/>
      <c r="AE666" s="969" t="str">
        <f t="shared" si="31"/>
        <v>TheewaterskloofContracted services</v>
      </c>
      <c r="AF666" s="969"/>
      <c r="AG666" s="969"/>
    </row>
    <row r="667" spans="2:33" ht="13.2" customHeight="1" x14ac:dyDescent="0.55000000000000004">
      <c r="B667" s="371"/>
      <c r="C667" s="1010" t="s">
        <v>750</v>
      </c>
      <c r="D667" s="360" t="str">
        <f t="shared" si="32"/>
        <v>Road transport3900</v>
      </c>
      <c r="E667" s="360" t="str">
        <f t="shared" si="30"/>
        <v>TheewaterskloofRoad transportTransfers and subsidies</v>
      </c>
      <c r="F667" s="360" t="str">
        <f>'PART C- Municipal Details'!$G$7</f>
        <v>Theewaterskloof</v>
      </c>
      <c r="G667" s="360" t="s">
        <v>803</v>
      </c>
      <c r="H667" s="366" t="s">
        <v>809</v>
      </c>
      <c r="I667" s="496" t="s">
        <v>204</v>
      </c>
      <c r="J667" s="497" t="s">
        <v>749</v>
      </c>
      <c r="K667" s="490"/>
      <c r="L667" s="463" t="s">
        <v>204</v>
      </c>
      <c r="M667" s="459"/>
      <c r="N667" s="461"/>
      <c r="O667" s="461"/>
      <c r="P667" s="461"/>
      <c r="Q667" s="461"/>
      <c r="R667" s="461"/>
      <c r="S667" s="461"/>
      <c r="T667" s="461"/>
      <c r="U667" s="530">
        <v>0</v>
      </c>
      <c r="V667" s="530">
        <v>0</v>
      </c>
      <c r="W667" s="530">
        <v>0</v>
      </c>
      <c r="X667" s="490"/>
      <c r="Y667" s="969"/>
      <c r="Z667" s="969"/>
      <c r="AA667" s="969"/>
      <c r="AB667" s="969"/>
      <c r="AC667" s="969"/>
      <c r="AD667" s="969"/>
      <c r="AE667" s="969" t="str">
        <f t="shared" si="31"/>
        <v>TheewaterskloofTransfers and subsidies</v>
      </c>
      <c r="AF667" s="969"/>
      <c r="AG667" s="969"/>
    </row>
    <row r="668" spans="2:33" ht="13.2" customHeight="1" x14ac:dyDescent="0.55000000000000004">
      <c r="B668" s="371"/>
      <c r="C668" s="1010" t="s">
        <v>752</v>
      </c>
      <c r="D668" s="361" t="str">
        <f t="shared" si="32"/>
        <v>Road transport4000</v>
      </c>
      <c r="E668" s="361" t="str">
        <f t="shared" si="30"/>
        <v>TheewaterskloofRoad transportOther expenditure</v>
      </c>
      <c r="F668" s="360" t="str">
        <f>'PART C- Municipal Details'!$G$7</f>
        <v>Theewaterskloof</v>
      </c>
      <c r="G668" s="361" t="s">
        <v>803</v>
      </c>
      <c r="H668" s="363" t="s">
        <v>809</v>
      </c>
      <c r="I668" s="496" t="s">
        <v>13</v>
      </c>
      <c r="J668" s="497" t="s">
        <v>751</v>
      </c>
      <c r="K668" s="490"/>
      <c r="L668" s="463" t="s">
        <v>754</v>
      </c>
      <c r="M668" s="459"/>
      <c r="N668" s="461"/>
      <c r="O668" s="461"/>
      <c r="P668" s="461"/>
      <c r="Q668" s="461"/>
      <c r="R668" s="461"/>
      <c r="S668" s="461"/>
      <c r="T668" s="461"/>
      <c r="U668" s="530">
        <v>0</v>
      </c>
      <c r="V668" s="530">
        <v>0</v>
      </c>
      <c r="W668" s="530">
        <v>0</v>
      </c>
      <c r="X668" s="490"/>
      <c r="Y668" s="969"/>
      <c r="Z668" s="969"/>
      <c r="AA668" s="969"/>
      <c r="AB668" s="969"/>
      <c r="AC668" s="969"/>
      <c r="AD668" s="969"/>
      <c r="AE668" s="969" t="str">
        <f t="shared" si="31"/>
        <v>TheewaterskloofIrrecoverable debts written off</v>
      </c>
      <c r="AF668" s="969"/>
      <c r="AG668" s="969"/>
    </row>
    <row r="669" spans="2:33" ht="13.2" customHeight="1" x14ac:dyDescent="0.55000000000000004">
      <c r="B669" s="371"/>
      <c r="C669" s="1010" t="s">
        <v>755</v>
      </c>
      <c r="D669" s="360" t="str">
        <f t="shared" si="32"/>
        <v>Road transport4100</v>
      </c>
      <c r="E669" s="360" t="str">
        <f t="shared" si="30"/>
        <v>TheewaterskloofRoad transportOther expenditure</v>
      </c>
      <c r="F669" s="360" t="str">
        <f>'PART C- Municipal Details'!$G$7</f>
        <v>Theewaterskloof</v>
      </c>
      <c r="G669" s="360" t="s">
        <v>803</v>
      </c>
      <c r="H669" s="366" t="s">
        <v>809</v>
      </c>
      <c r="I669" s="496" t="s">
        <v>13</v>
      </c>
      <c r="J669" s="497" t="s">
        <v>753</v>
      </c>
      <c r="K669" s="490"/>
      <c r="L669" s="463" t="s">
        <v>757</v>
      </c>
      <c r="M669" s="459"/>
      <c r="N669" s="461"/>
      <c r="O669" s="461"/>
      <c r="P669" s="461"/>
      <c r="Q669" s="461"/>
      <c r="R669" s="461"/>
      <c r="S669" s="461"/>
      <c r="T669" s="461"/>
      <c r="U669" s="530">
        <v>2944832</v>
      </c>
      <c r="V669" s="530">
        <v>3044955</v>
      </c>
      <c r="W669" s="530">
        <v>3142392</v>
      </c>
      <c r="X669" s="490"/>
      <c r="Y669" s="969"/>
      <c r="Z669" s="969"/>
      <c r="AA669" s="969"/>
      <c r="AB669" s="969"/>
      <c r="AC669" s="969"/>
      <c r="AD669" s="969"/>
      <c r="AE669" s="969" t="str">
        <f t="shared" si="31"/>
        <v>TheewaterskloofOperational costs</v>
      </c>
      <c r="AF669" s="969"/>
      <c r="AG669" s="969"/>
    </row>
    <row r="670" spans="2:33" ht="13.2" customHeight="1" x14ac:dyDescent="0.55000000000000004">
      <c r="B670" s="371"/>
      <c r="C670" s="1010" t="s">
        <v>758</v>
      </c>
      <c r="D670" s="361" t="str">
        <f t="shared" si="32"/>
        <v>Road transport4200</v>
      </c>
      <c r="E670" s="361" t="str">
        <f t="shared" si="30"/>
        <v>TheewaterskloofRoad transportLosses</v>
      </c>
      <c r="F670" s="360" t="str">
        <f>'PART C- Municipal Details'!$G$7</f>
        <v>Theewaterskloof</v>
      </c>
      <c r="G670" s="361" t="s">
        <v>803</v>
      </c>
      <c r="H670" s="363" t="s">
        <v>809</v>
      </c>
      <c r="I670" s="496" t="s">
        <v>734</v>
      </c>
      <c r="J670" s="497" t="s">
        <v>756</v>
      </c>
      <c r="K670" s="490"/>
      <c r="L670" s="463" t="s">
        <v>760</v>
      </c>
      <c r="M670" s="459"/>
      <c r="N670" s="461"/>
      <c r="O670" s="461"/>
      <c r="P670" s="461"/>
      <c r="Q670" s="461"/>
      <c r="R670" s="461"/>
      <c r="S670" s="461"/>
      <c r="T670" s="461"/>
      <c r="U670" s="530">
        <v>0</v>
      </c>
      <c r="V670" s="530">
        <v>0</v>
      </c>
      <c r="W670" s="530">
        <v>0</v>
      </c>
      <c r="X670" s="490"/>
      <c r="Y670" s="969"/>
      <c r="Z670" s="969"/>
      <c r="AA670" s="969"/>
      <c r="AB670" s="969"/>
      <c r="AC670" s="969"/>
      <c r="AD670" s="969"/>
      <c r="AE670" s="969" t="str">
        <f t="shared" si="31"/>
        <v>TheewaterskloofLosses on disposal of Assets</v>
      </c>
      <c r="AF670" s="969"/>
      <c r="AG670" s="969"/>
    </row>
    <row r="671" spans="2:33" ht="13.2" customHeight="1" x14ac:dyDescent="0.55000000000000004">
      <c r="B671" s="371"/>
      <c r="C671" s="1010" t="s">
        <v>761</v>
      </c>
      <c r="D671" s="360" t="str">
        <f t="shared" si="32"/>
        <v>Road transport4300</v>
      </c>
      <c r="E671" s="360" t="str">
        <f t="shared" si="30"/>
        <v>TheewaterskloofRoad transportOther expenditure</v>
      </c>
      <c r="F671" s="360" t="str">
        <f>'PART C- Municipal Details'!$G$7</f>
        <v>Theewaterskloof</v>
      </c>
      <c r="G671" s="360" t="s">
        <v>803</v>
      </c>
      <c r="H671" s="366" t="s">
        <v>809</v>
      </c>
      <c r="I671" s="496" t="s">
        <v>13</v>
      </c>
      <c r="J671" s="497" t="s">
        <v>759</v>
      </c>
      <c r="K671" s="490"/>
      <c r="L671" s="463" t="s">
        <v>763</v>
      </c>
      <c r="M671" s="459"/>
      <c r="N671" s="461"/>
      <c r="O671" s="461"/>
      <c r="P671" s="461"/>
      <c r="Q671" s="461"/>
      <c r="R671" s="461"/>
      <c r="S671" s="461"/>
      <c r="T671" s="461"/>
      <c r="U671" s="530">
        <v>0</v>
      </c>
      <c r="V671" s="530">
        <v>0</v>
      </c>
      <c r="W671" s="530">
        <v>0</v>
      </c>
      <c r="X671" s="490"/>
      <c r="Y671" s="969"/>
      <c r="Z671" s="969"/>
      <c r="AA671" s="969"/>
      <c r="AB671" s="969"/>
      <c r="AC671" s="969"/>
      <c r="AD671" s="969"/>
      <c r="AE671" s="969" t="str">
        <f t="shared" si="31"/>
        <v>TheewaterskloofOther Losses</v>
      </c>
      <c r="AF671" s="969"/>
      <c r="AG671" s="969"/>
    </row>
    <row r="672" spans="2:33" ht="13.2" customHeight="1" x14ac:dyDescent="0.55000000000000004">
      <c r="B672" s="371"/>
      <c r="C672" s="1009" t="s">
        <v>764</v>
      </c>
      <c r="D672" s="361" t="str">
        <f t="shared" si="32"/>
        <v>Road transport4400</v>
      </c>
      <c r="E672" s="361" t="str">
        <f t="shared" si="30"/>
        <v>TheewaterskloofRoad transportTotal Expenditure</v>
      </c>
      <c r="F672" s="360" t="str">
        <f>'PART C- Municipal Details'!$G$7</f>
        <v>Theewaterskloof</v>
      </c>
      <c r="G672" s="361" t="s">
        <v>803</v>
      </c>
      <c r="H672" s="363" t="s">
        <v>809</v>
      </c>
      <c r="I672" s="496" t="s">
        <v>736</v>
      </c>
      <c r="J672" s="497" t="s">
        <v>762</v>
      </c>
      <c r="K672" s="490"/>
      <c r="L672" s="508" t="s">
        <v>736</v>
      </c>
      <c r="M672" s="509"/>
      <c r="N672" s="510"/>
      <c r="O672" s="510"/>
      <c r="P672" s="510"/>
      <c r="Q672" s="510"/>
      <c r="R672" s="510"/>
      <c r="S672" s="510"/>
      <c r="T672" s="511"/>
      <c r="U672" s="529">
        <v>50883329</v>
      </c>
      <c r="V672" s="529">
        <v>52688165</v>
      </c>
      <c r="W672" s="529">
        <v>54462539</v>
      </c>
      <c r="X672" s="490"/>
      <c r="Y672" s="969"/>
      <c r="Z672" s="969"/>
      <c r="AA672" s="969"/>
      <c r="AB672" s="969"/>
      <c r="AC672" s="969"/>
      <c r="AD672" s="969"/>
      <c r="AE672" s="969" t="str">
        <f t="shared" si="31"/>
        <v>TheewaterskloofTotal Expenditure</v>
      </c>
      <c r="AF672" s="969"/>
      <c r="AG672" s="969"/>
    </row>
    <row r="673" spans="2:33" ht="13.2" customHeight="1" x14ac:dyDescent="0.55000000000000004">
      <c r="B673" s="371"/>
      <c r="C673" s="1009" t="s">
        <v>766</v>
      </c>
      <c r="D673" s="360" t="str">
        <f t="shared" si="32"/>
        <v>Road transport4500</v>
      </c>
      <c r="E673" s="360" t="str">
        <f t="shared" si="30"/>
        <v>TheewaterskloofRoad transportSurplus/(Deficit)</v>
      </c>
      <c r="F673" s="360" t="str">
        <f>'PART C- Municipal Details'!$G$7</f>
        <v>Theewaterskloof</v>
      </c>
      <c r="G673" s="360" t="s">
        <v>803</v>
      </c>
      <c r="H673" s="366" t="s">
        <v>809</v>
      </c>
      <c r="I673" s="496" t="s">
        <v>635</v>
      </c>
      <c r="J673" s="497" t="s">
        <v>765</v>
      </c>
      <c r="K673" s="490"/>
      <c r="L673" s="463" t="s">
        <v>635</v>
      </c>
      <c r="M673" s="459"/>
      <c r="N673" s="459"/>
      <c r="O673" s="459"/>
      <c r="P673" s="459"/>
      <c r="Q673" s="459"/>
      <c r="R673" s="459"/>
      <c r="S673" s="459"/>
      <c r="T673" s="459"/>
      <c r="U673" s="530">
        <v>-42427329</v>
      </c>
      <c r="V673" s="530">
        <v>-43930271</v>
      </c>
      <c r="W673" s="530">
        <v>-45430311</v>
      </c>
      <c r="X673" s="490"/>
      <c r="Y673" s="969"/>
      <c r="Z673" s="969"/>
      <c r="AA673" s="969"/>
      <c r="AB673" s="969"/>
      <c r="AC673" s="969"/>
      <c r="AD673" s="969"/>
      <c r="AE673" s="969" t="str">
        <f t="shared" si="31"/>
        <v>TheewaterskloofSurplus/(Deficit)</v>
      </c>
      <c r="AF673" s="969"/>
      <c r="AG673" s="969"/>
    </row>
    <row r="674" spans="2:33" ht="13.2" customHeight="1" x14ac:dyDescent="0.55000000000000004">
      <c r="B674" s="371"/>
      <c r="C674" s="1010" t="s">
        <v>768</v>
      </c>
      <c r="D674" s="361" t="str">
        <f t="shared" si="32"/>
        <v>Road transport4600</v>
      </c>
      <c r="E674" s="361" t="str">
        <f t="shared" si="30"/>
        <v>TheewaterskloofRoad transportTransfers and subsidies - capital (monetary allocations) (National / Provincial and District)</v>
      </c>
      <c r="F674" s="360" t="str">
        <f>'PART C- Municipal Details'!$G$7</f>
        <v>Theewaterskloof</v>
      </c>
      <c r="G674" s="361" t="s">
        <v>803</v>
      </c>
      <c r="H674" s="363" t="s">
        <v>809</v>
      </c>
      <c r="I674" s="496" t="s">
        <v>740</v>
      </c>
      <c r="J674" s="497" t="s">
        <v>767</v>
      </c>
      <c r="K674" s="490"/>
      <c r="L674" s="463" t="s">
        <v>770</v>
      </c>
      <c r="M674" s="459"/>
      <c r="N674" s="459"/>
      <c r="O674" s="459"/>
      <c r="P674" s="459"/>
      <c r="Q674" s="459"/>
      <c r="R674" s="459"/>
      <c r="S674" s="459"/>
      <c r="T674" s="459"/>
      <c r="U674" s="530">
        <v>0</v>
      </c>
      <c r="V674" s="530">
        <v>0</v>
      </c>
      <c r="W674" s="530">
        <v>0</v>
      </c>
      <c r="X674" s="490"/>
      <c r="Y674" s="969"/>
      <c r="Z674" s="969"/>
      <c r="AA674" s="969"/>
      <c r="AB674" s="969"/>
      <c r="AC674" s="969"/>
      <c r="AD674" s="969"/>
      <c r="AE674" s="969" t="str">
        <f t="shared" si="31"/>
        <v>TheewaterskloofTransfers and subsidies - capital (monetary allocations)</v>
      </c>
      <c r="AF674" s="969"/>
      <c r="AG674" s="969"/>
    </row>
    <row r="675" spans="2:33" ht="13.2" customHeight="1" x14ac:dyDescent="0.55000000000000004">
      <c r="B675" s="371"/>
      <c r="C675" s="1010" t="s">
        <v>771</v>
      </c>
      <c r="D675" s="360" t="str">
        <f t="shared" si="32"/>
        <v>Road transport4700</v>
      </c>
      <c r="E675" s="360" t="str">
        <f t="shared" si="30"/>
        <v>TheewaterskloofRoad transportTransfers and subsidies - capital (in-kind - all)</v>
      </c>
      <c r="F675" s="360" t="str">
        <f>'PART C- Municipal Details'!$G$7</f>
        <v>Theewaterskloof</v>
      </c>
      <c r="G675" s="360" t="s">
        <v>803</v>
      </c>
      <c r="H675" s="366" t="s">
        <v>809</v>
      </c>
      <c r="I675" s="496" t="s">
        <v>744</v>
      </c>
      <c r="J675" s="497" t="s">
        <v>769</v>
      </c>
      <c r="K675" s="490"/>
      <c r="L675" s="463" t="s">
        <v>773</v>
      </c>
      <c r="M675" s="459"/>
      <c r="N675" s="459"/>
      <c r="O675" s="459"/>
      <c r="P675" s="459"/>
      <c r="Q675" s="459"/>
      <c r="R675" s="459"/>
      <c r="S675" s="459"/>
      <c r="T675" s="459"/>
      <c r="U675" s="530">
        <v>0</v>
      </c>
      <c r="V675" s="530">
        <v>0</v>
      </c>
      <c r="W675" s="530">
        <v>0</v>
      </c>
      <c r="X675" s="490"/>
      <c r="Y675" s="969"/>
      <c r="Z675" s="969"/>
      <c r="AA675" s="969"/>
      <c r="AB675" s="969"/>
      <c r="AC675" s="969"/>
      <c r="AD675" s="969"/>
      <c r="AE675" s="969" t="str">
        <f t="shared" si="31"/>
        <v>TheewaterskloofTransfers and subsidies - capital (in-kind)</v>
      </c>
      <c r="AF675" s="969"/>
      <c r="AG675" s="969"/>
    </row>
    <row r="676" spans="2:33" ht="13.2" customHeight="1" x14ac:dyDescent="0.55000000000000004">
      <c r="B676" s="371"/>
      <c r="C676" s="1009" t="s">
        <v>774</v>
      </c>
      <c r="D676" s="361" t="str">
        <f t="shared" si="32"/>
        <v>Road transport4800</v>
      </c>
      <c r="E676" s="361" t="str">
        <f t="shared" si="30"/>
        <v>TheewaterskloofRoad transportSurplus/(Deficit) after capital transfers and contributions</v>
      </c>
      <c r="F676" s="360" t="str">
        <f>'PART C- Municipal Details'!$G$7</f>
        <v>Theewaterskloof</v>
      </c>
      <c r="G676" s="361" t="s">
        <v>803</v>
      </c>
      <c r="H676" s="363" t="s">
        <v>809</v>
      </c>
      <c r="I676" s="496" t="s">
        <v>747</v>
      </c>
      <c r="J676" s="497" t="s">
        <v>772</v>
      </c>
      <c r="K676" s="490"/>
      <c r="L676" s="463" t="s">
        <v>747</v>
      </c>
      <c r="M676" s="459"/>
      <c r="N676" s="459"/>
      <c r="O676" s="459"/>
      <c r="P676" s="459"/>
      <c r="Q676" s="459"/>
      <c r="R676" s="459"/>
      <c r="S676" s="459"/>
      <c r="T676" s="459"/>
      <c r="U676" s="530">
        <v>-42427329</v>
      </c>
      <c r="V676" s="530">
        <v>-43930271</v>
      </c>
      <c r="W676" s="530">
        <v>-45430311</v>
      </c>
      <c r="X676" s="490"/>
      <c r="Y676" s="969"/>
      <c r="Z676" s="969"/>
      <c r="AA676" s="969"/>
      <c r="AB676" s="969"/>
      <c r="AC676" s="969"/>
      <c r="AD676" s="969"/>
      <c r="AE676" s="969" t="str">
        <f t="shared" si="31"/>
        <v>TheewaterskloofSurplus/(Deficit) after capital transfers and contributions</v>
      </c>
      <c r="AF676" s="969"/>
      <c r="AG676" s="969"/>
    </row>
    <row r="677" spans="2:33" ht="13.2" customHeight="1" x14ac:dyDescent="0.55000000000000004">
      <c r="B677" s="371"/>
      <c r="C677" s="1010" t="s">
        <v>776</v>
      </c>
      <c r="D677" s="360" t="str">
        <f t="shared" si="32"/>
        <v>Road transport4900</v>
      </c>
      <c r="E677" s="360" t="str">
        <f t="shared" si="30"/>
        <v>TheewaterskloofRoad transportTaxation</v>
      </c>
      <c r="F677" s="360" t="str">
        <f>'PART C- Municipal Details'!$G$7</f>
        <v>Theewaterskloof</v>
      </c>
      <c r="G677" s="360" t="s">
        <v>803</v>
      </c>
      <c r="H677" s="366" t="s">
        <v>809</v>
      </c>
      <c r="I677" s="496" t="s">
        <v>749</v>
      </c>
      <c r="J677" s="497" t="s">
        <v>775</v>
      </c>
      <c r="K677" s="490"/>
      <c r="L677" s="463" t="s">
        <v>778</v>
      </c>
      <c r="M677" s="459"/>
      <c r="N677" s="459"/>
      <c r="O677" s="459"/>
      <c r="P677" s="459"/>
      <c r="Q677" s="459"/>
      <c r="R677" s="459"/>
      <c r="S677" s="459"/>
      <c r="T677" s="459"/>
      <c r="U677" s="530">
        <v>0</v>
      </c>
      <c r="V677" s="530">
        <v>0</v>
      </c>
      <c r="W677" s="530">
        <v>0</v>
      </c>
      <c r="X677" s="490"/>
      <c r="Y677" s="969"/>
      <c r="Z677" s="969"/>
      <c r="AA677" s="969"/>
      <c r="AB677" s="969"/>
      <c r="AC677" s="969"/>
      <c r="AD677" s="969"/>
      <c r="AE677" s="969" t="str">
        <f t="shared" si="31"/>
        <v>TheewaterskloofIncome Tax</v>
      </c>
      <c r="AF677" s="969"/>
      <c r="AG677" s="969"/>
    </row>
    <row r="678" spans="2:33" ht="13.2" customHeight="1" x14ac:dyDescent="0.55000000000000004">
      <c r="B678" s="371"/>
      <c r="C678" s="1009" t="s">
        <v>779</v>
      </c>
      <c r="D678" s="361" t="str">
        <f t="shared" si="32"/>
        <v>Road transport5000</v>
      </c>
      <c r="E678" s="361" t="str">
        <f t="shared" si="30"/>
        <v>TheewaterskloofRoad transportSurplus/(Deficit) after taxation</v>
      </c>
      <c r="F678" s="360" t="str">
        <f>'PART C- Municipal Details'!$G$7</f>
        <v>Theewaterskloof</v>
      </c>
      <c r="G678" s="361" t="s">
        <v>803</v>
      </c>
      <c r="H678" s="363" t="s">
        <v>809</v>
      </c>
      <c r="I678" s="496" t="s">
        <v>751</v>
      </c>
      <c r="J678" s="497" t="s">
        <v>777</v>
      </c>
      <c r="K678" s="490"/>
      <c r="L678" s="463" t="s">
        <v>781</v>
      </c>
      <c r="M678" s="459"/>
      <c r="N678" s="459"/>
      <c r="O678" s="459"/>
      <c r="P678" s="459"/>
      <c r="Q678" s="459"/>
      <c r="R678" s="459"/>
      <c r="S678" s="459"/>
      <c r="T678" s="459"/>
      <c r="U678" s="530">
        <v>-42427329</v>
      </c>
      <c r="V678" s="530">
        <v>-43930271</v>
      </c>
      <c r="W678" s="530">
        <v>-45430311</v>
      </c>
      <c r="X678" s="490"/>
      <c r="Y678" s="969"/>
      <c r="Z678" s="969"/>
      <c r="AA678" s="969"/>
      <c r="AB678" s="969"/>
      <c r="AC678" s="969"/>
      <c r="AD678" s="969"/>
      <c r="AE678" s="969" t="str">
        <f t="shared" si="31"/>
        <v>TheewaterskloofSurplus/(Deficit) after income tax</v>
      </c>
      <c r="AF678" s="969"/>
      <c r="AG678" s="969"/>
    </row>
    <row r="679" spans="2:33" ht="13.2" customHeight="1" x14ac:dyDescent="0.55000000000000004">
      <c r="B679" s="371"/>
      <c r="C679" s="1010" t="s">
        <v>782</v>
      </c>
      <c r="D679" s="360" t="str">
        <f t="shared" si="32"/>
        <v>Road transport5100</v>
      </c>
      <c r="E679" s="360" t="str">
        <f t="shared" si="30"/>
        <v>TheewaterskloofRoad transportShare of Surplus/Deficit attributable to Joint Venture</v>
      </c>
      <c r="F679" s="360" t="str">
        <f>'PART C- Municipal Details'!$G$7</f>
        <v>Theewaterskloof</v>
      </c>
      <c r="G679" s="360" t="s">
        <v>803</v>
      </c>
      <c r="H679" s="366" t="s">
        <v>809</v>
      </c>
      <c r="I679" s="496" t="s">
        <v>783</v>
      </c>
      <c r="J679" s="497" t="s">
        <v>780</v>
      </c>
      <c r="K679" s="490"/>
      <c r="L679" s="463" t="s">
        <v>783</v>
      </c>
      <c r="M679" s="459"/>
      <c r="N679" s="459"/>
      <c r="O679" s="459"/>
      <c r="P679" s="459"/>
      <c r="Q679" s="459"/>
      <c r="R679" s="459"/>
      <c r="S679" s="459"/>
      <c r="T679" s="459"/>
      <c r="U679" s="530">
        <v>0</v>
      </c>
      <c r="V679" s="530">
        <v>0</v>
      </c>
      <c r="W679" s="530">
        <v>0</v>
      </c>
      <c r="X679" s="490"/>
      <c r="Y679" s="969"/>
      <c r="Z679" s="969"/>
      <c r="AA679" s="969"/>
      <c r="AB679" s="969"/>
      <c r="AC679" s="969"/>
      <c r="AD679" s="969"/>
      <c r="AE679" s="969" t="str">
        <f t="shared" si="31"/>
        <v>TheewaterskloofShare of Surplus/Deficit attributable to Joint Venture</v>
      </c>
      <c r="AF679" s="969"/>
      <c r="AG679" s="969"/>
    </row>
    <row r="680" spans="2:33" ht="13.2" customHeight="1" x14ac:dyDescent="0.55000000000000004">
      <c r="B680" s="371"/>
      <c r="C680" s="1010" t="s">
        <v>785</v>
      </c>
      <c r="D680" s="361" t="str">
        <f t="shared" si="32"/>
        <v>Road transport5200</v>
      </c>
      <c r="E680" s="361" t="str">
        <f t="shared" si="30"/>
        <v>TheewaterskloofRoad transportAttributable to minorities</v>
      </c>
      <c r="F680" s="360" t="str">
        <f>'PART C- Municipal Details'!$G$7</f>
        <v>Theewaterskloof</v>
      </c>
      <c r="G680" s="361" t="s">
        <v>803</v>
      </c>
      <c r="H680" s="363" t="s">
        <v>809</v>
      </c>
      <c r="I680" s="496" t="s">
        <v>753</v>
      </c>
      <c r="J680" s="497" t="s">
        <v>784</v>
      </c>
      <c r="K680" s="490"/>
      <c r="L680" s="463" t="s">
        <v>787</v>
      </c>
      <c r="M680" s="459"/>
      <c r="N680" s="459"/>
      <c r="O680" s="459"/>
      <c r="P680" s="459"/>
      <c r="Q680" s="459"/>
      <c r="R680" s="459"/>
      <c r="S680" s="459"/>
      <c r="T680" s="459"/>
      <c r="U680" s="530">
        <v>0</v>
      </c>
      <c r="V680" s="530">
        <v>0</v>
      </c>
      <c r="W680" s="530">
        <v>0</v>
      </c>
      <c r="X680" s="490"/>
      <c r="Y680" s="969"/>
      <c r="Z680" s="969"/>
      <c r="AA680" s="969"/>
      <c r="AB680" s="969"/>
      <c r="AC680" s="969"/>
      <c r="AD680" s="969"/>
      <c r="AE680" s="969" t="str">
        <f t="shared" si="31"/>
        <v>TheewaterskloofShare of Surplus/Deficit attributable to Minorities</v>
      </c>
      <c r="AF680" s="969"/>
      <c r="AG680" s="969"/>
    </row>
    <row r="681" spans="2:33" ht="13.2" customHeight="1" x14ac:dyDescent="0.55000000000000004">
      <c r="B681" s="371"/>
      <c r="C681" s="1009" t="s">
        <v>788</v>
      </c>
      <c r="D681" s="360" t="str">
        <f t="shared" si="32"/>
        <v>Road transport5300</v>
      </c>
      <c r="E681" s="360" t="str">
        <f t="shared" si="30"/>
        <v>TheewaterskloofRoad transportSurplus/(Deficit) attributable to municipality</v>
      </c>
      <c r="F681" s="360" t="str">
        <f>'PART C- Municipal Details'!$G$7</f>
        <v>Theewaterskloof</v>
      </c>
      <c r="G681" s="360" t="s">
        <v>803</v>
      </c>
      <c r="H681" s="366" t="s">
        <v>809</v>
      </c>
      <c r="I681" s="496" t="s">
        <v>756</v>
      </c>
      <c r="J681" s="497" t="s">
        <v>786</v>
      </c>
      <c r="K681" s="490"/>
      <c r="L681" s="463" t="s">
        <v>756</v>
      </c>
      <c r="M681" s="459"/>
      <c r="N681" s="459"/>
      <c r="O681" s="459"/>
      <c r="P681" s="459"/>
      <c r="Q681" s="459"/>
      <c r="R681" s="459"/>
      <c r="S681" s="459"/>
      <c r="T681" s="459"/>
      <c r="U681" s="530">
        <v>-42427329</v>
      </c>
      <c r="V681" s="530">
        <v>-43930271</v>
      </c>
      <c r="W681" s="530">
        <v>-45430311</v>
      </c>
      <c r="X681" s="490"/>
      <c r="Y681" s="969"/>
      <c r="Z681" s="969"/>
      <c r="AA681" s="969"/>
      <c r="AB681" s="969"/>
      <c r="AC681" s="969"/>
      <c r="AD681" s="969"/>
      <c r="AE681" s="969" t="str">
        <f t="shared" si="31"/>
        <v>TheewaterskloofSurplus/(Deficit) attributable to municipality</v>
      </c>
      <c r="AF681" s="969"/>
      <c r="AG681" s="969"/>
    </row>
    <row r="682" spans="2:33" ht="13.2" customHeight="1" x14ac:dyDescent="0.55000000000000004">
      <c r="B682" s="371"/>
      <c r="C682" s="1010" t="s">
        <v>790</v>
      </c>
      <c r="D682" s="361" t="str">
        <f t="shared" si="32"/>
        <v>Road transport5400</v>
      </c>
      <c r="E682" s="361" t="str">
        <f t="shared" si="30"/>
        <v>TheewaterskloofRoad transportShare of surplus/ (deficit) of associate</v>
      </c>
      <c r="F682" s="360" t="str">
        <f>'PART C- Municipal Details'!$G$7</f>
        <v>Theewaterskloof</v>
      </c>
      <c r="G682" s="361" t="s">
        <v>803</v>
      </c>
      <c r="H682" s="363" t="s">
        <v>809</v>
      </c>
      <c r="I682" s="496" t="s">
        <v>759</v>
      </c>
      <c r="J682" s="497" t="s">
        <v>789</v>
      </c>
      <c r="K682" s="490"/>
      <c r="L682" s="463" t="s">
        <v>791</v>
      </c>
      <c r="M682" s="459"/>
      <c r="N682" s="459"/>
      <c r="O682" s="459"/>
      <c r="P682" s="459"/>
      <c r="Q682" s="459"/>
      <c r="R682" s="459"/>
      <c r="S682" s="459"/>
      <c r="T682" s="459"/>
      <c r="U682" s="530">
        <v>0</v>
      </c>
      <c r="V682" s="530">
        <v>0</v>
      </c>
      <c r="W682" s="530">
        <v>0</v>
      </c>
      <c r="X682" s="490"/>
      <c r="Y682" s="969"/>
      <c r="Z682" s="969"/>
      <c r="AA682" s="969"/>
      <c r="AB682" s="969"/>
      <c r="AC682" s="969"/>
      <c r="AD682" s="969"/>
      <c r="AE682" s="969" t="str">
        <f t="shared" si="31"/>
        <v>TheewaterskloofShare of Surplus/Deficit attributable to Associate</v>
      </c>
      <c r="AF682" s="969"/>
      <c r="AG682" s="969"/>
    </row>
    <row r="683" spans="2:33" ht="13.2" customHeight="1" x14ac:dyDescent="0.55000000000000004">
      <c r="B683" s="371"/>
      <c r="C683" s="1010" t="s">
        <v>792</v>
      </c>
      <c r="D683" s="360" t="str">
        <f t="shared" si="32"/>
        <v>Road transport5500</v>
      </c>
      <c r="E683" s="360" t="str">
        <f t="shared" si="30"/>
        <v>TheewaterskloofRoad transportIntercompany/Parent subsidiary transactions</v>
      </c>
      <c r="F683" s="360" t="str">
        <f>'PART C- Municipal Details'!$G$7</f>
        <v>Theewaterskloof</v>
      </c>
      <c r="G683" s="360" t="s">
        <v>803</v>
      </c>
      <c r="H683" s="366" t="s">
        <v>809</v>
      </c>
      <c r="I683" s="496" t="s">
        <v>793</v>
      </c>
      <c r="J683" s="497" t="s">
        <v>789</v>
      </c>
      <c r="K683" s="490"/>
      <c r="L683" s="463" t="s">
        <v>793</v>
      </c>
      <c r="M683" s="459"/>
      <c r="N683" s="459"/>
      <c r="O683" s="459"/>
      <c r="P683" s="459"/>
      <c r="Q683" s="459"/>
      <c r="R683" s="459"/>
      <c r="S683" s="459"/>
      <c r="T683" s="459"/>
      <c r="U683" s="530">
        <v>0</v>
      </c>
      <c r="V683" s="530">
        <v>0</v>
      </c>
      <c r="W683" s="530">
        <v>0</v>
      </c>
      <c r="X683" s="490"/>
      <c r="Y683" s="969"/>
      <c r="Z683" s="969"/>
      <c r="AA683" s="969"/>
      <c r="AB683" s="969"/>
      <c r="AC683" s="969"/>
      <c r="AD683" s="969"/>
      <c r="AE683" s="969" t="str">
        <f t="shared" si="31"/>
        <v>TheewaterskloofIntercompany/Parent subsidiary transactions</v>
      </c>
      <c r="AF683" s="969"/>
      <c r="AG683" s="969"/>
    </row>
    <row r="684" spans="2:33" ht="13.2" customHeight="1" x14ac:dyDescent="0.55000000000000004">
      <c r="B684" s="371"/>
      <c r="C684" s="1009" t="s">
        <v>794</v>
      </c>
      <c r="D684" s="361" t="str">
        <f t="shared" si="32"/>
        <v>Road transport5600</v>
      </c>
      <c r="E684" s="361" t="str">
        <f t="shared" si="30"/>
        <v>TheewaterskloofRoad transportSurplus/(Deficit) for the year</v>
      </c>
      <c r="F684" s="360" t="str">
        <f>'PART C- Municipal Details'!$G$7</f>
        <v>Theewaterskloof</v>
      </c>
      <c r="G684" s="361" t="s">
        <v>803</v>
      </c>
      <c r="H684" s="363" t="s">
        <v>809</v>
      </c>
      <c r="I684" s="496" t="s">
        <v>762</v>
      </c>
      <c r="J684" s="497" t="s">
        <v>789</v>
      </c>
      <c r="K684" s="490"/>
      <c r="L684" s="508" t="s">
        <v>762</v>
      </c>
      <c r="M684" s="509"/>
      <c r="N684" s="510"/>
      <c r="O684" s="510"/>
      <c r="P684" s="510"/>
      <c r="Q684" s="510"/>
      <c r="R684" s="510"/>
      <c r="S684" s="510"/>
      <c r="T684" s="511"/>
      <c r="U684" s="530">
        <v>0</v>
      </c>
      <c r="V684" s="530">
        <v>0</v>
      </c>
      <c r="W684" s="530">
        <v>0</v>
      </c>
      <c r="X684" s="490"/>
      <c r="Y684" s="969"/>
      <c r="Z684" s="969"/>
      <c r="AA684" s="969"/>
      <c r="AB684" s="969"/>
      <c r="AC684" s="969"/>
      <c r="AD684" s="969"/>
      <c r="AE684" s="969" t="str">
        <f t="shared" si="31"/>
        <v>TheewaterskloofSurplus/(Deficit) for the year</v>
      </c>
      <c r="AF684" s="969"/>
      <c r="AG684" s="969"/>
    </row>
    <row r="685" spans="2:33" ht="13.2" customHeight="1" x14ac:dyDescent="0.55000000000000004">
      <c r="B685" s="371"/>
      <c r="C685" s="1010">
        <v>55555</v>
      </c>
      <c r="D685" s="360" t="str">
        <f t="shared" si="32"/>
        <v>Road transport55555</v>
      </c>
      <c r="E685" s="360" t="str">
        <f t="shared" si="30"/>
        <v>TheewaterskloofRoad transportReferences</v>
      </c>
      <c r="F685" s="360" t="str">
        <f>'PART C- Municipal Details'!$G$7</f>
        <v>Theewaterskloof</v>
      </c>
      <c r="G685" s="360" t="s">
        <v>803</v>
      </c>
      <c r="H685" s="366" t="s">
        <v>809</v>
      </c>
      <c r="I685" s="496" t="s">
        <v>765</v>
      </c>
      <c r="J685" s="497" t="s">
        <v>789</v>
      </c>
      <c r="K685" s="490"/>
      <c r="L685" s="474" t="s">
        <v>765</v>
      </c>
      <c r="M685" s="475"/>
      <c r="N685" s="476"/>
      <c r="O685" s="476"/>
      <c r="P685" s="476"/>
      <c r="Q685" s="476"/>
      <c r="R685" s="476"/>
      <c r="S685" s="476"/>
      <c r="T685" s="477"/>
      <c r="U685" s="530">
        <v>0</v>
      </c>
      <c r="V685" s="530">
        <v>0</v>
      </c>
      <c r="W685" s="530">
        <v>0</v>
      </c>
      <c r="X685" s="490"/>
      <c r="Y685" s="969"/>
      <c r="Z685" s="969"/>
      <c r="AA685" s="969"/>
      <c r="AB685" s="969"/>
      <c r="AC685" s="969"/>
      <c r="AD685" s="969"/>
      <c r="AE685" s="969" t="str">
        <f t="shared" si="31"/>
        <v>TheewaterskloofReferences</v>
      </c>
      <c r="AF685" s="969"/>
      <c r="AG685" s="969"/>
    </row>
    <row r="686" spans="2:33" ht="13.2" customHeight="1" x14ac:dyDescent="0.55000000000000004">
      <c r="B686" s="371"/>
      <c r="C686" s="1010">
        <v>55555</v>
      </c>
      <c r="D686" s="361" t="str">
        <f t="shared" si="32"/>
        <v>Road transport55555</v>
      </c>
      <c r="E686" s="361" t="str">
        <f t="shared" si="30"/>
        <v>TheewaterskloofRoad transport1. Classifications are revenue sources and expenditure type</v>
      </c>
      <c r="F686" s="360" t="str">
        <f>'PART C- Municipal Details'!$G$7</f>
        <v>Theewaterskloof</v>
      </c>
      <c r="G686" s="361" t="s">
        <v>803</v>
      </c>
      <c r="H686" s="363" t="s">
        <v>809</v>
      </c>
      <c r="I686" s="496" t="s">
        <v>767</v>
      </c>
      <c r="J686" s="497" t="s">
        <v>789</v>
      </c>
      <c r="K686" s="490"/>
      <c r="L686" s="465" t="s">
        <v>767</v>
      </c>
      <c r="M686" s="472"/>
      <c r="N686" s="473"/>
      <c r="O686" s="473"/>
      <c r="P686" s="473"/>
      <c r="Q686" s="473"/>
      <c r="R686" s="473"/>
      <c r="S686" s="473"/>
      <c r="T686" s="478"/>
      <c r="U686" s="530">
        <v>0</v>
      </c>
      <c r="V686" s="530">
        <v>0</v>
      </c>
      <c r="W686" s="530">
        <v>0</v>
      </c>
      <c r="X686" s="490"/>
      <c r="Y686" s="969"/>
      <c r="Z686" s="969"/>
      <c r="AA686" s="969"/>
      <c r="AB686" s="969"/>
      <c r="AC686" s="969"/>
      <c r="AD686" s="969"/>
      <c r="AE686" s="969" t="str">
        <f t="shared" si="31"/>
        <v>Theewaterskloof1. Classifications are revenue sources and expenditure type</v>
      </c>
      <c r="AF686" s="969"/>
      <c r="AG686" s="969"/>
    </row>
    <row r="687" spans="2:33" ht="13.2" customHeight="1" x14ac:dyDescent="0.55000000000000004">
      <c r="B687" s="371"/>
      <c r="C687" s="1010">
        <v>55555</v>
      </c>
      <c r="D687" s="360" t="str">
        <f t="shared" si="32"/>
        <v>Road transport55555</v>
      </c>
      <c r="E687" s="360" t="str">
        <f t="shared" si="30"/>
        <v>TheewaterskloofRoad transport2. Detail to be provided in Table SA1</v>
      </c>
      <c r="F687" s="360" t="str">
        <f>'PART C- Municipal Details'!$G$7</f>
        <v>Theewaterskloof</v>
      </c>
      <c r="G687" s="360" t="s">
        <v>803</v>
      </c>
      <c r="H687" s="366" t="s">
        <v>809</v>
      </c>
      <c r="I687" s="496" t="s">
        <v>769</v>
      </c>
      <c r="J687" s="497" t="s">
        <v>789</v>
      </c>
      <c r="K687" s="490"/>
      <c r="L687" s="465" t="s">
        <v>769</v>
      </c>
      <c r="M687" s="472"/>
      <c r="N687" s="473"/>
      <c r="O687" s="473"/>
      <c r="P687" s="473"/>
      <c r="Q687" s="473"/>
      <c r="R687" s="473"/>
      <c r="S687" s="473"/>
      <c r="T687" s="478"/>
      <c r="U687" s="530">
        <v>0</v>
      </c>
      <c r="V687" s="530">
        <v>0</v>
      </c>
      <c r="W687" s="530">
        <v>0</v>
      </c>
      <c r="X687" s="490"/>
      <c r="Y687" s="969"/>
      <c r="Z687" s="969"/>
      <c r="AA687" s="969"/>
      <c r="AB687" s="969"/>
      <c r="AC687" s="969"/>
      <c r="AD687" s="969"/>
      <c r="AE687" s="969" t="str">
        <f t="shared" si="31"/>
        <v>Theewaterskloof2. Detail to be provided in Table SA1</v>
      </c>
      <c r="AF687" s="969"/>
      <c r="AG687" s="969"/>
    </row>
    <row r="688" spans="2:33" ht="13.2" customHeight="1" x14ac:dyDescent="0.55000000000000004">
      <c r="B688" s="371"/>
      <c r="C688" s="1010">
        <v>55555</v>
      </c>
      <c r="D688" s="361" t="str">
        <f t="shared" si="32"/>
        <v>Road transport55555</v>
      </c>
      <c r="E688" s="361" t="str">
        <f t="shared" si="30"/>
        <v>TheewaterskloofRoad transport3. Debt impairment includes Impairment and Reversal of Impairment Losses</v>
      </c>
      <c r="F688" s="360" t="str">
        <f>'PART C- Municipal Details'!$G$7</f>
        <v>Theewaterskloof</v>
      </c>
      <c r="G688" s="361" t="s">
        <v>803</v>
      </c>
      <c r="H688" s="363" t="s">
        <v>809</v>
      </c>
      <c r="I688" s="496" t="s">
        <v>795</v>
      </c>
      <c r="J688" s="497" t="s">
        <v>789</v>
      </c>
      <c r="K688" s="490"/>
      <c r="L688" s="465" t="s">
        <v>795</v>
      </c>
      <c r="M688" s="472"/>
      <c r="N688" s="473"/>
      <c r="O688" s="473"/>
      <c r="P688" s="473"/>
      <c r="Q688" s="473"/>
      <c r="R688" s="473"/>
      <c r="S688" s="473"/>
      <c r="T688" s="478"/>
      <c r="U688" s="530">
        <v>0</v>
      </c>
      <c r="V688" s="530">
        <v>0</v>
      </c>
      <c r="W688" s="530">
        <v>0</v>
      </c>
      <c r="X688" s="490"/>
      <c r="Y688" s="969"/>
      <c r="Z688" s="969"/>
      <c r="AA688" s="969"/>
      <c r="AB688" s="969"/>
      <c r="AC688" s="969"/>
      <c r="AD688" s="969"/>
      <c r="AE688" s="969" t="str">
        <f t="shared" si="31"/>
        <v>Theewaterskloof3. Debt impairment includes Impairment and Reversal of Impairment Losses</v>
      </c>
      <c r="AF688" s="969"/>
      <c r="AG688" s="969"/>
    </row>
    <row r="689" spans="2:33" ht="13.2" customHeight="1" x14ac:dyDescent="0.55000000000000004">
      <c r="B689" s="371"/>
      <c r="C689" s="1010">
        <v>55555</v>
      </c>
      <c r="D689" s="360" t="str">
        <f t="shared" si="32"/>
        <v>Road transport55555</v>
      </c>
      <c r="E689" s="360" t="str">
        <f t="shared" si="30"/>
        <v>TheewaterskloofRoad transport4. Expenditure type components previously shown under repairs and maintenance should be allocated back to the originating expenditure group/item; e.g. employee costs</v>
      </c>
      <c r="F689" s="360" t="str">
        <f>'PART C- Municipal Details'!$G$7</f>
        <v>Theewaterskloof</v>
      </c>
      <c r="G689" s="360" t="s">
        <v>803</v>
      </c>
      <c r="H689" s="366" t="s">
        <v>809</v>
      </c>
      <c r="I689" s="496" t="s">
        <v>775</v>
      </c>
      <c r="J689" s="497" t="s">
        <v>789</v>
      </c>
      <c r="K689" s="490"/>
      <c r="L689" s="465" t="s">
        <v>775</v>
      </c>
      <c r="M689" s="472"/>
      <c r="N689" s="473"/>
      <c r="O689" s="473"/>
      <c r="P689" s="473"/>
      <c r="Q689" s="473"/>
      <c r="R689" s="473"/>
      <c r="S689" s="473"/>
      <c r="T689" s="478"/>
      <c r="U689" s="530">
        <v>0</v>
      </c>
      <c r="V689" s="530">
        <v>0</v>
      </c>
      <c r="W689" s="530">
        <v>0</v>
      </c>
      <c r="X689" s="490"/>
      <c r="Y689" s="969"/>
      <c r="Z689" s="969"/>
      <c r="AA689" s="969"/>
      <c r="AB689" s="969"/>
      <c r="AC689" s="969"/>
      <c r="AD689" s="969"/>
      <c r="AE689" s="969" t="str">
        <f t="shared" si="31"/>
        <v>Theewaterskloof4. Expenditure type components previously shown under repairs and maintenance should be allocated back to the originating expenditure group/item; e.g. employee costs</v>
      </c>
      <c r="AF689" s="969"/>
      <c r="AG689" s="969"/>
    </row>
    <row r="690" spans="2:33" ht="13.2" customHeight="1" x14ac:dyDescent="0.55000000000000004">
      <c r="B690" s="371"/>
      <c r="C690" s="1010">
        <v>55555</v>
      </c>
      <c r="D690" s="361" t="str">
        <f t="shared" si="32"/>
        <v>Road transport55555</v>
      </c>
      <c r="E690" s="361" t="str">
        <f t="shared" si="30"/>
        <v>TheewaterskloofRoad transport5. Repairs &amp; maintenance detailed in Table A9 and Table SA34c</v>
      </c>
      <c r="F690" s="360" t="str">
        <f>'PART C- Municipal Details'!$G$7</f>
        <v>Theewaterskloof</v>
      </c>
      <c r="G690" s="361" t="s">
        <v>803</v>
      </c>
      <c r="H690" s="363" t="s">
        <v>809</v>
      </c>
      <c r="I690" s="496" t="s">
        <v>777</v>
      </c>
      <c r="J690" s="497" t="s">
        <v>789</v>
      </c>
      <c r="K690" s="490"/>
      <c r="L690" s="465" t="s">
        <v>777</v>
      </c>
      <c r="M690" s="472"/>
      <c r="N690" s="473"/>
      <c r="O690" s="473"/>
      <c r="P690" s="473"/>
      <c r="Q690" s="473"/>
      <c r="R690" s="473"/>
      <c r="S690" s="473"/>
      <c r="T690" s="478"/>
      <c r="U690" s="530">
        <v>0</v>
      </c>
      <c r="V690" s="530">
        <v>0</v>
      </c>
      <c r="W690" s="530">
        <v>0</v>
      </c>
      <c r="X690" s="490"/>
      <c r="Y690" s="969"/>
      <c r="Z690" s="969"/>
      <c r="AA690" s="969"/>
      <c r="AB690" s="969"/>
      <c r="AC690" s="969"/>
      <c r="AD690" s="969"/>
      <c r="AE690" s="969" t="str">
        <f t="shared" si="31"/>
        <v>Theewaterskloof5. Repairs &amp; maintenance detailed in Table A9 and Table SA34c</v>
      </c>
      <c r="AF690" s="969"/>
      <c r="AG690" s="969"/>
    </row>
    <row r="691" spans="2:33" ht="13.2" customHeight="1" x14ac:dyDescent="0.55000000000000004">
      <c r="B691" s="371"/>
      <c r="C691" s="1010">
        <v>55555</v>
      </c>
      <c r="D691" s="360" t="str">
        <f t="shared" si="32"/>
        <v>Road transport55555</v>
      </c>
      <c r="E691" s="360" t="str">
        <f t="shared" si="30"/>
        <v>TheewaterskloofRoad transport6. Contributions are funds provided by external organisations to assist with infrastructure development; e.g. developer contributions (detail to be provided in Table SA1)</v>
      </c>
      <c r="F691" s="360" t="str">
        <f>'PART C- Municipal Details'!$G$7</f>
        <v>Theewaterskloof</v>
      </c>
      <c r="G691" s="360" t="s">
        <v>803</v>
      </c>
      <c r="H691" s="366" t="s">
        <v>809</v>
      </c>
      <c r="I691" s="496" t="s">
        <v>780</v>
      </c>
      <c r="J691" s="497" t="s">
        <v>789</v>
      </c>
      <c r="K691" s="490"/>
      <c r="L691" s="465" t="s">
        <v>780</v>
      </c>
      <c r="M691" s="472"/>
      <c r="N691" s="473"/>
      <c r="O691" s="473"/>
      <c r="P691" s="473"/>
      <c r="Q691" s="473"/>
      <c r="R691" s="473"/>
      <c r="S691" s="473"/>
      <c r="T691" s="478"/>
      <c r="U691" s="530">
        <v>0</v>
      </c>
      <c r="V691" s="530">
        <v>0</v>
      </c>
      <c r="W691" s="530">
        <v>0</v>
      </c>
      <c r="X691" s="490"/>
      <c r="Y691" s="969"/>
      <c r="Z691" s="969"/>
      <c r="AA691" s="969"/>
      <c r="AB691" s="969"/>
      <c r="AC691" s="969"/>
      <c r="AD691" s="969"/>
      <c r="AE691" s="969" t="str">
        <f t="shared" si="31"/>
        <v>Theewaterskloof6. Contributions are funds provided by external organisations to assist with infrastructure development; e.g. developer contributions (detail to be provided in Table SA1)</v>
      </c>
      <c r="AF691" s="969"/>
      <c r="AG691" s="969"/>
    </row>
    <row r="692" spans="2:33" ht="13.2" customHeight="1" x14ac:dyDescent="0.55000000000000004">
      <c r="B692" s="371"/>
      <c r="C692" s="1010">
        <v>55555</v>
      </c>
      <c r="D692" s="361" t="str">
        <f t="shared" si="32"/>
        <v>Road transport55555</v>
      </c>
      <c r="E692" s="361" t="str">
        <f t="shared" si="30"/>
        <v>TheewaterskloofRoad transport7. Equity method ( Includes Joint Ventures)</v>
      </c>
      <c r="F692" s="360" t="str">
        <f>'PART C- Municipal Details'!$G$7</f>
        <v>Theewaterskloof</v>
      </c>
      <c r="G692" s="361" t="s">
        <v>803</v>
      </c>
      <c r="H692" s="363" t="s">
        <v>809</v>
      </c>
      <c r="I692" s="496" t="s">
        <v>796</v>
      </c>
      <c r="J692" s="497" t="s">
        <v>789</v>
      </c>
      <c r="K692" s="490"/>
      <c r="L692" s="479" t="s">
        <v>796</v>
      </c>
      <c r="M692" s="480"/>
      <c r="N692" s="481"/>
      <c r="O692" s="481"/>
      <c r="P692" s="481"/>
      <c r="Q692" s="481"/>
      <c r="R692" s="481"/>
      <c r="S692" s="481"/>
      <c r="T692" s="482"/>
      <c r="U692" s="530">
        <v>0</v>
      </c>
      <c r="V692" s="530">
        <v>0</v>
      </c>
      <c r="W692" s="530">
        <v>0</v>
      </c>
      <c r="X692" s="490"/>
      <c r="Y692" s="969"/>
      <c r="Z692" s="969"/>
      <c r="AA692" s="969"/>
      <c r="AB692" s="969"/>
      <c r="AC692" s="969"/>
      <c r="AD692" s="969"/>
      <c r="AE692" s="969" t="str">
        <f t="shared" si="31"/>
        <v>Theewaterskloof7. Equity method ( Includes Joint Ventures)</v>
      </c>
      <c r="AF692" s="969"/>
      <c r="AG692" s="969"/>
    </row>
    <row r="693" spans="2:33" ht="13.2" customHeight="1" x14ac:dyDescent="0.55000000000000004">
      <c r="B693" s="371"/>
      <c r="C693" s="1010">
        <v>55555</v>
      </c>
      <c r="D693" s="360" t="str">
        <f t="shared" si="32"/>
        <v>Road transport55555</v>
      </c>
      <c r="E693" s="360" t="str">
        <f t="shared" si="30"/>
        <v>TheewaterskloofRoad transport8. All materials consumed including water consumed and materials used in operations.</v>
      </c>
      <c r="F693" s="360" t="str">
        <f>'PART C- Municipal Details'!$G$7</f>
        <v>Theewaterskloof</v>
      </c>
      <c r="G693" s="360" t="s">
        <v>803</v>
      </c>
      <c r="H693" s="366" t="s">
        <v>809</v>
      </c>
      <c r="I693" s="496" t="s">
        <v>797</v>
      </c>
      <c r="J693" s="497" t="s">
        <v>789</v>
      </c>
      <c r="K693" s="490"/>
      <c r="L693" s="501"/>
      <c r="M693" s="502"/>
      <c r="N693" s="503"/>
      <c r="O693" s="503"/>
      <c r="P693" s="503"/>
      <c r="Q693" s="503"/>
      <c r="R693" s="503"/>
      <c r="S693" s="503"/>
      <c r="T693" s="503"/>
      <c r="U693" s="504"/>
      <c r="V693" s="504"/>
      <c r="W693" s="504"/>
      <c r="X693" s="490"/>
      <c r="Y693" s="969"/>
      <c r="Z693" s="969"/>
      <c r="AA693" s="969"/>
      <c r="AB693" s="969"/>
      <c r="AC693" s="969"/>
      <c r="AD693" s="969"/>
      <c r="AE693" s="969" t="str">
        <f t="shared" si="31"/>
        <v>Theewaterskloof</v>
      </c>
      <c r="AF693" s="969"/>
      <c r="AG693" s="969"/>
    </row>
    <row r="694" spans="2:33" ht="13.2" customHeight="1" x14ac:dyDescent="0.55000000000000004">
      <c r="B694" s="371"/>
      <c r="C694" s="1010"/>
      <c r="D694" s="361" t="str">
        <f t="shared" si="32"/>
        <v/>
      </c>
      <c r="E694" s="361" t="str">
        <f t="shared" si="30"/>
        <v>Theewaterskloof</v>
      </c>
      <c r="F694" s="360" t="str">
        <f>'PART C- Municipal Details'!$G$7</f>
        <v>Theewaterskloof</v>
      </c>
      <c r="G694" s="361" t="s">
        <v>803</v>
      </c>
      <c r="H694" s="363"/>
      <c r="I694" s="496"/>
      <c r="J694" s="497"/>
      <c r="K694" s="490"/>
      <c r="L694" s="516"/>
      <c r="M694" s="517"/>
      <c r="N694" s="515"/>
      <c r="O694" s="515"/>
      <c r="P694" s="515"/>
      <c r="Q694" s="515"/>
      <c r="R694" s="515"/>
      <c r="S694" s="515"/>
      <c r="T694" s="515"/>
      <c r="U694" s="517"/>
      <c r="V694" s="517"/>
      <c r="W694" s="517"/>
      <c r="X694" s="490"/>
      <c r="Y694" s="969"/>
      <c r="Z694" s="969"/>
      <c r="AA694" s="969"/>
      <c r="AB694" s="969"/>
      <c r="AC694" s="969"/>
      <c r="AD694" s="969"/>
      <c r="AE694" s="969" t="str">
        <f t="shared" si="31"/>
        <v>Theewaterskloof</v>
      </c>
      <c r="AF694" s="969"/>
      <c r="AG694" s="969"/>
    </row>
    <row r="695" spans="2:33" ht="13.2" customHeight="1" x14ac:dyDescent="0.55000000000000004">
      <c r="B695" s="371"/>
      <c r="C695" s="1010">
        <v>55555</v>
      </c>
      <c r="D695" s="360" t="str">
        <f t="shared" si="32"/>
        <v>Environmental protection55555</v>
      </c>
      <c r="E695" s="361" t="str">
        <f t="shared" si="30"/>
        <v>TheewaterskloofEnvironmental protectionzz</v>
      </c>
      <c r="F695" s="360" t="str">
        <f>'PART C- Municipal Details'!$G$7</f>
        <v>Theewaterskloof</v>
      </c>
      <c r="G695" s="361" t="s">
        <v>803</v>
      </c>
      <c r="H695" s="363" t="s">
        <v>810</v>
      </c>
      <c r="I695" s="496" t="s">
        <v>801</v>
      </c>
      <c r="J695" s="497" t="s">
        <v>651</v>
      </c>
      <c r="K695" s="490"/>
      <c r="L695" s="462" t="s">
        <v>651</v>
      </c>
      <c r="M695" s="362" t="s">
        <v>652</v>
      </c>
      <c r="N695" s="466" t="s">
        <v>653</v>
      </c>
      <c r="O695" s="466" t="s">
        <v>654</v>
      </c>
      <c r="P695" s="467" t="s">
        <v>655</v>
      </c>
      <c r="Q695" s="483" t="s">
        <v>656</v>
      </c>
      <c r="R695" s="468"/>
      <c r="S695" s="468"/>
      <c r="T695" s="467"/>
      <c r="U695" s="527" t="s">
        <v>657</v>
      </c>
      <c r="V695" s="527" t="s">
        <v>657</v>
      </c>
      <c r="W695" s="527" t="s">
        <v>657</v>
      </c>
      <c r="X695" s="490"/>
      <c r="Y695" s="969"/>
      <c r="Z695" s="969"/>
      <c r="AA695" s="969"/>
      <c r="AB695" s="969"/>
      <c r="AC695" s="969"/>
      <c r="AD695" s="969"/>
      <c r="AE695" s="969" t="str">
        <f t="shared" si="31"/>
        <v>TheewaterskloofDescription</v>
      </c>
      <c r="AF695" s="969"/>
      <c r="AG695" s="969"/>
    </row>
    <row r="696" spans="2:33" ht="13.2" customHeight="1" thickBot="1" x14ac:dyDescent="0.6">
      <c r="B696" s="371"/>
      <c r="C696" s="1010">
        <v>55555</v>
      </c>
      <c r="D696" s="361" t="str">
        <f t="shared" si="32"/>
        <v>Environmental protection55555</v>
      </c>
      <c r="E696" s="360" t="str">
        <f t="shared" si="30"/>
        <v>TheewaterskloofEnvironmental protectionz</v>
      </c>
      <c r="F696" s="360" t="str">
        <f>'PART C- Municipal Details'!$G$7</f>
        <v>Theewaterskloof</v>
      </c>
      <c r="G696" s="360" t="s">
        <v>803</v>
      </c>
      <c r="H696" s="366" t="s">
        <v>810</v>
      </c>
      <c r="I696" s="496" t="s">
        <v>802</v>
      </c>
      <c r="J696" s="497" t="s">
        <v>650</v>
      </c>
      <c r="K696" s="490"/>
      <c r="L696" s="365" t="s">
        <v>659</v>
      </c>
      <c r="M696" s="364" t="s">
        <v>660</v>
      </c>
      <c r="N696" s="469" t="s">
        <v>661</v>
      </c>
      <c r="O696" s="469" t="s">
        <v>661</v>
      </c>
      <c r="P696" s="470" t="s">
        <v>661</v>
      </c>
      <c r="Q696" s="471" t="s">
        <v>662</v>
      </c>
      <c r="R696" s="469" t="s">
        <v>663</v>
      </c>
      <c r="S696" s="469" t="s">
        <v>664</v>
      </c>
      <c r="T696" s="470" t="s">
        <v>665</v>
      </c>
      <c r="U696" s="528" t="s">
        <v>666</v>
      </c>
      <c r="V696" s="528" t="s">
        <v>666</v>
      </c>
      <c r="W696" s="528" t="s">
        <v>666</v>
      </c>
      <c r="X696" s="490"/>
      <c r="Y696" s="969"/>
      <c r="Z696" s="969"/>
      <c r="AA696" s="969"/>
      <c r="AB696" s="969"/>
      <c r="AC696" s="969"/>
      <c r="AD696" s="969"/>
      <c r="AE696" s="969" t="str">
        <f t="shared" si="31"/>
        <v>TheewaterskloofR thousands</v>
      </c>
      <c r="AF696" s="969"/>
      <c r="AG696" s="969"/>
    </row>
    <row r="697" spans="2:33" ht="13.2" customHeight="1" x14ac:dyDescent="0.55000000000000004">
      <c r="B697" s="371"/>
      <c r="C697" s="1008" t="s">
        <v>667</v>
      </c>
      <c r="D697" s="360" t="str">
        <f t="shared" si="32"/>
        <v>Environmental protection0100</v>
      </c>
      <c r="E697" s="361" t="str">
        <f t="shared" si="30"/>
        <v>TheewaterskloofEnvironmental protectionz</v>
      </c>
      <c r="F697" s="360" t="str">
        <f>'PART C- Municipal Details'!$G$7</f>
        <v>Theewaterskloof</v>
      </c>
      <c r="G697" s="361" t="s">
        <v>803</v>
      </c>
      <c r="H697" s="363" t="s">
        <v>810</v>
      </c>
      <c r="I697" s="496" t="s">
        <v>802</v>
      </c>
      <c r="J697" s="497" t="s">
        <v>658</v>
      </c>
      <c r="K697" s="490"/>
      <c r="L697" s="505" t="s">
        <v>162</v>
      </c>
      <c r="M697" s="506"/>
      <c r="N697" s="507"/>
      <c r="O697" s="507"/>
      <c r="P697" s="507"/>
      <c r="Q697" s="507"/>
      <c r="R697" s="507"/>
      <c r="S697" s="507"/>
      <c r="T697" s="507"/>
      <c r="U697" s="529">
        <v>0</v>
      </c>
      <c r="V697" s="529">
        <v>0</v>
      </c>
      <c r="W697" s="529">
        <v>0</v>
      </c>
      <c r="X697" s="490"/>
      <c r="Y697" s="969"/>
      <c r="Z697" s="969"/>
      <c r="AA697" s="969"/>
      <c r="AB697" s="969"/>
      <c r="AC697" s="969"/>
      <c r="AD697" s="969"/>
      <c r="AE697" s="969" t="str">
        <f t="shared" si="31"/>
        <v>TheewaterskloofRevenue</v>
      </c>
      <c r="AF697" s="969"/>
      <c r="AG697" s="969"/>
    </row>
    <row r="698" spans="2:33" ht="13.2" customHeight="1" x14ac:dyDescent="0.55000000000000004">
      <c r="B698" s="371"/>
      <c r="C698" s="1009" t="s">
        <v>668</v>
      </c>
      <c r="D698" s="361" t="str">
        <f t="shared" si="32"/>
        <v>Environmental protection0200</v>
      </c>
      <c r="E698" s="360" t="str">
        <f t="shared" si="30"/>
        <v>TheewaterskloofEnvironmental protectionz</v>
      </c>
      <c r="F698" s="360" t="str">
        <f>'PART C- Municipal Details'!$G$7</f>
        <v>Theewaterskloof</v>
      </c>
      <c r="G698" s="360" t="s">
        <v>803</v>
      </c>
      <c r="H698" s="366" t="s">
        <v>810</v>
      </c>
      <c r="I698" s="496" t="s">
        <v>802</v>
      </c>
      <c r="J698" s="497" t="s">
        <v>0</v>
      </c>
      <c r="K698" s="490"/>
      <c r="L698" s="463" t="s">
        <v>670</v>
      </c>
      <c r="M698" s="459"/>
      <c r="N698" s="460"/>
      <c r="O698" s="460"/>
      <c r="P698" s="460"/>
      <c r="Q698" s="460"/>
      <c r="R698" s="460"/>
      <c r="S698" s="460"/>
      <c r="T698" s="460"/>
      <c r="U698" s="530">
        <v>0</v>
      </c>
      <c r="V698" s="530">
        <v>0</v>
      </c>
      <c r="W698" s="530">
        <v>0</v>
      </c>
      <c r="X698" s="490"/>
      <c r="Y698" s="969"/>
      <c r="Z698" s="969"/>
      <c r="AA698" s="969"/>
      <c r="AB698" s="969"/>
      <c r="AC698" s="969"/>
      <c r="AD698" s="969"/>
      <c r="AE698" s="969" t="str">
        <f t="shared" si="31"/>
        <v>TheewaterskloofExchange Revenue</v>
      </c>
      <c r="AF698" s="969"/>
      <c r="AG698" s="969"/>
    </row>
    <row r="699" spans="2:33" ht="13.2" customHeight="1" x14ac:dyDescent="0.55000000000000004">
      <c r="B699" s="371"/>
      <c r="C699" s="1010" t="s">
        <v>671</v>
      </c>
      <c r="D699" s="360" t="str">
        <f t="shared" si="32"/>
        <v>Environmental protection0300</v>
      </c>
      <c r="E699" s="361" t="str">
        <f t="shared" si="30"/>
        <v>TheewaterskloofEnvironmental protectionService charges - electricity revenue</v>
      </c>
      <c r="F699" s="360" t="str">
        <f>'PART C- Municipal Details'!$G$7</f>
        <v>Theewaterskloof</v>
      </c>
      <c r="G699" s="361" t="s">
        <v>803</v>
      </c>
      <c r="H699" s="363" t="s">
        <v>810</v>
      </c>
      <c r="I699" s="496" t="s">
        <v>669</v>
      </c>
      <c r="J699" s="497" t="s">
        <v>669</v>
      </c>
      <c r="K699" s="490"/>
      <c r="L699" s="463" t="s">
        <v>673</v>
      </c>
      <c r="M699" s="459"/>
      <c r="N699" s="461"/>
      <c r="O699" s="461"/>
      <c r="P699" s="461"/>
      <c r="Q699" s="461"/>
      <c r="R699" s="461"/>
      <c r="S699" s="461"/>
      <c r="T699" s="461"/>
      <c r="U699" s="530">
        <v>0</v>
      </c>
      <c r="V699" s="530">
        <v>0</v>
      </c>
      <c r="W699" s="530">
        <v>0</v>
      </c>
      <c r="X699" s="490"/>
      <c r="Y699" s="969"/>
      <c r="Z699" s="969"/>
      <c r="AA699" s="969"/>
      <c r="AB699" s="969"/>
      <c r="AC699" s="969"/>
      <c r="AD699" s="969"/>
      <c r="AE699" s="969" t="str">
        <f t="shared" si="31"/>
        <v>TheewaterskloofService charges - Electricity</v>
      </c>
      <c r="AF699" s="969"/>
      <c r="AG699" s="969"/>
    </row>
    <row r="700" spans="2:33" ht="13.2" customHeight="1" x14ac:dyDescent="0.55000000000000004">
      <c r="B700" s="371"/>
      <c r="C700" s="1010" t="s">
        <v>674</v>
      </c>
      <c r="D700" s="361" t="str">
        <f t="shared" si="32"/>
        <v>Environmental protection0400</v>
      </c>
      <c r="E700" s="360" t="str">
        <f t="shared" si="30"/>
        <v>TheewaterskloofEnvironmental protectionService charges - water revenue</v>
      </c>
      <c r="F700" s="360" t="str">
        <f>'PART C- Municipal Details'!$G$7</f>
        <v>Theewaterskloof</v>
      </c>
      <c r="G700" s="360" t="s">
        <v>803</v>
      </c>
      <c r="H700" s="366" t="s">
        <v>810</v>
      </c>
      <c r="I700" s="496" t="s">
        <v>672</v>
      </c>
      <c r="J700" s="497" t="s">
        <v>672</v>
      </c>
      <c r="K700" s="490"/>
      <c r="L700" s="463" t="s">
        <v>676</v>
      </c>
      <c r="M700" s="459"/>
      <c r="N700" s="461"/>
      <c r="O700" s="461"/>
      <c r="P700" s="461"/>
      <c r="Q700" s="461"/>
      <c r="R700" s="461"/>
      <c r="S700" s="461"/>
      <c r="T700" s="461"/>
      <c r="U700" s="530">
        <v>0</v>
      </c>
      <c r="V700" s="530">
        <v>0</v>
      </c>
      <c r="W700" s="530">
        <v>0</v>
      </c>
      <c r="X700" s="490"/>
      <c r="Y700" s="969"/>
      <c r="Z700" s="969"/>
      <c r="AA700" s="969"/>
      <c r="AB700" s="969"/>
      <c r="AC700" s="969"/>
      <c r="AD700" s="969"/>
      <c r="AE700" s="969" t="str">
        <f t="shared" si="31"/>
        <v>TheewaterskloofService charges - Water</v>
      </c>
      <c r="AF700" s="969"/>
      <c r="AG700" s="969"/>
    </row>
    <row r="701" spans="2:33" ht="13.2" customHeight="1" x14ac:dyDescent="0.55000000000000004">
      <c r="B701" s="371"/>
      <c r="C701" s="1010" t="s">
        <v>677</v>
      </c>
      <c r="D701" s="360" t="str">
        <f t="shared" si="32"/>
        <v>Environmental protection0500</v>
      </c>
      <c r="E701" s="361" t="str">
        <f t="shared" si="30"/>
        <v>TheewaterskloofEnvironmental protectionService charges - sanitation revenue</v>
      </c>
      <c r="F701" s="360" t="str">
        <f>'PART C- Municipal Details'!$G$7</f>
        <v>Theewaterskloof</v>
      </c>
      <c r="G701" s="361" t="s">
        <v>803</v>
      </c>
      <c r="H701" s="363" t="s">
        <v>810</v>
      </c>
      <c r="I701" s="496" t="s">
        <v>675</v>
      </c>
      <c r="J701" s="497" t="s">
        <v>675</v>
      </c>
      <c r="K701" s="490"/>
      <c r="L701" s="463" t="s">
        <v>679</v>
      </c>
      <c r="M701" s="459"/>
      <c r="N701" s="461"/>
      <c r="O701" s="461"/>
      <c r="P701" s="461"/>
      <c r="Q701" s="461"/>
      <c r="R701" s="461"/>
      <c r="S701" s="461"/>
      <c r="T701" s="461"/>
      <c r="U701" s="530">
        <v>0</v>
      </c>
      <c r="V701" s="530">
        <v>0</v>
      </c>
      <c r="W701" s="530">
        <v>0</v>
      </c>
      <c r="X701" s="490"/>
      <c r="Y701" s="969"/>
      <c r="Z701" s="969"/>
      <c r="AA701" s="969"/>
      <c r="AB701" s="969"/>
      <c r="AC701" s="969"/>
      <c r="AD701" s="969"/>
      <c r="AE701" s="969" t="str">
        <f t="shared" si="31"/>
        <v>TheewaterskloofService charges - Waste Water Management</v>
      </c>
      <c r="AF701" s="969"/>
      <c r="AG701" s="969"/>
    </row>
    <row r="702" spans="2:33" ht="13.2" customHeight="1" x14ac:dyDescent="0.55000000000000004">
      <c r="B702" s="371"/>
      <c r="C702" s="1010" t="s">
        <v>680</v>
      </c>
      <c r="D702" s="361" t="str">
        <f t="shared" si="32"/>
        <v>Environmental protection0600</v>
      </c>
      <c r="E702" s="360" t="str">
        <f t="shared" si="30"/>
        <v>TheewaterskloofEnvironmental protectionService charges - refuse revenue</v>
      </c>
      <c r="F702" s="360" t="str">
        <f>'PART C- Municipal Details'!$G$7</f>
        <v>Theewaterskloof</v>
      </c>
      <c r="G702" s="360" t="s">
        <v>803</v>
      </c>
      <c r="H702" s="366" t="s">
        <v>810</v>
      </c>
      <c r="I702" s="496" t="s">
        <v>678</v>
      </c>
      <c r="J702" s="497" t="s">
        <v>678</v>
      </c>
      <c r="K702" s="490"/>
      <c r="L702" s="463" t="s">
        <v>682</v>
      </c>
      <c r="M702" s="459"/>
      <c r="N702" s="461"/>
      <c r="O702" s="461"/>
      <c r="P702" s="461"/>
      <c r="Q702" s="461"/>
      <c r="R702" s="461"/>
      <c r="S702" s="461"/>
      <c r="T702" s="461"/>
      <c r="U702" s="530">
        <v>0</v>
      </c>
      <c r="V702" s="530">
        <v>0</v>
      </c>
      <c r="W702" s="530">
        <v>0</v>
      </c>
      <c r="X702" s="490"/>
      <c r="Y702" s="969"/>
      <c r="Z702" s="969"/>
      <c r="AA702" s="969"/>
      <c r="AB702" s="969"/>
      <c r="AC702" s="969"/>
      <c r="AD702" s="969"/>
      <c r="AE702" s="969" t="str">
        <f t="shared" si="31"/>
        <v>TheewaterskloofService charges - Waste Management</v>
      </c>
      <c r="AF702" s="969"/>
      <c r="AG702" s="969"/>
    </row>
    <row r="703" spans="2:33" ht="13.2" customHeight="1" x14ac:dyDescent="0.55000000000000004">
      <c r="B703" s="371"/>
      <c r="C703" s="1010" t="s">
        <v>683</v>
      </c>
      <c r="D703" s="360" t="str">
        <f t="shared" si="32"/>
        <v>Environmental protection0700</v>
      </c>
      <c r="E703" s="361" t="str">
        <f t="shared" si="30"/>
        <v>TheewaterskloofEnvironmental protectionOther revenue</v>
      </c>
      <c r="F703" s="360" t="str">
        <f>'PART C- Municipal Details'!$G$7</f>
        <v>Theewaterskloof</v>
      </c>
      <c r="G703" s="361" t="s">
        <v>803</v>
      </c>
      <c r="H703" s="363" t="s">
        <v>810</v>
      </c>
      <c r="I703" s="496" t="s">
        <v>7</v>
      </c>
      <c r="J703" s="497" t="s">
        <v>681</v>
      </c>
      <c r="K703" s="490"/>
      <c r="L703" s="463" t="s">
        <v>684</v>
      </c>
      <c r="M703" s="459"/>
      <c r="N703" s="461"/>
      <c r="O703" s="461"/>
      <c r="P703" s="461"/>
      <c r="Q703" s="461"/>
      <c r="R703" s="461"/>
      <c r="S703" s="461"/>
      <c r="T703" s="461"/>
      <c r="U703" s="530">
        <v>0</v>
      </c>
      <c r="V703" s="530">
        <v>0</v>
      </c>
      <c r="W703" s="530">
        <v>0</v>
      </c>
      <c r="X703" s="490"/>
      <c r="Y703" s="969"/>
      <c r="Z703" s="969"/>
      <c r="AA703" s="969"/>
      <c r="AB703" s="969"/>
      <c r="AC703" s="969"/>
      <c r="AD703" s="969"/>
      <c r="AE703" s="969" t="str">
        <f t="shared" si="31"/>
        <v>TheewaterskloofSale of Goods and Rendering of Services</v>
      </c>
      <c r="AF703" s="969"/>
      <c r="AG703" s="969"/>
    </row>
    <row r="704" spans="2:33" ht="13.2" customHeight="1" x14ac:dyDescent="0.55000000000000004">
      <c r="B704" s="371"/>
      <c r="C704" s="1010" t="s">
        <v>685</v>
      </c>
      <c r="D704" s="361" t="str">
        <f t="shared" si="32"/>
        <v>Environmental protection0800</v>
      </c>
      <c r="E704" s="360" t="str">
        <f t="shared" si="30"/>
        <v>TheewaterskloofEnvironmental protectionAgency services</v>
      </c>
      <c r="F704" s="360" t="str">
        <f>'PART C- Municipal Details'!$G$7</f>
        <v>Theewaterskloof</v>
      </c>
      <c r="G704" s="360" t="s">
        <v>803</v>
      </c>
      <c r="H704" s="366" t="s">
        <v>810</v>
      </c>
      <c r="I704" s="496" t="s">
        <v>6</v>
      </c>
      <c r="J704" s="497" t="s">
        <v>1</v>
      </c>
      <c r="K704" s="490"/>
      <c r="L704" s="463" t="s">
        <v>6</v>
      </c>
      <c r="M704" s="459"/>
      <c r="N704" s="461"/>
      <c r="O704" s="461"/>
      <c r="P704" s="461"/>
      <c r="Q704" s="461"/>
      <c r="R704" s="461"/>
      <c r="S704" s="461"/>
      <c r="T704" s="461"/>
      <c r="U704" s="530">
        <v>0</v>
      </c>
      <c r="V704" s="530">
        <v>0</v>
      </c>
      <c r="W704" s="530">
        <v>0</v>
      </c>
      <c r="X704" s="490"/>
      <c r="Y704" s="969"/>
      <c r="Z704" s="969"/>
      <c r="AA704" s="969"/>
      <c r="AB704" s="969"/>
      <c r="AC704" s="969"/>
      <c r="AD704" s="969"/>
      <c r="AE704" s="969" t="str">
        <f t="shared" si="31"/>
        <v>TheewaterskloofAgency services</v>
      </c>
      <c r="AF704" s="969"/>
      <c r="AG704" s="969"/>
    </row>
    <row r="705" spans="2:33" ht="13.2" customHeight="1" x14ac:dyDescent="0.55000000000000004">
      <c r="B705" s="371"/>
      <c r="C705" s="1010" t="s">
        <v>686</v>
      </c>
      <c r="D705" s="360" t="str">
        <f t="shared" si="32"/>
        <v>Environmental protection0900</v>
      </c>
      <c r="E705" s="361" t="str">
        <f t="shared" si="30"/>
        <v>TheewaterskloofEnvironmental protectionInterest earned - external investments</v>
      </c>
      <c r="F705" s="360" t="str">
        <f>'PART C- Municipal Details'!$G$7</f>
        <v>Theewaterskloof</v>
      </c>
      <c r="G705" s="361" t="s">
        <v>803</v>
      </c>
      <c r="H705" s="363" t="s">
        <v>810</v>
      </c>
      <c r="I705" s="496" t="s">
        <v>2</v>
      </c>
      <c r="J705" s="497" t="s">
        <v>2</v>
      </c>
      <c r="K705" s="490"/>
      <c r="L705" s="463" t="s">
        <v>687</v>
      </c>
      <c r="M705" s="459"/>
      <c r="N705" s="461"/>
      <c r="O705" s="461"/>
      <c r="P705" s="461"/>
      <c r="Q705" s="461"/>
      <c r="R705" s="461"/>
      <c r="S705" s="461"/>
      <c r="T705" s="461"/>
      <c r="U705" s="530">
        <v>0</v>
      </c>
      <c r="V705" s="530">
        <v>0</v>
      </c>
      <c r="W705" s="530">
        <v>0</v>
      </c>
      <c r="X705" s="490"/>
      <c r="Y705" s="969"/>
      <c r="Z705" s="969"/>
      <c r="AA705" s="969"/>
      <c r="AB705" s="969"/>
      <c r="AC705" s="969"/>
      <c r="AD705" s="969"/>
      <c r="AE705" s="969" t="str">
        <f t="shared" si="31"/>
        <v>TheewaterskloofInterest</v>
      </c>
      <c r="AF705" s="969"/>
      <c r="AG705" s="969"/>
    </row>
    <row r="706" spans="2:33" ht="13.2" customHeight="1" x14ac:dyDescent="0.55000000000000004">
      <c r="B706" s="371"/>
      <c r="C706" s="1010" t="s">
        <v>688</v>
      </c>
      <c r="D706" s="361" t="str">
        <f t="shared" si="32"/>
        <v>Environmental protection1000</v>
      </c>
      <c r="E706" s="360" t="str">
        <f t="shared" si="30"/>
        <v>TheewaterskloofEnvironmental protectionInterest earned - outstanding debtors</v>
      </c>
      <c r="F706" s="360" t="str">
        <f>'PART C- Municipal Details'!$G$7</f>
        <v>Theewaterskloof</v>
      </c>
      <c r="G706" s="360" t="s">
        <v>803</v>
      </c>
      <c r="H706" s="366" t="s">
        <v>810</v>
      </c>
      <c r="I706" s="496" t="s">
        <v>3</v>
      </c>
      <c r="J706" s="497" t="s">
        <v>3</v>
      </c>
      <c r="K706" s="490"/>
      <c r="L706" s="463" t="s">
        <v>689</v>
      </c>
      <c r="M706" s="459"/>
      <c r="N706" s="461"/>
      <c r="O706" s="461"/>
      <c r="P706" s="461"/>
      <c r="Q706" s="461"/>
      <c r="R706" s="461"/>
      <c r="S706" s="461"/>
      <c r="T706" s="461"/>
      <c r="U706" s="530">
        <v>0</v>
      </c>
      <c r="V706" s="530">
        <v>0</v>
      </c>
      <c r="W706" s="530">
        <v>0</v>
      </c>
      <c r="X706" s="490"/>
      <c r="Y706" s="969"/>
      <c r="Z706" s="969"/>
      <c r="AA706" s="969"/>
      <c r="AB706" s="969"/>
      <c r="AC706" s="969"/>
      <c r="AD706" s="969"/>
      <c r="AE706" s="969" t="str">
        <f t="shared" si="31"/>
        <v>TheewaterskloofInterest earned from Receivables</v>
      </c>
      <c r="AF706" s="969"/>
      <c r="AG706" s="969"/>
    </row>
    <row r="707" spans="2:33" ht="13.2" customHeight="1" x14ac:dyDescent="0.55000000000000004">
      <c r="B707" s="371"/>
      <c r="C707" s="1010" t="s">
        <v>690</v>
      </c>
      <c r="D707" s="360" t="str">
        <f t="shared" si="32"/>
        <v>Environmental protection1100</v>
      </c>
      <c r="E707" s="361" t="str">
        <f t="shared" si="30"/>
        <v>TheewaterskloofEnvironmental protectionInterest earned - external investments</v>
      </c>
      <c r="F707" s="360" t="str">
        <f>'PART C- Municipal Details'!$G$7</f>
        <v>Theewaterskloof</v>
      </c>
      <c r="G707" s="361" t="s">
        <v>803</v>
      </c>
      <c r="H707" s="363" t="s">
        <v>810</v>
      </c>
      <c r="I707" s="496" t="s">
        <v>2</v>
      </c>
      <c r="J707" s="497" t="s">
        <v>4</v>
      </c>
      <c r="K707" s="490"/>
      <c r="L707" s="463" t="s">
        <v>692</v>
      </c>
      <c r="M707" s="459"/>
      <c r="N707" s="461"/>
      <c r="O707" s="461"/>
      <c r="P707" s="461"/>
      <c r="Q707" s="461"/>
      <c r="R707" s="461"/>
      <c r="S707" s="461"/>
      <c r="T707" s="461"/>
      <c r="U707" s="530">
        <v>0</v>
      </c>
      <c r="V707" s="530">
        <v>0</v>
      </c>
      <c r="W707" s="530">
        <v>0</v>
      </c>
      <c r="X707" s="490"/>
      <c r="Y707" s="969"/>
      <c r="Z707" s="969"/>
      <c r="AA707" s="969"/>
      <c r="AB707" s="969"/>
      <c r="AC707" s="969"/>
      <c r="AD707" s="969"/>
      <c r="AE707" s="969" t="str">
        <f t="shared" si="31"/>
        <v>TheewaterskloofInterest earned from Current and Non Current Assets</v>
      </c>
      <c r="AF707" s="969"/>
      <c r="AG707" s="969"/>
    </row>
    <row r="708" spans="2:33" ht="13.2" customHeight="1" x14ac:dyDescent="0.55000000000000004">
      <c r="B708" s="371"/>
      <c r="C708" s="1010" t="s">
        <v>693</v>
      </c>
      <c r="D708" s="361" t="str">
        <f t="shared" si="32"/>
        <v>Environmental protection1200</v>
      </c>
      <c r="E708" s="360" t="str">
        <f t="shared" si="30"/>
        <v>TheewaterskloofEnvironmental protectionDividends received</v>
      </c>
      <c r="F708" s="360" t="str">
        <f>'PART C- Municipal Details'!$G$7</f>
        <v>Theewaterskloof</v>
      </c>
      <c r="G708" s="360" t="s">
        <v>803</v>
      </c>
      <c r="H708" s="366" t="s">
        <v>810</v>
      </c>
      <c r="I708" s="496" t="s">
        <v>4</v>
      </c>
      <c r="J708" s="497" t="s">
        <v>691</v>
      </c>
      <c r="K708" s="490"/>
      <c r="L708" s="463" t="s">
        <v>694</v>
      </c>
      <c r="M708" s="459"/>
      <c r="N708" s="461"/>
      <c r="O708" s="461"/>
      <c r="P708" s="461"/>
      <c r="Q708" s="461"/>
      <c r="R708" s="461"/>
      <c r="S708" s="461"/>
      <c r="T708" s="461"/>
      <c r="U708" s="530">
        <v>0</v>
      </c>
      <c r="V708" s="530">
        <v>0</v>
      </c>
      <c r="W708" s="530">
        <v>0</v>
      </c>
      <c r="X708" s="490"/>
      <c r="Y708" s="969"/>
      <c r="Z708" s="969"/>
      <c r="AA708" s="969"/>
      <c r="AB708" s="969"/>
      <c r="AC708" s="969"/>
      <c r="AD708" s="969"/>
      <c r="AE708" s="969" t="str">
        <f t="shared" si="31"/>
        <v>TheewaterskloofDividends</v>
      </c>
      <c r="AF708" s="969"/>
      <c r="AG708" s="969"/>
    </row>
    <row r="709" spans="2:33" ht="13.2" customHeight="1" x14ac:dyDescent="0.55000000000000004">
      <c r="B709" s="371"/>
      <c r="C709" s="1010" t="s">
        <v>695</v>
      </c>
      <c r="D709" s="360" t="str">
        <f t="shared" si="32"/>
        <v>Environmental protection1300</v>
      </c>
      <c r="E709" s="361" t="str">
        <f t="shared" si="30"/>
        <v>TheewaterskloofEnvironmental protectionRental of facilities and equipment</v>
      </c>
      <c r="F709" s="360" t="str">
        <f>'PART C- Municipal Details'!$G$7</f>
        <v>Theewaterskloof</v>
      </c>
      <c r="G709" s="361" t="s">
        <v>803</v>
      </c>
      <c r="H709" s="363" t="s">
        <v>810</v>
      </c>
      <c r="I709" s="496" t="s">
        <v>1</v>
      </c>
      <c r="J709" s="497" t="s">
        <v>5</v>
      </c>
      <c r="K709" s="490"/>
      <c r="L709" s="463" t="s">
        <v>696</v>
      </c>
      <c r="M709" s="459"/>
      <c r="N709" s="461"/>
      <c r="O709" s="461"/>
      <c r="P709" s="461"/>
      <c r="Q709" s="461"/>
      <c r="R709" s="461"/>
      <c r="S709" s="461"/>
      <c r="T709" s="461"/>
      <c r="U709" s="530">
        <v>0</v>
      </c>
      <c r="V709" s="530">
        <v>0</v>
      </c>
      <c r="W709" s="530">
        <v>0</v>
      </c>
      <c r="X709" s="490"/>
      <c r="Y709" s="969"/>
      <c r="Z709" s="969"/>
      <c r="AA709" s="969"/>
      <c r="AB709" s="969"/>
      <c r="AC709" s="969"/>
      <c r="AD709" s="969"/>
      <c r="AE709" s="969" t="str">
        <f t="shared" si="31"/>
        <v>TheewaterskloofRent on Land</v>
      </c>
      <c r="AF709" s="969"/>
      <c r="AG709" s="969"/>
    </row>
    <row r="710" spans="2:33" ht="13.2" customHeight="1" x14ac:dyDescent="0.55000000000000004">
      <c r="B710" s="371"/>
      <c r="C710" s="1010" t="s">
        <v>697</v>
      </c>
      <c r="D710" s="361" t="str">
        <f t="shared" si="32"/>
        <v>Environmental protection1400</v>
      </c>
      <c r="E710" s="360" t="str">
        <f t="shared" si="30"/>
        <v>TheewaterskloofEnvironmental protectionRental of facilities and equipment</v>
      </c>
      <c r="F710" s="360" t="str">
        <f>'PART C- Municipal Details'!$G$7</f>
        <v>Theewaterskloof</v>
      </c>
      <c r="G710" s="360" t="s">
        <v>803</v>
      </c>
      <c r="H710" s="366" t="s">
        <v>810</v>
      </c>
      <c r="I710" s="496" t="s">
        <v>1</v>
      </c>
      <c r="J710" s="497" t="s">
        <v>6</v>
      </c>
      <c r="K710" s="490"/>
      <c r="L710" s="463" t="s">
        <v>699</v>
      </c>
      <c r="M710" s="459"/>
      <c r="N710" s="461"/>
      <c r="O710" s="461"/>
      <c r="P710" s="461"/>
      <c r="Q710" s="461"/>
      <c r="R710" s="461"/>
      <c r="S710" s="461"/>
      <c r="T710" s="461"/>
      <c r="U710" s="530">
        <v>0</v>
      </c>
      <c r="V710" s="530">
        <v>0</v>
      </c>
      <c r="W710" s="530">
        <v>0</v>
      </c>
      <c r="X710" s="490"/>
      <c r="Y710" s="969"/>
      <c r="Z710" s="969"/>
      <c r="AA710" s="969"/>
      <c r="AB710" s="969"/>
      <c r="AC710" s="969"/>
      <c r="AD710" s="969"/>
      <c r="AE710" s="969" t="str">
        <f t="shared" si="31"/>
        <v>TheewaterskloofRental from Fixed Assets</v>
      </c>
      <c r="AF710" s="969"/>
      <c r="AG710" s="969"/>
    </row>
    <row r="711" spans="2:33" ht="13.2" customHeight="1" x14ac:dyDescent="0.55000000000000004">
      <c r="B711" s="371"/>
      <c r="C711" s="1010" t="s">
        <v>700</v>
      </c>
      <c r="D711" s="360" t="str">
        <f t="shared" si="32"/>
        <v>Environmental protection1500</v>
      </c>
      <c r="E711" s="361" t="str">
        <f t="shared" si="30"/>
        <v>TheewaterskloofEnvironmental protectionLicences and permits</v>
      </c>
      <c r="F711" s="360" t="str">
        <f>'PART C- Municipal Details'!$G$7</f>
        <v>Theewaterskloof</v>
      </c>
      <c r="G711" s="361" t="s">
        <v>803</v>
      </c>
      <c r="H711" s="363" t="s">
        <v>810</v>
      </c>
      <c r="I711" s="496" t="s">
        <v>5</v>
      </c>
      <c r="J711" s="497" t="s">
        <v>698</v>
      </c>
      <c r="K711" s="490"/>
      <c r="L711" s="463" t="s">
        <v>701</v>
      </c>
      <c r="M711" s="459"/>
      <c r="N711" s="461"/>
      <c r="O711" s="461"/>
      <c r="P711" s="461"/>
      <c r="Q711" s="461"/>
      <c r="R711" s="461"/>
      <c r="S711" s="461"/>
      <c r="T711" s="461"/>
      <c r="U711" s="530">
        <v>0</v>
      </c>
      <c r="V711" s="530">
        <v>0</v>
      </c>
      <c r="W711" s="530">
        <v>0</v>
      </c>
      <c r="X711" s="490"/>
      <c r="Y711" s="969"/>
      <c r="Z711" s="969"/>
      <c r="AA711" s="969"/>
      <c r="AB711" s="969"/>
      <c r="AC711" s="969"/>
      <c r="AD711" s="969"/>
      <c r="AE711" s="969" t="str">
        <f t="shared" si="31"/>
        <v>TheewaterskloofLicence and permits</v>
      </c>
      <c r="AF711" s="969"/>
      <c r="AG711" s="969"/>
    </row>
    <row r="712" spans="2:33" ht="13.2" customHeight="1" x14ac:dyDescent="0.55000000000000004">
      <c r="B712" s="371"/>
      <c r="C712" s="1324" t="s">
        <v>1569</v>
      </c>
      <c r="D712" s="360" t="str">
        <f t="shared" si="32"/>
        <v>Environmental protection1550</v>
      </c>
      <c r="E712" s="360" t="str">
        <f t="shared" si="30"/>
        <v>TheewaterskloofEnvironmental protectionSpecial rating Levies</v>
      </c>
      <c r="F712" s="360" t="str">
        <f>'PART C- Municipal Details'!$G$7</f>
        <v>Theewaterskloof</v>
      </c>
      <c r="G712" s="360" t="s">
        <v>803</v>
      </c>
      <c r="H712" s="363" t="s">
        <v>810</v>
      </c>
      <c r="I712" s="496" t="s">
        <v>1568</v>
      </c>
      <c r="J712" s="497" t="s">
        <v>7</v>
      </c>
      <c r="K712" s="490"/>
      <c r="L712" s="463" t="s">
        <v>1567</v>
      </c>
      <c r="M712" s="459"/>
      <c r="N712" s="461"/>
      <c r="O712" s="461"/>
      <c r="P712" s="461"/>
      <c r="Q712" s="461"/>
      <c r="R712" s="461"/>
      <c r="S712" s="461"/>
      <c r="T712" s="461"/>
      <c r="U712" s="530">
        <v>0</v>
      </c>
      <c r="V712" s="530">
        <v>0</v>
      </c>
      <c r="W712" s="530">
        <v>0</v>
      </c>
      <c r="X712" s="490"/>
      <c r="Y712" s="969"/>
      <c r="Z712" s="969"/>
      <c r="AA712" s="969"/>
      <c r="AB712" s="969"/>
      <c r="AC712" s="969"/>
      <c r="AD712" s="969"/>
      <c r="AE712" s="969"/>
      <c r="AF712" s="969"/>
      <c r="AG712" s="969"/>
    </row>
    <row r="713" spans="2:33" ht="13.2" customHeight="1" x14ac:dyDescent="0.55000000000000004">
      <c r="B713" s="371"/>
      <c r="C713" s="1010" t="s">
        <v>702</v>
      </c>
      <c r="D713" s="361" t="str">
        <f t="shared" si="32"/>
        <v>Environmental protection1600</v>
      </c>
      <c r="E713" s="360" t="str">
        <f t="shared" si="30"/>
        <v>TheewaterskloofEnvironmental protectionOther revenue</v>
      </c>
      <c r="F713" s="360" t="str">
        <f>'PART C- Municipal Details'!$G$7</f>
        <v>Theewaterskloof</v>
      </c>
      <c r="G713" s="360" t="s">
        <v>803</v>
      </c>
      <c r="H713" s="366" t="s">
        <v>810</v>
      </c>
      <c r="I713" s="496" t="s">
        <v>7</v>
      </c>
      <c r="J713" s="497" t="s">
        <v>7</v>
      </c>
      <c r="K713" s="490"/>
      <c r="L713" s="463" t="s">
        <v>704</v>
      </c>
      <c r="M713" s="459"/>
      <c r="N713" s="461"/>
      <c r="O713" s="461"/>
      <c r="P713" s="461"/>
      <c r="Q713" s="461"/>
      <c r="R713" s="461"/>
      <c r="S713" s="461"/>
      <c r="T713" s="461"/>
      <c r="U713" s="530">
        <v>0</v>
      </c>
      <c r="V713" s="530">
        <v>0</v>
      </c>
      <c r="W713" s="530">
        <v>0</v>
      </c>
      <c r="X713" s="490"/>
      <c r="Y713" s="969"/>
      <c r="Z713" s="969"/>
      <c r="AA713" s="969"/>
      <c r="AB713" s="969"/>
      <c r="AC713" s="969"/>
      <c r="AD713" s="969"/>
      <c r="AE713" s="969" t="str">
        <f t="shared" si="31"/>
        <v>TheewaterskloofOperational Revenue</v>
      </c>
      <c r="AF713" s="969"/>
      <c r="AG713" s="969"/>
    </row>
    <row r="714" spans="2:33" ht="13.2" customHeight="1" x14ac:dyDescent="0.55000000000000004">
      <c r="B714" s="371"/>
      <c r="C714" s="1009" t="s">
        <v>705</v>
      </c>
      <c r="D714" s="360" t="str">
        <f t="shared" si="32"/>
        <v>Environmental protection1700</v>
      </c>
      <c r="E714" s="361" t="str">
        <f t="shared" si="30"/>
        <v>TheewaterskloofEnvironmental protectionx</v>
      </c>
      <c r="F714" s="360" t="str">
        <f>'PART C- Municipal Details'!$G$7</f>
        <v>Theewaterskloof</v>
      </c>
      <c r="G714" s="361" t="s">
        <v>803</v>
      </c>
      <c r="H714" s="363" t="s">
        <v>810</v>
      </c>
      <c r="I714" s="496" t="s">
        <v>789</v>
      </c>
      <c r="J714" s="497" t="s">
        <v>703</v>
      </c>
      <c r="K714" s="490"/>
      <c r="L714" s="508" t="s">
        <v>708</v>
      </c>
      <c r="M714" s="509"/>
      <c r="N714" s="510"/>
      <c r="O714" s="510"/>
      <c r="P714" s="510"/>
      <c r="Q714" s="510"/>
      <c r="R714" s="510"/>
      <c r="S714" s="510"/>
      <c r="T714" s="511"/>
      <c r="U714" s="531">
        <v>0</v>
      </c>
      <c r="V714" s="531">
        <v>0</v>
      </c>
      <c r="W714" s="531">
        <v>0</v>
      </c>
      <c r="X714" s="490"/>
      <c r="Y714" s="969"/>
      <c r="Z714" s="969"/>
      <c r="AA714" s="969"/>
      <c r="AB714" s="969"/>
      <c r="AC714" s="969"/>
      <c r="AD714" s="969"/>
      <c r="AE714" s="969" t="str">
        <f t="shared" si="31"/>
        <v>TheewaterskloofNon-Exchange Revenue</v>
      </c>
      <c r="AF714" s="969"/>
      <c r="AG714" s="969"/>
    </row>
    <row r="715" spans="2:33" ht="13.2" customHeight="1" x14ac:dyDescent="0.55000000000000004">
      <c r="B715" s="371"/>
      <c r="C715" s="1010" t="s">
        <v>709</v>
      </c>
      <c r="D715" s="361" t="str">
        <f t="shared" si="32"/>
        <v>Environmental protection1800</v>
      </c>
      <c r="E715" s="360" t="str">
        <f t="shared" si="30"/>
        <v>TheewaterskloofEnvironmental protectionProperty rates</v>
      </c>
      <c r="F715" s="360" t="str">
        <f>'PART C- Municipal Details'!$G$7</f>
        <v>Theewaterskloof</v>
      </c>
      <c r="G715" s="360" t="s">
        <v>803</v>
      </c>
      <c r="H715" s="366" t="s">
        <v>810</v>
      </c>
      <c r="I715" s="496" t="s">
        <v>0</v>
      </c>
      <c r="J715" s="497" t="s">
        <v>707</v>
      </c>
      <c r="K715" s="490"/>
      <c r="L715" s="463" t="s">
        <v>0</v>
      </c>
      <c r="M715" s="459"/>
      <c r="N715" s="460"/>
      <c r="O715" s="460"/>
      <c r="P715" s="460"/>
      <c r="Q715" s="460"/>
      <c r="R715" s="460"/>
      <c r="S715" s="460"/>
      <c r="T715" s="460"/>
      <c r="U715" s="530">
        <v>0</v>
      </c>
      <c r="V715" s="530">
        <v>0</v>
      </c>
      <c r="W715" s="530">
        <v>0</v>
      </c>
      <c r="X715" s="490"/>
      <c r="Y715" s="969"/>
      <c r="Z715" s="969"/>
      <c r="AA715" s="969"/>
      <c r="AB715" s="969"/>
      <c r="AC715" s="969"/>
      <c r="AD715" s="969"/>
      <c r="AE715" s="969" t="str">
        <f t="shared" si="31"/>
        <v>TheewaterskloofProperty rates</v>
      </c>
      <c r="AF715" s="969"/>
      <c r="AG715" s="969"/>
    </row>
    <row r="716" spans="2:33" ht="13.2" customHeight="1" x14ac:dyDescent="0.55000000000000004">
      <c r="B716" s="371"/>
      <c r="C716" s="1010" t="s">
        <v>711</v>
      </c>
      <c r="D716" s="360" t="str">
        <f t="shared" si="32"/>
        <v>Environmental protection1900</v>
      </c>
      <c r="E716" s="361" t="str">
        <f t="shared" si="30"/>
        <v>TheewaterskloofEnvironmental protectionOther revenue</v>
      </c>
      <c r="F716" s="360" t="str">
        <f>'PART C- Municipal Details'!$G$7</f>
        <v>Theewaterskloof</v>
      </c>
      <c r="G716" s="361" t="s">
        <v>803</v>
      </c>
      <c r="H716" s="363" t="s">
        <v>810</v>
      </c>
      <c r="I716" s="496" t="s">
        <v>7</v>
      </c>
      <c r="J716" s="497" t="s">
        <v>710</v>
      </c>
      <c r="K716" s="490"/>
      <c r="L716" s="463" t="s">
        <v>713</v>
      </c>
      <c r="M716" s="459"/>
      <c r="N716" s="461"/>
      <c r="O716" s="461"/>
      <c r="P716" s="461"/>
      <c r="Q716" s="461"/>
      <c r="R716" s="461"/>
      <c r="S716" s="461"/>
      <c r="T716" s="461"/>
      <c r="U716" s="530">
        <v>0</v>
      </c>
      <c r="V716" s="530">
        <v>0</v>
      </c>
      <c r="W716" s="530">
        <v>0</v>
      </c>
      <c r="X716" s="490"/>
      <c r="Y716" s="969"/>
      <c r="Z716" s="969"/>
      <c r="AA716" s="969"/>
      <c r="AB716" s="969"/>
      <c r="AC716" s="969"/>
      <c r="AD716" s="969"/>
      <c r="AE716" s="969" t="str">
        <f t="shared" si="31"/>
        <v>TheewaterskloofSurcharges and Taxes</v>
      </c>
      <c r="AF716" s="969"/>
      <c r="AG716" s="969"/>
    </row>
    <row r="717" spans="2:33" ht="13.2" customHeight="1" x14ac:dyDescent="0.55000000000000004">
      <c r="B717" s="371"/>
      <c r="C717" s="1010" t="s">
        <v>714</v>
      </c>
      <c r="D717" s="361" t="str">
        <f t="shared" si="32"/>
        <v>Environmental protection2000</v>
      </c>
      <c r="E717" s="360" t="str">
        <f t="shared" si="30"/>
        <v>TheewaterskloofEnvironmental protectionFines, penalties and forfeits</v>
      </c>
      <c r="F717" s="360" t="str">
        <f>'PART C- Municipal Details'!$G$7</f>
        <v>Theewaterskloof</v>
      </c>
      <c r="G717" s="360" t="s">
        <v>803</v>
      </c>
      <c r="H717" s="366" t="s">
        <v>810</v>
      </c>
      <c r="I717" s="496" t="s">
        <v>691</v>
      </c>
      <c r="J717" s="497" t="s">
        <v>712</v>
      </c>
      <c r="K717" s="490"/>
      <c r="L717" s="463" t="s">
        <v>691</v>
      </c>
      <c r="M717" s="459"/>
      <c r="N717" s="461"/>
      <c r="O717" s="461"/>
      <c r="P717" s="461"/>
      <c r="Q717" s="461"/>
      <c r="R717" s="461"/>
      <c r="S717" s="461"/>
      <c r="T717" s="461"/>
      <c r="U717" s="530">
        <v>0</v>
      </c>
      <c r="V717" s="530">
        <v>0</v>
      </c>
      <c r="W717" s="530">
        <v>0</v>
      </c>
      <c r="X717" s="490"/>
      <c r="Y717" s="969"/>
      <c r="Z717" s="969"/>
      <c r="AA717" s="969"/>
      <c r="AB717" s="969"/>
      <c r="AC717" s="969"/>
      <c r="AD717" s="969"/>
      <c r="AE717" s="969" t="str">
        <f t="shared" si="31"/>
        <v>TheewaterskloofFines, penalties and forfeits</v>
      </c>
      <c r="AF717" s="969"/>
      <c r="AG717" s="969"/>
    </row>
    <row r="718" spans="2:33" ht="13.2" customHeight="1" x14ac:dyDescent="0.55000000000000004">
      <c r="B718" s="371"/>
      <c r="C718" s="1010" t="s">
        <v>715</v>
      </c>
      <c r="D718" s="360" t="str">
        <f t="shared" si="32"/>
        <v>Environmental protection2100</v>
      </c>
      <c r="E718" s="361" t="str">
        <f t="shared" si="30"/>
        <v>TheewaterskloofEnvironmental protectionLicences and permits</v>
      </c>
      <c r="F718" s="360" t="str">
        <f>'PART C- Municipal Details'!$G$7</f>
        <v>Theewaterskloof</v>
      </c>
      <c r="G718" s="361" t="s">
        <v>803</v>
      </c>
      <c r="H718" s="363" t="s">
        <v>810</v>
      </c>
      <c r="I718" s="496" t="s">
        <v>5</v>
      </c>
      <c r="J718" s="497" t="s">
        <v>8</v>
      </c>
      <c r="K718" s="490"/>
      <c r="L718" s="463" t="s">
        <v>716</v>
      </c>
      <c r="M718" s="459"/>
      <c r="N718" s="461"/>
      <c r="O718" s="461"/>
      <c r="P718" s="461"/>
      <c r="Q718" s="461"/>
      <c r="R718" s="461"/>
      <c r="S718" s="461"/>
      <c r="T718" s="461"/>
      <c r="U718" s="530">
        <v>0</v>
      </c>
      <c r="V718" s="530">
        <v>0</v>
      </c>
      <c r="W718" s="530">
        <v>0</v>
      </c>
      <c r="X718" s="490"/>
      <c r="Y718" s="969"/>
      <c r="Z718" s="969"/>
      <c r="AA718" s="969"/>
      <c r="AB718" s="969"/>
      <c r="AC718" s="969"/>
      <c r="AD718" s="969"/>
      <c r="AE718" s="969" t="str">
        <f t="shared" si="31"/>
        <v>TheewaterskloofLicences or permits</v>
      </c>
      <c r="AF718" s="969"/>
      <c r="AG718" s="969"/>
    </row>
    <row r="719" spans="2:33" ht="13.2" customHeight="1" x14ac:dyDescent="0.55000000000000004">
      <c r="B719" s="371"/>
      <c r="C719" s="1010" t="s">
        <v>717</v>
      </c>
      <c r="D719" s="361" t="str">
        <f t="shared" si="32"/>
        <v>Environmental protection2200</v>
      </c>
      <c r="E719" s="360" t="str">
        <f t="shared" si="30"/>
        <v>TheewaterskloofEnvironmental protectionTransfers and subsidies Income</v>
      </c>
      <c r="F719" s="360" t="str">
        <f>'PART C- Municipal Details'!$G$7</f>
        <v>Theewaterskloof</v>
      </c>
      <c r="G719" s="360" t="s">
        <v>803</v>
      </c>
      <c r="H719" s="366" t="s">
        <v>810</v>
      </c>
      <c r="I719" s="496" t="s">
        <v>698</v>
      </c>
      <c r="J719" s="497" t="s">
        <v>9</v>
      </c>
      <c r="K719" s="490"/>
      <c r="L719" s="463" t="s">
        <v>718</v>
      </c>
      <c r="M719" s="459"/>
      <c r="N719" s="461"/>
      <c r="O719" s="461"/>
      <c r="P719" s="461"/>
      <c r="Q719" s="461"/>
      <c r="R719" s="461"/>
      <c r="S719" s="461"/>
      <c r="T719" s="461"/>
      <c r="U719" s="530">
        <v>0</v>
      </c>
      <c r="V719" s="530">
        <v>0</v>
      </c>
      <c r="W719" s="530">
        <v>0</v>
      </c>
      <c r="X719" s="490"/>
      <c r="Y719" s="969"/>
      <c r="Z719" s="969"/>
      <c r="AA719" s="969"/>
      <c r="AB719" s="969"/>
      <c r="AC719" s="969"/>
      <c r="AD719" s="969"/>
      <c r="AE719" s="969" t="str">
        <f t="shared" si="31"/>
        <v>TheewaterskloofTransfer and subsidies - Operational</v>
      </c>
      <c r="AF719" s="969"/>
      <c r="AG719" s="969"/>
    </row>
    <row r="720" spans="2:33" ht="13.2" customHeight="1" x14ac:dyDescent="0.55000000000000004">
      <c r="B720" s="371"/>
      <c r="C720" s="1010" t="s">
        <v>719</v>
      </c>
      <c r="D720" s="360" t="str">
        <f t="shared" si="32"/>
        <v>Environmental protection2300</v>
      </c>
      <c r="E720" s="361" t="str">
        <f t="shared" ref="E720:E852" si="33">F720&amp;H720&amp;I720</f>
        <v>TheewaterskloofEnvironmental protectionInterest earned - external investments</v>
      </c>
      <c r="F720" s="360" t="str">
        <f>'PART C- Municipal Details'!$G$7</f>
        <v>Theewaterskloof</v>
      </c>
      <c r="G720" s="361" t="s">
        <v>803</v>
      </c>
      <c r="H720" s="363" t="s">
        <v>810</v>
      </c>
      <c r="I720" s="496" t="s">
        <v>2</v>
      </c>
      <c r="J720" s="497" t="s">
        <v>10</v>
      </c>
      <c r="K720" s="490"/>
      <c r="L720" s="463" t="s">
        <v>687</v>
      </c>
      <c r="M720" s="459"/>
      <c r="N720" s="461"/>
      <c r="O720" s="461"/>
      <c r="P720" s="461"/>
      <c r="Q720" s="461"/>
      <c r="R720" s="461"/>
      <c r="S720" s="461"/>
      <c r="T720" s="461"/>
      <c r="U720" s="530">
        <v>0</v>
      </c>
      <c r="V720" s="530">
        <v>0</v>
      </c>
      <c r="W720" s="530">
        <v>0</v>
      </c>
      <c r="X720" s="490"/>
      <c r="Y720" s="969"/>
      <c r="Z720" s="969"/>
      <c r="AA720" s="969"/>
      <c r="AB720" s="969"/>
      <c r="AC720" s="969"/>
      <c r="AD720" s="969"/>
      <c r="AE720" s="969" t="str">
        <f t="shared" ref="AE720:AE784" si="34">F720&amp;L720</f>
        <v>TheewaterskloofInterest</v>
      </c>
      <c r="AF720" s="969"/>
      <c r="AG720" s="969"/>
    </row>
    <row r="721" spans="2:33" ht="13.2" customHeight="1" x14ac:dyDescent="0.55000000000000004">
      <c r="B721" s="371"/>
      <c r="C721" s="1010" t="s">
        <v>721</v>
      </c>
      <c r="D721" s="361" t="str">
        <f t="shared" si="32"/>
        <v>Environmental protection2400</v>
      </c>
      <c r="E721" s="360" t="str">
        <f t="shared" si="33"/>
        <v>TheewaterskloofEnvironmental protectionOther revenue</v>
      </c>
      <c r="F721" s="360" t="str">
        <f>'PART C- Municipal Details'!$G$7</f>
        <v>Theewaterskloof</v>
      </c>
      <c r="G721" s="360" t="s">
        <v>803</v>
      </c>
      <c r="H721" s="366" t="s">
        <v>810</v>
      </c>
      <c r="I721" s="496" t="s">
        <v>7</v>
      </c>
      <c r="J721" s="497" t="s">
        <v>720</v>
      </c>
      <c r="K721" s="490"/>
      <c r="L721" s="463" t="s">
        <v>722</v>
      </c>
      <c r="M721" s="459"/>
      <c r="N721" s="461"/>
      <c r="O721" s="461"/>
      <c r="P721" s="461"/>
      <c r="Q721" s="461"/>
      <c r="R721" s="461"/>
      <c r="S721" s="461"/>
      <c r="T721" s="461"/>
      <c r="U721" s="530">
        <v>0</v>
      </c>
      <c r="V721" s="530">
        <v>0</v>
      </c>
      <c r="W721" s="530">
        <v>0</v>
      </c>
      <c r="X721" s="490"/>
      <c r="Y721" s="969"/>
      <c r="Z721" s="969"/>
      <c r="AA721" s="969"/>
      <c r="AB721" s="969"/>
      <c r="AC721" s="969"/>
      <c r="AD721" s="969"/>
      <c r="AE721" s="969" t="str">
        <f t="shared" si="34"/>
        <v>TheewaterskloofFuel Levy</v>
      </c>
      <c r="AF721" s="969"/>
      <c r="AG721" s="969"/>
    </row>
    <row r="722" spans="2:33" ht="13.2" customHeight="1" x14ac:dyDescent="0.55000000000000004">
      <c r="B722" s="371"/>
      <c r="C722" s="1010" t="s">
        <v>723</v>
      </c>
      <c r="D722" s="360" t="str">
        <f t="shared" si="32"/>
        <v>Environmental protection2500</v>
      </c>
      <c r="E722" s="361" t="str">
        <f t="shared" si="33"/>
        <v>TheewaterskloofEnvironmental protectionOther revenue</v>
      </c>
      <c r="F722" s="360" t="str">
        <f>'PART C- Municipal Details'!$G$7</f>
        <v>Theewaterskloof</v>
      </c>
      <c r="G722" s="361" t="s">
        <v>803</v>
      </c>
      <c r="H722" s="363" t="s">
        <v>810</v>
      </c>
      <c r="I722" s="496" t="s">
        <v>7</v>
      </c>
      <c r="J722" s="497" t="s">
        <v>11</v>
      </c>
      <c r="K722" s="490"/>
      <c r="L722" s="463" t="s">
        <v>704</v>
      </c>
      <c r="M722" s="459"/>
      <c r="N722" s="461"/>
      <c r="O722" s="461"/>
      <c r="P722" s="461"/>
      <c r="Q722" s="461"/>
      <c r="R722" s="461"/>
      <c r="S722" s="461"/>
      <c r="T722" s="461"/>
      <c r="U722" s="530">
        <v>0</v>
      </c>
      <c r="V722" s="530">
        <v>0</v>
      </c>
      <c r="W722" s="530">
        <v>0</v>
      </c>
      <c r="X722" s="490"/>
      <c r="Y722" s="969"/>
      <c r="Z722" s="969"/>
      <c r="AA722" s="969"/>
      <c r="AB722" s="969"/>
      <c r="AC722" s="969"/>
      <c r="AD722" s="969"/>
      <c r="AE722" s="969" t="str">
        <f t="shared" si="34"/>
        <v>TheewaterskloofOperational Revenue</v>
      </c>
      <c r="AF722" s="969"/>
      <c r="AG722" s="969"/>
    </row>
    <row r="723" spans="2:33" ht="13.2" customHeight="1" x14ac:dyDescent="0.55000000000000004">
      <c r="B723" s="371"/>
      <c r="C723" s="1010" t="s">
        <v>725</v>
      </c>
      <c r="D723" s="361" t="str">
        <f t="shared" ref="D723:D787" si="35">H723&amp;C723</f>
        <v>Environmental protection2600</v>
      </c>
      <c r="E723" s="360" t="str">
        <f t="shared" si="33"/>
        <v>TheewaterskloofEnvironmental protectionGains</v>
      </c>
      <c r="F723" s="360" t="str">
        <f>'PART C- Municipal Details'!$G$7</f>
        <v>Theewaterskloof</v>
      </c>
      <c r="G723" s="360" t="s">
        <v>803</v>
      </c>
      <c r="H723" s="366" t="s">
        <v>810</v>
      </c>
      <c r="I723" s="496" t="s">
        <v>703</v>
      </c>
      <c r="J723" s="497" t="s">
        <v>724</v>
      </c>
      <c r="K723" s="490"/>
      <c r="L723" s="463" t="s">
        <v>727</v>
      </c>
      <c r="M723" s="459"/>
      <c r="N723" s="461"/>
      <c r="O723" s="461"/>
      <c r="P723" s="461"/>
      <c r="Q723" s="461"/>
      <c r="R723" s="461"/>
      <c r="S723" s="461"/>
      <c r="T723" s="461"/>
      <c r="U723" s="530">
        <v>0</v>
      </c>
      <c r="V723" s="530">
        <v>0</v>
      </c>
      <c r="W723" s="530">
        <v>0</v>
      </c>
      <c r="X723" s="490"/>
      <c r="Y723" s="969"/>
      <c r="Z723" s="969"/>
      <c r="AA723" s="969"/>
      <c r="AB723" s="969"/>
      <c r="AC723" s="969"/>
      <c r="AD723" s="969"/>
      <c r="AE723" s="969" t="str">
        <f t="shared" si="34"/>
        <v>TheewaterskloofGains on disposal of Assets</v>
      </c>
      <c r="AF723" s="969"/>
      <c r="AG723" s="969"/>
    </row>
    <row r="724" spans="2:33" ht="13.2" customHeight="1" x14ac:dyDescent="0.55000000000000004">
      <c r="B724" s="371"/>
      <c r="C724" s="1010" t="s">
        <v>728</v>
      </c>
      <c r="D724" s="360" t="str">
        <f t="shared" si="35"/>
        <v>Environmental protection2700</v>
      </c>
      <c r="E724" s="361" t="str">
        <f t="shared" si="33"/>
        <v>TheewaterskloofEnvironmental protectionOther revenue</v>
      </c>
      <c r="F724" s="360" t="str">
        <f>'PART C- Municipal Details'!$G$7</f>
        <v>Theewaterskloof</v>
      </c>
      <c r="G724" s="361" t="s">
        <v>803</v>
      </c>
      <c r="H724" s="363" t="s">
        <v>810</v>
      </c>
      <c r="I724" s="496" t="s">
        <v>7</v>
      </c>
      <c r="J724" s="497" t="s">
        <v>726</v>
      </c>
      <c r="K724" s="490"/>
      <c r="L724" s="463" t="s">
        <v>729</v>
      </c>
      <c r="M724" s="459"/>
      <c r="N724" s="461"/>
      <c r="O724" s="461"/>
      <c r="P724" s="461"/>
      <c r="Q724" s="461"/>
      <c r="R724" s="461"/>
      <c r="S724" s="461"/>
      <c r="T724" s="461"/>
      <c r="U724" s="530">
        <v>0</v>
      </c>
      <c r="V724" s="530">
        <v>0</v>
      </c>
      <c r="W724" s="530">
        <v>0</v>
      </c>
      <c r="X724" s="490"/>
      <c r="Y724" s="969"/>
      <c r="Z724" s="969"/>
      <c r="AA724" s="969"/>
      <c r="AB724" s="969"/>
      <c r="AC724" s="969"/>
      <c r="AD724" s="969"/>
      <c r="AE724" s="969" t="str">
        <f t="shared" si="34"/>
        <v>TheewaterskloofOther Gains</v>
      </c>
      <c r="AF724" s="969"/>
      <c r="AG724" s="969"/>
    </row>
    <row r="725" spans="2:33" ht="13.2" customHeight="1" x14ac:dyDescent="0.55000000000000004">
      <c r="B725" s="371"/>
      <c r="C725" s="1010" t="s">
        <v>730</v>
      </c>
      <c r="D725" s="361" t="str">
        <f t="shared" si="35"/>
        <v>Environmental protection2800</v>
      </c>
      <c r="E725" s="360" t="str">
        <f t="shared" si="33"/>
        <v>TheewaterskloofEnvironmental protectionOther revenue</v>
      </c>
      <c r="F725" s="360" t="str">
        <f>'PART C- Municipal Details'!$G$7</f>
        <v>Theewaterskloof</v>
      </c>
      <c r="G725" s="360" t="s">
        <v>803</v>
      </c>
      <c r="H725" s="366" t="s">
        <v>810</v>
      </c>
      <c r="I725" s="496" t="s">
        <v>7</v>
      </c>
      <c r="J725" s="497" t="s">
        <v>12</v>
      </c>
      <c r="K725" s="490"/>
      <c r="L725" s="464" t="s">
        <v>731</v>
      </c>
      <c r="M725" s="459"/>
      <c r="N725" s="461"/>
      <c r="O725" s="461"/>
      <c r="P725" s="461"/>
      <c r="Q725" s="461"/>
      <c r="R725" s="461"/>
      <c r="S725" s="461"/>
      <c r="T725" s="461"/>
      <c r="U725" s="530">
        <v>0</v>
      </c>
      <c r="V725" s="530">
        <v>0</v>
      </c>
      <c r="W725" s="530">
        <v>0</v>
      </c>
      <c r="X725" s="490"/>
      <c r="Y725" s="969"/>
      <c r="Z725" s="969"/>
      <c r="AA725" s="969"/>
      <c r="AB725" s="969"/>
      <c r="AC725" s="969"/>
      <c r="AD725" s="969"/>
      <c r="AE725" s="969" t="str">
        <f t="shared" si="34"/>
        <v>TheewaterskloofDiscontinued Operations</v>
      </c>
      <c r="AF725" s="969"/>
      <c r="AG725" s="969"/>
    </row>
    <row r="726" spans="2:33" ht="13.2" customHeight="1" x14ac:dyDescent="0.55000000000000004">
      <c r="B726" s="371"/>
      <c r="C726" s="1009" t="s">
        <v>732</v>
      </c>
      <c r="D726" s="360" t="str">
        <f t="shared" si="35"/>
        <v>Environmental protection2900</v>
      </c>
      <c r="E726" s="361" t="str">
        <f t="shared" si="33"/>
        <v>TheewaterskloofEnvironmental protectionTotal Revenue (excluding capital transfers and contributions)</v>
      </c>
      <c r="F726" s="360" t="str">
        <f>'PART C- Municipal Details'!$G$7</f>
        <v>Theewaterskloof</v>
      </c>
      <c r="G726" s="361" t="s">
        <v>803</v>
      </c>
      <c r="H726" s="363" t="s">
        <v>810</v>
      </c>
      <c r="I726" s="496" t="s">
        <v>707</v>
      </c>
      <c r="J726" s="497" t="s">
        <v>204</v>
      </c>
      <c r="K726" s="490"/>
      <c r="L726" s="508" t="s">
        <v>707</v>
      </c>
      <c r="M726" s="509"/>
      <c r="N726" s="510"/>
      <c r="O726" s="510"/>
      <c r="P726" s="510"/>
      <c r="Q726" s="510"/>
      <c r="R726" s="510"/>
      <c r="S726" s="510"/>
      <c r="T726" s="511"/>
      <c r="U726" s="531">
        <v>0</v>
      </c>
      <c r="V726" s="531">
        <v>0</v>
      </c>
      <c r="W726" s="531">
        <v>0</v>
      </c>
      <c r="X726" s="490"/>
      <c r="Y726" s="969"/>
      <c r="Z726" s="969"/>
      <c r="AA726" s="969"/>
      <c r="AB726" s="969"/>
      <c r="AC726" s="969"/>
      <c r="AD726" s="969"/>
      <c r="AE726" s="969" t="str">
        <f t="shared" si="34"/>
        <v>TheewaterskloofTotal Revenue (excluding capital transfers and contributions)</v>
      </c>
      <c r="AF726" s="969"/>
      <c r="AG726" s="969"/>
    </row>
    <row r="727" spans="2:33" ht="13.2" customHeight="1" x14ac:dyDescent="0.55000000000000004">
      <c r="B727" s="371"/>
      <c r="C727" s="1009" t="s">
        <v>733</v>
      </c>
      <c r="D727" s="361" t="str">
        <f t="shared" si="35"/>
        <v>Environmental protection3000</v>
      </c>
      <c r="E727" s="360" t="str">
        <f t="shared" si="33"/>
        <v>TheewaterskloofEnvironmental protectionx</v>
      </c>
      <c r="F727" s="360" t="str">
        <f>'PART C- Municipal Details'!$G$7</f>
        <v>Theewaterskloof</v>
      </c>
      <c r="G727" s="360" t="s">
        <v>803</v>
      </c>
      <c r="H727" s="366" t="s">
        <v>810</v>
      </c>
      <c r="I727" s="496" t="s">
        <v>789</v>
      </c>
      <c r="J727" s="497" t="s">
        <v>13</v>
      </c>
      <c r="K727" s="490"/>
      <c r="L727" s="505" t="s">
        <v>22</v>
      </c>
      <c r="M727" s="506"/>
      <c r="N727" s="507"/>
      <c r="O727" s="507"/>
      <c r="P727" s="507"/>
      <c r="Q727" s="507"/>
      <c r="R727" s="507"/>
      <c r="S727" s="507"/>
      <c r="T727" s="507"/>
      <c r="U727" s="531">
        <v>0</v>
      </c>
      <c r="V727" s="531">
        <v>0</v>
      </c>
      <c r="W727" s="531">
        <v>0</v>
      </c>
      <c r="X727" s="490"/>
      <c r="Y727" s="969"/>
      <c r="Z727" s="969"/>
      <c r="AA727" s="969"/>
      <c r="AB727" s="969"/>
      <c r="AC727" s="969"/>
      <c r="AD727" s="969"/>
      <c r="AE727" s="969" t="str">
        <f t="shared" si="34"/>
        <v>TheewaterskloofExpenditure</v>
      </c>
      <c r="AF727" s="969"/>
      <c r="AG727" s="969"/>
    </row>
    <row r="728" spans="2:33" ht="13.2" customHeight="1" x14ac:dyDescent="0.55000000000000004">
      <c r="B728" s="371"/>
      <c r="C728" s="1010" t="s">
        <v>735</v>
      </c>
      <c r="D728" s="360" t="str">
        <f t="shared" si="35"/>
        <v>Environmental protection3100</v>
      </c>
      <c r="E728" s="361" t="str">
        <f t="shared" si="33"/>
        <v>TheewaterskloofEnvironmental protectionEmployee related costs</v>
      </c>
      <c r="F728" s="360" t="str">
        <f>'PART C- Municipal Details'!$G$7</f>
        <v>Theewaterskloof</v>
      </c>
      <c r="G728" s="361" t="s">
        <v>803</v>
      </c>
      <c r="H728" s="363" t="s">
        <v>810</v>
      </c>
      <c r="I728" s="496" t="s">
        <v>8</v>
      </c>
      <c r="J728" s="497" t="s">
        <v>734</v>
      </c>
      <c r="K728" s="490"/>
      <c r="L728" s="463" t="s">
        <v>8</v>
      </c>
      <c r="M728" s="459"/>
      <c r="N728" s="461"/>
      <c r="O728" s="461"/>
      <c r="P728" s="461"/>
      <c r="Q728" s="461"/>
      <c r="R728" s="461"/>
      <c r="S728" s="461"/>
      <c r="T728" s="461"/>
      <c r="U728" s="530">
        <v>0</v>
      </c>
      <c r="V728" s="530">
        <v>0</v>
      </c>
      <c r="W728" s="530">
        <v>0</v>
      </c>
      <c r="X728" s="490"/>
      <c r="Y728" s="969"/>
      <c r="Z728" s="969"/>
      <c r="AA728" s="969"/>
      <c r="AB728" s="969"/>
      <c r="AC728" s="969"/>
      <c r="AD728" s="969"/>
      <c r="AE728" s="969" t="str">
        <f t="shared" si="34"/>
        <v>TheewaterskloofEmployee related costs</v>
      </c>
      <c r="AF728" s="969"/>
      <c r="AG728" s="969"/>
    </row>
    <row r="729" spans="2:33" ht="13.2" customHeight="1" x14ac:dyDescent="0.55000000000000004">
      <c r="B729" s="371"/>
      <c r="C729" s="1010" t="s">
        <v>737</v>
      </c>
      <c r="D729" s="361" t="str">
        <f t="shared" si="35"/>
        <v>Environmental protection3200</v>
      </c>
      <c r="E729" s="360" t="str">
        <f t="shared" si="33"/>
        <v>TheewaterskloofEnvironmental protectionRemuneration of councillors</v>
      </c>
      <c r="F729" s="360" t="str">
        <f>'PART C- Municipal Details'!$G$7</f>
        <v>Theewaterskloof</v>
      </c>
      <c r="G729" s="360" t="s">
        <v>803</v>
      </c>
      <c r="H729" s="366" t="s">
        <v>810</v>
      </c>
      <c r="I729" s="496" t="s">
        <v>9</v>
      </c>
      <c r="J729" s="497" t="s">
        <v>736</v>
      </c>
      <c r="K729" s="490"/>
      <c r="L729" s="463" t="s">
        <v>9</v>
      </c>
      <c r="M729" s="459"/>
      <c r="N729" s="461"/>
      <c r="O729" s="461"/>
      <c r="P729" s="461"/>
      <c r="Q729" s="461"/>
      <c r="R729" s="461"/>
      <c r="S729" s="461"/>
      <c r="T729" s="461"/>
      <c r="U729" s="530">
        <v>0</v>
      </c>
      <c r="V729" s="530">
        <v>0</v>
      </c>
      <c r="W729" s="530">
        <v>0</v>
      </c>
      <c r="X729" s="490"/>
      <c r="Y729" s="969"/>
      <c r="Z729" s="969"/>
      <c r="AA729" s="969"/>
      <c r="AB729" s="969"/>
      <c r="AC729" s="969"/>
      <c r="AD729" s="969"/>
      <c r="AE729" s="969" t="str">
        <f t="shared" si="34"/>
        <v>TheewaterskloofRemuneration of councillors</v>
      </c>
      <c r="AF729" s="969"/>
      <c r="AG729" s="969"/>
    </row>
    <row r="730" spans="2:33" ht="13.2" customHeight="1" x14ac:dyDescent="0.55000000000000004">
      <c r="B730" s="371"/>
      <c r="C730" s="1010" t="s">
        <v>738</v>
      </c>
      <c r="D730" s="360" t="str">
        <f t="shared" si="35"/>
        <v>Environmental protection3300</v>
      </c>
      <c r="E730" s="361" t="str">
        <f t="shared" si="33"/>
        <v>TheewaterskloofEnvironmental protectionBulk purchases - electricity</v>
      </c>
      <c r="F730" s="360" t="str">
        <f>'PART C- Municipal Details'!$G$7</f>
        <v>Theewaterskloof</v>
      </c>
      <c r="G730" s="361" t="s">
        <v>803</v>
      </c>
      <c r="H730" s="363" t="s">
        <v>810</v>
      </c>
      <c r="I730" s="496" t="s">
        <v>724</v>
      </c>
      <c r="J730" s="497" t="s">
        <v>710</v>
      </c>
      <c r="K730" s="490"/>
      <c r="L730" s="463" t="s">
        <v>724</v>
      </c>
      <c r="M730" s="459"/>
      <c r="N730" s="461"/>
      <c r="O730" s="461"/>
      <c r="P730" s="461"/>
      <c r="Q730" s="461"/>
      <c r="R730" s="461"/>
      <c r="S730" s="461"/>
      <c r="T730" s="461"/>
      <c r="U730" s="530">
        <v>0</v>
      </c>
      <c r="V730" s="530">
        <v>0</v>
      </c>
      <c r="W730" s="530">
        <v>0</v>
      </c>
      <c r="X730" s="490"/>
      <c r="Y730" s="969"/>
      <c r="Z730" s="969"/>
      <c r="AA730" s="969"/>
      <c r="AB730" s="969"/>
      <c r="AC730" s="969"/>
      <c r="AD730" s="969"/>
      <c r="AE730" s="969" t="str">
        <f t="shared" si="34"/>
        <v>TheewaterskloofBulk purchases - electricity</v>
      </c>
      <c r="AF730" s="969"/>
      <c r="AG730" s="969"/>
    </row>
    <row r="731" spans="2:33" ht="13.2" customHeight="1" x14ac:dyDescent="0.55000000000000004">
      <c r="B731" s="371"/>
      <c r="C731" s="1010" t="s">
        <v>739</v>
      </c>
      <c r="D731" s="361" t="str">
        <f t="shared" si="35"/>
        <v>Environmental protection3400</v>
      </c>
      <c r="E731" s="360" t="str">
        <f t="shared" si="33"/>
        <v>TheewaterskloofEnvironmental protectionInventory consumed</v>
      </c>
      <c r="F731" s="360" t="str">
        <f>'PART C- Municipal Details'!$G$7</f>
        <v>Theewaterskloof</v>
      </c>
      <c r="G731" s="360" t="s">
        <v>803</v>
      </c>
      <c r="H731" s="366" t="s">
        <v>810</v>
      </c>
      <c r="I731" s="496" t="s">
        <v>726</v>
      </c>
      <c r="J731" s="497" t="s">
        <v>635</v>
      </c>
      <c r="K731" s="490"/>
      <c r="L731" s="463" t="s">
        <v>726</v>
      </c>
      <c r="M731" s="459"/>
      <c r="N731" s="461"/>
      <c r="O731" s="461"/>
      <c r="P731" s="461"/>
      <c r="Q731" s="461"/>
      <c r="R731" s="461"/>
      <c r="S731" s="461"/>
      <c r="T731" s="461"/>
      <c r="U731" s="530">
        <v>0</v>
      </c>
      <c r="V731" s="530">
        <v>0</v>
      </c>
      <c r="W731" s="530">
        <v>0</v>
      </c>
      <c r="X731" s="490"/>
      <c r="Y731" s="969"/>
      <c r="Z731" s="969"/>
      <c r="AA731" s="969"/>
      <c r="AB731" s="969"/>
      <c r="AC731" s="969"/>
      <c r="AD731" s="969"/>
      <c r="AE731" s="969" t="str">
        <f t="shared" si="34"/>
        <v>TheewaterskloofInventory consumed</v>
      </c>
      <c r="AF731" s="969"/>
      <c r="AG731" s="969"/>
    </row>
    <row r="732" spans="2:33" ht="13.2" customHeight="1" x14ac:dyDescent="0.55000000000000004">
      <c r="B732" s="371"/>
      <c r="C732" s="1010" t="s">
        <v>741</v>
      </c>
      <c r="D732" s="360" t="str">
        <f t="shared" si="35"/>
        <v>Environmental protection3500</v>
      </c>
      <c r="E732" s="361" t="str">
        <f t="shared" si="33"/>
        <v>TheewaterskloofEnvironmental protectionDebt impairment</v>
      </c>
      <c r="F732" s="360" t="str">
        <f>'PART C- Municipal Details'!$G$7</f>
        <v>Theewaterskloof</v>
      </c>
      <c r="G732" s="361" t="s">
        <v>803</v>
      </c>
      <c r="H732" s="363" t="s">
        <v>810</v>
      </c>
      <c r="I732" s="496" t="s">
        <v>10</v>
      </c>
      <c r="J732" s="497" t="s">
        <v>740</v>
      </c>
      <c r="K732" s="490"/>
      <c r="L732" s="463" t="s">
        <v>10</v>
      </c>
      <c r="M732" s="459"/>
      <c r="N732" s="461"/>
      <c r="O732" s="461"/>
      <c r="P732" s="461"/>
      <c r="Q732" s="461"/>
      <c r="R732" s="461"/>
      <c r="S732" s="461"/>
      <c r="T732" s="461"/>
      <c r="U732" s="530">
        <v>0</v>
      </c>
      <c r="V732" s="530">
        <v>0</v>
      </c>
      <c r="W732" s="530">
        <v>0</v>
      </c>
      <c r="X732" s="490"/>
      <c r="Y732" s="969"/>
      <c r="Z732" s="969"/>
      <c r="AA732" s="969"/>
      <c r="AB732" s="969"/>
      <c r="AC732" s="969"/>
      <c r="AD732" s="969"/>
      <c r="AE732" s="969" t="str">
        <f t="shared" si="34"/>
        <v>TheewaterskloofDebt impairment</v>
      </c>
      <c r="AF732" s="969"/>
      <c r="AG732" s="969"/>
    </row>
    <row r="733" spans="2:33" ht="13.2" customHeight="1" x14ac:dyDescent="0.55000000000000004">
      <c r="B733" s="371"/>
      <c r="C733" s="1010" t="s">
        <v>743</v>
      </c>
      <c r="D733" s="361" t="str">
        <f t="shared" si="35"/>
        <v>Environmental protection3600</v>
      </c>
      <c r="E733" s="360" t="str">
        <f t="shared" si="33"/>
        <v>TheewaterskloofEnvironmental protectionDepreciation and asset impairment</v>
      </c>
      <c r="F733" s="360" t="str">
        <f>'PART C- Municipal Details'!$G$7</f>
        <v>Theewaterskloof</v>
      </c>
      <c r="G733" s="360" t="s">
        <v>803</v>
      </c>
      <c r="H733" s="366" t="s">
        <v>810</v>
      </c>
      <c r="I733" s="496" t="s">
        <v>720</v>
      </c>
      <c r="J733" s="497" t="s">
        <v>742</v>
      </c>
      <c r="K733" s="490"/>
      <c r="L733" s="463" t="s">
        <v>745</v>
      </c>
      <c r="M733" s="459"/>
      <c r="N733" s="461"/>
      <c r="O733" s="461"/>
      <c r="P733" s="461"/>
      <c r="Q733" s="461"/>
      <c r="R733" s="461"/>
      <c r="S733" s="461"/>
      <c r="T733" s="461"/>
      <c r="U733" s="530">
        <v>0</v>
      </c>
      <c r="V733" s="530">
        <v>0</v>
      </c>
      <c r="W733" s="530">
        <v>0</v>
      </c>
      <c r="X733" s="490"/>
      <c r="Y733" s="969"/>
      <c r="Z733" s="969"/>
      <c r="AA733" s="969"/>
      <c r="AB733" s="969"/>
      <c r="AC733" s="969"/>
      <c r="AD733" s="969"/>
      <c r="AE733" s="969" t="str">
        <f t="shared" si="34"/>
        <v>TheewaterskloofDepreciation and amortisation</v>
      </c>
      <c r="AF733" s="969"/>
      <c r="AG733" s="969"/>
    </row>
    <row r="734" spans="2:33" ht="13.2" customHeight="1" x14ac:dyDescent="0.55000000000000004">
      <c r="B734" s="371"/>
      <c r="C734" s="1010" t="s">
        <v>746</v>
      </c>
      <c r="D734" s="360" t="str">
        <f t="shared" si="35"/>
        <v>Environmental protection3700</v>
      </c>
      <c r="E734" s="361" t="str">
        <f t="shared" si="33"/>
        <v>TheewaterskloofEnvironmental protectionFinance charges</v>
      </c>
      <c r="F734" s="360" t="str">
        <f>'PART C- Municipal Details'!$G$7</f>
        <v>Theewaterskloof</v>
      </c>
      <c r="G734" s="361" t="s">
        <v>803</v>
      </c>
      <c r="H734" s="363" t="s">
        <v>810</v>
      </c>
      <c r="I734" s="496" t="s">
        <v>11</v>
      </c>
      <c r="J734" s="497" t="s">
        <v>744</v>
      </c>
      <c r="K734" s="490"/>
      <c r="L734" s="463" t="s">
        <v>687</v>
      </c>
      <c r="M734" s="459"/>
      <c r="N734" s="461"/>
      <c r="O734" s="461"/>
      <c r="P734" s="461"/>
      <c r="Q734" s="461"/>
      <c r="R734" s="461"/>
      <c r="S734" s="461"/>
      <c r="T734" s="461"/>
      <c r="U734" s="530">
        <v>0</v>
      </c>
      <c r="V734" s="530">
        <v>0</v>
      </c>
      <c r="W734" s="530">
        <v>0</v>
      </c>
      <c r="X734" s="490"/>
      <c r="Y734" s="969"/>
      <c r="Z734" s="969"/>
      <c r="AA734" s="969"/>
      <c r="AB734" s="969"/>
      <c r="AC734" s="969"/>
      <c r="AD734" s="969"/>
      <c r="AE734" s="969" t="str">
        <f t="shared" si="34"/>
        <v>TheewaterskloofInterest</v>
      </c>
      <c r="AF734" s="969"/>
      <c r="AG734" s="969"/>
    </row>
    <row r="735" spans="2:33" ht="13.2" customHeight="1" x14ac:dyDescent="0.55000000000000004">
      <c r="B735" s="371"/>
      <c r="C735" s="1010" t="s">
        <v>748</v>
      </c>
      <c r="D735" s="361" t="str">
        <f t="shared" si="35"/>
        <v>Environmental protection3800</v>
      </c>
      <c r="E735" s="360" t="str">
        <f t="shared" si="33"/>
        <v>TheewaterskloofEnvironmental protectionContracted services</v>
      </c>
      <c r="F735" s="360" t="str">
        <f>'PART C- Municipal Details'!$G$7</f>
        <v>Theewaterskloof</v>
      </c>
      <c r="G735" s="360" t="s">
        <v>803</v>
      </c>
      <c r="H735" s="366" t="s">
        <v>810</v>
      </c>
      <c r="I735" s="496" t="s">
        <v>12</v>
      </c>
      <c r="J735" s="497" t="s">
        <v>747</v>
      </c>
      <c r="K735" s="490"/>
      <c r="L735" s="463" t="s">
        <v>12</v>
      </c>
      <c r="M735" s="459"/>
      <c r="N735" s="461"/>
      <c r="O735" s="461"/>
      <c r="P735" s="461"/>
      <c r="Q735" s="461"/>
      <c r="R735" s="461"/>
      <c r="S735" s="461"/>
      <c r="T735" s="461"/>
      <c r="U735" s="530">
        <v>1000</v>
      </c>
      <c r="V735" s="530">
        <v>1034</v>
      </c>
      <c r="W735" s="530">
        <v>1067</v>
      </c>
      <c r="X735" s="490"/>
      <c r="Y735" s="969"/>
      <c r="Z735" s="969"/>
      <c r="AA735" s="969"/>
      <c r="AB735" s="969"/>
      <c r="AC735" s="969"/>
      <c r="AD735" s="969"/>
      <c r="AE735" s="969" t="str">
        <f t="shared" si="34"/>
        <v>TheewaterskloofContracted services</v>
      </c>
      <c r="AF735" s="969"/>
      <c r="AG735" s="969"/>
    </row>
    <row r="736" spans="2:33" ht="13.2" customHeight="1" x14ac:dyDescent="0.55000000000000004">
      <c r="B736" s="371"/>
      <c r="C736" s="1010" t="s">
        <v>750</v>
      </c>
      <c r="D736" s="360" t="str">
        <f t="shared" si="35"/>
        <v>Environmental protection3900</v>
      </c>
      <c r="E736" s="361" t="str">
        <f t="shared" si="33"/>
        <v>TheewaterskloofEnvironmental protectionTransfers and subsidies</v>
      </c>
      <c r="F736" s="360" t="str">
        <f>'PART C- Municipal Details'!$G$7</f>
        <v>Theewaterskloof</v>
      </c>
      <c r="G736" s="361" t="s">
        <v>803</v>
      </c>
      <c r="H736" s="363" t="s">
        <v>810</v>
      </c>
      <c r="I736" s="496" t="s">
        <v>204</v>
      </c>
      <c r="J736" s="497" t="s">
        <v>749</v>
      </c>
      <c r="K736" s="490"/>
      <c r="L736" s="463" t="s">
        <v>204</v>
      </c>
      <c r="M736" s="459"/>
      <c r="N736" s="461"/>
      <c r="O736" s="461"/>
      <c r="P736" s="461"/>
      <c r="Q736" s="461"/>
      <c r="R736" s="461"/>
      <c r="S736" s="461"/>
      <c r="T736" s="461"/>
      <c r="U736" s="530">
        <v>0</v>
      </c>
      <c r="V736" s="530">
        <v>0</v>
      </c>
      <c r="W736" s="530">
        <v>0</v>
      </c>
      <c r="X736" s="490"/>
      <c r="Y736" s="969"/>
      <c r="Z736" s="969"/>
      <c r="AA736" s="969"/>
      <c r="AB736" s="969"/>
      <c r="AC736" s="969"/>
      <c r="AD736" s="969"/>
      <c r="AE736" s="969" t="str">
        <f t="shared" si="34"/>
        <v>TheewaterskloofTransfers and subsidies</v>
      </c>
      <c r="AF736" s="969"/>
      <c r="AG736" s="969"/>
    </row>
    <row r="737" spans="2:33" ht="13.2" customHeight="1" x14ac:dyDescent="0.55000000000000004">
      <c r="B737" s="371"/>
      <c r="C737" s="1010" t="s">
        <v>752</v>
      </c>
      <c r="D737" s="361" t="str">
        <f t="shared" si="35"/>
        <v>Environmental protection4000</v>
      </c>
      <c r="E737" s="360" t="str">
        <f t="shared" si="33"/>
        <v>TheewaterskloofEnvironmental protectionOther expenditure</v>
      </c>
      <c r="F737" s="360" t="str">
        <f>'PART C- Municipal Details'!$G$7</f>
        <v>Theewaterskloof</v>
      </c>
      <c r="G737" s="360" t="s">
        <v>803</v>
      </c>
      <c r="H737" s="366" t="s">
        <v>810</v>
      </c>
      <c r="I737" s="496" t="s">
        <v>13</v>
      </c>
      <c r="J737" s="497" t="s">
        <v>751</v>
      </c>
      <c r="K737" s="490"/>
      <c r="L737" s="463" t="s">
        <v>754</v>
      </c>
      <c r="M737" s="459"/>
      <c r="N737" s="461"/>
      <c r="O737" s="461"/>
      <c r="P737" s="461"/>
      <c r="Q737" s="461"/>
      <c r="R737" s="461"/>
      <c r="S737" s="461"/>
      <c r="T737" s="461"/>
      <c r="U737" s="530">
        <v>0</v>
      </c>
      <c r="V737" s="530">
        <v>0</v>
      </c>
      <c r="W737" s="530">
        <v>0</v>
      </c>
      <c r="X737" s="490"/>
      <c r="Y737" s="969"/>
      <c r="Z737" s="969"/>
      <c r="AA737" s="969"/>
      <c r="AB737" s="969"/>
      <c r="AC737" s="969"/>
      <c r="AD737" s="969"/>
      <c r="AE737" s="969" t="str">
        <f t="shared" si="34"/>
        <v>TheewaterskloofIrrecoverable debts written off</v>
      </c>
      <c r="AF737" s="969"/>
      <c r="AG737" s="969"/>
    </row>
    <row r="738" spans="2:33" ht="13.2" customHeight="1" x14ac:dyDescent="0.55000000000000004">
      <c r="B738" s="371"/>
      <c r="C738" s="1010" t="s">
        <v>755</v>
      </c>
      <c r="D738" s="360" t="str">
        <f t="shared" si="35"/>
        <v>Environmental protection4100</v>
      </c>
      <c r="E738" s="361" t="str">
        <f t="shared" si="33"/>
        <v>TheewaterskloofEnvironmental protectionOther expenditure</v>
      </c>
      <c r="F738" s="360" t="str">
        <f>'PART C- Municipal Details'!$G$7</f>
        <v>Theewaterskloof</v>
      </c>
      <c r="G738" s="361" t="s">
        <v>803</v>
      </c>
      <c r="H738" s="363" t="s">
        <v>810</v>
      </c>
      <c r="I738" s="496" t="s">
        <v>13</v>
      </c>
      <c r="J738" s="497" t="s">
        <v>753</v>
      </c>
      <c r="K738" s="490"/>
      <c r="L738" s="463" t="s">
        <v>757</v>
      </c>
      <c r="M738" s="459"/>
      <c r="N738" s="461"/>
      <c r="O738" s="461"/>
      <c r="P738" s="461"/>
      <c r="Q738" s="461"/>
      <c r="R738" s="461"/>
      <c r="S738" s="461"/>
      <c r="T738" s="461"/>
      <c r="U738" s="530">
        <v>0</v>
      </c>
      <c r="V738" s="530">
        <v>0</v>
      </c>
      <c r="W738" s="530">
        <v>0</v>
      </c>
      <c r="X738" s="490"/>
      <c r="Y738" s="969"/>
      <c r="Z738" s="969"/>
      <c r="AA738" s="969"/>
      <c r="AB738" s="969"/>
      <c r="AC738" s="969"/>
      <c r="AD738" s="969"/>
      <c r="AE738" s="969" t="str">
        <f t="shared" si="34"/>
        <v>TheewaterskloofOperational costs</v>
      </c>
      <c r="AF738" s="969"/>
      <c r="AG738" s="969"/>
    </row>
    <row r="739" spans="2:33" ht="13.2" customHeight="1" x14ac:dyDescent="0.55000000000000004">
      <c r="B739" s="371"/>
      <c r="C739" s="1010" t="s">
        <v>758</v>
      </c>
      <c r="D739" s="361" t="str">
        <f t="shared" si="35"/>
        <v>Environmental protection4200</v>
      </c>
      <c r="E739" s="360" t="str">
        <f t="shared" si="33"/>
        <v>TheewaterskloofEnvironmental protectionLosses</v>
      </c>
      <c r="F739" s="360" t="str">
        <f>'PART C- Municipal Details'!$G$7</f>
        <v>Theewaterskloof</v>
      </c>
      <c r="G739" s="360" t="s">
        <v>803</v>
      </c>
      <c r="H739" s="366" t="s">
        <v>810</v>
      </c>
      <c r="I739" s="496" t="s">
        <v>734</v>
      </c>
      <c r="J739" s="497" t="s">
        <v>756</v>
      </c>
      <c r="K739" s="490"/>
      <c r="L739" s="463" t="s">
        <v>760</v>
      </c>
      <c r="M739" s="459"/>
      <c r="N739" s="461"/>
      <c r="O739" s="461"/>
      <c r="P739" s="461"/>
      <c r="Q739" s="461"/>
      <c r="R739" s="461"/>
      <c r="S739" s="461"/>
      <c r="T739" s="461"/>
      <c r="U739" s="530">
        <v>0</v>
      </c>
      <c r="V739" s="530">
        <v>0</v>
      </c>
      <c r="W739" s="530">
        <v>0</v>
      </c>
      <c r="X739" s="490"/>
      <c r="Y739" s="969"/>
      <c r="Z739" s="969"/>
      <c r="AA739" s="969"/>
      <c r="AB739" s="969"/>
      <c r="AC739" s="969"/>
      <c r="AD739" s="969"/>
      <c r="AE739" s="969" t="str">
        <f t="shared" si="34"/>
        <v>TheewaterskloofLosses on disposal of Assets</v>
      </c>
      <c r="AF739" s="969"/>
      <c r="AG739" s="969"/>
    </row>
    <row r="740" spans="2:33" ht="13.2" customHeight="1" x14ac:dyDescent="0.55000000000000004">
      <c r="B740" s="371"/>
      <c r="C740" s="1010" t="s">
        <v>761</v>
      </c>
      <c r="D740" s="360" t="str">
        <f t="shared" si="35"/>
        <v>Environmental protection4300</v>
      </c>
      <c r="E740" s="361" t="str">
        <f t="shared" si="33"/>
        <v>TheewaterskloofEnvironmental protectionOther expenditure</v>
      </c>
      <c r="F740" s="360" t="str">
        <f>'PART C- Municipal Details'!$G$7</f>
        <v>Theewaterskloof</v>
      </c>
      <c r="G740" s="361" t="s">
        <v>803</v>
      </c>
      <c r="H740" s="363" t="s">
        <v>810</v>
      </c>
      <c r="I740" s="496" t="s">
        <v>13</v>
      </c>
      <c r="J740" s="497" t="s">
        <v>759</v>
      </c>
      <c r="K740" s="490"/>
      <c r="L740" s="463" t="s">
        <v>763</v>
      </c>
      <c r="M740" s="459"/>
      <c r="N740" s="461"/>
      <c r="O740" s="461"/>
      <c r="P740" s="461"/>
      <c r="Q740" s="461"/>
      <c r="R740" s="461"/>
      <c r="S740" s="461"/>
      <c r="T740" s="461"/>
      <c r="U740" s="530">
        <v>0</v>
      </c>
      <c r="V740" s="530">
        <v>0</v>
      </c>
      <c r="W740" s="530">
        <v>0</v>
      </c>
      <c r="X740" s="490"/>
      <c r="Y740" s="969"/>
      <c r="Z740" s="969"/>
      <c r="AA740" s="969"/>
      <c r="AB740" s="969"/>
      <c r="AC740" s="969"/>
      <c r="AD740" s="969"/>
      <c r="AE740" s="969" t="str">
        <f t="shared" si="34"/>
        <v>TheewaterskloofOther Losses</v>
      </c>
      <c r="AF740" s="969"/>
      <c r="AG740" s="969"/>
    </row>
    <row r="741" spans="2:33" ht="13.2" customHeight="1" x14ac:dyDescent="0.55000000000000004">
      <c r="B741" s="371"/>
      <c r="C741" s="1009" t="s">
        <v>764</v>
      </c>
      <c r="D741" s="361" t="str">
        <f t="shared" si="35"/>
        <v>Environmental protection4400</v>
      </c>
      <c r="E741" s="360" t="str">
        <f t="shared" si="33"/>
        <v>TheewaterskloofEnvironmental protectionTotal Expenditure</v>
      </c>
      <c r="F741" s="360" t="str">
        <f>'PART C- Municipal Details'!$G$7</f>
        <v>Theewaterskloof</v>
      </c>
      <c r="G741" s="360" t="s">
        <v>803</v>
      </c>
      <c r="H741" s="366" t="s">
        <v>810</v>
      </c>
      <c r="I741" s="496" t="s">
        <v>736</v>
      </c>
      <c r="J741" s="497" t="s">
        <v>762</v>
      </c>
      <c r="K741" s="490"/>
      <c r="L741" s="508" t="s">
        <v>736</v>
      </c>
      <c r="M741" s="509"/>
      <c r="N741" s="510"/>
      <c r="O741" s="510"/>
      <c r="P741" s="510"/>
      <c r="Q741" s="510"/>
      <c r="R741" s="510"/>
      <c r="S741" s="510"/>
      <c r="T741" s="511"/>
      <c r="U741" s="529">
        <v>1000</v>
      </c>
      <c r="V741" s="529">
        <v>1034</v>
      </c>
      <c r="W741" s="529">
        <v>1067</v>
      </c>
      <c r="X741" s="490"/>
      <c r="Y741" s="969"/>
      <c r="Z741" s="969"/>
      <c r="AA741" s="969"/>
      <c r="AB741" s="969"/>
      <c r="AC741" s="969"/>
      <c r="AD741" s="969"/>
      <c r="AE741" s="969" t="str">
        <f t="shared" si="34"/>
        <v>TheewaterskloofTotal Expenditure</v>
      </c>
      <c r="AF741" s="969"/>
      <c r="AG741" s="969"/>
    </row>
    <row r="742" spans="2:33" ht="13.2" customHeight="1" x14ac:dyDescent="0.55000000000000004">
      <c r="B742" s="371"/>
      <c r="C742" s="1009" t="s">
        <v>766</v>
      </c>
      <c r="D742" s="360" t="str">
        <f t="shared" si="35"/>
        <v>Environmental protection4500</v>
      </c>
      <c r="E742" s="361" t="str">
        <f t="shared" si="33"/>
        <v>TheewaterskloofEnvironmental protectionSurplus/(Deficit)</v>
      </c>
      <c r="F742" s="360" t="str">
        <f>'PART C- Municipal Details'!$G$7</f>
        <v>Theewaterskloof</v>
      </c>
      <c r="G742" s="361" t="s">
        <v>803</v>
      </c>
      <c r="H742" s="363" t="s">
        <v>810</v>
      </c>
      <c r="I742" s="496" t="s">
        <v>635</v>
      </c>
      <c r="J742" s="497" t="s">
        <v>765</v>
      </c>
      <c r="K742" s="490"/>
      <c r="L742" s="463" t="s">
        <v>635</v>
      </c>
      <c r="M742" s="459"/>
      <c r="N742" s="459"/>
      <c r="O742" s="459"/>
      <c r="P742" s="459"/>
      <c r="Q742" s="459"/>
      <c r="R742" s="459"/>
      <c r="S742" s="459"/>
      <c r="T742" s="459"/>
      <c r="U742" s="530">
        <v>-1000</v>
      </c>
      <c r="V742" s="530">
        <v>-1034</v>
      </c>
      <c r="W742" s="530">
        <v>-1067</v>
      </c>
      <c r="X742" s="490"/>
      <c r="Y742" s="969"/>
      <c r="Z742" s="969"/>
      <c r="AA742" s="969"/>
      <c r="AB742" s="969"/>
      <c r="AC742" s="969"/>
      <c r="AD742" s="969"/>
      <c r="AE742" s="969" t="str">
        <f t="shared" si="34"/>
        <v>TheewaterskloofSurplus/(Deficit)</v>
      </c>
      <c r="AF742" s="969"/>
      <c r="AG742" s="969"/>
    </row>
    <row r="743" spans="2:33" ht="13.2" customHeight="1" x14ac:dyDescent="0.55000000000000004">
      <c r="B743" s="371"/>
      <c r="C743" s="1010" t="s">
        <v>768</v>
      </c>
      <c r="D743" s="361" t="str">
        <f t="shared" si="35"/>
        <v>Environmental protection4600</v>
      </c>
      <c r="E743" s="360" t="str">
        <f t="shared" si="33"/>
        <v>TheewaterskloofEnvironmental protectionTransfers and subsidies - capital (monetary allocations) (National / Provincial and District)</v>
      </c>
      <c r="F743" s="360" t="str">
        <f>'PART C- Municipal Details'!$G$7</f>
        <v>Theewaterskloof</v>
      </c>
      <c r="G743" s="360" t="s">
        <v>803</v>
      </c>
      <c r="H743" s="366" t="s">
        <v>810</v>
      </c>
      <c r="I743" s="496" t="s">
        <v>740</v>
      </c>
      <c r="J743" s="497" t="s">
        <v>767</v>
      </c>
      <c r="K743" s="490"/>
      <c r="L743" s="463" t="s">
        <v>770</v>
      </c>
      <c r="M743" s="459"/>
      <c r="N743" s="459"/>
      <c r="O743" s="459"/>
      <c r="P743" s="459"/>
      <c r="Q743" s="459"/>
      <c r="R743" s="459"/>
      <c r="S743" s="459"/>
      <c r="T743" s="459"/>
      <c r="U743" s="530">
        <v>0</v>
      </c>
      <c r="V743" s="530">
        <v>0</v>
      </c>
      <c r="W743" s="530">
        <v>0</v>
      </c>
      <c r="X743" s="490"/>
      <c r="Y743" s="969"/>
      <c r="Z743" s="969"/>
      <c r="AA743" s="969"/>
      <c r="AB743" s="969"/>
      <c r="AC743" s="969"/>
      <c r="AD743" s="969"/>
      <c r="AE743" s="969" t="str">
        <f t="shared" si="34"/>
        <v>TheewaterskloofTransfers and subsidies - capital (monetary allocations)</v>
      </c>
      <c r="AF743" s="969"/>
      <c r="AG743" s="969"/>
    </row>
    <row r="744" spans="2:33" ht="13.2" customHeight="1" x14ac:dyDescent="0.55000000000000004">
      <c r="B744" s="371"/>
      <c r="C744" s="1010" t="s">
        <v>771</v>
      </c>
      <c r="D744" s="360" t="str">
        <f t="shared" si="35"/>
        <v>Environmental protection4700</v>
      </c>
      <c r="E744" s="361" t="str">
        <f t="shared" si="33"/>
        <v>TheewaterskloofEnvironmental protectionTransfers and subsidies - capital (in-kind - all)</v>
      </c>
      <c r="F744" s="360" t="str">
        <f>'PART C- Municipal Details'!$G$7</f>
        <v>Theewaterskloof</v>
      </c>
      <c r="G744" s="361" t="s">
        <v>803</v>
      </c>
      <c r="H744" s="363" t="s">
        <v>810</v>
      </c>
      <c r="I744" s="496" t="s">
        <v>744</v>
      </c>
      <c r="J744" s="497" t="s">
        <v>769</v>
      </c>
      <c r="K744" s="490"/>
      <c r="L744" s="463" t="s">
        <v>773</v>
      </c>
      <c r="M744" s="459"/>
      <c r="N744" s="459"/>
      <c r="O744" s="459"/>
      <c r="P744" s="459"/>
      <c r="Q744" s="459"/>
      <c r="R744" s="459"/>
      <c r="S744" s="459"/>
      <c r="T744" s="459"/>
      <c r="U744" s="530">
        <v>0</v>
      </c>
      <c r="V744" s="530">
        <v>0</v>
      </c>
      <c r="W744" s="530">
        <v>0</v>
      </c>
      <c r="X744" s="490"/>
      <c r="Y744" s="969"/>
      <c r="Z744" s="969"/>
      <c r="AA744" s="969"/>
      <c r="AB744" s="969"/>
      <c r="AC744" s="969"/>
      <c r="AD744" s="969"/>
      <c r="AE744" s="969" t="str">
        <f t="shared" si="34"/>
        <v>TheewaterskloofTransfers and subsidies - capital (in-kind)</v>
      </c>
      <c r="AF744" s="969"/>
      <c r="AG744" s="969"/>
    </row>
    <row r="745" spans="2:33" ht="13.2" customHeight="1" x14ac:dyDescent="0.55000000000000004">
      <c r="B745" s="371"/>
      <c r="C745" s="1009" t="s">
        <v>774</v>
      </c>
      <c r="D745" s="361" t="str">
        <f t="shared" si="35"/>
        <v>Environmental protection4800</v>
      </c>
      <c r="E745" s="360" t="str">
        <f t="shared" si="33"/>
        <v>TheewaterskloofEnvironmental protectionSurplus/(Deficit) after capital transfers and contributions</v>
      </c>
      <c r="F745" s="360" t="str">
        <f>'PART C- Municipal Details'!$G$7</f>
        <v>Theewaterskloof</v>
      </c>
      <c r="G745" s="360" t="s">
        <v>803</v>
      </c>
      <c r="H745" s="366" t="s">
        <v>810</v>
      </c>
      <c r="I745" s="496" t="s">
        <v>747</v>
      </c>
      <c r="J745" s="497" t="s">
        <v>772</v>
      </c>
      <c r="K745" s="490"/>
      <c r="L745" s="463" t="s">
        <v>747</v>
      </c>
      <c r="M745" s="459"/>
      <c r="N745" s="459"/>
      <c r="O745" s="459"/>
      <c r="P745" s="459"/>
      <c r="Q745" s="459"/>
      <c r="R745" s="459"/>
      <c r="S745" s="459"/>
      <c r="T745" s="459"/>
      <c r="U745" s="530">
        <v>-1000</v>
      </c>
      <c r="V745" s="530">
        <v>-1034</v>
      </c>
      <c r="W745" s="530">
        <v>-1067</v>
      </c>
      <c r="X745" s="490"/>
      <c r="Y745" s="969"/>
      <c r="Z745" s="969"/>
      <c r="AA745" s="969"/>
      <c r="AB745" s="969"/>
      <c r="AC745" s="969"/>
      <c r="AD745" s="969"/>
      <c r="AE745" s="969" t="str">
        <f t="shared" si="34"/>
        <v>TheewaterskloofSurplus/(Deficit) after capital transfers and contributions</v>
      </c>
      <c r="AF745" s="969"/>
      <c r="AG745" s="969"/>
    </row>
    <row r="746" spans="2:33" ht="13.2" customHeight="1" x14ac:dyDescent="0.55000000000000004">
      <c r="B746" s="371"/>
      <c r="C746" s="1010" t="s">
        <v>776</v>
      </c>
      <c r="D746" s="360" t="str">
        <f t="shared" si="35"/>
        <v>Environmental protection4900</v>
      </c>
      <c r="E746" s="361" t="str">
        <f t="shared" si="33"/>
        <v>TheewaterskloofEnvironmental protectionTaxation</v>
      </c>
      <c r="F746" s="360" t="str">
        <f>'PART C- Municipal Details'!$G$7</f>
        <v>Theewaterskloof</v>
      </c>
      <c r="G746" s="361" t="s">
        <v>803</v>
      </c>
      <c r="H746" s="363" t="s">
        <v>810</v>
      </c>
      <c r="I746" s="496" t="s">
        <v>749</v>
      </c>
      <c r="J746" s="497" t="s">
        <v>775</v>
      </c>
      <c r="K746" s="490"/>
      <c r="L746" s="463" t="s">
        <v>778</v>
      </c>
      <c r="M746" s="459"/>
      <c r="N746" s="459"/>
      <c r="O746" s="459"/>
      <c r="P746" s="459"/>
      <c r="Q746" s="459"/>
      <c r="R746" s="459"/>
      <c r="S746" s="459"/>
      <c r="T746" s="459"/>
      <c r="U746" s="530">
        <v>0</v>
      </c>
      <c r="V746" s="530">
        <v>0</v>
      </c>
      <c r="W746" s="530">
        <v>0</v>
      </c>
      <c r="X746" s="490"/>
      <c r="Y746" s="969"/>
      <c r="Z746" s="969"/>
      <c r="AA746" s="969"/>
      <c r="AB746" s="969"/>
      <c r="AC746" s="969"/>
      <c r="AD746" s="969"/>
      <c r="AE746" s="969" t="str">
        <f t="shared" si="34"/>
        <v>TheewaterskloofIncome Tax</v>
      </c>
      <c r="AF746" s="969"/>
      <c r="AG746" s="969"/>
    </row>
    <row r="747" spans="2:33" ht="13.2" customHeight="1" x14ac:dyDescent="0.55000000000000004">
      <c r="B747" s="371"/>
      <c r="C747" s="1009" t="s">
        <v>779</v>
      </c>
      <c r="D747" s="361" t="str">
        <f t="shared" si="35"/>
        <v>Environmental protection5000</v>
      </c>
      <c r="E747" s="360" t="str">
        <f t="shared" si="33"/>
        <v>TheewaterskloofEnvironmental protectionSurplus/(Deficit) after taxation</v>
      </c>
      <c r="F747" s="360" t="str">
        <f>'PART C- Municipal Details'!$G$7</f>
        <v>Theewaterskloof</v>
      </c>
      <c r="G747" s="360" t="s">
        <v>803</v>
      </c>
      <c r="H747" s="366" t="s">
        <v>810</v>
      </c>
      <c r="I747" s="496" t="s">
        <v>751</v>
      </c>
      <c r="J747" s="497" t="s">
        <v>777</v>
      </c>
      <c r="K747" s="490"/>
      <c r="L747" s="463" t="s">
        <v>781</v>
      </c>
      <c r="M747" s="459"/>
      <c r="N747" s="459"/>
      <c r="O747" s="459"/>
      <c r="P747" s="459"/>
      <c r="Q747" s="459"/>
      <c r="R747" s="459"/>
      <c r="S747" s="459"/>
      <c r="T747" s="459"/>
      <c r="U747" s="530">
        <v>-1000</v>
      </c>
      <c r="V747" s="530">
        <v>-1034</v>
      </c>
      <c r="W747" s="530">
        <v>-1067</v>
      </c>
      <c r="X747" s="490"/>
      <c r="Y747" s="969"/>
      <c r="Z747" s="969"/>
      <c r="AA747" s="969"/>
      <c r="AB747" s="969"/>
      <c r="AC747" s="969"/>
      <c r="AD747" s="969"/>
      <c r="AE747" s="969" t="str">
        <f t="shared" si="34"/>
        <v>TheewaterskloofSurplus/(Deficit) after income tax</v>
      </c>
      <c r="AF747" s="969"/>
      <c r="AG747" s="969"/>
    </row>
    <row r="748" spans="2:33" ht="13.2" customHeight="1" x14ac:dyDescent="0.55000000000000004">
      <c r="B748" s="371"/>
      <c r="C748" s="1010" t="s">
        <v>782</v>
      </c>
      <c r="D748" s="360" t="str">
        <f t="shared" si="35"/>
        <v>Environmental protection5100</v>
      </c>
      <c r="E748" s="361" t="str">
        <f t="shared" si="33"/>
        <v>TheewaterskloofEnvironmental protectionShare of Surplus/Deficit attributable to Joint Venture</v>
      </c>
      <c r="F748" s="360" t="str">
        <f>'PART C- Municipal Details'!$G$7</f>
        <v>Theewaterskloof</v>
      </c>
      <c r="G748" s="361" t="s">
        <v>803</v>
      </c>
      <c r="H748" s="363" t="s">
        <v>810</v>
      </c>
      <c r="I748" s="496" t="s">
        <v>783</v>
      </c>
      <c r="J748" s="497" t="s">
        <v>780</v>
      </c>
      <c r="K748" s="490"/>
      <c r="L748" s="463" t="s">
        <v>783</v>
      </c>
      <c r="M748" s="459"/>
      <c r="N748" s="459"/>
      <c r="O748" s="459"/>
      <c r="P748" s="459"/>
      <c r="Q748" s="459"/>
      <c r="R748" s="459"/>
      <c r="S748" s="459"/>
      <c r="T748" s="459"/>
      <c r="U748" s="530">
        <v>0</v>
      </c>
      <c r="V748" s="530">
        <v>0</v>
      </c>
      <c r="W748" s="530">
        <v>0</v>
      </c>
      <c r="X748" s="490"/>
      <c r="Y748" s="969"/>
      <c r="Z748" s="969"/>
      <c r="AA748" s="969"/>
      <c r="AB748" s="969"/>
      <c r="AC748" s="969"/>
      <c r="AD748" s="969"/>
      <c r="AE748" s="969" t="str">
        <f t="shared" si="34"/>
        <v>TheewaterskloofShare of Surplus/Deficit attributable to Joint Venture</v>
      </c>
      <c r="AF748" s="969"/>
      <c r="AG748" s="969"/>
    </row>
    <row r="749" spans="2:33" ht="13.2" customHeight="1" x14ac:dyDescent="0.55000000000000004">
      <c r="B749" s="371"/>
      <c r="C749" s="1010" t="s">
        <v>785</v>
      </c>
      <c r="D749" s="361" t="str">
        <f t="shared" si="35"/>
        <v>Environmental protection5200</v>
      </c>
      <c r="E749" s="360" t="str">
        <f t="shared" si="33"/>
        <v>TheewaterskloofEnvironmental protectionAttributable to minorities</v>
      </c>
      <c r="F749" s="360" t="str">
        <f>'PART C- Municipal Details'!$G$7</f>
        <v>Theewaterskloof</v>
      </c>
      <c r="G749" s="360" t="s">
        <v>803</v>
      </c>
      <c r="H749" s="366" t="s">
        <v>810</v>
      </c>
      <c r="I749" s="496" t="s">
        <v>753</v>
      </c>
      <c r="J749" s="497" t="s">
        <v>784</v>
      </c>
      <c r="K749" s="490"/>
      <c r="L749" s="463" t="s">
        <v>787</v>
      </c>
      <c r="M749" s="459"/>
      <c r="N749" s="459"/>
      <c r="O749" s="459"/>
      <c r="P749" s="459"/>
      <c r="Q749" s="459"/>
      <c r="R749" s="459"/>
      <c r="S749" s="459"/>
      <c r="T749" s="459"/>
      <c r="U749" s="530">
        <v>0</v>
      </c>
      <c r="V749" s="530">
        <v>0</v>
      </c>
      <c r="W749" s="530">
        <v>0</v>
      </c>
      <c r="X749" s="490"/>
      <c r="Y749" s="969"/>
      <c r="Z749" s="969"/>
      <c r="AA749" s="969"/>
      <c r="AB749" s="969"/>
      <c r="AC749" s="969"/>
      <c r="AD749" s="969"/>
      <c r="AE749" s="969" t="str">
        <f t="shared" si="34"/>
        <v>TheewaterskloofShare of Surplus/Deficit attributable to Minorities</v>
      </c>
      <c r="AF749" s="969"/>
      <c r="AG749" s="969"/>
    </row>
    <row r="750" spans="2:33" ht="13.2" customHeight="1" x14ac:dyDescent="0.55000000000000004">
      <c r="B750" s="371"/>
      <c r="C750" s="1009" t="s">
        <v>788</v>
      </c>
      <c r="D750" s="360" t="str">
        <f t="shared" si="35"/>
        <v>Environmental protection5300</v>
      </c>
      <c r="E750" s="361" t="str">
        <f t="shared" si="33"/>
        <v>TheewaterskloofEnvironmental protectionSurplus/(Deficit) attributable to municipality</v>
      </c>
      <c r="F750" s="360" t="str">
        <f>'PART C- Municipal Details'!$G$7</f>
        <v>Theewaterskloof</v>
      </c>
      <c r="G750" s="361" t="s">
        <v>803</v>
      </c>
      <c r="H750" s="363" t="s">
        <v>810</v>
      </c>
      <c r="I750" s="496" t="s">
        <v>756</v>
      </c>
      <c r="J750" s="497" t="s">
        <v>786</v>
      </c>
      <c r="K750" s="490"/>
      <c r="L750" s="463" t="s">
        <v>756</v>
      </c>
      <c r="M750" s="459"/>
      <c r="N750" s="459"/>
      <c r="O750" s="459"/>
      <c r="P750" s="459"/>
      <c r="Q750" s="459"/>
      <c r="R750" s="459"/>
      <c r="S750" s="459"/>
      <c r="T750" s="459"/>
      <c r="U750" s="530">
        <v>-1000</v>
      </c>
      <c r="V750" s="530">
        <v>-1034</v>
      </c>
      <c r="W750" s="530">
        <v>-1067</v>
      </c>
      <c r="X750" s="490"/>
      <c r="Y750" s="969"/>
      <c r="Z750" s="969"/>
      <c r="AA750" s="969"/>
      <c r="AB750" s="969"/>
      <c r="AC750" s="969"/>
      <c r="AD750" s="969"/>
      <c r="AE750" s="969" t="str">
        <f t="shared" si="34"/>
        <v>TheewaterskloofSurplus/(Deficit) attributable to municipality</v>
      </c>
      <c r="AF750" s="969"/>
      <c r="AG750" s="969"/>
    </row>
    <row r="751" spans="2:33" ht="13.2" customHeight="1" x14ac:dyDescent="0.55000000000000004">
      <c r="B751" s="371"/>
      <c r="C751" s="1010" t="s">
        <v>790</v>
      </c>
      <c r="D751" s="361" t="str">
        <f t="shared" si="35"/>
        <v>Environmental protection5400</v>
      </c>
      <c r="E751" s="360" t="str">
        <f t="shared" si="33"/>
        <v>TheewaterskloofEnvironmental protectionShare of surplus/ (deficit) of associate</v>
      </c>
      <c r="F751" s="360" t="str">
        <f>'PART C- Municipal Details'!$G$7</f>
        <v>Theewaterskloof</v>
      </c>
      <c r="G751" s="360" t="s">
        <v>803</v>
      </c>
      <c r="H751" s="366" t="s">
        <v>810</v>
      </c>
      <c r="I751" s="496" t="s">
        <v>759</v>
      </c>
      <c r="J751" s="497" t="s">
        <v>789</v>
      </c>
      <c r="K751" s="490"/>
      <c r="L751" s="463" t="s">
        <v>791</v>
      </c>
      <c r="M751" s="459"/>
      <c r="N751" s="459"/>
      <c r="O751" s="459"/>
      <c r="P751" s="459"/>
      <c r="Q751" s="459"/>
      <c r="R751" s="459"/>
      <c r="S751" s="459"/>
      <c r="T751" s="459"/>
      <c r="U751" s="530">
        <v>0</v>
      </c>
      <c r="V751" s="530">
        <v>0</v>
      </c>
      <c r="W751" s="530">
        <v>0</v>
      </c>
      <c r="X751" s="490"/>
      <c r="Y751" s="969"/>
      <c r="Z751" s="969"/>
      <c r="AA751" s="969"/>
      <c r="AB751" s="969"/>
      <c r="AC751" s="969"/>
      <c r="AD751" s="969"/>
      <c r="AE751" s="969" t="str">
        <f t="shared" si="34"/>
        <v>TheewaterskloofShare of Surplus/Deficit attributable to Associate</v>
      </c>
      <c r="AF751" s="969"/>
      <c r="AG751" s="969"/>
    </row>
    <row r="752" spans="2:33" ht="13.2" customHeight="1" x14ac:dyDescent="0.55000000000000004">
      <c r="B752" s="371"/>
      <c r="C752" s="1010" t="s">
        <v>792</v>
      </c>
      <c r="D752" s="360" t="str">
        <f t="shared" si="35"/>
        <v>Environmental protection5500</v>
      </c>
      <c r="E752" s="361" t="str">
        <f t="shared" si="33"/>
        <v>TheewaterskloofEnvironmental protectionIntercompany/Parent subsidiary transactions</v>
      </c>
      <c r="F752" s="360" t="str">
        <f>'PART C- Municipal Details'!$G$7</f>
        <v>Theewaterskloof</v>
      </c>
      <c r="G752" s="361" t="s">
        <v>803</v>
      </c>
      <c r="H752" s="363" t="s">
        <v>810</v>
      </c>
      <c r="I752" s="496" t="s">
        <v>793</v>
      </c>
      <c r="J752" s="497" t="s">
        <v>789</v>
      </c>
      <c r="K752" s="490"/>
      <c r="L752" s="463" t="s">
        <v>793</v>
      </c>
      <c r="M752" s="459"/>
      <c r="N752" s="459"/>
      <c r="O752" s="459"/>
      <c r="P752" s="459"/>
      <c r="Q752" s="459"/>
      <c r="R752" s="459"/>
      <c r="S752" s="459"/>
      <c r="T752" s="459"/>
      <c r="U752" s="530">
        <v>0</v>
      </c>
      <c r="V752" s="530">
        <v>0</v>
      </c>
      <c r="W752" s="530">
        <v>0</v>
      </c>
      <c r="X752" s="490"/>
      <c r="Y752" s="969"/>
      <c r="Z752" s="969"/>
      <c r="AA752" s="969"/>
      <c r="AB752" s="969"/>
      <c r="AC752" s="969"/>
      <c r="AD752" s="969"/>
      <c r="AE752" s="969" t="str">
        <f t="shared" si="34"/>
        <v>TheewaterskloofIntercompany/Parent subsidiary transactions</v>
      </c>
      <c r="AF752" s="969"/>
      <c r="AG752" s="969"/>
    </row>
    <row r="753" spans="2:33" ht="13.2" customHeight="1" x14ac:dyDescent="0.55000000000000004">
      <c r="B753" s="371"/>
      <c r="C753" s="1009" t="s">
        <v>794</v>
      </c>
      <c r="D753" s="361" t="str">
        <f t="shared" si="35"/>
        <v>Environmental protection5600</v>
      </c>
      <c r="E753" s="360" t="str">
        <f t="shared" si="33"/>
        <v>TheewaterskloofEnvironmental protectionSurplus/(Deficit) for the year</v>
      </c>
      <c r="F753" s="360" t="str">
        <f>'PART C- Municipal Details'!$G$7</f>
        <v>Theewaterskloof</v>
      </c>
      <c r="G753" s="360" t="s">
        <v>803</v>
      </c>
      <c r="H753" s="366" t="s">
        <v>810</v>
      </c>
      <c r="I753" s="496" t="s">
        <v>762</v>
      </c>
      <c r="J753" s="497" t="s">
        <v>789</v>
      </c>
      <c r="K753" s="490"/>
      <c r="L753" s="508" t="s">
        <v>762</v>
      </c>
      <c r="M753" s="509"/>
      <c r="N753" s="510"/>
      <c r="O753" s="510"/>
      <c r="P753" s="510"/>
      <c r="Q753" s="510"/>
      <c r="R753" s="510"/>
      <c r="S753" s="510"/>
      <c r="T753" s="511"/>
      <c r="U753" s="530">
        <v>0</v>
      </c>
      <c r="V753" s="530">
        <v>0</v>
      </c>
      <c r="W753" s="530">
        <v>0</v>
      </c>
      <c r="X753" s="490"/>
      <c r="Y753" s="969"/>
      <c r="Z753" s="969"/>
      <c r="AA753" s="969"/>
      <c r="AB753" s="969"/>
      <c r="AC753" s="969"/>
      <c r="AD753" s="969"/>
      <c r="AE753" s="969" t="str">
        <f t="shared" si="34"/>
        <v>TheewaterskloofSurplus/(Deficit) for the year</v>
      </c>
      <c r="AF753" s="969"/>
      <c r="AG753" s="969"/>
    </row>
    <row r="754" spans="2:33" ht="13.2" customHeight="1" x14ac:dyDescent="0.55000000000000004">
      <c r="B754" s="371"/>
      <c r="C754" s="1011">
        <v>55555</v>
      </c>
      <c r="D754" s="360" t="str">
        <f t="shared" si="35"/>
        <v>Environmental protection55555</v>
      </c>
      <c r="E754" s="361" t="str">
        <f t="shared" si="33"/>
        <v>TheewaterskloofEnvironmental protectionReferences</v>
      </c>
      <c r="F754" s="360" t="str">
        <f>'PART C- Municipal Details'!$G$7</f>
        <v>Theewaterskloof</v>
      </c>
      <c r="G754" s="361" t="s">
        <v>803</v>
      </c>
      <c r="H754" s="363" t="s">
        <v>810</v>
      </c>
      <c r="I754" s="496" t="s">
        <v>765</v>
      </c>
      <c r="J754" s="497" t="s">
        <v>789</v>
      </c>
      <c r="K754" s="490"/>
      <c r="L754" s="474" t="s">
        <v>765</v>
      </c>
      <c r="M754" s="475"/>
      <c r="N754" s="476"/>
      <c r="O754" s="476"/>
      <c r="P754" s="476"/>
      <c r="Q754" s="476"/>
      <c r="R754" s="476"/>
      <c r="S754" s="476"/>
      <c r="T754" s="477"/>
      <c r="U754" s="530">
        <v>0</v>
      </c>
      <c r="V754" s="530">
        <v>0</v>
      </c>
      <c r="W754" s="530">
        <v>0</v>
      </c>
      <c r="X754" s="490"/>
      <c r="Y754" s="969"/>
      <c r="Z754" s="969"/>
      <c r="AA754" s="969"/>
      <c r="AB754" s="969"/>
      <c r="AC754" s="969"/>
      <c r="AD754" s="969"/>
      <c r="AE754" s="969" t="str">
        <f t="shared" si="34"/>
        <v>TheewaterskloofReferences</v>
      </c>
      <c r="AF754" s="969"/>
      <c r="AG754" s="969"/>
    </row>
    <row r="755" spans="2:33" ht="13.2" customHeight="1" x14ac:dyDescent="0.55000000000000004">
      <c r="B755" s="371"/>
      <c r="C755" s="1011">
        <v>55555</v>
      </c>
      <c r="D755" s="361" t="str">
        <f t="shared" si="35"/>
        <v>Environmental protection55555</v>
      </c>
      <c r="E755" s="360" t="str">
        <f t="shared" si="33"/>
        <v>TheewaterskloofEnvironmental protection1. Classifications are revenue sources and expenditure type</v>
      </c>
      <c r="F755" s="360" t="str">
        <f>'PART C- Municipal Details'!$G$7</f>
        <v>Theewaterskloof</v>
      </c>
      <c r="G755" s="360" t="s">
        <v>803</v>
      </c>
      <c r="H755" s="366" t="s">
        <v>810</v>
      </c>
      <c r="I755" s="496" t="s">
        <v>767</v>
      </c>
      <c r="J755" s="497" t="s">
        <v>789</v>
      </c>
      <c r="K755" s="490"/>
      <c r="L755" s="465" t="s">
        <v>767</v>
      </c>
      <c r="M755" s="472"/>
      <c r="N755" s="473"/>
      <c r="O755" s="473"/>
      <c r="P755" s="473"/>
      <c r="Q755" s="473"/>
      <c r="R755" s="473"/>
      <c r="S755" s="473"/>
      <c r="T755" s="478"/>
      <c r="U755" s="530">
        <v>0</v>
      </c>
      <c r="V755" s="530">
        <v>0</v>
      </c>
      <c r="W755" s="530">
        <v>0</v>
      </c>
      <c r="X755" s="490"/>
      <c r="Y755" s="969"/>
      <c r="Z755" s="969"/>
      <c r="AA755" s="969"/>
      <c r="AB755" s="969"/>
      <c r="AC755" s="969"/>
      <c r="AD755" s="969"/>
      <c r="AE755" s="969" t="str">
        <f t="shared" si="34"/>
        <v>Theewaterskloof1. Classifications are revenue sources and expenditure type</v>
      </c>
      <c r="AF755" s="969"/>
      <c r="AG755" s="969"/>
    </row>
    <row r="756" spans="2:33" ht="13.2" customHeight="1" x14ac:dyDescent="0.55000000000000004">
      <c r="B756" s="371"/>
      <c r="C756" s="1011">
        <v>55555</v>
      </c>
      <c r="D756" s="360" t="str">
        <f t="shared" si="35"/>
        <v>Environmental protection55555</v>
      </c>
      <c r="E756" s="361" t="str">
        <f t="shared" si="33"/>
        <v>TheewaterskloofEnvironmental protection2. Detail to be provided in Table SA1</v>
      </c>
      <c r="F756" s="360" t="str">
        <f>'PART C- Municipal Details'!$G$7</f>
        <v>Theewaterskloof</v>
      </c>
      <c r="G756" s="361" t="s">
        <v>803</v>
      </c>
      <c r="H756" s="363" t="s">
        <v>810</v>
      </c>
      <c r="I756" s="496" t="s">
        <v>769</v>
      </c>
      <c r="J756" s="497" t="s">
        <v>789</v>
      </c>
      <c r="K756" s="490"/>
      <c r="L756" s="465" t="s">
        <v>769</v>
      </c>
      <c r="M756" s="472"/>
      <c r="N756" s="473"/>
      <c r="O756" s="473"/>
      <c r="P756" s="473"/>
      <c r="Q756" s="473"/>
      <c r="R756" s="473"/>
      <c r="S756" s="473"/>
      <c r="T756" s="478"/>
      <c r="U756" s="530">
        <v>0</v>
      </c>
      <c r="V756" s="530">
        <v>0</v>
      </c>
      <c r="W756" s="530">
        <v>0</v>
      </c>
      <c r="X756" s="490"/>
      <c r="Y756" s="969"/>
      <c r="Z756" s="969"/>
      <c r="AA756" s="969"/>
      <c r="AB756" s="969"/>
      <c r="AC756" s="969"/>
      <c r="AD756" s="969"/>
      <c r="AE756" s="969" t="str">
        <f t="shared" si="34"/>
        <v>Theewaterskloof2. Detail to be provided in Table SA1</v>
      </c>
      <c r="AF756" s="969"/>
      <c r="AG756" s="969"/>
    </row>
    <row r="757" spans="2:33" ht="13.2" customHeight="1" x14ac:dyDescent="0.55000000000000004">
      <c r="B757" s="371"/>
      <c r="C757" s="1011">
        <v>55555</v>
      </c>
      <c r="D757" s="361" t="str">
        <f t="shared" si="35"/>
        <v>Environmental protection55555</v>
      </c>
      <c r="E757" s="360" t="str">
        <f t="shared" si="33"/>
        <v>TheewaterskloofEnvironmental protection3. Debt impairment includes Impairment and Reversal of Impairment Losses</v>
      </c>
      <c r="F757" s="360" t="str">
        <f>'PART C- Municipal Details'!$G$7</f>
        <v>Theewaterskloof</v>
      </c>
      <c r="G757" s="360" t="s">
        <v>803</v>
      </c>
      <c r="H757" s="366" t="s">
        <v>810</v>
      </c>
      <c r="I757" s="496" t="s">
        <v>795</v>
      </c>
      <c r="J757" s="497" t="s">
        <v>789</v>
      </c>
      <c r="K757" s="490"/>
      <c r="L757" s="465" t="s">
        <v>795</v>
      </c>
      <c r="M757" s="472"/>
      <c r="N757" s="473"/>
      <c r="O757" s="473"/>
      <c r="P757" s="473"/>
      <c r="Q757" s="473"/>
      <c r="R757" s="473"/>
      <c r="S757" s="473"/>
      <c r="T757" s="478"/>
      <c r="U757" s="530">
        <v>0</v>
      </c>
      <c r="V757" s="530">
        <v>0</v>
      </c>
      <c r="W757" s="530">
        <v>0</v>
      </c>
      <c r="X757" s="490"/>
      <c r="Y757" s="969"/>
      <c r="Z757" s="969"/>
      <c r="AA757" s="969"/>
      <c r="AB757" s="969"/>
      <c r="AC757" s="969"/>
      <c r="AD757" s="969"/>
      <c r="AE757" s="969" t="str">
        <f t="shared" si="34"/>
        <v>Theewaterskloof3. Debt impairment includes Impairment and Reversal of Impairment Losses</v>
      </c>
      <c r="AF757" s="969"/>
      <c r="AG757" s="969"/>
    </row>
    <row r="758" spans="2:33" ht="13.2" customHeight="1" x14ac:dyDescent="0.55000000000000004">
      <c r="B758" s="371"/>
      <c r="C758" s="1011">
        <v>55555</v>
      </c>
      <c r="D758" s="360" t="str">
        <f t="shared" si="35"/>
        <v>Environmental protection55555</v>
      </c>
      <c r="E758" s="361" t="str">
        <f t="shared" si="33"/>
        <v>TheewaterskloofEnvironmental protection4. Expenditure type components previously shown under repairs and maintenance should be allocated back to the originating expenditure group/item; e.g. employee costs</v>
      </c>
      <c r="F758" s="360" t="str">
        <f>'PART C- Municipal Details'!$G$7</f>
        <v>Theewaterskloof</v>
      </c>
      <c r="G758" s="361" t="s">
        <v>803</v>
      </c>
      <c r="H758" s="363" t="s">
        <v>810</v>
      </c>
      <c r="I758" s="496" t="s">
        <v>775</v>
      </c>
      <c r="J758" s="497" t="s">
        <v>789</v>
      </c>
      <c r="K758" s="490"/>
      <c r="L758" s="465" t="s">
        <v>775</v>
      </c>
      <c r="M758" s="472"/>
      <c r="N758" s="473"/>
      <c r="O758" s="473"/>
      <c r="P758" s="473"/>
      <c r="Q758" s="473"/>
      <c r="R758" s="473"/>
      <c r="S758" s="473"/>
      <c r="T758" s="478"/>
      <c r="U758" s="530">
        <v>0</v>
      </c>
      <c r="V758" s="530">
        <v>0</v>
      </c>
      <c r="W758" s="530">
        <v>0</v>
      </c>
      <c r="X758" s="490"/>
      <c r="Y758" s="969"/>
      <c r="Z758" s="969"/>
      <c r="AA758" s="969"/>
      <c r="AB758" s="969"/>
      <c r="AC758" s="969"/>
      <c r="AD758" s="969"/>
      <c r="AE758" s="969" t="str">
        <f t="shared" si="34"/>
        <v>Theewaterskloof4. Expenditure type components previously shown under repairs and maintenance should be allocated back to the originating expenditure group/item; e.g. employee costs</v>
      </c>
      <c r="AF758" s="969"/>
      <c r="AG758" s="969"/>
    </row>
    <row r="759" spans="2:33" ht="13.2" customHeight="1" x14ac:dyDescent="0.55000000000000004">
      <c r="B759" s="371"/>
      <c r="C759" s="1011">
        <v>55555</v>
      </c>
      <c r="D759" s="361" t="str">
        <f t="shared" si="35"/>
        <v>Environmental protection55555</v>
      </c>
      <c r="E759" s="360" t="str">
        <f t="shared" si="33"/>
        <v>TheewaterskloofEnvironmental protection5. Repairs &amp; maintenance detailed in Table A9 and Table SA34c</v>
      </c>
      <c r="F759" s="360" t="str">
        <f>'PART C- Municipal Details'!$G$7</f>
        <v>Theewaterskloof</v>
      </c>
      <c r="G759" s="360" t="s">
        <v>803</v>
      </c>
      <c r="H759" s="366" t="s">
        <v>810</v>
      </c>
      <c r="I759" s="496" t="s">
        <v>777</v>
      </c>
      <c r="J759" s="497" t="s">
        <v>789</v>
      </c>
      <c r="K759" s="490"/>
      <c r="L759" s="465" t="s">
        <v>777</v>
      </c>
      <c r="M759" s="472"/>
      <c r="N759" s="473"/>
      <c r="O759" s="473"/>
      <c r="P759" s="473"/>
      <c r="Q759" s="473"/>
      <c r="R759" s="473"/>
      <c r="S759" s="473"/>
      <c r="T759" s="478"/>
      <c r="U759" s="530">
        <v>0</v>
      </c>
      <c r="V759" s="530">
        <v>0</v>
      </c>
      <c r="W759" s="530">
        <v>0</v>
      </c>
      <c r="X759" s="490"/>
      <c r="Y759" s="969"/>
      <c r="Z759" s="969"/>
      <c r="AA759" s="969"/>
      <c r="AB759" s="969"/>
      <c r="AC759" s="969"/>
      <c r="AD759" s="969"/>
      <c r="AE759" s="969" t="str">
        <f t="shared" si="34"/>
        <v>Theewaterskloof5. Repairs &amp; maintenance detailed in Table A9 and Table SA34c</v>
      </c>
      <c r="AF759" s="969"/>
      <c r="AG759" s="969"/>
    </row>
    <row r="760" spans="2:33" ht="13.2" customHeight="1" x14ac:dyDescent="0.55000000000000004">
      <c r="B760" s="371"/>
      <c r="C760" s="1011">
        <v>55555</v>
      </c>
      <c r="D760" s="360" t="str">
        <f t="shared" si="35"/>
        <v>Environmental protection55555</v>
      </c>
      <c r="E760" s="361" t="str">
        <f t="shared" si="33"/>
        <v>TheewaterskloofEnvironmental protection6. Contributions are funds provided by external organisations to assist with infrastructure development; e.g. developer contributions (detail to be provided in Table SA1)</v>
      </c>
      <c r="F760" s="360" t="str">
        <f>'PART C- Municipal Details'!$G$7</f>
        <v>Theewaterskloof</v>
      </c>
      <c r="G760" s="361" t="s">
        <v>803</v>
      </c>
      <c r="H760" s="363" t="s">
        <v>810</v>
      </c>
      <c r="I760" s="496" t="s">
        <v>780</v>
      </c>
      <c r="J760" s="497" t="s">
        <v>789</v>
      </c>
      <c r="K760" s="490"/>
      <c r="L760" s="465" t="s">
        <v>780</v>
      </c>
      <c r="M760" s="472"/>
      <c r="N760" s="473"/>
      <c r="O760" s="473"/>
      <c r="P760" s="473"/>
      <c r="Q760" s="473"/>
      <c r="R760" s="473"/>
      <c r="S760" s="473"/>
      <c r="T760" s="478"/>
      <c r="U760" s="530">
        <v>0</v>
      </c>
      <c r="V760" s="530">
        <v>0</v>
      </c>
      <c r="W760" s="530">
        <v>0</v>
      </c>
      <c r="X760" s="490"/>
      <c r="Y760" s="969"/>
      <c r="Z760" s="969"/>
      <c r="AA760" s="969"/>
      <c r="AB760" s="969"/>
      <c r="AC760" s="969"/>
      <c r="AD760" s="969"/>
      <c r="AE760" s="969" t="str">
        <f t="shared" si="34"/>
        <v>Theewaterskloof6. Contributions are funds provided by external organisations to assist with infrastructure development; e.g. developer contributions (detail to be provided in Table SA1)</v>
      </c>
      <c r="AF760" s="969"/>
      <c r="AG760" s="969"/>
    </row>
    <row r="761" spans="2:33" ht="13.2" customHeight="1" x14ac:dyDescent="0.55000000000000004">
      <c r="B761" s="371"/>
      <c r="C761" s="1011">
        <v>55555</v>
      </c>
      <c r="D761" s="361" t="str">
        <f t="shared" si="35"/>
        <v>Environmental protection55555</v>
      </c>
      <c r="E761" s="360" t="str">
        <f t="shared" si="33"/>
        <v>TheewaterskloofEnvironmental protection7. Equity method ( Includes Joint Ventures)</v>
      </c>
      <c r="F761" s="360" t="str">
        <f>'PART C- Municipal Details'!$G$7</f>
        <v>Theewaterskloof</v>
      </c>
      <c r="G761" s="360" t="s">
        <v>803</v>
      </c>
      <c r="H761" s="366" t="s">
        <v>810</v>
      </c>
      <c r="I761" s="496" t="s">
        <v>796</v>
      </c>
      <c r="J761" s="497" t="s">
        <v>789</v>
      </c>
      <c r="K761" s="490"/>
      <c r="L761" s="479" t="s">
        <v>796</v>
      </c>
      <c r="M761" s="480"/>
      <c r="N761" s="481"/>
      <c r="O761" s="481"/>
      <c r="P761" s="481"/>
      <c r="Q761" s="481"/>
      <c r="R761" s="481"/>
      <c r="S761" s="481"/>
      <c r="T761" s="482"/>
      <c r="U761" s="530">
        <v>0</v>
      </c>
      <c r="V761" s="530">
        <v>0</v>
      </c>
      <c r="W761" s="530">
        <v>0</v>
      </c>
      <c r="X761" s="490"/>
      <c r="Y761" s="969"/>
      <c r="Z761" s="969"/>
      <c r="AA761" s="969"/>
      <c r="AB761" s="969"/>
      <c r="AC761" s="969"/>
      <c r="AD761" s="969"/>
      <c r="AE761" s="969" t="str">
        <f t="shared" si="34"/>
        <v>Theewaterskloof7. Equity method ( Includes Joint Ventures)</v>
      </c>
      <c r="AF761" s="969"/>
      <c r="AG761" s="969"/>
    </row>
    <row r="762" spans="2:33" ht="13.2" customHeight="1" x14ac:dyDescent="0.55000000000000004">
      <c r="B762" s="371"/>
      <c r="C762" s="1011">
        <v>55555</v>
      </c>
      <c r="D762" s="360" t="str">
        <f t="shared" si="35"/>
        <v>Environmental protection55555</v>
      </c>
      <c r="E762" s="361" t="str">
        <f t="shared" si="33"/>
        <v>TheewaterskloofEnvironmental protection8. All materials consumed including water consumed and materials used in operations.</v>
      </c>
      <c r="F762" s="360" t="str">
        <f>'PART C- Municipal Details'!$G$7</f>
        <v>Theewaterskloof</v>
      </c>
      <c r="G762" s="361" t="s">
        <v>803</v>
      </c>
      <c r="H762" s="363" t="s">
        <v>810</v>
      </c>
      <c r="I762" s="496" t="s">
        <v>797</v>
      </c>
      <c r="J762" s="497" t="s">
        <v>789</v>
      </c>
      <c r="K762" s="490"/>
      <c r="L762" s="501"/>
      <c r="M762" s="502"/>
      <c r="N762" s="503"/>
      <c r="O762" s="503"/>
      <c r="P762" s="503"/>
      <c r="Q762" s="503"/>
      <c r="R762" s="503"/>
      <c r="S762" s="503"/>
      <c r="T762" s="503"/>
      <c r="U762" s="504"/>
      <c r="V762" s="504"/>
      <c r="W762" s="504"/>
      <c r="X762" s="490"/>
      <c r="Y762" s="969"/>
      <c r="Z762" s="969"/>
      <c r="AA762" s="969"/>
      <c r="AB762" s="969"/>
      <c r="AC762" s="969"/>
      <c r="AD762" s="969"/>
      <c r="AE762" s="969" t="str">
        <f t="shared" si="34"/>
        <v>Theewaterskloof</v>
      </c>
      <c r="AF762" s="969"/>
      <c r="AG762" s="969"/>
    </row>
    <row r="763" spans="2:33" ht="13.2" customHeight="1" x14ac:dyDescent="0.55000000000000004">
      <c r="B763" s="371"/>
      <c r="C763" s="1011">
        <v>55555</v>
      </c>
      <c r="D763" s="361" t="str">
        <f t="shared" si="35"/>
        <v>55555</v>
      </c>
      <c r="E763" s="360" t="str">
        <f t="shared" si="33"/>
        <v>Theewaterskloof</v>
      </c>
      <c r="F763" s="360" t="str">
        <f>'PART C- Municipal Details'!$G$7</f>
        <v>Theewaterskloof</v>
      </c>
      <c r="G763" s="360" t="s">
        <v>803</v>
      </c>
      <c r="H763" s="366"/>
      <c r="I763" s="496"/>
      <c r="J763" s="497"/>
      <c r="K763" s="490"/>
      <c r="L763" s="516"/>
      <c r="M763" s="517"/>
      <c r="N763" s="515"/>
      <c r="O763" s="515"/>
      <c r="P763" s="515"/>
      <c r="Q763" s="515"/>
      <c r="R763" s="515"/>
      <c r="S763" s="515"/>
      <c r="T763" s="515"/>
      <c r="U763" s="517"/>
      <c r="V763" s="517"/>
      <c r="W763" s="517"/>
      <c r="X763" s="490"/>
      <c r="Y763" s="969"/>
      <c r="Z763" s="969"/>
      <c r="AA763" s="969"/>
      <c r="AB763" s="969"/>
      <c r="AC763" s="969"/>
      <c r="AD763" s="969"/>
      <c r="AE763" s="969" t="str">
        <f t="shared" si="34"/>
        <v>Theewaterskloof</v>
      </c>
      <c r="AF763" s="969"/>
      <c r="AG763" s="969"/>
    </row>
    <row r="764" spans="2:33" ht="13.2" customHeight="1" x14ac:dyDescent="0.55000000000000004">
      <c r="B764" s="371"/>
      <c r="C764" s="1011">
        <v>55555</v>
      </c>
      <c r="D764" s="360" t="str">
        <f t="shared" si="35"/>
        <v>Other55555</v>
      </c>
      <c r="E764" s="361" t="str">
        <f t="shared" si="33"/>
        <v>TheewaterskloofOtherzz</v>
      </c>
      <c r="F764" s="360" t="str">
        <f>'PART C- Municipal Details'!$G$7</f>
        <v>Theewaterskloof</v>
      </c>
      <c r="G764" s="361" t="s">
        <v>803</v>
      </c>
      <c r="H764" s="363" t="s">
        <v>811</v>
      </c>
      <c r="I764" s="496" t="s">
        <v>801</v>
      </c>
      <c r="J764" s="497" t="s">
        <v>651</v>
      </c>
      <c r="K764" s="490"/>
      <c r="L764" s="462" t="s">
        <v>651</v>
      </c>
      <c r="M764" s="362" t="s">
        <v>652</v>
      </c>
      <c r="N764" s="466" t="s">
        <v>653</v>
      </c>
      <c r="O764" s="466" t="s">
        <v>654</v>
      </c>
      <c r="P764" s="467" t="s">
        <v>655</v>
      </c>
      <c r="Q764" s="483" t="s">
        <v>656</v>
      </c>
      <c r="R764" s="468"/>
      <c r="S764" s="468"/>
      <c r="T764" s="467"/>
      <c r="U764" s="527" t="s">
        <v>657</v>
      </c>
      <c r="V764" s="527" t="s">
        <v>657</v>
      </c>
      <c r="W764" s="527" t="s">
        <v>657</v>
      </c>
      <c r="X764" s="490"/>
      <c r="Y764" s="969"/>
      <c r="Z764" s="969"/>
      <c r="AA764" s="969"/>
      <c r="AB764" s="969"/>
      <c r="AC764" s="969"/>
      <c r="AD764" s="969"/>
      <c r="AE764" s="969" t="str">
        <f t="shared" si="34"/>
        <v>TheewaterskloofDescription</v>
      </c>
      <c r="AF764" s="969"/>
      <c r="AG764" s="969"/>
    </row>
    <row r="765" spans="2:33" ht="13.2" customHeight="1" thickBot="1" x14ac:dyDescent="0.6">
      <c r="B765" s="371"/>
      <c r="C765" s="1011">
        <v>55555</v>
      </c>
      <c r="D765" s="361" t="str">
        <f t="shared" si="35"/>
        <v>Other55555</v>
      </c>
      <c r="E765" s="360" t="str">
        <f t="shared" si="33"/>
        <v>TheewaterskloofOtherz</v>
      </c>
      <c r="F765" s="360" t="str">
        <f>'PART C- Municipal Details'!$G$7</f>
        <v>Theewaterskloof</v>
      </c>
      <c r="G765" s="360" t="s">
        <v>803</v>
      </c>
      <c r="H765" s="366" t="s">
        <v>811</v>
      </c>
      <c r="I765" s="496" t="s">
        <v>802</v>
      </c>
      <c r="J765" s="497" t="s">
        <v>650</v>
      </c>
      <c r="K765" s="490"/>
      <c r="L765" s="365" t="s">
        <v>659</v>
      </c>
      <c r="M765" s="364" t="s">
        <v>660</v>
      </c>
      <c r="N765" s="469" t="s">
        <v>661</v>
      </c>
      <c r="O765" s="469" t="s">
        <v>661</v>
      </c>
      <c r="P765" s="470" t="s">
        <v>661</v>
      </c>
      <c r="Q765" s="471" t="s">
        <v>662</v>
      </c>
      <c r="R765" s="469" t="s">
        <v>663</v>
      </c>
      <c r="S765" s="469" t="s">
        <v>664</v>
      </c>
      <c r="T765" s="470" t="s">
        <v>665</v>
      </c>
      <c r="U765" s="528" t="s">
        <v>666</v>
      </c>
      <c r="V765" s="528" t="s">
        <v>666</v>
      </c>
      <c r="W765" s="528" t="s">
        <v>666</v>
      </c>
      <c r="X765" s="490"/>
      <c r="Y765" s="969"/>
      <c r="Z765" s="969"/>
      <c r="AA765" s="969"/>
      <c r="AB765" s="969"/>
      <c r="AC765" s="969"/>
      <c r="AD765" s="969"/>
      <c r="AE765" s="969" t="str">
        <f t="shared" si="34"/>
        <v>TheewaterskloofR thousands</v>
      </c>
      <c r="AF765" s="969"/>
      <c r="AG765" s="969"/>
    </row>
    <row r="766" spans="2:33" ht="13.2" customHeight="1" x14ac:dyDescent="0.55000000000000004">
      <c r="B766" s="371"/>
      <c r="C766" s="1008" t="s">
        <v>667</v>
      </c>
      <c r="D766" s="360" t="str">
        <f t="shared" si="35"/>
        <v>Other0100</v>
      </c>
      <c r="E766" s="361" t="str">
        <f t="shared" si="33"/>
        <v>TheewaterskloofOtherz</v>
      </c>
      <c r="F766" s="360" t="str">
        <f>'PART C- Municipal Details'!$G$7</f>
        <v>Theewaterskloof</v>
      </c>
      <c r="G766" s="361" t="s">
        <v>803</v>
      </c>
      <c r="H766" s="363" t="s">
        <v>811</v>
      </c>
      <c r="I766" s="496" t="s">
        <v>802</v>
      </c>
      <c r="J766" s="497" t="s">
        <v>658</v>
      </c>
      <c r="K766" s="490"/>
      <c r="L766" s="505" t="s">
        <v>162</v>
      </c>
      <c r="M766" s="506"/>
      <c r="N766" s="507"/>
      <c r="O766" s="507"/>
      <c r="P766" s="507"/>
      <c r="Q766" s="507"/>
      <c r="R766" s="507"/>
      <c r="S766" s="507"/>
      <c r="T766" s="507"/>
      <c r="U766" s="529">
        <v>0</v>
      </c>
      <c r="V766" s="529">
        <v>0</v>
      </c>
      <c r="W766" s="529">
        <v>0</v>
      </c>
      <c r="X766" s="490"/>
      <c r="Y766" s="969"/>
      <c r="Z766" s="969"/>
      <c r="AA766" s="969"/>
      <c r="AB766" s="969"/>
      <c r="AC766" s="969"/>
      <c r="AD766" s="969"/>
      <c r="AE766" s="969" t="str">
        <f t="shared" si="34"/>
        <v>TheewaterskloofRevenue</v>
      </c>
      <c r="AF766" s="969"/>
      <c r="AG766" s="969"/>
    </row>
    <row r="767" spans="2:33" ht="13.2" customHeight="1" x14ac:dyDescent="0.55000000000000004">
      <c r="B767" s="371"/>
      <c r="C767" s="1009" t="s">
        <v>668</v>
      </c>
      <c r="D767" s="361" t="str">
        <f t="shared" si="35"/>
        <v>Other0200</v>
      </c>
      <c r="E767" s="360" t="str">
        <f t="shared" si="33"/>
        <v>TheewaterskloofOtherz</v>
      </c>
      <c r="F767" s="360" t="str">
        <f>'PART C- Municipal Details'!$G$7</f>
        <v>Theewaterskloof</v>
      </c>
      <c r="G767" s="360" t="s">
        <v>803</v>
      </c>
      <c r="H767" s="366" t="s">
        <v>811</v>
      </c>
      <c r="I767" s="496" t="s">
        <v>802</v>
      </c>
      <c r="J767" s="497" t="s">
        <v>0</v>
      </c>
      <c r="K767" s="490"/>
      <c r="L767" s="463" t="s">
        <v>670</v>
      </c>
      <c r="M767" s="459"/>
      <c r="N767" s="460"/>
      <c r="O767" s="460"/>
      <c r="P767" s="460"/>
      <c r="Q767" s="460"/>
      <c r="R767" s="460"/>
      <c r="S767" s="460"/>
      <c r="T767" s="460"/>
      <c r="U767" s="530">
        <v>0</v>
      </c>
      <c r="V767" s="530">
        <v>0</v>
      </c>
      <c r="W767" s="530">
        <v>0</v>
      </c>
      <c r="X767" s="490"/>
      <c r="Y767" s="969"/>
      <c r="Z767" s="969"/>
      <c r="AA767" s="969"/>
      <c r="AB767" s="969"/>
      <c r="AC767" s="969"/>
      <c r="AD767" s="969"/>
      <c r="AE767" s="969" t="str">
        <f t="shared" si="34"/>
        <v>TheewaterskloofExchange Revenue</v>
      </c>
      <c r="AF767" s="969"/>
      <c r="AG767" s="969"/>
    </row>
    <row r="768" spans="2:33" ht="13.2" customHeight="1" x14ac:dyDescent="0.55000000000000004">
      <c r="B768" s="371"/>
      <c r="C768" s="1010" t="s">
        <v>671</v>
      </c>
      <c r="D768" s="360" t="str">
        <f t="shared" si="35"/>
        <v>Other0300</v>
      </c>
      <c r="E768" s="361" t="str">
        <f t="shared" si="33"/>
        <v>TheewaterskloofOtherService charges - electricity revenue</v>
      </c>
      <c r="F768" s="360" t="str">
        <f>'PART C- Municipal Details'!$G$7</f>
        <v>Theewaterskloof</v>
      </c>
      <c r="G768" s="361" t="s">
        <v>803</v>
      </c>
      <c r="H768" s="363" t="s">
        <v>811</v>
      </c>
      <c r="I768" s="496" t="s">
        <v>669</v>
      </c>
      <c r="J768" s="497" t="s">
        <v>669</v>
      </c>
      <c r="K768" s="490"/>
      <c r="L768" s="463" t="s">
        <v>673</v>
      </c>
      <c r="M768" s="459"/>
      <c r="N768" s="461"/>
      <c r="O768" s="461"/>
      <c r="P768" s="461"/>
      <c r="Q768" s="461"/>
      <c r="R768" s="461"/>
      <c r="S768" s="461"/>
      <c r="T768" s="461"/>
      <c r="U768" s="530">
        <v>0</v>
      </c>
      <c r="V768" s="530">
        <v>0</v>
      </c>
      <c r="W768" s="530">
        <v>0</v>
      </c>
      <c r="X768" s="490"/>
      <c r="Y768" s="969"/>
      <c r="Z768" s="969"/>
      <c r="AA768" s="969"/>
      <c r="AB768" s="969"/>
      <c r="AC768" s="969"/>
      <c r="AD768" s="969"/>
      <c r="AE768" s="969" t="str">
        <f t="shared" si="34"/>
        <v>TheewaterskloofService charges - Electricity</v>
      </c>
      <c r="AF768" s="969"/>
      <c r="AG768" s="969"/>
    </row>
    <row r="769" spans="2:33" ht="13.2" customHeight="1" x14ac:dyDescent="0.55000000000000004">
      <c r="B769" s="371"/>
      <c r="C769" s="1010" t="s">
        <v>674</v>
      </c>
      <c r="D769" s="361" t="str">
        <f t="shared" si="35"/>
        <v>Other0400</v>
      </c>
      <c r="E769" s="360" t="str">
        <f t="shared" si="33"/>
        <v>TheewaterskloofOtherService charges - water revenue</v>
      </c>
      <c r="F769" s="360" t="str">
        <f>'PART C- Municipal Details'!$G$7</f>
        <v>Theewaterskloof</v>
      </c>
      <c r="G769" s="360" t="s">
        <v>803</v>
      </c>
      <c r="H769" s="366" t="s">
        <v>811</v>
      </c>
      <c r="I769" s="496" t="s">
        <v>672</v>
      </c>
      <c r="J769" s="497" t="s">
        <v>672</v>
      </c>
      <c r="K769" s="490"/>
      <c r="L769" s="463" t="s">
        <v>676</v>
      </c>
      <c r="M769" s="459"/>
      <c r="N769" s="461"/>
      <c r="O769" s="461"/>
      <c r="P769" s="461"/>
      <c r="Q769" s="461"/>
      <c r="R769" s="461"/>
      <c r="S769" s="461"/>
      <c r="T769" s="461"/>
      <c r="U769" s="530">
        <v>0</v>
      </c>
      <c r="V769" s="530">
        <v>0</v>
      </c>
      <c r="W769" s="530">
        <v>0</v>
      </c>
      <c r="X769" s="490"/>
      <c r="Y769" s="969"/>
      <c r="Z769" s="969"/>
      <c r="AA769" s="969"/>
      <c r="AB769" s="969"/>
      <c r="AC769" s="969"/>
      <c r="AD769" s="969"/>
      <c r="AE769" s="969" t="str">
        <f t="shared" si="34"/>
        <v>TheewaterskloofService charges - Water</v>
      </c>
      <c r="AF769" s="969"/>
      <c r="AG769" s="969"/>
    </row>
    <row r="770" spans="2:33" ht="13.2" customHeight="1" x14ac:dyDescent="0.55000000000000004">
      <c r="B770" s="371"/>
      <c r="C770" s="1010" t="s">
        <v>677</v>
      </c>
      <c r="D770" s="360" t="str">
        <f t="shared" si="35"/>
        <v>Other0500</v>
      </c>
      <c r="E770" s="361" t="str">
        <f t="shared" si="33"/>
        <v>TheewaterskloofOtherService charges - sanitation revenue</v>
      </c>
      <c r="F770" s="360" t="str">
        <f>'PART C- Municipal Details'!$G$7</f>
        <v>Theewaterskloof</v>
      </c>
      <c r="G770" s="361" t="s">
        <v>803</v>
      </c>
      <c r="H770" s="363" t="s">
        <v>811</v>
      </c>
      <c r="I770" s="496" t="s">
        <v>675</v>
      </c>
      <c r="J770" s="497" t="s">
        <v>675</v>
      </c>
      <c r="K770" s="490"/>
      <c r="L770" s="463" t="s">
        <v>679</v>
      </c>
      <c r="M770" s="459"/>
      <c r="N770" s="461"/>
      <c r="O770" s="461"/>
      <c r="P770" s="461"/>
      <c r="Q770" s="461"/>
      <c r="R770" s="461"/>
      <c r="S770" s="461"/>
      <c r="T770" s="461"/>
      <c r="U770" s="530">
        <v>0</v>
      </c>
      <c r="V770" s="530">
        <v>0</v>
      </c>
      <c r="W770" s="530">
        <v>0</v>
      </c>
      <c r="X770" s="490"/>
      <c r="Y770" s="969"/>
      <c r="Z770" s="969"/>
      <c r="AA770" s="969"/>
      <c r="AB770" s="969"/>
      <c r="AC770" s="969"/>
      <c r="AD770" s="969"/>
      <c r="AE770" s="969" t="str">
        <f t="shared" si="34"/>
        <v>TheewaterskloofService charges - Waste Water Management</v>
      </c>
      <c r="AF770" s="969"/>
      <c r="AG770" s="969"/>
    </row>
    <row r="771" spans="2:33" ht="13.2" customHeight="1" x14ac:dyDescent="0.55000000000000004">
      <c r="B771" s="371"/>
      <c r="C771" s="1010" t="s">
        <v>680</v>
      </c>
      <c r="D771" s="361" t="str">
        <f t="shared" si="35"/>
        <v>Other0600</v>
      </c>
      <c r="E771" s="360" t="str">
        <f t="shared" si="33"/>
        <v>TheewaterskloofOtherService charges - refuse revenue</v>
      </c>
      <c r="F771" s="360" t="str">
        <f>'PART C- Municipal Details'!$G$7</f>
        <v>Theewaterskloof</v>
      </c>
      <c r="G771" s="360" t="s">
        <v>803</v>
      </c>
      <c r="H771" s="366" t="s">
        <v>811</v>
      </c>
      <c r="I771" s="496" t="s">
        <v>678</v>
      </c>
      <c r="J771" s="497" t="s">
        <v>678</v>
      </c>
      <c r="K771" s="490"/>
      <c r="L771" s="463" t="s">
        <v>682</v>
      </c>
      <c r="M771" s="459"/>
      <c r="N771" s="461"/>
      <c r="O771" s="461"/>
      <c r="P771" s="461"/>
      <c r="Q771" s="461"/>
      <c r="R771" s="461"/>
      <c r="S771" s="461"/>
      <c r="T771" s="461"/>
      <c r="U771" s="530">
        <v>0</v>
      </c>
      <c r="V771" s="530">
        <v>0</v>
      </c>
      <c r="W771" s="530">
        <v>0</v>
      </c>
      <c r="X771" s="490"/>
      <c r="Y771" s="969"/>
      <c r="Z771" s="969"/>
      <c r="AA771" s="969"/>
      <c r="AB771" s="969"/>
      <c r="AC771" s="969"/>
      <c r="AD771" s="969"/>
      <c r="AE771" s="969" t="str">
        <f t="shared" si="34"/>
        <v>TheewaterskloofService charges - Waste Management</v>
      </c>
      <c r="AF771" s="969"/>
      <c r="AG771" s="969"/>
    </row>
    <row r="772" spans="2:33" ht="13.2" customHeight="1" x14ac:dyDescent="0.55000000000000004">
      <c r="B772" s="371"/>
      <c r="C772" s="1010" t="s">
        <v>683</v>
      </c>
      <c r="D772" s="360" t="str">
        <f t="shared" si="35"/>
        <v>Other0700</v>
      </c>
      <c r="E772" s="361" t="str">
        <f t="shared" si="33"/>
        <v>TheewaterskloofOtherOther revenue</v>
      </c>
      <c r="F772" s="360" t="str">
        <f>'PART C- Municipal Details'!$G$7</f>
        <v>Theewaterskloof</v>
      </c>
      <c r="G772" s="361" t="s">
        <v>803</v>
      </c>
      <c r="H772" s="363" t="s">
        <v>811</v>
      </c>
      <c r="I772" s="496" t="s">
        <v>7</v>
      </c>
      <c r="J772" s="497" t="s">
        <v>681</v>
      </c>
      <c r="K772" s="490"/>
      <c r="L772" s="463" t="s">
        <v>684</v>
      </c>
      <c r="M772" s="459"/>
      <c r="N772" s="461"/>
      <c r="O772" s="461"/>
      <c r="P772" s="461"/>
      <c r="Q772" s="461"/>
      <c r="R772" s="461"/>
      <c r="S772" s="461"/>
      <c r="T772" s="461"/>
      <c r="U772" s="530">
        <v>0</v>
      </c>
      <c r="V772" s="530">
        <v>0</v>
      </c>
      <c r="W772" s="530">
        <v>0</v>
      </c>
      <c r="X772" s="490"/>
      <c r="Y772" s="969"/>
      <c r="Z772" s="969"/>
      <c r="AA772" s="969"/>
      <c r="AB772" s="969"/>
      <c r="AC772" s="969"/>
      <c r="AD772" s="969"/>
      <c r="AE772" s="969" t="str">
        <f t="shared" si="34"/>
        <v>TheewaterskloofSale of Goods and Rendering of Services</v>
      </c>
      <c r="AF772" s="969"/>
      <c r="AG772" s="969"/>
    </row>
    <row r="773" spans="2:33" ht="13.2" customHeight="1" x14ac:dyDescent="0.55000000000000004">
      <c r="B773" s="371"/>
      <c r="C773" s="1010" t="s">
        <v>685</v>
      </c>
      <c r="D773" s="361" t="str">
        <f t="shared" si="35"/>
        <v>Other0800</v>
      </c>
      <c r="E773" s="360" t="str">
        <f t="shared" si="33"/>
        <v>TheewaterskloofOtherAgency services</v>
      </c>
      <c r="F773" s="360" t="str">
        <f>'PART C- Municipal Details'!$G$7</f>
        <v>Theewaterskloof</v>
      </c>
      <c r="G773" s="360" t="s">
        <v>803</v>
      </c>
      <c r="H773" s="366" t="s">
        <v>811</v>
      </c>
      <c r="I773" s="496" t="s">
        <v>6</v>
      </c>
      <c r="J773" s="497" t="s">
        <v>1</v>
      </c>
      <c r="K773" s="490"/>
      <c r="L773" s="463" t="s">
        <v>6</v>
      </c>
      <c r="M773" s="459"/>
      <c r="N773" s="461"/>
      <c r="O773" s="461"/>
      <c r="P773" s="461"/>
      <c r="Q773" s="461"/>
      <c r="R773" s="461"/>
      <c r="S773" s="461"/>
      <c r="T773" s="461"/>
      <c r="U773" s="530">
        <v>0</v>
      </c>
      <c r="V773" s="530">
        <v>0</v>
      </c>
      <c r="W773" s="530">
        <v>0</v>
      </c>
      <c r="X773" s="490"/>
      <c r="Y773" s="969"/>
      <c r="Z773" s="969"/>
      <c r="AA773" s="969"/>
      <c r="AB773" s="969"/>
      <c r="AC773" s="969"/>
      <c r="AD773" s="969"/>
      <c r="AE773" s="969" t="str">
        <f t="shared" si="34"/>
        <v>TheewaterskloofAgency services</v>
      </c>
      <c r="AF773" s="969"/>
      <c r="AG773" s="969"/>
    </row>
    <row r="774" spans="2:33" ht="13.2" customHeight="1" x14ac:dyDescent="0.55000000000000004">
      <c r="B774" s="371"/>
      <c r="C774" s="1010" t="s">
        <v>686</v>
      </c>
      <c r="D774" s="360" t="str">
        <f t="shared" si="35"/>
        <v>Other0900</v>
      </c>
      <c r="E774" s="361" t="str">
        <f t="shared" si="33"/>
        <v>TheewaterskloofOtherInterest earned - external investments</v>
      </c>
      <c r="F774" s="360" t="str">
        <f>'PART C- Municipal Details'!$G$7</f>
        <v>Theewaterskloof</v>
      </c>
      <c r="G774" s="361" t="s">
        <v>803</v>
      </c>
      <c r="H774" s="363" t="s">
        <v>811</v>
      </c>
      <c r="I774" s="496" t="s">
        <v>2</v>
      </c>
      <c r="J774" s="497" t="s">
        <v>2</v>
      </c>
      <c r="K774" s="490"/>
      <c r="L774" s="463" t="s">
        <v>687</v>
      </c>
      <c r="M774" s="459"/>
      <c r="N774" s="461"/>
      <c r="O774" s="461"/>
      <c r="P774" s="461"/>
      <c r="Q774" s="461"/>
      <c r="R774" s="461"/>
      <c r="S774" s="461"/>
      <c r="T774" s="461"/>
      <c r="U774" s="530">
        <v>0</v>
      </c>
      <c r="V774" s="530">
        <v>0</v>
      </c>
      <c r="W774" s="530">
        <v>0</v>
      </c>
      <c r="X774" s="490"/>
      <c r="Y774" s="969"/>
      <c r="Z774" s="969"/>
      <c r="AA774" s="969"/>
      <c r="AB774" s="969"/>
      <c r="AC774" s="969"/>
      <c r="AD774" s="969"/>
      <c r="AE774" s="969" t="str">
        <f t="shared" si="34"/>
        <v>TheewaterskloofInterest</v>
      </c>
      <c r="AF774" s="969"/>
      <c r="AG774" s="969"/>
    </row>
    <row r="775" spans="2:33" ht="13.2" customHeight="1" x14ac:dyDescent="0.55000000000000004">
      <c r="B775" s="371"/>
      <c r="C775" s="1010" t="s">
        <v>688</v>
      </c>
      <c r="D775" s="361" t="str">
        <f t="shared" si="35"/>
        <v>Other1000</v>
      </c>
      <c r="E775" s="360" t="str">
        <f t="shared" si="33"/>
        <v>TheewaterskloofOtherInterest earned - outstanding debtors</v>
      </c>
      <c r="F775" s="360" t="str">
        <f>'PART C- Municipal Details'!$G$7</f>
        <v>Theewaterskloof</v>
      </c>
      <c r="G775" s="360" t="s">
        <v>803</v>
      </c>
      <c r="H775" s="366" t="s">
        <v>811</v>
      </c>
      <c r="I775" s="496" t="s">
        <v>3</v>
      </c>
      <c r="J775" s="497" t="s">
        <v>3</v>
      </c>
      <c r="K775" s="490"/>
      <c r="L775" s="463" t="s">
        <v>689</v>
      </c>
      <c r="M775" s="459"/>
      <c r="N775" s="461"/>
      <c r="O775" s="461"/>
      <c r="P775" s="461"/>
      <c r="Q775" s="461"/>
      <c r="R775" s="461"/>
      <c r="S775" s="461"/>
      <c r="T775" s="461"/>
      <c r="U775" s="530">
        <v>0</v>
      </c>
      <c r="V775" s="530">
        <v>0</v>
      </c>
      <c r="W775" s="530">
        <v>0</v>
      </c>
      <c r="X775" s="490"/>
      <c r="Y775" s="969"/>
      <c r="Z775" s="969"/>
      <c r="AA775" s="969"/>
      <c r="AB775" s="969"/>
      <c r="AC775" s="969"/>
      <c r="AD775" s="969"/>
      <c r="AE775" s="969" t="str">
        <f t="shared" si="34"/>
        <v>TheewaterskloofInterest earned from Receivables</v>
      </c>
      <c r="AF775" s="969"/>
      <c r="AG775" s="969"/>
    </row>
    <row r="776" spans="2:33" ht="13.2" customHeight="1" x14ac:dyDescent="0.55000000000000004">
      <c r="B776" s="371"/>
      <c r="C776" s="1010" t="s">
        <v>690</v>
      </c>
      <c r="D776" s="360" t="str">
        <f t="shared" si="35"/>
        <v>Other1100</v>
      </c>
      <c r="E776" s="361" t="str">
        <f t="shared" si="33"/>
        <v>TheewaterskloofOtherInterest earned - external investments</v>
      </c>
      <c r="F776" s="360" t="str">
        <f>'PART C- Municipal Details'!$G$7</f>
        <v>Theewaterskloof</v>
      </c>
      <c r="G776" s="361" t="s">
        <v>803</v>
      </c>
      <c r="H776" s="363" t="s">
        <v>811</v>
      </c>
      <c r="I776" s="496" t="s">
        <v>2</v>
      </c>
      <c r="J776" s="497" t="s">
        <v>4</v>
      </c>
      <c r="K776" s="490"/>
      <c r="L776" s="463" t="s">
        <v>692</v>
      </c>
      <c r="M776" s="459"/>
      <c r="N776" s="461"/>
      <c r="O776" s="461"/>
      <c r="P776" s="461"/>
      <c r="Q776" s="461"/>
      <c r="R776" s="461"/>
      <c r="S776" s="461"/>
      <c r="T776" s="461"/>
      <c r="U776" s="530">
        <v>0</v>
      </c>
      <c r="V776" s="530">
        <v>0</v>
      </c>
      <c r="W776" s="530">
        <v>0</v>
      </c>
      <c r="X776" s="490"/>
      <c r="Y776" s="969"/>
      <c r="Z776" s="969"/>
      <c r="AA776" s="969"/>
      <c r="AB776" s="969"/>
      <c r="AC776" s="969"/>
      <c r="AD776" s="969"/>
      <c r="AE776" s="969" t="str">
        <f t="shared" si="34"/>
        <v>TheewaterskloofInterest earned from Current and Non Current Assets</v>
      </c>
      <c r="AF776" s="969"/>
      <c r="AG776" s="969"/>
    </row>
    <row r="777" spans="2:33" ht="13.2" customHeight="1" x14ac:dyDescent="0.55000000000000004">
      <c r="B777" s="371"/>
      <c r="C777" s="1010" t="s">
        <v>693</v>
      </c>
      <c r="D777" s="361" t="str">
        <f t="shared" si="35"/>
        <v>Other1200</v>
      </c>
      <c r="E777" s="360" t="str">
        <f t="shared" si="33"/>
        <v>TheewaterskloofOtherDividends received</v>
      </c>
      <c r="F777" s="360" t="str">
        <f>'PART C- Municipal Details'!$G$7</f>
        <v>Theewaterskloof</v>
      </c>
      <c r="G777" s="360" t="s">
        <v>803</v>
      </c>
      <c r="H777" s="366" t="s">
        <v>811</v>
      </c>
      <c r="I777" s="496" t="s">
        <v>4</v>
      </c>
      <c r="J777" s="497" t="s">
        <v>691</v>
      </c>
      <c r="K777" s="490"/>
      <c r="L777" s="463" t="s">
        <v>694</v>
      </c>
      <c r="M777" s="459"/>
      <c r="N777" s="461"/>
      <c r="O777" s="461"/>
      <c r="P777" s="461"/>
      <c r="Q777" s="461"/>
      <c r="R777" s="461"/>
      <c r="S777" s="461"/>
      <c r="T777" s="461"/>
      <c r="U777" s="530">
        <v>0</v>
      </c>
      <c r="V777" s="530">
        <v>0</v>
      </c>
      <c r="W777" s="530">
        <v>0</v>
      </c>
      <c r="X777" s="490"/>
      <c r="Y777" s="969"/>
      <c r="Z777" s="969"/>
      <c r="AA777" s="969"/>
      <c r="AB777" s="969"/>
      <c r="AC777" s="969"/>
      <c r="AD777" s="969"/>
      <c r="AE777" s="969" t="str">
        <f t="shared" si="34"/>
        <v>TheewaterskloofDividends</v>
      </c>
      <c r="AF777" s="969"/>
      <c r="AG777" s="969"/>
    </row>
    <row r="778" spans="2:33" ht="13.2" customHeight="1" x14ac:dyDescent="0.55000000000000004">
      <c r="B778" s="371"/>
      <c r="C778" s="1010" t="s">
        <v>695</v>
      </c>
      <c r="D778" s="360" t="str">
        <f t="shared" si="35"/>
        <v>Other1300</v>
      </c>
      <c r="E778" s="361" t="str">
        <f t="shared" si="33"/>
        <v>TheewaterskloofOtherRental of facilities and equipment</v>
      </c>
      <c r="F778" s="360" t="str">
        <f>'PART C- Municipal Details'!$G$7</f>
        <v>Theewaterskloof</v>
      </c>
      <c r="G778" s="361" t="s">
        <v>803</v>
      </c>
      <c r="H778" s="363" t="s">
        <v>811</v>
      </c>
      <c r="I778" s="496" t="s">
        <v>1</v>
      </c>
      <c r="J778" s="497" t="s">
        <v>5</v>
      </c>
      <c r="K778" s="490"/>
      <c r="L778" s="463" t="s">
        <v>696</v>
      </c>
      <c r="M778" s="459"/>
      <c r="N778" s="461"/>
      <c r="O778" s="461"/>
      <c r="P778" s="461"/>
      <c r="Q778" s="461"/>
      <c r="R778" s="461"/>
      <c r="S778" s="461"/>
      <c r="T778" s="461"/>
      <c r="U778" s="530">
        <v>0</v>
      </c>
      <c r="V778" s="530">
        <v>0</v>
      </c>
      <c r="W778" s="530">
        <v>0</v>
      </c>
      <c r="X778" s="490"/>
      <c r="Y778" s="969"/>
      <c r="Z778" s="969"/>
      <c r="AA778" s="969"/>
      <c r="AB778" s="969"/>
      <c r="AC778" s="969"/>
      <c r="AD778" s="969"/>
      <c r="AE778" s="969" t="str">
        <f t="shared" si="34"/>
        <v>TheewaterskloofRent on Land</v>
      </c>
      <c r="AF778" s="969"/>
      <c r="AG778" s="969"/>
    </row>
    <row r="779" spans="2:33" ht="13.2" customHeight="1" x14ac:dyDescent="0.55000000000000004">
      <c r="B779" s="371"/>
      <c r="C779" s="1010" t="s">
        <v>697</v>
      </c>
      <c r="D779" s="361" t="str">
        <f t="shared" si="35"/>
        <v>Other1400</v>
      </c>
      <c r="E779" s="360" t="str">
        <f t="shared" si="33"/>
        <v>TheewaterskloofOtherRental of facilities and equipment</v>
      </c>
      <c r="F779" s="360" t="str">
        <f>'PART C- Municipal Details'!$G$7</f>
        <v>Theewaterskloof</v>
      </c>
      <c r="G779" s="360" t="s">
        <v>803</v>
      </c>
      <c r="H779" s="366" t="s">
        <v>811</v>
      </c>
      <c r="I779" s="496" t="s">
        <v>1</v>
      </c>
      <c r="J779" s="497" t="s">
        <v>6</v>
      </c>
      <c r="K779" s="490"/>
      <c r="L779" s="463" t="s">
        <v>699</v>
      </c>
      <c r="M779" s="459"/>
      <c r="N779" s="461"/>
      <c r="O779" s="461"/>
      <c r="P779" s="461"/>
      <c r="Q779" s="461"/>
      <c r="R779" s="461"/>
      <c r="S779" s="461"/>
      <c r="T779" s="461"/>
      <c r="U779" s="530">
        <v>0</v>
      </c>
      <c r="V779" s="530">
        <v>0</v>
      </c>
      <c r="W779" s="530">
        <v>0</v>
      </c>
      <c r="X779" s="490"/>
      <c r="Y779" s="969"/>
      <c r="Z779" s="969"/>
      <c r="AA779" s="969"/>
      <c r="AB779" s="969"/>
      <c r="AC779" s="969"/>
      <c r="AD779" s="969"/>
      <c r="AE779" s="969" t="str">
        <f t="shared" si="34"/>
        <v>TheewaterskloofRental from Fixed Assets</v>
      </c>
      <c r="AF779" s="969"/>
      <c r="AG779" s="969"/>
    </row>
    <row r="780" spans="2:33" ht="13.2" customHeight="1" x14ac:dyDescent="0.55000000000000004">
      <c r="B780" s="371"/>
      <c r="C780" s="1010" t="s">
        <v>700</v>
      </c>
      <c r="D780" s="360" t="str">
        <f t="shared" si="35"/>
        <v>Other1500</v>
      </c>
      <c r="E780" s="361" t="str">
        <f t="shared" si="33"/>
        <v>TheewaterskloofOtherLicences and permits</v>
      </c>
      <c r="F780" s="360" t="str">
        <f>'PART C- Municipal Details'!$G$7</f>
        <v>Theewaterskloof</v>
      </c>
      <c r="G780" s="361" t="s">
        <v>803</v>
      </c>
      <c r="H780" s="363" t="s">
        <v>811</v>
      </c>
      <c r="I780" s="496" t="s">
        <v>5</v>
      </c>
      <c r="J780" s="497" t="s">
        <v>698</v>
      </c>
      <c r="K780" s="490"/>
      <c r="L780" s="463" t="s">
        <v>701</v>
      </c>
      <c r="M780" s="459"/>
      <c r="N780" s="461"/>
      <c r="O780" s="461"/>
      <c r="P780" s="461"/>
      <c r="Q780" s="461"/>
      <c r="R780" s="461"/>
      <c r="S780" s="461"/>
      <c r="T780" s="461"/>
      <c r="U780" s="530">
        <v>0</v>
      </c>
      <c r="V780" s="530">
        <v>0</v>
      </c>
      <c r="W780" s="530">
        <v>0</v>
      </c>
      <c r="X780" s="490"/>
      <c r="Y780" s="969"/>
      <c r="Z780" s="969"/>
      <c r="AA780" s="969"/>
      <c r="AB780" s="969"/>
      <c r="AC780" s="969"/>
      <c r="AD780" s="969"/>
      <c r="AE780" s="969" t="str">
        <f t="shared" si="34"/>
        <v>TheewaterskloofLicence and permits</v>
      </c>
      <c r="AF780" s="969"/>
      <c r="AG780" s="969"/>
    </row>
    <row r="781" spans="2:33" ht="13.2" customHeight="1" x14ac:dyDescent="0.55000000000000004">
      <c r="B781" s="371"/>
      <c r="C781" s="1324" t="s">
        <v>1569</v>
      </c>
      <c r="D781" s="360" t="str">
        <f t="shared" si="35"/>
        <v>Other1550</v>
      </c>
      <c r="E781" s="360" t="str">
        <f t="shared" si="33"/>
        <v>TheewaterskloofOtherSpecial rating Levies</v>
      </c>
      <c r="F781" s="360" t="str">
        <f>'PART C- Municipal Details'!$G$7</f>
        <v>Theewaterskloof</v>
      </c>
      <c r="G781" s="360" t="s">
        <v>803</v>
      </c>
      <c r="H781" s="363" t="s">
        <v>811</v>
      </c>
      <c r="I781" s="496" t="s">
        <v>1568</v>
      </c>
      <c r="J781" s="497" t="s">
        <v>7</v>
      </c>
      <c r="K781" s="490"/>
      <c r="L781" s="463" t="s">
        <v>1567</v>
      </c>
      <c r="M781" s="459"/>
      <c r="N781" s="461"/>
      <c r="O781" s="461"/>
      <c r="P781" s="461"/>
      <c r="Q781" s="461"/>
      <c r="R781" s="461"/>
      <c r="S781" s="461"/>
      <c r="T781" s="461"/>
      <c r="U781" s="530">
        <v>0</v>
      </c>
      <c r="V781" s="530">
        <v>0</v>
      </c>
      <c r="W781" s="530">
        <v>0</v>
      </c>
      <c r="X781" s="490"/>
      <c r="Y781" s="969"/>
      <c r="Z781" s="969"/>
      <c r="AA781" s="969"/>
      <c r="AB781" s="969"/>
      <c r="AC781" s="969"/>
      <c r="AD781" s="969"/>
      <c r="AE781" s="969"/>
      <c r="AF781" s="969"/>
      <c r="AG781" s="969"/>
    </row>
    <row r="782" spans="2:33" ht="13.2" customHeight="1" x14ac:dyDescent="0.55000000000000004">
      <c r="B782" s="371"/>
      <c r="C782" s="1010" t="s">
        <v>702</v>
      </c>
      <c r="D782" s="361" t="str">
        <f t="shared" si="35"/>
        <v>Other1600</v>
      </c>
      <c r="E782" s="360" t="str">
        <f t="shared" si="33"/>
        <v>TheewaterskloofOtherOther revenue</v>
      </c>
      <c r="F782" s="360" t="str">
        <f>'PART C- Municipal Details'!$G$7</f>
        <v>Theewaterskloof</v>
      </c>
      <c r="G782" s="360" t="s">
        <v>803</v>
      </c>
      <c r="H782" s="366" t="s">
        <v>811</v>
      </c>
      <c r="I782" s="496" t="s">
        <v>7</v>
      </c>
      <c r="J782" s="497" t="s">
        <v>7</v>
      </c>
      <c r="K782" s="490"/>
      <c r="L782" s="463" t="s">
        <v>704</v>
      </c>
      <c r="M782" s="459"/>
      <c r="N782" s="461"/>
      <c r="O782" s="461"/>
      <c r="P782" s="461"/>
      <c r="Q782" s="461"/>
      <c r="R782" s="461"/>
      <c r="S782" s="461"/>
      <c r="T782" s="461"/>
      <c r="U782" s="530">
        <v>0</v>
      </c>
      <c r="V782" s="530">
        <v>0</v>
      </c>
      <c r="W782" s="530">
        <v>0</v>
      </c>
      <c r="X782" s="490"/>
      <c r="Y782" s="969"/>
      <c r="Z782" s="969"/>
      <c r="AA782" s="969"/>
      <c r="AB782" s="969"/>
      <c r="AC782" s="969"/>
      <c r="AD782" s="969"/>
      <c r="AE782" s="969" t="str">
        <f t="shared" si="34"/>
        <v>TheewaterskloofOperational Revenue</v>
      </c>
      <c r="AF782" s="969"/>
      <c r="AG782" s="969"/>
    </row>
    <row r="783" spans="2:33" ht="13.2" customHeight="1" x14ac:dyDescent="0.55000000000000004">
      <c r="B783" s="371"/>
      <c r="C783" s="1009" t="s">
        <v>705</v>
      </c>
      <c r="D783" s="360" t="str">
        <f t="shared" si="35"/>
        <v>Other1700</v>
      </c>
      <c r="E783" s="361" t="str">
        <f t="shared" si="33"/>
        <v>TheewaterskloofOtherx</v>
      </c>
      <c r="F783" s="360" t="str">
        <f>'PART C- Municipal Details'!$G$7</f>
        <v>Theewaterskloof</v>
      </c>
      <c r="G783" s="361" t="s">
        <v>803</v>
      </c>
      <c r="H783" s="363" t="s">
        <v>811</v>
      </c>
      <c r="I783" s="496" t="s">
        <v>789</v>
      </c>
      <c r="J783" s="497" t="s">
        <v>703</v>
      </c>
      <c r="K783" s="490"/>
      <c r="L783" s="508" t="s">
        <v>708</v>
      </c>
      <c r="M783" s="509"/>
      <c r="N783" s="510"/>
      <c r="O783" s="510"/>
      <c r="P783" s="510"/>
      <c r="Q783" s="510"/>
      <c r="R783" s="510"/>
      <c r="S783" s="510"/>
      <c r="T783" s="511"/>
      <c r="U783" s="531">
        <v>0</v>
      </c>
      <c r="V783" s="531">
        <v>0</v>
      </c>
      <c r="W783" s="531">
        <v>0</v>
      </c>
      <c r="X783" s="490"/>
      <c r="Y783" s="969"/>
      <c r="Z783" s="969"/>
      <c r="AA783" s="969"/>
      <c r="AB783" s="969"/>
      <c r="AC783" s="969"/>
      <c r="AD783" s="969"/>
      <c r="AE783" s="969" t="str">
        <f t="shared" si="34"/>
        <v>TheewaterskloofNon-Exchange Revenue</v>
      </c>
      <c r="AF783" s="969"/>
      <c r="AG783" s="969"/>
    </row>
    <row r="784" spans="2:33" ht="13.2" customHeight="1" x14ac:dyDescent="0.55000000000000004">
      <c r="B784" s="371"/>
      <c r="C784" s="1010" t="s">
        <v>709</v>
      </c>
      <c r="D784" s="361" t="str">
        <f t="shared" si="35"/>
        <v>Other1800</v>
      </c>
      <c r="E784" s="360" t="str">
        <f t="shared" si="33"/>
        <v>TheewaterskloofOtherProperty rates</v>
      </c>
      <c r="F784" s="360" t="str">
        <f>'PART C- Municipal Details'!$G$7</f>
        <v>Theewaterskloof</v>
      </c>
      <c r="G784" s="360" t="s">
        <v>803</v>
      </c>
      <c r="H784" s="366" t="s">
        <v>811</v>
      </c>
      <c r="I784" s="496" t="s">
        <v>0</v>
      </c>
      <c r="J784" s="497" t="s">
        <v>707</v>
      </c>
      <c r="K784" s="490"/>
      <c r="L784" s="463" t="s">
        <v>0</v>
      </c>
      <c r="M784" s="459"/>
      <c r="N784" s="460"/>
      <c r="O784" s="460"/>
      <c r="P784" s="460"/>
      <c r="Q784" s="460"/>
      <c r="R784" s="460"/>
      <c r="S784" s="460"/>
      <c r="T784" s="460"/>
      <c r="U784" s="530">
        <v>0</v>
      </c>
      <c r="V784" s="530">
        <v>0</v>
      </c>
      <c r="W784" s="530">
        <v>0</v>
      </c>
      <c r="X784" s="490"/>
      <c r="Y784" s="969"/>
      <c r="Z784" s="969"/>
      <c r="AA784" s="969"/>
      <c r="AB784" s="969"/>
      <c r="AC784" s="969"/>
      <c r="AD784" s="969"/>
      <c r="AE784" s="969" t="str">
        <f t="shared" si="34"/>
        <v>TheewaterskloofProperty rates</v>
      </c>
      <c r="AF784" s="969"/>
      <c r="AG784" s="969"/>
    </row>
    <row r="785" spans="2:33" ht="13.2" customHeight="1" x14ac:dyDescent="0.55000000000000004">
      <c r="B785" s="371"/>
      <c r="C785" s="1010" t="s">
        <v>711</v>
      </c>
      <c r="D785" s="360" t="str">
        <f t="shared" si="35"/>
        <v>Other1900</v>
      </c>
      <c r="E785" s="361" t="str">
        <f t="shared" si="33"/>
        <v>TheewaterskloofOtherOther revenue</v>
      </c>
      <c r="F785" s="360" t="str">
        <f>'PART C- Municipal Details'!$G$7</f>
        <v>Theewaterskloof</v>
      </c>
      <c r="G785" s="361" t="s">
        <v>803</v>
      </c>
      <c r="H785" s="363" t="s">
        <v>811</v>
      </c>
      <c r="I785" s="496" t="s">
        <v>7</v>
      </c>
      <c r="J785" s="497" t="s">
        <v>710</v>
      </c>
      <c r="K785" s="490"/>
      <c r="L785" s="463" t="s">
        <v>713</v>
      </c>
      <c r="M785" s="459"/>
      <c r="N785" s="461"/>
      <c r="O785" s="461"/>
      <c r="P785" s="461"/>
      <c r="Q785" s="461"/>
      <c r="R785" s="461"/>
      <c r="S785" s="461"/>
      <c r="T785" s="461"/>
      <c r="U785" s="530">
        <v>0</v>
      </c>
      <c r="V785" s="530">
        <v>0</v>
      </c>
      <c r="W785" s="530">
        <v>0</v>
      </c>
      <c r="X785" s="490"/>
      <c r="Y785" s="969"/>
      <c r="Z785" s="969"/>
      <c r="AA785" s="969"/>
      <c r="AB785" s="969"/>
      <c r="AC785" s="969"/>
      <c r="AD785" s="969"/>
      <c r="AE785" s="969" t="str">
        <f t="shared" ref="AE785:AE848" si="36">F785&amp;L785</f>
        <v>TheewaterskloofSurcharges and Taxes</v>
      </c>
      <c r="AF785" s="969"/>
      <c r="AG785" s="969"/>
    </row>
    <row r="786" spans="2:33" ht="13.2" customHeight="1" x14ac:dyDescent="0.55000000000000004">
      <c r="B786" s="371"/>
      <c r="C786" s="1010" t="s">
        <v>714</v>
      </c>
      <c r="D786" s="361" t="str">
        <f t="shared" si="35"/>
        <v>Other2000</v>
      </c>
      <c r="E786" s="360" t="str">
        <f t="shared" si="33"/>
        <v>TheewaterskloofOtherFines, penalties and forfeits</v>
      </c>
      <c r="F786" s="360" t="str">
        <f>'PART C- Municipal Details'!$G$7</f>
        <v>Theewaterskloof</v>
      </c>
      <c r="G786" s="360" t="s">
        <v>803</v>
      </c>
      <c r="H786" s="366" t="s">
        <v>811</v>
      </c>
      <c r="I786" s="496" t="s">
        <v>691</v>
      </c>
      <c r="J786" s="497" t="s">
        <v>712</v>
      </c>
      <c r="K786" s="490"/>
      <c r="L786" s="463" t="s">
        <v>691</v>
      </c>
      <c r="M786" s="459"/>
      <c r="N786" s="461"/>
      <c r="O786" s="461"/>
      <c r="P786" s="461"/>
      <c r="Q786" s="461"/>
      <c r="R786" s="461"/>
      <c r="S786" s="461"/>
      <c r="T786" s="461"/>
      <c r="U786" s="530">
        <v>0</v>
      </c>
      <c r="V786" s="530">
        <v>0</v>
      </c>
      <c r="W786" s="530">
        <v>0</v>
      </c>
      <c r="X786" s="490"/>
      <c r="Y786" s="969"/>
      <c r="Z786" s="969"/>
      <c r="AA786" s="969"/>
      <c r="AB786" s="969"/>
      <c r="AC786" s="969"/>
      <c r="AD786" s="969"/>
      <c r="AE786" s="969" t="str">
        <f t="shared" si="36"/>
        <v>TheewaterskloofFines, penalties and forfeits</v>
      </c>
      <c r="AF786" s="969"/>
      <c r="AG786" s="969"/>
    </row>
    <row r="787" spans="2:33" ht="13.2" customHeight="1" x14ac:dyDescent="0.55000000000000004">
      <c r="B787" s="371"/>
      <c r="C787" s="1010" t="s">
        <v>715</v>
      </c>
      <c r="D787" s="360" t="str">
        <f t="shared" si="35"/>
        <v>Other2100</v>
      </c>
      <c r="E787" s="361" t="str">
        <f t="shared" si="33"/>
        <v>TheewaterskloofOtherLicences and permits</v>
      </c>
      <c r="F787" s="360" t="str">
        <f>'PART C- Municipal Details'!$G$7</f>
        <v>Theewaterskloof</v>
      </c>
      <c r="G787" s="361" t="s">
        <v>803</v>
      </c>
      <c r="H787" s="363" t="s">
        <v>811</v>
      </c>
      <c r="I787" s="496" t="s">
        <v>5</v>
      </c>
      <c r="J787" s="497" t="s">
        <v>8</v>
      </c>
      <c r="K787" s="490"/>
      <c r="L787" s="463" t="s">
        <v>716</v>
      </c>
      <c r="M787" s="459"/>
      <c r="N787" s="461"/>
      <c r="O787" s="461"/>
      <c r="P787" s="461"/>
      <c r="Q787" s="461"/>
      <c r="R787" s="461"/>
      <c r="S787" s="461"/>
      <c r="T787" s="461"/>
      <c r="U787" s="530">
        <v>0</v>
      </c>
      <c r="V787" s="530">
        <v>0</v>
      </c>
      <c r="W787" s="530">
        <v>0</v>
      </c>
      <c r="X787" s="490"/>
      <c r="Y787" s="969"/>
      <c r="Z787" s="969"/>
      <c r="AA787" s="969"/>
      <c r="AB787" s="969"/>
      <c r="AC787" s="969"/>
      <c r="AD787" s="969"/>
      <c r="AE787" s="969" t="str">
        <f t="shared" si="36"/>
        <v>TheewaterskloofLicences or permits</v>
      </c>
      <c r="AF787" s="969"/>
      <c r="AG787" s="969"/>
    </row>
    <row r="788" spans="2:33" ht="13.2" customHeight="1" x14ac:dyDescent="0.55000000000000004">
      <c r="B788" s="371"/>
      <c r="C788" s="1010" t="s">
        <v>717</v>
      </c>
      <c r="D788" s="361" t="str">
        <f t="shared" ref="D788:D852" si="37">H788&amp;C788</f>
        <v>Other2200</v>
      </c>
      <c r="E788" s="360" t="str">
        <f t="shared" si="33"/>
        <v>TheewaterskloofOtherTransfers and subsidies Income</v>
      </c>
      <c r="F788" s="360" t="str">
        <f>'PART C- Municipal Details'!$G$7</f>
        <v>Theewaterskloof</v>
      </c>
      <c r="G788" s="360" t="s">
        <v>803</v>
      </c>
      <c r="H788" s="366" t="s">
        <v>811</v>
      </c>
      <c r="I788" s="496" t="s">
        <v>698</v>
      </c>
      <c r="J788" s="497" t="s">
        <v>9</v>
      </c>
      <c r="K788" s="490"/>
      <c r="L788" s="463" t="s">
        <v>718</v>
      </c>
      <c r="M788" s="459"/>
      <c r="N788" s="461"/>
      <c r="O788" s="461"/>
      <c r="P788" s="461"/>
      <c r="Q788" s="461"/>
      <c r="R788" s="461"/>
      <c r="S788" s="461"/>
      <c r="T788" s="461"/>
      <c r="U788" s="530">
        <v>0</v>
      </c>
      <c r="V788" s="530">
        <v>0</v>
      </c>
      <c r="W788" s="530">
        <v>0</v>
      </c>
      <c r="X788" s="490"/>
      <c r="Y788" s="969"/>
      <c r="Z788" s="969"/>
      <c r="AA788" s="969"/>
      <c r="AB788" s="969"/>
      <c r="AC788" s="969"/>
      <c r="AD788" s="969"/>
      <c r="AE788" s="969" t="str">
        <f t="shared" si="36"/>
        <v>TheewaterskloofTransfer and subsidies - Operational</v>
      </c>
      <c r="AF788" s="969"/>
      <c r="AG788" s="969"/>
    </row>
    <row r="789" spans="2:33" ht="13.2" customHeight="1" x14ac:dyDescent="0.55000000000000004">
      <c r="B789" s="371"/>
      <c r="C789" s="1010" t="s">
        <v>719</v>
      </c>
      <c r="D789" s="360" t="str">
        <f t="shared" si="37"/>
        <v>Other2300</v>
      </c>
      <c r="E789" s="361" t="str">
        <f t="shared" si="33"/>
        <v>TheewaterskloofOtherInterest earned - external investments</v>
      </c>
      <c r="F789" s="360" t="str">
        <f>'PART C- Municipal Details'!$G$7</f>
        <v>Theewaterskloof</v>
      </c>
      <c r="G789" s="361" t="s">
        <v>803</v>
      </c>
      <c r="H789" s="363" t="s">
        <v>811</v>
      </c>
      <c r="I789" s="496" t="s">
        <v>2</v>
      </c>
      <c r="J789" s="497" t="s">
        <v>10</v>
      </c>
      <c r="K789" s="490"/>
      <c r="L789" s="463" t="s">
        <v>687</v>
      </c>
      <c r="M789" s="459"/>
      <c r="N789" s="461"/>
      <c r="O789" s="461"/>
      <c r="P789" s="461"/>
      <c r="Q789" s="461"/>
      <c r="R789" s="461"/>
      <c r="S789" s="461"/>
      <c r="T789" s="461"/>
      <c r="U789" s="530">
        <v>0</v>
      </c>
      <c r="V789" s="530">
        <v>0</v>
      </c>
      <c r="W789" s="530">
        <v>0</v>
      </c>
      <c r="X789" s="490"/>
      <c r="Y789" s="969"/>
      <c r="Z789" s="969"/>
      <c r="AA789" s="969"/>
      <c r="AB789" s="969"/>
      <c r="AC789" s="969"/>
      <c r="AD789" s="969"/>
      <c r="AE789" s="969" t="str">
        <f t="shared" si="36"/>
        <v>TheewaterskloofInterest</v>
      </c>
      <c r="AF789" s="969"/>
      <c r="AG789" s="969"/>
    </row>
    <row r="790" spans="2:33" ht="13.2" customHeight="1" x14ac:dyDescent="0.55000000000000004">
      <c r="B790" s="371"/>
      <c r="C790" s="1010" t="s">
        <v>721</v>
      </c>
      <c r="D790" s="361" t="str">
        <f t="shared" si="37"/>
        <v>Other2400</v>
      </c>
      <c r="E790" s="360" t="str">
        <f t="shared" si="33"/>
        <v>TheewaterskloofOtherOther revenue</v>
      </c>
      <c r="F790" s="360" t="str">
        <f>'PART C- Municipal Details'!$G$7</f>
        <v>Theewaterskloof</v>
      </c>
      <c r="G790" s="360" t="s">
        <v>803</v>
      </c>
      <c r="H790" s="366" t="s">
        <v>811</v>
      </c>
      <c r="I790" s="496" t="s">
        <v>7</v>
      </c>
      <c r="J790" s="497" t="s">
        <v>720</v>
      </c>
      <c r="K790" s="490"/>
      <c r="L790" s="463" t="s">
        <v>722</v>
      </c>
      <c r="M790" s="459"/>
      <c r="N790" s="461"/>
      <c r="O790" s="461"/>
      <c r="P790" s="461"/>
      <c r="Q790" s="461"/>
      <c r="R790" s="461"/>
      <c r="S790" s="461"/>
      <c r="T790" s="461"/>
      <c r="U790" s="530">
        <v>0</v>
      </c>
      <c r="V790" s="530">
        <v>0</v>
      </c>
      <c r="W790" s="530">
        <v>0</v>
      </c>
      <c r="X790" s="490"/>
      <c r="Y790" s="969"/>
      <c r="Z790" s="969"/>
      <c r="AA790" s="969"/>
      <c r="AB790" s="969"/>
      <c r="AC790" s="969"/>
      <c r="AD790" s="969"/>
      <c r="AE790" s="969" t="str">
        <f t="shared" si="36"/>
        <v>TheewaterskloofFuel Levy</v>
      </c>
      <c r="AF790" s="969"/>
      <c r="AG790" s="969"/>
    </row>
    <row r="791" spans="2:33" ht="13.2" customHeight="1" x14ac:dyDescent="0.55000000000000004">
      <c r="B791" s="371"/>
      <c r="C791" s="1010" t="s">
        <v>723</v>
      </c>
      <c r="D791" s="360" t="str">
        <f t="shared" si="37"/>
        <v>Other2500</v>
      </c>
      <c r="E791" s="361" t="str">
        <f t="shared" si="33"/>
        <v>TheewaterskloofOtherOther revenue</v>
      </c>
      <c r="F791" s="360" t="str">
        <f>'PART C- Municipal Details'!$G$7</f>
        <v>Theewaterskloof</v>
      </c>
      <c r="G791" s="361" t="s">
        <v>803</v>
      </c>
      <c r="H791" s="363" t="s">
        <v>811</v>
      </c>
      <c r="I791" s="496" t="s">
        <v>7</v>
      </c>
      <c r="J791" s="497" t="s">
        <v>11</v>
      </c>
      <c r="K791" s="490"/>
      <c r="L791" s="463" t="s">
        <v>704</v>
      </c>
      <c r="M791" s="459"/>
      <c r="N791" s="461"/>
      <c r="O791" s="461"/>
      <c r="P791" s="461"/>
      <c r="Q791" s="461"/>
      <c r="R791" s="461"/>
      <c r="S791" s="461"/>
      <c r="T791" s="461"/>
      <c r="U791" s="530">
        <v>0</v>
      </c>
      <c r="V791" s="530">
        <v>0</v>
      </c>
      <c r="W791" s="530">
        <v>0</v>
      </c>
      <c r="X791" s="490"/>
      <c r="Y791" s="969"/>
      <c r="Z791" s="969"/>
      <c r="AA791" s="969"/>
      <c r="AB791" s="969"/>
      <c r="AC791" s="969"/>
      <c r="AD791" s="969"/>
      <c r="AE791" s="969" t="str">
        <f t="shared" si="36"/>
        <v>TheewaterskloofOperational Revenue</v>
      </c>
      <c r="AF791" s="969"/>
      <c r="AG791" s="969"/>
    </row>
    <row r="792" spans="2:33" ht="13.2" customHeight="1" x14ac:dyDescent="0.55000000000000004">
      <c r="B792" s="371"/>
      <c r="C792" s="1010" t="s">
        <v>725</v>
      </c>
      <c r="D792" s="361" t="str">
        <f t="shared" si="37"/>
        <v>Other2600</v>
      </c>
      <c r="E792" s="360" t="str">
        <f t="shared" si="33"/>
        <v>TheewaterskloofOtherGains</v>
      </c>
      <c r="F792" s="360" t="str">
        <f>'PART C- Municipal Details'!$G$7</f>
        <v>Theewaterskloof</v>
      </c>
      <c r="G792" s="360" t="s">
        <v>803</v>
      </c>
      <c r="H792" s="366" t="s">
        <v>811</v>
      </c>
      <c r="I792" s="496" t="s">
        <v>703</v>
      </c>
      <c r="J792" s="497" t="s">
        <v>724</v>
      </c>
      <c r="K792" s="490"/>
      <c r="L792" s="463" t="s">
        <v>727</v>
      </c>
      <c r="M792" s="459"/>
      <c r="N792" s="461"/>
      <c r="O792" s="461"/>
      <c r="P792" s="461"/>
      <c r="Q792" s="461"/>
      <c r="R792" s="461"/>
      <c r="S792" s="461"/>
      <c r="T792" s="461"/>
      <c r="U792" s="530">
        <v>0</v>
      </c>
      <c r="V792" s="530">
        <v>0</v>
      </c>
      <c r="W792" s="530">
        <v>0</v>
      </c>
      <c r="X792" s="490"/>
      <c r="Y792" s="969"/>
      <c r="Z792" s="969"/>
      <c r="AA792" s="969"/>
      <c r="AB792" s="969"/>
      <c r="AC792" s="969"/>
      <c r="AD792" s="969"/>
      <c r="AE792" s="969" t="str">
        <f t="shared" si="36"/>
        <v>TheewaterskloofGains on disposal of Assets</v>
      </c>
      <c r="AF792" s="969"/>
      <c r="AG792" s="969"/>
    </row>
    <row r="793" spans="2:33" ht="13.2" customHeight="1" x14ac:dyDescent="0.55000000000000004">
      <c r="B793" s="371"/>
      <c r="C793" s="1010" t="s">
        <v>728</v>
      </c>
      <c r="D793" s="360" t="str">
        <f t="shared" si="37"/>
        <v>Other2700</v>
      </c>
      <c r="E793" s="361" t="str">
        <f t="shared" si="33"/>
        <v>TheewaterskloofOtherOther revenue</v>
      </c>
      <c r="F793" s="360" t="str">
        <f>'PART C- Municipal Details'!$G$7</f>
        <v>Theewaterskloof</v>
      </c>
      <c r="G793" s="361" t="s">
        <v>803</v>
      </c>
      <c r="H793" s="363" t="s">
        <v>811</v>
      </c>
      <c r="I793" s="496" t="s">
        <v>7</v>
      </c>
      <c r="J793" s="497" t="s">
        <v>726</v>
      </c>
      <c r="K793" s="490"/>
      <c r="L793" s="463" t="s">
        <v>729</v>
      </c>
      <c r="M793" s="459"/>
      <c r="N793" s="461"/>
      <c r="O793" s="461"/>
      <c r="P793" s="461"/>
      <c r="Q793" s="461"/>
      <c r="R793" s="461"/>
      <c r="S793" s="461"/>
      <c r="T793" s="461"/>
      <c r="U793" s="530">
        <v>0</v>
      </c>
      <c r="V793" s="530">
        <v>0</v>
      </c>
      <c r="W793" s="530">
        <v>0</v>
      </c>
      <c r="X793" s="490"/>
      <c r="Y793" s="969"/>
      <c r="Z793" s="969"/>
      <c r="AA793" s="969"/>
      <c r="AB793" s="969"/>
      <c r="AC793" s="969"/>
      <c r="AD793" s="969"/>
      <c r="AE793" s="969" t="str">
        <f t="shared" si="36"/>
        <v>TheewaterskloofOther Gains</v>
      </c>
      <c r="AF793" s="969"/>
      <c r="AG793" s="969"/>
    </row>
    <row r="794" spans="2:33" ht="13.2" customHeight="1" x14ac:dyDescent="0.55000000000000004">
      <c r="B794" s="371"/>
      <c r="C794" s="1010" t="s">
        <v>730</v>
      </c>
      <c r="D794" s="361" t="str">
        <f t="shared" si="37"/>
        <v>Other2800</v>
      </c>
      <c r="E794" s="360" t="str">
        <f t="shared" si="33"/>
        <v>TheewaterskloofOtherOther revenue</v>
      </c>
      <c r="F794" s="360" t="str">
        <f>'PART C- Municipal Details'!$G$7</f>
        <v>Theewaterskloof</v>
      </c>
      <c r="G794" s="360" t="s">
        <v>803</v>
      </c>
      <c r="H794" s="366" t="s">
        <v>811</v>
      </c>
      <c r="I794" s="496" t="s">
        <v>7</v>
      </c>
      <c r="J794" s="497" t="s">
        <v>12</v>
      </c>
      <c r="K794" s="490"/>
      <c r="L794" s="464" t="s">
        <v>731</v>
      </c>
      <c r="M794" s="459"/>
      <c r="N794" s="461"/>
      <c r="O794" s="461"/>
      <c r="P794" s="461"/>
      <c r="Q794" s="461"/>
      <c r="R794" s="461"/>
      <c r="S794" s="461"/>
      <c r="T794" s="461"/>
      <c r="U794" s="530">
        <v>0</v>
      </c>
      <c r="V794" s="530">
        <v>0</v>
      </c>
      <c r="W794" s="530">
        <v>0</v>
      </c>
      <c r="X794" s="490"/>
      <c r="Y794" s="969"/>
      <c r="Z794" s="969"/>
      <c r="AA794" s="969"/>
      <c r="AB794" s="969"/>
      <c r="AC794" s="969"/>
      <c r="AD794" s="969"/>
      <c r="AE794" s="969" t="str">
        <f t="shared" si="36"/>
        <v>TheewaterskloofDiscontinued Operations</v>
      </c>
      <c r="AF794" s="969"/>
      <c r="AG794" s="969"/>
    </row>
    <row r="795" spans="2:33" ht="13.2" customHeight="1" x14ac:dyDescent="0.55000000000000004">
      <c r="B795" s="371"/>
      <c r="C795" s="1009" t="s">
        <v>732</v>
      </c>
      <c r="D795" s="360" t="str">
        <f t="shared" si="37"/>
        <v>Other2900</v>
      </c>
      <c r="E795" s="361" t="str">
        <f t="shared" si="33"/>
        <v>TheewaterskloofOtherTotal Revenue (excluding capital transfers and contributions)</v>
      </c>
      <c r="F795" s="360" t="str">
        <f>'PART C- Municipal Details'!$G$7</f>
        <v>Theewaterskloof</v>
      </c>
      <c r="G795" s="361" t="s">
        <v>803</v>
      </c>
      <c r="H795" s="363" t="s">
        <v>811</v>
      </c>
      <c r="I795" s="496" t="s">
        <v>707</v>
      </c>
      <c r="J795" s="497" t="s">
        <v>204</v>
      </c>
      <c r="K795" s="490"/>
      <c r="L795" s="508" t="s">
        <v>707</v>
      </c>
      <c r="M795" s="509"/>
      <c r="N795" s="510"/>
      <c r="O795" s="510"/>
      <c r="P795" s="510"/>
      <c r="Q795" s="510"/>
      <c r="R795" s="510"/>
      <c r="S795" s="510"/>
      <c r="T795" s="511"/>
      <c r="U795" s="531">
        <v>0</v>
      </c>
      <c r="V795" s="531">
        <v>0</v>
      </c>
      <c r="W795" s="531">
        <v>0</v>
      </c>
      <c r="X795" s="490"/>
      <c r="Y795" s="969"/>
      <c r="Z795" s="969"/>
      <c r="AA795" s="969"/>
      <c r="AB795" s="969"/>
      <c r="AC795" s="969"/>
      <c r="AD795" s="969"/>
      <c r="AE795" s="969" t="str">
        <f t="shared" si="36"/>
        <v>TheewaterskloofTotal Revenue (excluding capital transfers and contributions)</v>
      </c>
      <c r="AF795" s="969"/>
      <c r="AG795" s="969"/>
    </row>
    <row r="796" spans="2:33" ht="13.2" customHeight="1" x14ac:dyDescent="0.55000000000000004">
      <c r="B796" s="371"/>
      <c r="C796" s="1009" t="s">
        <v>733</v>
      </c>
      <c r="D796" s="361" t="str">
        <f t="shared" si="37"/>
        <v>Other3000</v>
      </c>
      <c r="E796" s="360" t="str">
        <f t="shared" si="33"/>
        <v>TheewaterskloofOtherx</v>
      </c>
      <c r="F796" s="360" t="str">
        <f>'PART C- Municipal Details'!$G$7</f>
        <v>Theewaterskloof</v>
      </c>
      <c r="G796" s="360" t="s">
        <v>803</v>
      </c>
      <c r="H796" s="366" t="s">
        <v>811</v>
      </c>
      <c r="I796" s="496" t="s">
        <v>789</v>
      </c>
      <c r="J796" s="497" t="s">
        <v>13</v>
      </c>
      <c r="K796" s="490"/>
      <c r="L796" s="505" t="s">
        <v>22</v>
      </c>
      <c r="M796" s="506"/>
      <c r="N796" s="507"/>
      <c r="O796" s="507"/>
      <c r="P796" s="507"/>
      <c r="Q796" s="507"/>
      <c r="R796" s="507"/>
      <c r="S796" s="507"/>
      <c r="T796" s="507"/>
      <c r="U796" s="531">
        <v>0</v>
      </c>
      <c r="V796" s="531">
        <v>0</v>
      </c>
      <c r="W796" s="531">
        <v>0</v>
      </c>
      <c r="X796" s="490"/>
      <c r="Y796" s="969"/>
      <c r="Z796" s="969"/>
      <c r="AA796" s="969"/>
      <c r="AB796" s="969"/>
      <c r="AC796" s="969"/>
      <c r="AD796" s="969"/>
      <c r="AE796" s="969" t="str">
        <f t="shared" si="36"/>
        <v>TheewaterskloofExpenditure</v>
      </c>
      <c r="AF796" s="969"/>
      <c r="AG796" s="969"/>
    </row>
    <row r="797" spans="2:33" ht="13.2" customHeight="1" x14ac:dyDescent="0.55000000000000004">
      <c r="B797" s="371"/>
      <c r="C797" s="1010" t="s">
        <v>735</v>
      </c>
      <c r="D797" s="360" t="str">
        <f t="shared" si="37"/>
        <v>Other3100</v>
      </c>
      <c r="E797" s="361" t="str">
        <f t="shared" si="33"/>
        <v>TheewaterskloofOtherEmployee related costs</v>
      </c>
      <c r="F797" s="360" t="str">
        <f>'PART C- Municipal Details'!$G$7</f>
        <v>Theewaterskloof</v>
      </c>
      <c r="G797" s="361" t="s">
        <v>803</v>
      </c>
      <c r="H797" s="363" t="s">
        <v>811</v>
      </c>
      <c r="I797" s="496" t="s">
        <v>8</v>
      </c>
      <c r="J797" s="497" t="s">
        <v>734</v>
      </c>
      <c r="K797" s="490"/>
      <c r="L797" s="463" t="s">
        <v>8</v>
      </c>
      <c r="M797" s="459"/>
      <c r="N797" s="461"/>
      <c r="O797" s="461"/>
      <c r="P797" s="461"/>
      <c r="Q797" s="461"/>
      <c r="R797" s="461"/>
      <c r="S797" s="461"/>
      <c r="T797" s="461"/>
      <c r="U797" s="530">
        <v>0</v>
      </c>
      <c r="V797" s="530">
        <v>0</v>
      </c>
      <c r="W797" s="530">
        <v>0</v>
      </c>
      <c r="X797" s="490"/>
      <c r="Y797" s="969"/>
      <c r="Z797" s="969"/>
      <c r="AA797" s="969"/>
      <c r="AB797" s="969"/>
      <c r="AC797" s="969"/>
      <c r="AD797" s="969"/>
      <c r="AE797" s="969" t="str">
        <f t="shared" si="36"/>
        <v>TheewaterskloofEmployee related costs</v>
      </c>
      <c r="AF797" s="969"/>
      <c r="AG797" s="969"/>
    </row>
    <row r="798" spans="2:33" ht="13.2" customHeight="1" x14ac:dyDescent="0.55000000000000004">
      <c r="B798" s="371"/>
      <c r="C798" s="1010" t="s">
        <v>737</v>
      </c>
      <c r="D798" s="361" t="str">
        <f t="shared" si="37"/>
        <v>Other3200</v>
      </c>
      <c r="E798" s="360" t="str">
        <f t="shared" si="33"/>
        <v>TheewaterskloofOtherRemuneration of councillors</v>
      </c>
      <c r="F798" s="360" t="str">
        <f>'PART C- Municipal Details'!$G$7</f>
        <v>Theewaterskloof</v>
      </c>
      <c r="G798" s="360" t="s">
        <v>803</v>
      </c>
      <c r="H798" s="366" t="s">
        <v>811</v>
      </c>
      <c r="I798" s="496" t="s">
        <v>9</v>
      </c>
      <c r="J798" s="497" t="s">
        <v>736</v>
      </c>
      <c r="K798" s="490"/>
      <c r="L798" s="463" t="s">
        <v>9</v>
      </c>
      <c r="M798" s="459"/>
      <c r="N798" s="461"/>
      <c r="O798" s="461"/>
      <c r="P798" s="461"/>
      <c r="Q798" s="461"/>
      <c r="R798" s="461"/>
      <c r="S798" s="461"/>
      <c r="T798" s="461"/>
      <c r="U798" s="530">
        <v>0</v>
      </c>
      <c r="V798" s="530">
        <v>0</v>
      </c>
      <c r="W798" s="530">
        <v>0</v>
      </c>
      <c r="X798" s="490"/>
      <c r="Y798" s="969"/>
      <c r="Z798" s="969"/>
      <c r="AA798" s="969"/>
      <c r="AB798" s="969"/>
      <c r="AC798" s="969"/>
      <c r="AD798" s="969"/>
      <c r="AE798" s="969" t="str">
        <f t="shared" si="36"/>
        <v>TheewaterskloofRemuneration of councillors</v>
      </c>
      <c r="AF798" s="969"/>
      <c r="AG798" s="969"/>
    </row>
    <row r="799" spans="2:33" ht="13.2" customHeight="1" x14ac:dyDescent="0.55000000000000004">
      <c r="B799" s="371"/>
      <c r="C799" s="1010" t="s">
        <v>738</v>
      </c>
      <c r="D799" s="360" t="str">
        <f t="shared" si="37"/>
        <v>Other3300</v>
      </c>
      <c r="E799" s="361" t="str">
        <f t="shared" si="33"/>
        <v>TheewaterskloofOtherBulk purchases - electricity</v>
      </c>
      <c r="F799" s="360" t="str">
        <f>'PART C- Municipal Details'!$G$7</f>
        <v>Theewaterskloof</v>
      </c>
      <c r="G799" s="361" t="s">
        <v>803</v>
      </c>
      <c r="H799" s="363" t="s">
        <v>811</v>
      </c>
      <c r="I799" s="496" t="s">
        <v>724</v>
      </c>
      <c r="J799" s="497" t="s">
        <v>710</v>
      </c>
      <c r="K799" s="490"/>
      <c r="L799" s="463" t="s">
        <v>724</v>
      </c>
      <c r="M799" s="459"/>
      <c r="N799" s="461"/>
      <c r="O799" s="461"/>
      <c r="P799" s="461"/>
      <c r="Q799" s="461"/>
      <c r="R799" s="461"/>
      <c r="S799" s="461"/>
      <c r="T799" s="461"/>
      <c r="U799" s="530">
        <v>0</v>
      </c>
      <c r="V799" s="530">
        <v>0</v>
      </c>
      <c r="W799" s="530">
        <v>0</v>
      </c>
      <c r="X799" s="490"/>
      <c r="Y799" s="969"/>
      <c r="Z799" s="969"/>
      <c r="AA799" s="969"/>
      <c r="AB799" s="969"/>
      <c r="AC799" s="969"/>
      <c r="AD799" s="969"/>
      <c r="AE799" s="969" t="str">
        <f t="shared" si="36"/>
        <v>TheewaterskloofBulk purchases - electricity</v>
      </c>
      <c r="AF799" s="969"/>
      <c r="AG799" s="969"/>
    </row>
    <row r="800" spans="2:33" ht="13.2" customHeight="1" x14ac:dyDescent="0.55000000000000004">
      <c r="B800" s="371"/>
      <c r="C800" s="1010" t="s">
        <v>739</v>
      </c>
      <c r="D800" s="361" t="str">
        <f t="shared" si="37"/>
        <v>Other3400</v>
      </c>
      <c r="E800" s="360" t="str">
        <f t="shared" si="33"/>
        <v>TheewaterskloofOtherInventory consumed</v>
      </c>
      <c r="F800" s="360" t="str">
        <f>'PART C- Municipal Details'!$G$7</f>
        <v>Theewaterskloof</v>
      </c>
      <c r="G800" s="360" t="s">
        <v>803</v>
      </c>
      <c r="H800" s="366" t="s">
        <v>811</v>
      </c>
      <c r="I800" s="496" t="s">
        <v>726</v>
      </c>
      <c r="J800" s="497" t="s">
        <v>635</v>
      </c>
      <c r="K800" s="490"/>
      <c r="L800" s="463" t="s">
        <v>726</v>
      </c>
      <c r="M800" s="459"/>
      <c r="N800" s="461"/>
      <c r="O800" s="461"/>
      <c r="P800" s="461"/>
      <c r="Q800" s="461"/>
      <c r="R800" s="461"/>
      <c r="S800" s="461"/>
      <c r="T800" s="461"/>
      <c r="U800" s="530">
        <v>0</v>
      </c>
      <c r="V800" s="530">
        <v>0</v>
      </c>
      <c r="W800" s="530">
        <v>0</v>
      </c>
      <c r="X800" s="490"/>
      <c r="Y800" s="969"/>
      <c r="Z800" s="969"/>
      <c r="AA800" s="969"/>
      <c r="AB800" s="969"/>
      <c r="AC800" s="969"/>
      <c r="AD800" s="969"/>
      <c r="AE800" s="969" t="str">
        <f t="shared" si="36"/>
        <v>TheewaterskloofInventory consumed</v>
      </c>
      <c r="AF800" s="969"/>
      <c r="AG800" s="969"/>
    </row>
    <row r="801" spans="2:33" ht="13.2" customHeight="1" x14ac:dyDescent="0.55000000000000004">
      <c r="B801" s="371"/>
      <c r="C801" s="1010" t="s">
        <v>741</v>
      </c>
      <c r="D801" s="360" t="str">
        <f t="shared" si="37"/>
        <v>Other3500</v>
      </c>
      <c r="E801" s="361" t="str">
        <f t="shared" si="33"/>
        <v>TheewaterskloofOtherDebt impairment</v>
      </c>
      <c r="F801" s="360" t="str">
        <f>'PART C- Municipal Details'!$G$7</f>
        <v>Theewaterskloof</v>
      </c>
      <c r="G801" s="361" t="s">
        <v>803</v>
      </c>
      <c r="H801" s="363" t="s">
        <v>811</v>
      </c>
      <c r="I801" s="496" t="s">
        <v>10</v>
      </c>
      <c r="J801" s="497" t="s">
        <v>740</v>
      </c>
      <c r="K801" s="490"/>
      <c r="L801" s="463" t="s">
        <v>10</v>
      </c>
      <c r="M801" s="459"/>
      <c r="N801" s="461"/>
      <c r="O801" s="461"/>
      <c r="P801" s="461"/>
      <c r="Q801" s="461"/>
      <c r="R801" s="461"/>
      <c r="S801" s="461"/>
      <c r="T801" s="461"/>
      <c r="U801" s="530">
        <v>0</v>
      </c>
      <c r="V801" s="530">
        <v>0</v>
      </c>
      <c r="W801" s="530">
        <v>0</v>
      </c>
      <c r="X801" s="490"/>
      <c r="Y801" s="969"/>
      <c r="Z801" s="969"/>
      <c r="AA801" s="969"/>
      <c r="AB801" s="969"/>
      <c r="AC801" s="969"/>
      <c r="AD801" s="969"/>
      <c r="AE801" s="969" t="str">
        <f t="shared" si="36"/>
        <v>TheewaterskloofDebt impairment</v>
      </c>
      <c r="AF801" s="969"/>
      <c r="AG801" s="969"/>
    </row>
    <row r="802" spans="2:33" ht="13.2" customHeight="1" x14ac:dyDescent="0.55000000000000004">
      <c r="B802" s="371"/>
      <c r="C802" s="1010" t="s">
        <v>743</v>
      </c>
      <c r="D802" s="361" t="str">
        <f t="shared" si="37"/>
        <v>Other3600</v>
      </c>
      <c r="E802" s="360" t="str">
        <f t="shared" si="33"/>
        <v>TheewaterskloofOtherDepreciation and asset impairment</v>
      </c>
      <c r="F802" s="360" t="str">
        <f>'PART C- Municipal Details'!$G$7</f>
        <v>Theewaterskloof</v>
      </c>
      <c r="G802" s="360" t="s">
        <v>803</v>
      </c>
      <c r="H802" s="366" t="s">
        <v>811</v>
      </c>
      <c r="I802" s="496" t="s">
        <v>720</v>
      </c>
      <c r="J802" s="497" t="s">
        <v>742</v>
      </c>
      <c r="K802" s="490"/>
      <c r="L802" s="463" t="s">
        <v>745</v>
      </c>
      <c r="M802" s="459"/>
      <c r="N802" s="461"/>
      <c r="O802" s="461"/>
      <c r="P802" s="461"/>
      <c r="Q802" s="461"/>
      <c r="R802" s="461"/>
      <c r="S802" s="461"/>
      <c r="T802" s="461"/>
      <c r="U802" s="530">
        <v>0</v>
      </c>
      <c r="V802" s="530">
        <v>0</v>
      </c>
      <c r="W802" s="530">
        <v>0</v>
      </c>
      <c r="X802" s="490"/>
      <c r="Y802" s="969"/>
      <c r="Z802" s="969"/>
      <c r="AA802" s="969"/>
      <c r="AB802" s="969"/>
      <c r="AC802" s="969"/>
      <c r="AD802" s="969"/>
      <c r="AE802" s="969" t="str">
        <f t="shared" si="36"/>
        <v>TheewaterskloofDepreciation and amortisation</v>
      </c>
      <c r="AF802" s="969"/>
      <c r="AG802" s="969"/>
    </row>
    <row r="803" spans="2:33" ht="13.2" customHeight="1" x14ac:dyDescent="0.55000000000000004">
      <c r="B803" s="371"/>
      <c r="C803" s="1010" t="s">
        <v>746</v>
      </c>
      <c r="D803" s="360" t="str">
        <f t="shared" si="37"/>
        <v>Other3700</v>
      </c>
      <c r="E803" s="361" t="str">
        <f t="shared" si="33"/>
        <v>TheewaterskloofOtherFinance charges</v>
      </c>
      <c r="F803" s="360" t="str">
        <f>'PART C- Municipal Details'!$G$7</f>
        <v>Theewaterskloof</v>
      </c>
      <c r="G803" s="361" t="s">
        <v>803</v>
      </c>
      <c r="H803" s="363" t="s">
        <v>811</v>
      </c>
      <c r="I803" s="496" t="s">
        <v>11</v>
      </c>
      <c r="J803" s="497" t="s">
        <v>744</v>
      </c>
      <c r="K803" s="490"/>
      <c r="L803" s="463" t="s">
        <v>687</v>
      </c>
      <c r="M803" s="459"/>
      <c r="N803" s="461"/>
      <c r="O803" s="461"/>
      <c r="P803" s="461"/>
      <c r="Q803" s="461"/>
      <c r="R803" s="461"/>
      <c r="S803" s="461"/>
      <c r="T803" s="461"/>
      <c r="U803" s="530">
        <v>0</v>
      </c>
      <c r="V803" s="530">
        <v>0</v>
      </c>
      <c r="W803" s="530">
        <v>0</v>
      </c>
      <c r="X803" s="490"/>
      <c r="Y803" s="969"/>
      <c r="Z803" s="969"/>
      <c r="AA803" s="969"/>
      <c r="AB803" s="969"/>
      <c r="AC803" s="969"/>
      <c r="AD803" s="969"/>
      <c r="AE803" s="969" t="str">
        <f t="shared" si="36"/>
        <v>TheewaterskloofInterest</v>
      </c>
      <c r="AF803" s="969"/>
      <c r="AG803" s="969"/>
    </row>
    <row r="804" spans="2:33" ht="13.2" customHeight="1" x14ac:dyDescent="0.55000000000000004">
      <c r="B804" s="371"/>
      <c r="C804" s="1010" t="s">
        <v>748</v>
      </c>
      <c r="D804" s="361" t="str">
        <f t="shared" si="37"/>
        <v>Other3800</v>
      </c>
      <c r="E804" s="360" t="str">
        <f t="shared" si="33"/>
        <v>TheewaterskloofOtherContracted services</v>
      </c>
      <c r="F804" s="360" t="str">
        <f>'PART C- Municipal Details'!$G$7</f>
        <v>Theewaterskloof</v>
      </c>
      <c r="G804" s="360" t="s">
        <v>803</v>
      </c>
      <c r="H804" s="366" t="s">
        <v>811</v>
      </c>
      <c r="I804" s="496" t="s">
        <v>12</v>
      </c>
      <c r="J804" s="497" t="s">
        <v>747</v>
      </c>
      <c r="K804" s="490"/>
      <c r="L804" s="463" t="s">
        <v>12</v>
      </c>
      <c r="M804" s="459"/>
      <c r="N804" s="461"/>
      <c r="O804" s="461"/>
      <c r="P804" s="461"/>
      <c r="Q804" s="461"/>
      <c r="R804" s="461"/>
      <c r="S804" s="461"/>
      <c r="T804" s="461"/>
      <c r="U804" s="530">
        <v>280000</v>
      </c>
      <c r="V804" s="530">
        <v>289520</v>
      </c>
      <c r="W804" s="530">
        <v>298785</v>
      </c>
      <c r="X804" s="490"/>
      <c r="Y804" s="969"/>
      <c r="Z804" s="969"/>
      <c r="AA804" s="969"/>
      <c r="AB804" s="969"/>
      <c r="AC804" s="969"/>
      <c r="AD804" s="969"/>
      <c r="AE804" s="969" t="str">
        <f t="shared" si="36"/>
        <v>TheewaterskloofContracted services</v>
      </c>
      <c r="AF804" s="969"/>
      <c r="AG804" s="969"/>
    </row>
    <row r="805" spans="2:33" ht="13.2" customHeight="1" x14ac:dyDescent="0.55000000000000004">
      <c r="B805" s="371"/>
      <c r="C805" s="1010" t="s">
        <v>750</v>
      </c>
      <c r="D805" s="360" t="str">
        <f t="shared" si="37"/>
        <v>Other3900</v>
      </c>
      <c r="E805" s="361" t="str">
        <f t="shared" si="33"/>
        <v>TheewaterskloofOtherTransfers and subsidies</v>
      </c>
      <c r="F805" s="360" t="str">
        <f>'PART C- Municipal Details'!$G$7</f>
        <v>Theewaterskloof</v>
      </c>
      <c r="G805" s="361" t="s">
        <v>803</v>
      </c>
      <c r="H805" s="363" t="s">
        <v>811</v>
      </c>
      <c r="I805" s="496" t="s">
        <v>204</v>
      </c>
      <c r="J805" s="497" t="s">
        <v>749</v>
      </c>
      <c r="K805" s="490"/>
      <c r="L805" s="463" t="s">
        <v>204</v>
      </c>
      <c r="M805" s="459"/>
      <c r="N805" s="461"/>
      <c r="O805" s="461"/>
      <c r="P805" s="461"/>
      <c r="Q805" s="461"/>
      <c r="R805" s="461"/>
      <c r="S805" s="461"/>
      <c r="T805" s="461"/>
      <c r="U805" s="530">
        <v>0</v>
      </c>
      <c r="V805" s="530">
        <v>0</v>
      </c>
      <c r="W805" s="530">
        <v>0</v>
      </c>
      <c r="X805" s="490"/>
      <c r="Y805" s="969"/>
      <c r="Z805" s="969"/>
      <c r="AA805" s="969"/>
      <c r="AB805" s="969"/>
      <c r="AC805" s="969"/>
      <c r="AD805" s="969"/>
      <c r="AE805" s="969" t="str">
        <f t="shared" si="36"/>
        <v>TheewaterskloofTransfers and subsidies</v>
      </c>
      <c r="AF805" s="969"/>
      <c r="AG805" s="969"/>
    </row>
    <row r="806" spans="2:33" ht="13.2" customHeight="1" x14ac:dyDescent="0.55000000000000004">
      <c r="B806" s="371"/>
      <c r="C806" s="1010" t="s">
        <v>752</v>
      </c>
      <c r="D806" s="361" t="str">
        <f t="shared" si="37"/>
        <v>Other4000</v>
      </c>
      <c r="E806" s="360" t="str">
        <f t="shared" si="33"/>
        <v>TheewaterskloofOtherOther expenditure</v>
      </c>
      <c r="F806" s="360" t="str">
        <f>'PART C- Municipal Details'!$G$7</f>
        <v>Theewaterskloof</v>
      </c>
      <c r="G806" s="360" t="s">
        <v>803</v>
      </c>
      <c r="H806" s="366" t="s">
        <v>811</v>
      </c>
      <c r="I806" s="496" t="s">
        <v>13</v>
      </c>
      <c r="J806" s="497" t="s">
        <v>751</v>
      </c>
      <c r="K806" s="490"/>
      <c r="L806" s="463" t="s">
        <v>754</v>
      </c>
      <c r="M806" s="459"/>
      <c r="N806" s="461"/>
      <c r="O806" s="461"/>
      <c r="P806" s="461"/>
      <c r="Q806" s="461"/>
      <c r="R806" s="461"/>
      <c r="S806" s="461"/>
      <c r="T806" s="461"/>
      <c r="U806" s="530">
        <v>0</v>
      </c>
      <c r="V806" s="530">
        <v>0</v>
      </c>
      <c r="W806" s="530">
        <v>0</v>
      </c>
      <c r="X806" s="490"/>
      <c r="Y806" s="969"/>
      <c r="Z806" s="969"/>
      <c r="AA806" s="969"/>
      <c r="AB806" s="969"/>
      <c r="AC806" s="969"/>
      <c r="AD806" s="969"/>
      <c r="AE806" s="969" t="str">
        <f t="shared" si="36"/>
        <v>TheewaterskloofIrrecoverable debts written off</v>
      </c>
      <c r="AF806" s="969"/>
      <c r="AG806" s="969"/>
    </row>
    <row r="807" spans="2:33" ht="13.2" customHeight="1" x14ac:dyDescent="0.55000000000000004">
      <c r="B807" s="371"/>
      <c r="C807" s="1010" t="s">
        <v>755</v>
      </c>
      <c r="D807" s="360" t="str">
        <f t="shared" si="37"/>
        <v>Other4100</v>
      </c>
      <c r="E807" s="361" t="str">
        <f t="shared" si="33"/>
        <v>TheewaterskloofOtherOther expenditure</v>
      </c>
      <c r="F807" s="360" t="str">
        <f>'PART C- Municipal Details'!$G$7</f>
        <v>Theewaterskloof</v>
      </c>
      <c r="G807" s="361" t="s">
        <v>803</v>
      </c>
      <c r="H807" s="363" t="s">
        <v>811</v>
      </c>
      <c r="I807" s="496" t="s">
        <v>13</v>
      </c>
      <c r="J807" s="497" t="s">
        <v>753</v>
      </c>
      <c r="K807" s="490"/>
      <c r="L807" s="463" t="s">
        <v>757</v>
      </c>
      <c r="M807" s="459"/>
      <c r="N807" s="461"/>
      <c r="O807" s="461"/>
      <c r="P807" s="461"/>
      <c r="Q807" s="461"/>
      <c r="R807" s="461"/>
      <c r="S807" s="461"/>
      <c r="T807" s="461"/>
      <c r="U807" s="530">
        <v>59500</v>
      </c>
      <c r="V807" s="530">
        <v>61523</v>
      </c>
      <c r="W807" s="530">
        <v>63491</v>
      </c>
      <c r="X807" s="490"/>
      <c r="Y807" s="969"/>
      <c r="Z807" s="969"/>
      <c r="AA807" s="969"/>
      <c r="AB807" s="969"/>
      <c r="AC807" s="969"/>
      <c r="AD807" s="969"/>
      <c r="AE807" s="969" t="str">
        <f t="shared" si="36"/>
        <v>TheewaterskloofOperational costs</v>
      </c>
      <c r="AF807" s="969"/>
      <c r="AG807" s="969"/>
    </row>
    <row r="808" spans="2:33" ht="13.2" customHeight="1" x14ac:dyDescent="0.55000000000000004">
      <c r="B808" s="371"/>
      <c r="C808" s="1010" t="s">
        <v>758</v>
      </c>
      <c r="D808" s="361" t="str">
        <f t="shared" si="37"/>
        <v>Other4200</v>
      </c>
      <c r="E808" s="360" t="str">
        <f t="shared" si="33"/>
        <v>TheewaterskloofOtherLosses</v>
      </c>
      <c r="F808" s="360" t="str">
        <f>'PART C- Municipal Details'!$G$7</f>
        <v>Theewaterskloof</v>
      </c>
      <c r="G808" s="360" t="s">
        <v>803</v>
      </c>
      <c r="H808" s="366" t="s">
        <v>811</v>
      </c>
      <c r="I808" s="496" t="s">
        <v>734</v>
      </c>
      <c r="J808" s="497" t="s">
        <v>756</v>
      </c>
      <c r="K808" s="490"/>
      <c r="L808" s="463" t="s">
        <v>760</v>
      </c>
      <c r="M808" s="459"/>
      <c r="N808" s="461"/>
      <c r="O808" s="461"/>
      <c r="P808" s="461"/>
      <c r="Q808" s="461"/>
      <c r="R808" s="461"/>
      <c r="S808" s="461"/>
      <c r="T808" s="461"/>
      <c r="U808" s="530">
        <v>0</v>
      </c>
      <c r="V808" s="530">
        <v>0</v>
      </c>
      <c r="W808" s="530">
        <v>0</v>
      </c>
      <c r="X808" s="490"/>
      <c r="Y808" s="969"/>
      <c r="Z808" s="969"/>
      <c r="AA808" s="969"/>
      <c r="AB808" s="969"/>
      <c r="AC808" s="969"/>
      <c r="AD808" s="969"/>
      <c r="AE808" s="969" t="str">
        <f t="shared" si="36"/>
        <v>TheewaterskloofLosses on disposal of Assets</v>
      </c>
      <c r="AF808" s="969"/>
      <c r="AG808" s="969"/>
    </row>
    <row r="809" spans="2:33" ht="13.2" customHeight="1" x14ac:dyDescent="0.55000000000000004">
      <c r="B809" s="371"/>
      <c r="C809" s="1010" t="s">
        <v>761</v>
      </c>
      <c r="D809" s="360" t="str">
        <f t="shared" si="37"/>
        <v>Other4300</v>
      </c>
      <c r="E809" s="361" t="str">
        <f t="shared" si="33"/>
        <v>TheewaterskloofOtherOther expenditure</v>
      </c>
      <c r="F809" s="360" t="str">
        <f>'PART C- Municipal Details'!$G$7</f>
        <v>Theewaterskloof</v>
      </c>
      <c r="G809" s="361" t="s">
        <v>803</v>
      </c>
      <c r="H809" s="363" t="s">
        <v>811</v>
      </c>
      <c r="I809" s="496" t="s">
        <v>13</v>
      </c>
      <c r="J809" s="497" t="s">
        <v>759</v>
      </c>
      <c r="K809" s="490"/>
      <c r="L809" s="463" t="s">
        <v>763</v>
      </c>
      <c r="M809" s="459"/>
      <c r="N809" s="461"/>
      <c r="O809" s="461"/>
      <c r="P809" s="461"/>
      <c r="Q809" s="461"/>
      <c r="R809" s="461"/>
      <c r="S809" s="461"/>
      <c r="T809" s="461"/>
      <c r="U809" s="530">
        <v>0</v>
      </c>
      <c r="V809" s="530">
        <v>0</v>
      </c>
      <c r="W809" s="530">
        <v>0</v>
      </c>
      <c r="X809" s="490"/>
      <c r="Y809" s="969"/>
      <c r="Z809" s="969"/>
      <c r="AA809" s="969"/>
      <c r="AB809" s="969"/>
      <c r="AC809" s="969"/>
      <c r="AD809" s="969"/>
      <c r="AE809" s="969" t="str">
        <f t="shared" si="36"/>
        <v>TheewaterskloofOther Losses</v>
      </c>
      <c r="AF809" s="969"/>
      <c r="AG809" s="969"/>
    </row>
    <row r="810" spans="2:33" ht="13.2" customHeight="1" x14ac:dyDescent="0.55000000000000004">
      <c r="B810" s="371"/>
      <c r="C810" s="1009" t="s">
        <v>764</v>
      </c>
      <c r="D810" s="361" t="str">
        <f t="shared" si="37"/>
        <v>Other4400</v>
      </c>
      <c r="E810" s="360" t="str">
        <f t="shared" si="33"/>
        <v>TheewaterskloofOtherTotal Expenditure</v>
      </c>
      <c r="F810" s="360" t="str">
        <f>'PART C- Municipal Details'!$G$7</f>
        <v>Theewaterskloof</v>
      </c>
      <c r="G810" s="360" t="s">
        <v>803</v>
      </c>
      <c r="H810" s="366" t="s">
        <v>811</v>
      </c>
      <c r="I810" s="496" t="s">
        <v>736</v>
      </c>
      <c r="J810" s="497" t="s">
        <v>762</v>
      </c>
      <c r="K810" s="490"/>
      <c r="L810" s="508" t="s">
        <v>736</v>
      </c>
      <c r="M810" s="509"/>
      <c r="N810" s="510"/>
      <c r="O810" s="510"/>
      <c r="P810" s="510"/>
      <c r="Q810" s="510"/>
      <c r="R810" s="510"/>
      <c r="S810" s="510"/>
      <c r="T810" s="511"/>
      <c r="U810" s="529">
        <v>339500</v>
      </c>
      <c r="V810" s="529">
        <v>351043</v>
      </c>
      <c r="W810" s="529">
        <v>362276</v>
      </c>
      <c r="X810" s="490"/>
      <c r="Y810" s="969"/>
      <c r="Z810" s="969"/>
      <c r="AA810" s="969"/>
      <c r="AB810" s="969"/>
      <c r="AC810" s="969"/>
      <c r="AD810" s="969"/>
      <c r="AE810" s="969" t="str">
        <f t="shared" si="36"/>
        <v>TheewaterskloofTotal Expenditure</v>
      </c>
      <c r="AF810" s="969"/>
      <c r="AG810" s="969"/>
    </row>
    <row r="811" spans="2:33" ht="13.2" customHeight="1" x14ac:dyDescent="0.55000000000000004">
      <c r="B811" s="371"/>
      <c r="C811" s="1009" t="s">
        <v>766</v>
      </c>
      <c r="D811" s="360" t="str">
        <f t="shared" si="37"/>
        <v>Other4500</v>
      </c>
      <c r="E811" s="361" t="str">
        <f t="shared" si="33"/>
        <v>TheewaterskloofOtherSurplus/(Deficit)</v>
      </c>
      <c r="F811" s="360" t="str">
        <f>'PART C- Municipal Details'!$G$7</f>
        <v>Theewaterskloof</v>
      </c>
      <c r="G811" s="361" t="s">
        <v>803</v>
      </c>
      <c r="H811" s="363" t="s">
        <v>811</v>
      </c>
      <c r="I811" s="496" t="s">
        <v>635</v>
      </c>
      <c r="J811" s="497" t="s">
        <v>765</v>
      </c>
      <c r="K811" s="490"/>
      <c r="L811" s="463" t="s">
        <v>635</v>
      </c>
      <c r="M811" s="459"/>
      <c r="N811" s="459"/>
      <c r="O811" s="459"/>
      <c r="P811" s="459"/>
      <c r="Q811" s="459"/>
      <c r="R811" s="459"/>
      <c r="S811" s="459"/>
      <c r="T811" s="459"/>
      <c r="U811" s="530">
        <v>-339500</v>
      </c>
      <c r="V811" s="530">
        <v>-351043</v>
      </c>
      <c r="W811" s="530">
        <v>-362276</v>
      </c>
      <c r="X811" s="490"/>
      <c r="Y811" s="969"/>
      <c r="Z811" s="969"/>
      <c r="AA811" s="969"/>
      <c r="AB811" s="969"/>
      <c r="AC811" s="969"/>
      <c r="AD811" s="969"/>
      <c r="AE811" s="969" t="str">
        <f t="shared" si="36"/>
        <v>TheewaterskloofSurplus/(Deficit)</v>
      </c>
      <c r="AF811" s="969"/>
      <c r="AG811" s="969"/>
    </row>
    <row r="812" spans="2:33" ht="13.2" customHeight="1" x14ac:dyDescent="0.55000000000000004">
      <c r="B812" s="371"/>
      <c r="C812" s="1010" t="s">
        <v>768</v>
      </c>
      <c r="D812" s="361" t="str">
        <f t="shared" si="37"/>
        <v>Other4600</v>
      </c>
      <c r="E812" s="360" t="str">
        <f t="shared" si="33"/>
        <v>TheewaterskloofOtherTransfers and subsidies - capital (monetary allocations) (National / Provincial and District)</v>
      </c>
      <c r="F812" s="360" t="str">
        <f>'PART C- Municipal Details'!$G$7</f>
        <v>Theewaterskloof</v>
      </c>
      <c r="G812" s="360" t="s">
        <v>803</v>
      </c>
      <c r="H812" s="366" t="s">
        <v>811</v>
      </c>
      <c r="I812" s="496" t="s">
        <v>740</v>
      </c>
      <c r="J812" s="497" t="s">
        <v>767</v>
      </c>
      <c r="K812" s="490"/>
      <c r="L812" s="463" t="s">
        <v>770</v>
      </c>
      <c r="M812" s="459"/>
      <c r="N812" s="459"/>
      <c r="O812" s="459"/>
      <c r="P812" s="459"/>
      <c r="Q812" s="459"/>
      <c r="R812" s="459"/>
      <c r="S812" s="459"/>
      <c r="T812" s="459"/>
      <c r="U812" s="530">
        <v>0</v>
      </c>
      <c r="V812" s="530">
        <v>0</v>
      </c>
      <c r="W812" s="530">
        <v>0</v>
      </c>
      <c r="X812" s="490"/>
      <c r="Y812" s="969"/>
      <c r="Z812" s="969"/>
      <c r="AA812" s="969"/>
      <c r="AB812" s="969"/>
      <c r="AC812" s="969"/>
      <c r="AD812" s="969"/>
      <c r="AE812" s="969" t="str">
        <f t="shared" si="36"/>
        <v>TheewaterskloofTransfers and subsidies - capital (monetary allocations)</v>
      </c>
      <c r="AF812" s="969"/>
      <c r="AG812" s="969"/>
    </row>
    <row r="813" spans="2:33" ht="13.2" customHeight="1" x14ac:dyDescent="0.55000000000000004">
      <c r="B813" s="371"/>
      <c r="C813" s="1010" t="s">
        <v>771</v>
      </c>
      <c r="D813" s="360" t="str">
        <f t="shared" si="37"/>
        <v>Other4700</v>
      </c>
      <c r="E813" s="361" t="str">
        <f t="shared" si="33"/>
        <v>TheewaterskloofOtherTransfers and subsidies - capital (in-kind - all)</v>
      </c>
      <c r="F813" s="360" t="str">
        <f>'PART C- Municipal Details'!$G$7</f>
        <v>Theewaterskloof</v>
      </c>
      <c r="G813" s="361" t="s">
        <v>803</v>
      </c>
      <c r="H813" s="363" t="s">
        <v>811</v>
      </c>
      <c r="I813" s="496" t="s">
        <v>744</v>
      </c>
      <c r="J813" s="497" t="s">
        <v>769</v>
      </c>
      <c r="K813" s="490"/>
      <c r="L813" s="463" t="s">
        <v>773</v>
      </c>
      <c r="M813" s="459"/>
      <c r="N813" s="459"/>
      <c r="O813" s="459"/>
      <c r="P813" s="459"/>
      <c r="Q813" s="459"/>
      <c r="R813" s="459"/>
      <c r="S813" s="459"/>
      <c r="T813" s="459"/>
      <c r="U813" s="530">
        <v>0</v>
      </c>
      <c r="V813" s="530">
        <v>0</v>
      </c>
      <c r="W813" s="530">
        <v>0</v>
      </c>
      <c r="X813" s="490"/>
      <c r="Y813" s="969"/>
      <c r="Z813" s="969"/>
      <c r="AA813" s="969"/>
      <c r="AB813" s="969"/>
      <c r="AC813" s="969"/>
      <c r="AD813" s="969"/>
      <c r="AE813" s="969" t="str">
        <f t="shared" si="36"/>
        <v>TheewaterskloofTransfers and subsidies - capital (in-kind)</v>
      </c>
      <c r="AF813" s="969"/>
      <c r="AG813" s="969"/>
    </row>
    <row r="814" spans="2:33" ht="13.2" customHeight="1" x14ac:dyDescent="0.55000000000000004">
      <c r="B814" s="371"/>
      <c r="C814" s="1009" t="s">
        <v>774</v>
      </c>
      <c r="D814" s="361" t="str">
        <f t="shared" si="37"/>
        <v>Other4800</v>
      </c>
      <c r="E814" s="360" t="str">
        <f t="shared" si="33"/>
        <v>TheewaterskloofOtherSurplus/(Deficit) after capital transfers and contributions</v>
      </c>
      <c r="F814" s="360" t="str">
        <f>'PART C- Municipal Details'!$G$7</f>
        <v>Theewaterskloof</v>
      </c>
      <c r="G814" s="360" t="s">
        <v>803</v>
      </c>
      <c r="H814" s="366" t="s">
        <v>811</v>
      </c>
      <c r="I814" s="496" t="s">
        <v>747</v>
      </c>
      <c r="J814" s="497" t="s">
        <v>772</v>
      </c>
      <c r="K814" s="490"/>
      <c r="L814" s="463" t="s">
        <v>747</v>
      </c>
      <c r="M814" s="459"/>
      <c r="N814" s="459"/>
      <c r="O814" s="459"/>
      <c r="P814" s="459"/>
      <c r="Q814" s="459"/>
      <c r="R814" s="459"/>
      <c r="S814" s="459"/>
      <c r="T814" s="459"/>
      <c r="U814" s="530">
        <v>-339500</v>
      </c>
      <c r="V814" s="530">
        <v>-351043</v>
      </c>
      <c r="W814" s="530">
        <v>-362276</v>
      </c>
      <c r="X814" s="490"/>
      <c r="Y814" s="969"/>
      <c r="Z814" s="969"/>
      <c r="AA814" s="969"/>
      <c r="AB814" s="969"/>
      <c r="AC814" s="969"/>
      <c r="AD814" s="969"/>
      <c r="AE814" s="969" t="str">
        <f t="shared" si="36"/>
        <v>TheewaterskloofSurplus/(Deficit) after capital transfers and contributions</v>
      </c>
      <c r="AF814" s="969"/>
      <c r="AG814" s="969"/>
    </row>
    <row r="815" spans="2:33" ht="13.2" customHeight="1" x14ac:dyDescent="0.55000000000000004">
      <c r="B815" s="371"/>
      <c r="C815" s="1010" t="s">
        <v>776</v>
      </c>
      <c r="D815" s="360" t="str">
        <f t="shared" si="37"/>
        <v>Other4900</v>
      </c>
      <c r="E815" s="361" t="str">
        <f t="shared" si="33"/>
        <v>TheewaterskloofOtherTaxation</v>
      </c>
      <c r="F815" s="360" t="str">
        <f>'PART C- Municipal Details'!$G$7</f>
        <v>Theewaterskloof</v>
      </c>
      <c r="G815" s="361" t="s">
        <v>803</v>
      </c>
      <c r="H815" s="363" t="s">
        <v>811</v>
      </c>
      <c r="I815" s="496" t="s">
        <v>749</v>
      </c>
      <c r="J815" s="497" t="s">
        <v>775</v>
      </c>
      <c r="K815" s="490"/>
      <c r="L815" s="463" t="s">
        <v>778</v>
      </c>
      <c r="M815" s="459"/>
      <c r="N815" s="459"/>
      <c r="O815" s="459"/>
      <c r="P815" s="459"/>
      <c r="Q815" s="459"/>
      <c r="R815" s="459"/>
      <c r="S815" s="459"/>
      <c r="T815" s="459"/>
      <c r="U815" s="530">
        <v>0</v>
      </c>
      <c r="V815" s="530">
        <v>0</v>
      </c>
      <c r="W815" s="530">
        <v>0</v>
      </c>
      <c r="X815" s="490"/>
      <c r="Y815" s="969"/>
      <c r="Z815" s="969"/>
      <c r="AA815" s="969"/>
      <c r="AB815" s="969"/>
      <c r="AC815" s="969"/>
      <c r="AD815" s="969"/>
      <c r="AE815" s="969" t="str">
        <f t="shared" si="36"/>
        <v>TheewaterskloofIncome Tax</v>
      </c>
      <c r="AF815" s="969"/>
      <c r="AG815" s="969"/>
    </row>
    <row r="816" spans="2:33" ht="13.2" customHeight="1" x14ac:dyDescent="0.55000000000000004">
      <c r="B816" s="371"/>
      <c r="C816" s="1009" t="s">
        <v>779</v>
      </c>
      <c r="D816" s="361" t="str">
        <f t="shared" si="37"/>
        <v>Other5000</v>
      </c>
      <c r="E816" s="360" t="str">
        <f t="shared" si="33"/>
        <v>TheewaterskloofOtherSurplus/(Deficit) after taxation</v>
      </c>
      <c r="F816" s="360" t="str">
        <f>'PART C- Municipal Details'!$G$7</f>
        <v>Theewaterskloof</v>
      </c>
      <c r="G816" s="360" t="s">
        <v>803</v>
      </c>
      <c r="H816" s="366" t="s">
        <v>811</v>
      </c>
      <c r="I816" s="496" t="s">
        <v>751</v>
      </c>
      <c r="J816" s="497" t="s">
        <v>777</v>
      </c>
      <c r="K816" s="490"/>
      <c r="L816" s="463" t="s">
        <v>781</v>
      </c>
      <c r="M816" s="459"/>
      <c r="N816" s="459"/>
      <c r="O816" s="459"/>
      <c r="P816" s="459"/>
      <c r="Q816" s="459"/>
      <c r="R816" s="459"/>
      <c r="S816" s="459"/>
      <c r="T816" s="459"/>
      <c r="U816" s="530">
        <v>-339500</v>
      </c>
      <c r="V816" s="530">
        <v>-351043</v>
      </c>
      <c r="W816" s="530">
        <v>-362276</v>
      </c>
      <c r="X816" s="490"/>
      <c r="Y816" s="969"/>
      <c r="Z816" s="969"/>
      <c r="AA816" s="969"/>
      <c r="AB816" s="969"/>
      <c r="AC816" s="969"/>
      <c r="AD816" s="969"/>
      <c r="AE816" s="969" t="str">
        <f t="shared" si="36"/>
        <v>TheewaterskloofSurplus/(Deficit) after income tax</v>
      </c>
      <c r="AF816" s="969"/>
      <c r="AG816" s="969"/>
    </row>
    <row r="817" spans="2:33" ht="13.2" customHeight="1" x14ac:dyDescent="0.55000000000000004">
      <c r="B817" s="371"/>
      <c r="C817" s="1010" t="s">
        <v>782</v>
      </c>
      <c r="D817" s="360" t="str">
        <f t="shared" si="37"/>
        <v>Other5100</v>
      </c>
      <c r="E817" s="361" t="str">
        <f t="shared" si="33"/>
        <v>TheewaterskloofOtherShare of Surplus/Deficit attributable to Joint Venture</v>
      </c>
      <c r="F817" s="360" t="str">
        <f>'PART C- Municipal Details'!$G$7</f>
        <v>Theewaterskloof</v>
      </c>
      <c r="G817" s="361" t="s">
        <v>803</v>
      </c>
      <c r="H817" s="363" t="s">
        <v>811</v>
      </c>
      <c r="I817" s="496" t="s">
        <v>783</v>
      </c>
      <c r="J817" s="497" t="s">
        <v>780</v>
      </c>
      <c r="K817" s="490"/>
      <c r="L817" s="463" t="s">
        <v>783</v>
      </c>
      <c r="M817" s="459"/>
      <c r="N817" s="459"/>
      <c r="O817" s="459"/>
      <c r="P817" s="459"/>
      <c r="Q817" s="459"/>
      <c r="R817" s="459"/>
      <c r="S817" s="459"/>
      <c r="T817" s="459"/>
      <c r="U817" s="530">
        <v>0</v>
      </c>
      <c r="V817" s="530">
        <v>0</v>
      </c>
      <c r="W817" s="530">
        <v>0</v>
      </c>
      <c r="X817" s="490"/>
      <c r="Y817" s="969"/>
      <c r="Z817" s="969"/>
      <c r="AA817" s="969"/>
      <c r="AB817" s="969"/>
      <c r="AC817" s="969"/>
      <c r="AD817" s="969"/>
      <c r="AE817" s="969" t="str">
        <f t="shared" si="36"/>
        <v>TheewaterskloofShare of Surplus/Deficit attributable to Joint Venture</v>
      </c>
      <c r="AF817" s="969"/>
      <c r="AG817" s="969"/>
    </row>
    <row r="818" spans="2:33" ht="13.2" customHeight="1" x14ac:dyDescent="0.55000000000000004">
      <c r="B818" s="371"/>
      <c r="C818" s="1010" t="s">
        <v>785</v>
      </c>
      <c r="D818" s="361" t="str">
        <f t="shared" si="37"/>
        <v>Other5200</v>
      </c>
      <c r="E818" s="360" t="str">
        <f t="shared" si="33"/>
        <v>TheewaterskloofOtherAttributable to minorities</v>
      </c>
      <c r="F818" s="360" t="str">
        <f>'PART C- Municipal Details'!$G$7</f>
        <v>Theewaterskloof</v>
      </c>
      <c r="G818" s="360" t="s">
        <v>803</v>
      </c>
      <c r="H818" s="366" t="s">
        <v>811</v>
      </c>
      <c r="I818" s="496" t="s">
        <v>753</v>
      </c>
      <c r="J818" s="497" t="s">
        <v>784</v>
      </c>
      <c r="K818" s="490"/>
      <c r="L818" s="463" t="s">
        <v>787</v>
      </c>
      <c r="M818" s="459"/>
      <c r="N818" s="459"/>
      <c r="O818" s="459"/>
      <c r="P818" s="459"/>
      <c r="Q818" s="459"/>
      <c r="R818" s="459"/>
      <c r="S818" s="459"/>
      <c r="T818" s="459"/>
      <c r="U818" s="530">
        <v>0</v>
      </c>
      <c r="V818" s="530">
        <v>0</v>
      </c>
      <c r="W818" s="530">
        <v>0</v>
      </c>
      <c r="X818" s="490"/>
      <c r="Y818" s="969"/>
      <c r="Z818" s="969"/>
      <c r="AA818" s="969"/>
      <c r="AB818" s="969"/>
      <c r="AC818" s="969"/>
      <c r="AD818" s="969"/>
      <c r="AE818" s="969" t="str">
        <f t="shared" si="36"/>
        <v>TheewaterskloofShare of Surplus/Deficit attributable to Minorities</v>
      </c>
      <c r="AF818" s="969"/>
      <c r="AG818" s="969"/>
    </row>
    <row r="819" spans="2:33" ht="13.2" customHeight="1" x14ac:dyDescent="0.55000000000000004">
      <c r="B819" s="371"/>
      <c r="C819" s="1009" t="s">
        <v>788</v>
      </c>
      <c r="D819" s="360" t="str">
        <f t="shared" si="37"/>
        <v>Other5300</v>
      </c>
      <c r="E819" s="361" t="str">
        <f t="shared" si="33"/>
        <v>TheewaterskloofOtherSurplus/(Deficit) attributable to municipality</v>
      </c>
      <c r="F819" s="360" t="str">
        <f>'PART C- Municipal Details'!$G$7</f>
        <v>Theewaterskloof</v>
      </c>
      <c r="G819" s="361" t="s">
        <v>803</v>
      </c>
      <c r="H819" s="363" t="s">
        <v>811</v>
      </c>
      <c r="I819" s="496" t="s">
        <v>756</v>
      </c>
      <c r="J819" s="497" t="s">
        <v>786</v>
      </c>
      <c r="K819" s="490"/>
      <c r="L819" s="463" t="s">
        <v>756</v>
      </c>
      <c r="M819" s="459"/>
      <c r="N819" s="459"/>
      <c r="O819" s="459"/>
      <c r="P819" s="459"/>
      <c r="Q819" s="459"/>
      <c r="R819" s="459"/>
      <c r="S819" s="459"/>
      <c r="T819" s="459"/>
      <c r="U819" s="530">
        <v>-339500</v>
      </c>
      <c r="V819" s="530">
        <v>-351043</v>
      </c>
      <c r="W819" s="530">
        <v>-362276</v>
      </c>
      <c r="X819" s="490"/>
      <c r="Y819" s="969"/>
      <c r="Z819" s="969"/>
      <c r="AA819" s="969"/>
      <c r="AB819" s="969"/>
      <c r="AC819" s="969"/>
      <c r="AD819" s="969"/>
      <c r="AE819" s="969" t="str">
        <f t="shared" si="36"/>
        <v>TheewaterskloofSurplus/(Deficit) attributable to municipality</v>
      </c>
      <c r="AF819" s="969"/>
      <c r="AG819" s="969"/>
    </row>
    <row r="820" spans="2:33" ht="13.2" customHeight="1" x14ac:dyDescent="0.55000000000000004">
      <c r="B820" s="371"/>
      <c r="C820" s="1010" t="s">
        <v>790</v>
      </c>
      <c r="D820" s="361" t="str">
        <f t="shared" si="37"/>
        <v>Other5400</v>
      </c>
      <c r="E820" s="360" t="str">
        <f t="shared" si="33"/>
        <v>TheewaterskloofOtherShare of surplus/ (deficit) of associate</v>
      </c>
      <c r="F820" s="360" t="str">
        <f>'PART C- Municipal Details'!$G$7</f>
        <v>Theewaterskloof</v>
      </c>
      <c r="G820" s="360" t="s">
        <v>803</v>
      </c>
      <c r="H820" s="366" t="s">
        <v>811</v>
      </c>
      <c r="I820" s="496" t="s">
        <v>759</v>
      </c>
      <c r="J820" s="497" t="s">
        <v>789</v>
      </c>
      <c r="K820" s="490"/>
      <c r="L820" s="463" t="s">
        <v>791</v>
      </c>
      <c r="M820" s="459"/>
      <c r="N820" s="459"/>
      <c r="O820" s="459"/>
      <c r="P820" s="459"/>
      <c r="Q820" s="459"/>
      <c r="R820" s="459"/>
      <c r="S820" s="459"/>
      <c r="T820" s="459"/>
      <c r="U820" s="530">
        <v>0</v>
      </c>
      <c r="V820" s="530">
        <v>0</v>
      </c>
      <c r="W820" s="530">
        <v>0</v>
      </c>
      <c r="X820" s="490"/>
      <c r="Y820" s="969"/>
      <c r="Z820" s="969"/>
      <c r="AA820" s="969"/>
      <c r="AB820" s="969"/>
      <c r="AC820" s="969"/>
      <c r="AD820" s="969"/>
      <c r="AE820" s="969" t="str">
        <f t="shared" si="36"/>
        <v>TheewaterskloofShare of Surplus/Deficit attributable to Associate</v>
      </c>
      <c r="AF820" s="969"/>
      <c r="AG820" s="969"/>
    </row>
    <row r="821" spans="2:33" ht="13.2" customHeight="1" x14ac:dyDescent="0.55000000000000004">
      <c r="B821" s="371"/>
      <c r="C821" s="1010" t="s">
        <v>792</v>
      </c>
      <c r="D821" s="360" t="str">
        <f t="shared" si="37"/>
        <v>Other5500</v>
      </c>
      <c r="E821" s="361" t="str">
        <f t="shared" si="33"/>
        <v>TheewaterskloofOtherIntercompany/Parent subsidiary transactions</v>
      </c>
      <c r="F821" s="360" t="str">
        <f>'PART C- Municipal Details'!$G$7</f>
        <v>Theewaterskloof</v>
      </c>
      <c r="G821" s="361" t="s">
        <v>803</v>
      </c>
      <c r="H821" s="363" t="s">
        <v>811</v>
      </c>
      <c r="I821" s="496" t="s">
        <v>793</v>
      </c>
      <c r="J821" s="497" t="s">
        <v>789</v>
      </c>
      <c r="K821" s="490"/>
      <c r="L821" s="463" t="s">
        <v>793</v>
      </c>
      <c r="M821" s="459"/>
      <c r="N821" s="459"/>
      <c r="O821" s="459"/>
      <c r="P821" s="459"/>
      <c r="Q821" s="459"/>
      <c r="R821" s="459"/>
      <c r="S821" s="459"/>
      <c r="T821" s="459"/>
      <c r="U821" s="530">
        <v>0</v>
      </c>
      <c r="V821" s="530">
        <v>0</v>
      </c>
      <c r="W821" s="530">
        <v>0</v>
      </c>
      <c r="X821" s="490"/>
      <c r="Y821" s="969"/>
      <c r="Z821" s="969"/>
      <c r="AA821" s="969"/>
      <c r="AB821" s="969"/>
      <c r="AC821" s="969"/>
      <c r="AD821" s="969"/>
      <c r="AE821" s="969" t="str">
        <f t="shared" si="36"/>
        <v>TheewaterskloofIntercompany/Parent subsidiary transactions</v>
      </c>
      <c r="AF821" s="969"/>
      <c r="AG821" s="969"/>
    </row>
    <row r="822" spans="2:33" ht="13.2" customHeight="1" x14ac:dyDescent="0.55000000000000004">
      <c r="B822" s="371"/>
      <c r="C822" s="1009" t="s">
        <v>794</v>
      </c>
      <c r="D822" s="361" t="str">
        <f t="shared" si="37"/>
        <v>Other5600</v>
      </c>
      <c r="E822" s="360" t="str">
        <f t="shared" si="33"/>
        <v>TheewaterskloofOtherSurplus/(Deficit) for the year</v>
      </c>
      <c r="F822" s="360" t="str">
        <f>'PART C- Municipal Details'!$G$7</f>
        <v>Theewaterskloof</v>
      </c>
      <c r="G822" s="360" t="s">
        <v>803</v>
      </c>
      <c r="H822" s="366" t="s">
        <v>811</v>
      </c>
      <c r="I822" s="496" t="s">
        <v>762</v>
      </c>
      <c r="J822" s="497" t="s">
        <v>789</v>
      </c>
      <c r="K822" s="490"/>
      <c r="L822" s="508" t="s">
        <v>762</v>
      </c>
      <c r="M822" s="509"/>
      <c r="N822" s="510"/>
      <c r="O822" s="510"/>
      <c r="P822" s="510"/>
      <c r="Q822" s="510"/>
      <c r="R822" s="510"/>
      <c r="S822" s="510"/>
      <c r="T822" s="511"/>
      <c r="U822" s="530">
        <v>0</v>
      </c>
      <c r="V822" s="530">
        <v>0</v>
      </c>
      <c r="W822" s="530">
        <v>0</v>
      </c>
      <c r="X822" s="490"/>
      <c r="Y822" s="969"/>
      <c r="Z822" s="969"/>
      <c r="AA822" s="969"/>
      <c r="AB822" s="969"/>
      <c r="AC822" s="969"/>
      <c r="AD822" s="969"/>
      <c r="AE822" s="969" t="str">
        <f t="shared" si="36"/>
        <v>TheewaterskloofSurplus/(Deficit) for the year</v>
      </c>
      <c r="AF822" s="969"/>
      <c r="AG822" s="969"/>
    </row>
    <row r="823" spans="2:33" ht="13.2" customHeight="1" x14ac:dyDescent="0.55000000000000004">
      <c r="B823" s="371"/>
      <c r="C823" s="1011">
        <v>55555</v>
      </c>
      <c r="D823" s="360" t="str">
        <f t="shared" si="37"/>
        <v>Other55555</v>
      </c>
      <c r="E823" s="361" t="str">
        <f t="shared" si="33"/>
        <v>TheewaterskloofOtherReferences</v>
      </c>
      <c r="F823" s="360" t="str">
        <f>'PART C- Municipal Details'!$G$7</f>
        <v>Theewaterskloof</v>
      </c>
      <c r="G823" s="361" t="s">
        <v>803</v>
      </c>
      <c r="H823" s="363" t="s">
        <v>811</v>
      </c>
      <c r="I823" s="496" t="s">
        <v>765</v>
      </c>
      <c r="J823" s="497" t="s">
        <v>789</v>
      </c>
      <c r="K823" s="490"/>
      <c r="L823" s="474" t="s">
        <v>765</v>
      </c>
      <c r="M823" s="475"/>
      <c r="N823" s="476"/>
      <c r="O823" s="476"/>
      <c r="P823" s="476"/>
      <c r="Q823" s="476"/>
      <c r="R823" s="476"/>
      <c r="S823" s="476"/>
      <c r="T823" s="477"/>
      <c r="U823" s="530">
        <v>0</v>
      </c>
      <c r="V823" s="530">
        <v>0</v>
      </c>
      <c r="W823" s="530">
        <v>0</v>
      </c>
      <c r="X823" s="490"/>
      <c r="Y823" s="969"/>
      <c r="Z823" s="969"/>
      <c r="AA823" s="969"/>
      <c r="AB823" s="969"/>
      <c r="AC823" s="969"/>
      <c r="AD823" s="969"/>
      <c r="AE823" s="969" t="str">
        <f t="shared" si="36"/>
        <v>TheewaterskloofReferences</v>
      </c>
      <c r="AF823" s="969"/>
      <c r="AG823" s="969"/>
    </row>
    <row r="824" spans="2:33" ht="13.2" customHeight="1" x14ac:dyDescent="0.55000000000000004">
      <c r="B824" s="371"/>
      <c r="C824" s="1011">
        <v>55555</v>
      </c>
      <c r="D824" s="361" t="str">
        <f t="shared" si="37"/>
        <v>Other55555</v>
      </c>
      <c r="E824" s="360" t="str">
        <f t="shared" si="33"/>
        <v>TheewaterskloofOther1. Classifications are revenue sources and expenditure type</v>
      </c>
      <c r="F824" s="360" t="str">
        <f>'PART C- Municipal Details'!$G$7</f>
        <v>Theewaterskloof</v>
      </c>
      <c r="G824" s="360" t="s">
        <v>803</v>
      </c>
      <c r="H824" s="366" t="s">
        <v>811</v>
      </c>
      <c r="I824" s="496" t="s">
        <v>767</v>
      </c>
      <c r="J824" s="497" t="s">
        <v>789</v>
      </c>
      <c r="K824" s="490"/>
      <c r="L824" s="465" t="s">
        <v>767</v>
      </c>
      <c r="M824" s="472"/>
      <c r="N824" s="473"/>
      <c r="O824" s="473"/>
      <c r="P824" s="473"/>
      <c r="Q824" s="473"/>
      <c r="R824" s="473"/>
      <c r="S824" s="473"/>
      <c r="T824" s="478"/>
      <c r="U824" s="530">
        <v>0</v>
      </c>
      <c r="V824" s="530">
        <v>0</v>
      </c>
      <c r="W824" s="530">
        <v>0</v>
      </c>
      <c r="X824" s="490"/>
      <c r="Y824" s="969"/>
      <c r="Z824" s="969"/>
      <c r="AA824" s="969"/>
      <c r="AB824" s="969"/>
      <c r="AC824" s="969"/>
      <c r="AD824" s="969"/>
      <c r="AE824" s="969" t="str">
        <f t="shared" si="36"/>
        <v>Theewaterskloof1. Classifications are revenue sources and expenditure type</v>
      </c>
      <c r="AF824" s="969"/>
      <c r="AG824" s="969"/>
    </row>
    <row r="825" spans="2:33" ht="13.2" customHeight="1" x14ac:dyDescent="0.55000000000000004">
      <c r="B825" s="371"/>
      <c r="C825" s="1011">
        <v>55555</v>
      </c>
      <c r="D825" s="360" t="str">
        <f t="shared" si="37"/>
        <v>Other55555</v>
      </c>
      <c r="E825" s="361" t="str">
        <f t="shared" si="33"/>
        <v>TheewaterskloofOther2. Detail to be provided in Table SA1</v>
      </c>
      <c r="F825" s="360" t="str">
        <f>'PART C- Municipal Details'!$G$7</f>
        <v>Theewaterskloof</v>
      </c>
      <c r="G825" s="361" t="s">
        <v>803</v>
      </c>
      <c r="H825" s="363" t="s">
        <v>811</v>
      </c>
      <c r="I825" s="496" t="s">
        <v>769</v>
      </c>
      <c r="J825" s="497" t="s">
        <v>789</v>
      </c>
      <c r="K825" s="490"/>
      <c r="L825" s="465" t="s">
        <v>769</v>
      </c>
      <c r="M825" s="472"/>
      <c r="N825" s="473"/>
      <c r="O825" s="473"/>
      <c r="P825" s="473"/>
      <c r="Q825" s="473"/>
      <c r="R825" s="473"/>
      <c r="S825" s="473"/>
      <c r="T825" s="478"/>
      <c r="U825" s="530">
        <v>0</v>
      </c>
      <c r="V825" s="530">
        <v>0</v>
      </c>
      <c r="W825" s="530">
        <v>0</v>
      </c>
      <c r="X825" s="490"/>
      <c r="Y825" s="969"/>
      <c r="Z825" s="969"/>
      <c r="AA825" s="969"/>
      <c r="AB825" s="969"/>
      <c r="AC825" s="969"/>
      <c r="AD825" s="969"/>
      <c r="AE825" s="969" t="str">
        <f t="shared" si="36"/>
        <v>Theewaterskloof2. Detail to be provided in Table SA1</v>
      </c>
      <c r="AF825" s="969"/>
      <c r="AG825" s="969"/>
    </row>
    <row r="826" spans="2:33" ht="13.2" customHeight="1" x14ac:dyDescent="0.55000000000000004">
      <c r="B826" s="371"/>
      <c r="C826" s="1011">
        <v>55555</v>
      </c>
      <c r="D826" s="361" t="str">
        <f t="shared" si="37"/>
        <v>Other55555</v>
      </c>
      <c r="E826" s="360" t="str">
        <f t="shared" si="33"/>
        <v>TheewaterskloofOther3. Debt impairment includes Impairment and Reversal of Impairment Losses</v>
      </c>
      <c r="F826" s="360" t="str">
        <f>'PART C- Municipal Details'!$G$7</f>
        <v>Theewaterskloof</v>
      </c>
      <c r="G826" s="360" t="s">
        <v>803</v>
      </c>
      <c r="H826" s="366" t="s">
        <v>811</v>
      </c>
      <c r="I826" s="496" t="s">
        <v>795</v>
      </c>
      <c r="J826" s="497" t="s">
        <v>789</v>
      </c>
      <c r="K826" s="490"/>
      <c r="L826" s="465" t="s">
        <v>795</v>
      </c>
      <c r="M826" s="472"/>
      <c r="N826" s="473"/>
      <c r="O826" s="473"/>
      <c r="P826" s="473"/>
      <c r="Q826" s="473"/>
      <c r="R826" s="473"/>
      <c r="S826" s="473"/>
      <c r="T826" s="478"/>
      <c r="U826" s="530">
        <v>0</v>
      </c>
      <c r="V826" s="530">
        <v>0</v>
      </c>
      <c r="W826" s="530">
        <v>0</v>
      </c>
      <c r="X826" s="490"/>
      <c r="Y826" s="969"/>
      <c r="Z826" s="969"/>
      <c r="AA826" s="969"/>
      <c r="AB826" s="969"/>
      <c r="AC826" s="969"/>
      <c r="AD826" s="969"/>
      <c r="AE826" s="969" t="str">
        <f t="shared" si="36"/>
        <v>Theewaterskloof3. Debt impairment includes Impairment and Reversal of Impairment Losses</v>
      </c>
      <c r="AF826" s="969"/>
      <c r="AG826" s="969"/>
    </row>
    <row r="827" spans="2:33" ht="13.2" customHeight="1" x14ac:dyDescent="0.55000000000000004">
      <c r="B827" s="371"/>
      <c r="C827" s="1011">
        <v>55555</v>
      </c>
      <c r="D827" s="360" t="str">
        <f t="shared" si="37"/>
        <v>Other55555</v>
      </c>
      <c r="E827" s="361" t="str">
        <f t="shared" si="33"/>
        <v>TheewaterskloofOther4. Expenditure type components previously shown under repairs and maintenance should be allocated back to the originating expenditure group/item; e.g. employee costs</v>
      </c>
      <c r="F827" s="360" t="str">
        <f>'PART C- Municipal Details'!$G$7</f>
        <v>Theewaterskloof</v>
      </c>
      <c r="G827" s="361" t="s">
        <v>803</v>
      </c>
      <c r="H827" s="363" t="s">
        <v>811</v>
      </c>
      <c r="I827" s="496" t="s">
        <v>775</v>
      </c>
      <c r="J827" s="497" t="s">
        <v>789</v>
      </c>
      <c r="K827" s="490"/>
      <c r="L827" s="465" t="s">
        <v>775</v>
      </c>
      <c r="M827" s="472"/>
      <c r="N827" s="473"/>
      <c r="O827" s="473"/>
      <c r="P827" s="473"/>
      <c r="Q827" s="473"/>
      <c r="R827" s="473"/>
      <c r="S827" s="473"/>
      <c r="T827" s="478"/>
      <c r="U827" s="530">
        <v>0</v>
      </c>
      <c r="V827" s="530">
        <v>0</v>
      </c>
      <c r="W827" s="530">
        <v>0</v>
      </c>
      <c r="X827" s="490"/>
      <c r="Y827" s="969"/>
      <c r="Z827" s="969"/>
      <c r="AA827" s="969"/>
      <c r="AB827" s="969"/>
      <c r="AC827" s="969"/>
      <c r="AD827" s="969"/>
      <c r="AE827" s="969" t="str">
        <f t="shared" si="36"/>
        <v>Theewaterskloof4. Expenditure type components previously shown under repairs and maintenance should be allocated back to the originating expenditure group/item; e.g. employee costs</v>
      </c>
      <c r="AF827" s="969"/>
      <c r="AG827" s="969"/>
    </row>
    <row r="828" spans="2:33" ht="13.2" customHeight="1" x14ac:dyDescent="0.55000000000000004">
      <c r="B828" s="371"/>
      <c r="C828" s="1011">
        <v>55555</v>
      </c>
      <c r="D828" s="361" t="str">
        <f t="shared" si="37"/>
        <v>Other55555</v>
      </c>
      <c r="E828" s="360" t="str">
        <f t="shared" si="33"/>
        <v>TheewaterskloofOther5. Repairs &amp; maintenance detailed in Table A9 and Table SA34c</v>
      </c>
      <c r="F828" s="360" t="str">
        <f>'PART C- Municipal Details'!$G$7</f>
        <v>Theewaterskloof</v>
      </c>
      <c r="G828" s="360" t="s">
        <v>803</v>
      </c>
      <c r="H828" s="366" t="s">
        <v>811</v>
      </c>
      <c r="I828" s="496" t="s">
        <v>777</v>
      </c>
      <c r="J828" s="497" t="s">
        <v>789</v>
      </c>
      <c r="K828" s="490"/>
      <c r="L828" s="465" t="s">
        <v>777</v>
      </c>
      <c r="M828" s="472"/>
      <c r="N828" s="473"/>
      <c r="O828" s="473"/>
      <c r="P828" s="473"/>
      <c r="Q828" s="473"/>
      <c r="R828" s="473"/>
      <c r="S828" s="473"/>
      <c r="T828" s="478"/>
      <c r="U828" s="530">
        <v>0</v>
      </c>
      <c r="V828" s="530">
        <v>0</v>
      </c>
      <c r="W828" s="530">
        <v>0</v>
      </c>
      <c r="X828" s="490"/>
      <c r="Y828" s="969"/>
      <c r="Z828" s="969"/>
      <c r="AA828" s="969"/>
      <c r="AB828" s="969"/>
      <c r="AC828" s="969"/>
      <c r="AD828" s="969"/>
      <c r="AE828" s="969" t="str">
        <f t="shared" si="36"/>
        <v>Theewaterskloof5. Repairs &amp; maintenance detailed in Table A9 and Table SA34c</v>
      </c>
      <c r="AF828" s="969"/>
      <c r="AG828" s="969"/>
    </row>
    <row r="829" spans="2:33" ht="13.2" customHeight="1" x14ac:dyDescent="0.55000000000000004">
      <c r="B829" s="371"/>
      <c r="C829" s="1011">
        <v>55555</v>
      </c>
      <c r="D829" s="360" t="str">
        <f t="shared" si="37"/>
        <v>Other55555</v>
      </c>
      <c r="E829" s="361" t="str">
        <f t="shared" si="33"/>
        <v>TheewaterskloofOther6. Contributions are funds provided by external organisations to assist with infrastructure development; e.g. developer contributions (detail to be provided in Table SA1)</v>
      </c>
      <c r="F829" s="360" t="str">
        <f>'PART C- Municipal Details'!$G$7</f>
        <v>Theewaterskloof</v>
      </c>
      <c r="G829" s="361" t="s">
        <v>803</v>
      </c>
      <c r="H829" s="363" t="s">
        <v>811</v>
      </c>
      <c r="I829" s="496" t="s">
        <v>780</v>
      </c>
      <c r="J829" s="497" t="s">
        <v>789</v>
      </c>
      <c r="K829" s="490"/>
      <c r="L829" s="465" t="s">
        <v>780</v>
      </c>
      <c r="M829" s="472"/>
      <c r="N829" s="473"/>
      <c r="O829" s="473"/>
      <c r="P829" s="473"/>
      <c r="Q829" s="473"/>
      <c r="R829" s="473"/>
      <c r="S829" s="473"/>
      <c r="T829" s="478"/>
      <c r="U829" s="530">
        <v>0</v>
      </c>
      <c r="V829" s="530">
        <v>0</v>
      </c>
      <c r="W829" s="530">
        <v>0</v>
      </c>
      <c r="X829" s="490"/>
      <c r="Y829" s="969"/>
      <c r="Z829" s="969"/>
      <c r="AA829" s="969"/>
      <c r="AB829" s="969"/>
      <c r="AC829" s="969"/>
      <c r="AD829" s="969"/>
      <c r="AE829" s="969" t="str">
        <f t="shared" si="36"/>
        <v>Theewaterskloof6. Contributions are funds provided by external organisations to assist with infrastructure development; e.g. developer contributions (detail to be provided in Table SA1)</v>
      </c>
      <c r="AF829" s="969"/>
      <c r="AG829" s="969"/>
    </row>
    <row r="830" spans="2:33" ht="13.2" customHeight="1" x14ac:dyDescent="0.55000000000000004">
      <c r="B830" s="371"/>
      <c r="C830" s="1011">
        <v>55555</v>
      </c>
      <c r="D830" s="361" t="str">
        <f t="shared" si="37"/>
        <v>Other55555</v>
      </c>
      <c r="E830" s="360" t="str">
        <f t="shared" si="33"/>
        <v>TheewaterskloofOther7. Equity method ( Includes Joint Ventures)</v>
      </c>
      <c r="F830" s="360" t="str">
        <f>'PART C- Municipal Details'!$G$7</f>
        <v>Theewaterskloof</v>
      </c>
      <c r="G830" s="360" t="s">
        <v>803</v>
      </c>
      <c r="H830" s="366" t="s">
        <v>811</v>
      </c>
      <c r="I830" s="496" t="s">
        <v>796</v>
      </c>
      <c r="J830" s="497" t="s">
        <v>789</v>
      </c>
      <c r="K830" s="490"/>
      <c r="L830" s="479" t="s">
        <v>796</v>
      </c>
      <c r="M830" s="480"/>
      <c r="N830" s="481"/>
      <c r="O830" s="481"/>
      <c r="P830" s="481"/>
      <c r="Q830" s="481"/>
      <c r="R830" s="481"/>
      <c r="S830" s="481"/>
      <c r="T830" s="482"/>
      <c r="U830" s="530">
        <v>0</v>
      </c>
      <c r="V830" s="530">
        <v>0</v>
      </c>
      <c r="W830" s="530">
        <v>0</v>
      </c>
      <c r="X830" s="490"/>
      <c r="Y830" s="969"/>
      <c r="Z830" s="969"/>
      <c r="AA830" s="969"/>
      <c r="AB830" s="969"/>
      <c r="AC830" s="969"/>
      <c r="AD830" s="969"/>
      <c r="AE830" s="969" t="str">
        <f t="shared" si="36"/>
        <v>Theewaterskloof7. Equity method ( Includes Joint Ventures)</v>
      </c>
      <c r="AF830" s="969"/>
      <c r="AG830" s="969"/>
    </row>
    <row r="831" spans="2:33" ht="13.2" customHeight="1" x14ac:dyDescent="0.55000000000000004">
      <c r="B831" s="371"/>
      <c r="C831" s="1011">
        <v>55555</v>
      </c>
      <c r="D831" s="360" t="str">
        <f t="shared" si="37"/>
        <v>Other55555</v>
      </c>
      <c r="E831" s="361" t="str">
        <f t="shared" si="33"/>
        <v>TheewaterskloofOther8. All materials consumed including water consumed and materials used in operations.</v>
      </c>
      <c r="F831" s="360" t="str">
        <f>'PART C- Municipal Details'!$G$7</f>
        <v>Theewaterskloof</v>
      </c>
      <c r="G831" s="361" t="s">
        <v>803</v>
      </c>
      <c r="H831" s="363" t="s">
        <v>811</v>
      </c>
      <c r="I831" s="496" t="s">
        <v>797</v>
      </c>
      <c r="J831" s="497" t="s">
        <v>789</v>
      </c>
      <c r="K831" s="490"/>
      <c r="L831" s="501"/>
      <c r="M831" s="502"/>
      <c r="N831" s="503"/>
      <c r="O831" s="503"/>
      <c r="P831" s="503"/>
      <c r="Q831" s="503"/>
      <c r="R831" s="503"/>
      <c r="S831" s="503"/>
      <c r="T831" s="503"/>
      <c r="U831" s="504"/>
      <c r="V831" s="504"/>
      <c r="W831" s="504"/>
      <c r="X831" s="490"/>
      <c r="Y831" s="969"/>
      <c r="Z831" s="969"/>
      <c r="AA831" s="969"/>
      <c r="AB831" s="969"/>
      <c r="AC831" s="969"/>
      <c r="AD831" s="969"/>
      <c r="AE831" s="969" t="str">
        <f t="shared" si="36"/>
        <v>Theewaterskloof</v>
      </c>
      <c r="AF831" s="969"/>
      <c r="AG831" s="969"/>
    </row>
    <row r="832" spans="2:33" ht="13.2" customHeight="1" x14ac:dyDescent="0.55000000000000004">
      <c r="B832" s="371"/>
      <c r="C832" s="1011"/>
      <c r="D832" s="361" t="str">
        <f t="shared" si="37"/>
        <v/>
      </c>
      <c r="E832" s="360" t="str">
        <f t="shared" si="33"/>
        <v>Theewaterskloof</v>
      </c>
      <c r="F832" s="360" t="str">
        <f>'PART C- Municipal Details'!$G$7</f>
        <v>Theewaterskloof</v>
      </c>
      <c r="G832" s="360" t="s">
        <v>803</v>
      </c>
      <c r="H832" s="366"/>
      <c r="I832" s="496"/>
      <c r="J832" s="497"/>
      <c r="K832" s="490"/>
      <c r="L832" s="516"/>
      <c r="M832" s="517"/>
      <c r="N832" s="515"/>
      <c r="O832" s="515"/>
      <c r="P832" s="515"/>
      <c r="Q832" s="515"/>
      <c r="R832" s="515"/>
      <c r="S832" s="515"/>
      <c r="T832" s="515"/>
      <c r="U832" s="517"/>
      <c r="V832" s="517"/>
      <c r="W832" s="517"/>
      <c r="X832" s="490"/>
      <c r="Y832" s="969"/>
      <c r="Z832" s="969"/>
      <c r="AA832" s="969"/>
      <c r="AB832" s="969"/>
      <c r="AC832" s="969"/>
      <c r="AD832" s="969"/>
      <c r="AE832" s="969" t="str">
        <f t="shared" si="36"/>
        <v>Theewaterskloof</v>
      </c>
      <c r="AF832" s="969"/>
      <c r="AG832" s="969"/>
    </row>
    <row r="833" spans="2:33" ht="13.2" customHeight="1" x14ac:dyDescent="0.55000000000000004">
      <c r="B833" s="371"/>
      <c r="C833" s="1010">
        <v>55555</v>
      </c>
      <c r="D833" s="360" t="str">
        <f t="shared" si="37"/>
        <v>Energy sources55555</v>
      </c>
      <c r="E833" s="360" t="str">
        <f t="shared" si="33"/>
        <v>TheewaterskloofEnergy sourceszz</v>
      </c>
      <c r="F833" s="360" t="str">
        <f>'PART C- Municipal Details'!$G$7</f>
        <v>Theewaterskloof</v>
      </c>
      <c r="G833" s="360" t="s">
        <v>812</v>
      </c>
      <c r="H833" s="366" t="s">
        <v>813</v>
      </c>
      <c r="I833" s="496" t="s">
        <v>801</v>
      </c>
      <c r="J833" s="497" t="s">
        <v>651</v>
      </c>
      <c r="K833" s="490"/>
      <c r="L833" s="462" t="s">
        <v>651</v>
      </c>
      <c r="M833" s="362" t="s">
        <v>652</v>
      </c>
      <c r="N833" s="466" t="s">
        <v>653</v>
      </c>
      <c r="O833" s="466" t="s">
        <v>654</v>
      </c>
      <c r="P833" s="467" t="s">
        <v>655</v>
      </c>
      <c r="Q833" s="483" t="s">
        <v>656</v>
      </c>
      <c r="R833" s="468"/>
      <c r="S833" s="468"/>
      <c r="T833" s="467"/>
      <c r="U833" s="527" t="s">
        <v>657</v>
      </c>
      <c r="V833" s="527" t="s">
        <v>657</v>
      </c>
      <c r="W833" s="527" t="s">
        <v>657</v>
      </c>
      <c r="X833" s="490"/>
      <c r="Y833" s="969"/>
      <c r="Z833" s="969"/>
      <c r="AA833" s="969"/>
      <c r="AB833" s="969"/>
      <c r="AC833" s="969"/>
      <c r="AD833" s="969"/>
      <c r="AE833" s="969" t="str">
        <f t="shared" si="36"/>
        <v>TheewaterskloofDescription</v>
      </c>
      <c r="AF833" s="969"/>
      <c r="AG833" s="969"/>
    </row>
    <row r="834" spans="2:33" ht="13.2" customHeight="1" thickBot="1" x14ac:dyDescent="0.6">
      <c r="B834" s="371"/>
      <c r="C834" s="1010">
        <v>55555</v>
      </c>
      <c r="D834" s="361" t="str">
        <f t="shared" si="37"/>
        <v>Energy sources55555</v>
      </c>
      <c r="E834" s="361" t="str">
        <f t="shared" si="33"/>
        <v>TheewaterskloofEnergy sourcesz</v>
      </c>
      <c r="F834" s="360" t="str">
        <f>'PART C- Municipal Details'!$G$7</f>
        <v>Theewaterskloof</v>
      </c>
      <c r="G834" s="361" t="s">
        <v>812</v>
      </c>
      <c r="H834" s="363" t="s">
        <v>813</v>
      </c>
      <c r="I834" s="496" t="s">
        <v>802</v>
      </c>
      <c r="J834" s="497" t="s">
        <v>650</v>
      </c>
      <c r="K834" s="490"/>
      <c r="L834" s="365" t="s">
        <v>659</v>
      </c>
      <c r="M834" s="364" t="s">
        <v>660</v>
      </c>
      <c r="N834" s="469" t="s">
        <v>661</v>
      </c>
      <c r="O834" s="469" t="s">
        <v>661</v>
      </c>
      <c r="P834" s="470" t="s">
        <v>661</v>
      </c>
      <c r="Q834" s="471" t="s">
        <v>662</v>
      </c>
      <c r="R834" s="469" t="s">
        <v>663</v>
      </c>
      <c r="S834" s="469" t="s">
        <v>664</v>
      </c>
      <c r="T834" s="470" t="s">
        <v>665</v>
      </c>
      <c r="U834" s="528" t="s">
        <v>666</v>
      </c>
      <c r="V834" s="528" t="s">
        <v>666</v>
      </c>
      <c r="W834" s="528" t="s">
        <v>666</v>
      </c>
      <c r="X834" s="490"/>
      <c r="Y834" s="969"/>
      <c r="Z834" s="969"/>
      <c r="AA834" s="969"/>
      <c r="AB834" s="969"/>
      <c r="AC834" s="969"/>
      <c r="AD834" s="969"/>
      <c r="AE834" s="969" t="str">
        <f t="shared" si="36"/>
        <v>TheewaterskloofR thousands</v>
      </c>
      <c r="AF834" s="969"/>
      <c r="AG834" s="969"/>
    </row>
    <row r="835" spans="2:33" ht="13.2" customHeight="1" x14ac:dyDescent="0.55000000000000004">
      <c r="B835" s="371"/>
      <c r="C835" s="1008" t="s">
        <v>667</v>
      </c>
      <c r="D835" s="360" t="str">
        <f t="shared" si="37"/>
        <v>Energy sources0100</v>
      </c>
      <c r="E835" s="360" t="str">
        <f t="shared" si="33"/>
        <v>TheewaterskloofEnergy sourcesz</v>
      </c>
      <c r="F835" s="360" t="str">
        <f>'PART C- Municipal Details'!$G$7</f>
        <v>Theewaterskloof</v>
      </c>
      <c r="G835" s="360" t="s">
        <v>812</v>
      </c>
      <c r="H835" s="366" t="s">
        <v>813</v>
      </c>
      <c r="I835" s="496" t="s">
        <v>802</v>
      </c>
      <c r="J835" s="497" t="s">
        <v>658</v>
      </c>
      <c r="K835" s="490"/>
      <c r="L835" s="505" t="s">
        <v>162</v>
      </c>
      <c r="M835" s="506"/>
      <c r="N835" s="507"/>
      <c r="O835" s="507"/>
      <c r="P835" s="507"/>
      <c r="Q835" s="507"/>
      <c r="R835" s="507"/>
      <c r="S835" s="507"/>
      <c r="T835" s="507"/>
      <c r="U835" s="529">
        <v>0</v>
      </c>
      <c r="V835" s="529">
        <v>0</v>
      </c>
      <c r="W835" s="529">
        <v>0</v>
      </c>
      <c r="X835" s="490"/>
      <c r="Y835" s="969"/>
      <c r="Z835" s="969"/>
      <c r="AA835" s="969"/>
      <c r="AB835" s="969"/>
      <c r="AC835" s="969"/>
      <c r="AD835" s="969"/>
      <c r="AE835" s="969" t="str">
        <f t="shared" si="36"/>
        <v>TheewaterskloofRevenue</v>
      </c>
      <c r="AF835" s="969"/>
      <c r="AG835" s="969"/>
    </row>
    <row r="836" spans="2:33" ht="13.2" customHeight="1" x14ac:dyDescent="0.55000000000000004">
      <c r="B836" s="371"/>
      <c r="C836" s="1009" t="s">
        <v>668</v>
      </c>
      <c r="D836" s="361" t="str">
        <f t="shared" si="37"/>
        <v>Energy sources0200</v>
      </c>
      <c r="E836" s="361" t="str">
        <f t="shared" si="33"/>
        <v>TheewaterskloofEnergy sourcesz</v>
      </c>
      <c r="F836" s="360" t="str">
        <f>'PART C- Municipal Details'!$G$7</f>
        <v>Theewaterskloof</v>
      </c>
      <c r="G836" s="361" t="s">
        <v>812</v>
      </c>
      <c r="H836" s="363" t="s">
        <v>813</v>
      </c>
      <c r="I836" s="496" t="s">
        <v>802</v>
      </c>
      <c r="J836" s="497" t="s">
        <v>0</v>
      </c>
      <c r="K836" s="490"/>
      <c r="L836" s="463" t="s">
        <v>670</v>
      </c>
      <c r="M836" s="459"/>
      <c r="N836" s="460"/>
      <c r="O836" s="460"/>
      <c r="P836" s="460"/>
      <c r="Q836" s="460"/>
      <c r="R836" s="460"/>
      <c r="S836" s="460"/>
      <c r="T836" s="460"/>
      <c r="U836" s="530">
        <v>0</v>
      </c>
      <c r="V836" s="530">
        <v>0</v>
      </c>
      <c r="W836" s="530">
        <v>0</v>
      </c>
      <c r="X836" s="490"/>
      <c r="Y836" s="969"/>
      <c r="Z836" s="969"/>
      <c r="AA836" s="969"/>
      <c r="AB836" s="969"/>
      <c r="AC836" s="969"/>
      <c r="AD836" s="969"/>
      <c r="AE836" s="969" t="str">
        <f t="shared" si="36"/>
        <v>TheewaterskloofExchange Revenue</v>
      </c>
      <c r="AF836" s="969"/>
      <c r="AG836" s="969"/>
    </row>
    <row r="837" spans="2:33" ht="13.2" customHeight="1" x14ac:dyDescent="0.55000000000000004">
      <c r="B837" s="371"/>
      <c r="C837" s="1010" t="s">
        <v>671</v>
      </c>
      <c r="D837" s="360" t="str">
        <f t="shared" si="37"/>
        <v>Energy sources0300</v>
      </c>
      <c r="E837" s="360" t="str">
        <f t="shared" si="33"/>
        <v>TheewaterskloofEnergy sourcesService charges - electricity revenue</v>
      </c>
      <c r="F837" s="360" t="str">
        <f>'PART C- Municipal Details'!$G$7</f>
        <v>Theewaterskloof</v>
      </c>
      <c r="G837" s="360" t="s">
        <v>812</v>
      </c>
      <c r="H837" s="366" t="s">
        <v>813</v>
      </c>
      <c r="I837" s="496" t="s">
        <v>669</v>
      </c>
      <c r="J837" s="497" t="s">
        <v>669</v>
      </c>
      <c r="K837" s="490"/>
      <c r="L837" s="463" t="s">
        <v>673</v>
      </c>
      <c r="M837" s="459"/>
      <c r="N837" s="461"/>
      <c r="O837" s="461"/>
      <c r="P837" s="461"/>
      <c r="Q837" s="461"/>
      <c r="R837" s="461"/>
      <c r="S837" s="461"/>
      <c r="T837" s="461"/>
      <c r="U837" s="530">
        <v>179259480</v>
      </c>
      <c r="V837" s="530">
        <v>185354301</v>
      </c>
      <c r="W837" s="530">
        <v>191285640</v>
      </c>
      <c r="X837" s="490"/>
      <c r="Y837" s="969"/>
      <c r="Z837" s="969"/>
      <c r="AA837" s="969"/>
      <c r="AB837" s="969"/>
      <c r="AC837" s="969"/>
      <c r="AD837" s="969"/>
      <c r="AE837" s="969" t="str">
        <f t="shared" si="36"/>
        <v>TheewaterskloofService charges - Electricity</v>
      </c>
      <c r="AF837" s="969"/>
      <c r="AG837" s="969"/>
    </row>
    <row r="838" spans="2:33" ht="13.2" customHeight="1" x14ac:dyDescent="0.55000000000000004">
      <c r="B838" s="371"/>
      <c r="C838" s="1010" t="s">
        <v>674</v>
      </c>
      <c r="D838" s="361" t="str">
        <f t="shared" si="37"/>
        <v>Energy sources0400</v>
      </c>
      <c r="E838" s="361" t="str">
        <f t="shared" si="33"/>
        <v>TheewaterskloofEnergy sourcesService charges - water revenue</v>
      </c>
      <c r="F838" s="360" t="str">
        <f>'PART C- Municipal Details'!$G$7</f>
        <v>Theewaterskloof</v>
      </c>
      <c r="G838" s="361" t="s">
        <v>812</v>
      </c>
      <c r="H838" s="363" t="s">
        <v>813</v>
      </c>
      <c r="I838" s="496" t="s">
        <v>672</v>
      </c>
      <c r="J838" s="497" t="s">
        <v>672</v>
      </c>
      <c r="K838" s="490"/>
      <c r="L838" s="463" t="s">
        <v>676</v>
      </c>
      <c r="M838" s="459"/>
      <c r="N838" s="461"/>
      <c r="O838" s="461"/>
      <c r="P838" s="461"/>
      <c r="Q838" s="461"/>
      <c r="R838" s="461"/>
      <c r="S838" s="461"/>
      <c r="T838" s="461"/>
      <c r="U838" s="530">
        <v>0</v>
      </c>
      <c r="V838" s="530">
        <v>0</v>
      </c>
      <c r="W838" s="530">
        <v>0</v>
      </c>
      <c r="X838" s="490"/>
      <c r="Y838" s="969"/>
      <c r="Z838" s="969"/>
      <c r="AA838" s="969"/>
      <c r="AB838" s="969"/>
      <c r="AC838" s="969"/>
      <c r="AD838" s="969"/>
      <c r="AE838" s="969" t="str">
        <f t="shared" si="36"/>
        <v>TheewaterskloofService charges - Water</v>
      </c>
      <c r="AF838" s="969"/>
      <c r="AG838" s="969"/>
    </row>
    <row r="839" spans="2:33" ht="13.2" customHeight="1" x14ac:dyDescent="0.55000000000000004">
      <c r="B839" s="371"/>
      <c r="C839" s="1010" t="s">
        <v>677</v>
      </c>
      <c r="D839" s="360" t="str">
        <f t="shared" si="37"/>
        <v>Energy sources0500</v>
      </c>
      <c r="E839" s="360" t="str">
        <f t="shared" si="33"/>
        <v>TheewaterskloofEnergy sourcesService charges - sanitation revenue</v>
      </c>
      <c r="F839" s="360" t="str">
        <f>'PART C- Municipal Details'!$G$7</f>
        <v>Theewaterskloof</v>
      </c>
      <c r="G839" s="360" t="s">
        <v>812</v>
      </c>
      <c r="H839" s="366" t="s">
        <v>813</v>
      </c>
      <c r="I839" s="496" t="s">
        <v>675</v>
      </c>
      <c r="J839" s="497" t="s">
        <v>675</v>
      </c>
      <c r="K839" s="490"/>
      <c r="L839" s="463" t="s">
        <v>679</v>
      </c>
      <c r="M839" s="459"/>
      <c r="N839" s="461"/>
      <c r="O839" s="461"/>
      <c r="P839" s="461"/>
      <c r="Q839" s="461"/>
      <c r="R839" s="461"/>
      <c r="S839" s="461"/>
      <c r="T839" s="461"/>
      <c r="U839" s="530">
        <v>0</v>
      </c>
      <c r="V839" s="530">
        <v>0</v>
      </c>
      <c r="W839" s="530">
        <v>0</v>
      </c>
      <c r="X839" s="490"/>
      <c r="Y839" s="969"/>
      <c r="Z839" s="969"/>
      <c r="AA839" s="969"/>
      <c r="AB839" s="969"/>
      <c r="AC839" s="969"/>
      <c r="AD839" s="969"/>
      <c r="AE839" s="969" t="str">
        <f t="shared" si="36"/>
        <v>TheewaterskloofService charges - Waste Water Management</v>
      </c>
      <c r="AF839" s="969"/>
      <c r="AG839" s="969"/>
    </row>
    <row r="840" spans="2:33" ht="13.2" customHeight="1" x14ac:dyDescent="0.55000000000000004">
      <c r="B840" s="371"/>
      <c r="C840" s="1010" t="s">
        <v>680</v>
      </c>
      <c r="D840" s="361" t="str">
        <f t="shared" si="37"/>
        <v>Energy sources0600</v>
      </c>
      <c r="E840" s="361" t="str">
        <f t="shared" si="33"/>
        <v>TheewaterskloofEnergy sourcesService charges - refuse revenue</v>
      </c>
      <c r="F840" s="360" t="str">
        <f>'PART C- Municipal Details'!$G$7</f>
        <v>Theewaterskloof</v>
      </c>
      <c r="G840" s="361" t="s">
        <v>812</v>
      </c>
      <c r="H840" s="363" t="s">
        <v>813</v>
      </c>
      <c r="I840" s="496" t="s">
        <v>678</v>
      </c>
      <c r="J840" s="497" t="s">
        <v>678</v>
      </c>
      <c r="K840" s="490"/>
      <c r="L840" s="463" t="s">
        <v>682</v>
      </c>
      <c r="M840" s="459"/>
      <c r="N840" s="461"/>
      <c r="O840" s="461"/>
      <c r="P840" s="461"/>
      <c r="Q840" s="461"/>
      <c r="R840" s="461"/>
      <c r="S840" s="461"/>
      <c r="T840" s="461"/>
      <c r="U840" s="530">
        <v>0</v>
      </c>
      <c r="V840" s="530">
        <v>0</v>
      </c>
      <c r="W840" s="530">
        <v>0</v>
      </c>
      <c r="X840" s="490"/>
      <c r="Y840" s="969"/>
      <c r="Z840" s="969"/>
      <c r="AA840" s="969"/>
      <c r="AB840" s="969"/>
      <c r="AC840" s="969"/>
      <c r="AD840" s="969"/>
      <c r="AE840" s="969" t="str">
        <f t="shared" si="36"/>
        <v>TheewaterskloofService charges - Waste Management</v>
      </c>
      <c r="AF840" s="969"/>
      <c r="AG840" s="969"/>
    </row>
    <row r="841" spans="2:33" ht="13.2" customHeight="1" x14ac:dyDescent="0.55000000000000004">
      <c r="B841" s="371"/>
      <c r="C841" s="1010" t="s">
        <v>683</v>
      </c>
      <c r="D841" s="360" t="str">
        <f t="shared" si="37"/>
        <v>Energy sources0700</v>
      </c>
      <c r="E841" s="360" t="str">
        <f t="shared" si="33"/>
        <v>TheewaterskloofEnergy sourcesOther revenue</v>
      </c>
      <c r="F841" s="360" t="str">
        <f>'PART C- Municipal Details'!$G$7</f>
        <v>Theewaterskloof</v>
      </c>
      <c r="G841" s="360" t="s">
        <v>812</v>
      </c>
      <c r="H841" s="366" t="s">
        <v>813</v>
      </c>
      <c r="I841" s="496" t="s">
        <v>7</v>
      </c>
      <c r="J841" s="497" t="s">
        <v>681</v>
      </c>
      <c r="K841" s="490"/>
      <c r="L841" s="463" t="s">
        <v>684</v>
      </c>
      <c r="M841" s="459"/>
      <c r="N841" s="461"/>
      <c r="O841" s="461"/>
      <c r="P841" s="461"/>
      <c r="Q841" s="461"/>
      <c r="R841" s="461"/>
      <c r="S841" s="461"/>
      <c r="T841" s="461"/>
      <c r="U841" s="530">
        <v>0</v>
      </c>
      <c r="V841" s="530">
        <v>0</v>
      </c>
      <c r="W841" s="530">
        <v>0</v>
      </c>
      <c r="X841" s="490"/>
      <c r="Y841" s="969"/>
      <c r="Z841" s="969"/>
      <c r="AA841" s="969"/>
      <c r="AB841" s="969"/>
      <c r="AC841" s="969"/>
      <c r="AD841" s="969"/>
      <c r="AE841" s="969" t="str">
        <f t="shared" si="36"/>
        <v>TheewaterskloofSale of Goods and Rendering of Services</v>
      </c>
      <c r="AF841" s="969"/>
      <c r="AG841" s="969"/>
    </row>
    <row r="842" spans="2:33" ht="13.2" customHeight="1" x14ac:dyDescent="0.55000000000000004">
      <c r="B842" s="371"/>
      <c r="C842" s="1010" t="s">
        <v>685</v>
      </c>
      <c r="D842" s="361" t="str">
        <f t="shared" si="37"/>
        <v>Energy sources0800</v>
      </c>
      <c r="E842" s="361" t="str">
        <f t="shared" si="33"/>
        <v>TheewaterskloofEnergy sourcesAgency services</v>
      </c>
      <c r="F842" s="360" t="str">
        <f>'PART C- Municipal Details'!$G$7</f>
        <v>Theewaterskloof</v>
      </c>
      <c r="G842" s="361" t="s">
        <v>812</v>
      </c>
      <c r="H842" s="363" t="s">
        <v>813</v>
      </c>
      <c r="I842" s="496" t="s">
        <v>6</v>
      </c>
      <c r="J842" s="497" t="s">
        <v>1</v>
      </c>
      <c r="K842" s="490"/>
      <c r="L842" s="463" t="s">
        <v>6</v>
      </c>
      <c r="M842" s="459"/>
      <c r="N842" s="461"/>
      <c r="O842" s="461"/>
      <c r="P842" s="461"/>
      <c r="Q842" s="461"/>
      <c r="R842" s="461"/>
      <c r="S842" s="461"/>
      <c r="T842" s="461"/>
      <c r="U842" s="530">
        <v>0</v>
      </c>
      <c r="V842" s="530">
        <v>0</v>
      </c>
      <c r="W842" s="530">
        <v>0</v>
      </c>
      <c r="X842" s="490"/>
      <c r="Y842" s="969"/>
      <c r="Z842" s="969"/>
      <c r="AA842" s="969"/>
      <c r="AB842" s="969"/>
      <c r="AC842" s="969"/>
      <c r="AD842" s="969"/>
      <c r="AE842" s="969" t="str">
        <f t="shared" si="36"/>
        <v>TheewaterskloofAgency services</v>
      </c>
      <c r="AF842" s="969"/>
      <c r="AG842" s="969"/>
    </row>
    <row r="843" spans="2:33" ht="13.2" customHeight="1" x14ac:dyDescent="0.55000000000000004">
      <c r="B843" s="371"/>
      <c r="C843" s="1010" t="s">
        <v>686</v>
      </c>
      <c r="D843" s="360" t="str">
        <f t="shared" si="37"/>
        <v>Energy sources0900</v>
      </c>
      <c r="E843" s="360" t="str">
        <f t="shared" si="33"/>
        <v>TheewaterskloofEnergy sourcesInterest earned - external investments</v>
      </c>
      <c r="F843" s="360" t="str">
        <f>'PART C- Municipal Details'!$G$7</f>
        <v>Theewaterskloof</v>
      </c>
      <c r="G843" s="360" t="s">
        <v>812</v>
      </c>
      <c r="H843" s="366" t="s">
        <v>813</v>
      </c>
      <c r="I843" s="496" t="s">
        <v>2</v>
      </c>
      <c r="J843" s="497" t="s">
        <v>2</v>
      </c>
      <c r="K843" s="490"/>
      <c r="L843" s="463" t="s">
        <v>687</v>
      </c>
      <c r="M843" s="459"/>
      <c r="N843" s="461"/>
      <c r="O843" s="461"/>
      <c r="P843" s="461"/>
      <c r="Q843" s="461"/>
      <c r="R843" s="461"/>
      <c r="S843" s="461"/>
      <c r="T843" s="461"/>
      <c r="U843" s="530">
        <v>0</v>
      </c>
      <c r="V843" s="530">
        <v>0</v>
      </c>
      <c r="W843" s="530">
        <v>0</v>
      </c>
      <c r="X843" s="490"/>
      <c r="Y843" s="969"/>
      <c r="Z843" s="969"/>
      <c r="AA843" s="969"/>
      <c r="AB843" s="969"/>
      <c r="AC843" s="969"/>
      <c r="AD843" s="969"/>
      <c r="AE843" s="969" t="str">
        <f t="shared" si="36"/>
        <v>TheewaterskloofInterest</v>
      </c>
      <c r="AF843" s="969"/>
      <c r="AG843" s="969"/>
    </row>
    <row r="844" spans="2:33" ht="13.2" customHeight="1" x14ac:dyDescent="0.55000000000000004">
      <c r="B844" s="371"/>
      <c r="C844" s="1010" t="s">
        <v>688</v>
      </c>
      <c r="D844" s="361" t="str">
        <f t="shared" si="37"/>
        <v>Energy sources1000</v>
      </c>
      <c r="E844" s="361" t="str">
        <f t="shared" si="33"/>
        <v>TheewaterskloofEnergy sourcesInterest earned - outstanding debtors</v>
      </c>
      <c r="F844" s="360" t="str">
        <f>'PART C- Municipal Details'!$G$7</f>
        <v>Theewaterskloof</v>
      </c>
      <c r="G844" s="361" t="s">
        <v>812</v>
      </c>
      <c r="H844" s="363" t="s">
        <v>813</v>
      </c>
      <c r="I844" s="496" t="s">
        <v>3</v>
      </c>
      <c r="J844" s="497" t="s">
        <v>3</v>
      </c>
      <c r="K844" s="490"/>
      <c r="L844" s="463" t="s">
        <v>689</v>
      </c>
      <c r="M844" s="459"/>
      <c r="N844" s="461"/>
      <c r="O844" s="461"/>
      <c r="P844" s="461"/>
      <c r="Q844" s="461"/>
      <c r="R844" s="461"/>
      <c r="S844" s="461"/>
      <c r="T844" s="461"/>
      <c r="U844" s="530">
        <v>0</v>
      </c>
      <c r="V844" s="530">
        <v>0</v>
      </c>
      <c r="W844" s="530">
        <v>0</v>
      </c>
      <c r="X844" s="490"/>
      <c r="Y844" s="969"/>
      <c r="Z844" s="969"/>
      <c r="AA844" s="969"/>
      <c r="AB844" s="969"/>
      <c r="AC844" s="969"/>
      <c r="AD844" s="969"/>
      <c r="AE844" s="969" t="str">
        <f t="shared" si="36"/>
        <v>TheewaterskloofInterest earned from Receivables</v>
      </c>
      <c r="AF844" s="969"/>
      <c r="AG844" s="969"/>
    </row>
    <row r="845" spans="2:33" ht="13.2" customHeight="1" x14ac:dyDescent="0.55000000000000004">
      <c r="B845" s="371"/>
      <c r="C845" s="1010" t="s">
        <v>690</v>
      </c>
      <c r="D845" s="360" t="str">
        <f t="shared" si="37"/>
        <v>Energy sources1100</v>
      </c>
      <c r="E845" s="360" t="str">
        <f t="shared" si="33"/>
        <v>TheewaterskloofEnergy sourcesInterest earned - external investments</v>
      </c>
      <c r="F845" s="360" t="str">
        <f>'PART C- Municipal Details'!$G$7</f>
        <v>Theewaterskloof</v>
      </c>
      <c r="G845" s="360" t="s">
        <v>812</v>
      </c>
      <c r="H845" s="366" t="s">
        <v>813</v>
      </c>
      <c r="I845" s="496" t="s">
        <v>2</v>
      </c>
      <c r="J845" s="497" t="s">
        <v>4</v>
      </c>
      <c r="K845" s="490"/>
      <c r="L845" s="463" t="s">
        <v>692</v>
      </c>
      <c r="M845" s="459"/>
      <c r="N845" s="461"/>
      <c r="O845" s="461"/>
      <c r="P845" s="461"/>
      <c r="Q845" s="461"/>
      <c r="R845" s="461"/>
      <c r="S845" s="461"/>
      <c r="T845" s="461"/>
      <c r="U845" s="530">
        <v>220000</v>
      </c>
      <c r="V845" s="530">
        <v>227480</v>
      </c>
      <c r="W845" s="530">
        <v>234759</v>
      </c>
      <c r="X845" s="490"/>
      <c r="Y845" s="969"/>
      <c r="Z845" s="969"/>
      <c r="AA845" s="969"/>
      <c r="AB845" s="969"/>
      <c r="AC845" s="969"/>
      <c r="AD845" s="969"/>
      <c r="AE845" s="969" t="str">
        <f t="shared" si="36"/>
        <v>TheewaterskloofInterest earned from Current and Non Current Assets</v>
      </c>
      <c r="AF845" s="969"/>
      <c r="AG845" s="969"/>
    </row>
    <row r="846" spans="2:33" ht="13.2" customHeight="1" x14ac:dyDescent="0.55000000000000004">
      <c r="B846" s="371"/>
      <c r="C846" s="1010" t="s">
        <v>693</v>
      </c>
      <c r="D846" s="361" t="str">
        <f t="shared" si="37"/>
        <v>Energy sources1200</v>
      </c>
      <c r="E846" s="361" t="str">
        <f t="shared" si="33"/>
        <v>TheewaterskloofEnergy sourcesDividends received</v>
      </c>
      <c r="F846" s="360" t="str">
        <f>'PART C- Municipal Details'!$G$7</f>
        <v>Theewaterskloof</v>
      </c>
      <c r="G846" s="361" t="s">
        <v>812</v>
      </c>
      <c r="H846" s="363" t="s">
        <v>813</v>
      </c>
      <c r="I846" s="496" t="s">
        <v>4</v>
      </c>
      <c r="J846" s="497" t="s">
        <v>691</v>
      </c>
      <c r="K846" s="490"/>
      <c r="L846" s="463" t="s">
        <v>694</v>
      </c>
      <c r="M846" s="459"/>
      <c r="N846" s="461"/>
      <c r="O846" s="461"/>
      <c r="P846" s="461"/>
      <c r="Q846" s="461"/>
      <c r="R846" s="461"/>
      <c r="S846" s="461"/>
      <c r="T846" s="461"/>
      <c r="U846" s="530">
        <v>0</v>
      </c>
      <c r="V846" s="530">
        <v>0</v>
      </c>
      <c r="W846" s="530">
        <v>0</v>
      </c>
      <c r="X846" s="490"/>
      <c r="Y846" s="969"/>
      <c r="Z846" s="969"/>
      <c r="AA846" s="969"/>
      <c r="AB846" s="969"/>
      <c r="AC846" s="969"/>
      <c r="AD846" s="969"/>
      <c r="AE846" s="969" t="str">
        <f t="shared" si="36"/>
        <v>TheewaterskloofDividends</v>
      </c>
      <c r="AF846" s="969"/>
      <c r="AG846" s="969"/>
    </row>
    <row r="847" spans="2:33" ht="13.2" customHeight="1" x14ac:dyDescent="0.55000000000000004">
      <c r="B847" s="371"/>
      <c r="C847" s="1010" t="s">
        <v>695</v>
      </c>
      <c r="D847" s="360" t="str">
        <f t="shared" si="37"/>
        <v>Energy sources1300</v>
      </c>
      <c r="E847" s="360" t="str">
        <f t="shared" si="33"/>
        <v>TheewaterskloofEnergy sourcesRental of facilities and equipment</v>
      </c>
      <c r="F847" s="360" t="str">
        <f>'PART C- Municipal Details'!$G$7</f>
        <v>Theewaterskloof</v>
      </c>
      <c r="G847" s="360" t="s">
        <v>812</v>
      </c>
      <c r="H847" s="366" t="s">
        <v>813</v>
      </c>
      <c r="I847" s="496" t="s">
        <v>1</v>
      </c>
      <c r="J847" s="497" t="s">
        <v>5</v>
      </c>
      <c r="K847" s="490"/>
      <c r="L847" s="463" t="s">
        <v>696</v>
      </c>
      <c r="M847" s="459"/>
      <c r="N847" s="461"/>
      <c r="O847" s="461"/>
      <c r="P847" s="461"/>
      <c r="Q847" s="461"/>
      <c r="R847" s="461"/>
      <c r="S847" s="461"/>
      <c r="T847" s="461"/>
      <c r="U847" s="530">
        <v>0</v>
      </c>
      <c r="V847" s="530">
        <v>0</v>
      </c>
      <c r="W847" s="530">
        <v>0</v>
      </c>
      <c r="X847" s="490"/>
      <c r="Y847" s="969"/>
      <c r="Z847" s="969"/>
      <c r="AA847" s="969"/>
      <c r="AB847" s="969"/>
      <c r="AC847" s="969"/>
      <c r="AD847" s="969"/>
      <c r="AE847" s="969" t="str">
        <f t="shared" si="36"/>
        <v>TheewaterskloofRent on Land</v>
      </c>
      <c r="AF847" s="969"/>
      <c r="AG847" s="969"/>
    </row>
    <row r="848" spans="2:33" ht="13.2" customHeight="1" x14ac:dyDescent="0.55000000000000004">
      <c r="B848" s="371"/>
      <c r="C848" s="1010" t="s">
        <v>697</v>
      </c>
      <c r="D848" s="361" t="str">
        <f t="shared" si="37"/>
        <v>Energy sources1400</v>
      </c>
      <c r="E848" s="361" t="str">
        <f t="shared" si="33"/>
        <v>TheewaterskloofEnergy sourcesRental of facilities and equipment</v>
      </c>
      <c r="F848" s="360" t="str">
        <f>'PART C- Municipal Details'!$G$7</f>
        <v>Theewaterskloof</v>
      </c>
      <c r="G848" s="361" t="s">
        <v>812</v>
      </c>
      <c r="H848" s="363" t="s">
        <v>813</v>
      </c>
      <c r="I848" s="496" t="s">
        <v>1</v>
      </c>
      <c r="J848" s="497" t="s">
        <v>6</v>
      </c>
      <c r="K848" s="490"/>
      <c r="L848" s="463" t="s">
        <v>699</v>
      </c>
      <c r="M848" s="459"/>
      <c r="N848" s="461"/>
      <c r="O848" s="461"/>
      <c r="P848" s="461"/>
      <c r="Q848" s="461"/>
      <c r="R848" s="461"/>
      <c r="S848" s="461"/>
      <c r="T848" s="461"/>
      <c r="U848" s="530">
        <v>0</v>
      </c>
      <c r="V848" s="530">
        <v>0</v>
      </c>
      <c r="W848" s="530">
        <v>0</v>
      </c>
      <c r="X848" s="490"/>
      <c r="Y848" s="969"/>
      <c r="Z848" s="969"/>
      <c r="AA848" s="969"/>
      <c r="AB848" s="969"/>
      <c r="AC848" s="969"/>
      <c r="AD848" s="969"/>
      <c r="AE848" s="969" t="str">
        <f t="shared" si="36"/>
        <v>TheewaterskloofRental from Fixed Assets</v>
      </c>
      <c r="AF848" s="969"/>
      <c r="AG848" s="969"/>
    </row>
    <row r="849" spans="2:33" ht="13.2" customHeight="1" x14ac:dyDescent="0.55000000000000004">
      <c r="B849" s="371"/>
      <c r="C849" s="1010" t="s">
        <v>700</v>
      </c>
      <c r="D849" s="360" t="str">
        <f t="shared" si="37"/>
        <v>Energy sources1500</v>
      </c>
      <c r="E849" s="360" t="str">
        <f t="shared" si="33"/>
        <v>TheewaterskloofEnergy sourcesLicences and permits</v>
      </c>
      <c r="F849" s="360" t="str">
        <f>'PART C- Municipal Details'!$G$7</f>
        <v>Theewaterskloof</v>
      </c>
      <c r="G849" s="360" t="s">
        <v>812</v>
      </c>
      <c r="H849" s="366" t="s">
        <v>813</v>
      </c>
      <c r="I849" s="496" t="s">
        <v>5</v>
      </c>
      <c r="J849" s="497" t="s">
        <v>698</v>
      </c>
      <c r="K849" s="490"/>
      <c r="L849" s="463" t="s">
        <v>701</v>
      </c>
      <c r="M849" s="459"/>
      <c r="N849" s="461"/>
      <c r="O849" s="461"/>
      <c r="P849" s="461"/>
      <c r="Q849" s="461"/>
      <c r="R849" s="461"/>
      <c r="S849" s="461"/>
      <c r="T849" s="461"/>
      <c r="U849" s="530">
        <v>0</v>
      </c>
      <c r="V849" s="530">
        <v>0</v>
      </c>
      <c r="W849" s="530">
        <v>0</v>
      </c>
      <c r="X849" s="490"/>
      <c r="Y849" s="969"/>
      <c r="Z849" s="969"/>
      <c r="AA849" s="969"/>
      <c r="AB849" s="969"/>
      <c r="AC849" s="969"/>
      <c r="AD849" s="969"/>
      <c r="AE849" s="969" t="str">
        <f t="shared" ref="AE849:AE877" si="38">F849&amp;L849</f>
        <v>TheewaterskloofLicence and permits</v>
      </c>
      <c r="AF849" s="969"/>
      <c r="AG849" s="969"/>
    </row>
    <row r="850" spans="2:33" ht="13.2" customHeight="1" x14ac:dyDescent="0.55000000000000004">
      <c r="B850" s="371"/>
      <c r="C850" s="1324" t="s">
        <v>1569</v>
      </c>
      <c r="D850" s="360" t="str">
        <f t="shared" si="37"/>
        <v>Energy sources1550</v>
      </c>
      <c r="E850" s="360" t="str">
        <f t="shared" ref="E850" si="39">F850&amp;H850&amp;I850</f>
        <v>TheewaterskloofEnergy sourcesSpecial rating Levies</v>
      </c>
      <c r="F850" s="360" t="str">
        <f>'PART C- Municipal Details'!$G$7</f>
        <v>Theewaterskloof</v>
      </c>
      <c r="G850" s="360" t="s">
        <v>812</v>
      </c>
      <c r="H850" s="366" t="s">
        <v>813</v>
      </c>
      <c r="I850" s="496" t="s">
        <v>1568</v>
      </c>
      <c r="J850" s="497" t="s">
        <v>7</v>
      </c>
      <c r="K850" s="490"/>
      <c r="L850" s="463" t="s">
        <v>1567</v>
      </c>
      <c r="M850" s="459"/>
      <c r="N850" s="461"/>
      <c r="O850" s="461"/>
      <c r="P850" s="461"/>
      <c r="Q850" s="461"/>
      <c r="R850" s="461"/>
      <c r="S850" s="461"/>
      <c r="T850" s="461"/>
      <c r="U850" s="530">
        <v>0</v>
      </c>
      <c r="V850" s="530">
        <v>0</v>
      </c>
      <c r="W850" s="530">
        <v>0</v>
      </c>
      <c r="X850" s="490"/>
      <c r="Y850" s="969"/>
      <c r="Z850" s="969"/>
      <c r="AA850" s="969"/>
      <c r="AB850" s="969"/>
      <c r="AC850" s="969"/>
      <c r="AD850" s="969"/>
      <c r="AE850" s="969"/>
      <c r="AF850" s="969"/>
      <c r="AG850" s="969"/>
    </row>
    <row r="851" spans="2:33" ht="13.2" customHeight="1" x14ac:dyDescent="0.55000000000000004">
      <c r="B851" s="371"/>
      <c r="C851" s="1010" t="s">
        <v>702</v>
      </c>
      <c r="D851" s="361" t="str">
        <f t="shared" si="37"/>
        <v>Energy sources1600</v>
      </c>
      <c r="E851" s="361" t="str">
        <f t="shared" si="33"/>
        <v>TheewaterskloofEnergy sourcesOther revenue</v>
      </c>
      <c r="F851" s="360" t="str">
        <f>'PART C- Municipal Details'!$G$7</f>
        <v>Theewaterskloof</v>
      </c>
      <c r="G851" s="361" t="s">
        <v>812</v>
      </c>
      <c r="H851" s="363" t="s">
        <v>813</v>
      </c>
      <c r="I851" s="496" t="s">
        <v>7</v>
      </c>
      <c r="J851" s="497" t="s">
        <v>7</v>
      </c>
      <c r="K851" s="490"/>
      <c r="L851" s="463" t="s">
        <v>704</v>
      </c>
      <c r="M851" s="459"/>
      <c r="N851" s="461"/>
      <c r="O851" s="461"/>
      <c r="P851" s="461"/>
      <c r="Q851" s="461"/>
      <c r="R851" s="461"/>
      <c r="S851" s="461"/>
      <c r="T851" s="461"/>
      <c r="U851" s="530">
        <v>0</v>
      </c>
      <c r="V851" s="530">
        <v>0</v>
      </c>
      <c r="W851" s="530">
        <v>0</v>
      </c>
      <c r="X851" s="490"/>
      <c r="Y851" s="969"/>
      <c r="Z851" s="969"/>
      <c r="AA851" s="969"/>
      <c r="AB851" s="969"/>
      <c r="AC851" s="969"/>
      <c r="AD851" s="969"/>
      <c r="AE851" s="969" t="str">
        <f t="shared" si="38"/>
        <v>TheewaterskloofOperational Revenue</v>
      </c>
      <c r="AF851" s="969"/>
      <c r="AG851" s="969"/>
    </row>
    <row r="852" spans="2:33" ht="13.2" customHeight="1" x14ac:dyDescent="0.55000000000000004">
      <c r="B852" s="371"/>
      <c r="C852" s="1009" t="s">
        <v>705</v>
      </c>
      <c r="D852" s="360" t="str">
        <f t="shared" si="37"/>
        <v>Energy sources1700</v>
      </c>
      <c r="E852" s="360" t="str">
        <f t="shared" si="33"/>
        <v>TheewaterskloofEnergy sourcesx</v>
      </c>
      <c r="F852" s="360" t="str">
        <f>'PART C- Municipal Details'!$G$7</f>
        <v>Theewaterskloof</v>
      </c>
      <c r="G852" s="360" t="s">
        <v>812</v>
      </c>
      <c r="H852" s="366" t="s">
        <v>813</v>
      </c>
      <c r="I852" s="496" t="s">
        <v>789</v>
      </c>
      <c r="J852" s="497" t="s">
        <v>703</v>
      </c>
      <c r="K852" s="490"/>
      <c r="L852" s="508" t="s">
        <v>708</v>
      </c>
      <c r="M852" s="509"/>
      <c r="N852" s="510"/>
      <c r="O852" s="510"/>
      <c r="P852" s="510"/>
      <c r="Q852" s="510"/>
      <c r="R852" s="510"/>
      <c r="S852" s="510"/>
      <c r="T852" s="511"/>
      <c r="U852" s="531">
        <v>0</v>
      </c>
      <c r="V852" s="531">
        <v>0</v>
      </c>
      <c r="W852" s="531">
        <v>0</v>
      </c>
      <c r="X852" s="490"/>
      <c r="Y852" s="969"/>
      <c r="Z852" s="969"/>
      <c r="AA852" s="969"/>
      <c r="AB852" s="969"/>
      <c r="AC852" s="969"/>
      <c r="AD852" s="969"/>
      <c r="AE852" s="969" t="str">
        <f t="shared" si="38"/>
        <v>TheewaterskloofNon-Exchange Revenue</v>
      </c>
      <c r="AF852" s="969"/>
      <c r="AG852" s="969"/>
    </row>
    <row r="853" spans="2:33" ht="13.2" customHeight="1" x14ac:dyDescent="0.55000000000000004">
      <c r="B853" s="371"/>
      <c r="C853" s="1010" t="s">
        <v>709</v>
      </c>
      <c r="D853" s="361" t="str">
        <f t="shared" ref="D853:D916" si="40">H853&amp;C853</f>
        <v>Energy sources1800</v>
      </c>
      <c r="E853" s="361" t="str">
        <f t="shared" ref="E853:E916" si="41">F853&amp;H853&amp;I853</f>
        <v>TheewaterskloofEnergy sourcesProperty rates</v>
      </c>
      <c r="F853" s="360" t="str">
        <f>'PART C- Municipal Details'!$G$7</f>
        <v>Theewaterskloof</v>
      </c>
      <c r="G853" s="361" t="s">
        <v>812</v>
      </c>
      <c r="H853" s="363" t="s">
        <v>813</v>
      </c>
      <c r="I853" s="496" t="s">
        <v>0</v>
      </c>
      <c r="J853" s="497" t="s">
        <v>707</v>
      </c>
      <c r="K853" s="490"/>
      <c r="L853" s="463" t="s">
        <v>0</v>
      </c>
      <c r="M853" s="459"/>
      <c r="N853" s="460"/>
      <c r="O853" s="460"/>
      <c r="P853" s="460"/>
      <c r="Q853" s="460"/>
      <c r="R853" s="460"/>
      <c r="S853" s="460"/>
      <c r="T853" s="460"/>
      <c r="U853" s="530">
        <v>0</v>
      </c>
      <c r="V853" s="530">
        <v>0</v>
      </c>
      <c r="W853" s="530">
        <v>0</v>
      </c>
      <c r="X853" s="490"/>
      <c r="Y853" s="969"/>
      <c r="Z853" s="969"/>
      <c r="AA853" s="969"/>
      <c r="AB853" s="969"/>
      <c r="AC853" s="969"/>
      <c r="AD853" s="969"/>
      <c r="AE853" s="969" t="str">
        <f t="shared" si="38"/>
        <v>TheewaterskloofProperty rates</v>
      </c>
      <c r="AF853" s="969"/>
      <c r="AG853" s="969"/>
    </row>
    <row r="854" spans="2:33" ht="13.2" customHeight="1" x14ac:dyDescent="0.55000000000000004">
      <c r="B854" s="371"/>
      <c r="C854" s="1010" t="s">
        <v>711</v>
      </c>
      <c r="D854" s="360" t="str">
        <f t="shared" si="40"/>
        <v>Energy sources1900</v>
      </c>
      <c r="E854" s="360" t="str">
        <f t="shared" si="41"/>
        <v>TheewaterskloofEnergy sourcesOther revenue</v>
      </c>
      <c r="F854" s="360" t="str">
        <f>'PART C- Municipal Details'!$G$7</f>
        <v>Theewaterskloof</v>
      </c>
      <c r="G854" s="360" t="s">
        <v>812</v>
      </c>
      <c r="H854" s="366" t="s">
        <v>813</v>
      </c>
      <c r="I854" s="496" t="s">
        <v>7</v>
      </c>
      <c r="J854" s="497" t="s">
        <v>710</v>
      </c>
      <c r="K854" s="490"/>
      <c r="L854" s="463" t="s">
        <v>713</v>
      </c>
      <c r="M854" s="459"/>
      <c r="N854" s="461"/>
      <c r="O854" s="461"/>
      <c r="P854" s="461"/>
      <c r="Q854" s="461"/>
      <c r="R854" s="461"/>
      <c r="S854" s="461"/>
      <c r="T854" s="461"/>
      <c r="U854" s="530">
        <v>0</v>
      </c>
      <c r="V854" s="530">
        <v>0</v>
      </c>
      <c r="W854" s="530">
        <v>0</v>
      </c>
      <c r="X854" s="490"/>
      <c r="Y854" s="969"/>
      <c r="Z854" s="969"/>
      <c r="AA854" s="969"/>
      <c r="AB854" s="969"/>
      <c r="AC854" s="969"/>
      <c r="AD854" s="969"/>
      <c r="AE854" s="969" t="str">
        <f t="shared" si="38"/>
        <v>TheewaterskloofSurcharges and Taxes</v>
      </c>
      <c r="AF854" s="969"/>
      <c r="AG854" s="969"/>
    </row>
    <row r="855" spans="2:33" ht="13.2" customHeight="1" x14ac:dyDescent="0.55000000000000004">
      <c r="B855" s="371"/>
      <c r="C855" s="1010" t="s">
        <v>714</v>
      </c>
      <c r="D855" s="361" t="str">
        <f t="shared" si="40"/>
        <v>Energy sources2000</v>
      </c>
      <c r="E855" s="361" t="str">
        <f t="shared" si="41"/>
        <v>TheewaterskloofEnergy sourcesFines, penalties and forfeits</v>
      </c>
      <c r="F855" s="360" t="str">
        <f>'PART C- Municipal Details'!$G$7</f>
        <v>Theewaterskloof</v>
      </c>
      <c r="G855" s="361" t="s">
        <v>812</v>
      </c>
      <c r="H855" s="363" t="s">
        <v>813</v>
      </c>
      <c r="I855" s="496" t="s">
        <v>691</v>
      </c>
      <c r="J855" s="497" t="s">
        <v>712</v>
      </c>
      <c r="K855" s="490"/>
      <c r="L855" s="463" t="s">
        <v>691</v>
      </c>
      <c r="M855" s="459"/>
      <c r="N855" s="461"/>
      <c r="O855" s="461"/>
      <c r="P855" s="461"/>
      <c r="Q855" s="461"/>
      <c r="R855" s="461"/>
      <c r="S855" s="461"/>
      <c r="T855" s="461"/>
      <c r="U855" s="530">
        <v>0</v>
      </c>
      <c r="V855" s="530">
        <v>0</v>
      </c>
      <c r="W855" s="530">
        <v>0</v>
      </c>
      <c r="X855" s="490"/>
      <c r="Y855" s="969"/>
      <c r="Z855" s="969"/>
      <c r="AA855" s="969"/>
      <c r="AB855" s="969"/>
      <c r="AC855" s="969"/>
      <c r="AD855" s="969"/>
      <c r="AE855" s="969" t="str">
        <f t="shared" si="38"/>
        <v>TheewaterskloofFines, penalties and forfeits</v>
      </c>
      <c r="AF855" s="969"/>
      <c r="AG855" s="969"/>
    </row>
    <row r="856" spans="2:33" ht="13.2" customHeight="1" x14ac:dyDescent="0.55000000000000004">
      <c r="B856" s="371"/>
      <c r="C856" s="1010" t="s">
        <v>715</v>
      </c>
      <c r="D856" s="360" t="str">
        <f t="shared" si="40"/>
        <v>Energy sources2100</v>
      </c>
      <c r="E856" s="360" t="str">
        <f t="shared" si="41"/>
        <v>TheewaterskloofEnergy sourcesLicences and permits</v>
      </c>
      <c r="F856" s="360" t="str">
        <f>'PART C- Municipal Details'!$G$7</f>
        <v>Theewaterskloof</v>
      </c>
      <c r="G856" s="360" t="s">
        <v>812</v>
      </c>
      <c r="H856" s="366" t="s">
        <v>813</v>
      </c>
      <c r="I856" s="496" t="s">
        <v>5</v>
      </c>
      <c r="J856" s="497" t="s">
        <v>8</v>
      </c>
      <c r="K856" s="490"/>
      <c r="L856" s="463" t="s">
        <v>716</v>
      </c>
      <c r="M856" s="459"/>
      <c r="N856" s="461"/>
      <c r="O856" s="461"/>
      <c r="P856" s="461"/>
      <c r="Q856" s="461"/>
      <c r="R856" s="461"/>
      <c r="S856" s="461"/>
      <c r="T856" s="461"/>
      <c r="U856" s="530">
        <v>0</v>
      </c>
      <c r="V856" s="530">
        <v>0</v>
      </c>
      <c r="W856" s="530">
        <v>0</v>
      </c>
      <c r="X856" s="490"/>
      <c r="Y856" s="969"/>
      <c r="Z856" s="969"/>
      <c r="AA856" s="969"/>
      <c r="AB856" s="969"/>
      <c r="AC856" s="969"/>
      <c r="AD856" s="969"/>
      <c r="AE856" s="969" t="str">
        <f t="shared" si="38"/>
        <v>TheewaterskloofLicences or permits</v>
      </c>
      <c r="AF856" s="969"/>
      <c r="AG856" s="969"/>
    </row>
    <row r="857" spans="2:33" ht="13.2" customHeight="1" x14ac:dyDescent="0.55000000000000004">
      <c r="B857" s="371"/>
      <c r="C857" s="1010" t="s">
        <v>717</v>
      </c>
      <c r="D857" s="361" t="str">
        <f t="shared" si="40"/>
        <v>Energy sources2200</v>
      </c>
      <c r="E857" s="361" t="str">
        <f t="shared" si="41"/>
        <v>TheewaterskloofEnergy sourcesTransfers and subsidies Income</v>
      </c>
      <c r="F857" s="360" t="str">
        <f>'PART C- Municipal Details'!$G$7</f>
        <v>Theewaterskloof</v>
      </c>
      <c r="G857" s="361" t="s">
        <v>812</v>
      </c>
      <c r="H857" s="363" t="s">
        <v>813</v>
      </c>
      <c r="I857" s="496" t="s">
        <v>698</v>
      </c>
      <c r="J857" s="497" t="s">
        <v>9</v>
      </c>
      <c r="K857" s="490"/>
      <c r="L857" s="463" t="s">
        <v>718</v>
      </c>
      <c r="M857" s="459"/>
      <c r="N857" s="461"/>
      <c r="O857" s="461"/>
      <c r="P857" s="461"/>
      <c r="Q857" s="461"/>
      <c r="R857" s="461"/>
      <c r="S857" s="461"/>
      <c r="T857" s="461"/>
      <c r="U857" s="530">
        <v>14719848</v>
      </c>
      <c r="V857" s="530">
        <v>16194453</v>
      </c>
      <c r="W857" s="530">
        <v>16547604</v>
      </c>
      <c r="X857" s="490"/>
      <c r="Y857" s="969"/>
      <c r="Z857" s="969"/>
      <c r="AA857" s="969"/>
      <c r="AB857" s="969"/>
      <c r="AC857" s="969"/>
      <c r="AD857" s="969"/>
      <c r="AE857" s="969" t="str">
        <f t="shared" si="38"/>
        <v>TheewaterskloofTransfer and subsidies - Operational</v>
      </c>
      <c r="AF857" s="969"/>
      <c r="AG857" s="969"/>
    </row>
    <row r="858" spans="2:33" ht="13.2" customHeight="1" x14ac:dyDescent="0.55000000000000004">
      <c r="B858" s="371"/>
      <c r="C858" s="1010" t="s">
        <v>719</v>
      </c>
      <c r="D858" s="360" t="str">
        <f t="shared" si="40"/>
        <v>Energy sources2300</v>
      </c>
      <c r="E858" s="360" t="str">
        <f t="shared" si="41"/>
        <v>TheewaterskloofEnergy sourcesInterest earned - external investments</v>
      </c>
      <c r="F858" s="360" t="str">
        <f>'PART C- Municipal Details'!$G$7</f>
        <v>Theewaterskloof</v>
      </c>
      <c r="G858" s="360" t="s">
        <v>812</v>
      </c>
      <c r="H858" s="366" t="s">
        <v>813</v>
      </c>
      <c r="I858" s="496" t="s">
        <v>2</v>
      </c>
      <c r="J858" s="497" t="s">
        <v>10</v>
      </c>
      <c r="K858" s="490"/>
      <c r="L858" s="463" t="s">
        <v>687</v>
      </c>
      <c r="M858" s="459"/>
      <c r="N858" s="461"/>
      <c r="O858" s="461"/>
      <c r="P858" s="461"/>
      <c r="Q858" s="461"/>
      <c r="R858" s="461"/>
      <c r="S858" s="461"/>
      <c r="T858" s="461"/>
      <c r="U858" s="530">
        <v>0</v>
      </c>
      <c r="V858" s="530">
        <v>0</v>
      </c>
      <c r="W858" s="530">
        <v>0</v>
      </c>
      <c r="X858" s="490"/>
      <c r="Y858" s="969"/>
      <c r="Z858" s="969"/>
      <c r="AA858" s="969"/>
      <c r="AB858" s="969"/>
      <c r="AC858" s="969"/>
      <c r="AD858" s="969"/>
      <c r="AE858" s="969" t="str">
        <f t="shared" si="38"/>
        <v>TheewaterskloofInterest</v>
      </c>
      <c r="AF858" s="969"/>
      <c r="AG858" s="969"/>
    </row>
    <row r="859" spans="2:33" ht="13.2" customHeight="1" x14ac:dyDescent="0.55000000000000004">
      <c r="B859" s="371"/>
      <c r="C859" s="1010" t="s">
        <v>721</v>
      </c>
      <c r="D859" s="361" t="str">
        <f t="shared" si="40"/>
        <v>Energy sources2400</v>
      </c>
      <c r="E859" s="361" t="str">
        <f t="shared" si="41"/>
        <v>TheewaterskloofEnergy sourcesOther revenue</v>
      </c>
      <c r="F859" s="360" t="str">
        <f>'PART C- Municipal Details'!$G$7</f>
        <v>Theewaterskloof</v>
      </c>
      <c r="G859" s="361" t="s">
        <v>812</v>
      </c>
      <c r="H859" s="363" t="s">
        <v>813</v>
      </c>
      <c r="I859" s="496" t="s">
        <v>7</v>
      </c>
      <c r="J859" s="497" t="s">
        <v>720</v>
      </c>
      <c r="K859" s="490"/>
      <c r="L859" s="463" t="s">
        <v>722</v>
      </c>
      <c r="M859" s="459"/>
      <c r="N859" s="461"/>
      <c r="O859" s="461"/>
      <c r="P859" s="461"/>
      <c r="Q859" s="461"/>
      <c r="R859" s="461"/>
      <c r="S859" s="461"/>
      <c r="T859" s="461"/>
      <c r="U859" s="530">
        <v>0</v>
      </c>
      <c r="V859" s="530">
        <v>0</v>
      </c>
      <c r="W859" s="530">
        <v>0</v>
      </c>
      <c r="X859" s="490"/>
      <c r="Y859" s="969"/>
      <c r="Z859" s="969"/>
      <c r="AA859" s="969"/>
      <c r="AB859" s="969"/>
      <c r="AC859" s="969"/>
      <c r="AD859" s="969"/>
      <c r="AE859" s="969" t="str">
        <f t="shared" si="38"/>
        <v>TheewaterskloofFuel Levy</v>
      </c>
      <c r="AF859" s="969"/>
      <c r="AG859" s="969"/>
    </row>
    <row r="860" spans="2:33" ht="13.2" customHeight="1" x14ac:dyDescent="0.55000000000000004">
      <c r="B860" s="371"/>
      <c r="C860" s="1010" t="s">
        <v>723</v>
      </c>
      <c r="D860" s="360" t="str">
        <f t="shared" si="40"/>
        <v>Energy sources2500</v>
      </c>
      <c r="E860" s="360" t="str">
        <f t="shared" si="41"/>
        <v>TheewaterskloofEnergy sourcesOther revenue</v>
      </c>
      <c r="F860" s="360" t="str">
        <f>'PART C- Municipal Details'!$G$7</f>
        <v>Theewaterskloof</v>
      </c>
      <c r="G860" s="360" t="s">
        <v>812</v>
      </c>
      <c r="H860" s="366" t="s">
        <v>813</v>
      </c>
      <c r="I860" s="496" t="s">
        <v>7</v>
      </c>
      <c r="J860" s="497" t="s">
        <v>11</v>
      </c>
      <c r="K860" s="490"/>
      <c r="L860" s="463" t="s">
        <v>704</v>
      </c>
      <c r="M860" s="459"/>
      <c r="N860" s="461"/>
      <c r="O860" s="461"/>
      <c r="P860" s="461"/>
      <c r="Q860" s="461"/>
      <c r="R860" s="461"/>
      <c r="S860" s="461"/>
      <c r="T860" s="461"/>
      <c r="U860" s="530">
        <v>2152440</v>
      </c>
      <c r="V860" s="530">
        <v>2225623</v>
      </c>
      <c r="W860" s="530">
        <v>2296843</v>
      </c>
      <c r="X860" s="490"/>
      <c r="Y860" s="969"/>
      <c r="Z860" s="969"/>
      <c r="AA860" s="969"/>
      <c r="AB860" s="969"/>
      <c r="AC860" s="969"/>
      <c r="AD860" s="969"/>
      <c r="AE860" s="969" t="str">
        <f t="shared" si="38"/>
        <v>TheewaterskloofOperational Revenue</v>
      </c>
      <c r="AF860" s="969"/>
      <c r="AG860" s="969"/>
    </row>
    <row r="861" spans="2:33" ht="13.2" customHeight="1" x14ac:dyDescent="0.55000000000000004">
      <c r="B861" s="371"/>
      <c r="C861" s="1010" t="s">
        <v>725</v>
      </c>
      <c r="D861" s="361" t="str">
        <f t="shared" si="40"/>
        <v>Energy sources2600</v>
      </c>
      <c r="E861" s="361" t="str">
        <f t="shared" si="41"/>
        <v>TheewaterskloofEnergy sourcesGains</v>
      </c>
      <c r="F861" s="360" t="str">
        <f>'PART C- Municipal Details'!$G$7</f>
        <v>Theewaterskloof</v>
      </c>
      <c r="G861" s="361" t="s">
        <v>812</v>
      </c>
      <c r="H861" s="363" t="s">
        <v>813</v>
      </c>
      <c r="I861" s="496" t="s">
        <v>703</v>
      </c>
      <c r="J861" s="497" t="s">
        <v>724</v>
      </c>
      <c r="K861" s="490"/>
      <c r="L861" s="463" t="s">
        <v>727</v>
      </c>
      <c r="M861" s="459"/>
      <c r="N861" s="461"/>
      <c r="O861" s="461"/>
      <c r="P861" s="461"/>
      <c r="Q861" s="461"/>
      <c r="R861" s="461"/>
      <c r="S861" s="461"/>
      <c r="T861" s="461"/>
      <c r="U861" s="530">
        <v>0</v>
      </c>
      <c r="V861" s="530">
        <v>0</v>
      </c>
      <c r="W861" s="530">
        <v>0</v>
      </c>
      <c r="X861" s="490"/>
      <c r="Y861" s="969"/>
      <c r="Z861" s="969"/>
      <c r="AA861" s="969"/>
      <c r="AB861" s="969"/>
      <c r="AC861" s="969"/>
      <c r="AD861" s="969"/>
      <c r="AE861" s="969" t="str">
        <f t="shared" si="38"/>
        <v>TheewaterskloofGains on disposal of Assets</v>
      </c>
      <c r="AF861" s="969"/>
      <c r="AG861" s="969"/>
    </row>
    <row r="862" spans="2:33" ht="13.2" customHeight="1" x14ac:dyDescent="0.55000000000000004">
      <c r="B862" s="371"/>
      <c r="C862" s="1010" t="s">
        <v>728</v>
      </c>
      <c r="D862" s="360" t="str">
        <f t="shared" si="40"/>
        <v>Energy sources2700</v>
      </c>
      <c r="E862" s="360" t="str">
        <f t="shared" si="41"/>
        <v>TheewaterskloofEnergy sourcesOther revenue</v>
      </c>
      <c r="F862" s="360" t="str">
        <f>'PART C- Municipal Details'!$G$7</f>
        <v>Theewaterskloof</v>
      </c>
      <c r="G862" s="360" t="s">
        <v>812</v>
      </c>
      <c r="H862" s="366" t="s">
        <v>813</v>
      </c>
      <c r="I862" s="496" t="s">
        <v>7</v>
      </c>
      <c r="J862" s="497" t="s">
        <v>726</v>
      </c>
      <c r="K862" s="490"/>
      <c r="L862" s="463" t="s">
        <v>729</v>
      </c>
      <c r="M862" s="459"/>
      <c r="N862" s="461"/>
      <c r="O862" s="461"/>
      <c r="P862" s="461"/>
      <c r="Q862" s="461"/>
      <c r="R862" s="461"/>
      <c r="S862" s="461"/>
      <c r="T862" s="461"/>
      <c r="U862" s="530">
        <v>15000000</v>
      </c>
      <c r="V862" s="530">
        <v>15510000</v>
      </c>
      <c r="W862" s="530">
        <v>16006320</v>
      </c>
      <c r="X862" s="490"/>
      <c r="Y862" s="969"/>
      <c r="Z862" s="969"/>
      <c r="AA862" s="969"/>
      <c r="AB862" s="969"/>
      <c r="AC862" s="969"/>
      <c r="AD862" s="969"/>
      <c r="AE862" s="969" t="str">
        <f t="shared" si="38"/>
        <v>TheewaterskloofOther Gains</v>
      </c>
      <c r="AF862" s="969"/>
      <c r="AG862" s="969"/>
    </row>
    <row r="863" spans="2:33" ht="13.2" customHeight="1" x14ac:dyDescent="0.55000000000000004">
      <c r="B863" s="371"/>
      <c r="C863" s="1010" t="s">
        <v>730</v>
      </c>
      <c r="D863" s="361" t="str">
        <f t="shared" si="40"/>
        <v>Energy sources2800</v>
      </c>
      <c r="E863" s="361" t="str">
        <f t="shared" si="41"/>
        <v>TheewaterskloofEnergy sourcesOther revenue</v>
      </c>
      <c r="F863" s="360" t="str">
        <f>'PART C- Municipal Details'!$G$7</f>
        <v>Theewaterskloof</v>
      </c>
      <c r="G863" s="361" t="s">
        <v>812</v>
      </c>
      <c r="H863" s="363" t="s">
        <v>813</v>
      </c>
      <c r="I863" s="496" t="s">
        <v>7</v>
      </c>
      <c r="J863" s="497" t="s">
        <v>12</v>
      </c>
      <c r="K863" s="490"/>
      <c r="L863" s="464" t="s">
        <v>731</v>
      </c>
      <c r="M863" s="459"/>
      <c r="N863" s="461"/>
      <c r="O863" s="461"/>
      <c r="P863" s="461"/>
      <c r="Q863" s="461"/>
      <c r="R863" s="461"/>
      <c r="S863" s="461"/>
      <c r="T863" s="461"/>
      <c r="U863" s="530">
        <v>0</v>
      </c>
      <c r="V863" s="530">
        <v>0</v>
      </c>
      <c r="W863" s="530">
        <v>0</v>
      </c>
      <c r="X863" s="490"/>
      <c r="Y863" s="969"/>
      <c r="Z863" s="969"/>
      <c r="AA863" s="969"/>
      <c r="AB863" s="969"/>
      <c r="AC863" s="969"/>
      <c r="AD863" s="969"/>
      <c r="AE863" s="969" t="str">
        <f t="shared" si="38"/>
        <v>TheewaterskloofDiscontinued Operations</v>
      </c>
      <c r="AF863" s="969"/>
      <c r="AG863" s="969"/>
    </row>
    <row r="864" spans="2:33" ht="13.2" customHeight="1" x14ac:dyDescent="0.55000000000000004">
      <c r="B864" s="371"/>
      <c r="C864" s="1009" t="s">
        <v>732</v>
      </c>
      <c r="D864" s="360" t="str">
        <f t="shared" si="40"/>
        <v>Energy sources2900</v>
      </c>
      <c r="E864" s="360" t="str">
        <f t="shared" si="41"/>
        <v>TheewaterskloofEnergy sourcesTotal Revenue (excluding capital transfers and contributions)</v>
      </c>
      <c r="F864" s="360" t="str">
        <f>'PART C- Municipal Details'!$G$7</f>
        <v>Theewaterskloof</v>
      </c>
      <c r="G864" s="360" t="s">
        <v>812</v>
      </c>
      <c r="H864" s="366" t="s">
        <v>813</v>
      </c>
      <c r="I864" s="496" t="s">
        <v>707</v>
      </c>
      <c r="J864" s="497" t="s">
        <v>204</v>
      </c>
      <c r="K864" s="490"/>
      <c r="L864" s="508" t="s">
        <v>707</v>
      </c>
      <c r="M864" s="509"/>
      <c r="N864" s="510"/>
      <c r="O864" s="510"/>
      <c r="P864" s="510"/>
      <c r="Q864" s="510"/>
      <c r="R864" s="510"/>
      <c r="S864" s="510"/>
      <c r="T864" s="511"/>
      <c r="U864" s="531">
        <v>211351768</v>
      </c>
      <c r="V864" s="531">
        <v>219511857</v>
      </c>
      <c r="W864" s="531">
        <v>226371166</v>
      </c>
      <c r="X864" s="490"/>
      <c r="Y864" s="969"/>
      <c r="Z864" s="969"/>
      <c r="AA864" s="969"/>
      <c r="AB864" s="969"/>
      <c r="AC864" s="969"/>
      <c r="AD864" s="969"/>
      <c r="AE864" s="969" t="str">
        <f t="shared" si="38"/>
        <v>TheewaterskloofTotal Revenue (excluding capital transfers and contributions)</v>
      </c>
      <c r="AF864" s="969"/>
      <c r="AG864" s="969"/>
    </row>
    <row r="865" spans="2:33" ht="13.2" customHeight="1" x14ac:dyDescent="0.55000000000000004">
      <c r="B865" s="371"/>
      <c r="C865" s="1009" t="s">
        <v>733</v>
      </c>
      <c r="D865" s="361" t="str">
        <f t="shared" si="40"/>
        <v>Energy sources3000</v>
      </c>
      <c r="E865" s="361" t="str">
        <f t="shared" si="41"/>
        <v>TheewaterskloofEnergy sourcesx</v>
      </c>
      <c r="F865" s="360" t="str">
        <f>'PART C- Municipal Details'!$G$7</f>
        <v>Theewaterskloof</v>
      </c>
      <c r="G865" s="361" t="s">
        <v>812</v>
      </c>
      <c r="H865" s="363" t="s">
        <v>813</v>
      </c>
      <c r="I865" s="496" t="s">
        <v>789</v>
      </c>
      <c r="J865" s="497" t="s">
        <v>13</v>
      </c>
      <c r="K865" s="490"/>
      <c r="L865" s="505" t="s">
        <v>22</v>
      </c>
      <c r="M865" s="506"/>
      <c r="N865" s="507"/>
      <c r="O865" s="507"/>
      <c r="P865" s="507"/>
      <c r="Q865" s="507"/>
      <c r="R865" s="507"/>
      <c r="S865" s="507"/>
      <c r="T865" s="507"/>
      <c r="U865" s="531">
        <v>0</v>
      </c>
      <c r="V865" s="531">
        <v>0</v>
      </c>
      <c r="W865" s="531">
        <v>0</v>
      </c>
      <c r="X865" s="490"/>
      <c r="Y865" s="969"/>
      <c r="Z865" s="969"/>
      <c r="AA865" s="969"/>
      <c r="AB865" s="969"/>
      <c r="AC865" s="969"/>
      <c r="AD865" s="969"/>
      <c r="AE865" s="969" t="str">
        <f t="shared" si="38"/>
        <v>TheewaterskloofExpenditure</v>
      </c>
      <c r="AF865" s="969"/>
      <c r="AG865" s="969"/>
    </row>
    <row r="866" spans="2:33" ht="13.2" customHeight="1" x14ac:dyDescent="0.55000000000000004">
      <c r="B866" s="371"/>
      <c r="C866" s="1010" t="s">
        <v>735</v>
      </c>
      <c r="D866" s="360" t="str">
        <f t="shared" si="40"/>
        <v>Energy sources3100</v>
      </c>
      <c r="E866" s="360" t="str">
        <f t="shared" si="41"/>
        <v>TheewaterskloofEnergy sourcesEmployee related costs</v>
      </c>
      <c r="F866" s="360" t="str">
        <f>'PART C- Municipal Details'!$G$7</f>
        <v>Theewaterskloof</v>
      </c>
      <c r="G866" s="360" t="s">
        <v>812</v>
      </c>
      <c r="H866" s="366" t="s">
        <v>813</v>
      </c>
      <c r="I866" s="496" t="s">
        <v>8</v>
      </c>
      <c r="J866" s="497" t="s">
        <v>734</v>
      </c>
      <c r="K866" s="490"/>
      <c r="L866" s="463" t="s">
        <v>8</v>
      </c>
      <c r="M866" s="459"/>
      <c r="N866" s="461"/>
      <c r="O866" s="461"/>
      <c r="P866" s="461"/>
      <c r="Q866" s="461"/>
      <c r="R866" s="461"/>
      <c r="S866" s="461"/>
      <c r="T866" s="461"/>
      <c r="U866" s="530">
        <v>10857592</v>
      </c>
      <c r="V866" s="530">
        <v>11226748</v>
      </c>
      <c r="W866" s="530">
        <v>11586002</v>
      </c>
      <c r="X866" s="490"/>
      <c r="Y866" s="969"/>
      <c r="Z866" s="969"/>
      <c r="AA866" s="969"/>
      <c r="AB866" s="969"/>
      <c r="AC866" s="969"/>
      <c r="AD866" s="969"/>
      <c r="AE866" s="969" t="str">
        <f t="shared" si="38"/>
        <v>TheewaterskloofEmployee related costs</v>
      </c>
      <c r="AF866" s="969"/>
      <c r="AG866" s="969"/>
    </row>
    <row r="867" spans="2:33" ht="13.2" customHeight="1" x14ac:dyDescent="0.55000000000000004">
      <c r="B867" s="371"/>
      <c r="C867" s="1010" t="s">
        <v>737</v>
      </c>
      <c r="D867" s="361" t="str">
        <f t="shared" si="40"/>
        <v>Energy sources3200</v>
      </c>
      <c r="E867" s="361" t="str">
        <f t="shared" si="41"/>
        <v>TheewaterskloofEnergy sourcesRemuneration of councillors</v>
      </c>
      <c r="F867" s="360" t="str">
        <f>'PART C- Municipal Details'!$G$7</f>
        <v>Theewaterskloof</v>
      </c>
      <c r="G867" s="361" t="s">
        <v>812</v>
      </c>
      <c r="H867" s="363" t="s">
        <v>813</v>
      </c>
      <c r="I867" s="496" t="s">
        <v>9</v>
      </c>
      <c r="J867" s="497" t="s">
        <v>736</v>
      </c>
      <c r="K867" s="490"/>
      <c r="L867" s="463" t="s">
        <v>9</v>
      </c>
      <c r="M867" s="459"/>
      <c r="N867" s="461"/>
      <c r="O867" s="461"/>
      <c r="P867" s="461"/>
      <c r="Q867" s="461"/>
      <c r="R867" s="461"/>
      <c r="S867" s="461"/>
      <c r="T867" s="461"/>
      <c r="U867" s="530">
        <v>0</v>
      </c>
      <c r="V867" s="530">
        <v>0</v>
      </c>
      <c r="W867" s="530">
        <v>0</v>
      </c>
      <c r="X867" s="490"/>
      <c r="Y867" s="969"/>
      <c r="Z867" s="969"/>
      <c r="AA867" s="969"/>
      <c r="AB867" s="969"/>
      <c r="AC867" s="969"/>
      <c r="AD867" s="969"/>
      <c r="AE867" s="969" t="str">
        <f t="shared" si="38"/>
        <v>TheewaterskloofRemuneration of councillors</v>
      </c>
      <c r="AF867" s="969"/>
      <c r="AG867" s="969"/>
    </row>
    <row r="868" spans="2:33" ht="13.2" customHeight="1" x14ac:dyDescent="0.55000000000000004">
      <c r="B868" s="371"/>
      <c r="C868" s="1010" t="s">
        <v>738</v>
      </c>
      <c r="D868" s="360" t="str">
        <f t="shared" si="40"/>
        <v>Energy sources3300</v>
      </c>
      <c r="E868" s="360" t="str">
        <f t="shared" si="41"/>
        <v>TheewaterskloofEnergy sourcesBulk purchases - electricity</v>
      </c>
      <c r="F868" s="360" t="str">
        <f>'PART C- Municipal Details'!$G$7</f>
        <v>Theewaterskloof</v>
      </c>
      <c r="G868" s="360" t="s">
        <v>812</v>
      </c>
      <c r="H868" s="366" t="s">
        <v>813</v>
      </c>
      <c r="I868" s="496" t="s">
        <v>724</v>
      </c>
      <c r="J868" s="497" t="s">
        <v>710</v>
      </c>
      <c r="K868" s="490"/>
      <c r="L868" s="463" t="s">
        <v>724</v>
      </c>
      <c r="M868" s="459"/>
      <c r="N868" s="461"/>
      <c r="O868" s="461"/>
      <c r="P868" s="461"/>
      <c r="Q868" s="461"/>
      <c r="R868" s="461"/>
      <c r="S868" s="461"/>
      <c r="T868" s="461"/>
      <c r="U868" s="530">
        <v>152140082</v>
      </c>
      <c r="V868" s="530">
        <v>157312845</v>
      </c>
      <c r="W868" s="530">
        <v>162346856</v>
      </c>
      <c r="X868" s="490"/>
      <c r="Y868" s="969"/>
      <c r="Z868" s="969"/>
      <c r="AA868" s="969"/>
      <c r="AB868" s="969"/>
      <c r="AC868" s="969"/>
      <c r="AD868" s="969"/>
      <c r="AE868" s="969" t="str">
        <f t="shared" si="38"/>
        <v>TheewaterskloofBulk purchases - electricity</v>
      </c>
      <c r="AF868" s="969"/>
      <c r="AG868" s="969"/>
    </row>
    <row r="869" spans="2:33" ht="13.2" customHeight="1" x14ac:dyDescent="0.55000000000000004">
      <c r="B869" s="371"/>
      <c r="C869" s="1010" t="s">
        <v>739</v>
      </c>
      <c r="D869" s="361" t="str">
        <f t="shared" si="40"/>
        <v>Energy sources3400</v>
      </c>
      <c r="E869" s="361" t="str">
        <f t="shared" si="41"/>
        <v>TheewaterskloofEnergy sourcesInventory consumed</v>
      </c>
      <c r="F869" s="360" t="str">
        <f>'PART C- Municipal Details'!$G$7</f>
        <v>Theewaterskloof</v>
      </c>
      <c r="G869" s="361" t="s">
        <v>812</v>
      </c>
      <c r="H869" s="363" t="s">
        <v>813</v>
      </c>
      <c r="I869" s="496" t="s">
        <v>726</v>
      </c>
      <c r="J869" s="497" t="s">
        <v>635</v>
      </c>
      <c r="K869" s="490"/>
      <c r="L869" s="463" t="s">
        <v>726</v>
      </c>
      <c r="M869" s="459"/>
      <c r="N869" s="461"/>
      <c r="O869" s="461"/>
      <c r="P869" s="461"/>
      <c r="Q869" s="461"/>
      <c r="R869" s="461"/>
      <c r="S869" s="461"/>
      <c r="T869" s="461"/>
      <c r="U869" s="530">
        <v>1423290</v>
      </c>
      <c r="V869" s="530">
        <v>1471684</v>
      </c>
      <c r="W869" s="530">
        <v>1518776</v>
      </c>
      <c r="X869" s="490"/>
      <c r="Y869" s="969"/>
      <c r="Z869" s="969"/>
      <c r="AA869" s="969"/>
      <c r="AB869" s="969"/>
      <c r="AC869" s="969"/>
      <c r="AD869" s="969"/>
      <c r="AE869" s="969" t="str">
        <f t="shared" si="38"/>
        <v>TheewaterskloofInventory consumed</v>
      </c>
      <c r="AF869" s="969"/>
      <c r="AG869" s="969"/>
    </row>
    <row r="870" spans="2:33" ht="13.2" customHeight="1" x14ac:dyDescent="0.55000000000000004">
      <c r="B870" s="371"/>
      <c r="C870" s="1010" t="s">
        <v>741</v>
      </c>
      <c r="D870" s="360" t="str">
        <f t="shared" si="40"/>
        <v>Energy sources3500</v>
      </c>
      <c r="E870" s="360" t="str">
        <f t="shared" si="41"/>
        <v>TheewaterskloofEnergy sourcesDebt impairment</v>
      </c>
      <c r="F870" s="360" t="str">
        <f>'PART C- Municipal Details'!$G$7</f>
        <v>Theewaterskloof</v>
      </c>
      <c r="G870" s="360" t="s">
        <v>812</v>
      </c>
      <c r="H870" s="366" t="s">
        <v>813</v>
      </c>
      <c r="I870" s="496" t="s">
        <v>10</v>
      </c>
      <c r="J870" s="497" t="s">
        <v>740</v>
      </c>
      <c r="K870" s="490"/>
      <c r="L870" s="463" t="s">
        <v>10</v>
      </c>
      <c r="M870" s="459"/>
      <c r="N870" s="461"/>
      <c r="O870" s="461"/>
      <c r="P870" s="461"/>
      <c r="Q870" s="461"/>
      <c r="R870" s="461"/>
      <c r="S870" s="461"/>
      <c r="T870" s="461"/>
      <c r="U870" s="530">
        <v>1808000</v>
      </c>
      <c r="V870" s="530">
        <v>1869472</v>
      </c>
      <c r="W870" s="530">
        <v>1929295</v>
      </c>
      <c r="X870" s="490"/>
      <c r="Y870" s="969"/>
      <c r="Z870" s="969"/>
      <c r="AA870" s="969"/>
      <c r="AB870" s="969"/>
      <c r="AC870" s="969"/>
      <c r="AD870" s="969"/>
      <c r="AE870" s="969" t="str">
        <f t="shared" si="38"/>
        <v>TheewaterskloofDebt impairment</v>
      </c>
      <c r="AF870" s="969"/>
      <c r="AG870" s="969"/>
    </row>
    <row r="871" spans="2:33" ht="13.2" customHeight="1" x14ac:dyDescent="0.55000000000000004">
      <c r="B871" s="371"/>
      <c r="C871" s="1010" t="s">
        <v>743</v>
      </c>
      <c r="D871" s="361" t="str">
        <f t="shared" si="40"/>
        <v>Energy sources3600</v>
      </c>
      <c r="E871" s="361" t="str">
        <f t="shared" si="41"/>
        <v>TheewaterskloofEnergy sourcesDepreciation and asset impairment</v>
      </c>
      <c r="F871" s="360" t="str">
        <f>'PART C- Municipal Details'!$G$7</f>
        <v>Theewaterskloof</v>
      </c>
      <c r="G871" s="361" t="s">
        <v>812</v>
      </c>
      <c r="H871" s="363" t="s">
        <v>813</v>
      </c>
      <c r="I871" s="496" t="s">
        <v>720</v>
      </c>
      <c r="J871" s="497" t="s">
        <v>742</v>
      </c>
      <c r="K871" s="490"/>
      <c r="L871" s="463" t="s">
        <v>745</v>
      </c>
      <c r="M871" s="459"/>
      <c r="N871" s="461"/>
      <c r="O871" s="461"/>
      <c r="P871" s="461"/>
      <c r="Q871" s="461"/>
      <c r="R871" s="461"/>
      <c r="S871" s="461"/>
      <c r="T871" s="461"/>
      <c r="U871" s="530">
        <v>3703046</v>
      </c>
      <c r="V871" s="530">
        <v>3888198</v>
      </c>
      <c r="W871" s="530">
        <v>4082609</v>
      </c>
      <c r="X871" s="490"/>
      <c r="Y871" s="969"/>
      <c r="Z871" s="969"/>
      <c r="AA871" s="969"/>
      <c r="AB871" s="969"/>
      <c r="AC871" s="969"/>
      <c r="AD871" s="969"/>
      <c r="AE871" s="969" t="str">
        <f t="shared" si="38"/>
        <v>TheewaterskloofDepreciation and amortisation</v>
      </c>
      <c r="AF871" s="969"/>
      <c r="AG871" s="969"/>
    </row>
    <row r="872" spans="2:33" ht="13.2" customHeight="1" x14ac:dyDescent="0.55000000000000004">
      <c r="B872" s="371"/>
      <c r="C872" s="1010" t="s">
        <v>746</v>
      </c>
      <c r="D872" s="360" t="str">
        <f t="shared" si="40"/>
        <v>Energy sources3700</v>
      </c>
      <c r="E872" s="360" t="str">
        <f t="shared" si="41"/>
        <v>TheewaterskloofEnergy sourcesFinance charges</v>
      </c>
      <c r="F872" s="360" t="str">
        <f>'PART C- Municipal Details'!$G$7</f>
        <v>Theewaterskloof</v>
      </c>
      <c r="G872" s="360" t="s">
        <v>812</v>
      </c>
      <c r="H872" s="366" t="s">
        <v>813</v>
      </c>
      <c r="I872" s="496" t="s">
        <v>11</v>
      </c>
      <c r="J872" s="497" t="s">
        <v>744</v>
      </c>
      <c r="K872" s="490"/>
      <c r="L872" s="463" t="s">
        <v>687</v>
      </c>
      <c r="M872" s="459"/>
      <c r="N872" s="461"/>
      <c r="O872" s="461"/>
      <c r="P872" s="461"/>
      <c r="Q872" s="461"/>
      <c r="R872" s="461"/>
      <c r="S872" s="461"/>
      <c r="T872" s="461"/>
      <c r="U872" s="530">
        <v>15519187</v>
      </c>
      <c r="V872" s="530">
        <v>16046839</v>
      </c>
      <c r="W872" s="530">
        <v>16560338</v>
      </c>
      <c r="X872" s="490"/>
      <c r="Y872" s="969"/>
      <c r="Z872" s="969"/>
      <c r="AA872" s="969"/>
      <c r="AB872" s="969"/>
      <c r="AC872" s="969"/>
      <c r="AD872" s="969"/>
      <c r="AE872" s="969" t="str">
        <f t="shared" si="38"/>
        <v>TheewaterskloofInterest</v>
      </c>
      <c r="AF872" s="969"/>
      <c r="AG872" s="969"/>
    </row>
    <row r="873" spans="2:33" ht="13.2" customHeight="1" x14ac:dyDescent="0.55000000000000004">
      <c r="B873" s="371"/>
      <c r="C873" s="1010" t="s">
        <v>748</v>
      </c>
      <c r="D873" s="361" t="str">
        <f t="shared" si="40"/>
        <v>Energy sources3800</v>
      </c>
      <c r="E873" s="361" t="str">
        <f t="shared" si="41"/>
        <v>TheewaterskloofEnergy sourcesContracted services</v>
      </c>
      <c r="F873" s="360" t="str">
        <f>'PART C- Municipal Details'!$G$7</f>
        <v>Theewaterskloof</v>
      </c>
      <c r="G873" s="361" t="s">
        <v>812</v>
      </c>
      <c r="H873" s="363" t="s">
        <v>813</v>
      </c>
      <c r="I873" s="496" t="s">
        <v>12</v>
      </c>
      <c r="J873" s="497" t="s">
        <v>747</v>
      </c>
      <c r="K873" s="490"/>
      <c r="L873" s="463" t="s">
        <v>12</v>
      </c>
      <c r="M873" s="459"/>
      <c r="N873" s="461"/>
      <c r="O873" s="461"/>
      <c r="P873" s="461"/>
      <c r="Q873" s="461"/>
      <c r="R873" s="461"/>
      <c r="S873" s="461"/>
      <c r="T873" s="461"/>
      <c r="U873" s="530">
        <v>3170548</v>
      </c>
      <c r="V873" s="530">
        <v>3278353</v>
      </c>
      <c r="W873" s="530">
        <v>3383265</v>
      </c>
      <c r="X873" s="490"/>
      <c r="Y873" s="969"/>
      <c r="Z873" s="969"/>
      <c r="AA873" s="969"/>
      <c r="AB873" s="969"/>
      <c r="AC873" s="969"/>
      <c r="AD873" s="969"/>
      <c r="AE873" s="969" t="str">
        <f t="shared" si="38"/>
        <v>TheewaterskloofContracted services</v>
      </c>
      <c r="AF873" s="969"/>
      <c r="AG873" s="969"/>
    </row>
    <row r="874" spans="2:33" ht="13.2" customHeight="1" x14ac:dyDescent="0.55000000000000004">
      <c r="B874" s="371"/>
      <c r="C874" s="1010" t="s">
        <v>750</v>
      </c>
      <c r="D874" s="360" t="str">
        <f t="shared" si="40"/>
        <v>Energy sources3900</v>
      </c>
      <c r="E874" s="360" t="str">
        <f t="shared" si="41"/>
        <v>TheewaterskloofEnergy sourcesTransfers and subsidies</v>
      </c>
      <c r="F874" s="360" t="str">
        <f>'PART C- Municipal Details'!$G$7</f>
        <v>Theewaterskloof</v>
      </c>
      <c r="G874" s="360" t="s">
        <v>812</v>
      </c>
      <c r="H874" s="366" t="s">
        <v>813</v>
      </c>
      <c r="I874" s="496" t="s">
        <v>204</v>
      </c>
      <c r="J874" s="497" t="s">
        <v>749</v>
      </c>
      <c r="K874" s="490"/>
      <c r="L874" s="463" t="s">
        <v>204</v>
      </c>
      <c r="M874" s="459"/>
      <c r="N874" s="461"/>
      <c r="O874" s="461"/>
      <c r="P874" s="461"/>
      <c r="Q874" s="461"/>
      <c r="R874" s="461"/>
      <c r="S874" s="461"/>
      <c r="T874" s="461"/>
      <c r="U874" s="530">
        <v>0</v>
      </c>
      <c r="V874" s="530">
        <v>0</v>
      </c>
      <c r="W874" s="530">
        <v>0</v>
      </c>
      <c r="X874" s="490"/>
      <c r="Y874" s="969"/>
      <c r="Z874" s="969"/>
      <c r="AA874" s="969"/>
      <c r="AB874" s="969"/>
      <c r="AC874" s="969"/>
      <c r="AD874" s="969"/>
      <c r="AE874" s="969" t="str">
        <f t="shared" si="38"/>
        <v>TheewaterskloofTransfers and subsidies</v>
      </c>
      <c r="AF874" s="969"/>
      <c r="AG874" s="969"/>
    </row>
    <row r="875" spans="2:33" ht="13.2" customHeight="1" x14ac:dyDescent="0.55000000000000004">
      <c r="B875" s="371"/>
      <c r="C875" s="1010" t="s">
        <v>752</v>
      </c>
      <c r="D875" s="361" t="str">
        <f t="shared" si="40"/>
        <v>Energy sources4000</v>
      </c>
      <c r="E875" s="361" t="str">
        <f t="shared" si="41"/>
        <v>TheewaterskloofEnergy sourcesOther expenditure</v>
      </c>
      <c r="F875" s="360" t="str">
        <f>'PART C- Municipal Details'!$G$7</f>
        <v>Theewaterskloof</v>
      </c>
      <c r="G875" s="361" t="s">
        <v>812</v>
      </c>
      <c r="H875" s="363" t="s">
        <v>813</v>
      </c>
      <c r="I875" s="496" t="s">
        <v>13</v>
      </c>
      <c r="J875" s="497" t="s">
        <v>751</v>
      </c>
      <c r="K875" s="490"/>
      <c r="L875" s="463" t="s">
        <v>754</v>
      </c>
      <c r="M875" s="459"/>
      <c r="N875" s="461"/>
      <c r="O875" s="461"/>
      <c r="P875" s="461"/>
      <c r="Q875" s="461"/>
      <c r="R875" s="461"/>
      <c r="S875" s="461"/>
      <c r="T875" s="461"/>
      <c r="U875" s="530">
        <v>14000</v>
      </c>
      <c r="V875" s="530">
        <v>14476</v>
      </c>
      <c r="W875" s="530">
        <v>14939</v>
      </c>
      <c r="X875" s="490"/>
      <c r="Y875" s="969"/>
      <c r="Z875" s="969"/>
      <c r="AA875" s="969"/>
      <c r="AB875" s="969"/>
      <c r="AC875" s="969"/>
      <c r="AD875" s="969"/>
      <c r="AE875" s="969" t="str">
        <f t="shared" si="38"/>
        <v>TheewaterskloofIrrecoverable debts written off</v>
      </c>
      <c r="AF875" s="969"/>
      <c r="AG875" s="969"/>
    </row>
    <row r="876" spans="2:33" ht="13.2" customHeight="1" x14ac:dyDescent="0.55000000000000004">
      <c r="B876" s="371"/>
      <c r="C876" s="1010" t="s">
        <v>755</v>
      </c>
      <c r="D876" s="360" t="str">
        <f t="shared" si="40"/>
        <v>Energy sources4100</v>
      </c>
      <c r="E876" s="360" t="str">
        <f t="shared" si="41"/>
        <v>TheewaterskloofEnergy sourcesOther expenditure</v>
      </c>
      <c r="F876" s="360" t="str">
        <f>'PART C- Municipal Details'!$G$7</f>
        <v>Theewaterskloof</v>
      </c>
      <c r="G876" s="360" t="s">
        <v>812</v>
      </c>
      <c r="H876" s="366" t="s">
        <v>813</v>
      </c>
      <c r="I876" s="496" t="s">
        <v>13</v>
      </c>
      <c r="J876" s="497" t="s">
        <v>753</v>
      </c>
      <c r="K876" s="490"/>
      <c r="L876" s="463" t="s">
        <v>757</v>
      </c>
      <c r="M876" s="459"/>
      <c r="N876" s="461"/>
      <c r="O876" s="461"/>
      <c r="P876" s="461"/>
      <c r="Q876" s="461"/>
      <c r="R876" s="461"/>
      <c r="S876" s="461"/>
      <c r="T876" s="461"/>
      <c r="U876" s="530">
        <v>10119097</v>
      </c>
      <c r="V876" s="530">
        <v>10463147</v>
      </c>
      <c r="W876" s="530">
        <v>10797968</v>
      </c>
      <c r="X876" s="490"/>
      <c r="Y876" s="969"/>
      <c r="Z876" s="969"/>
      <c r="AA876" s="969"/>
      <c r="AB876" s="969"/>
      <c r="AC876" s="969"/>
      <c r="AD876" s="969"/>
      <c r="AE876" s="969" t="str">
        <f t="shared" si="38"/>
        <v>TheewaterskloofOperational costs</v>
      </c>
      <c r="AF876" s="969"/>
      <c r="AG876" s="969"/>
    </row>
    <row r="877" spans="2:33" ht="13.2" customHeight="1" x14ac:dyDescent="0.55000000000000004">
      <c r="B877" s="371"/>
      <c r="C877" s="1010" t="s">
        <v>758</v>
      </c>
      <c r="D877" s="361" t="str">
        <f t="shared" si="40"/>
        <v>Energy sources4200</v>
      </c>
      <c r="E877" s="361" t="str">
        <f t="shared" si="41"/>
        <v>TheewaterskloofEnergy sourcesLosses</v>
      </c>
      <c r="F877" s="360" t="str">
        <f>'PART C- Municipal Details'!$G$7</f>
        <v>Theewaterskloof</v>
      </c>
      <c r="G877" s="361" t="s">
        <v>812</v>
      </c>
      <c r="H877" s="363" t="s">
        <v>813</v>
      </c>
      <c r="I877" s="496" t="s">
        <v>734</v>
      </c>
      <c r="J877" s="497" t="s">
        <v>756</v>
      </c>
      <c r="K877" s="490"/>
      <c r="L877" s="463" t="s">
        <v>760</v>
      </c>
      <c r="M877" s="459"/>
      <c r="N877" s="461"/>
      <c r="O877" s="461"/>
      <c r="P877" s="461"/>
      <c r="Q877" s="461"/>
      <c r="R877" s="461"/>
      <c r="S877" s="461"/>
      <c r="T877" s="461"/>
      <c r="U877" s="530">
        <v>0</v>
      </c>
      <c r="V877" s="530">
        <v>0</v>
      </c>
      <c r="W877" s="530">
        <v>0</v>
      </c>
      <c r="X877" s="490"/>
      <c r="Y877" s="969"/>
      <c r="Z877" s="969"/>
      <c r="AA877" s="969"/>
      <c r="AB877" s="969"/>
      <c r="AC877" s="969"/>
      <c r="AD877" s="969"/>
      <c r="AE877" s="969" t="str">
        <f t="shared" si="38"/>
        <v>TheewaterskloofLosses on disposal of Assets</v>
      </c>
      <c r="AF877" s="969"/>
      <c r="AG877" s="969"/>
    </row>
    <row r="878" spans="2:33" ht="13.2" customHeight="1" x14ac:dyDescent="0.55000000000000004">
      <c r="B878" s="371"/>
      <c r="C878" s="1010" t="s">
        <v>761</v>
      </c>
      <c r="D878" s="360" t="str">
        <f t="shared" si="40"/>
        <v>Energy sources4300</v>
      </c>
      <c r="E878" s="360" t="str">
        <f t="shared" si="41"/>
        <v>TheewaterskloofEnergy sourcesOther expenditure</v>
      </c>
      <c r="F878" s="360" t="str">
        <f>'PART C- Municipal Details'!$G$7</f>
        <v>Theewaterskloof</v>
      </c>
      <c r="G878" s="360" t="s">
        <v>812</v>
      </c>
      <c r="H878" s="366" t="s">
        <v>813</v>
      </c>
      <c r="I878" s="496" t="s">
        <v>13</v>
      </c>
      <c r="J878" s="497" t="s">
        <v>759</v>
      </c>
      <c r="K878" s="490"/>
      <c r="L878" s="463" t="s">
        <v>763</v>
      </c>
      <c r="M878" s="459"/>
      <c r="N878" s="461"/>
      <c r="O878" s="461"/>
      <c r="P878" s="461"/>
      <c r="Q878" s="461"/>
      <c r="R878" s="461"/>
      <c r="S878" s="461"/>
      <c r="T878" s="461"/>
      <c r="U878" s="530">
        <v>0</v>
      </c>
      <c r="V878" s="530">
        <v>0</v>
      </c>
      <c r="W878" s="530">
        <v>0</v>
      </c>
      <c r="X878" s="490"/>
      <c r="Y878" s="969"/>
      <c r="Z878" s="969"/>
      <c r="AA878" s="969"/>
      <c r="AB878" s="969"/>
      <c r="AC878" s="969"/>
      <c r="AD878" s="969"/>
      <c r="AE878" s="969" t="str">
        <f t="shared" ref="AE878:AE942" si="42">F878&amp;L878</f>
        <v>TheewaterskloofOther Losses</v>
      </c>
      <c r="AF878" s="969"/>
      <c r="AG878" s="969"/>
    </row>
    <row r="879" spans="2:33" ht="13.2" customHeight="1" x14ac:dyDescent="0.55000000000000004">
      <c r="B879" s="371"/>
      <c r="C879" s="1009" t="s">
        <v>764</v>
      </c>
      <c r="D879" s="361" t="str">
        <f t="shared" si="40"/>
        <v>Energy sources4400</v>
      </c>
      <c r="E879" s="361" t="str">
        <f t="shared" si="41"/>
        <v>TheewaterskloofEnergy sourcesTotal Expenditure</v>
      </c>
      <c r="F879" s="360" t="str">
        <f>'PART C- Municipal Details'!$G$7</f>
        <v>Theewaterskloof</v>
      </c>
      <c r="G879" s="361" t="s">
        <v>812</v>
      </c>
      <c r="H879" s="363" t="s">
        <v>813</v>
      </c>
      <c r="I879" s="496" t="s">
        <v>736</v>
      </c>
      <c r="J879" s="497" t="s">
        <v>762</v>
      </c>
      <c r="K879" s="490"/>
      <c r="L879" s="508" t="s">
        <v>736</v>
      </c>
      <c r="M879" s="509"/>
      <c r="N879" s="510"/>
      <c r="O879" s="510"/>
      <c r="P879" s="510"/>
      <c r="Q879" s="510"/>
      <c r="R879" s="510"/>
      <c r="S879" s="510"/>
      <c r="T879" s="511"/>
      <c r="U879" s="529">
        <v>198754842</v>
      </c>
      <c r="V879" s="529">
        <v>205571762</v>
      </c>
      <c r="W879" s="529">
        <v>212220048</v>
      </c>
      <c r="X879" s="490"/>
      <c r="Y879" s="969"/>
      <c r="Z879" s="969"/>
      <c r="AA879" s="969"/>
      <c r="AB879" s="969"/>
      <c r="AC879" s="969"/>
      <c r="AD879" s="969"/>
      <c r="AE879" s="969" t="str">
        <f t="shared" si="42"/>
        <v>TheewaterskloofTotal Expenditure</v>
      </c>
      <c r="AF879" s="969"/>
      <c r="AG879" s="969"/>
    </row>
    <row r="880" spans="2:33" ht="13.2" customHeight="1" x14ac:dyDescent="0.55000000000000004">
      <c r="B880" s="371"/>
      <c r="C880" s="1009" t="s">
        <v>766</v>
      </c>
      <c r="D880" s="360" t="str">
        <f t="shared" si="40"/>
        <v>Energy sources4500</v>
      </c>
      <c r="E880" s="360" t="str">
        <f t="shared" si="41"/>
        <v>TheewaterskloofEnergy sourcesSurplus/(Deficit)</v>
      </c>
      <c r="F880" s="360" t="str">
        <f>'PART C- Municipal Details'!$G$7</f>
        <v>Theewaterskloof</v>
      </c>
      <c r="G880" s="360" t="s">
        <v>812</v>
      </c>
      <c r="H880" s="366" t="s">
        <v>813</v>
      </c>
      <c r="I880" s="496" t="s">
        <v>635</v>
      </c>
      <c r="J880" s="497" t="s">
        <v>765</v>
      </c>
      <c r="K880" s="490"/>
      <c r="L880" s="463" t="s">
        <v>635</v>
      </c>
      <c r="M880" s="459"/>
      <c r="N880" s="459"/>
      <c r="O880" s="459"/>
      <c r="P880" s="459"/>
      <c r="Q880" s="459"/>
      <c r="R880" s="459"/>
      <c r="S880" s="459"/>
      <c r="T880" s="459"/>
      <c r="U880" s="530">
        <v>12596926</v>
      </c>
      <c r="V880" s="530">
        <v>13940095</v>
      </c>
      <c r="W880" s="530">
        <v>14151118</v>
      </c>
      <c r="X880" s="490"/>
      <c r="Y880" s="969"/>
      <c r="Z880" s="969"/>
      <c r="AA880" s="969"/>
      <c r="AB880" s="969"/>
      <c r="AC880" s="969"/>
      <c r="AD880" s="969"/>
      <c r="AE880" s="969" t="str">
        <f t="shared" si="42"/>
        <v>TheewaterskloofSurplus/(Deficit)</v>
      </c>
      <c r="AF880" s="969"/>
      <c r="AG880" s="969"/>
    </row>
    <row r="881" spans="2:33" ht="13.2" customHeight="1" x14ac:dyDescent="0.55000000000000004">
      <c r="B881" s="371"/>
      <c r="C881" s="1010" t="s">
        <v>768</v>
      </c>
      <c r="D881" s="361" t="str">
        <f t="shared" si="40"/>
        <v>Energy sources4600</v>
      </c>
      <c r="E881" s="361" t="str">
        <f t="shared" si="41"/>
        <v>TheewaterskloofEnergy sourcesTransfers and subsidies - capital (monetary allocations) (National / Provincial and District)</v>
      </c>
      <c r="F881" s="360" t="str">
        <f>'PART C- Municipal Details'!$G$7</f>
        <v>Theewaterskloof</v>
      </c>
      <c r="G881" s="361" t="s">
        <v>812</v>
      </c>
      <c r="H881" s="363" t="s">
        <v>813</v>
      </c>
      <c r="I881" s="496" t="s">
        <v>740</v>
      </c>
      <c r="J881" s="497" t="s">
        <v>767</v>
      </c>
      <c r="K881" s="490"/>
      <c r="L881" s="463" t="s">
        <v>770</v>
      </c>
      <c r="M881" s="459"/>
      <c r="N881" s="459"/>
      <c r="O881" s="459"/>
      <c r="P881" s="459"/>
      <c r="Q881" s="459"/>
      <c r="R881" s="459"/>
      <c r="S881" s="459"/>
      <c r="T881" s="459"/>
      <c r="U881" s="530">
        <v>608696</v>
      </c>
      <c r="V881" s="530">
        <v>5453043</v>
      </c>
      <c r="W881" s="530">
        <v>5699130</v>
      </c>
      <c r="X881" s="490"/>
      <c r="Y881" s="969"/>
      <c r="Z881" s="969"/>
      <c r="AA881" s="969"/>
      <c r="AB881" s="969"/>
      <c r="AC881" s="969"/>
      <c r="AD881" s="969"/>
      <c r="AE881" s="969" t="str">
        <f t="shared" si="42"/>
        <v>TheewaterskloofTransfers and subsidies - capital (monetary allocations)</v>
      </c>
      <c r="AF881" s="969"/>
      <c r="AG881" s="969"/>
    </row>
    <row r="882" spans="2:33" ht="13.2" customHeight="1" x14ac:dyDescent="0.55000000000000004">
      <c r="B882" s="371"/>
      <c r="C882" s="1010" t="s">
        <v>771</v>
      </c>
      <c r="D882" s="360" t="str">
        <f t="shared" si="40"/>
        <v>Energy sources4700</v>
      </c>
      <c r="E882" s="360" t="str">
        <f t="shared" si="41"/>
        <v>TheewaterskloofEnergy sourcesTransfers and subsidies - capital (in-kind - all)</v>
      </c>
      <c r="F882" s="360" t="str">
        <f>'PART C- Municipal Details'!$G$7</f>
        <v>Theewaterskloof</v>
      </c>
      <c r="G882" s="360" t="s">
        <v>812</v>
      </c>
      <c r="H882" s="366" t="s">
        <v>813</v>
      </c>
      <c r="I882" s="496" t="s">
        <v>744</v>
      </c>
      <c r="J882" s="497" t="s">
        <v>769</v>
      </c>
      <c r="K882" s="490"/>
      <c r="L882" s="463" t="s">
        <v>773</v>
      </c>
      <c r="M882" s="459"/>
      <c r="N882" s="459"/>
      <c r="O882" s="459"/>
      <c r="P882" s="459"/>
      <c r="Q882" s="459"/>
      <c r="R882" s="459"/>
      <c r="S882" s="459"/>
      <c r="T882" s="459"/>
      <c r="U882" s="530">
        <v>0</v>
      </c>
      <c r="V882" s="530">
        <v>0</v>
      </c>
      <c r="W882" s="530">
        <v>0</v>
      </c>
      <c r="X882" s="490"/>
      <c r="Y882" s="969"/>
      <c r="Z882" s="969"/>
      <c r="AA882" s="969"/>
      <c r="AB882" s="969"/>
      <c r="AC882" s="969"/>
      <c r="AD882" s="969"/>
      <c r="AE882" s="969" t="str">
        <f t="shared" si="42"/>
        <v>TheewaterskloofTransfers and subsidies - capital (in-kind)</v>
      </c>
      <c r="AF882" s="969"/>
      <c r="AG882" s="969"/>
    </row>
    <row r="883" spans="2:33" ht="13.2" customHeight="1" x14ac:dyDescent="0.55000000000000004">
      <c r="B883" s="371"/>
      <c r="C883" s="1009" t="s">
        <v>774</v>
      </c>
      <c r="D883" s="361" t="str">
        <f t="shared" si="40"/>
        <v>Energy sources4800</v>
      </c>
      <c r="E883" s="361" t="str">
        <f t="shared" si="41"/>
        <v>TheewaterskloofEnergy sourcesSurplus/(Deficit) after capital transfers and contributions</v>
      </c>
      <c r="F883" s="360" t="str">
        <f>'PART C- Municipal Details'!$G$7</f>
        <v>Theewaterskloof</v>
      </c>
      <c r="G883" s="361" t="s">
        <v>812</v>
      </c>
      <c r="H883" s="363" t="s">
        <v>813</v>
      </c>
      <c r="I883" s="496" t="s">
        <v>747</v>
      </c>
      <c r="J883" s="497" t="s">
        <v>772</v>
      </c>
      <c r="K883" s="490"/>
      <c r="L883" s="463" t="s">
        <v>747</v>
      </c>
      <c r="M883" s="459"/>
      <c r="N883" s="459"/>
      <c r="O883" s="459"/>
      <c r="P883" s="459"/>
      <c r="Q883" s="459"/>
      <c r="R883" s="459"/>
      <c r="S883" s="459"/>
      <c r="T883" s="459"/>
      <c r="U883" s="530">
        <v>13205622</v>
      </c>
      <c r="V883" s="530">
        <v>19393138</v>
      </c>
      <c r="W883" s="530">
        <v>19850248</v>
      </c>
      <c r="X883" s="490"/>
      <c r="Y883" s="969"/>
      <c r="Z883" s="969"/>
      <c r="AA883" s="969"/>
      <c r="AB883" s="969"/>
      <c r="AC883" s="969"/>
      <c r="AD883" s="969"/>
      <c r="AE883" s="969" t="str">
        <f t="shared" si="42"/>
        <v>TheewaterskloofSurplus/(Deficit) after capital transfers and contributions</v>
      </c>
      <c r="AF883" s="969"/>
      <c r="AG883" s="969"/>
    </row>
    <row r="884" spans="2:33" ht="13.2" customHeight="1" x14ac:dyDescent="0.55000000000000004">
      <c r="B884" s="371"/>
      <c r="C884" s="1010" t="s">
        <v>776</v>
      </c>
      <c r="D884" s="360" t="str">
        <f t="shared" si="40"/>
        <v>Energy sources4900</v>
      </c>
      <c r="E884" s="360" t="str">
        <f t="shared" si="41"/>
        <v>TheewaterskloofEnergy sourcesTaxation</v>
      </c>
      <c r="F884" s="360" t="str">
        <f>'PART C- Municipal Details'!$G$7</f>
        <v>Theewaterskloof</v>
      </c>
      <c r="G884" s="360" t="s">
        <v>812</v>
      </c>
      <c r="H884" s="366" t="s">
        <v>813</v>
      </c>
      <c r="I884" s="496" t="s">
        <v>749</v>
      </c>
      <c r="J884" s="497" t="s">
        <v>775</v>
      </c>
      <c r="K884" s="490"/>
      <c r="L884" s="463" t="s">
        <v>778</v>
      </c>
      <c r="M884" s="459"/>
      <c r="N884" s="459"/>
      <c r="O884" s="459"/>
      <c r="P884" s="459"/>
      <c r="Q884" s="459"/>
      <c r="R884" s="459"/>
      <c r="S884" s="459"/>
      <c r="T884" s="459"/>
      <c r="U884" s="530">
        <v>0</v>
      </c>
      <c r="V884" s="530">
        <v>0</v>
      </c>
      <c r="W884" s="530">
        <v>0</v>
      </c>
      <c r="X884" s="490"/>
      <c r="Y884" s="969"/>
      <c r="Z884" s="969"/>
      <c r="AA884" s="969"/>
      <c r="AB884" s="969"/>
      <c r="AC884" s="969"/>
      <c r="AD884" s="969"/>
      <c r="AE884" s="969" t="str">
        <f t="shared" si="42"/>
        <v>TheewaterskloofIncome Tax</v>
      </c>
      <c r="AF884" s="969"/>
      <c r="AG884" s="969"/>
    </row>
    <row r="885" spans="2:33" ht="13.2" customHeight="1" x14ac:dyDescent="0.55000000000000004">
      <c r="B885" s="371"/>
      <c r="C885" s="1009" t="s">
        <v>779</v>
      </c>
      <c r="D885" s="361" t="str">
        <f t="shared" si="40"/>
        <v>Energy sources5000</v>
      </c>
      <c r="E885" s="361" t="str">
        <f t="shared" si="41"/>
        <v>TheewaterskloofEnergy sourcesSurplus/(Deficit) after taxation</v>
      </c>
      <c r="F885" s="360" t="str">
        <f>'PART C- Municipal Details'!$G$7</f>
        <v>Theewaterskloof</v>
      </c>
      <c r="G885" s="361" t="s">
        <v>812</v>
      </c>
      <c r="H885" s="363" t="s">
        <v>813</v>
      </c>
      <c r="I885" s="496" t="s">
        <v>751</v>
      </c>
      <c r="J885" s="497" t="s">
        <v>777</v>
      </c>
      <c r="K885" s="490"/>
      <c r="L885" s="463" t="s">
        <v>781</v>
      </c>
      <c r="M885" s="459"/>
      <c r="N885" s="459"/>
      <c r="O885" s="459"/>
      <c r="P885" s="459"/>
      <c r="Q885" s="459"/>
      <c r="R885" s="459"/>
      <c r="S885" s="459"/>
      <c r="T885" s="459"/>
      <c r="U885" s="530">
        <v>13205622</v>
      </c>
      <c r="V885" s="530">
        <v>19393138</v>
      </c>
      <c r="W885" s="530">
        <v>19850248</v>
      </c>
      <c r="X885" s="490"/>
      <c r="Y885" s="969"/>
      <c r="Z885" s="969"/>
      <c r="AA885" s="969"/>
      <c r="AB885" s="969"/>
      <c r="AC885" s="969"/>
      <c r="AD885" s="969"/>
      <c r="AE885" s="969" t="str">
        <f t="shared" si="42"/>
        <v>TheewaterskloofSurplus/(Deficit) after income tax</v>
      </c>
      <c r="AF885" s="969"/>
      <c r="AG885" s="969"/>
    </row>
    <row r="886" spans="2:33" ht="13.2" customHeight="1" x14ac:dyDescent="0.55000000000000004">
      <c r="B886" s="371"/>
      <c r="C886" s="1010" t="s">
        <v>782</v>
      </c>
      <c r="D886" s="360" t="str">
        <f t="shared" si="40"/>
        <v>Energy sources5100</v>
      </c>
      <c r="E886" s="360" t="str">
        <f t="shared" si="41"/>
        <v>TheewaterskloofEnergy sourcesShare of Surplus/Deficit attributable to Joint Venture</v>
      </c>
      <c r="F886" s="360" t="str">
        <f>'PART C- Municipal Details'!$G$7</f>
        <v>Theewaterskloof</v>
      </c>
      <c r="G886" s="360" t="s">
        <v>812</v>
      </c>
      <c r="H886" s="366" t="s">
        <v>813</v>
      </c>
      <c r="I886" s="496" t="s">
        <v>783</v>
      </c>
      <c r="J886" s="497" t="s">
        <v>780</v>
      </c>
      <c r="K886" s="490"/>
      <c r="L886" s="463" t="s">
        <v>783</v>
      </c>
      <c r="M886" s="459"/>
      <c r="N886" s="459"/>
      <c r="O886" s="459"/>
      <c r="P886" s="459"/>
      <c r="Q886" s="459"/>
      <c r="R886" s="459"/>
      <c r="S886" s="459"/>
      <c r="T886" s="459"/>
      <c r="U886" s="530">
        <v>0</v>
      </c>
      <c r="V886" s="530">
        <v>0</v>
      </c>
      <c r="W886" s="530">
        <v>0</v>
      </c>
      <c r="X886" s="490"/>
      <c r="Y886" s="969"/>
      <c r="Z886" s="969"/>
      <c r="AA886" s="969"/>
      <c r="AB886" s="969"/>
      <c r="AC886" s="969"/>
      <c r="AD886" s="969"/>
      <c r="AE886" s="969" t="str">
        <f t="shared" si="42"/>
        <v>TheewaterskloofShare of Surplus/Deficit attributable to Joint Venture</v>
      </c>
      <c r="AF886" s="969"/>
      <c r="AG886" s="969"/>
    </row>
    <row r="887" spans="2:33" ht="13.2" customHeight="1" x14ac:dyDescent="0.55000000000000004">
      <c r="B887" s="371"/>
      <c r="C887" s="1010" t="s">
        <v>785</v>
      </c>
      <c r="D887" s="361" t="str">
        <f t="shared" si="40"/>
        <v>Energy sources5200</v>
      </c>
      <c r="E887" s="361" t="str">
        <f t="shared" si="41"/>
        <v>TheewaterskloofEnergy sourcesAttributable to minorities</v>
      </c>
      <c r="F887" s="360" t="str">
        <f>'PART C- Municipal Details'!$G$7</f>
        <v>Theewaterskloof</v>
      </c>
      <c r="G887" s="361" t="s">
        <v>812</v>
      </c>
      <c r="H887" s="363" t="s">
        <v>813</v>
      </c>
      <c r="I887" s="496" t="s">
        <v>753</v>
      </c>
      <c r="J887" s="497" t="s">
        <v>784</v>
      </c>
      <c r="K887" s="490"/>
      <c r="L887" s="463" t="s">
        <v>787</v>
      </c>
      <c r="M887" s="459"/>
      <c r="N887" s="459"/>
      <c r="O887" s="459"/>
      <c r="P887" s="459"/>
      <c r="Q887" s="459"/>
      <c r="R887" s="459"/>
      <c r="S887" s="459"/>
      <c r="T887" s="459"/>
      <c r="U887" s="530">
        <v>0</v>
      </c>
      <c r="V887" s="530">
        <v>0</v>
      </c>
      <c r="W887" s="530">
        <v>0</v>
      </c>
      <c r="X887" s="490"/>
      <c r="Y887" s="969"/>
      <c r="Z887" s="969"/>
      <c r="AA887" s="969"/>
      <c r="AB887" s="969"/>
      <c r="AC887" s="969"/>
      <c r="AD887" s="969"/>
      <c r="AE887" s="969" t="str">
        <f t="shared" si="42"/>
        <v>TheewaterskloofShare of Surplus/Deficit attributable to Minorities</v>
      </c>
      <c r="AF887" s="969"/>
      <c r="AG887" s="969"/>
    </row>
    <row r="888" spans="2:33" ht="13.2" customHeight="1" x14ac:dyDescent="0.55000000000000004">
      <c r="B888" s="371"/>
      <c r="C888" s="1009" t="s">
        <v>788</v>
      </c>
      <c r="D888" s="360" t="str">
        <f t="shared" si="40"/>
        <v>Energy sources5300</v>
      </c>
      <c r="E888" s="360" t="str">
        <f t="shared" si="41"/>
        <v>TheewaterskloofEnergy sourcesSurplus/(Deficit) attributable to municipality</v>
      </c>
      <c r="F888" s="360" t="str">
        <f>'PART C- Municipal Details'!$G$7</f>
        <v>Theewaterskloof</v>
      </c>
      <c r="G888" s="360" t="s">
        <v>812</v>
      </c>
      <c r="H888" s="366" t="s">
        <v>813</v>
      </c>
      <c r="I888" s="496" t="s">
        <v>756</v>
      </c>
      <c r="J888" s="497" t="s">
        <v>786</v>
      </c>
      <c r="K888" s="490"/>
      <c r="L888" s="463" t="s">
        <v>756</v>
      </c>
      <c r="M888" s="459"/>
      <c r="N888" s="459"/>
      <c r="O888" s="459"/>
      <c r="P888" s="459"/>
      <c r="Q888" s="459"/>
      <c r="R888" s="459"/>
      <c r="S888" s="459"/>
      <c r="T888" s="459"/>
      <c r="U888" s="530">
        <v>13205622</v>
      </c>
      <c r="V888" s="530">
        <v>19393138</v>
      </c>
      <c r="W888" s="530">
        <v>19850248</v>
      </c>
      <c r="X888" s="490"/>
      <c r="Y888" s="969"/>
      <c r="Z888" s="969"/>
      <c r="AA888" s="969"/>
      <c r="AB888" s="969"/>
      <c r="AC888" s="969"/>
      <c r="AD888" s="969"/>
      <c r="AE888" s="969" t="str">
        <f t="shared" si="42"/>
        <v>TheewaterskloofSurplus/(Deficit) attributable to municipality</v>
      </c>
      <c r="AF888" s="969"/>
      <c r="AG888" s="969"/>
    </row>
    <row r="889" spans="2:33" ht="13.2" customHeight="1" x14ac:dyDescent="0.55000000000000004">
      <c r="B889" s="371"/>
      <c r="C889" s="1010" t="s">
        <v>790</v>
      </c>
      <c r="D889" s="361" t="str">
        <f t="shared" si="40"/>
        <v>Energy sources5400</v>
      </c>
      <c r="E889" s="361" t="str">
        <f t="shared" si="41"/>
        <v>TheewaterskloofEnergy sourcesShare of surplus/ (deficit) of associate</v>
      </c>
      <c r="F889" s="360" t="str">
        <f>'PART C- Municipal Details'!$G$7</f>
        <v>Theewaterskloof</v>
      </c>
      <c r="G889" s="361" t="s">
        <v>812</v>
      </c>
      <c r="H889" s="363" t="s">
        <v>813</v>
      </c>
      <c r="I889" s="496" t="s">
        <v>759</v>
      </c>
      <c r="J889" s="497" t="s">
        <v>789</v>
      </c>
      <c r="K889" s="490"/>
      <c r="L889" s="463" t="s">
        <v>791</v>
      </c>
      <c r="M889" s="459"/>
      <c r="N889" s="459"/>
      <c r="O889" s="459"/>
      <c r="P889" s="459"/>
      <c r="Q889" s="459"/>
      <c r="R889" s="459"/>
      <c r="S889" s="459"/>
      <c r="T889" s="459"/>
      <c r="U889" s="530">
        <v>0</v>
      </c>
      <c r="V889" s="530">
        <v>0</v>
      </c>
      <c r="W889" s="530">
        <v>0</v>
      </c>
      <c r="X889" s="490"/>
      <c r="Y889" s="969"/>
      <c r="Z889" s="969"/>
      <c r="AA889" s="969"/>
      <c r="AB889" s="969"/>
      <c r="AC889" s="969"/>
      <c r="AD889" s="969"/>
      <c r="AE889" s="969" t="str">
        <f t="shared" si="42"/>
        <v>TheewaterskloofShare of Surplus/Deficit attributable to Associate</v>
      </c>
      <c r="AF889" s="969"/>
      <c r="AG889" s="969"/>
    </row>
    <row r="890" spans="2:33" ht="13.2" customHeight="1" x14ac:dyDescent="0.55000000000000004">
      <c r="B890" s="371"/>
      <c r="C890" s="1010" t="s">
        <v>792</v>
      </c>
      <c r="D890" s="360" t="str">
        <f t="shared" si="40"/>
        <v>Energy sources5500</v>
      </c>
      <c r="E890" s="360" t="str">
        <f t="shared" si="41"/>
        <v>TheewaterskloofEnergy sourcesIntercompany/Parent subsidiary transactions</v>
      </c>
      <c r="F890" s="360" t="str">
        <f>'PART C- Municipal Details'!$G$7</f>
        <v>Theewaterskloof</v>
      </c>
      <c r="G890" s="360" t="s">
        <v>812</v>
      </c>
      <c r="H890" s="366" t="s">
        <v>813</v>
      </c>
      <c r="I890" s="496" t="s">
        <v>793</v>
      </c>
      <c r="J890" s="497" t="s">
        <v>789</v>
      </c>
      <c r="K890" s="490"/>
      <c r="L890" s="463" t="s">
        <v>793</v>
      </c>
      <c r="M890" s="459"/>
      <c r="N890" s="459"/>
      <c r="O890" s="459"/>
      <c r="P890" s="459"/>
      <c r="Q890" s="459"/>
      <c r="R890" s="459"/>
      <c r="S890" s="459"/>
      <c r="T890" s="459"/>
      <c r="U890" s="530">
        <v>0</v>
      </c>
      <c r="V890" s="530">
        <v>0</v>
      </c>
      <c r="W890" s="530">
        <v>0</v>
      </c>
      <c r="X890" s="490"/>
      <c r="Y890" s="969"/>
      <c r="Z890" s="969"/>
      <c r="AA890" s="969"/>
      <c r="AB890" s="969"/>
      <c r="AC890" s="969"/>
      <c r="AD890" s="969"/>
      <c r="AE890" s="969" t="str">
        <f t="shared" si="42"/>
        <v>TheewaterskloofIntercompany/Parent subsidiary transactions</v>
      </c>
      <c r="AF890" s="969"/>
      <c r="AG890" s="969"/>
    </row>
    <row r="891" spans="2:33" ht="13.2" customHeight="1" x14ac:dyDescent="0.55000000000000004">
      <c r="B891" s="371"/>
      <c r="C891" s="1009" t="s">
        <v>794</v>
      </c>
      <c r="D891" s="361" t="str">
        <f t="shared" si="40"/>
        <v>Energy sources5600</v>
      </c>
      <c r="E891" s="361" t="str">
        <f t="shared" si="41"/>
        <v>TheewaterskloofEnergy sourcesSurplus/(Deficit) for the year</v>
      </c>
      <c r="F891" s="360" t="str">
        <f>'PART C- Municipal Details'!$G$7</f>
        <v>Theewaterskloof</v>
      </c>
      <c r="G891" s="361" t="s">
        <v>812</v>
      </c>
      <c r="H891" s="363" t="s">
        <v>813</v>
      </c>
      <c r="I891" s="496" t="s">
        <v>762</v>
      </c>
      <c r="J891" s="497" t="s">
        <v>789</v>
      </c>
      <c r="K891" s="490"/>
      <c r="L891" s="508" t="s">
        <v>762</v>
      </c>
      <c r="M891" s="509"/>
      <c r="N891" s="510"/>
      <c r="O891" s="510"/>
      <c r="P891" s="510"/>
      <c r="Q891" s="510"/>
      <c r="R891" s="510"/>
      <c r="S891" s="510"/>
      <c r="T891" s="511"/>
      <c r="U891" s="530">
        <v>0</v>
      </c>
      <c r="V891" s="530">
        <v>0</v>
      </c>
      <c r="W891" s="530">
        <v>0</v>
      </c>
      <c r="X891" s="490"/>
      <c r="Y891" s="969"/>
      <c r="Z891" s="969"/>
      <c r="AA891" s="969"/>
      <c r="AB891" s="969"/>
      <c r="AC891" s="969"/>
      <c r="AD891" s="969"/>
      <c r="AE891" s="969" t="str">
        <f t="shared" si="42"/>
        <v>TheewaterskloofSurplus/(Deficit) for the year</v>
      </c>
      <c r="AF891" s="969"/>
      <c r="AG891" s="969"/>
    </row>
    <row r="892" spans="2:33" ht="13.2" customHeight="1" x14ac:dyDescent="0.55000000000000004">
      <c r="B892" s="371"/>
      <c r="C892" s="1011">
        <v>55555</v>
      </c>
      <c r="D892" s="360" t="str">
        <f t="shared" si="40"/>
        <v>Energy sources55555</v>
      </c>
      <c r="E892" s="360" t="str">
        <f t="shared" si="41"/>
        <v>TheewaterskloofEnergy sourcesReferences</v>
      </c>
      <c r="F892" s="360" t="str">
        <f>'PART C- Municipal Details'!$G$7</f>
        <v>Theewaterskloof</v>
      </c>
      <c r="G892" s="360" t="s">
        <v>812</v>
      </c>
      <c r="H892" s="366" t="s">
        <v>813</v>
      </c>
      <c r="I892" s="496" t="s">
        <v>765</v>
      </c>
      <c r="J892" s="497" t="s">
        <v>789</v>
      </c>
      <c r="K892" s="490"/>
      <c r="L892" s="474" t="s">
        <v>765</v>
      </c>
      <c r="M892" s="475"/>
      <c r="N892" s="476"/>
      <c r="O892" s="476"/>
      <c r="P892" s="476"/>
      <c r="Q892" s="476"/>
      <c r="R892" s="476"/>
      <c r="S892" s="476"/>
      <c r="T892" s="477"/>
      <c r="U892" s="530">
        <v>0</v>
      </c>
      <c r="V892" s="530">
        <v>0</v>
      </c>
      <c r="W892" s="530">
        <v>0</v>
      </c>
      <c r="X892" s="490"/>
      <c r="Y892" s="969"/>
      <c r="Z892" s="969"/>
      <c r="AA892" s="969"/>
      <c r="AB892" s="969"/>
      <c r="AC892" s="969"/>
      <c r="AD892" s="969"/>
      <c r="AE892" s="969" t="str">
        <f t="shared" si="42"/>
        <v>TheewaterskloofReferences</v>
      </c>
      <c r="AF892" s="969"/>
      <c r="AG892" s="969"/>
    </row>
    <row r="893" spans="2:33" ht="13.2" customHeight="1" x14ac:dyDescent="0.55000000000000004">
      <c r="B893" s="371"/>
      <c r="C893" s="1011">
        <v>55555</v>
      </c>
      <c r="D893" s="361" t="str">
        <f t="shared" si="40"/>
        <v>Energy sources55555</v>
      </c>
      <c r="E893" s="361" t="str">
        <f t="shared" si="41"/>
        <v>TheewaterskloofEnergy sources1. Classifications are revenue sources and expenditure type</v>
      </c>
      <c r="F893" s="360" t="str">
        <f>'PART C- Municipal Details'!$G$7</f>
        <v>Theewaterskloof</v>
      </c>
      <c r="G893" s="361" t="s">
        <v>812</v>
      </c>
      <c r="H893" s="363" t="s">
        <v>813</v>
      </c>
      <c r="I893" s="496" t="s">
        <v>767</v>
      </c>
      <c r="J893" s="497" t="s">
        <v>789</v>
      </c>
      <c r="K893" s="490"/>
      <c r="L893" s="465" t="s">
        <v>767</v>
      </c>
      <c r="M893" s="472"/>
      <c r="N893" s="473"/>
      <c r="O893" s="473"/>
      <c r="P893" s="473"/>
      <c r="Q893" s="473"/>
      <c r="R893" s="473"/>
      <c r="S893" s="473"/>
      <c r="T893" s="478"/>
      <c r="U893" s="530">
        <v>0</v>
      </c>
      <c r="V893" s="530">
        <v>0</v>
      </c>
      <c r="W893" s="530">
        <v>0</v>
      </c>
      <c r="X893" s="490"/>
      <c r="Y893" s="969"/>
      <c r="Z893" s="969"/>
      <c r="AA893" s="969"/>
      <c r="AB893" s="969"/>
      <c r="AC893" s="969"/>
      <c r="AD893" s="969"/>
      <c r="AE893" s="969" t="str">
        <f t="shared" si="42"/>
        <v>Theewaterskloof1. Classifications are revenue sources and expenditure type</v>
      </c>
      <c r="AF893" s="969"/>
      <c r="AG893" s="969"/>
    </row>
    <row r="894" spans="2:33" ht="13.2" customHeight="1" x14ac:dyDescent="0.55000000000000004">
      <c r="B894" s="371"/>
      <c r="C894" s="1011">
        <v>55555</v>
      </c>
      <c r="D894" s="360" t="str">
        <f t="shared" si="40"/>
        <v>Energy sources55555</v>
      </c>
      <c r="E894" s="360" t="str">
        <f t="shared" si="41"/>
        <v>TheewaterskloofEnergy sources2. Detail to be provided in Table SA1</v>
      </c>
      <c r="F894" s="360" t="str">
        <f>'PART C- Municipal Details'!$G$7</f>
        <v>Theewaterskloof</v>
      </c>
      <c r="G894" s="360" t="s">
        <v>812</v>
      </c>
      <c r="H894" s="366" t="s">
        <v>813</v>
      </c>
      <c r="I894" s="496" t="s">
        <v>769</v>
      </c>
      <c r="J894" s="497" t="s">
        <v>789</v>
      </c>
      <c r="K894" s="490"/>
      <c r="L894" s="465" t="s">
        <v>769</v>
      </c>
      <c r="M894" s="472"/>
      <c r="N894" s="473"/>
      <c r="O894" s="473"/>
      <c r="P894" s="473"/>
      <c r="Q894" s="473"/>
      <c r="R894" s="473"/>
      <c r="S894" s="473"/>
      <c r="T894" s="478"/>
      <c r="U894" s="530">
        <v>0</v>
      </c>
      <c r="V894" s="530">
        <v>0</v>
      </c>
      <c r="W894" s="530">
        <v>0</v>
      </c>
      <c r="X894" s="490"/>
      <c r="Y894" s="969"/>
      <c r="Z894" s="969"/>
      <c r="AA894" s="969"/>
      <c r="AB894" s="969"/>
      <c r="AC894" s="969"/>
      <c r="AD894" s="969"/>
      <c r="AE894" s="969" t="str">
        <f t="shared" si="42"/>
        <v>Theewaterskloof2. Detail to be provided in Table SA1</v>
      </c>
      <c r="AF894" s="969"/>
      <c r="AG894" s="969"/>
    </row>
    <row r="895" spans="2:33" ht="13.2" customHeight="1" x14ac:dyDescent="0.55000000000000004">
      <c r="B895" s="371"/>
      <c r="C895" s="1011">
        <v>55555</v>
      </c>
      <c r="D895" s="361" t="str">
        <f t="shared" si="40"/>
        <v>Energy sources55555</v>
      </c>
      <c r="E895" s="361" t="str">
        <f t="shared" si="41"/>
        <v>TheewaterskloofEnergy sources3. Debt impairment includes Impairment and Reversal of Impairment Losses</v>
      </c>
      <c r="F895" s="360" t="str">
        <f>'PART C- Municipal Details'!$G$7</f>
        <v>Theewaterskloof</v>
      </c>
      <c r="G895" s="361" t="s">
        <v>812</v>
      </c>
      <c r="H895" s="363" t="s">
        <v>813</v>
      </c>
      <c r="I895" s="496" t="s">
        <v>795</v>
      </c>
      <c r="J895" s="497" t="s">
        <v>789</v>
      </c>
      <c r="K895" s="490"/>
      <c r="L895" s="465" t="s">
        <v>795</v>
      </c>
      <c r="M895" s="472"/>
      <c r="N895" s="473"/>
      <c r="O895" s="473"/>
      <c r="P895" s="473"/>
      <c r="Q895" s="473"/>
      <c r="R895" s="473"/>
      <c r="S895" s="473"/>
      <c r="T895" s="478"/>
      <c r="U895" s="530">
        <v>0</v>
      </c>
      <c r="V895" s="530">
        <v>0</v>
      </c>
      <c r="W895" s="530">
        <v>0</v>
      </c>
      <c r="X895" s="490"/>
      <c r="Y895" s="969"/>
      <c r="Z895" s="969"/>
      <c r="AA895" s="969"/>
      <c r="AB895" s="969"/>
      <c r="AC895" s="969"/>
      <c r="AD895" s="969"/>
      <c r="AE895" s="969" t="str">
        <f t="shared" si="42"/>
        <v>Theewaterskloof3. Debt impairment includes Impairment and Reversal of Impairment Losses</v>
      </c>
      <c r="AF895" s="969"/>
      <c r="AG895" s="969"/>
    </row>
    <row r="896" spans="2:33" ht="13.2" customHeight="1" x14ac:dyDescent="0.55000000000000004">
      <c r="B896" s="371"/>
      <c r="C896" s="1011">
        <v>55555</v>
      </c>
      <c r="D896" s="360" t="str">
        <f t="shared" si="40"/>
        <v>Energy sources55555</v>
      </c>
      <c r="E896" s="360" t="str">
        <f t="shared" si="41"/>
        <v>TheewaterskloofEnergy sources4. Expenditure type components previously shown under repairs and maintenance should be allocated back to the originating expenditure group/item; e.g. employee costs</v>
      </c>
      <c r="F896" s="360" t="str">
        <f>'PART C- Municipal Details'!$G$7</f>
        <v>Theewaterskloof</v>
      </c>
      <c r="G896" s="360" t="s">
        <v>812</v>
      </c>
      <c r="H896" s="366" t="s">
        <v>813</v>
      </c>
      <c r="I896" s="496" t="s">
        <v>775</v>
      </c>
      <c r="J896" s="497" t="s">
        <v>789</v>
      </c>
      <c r="K896" s="490"/>
      <c r="L896" s="465" t="s">
        <v>775</v>
      </c>
      <c r="M896" s="472"/>
      <c r="N896" s="473"/>
      <c r="O896" s="473"/>
      <c r="P896" s="473"/>
      <c r="Q896" s="473"/>
      <c r="R896" s="473"/>
      <c r="S896" s="473"/>
      <c r="T896" s="478"/>
      <c r="U896" s="530">
        <v>0</v>
      </c>
      <c r="V896" s="530">
        <v>0</v>
      </c>
      <c r="W896" s="530">
        <v>0</v>
      </c>
      <c r="X896" s="490"/>
      <c r="Y896" s="969"/>
      <c r="Z896" s="969"/>
      <c r="AA896" s="969"/>
      <c r="AB896" s="969"/>
      <c r="AC896" s="969"/>
      <c r="AD896" s="969"/>
      <c r="AE896" s="969" t="str">
        <f t="shared" si="42"/>
        <v>Theewaterskloof4. Expenditure type components previously shown under repairs and maintenance should be allocated back to the originating expenditure group/item; e.g. employee costs</v>
      </c>
      <c r="AF896" s="969"/>
      <c r="AG896" s="969"/>
    </row>
    <row r="897" spans="2:33" ht="13.2" customHeight="1" x14ac:dyDescent="0.55000000000000004">
      <c r="B897" s="371"/>
      <c r="C897" s="1011">
        <v>55555</v>
      </c>
      <c r="D897" s="361" t="str">
        <f t="shared" si="40"/>
        <v>Energy sources55555</v>
      </c>
      <c r="E897" s="361" t="str">
        <f t="shared" si="41"/>
        <v>TheewaterskloofEnergy sources5. Repairs &amp; maintenance detailed in Table A9 and Table SA34c</v>
      </c>
      <c r="F897" s="360" t="str">
        <f>'PART C- Municipal Details'!$G$7</f>
        <v>Theewaterskloof</v>
      </c>
      <c r="G897" s="361" t="s">
        <v>812</v>
      </c>
      <c r="H897" s="363" t="s">
        <v>813</v>
      </c>
      <c r="I897" s="496" t="s">
        <v>777</v>
      </c>
      <c r="J897" s="497" t="s">
        <v>789</v>
      </c>
      <c r="K897" s="490"/>
      <c r="L897" s="465" t="s">
        <v>777</v>
      </c>
      <c r="M897" s="472"/>
      <c r="N897" s="473"/>
      <c r="O897" s="473"/>
      <c r="P897" s="473"/>
      <c r="Q897" s="473"/>
      <c r="R897" s="473"/>
      <c r="S897" s="473"/>
      <c r="T897" s="478"/>
      <c r="U897" s="530">
        <v>0</v>
      </c>
      <c r="V897" s="530">
        <v>0</v>
      </c>
      <c r="W897" s="530">
        <v>0</v>
      </c>
      <c r="X897" s="490"/>
      <c r="Y897" s="969"/>
      <c r="Z897" s="969"/>
      <c r="AA897" s="969"/>
      <c r="AB897" s="969"/>
      <c r="AC897" s="969"/>
      <c r="AD897" s="969"/>
      <c r="AE897" s="969" t="str">
        <f t="shared" si="42"/>
        <v>Theewaterskloof5. Repairs &amp; maintenance detailed in Table A9 and Table SA34c</v>
      </c>
      <c r="AF897" s="969"/>
      <c r="AG897" s="969"/>
    </row>
    <row r="898" spans="2:33" ht="13.2" customHeight="1" x14ac:dyDescent="0.55000000000000004">
      <c r="B898" s="371"/>
      <c r="C898" s="1011">
        <v>55555</v>
      </c>
      <c r="D898" s="360" t="str">
        <f t="shared" si="40"/>
        <v>Energy sources55555</v>
      </c>
      <c r="E898" s="360" t="str">
        <f t="shared" si="41"/>
        <v>TheewaterskloofEnergy sources6. Contributions are funds provided by external organisations to assist with infrastructure development; e.g. developer contributions (detail to be provided in Table SA1)</v>
      </c>
      <c r="F898" s="360" t="str">
        <f>'PART C- Municipal Details'!$G$7</f>
        <v>Theewaterskloof</v>
      </c>
      <c r="G898" s="360" t="s">
        <v>812</v>
      </c>
      <c r="H898" s="366" t="s">
        <v>813</v>
      </c>
      <c r="I898" s="496" t="s">
        <v>780</v>
      </c>
      <c r="J898" s="497" t="s">
        <v>789</v>
      </c>
      <c r="K898" s="490"/>
      <c r="L898" s="465" t="s">
        <v>780</v>
      </c>
      <c r="M898" s="472"/>
      <c r="N898" s="473"/>
      <c r="O898" s="473"/>
      <c r="P898" s="473"/>
      <c r="Q898" s="473"/>
      <c r="R898" s="473"/>
      <c r="S898" s="473"/>
      <c r="T898" s="478"/>
      <c r="U898" s="530">
        <v>0</v>
      </c>
      <c r="V898" s="530">
        <v>0</v>
      </c>
      <c r="W898" s="530">
        <v>0</v>
      </c>
      <c r="X898" s="490"/>
      <c r="Y898" s="969"/>
      <c r="Z898" s="969"/>
      <c r="AA898" s="969"/>
      <c r="AB898" s="969"/>
      <c r="AC898" s="969"/>
      <c r="AD898" s="969"/>
      <c r="AE898" s="969" t="str">
        <f t="shared" si="42"/>
        <v>Theewaterskloof6. Contributions are funds provided by external organisations to assist with infrastructure development; e.g. developer contributions (detail to be provided in Table SA1)</v>
      </c>
      <c r="AF898" s="969"/>
      <c r="AG898" s="969"/>
    </row>
    <row r="899" spans="2:33" ht="13.2" customHeight="1" x14ac:dyDescent="0.55000000000000004">
      <c r="B899" s="371"/>
      <c r="C899" s="1011">
        <v>55555</v>
      </c>
      <c r="D899" s="361" t="str">
        <f t="shared" si="40"/>
        <v>Energy sources55555</v>
      </c>
      <c r="E899" s="361" t="str">
        <f t="shared" si="41"/>
        <v>TheewaterskloofEnergy sources7. Equity method ( Includes Joint Ventures)</v>
      </c>
      <c r="F899" s="360" t="str">
        <f>'PART C- Municipal Details'!$G$7</f>
        <v>Theewaterskloof</v>
      </c>
      <c r="G899" s="361" t="s">
        <v>812</v>
      </c>
      <c r="H899" s="363" t="s">
        <v>813</v>
      </c>
      <c r="I899" s="496" t="s">
        <v>796</v>
      </c>
      <c r="J899" s="497" t="s">
        <v>789</v>
      </c>
      <c r="K899" s="490"/>
      <c r="L899" s="479" t="s">
        <v>796</v>
      </c>
      <c r="M899" s="480"/>
      <c r="N899" s="481"/>
      <c r="O899" s="481"/>
      <c r="P899" s="481"/>
      <c r="Q899" s="481"/>
      <c r="R899" s="481"/>
      <c r="S899" s="481"/>
      <c r="T899" s="482"/>
      <c r="U899" s="530">
        <v>0</v>
      </c>
      <c r="V899" s="530">
        <v>0</v>
      </c>
      <c r="W899" s="530">
        <v>0</v>
      </c>
      <c r="X899" s="490"/>
      <c r="Y899" s="969"/>
      <c r="Z899" s="969"/>
      <c r="AA899" s="969"/>
      <c r="AB899" s="969"/>
      <c r="AC899" s="969"/>
      <c r="AD899" s="969"/>
      <c r="AE899" s="969" t="str">
        <f t="shared" si="42"/>
        <v>Theewaterskloof7. Equity method ( Includes Joint Ventures)</v>
      </c>
      <c r="AF899" s="969"/>
      <c r="AG899" s="969"/>
    </row>
    <row r="900" spans="2:33" ht="13.2" customHeight="1" x14ac:dyDescent="0.55000000000000004">
      <c r="B900" s="371"/>
      <c r="C900" s="1011">
        <v>55555</v>
      </c>
      <c r="D900" s="360" t="str">
        <f t="shared" si="40"/>
        <v>Energy sources55555</v>
      </c>
      <c r="E900" s="360" t="str">
        <f t="shared" si="41"/>
        <v>TheewaterskloofEnergy sources8. All materials consumed including water consumed and materials used in operations.</v>
      </c>
      <c r="F900" s="360" t="str">
        <f>'PART C- Municipal Details'!$G$7</f>
        <v>Theewaterskloof</v>
      </c>
      <c r="G900" s="360" t="s">
        <v>812</v>
      </c>
      <c r="H900" s="366" t="s">
        <v>813</v>
      </c>
      <c r="I900" s="496" t="s">
        <v>797</v>
      </c>
      <c r="J900" s="497" t="s">
        <v>789</v>
      </c>
      <c r="K900" s="490"/>
      <c r="L900" s="501"/>
      <c r="M900" s="502"/>
      <c r="N900" s="503"/>
      <c r="O900" s="503"/>
      <c r="P900" s="503"/>
      <c r="Q900" s="503"/>
      <c r="R900" s="503"/>
      <c r="S900" s="503"/>
      <c r="T900" s="503"/>
      <c r="U900" s="504"/>
      <c r="V900" s="504"/>
      <c r="W900" s="504"/>
      <c r="X900" s="490"/>
      <c r="Y900" s="969"/>
      <c r="Z900" s="969"/>
      <c r="AA900" s="969"/>
      <c r="AB900" s="969"/>
      <c r="AC900" s="969"/>
      <c r="AD900" s="969"/>
      <c r="AE900" s="969" t="str">
        <f t="shared" si="42"/>
        <v>Theewaterskloof</v>
      </c>
      <c r="AF900" s="969"/>
      <c r="AG900" s="969"/>
    </row>
    <row r="901" spans="2:33" ht="13.2" customHeight="1" x14ac:dyDescent="0.55000000000000004">
      <c r="B901" s="371"/>
      <c r="C901" s="1011">
        <v>55555</v>
      </c>
      <c r="D901" s="361" t="str">
        <f t="shared" si="40"/>
        <v>55555</v>
      </c>
      <c r="E901" s="361" t="str">
        <f t="shared" si="41"/>
        <v>Theewaterskloof</v>
      </c>
      <c r="F901" s="360" t="str">
        <f>'PART C- Municipal Details'!$G$7</f>
        <v>Theewaterskloof</v>
      </c>
      <c r="G901" s="361" t="s">
        <v>812</v>
      </c>
      <c r="H901" s="363"/>
      <c r="I901" s="496"/>
      <c r="J901" s="497"/>
      <c r="K901" s="490"/>
      <c r="L901" s="516"/>
      <c r="M901" s="517"/>
      <c r="N901" s="515"/>
      <c r="O901" s="515"/>
      <c r="P901" s="515"/>
      <c r="Q901" s="515"/>
      <c r="R901" s="515"/>
      <c r="S901" s="515"/>
      <c r="T901" s="515"/>
      <c r="U901" s="517"/>
      <c r="V901" s="517"/>
      <c r="W901" s="517"/>
      <c r="X901" s="490"/>
      <c r="Y901" s="969"/>
      <c r="Z901" s="969"/>
      <c r="AA901" s="969"/>
      <c r="AB901" s="969"/>
      <c r="AC901" s="969"/>
      <c r="AD901" s="969"/>
      <c r="AE901" s="969" t="str">
        <f t="shared" si="42"/>
        <v>Theewaterskloof</v>
      </c>
      <c r="AF901" s="969"/>
      <c r="AG901" s="969"/>
    </row>
    <row r="902" spans="2:33" ht="20.55" customHeight="1" thickBot="1" x14ac:dyDescent="0.6">
      <c r="B902" s="371"/>
      <c r="C902" s="1010">
        <v>55555</v>
      </c>
      <c r="D902" s="360" t="str">
        <f t="shared" si="40"/>
        <v>Water management55555</v>
      </c>
      <c r="E902" s="361" t="str">
        <f t="shared" si="41"/>
        <v>TheewaterskloofWater managementzz</v>
      </c>
      <c r="F902" s="360" t="str">
        <f>'PART C- Municipal Details'!$G$7</f>
        <v>Theewaterskloof</v>
      </c>
      <c r="G902" s="361" t="s">
        <v>812</v>
      </c>
      <c r="H902" s="363" t="s">
        <v>814</v>
      </c>
      <c r="I902" s="496" t="s">
        <v>801</v>
      </c>
      <c r="J902" s="497" t="s">
        <v>651</v>
      </c>
      <c r="K902" s="490"/>
      <c r="L902" s="462" t="s">
        <v>651</v>
      </c>
      <c r="M902" s="362" t="s">
        <v>652</v>
      </c>
      <c r="N902" s="466" t="s">
        <v>653</v>
      </c>
      <c r="O902" s="466" t="s">
        <v>654</v>
      </c>
      <c r="P902" s="467" t="s">
        <v>655</v>
      </c>
      <c r="Q902" s="483" t="s">
        <v>656</v>
      </c>
      <c r="R902" s="468"/>
      <c r="S902" s="468"/>
      <c r="T902" s="467"/>
      <c r="U902" s="527" t="s">
        <v>657</v>
      </c>
      <c r="V902" s="527" t="s">
        <v>657</v>
      </c>
      <c r="W902" s="527" t="s">
        <v>657</v>
      </c>
      <c r="X902" s="490"/>
      <c r="Y902" s="969"/>
      <c r="Z902" s="969"/>
      <c r="AA902" s="969"/>
      <c r="AB902" s="969"/>
      <c r="AC902" s="969"/>
      <c r="AD902" s="969"/>
      <c r="AE902" s="969" t="str">
        <f t="shared" si="42"/>
        <v>TheewaterskloofDescription</v>
      </c>
      <c r="AF902" s="969"/>
      <c r="AG902" s="969"/>
    </row>
    <row r="903" spans="2:33" ht="23.55" customHeight="1" thickBot="1" x14ac:dyDescent="0.6">
      <c r="B903" s="371"/>
      <c r="C903" s="1008"/>
      <c r="D903" s="361" t="str">
        <f t="shared" si="40"/>
        <v>Water management</v>
      </c>
      <c r="E903" s="360" t="str">
        <f t="shared" si="41"/>
        <v>TheewaterskloofWater managementz</v>
      </c>
      <c r="F903" s="360" t="str">
        <f>'PART C- Municipal Details'!$G$7</f>
        <v>Theewaterskloof</v>
      </c>
      <c r="G903" s="360" t="s">
        <v>812</v>
      </c>
      <c r="H903" s="366" t="s">
        <v>814</v>
      </c>
      <c r="I903" s="496" t="s">
        <v>802</v>
      </c>
      <c r="J903" s="497" t="s">
        <v>650</v>
      </c>
      <c r="K903" s="490"/>
      <c r="L903" s="365" t="s">
        <v>659</v>
      </c>
      <c r="M903" s="364" t="s">
        <v>660</v>
      </c>
      <c r="N903" s="469" t="s">
        <v>661</v>
      </c>
      <c r="O903" s="469" t="s">
        <v>661</v>
      </c>
      <c r="P903" s="470" t="s">
        <v>661</v>
      </c>
      <c r="Q903" s="471" t="s">
        <v>662</v>
      </c>
      <c r="R903" s="469" t="s">
        <v>663</v>
      </c>
      <c r="S903" s="469" t="s">
        <v>664</v>
      </c>
      <c r="T903" s="470" t="s">
        <v>665</v>
      </c>
      <c r="U903" s="528" t="s">
        <v>666</v>
      </c>
      <c r="V903" s="528" t="s">
        <v>666</v>
      </c>
      <c r="W903" s="528" t="s">
        <v>666</v>
      </c>
      <c r="X903" s="490"/>
      <c r="Y903" s="969"/>
      <c r="Z903" s="969"/>
      <c r="AA903" s="969"/>
      <c r="AB903" s="969"/>
      <c r="AC903" s="969"/>
      <c r="AD903" s="969"/>
      <c r="AE903" s="969" t="str">
        <f t="shared" si="42"/>
        <v>TheewaterskloofR thousands</v>
      </c>
      <c r="AF903" s="969"/>
      <c r="AG903" s="969"/>
    </row>
    <row r="904" spans="2:33" ht="13.2" customHeight="1" x14ac:dyDescent="0.55000000000000004">
      <c r="B904" s="371"/>
      <c r="C904" s="1008" t="s">
        <v>667</v>
      </c>
      <c r="D904" s="360" t="str">
        <f t="shared" si="40"/>
        <v>Water management0100</v>
      </c>
      <c r="E904" s="361" t="str">
        <f t="shared" si="41"/>
        <v>TheewaterskloofWater managementz</v>
      </c>
      <c r="F904" s="360" t="str">
        <f>'PART C- Municipal Details'!$G$7</f>
        <v>Theewaterskloof</v>
      </c>
      <c r="G904" s="361" t="s">
        <v>812</v>
      </c>
      <c r="H904" s="363" t="s">
        <v>814</v>
      </c>
      <c r="I904" s="496" t="s">
        <v>802</v>
      </c>
      <c r="J904" s="497" t="s">
        <v>658</v>
      </c>
      <c r="K904" s="490"/>
      <c r="L904" s="505" t="s">
        <v>162</v>
      </c>
      <c r="M904" s="506"/>
      <c r="N904" s="507"/>
      <c r="O904" s="507"/>
      <c r="P904" s="507"/>
      <c r="Q904" s="507"/>
      <c r="R904" s="507"/>
      <c r="S904" s="507"/>
      <c r="T904" s="507"/>
      <c r="U904" s="529">
        <v>0</v>
      </c>
      <c r="V904" s="529">
        <v>0</v>
      </c>
      <c r="W904" s="529">
        <v>0</v>
      </c>
      <c r="X904" s="490"/>
      <c r="Y904" s="969"/>
      <c r="Z904" s="969"/>
      <c r="AA904" s="969"/>
      <c r="AB904" s="969"/>
      <c r="AC904" s="969"/>
      <c r="AD904" s="969"/>
      <c r="AE904" s="969" t="str">
        <f t="shared" si="42"/>
        <v>TheewaterskloofRevenue</v>
      </c>
      <c r="AF904" s="969"/>
      <c r="AG904" s="969"/>
    </row>
    <row r="905" spans="2:33" ht="13.2" customHeight="1" x14ac:dyDescent="0.55000000000000004">
      <c r="B905" s="371"/>
      <c r="C905" s="1009" t="s">
        <v>668</v>
      </c>
      <c r="D905" s="361" t="str">
        <f t="shared" si="40"/>
        <v>Water management0200</v>
      </c>
      <c r="E905" s="360" t="str">
        <f t="shared" si="41"/>
        <v>TheewaterskloofWater managementz</v>
      </c>
      <c r="F905" s="360" t="str">
        <f>'PART C- Municipal Details'!$G$7</f>
        <v>Theewaterskloof</v>
      </c>
      <c r="G905" s="360" t="s">
        <v>812</v>
      </c>
      <c r="H905" s="366" t="s">
        <v>814</v>
      </c>
      <c r="I905" s="496" t="s">
        <v>802</v>
      </c>
      <c r="J905" s="497" t="s">
        <v>0</v>
      </c>
      <c r="K905" s="490"/>
      <c r="L905" s="463" t="s">
        <v>670</v>
      </c>
      <c r="M905" s="459"/>
      <c r="N905" s="460"/>
      <c r="O905" s="460"/>
      <c r="P905" s="460"/>
      <c r="Q905" s="460"/>
      <c r="R905" s="460"/>
      <c r="S905" s="460"/>
      <c r="T905" s="460"/>
      <c r="U905" s="530">
        <v>0</v>
      </c>
      <c r="V905" s="530">
        <v>0</v>
      </c>
      <c r="W905" s="530">
        <v>0</v>
      </c>
      <c r="X905" s="490"/>
      <c r="Y905" s="969"/>
      <c r="Z905" s="969"/>
      <c r="AA905" s="969"/>
      <c r="AB905" s="969"/>
      <c r="AC905" s="969"/>
      <c r="AD905" s="969"/>
      <c r="AE905" s="969" t="str">
        <f t="shared" si="42"/>
        <v>TheewaterskloofExchange Revenue</v>
      </c>
      <c r="AF905" s="969"/>
      <c r="AG905" s="969"/>
    </row>
    <row r="906" spans="2:33" ht="13.2" customHeight="1" x14ac:dyDescent="0.55000000000000004">
      <c r="B906" s="371"/>
      <c r="C906" s="1010" t="s">
        <v>671</v>
      </c>
      <c r="D906" s="360" t="str">
        <f t="shared" si="40"/>
        <v>Water management0300</v>
      </c>
      <c r="E906" s="361" t="str">
        <f t="shared" si="41"/>
        <v>TheewaterskloofWater managementService charges - electricity revenue</v>
      </c>
      <c r="F906" s="360" t="str">
        <f>'PART C- Municipal Details'!$G$7</f>
        <v>Theewaterskloof</v>
      </c>
      <c r="G906" s="361" t="s">
        <v>812</v>
      </c>
      <c r="H906" s="363" t="s">
        <v>814</v>
      </c>
      <c r="I906" s="496" t="s">
        <v>669</v>
      </c>
      <c r="J906" s="497" t="s">
        <v>669</v>
      </c>
      <c r="K906" s="490"/>
      <c r="L906" s="463" t="s">
        <v>673</v>
      </c>
      <c r="M906" s="459"/>
      <c r="N906" s="461"/>
      <c r="O906" s="461"/>
      <c r="P906" s="461"/>
      <c r="Q906" s="461"/>
      <c r="R906" s="461"/>
      <c r="S906" s="461"/>
      <c r="T906" s="461"/>
      <c r="U906" s="530">
        <v>0</v>
      </c>
      <c r="V906" s="530">
        <v>0</v>
      </c>
      <c r="W906" s="530">
        <v>0</v>
      </c>
      <c r="X906" s="490"/>
      <c r="Y906" s="969"/>
      <c r="Z906" s="969"/>
      <c r="AA906" s="969"/>
      <c r="AB906" s="969"/>
      <c r="AC906" s="969"/>
      <c r="AD906" s="969"/>
      <c r="AE906" s="969" t="str">
        <f t="shared" si="42"/>
        <v>TheewaterskloofService charges - Electricity</v>
      </c>
      <c r="AF906" s="969"/>
      <c r="AG906" s="969"/>
    </row>
    <row r="907" spans="2:33" ht="13.2" customHeight="1" x14ac:dyDescent="0.55000000000000004">
      <c r="B907" s="371"/>
      <c r="C907" s="1010" t="s">
        <v>674</v>
      </c>
      <c r="D907" s="361" t="str">
        <f t="shared" si="40"/>
        <v>Water management0400</v>
      </c>
      <c r="E907" s="360" t="str">
        <f t="shared" si="41"/>
        <v>TheewaterskloofWater managementService charges - water revenue</v>
      </c>
      <c r="F907" s="360" t="str">
        <f>'PART C- Municipal Details'!$G$7</f>
        <v>Theewaterskloof</v>
      </c>
      <c r="G907" s="360" t="s">
        <v>812</v>
      </c>
      <c r="H907" s="366" t="s">
        <v>814</v>
      </c>
      <c r="I907" s="496" t="s">
        <v>672</v>
      </c>
      <c r="J907" s="497" t="s">
        <v>672</v>
      </c>
      <c r="K907" s="490"/>
      <c r="L907" s="463" t="s">
        <v>676</v>
      </c>
      <c r="M907" s="459"/>
      <c r="N907" s="461"/>
      <c r="O907" s="461"/>
      <c r="P907" s="461"/>
      <c r="Q907" s="461"/>
      <c r="R907" s="461"/>
      <c r="S907" s="461"/>
      <c r="T907" s="461"/>
      <c r="U907" s="530">
        <v>125278920</v>
      </c>
      <c r="V907" s="530">
        <v>129538403</v>
      </c>
      <c r="W907" s="530">
        <v>133683632</v>
      </c>
      <c r="X907" s="490"/>
      <c r="Y907" s="969"/>
      <c r="Z907" s="969"/>
      <c r="AA907" s="969"/>
      <c r="AB907" s="969"/>
      <c r="AC907" s="969"/>
      <c r="AD907" s="969"/>
      <c r="AE907" s="969" t="str">
        <f t="shared" si="42"/>
        <v>TheewaterskloofService charges - Water</v>
      </c>
      <c r="AF907" s="969"/>
      <c r="AG907" s="969"/>
    </row>
    <row r="908" spans="2:33" ht="13.2" customHeight="1" x14ac:dyDescent="0.55000000000000004">
      <c r="B908" s="371"/>
      <c r="C908" s="1010" t="s">
        <v>677</v>
      </c>
      <c r="D908" s="360" t="str">
        <f t="shared" si="40"/>
        <v>Water management0500</v>
      </c>
      <c r="E908" s="361" t="str">
        <f t="shared" si="41"/>
        <v>TheewaterskloofWater managementService charges - sanitation revenue</v>
      </c>
      <c r="F908" s="360" t="str">
        <f>'PART C- Municipal Details'!$G$7</f>
        <v>Theewaterskloof</v>
      </c>
      <c r="G908" s="361" t="s">
        <v>812</v>
      </c>
      <c r="H908" s="363" t="s">
        <v>814</v>
      </c>
      <c r="I908" s="496" t="s">
        <v>675</v>
      </c>
      <c r="J908" s="497" t="s">
        <v>675</v>
      </c>
      <c r="K908" s="490"/>
      <c r="L908" s="463" t="s">
        <v>679</v>
      </c>
      <c r="M908" s="459"/>
      <c r="N908" s="461"/>
      <c r="O908" s="461"/>
      <c r="P908" s="461"/>
      <c r="Q908" s="461"/>
      <c r="R908" s="461"/>
      <c r="S908" s="461"/>
      <c r="T908" s="461"/>
      <c r="U908" s="530">
        <v>0</v>
      </c>
      <c r="V908" s="530">
        <v>0</v>
      </c>
      <c r="W908" s="530">
        <v>0</v>
      </c>
      <c r="X908" s="490"/>
      <c r="Y908" s="969"/>
      <c r="Z908" s="969"/>
      <c r="AA908" s="969"/>
      <c r="AB908" s="969"/>
      <c r="AC908" s="969"/>
      <c r="AD908" s="969"/>
      <c r="AE908" s="969" t="str">
        <f t="shared" si="42"/>
        <v>TheewaterskloofService charges - Waste Water Management</v>
      </c>
      <c r="AF908" s="969"/>
      <c r="AG908" s="969"/>
    </row>
    <row r="909" spans="2:33" ht="13.2" customHeight="1" x14ac:dyDescent="0.55000000000000004">
      <c r="B909" s="371"/>
      <c r="C909" s="1010" t="s">
        <v>680</v>
      </c>
      <c r="D909" s="361" t="str">
        <f t="shared" si="40"/>
        <v>Water management0600</v>
      </c>
      <c r="E909" s="360" t="str">
        <f t="shared" si="41"/>
        <v>TheewaterskloofWater managementService charges - refuse revenue</v>
      </c>
      <c r="F909" s="360" t="str">
        <f>'PART C- Municipal Details'!$G$7</f>
        <v>Theewaterskloof</v>
      </c>
      <c r="G909" s="360" t="s">
        <v>812</v>
      </c>
      <c r="H909" s="366" t="s">
        <v>814</v>
      </c>
      <c r="I909" s="496" t="s">
        <v>678</v>
      </c>
      <c r="J909" s="497" t="s">
        <v>678</v>
      </c>
      <c r="K909" s="490"/>
      <c r="L909" s="463" t="s">
        <v>682</v>
      </c>
      <c r="M909" s="459"/>
      <c r="N909" s="461"/>
      <c r="O909" s="461"/>
      <c r="P909" s="461"/>
      <c r="Q909" s="461"/>
      <c r="R909" s="461"/>
      <c r="S909" s="461"/>
      <c r="T909" s="461"/>
      <c r="U909" s="530">
        <v>0</v>
      </c>
      <c r="V909" s="530">
        <v>0</v>
      </c>
      <c r="W909" s="530">
        <v>0</v>
      </c>
      <c r="X909" s="490"/>
      <c r="Y909" s="969"/>
      <c r="Z909" s="969"/>
      <c r="AA909" s="969"/>
      <c r="AB909" s="969"/>
      <c r="AC909" s="969"/>
      <c r="AD909" s="969"/>
      <c r="AE909" s="969" t="str">
        <f t="shared" si="42"/>
        <v>TheewaterskloofService charges - Waste Management</v>
      </c>
      <c r="AF909" s="969"/>
      <c r="AG909" s="969"/>
    </row>
    <row r="910" spans="2:33" ht="13.2" customHeight="1" x14ac:dyDescent="0.55000000000000004">
      <c r="B910" s="371"/>
      <c r="C910" s="1010" t="s">
        <v>683</v>
      </c>
      <c r="D910" s="360" t="str">
        <f t="shared" si="40"/>
        <v>Water management0700</v>
      </c>
      <c r="E910" s="361" t="str">
        <f t="shared" si="41"/>
        <v>TheewaterskloofWater managementOther revenue</v>
      </c>
      <c r="F910" s="360" t="str">
        <f>'PART C- Municipal Details'!$G$7</f>
        <v>Theewaterskloof</v>
      </c>
      <c r="G910" s="361" t="s">
        <v>812</v>
      </c>
      <c r="H910" s="363" t="s">
        <v>814</v>
      </c>
      <c r="I910" s="496" t="s">
        <v>7</v>
      </c>
      <c r="J910" s="497" t="s">
        <v>681</v>
      </c>
      <c r="K910" s="490"/>
      <c r="L910" s="463" t="s">
        <v>684</v>
      </c>
      <c r="M910" s="459"/>
      <c r="N910" s="461"/>
      <c r="O910" s="461"/>
      <c r="P910" s="461"/>
      <c r="Q910" s="461"/>
      <c r="R910" s="461"/>
      <c r="S910" s="461"/>
      <c r="T910" s="461"/>
      <c r="U910" s="530">
        <v>0</v>
      </c>
      <c r="V910" s="530">
        <v>0</v>
      </c>
      <c r="W910" s="530">
        <v>0</v>
      </c>
      <c r="X910" s="490"/>
      <c r="Y910" s="969"/>
      <c r="Z910" s="969"/>
      <c r="AA910" s="969"/>
      <c r="AB910" s="969"/>
      <c r="AC910" s="969"/>
      <c r="AD910" s="969"/>
      <c r="AE910" s="969" t="str">
        <f t="shared" si="42"/>
        <v>TheewaterskloofSale of Goods and Rendering of Services</v>
      </c>
      <c r="AF910" s="969"/>
      <c r="AG910" s="969"/>
    </row>
    <row r="911" spans="2:33" ht="13.2" customHeight="1" x14ac:dyDescent="0.55000000000000004">
      <c r="B911" s="371"/>
      <c r="C911" s="1010" t="s">
        <v>685</v>
      </c>
      <c r="D911" s="361" t="str">
        <f t="shared" si="40"/>
        <v>Water management0800</v>
      </c>
      <c r="E911" s="360" t="str">
        <f t="shared" si="41"/>
        <v>TheewaterskloofWater managementAgency services</v>
      </c>
      <c r="F911" s="360" t="str">
        <f>'PART C- Municipal Details'!$G$7</f>
        <v>Theewaterskloof</v>
      </c>
      <c r="G911" s="360" t="s">
        <v>812</v>
      </c>
      <c r="H911" s="366" t="s">
        <v>814</v>
      </c>
      <c r="I911" s="496" t="s">
        <v>6</v>
      </c>
      <c r="J911" s="497" t="s">
        <v>1</v>
      </c>
      <c r="K911" s="490"/>
      <c r="L911" s="463" t="s">
        <v>6</v>
      </c>
      <c r="M911" s="459"/>
      <c r="N911" s="461"/>
      <c r="O911" s="461"/>
      <c r="P911" s="461"/>
      <c r="Q911" s="461"/>
      <c r="R911" s="461"/>
      <c r="S911" s="461"/>
      <c r="T911" s="461"/>
      <c r="U911" s="530">
        <v>0</v>
      </c>
      <c r="V911" s="530">
        <v>0</v>
      </c>
      <c r="W911" s="530">
        <v>0</v>
      </c>
      <c r="X911" s="490"/>
      <c r="Y911" s="969"/>
      <c r="Z911" s="969"/>
      <c r="AA911" s="969"/>
      <c r="AB911" s="969"/>
      <c r="AC911" s="969"/>
      <c r="AD911" s="969"/>
      <c r="AE911" s="969" t="str">
        <f t="shared" si="42"/>
        <v>TheewaterskloofAgency services</v>
      </c>
      <c r="AF911" s="969"/>
      <c r="AG911" s="969"/>
    </row>
    <row r="912" spans="2:33" ht="13.2" customHeight="1" x14ac:dyDescent="0.55000000000000004">
      <c r="B912" s="371"/>
      <c r="C912" s="1010" t="s">
        <v>686</v>
      </c>
      <c r="D912" s="360" t="str">
        <f t="shared" si="40"/>
        <v>Water management0900</v>
      </c>
      <c r="E912" s="361" t="str">
        <f t="shared" si="41"/>
        <v>TheewaterskloofWater managementInterest earned - external investments</v>
      </c>
      <c r="F912" s="360" t="str">
        <f>'PART C- Municipal Details'!$G$7</f>
        <v>Theewaterskloof</v>
      </c>
      <c r="G912" s="361" t="s">
        <v>812</v>
      </c>
      <c r="H912" s="363" t="s">
        <v>814</v>
      </c>
      <c r="I912" s="496" t="s">
        <v>2</v>
      </c>
      <c r="J912" s="497" t="s">
        <v>2</v>
      </c>
      <c r="K912" s="490"/>
      <c r="L912" s="463" t="s">
        <v>687</v>
      </c>
      <c r="M912" s="459"/>
      <c r="N912" s="461"/>
      <c r="O912" s="461"/>
      <c r="P912" s="461"/>
      <c r="Q912" s="461"/>
      <c r="R912" s="461"/>
      <c r="S912" s="461"/>
      <c r="T912" s="461"/>
      <c r="U912" s="530">
        <v>0</v>
      </c>
      <c r="V912" s="530">
        <v>0</v>
      </c>
      <c r="W912" s="530">
        <v>0</v>
      </c>
      <c r="X912" s="490"/>
      <c r="Y912" s="969"/>
      <c r="Z912" s="969"/>
      <c r="AA912" s="969"/>
      <c r="AB912" s="969"/>
      <c r="AC912" s="969"/>
      <c r="AD912" s="969"/>
      <c r="AE912" s="969" t="str">
        <f t="shared" si="42"/>
        <v>TheewaterskloofInterest</v>
      </c>
      <c r="AF912" s="969"/>
      <c r="AG912" s="969"/>
    </row>
    <row r="913" spans="2:33" ht="13.2" customHeight="1" x14ac:dyDescent="0.55000000000000004">
      <c r="B913" s="371"/>
      <c r="C913" s="1010" t="s">
        <v>688</v>
      </c>
      <c r="D913" s="361" t="str">
        <f t="shared" si="40"/>
        <v>Water management1000</v>
      </c>
      <c r="E913" s="360" t="str">
        <f t="shared" si="41"/>
        <v>TheewaterskloofWater managementInterest earned - outstanding debtors</v>
      </c>
      <c r="F913" s="360" t="str">
        <f>'PART C- Municipal Details'!$G$7</f>
        <v>Theewaterskloof</v>
      </c>
      <c r="G913" s="360" t="s">
        <v>812</v>
      </c>
      <c r="H913" s="366" t="s">
        <v>814</v>
      </c>
      <c r="I913" s="496" t="s">
        <v>3</v>
      </c>
      <c r="J913" s="497" t="s">
        <v>3</v>
      </c>
      <c r="K913" s="490"/>
      <c r="L913" s="463" t="s">
        <v>689</v>
      </c>
      <c r="M913" s="459"/>
      <c r="N913" s="461"/>
      <c r="O913" s="461"/>
      <c r="P913" s="461"/>
      <c r="Q913" s="461"/>
      <c r="R913" s="461"/>
      <c r="S913" s="461"/>
      <c r="T913" s="461"/>
      <c r="U913" s="530">
        <v>0</v>
      </c>
      <c r="V913" s="530">
        <v>0</v>
      </c>
      <c r="W913" s="530">
        <v>0</v>
      </c>
      <c r="X913" s="490"/>
      <c r="Y913" s="969"/>
      <c r="Z913" s="969"/>
      <c r="AA913" s="969"/>
      <c r="AB913" s="969"/>
      <c r="AC913" s="969"/>
      <c r="AD913" s="969"/>
      <c r="AE913" s="969" t="str">
        <f t="shared" si="42"/>
        <v>TheewaterskloofInterest earned from Receivables</v>
      </c>
      <c r="AF913" s="969"/>
      <c r="AG913" s="969"/>
    </row>
    <row r="914" spans="2:33" ht="13.2" customHeight="1" x14ac:dyDescent="0.55000000000000004">
      <c r="B914" s="371"/>
      <c r="C914" s="1010" t="s">
        <v>690</v>
      </c>
      <c r="D914" s="360" t="str">
        <f t="shared" si="40"/>
        <v>Water management1100</v>
      </c>
      <c r="E914" s="361" t="str">
        <f t="shared" si="41"/>
        <v>TheewaterskloofWater managementInterest earned - external investments</v>
      </c>
      <c r="F914" s="360" t="str">
        <f>'PART C- Municipal Details'!$G$7</f>
        <v>Theewaterskloof</v>
      </c>
      <c r="G914" s="361" t="s">
        <v>812</v>
      </c>
      <c r="H914" s="363" t="s">
        <v>814</v>
      </c>
      <c r="I914" s="496" t="s">
        <v>2</v>
      </c>
      <c r="J914" s="497" t="s">
        <v>4</v>
      </c>
      <c r="K914" s="490"/>
      <c r="L914" s="463" t="s">
        <v>692</v>
      </c>
      <c r="M914" s="459"/>
      <c r="N914" s="461"/>
      <c r="O914" s="461"/>
      <c r="P914" s="461"/>
      <c r="Q914" s="461"/>
      <c r="R914" s="461"/>
      <c r="S914" s="461"/>
      <c r="T914" s="461"/>
      <c r="U914" s="530">
        <v>0</v>
      </c>
      <c r="V914" s="530">
        <v>0</v>
      </c>
      <c r="W914" s="530">
        <v>0</v>
      </c>
      <c r="X914" s="490"/>
      <c r="Y914" s="969"/>
      <c r="Z914" s="969"/>
      <c r="AA914" s="969"/>
      <c r="AB914" s="969"/>
      <c r="AC914" s="969"/>
      <c r="AD914" s="969"/>
      <c r="AE914" s="969" t="str">
        <f t="shared" si="42"/>
        <v>TheewaterskloofInterest earned from Current and Non Current Assets</v>
      </c>
      <c r="AF914" s="969"/>
      <c r="AG914" s="969"/>
    </row>
    <row r="915" spans="2:33" ht="13.2" customHeight="1" x14ac:dyDescent="0.55000000000000004">
      <c r="B915" s="371"/>
      <c r="C915" s="1010" t="s">
        <v>693</v>
      </c>
      <c r="D915" s="361" t="str">
        <f t="shared" si="40"/>
        <v>Water management1200</v>
      </c>
      <c r="E915" s="360" t="str">
        <f t="shared" si="41"/>
        <v>TheewaterskloofWater managementDividends received</v>
      </c>
      <c r="F915" s="360" t="str">
        <f>'PART C- Municipal Details'!$G$7</f>
        <v>Theewaterskloof</v>
      </c>
      <c r="G915" s="360" t="s">
        <v>812</v>
      </c>
      <c r="H915" s="366" t="s">
        <v>814</v>
      </c>
      <c r="I915" s="496" t="s">
        <v>4</v>
      </c>
      <c r="J915" s="497" t="s">
        <v>691</v>
      </c>
      <c r="K915" s="490"/>
      <c r="L915" s="463" t="s">
        <v>694</v>
      </c>
      <c r="M915" s="459"/>
      <c r="N915" s="461"/>
      <c r="O915" s="461"/>
      <c r="P915" s="461"/>
      <c r="Q915" s="461"/>
      <c r="R915" s="461"/>
      <c r="S915" s="461"/>
      <c r="T915" s="461"/>
      <c r="U915" s="530">
        <v>0</v>
      </c>
      <c r="V915" s="530">
        <v>0</v>
      </c>
      <c r="W915" s="530">
        <v>0</v>
      </c>
      <c r="X915" s="490"/>
      <c r="Y915" s="969"/>
      <c r="Z915" s="969"/>
      <c r="AA915" s="969"/>
      <c r="AB915" s="969"/>
      <c r="AC915" s="969"/>
      <c r="AD915" s="969"/>
      <c r="AE915" s="969" t="str">
        <f t="shared" si="42"/>
        <v>TheewaterskloofDividends</v>
      </c>
      <c r="AF915" s="969"/>
      <c r="AG915" s="969"/>
    </row>
    <row r="916" spans="2:33" ht="13.2" customHeight="1" x14ac:dyDescent="0.55000000000000004">
      <c r="B916" s="371"/>
      <c r="C916" s="1010" t="s">
        <v>695</v>
      </c>
      <c r="D916" s="360" t="str">
        <f t="shared" si="40"/>
        <v>Water management1300</v>
      </c>
      <c r="E916" s="361" t="str">
        <f t="shared" si="41"/>
        <v>TheewaterskloofWater managementRental of facilities and equipment</v>
      </c>
      <c r="F916" s="360" t="str">
        <f>'PART C- Municipal Details'!$G$7</f>
        <v>Theewaterskloof</v>
      </c>
      <c r="G916" s="361" t="s">
        <v>812</v>
      </c>
      <c r="H916" s="363" t="s">
        <v>814</v>
      </c>
      <c r="I916" s="496" t="s">
        <v>1</v>
      </c>
      <c r="J916" s="497" t="s">
        <v>5</v>
      </c>
      <c r="K916" s="490"/>
      <c r="L916" s="463" t="s">
        <v>696</v>
      </c>
      <c r="M916" s="459"/>
      <c r="N916" s="461"/>
      <c r="O916" s="461"/>
      <c r="P916" s="461"/>
      <c r="Q916" s="461"/>
      <c r="R916" s="461"/>
      <c r="S916" s="461"/>
      <c r="T916" s="461"/>
      <c r="U916" s="530">
        <v>0</v>
      </c>
      <c r="V916" s="530">
        <v>0</v>
      </c>
      <c r="W916" s="530">
        <v>0</v>
      </c>
      <c r="X916" s="490"/>
      <c r="Y916" s="969"/>
      <c r="Z916" s="969"/>
      <c r="AA916" s="969"/>
      <c r="AB916" s="969"/>
      <c r="AC916" s="969"/>
      <c r="AD916" s="969"/>
      <c r="AE916" s="969" t="str">
        <f t="shared" si="42"/>
        <v>TheewaterskloofRent on Land</v>
      </c>
      <c r="AF916" s="969"/>
      <c r="AG916" s="969"/>
    </row>
    <row r="917" spans="2:33" ht="13.2" customHeight="1" x14ac:dyDescent="0.55000000000000004">
      <c r="B917" s="371"/>
      <c r="C917" s="1010" t="s">
        <v>697</v>
      </c>
      <c r="D917" s="361" t="str">
        <f t="shared" ref="D917:D981" si="43">H917&amp;C917</f>
        <v>Water management1400</v>
      </c>
      <c r="E917" s="360" t="str">
        <f t="shared" ref="E917:E981" si="44">F917&amp;H917&amp;I917</f>
        <v>TheewaterskloofWater managementRental of facilities and equipment</v>
      </c>
      <c r="F917" s="360" t="str">
        <f>'PART C- Municipal Details'!$G$7</f>
        <v>Theewaterskloof</v>
      </c>
      <c r="G917" s="360" t="s">
        <v>812</v>
      </c>
      <c r="H917" s="366" t="s">
        <v>814</v>
      </c>
      <c r="I917" s="496" t="s">
        <v>1</v>
      </c>
      <c r="J917" s="497" t="s">
        <v>6</v>
      </c>
      <c r="K917" s="490"/>
      <c r="L917" s="463" t="s">
        <v>699</v>
      </c>
      <c r="M917" s="459"/>
      <c r="N917" s="461"/>
      <c r="O917" s="461"/>
      <c r="P917" s="461"/>
      <c r="Q917" s="461"/>
      <c r="R917" s="461"/>
      <c r="S917" s="461"/>
      <c r="T917" s="461"/>
      <c r="U917" s="530">
        <v>0</v>
      </c>
      <c r="V917" s="530">
        <v>0</v>
      </c>
      <c r="W917" s="530">
        <v>0</v>
      </c>
      <c r="X917" s="490"/>
      <c r="Y917" s="969"/>
      <c r="Z917" s="969"/>
      <c r="AA917" s="969"/>
      <c r="AB917" s="969"/>
      <c r="AC917" s="969"/>
      <c r="AD917" s="969"/>
      <c r="AE917" s="969" t="str">
        <f t="shared" si="42"/>
        <v>TheewaterskloofRental from Fixed Assets</v>
      </c>
      <c r="AF917" s="969"/>
      <c r="AG917" s="969"/>
    </row>
    <row r="918" spans="2:33" ht="13.2" customHeight="1" x14ac:dyDescent="0.55000000000000004">
      <c r="B918" s="371"/>
      <c r="C918" s="1010" t="s">
        <v>700</v>
      </c>
      <c r="D918" s="360" t="str">
        <f t="shared" si="43"/>
        <v>Water management1500</v>
      </c>
      <c r="E918" s="361" t="str">
        <f t="shared" si="44"/>
        <v>TheewaterskloofWater managementLicences and permits</v>
      </c>
      <c r="F918" s="360" t="str">
        <f>'PART C- Municipal Details'!$G$7</f>
        <v>Theewaterskloof</v>
      </c>
      <c r="G918" s="361" t="s">
        <v>812</v>
      </c>
      <c r="H918" s="363" t="s">
        <v>814</v>
      </c>
      <c r="I918" s="496" t="s">
        <v>5</v>
      </c>
      <c r="J918" s="497" t="s">
        <v>698</v>
      </c>
      <c r="K918" s="490"/>
      <c r="L918" s="463" t="s">
        <v>701</v>
      </c>
      <c r="M918" s="459"/>
      <c r="N918" s="461"/>
      <c r="O918" s="461"/>
      <c r="P918" s="461"/>
      <c r="Q918" s="461"/>
      <c r="R918" s="461"/>
      <c r="S918" s="461"/>
      <c r="T918" s="461"/>
      <c r="U918" s="530">
        <v>0</v>
      </c>
      <c r="V918" s="530">
        <v>0</v>
      </c>
      <c r="W918" s="530">
        <v>0</v>
      </c>
      <c r="X918" s="490"/>
      <c r="Y918" s="969"/>
      <c r="Z918" s="969"/>
      <c r="AA918" s="969"/>
      <c r="AB918" s="969"/>
      <c r="AC918" s="969"/>
      <c r="AD918" s="969"/>
      <c r="AE918" s="969" t="str">
        <f t="shared" si="42"/>
        <v>TheewaterskloofLicence and permits</v>
      </c>
      <c r="AF918" s="969"/>
      <c r="AG918" s="969"/>
    </row>
    <row r="919" spans="2:33" ht="13.2" customHeight="1" x14ac:dyDescent="0.55000000000000004">
      <c r="B919" s="371"/>
      <c r="C919" s="1324" t="s">
        <v>1569</v>
      </c>
      <c r="D919" s="360" t="str">
        <f t="shared" si="43"/>
        <v>Water management1550</v>
      </c>
      <c r="E919" s="360" t="str">
        <f t="shared" si="44"/>
        <v>TheewaterskloofWater managementSpecial rating Levies</v>
      </c>
      <c r="F919" s="360" t="str">
        <f>'PART C- Municipal Details'!$G$7</f>
        <v>Theewaterskloof</v>
      </c>
      <c r="G919" s="360" t="s">
        <v>812</v>
      </c>
      <c r="H919" s="366" t="s">
        <v>814</v>
      </c>
      <c r="I919" s="496" t="s">
        <v>1568</v>
      </c>
      <c r="J919" s="497" t="s">
        <v>7</v>
      </c>
      <c r="K919" s="490"/>
      <c r="L919" s="463" t="s">
        <v>1567</v>
      </c>
      <c r="M919" s="459"/>
      <c r="N919" s="461"/>
      <c r="O919" s="461"/>
      <c r="P919" s="461"/>
      <c r="Q919" s="461"/>
      <c r="R919" s="461"/>
      <c r="S919" s="461"/>
      <c r="T919" s="461"/>
      <c r="U919" s="530">
        <v>0</v>
      </c>
      <c r="V919" s="530">
        <v>0</v>
      </c>
      <c r="W919" s="530">
        <v>0</v>
      </c>
      <c r="X919" s="490"/>
      <c r="Y919" s="969"/>
      <c r="Z919" s="969"/>
      <c r="AA919" s="969"/>
      <c r="AB919" s="969"/>
      <c r="AC919" s="969"/>
      <c r="AD919" s="969"/>
      <c r="AE919" s="969"/>
      <c r="AF919" s="969"/>
      <c r="AG919" s="969"/>
    </row>
    <row r="920" spans="2:33" ht="13.2" customHeight="1" x14ac:dyDescent="0.55000000000000004">
      <c r="B920" s="371"/>
      <c r="C920" s="1010" t="s">
        <v>702</v>
      </c>
      <c r="D920" s="361" t="str">
        <f t="shared" si="43"/>
        <v>Water management1600</v>
      </c>
      <c r="E920" s="360" t="str">
        <f t="shared" si="44"/>
        <v>TheewaterskloofWater managementOther revenue</v>
      </c>
      <c r="F920" s="360" t="str">
        <f>'PART C- Municipal Details'!$G$7</f>
        <v>Theewaterskloof</v>
      </c>
      <c r="G920" s="360" t="s">
        <v>812</v>
      </c>
      <c r="H920" s="366" t="s">
        <v>814</v>
      </c>
      <c r="I920" s="496" t="s">
        <v>7</v>
      </c>
      <c r="J920" s="497" t="s">
        <v>7</v>
      </c>
      <c r="K920" s="490"/>
      <c r="L920" s="463" t="s">
        <v>704</v>
      </c>
      <c r="M920" s="459"/>
      <c r="N920" s="461"/>
      <c r="O920" s="461"/>
      <c r="P920" s="461"/>
      <c r="Q920" s="461"/>
      <c r="R920" s="461"/>
      <c r="S920" s="461"/>
      <c r="T920" s="461"/>
      <c r="U920" s="530">
        <v>0</v>
      </c>
      <c r="V920" s="530">
        <v>0</v>
      </c>
      <c r="W920" s="530">
        <v>0</v>
      </c>
      <c r="X920" s="490"/>
      <c r="Y920" s="969"/>
      <c r="Z920" s="969"/>
      <c r="AA920" s="969"/>
      <c r="AB920" s="969"/>
      <c r="AC920" s="969"/>
      <c r="AD920" s="969"/>
      <c r="AE920" s="969" t="str">
        <f t="shared" si="42"/>
        <v>TheewaterskloofOperational Revenue</v>
      </c>
      <c r="AF920" s="969"/>
      <c r="AG920" s="969"/>
    </row>
    <row r="921" spans="2:33" ht="13.2" customHeight="1" x14ac:dyDescent="0.55000000000000004">
      <c r="B921" s="371"/>
      <c r="C921" s="1009" t="s">
        <v>705</v>
      </c>
      <c r="D921" s="360" t="str">
        <f t="shared" si="43"/>
        <v>Water management1700</v>
      </c>
      <c r="E921" s="361" t="str">
        <f t="shared" si="44"/>
        <v>TheewaterskloofWater managementx</v>
      </c>
      <c r="F921" s="360" t="str">
        <f>'PART C- Municipal Details'!$G$7</f>
        <v>Theewaterskloof</v>
      </c>
      <c r="G921" s="361" t="s">
        <v>812</v>
      </c>
      <c r="H921" s="363" t="s">
        <v>814</v>
      </c>
      <c r="I921" s="496" t="s">
        <v>789</v>
      </c>
      <c r="J921" s="497" t="s">
        <v>703</v>
      </c>
      <c r="K921" s="490"/>
      <c r="L921" s="508" t="s">
        <v>708</v>
      </c>
      <c r="M921" s="509"/>
      <c r="N921" s="510"/>
      <c r="O921" s="510"/>
      <c r="P921" s="510"/>
      <c r="Q921" s="510"/>
      <c r="R921" s="510"/>
      <c r="S921" s="510"/>
      <c r="T921" s="511"/>
      <c r="U921" s="531">
        <v>0</v>
      </c>
      <c r="V921" s="531">
        <v>0</v>
      </c>
      <c r="W921" s="531">
        <v>0</v>
      </c>
      <c r="X921" s="490"/>
      <c r="Y921" s="969"/>
      <c r="Z921" s="969"/>
      <c r="AA921" s="969"/>
      <c r="AB921" s="969"/>
      <c r="AC921" s="969"/>
      <c r="AD921" s="969"/>
      <c r="AE921" s="969" t="str">
        <f t="shared" si="42"/>
        <v>TheewaterskloofNon-Exchange Revenue</v>
      </c>
      <c r="AF921" s="969"/>
      <c r="AG921" s="969"/>
    </row>
    <row r="922" spans="2:33" ht="13.2" customHeight="1" x14ac:dyDescent="0.55000000000000004">
      <c r="B922" s="371"/>
      <c r="C922" s="1010" t="s">
        <v>709</v>
      </c>
      <c r="D922" s="361" t="str">
        <f t="shared" si="43"/>
        <v>Water management1800</v>
      </c>
      <c r="E922" s="360" t="str">
        <f t="shared" si="44"/>
        <v>TheewaterskloofWater managementProperty rates</v>
      </c>
      <c r="F922" s="360" t="str">
        <f>'PART C- Municipal Details'!$G$7</f>
        <v>Theewaterskloof</v>
      </c>
      <c r="G922" s="360" t="s">
        <v>812</v>
      </c>
      <c r="H922" s="366" t="s">
        <v>814</v>
      </c>
      <c r="I922" s="496" t="s">
        <v>0</v>
      </c>
      <c r="J922" s="497" t="s">
        <v>707</v>
      </c>
      <c r="K922" s="490"/>
      <c r="L922" s="463" t="s">
        <v>0</v>
      </c>
      <c r="M922" s="459"/>
      <c r="N922" s="460"/>
      <c r="O922" s="460"/>
      <c r="P922" s="460"/>
      <c r="Q922" s="460"/>
      <c r="R922" s="460"/>
      <c r="S922" s="460"/>
      <c r="T922" s="460"/>
      <c r="U922" s="530">
        <v>0</v>
      </c>
      <c r="V922" s="530">
        <v>0</v>
      </c>
      <c r="W922" s="530">
        <v>0</v>
      </c>
      <c r="X922" s="490"/>
      <c r="Y922" s="969"/>
      <c r="Z922" s="969"/>
      <c r="AA922" s="969"/>
      <c r="AB922" s="969"/>
      <c r="AC922" s="969"/>
      <c r="AD922" s="969"/>
      <c r="AE922" s="969" t="str">
        <f t="shared" si="42"/>
        <v>TheewaterskloofProperty rates</v>
      </c>
      <c r="AF922" s="969"/>
      <c r="AG922" s="969"/>
    </row>
    <row r="923" spans="2:33" ht="13.2" customHeight="1" x14ac:dyDescent="0.55000000000000004">
      <c r="B923" s="371"/>
      <c r="C923" s="1010" t="s">
        <v>711</v>
      </c>
      <c r="D923" s="360" t="str">
        <f t="shared" si="43"/>
        <v>Water management1900</v>
      </c>
      <c r="E923" s="361" t="str">
        <f t="shared" si="44"/>
        <v>TheewaterskloofWater managementOther revenue</v>
      </c>
      <c r="F923" s="360" t="str">
        <f>'PART C- Municipal Details'!$G$7</f>
        <v>Theewaterskloof</v>
      </c>
      <c r="G923" s="361" t="s">
        <v>812</v>
      </c>
      <c r="H923" s="363" t="s">
        <v>814</v>
      </c>
      <c r="I923" s="496" t="s">
        <v>7</v>
      </c>
      <c r="J923" s="497" t="s">
        <v>710</v>
      </c>
      <c r="K923" s="490"/>
      <c r="L923" s="463" t="s">
        <v>713</v>
      </c>
      <c r="M923" s="459"/>
      <c r="N923" s="461"/>
      <c r="O923" s="461"/>
      <c r="P923" s="461"/>
      <c r="Q923" s="461"/>
      <c r="R923" s="461"/>
      <c r="S923" s="461"/>
      <c r="T923" s="461"/>
      <c r="U923" s="530">
        <v>0</v>
      </c>
      <c r="V923" s="530">
        <v>0</v>
      </c>
      <c r="W923" s="530">
        <v>0</v>
      </c>
      <c r="X923" s="490"/>
      <c r="Y923" s="969"/>
      <c r="Z923" s="969"/>
      <c r="AA923" s="969"/>
      <c r="AB923" s="969"/>
      <c r="AC923" s="969"/>
      <c r="AD923" s="969"/>
      <c r="AE923" s="969" t="str">
        <f t="shared" si="42"/>
        <v>TheewaterskloofSurcharges and Taxes</v>
      </c>
      <c r="AF923" s="969"/>
      <c r="AG923" s="969"/>
    </row>
    <row r="924" spans="2:33" ht="13.2" customHeight="1" x14ac:dyDescent="0.55000000000000004">
      <c r="B924" s="371"/>
      <c r="C924" s="1010" t="s">
        <v>714</v>
      </c>
      <c r="D924" s="361" t="str">
        <f t="shared" si="43"/>
        <v>Water management2000</v>
      </c>
      <c r="E924" s="360" t="str">
        <f t="shared" si="44"/>
        <v>TheewaterskloofWater managementFines, penalties and forfeits</v>
      </c>
      <c r="F924" s="360" t="str">
        <f>'PART C- Municipal Details'!$G$7</f>
        <v>Theewaterskloof</v>
      </c>
      <c r="G924" s="360" t="s">
        <v>812</v>
      </c>
      <c r="H924" s="366" t="s">
        <v>814</v>
      </c>
      <c r="I924" s="496" t="s">
        <v>691</v>
      </c>
      <c r="J924" s="497" t="s">
        <v>712</v>
      </c>
      <c r="K924" s="490"/>
      <c r="L924" s="463" t="s">
        <v>691</v>
      </c>
      <c r="M924" s="459"/>
      <c r="N924" s="461"/>
      <c r="O924" s="461"/>
      <c r="P924" s="461"/>
      <c r="Q924" s="461"/>
      <c r="R924" s="461"/>
      <c r="S924" s="461"/>
      <c r="T924" s="461"/>
      <c r="U924" s="530">
        <v>0</v>
      </c>
      <c r="V924" s="530">
        <v>0</v>
      </c>
      <c r="W924" s="530">
        <v>0</v>
      </c>
      <c r="X924" s="490"/>
      <c r="Y924" s="969"/>
      <c r="Z924" s="969"/>
      <c r="AA924" s="969"/>
      <c r="AB924" s="969"/>
      <c r="AC924" s="969"/>
      <c r="AD924" s="969"/>
      <c r="AE924" s="969" t="str">
        <f t="shared" si="42"/>
        <v>TheewaterskloofFines, penalties and forfeits</v>
      </c>
      <c r="AF924" s="969"/>
      <c r="AG924" s="969"/>
    </row>
    <row r="925" spans="2:33" ht="13.2" customHeight="1" x14ac:dyDescent="0.55000000000000004">
      <c r="B925" s="371"/>
      <c r="C925" s="1010" t="s">
        <v>715</v>
      </c>
      <c r="D925" s="360" t="str">
        <f t="shared" si="43"/>
        <v>Water management2100</v>
      </c>
      <c r="E925" s="361" t="str">
        <f t="shared" si="44"/>
        <v>TheewaterskloofWater managementLicences and permits</v>
      </c>
      <c r="F925" s="360" t="str">
        <f>'PART C- Municipal Details'!$G$7</f>
        <v>Theewaterskloof</v>
      </c>
      <c r="G925" s="361" t="s">
        <v>812</v>
      </c>
      <c r="H925" s="363" t="s">
        <v>814</v>
      </c>
      <c r="I925" s="496" t="s">
        <v>5</v>
      </c>
      <c r="J925" s="497" t="s">
        <v>8</v>
      </c>
      <c r="K925" s="490"/>
      <c r="L925" s="463" t="s">
        <v>716</v>
      </c>
      <c r="M925" s="459"/>
      <c r="N925" s="461"/>
      <c r="O925" s="461"/>
      <c r="P925" s="461"/>
      <c r="Q925" s="461"/>
      <c r="R925" s="461"/>
      <c r="S925" s="461"/>
      <c r="T925" s="461"/>
      <c r="U925" s="530">
        <v>0</v>
      </c>
      <c r="V925" s="530">
        <v>0</v>
      </c>
      <c r="W925" s="530">
        <v>0</v>
      </c>
      <c r="X925" s="490"/>
      <c r="Y925" s="969"/>
      <c r="Z925" s="969"/>
      <c r="AA925" s="969"/>
      <c r="AB925" s="969"/>
      <c r="AC925" s="969"/>
      <c r="AD925" s="969"/>
      <c r="AE925" s="969" t="str">
        <f t="shared" si="42"/>
        <v>TheewaterskloofLicences or permits</v>
      </c>
      <c r="AF925" s="969"/>
      <c r="AG925" s="969"/>
    </row>
    <row r="926" spans="2:33" ht="13.2" customHeight="1" x14ac:dyDescent="0.55000000000000004">
      <c r="B926" s="371"/>
      <c r="C926" s="1010" t="s">
        <v>717</v>
      </c>
      <c r="D926" s="361" t="str">
        <f t="shared" si="43"/>
        <v>Water management2200</v>
      </c>
      <c r="E926" s="360" t="str">
        <f t="shared" si="44"/>
        <v>TheewaterskloofWater managementTransfers and subsidies Income</v>
      </c>
      <c r="F926" s="360" t="str">
        <f>'PART C- Municipal Details'!$G$7</f>
        <v>Theewaterskloof</v>
      </c>
      <c r="G926" s="360" t="s">
        <v>812</v>
      </c>
      <c r="H926" s="366" t="s">
        <v>814</v>
      </c>
      <c r="I926" s="496" t="s">
        <v>698</v>
      </c>
      <c r="J926" s="497" t="s">
        <v>9</v>
      </c>
      <c r="K926" s="490"/>
      <c r="L926" s="463" t="s">
        <v>718</v>
      </c>
      <c r="M926" s="459"/>
      <c r="N926" s="461"/>
      <c r="O926" s="461"/>
      <c r="P926" s="461"/>
      <c r="Q926" s="461"/>
      <c r="R926" s="461"/>
      <c r="S926" s="461"/>
      <c r="T926" s="461"/>
      <c r="U926" s="530">
        <v>16721640</v>
      </c>
      <c r="V926" s="530">
        <v>17576611</v>
      </c>
      <c r="W926" s="530">
        <v>17938098</v>
      </c>
      <c r="X926" s="490"/>
      <c r="Y926" s="969"/>
      <c r="Z926" s="969"/>
      <c r="AA926" s="969"/>
      <c r="AB926" s="969"/>
      <c r="AC926" s="969"/>
      <c r="AD926" s="969"/>
      <c r="AE926" s="969" t="str">
        <f t="shared" si="42"/>
        <v>TheewaterskloofTransfer and subsidies - Operational</v>
      </c>
      <c r="AF926" s="969"/>
      <c r="AG926" s="969"/>
    </row>
    <row r="927" spans="2:33" ht="13.2" customHeight="1" x14ac:dyDescent="0.55000000000000004">
      <c r="B927" s="371"/>
      <c r="C927" s="1010" t="s">
        <v>719</v>
      </c>
      <c r="D927" s="360" t="str">
        <f t="shared" si="43"/>
        <v>Water management2300</v>
      </c>
      <c r="E927" s="361" t="str">
        <f t="shared" si="44"/>
        <v>TheewaterskloofWater managementInterest earned - external investments</v>
      </c>
      <c r="F927" s="360" t="str">
        <f>'PART C- Municipal Details'!$G$7</f>
        <v>Theewaterskloof</v>
      </c>
      <c r="G927" s="361" t="s">
        <v>812</v>
      </c>
      <c r="H927" s="363" t="s">
        <v>814</v>
      </c>
      <c r="I927" s="496" t="s">
        <v>2</v>
      </c>
      <c r="J927" s="497" t="s">
        <v>10</v>
      </c>
      <c r="K927" s="490"/>
      <c r="L927" s="463" t="s">
        <v>687</v>
      </c>
      <c r="M927" s="459"/>
      <c r="N927" s="461"/>
      <c r="O927" s="461"/>
      <c r="P927" s="461"/>
      <c r="Q927" s="461"/>
      <c r="R927" s="461"/>
      <c r="S927" s="461"/>
      <c r="T927" s="461"/>
      <c r="U927" s="530">
        <v>0</v>
      </c>
      <c r="V927" s="530">
        <v>0</v>
      </c>
      <c r="W927" s="530">
        <v>0</v>
      </c>
      <c r="X927" s="490"/>
      <c r="Y927" s="969"/>
      <c r="Z927" s="969"/>
      <c r="AA927" s="969"/>
      <c r="AB927" s="969"/>
      <c r="AC927" s="969"/>
      <c r="AD927" s="969"/>
      <c r="AE927" s="969" t="str">
        <f t="shared" si="42"/>
        <v>TheewaterskloofInterest</v>
      </c>
      <c r="AF927" s="969"/>
      <c r="AG927" s="969"/>
    </row>
    <row r="928" spans="2:33" ht="13.2" customHeight="1" x14ac:dyDescent="0.55000000000000004">
      <c r="B928" s="371"/>
      <c r="C928" s="1010" t="s">
        <v>721</v>
      </c>
      <c r="D928" s="361" t="str">
        <f t="shared" si="43"/>
        <v>Water management2400</v>
      </c>
      <c r="E928" s="360" t="str">
        <f t="shared" si="44"/>
        <v>TheewaterskloofWater managementOther revenue</v>
      </c>
      <c r="F928" s="360" t="str">
        <f>'PART C- Municipal Details'!$G$7</f>
        <v>Theewaterskloof</v>
      </c>
      <c r="G928" s="360" t="s">
        <v>812</v>
      </c>
      <c r="H928" s="366" t="s">
        <v>814</v>
      </c>
      <c r="I928" s="496" t="s">
        <v>7</v>
      </c>
      <c r="J928" s="497" t="s">
        <v>720</v>
      </c>
      <c r="K928" s="490"/>
      <c r="L928" s="463" t="s">
        <v>722</v>
      </c>
      <c r="M928" s="459"/>
      <c r="N928" s="461"/>
      <c r="O928" s="461"/>
      <c r="P928" s="461"/>
      <c r="Q928" s="461"/>
      <c r="R928" s="461"/>
      <c r="S928" s="461"/>
      <c r="T928" s="461"/>
      <c r="U928" s="530">
        <v>0</v>
      </c>
      <c r="V928" s="530">
        <v>0</v>
      </c>
      <c r="W928" s="530">
        <v>0</v>
      </c>
      <c r="X928" s="490"/>
      <c r="Y928" s="969"/>
      <c r="Z928" s="969"/>
      <c r="AA928" s="969"/>
      <c r="AB928" s="969"/>
      <c r="AC928" s="969"/>
      <c r="AD928" s="969"/>
      <c r="AE928" s="969" t="str">
        <f t="shared" si="42"/>
        <v>TheewaterskloofFuel Levy</v>
      </c>
      <c r="AF928" s="969"/>
      <c r="AG928" s="969"/>
    </row>
    <row r="929" spans="2:33" ht="13.2" customHeight="1" x14ac:dyDescent="0.55000000000000004">
      <c r="B929" s="371"/>
      <c r="C929" s="1010" t="s">
        <v>723</v>
      </c>
      <c r="D929" s="360" t="str">
        <f t="shared" si="43"/>
        <v>Water management2500</v>
      </c>
      <c r="E929" s="361" t="str">
        <f t="shared" si="44"/>
        <v>TheewaterskloofWater managementOther revenue</v>
      </c>
      <c r="F929" s="360" t="str">
        <f>'PART C- Municipal Details'!$G$7</f>
        <v>Theewaterskloof</v>
      </c>
      <c r="G929" s="361" t="s">
        <v>812</v>
      </c>
      <c r="H929" s="363" t="s">
        <v>814</v>
      </c>
      <c r="I929" s="496" t="s">
        <v>7</v>
      </c>
      <c r="J929" s="497" t="s">
        <v>11</v>
      </c>
      <c r="K929" s="490"/>
      <c r="L929" s="463" t="s">
        <v>704</v>
      </c>
      <c r="M929" s="459"/>
      <c r="N929" s="461"/>
      <c r="O929" s="461"/>
      <c r="P929" s="461"/>
      <c r="Q929" s="461"/>
      <c r="R929" s="461"/>
      <c r="S929" s="461"/>
      <c r="T929" s="461"/>
      <c r="U929" s="530">
        <v>2451600</v>
      </c>
      <c r="V929" s="530">
        <v>2534954</v>
      </c>
      <c r="W929" s="530">
        <v>2616073</v>
      </c>
      <c r="X929" s="490"/>
      <c r="Y929" s="969"/>
      <c r="Z929" s="969"/>
      <c r="AA929" s="969"/>
      <c r="AB929" s="969"/>
      <c r="AC929" s="969"/>
      <c r="AD929" s="969"/>
      <c r="AE929" s="969" t="str">
        <f t="shared" si="42"/>
        <v>TheewaterskloofOperational Revenue</v>
      </c>
      <c r="AF929" s="969"/>
      <c r="AG929" s="969"/>
    </row>
    <row r="930" spans="2:33" ht="13.2" customHeight="1" x14ac:dyDescent="0.55000000000000004">
      <c r="B930" s="371"/>
      <c r="C930" s="1010" t="s">
        <v>725</v>
      </c>
      <c r="D930" s="361" t="str">
        <f t="shared" si="43"/>
        <v>Water management2600</v>
      </c>
      <c r="E930" s="360" t="str">
        <f t="shared" si="44"/>
        <v>TheewaterskloofWater managementGains</v>
      </c>
      <c r="F930" s="360" t="str">
        <f>'PART C- Municipal Details'!$G$7</f>
        <v>Theewaterskloof</v>
      </c>
      <c r="G930" s="360" t="s">
        <v>812</v>
      </c>
      <c r="H930" s="366" t="s">
        <v>814</v>
      </c>
      <c r="I930" s="496" t="s">
        <v>703</v>
      </c>
      <c r="J930" s="497" t="s">
        <v>724</v>
      </c>
      <c r="K930" s="490"/>
      <c r="L930" s="463" t="s">
        <v>727</v>
      </c>
      <c r="M930" s="459"/>
      <c r="N930" s="461"/>
      <c r="O930" s="461"/>
      <c r="P930" s="461"/>
      <c r="Q930" s="461"/>
      <c r="R930" s="461"/>
      <c r="S930" s="461"/>
      <c r="T930" s="461"/>
      <c r="U930" s="530">
        <v>0</v>
      </c>
      <c r="V930" s="530">
        <v>0</v>
      </c>
      <c r="W930" s="530">
        <v>0</v>
      </c>
      <c r="X930" s="490"/>
      <c r="Y930" s="969"/>
      <c r="Z930" s="969"/>
      <c r="AA930" s="969"/>
      <c r="AB930" s="969"/>
      <c r="AC930" s="969"/>
      <c r="AD930" s="969"/>
      <c r="AE930" s="969" t="str">
        <f t="shared" si="42"/>
        <v>TheewaterskloofGains on disposal of Assets</v>
      </c>
      <c r="AF930" s="969"/>
      <c r="AG930" s="969"/>
    </row>
    <row r="931" spans="2:33" ht="13.2" customHeight="1" x14ac:dyDescent="0.55000000000000004">
      <c r="B931" s="371"/>
      <c r="C931" s="1010" t="s">
        <v>728</v>
      </c>
      <c r="D931" s="360" t="str">
        <f t="shared" si="43"/>
        <v>Water management2700</v>
      </c>
      <c r="E931" s="361" t="str">
        <f t="shared" si="44"/>
        <v>TheewaterskloofWater managementOther revenue</v>
      </c>
      <c r="F931" s="360" t="str">
        <f>'PART C- Municipal Details'!$G$7</f>
        <v>Theewaterskloof</v>
      </c>
      <c r="G931" s="361" t="s">
        <v>812</v>
      </c>
      <c r="H931" s="363" t="s">
        <v>814</v>
      </c>
      <c r="I931" s="496" t="s">
        <v>7</v>
      </c>
      <c r="J931" s="497" t="s">
        <v>726</v>
      </c>
      <c r="K931" s="490"/>
      <c r="L931" s="463" t="s">
        <v>729</v>
      </c>
      <c r="M931" s="459"/>
      <c r="N931" s="461"/>
      <c r="O931" s="461"/>
      <c r="P931" s="461"/>
      <c r="Q931" s="461"/>
      <c r="R931" s="461"/>
      <c r="S931" s="461"/>
      <c r="T931" s="461"/>
      <c r="U931" s="530">
        <v>0</v>
      </c>
      <c r="V931" s="530">
        <v>0</v>
      </c>
      <c r="W931" s="530">
        <v>0</v>
      </c>
      <c r="X931" s="490"/>
      <c r="Y931" s="969"/>
      <c r="Z931" s="969"/>
      <c r="AA931" s="969"/>
      <c r="AB931" s="969"/>
      <c r="AC931" s="969"/>
      <c r="AD931" s="969"/>
      <c r="AE931" s="969" t="str">
        <f t="shared" si="42"/>
        <v>TheewaterskloofOther Gains</v>
      </c>
      <c r="AF931" s="969"/>
      <c r="AG931" s="969"/>
    </row>
    <row r="932" spans="2:33" ht="13.2" customHeight="1" x14ac:dyDescent="0.55000000000000004">
      <c r="B932" s="371"/>
      <c r="C932" s="1010" t="s">
        <v>730</v>
      </c>
      <c r="D932" s="361" t="str">
        <f t="shared" si="43"/>
        <v>Water management2800</v>
      </c>
      <c r="E932" s="360" t="str">
        <f t="shared" si="44"/>
        <v>TheewaterskloofWater managementOther revenue</v>
      </c>
      <c r="F932" s="360" t="str">
        <f>'PART C- Municipal Details'!$G$7</f>
        <v>Theewaterskloof</v>
      </c>
      <c r="G932" s="360" t="s">
        <v>812</v>
      </c>
      <c r="H932" s="366" t="s">
        <v>814</v>
      </c>
      <c r="I932" s="496" t="s">
        <v>7</v>
      </c>
      <c r="J932" s="497" t="s">
        <v>12</v>
      </c>
      <c r="K932" s="490"/>
      <c r="L932" s="464" t="s">
        <v>731</v>
      </c>
      <c r="M932" s="459"/>
      <c r="N932" s="461"/>
      <c r="O932" s="461"/>
      <c r="P932" s="461"/>
      <c r="Q932" s="461"/>
      <c r="R932" s="461"/>
      <c r="S932" s="461"/>
      <c r="T932" s="461"/>
      <c r="U932" s="530">
        <v>0</v>
      </c>
      <c r="V932" s="530">
        <v>0</v>
      </c>
      <c r="W932" s="530">
        <v>0</v>
      </c>
      <c r="X932" s="490"/>
      <c r="Y932" s="969"/>
      <c r="Z932" s="969"/>
      <c r="AA932" s="969"/>
      <c r="AB932" s="969"/>
      <c r="AC932" s="969"/>
      <c r="AD932" s="969"/>
      <c r="AE932" s="969" t="str">
        <f t="shared" si="42"/>
        <v>TheewaterskloofDiscontinued Operations</v>
      </c>
      <c r="AF932" s="969"/>
      <c r="AG932" s="969"/>
    </row>
    <row r="933" spans="2:33" ht="13.2" customHeight="1" x14ac:dyDescent="0.55000000000000004">
      <c r="B933" s="371"/>
      <c r="C933" s="1009" t="s">
        <v>732</v>
      </c>
      <c r="D933" s="360" t="str">
        <f t="shared" si="43"/>
        <v>Water management2900</v>
      </c>
      <c r="E933" s="361" t="str">
        <f t="shared" si="44"/>
        <v>TheewaterskloofWater managementTotal Revenue (excluding capital transfers and contributions)</v>
      </c>
      <c r="F933" s="360" t="str">
        <f>'PART C- Municipal Details'!$G$7</f>
        <v>Theewaterskloof</v>
      </c>
      <c r="G933" s="361" t="s">
        <v>812</v>
      </c>
      <c r="H933" s="363" t="s">
        <v>814</v>
      </c>
      <c r="I933" s="496" t="s">
        <v>707</v>
      </c>
      <c r="J933" s="497" t="s">
        <v>204</v>
      </c>
      <c r="K933" s="490"/>
      <c r="L933" s="508" t="s">
        <v>707</v>
      </c>
      <c r="M933" s="509"/>
      <c r="N933" s="510"/>
      <c r="O933" s="510"/>
      <c r="P933" s="510"/>
      <c r="Q933" s="510"/>
      <c r="R933" s="510"/>
      <c r="S933" s="510"/>
      <c r="T933" s="511"/>
      <c r="U933" s="531">
        <v>144452160</v>
      </c>
      <c r="V933" s="531">
        <v>149649968</v>
      </c>
      <c r="W933" s="531">
        <v>154237803</v>
      </c>
      <c r="X933" s="490"/>
      <c r="Y933" s="969"/>
      <c r="Z933" s="969"/>
      <c r="AA933" s="969"/>
      <c r="AB933" s="969"/>
      <c r="AC933" s="969"/>
      <c r="AD933" s="969"/>
      <c r="AE933" s="969" t="str">
        <f t="shared" si="42"/>
        <v>TheewaterskloofTotal Revenue (excluding capital transfers and contributions)</v>
      </c>
      <c r="AF933" s="969"/>
      <c r="AG933" s="969"/>
    </row>
    <row r="934" spans="2:33" ht="13.2" customHeight="1" x14ac:dyDescent="0.55000000000000004">
      <c r="B934" s="371"/>
      <c r="C934" s="1009" t="s">
        <v>733</v>
      </c>
      <c r="D934" s="361" t="str">
        <f t="shared" si="43"/>
        <v>Water management3000</v>
      </c>
      <c r="E934" s="360" t="str">
        <f t="shared" si="44"/>
        <v>TheewaterskloofWater managementx</v>
      </c>
      <c r="F934" s="360" t="str">
        <f>'PART C- Municipal Details'!$G$7</f>
        <v>Theewaterskloof</v>
      </c>
      <c r="G934" s="360" t="s">
        <v>812</v>
      </c>
      <c r="H934" s="366" t="s">
        <v>814</v>
      </c>
      <c r="I934" s="496" t="s">
        <v>789</v>
      </c>
      <c r="J934" s="497" t="s">
        <v>13</v>
      </c>
      <c r="K934" s="490"/>
      <c r="L934" s="505" t="s">
        <v>22</v>
      </c>
      <c r="M934" s="506"/>
      <c r="N934" s="507"/>
      <c r="O934" s="507"/>
      <c r="P934" s="507"/>
      <c r="Q934" s="507"/>
      <c r="R934" s="507"/>
      <c r="S934" s="507"/>
      <c r="T934" s="507"/>
      <c r="U934" s="531">
        <v>0</v>
      </c>
      <c r="V934" s="531">
        <v>0</v>
      </c>
      <c r="W934" s="531">
        <v>0</v>
      </c>
      <c r="X934" s="490"/>
      <c r="Y934" s="969"/>
      <c r="Z934" s="969"/>
      <c r="AA934" s="969"/>
      <c r="AB934" s="969"/>
      <c r="AC934" s="969"/>
      <c r="AD934" s="969"/>
      <c r="AE934" s="969" t="str">
        <f t="shared" si="42"/>
        <v>TheewaterskloofExpenditure</v>
      </c>
      <c r="AF934" s="969"/>
      <c r="AG934" s="969"/>
    </row>
    <row r="935" spans="2:33" ht="13.2" customHeight="1" x14ac:dyDescent="0.55000000000000004">
      <c r="B935" s="371"/>
      <c r="C935" s="1010" t="s">
        <v>735</v>
      </c>
      <c r="D935" s="360" t="str">
        <f t="shared" si="43"/>
        <v>Water management3100</v>
      </c>
      <c r="E935" s="361" t="str">
        <f t="shared" si="44"/>
        <v>TheewaterskloofWater managementEmployee related costs</v>
      </c>
      <c r="F935" s="360" t="str">
        <f>'PART C- Municipal Details'!$G$7</f>
        <v>Theewaterskloof</v>
      </c>
      <c r="G935" s="361" t="s">
        <v>812</v>
      </c>
      <c r="H935" s="363" t="s">
        <v>814</v>
      </c>
      <c r="I935" s="496" t="s">
        <v>8</v>
      </c>
      <c r="J935" s="497" t="s">
        <v>734</v>
      </c>
      <c r="K935" s="490"/>
      <c r="L935" s="463" t="s">
        <v>8</v>
      </c>
      <c r="M935" s="459"/>
      <c r="N935" s="461"/>
      <c r="O935" s="461"/>
      <c r="P935" s="461"/>
      <c r="Q935" s="461"/>
      <c r="R935" s="461"/>
      <c r="S935" s="461"/>
      <c r="T935" s="461"/>
      <c r="U935" s="530">
        <v>12061071</v>
      </c>
      <c r="V935" s="530">
        <v>12471500</v>
      </c>
      <c r="W935" s="530">
        <v>12871002</v>
      </c>
      <c r="X935" s="490"/>
      <c r="Y935" s="969"/>
      <c r="Z935" s="969"/>
      <c r="AA935" s="969"/>
      <c r="AB935" s="969"/>
      <c r="AC935" s="969"/>
      <c r="AD935" s="969"/>
      <c r="AE935" s="969" t="str">
        <f t="shared" si="42"/>
        <v>TheewaterskloofEmployee related costs</v>
      </c>
      <c r="AF935" s="969"/>
      <c r="AG935" s="969"/>
    </row>
    <row r="936" spans="2:33" ht="13.2" customHeight="1" x14ac:dyDescent="0.55000000000000004">
      <c r="B936" s="371"/>
      <c r="C936" s="1010" t="s">
        <v>737</v>
      </c>
      <c r="D936" s="361" t="str">
        <f t="shared" si="43"/>
        <v>Water management3200</v>
      </c>
      <c r="E936" s="360" t="str">
        <f t="shared" si="44"/>
        <v>TheewaterskloofWater managementRemuneration of councillors</v>
      </c>
      <c r="F936" s="360" t="str">
        <f>'PART C- Municipal Details'!$G$7</f>
        <v>Theewaterskloof</v>
      </c>
      <c r="G936" s="360" t="s">
        <v>812</v>
      </c>
      <c r="H936" s="366" t="s">
        <v>814</v>
      </c>
      <c r="I936" s="496" t="s">
        <v>9</v>
      </c>
      <c r="J936" s="497" t="s">
        <v>736</v>
      </c>
      <c r="K936" s="490"/>
      <c r="L936" s="463" t="s">
        <v>9</v>
      </c>
      <c r="M936" s="459"/>
      <c r="N936" s="461"/>
      <c r="O936" s="461"/>
      <c r="P936" s="461"/>
      <c r="Q936" s="461"/>
      <c r="R936" s="461"/>
      <c r="S936" s="461"/>
      <c r="T936" s="461"/>
      <c r="U936" s="530">
        <v>0</v>
      </c>
      <c r="V936" s="530">
        <v>0</v>
      </c>
      <c r="W936" s="530">
        <v>0</v>
      </c>
      <c r="X936" s="490"/>
      <c r="Y936" s="969"/>
      <c r="Z936" s="969"/>
      <c r="AA936" s="969"/>
      <c r="AB936" s="969"/>
      <c r="AC936" s="969"/>
      <c r="AD936" s="969"/>
      <c r="AE936" s="969" t="str">
        <f t="shared" si="42"/>
        <v>TheewaterskloofRemuneration of councillors</v>
      </c>
      <c r="AF936" s="969"/>
      <c r="AG936" s="969"/>
    </row>
    <row r="937" spans="2:33" ht="13.2" customHeight="1" x14ac:dyDescent="0.55000000000000004">
      <c r="B937" s="371"/>
      <c r="C937" s="1010" t="s">
        <v>738</v>
      </c>
      <c r="D937" s="360" t="str">
        <f t="shared" si="43"/>
        <v>Water management3300</v>
      </c>
      <c r="E937" s="361" t="str">
        <f t="shared" si="44"/>
        <v>TheewaterskloofWater managementBulk purchases - electricity</v>
      </c>
      <c r="F937" s="360" t="str">
        <f>'PART C- Municipal Details'!$G$7</f>
        <v>Theewaterskloof</v>
      </c>
      <c r="G937" s="361" t="s">
        <v>812</v>
      </c>
      <c r="H937" s="363" t="s">
        <v>814</v>
      </c>
      <c r="I937" s="496" t="s">
        <v>724</v>
      </c>
      <c r="J937" s="497" t="s">
        <v>710</v>
      </c>
      <c r="K937" s="490"/>
      <c r="L937" s="463" t="s">
        <v>724</v>
      </c>
      <c r="M937" s="459"/>
      <c r="N937" s="461"/>
      <c r="O937" s="461"/>
      <c r="P937" s="461"/>
      <c r="Q937" s="461"/>
      <c r="R937" s="461"/>
      <c r="S937" s="461"/>
      <c r="T937" s="461"/>
      <c r="U937" s="530">
        <v>0</v>
      </c>
      <c r="V937" s="530">
        <v>0</v>
      </c>
      <c r="W937" s="530">
        <v>0</v>
      </c>
      <c r="X937" s="490"/>
      <c r="Y937" s="969"/>
      <c r="Z937" s="969"/>
      <c r="AA937" s="969"/>
      <c r="AB937" s="969"/>
      <c r="AC937" s="969"/>
      <c r="AD937" s="969"/>
      <c r="AE937" s="969" t="str">
        <f t="shared" si="42"/>
        <v>TheewaterskloofBulk purchases - electricity</v>
      </c>
      <c r="AF937" s="969"/>
      <c r="AG937" s="969"/>
    </row>
    <row r="938" spans="2:33" ht="13.2" customHeight="1" x14ac:dyDescent="0.55000000000000004">
      <c r="B938" s="371"/>
      <c r="C938" s="1010" t="s">
        <v>739</v>
      </c>
      <c r="D938" s="361" t="str">
        <f t="shared" si="43"/>
        <v>Water management3400</v>
      </c>
      <c r="E938" s="360" t="str">
        <f t="shared" si="44"/>
        <v>TheewaterskloofWater managementInventory consumed</v>
      </c>
      <c r="F938" s="360" t="str">
        <f>'PART C- Municipal Details'!$G$7</f>
        <v>Theewaterskloof</v>
      </c>
      <c r="G938" s="360" t="s">
        <v>812</v>
      </c>
      <c r="H938" s="366" t="s">
        <v>814</v>
      </c>
      <c r="I938" s="496" t="s">
        <v>726</v>
      </c>
      <c r="J938" s="497" t="s">
        <v>635</v>
      </c>
      <c r="K938" s="490"/>
      <c r="L938" s="463" t="s">
        <v>726</v>
      </c>
      <c r="M938" s="459"/>
      <c r="N938" s="461"/>
      <c r="O938" s="461"/>
      <c r="P938" s="461"/>
      <c r="Q938" s="461"/>
      <c r="R938" s="461"/>
      <c r="S938" s="461"/>
      <c r="T938" s="461"/>
      <c r="U938" s="530">
        <v>34332949</v>
      </c>
      <c r="V938" s="530">
        <v>35500273</v>
      </c>
      <c r="W938" s="530">
        <v>36636281</v>
      </c>
      <c r="X938" s="490"/>
      <c r="Y938" s="969"/>
      <c r="Z938" s="969"/>
      <c r="AA938" s="969"/>
      <c r="AB938" s="969"/>
      <c r="AC938" s="969"/>
      <c r="AD938" s="969"/>
      <c r="AE938" s="969" t="str">
        <f t="shared" si="42"/>
        <v>TheewaterskloofInventory consumed</v>
      </c>
      <c r="AF938" s="969"/>
      <c r="AG938" s="969"/>
    </row>
    <row r="939" spans="2:33" ht="13.2" customHeight="1" x14ac:dyDescent="0.55000000000000004">
      <c r="B939" s="371"/>
      <c r="C939" s="1010" t="s">
        <v>741</v>
      </c>
      <c r="D939" s="360" t="str">
        <f t="shared" si="43"/>
        <v>Water management3500</v>
      </c>
      <c r="E939" s="361" t="str">
        <f t="shared" si="44"/>
        <v>TheewaterskloofWater managementDebt impairment</v>
      </c>
      <c r="F939" s="360" t="str">
        <f>'PART C- Municipal Details'!$G$7</f>
        <v>Theewaterskloof</v>
      </c>
      <c r="G939" s="361" t="s">
        <v>812</v>
      </c>
      <c r="H939" s="363" t="s">
        <v>814</v>
      </c>
      <c r="I939" s="496" t="s">
        <v>10</v>
      </c>
      <c r="J939" s="497" t="s">
        <v>740</v>
      </c>
      <c r="K939" s="490"/>
      <c r="L939" s="463" t="s">
        <v>10</v>
      </c>
      <c r="M939" s="459"/>
      <c r="N939" s="461"/>
      <c r="O939" s="461"/>
      <c r="P939" s="461"/>
      <c r="Q939" s="461"/>
      <c r="R939" s="461"/>
      <c r="S939" s="461"/>
      <c r="T939" s="461"/>
      <c r="U939" s="530">
        <v>18521000</v>
      </c>
      <c r="V939" s="530">
        <v>19150714</v>
      </c>
      <c r="W939" s="530">
        <v>19763537</v>
      </c>
      <c r="X939" s="490"/>
      <c r="Y939" s="969"/>
      <c r="Z939" s="969"/>
      <c r="AA939" s="969"/>
      <c r="AB939" s="969"/>
      <c r="AC939" s="969"/>
      <c r="AD939" s="969"/>
      <c r="AE939" s="969" t="str">
        <f t="shared" si="42"/>
        <v>TheewaterskloofDebt impairment</v>
      </c>
      <c r="AF939" s="969"/>
      <c r="AG939" s="969"/>
    </row>
    <row r="940" spans="2:33" ht="13.2" customHeight="1" x14ac:dyDescent="0.55000000000000004">
      <c r="B940" s="371"/>
      <c r="C940" s="1010" t="s">
        <v>743</v>
      </c>
      <c r="D940" s="361" t="str">
        <f t="shared" si="43"/>
        <v>Water management3600</v>
      </c>
      <c r="E940" s="360" t="str">
        <f t="shared" si="44"/>
        <v>TheewaterskloofWater managementDepreciation and asset impairment</v>
      </c>
      <c r="F940" s="360" t="str">
        <f>'PART C- Municipal Details'!$G$7</f>
        <v>Theewaterskloof</v>
      </c>
      <c r="G940" s="360" t="s">
        <v>812</v>
      </c>
      <c r="H940" s="366" t="s">
        <v>814</v>
      </c>
      <c r="I940" s="496" t="s">
        <v>720</v>
      </c>
      <c r="J940" s="497" t="s">
        <v>742</v>
      </c>
      <c r="K940" s="490"/>
      <c r="L940" s="463" t="s">
        <v>745</v>
      </c>
      <c r="M940" s="459"/>
      <c r="N940" s="461"/>
      <c r="O940" s="461"/>
      <c r="P940" s="461"/>
      <c r="Q940" s="461"/>
      <c r="R940" s="461"/>
      <c r="S940" s="461"/>
      <c r="T940" s="461"/>
      <c r="U940" s="530">
        <v>7198765</v>
      </c>
      <c r="V940" s="530">
        <v>7558703</v>
      </c>
      <c r="W940" s="530">
        <v>7936639</v>
      </c>
      <c r="X940" s="490"/>
      <c r="Y940" s="969"/>
      <c r="Z940" s="969"/>
      <c r="AA940" s="969"/>
      <c r="AB940" s="969"/>
      <c r="AC940" s="969"/>
      <c r="AD940" s="969"/>
      <c r="AE940" s="969" t="str">
        <f t="shared" si="42"/>
        <v>TheewaterskloofDepreciation and amortisation</v>
      </c>
      <c r="AF940" s="969"/>
      <c r="AG940" s="969"/>
    </row>
    <row r="941" spans="2:33" ht="13.2" customHeight="1" x14ac:dyDescent="0.55000000000000004">
      <c r="B941" s="371"/>
      <c r="C941" s="1010" t="s">
        <v>746</v>
      </c>
      <c r="D941" s="360" t="str">
        <f t="shared" si="43"/>
        <v>Water management3700</v>
      </c>
      <c r="E941" s="361" t="str">
        <f t="shared" si="44"/>
        <v>TheewaterskloofWater managementFinance charges</v>
      </c>
      <c r="F941" s="360" t="str">
        <f>'PART C- Municipal Details'!$G$7</f>
        <v>Theewaterskloof</v>
      </c>
      <c r="G941" s="361" t="s">
        <v>812</v>
      </c>
      <c r="H941" s="363" t="s">
        <v>814</v>
      </c>
      <c r="I941" s="496" t="s">
        <v>11</v>
      </c>
      <c r="J941" s="497" t="s">
        <v>744</v>
      </c>
      <c r="K941" s="490"/>
      <c r="L941" s="463" t="s">
        <v>687</v>
      </c>
      <c r="M941" s="459"/>
      <c r="N941" s="461"/>
      <c r="O941" s="461"/>
      <c r="P941" s="461"/>
      <c r="Q941" s="461"/>
      <c r="R941" s="461"/>
      <c r="S941" s="461"/>
      <c r="T941" s="461"/>
      <c r="U941" s="530">
        <v>1543777</v>
      </c>
      <c r="V941" s="530">
        <v>1596265</v>
      </c>
      <c r="W941" s="530">
        <v>1647345</v>
      </c>
      <c r="X941" s="490"/>
      <c r="Y941" s="969"/>
      <c r="Z941" s="969"/>
      <c r="AA941" s="969"/>
      <c r="AB941" s="969"/>
      <c r="AC941" s="969"/>
      <c r="AD941" s="969"/>
      <c r="AE941" s="969" t="str">
        <f t="shared" si="42"/>
        <v>TheewaterskloofInterest</v>
      </c>
      <c r="AF941" s="969"/>
      <c r="AG941" s="969"/>
    </row>
    <row r="942" spans="2:33" ht="13.2" customHeight="1" x14ac:dyDescent="0.55000000000000004">
      <c r="B942" s="371"/>
      <c r="C942" s="1010" t="s">
        <v>748</v>
      </c>
      <c r="D942" s="361" t="str">
        <f t="shared" si="43"/>
        <v>Water management3800</v>
      </c>
      <c r="E942" s="360" t="str">
        <f t="shared" si="44"/>
        <v>TheewaterskloofWater managementContracted services</v>
      </c>
      <c r="F942" s="360" t="str">
        <f>'PART C- Municipal Details'!$G$7</f>
        <v>Theewaterskloof</v>
      </c>
      <c r="G942" s="360" t="s">
        <v>812</v>
      </c>
      <c r="H942" s="366" t="s">
        <v>814</v>
      </c>
      <c r="I942" s="496" t="s">
        <v>12</v>
      </c>
      <c r="J942" s="497" t="s">
        <v>747</v>
      </c>
      <c r="K942" s="490"/>
      <c r="L942" s="463" t="s">
        <v>12</v>
      </c>
      <c r="M942" s="459"/>
      <c r="N942" s="461"/>
      <c r="O942" s="461"/>
      <c r="P942" s="461"/>
      <c r="Q942" s="461"/>
      <c r="R942" s="461"/>
      <c r="S942" s="461"/>
      <c r="T942" s="461"/>
      <c r="U942" s="530">
        <v>4068585</v>
      </c>
      <c r="V942" s="530">
        <v>4206921</v>
      </c>
      <c r="W942" s="530">
        <v>4341546</v>
      </c>
      <c r="X942" s="490"/>
      <c r="Y942" s="969"/>
      <c r="Z942" s="969"/>
      <c r="AA942" s="969"/>
      <c r="AB942" s="969"/>
      <c r="AC942" s="969"/>
      <c r="AD942" s="969"/>
      <c r="AE942" s="969" t="str">
        <f t="shared" si="42"/>
        <v>TheewaterskloofContracted services</v>
      </c>
      <c r="AF942" s="969"/>
      <c r="AG942" s="969"/>
    </row>
    <row r="943" spans="2:33" ht="13.2" customHeight="1" x14ac:dyDescent="0.55000000000000004">
      <c r="B943" s="371"/>
      <c r="C943" s="1010" t="s">
        <v>750</v>
      </c>
      <c r="D943" s="360" t="str">
        <f t="shared" si="43"/>
        <v>Water management3900</v>
      </c>
      <c r="E943" s="361" t="str">
        <f t="shared" si="44"/>
        <v>TheewaterskloofWater managementTransfers and subsidies</v>
      </c>
      <c r="F943" s="360" t="str">
        <f>'PART C- Municipal Details'!$G$7</f>
        <v>Theewaterskloof</v>
      </c>
      <c r="G943" s="361" t="s">
        <v>812</v>
      </c>
      <c r="H943" s="363" t="s">
        <v>814</v>
      </c>
      <c r="I943" s="496" t="s">
        <v>204</v>
      </c>
      <c r="J943" s="497" t="s">
        <v>749</v>
      </c>
      <c r="K943" s="490"/>
      <c r="L943" s="463" t="s">
        <v>204</v>
      </c>
      <c r="M943" s="459"/>
      <c r="N943" s="461"/>
      <c r="O943" s="461"/>
      <c r="P943" s="461"/>
      <c r="Q943" s="461"/>
      <c r="R943" s="461"/>
      <c r="S943" s="461"/>
      <c r="T943" s="461"/>
      <c r="U943" s="530">
        <v>0</v>
      </c>
      <c r="V943" s="530">
        <v>0</v>
      </c>
      <c r="W943" s="530">
        <v>0</v>
      </c>
      <c r="X943" s="490"/>
      <c r="Y943" s="969"/>
      <c r="Z943" s="969"/>
      <c r="AA943" s="969"/>
      <c r="AB943" s="969"/>
      <c r="AC943" s="969"/>
      <c r="AD943" s="969"/>
      <c r="AE943" s="969" t="str">
        <f t="shared" ref="AE943:AE1007" si="45">F943&amp;L943</f>
        <v>TheewaterskloofTransfers and subsidies</v>
      </c>
      <c r="AF943" s="969"/>
      <c r="AG943" s="969"/>
    </row>
    <row r="944" spans="2:33" ht="13.2" customHeight="1" x14ac:dyDescent="0.55000000000000004">
      <c r="B944" s="371"/>
      <c r="C944" s="1010" t="s">
        <v>752</v>
      </c>
      <c r="D944" s="361" t="str">
        <f t="shared" si="43"/>
        <v>Water management4000</v>
      </c>
      <c r="E944" s="360" t="str">
        <f t="shared" si="44"/>
        <v>TheewaterskloofWater managementOther expenditure</v>
      </c>
      <c r="F944" s="360" t="str">
        <f>'PART C- Municipal Details'!$G$7</f>
        <v>Theewaterskloof</v>
      </c>
      <c r="G944" s="360" t="s">
        <v>812</v>
      </c>
      <c r="H944" s="366" t="s">
        <v>814</v>
      </c>
      <c r="I944" s="496" t="s">
        <v>13</v>
      </c>
      <c r="J944" s="497" t="s">
        <v>751</v>
      </c>
      <c r="K944" s="490"/>
      <c r="L944" s="463" t="s">
        <v>754</v>
      </c>
      <c r="M944" s="459"/>
      <c r="N944" s="461"/>
      <c r="O944" s="461"/>
      <c r="P944" s="461"/>
      <c r="Q944" s="461"/>
      <c r="R944" s="461"/>
      <c r="S944" s="461"/>
      <c r="T944" s="461"/>
      <c r="U944" s="530">
        <v>8548000</v>
      </c>
      <c r="V944" s="530">
        <v>8838632</v>
      </c>
      <c r="W944" s="530">
        <v>9121468</v>
      </c>
      <c r="X944" s="490"/>
      <c r="Y944" s="969"/>
      <c r="Z944" s="969"/>
      <c r="AA944" s="969"/>
      <c r="AB944" s="969"/>
      <c r="AC944" s="969"/>
      <c r="AD944" s="969"/>
      <c r="AE944" s="969" t="str">
        <f t="shared" si="45"/>
        <v>TheewaterskloofIrrecoverable debts written off</v>
      </c>
      <c r="AF944" s="969"/>
      <c r="AG944" s="969"/>
    </row>
    <row r="945" spans="2:33" ht="13.2" customHeight="1" x14ac:dyDescent="0.55000000000000004">
      <c r="B945" s="371"/>
      <c r="C945" s="1010" t="s">
        <v>755</v>
      </c>
      <c r="D945" s="360" t="str">
        <f t="shared" si="43"/>
        <v>Water management4100</v>
      </c>
      <c r="E945" s="361" t="str">
        <f t="shared" si="44"/>
        <v>TheewaterskloofWater managementOther expenditure</v>
      </c>
      <c r="F945" s="360" t="str">
        <f>'PART C- Municipal Details'!$G$7</f>
        <v>Theewaterskloof</v>
      </c>
      <c r="G945" s="361" t="s">
        <v>812</v>
      </c>
      <c r="H945" s="363" t="s">
        <v>814</v>
      </c>
      <c r="I945" s="496" t="s">
        <v>13</v>
      </c>
      <c r="J945" s="497" t="s">
        <v>753</v>
      </c>
      <c r="K945" s="490"/>
      <c r="L945" s="463" t="s">
        <v>757</v>
      </c>
      <c r="M945" s="459"/>
      <c r="N945" s="461"/>
      <c r="O945" s="461"/>
      <c r="P945" s="461"/>
      <c r="Q945" s="461"/>
      <c r="R945" s="461"/>
      <c r="S945" s="461"/>
      <c r="T945" s="461"/>
      <c r="U945" s="530">
        <v>11008552</v>
      </c>
      <c r="V945" s="530">
        <v>11382843</v>
      </c>
      <c r="W945" s="530">
        <v>11747096</v>
      </c>
      <c r="X945" s="490"/>
      <c r="Y945" s="969"/>
      <c r="Z945" s="969"/>
      <c r="AA945" s="969"/>
      <c r="AB945" s="969"/>
      <c r="AC945" s="969"/>
      <c r="AD945" s="969"/>
      <c r="AE945" s="969" t="str">
        <f t="shared" si="45"/>
        <v>TheewaterskloofOperational costs</v>
      </c>
      <c r="AF945" s="969"/>
      <c r="AG945" s="969"/>
    </row>
    <row r="946" spans="2:33" ht="13.2" customHeight="1" x14ac:dyDescent="0.55000000000000004">
      <c r="B946" s="371"/>
      <c r="C946" s="1010" t="s">
        <v>758</v>
      </c>
      <c r="D946" s="361" t="str">
        <f t="shared" si="43"/>
        <v>Water management4200</v>
      </c>
      <c r="E946" s="360" t="str">
        <f t="shared" si="44"/>
        <v>TheewaterskloofWater managementLosses</v>
      </c>
      <c r="F946" s="360" t="str">
        <f>'PART C- Municipal Details'!$G$7</f>
        <v>Theewaterskloof</v>
      </c>
      <c r="G946" s="360" t="s">
        <v>812</v>
      </c>
      <c r="H946" s="366" t="s">
        <v>814</v>
      </c>
      <c r="I946" s="496" t="s">
        <v>734</v>
      </c>
      <c r="J946" s="497" t="s">
        <v>756</v>
      </c>
      <c r="K946" s="490"/>
      <c r="L946" s="463" t="s">
        <v>760</v>
      </c>
      <c r="M946" s="459"/>
      <c r="N946" s="461"/>
      <c r="O946" s="461"/>
      <c r="P946" s="461"/>
      <c r="Q946" s="461"/>
      <c r="R946" s="461"/>
      <c r="S946" s="461"/>
      <c r="T946" s="461"/>
      <c r="U946" s="530">
        <v>0</v>
      </c>
      <c r="V946" s="530">
        <v>0</v>
      </c>
      <c r="W946" s="530">
        <v>0</v>
      </c>
      <c r="X946" s="490"/>
      <c r="Y946" s="969"/>
      <c r="Z946" s="969"/>
      <c r="AA946" s="969"/>
      <c r="AB946" s="969"/>
      <c r="AC946" s="969"/>
      <c r="AD946" s="969"/>
      <c r="AE946" s="969" t="str">
        <f t="shared" si="45"/>
        <v>TheewaterskloofLosses on disposal of Assets</v>
      </c>
      <c r="AF946" s="969"/>
      <c r="AG946" s="969"/>
    </row>
    <row r="947" spans="2:33" ht="13.2" customHeight="1" x14ac:dyDescent="0.55000000000000004">
      <c r="B947" s="371"/>
      <c r="C947" s="1010" t="s">
        <v>761</v>
      </c>
      <c r="D947" s="360" t="str">
        <f t="shared" si="43"/>
        <v>Water management4300</v>
      </c>
      <c r="E947" s="361" t="str">
        <f t="shared" si="44"/>
        <v>TheewaterskloofWater managementOther expenditure</v>
      </c>
      <c r="F947" s="360" t="str">
        <f>'PART C- Municipal Details'!$G$7</f>
        <v>Theewaterskloof</v>
      </c>
      <c r="G947" s="361" t="s">
        <v>812</v>
      </c>
      <c r="H947" s="363" t="s">
        <v>814</v>
      </c>
      <c r="I947" s="496" t="s">
        <v>13</v>
      </c>
      <c r="J947" s="497" t="s">
        <v>759</v>
      </c>
      <c r="K947" s="490"/>
      <c r="L947" s="463" t="s">
        <v>763</v>
      </c>
      <c r="M947" s="459"/>
      <c r="N947" s="461"/>
      <c r="O947" s="461"/>
      <c r="P947" s="461"/>
      <c r="Q947" s="461"/>
      <c r="R947" s="461"/>
      <c r="S947" s="461"/>
      <c r="T947" s="461"/>
      <c r="U947" s="530">
        <v>0</v>
      </c>
      <c r="V947" s="530">
        <v>0</v>
      </c>
      <c r="W947" s="530">
        <v>0</v>
      </c>
      <c r="X947" s="490"/>
      <c r="Y947" s="969"/>
      <c r="Z947" s="969"/>
      <c r="AA947" s="969"/>
      <c r="AB947" s="969"/>
      <c r="AC947" s="969"/>
      <c r="AD947" s="969"/>
      <c r="AE947" s="969" t="str">
        <f t="shared" si="45"/>
        <v>TheewaterskloofOther Losses</v>
      </c>
      <c r="AF947" s="969"/>
      <c r="AG947" s="969"/>
    </row>
    <row r="948" spans="2:33" ht="13.2" customHeight="1" x14ac:dyDescent="0.55000000000000004">
      <c r="B948" s="371"/>
      <c r="C948" s="1009" t="s">
        <v>764</v>
      </c>
      <c r="D948" s="361" t="str">
        <f t="shared" si="43"/>
        <v>Water management4400</v>
      </c>
      <c r="E948" s="360" t="str">
        <f t="shared" si="44"/>
        <v>TheewaterskloofWater managementTotal Expenditure</v>
      </c>
      <c r="F948" s="360" t="str">
        <f>'PART C- Municipal Details'!$G$7</f>
        <v>Theewaterskloof</v>
      </c>
      <c r="G948" s="360" t="s">
        <v>812</v>
      </c>
      <c r="H948" s="366" t="s">
        <v>814</v>
      </c>
      <c r="I948" s="496" t="s">
        <v>736</v>
      </c>
      <c r="J948" s="497" t="s">
        <v>762</v>
      </c>
      <c r="K948" s="490"/>
      <c r="L948" s="508" t="s">
        <v>736</v>
      </c>
      <c r="M948" s="509"/>
      <c r="N948" s="510"/>
      <c r="O948" s="510"/>
      <c r="P948" s="510"/>
      <c r="Q948" s="510"/>
      <c r="R948" s="510"/>
      <c r="S948" s="510"/>
      <c r="T948" s="511"/>
      <c r="U948" s="529">
        <v>97282699</v>
      </c>
      <c r="V948" s="529">
        <v>100705851</v>
      </c>
      <c r="W948" s="529">
        <v>104064914</v>
      </c>
      <c r="X948" s="490"/>
      <c r="Y948" s="969"/>
      <c r="Z948" s="969"/>
      <c r="AA948" s="969"/>
      <c r="AB948" s="969"/>
      <c r="AC948" s="969"/>
      <c r="AD948" s="969"/>
      <c r="AE948" s="969" t="str">
        <f t="shared" si="45"/>
        <v>TheewaterskloofTotal Expenditure</v>
      </c>
      <c r="AF948" s="969"/>
      <c r="AG948" s="969"/>
    </row>
    <row r="949" spans="2:33" ht="13.2" customHeight="1" x14ac:dyDescent="0.55000000000000004">
      <c r="B949" s="371"/>
      <c r="C949" s="1009" t="s">
        <v>766</v>
      </c>
      <c r="D949" s="360" t="str">
        <f t="shared" si="43"/>
        <v>Water management4500</v>
      </c>
      <c r="E949" s="361" t="str">
        <f t="shared" si="44"/>
        <v>TheewaterskloofWater managementSurplus/(Deficit)</v>
      </c>
      <c r="F949" s="360" t="str">
        <f>'PART C- Municipal Details'!$G$7</f>
        <v>Theewaterskloof</v>
      </c>
      <c r="G949" s="361" t="s">
        <v>812</v>
      </c>
      <c r="H949" s="363" t="s">
        <v>814</v>
      </c>
      <c r="I949" s="496" t="s">
        <v>635</v>
      </c>
      <c r="J949" s="497" t="s">
        <v>765</v>
      </c>
      <c r="K949" s="490"/>
      <c r="L949" s="463" t="s">
        <v>635</v>
      </c>
      <c r="M949" s="459"/>
      <c r="N949" s="459"/>
      <c r="O949" s="459"/>
      <c r="P949" s="459"/>
      <c r="Q949" s="459"/>
      <c r="R949" s="459"/>
      <c r="S949" s="459"/>
      <c r="T949" s="459"/>
      <c r="U949" s="530">
        <v>47169461</v>
      </c>
      <c r="V949" s="530">
        <v>48944117</v>
      </c>
      <c r="W949" s="530">
        <v>50172889</v>
      </c>
      <c r="X949" s="490"/>
      <c r="Y949" s="969"/>
      <c r="Z949" s="969"/>
      <c r="AA949" s="969"/>
      <c r="AB949" s="969"/>
      <c r="AC949" s="969"/>
      <c r="AD949" s="969"/>
      <c r="AE949" s="969" t="str">
        <f t="shared" si="45"/>
        <v>TheewaterskloofSurplus/(Deficit)</v>
      </c>
      <c r="AF949" s="969"/>
      <c r="AG949" s="969"/>
    </row>
    <row r="950" spans="2:33" ht="13.2" customHeight="1" x14ac:dyDescent="0.55000000000000004">
      <c r="B950" s="371"/>
      <c r="C950" s="1010" t="s">
        <v>768</v>
      </c>
      <c r="D950" s="361" t="str">
        <f t="shared" si="43"/>
        <v>Water management4600</v>
      </c>
      <c r="E950" s="360" t="str">
        <f t="shared" si="44"/>
        <v>TheewaterskloofWater managementTransfers and subsidies - capital (monetary allocations) (National / Provincial and District)</v>
      </c>
      <c r="F950" s="360" t="str">
        <f>'PART C- Municipal Details'!$G$7</f>
        <v>Theewaterskloof</v>
      </c>
      <c r="G950" s="360" t="s">
        <v>812</v>
      </c>
      <c r="H950" s="366" t="s">
        <v>814</v>
      </c>
      <c r="I950" s="496" t="s">
        <v>740</v>
      </c>
      <c r="J950" s="497" t="s">
        <v>767</v>
      </c>
      <c r="K950" s="490"/>
      <c r="L950" s="463" t="s">
        <v>770</v>
      </c>
      <c r="M950" s="459"/>
      <c r="N950" s="459"/>
      <c r="O950" s="459"/>
      <c r="P950" s="459"/>
      <c r="Q950" s="459"/>
      <c r="R950" s="459"/>
      <c r="S950" s="459"/>
      <c r="T950" s="459"/>
      <c r="U950" s="530">
        <v>0</v>
      </c>
      <c r="V950" s="530">
        <v>0</v>
      </c>
      <c r="W950" s="530">
        <v>0</v>
      </c>
      <c r="X950" s="490"/>
      <c r="Y950" s="969"/>
      <c r="Z950" s="969"/>
      <c r="AA950" s="969"/>
      <c r="AB950" s="969"/>
      <c r="AC950" s="969"/>
      <c r="AD950" s="969"/>
      <c r="AE950" s="969" t="str">
        <f t="shared" si="45"/>
        <v>TheewaterskloofTransfers and subsidies - capital (monetary allocations)</v>
      </c>
      <c r="AF950" s="969"/>
      <c r="AG950" s="969"/>
    </row>
    <row r="951" spans="2:33" ht="13.2" customHeight="1" x14ac:dyDescent="0.55000000000000004">
      <c r="B951" s="371"/>
      <c r="C951" s="1010" t="s">
        <v>771</v>
      </c>
      <c r="D951" s="360" t="str">
        <f t="shared" si="43"/>
        <v>Water management4700</v>
      </c>
      <c r="E951" s="361" t="str">
        <f t="shared" si="44"/>
        <v>TheewaterskloofWater managementTransfers and subsidies - capital (in-kind - all)</v>
      </c>
      <c r="F951" s="360" t="str">
        <f>'PART C- Municipal Details'!$G$7</f>
        <v>Theewaterskloof</v>
      </c>
      <c r="G951" s="361" t="s">
        <v>812</v>
      </c>
      <c r="H951" s="363" t="s">
        <v>814</v>
      </c>
      <c r="I951" s="496" t="s">
        <v>744</v>
      </c>
      <c r="J951" s="497" t="s">
        <v>769</v>
      </c>
      <c r="K951" s="490"/>
      <c r="L951" s="463" t="s">
        <v>773</v>
      </c>
      <c r="M951" s="459"/>
      <c r="N951" s="459"/>
      <c r="O951" s="459"/>
      <c r="P951" s="459"/>
      <c r="Q951" s="459"/>
      <c r="R951" s="459"/>
      <c r="S951" s="459"/>
      <c r="T951" s="459"/>
      <c r="U951" s="530">
        <v>0</v>
      </c>
      <c r="V951" s="530">
        <v>0</v>
      </c>
      <c r="W951" s="530">
        <v>0</v>
      </c>
      <c r="X951" s="490"/>
      <c r="Y951" s="969"/>
      <c r="Z951" s="969"/>
      <c r="AA951" s="969"/>
      <c r="AB951" s="969"/>
      <c r="AC951" s="969"/>
      <c r="AD951" s="969"/>
      <c r="AE951" s="969" t="str">
        <f t="shared" si="45"/>
        <v>TheewaterskloofTransfers and subsidies - capital (in-kind)</v>
      </c>
      <c r="AF951" s="969"/>
      <c r="AG951" s="969"/>
    </row>
    <row r="952" spans="2:33" ht="13.2" customHeight="1" x14ac:dyDescent="0.55000000000000004">
      <c r="B952" s="371"/>
      <c r="C952" s="1009" t="s">
        <v>774</v>
      </c>
      <c r="D952" s="361" t="str">
        <f t="shared" si="43"/>
        <v>Water management4800</v>
      </c>
      <c r="E952" s="360" t="str">
        <f t="shared" si="44"/>
        <v>TheewaterskloofWater managementSurplus/(Deficit) after capital transfers and contributions</v>
      </c>
      <c r="F952" s="360" t="str">
        <f>'PART C- Municipal Details'!$G$7</f>
        <v>Theewaterskloof</v>
      </c>
      <c r="G952" s="360" t="s">
        <v>812</v>
      </c>
      <c r="H952" s="366" t="s">
        <v>814</v>
      </c>
      <c r="I952" s="496" t="s">
        <v>747</v>
      </c>
      <c r="J952" s="497" t="s">
        <v>772</v>
      </c>
      <c r="K952" s="490"/>
      <c r="L952" s="463" t="s">
        <v>747</v>
      </c>
      <c r="M952" s="459"/>
      <c r="N952" s="459"/>
      <c r="O952" s="459"/>
      <c r="P952" s="459"/>
      <c r="Q952" s="459"/>
      <c r="R952" s="459"/>
      <c r="S952" s="459"/>
      <c r="T952" s="459"/>
      <c r="U952" s="530">
        <v>47169461</v>
      </c>
      <c r="V952" s="530">
        <v>48944117</v>
      </c>
      <c r="W952" s="530">
        <v>50172889</v>
      </c>
      <c r="X952" s="490"/>
      <c r="Y952" s="969"/>
      <c r="Z952" s="969"/>
      <c r="AA952" s="969"/>
      <c r="AB952" s="969"/>
      <c r="AC952" s="969"/>
      <c r="AD952" s="969"/>
      <c r="AE952" s="969" t="str">
        <f t="shared" si="45"/>
        <v>TheewaterskloofSurplus/(Deficit) after capital transfers and contributions</v>
      </c>
      <c r="AF952" s="969"/>
      <c r="AG952" s="969"/>
    </row>
    <row r="953" spans="2:33" ht="13.2" customHeight="1" x14ac:dyDescent="0.55000000000000004">
      <c r="B953" s="371"/>
      <c r="C953" s="1010" t="s">
        <v>776</v>
      </c>
      <c r="D953" s="360" t="str">
        <f t="shared" si="43"/>
        <v>Water management4900</v>
      </c>
      <c r="E953" s="361" t="str">
        <f t="shared" si="44"/>
        <v>TheewaterskloofWater managementTaxation</v>
      </c>
      <c r="F953" s="360" t="str">
        <f>'PART C- Municipal Details'!$G$7</f>
        <v>Theewaterskloof</v>
      </c>
      <c r="G953" s="361" t="s">
        <v>812</v>
      </c>
      <c r="H953" s="363" t="s">
        <v>814</v>
      </c>
      <c r="I953" s="496" t="s">
        <v>749</v>
      </c>
      <c r="J953" s="497" t="s">
        <v>775</v>
      </c>
      <c r="K953" s="490"/>
      <c r="L953" s="463" t="s">
        <v>778</v>
      </c>
      <c r="M953" s="459"/>
      <c r="N953" s="459"/>
      <c r="O953" s="459"/>
      <c r="P953" s="459"/>
      <c r="Q953" s="459"/>
      <c r="R953" s="459"/>
      <c r="S953" s="459"/>
      <c r="T953" s="459"/>
      <c r="U953" s="530">
        <v>0</v>
      </c>
      <c r="V953" s="530">
        <v>0</v>
      </c>
      <c r="W953" s="530">
        <v>0</v>
      </c>
      <c r="X953" s="490"/>
      <c r="Y953" s="969"/>
      <c r="Z953" s="969"/>
      <c r="AA953" s="969"/>
      <c r="AB953" s="969"/>
      <c r="AC953" s="969"/>
      <c r="AD953" s="969"/>
      <c r="AE953" s="969" t="str">
        <f t="shared" si="45"/>
        <v>TheewaterskloofIncome Tax</v>
      </c>
      <c r="AF953" s="969"/>
      <c r="AG953" s="969"/>
    </row>
    <row r="954" spans="2:33" ht="13.2" customHeight="1" x14ac:dyDescent="0.55000000000000004">
      <c r="B954" s="371"/>
      <c r="C954" s="1009" t="s">
        <v>779</v>
      </c>
      <c r="D954" s="361" t="str">
        <f t="shared" si="43"/>
        <v>Water management5000</v>
      </c>
      <c r="E954" s="360" t="str">
        <f t="shared" si="44"/>
        <v>TheewaterskloofWater managementSurplus/(Deficit) after taxation</v>
      </c>
      <c r="F954" s="360" t="str">
        <f>'PART C- Municipal Details'!$G$7</f>
        <v>Theewaterskloof</v>
      </c>
      <c r="G954" s="360" t="s">
        <v>812</v>
      </c>
      <c r="H954" s="366" t="s">
        <v>814</v>
      </c>
      <c r="I954" s="496" t="s">
        <v>751</v>
      </c>
      <c r="J954" s="497" t="s">
        <v>777</v>
      </c>
      <c r="K954" s="490"/>
      <c r="L954" s="463" t="s">
        <v>781</v>
      </c>
      <c r="M954" s="459"/>
      <c r="N954" s="459"/>
      <c r="O954" s="459"/>
      <c r="P954" s="459"/>
      <c r="Q954" s="459"/>
      <c r="R954" s="459"/>
      <c r="S954" s="459"/>
      <c r="T954" s="459"/>
      <c r="U954" s="530">
        <v>47169461</v>
      </c>
      <c r="V954" s="530">
        <v>48944117</v>
      </c>
      <c r="W954" s="530">
        <v>50172889</v>
      </c>
      <c r="X954" s="490"/>
      <c r="Y954" s="969"/>
      <c r="Z954" s="969"/>
      <c r="AA954" s="969"/>
      <c r="AB954" s="969"/>
      <c r="AC954" s="969"/>
      <c r="AD954" s="969"/>
      <c r="AE954" s="969" t="str">
        <f t="shared" si="45"/>
        <v>TheewaterskloofSurplus/(Deficit) after income tax</v>
      </c>
      <c r="AF954" s="969"/>
      <c r="AG954" s="969"/>
    </row>
    <row r="955" spans="2:33" ht="13.2" customHeight="1" x14ac:dyDescent="0.55000000000000004">
      <c r="B955" s="371"/>
      <c r="C955" s="1010" t="s">
        <v>782</v>
      </c>
      <c r="D955" s="360" t="str">
        <f t="shared" si="43"/>
        <v>Water management5100</v>
      </c>
      <c r="E955" s="361" t="str">
        <f t="shared" si="44"/>
        <v>TheewaterskloofWater managementShare of Surplus/Deficit attributable to Joint Venture</v>
      </c>
      <c r="F955" s="360" t="str">
        <f>'PART C- Municipal Details'!$G$7</f>
        <v>Theewaterskloof</v>
      </c>
      <c r="G955" s="361" t="s">
        <v>812</v>
      </c>
      <c r="H955" s="363" t="s">
        <v>814</v>
      </c>
      <c r="I955" s="496" t="s">
        <v>783</v>
      </c>
      <c r="J955" s="497" t="s">
        <v>780</v>
      </c>
      <c r="K955" s="490"/>
      <c r="L955" s="463" t="s">
        <v>783</v>
      </c>
      <c r="M955" s="459"/>
      <c r="N955" s="459"/>
      <c r="O955" s="459"/>
      <c r="P955" s="459"/>
      <c r="Q955" s="459"/>
      <c r="R955" s="459"/>
      <c r="S955" s="459"/>
      <c r="T955" s="459"/>
      <c r="U955" s="530">
        <v>0</v>
      </c>
      <c r="V955" s="530">
        <v>0</v>
      </c>
      <c r="W955" s="530">
        <v>0</v>
      </c>
      <c r="X955" s="490"/>
      <c r="Y955" s="969"/>
      <c r="Z955" s="969"/>
      <c r="AA955" s="969"/>
      <c r="AB955" s="969"/>
      <c r="AC955" s="969"/>
      <c r="AD955" s="969"/>
      <c r="AE955" s="969" t="str">
        <f t="shared" si="45"/>
        <v>TheewaterskloofShare of Surplus/Deficit attributable to Joint Venture</v>
      </c>
      <c r="AF955" s="969"/>
      <c r="AG955" s="969"/>
    </row>
    <row r="956" spans="2:33" ht="13.2" customHeight="1" x14ac:dyDescent="0.55000000000000004">
      <c r="B956" s="371"/>
      <c r="C956" s="1010" t="s">
        <v>785</v>
      </c>
      <c r="D956" s="361" t="str">
        <f t="shared" si="43"/>
        <v>Water management5200</v>
      </c>
      <c r="E956" s="360" t="str">
        <f t="shared" si="44"/>
        <v>TheewaterskloofWater managementAttributable to minorities</v>
      </c>
      <c r="F956" s="360" t="str">
        <f>'PART C- Municipal Details'!$G$7</f>
        <v>Theewaterskloof</v>
      </c>
      <c r="G956" s="360" t="s">
        <v>812</v>
      </c>
      <c r="H956" s="366" t="s">
        <v>814</v>
      </c>
      <c r="I956" s="496" t="s">
        <v>753</v>
      </c>
      <c r="J956" s="497" t="s">
        <v>784</v>
      </c>
      <c r="K956" s="490"/>
      <c r="L956" s="463" t="s">
        <v>787</v>
      </c>
      <c r="M956" s="459"/>
      <c r="N956" s="459"/>
      <c r="O956" s="459"/>
      <c r="P956" s="459"/>
      <c r="Q956" s="459"/>
      <c r="R956" s="459"/>
      <c r="S956" s="459"/>
      <c r="T956" s="459"/>
      <c r="U956" s="530">
        <v>0</v>
      </c>
      <c r="V956" s="530">
        <v>0</v>
      </c>
      <c r="W956" s="530">
        <v>0</v>
      </c>
      <c r="X956" s="490"/>
      <c r="Y956" s="969"/>
      <c r="Z956" s="969"/>
      <c r="AA956" s="969"/>
      <c r="AB956" s="969"/>
      <c r="AC956" s="969"/>
      <c r="AD956" s="969"/>
      <c r="AE956" s="969" t="str">
        <f t="shared" si="45"/>
        <v>TheewaterskloofShare of Surplus/Deficit attributable to Minorities</v>
      </c>
      <c r="AF956" s="969"/>
      <c r="AG956" s="969"/>
    </row>
    <row r="957" spans="2:33" ht="13.2" customHeight="1" x14ac:dyDescent="0.55000000000000004">
      <c r="B957" s="371"/>
      <c r="C957" s="1009" t="s">
        <v>788</v>
      </c>
      <c r="D957" s="360" t="str">
        <f t="shared" si="43"/>
        <v>Water management5300</v>
      </c>
      <c r="E957" s="361" t="str">
        <f t="shared" si="44"/>
        <v>TheewaterskloofWater managementSurplus/(Deficit) attributable to municipality</v>
      </c>
      <c r="F957" s="360" t="str">
        <f>'PART C- Municipal Details'!$G$7</f>
        <v>Theewaterskloof</v>
      </c>
      <c r="G957" s="361" t="s">
        <v>812</v>
      </c>
      <c r="H957" s="363" t="s">
        <v>814</v>
      </c>
      <c r="I957" s="496" t="s">
        <v>756</v>
      </c>
      <c r="J957" s="497" t="s">
        <v>786</v>
      </c>
      <c r="K957" s="490"/>
      <c r="L957" s="463" t="s">
        <v>756</v>
      </c>
      <c r="M957" s="459"/>
      <c r="N957" s="459"/>
      <c r="O957" s="459"/>
      <c r="P957" s="459"/>
      <c r="Q957" s="459"/>
      <c r="R957" s="459"/>
      <c r="S957" s="459"/>
      <c r="T957" s="459"/>
      <c r="U957" s="530">
        <v>47169461</v>
      </c>
      <c r="V957" s="530">
        <v>48944117</v>
      </c>
      <c r="W957" s="530">
        <v>50172889</v>
      </c>
      <c r="X957" s="490"/>
      <c r="Y957" s="969"/>
      <c r="Z957" s="969"/>
      <c r="AA957" s="969"/>
      <c r="AB957" s="969"/>
      <c r="AC957" s="969"/>
      <c r="AD957" s="969"/>
      <c r="AE957" s="969" t="str">
        <f t="shared" si="45"/>
        <v>TheewaterskloofSurplus/(Deficit) attributable to municipality</v>
      </c>
      <c r="AF957" s="969"/>
      <c r="AG957" s="969"/>
    </row>
    <row r="958" spans="2:33" ht="13.2" customHeight="1" x14ac:dyDescent="0.55000000000000004">
      <c r="B958" s="371"/>
      <c r="C958" s="1010" t="s">
        <v>790</v>
      </c>
      <c r="D958" s="361" t="str">
        <f t="shared" si="43"/>
        <v>Water management5400</v>
      </c>
      <c r="E958" s="360" t="str">
        <f t="shared" si="44"/>
        <v>TheewaterskloofWater managementShare of surplus/ (deficit) of associate</v>
      </c>
      <c r="F958" s="360" t="str">
        <f>'PART C- Municipal Details'!$G$7</f>
        <v>Theewaterskloof</v>
      </c>
      <c r="G958" s="360" t="s">
        <v>812</v>
      </c>
      <c r="H958" s="366" t="s">
        <v>814</v>
      </c>
      <c r="I958" s="496" t="s">
        <v>759</v>
      </c>
      <c r="J958" s="497" t="s">
        <v>789</v>
      </c>
      <c r="K958" s="490"/>
      <c r="L958" s="463" t="s">
        <v>791</v>
      </c>
      <c r="M958" s="459"/>
      <c r="N958" s="459"/>
      <c r="O958" s="459"/>
      <c r="P958" s="459"/>
      <c r="Q958" s="459"/>
      <c r="R958" s="459"/>
      <c r="S958" s="459"/>
      <c r="T958" s="459"/>
      <c r="U958" s="530">
        <v>0</v>
      </c>
      <c r="V958" s="530">
        <v>0</v>
      </c>
      <c r="W958" s="530">
        <v>0</v>
      </c>
      <c r="X958" s="490"/>
      <c r="Y958" s="969"/>
      <c r="Z958" s="969"/>
      <c r="AA958" s="969"/>
      <c r="AB958" s="969"/>
      <c r="AC958" s="969"/>
      <c r="AD958" s="969"/>
      <c r="AE958" s="969" t="str">
        <f t="shared" si="45"/>
        <v>TheewaterskloofShare of Surplus/Deficit attributable to Associate</v>
      </c>
      <c r="AF958" s="969"/>
      <c r="AG958" s="969"/>
    </row>
    <row r="959" spans="2:33" ht="13.2" customHeight="1" x14ac:dyDescent="0.55000000000000004">
      <c r="B959" s="371"/>
      <c r="C959" s="1010" t="s">
        <v>792</v>
      </c>
      <c r="D959" s="360" t="str">
        <f t="shared" si="43"/>
        <v>Water management5500</v>
      </c>
      <c r="E959" s="361" t="str">
        <f t="shared" si="44"/>
        <v>TheewaterskloofWater managementIntercompany/Parent subsidiary transactions</v>
      </c>
      <c r="F959" s="360" t="str">
        <f>'PART C- Municipal Details'!$G$7</f>
        <v>Theewaterskloof</v>
      </c>
      <c r="G959" s="361" t="s">
        <v>812</v>
      </c>
      <c r="H959" s="363" t="s">
        <v>814</v>
      </c>
      <c r="I959" s="496" t="s">
        <v>793</v>
      </c>
      <c r="J959" s="497" t="s">
        <v>789</v>
      </c>
      <c r="K959" s="490"/>
      <c r="L959" s="463" t="s">
        <v>793</v>
      </c>
      <c r="M959" s="459"/>
      <c r="N959" s="459"/>
      <c r="O959" s="459"/>
      <c r="P959" s="459"/>
      <c r="Q959" s="459"/>
      <c r="R959" s="459"/>
      <c r="S959" s="459"/>
      <c r="T959" s="459"/>
      <c r="U959" s="530">
        <v>0</v>
      </c>
      <c r="V959" s="530">
        <v>0</v>
      </c>
      <c r="W959" s="530">
        <v>0</v>
      </c>
      <c r="X959" s="490"/>
      <c r="Y959" s="969"/>
      <c r="Z959" s="969"/>
      <c r="AA959" s="969"/>
      <c r="AB959" s="969"/>
      <c r="AC959" s="969"/>
      <c r="AD959" s="969"/>
      <c r="AE959" s="969" t="str">
        <f t="shared" si="45"/>
        <v>TheewaterskloofIntercompany/Parent subsidiary transactions</v>
      </c>
      <c r="AF959" s="969"/>
      <c r="AG959" s="969"/>
    </row>
    <row r="960" spans="2:33" ht="13.2" customHeight="1" x14ac:dyDescent="0.55000000000000004">
      <c r="B960" s="371"/>
      <c r="C960" s="1009" t="s">
        <v>794</v>
      </c>
      <c r="D960" s="361" t="str">
        <f t="shared" si="43"/>
        <v>Water management5600</v>
      </c>
      <c r="E960" s="360" t="str">
        <f t="shared" si="44"/>
        <v>TheewaterskloofWater managementSurplus/(Deficit) for the year</v>
      </c>
      <c r="F960" s="360" t="str">
        <f>'PART C- Municipal Details'!$G$7</f>
        <v>Theewaterskloof</v>
      </c>
      <c r="G960" s="360" t="s">
        <v>812</v>
      </c>
      <c r="H960" s="366" t="s">
        <v>814</v>
      </c>
      <c r="I960" s="496" t="s">
        <v>762</v>
      </c>
      <c r="J960" s="497" t="s">
        <v>789</v>
      </c>
      <c r="K960" s="490"/>
      <c r="L960" s="508" t="s">
        <v>762</v>
      </c>
      <c r="M960" s="509"/>
      <c r="N960" s="510"/>
      <c r="O960" s="510"/>
      <c r="P960" s="510"/>
      <c r="Q960" s="510"/>
      <c r="R960" s="510"/>
      <c r="S960" s="510"/>
      <c r="T960" s="511"/>
      <c r="U960" s="530">
        <v>0</v>
      </c>
      <c r="V960" s="530">
        <v>0</v>
      </c>
      <c r="W960" s="530">
        <v>0</v>
      </c>
      <c r="X960" s="490"/>
      <c r="Y960" s="969"/>
      <c r="Z960" s="969"/>
      <c r="AA960" s="969"/>
      <c r="AB960" s="969"/>
      <c r="AC960" s="969"/>
      <c r="AD960" s="969"/>
      <c r="AE960" s="969" t="str">
        <f t="shared" si="45"/>
        <v>TheewaterskloofSurplus/(Deficit) for the year</v>
      </c>
      <c r="AF960" s="969"/>
      <c r="AG960" s="969"/>
    </row>
    <row r="961" spans="2:33" ht="13.2" customHeight="1" x14ac:dyDescent="0.55000000000000004">
      <c r="B961" s="371"/>
      <c r="C961" s="1011">
        <v>55555</v>
      </c>
      <c r="D961" s="360" t="str">
        <f t="shared" si="43"/>
        <v>Water management55555</v>
      </c>
      <c r="E961" s="361" t="str">
        <f t="shared" si="44"/>
        <v>TheewaterskloofWater managementReferences</v>
      </c>
      <c r="F961" s="360" t="str">
        <f>'PART C- Municipal Details'!$G$7</f>
        <v>Theewaterskloof</v>
      </c>
      <c r="G961" s="361" t="s">
        <v>812</v>
      </c>
      <c r="H961" s="363" t="s">
        <v>814</v>
      </c>
      <c r="I961" s="496" t="s">
        <v>765</v>
      </c>
      <c r="J961" s="497" t="s">
        <v>789</v>
      </c>
      <c r="K961" s="490"/>
      <c r="L961" s="474" t="s">
        <v>765</v>
      </c>
      <c r="M961" s="475"/>
      <c r="N961" s="476"/>
      <c r="O961" s="476"/>
      <c r="P961" s="476"/>
      <c r="Q961" s="476"/>
      <c r="R961" s="476"/>
      <c r="S961" s="476"/>
      <c r="T961" s="477"/>
      <c r="U961" s="530">
        <v>0</v>
      </c>
      <c r="V961" s="530">
        <v>0</v>
      </c>
      <c r="W961" s="530">
        <v>0</v>
      </c>
      <c r="X961" s="490"/>
      <c r="Y961" s="969"/>
      <c r="Z961" s="969"/>
      <c r="AA961" s="969"/>
      <c r="AB961" s="969"/>
      <c r="AC961" s="969"/>
      <c r="AD961" s="969"/>
      <c r="AE961" s="969" t="str">
        <f t="shared" si="45"/>
        <v>TheewaterskloofReferences</v>
      </c>
      <c r="AF961" s="969"/>
      <c r="AG961" s="969"/>
    </row>
    <row r="962" spans="2:33" ht="13.2" customHeight="1" x14ac:dyDescent="0.55000000000000004">
      <c r="B962" s="371"/>
      <c r="C962" s="1011">
        <v>55555</v>
      </c>
      <c r="D962" s="361" t="str">
        <f t="shared" si="43"/>
        <v>Water management55555</v>
      </c>
      <c r="E962" s="360" t="str">
        <f t="shared" si="44"/>
        <v>TheewaterskloofWater management1. Classifications are revenue sources and expenditure type</v>
      </c>
      <c r="F962" s="360" t="str">
        <f>'PART C- Municipal Details'!$G$7</f>
        <v>Theewaterskloof</v>
      </c>
      <c r="G962" s="360" t="s">
        <v>812</v>
      </c>
      <c r="H962" s="366" t="s">
        <v>814</v>
      </c>
      <c r="I962" s="496" t="s">
        <v>767</v>
      </c>
      <c r="J962" s="497" t="s">
        <v>789</v>
      </c>
      <c r="K962" s="490"/>
      <c r="L962" s="465" t="s">
        <v>767</v>
      </c>
      <c r="M962" s="472"/>
      <c r="N962" s="473"/>
      <c r="O962" s="473"/>
      <c r="P962" s="473"/>
      <c r="Q962" s="473"/>
      <c r="R962" s="473"/>
      <c r="S962" s="473"/>
      <c r="T962" s="478"/>
      <c r="U962" s="530">
        <v>0</v>
      </c>
      <c r="V962" s="530">
        <v>0</v>
      </c>
      <c r="W962" s="530">
        <v>0</v>
      </c>
      <c r="X962" s="490"/>
      <c r="Y962" s="969"/>
      <c r="Z962" s="969"/>
      <c r="AA962" s="969"/>
      <c r="AB962" s="969"/>
      <c r="AC962" s="969"/>
      <c r="AD962" s="969"/>
      <c r="AE962" s="969" t="str">
        <f t="shared" si="45"/>
        <v>Theewaterskloof1. Classifications are revenue sources and expenditure type</v>
      </c>
      <c r="AF962" s="969"/>
      <c r="AG962" s="969"/>
    </row>
    <row r="963" spans="2:33" ht="13.2" customHeight="1" x14ac:dyDescent="0.55000000000000004">
      <c r="B963" s="371"/>
      <c r="C963" s="1011">
        <v>55555</v>
      </c>
      <c r="D963" s="360" t="str">
        <f t="shared" si="43"/>
        <v>Water management55555</v>
      </c>
      <c r="E963" s="361" t="str">
        <f t="shared" si="44"/>
        <v>TheewaterskloofWater management2. Detail to be provided in Table SA1</v>
      </c>
      <c r="F963" s="360" t="str">
        <f>'PART C- Municipal Details'!$G$7</f>
        <v>Theewaterskloof</v>
      </c>
      <c r="G963" s="361" t="s">
        <v>812</v>
      </c>
      <c r="H963" s="363" t="s">
        <v>814</v>
      </c>
      <c r="I963" s="496" t="s">
        <v>769</v>
      </c>
      <c r="J963" s="497" t="s">
        <v>789</v>
      </c>
      <c r="K963" s="490"/>
      <c r="L963" s="465" t="s">
        <v>769</v>
      </c>
      <c r="M963" s="472"/>
      <c r="N963" s="473"/>
      <c r="O963" s="473"/>
      <c r="P963" s="473"/>
      <c r="Q963" s="473"/>
      <c r="R963" s="473"/>
      <c r="S963" s="473"/>
      <c r="T963" s="478"/>
      <c r="U963" s="530">
        <v>0</v>
      </c>
      <c r="V963" s="530">
        <v>0</v>
      </c>
      <c r="W963" s="530">
        <v>0</v>
      </c>
      <c r="X963" s="490"/>
      <c r="Y963" s="969"/>
      <c r="Z963" s="969"/>
      <c r="AA963" s="969"/>
      <c r="AB963" s="969"/>
      <c r="AC963" s="969"/>
      <c r="AD963" s="969"/>
      <c r="AE963" s="969" t="str">
        <f t="shared" si="45"/>
        <v>Theewaterskloof2. Detail to be provided in Table SA1</v>
      </c>
      <c r="AF963" s="969"/>
      <c r="AG963" s="969"/>
    </row>
    <row r="964" spans="2:33" ht="13.2" customHeight="1" x14ac:dyDescent="0.55000000000000004">
      <c r="B964" s="371"/>
      <c r="C964" s="1011">
        <v>55555</v>
      </c>
      <c r="D964" s="361" t="str">
        <f t="shared" si="43"/>
        <v>Water management55555</v>
      </c>
      <c r="E964" s="360" t="str">
        <f t="shared" si="44"/>
        <v>TheewaterskloofWater management3. Debt impairment includes Impairment and Reversal of Impairment Losses</v>
      </c>
      <c r="F964" s="360" t="str">
        <f>'PART C- Municipal Details'!$G$7</f>
        <v>Theewaterskloof</v>
      </c>
      <c r="G964" s="360" t="s">
        <v>812</v>
      </c>
      <c r="H964" s="366" t="s">
        <v>814</v>
      </c>
      <c r="I964" s="496" t="s">
        <v>795</v>
      </c>
      <c r="J964" s="497" t="s">
        <v>789</v>
      </c>
      <c r="K964" s="490"/>
      <c r="L964" s="465" t="s">
        <v>795</v>
      </c>
      <c r="M964" s="472"/>
      <c r="N964" s="473"/>
      <c r="O964" s="473"/>
      <c r="P964" s="473"/>
      <c r="Q964" s="473"/>
      <c r="R964" s="473"/>
      <c r="S964" s="473"/>
      <c r="T964" s="478"/>
      <c r="U964" s="530">
        <v>0</v>
      </c>
      <c r="V964" s="530">
        <v>0</v>
      </c>
      <c r="W964" s="530">
        <v>0</v>
      </c>
      <c r="X964" s="490"/>
      <c r="Y964" s="969"/>
      <c r="Z964" s="969"/>
      <c r="AA964" s="969"/>
      <c r="AB964" s="969"/>
      <c r="AC964" s="969"/>
      <c r="AD964" s="969"/>
      <c r="AE964" s="969" t="str">
        <f t="shared" si="45"/>
        <v>Theewaterskloof3. Debt impairment includes Impairment and Reversal of Impairment Losses</v>
      </c>
      <c r="AF964" s="969"/>
      <c r="AG964" s="969"/>
    </row>
    <row r="965" spans="2:33" ht="13.2" customHeight="1" x14ac:dyDescent="0.55000000000000004">
      <c r="B965" s="371"/>
      <c r="C965" s="1011">
        <v>55555</v>
      </c>
      <c r="D965" s="360" t="str">
        <f t="shared" si="43"/>
        <v>Water management55555</v>
      </c>
      <c r="E965" s="361" t="str">
        <f t="shared" si="44"/>
        <v>TheewaterskloofWater management4. Expenditure type components previously shown under repairs and maintenance should be allocated back to the originating expenditure group/item; e.g. employee costs</v>
      </c>
      <c r="F965" s="360" t="str">
        <f>'PART C- Municipal Details'!$G$7</f>
        <v>Theewaterskloof</v>
      </c>
      <c r="G965" s="361" t="s">
        <v>812</v>
      </c>
      <c r="H965" s="363" t="s">
        <v>814</v>
      </c>
      <c r="I965" s="496" t="s">
        <v>775</v>
      </c>
      <c r="J965" s="497" t="s">
        <v>789</v>
      </c>
      <c r="K965" s="490"/>
      <c r="L965" s="465" t="s">
        <v>775</v>
      </c>
      <c r="M965" s="472"/>
      <c r="N965" s="473"/>
      <c r="O965" s="473"/>
      <c r="P965" s="473"/>
      <c r="Q965" s="473"/>
      <c r="R965" s="473"/>
      <c r="S965" s="473"/>
      <c r="T965" s="478"/>
      <c r="U965" s="530">
        <v>0</v>
      </c>
      <c r="V965" s="530">
        <v>0</v>
      </c>
      <c r="W965" s="530">
        <v>0</v>
      </c>
      <c r="X965" s="490"/>
      <c r="Y965" s="969"/>
      <c r="Z965" s="969"/>
      <c r="AA965" s="969"/>
      <c r="AB965" s="969"/>
      <c r="AC965" s="969"/>
      <c r="AD965" s="969"/>
      <c r="AE965" s="969" t="str">
        <f t="shared" si="45"/>
        <v>Theewaterskloof4. Expenditure type components previously shown under repairs and maintenance should be allocated back to the originating expenditure group/item; e.g. employee costs</v>
      </c>
      <c r="AF965" s="969"/>
      <c r="AG965" s="969"/>
    </row>
    <row r="966" spans="2:33" ht="13.2" customHeight="1" x14ac:dyDescent="0.55000000000000004">
      <c r="B966" s="371"/>
      <c r="C966" s="1011">
        <v>55555</v>
      </c>
      <c r="D966" s="361" t="str">
        <f t="shared" si="43"/>
        <v>Water management55555</v>
      </c>
      <c r="E966" s="360" t="str">
        <f t="shared" si="44"/>
        <v>TheewaterskloofWater management5. Repairs &amp; maintenance detailed in Table A9 and Table SA34c</v>
      </c>
      <c r="F966" s="360" t="str">
        <f>'PART C- Municipal Details'!$G$7</f>
        <v>Theewaterskloof</v>
      </c>
      <c r="G966" s="360" t="s">
        <v>812</v>
      </c>
      <c r="H966" s="366" t="s">
        <v>814</v>
      </c>
      <c r="I966" s="496" t="s">
        <v>777</v>
      </c>
      <c r="J966" s="497" t="s">
        <v>789</v>
      </c>
      <c r="K966" s="490"/>
      <c r="L966" s="465" t="s">
        <v>777</v>
      </c>
      <c r="M966" s="472"/>
      <c r="N966" s="473"/>
      <c r="O966" s="473"/>
      <c r="P966" s="473"/>
      <c r="Q966" s="473"/>
      <c r="R966" s="473"/>
      <c r="S966" s="473"/>
      <c r="T966" s="478"/>
      <c r="U966" s="530">
        <v>0</v>
      </c>
      <c r="V966" s="530">
        <v>0</v>
      </c>
      <c r="W966" s="530">
        <v>0</v>
      </c>
      <c r="X966" s="490"/>
      <c r="Y966" s="969"/>
      <c r="Z966" s="969"/>
      <c r="AA966" s="969"/>
      <c r="AB966" s="969"/>
      <c r="AC966" s="969"/>
      <c r="AD966" s="969"/>
      <c r="AE966" s="969" t="str">
        <f t="shared" si="45"/>
        <v>Theewaterskloof5. Repairs &amp; maintenance detailed in Table A9 and Table SA34c</v>
      </c>
      <c r="AF966" s="969"/>
      <c r="AG966" s="969"/>
    </row>
    <row r="967" spans="2:33" ht="13.2" customHeight="1" x14ac:dyDescent="0.55000000000000004">
      <c r="B967" s="371"/>
      <c r="C967" s="1011">
        <v>55555</v>
      </c>
      <c r="D967" s="360" t="str">
        <f t="shared" si="43"/>
        <v>Water management55555</v>
      </c>
      <c r="E967" s="361" t="str">
        <f t="shared" si="44"/>
        <v>TheewaterskloofWater management6. Contributions are funds provided by external organisations to assist with infrastructure development; e.g. developer contributions (detail to be provided in Table SA1)</v>
      </c>
      <c r="F967" s="360" t="str">
        <f>'PART C- Municipal Details'!$G$7</f>
        <v>Theewaterskloof</v>
      </c>
      <c r="G967" s="361" t="s">
        <v>812</v>
      </c>
      <c r="H967" s="363" t="s">
        <v>814</v>
      </c>
      <c r="I967" s="496" t="s">
        <v>780</v>
      </c>
      <c r="J967" s="497" t="s">
        <v>789</v>
      </c>
      <c r="K967" s="490"/>
      <c r="L967" s="465" t="s">
        <v>780</v>
      </c>
      <c r="M967" s="472"/>
      <c r="N967" s="473"/>
      <c r="O967" s="473"/>
      <c r="P967" s="473"/>
      <c r="Q967" s="473"/>
      <c r="R967" s="473"/>
      <c r="S967" s="473"/>
      <c r="T967" s="478"/>
      <c r="U967" s="530">
        <v>0</v>
      </c>
      <c r="V967" s="530">
        <v>0</v>
      </c>
      <c r="W967" s="530">
        <v>0</v>
      </c>
      <c r="X967" s="490"/>
      <c r="Y967" s="969"/>
      <c r="Z967" s="969"/>
      <c r="AA967" s="969"/>
      <c r="AB967" s="969"/>
      <c r="AC967" s="969"/>
      <c r="AD967" s="969"/>
      <c r="AE967" s="969" t="str">
        <f t="shared" si="45"/>
        <v>Theewaterskloof6. Contributions are funds provided by external organisations to assist with infrastructure development; e.g. developer contributions (detail to be provided in Table SA1)</v>
      </c>
      <c r="AF967" s="969"/>
      <c r="AG967" s="969"/>
    </row>
    <row r="968" spans="2:33" ht="13.2" customHeight="1" x14ac:dyDescent="0.55000000000000004">
      <c r="B968" s="371"/>
      <c r="C968" s="1011">
        <v>55555</v>
      </c>
      <c r="D968" s="361" t="str">
        <f t="shared" si="43"/>
        <v>Water management55555</v>
      </c>
      <c r="E968" s="360" t="str">
        <f t="shared" si="44"/>
        <v>TheewaterskloofWater management7. Equity method ( Includes Joint Ventures)</v>
      </c>
      <c r="F968" s="360" t="str">
        <f>'PART C- Municipal Details'!$G$7</f>
        <v>Theewaterskloof</v>
      </c>
      <c r="G968" s="360" t="s">
        <v>812</v>
      </c>
      <c r="H968" s="366" t="s">
        <v>814</v>
      </c>
      <c r="I968" s="496" t="s">
        <v>796</v>
      </c>
      <c r="J968" s="497" t="s">
        <v>789</v>
      </c>
      <c r="K968" s="490"/>
      <c r="L968" s="479" t="s">
        <v>796</v>
      </c>
      <c r="M968" s="480"/>
      <c r="N968" s="481"/>
      <c r="O968" s="481"/>
      <c r="P968" s="481"/>
      <c r="Q968" s="481"/>
      <c r="R968" s="481"/>
      <c r="S968" s="481"/>
      <c r="T968" s="482"/>
      <c r="U968" s="530">
        <v>0</v>
      </c>
      <c r="V968" s="530">
        <v>0</v>
      </c>
      <c r="W968" s="530">
        <v>0</v>
      </c>
      <c r="X968" s="490"/>
      <c r="Y968" s="969"/>
      <c r="Z968" s="969"/>
      <c r="AA968" s="969"/>
      <c r="AB968" s="969"/>
      <c r="AC968" s="969"/>
      <c r="AD968" s="969"/>
      <c r="AE968" s="969" t="str">
        <f t="shared" si="45"/>
        <v>Theewaterskloof7. Equity method ( Includes Joint Ventures)</v>
      </c>
      <c r="AF968" s="969"/>
      <c r="AG968" s="969"/>
    </row>
    <row r="969" spans="2:33" ht="13.2" customHeight="1" x14ac:dyDescent="0.55000000000000004">
      <c r="B969" s="371"/>
      <c r="C969" s="1011">
        <v>55555</v>
      </c>
      <c r="D969" s="360" t="str">
        <f t="shared" si="43"/>
        <v>Water management55555</v>
      </c>
      <c r="E969" s="361" t="str">
        <f t="shared" si="44"/>
        <v>TheewaterskloofWater management8. All materials consumed including water consumed and materials used in operations.</v>
      </c>
      <c r="F969" s="360" t="str">
        <f>'PART C- Municipal Details'!$G$7</f>
        <v>Theewaterskloof</v>
      </c>
      <c r="G969" s="361" t="s">
        <v>812</v>
      </c>
      <c r="H969" s="363" t="s">
        <v>814</v>
      </c>
      <c r="I969" s="496" t="s">
        <v>797</v>
      </c>
      <c r="J969" s="497" t="s">
        <v>789</v>
      </c>
      <c r="K969" s="490"/>
      <c r="L969" s="501" t="s">
        <v>797</v>
      </c>
      <c r="M969" s="502"/>
      <c r="N969" s="503"/>
      <c r="O969" s="503"/>
      <c r="P969" s="503"/>
      <c r="Q969" s="503"/>
      <c r="R969" s="503"/>
      <c r="S969" s="503"/>
      <c r="T969" s="503"/>
      <c r="U969" s="504"/>
      <c r="V969" s="504"/>
      <c r="W969" s="504"/>
      <c r="X969" s="490"/>
      <c r="Y969" s="969"/>
      <c r="Z969" s="969"/>
      <c r="AA969" s="969"/>
      <c r="AB969" s="969"/>
      <c r="AC969" s="969"/>
      <c r="AD969" s="969"/>
      <c r="AE969" s="969" t="str">
        <f t="shared" si="45"/>
        <v>Theewaterskloof8. All materials consumed including water consumed and materials used in operations.</v>
      </c>
      <c r="AF969" s="969"/>
      <c r="AG969" s="969"/>
    </row>
    <row r="970" spans="2:33" ht="13.2" customHeight="1" x14ac:dyDescent="0.55000000000000004">
      <c r="B970" s="371"/>
      <c r="C970" s="1011">
        <v>55555</v>
      </c>
      <c r="D970" s="361" t="str">
        <f t="shared" si="43"/>
        <v>55555</v>
      </c>
      <c r="E970" s="360" t="str">
        <f t="shared" si="44"/>
        <v>Theewaterskloof</v>
      </c>
      <c r="F970" s="360" t="str">
        <f>'PART C- Municipal Details'!$G$7</f>
        <v>Theewaterskloof</v>
      </c>
      <c r="G970" s="360" t="s">
        <v>812</v>
      </c>
      <c r="H970" s="366"/>
      <c r="I970" s="496"/>
      <c r="J970" s="497"/>
      <c r="K970" s="490"/>
      <c r="L970" s="367"/>
      <c r="M970" s="368"/>
      <c r="N970" s="369"/>
      <c r="O970" s="369"/>
      <c r="P970" s="369"/>
      <c r="Q970" s="369"/>
      <c r="R970" s="369"/>
      <c r="S970" s="369"/>
      <c r="T970" s="369"/>
      <c r="U970" s="368"/>
      <c r="V970" s="368"/>
      <c r="W970" s="368"/>
      <c r="X970" s="490"/>
      <c r="Y970" s="969"/>
      <c r="Z970" s="969"/>
      <c r="AA970" s="969"/>
      <c r="AB970" s="969"/>
      <c r="AC970" s="969"/>
      <c r="AD970" s="969"/>
      <c r="AE970" s="969" t="str">
        <f t="shared" si="45"/>
        <v>Theewaterskloof</v>
      </c>
      <c r="AF970" s="969"/>
      <c r="AG970" s="969"/>
    </row>
    <row r="971" spans="2:33" ht="13.2" customHeight="1" x14ac:dyDescent="0.55000000000000004">
      <c r="B971" s="371"/>
      <c r="C971" s="1010">
        <v>55555</v>
      </c>
      <c r="D971" s="360" t="str">
        <f t="shared" si="43"/>
        <v>Waste water management55555</v>
      </c>
      <c r="E971" s="360" t="str">
        <f t="shared" si="44"/>
        <v>TheewaterskloofWaste water managementzz</v>
      </c>
      <c r="F971" s="360" t="str">
        <f>'PART C- Municipal Details'!$G$7</f>
        <v>Theewaterskloof</v>
      </c>
      <c r="G971" s="360" t="s">
        <v>812</v>
      </c>
      <c r="H971" s="366" t="s">
        <v>815</v>
      </c>
      <c r="I971" s="496" t="s">
        <v>801</v>
      </c>
      <c r="J971" s="497" t="s">
        <v>651</v>
      </c>
      <c r="K971" s="490"/>
      <c r="L971" s="462" t="s">
        <v>651</v>
      </c>
      <c r="M971" s="362" t="s">
        <v>652</v>
      </c>
      <c r="N971" s="466" t="s">
        <v>653</v>
      </c>
      <c r="O971" s="466" t="s">
        <v>654</v>
      </c>
      <c r="P971" s="467" t="s">
        <v>655</v>
      </c>
      <c r="Q971" s="483" t="s">
        <v>656</v>
      </c>
      <c r="R971" s="468"/>
      <c r="S971" s="468"/>
      <c r="T971" s="467"/>
      <c r="U971" s="527" t="s">
        <v>657</v>
      </c>
      <c r="V971" s="527" t="s">
        <v>657</v>
      </c>
      <c r="W971" s="527" t="s">
        <v>657</v>
      </c>
      <c r="X971" s="490"/>
      <c r="Y971" s="969"/>
      <c r="Z971" s="969"/>
      <c r="AA971" s="969"/>
      <c r="AB971" s="969"/>
      <c r="AC971" s="969"/>
      <c r="AD971" s="969"/>
      <c r="AE971" s="969" t="str">
        <f t="shared" si="45"/>
        <v>TheewaterskloofDescription</v>
      </c>
      <c r="AF971" s="969"/>
      <c r="AG971" s="969"/>
    </row>
    <row r="972" spans="2:33" ht="13.2" customHeight="1" thickBot="1" x14ac:dyDescent="0.6">
      <c r="B972" s="371"/>
      <c r="C972" s="1011"/>
      <c r="D972" s="361" t="str">
        <f t="shared" si="43"/>
        <v>Waste water management</v>
      </c>
      <c r="E972" s="361" t="str">
        <f t="shared" si="44"/>
        <v>TheewaterskloofWaste water managementz</v>
      </c>
      <c r="F972" s="360" t="str">
        <f>'PART C- Municipal Details'!$G$7</f>
        <v>Theewaterskloof</v>
      </c>
      <c r="G972" s="361" t="s">
        <v>812</v>
      </c>
      <c r="H972" s="363" t="s">
        <v>815</v>
      </c>
      <c r="I972" s="496" t="s">
        <v>802</v>
      </c>
      <c r="J972" s="497" t="s">
        <v>650</v>
      </c>
      <c r="K972" s="490"/>
      <c r="L972" s="365" t="s">
        <v>659</v>
      </c>
      <c r="M972" s="364" t="s">
        <v>660</v>
      </c>
      <c r="N972" s="469" t="s">
        <v>661</v>
      </c>
      <c r="O972" s="469" t="s">
        <v>661</v>
      </c>
      <c r="P972" s="470" t="s">
        <v>661</v>
      </c>
      <c r="Q972" s="471" t="s">
        <v>662</v>
      </c>
      <c r="R972" s="469" t="s">
        <v>663</v>
      </c>
      <c r="S972" s="469" t="s">
        <v>664</v>
      </c>
      <c r="T972" s="470" t="s">
        <v>665</v>
      </c>
      <c r="U972" s="528" t="s">
        <v>666</v>
      </c>
      <c r="V972" s="528" t="s">
        <v>666</v>
      </c>
      <c r="W972" s="528" t="s">
        <v>666</v>
      </c>
      <c r="X972" s="490"/>
      <c r="Y972" s="969"/>
      <c r="Z972" s="969"/>
      <c r="AA972" s="969"/>
      <c r="AB972" s="969"/>
      <c r="AC972" s="969"/>
      <c r="AD972" s="969"/>
      <c r="AE972" s="969" t="str">
        <f t="shared" si="45"/>
        <v>TheewaterskloofR thousands</v>
      </c>
      <c r="AF972" s="969"/>
      <c r="AG972" s="969"/>
    </row>
    <row r="973" spans="2:33" ht="13.2" customHeight="1" x14ac:dyDescent="0.55000000000000004">
      <c r="B973" s="371"/>
      <c r="C973" s="1008" t="s">
        <v>667</v>
      </c>
      <c r="D973" s="360" t="str">
        <f t="shared" si="43"/>
        <v>Waste water management0100</v>
      </c>
      <c r="E973" s="360" t="str">
        <f t="shared" si="44"/>
        <v>TheewaterskloofWaste water managementz</v>
      </c>
      <c r="F973" s="360" t="str">
        <f>'PART C- Municipal Details'!$G$7</f>
        <v>Theewaterskloof</v>
      </c>
      <c r="G973" s="360" t="s">
        <v>812</v>
      </c>
      <c r="H973" s="366" t="s">
        <v>815</v>
      </c>
      <c r="I973" s="496" t="s">
        <v>802</v>
      </c>
      <c r="J973" s="497" t="s">
        <v>658</v>
      </c>
      <c r="K973" s="490"/>
      <c r="L973" s="505" t="s">
        <v>162</v>
      </c>
      <c r="M973" s="506"/>
      <c r="N973" s="507"/>
      <c r="O973" s="507"/>
      <c r="P973" s="507"/>
      <c r="Q973" s="507"/>
      <c r="R973" s="507"/>
      <c r="S973" s="507"/>
      <c r="T973" s="507"/>
      <c r="U973" s="529">
        <v>0</v>
      </c>
      <c r="V973" s="529">
        <v>0</v>
      </c>
      <c r="W973" s="529">
        <v>0</v>
      </c>
      <c r="X973" s="490"/>
      <c r="Y973" s="969"/>
      <c r="Z973" s="969"/>
      <c r="AA973" s="969"/>
      <c r="AB973" s="969"/>
      <c r="AC973" s="969"/>
      <c r="AD973" s="969"/>
      <c r="AE973" s="969" t="str">
        <f t="shared" si="45"/>
        <v>TheewaterskloofRevenue</v>
      </c>
      <c r="AF973" s="969"/>
      <c r="AG973" s="969"/>
    </row>
    <row r="974" spans="2:33" ht="13.2" customHeight="1" x14ac:dyDescent="0.55000000000000004">
      <c r="B974" s="371"/>
      <c r="C974" s="1009" t="s">
        <v>668</v>
      </c>
      <c r="D974" s="361" t="str">
        <f t="shared" si="43"/>
        <v>Waste water management0200</v>
      </c>
      <c r="E974" s="361" t="str">
        <f t="shared" si="44"/>
        <v>TheewaterskloofWaste water managementz</v>
      </c>
      <c r="F974" s="360" t="str">
        <f>'PART C- Municipal Details'!$G$7</f>
        <v>Theewaterskloof</v>
      </c>
      <c r="G974" s="361" t="s">
        <v>812</v>
      </c>
      <c r="H974" s="363" t="s">
        <v>815</v>
      </c>
      <c r="I974" s="496" t="s">
        <v>802</v>
      </c>
      <c r="J974" s="497" t="s">
        <v>0</v>
      </c>
      <c r="K974" s="490"/>
      <c r="L974" s="463" t="s">
        <v>670</v>
      </c>
      <c r="M974" s="459"/>
      <c r="N974" s="460"/>
      <c r="O974" s="460"/>
      <c r="P974" s="460"/>
      <c r="Q974" s="460"/>
      <c r="R974" s="460"/>
      <c r="S974" s="460"/>
      <c r="T974" s="460"/>
      <c r="U974" s="530">
        <v>0</v>
      </c>
      <c r="V974" s="530">
        <v>0</v>
      </c>
      <c r="W974" s="530">
        <v>0</v>
      </c>
      <c r="X974" s="490"/>
      <c r="Y974" s="969"/>
      <c r="Z974" s="969"/>
      <c r="AA974" s="969"/>
      <c r="AB974" s="969"/>
      <c r="AC974" s="969"/>
      <c r="AD974" s="969"/>
      <c r="AE974" s="969" t="str">
        <f t="shared" si="45"/>
        <v>TheewaterskloofExchange Revenue</v>
      </c>
      <c r="AF974" s="969"/>
      <c r="AG974" s="969"/>
    </row>
    <row r="975" spans="2:33" ht="13.2" customHeight="1" x14ac:dyDescent="0.55000000000000004">
      <c r="B975" s="371"/>
      <c r="C975" s="1010" t="s">
        <v>671</v>
      </c>
      <c r="D975" s="360" t="str">
        <f t="shared" si="43"/>
        <v>Waste water management0300</v>
      </c>
      <c r="E975" s="360" t="str">
        <f t="shared" si="44"/>
        <v>TheewaterskloofWaste water managementService charges - electricity revenue</v>
      </c>
      <c r="F975" s="360" t="str">
        <f>'PART C- Municipal Details'!$G$7</f>
        <v>Theewaterskloof</v>
      </c>
      <c r="G975" s="360" t="s">
        <v>812</v>
      </c>
      <c r="H975" s="366" t="s">
        <v>815</v>
      </c>
      <c r="I975" s="496" t="s">
        <v>669</v>
      </c>
      <c r="J975" s="497" t="s">
        <v>669</v>
      </c>
      <c r="K975" s="490"/>
      <c r="L975" s="463" t="s">
        <v>673</v>
      </c>
      <c r="M975" s="459"/>
      <c r="N975" s="461"/>
      <c r="O975" s="461"/>
      <c r="P975" s="461"/>
      <c r="Q975" s="461"/>
      <c r="R975" s="461"/>
      <c r="S975" s="461"/>
      <c r="T975" s="461"/>
      <c r="U975" s="530">
        <v>0</v>
      </c>
      <c r="V975" s="530">
        <v>0</v>
      </c>
      <c r="W975" s="530">
        <v>0</v>
      </c>
      <c r="X975" s="490"/>
      <c r="Y975" s="969"/>
      <c r="Z975" s="969"/>
      <c r="AA975" s="969"/>
      <c r="AB975" s="969"/>
      <c r="AC975" s="969"/>
      <c r="AD975" s="969"/>
      <c r="AE975" s="969" t="str">
        <f t="shared" si="45"/>
        <v>TheewaterskloofService charges - Electricity</v>
      </c>
      <c r="AF975" s="969"/>
      <c r="AG975" s="969"/>
    </row>
    <row r="976" spans="2:33" ht="13.2" customHeight="1" x14ac:dyDescent="0.55000000000000004">
      <c r="B976" s="371"/>
      <c r="C976" s="1010" t="s">
        <v>674</v>
      </c>
      <c r="D976" s="361" t="str">
        <f t="shared" si="43"/>
        <v>Waste water management0400</v>
      </c>
      <c r="E976" s="361" t="str">
        <f t="shared" si="44"/>
        <v>TheewaterskloofWaste water managementService charges - water revenue</v>
      </c>
      <c r="F976" s="360" t="str">
        <f>'PART C- Municipal Details'!$G$7</f>
        <v>Theewaterskloof</v>
      </c>
      <c r="G976" s="361" t="s">
        <v>812</v>
      </c>
      <c r="H976" s="363" t="s">
        <v>815</v>
      </c>
      <c r="I976" s="496" t="s">
        <v>672</v>
      </c>
      <c r="J976" s="497" t="s">
        <v>672</v>
      </c>
      <c r="K976" s="490"/>
      <c r="L976" s="463" t="s">
        <v>676</v>
      </c>
      <c r="M976" s="459"/>
      <c r="N976" s="461"/>
      <c r="O976" s="461"/>
      <c r="P976" s="461"/>
      <c r="Q976" s="461"/>
      <c r="R976" s="461"/>
      <c r="S976" s="461"/>
      <c r="T976" s="461"/>
      <c r="U976" s="530">
        <v>0</v>
      </c>
      <c r="V976" s="530">
        <v>0</v>
      </c>
      <c r="W976" s="530">
        <v>0</v>
      </c>
      <c r="X976" s="490"/>
      <c r="Y976" s="969"/>
      <c r="Z976" s="969"/>
      <c r="AA976" s="969"/>
      <c r="AB976" s="969"/>
      <c r="AC976" s="969"/>
      <c r="AD976" s="969"/>
      <c r="AE976" s="969" t="str">
        <f t="shared" si="45"/>
        <v>TheewaterskloofService charges - Water</v>
      </c>
      <c r="AF976" s="969"/>
      <c r="AG976" s="969"/>
    </row>
    <row r="977" spans="2:33" ht="13.2" customHeight="1" x14ac:dyDescent="0.55000000000000004">
      <c r="B977" s="371"/>
      <c r="C977" s="1010" t="s">
        <v>677</v>
      </c>
      <c r="D977" s="360" t="str">
        <f t="shared" si="43"/>
        <v>Waste water management0500</v>
      </c>
      <c r="E977" s="360" t="str">
        <f t="shared" si="44"/>
        <v>TheewaterskloofWaste water managementService charges - sanitation revenue</v>
      </c>
      <c r="F977" s="360" t="str">
        <f>'PART C- Municipal Details'!$G$7</f>
        <v>Theewaterskloof</v>
      </c>
      <c r="G977" s="360" t="s">
        <v>812</v>
      </c>
      <c r="H977" s="366" t="s">
        <v>815</v>
      </c>
      <c r="I977" s="496" t="s">
        <v>675</v>
      </c>
      <c r="J977" s="497" t="s">
        <v>675</v>
      </c>
      <c r="K977" s="490"/>
      <c r="L977" s="463" t="s">
        <v>679</v>
      </c>
      <c r="M977" s="459"/>
      <c r="N977" s="461"/>
      <c r="O977" s="461"/>
      <c r="P977" s="461"/>
      <c r="Q977" s="461"/>
      <c r="R977" s="461"/>
      <c r="S977" s="461"/>
      <c r="T977" s="461"/>
      <c r="U977" s="530">
        <v>52237460</v>
      </c>
      <c r="V977" s="530">
        <v>54013533</v>
      </c>
      <c r="W977" s="530">
        <v>55741966</v>
      </c>
      <c r="X977" s="490"/>
      <c r="Y977" s="969"/>
      <c r="Z977" s="969"/>
      <c r="AA977" s="969"/>
      <c r="AB977" s="969"/>
      <c r="AC977" s="969"/>
      <c r="AD977" s="969"/>
      <c r="AE977" s="969" t="str">
        <f t="shared" si="45"/>
        <v>TheewaterskloofService charges - Waste Water Management</v>
      </c>
      <c r="AF977" s="969"/>
      <c r="AG977" s="969"/>
    </row>
    <row r="978" spans="2:33" ht="13.2" customHeight="1" x14ac:dyDescent="0.55000000000000004">
      <c r="B978" s="371"/>
      <c r="C978" s="1010" t="s">
        <v>680</v>
      </c>
      <c r="D978" s="361" t="str">
        <f t="shared" si="43"/>
        <v>Waste water management0600</v>
      </c>
      <c r="E978" s="361" t="str">
        <f t="shared" si="44"/>
        <v>TheewaterskloofWaste water managementService charges - refuse revenue</v>
      </c>
      <c r="F978" s="360" t="str">
        <f>'PART C- Municipal Details'!$G$7</f>
        <v>Theewaterskloof</v>
      </c>
      <c r="G978" s="361" t="s">
        <v>812</v>
      </c>
      <c r="H978" s="363" t="s">
        <v>815</v>
      </c>
      <c r="I978" s="496" t="s">
        <v>678</v>
      </c>
      <c r="J978" s="497" t="s">
        <v>678</v>
      </c>
      <c r="K978" s="490"/>
      <c r="L978" s="463" t="s">
        <v>682</v>
      </c>
      <c r="M978" s="459"/>
      <c r="N978" s="461"/>
      <c r="O978" s="461"/>
      <c r="P978" s="461"/>
      <c r="Q978" s="461"/>
      <c r="R978" s="461"/>
      <c r="S978" s="461"/>
      <c r="T978" s="461"/>
      <c r="U978" s="530">
        <v>0</v>
      </c>
      <c r="V978" s="530">
        <v>0</v>
      </c>
      <c r="W978" s="530">
        <v>0</v>
      </c>
      <c r="X978" s="490"/>
      <c r="Y978" s="969"/>
      <c r="Z978" s="969"/>
      <c r="AA978" s="969"/>
      <c r="AB978" s="969"/>
      <c r="AC978" s="969"/>
      <c r="AD978" s="969"/>
      <c r="AE978" s="969" t="str">
        <f t="shared" si="45"/>
        <v>TheewaterskloofService charges - Waste Management</v>
      </c>
      <c r="AF978" s="969"/>
      <c r="AG978" s="969"/>
    </row>
    <row r="979" spans="2:33" ht="13.2" customHeight="1" x14ac:dyDescent="0.55000000000000004">
      <c r="B979" s="371"/>
      <c r="C979" s="1010" t="s">
        <v>683</v>
      </c>
      <c r="D979" s="360" t="str">
        <f t="shared" si="43"/>
        <v>Waste water management0700</v>
      </c>
      <c r="E979" s="360" t="str">
        <f t="shared" si="44"/>
        <v>TheewaterskloofWaste water managementOther revenue</v>
      </c>
      <c r="F979" s="360" t="str">
        <f>'PART C- Municipal Details'!$G$7</f>
        <v>Theewaterskloof</v>
      </c>
      <c r="G979" s="360" t="s">
        <v>812</v>
      </c>
      <c r="H979" s="366" t="s">
        <v>815</v>
      </c>
      <c r="I979" s="496" t="s">
        <v>7</v>
      </c>
      <c r="J979" s="497" t="s">
        <v>681</v>
      </c>
      <c r="K979" s="490"/>
      <c r="L979" s="463" t="s">
        <v>684</v>
      </c>
      <c r="M979" s="459"/>
      <c r="N979" s="461"/>
      <c r="O979" s="461"/>
      <c r="P979" s="461"/>
      <c r="Q979" s="461"/>
      <c r="R979" s="461"/>
      <c r="S979" s="461"/>
      <c r="T979" s="461"/>
      <c r="U979" s="530">
        <v>0</v>
      </c>
      <c r="V979" s="530">
        <v>0</v>
      </c>
      <c r="W979" s="530">
        <v>0</v>
      </c>
      <c r="X979" s="490"/>
      <c r="Y979" s="969"/>
      <c r="Z979" s="969"/>
      <c r="AA979" s="969"/>
      <c r="AB979" s="969"/>
      <c r="AC979" s="969"/>
      <c r="AD979" s="969"/>
      <c r="AE979" s="969" t="str">
        <f t="shared" si="45"/>
        <v>TheewaterskloofSale of Goods and Rendering of Services</v>
      </c>
      <c r="AF979" s="969"/>
      <c r="AG979" s="969"/>
    </row>
    <row r="980" spans="2:33" ht="13.2" customHeight="1" x14ac:dyDescent="0.55000000000000004">
      <c r="B980" s="371"/>
      <c r="C980" s="1010" t="s">
        <v>685</v>
      </c>
      <c r="D980" s="361" t="str">
        <f t="shared" si="43"/>
        <v>Waste water management0800</v>
      </c>
      <c r="E980" s="361" t="str">
        <f t="shared" si="44"/>
        <v>TheewaterskloofWaste water managementAgency services</v>
      </c>
      <c r="F980" s="360" t="str">
        <f>'PART C- Municipal Details'!$G$7</f>
        <v>Theewaterskloof</v>
      </c>
      <c r="G980" s="361" t="s">
        <v>812</v>
      </c>
      <c r="H980" s="363" t="s">
        <v>815</v>
      </c>
      <c r="I980" s="496" t="s">
        <v>6</v>
      </c>
      <c r="J980" s="497" t="s">
        <v>1</v>
      </c>
      <c r="K980" s="490"/>
      <c r="L980" s="463" t="s">
        <v>6</v>
      </c>
      <c r="M980" s="459"/>
      <c r="N980" s="461"/>
      <c r="O980" s="461"/>
      <c r="P980" s="461"/>
      <c r="Q980" s="461"/>
      <c r="R980" s="461"/>
      <c r="S980" s="461"/>
      <c r="T980" s="461"/>
      <c r="U980" s="530">
        <v>0</v>
      </c>
      <c r="V980" s="530">
        <v>0</v>
      </c>
      <c r="W980" s="530">
        <v>0</v>
      </c>
      <c r="X980" s="490"/>
      <c r="Y980" s="969"/>
      <c r="Z980" s="969"/>
      <c r="AA980" s="969"/>
      <c r="AB980" s="969"/>
      <c r="AC980" s="969"/>
      <c r="AD980" s="969"/>
      <c r="AE980" s="969" t="str">
        <f t="shared" si="45"/>
        <v>TheewaterskloofAgency services</v>
      </c>
      <c r="AF980" s="969"/>
      <c r="AG980" s="969"/>
    </row>
    <row r="981" spans="2:33" ht="13.2" customHeight="1" x14ac:dyDescent="0.55000000000000004">
      <c r="B981" s="371"/>
      <c r="C981" s="1010" t="s">
        <v>686</v>
      </c>
      <c r="D981" s="360" t="str">
        <f t="shared" si="43"/>
        <v>Waste water management0900</v>
      </c>
      <c r="E981" s="360" t="str">
        <f t="shared" si="44"/>
        <v>TheewaterskloofWaste water managementInterest earned - external investments</v>
      </c>
      <c r="F981" s="360" t="str">
        <f>'PART C- Municipal Details'!$G$7</f>
        <v>Theewaterskloof</v>
      </c>
      <c r="G981" s="360" t="s">
        <v>812</v>
      </c>
      <c r="H981" s="366" t="s">
        <v>815</v>
      </c>
      <c r="I981" s="496" t="s">
        <v>2</v>
      </c>
      <c r="J981" s="497" t="s">
        <v>2</v>
      </c>
      <c r="K981" s="490"/>
      <c r="L981" s="463" t="s">
        <v>687</v>
      </c>
      <c r="M981" s="459"/>
      <c r="N981" s="461"/>
      <c r="O981" s="461"/>
      <c r="P981" s="461"/>
      <c r="Q981" s="461"/>
      <c r="R981" s="461"/>
      <c r="S981" s="461"/>
      <c r="T981" s="461"/>
      <c r="U981" s="530">
        <v>0</v>
      </c>
      <c r="V981" s="530">
        <v>0</v>
      </c>
      <c r="W981" s="530">
        <v>0</v>
      </c>
      <c r="X981" s="490"/>
      <c r="Y981" s="969"/>
      <c r="Z981" s="969"/>
      <c r="AA981" s="969"/>
      <c r="AB981" s="969"/>
      <c r="AC981" s="969"/>
      <c r="AD981" s="969"/>
      <c r="AE981" s="969" t="str">
        <f t="shared" si="45"/>
        <v>TheewaterskloofInterest</v>
      </c>
      <c r="AF981" s="969"/>
      <c r="AG981" s="969"/>
    </row>
    <row r="982" spans="2:33" ht="13.2" customHeight="1" x14ac:dyDescent="0.55000000000000004">
      <c r="B982" s="371"/>
      <c r="C982" s="1010" t="s">
        <v>688</v>
      </c>
      <c r="D982" s="361" t="str">
        <f t="shared" ref="D982:D1046" si="46">H982&amp;C982</f>
        <v>Waste water management1000</v>
      </c>
      <c r="E982" s="361" t="str">
        <f t="shared" ref="E982:E1046" si="47">F982&amp;H982&amp;I982</f>
        <v>TheewaterskloofWaste water managementInterest earned - outstanding debtors</v>
      </c>
      <c r="F982" s="360" t="str">
        <f>'PART C- Municipal Details'!$G$7</f>
        <v>Theewaterskloof</v>
      </c>
      <c r="G982" s="361" t="s">
        <v>812</v>
      </c>
      <c r="H982" s="363" t="s">
        <v>815</v>
      </c>
      <c r="I982" s="496" t="s">
        <v>3</v>
      </c>
      <c r="J982" s="497" t="s">
        <v>3</v>
      </c>
      <c r="K982" s="490"/>
      <c r="L982" s="463" t="s">
        <v>689</v>
      </c>
      <c r="M982" s="459"/>
      <c r="N982" s="461"/>
      <c r="O982" s="461"/>
      <c r="P982" s="461"/>
      <c r="Q982" s="461"/>
      <c r="R982" s="461"/>
      <c r="S982" s="461"/>
      <c r="T982" s="461"/>
      <c r="U982" s="530">
        <v>7966035</v>
      </c>
      <c r="V982" s="530">
        <v>8236880</v>
      </c>
      <c r="W982" s="530">
        <v>8500460</v>
      </c>
      <c r="X982" s="490"/>
      <c r="Y982" s="969"/>
      <c r="Z982" s="969"/>
      <c r="AA982" s="969"/>
      <c r="AB982" s="969"/>
      <c r="AC982" s="969"/>
      <c r="AD982" s="969"/>
      <c r="AE982" s="969" t="str">
        <f t="shared" si="45"/>
        <v>TheewaterskloofInterest earned from Receivables</v>
      </c>
      <c r="AF982" s="969"/>
      <c r="AG982" s="969"/>
    </row>
    <row r="983" spans="2:33" ht="13.2" customHeight="1" x14ac:dyDescent="0.55000000000000004">
      <c r="B983" s="371"/>
      <c r="C983" s="1010" t="s">
        <v>690</v>
      </c>
      <c r="D983" s="360" t="str">
        <f t="shared" si="46"/>
        <v>Waste water management1100</v>
      </c>
      <c r="E983" s="360" t="str">
        <f t="shared" si="47"/>
        <v>TheewaterskloofWaste water managementInterest earned - external investments</v>
      </c>
      <c r="F983" s="360" t="str">
        <f>'PART C- Municipal Details'!$G$7</f>
        <v>Theewaterskloof</v>
      </c>
      <c r="G983" s="360" t="s">
        <v>812</v>
      </c>
      <c r="H983" s="366" t="s">
        <v>815</v>
      </c>
      <c r="I983" s="496" t="s">
        <v>2</v>
      </c>
      <c r="J983" s="497" t="s">
        <v>4</v>
      </c>
      <c r="K983" s="490"/>
      <c r="L983" s="463" t="s">
        <v>692</v>
      </c>
      <c r="M983" s="459"/>
      <c r="N983" s="461"/>
      <c r="O983" s="461"/>
      <c r="P983" s="461"/>
      <c r="Q983" s="461"/>
      <c r="R983" s="461"/>
      <c r="S983" s="461"/>
      <c r="T983" s="461"/>
      <c r="U983" s="530">
        <v>0</v>
      </c>
      <c r="V983" s="530">
        <v>0</v>
      </c>
      <c r="W983" s="530">
        <v>0</v>
      </c>
      <c r="X983" s="490"/>
      <c r="Y983" s="969"/>
      <c r="Z983" s="969"/>
      <c r="AA983" s="969"/>
      <c r="AB983" s="969"/>
      <c r="AC983" s="969"/>
      <c r="AD983" s="969"/>
      <c r="AE983" s="969" t="str">
        <f t="shared" si="45"/>
        <v>TheewaterskloofInterest earned from Current and Non Current Assets</v>
      </c>
      <c r="AF983" s="969"/>
      <c r="AG983" s="969"/>
    </row>
    <row r="984" spans="2:33" ht="13.2" customHeight="1" x14ac:dyDescent="0.55000000000000004">
      <c r="B984" s="371"/>
      <c r="C984" s="1010" t="s">
        <v>693</v>
      </c>
      <c r="D984" s="361" t="str">
        <f t="shared" si="46"/>
        <v>Waste water management1200</v>
      </c>
      <c r="E984" s="361" t="str">
        <f t="shared" si="47"/>
        <v>TheewaterskloofWaste water managementDividends received</v>
      </c>
      <c r="F984" s="360" t="str">
        <f>'PART C- Municipal Details'!$G$7</f>
        <v>Theewaterskloof</v>
      </c>
      <c r="G984" s="361" t="s">
        <v>812</v>
      </c>
      <c r="H984" s="363" t="s">
        <v>815</v>
      </c>
      <c r="I984" s="496" t="s">
        <v>4</v>
      </c>
      <c r="J984" s="497" t="s">
        <v>691</v>
      </c>
      <c r="K984" s="490"/>
      <c r="L984" s="463" t="s">
        <v>694</v>
      </c>
      <c r="M984" s="459"/>
      <c r="N984" s="461"/>
      <c r="O984" s="461"/>
      <c r="P984" s="461"/>
      <c r="Q984" s="461"/>
      <c r="R984" s="461"/>
      <c r="S984" s="461"/>
      <c r="T984" s="461"/>
      <c r="U984" s="530">
        <v>0</v>
      </c>
      <c r="V984" s="530">
        <v>0</v>
      </c>
      <c r="W984" s="530">
        <v>0</v>
      </c>
      <c r="X984" s="490"/>
      <c r="Y984" s="969"/>
      <c r="Z984" s="969"/>
      <c r="AA984" s="969"/>
      <c r="AB984" s="969"/>
      <c r="AC984" s="969"/>
      <c r="AD984" s="969"/>
      <c r="AE984" s="969" t="str">
        <f t="shared" si="45"/>
        <v>TheewaterskloofDividends</v>
      </c>
      <c r="AF984" s="969"/>
      <c r="AG984" s="969"/>
    </row>
    <row r="985" spans="2:33" ht="13.2" customHeight="1" x14ac:dyDescent="0.55000000000000004">
      <c r="B985" s="371"/>
      <c r="C985" s="1010" t="s">
        <v>695</v>
      </c>
      <c r="D985" s="360" t="str">
        <f t="shared" si="46"/>
        <v>Waste water management1300</v>
      </c>
      <c r="E985" s="360" t="str">
        <f t="shared" si="47"/>
        <v>TheewaterskloofWaste water managementRental of facilities and equipment</v>
      </c>
      <c r="F985" s="360" t="str">
        <f>'PART C- Municipal Details'!$G$7</f>
        <v>Theewaterskloof</v>
      </c>
      <c r="G985" s="360" t="s">
        <v>812</v>
      </c>
      <c r="H985" s="366" t="s">
        <v>815</v>
      </c>
      <c r="I985" s="496" t="s">
        <v>1</v>
      </c>
      <c r="J985" s="497" t="s">
        <v>5</v>
      </c>
      <c r="K985" s="490"/>
      <c r="L985" s="463" t="s">
        <v>696</v>
      </c>
      <c r="M985" s="459"/>
      <c r="N985" s="461"/>
      <c r="O985" s="461"/>
      <c r="P985" s="461"/>
      <c r="Q985" s="461"/>
      <c r="R985" s="461"/>
      <c r="S985" s="461"/>
      <c r="T985" s="461"/>
      <c r="U985" s="530">
        <v>0</v>
      </c>
      <c r="V985" s="530">
        <v>0</v>
      </c>
      <c r="W985" s="530">
        <v>0</v>
      </c>
      <c r="X985" s="490"/>
      <c r="Y985" s="969"/>
      <c r="Z985" s="969"/>
      <c r="AA985" s="969"/>
      <c r="AB985" s="969"/>
      <c r="AC985" s="969"/>
      <c r="AD985" s="969"/>
      <c r="AE985" s="969" t="str">
        <f t="shared" si="45"/>
        <v>TheewaterskloofRent on Land</v>
      </c>
      <c r="AF985" s="969"/>
      <c r="AG985" s="969"/>
    </row>
    <row r="986" spans="2:33" ht="13.2" customHeight="1" x14ac:dyDescent="0.55000000000000004">
      <c r="B986" s="371"/>
      <c r="C986" s="1010" t="s">
        <v>697</v>
      </c>
      <c r="D986" s="361" t="str">
        <f t="shared" si="46"/>
        <v>Waste water management1400</v>
      </c>
      <c r="E986" s="361" t="str">
        <f t="shared" si="47"/>
        <v>TheewaterskloofWaste water managementRental of facilities and equipment</v>
      </c>
      <c r="F986" s="360" t="str">
        <f>'PART C- Municipal Details'!$G$7</f>
        <v>Theewaterskloof</v>
      </c>
      <c r="G986" s="361" t="s">
        <v>812</v>
      </c>
      <c r="H986" s="363" t="s">
        <v>815</v>
      </c>
      <c r="I986" s="496" t="s">
        <v>1</v>
      </c>
      <c r="J986" s="497" t="s">
        <v>6</v>
      </c>
      <c r="K986" s="490"/>
      <c r="L986" s="463" t="s">
        <v>699</v>
      </c>
      <c r="M986" s="459"/>
      <c r="N986" s="461"/>
      <c r="O986" s="461"/>
      <c r="P986" s="461"/>
      <c r="Q986" s="461"/>
      <c r="R986" s="461"/>
      <c r="S986" s="461"/>
      <c r="T986" s="461"/>
      <c r="U986" s="530">
        <v>0</v>
      </c>
      <c r="V986" s="530">
        <v>0</v>
      </c>
      <c r="W986" s="530">
        <v>0</v>
      </c>
      <c r="X986" s="490"/>
      <c r="Y986" s="969"/>
      <c r="Z986" s="969"/>
      <c r="AA986" s="969"/>
      <c r="AB986" s="969"/>
      <c r="AC986" s="969"/>
      <c r="AD986" s="969"/>
      <c r="AE986" s="969" t="str">
        <f t="shared" si="45"/>
        <v>TheewaterskloofRental from Fixed Assets</v>
      </c>
      <c r="AF986" s="969"/>
      <c r="AG986" s="969"/>
    </row>
    <row r="987" spans="2:33" ht="13.2" customHeight="1" x14ac:dyDescent="0.55000000000000004">
      <c r="B987" s="371"/>
      <c r="C987" s="1010" t="s">
        <v>700</v>
      </c>
      <c r="D987" s="360" t="str">
        <f t="shared" si="46"/>
        <v>Waste water management1500</v>
      </c>
      <c r="E987" s="360" t="str">
        <f t="shared" si="47"/>
        <v>TheewaterskloofWaste water managementLicences and permits</v>
      </c>
      <c r="F987" s="360" t="str">
        <f>'PART C- Municipal Details'!$G$7</f>
        <v>Theewaterskloof</v>
      </c>
      <c r="G987" s="360" t="s">
        <v>812</v>
      </c>
      <c r="H987" s="366" t="s">
        <v>815</v>
      </c>
      <c r="I987" s="496" t="s">
        <v>5</v>
      </c>
      <c r="J987" s="497" t="s">
        <v>698</v>
      </c>
      <c r="K987" s="490"/>
      <c r="L987" s="463" t="s">
        <v>701</v>
      </c>
      <c r="M987" s="459"/>
      <c r="N987" s="461"/>
      <c r="O987" s="461"/>
      <c r="P987" s="461"/>
      <c r="Q987" s="461"/>
      <c r="R987" s="461"/>
      <c r="S987" s="461"/>
      <c r="T987" s="461"/>
      <c r="U987" s="530">
        <v>0</v>
      </c>
      <c r="V987" s="530">
        <v>0</v>
      </c>
      <c r="W987" s="530">
        <v>0</v>
      </c>
      <c r="X987" s="490"/>
      <c r="Y987" s="969"/>
      <c r="Z987" s="969"/>
      <c r="AA987" s="969"/>
      <c r="AB987" s="969"/>
      <c r="AC987" s="969"/>
      <c r="AD987" s="969"/>
      <c r="AE987" s="969" t="str">
        <f t="shared" si="45"/>
        <v>TheewaterskloofLicence and permits</v>
      </c>
      <c r="AF987" s="969"/>
      <c r="AG987" s="969"/>
    </row>
    <row r="988" spans="2:33" ht="13.2" customHeight="1" x14ac:dyDescent="0.55000000000000004">
      <c r="B988" s="371"/>
      <c r="C988" s="1324" t="s">
        <v>1569</v>
      </c>
      <c r="D988" s="360" t="str">
        <f t="shared" si="46"/>
        <v>Waste water management1550</v>
      </c>
      <c r="E988" s="360" t="str">
        <f t="shared" si="47"/>
        <v>TheewaterskloofWaste water managementSpecial rating Levies</v>
      </c>
      <c r="F988" s="360" t="str">
        <f>'PART C- Municipal Details'!$G$7</f>
        <v>Theewaterskloof</v>
      </c>
      <c r="G988" s="360" t="s">
        <v>812</v>
      </c>
      <c r="H988" s="366" t="s">
        <v>815</v>
      </c>
      <c r="I988" s="496" t="s">
        <v>1568</v>
      </c>
      <c r="J988" s="497" t="s">
        <v>7</v>
      </c>
      <c r="K988" s="490"/>
      <c r="L988" s="463" t="s">
        <v>1567</v>
      </c>
      <c r="M988" s="459"/>
      <c r="N988" s="461"/>
      <c r="O988" s="461"/>
      <c r="P988" s="461"/>
      <c r="Q988" s="461"/>
      <c r="R988" s="461"/>
      <c r="S988" s="461"/>
      <c r="T988" s="461"/>
      <c r="U988" s="530">
        <v>0</v>
      </c>
      <c r="V988" s="530">
        <v>0</v>
      </c>
      <c r="W988" s="530">
        <v>0</v>
      </c>
      <c r="X988" s="490"/>
      <c r="Y988" s="969"/>
      <c r="Z988" s="969"/>
      <c r="AA988" s="969"/>
      <c r="AB988" s="969"/>
      <c r="AC988" s="969"/>
      <c r="AD988" s="969"/>
      <c r="AE988" s="969"/>
      <c r="AF988" s="969"/>
      <c r="AG988" s="969"/>
    </row>
    <row r="989" spans="2:33" ht="13.2" customHeight="1" x14ac:dyDescent="0.55000000000000004">
      <c r="B989" s="371"/>
      <c r="C989" s="1010" t="s">
        <v>702</v>
      </c>
      <c r="D989" s="361" t="str">
        <f t="shared" si="46"/>
        <v>Waste water management1600</v>
      </c>
      <c r="E989" s="361" t="str">
        <f t="shared" si="47"/>
        <v>TheewaterskloofWaste water managementOther revenue</v>
      </c>
      <c r="F989" s="360" t="str">
        <f>'PART C- Municipal Details'!$G$7</f>
        <v>Theewaterskloof</v>
      </c>
      <c r="G989" s="361" t="s">
        <v>812</v>
      </c>
      <c r="H989" s="363" t="s">
        <v>815</v>
      </c>
      <c r="I989" s="496" t="s">
        <v>7</v>
      </c>
      <c r="J989" s="497" t="s">
        <v>7</v>
      </c>
      <c r="K989" s="490"/>
      <c r="L989" s="463" t="s">
        <v>704</v>
      </c>
      <c r="M989" s="459"/>
      <c r="N989" s="461"/>
      <c r="O989" s="461"/>
      <c r="P989" s="461"/>
      <c r="Q989" s="461"/>
      <c r="R989" s="461"/>
      <c r="S989" s="461"/>
      <c r="T989" s="461"/>
      <c r="U989" s="530">
        <v>500</v>
      </c>
      <c r="V989" s="530">
        <v>517</v>
      </c>
      <c r="W989" s="530">
        <v>534</v>
      </c>
      <c r="X989" s="490"/>
      <c r="Y989" s="969"/>
      <c r="Z989" s="969"/>
      <c r="AA989" s="969"/>
      <c r="AB989" s="969"/>
      <c r="AC989" s="969"/>
      <c r="AD989" s="969"/>
      <c r="AE989" s="969" t="str">
        <f t="shared" si="45"/>
        <v>TheewaterskloofOperational Revenue</v>
      </c>
      <c r="AF989" s="969"/>
      <c r="AG989" s="969"/>
    </row>
    <row r="990" spans="2:33" ht="13.2" customHeight="1" x14ac:dyDescent="0.55000000000000004">
      <c r="B990" s="371"/>
      <c r="C990" s="1009" t="s">
        <v>705</v>
      </c>
      <c r="D990" s="360" t="str">
        <f t="shared" si="46"/>
        <v>Waste water management1700</v>
      </c>
      <c r="E990" s="360" t="str">
        <f t="shared" si="47"/>
        <v>TheewaterskloofWaste water managementx</v>
      </c>
      <c r="F990" s="360" t="str">
        <f>'PART C- Municipal Details'!$G$7</f>
        <v>Theewaterskloof</v>
      </c>
      <c r="G990" s="360" t="s">
        <v>812</v>
      </c>
      <c r="H990" s="366" t="s">
        <v>815</v>
      </c>
      <c r="I990" s="496" t="s">
        <v>789</v>
      </c>
      <c r="J990" s="497" t="s">
        <v>703</v>
      </c>
      <c r="K990" s="490"/>
      <c r="L990" s="508" t="s">
        <v>708</v>
      </c>
      <c r="M990" s="509"/>
      <c r="N990" s="510"/>
      <c r="O990" s="510"/>
      <c r="P990" s="510"/>
      <c r="Q990" s="510"/>
      <c r="R990" s="510"/>
      <c r="S990" s="510"/>
      <c r="T990" s="511"/>
      <c r="U990" s="531">
        <v>0</v>
      </c>
      <c r="V990" s="531">
        <v>0</v>
      </c>
      <c r="W990" s="531">
        <v>0</v>
      </c>
      <c r="X990" s="490"/>
      <c r="Y990" s="969"/>
      <c r="Z990" s="969"/>
      <c r="AA990" s="969"/>
      <c r="AB990" s="969"/>
      <c r="AC990" s="969"/>
      <c r="AD990" s="969"/>
      <c r="AE990" s="969" t="str">
        <f t="shared" si="45"/>
        <v>TheewaterskloofNon-Exchange Revenue</v>
      </c>
      <c r="AF990" s="969"/>
      <c r="AG990" s="969"/>
    </row>
    <row r="991" spans="2:33" ht="13.2" customHeight="1" x14ac:dyDescent="0.55000000000000004">
      <c r="B991" s="371"/>
      <c r="C991" s="1010" t="s">
        <v>709</v>
      </c>
      <c r="D991" s="361" t="str">
        <f t="shared" si="46"/>
        <v>Waste water management1800</v>
      </c>
      <c r="E991" s="361" t="str">
        <f t="shared" si="47"/>
        <v>TheewaterskloofWaste water managementProperty rates</v>
      </c>
      <c r="F991" s="360" t="str">
        <f>'PART C- Municipal Details'!$G$7</f>
        <v>Theewaterskloof</v>
      </c>
      <c r="G991" s="361" t="s">
        <v>812</v>
      </c>
      <c r="H991" s="363" t="s">
        <v>815</v>
      </c>
      <c r="I991" s="496" t="s">
        <v>0</v>
      </c>
      <c r="J991" s="497" t="s">
        <v>707</v>
      </c>
      <c r="K991" s="490"/>
      <c r="L991" s="463" t="s">
        <v>0</v>
      </c>
      <c r="M991" s="459"/>
      <c r="N991" s="460"/>
      <c r="O991" s="460"/>
      <c r="P991" s="460"/>
      <c r="Q991" s="460"/>
      <c r="R991" s="460"/>
      <c r="S991" s="460"/>
      <c r="T991" s="460"/>
      <c r="U991" s="530">
        <v>0</v>
      </c>
      <c r="V991" s="530">
        <v>0</v>
      </c>
      <c r="W991" s="530">
        <v>0</v>
      </c>
      <c r="X991" s="490"/>
      <c r="Y991" s="969"/>
      <c r="Z991" s="969"/>
      <c r="AA991" s="969"/>
      <c r="AB991" s="969"/>
      <c r="AC991" s="969"/>
      <c r="AD991" s="969"/>
      <c r="AE991" s="969" t="str">
        <f t="shared" si="45"/>
        <v>TheewaterskloofProperty rates</v>
      </c>
      <c r="AF991" s="969"/>
      <c r="AG991" s="969"/>
    </row>
    <row r="992" spans="2:33" ht="13.2" customHeight="1" x14ac:dyDescent="0.55000000000000004">
      <c r="B992" s="371"/>
      <c r="C992" s="1010" t="s">
        <v>711</v>
      </c>
      <c r="D992" s="360" t="str">
        <f t="shared" si="46"/>
        <v>Waste water management1900</v>
      </c>
      <c r="E992" s="360" t="str">
        <f t="shared" si="47"/>
        <v>TheewaterskloofWaste water managementOther revenue</v>
      </c>
      <c r="F992" s="360" t="str">
        <f>'PART C- Municipal Details'!$G$7</f>
        <v>Theewaterskloof</v>
      </c>
      <c r="G992" s="360" t="s">
        <v>812</v>
      </c>
      <c r="H992" s="366" t="s">
        <v>815</v>
      </c>
      <c r="I992" s="496" t="s">
        <v>7</v>
      </c>
      <c r="J992" s="497" t="s">
        <v>710</v>
      </c>
      <c r="K992" s="490"/>
      <c r="L992" s="463" t="s">
        <v>713</v>
      </c>
      <c r="M992" s="459"/>
      <c r="N992" s="461"/>
      <c r="O992" s="461"/>
      <c r="P992" s="461"/>
      <c r="Q992" s="461"/>
      <c r="R992" s="461"/>
      <c r="S992" s="461"/>
      <c r="T992" s="461"/>
      <c r="U992" s="530">
        <v>0</v>
      </c>
      <c r="V992" s="530">
        <v>0</v>
      </c>
      <c r="W992" s="530">
        <v>0</v>
      </c>
      <c r="X992" s="490"/>
      <c r="Y992" s="969"/>
      <c r="Z992" s="969"/>
      <c r="AA992" s="969"/>
      <c r="AB992" s="969"/>
      <c r="AC992" s="969"/>
      <c r="AD992" s="969"/>
      <c r="AE992" s="969" t="str">
        <f t="shared" si="45"/>
        <v>TheewaterskloofSurcharges and Taxes</v>
      </c>
      <c r="AF992" s="969"/>
      <c r="AG992" s="969"/>
    </row>
    <row r="993" spans="2:33" ht="13.2" customHeight="1" x14ac:dyDescent="0.55000000000000004">
      <c r="B993" s="371"/>
      <c r="C993" s="1010" t="s">
        <v>714</v>
      </c>
      <c r="D993" s="361" t="str">
        <f t="shared" si="46"/>
        <v>Waste water management2000</v>
      </c>
      <c r="E993" s="361" t="str">
        <f t="shared" si="47"/>
        <v>TheewaterskloofWaste water managementFines, penalties and forfeits</v>
      </c>
      <c r="F993" s="360" t="str">
        <f>'PART C- Municipal Details'!$G$7</f>
        <v>Theewaterskloof</v>
      </c>
      <c r="G993" s="361" t="s">
        <v>812</v>
      </c>
      <c r="H993" s="363" t="s">
        <v>815</v>
      </c>
      <c r="I993" s="496" t="s">
        <v>691</v>
      </c>
      <c r="J993" s="497" t="s">
        <v>712</v>
      </c>
      <c r="K993" s="490"/>
      <c r="L993" s="463" t="s">
        <v>691</v>
      </c>
      <c r="M993" s="459"/>
      <c r="N993" s="461"/>
      <c r="O993" s="461"/>
      <c r="P993" s="461"/>
      <c r="Q993" s="461"/>
      <c r="R993" s="461"/>
      <c r="S993" s="461"/>
      <c r="T993" s="461"/>
      <c r="U993" s="530">
        <v>0</v>
      </c>
      <c r="V993" s="530">
        <v>0</v>
      </c>
      <c r="W993" s="530">
        <v>0</v>
      </c>
      <c r="X993" s="490"/>
      <c r="Y993" s="969"/>
      <c r="Z993" s="969"/>
      <c r="AA993" s="969"/>
      <c r="AB993" s="969"/>
      <c r="AC993" s="969"/>
      <c r="AD993" s="969"/>
      <c r="AE993" s="969" t="str">
        <f t="shared" si="45"/>
        <v>TheewaterskloofFines, penalties and forfeits</v>
      </c>
      <c r="AF993" s="969"/>
      <c r="AG993" s="969"/>
    </row>
    <row r="994" spans="2:33" ht="13.2" customHeight="1" x14ac:dyDescent="0.55000000000000004">
      <c r="B994" s="371"/>
      <c r="C994" s="1010" t="s">
        <v>715</v>
      </c>
      <c r="D994" s="360" t="str">
        <f t="shared" si="46"/>
        <v>Waste water management2100</v>
      </c>
      <c r="E994" s="360" t="str">
        <f t="shared" si="47"/>
        <v>TheewaterskloofWaste water managementLicences and permits</v>
      </c>
      <c r="F994" s="360" t="str">
        <f>'PART C- Municipal Details'!$G$7</f>
        <v>Theewaterskloof</v>
      </c>
      <c r="G994" s="360" t="s">
        <v>812</v>
      </c>
      <c r="H994" s="366" t="s">
        <v>815</v>
      </c>
      <c r="I994" s="496" t="s">
        <v>5</v>
      </c>
      <c r="J994" s="497" t="s">
        <v>8</v>
      </c>
      <c r="K994" s="490"/>
      <c r="L994" s="463" t="s">
        <v>716</v>
      </c>
      <c r="M994" s="459"/>
      <c r="N994" s="461"/>
      <c r="O994" s="461"/>
      <c r="P994" s="461"/>
      <c r="Q994" s="461"/>
      <c r="R994" s="461"/>
      <c r="S994" s="461"/>
      <c r="T994" s="461"/>
      <c r="U994" s="530">
        <v>0</v>
      </c>
      <c r="V994" s="530">
        <v>0</v>
      </c>
      <c r="W994" s="530">
        <v>0</v>
      </c>
      <c r="X994" s="490"/>
      <c r="Y994" s="969"/>
      <c r="Z994" s="969"/>
      <c r="AA994" s="969"/>
      <c r="AB994" s="969"/>
      <c r="AC994" s="969"/>
      <c r="AD994" s="969"/>
      <c r="AE994" s="969" t="str">
        <f t="shared" si="45"/>
        <v>TheewaterskloofLicences or permits</v>
      </c>
      <c r="AF994" s="969"/>
      <c r="AG994" s="969"/>
    </row>
    <row r="995" spans="2:33" ht="13.2" customHeight="1" x14ac:dyDescent="0.55000000000000004">
      <c r="B995" s="371"/>
      <c r="C995" s="1010" t="s">
        <v>717</v>
      </c>
      <c r="D995" s="361" t="str">
        <f t="shared" si="46"/>
        <v>Waste water management2200</v>
      </c>
      <c r="E995" s="361" t="str">
        <f t="shared" si="47"/>
        <v>TheewaterskloofWaste water managementTransfers and subsidies Income</v>
      </c>
      <c r="F995" s="360" t="str">
        <f>'PART C- Municipal Details'!$G$7</f>
        <v>Theewaterskloof</v>
      </c>
      <c r="G995" s="361" t="s">
        <v>812</v>
      </c>
      <c r="H995" s="363" t="s">
        <v>815</v>
      </c>
      <c r="I995" s="496" t="s">
        <v>698</v>
      </c>
      <c r="J995" s="497" t="s">
        <v>9</v>
      </c>
      <c r="K995" s="490"/>
      <c r="L995" s="463" t="s">
        <v>718</v>
      </c>
      <c r="M995" s="459"/>
      <c r="N995" s="461"/>
      <c r="O995" s="461"/>
      <c r="P995" s="461"/>
      <c r="Q995" s="461"/>
      <c r="R995" s="461"/>
      <c r="S995" s="461"/>
      <c r="T995" s="461"/>
      <c r="U995" s="530">
        <v>15471225</v>
      </c>
      <c r="V995" s="530">
        <v>16262263</v>
      </c>
      <c r="W995" s="530">
        <v>16596718</v>
      </c>
      <c r="X995" s="490"/>
      <c r="Y995" s="969"/>
      <c r="Z995" s="969"/>
      <c r="AA995" s="969"/>
      <c r="AB995" s="969"/>
      <c r="AC995" s="969"/>
      <c r="AD995" s="969"/>
      <c r="AE995" s="969" t="str">
        <f t="shared" si="45"/>
        <v>TheewaterskloofTransfer and subsidies - Operational</v>
      </c>
      <c r="AF995" s="969"/>
      <c r="AG995" s="969"/>
    </row>
    <row r="996" spans="2:33" ht="13.2" customHeight="1" x14ac:dyDescent="0.55000000000000004">
      <c r="B996" s="371"/>
      <c r="C996" s="1010" t="s">
        <v>719</v>
      </c>
      <c r="D996" s="360" t="str">
        <f t="shared" si="46"/>
        <v>Waste water management2300</v>
      </c>
      <c r="E996" s="360" t="str">
        <f t="shared" si="47"/>
        <v>TheewaterskloofWaste water managementInterest earned - external investments</v>
      </c>
      <c r="F996" s="360" t="str">
        <f>'PART C- Municipal Details'!$G$7</f>
        <v>Theewaterskloof</v>
      </c>
      <c r="G996" s="360" t="s">
        <v>812</v>
      </c>
      <c r="H996" s="366" t="s">
        <v>815</v>
      </c>
      <c r="I996" s="496" t="s">
        <v>2</v>
      </c>
      <c r="J996" s="497" t="s">
        <v>10</v>
      </c>
      <c r="K996" s="490"/>
      <c r="L996" s="463" t="s">
        <v>687</v>
      </c>
      <c r="M996" s="459"/>
      <c r="N996" s="461"/>
      <c r="O996" s="461"/>
      <c r="P996" s="461"/>
      <c r="Q996" s="461"/>
      <c r="R996" s="461"/>
      <c r="S996" s="461"/>
      <c r="T996" s="461"/>
      <c r="U996" s="530">
        <v>0</v>
      </c>
      <c r="V996" s="530">
        <v>0</v>
      </c>
      <c r="W996" s="530">
        <v>0</v>
      </c>
      <c r="X996" s="490"/>
      <c r="Y996" s="969"/>
      <c r="Z996" s="969"/>
      <c r="AA996" s="969"/>
      <c r="AB996" s="969"/>
      <c r="AC996" s="969"/>
      <c r="AD996" s="969"/>
      <c r="AE996" s="969" t="str">
        <f t="shared" si="45"/>
        <v>TheewaterskloofInterest</v>
      </c>
      <c r="AF996" s="969"/>
      <c r="AG996" s="969"/>
    </row>
    <row r="997" spans="2:33" ht="13.2" customHeight="1" x14ac:dyDescent="0.55000000000000004">
      <c r="B997" s="371"/>
      <c r="C997" s="1010" t="s">
        <v>721</v>
      </c>
      <c r="D997" s="361" t="str">
        <f t="shared" si="46"/>
        <v>Waste water management2400</v>
      </c>
      <c r="E997" s="361" t="str">
        <f t="shared" si="47"/>
        <v>TheewaterskloofWaste water managementOther revenue</v>
      </c>
      <c r="F997" s="360" t="str">
        <f>'PART C- Municipal Details'!$G$7</f>
        <v>Theewaterskloof</v>
      </c>
      <c r="G997" s="361" t="s">
        <v>812</v>
      </c>
      <c r="H997" s="363" t="s">
        <v>815</v>
      </c>
      <c r="I997" s="496" t="s">
        <v>7</v>
      </c>
      <c r="J997" s="497" t="s">
        <v>720</v>
      </c>
      <c r="K997" s="490"/>
      <c r="L997" s="463" t="s">
        <v>722</v>
      </c>
      <c r="M997" s="459"/>
      <c r="N997" s="461"/>
      <c r="O997" s="461"/>
      <c r="P997" s="461"/>
      <c r="Q997" s="461"/>
      <c r="R997" s="461"/>
      <c r="S997" s="461"/>
      <c r="T997" s="461"/>
      <c r="U997" s="530">
        <v>0</v>
      </c>
      <c r="V997" s="530">
        <v>0</v>
      </c>
      <c r="W997" s="530">
        <v>0</v>
      </c>
      <c r="X997" s="490"/>
      <c r="Y997" s="969"/>
      <c r="Z997" s="969"/>
      <c r="AA997" s="969"/>
      <c r="AB997" s="969"/>
      <c r="AC997" s="969"/>
      <c r="AD997" s="969"/>
      <c r="AE997" s="969" t="str">
        <f t="shared" si="45"/>
        <v>TheewaterskloofFuel Levy</v>
      </c>
      <c r="AF997" s="969"/>
      <c r="AG997" s="969"/>
    </row>
    <row r="998" spans="2:33" ht="13.2" customHeight="1" x14ac:dyDescent="0.55000000000000004">
      <c r="B998" s="371"/>
      <c r="C998" s="1010" t="s">
        <v>723</v>
      </c>
      <c r="D998" s="360" t="str">
        <f t="shared" si="46"/>
        <v>Waste water management2500</v>
      </c>
      <c r="E998" s="360" t="str">
        <f t="shared" si="47"/>
        <v>TheewaterskloofWaste water managementOther revenue</v>
      </c>
      <c r="F998" s="360" t="str">
        <f>'PART C- Municipal Details'!$G$7</f>
        <v>Theewaterskloof</v>
      </c>
      <c r="G998" s="360" t="s">
        <v>812</v>
      </c>
      <c r="H998" s="366" t="s">
        <v>815</v>
      </c>
      <c r="I998" s="496" t="s">
        <v>7</v>
      </c>
      <c r="J998" s="497" t="s">
        <v>11</v>
      </c>
      <c r="K998" s="490"/>
      <c r="L998" s="463" t="s">
        <v>704</v>
      </c>
      <c r="M998" s="459"/>
      <c r="N998" s="461"/>
      <c r="O998" s="461"/>
      <c r="P998" s="461"/>
      <c r="Q998" s="461"/>
      <c r="R998" s="461"/>
      <c r="S998" s="461"/>
      <c r="T998" s="461"/>
      <c r="U998" s="530">
        <v>1005290</v>
      </c>
      <c r="V998" s="530">
        <v>1039470</v>
      </c>
      <c r="W998" s="530">
        <v>1072733</v>
      </c>
      <c r="X998" s="490"/>
      <c r="Y998" s="969"/>
      <c r="Z998" s="969"/>
      <c r="AA998" s="969"/>
      <c r="AB998" s="969"/>
      <c r="AC998" s="969"/>
      <c r="AD998" s="969"/>
      <c r="AE998" s="969" t="str">
        <f t="shared" si="45"/>
        <v>TheewaterskloofOperational Revenue</v>
      </c>
      <c r="AF998" s="969"/>
      <c r="AG998" s="969"/>
    </row>
    <row r="999" spans="2:33" ht="13.2" customHeight="1" x14ac:dyDescent="0.55000000000000004">
      <c r="B999" s="371"/>
      <c r="C999" s="1010" t="s">
        <v>725</v>
      </c>
      <c r="D999" s="361" t="str">
        <f t="shared" si="46"/>
        <v>Waste water management2600</v>
      </c>
      <c r="E999" s="361" t="str">
        <f t="shared" si="47"/>
        <v>TheewaterskloofWaste water managementGains</v>
      </c>
      <c r="F999" s="360" t="str">
        <f>'PART C- Municipal Details'!$G$7</f>
        <v>Theewaterskloof</v>
      </c>
      <c r="G999" s="361" t="s">
        <v>812</v>
      </c>
      <c r="H999" s="363" t="s">
        <v>815</v>
      </c>
      <c r="I999" s="496" t="s">
        <v>703</v>
      </c>
      <c r="J999" s="497" t="s">
        <v>724</v>
      </c>
      <c r="K999" s="490"/>
      <c r="L999" s="463" t="s">
        <v>727</v>
      </c>
      <c r="M999" s="459"/>
      <c r="N999" s="461"/>
      <c r="O999" s="461"/>
      <c r="P999" s="461"/>
      <c r="Q999" s="461"/>
      <c r="R999" s="461"/>
      <c r="S999" s="461"/>
      <c r="T999" s="461"/>
      <c r="U999" s="530">
        <v>0</v>
      </c>
      <c r="V999" s="530">
        <v>0</v>
      </c>
      <c r="W999" s="530">
        <v>0</v>
      </c>
      <c r="X999" s="490"/>
      <c r="Y999" s="969"/>
      <c r="Z999" s="969"/>
      <c r="AA999" s="969"/>
      <c r="AB999" s="969"/>
      <c r="AC999" s="969"/>
      <c r="AD999" s="969"/>
      <c r="AE999" s="969" t="str">
        <f t="shared" si="45"/>
        <v>TheewaterskloofGains on disposal of Assets</v>
      </c>
      <c r="AF999" s="969"/>
      <c r="AG999" s="969"/>
    </row>
    <row r="1000" spans="2:33" ht="13.2" customHeight="1" x14ac:dyDescent="0.55000000000000004">
      <c r="B1000" s="371"/>
      <c r="C1000" s="1010" t="s">
        <v>728</v>
      </c>
      <c r="D1000" s="360" t="str">
        <f t="shared" si="46"/>
        <v>Waste water management2700</v>
      </c>
      <c r="E1000" s="360" t="str">
        <f t="shared" si="47"/>
        <v>TheewaterskloofWaste water managementOther revenue</v>
      </c>
      <c r="F1000" s="360" t="str">
        <f>'PART C- Municipal Details'!$G$7</f>
        <v>Theewaterskloof</v>
      </c>
      <c r="G1000" s="360" t="s">
        <v>812</v>
      </c>
      <c r="H1000" s="366" t="s">
        <v>815</v>
      </c>
      <c r="I1000" s="496" t="s">
        <v>7</v>
      </c>
      <c r="J1000" s="497" t="s">
        <v>726</v>
      </c>
      <c r="K1000" s="490"/>
      <c r="L1000" s="463" t="s">
        <v>729</v>
      </c>
      <c r="M1000" s="459"/>
      <c r="N1000" s="461"/>
      <c r="O1000" s="461"/>
      <c r="P1000" s="461"/>
      <c r="Q1000" s="461"/>
      <c r="R1000" s="461"/>
      <c r="S1000" s="461"/>
      <c r="T1000" s="461"/>
      <c r="U1000" s="530">
        <v>0</v>
      </c>
      <c r="V1000" s="530">
        <v>0</v>
      </c>
      <c r="W1000" s="530">
        <v>0</v>
      </c>
      <c r="X1000" s="490"/>
      <c r="Y1000" s="969"/>
      <c r="Z1000" s="969"/>
      <c r="AA1000" s="969"/>
      <c r="AB1000" s="969"/>
      <c r="AC1000" s="969"/>
      <c r="AD1000" s="969"/>
      <c r="AE1000" s="969" t="str">
        <f t="shared" si="45"/>
        <v>TheewaterskloofOther Gains</v>
      </c>
      <c r="AF1000" s="969"/>
      <c r="AG1000" s="969"/>
    </row>
    <row r="1001" spans="2:33" ht="13.2" customHeight="1" x14ac:dyDescent="0.55000000000000004">
      <c r="B1001" s="371"/>
      <c r="C1001" s="1010" t="s">
        <v>730</v>
      </c>
      <c r="D1001" s="361" t="str">
        <f t="shared" si="46"/>
        <v>Waste water management2800</v>
      </c>
      <c r="E1001" s="361" t="str">
        <f t="shared" si="47"/>
        <v>TheewaterskloofWaste water managementOther revenue</v>
      </c>
      <c r="F1001" s="360" t="str">
        <f>'PART C- Municipal Details'!$G$7</f>
        <v>Theewaterskloof</v>
      </c>
      <c r="G1001" s="361" t="s">
        <v>812</v>
      </c>
      <c r="H1001" s="363" t="s">
        <v>815</v>
      </c>
      <c r="I1001" s="496" t="s">
        <v>7</v>
      </c>
      <c r="J1001" s="497" t="s">
        <v>12</v>
      </c>
      <c r="K1001" s="490"/>
      <c r="L1001" s="464" t="s">
        <v>731</v>
      </c>
      <c r="M1001" s="459"/>
      <c r="N1001" s="461"/>
      <c r="O1001" s="461"/>
      <c r="P1001" s="461"/>
      <c r="Q1001" s="461"/>
      <c r="R1001" s="461"/>
      <c r="S1001" s="461"/>
      <c r="T1001" s="461"/>
      <c r="U1001" s="530">
        <v>0</v>
      </c>
      <c r="V1001" s="530">
        <v>0</v>
      </c>
      <c r="W1001" s="530">
        <v>0</v>
      </c>
      <c r="X1001" s="490"/>
      <c r="Y1001" s="969"/>
      <c r="Z1001" s="969"/>
      <c r="AA1001" s="969"/>
      <c r="AB1001" s="969"/>
      <c r="AC1001" s="969"/>
      <c r="AD1001" s="969"/>
      <c r="AE1001" s="969" t="str">
        <f t="shared" si="45"/>
        <v>TheewaterskloofDiscontinued Operations</v>
      </c>
      <c r="AF1001" s="969"/>
      <c r="AG1001" s="969"/>
    </row>
    <row r="1002" spans="2:33" ht="13.2" customHeight="1" x14ac:dyDescent="0.55000000000000004">
      <c r="B1002" s="371"/>
      <c r="C1002" s="1009" t="s">
        <v>732</v>
      </c>
      <c r="D1002" s="360" t="str">
        <f t="shared" si="46"/>
        <v>Waste water management2900</v>
      </c>
      <c r="E1002" s="360" t="str">
        <f t="shared" si="47"/>
        <v>TheewaterskloofWaste water managementTotal Revenue (excluding capital transfers and contributions)</v>
      </c>
      <c r="F1002" s="360" t="str">
        <f>'PART C- Municipal Details'!$G$7</f>
        <v>Theewaterskloof</v>
      </c>
      <c r="G1002" s="360" t="s">
        <v>812</v>
      </c>
      <c r="H1002" s="366" t="s">
        <v>815</v>
      </c>
      <c r="I1002" s="496" t="s">
        <v>707</v>
      </c>
      <c r="J1002" s="497" t="s">
        <v>204</v>
      </c>
      <c r="K1002" s="490"/>
      <c r="L1002" s="508" t="s">
        <v>707</v>
      </c>
      <c r="M1002" s="509"/>
      <c r="N1002" s="510"/>
      <c r="O1002" s="510"/>
      <c r="P1002" s="510"/>
      <c r="Q1002" s="510"/>
      <c r="R1002" s="510"/>
      <c r="S1002" s="510"/>
      <c r="T1002" s="511"/>
      <c r="U1002" s="531">
        <v>76680510</v>
      </c>
      <c r="V1002" s="531">
        <v>79552663</v>
      </c>
      <c r="W1002" s="531">
        <v>81912411</v>
      </c>
      <c r="X1002" s="490"/>
      <c r="Y1002" s="969"/>
      <c r="Z1002" s="969"/>
      <c r="AA1002" s="969"/>
      <c r="AB1002" s="969"/>
      <c r="AC1002" s="969"/>
      <c r="AD1002" s="969"/>
      <c r="AE1002" s="969" t="str">
        <f t="shared" si="45"/>
        <v>TheewaterskloofTotal Revenue (excluding capital transfers and contributions)</v>
      </c>
      <c r="AF1002" s="969"/>
      <c r="AG1002" s="969"/>
    </row>
    <row r="1003" spans="2:33" ht="13.2" customHeight="1" x14ac:dyDescent="0.55000000000000004">
      <c r="B1003" s="371"/>
      <c r="C1003" s="1009" t="s">
        <v>733</v>
      </c>
      <c r="D1003" s="361" t="str">
        <f t="shared" si="46"/>
        <v>Waste water management3000</v>
      </c>
      <c r="E1003" s="361" t="str">
        <f t="shared" si="47"/>
        <v>TheewaterskloofWaste water managementx</v>
      </c>
      <c r="F1003" s="360" t="str">
        <f>'PART C- Municipal Details'!$G$7</f>
        <v>Theewaterskloof</v>
      </c>
      <c r="G1003" s="361" t="s">
        <v>812</v>
      </c>
      <c r="H1003" s="363" t="s">
        <v>815</v>
      </c>
      <c r="I1003" s="496" t="s">
        <v>789</v>
      </c>
      <c r="J1003" s="497" t="s">
        <v>13</v>
      </c>
      <c r="K1003" s="490"/>
      <c r="L1003" s="505" t="s">
        <v>22</v>
      </c>
      <c r="M1003" s="506"/>
      <c r="N1003" s="507"/>
      <c r="O1003" s="507"/>
      <c r="P1003" s="507"/>
      <c r="Q1003" s="507"/>
      <c r="R1003" s="507"/>
      <c r="S1003" s="507"/>
      <c r="T1003" s="507"/>
      <c r="U1003" s="531">
        <v>0</v>
      </c>
      <c r="V1003" s="531">
        <v>0</v>
      </c>
      <c r="W1003" s="531">
        <v>0</v>
      </c>
      <c r="X1003" s="490"/>
      <c r="Y1003" s="969"/>
      <c r="Z1003" s="969"/>
      <c r="AA1003" s="969"/>
      <c r="AB1003" s="969"/>
      <c r="AC1003" s="969"/>
      <c r="AD1003" s="969"/>
      <c r="AE1003" s="969" t="str">
        <f t="shared" si="45"/>
        <v>TheewaterskloofExpenditure</v>
      </c>
      <c r="AF1003" s="969"/>
      <c r="AG1003" s="969"/>
    </row>
    <row r="1004" spans="2:33" ht="13.2" customHeight="1" x14ac:dyDescent="0.55000000000000004">
      <c r="B1004" s="371"/>
      <c r="C1004" s="1010" t="s">
        <v>735</v>
      </c>
      <c r="D1004" s="360" t="str">
        <f t="shared" si="46"/>
        <v>Waste water management3100</v>
      </c>
      <c r="E1004" s="360" t="str">
        <f t="shared" si="47"/>
        <v>TheewaterskloofWaste water managementEmployee related costs</v>
      </c>
      <c r="F1004" s="360" t="str">
        <f>'PART C- Municipal Details'!$G$7</f>
        <v>Theewaterskloof</v>
      </c>
      <c r="G1004" s="360" t="s">
        <v>812</v>
      </c>
      <c r="H1004" s="366" t="s">
        <v>815</v>
      </c>
      <c r="I1004" s="496" t="s">
        <v>8</v>
      </c>
      <c r="J1004" s="497" t="s">
        <v>734</v>
      </c>
      <c r="K1004" s="490"/>
      <c r="L1004" s="463" t="s">
        <v>8</v>
      </c>
      <c r="M1004" s="459"/>
      <c r="N1004" s="461"/>
      <c r="O1004" s="461"/>
      <c r="P1004" s="461"/>
      <c r="Q1004" s="461"/>
      <c r="R1004" s="461"/>
      <c r="S1004" s="461"/>
      <c r="T1004" s="461"/>
      <c r="U1004" s="530">
        <v>20471408</v>
      </c>
      <c r="V1004" s="530">
        <v>21167435</v>
      </c>
      <c r="W1004" s="530">
        <v>21844789</v>
      </c>
      <c r="X1004" s="490"/>
      <c r="Y1004" s="969"/>
      <c r="Z1004" s="969"/>
      <c r="AA1004" s="969"/>
      <c r="AB1004" s="969"/>
      <c r="AC1004" s="969"/>
      <c r="AD1004" s="969"/>
      <c r="AE1004" s="969" t="str">
        <f t="shared" si="45"/>
        <v>TheewaterskloofEmployee related costs</v>
      </c>
      <c r="AF1004" s="969"/>
      <c r="AG1004" s="969"/>
    </row>
    <row r="1005" spans="2:33" ht="13.2" customHeight="1" x14ac:dyDescent="0.55000000000000004">
      <c r="B1005" s="371"/>
      <c r="C1005" s="1010" t="s">
        <v>737</v>
      </c>
      <c r="D1005" s="361" t="str">
        <f t="shared" si="46"/>
        <v>Waste water management3200</v>
      </c>
      <c r="E1005" s="361" t="str">
        <f t="shared" si="47"/>
        <v>TheewaterskloofWaste water managementRemuneration of councillors</v>
      </c>
      <c r="F1005" s="360" t="str">
        <f>'PART C- Municipal Details'!$G$7</f>
        <v>Theewaterskloof</v>
      </c>
      <c r="G1005" s="361" t="s">
        <v>812</v>
      </c>
      <c r="H1005" s="363" t="s">
        <v>815</v>
      </c>
      <c r="I1005" s="496" t="s">
        <v>9</v>
      </c>
      <c r="J1005" s="497" t="s">
        <v>736</v>
      </c>
      <c r="K1005" s="490"/>
      <c r="L1005" s="463" t="s">
        <v>9</v>
      </c>
      <c r="M1005" s="459"/>
      <c r="N1005" s="461"/>
      <c r="O1005" s="461"/>
      <c r="P1005" s="461"/>
      <c r="Q1005" s="461"/>
      <c r="R1005" s="461"/>
      <c r="S1005" s="461"/>
      <c r="T1005" s="461"/>
      <c r="U1005" s="530">
        <v>0</v>
      </c>
      <c r="V1005" s="530">
        <v>0</v>
      </c>
      <c r="W1005" s="530">
        <v>0</v>
      </c>
      <c r="X1005" s="490"/>
      <c r="Y1005" s="969"/>
      <c r="Z1005" s="969"/>
      <c r="AA1005" s="969"/>
      <c r="AB1005" s="969"/>
      <c r="AC1005" s="969"/>
      <c r="AD1005" s="969"/>
      <c r="AE1005" s="969" t="str">
        <f t="shared" si="45"/>
        <v>TheewaterskloofRemuneration of councillors</v>
      </c>
      <c r="AF1005" s="969"/>
      <c r="AG1005" s="969"/>
    </row>
    <row r="1006" spans="2:33" ht="13.2" customHeight="1" x14ac:dyDescent="0.55000000000000004">
      <c r="B1006" s="371"/>
      <c r="C1006" s="1010" t="s">
        <v>738</v>
      </c>
      <c r="D1006" s="360" t="str">
        <f t="shared" si="46"/>
        <v>Waste water management3300</v>
      </c>
      <c r="E1006" s="360" t="str">
        <f t="shared" si="47"/>
        <v>TheewaterskloofWaste water managementBulk purchases - electricity</v>
      </c>
      <c r="F1006" s="360" t="str">
        <f>'PART C- Municipal Details'!$G$7</f>
        <v>Theewaterskloof</v>
      </c>
      <c r="G1006" s="360" t="s">
        <v>812</v>
      </c>
      <c r="H1006" s="366" t="s">
        <v>815</v>
      </c>
      <c r="I1006" s="496" t="s">
        <v>724</v>
      </c>
      <c r="J1006" s="497" t="s">
        <v>710</v>
      </c>
      <c r="K1006" s="490"/>
      <c r="L1006" s="463" t="s">
        <v>724</v>
      </c>
      <c r="M1006" s="459"/>
      <c r="N1006" s="461"/>
      <c r="O1006" s="461"/>
      <c r="P1006" s="461"/>
      <c r="Q1006" s="461"/>
      <c r="R1006" s="461"/>
      <c r="S1006" s="461"/>
      <c r="T1006" s="461"/>
      <c r="U1006" s="530">
        <v>0</v>
      </c>
      <c r="V1006" s="530">
        <v>0</v>
      </c>
      <c r="W1006" s="530">
        <v>0</v>
      </c>
      <c r="X1006" s="490"/>
      <c r="Y1006" s="969"/>
      <c r="Z1006" s="969"/>
      <c r="AA1006" s="969"/>
      <c r="AB1006" s="969"/>
      <c r="AC1006" s="969"/>
      <c r="AD1006" s="969"/>
      <c r="AE1006" s="969" t="str">
        <f t="shared" si="45"/>
        <v>TheewaterskloofBulk purchases - electricity</v>
      </c>
      <c r="AF1006" s="969"/>
      <c r="AG1006" s="969"/>
    </row>
    <row r="1007" spans="2:33" ht="13.2" customHeight="1" x14ac:dyDescent="0.55000000000000004">
      <c r="B1007" s="371"/>
      <c r="C1007" s="1010" t="s">
        <v>739</v>
      </c>
      <c r="D1007" s="361" t="str">
        <f t="shared" si="46"/>
        <v>Waste water management3400</v>
      </c>
      <c r="E1007" s="361" t="str">
        <f t="shared" si="47"/>
        <v>TheewaterskloofWaste water managementInventory consumed</v>
      </c>
      <c r="F1007" s="360" t="str">
        <f>'PART C- Municipal Details'!$G$7</f>
        <v>Theewaterskloof</v>
      </c>
      <c r="G1007" s="361" t="s">
        <v>812</v>
      </c>
      <c r="H1007" s="363" t="s">
        <v>815</v>
      </c>
      <c r="I1007" s="496" t="s">
        <v>726</v>
      </c>
      <c r="J1007" s="497" t="s">
        <v>635</v>
      </c>
      <c r="K1007" s="490"/>
      <c r="L1007" s="463" t="s">
        <v>726</v>
      </c>
      <c r="M1007" s="459"/>
      <c r="N1007" s="461"/>
      <c r="O1007" s="461"/>
      <c r="P1007" s="461"/>
      <c r="Q1007" s="461"/>
      <c r="R1007" s="461"/>
      <c r="S1007" s="461"/>
      <c r="T1007" s="461"/>
      <c r="U1007" s="530">
        <v>1606343</v>
      </c>
      <c r="V1007" s="530">
        <v>1660961</v>
      </c>
      <c r="W1007" s="530">
        <v>1714112</v>
      </c>
      <c r="X1007" s="490"/>
      <c r="Y1007" s="969"/>
      <c r="Z1007" s="969"/>
      <c r="AA1007" s="969"/>
      <c r="AB1007" s="969"/>
      <c r="AC1007" s="969"/>
      <c r="AD1007" s="969"/>
      <c r="AE1007" s="969" t="str">
        <f t="shared" si="45"/>
        <v>TheewaterskloofInventory consumed</v>
      </c>
      <c r="AF1007" s="969"/>
      <c r="AG1007" s="969"/>
    </row>
    <row r="1008" spans="2:33" ht="13.2" customHeight="1" x14ac:dyDescent="0.55000000000000004">
      <c r="B1008" s="371"/>
      <c r="C1008" s="1010" t="s">
        <v>741</v>
      </c>
      <c r="D1008" s="360" t="str">
        <f t="shared" si="46"/>
        <v>Waste water management3500</v>
      </c>
      <c r="E1008" s="360" t="str">
        <f t="shared" si="47"/>
        <v>TheewaterskloofWaste water managementDebt impairment</v>
      </c>
      <c r="F1008" s="360" t="str">
        <f>'PART C- Municipal Details'!$G$7</f>
        <v>Theewaterskloof</v>
      </c>
      <c r="G1008" s="360" t="s">
        <v>812</v>
      </c>
      <c r="H1008" s="366" t="s">
        <v>815</v>
      </c>
      <c r="I1008" s="496" t="s">
        <v>10</v>
      </c>
      <c r="J1008" s="497" t="s">
        <v>740</v>
      </c>
      <c r="K1008" s="490"/>
      <c r="L1008" s="463" t="s">
        <v>10</v>
      </c>
      <c r="M1008" s="459"/>
      <c r="N1008" s="461"/>
      <c r="O1008" s="461"/>
      <c r="P1008" s="461"/>
      <c r="Q1008" s="461"/>
      <c r="R1008" s="461"/>
      <c r="S1008" s="461"/>
      <c r="T1008" s="461"/>
      <c r="U1008" s="530">
        <v>13338000</v>
      </c>
      <c r="V1008" s="530">
        <v>13791492</v>
      </c>
      <c r="W1008" s="530">
        <v>14232820</v>
      </c>
      <c r="X1008" s="490"/>
      <c r="Y1008" s="969"/>
      <c r="Z1008" s="969"/>
      <c r="AA1008" s="969"/>
      <c r="AB1008" s="969"/>
      <c r="AC1008" s="969"/>
      <c r="AD1008" s="969"/>
      <c r="AE1008" s="969" t="str">
        <f t="shared" ref="AE1008:AE1072" si="48">F1008&amp;L1008</f>
        <v>TheewaterskloofDebt impairment</v>
      </c>
      <c r="AF1008" s="969"/>
      <c r="AG1008" s="969"/>
    </row>
    <row r="1009" spans="2:33" ht="13.2" customHeight="1" x14ac:dyDescent="0.55000000000000004">
      <c r="B1009" s="371"/>
      <c r="C1009" s="1010" t="s">
        <v>743</v>
      </c>
      <c r="D1009" s="361" t="str">
        <f t="shared" si="46"/>
        <v>Waste water management3600</v>
      </c>
      <c r="E1009" s="361" t="str">
        <f t="shared" si="47"/>
        <v>TheewaterskloofWaste water managementDepreciation and asset impairment</v>
      </c>
      <c r="F1009" s="360" t="str">
        <f>'PART C- Municipal Details'!$G$7</f>
        <v>Theewaterskloof</v>
      </c>
      <c r="G1009" s="361" t="s">
        <v>812</v>
      </c>
      <c r="H1009" s="363" t="s">
        <v>815</v>
      </c>
      <c r="I1009" s="496" t="s">
        <v>720</v>
      </c>
      <c r="J1009" s="497" t="s">
        <v>742</v>
      </c>
      <c r="K1009" s="490"/>
      <c r="L1009" s="463" t="s">
        <v>745</v>
      </c>
      <c r="M1009" s="459"/>
      <c r="N1009" s="461"/>
      <c r="O1009" s="461"/>
      <c r="P1009" s="461"/>
      <c r="Q1009" s="461"/>
      <c r="R1009" s="461"/>
      <c r="S1009" s="461"/>
      <c r="T1009" s="461"/>
      <c r="U1009" s="1315">
        <v>9307404</v>
      </c>
      <c r="V1009" s="1315">
        <v>9772774</v>
      </c>
      <c r="W1009" s="1315">
        <v>10261413</v>
      </c>
      <c r="X1009" s="490"/>
      <c r="Y1009" s="969"/>
      <c r="Z1009" s="969"/>
      <c r="AA1009" s="969"/>
      <c r="AB1009" s="969"/>
      <c r="AC1009" s="969"/>
      <c r="AD1009" s="969"/>
      <c r="AE1009" s="969" t="str">
        <f t="shared" si="48"/>
        <v>TheewaterskloofDepreciation and amortisation</v>
      </c>
      <c r="AF1009" s="969"/>
      <c r="AG1009" s="969"/>
    </row>
    <row r="1010" spans="2:33" ht="13.2" customHeight="1" x14ac:dyDescent="0.55000000000000004">
      <c r="B1010" s="371"/>
      <c r="C1010" s="1010" t="s">
        <v>746</v>
      </c>
      <c r="D1010" s="360" t="str">
        <f t="shared" si="46"/>
        <v>Waste water management3700</v>
      </c>
      <c r="E1010" s="360" t="str">
        <f t="shared" si="47"/>
        <v>TheewaterskloofWaste water managementFinance charges</v>
      </c>
      <c r="F1010" s="360" t="str">
        <f>'PART C- Municipal Details'!$G$7</f>
        <v>Theewaterskloof</v>
      </c>
      <c r="G1010" s="360" t="s">
        <v>812</v>
      </c>
      <c r="H1010" s="366" t="s">
        <v>815</v>
      </c>
      <c r="I1010" s="496" t="s">
        <v>11</v>
      </c>
      <c r="J1010" s="497" t="s">
        <v>744</v>
      </c>
      <c r="K1010" s="490"/>
      <c r="L1010" s="463" t="s">
        <v>687</v>
      </c>
      <c r="M1010" s="459"/>
      <c r="N1010" s="461"/>
      <c r="O1010" s="461"/>
      <c r="P1010" s="461"/>
      <c r="Q1010" s="461"/>
      <c r="R1010" s="461"/>
      <c r="S1010" s="461"/>
      <c r="T1010" s="461"/>
      <c r="U1010" s="530">
        <v>2357463</v>
      </c>
      <c r="V1010" s="530">
        <v>2437617</v>
      </c>
      <c r="W1010" s="530">
        <v>2515621</v>
      </c>
      <c r="X1010" s="490"/>
      <c r="Y1010" s="969"/>
      <c r="Z1010" s="969"/>
      <c r="AA1010" s="969"/>
      <c r="AB1010" s="969"/>
      <c r="AC1010" s="969"/>
      <c r="AD1010" s="969"/>
      <c r="AE1010" s="969" t="str">
        <f t="shared" si="48"/>
        <v>TheewaterskloofInterest</v>
      </c>
      <c r="AF1010" s="969"/>
      <c r="AG1010" s="969"/>
    </row>
    <row r="1011" spans="2:33" ht="13.2" customHeight="1" x14ac:dyDescent="0.55000000000000004">
      <c r="B1011" s="371"/>
      <c r="C1011" s="1010" t="s">
        <v>748</v>
      </c>
      <c r="D1011" s="361" t="str">
        <f t="shared" si="46"/>
        <v>Waste water management3800</v>
      </c>
      <c r="E1011" s="361" t="str">
        <f t="shared" si="47"/>
        <v>TheewaterskloofWaste water managementContracted services</v>
      </c>
      <c r="F1011" s="360" t="str">
        <f>'PART C- Municipal Details'!$G$7</f>
        <v>Theewaterskloof</v>
      </c>
      <c r="G1011" s="361" t="s">
        <v>812</v>
      </c>
      <c r="H1011" s="363" t="s">
        <v>815</v>
      </c>
      <c r="I1011" s="496" t="s">
        <v>12</v>
      </c>
      <c r="J1011" s="497" t="s">
        <v>747</v>
      </c>
      <c r="K1011" s="490"/>
      <c r="L1011" s="463" t="s">
        <v>12</v>
      </c>
      <c r="M1011" s="459"/>
      <c r="N1011" s="461"/>
      <c r="O1011" s="461"/>
      <c r="P1011" s="461"/>
      <c r="Q1011" s="461"/>
      <c r="R1011" s="461"/>
      <c r="S1011" s="461"/>
      <c r="T1011" s="461"/>
      <c r="U1011" s="530">
        <v>5607523</v>
      </c>
      <c r="V1011" s="530">
        <v>5798186</v>
      </c>
      <c r="W1011" s="530">
        <v>5983737</v>
      </c>
      <c r="X1011" s="490"/>
      <c r="Y1011" s="969"/>
      <c r="Z1011" s="969"/>
      <c r="AA1011" s="969"/>
      <c r="AB1011" s="969"/>
      <c r="AC1011" s="969"/>
      <c r="AD1011" s="969"/>
      <c r="AE1011" s="969" t="str">
        <f t="shared" si="48"/>
        <v>TheewaterskloofContracted services</v>
      </c>
      <c r="AF1011" s="969"/>
      <c r="AG1011" s="969"/>
    </row>
    <row r="1012" spans="2:33" ht="13.2" customHeight="1" x14ac:dyDescent="0.55000000000000004">
      <c r="B1012" s="371"/>
      <c r="C1012" s="1010" t="s">
        <v>750</v>
      </c>
      <c r="D1012" s="360" t="str">
        <f t="shared" si="46"/>
        <v>Waste water management3900</v>
      </c>
      <c r="E1012" s="360" t="str">
        <f t="shared" si="47"/>
        <v>TheewaterskloofWaste water managementTransfers and subsidies</v>
      </c>
      <c r="F1012" s="360" t="str">
        <f>'PART C- Municipal Details'!$G$7</f>
        <v>Theewaterskloof</v>
      </c>
      <c r="G1012" s="360" t="s">
        <v>812</v>
      </c>
      <c r="H1012" s="366" t="s">
        <v>815</v>
      </c>
      <c r="I1012" s="496" t="s">
        <v>204</v>
      </c>
      <c r="J1012" s="497" t="s">
        <v>749</v>
      </c>
      <c r="K1012" s="490"/>
      <c r="L1012" s="463" t="s">
        <v>204</v>
      </c>
      <c r="M1012" s="459"/>
      <c r="N1012" s="461"/>
      <c r="O1012" s="461"/>
      <c r="P1012" s="461"/>
      <c r="Q1012" s="461"/>
      <c r="R1012" s="461"/>
      <c r="S1012" s="461"/>
      <c r="T1012" s="461"/>
      <c r="U1012" s="530">
        <v>0</v>
      </c>
      <c r="V1012" s="530">
        <v>0</v>
      </c>
      <c r="W1012" s="530">
        <v>0</v>
      </c>
      <c r="X1012" s="490"/>
      <c r="Y1012" s="969"/>
      <c r="Z1012" s="969"/>
      <c r="AA1012" s="969"/>
      <c r="AB1012" s="969"/>
      <c r="AC1012" s="969"/>
      <c r="AD1012" s="969"/>
      <c r="AE1012" s="969" t="str">
        <f t="shared" si="48"/>
        <v>TheewaterskloofTransfers and subsidies</v>
      </c>
      <c r="AF1012" s="969"/>
      <c r="AG1012" s="969"/>
    </row>
    <row r="1013" spans="2:33" ht="13.2" customHeight="1" x14ac:dyDescent="0.55000000000000004">
      <c r="B1013" s="371"/>
      <c r="C1013" s="1010" t="s">
        <v>752</v>
      </c>
      <c r="D1013" s="361" t="str">
        <f t="shared" si="46"/>
        <v>Waste water management4000</v>
      </c>
      <c r="E1013" s="361" t="str">
        <f t="shared" si="47"/>
        <v>TheewaterskloofWaste water managementOther expenditure</v>
      </c>
      <c r="F1013" s="360" t="str">
        <f>'PART C- Municipal Details'!$G$7</f>
        <v>Theewaterskloof</v>
      </c>
      <c r="G1013" s="361" t="s">
        <v>812</v>
      </c>
      <c r="H1013" s="363" t="s">
        <v>815</v>
      </c>
      <c r="I1013" s="496" t="s">
        <v>13</v>
      </c>
      <c r="J1013" s="497" t="s">
        <v>751</v>
      </c>
      <c r="K1013" s="490"/>
      <c r="L1013" s="463" t="s">
        <v>754</v>
      </c>
      <c r="M1013" s="459"/>
      <c r="N1013" s="461"/>
      <c r="O1013" s="461"/>
      <c r="P1013" s="461"/>
      <c r="Q1013" s="461"/>
      <c r="R1013" s="461"/>
      <c r="S1013" s="461"/>
      <c r="T1013" s="461"/>
      <c r="U1013" s="530">
        <v>0</v>
      </c>
      <c r="V1013" s="530">
        <v>0</v>
      </c>
      <c r="W1013" s="530">
        <v>0</v>
      </c>
      <c r="X1013" s="490"/>
      <c r="Y1013" s="969"/>
      <c r="Z1013" s="969"/>
      <c r="AA1013" s="969"/>
      <c r="AB1013" s="969"/>
      <c r="AC1013" s="969"/>
      <c r="AD1013" s="969"/>
      <c r="AE1013" s="969" t="str">
        <f t="shared" si="48"/>
        <v>TheewaterskloofIrrecoverable debts written off</v>
      </c>
      <c r="AF1013" s="969"/>
      <c r="AG1013" s="969"/>
    </row>
    <row r="1014" spans="2:33" ht="13.2" customHeight="1" x14ac:dyDescent="0.55000000000000004">
      <c r="B1014" s="371"/>
      <c r="C1014" s="1010" t="s">
        <v>755</v>
      </c>
      <c r="D1014" s="360" t="str">
        <f t="shared" si="46"/>
        <v>Waste water management4100</v>
      </c>
      <c r="E1014" s="360" t="str">
        <f t="shared" si="47"/>
        <v>TheewaterskloofWaste water managementOther expenditure</v>
      </c>
      <c r="F1014" s="360" t="str">
        <f>'PART C- Municipal Details'!$G$7</f>
        <v>Theewaterskloof</v>
      </c>
      <c r="G1014" s="360" t="s">
        <v>812</v>
      </c>
      <c r="H1014" s="366" t="s">
        <v>815</v>
      </c>
      <c r="I1014" s="496" t="s">
        <v>13</v>
      </c>
      <c r="J1014" s="497" t="s">
        <v>753</v>
      </c>
      <c r="K1014" s="490"/>
      <c r="L1014" s="463" t="s">
        <v>757</v>
      </c>
      <c r="M1014" s="459"/>
      <c r="N1014" s="461"/>
      <c r="O1014" s="461"/>
      <c r="P1014" s="461"/>
      <c r="Q1014" s="461"/>
      <c r="R1014" s="461"/>
      <c r="S1014" s="461"/>
      <c r="T1014" s="461"/>
      <c r="U1014" s="530">
        <v>12182363</v>
      </c>
      <c r="V1014" s="530">
        <v>12596564</v>
      </c>
      <c r="W1014" s="530">
        <v>12999654</v>
      </c>
      <c r="X1014" s="490"/>
      <c r="Y1014" s="969"/>
      <c r="Z1014" s="969"/>
      <c r="AA1014" s="969"/>
      <c r="AB1014" s="969"/>
      <c r="AC1014" s="969"/>
      <c r="AD1014" s="969"/>
      <c r="AE1014" s="969" t="str">
        <f t="shared" si="48"/>
        <v>TheewaterskloofOperational costs</v>
      </c>
      <c r="AF1014" s="969"/>
      <c r="AG1014" s="969"/>
    </row>
    <row r="1015" spans="2:33" ht="13.2" customHeight="1" x14ac:dyDescent="0.55000000000000004">
      <c r="B1015" s="371"/>
      <c r="C1015" s="1010" t="s">
        <v>758</v>
      </c>
      <c r="D1015" s="361" t="str">
        <f t="shared" si="46"/>
        <v>Waste water management4200</v>
      </c>
      <c r="E1015" s="361" t="str">
        <f t="shared" si="47"/>
        <v>TheewaterskloofWaste water managementLosses</v>
      </c>
      <c r="F1015" s="360" t="str">
        <f>'PART C- Municipal Details'!$G$7</f>
        <v>Theewaterskloof</v>
      </c>
      <c r="G1015" s="361" t="s">
        <v>812</v>
      </c>
      <c r="H1015" s="363" t="s">
        <v>815</v>
      </c>
      <c r="I1015" s="496" t="s">
        <v>734</v>
      </c>
      <c r="J1015" s="497" t="s">
        <v>756</v>
      </c>
      <c r="K1015" s="490"/>
      <c r="L1015" s="463" t="s">
        <v>760</v>
      </c>
      <c r="M1015" s="459"/>
      <c r="N1015" s="461"/>
      <c r="O1015" s="461"/>
      <c r="P1015" s="461"/>
      <c r="Q1015" s="461"/>
      <c r="R1015" s="461"/>
      <c r="S1015" s="461"/>
      <c r="T1015" s="461"/>
      <c r="U1015" s="530">
        <v>0</v>
      </c>
      <c r="V1015" s="530">
        <v>0</v>
      </c>
      <c r="W1015" s="530">
        <v>0</v>
      </c>
      <c r="X1015" s="490"/>
      <c r="Y1015" s="969"/>
      <c r="Z1015" s="969"/>
      <c r="AA1015" s="969"/>
      <c r="AB1015" s="969"/>
      <c r="AC1015" s="969"/>
      <c r="AD1015" s="969"/>
      <c r="AE1015" s="969" t="str">
        <f t="shared" si="48"/>
        <v>TheewaterskloofLosses on disposal of Assets</v>
      </c>
      <c r="AF1015" s="969"/>
      <c r="AG1015" s="969"/>
    </row>
    <row r="1016" spans="2:33" ht="13.2" customHeight="1" x14ac:dyDescent="0.55000000000000004">
      <c r="B1016" s="371"/>
      <c r="C1016" s="1010" t="s">
        <v>761</v>
      </c>
      <c r="D1016" s="360" t="str">
        <f t="shared" si="46"/>
        <v>Waste water management4300</v>
      </c>
      <c r="E1016" s="360" t="str">
        <f t="shared" si="47"/>
        <v>TheewaterskloofWaste water managementOther expenditure</v>
      </c>
      <c r="F1016" s="360" t="str">
        <f>'PART C- Municipal Details'!$G$7</f>
        <v>Theewaterskloof</v>
      </c>
      <c r="G1016" s="360" t="s">
        <v>812</v>
      </c>
      <c r="H1016" s="366" t="s">
        <v>815</v>
      </c>
      <c r="I1016" s="496" t="s">
        <v>13</v>
      </c>
      <c r="J1016" s="497" t="s">
        <v>759</v>
      </c>
      <c r="K1016" s="490"/>
      <c r="L1016" s="463" t="s">
        <v>763</v>
      </c>
      <c r="M1016" s="459"/>
      <c r="N1016" s="461"/>
      <c r="O1016" s="461"/>
      <c r="P1016" s="461"/>
      <c r="Q1016" s="461"/>
      <c r="R1016" s="461"/>
      <c r="S1016" s="461"/>
      <c r="T1016" s="461"/>
      <c r="U1016" s="530">
        <v>0</v>
      </c>
      <c r="V1016" s="530">
        <v>0</v>
      </c>
      <c r="W1016" s="530">
        <v>0</v>
      </c>
      <c r="X1016" s="490"/>
      <c r="Y1016" s="969"/>
      <c r="Z1016" s="969"/>
      <c r="AA1016" s="969"/>
      <c r="AB1016" s="969"/>
      <c r="AC1016" s="969"/>
      <c r="AD1016" s="969"/>
      <c r="AE1016" s="969" t="str">
        <f t="shared" si="48"/>
        <v>TheewaterskloofOther Losses</v>
      </c>
      <c r="AF1016" s="969"/>
      <c r="AG1016" s="969"/>
    </row>
    <row r="1017" spans="2:33" ht="13.2" customHeight="1" x14ac:dyDescent="0.55000000000000004">
      <c r="B1017" s="371"/>
      <c r="C1017" s="1009" t="s">
        <v>764</v>
      </c>
      <c r="D1017" s="361" t="str">
        <f t="shared" si="46"/>
        <v>Waste water management4400</v>
      </c>
      <c r="E1017" s="361" t="str">
        <f t="shared" si="47"/>
        <v>TheewaterskloofWaste water managementTotal Expenditure</v>
      </c>
      <c r="F1017" s="360" t="str">
        <f>'PART C- Municipal Details'!$G$7</f>
        <v>Theewaterskloof</v>
      </c>
      <c r="G1017" s="361" t="s">
        <v>812</v>
      </c>
      <c r="H1017" s="363" t="s">
        <v>815</v>
      </c>
      <c r="I1017" s="496" t="s">
        <v>736</v>
      </c>
      <c r="J1017" s="497" t="s">
        <v>762</v>
      </c>
      <c r="K1017" s="490"/>
      <c r="L1017" s="508" t="s">
        <v>736</v>
      </c>
      <c r="M1017" s="509"/>
      <c r="N1017" s="510"/>
      <c r="O1017" s="510"/>
      <c r="P1017" s="510"/>
      <c r="Q1017" s="510"/>
      <c r="R1017" s="510"/>
      <c r="S1017" s="510"/>
      <c r="T1017" s="511"/>
      <c r="U1017" s="529">
        <v>64870504</v>
      </c>
      <c r="V1017" s="529">
        <v>67225029</v>
      </c>
      <c r="W1017" s="529">
        <v>69552146</v>
      </c>
      <c r="X1017" s="490"/>
      <c r="Y1017" s="969"/>
      <c r="Z1017" s="969"/>
      <c r="AA1017" s="969"/>
      <c r="AB1017" s="969"/>
      <c r="AC1017" s="969"/>
      <c r="AD1017" s="969"/>
      <c r="AE1017" s="969" t="str">
        <f t="shared" si="48"/>
        <v>TheewaterskloofTotal Expenditure</v>
      </c>
      <c r="AF1017" s="969"/>
      <c r="AG1017" s="969"/>
    </row>
    <row r="1018" spans="2:33" ht="13.2" customHeight="1" x14ac:dyDescent="0.55000000000000004">
      <c r="B1018" s="371"/>
      <c r="C1018" s="1009" t="s">
        <v>766</v>
      </c>
      <c r="D1018" s="360" t="str">
        <f t="shared" si="46"/>
        <v>Waste water management4500</v>
      </c>
      <c r="E1018" s="360" t="str">
        <f t="shared" si="47"/>
        <v>TheewaterskloofWaste water managementSurplus/(Deficit)</v>
      </c>
      <c r="F1018" s="360" t="str">
        <f>'PART C- Municipal Details'!$G$7</f>
        <v>Theewaterskloof</v>
      </c>
      <c r="G1018" s="360" t="s">
        <v>812</v>
      </c>
      <c r="H1018" s="366" t="s">
        <v>815</v>
      </c>
      <c r="I1018" s="496" t="s">
        <v>635</v>
      </c>
      <c r="J1018" s="497" t="s">
        <v>765</v>
      </c>
      <c r="K1018" s="490"/>
      <c r="L1018" s="463" t="s">
        <v>635</v>
      </c>
      <c r="M1018" s="459"/>
      <c r="N1018" s="459"/>
      <c r="O1018" s="459"/>
      <c r="P1018" s="459"/>
      <c r="Q1018" s="459"/>
      <c r="R1018" s="459"/>
      <c r="S1018" s="459"/>
      <c r="T1018" s="459"/>
      <c r="U1018" s="530">
        <v>11810006</v>
      </c>
      <c r="V1018" s="530">
        <v>12327634</v>
      </c>
      <c r="W1018" s="530">
        <v>12360265</v>
      </c>
      <c r="X1018" s="490"/>
      <c r="Y1018" s="969"/>
      <c r="Z1018" s="969"/>
      <c r="AA1018" s="969"/>
      <c r="AB1018" s="969"/>
      <c r="AC1018" s="969"/>
      <c r="AD1018" s="969"/>
      <c r="AE1018" s="969" t="str">
        <f t="shared" si="48"/>
        <v>TheewaterskloofSurplus/(Deficit)</v>
      </c>
      <c r="AF1018" s="969"/>
      <c r="AG1018" s="969"/>
    </row>
    <row r="1019" spans="2:33" ht="13.2" customHeight="1" x14ac:dyDescent="0.55000000000000004">
      <c r="B1019" s="371"/>
      <c r="C1019" s="1010" t="s">
        <v>768</v>
      </c>
      <c r="D1019" s="361" t="str">
        <f t="shared" si="46"/>
        <v>Waste water management4600</v>
      </c>
      <c r="E1019" s="361" t="str">
        <f t="shared" si="47"/>
        <v>TheewaterskloofWaste water managementTransfers and subsidies - capital (monetary allocations) (National / Provincial and District)</v>
      </c>
      <c r="F1019" s="360" t="str">
        <f>'PART C- Municipal Details'!$G$7</f>
        <v>Theewaterskloof</v>
      </c>
      <c r="G1019" s="361" t="s">
        <v>812</v>
      </c>
      <c r="H1019" s="363" t="s">
        <v>815</v>
      </c>
      <c r="I1019" s="496" t="s">
        <v>740</v>
      </c>
      <c r="J1019" s="497" t="s">
        <v>767</v>
      </c>
      <c r="K1019" s="490"/>
      <c r="L1019" s="463" t="s">
        <v>770</v>
      </c>
      <c r="M1019" s="459"/>
      <c r="N1019" s="459"/>
      <c r="O1019" s="459"/>
      <c r="P1019" s="459"/>
      <c r="Q1019" s="459"/>
      <c r="R1019" s="459"/>
      <c r="S1019" s="459"/>
      <c r="T1019" s="459"/>
      <c r="U1019" s="530">
        <v>0</v>
      </c>
      <c r="V1019" s="530">
        <v>0</v>
      </c>
      <c r="W1019" s="530">
        <v>0</v>
      </c>
      <c r="X1019" s="490"/>
      <c r="Y1019" s="969"/>
      <c r="Z1019" s="969"/>
      <c r="AA1019" s="969"/>
      <c r="AB1019" s="969"/>
      <c r="AC1019" s="969"/>
      <c r="AD1019" s="969"/>
      <c r="AE1019" s="969" t="str">
        <f t="shared" si="48"/>
        <v>TheewaterskloofTransfers and subsidies - capital (monetary allocations)</v>
      </c>
      <c r="AF1019" s="969"/>
      <c r="AG1019" s="969"/>
    </row>
    <row r="1020" spans="2:33" ht="13.2" customHeight="1" x14ac:dyDescent="0.55000000000000004">
      <c r="B1020" s="371"/>
      <c r="C1020" s="1010" t="s">
        <v>771</v>
      </c>
      <c r="D1020" s="360" t="str">
        <f t="shared" si="46"/>
        <v>Waste water management4700</v>
      </c>
      <c r="E1020" s="360" t="str">
        <f t="shared" si="47"/>
        <v>TheewaterskloofWaste water managementTransfers and subsidies - capital (in-kind - all)</v>
      </c>
      <c r="F1020" s="360" t="str">
        <f>'PART C- Municipal Details'!$G$7</f>
        <v>Theewaterskloof</v>
      </c>
      <c r="G1020" s="360" t="s">
        <v>812</v>
      </c>
      <c r="H1020" s="366" t="s">
        <v>815</v>
      </c>
      <c r="I1020" s="496" t="s">
        <v>744</v>
      </c>
      <c r="J1020" s="497" t="s">
        <v>769</v>
      </c>
      <c r="K1020" s="490"/>
      <c r="L1020" s="463" t="s">
        <v>773</v>
      </c>
      <c r="M1020" s="459"/>
      <c r="N1020" s="459"/>
      <c r="O1020" s="459"/>
      <c r="P1020" s="459"/>
      <c r="Q1020" s="459"/>
      <c r="R1020" s="459"/>
      <c r="S1020" s="459"/>
      <c r="T1020" s="459"/>
      <c r="U1020" s="530">
        <v>0</v>
      </c>
      <c r="V1020" s="530">
        <v>0</v>
      </c>
      <c r="W1020" s="530">
        <v>0</v>
      </c>
      <c r="X1020" s="490"/>
      <c r="Y1020" s="969"/>
      <c r="Z1020" s="969"/>
      <c r="AA1020" s="969"/>
      <c r="AB1020" s="969"/>
      <c r="AC1020" s="969"/>
      <c r="AD1020" s="969"/>
      <c r="AE1020" s="969" t="str">
        <f t="shared" si="48"/>
        <v>TheewaterskloofTransfers and subsidies - capital (in-kind)</v>
      </c>
      <c r="AF1020" s="969"/>
      <c r="AG1020" s="969"/>
    </row>
    <row r="1021" spans="2:33" ht="13.2" customHeight="1" x14ac:dyDescent="0.55000000000000004">
      <c r="B1021" s="371"/>
      <c r="C1021" s="1009" t="s">
        <v>774</v>
      </c>
      <c r="D1021" s="361" t="str">
        <f t="shared" si="46"/>
        <v>Waste water management4800</v>
      </c>
      <c r="E1021" s="361" t="str">
        <f t="shared" si="47"/>
        <v>TheewaterskloofWaste water managementSurplus/(Deficit) after capital transfers and contributions</v>
      </c>
      <c r="F1021" s="360" t="str">
        <f>'PART C- Municipal Details'!$G$7</f>
        <v>Theewaterskloof</v>
      </c>
      <c r="G1021" s="361" t="s">
        <v>812</v>
      </c>
      <c r="H1021" s="363" t="s">
        <v>815</v>
      </c>
      <c r="I1021" s="496" t="s">
        <v>747</v>
      </c>
      <c r="J1021" s="497" t="s">
        <v>772</v>
      </c>
      <c r="K1021" s="490"/>
      <c r="L1021" s="463" t="s">
        <v>747</v>
      </c>
      <c r="M1021" s="459"/>
      <c r="N1021" s="459"/>
      <c r="O1021" s="459"/>
      <c r="P1021" s="459"/>
      <c r="Q1021" s="459"/>
      <c r="R1021" s="459"/>
      <c r="S1021" s="459"/>
      <c r="T1021" s="459"/>
      <c r="U1021" s="530">
        <v>11810006</v>
      </c>
      <c r="V1021" s="530">
        <v>12327634</v>
      </c>
      <c r="W1021" s="530">
        <v>12360265</v>
      </c>
      <c r="X1021" s="490"/>
      <c r="Y1021" s="969"/>
      <c r="Z1021" s="969"/>
      <c r="AA1021" s="969"/>
      <c r="AB1021" s="969"/>
      <c r="AC1021" s="969"/>
      <c r="AD1021" s="969"/>
      <c r="AE1021" s="969" t="str">
        <f t="shared" si="48"/>
        <v>TheewaterskloofSurplus/(Deficit) after capital transfers and contributions</v>
      </c>
      <c r="AF1021" s="969"/>
      <c r="AG1021" s="969"/>
    </row>
    <row r="1022" spans="2:33" ht="13.2" customHeight="1" x14ac:dyDescent="0.55000000000000004">
      <c r="B1022" s="371"/>
      <c r="C1022" s="1010" t="s">
        <v>776</v>
      </c>
      <c r="D1022" s="360" t="str">
        <f t="shared" si="46"/>
        <v>Waste water management4900</v>
      </c>
      <c r="E1022" s="360" t="str">
        <f t="shared" si="47"/>
        <v>TheewaterskloofWaste water managementTaxation</v>
      </c>
      <c r="F1022" s="360" t="str">
        <f>'PART C- Municipal Details'!$G$7</f>
        <v>Theewaterskloof</v>
      </c>
      <c r="G1022" s="360" t="s">
        <v>812</v>
      </c>
      <c r="H1022" s="366" t="s">
        <v>815</v>
      </c>
      <c r="I1022" s="496" t="s">
        <v>749</v>
      </c>
      <c r="J1022" s="497" t="s">
        <v>775</v>
      </c>
      <c r="K1022" s="490"/>
      <c r="L1022" s="463" t="s">
        <v>778</v>
      </c>
      <c r="M1022" s="459"/>
      <c r="N1022" s="459"/>
      <c r="O1022" s="459"/>
      <c r="P1022" s="459"/>
      <c r="Q1022" s="459"/>
      <c r="R1022" s="459"/>
      <c r="S1022" s="459"/>
      <c r="T1022" s="459"/>
      <c r="U1022" s="530">
        <v>0</v>
      </c>
      <c r="V1022" s="530">
        <v>0</v>
      </c>
      <c r="W1022" s="530">
        <v>0</v>
      </c>
      <c r="X1022" s="490"/>
      <c r="Y1022" s="969"/>
      <c r="Z1022" s="969"/>
      <c r="AA1022" s="969"/>
      <c r="AB1022" s="969"/>
      <c r="AC1022" s="969"/>
      <c r="AD1022" s="969"/>
      <c r="AE1022" s="969" t="str">
        <f t="shared" si="48"/>
        <v>TheewaterskloofIncome Tax</v>
      </c>
      <c r="AF1022" s="969"/>
      <c r="AG1022" s="969"/>
    </row>
    <row r="1023" spans="2:33" ht="13.2" customHeight="1" x14ac:dyDescent="0.55000000000000004">
      <c r="B1023" s="371"/>
      <c r="C1023" s="1009" t="s">
        <v>779</v>
      </c>
      <c r="D1023" s="361" t="str">
        <f t="shared" si="46"/>
        <v>Waste water management5000</v>
      </c>
      <c r="E1023" s="361" t="str">
        <f t="shared" si="47"/>
        <v>TheewaterskloofWaste water managementSurplus/(Deficit) after taxation</v>
      </c>
      <c r="F1023" s="360" t="str">
        <f>'PART C- Municipal Details'!$G$7</f>
        <v>Theewaterskloof</v>
      </c>
      <c r="G1023" s="361" t="s">
        <v>812</v>
      </c>
      <c r="H1023" s="363" t="s">
        <v>815</v>
      </c>
      <c r="I1023" s="496" t="s">
        <v>751</v>
      </c>
      <c r="J1023" s="497" t="s">
        <v>777</v>
      </c>
      <c r="K1023" s="490"/>
      <c r="L1023" s="463" t="s">
        <v>781</v>
      </c>
      <c r="M1023" s="459"/>
      <c r="N1023" s="459"/>
      <c r="O1023" s="459"/>
      <c r="P1023" s="459"/>
      <c r="Q1023" s="459"/>
      <c r="R1023" s="459"/>
      <c r="S1023" s="459"/>
      <c r="T1023" s="459"/>
      <c r="U1023" s="530">
        <v>11810006</v>
      </c>
      <c r="V1023" s="530">
        <v>12327634</v>
      </c>
      <c r="W1023" s="530">
        <v>12360265</v>
      </c>
      <c r="X1023" s="490"/>
      <c r="Y1023" s="969"/>
      <c r="Z1023" s="969"/>
      <c r="AA1023" s="969"/>
      <c r="AB1023" s="969"/>
      <c r="AC1023" s="969"/>
      <c r="AD1023" s="969"/>
      <c r="AE1023" s="969" t="str">
        <f t="shared" si="48"/>
        <v>TheewaterskloofSurplus/(Deficit) after income tax</v>
      </c>
      <c r="AF1023" s="969"/>
      <c r="AG1023" s="969"/>
    </row>
    <row r="1024" spans="2:33" ht="13.2" customHeight="1" x14ac:dyDescent="0.55000000000000004">
      <c r="B1024" s="371"/>
      <c r="C1024" s="1010" t="s">
        <v>782</v>
      </c>
      <c r="D1024" s="360" t="str">
        <f t="shared" si="46"/>
        <v>Waste water management5100</v>
      </c>
      <c r="E1024" s="360" t="str">
        <f t="shared" si="47"/>
        <v>TheewaterskloofWaste water managementShare of Surplus/Deficit attributable to Joint Venture</v>
      </c>
      <c r="F1024" s="360" t="str">
        <f>'PART C- Municipal Details'!$G$7</f>
        <v>Theewaterskloof</v>
      </c>
      <c r="G1024" s="360" t="s">
        <v>812</v>
      </c>
      <c r="H1024" s="366" t="s">
        <v>815</v>
      </c>
      <c r="I1024" s="496" t="s">
        <v>783</v>
      </c>
      <c r="J1024" s="497" t="s">
        <v>780</v>
      </c>
      <c r="K1024" s="490"/>
      <c r="L1024" s="463" t="s">
        <v>783</v>
      </c>
      <c r="M1024" s="459"/>
      <c r="N1024" s="459"/>
      <c r="O1024" s="459"/>
      <c r="P1024" s="459"/>
      <c r="Q1024" s="459"/>
      <c r="R1024" s="459"/>
      <c r="S1024" s="459"/>
      <c r="T1024" s="459"/>
      <c r="U1024" s="530">
        <v>0</v>
      </c>
      <c r="V1024" s="530">
        <v>0</v>
      </c>
      <c r="W1024" s="530">
        <v>0</v>
      </c>
      <c r="X1024" s="490"/>
      <c r="Y1024" s="969"/>
      <c r="Z1024" s="969"/>
      <c r="AA1024" s="969"/>
      <c r="AB1024" s="969"/>
      <c r="AC1024" s="969"/>
      <c r="AD1024" s="969"/>
      <c r="AE1024" s="969" t="str">
        <f t="shared" si="48"/>
        <v>TheewaterskloofShare of Surplus/Deficit attributable to Joint Venture</v>
      </c>
      <c r="AF1024" s="969"/>
      <c r="AG1024" s="969"/>
    </row>
    <row r="1025" spans="2:33" ht="13.2" customHeight="1" x14ac:dyDescent="0.55000000000000004">
      <c r="B1025" s="371"/>
      <c r="C1025" s="1010" t="s">
        <v>785</v>
      </c>
      <c r="D1025" s="361" t="str">
        <f t="shared" si="46"/>
        <v>Waste water management5200</v>
      </c>
      <c r="E1025" s="361" t="str">
        <f t="shared" si="47"/>
        <v>TheewaterskloofWaste water managementAttributable to minorities</v>
      </c>
      <c r="F1025" s="360" t="str">
        <f>'PART C- Municipal Details'!$G$7</f>
        <v>Theewaterskloof</v>
      </c>
      <c r="G1025" s="361" t="s">
        <v>812</v>
      </c>
      <c r="H1025" s="363" t="s">
        <v>815</v>
      </c>
      <c r="I1025" s="496" t="s">
        <v>753</v>
      </c>
      <c r="J1025" s="497" t="s">
        <v>784</v>
      </c>
      <c r="K1025" s="490"/>
      <c r="L1025" s="463" t="s">
        <v>787</v>
      </c>
      <c r="M1025" s="459"/>
      <c r="N1025" s="459"/>
      <c r="O1025" s="459"/>
      <c r="P1025" s="459"/>
      <c r="Q1025" s="459"/>
      <c r="R1025" s="459"/>
      <c r="S1025" s="459"/>
      <c r="T1025" s="459"/>
      <c r="U1025" s="530">
        <v>0</v>
      </c>
      <c r="V1025" s="530">
        <v>0</v>
      </c>
      <c r="W1025" s="530">
        <v>0</v>
      </c>
      <c r="X1025" s="490"/>
      <c r="Y1025" s="969"/>
      <c r="Z1025" s="969"/>
      <c r="AA1025" s="969"/>
      <c r="AB1025" s="969"/>
      <c r="AC1025" s="969"/>
      <c r="AD1025" s="969"/>
      <c r="AE1025" s="969" t="str">
        <f t="shared" si="48"/>
        <v>TheewaterskloofShare of Surplus/Deficit attributable to Minorities</v>
      </c>
      <c r="AF1025" s="969"/>
      <c r="AG1025" s="969"/>
    </row>
    <row r="1026" spans="2:33" ht="13.2" customHeight="1" x14ac:dyDescent="0.55000000000000004">
      <c r="B1026" s="371"/>
      <c r="C1026" s="1009" t="s">
        <v>788</v>
      </c>
      <c r="D1026" s="360" t="str">
        <f t="shared" si="46"/>
        <v>Waste water management5300</v>
      </c>
      <c r="E1026" s="360" t="str">
        <f t="shared" si="47"/>
        <v>TheewaterskloofWaste water managementSurplus/(Deficit) attributable to municipality</v>
      </c>
      <c r="F1026" s="360" t="str">
        <f>'PART C- Municipal Details'!$G$7</f>
        <v>Theewaterskloof</v>
      </c>
      <c r="G1026" s="360" t="s">
        <v>812</v>
      </c>
      <c r="H1026" s="366" t="s">
        <v>815</v>
      </c>
      <c r="I1026" s="496" t="s">
        <v>756</v>
      </c>
      <c r="J1026" s="497" t="s">
        <v>786</v>
      </c>
      <c r="K1026" s="490"/>
      <c r="L1026" s="463" t="s">
        <v>756</v>
      </c>
      <c r="M1026" s="459"/>
      <c r="N1026" s="459"/>
      <c r="O1026" s="459"/>
      <c r="P1026" s="459"/>
      <c r="Q1026" s="459"/>
      <c r="R1026" s="459"/>
      <c r="S1026" s="459"/>
      <c r="T1026" s="459"/>
      <c r="U1026" s="530">
        <v>11810006</v>
      </c>
      <c r="V1026" s="530">
        <v>12327634</v>
      </c>
      <c r="W1026" s="530">
        <v>12360265</v>
      </c>
      <c r="X1026" s="490"/>
      <c r="Y1026" s="969"/>
      <c r="Z1026" s="969"/>
      <c r="AA1026" s="969"/>
      <c r="AB1026" s="969"/>
      <c r="AC1026" s="969"/>
      <c r="AD1026" s="969"/>
      <c r="AE1026" s="969" t="str">
        <f t="shared" si="48"/>
        <v>TheewaterskloofSurplus/(Deficit) attributable to municipality</v>
      </c>
      <c r="AF1026" s="969"/>
      <c r="AG1026" s="969"/>
    </row>
    <row r="1027" spans="2:33" ht="13.2" customHeight="1" x14ac:dyDescent="0.55000000000000004">
      <c r="B1027" s="371"/>
      <c r="C1027" s="1010" t="s">
        <v>790</v>
      </c>
      <c r="D1027" s="361" t="str">
        <f t="shared" si="46"/>
        <v>Waste water management5400</v>
      </c>
      <c r="E1027" s="361" t="str">
        <f t="shared" si="47"/>
        <v>TheewaterskloofWaste water managementShare of surplus/ (deficit) of associate</v>
      </c>
      <c r="F1027" s="360" t="str">
        <f>'PART C- Municipal Details'!$G$7</f>
        <v>Theewaterskloof</v>
      </c>
      <c r="G1027" s="361" t="s">
        <v>812</v>
      </c>
      <c r="H1027" s="363" t="s">
        <v>815</v>
      </c>
      <c r="I1027" s="496" t="s">
        <v>759</v>
      </c>
      <c r="J1027" s="497" t="s">
        <v>789</v>
      </c>
      <c r="K1027" s="490"/>
      <c r="L1027" s="463" t="s">
        <v>791</v>
      </c>
      <c r="M1027" s="459"/>
      <c r="N1027" s="459"/>
      <c r="O1027" s="459"/>
      <c r="P1027" s="459"/>
      <c r="Q1027" s="459"/>
      <c r="R1027" s="459"/>
      <c r="S1027" s="459"/>
      <c r="T1027" s="459"/>
      <c r="U1027" s="530">
        <v>0</v>
      </c>
      <c r="V1027" s="530">
        <v>0</v>
      </c>
      <c r="W1027" s="530">
        <v>0</v>
      </c>
      <c r="X1027" s="490"/>
      <c r="Y1027" s="969"/>
      <c r="Z1027" s="969"/>
      <c r="AA1027" s="969"/>
      <c r="AB1027" s="969"/>
      <c r="AC1027" s="969"/>
      <c r="AD1027" s="969"/>
      <c r="AE1027" s="969" t="str">
        <f t="shared" si="48"/>
        <v>TheewaterskloofShare of Surplus/Deficit attributable to Associate</v>
      </c>
      <c r="AF1027" s="969"/>
      <c r="AG1027" s="969"/>
    </row>
    <row r="1028" spans="2:33" ht="13.2" customHeight="1" x14ac:dyDescent="0.55000000000000004">
      <c r="B1028" s="371"/>
      <c r="C1028" s="1010" t="s">
        <v>792</v>
      </c>
      <c r="D1028" s="360" t="str">
        <f t="shared" si="46"/>
        <v>Waste water management5500</v>
      </c>
      <c r="E1028" s="360" t="str">
        <f t="shared" si="47"/>
        <v>TheewaterskloofWaste water managementIntercompany/Parent subsidiary transactions</v>
      </c>
      <c r="F1028" s="360" t="str">
        <f>'PART C- Municipal Details'!$G$7</f>
        <v>Theewaterskloof</v>
      </c>
      <c r="G1028" s="360" t="s">
        <v>812</v>
      </c>
      <c r="H1028" s="366" t="s">
        <v>815</v>
      </c>
      <c r="I1028" s="496" t="s">
        <v>793</v>
      </c>
      <c r="J1028" s="497" t="s">
        <v>789</v>
      </c>
      <c r="K1028" s="490"/>
      <c r="L1028" s="463" t="s">
        <v>793</v>
      </c>
      <c r="M1028" s="459"/>
      <c r="N1028" s="459"/>
      <c r="O1028" s="459"/>
      <c r="P1028" s="459"/>
      <c r="Q1028" s="459"/>
      <c r="R1028" s="459"/>
      <c r="S1028" s="459"/>
      <c r="T1028" s="459"/>
      <c r="U1028" s="530">
        <v>0</v>
      </c>
      <c r="V1028" s="530">
        <v>0</v>
      </c>
      <c r="W1028" s="530">
        <v>0</v>
      </c>
      <c r="X1028" s="490"/>
      <c r="Y1028" s="969"/>
      <c r="Z1028" s="969"/>
      <c r="AA1028" s="969"/>
      <c r="AB1028" s="969"/>
      <c r="AC1028" s="969"/>
      <c r="AD1028" s="969"/>
      <c r="AE1028" s="969" t="str">
        <f t="shared" si="48"/>
        <v>TheewaterskloofIntercompany/Parent subsidiary transactions</v>
      </c>
      <c r="AF1028" s="969"/>
      <c r="AG1028" s="969"/>
    </row>
    <row r="1029" spans="2:33" ht="13.2" customHeight="1" x14ac:dyDescent="0.55000000000000004">
      <c r="B1029" s="371"/>
      <c r="C1029" s="1009" t="s">
        <v>794</v>
      </c>
      <c r="D1029" s="361" t="str">
        <f t="shared" si="46"/>
        <v>Waste water management5600</v>
      </c>
      <c r="E1029" s="361" t="str">
        <f t="shared" si="47"/>
        <v>TheewaterskloofWaste water managementSurplus/(Deficit) for the year</v>
      </c>
      <c r="F1029" s="360" t="str">
        <f>'PART C- Municipal Details'!$G$7</f>
        <v>Theewaterskloof</v>
      </c>
      <c r="G1029" s="361" t="s">
        <v>812</v>
      </c>
      <c r="H1029" s="363" t="s">
        <v>815</v>
      </c>
      <c r="I1029" s="496" t="s">
        <v>762</v>
      </c>
      <c r="J1029" s="497" t="s">
        <v>789</v>
      </c>
      <c r="K1029" s="490"/>
      <c r="L1029" s="508" t="s">
        <v>762</v>
      </c>
      <c r="M1029" s="509"/>
      <c r="N1029" s="510"/>
      <c r="O1029" s="510"/>
      <c r="P1029" s="510"/>
      <c r="Q1029" s="510"/>
      <c r="R1029" s="510"/>
      <c r="S1029" s="510"/>
      <c r="T1029" s="511"/>
      <c r="U1029" s="530">
        <v>0</v>
      </c>
      <c r="V1029" s="530">
        <v>0</v>
      </c>
      <c r="W1029" s="530">
        <v>0</v>
      </c>
      <c r="X1029" s="490"/>
      <c r="Y1029" s="969"/>
      <c r="Z1029" s="969"/>
      <c r="AA1029" s="969"/>
      <c r="AB1029" s="969"/>
      <c r="AC1029" s="969"/>
      <c r="AD1029" s="969"/>
      <c r="AE1029" s="969" t="str">
        <f t="shared" si="48"/>
        <v>TheewaterskloofSurplus/(Deficit) for the year</v>
      </c>
      <c r="AF1029" s="969"/>
      <c r="AG1029" s="969"/>
    </row>
    <row r="1030" spans="2:33" ht="13.2" customHeight="1" x14ac:dyDescent="0.55000000000000004">
      <c r="B1030" s="371"/>
      <c r="C1030" s="1011">
        <v>55555</v>
      </c>
      <c r="D1030" s="360" t="str">
        <f t="shared" si="46"/>
        <v>Waste water management55555</v>
      </c>
      <c r="E1030" s="360" t="str">
        <f t="shared" si="47"/>
        <v>TheewaterskloofWaste water managementReferences</v>
      </c>
      <c r="F1030" s="360" t="str">
        <f>'PART C- Municipal Details'!$G$7</f>
        <v>Theewaterskloof</v>
      </c>
      <c r="G1030" s="360" t="s">
        <v>812</v>
      </c>
      <c r="H1030" s="366" t="s">
        <v>815</v>
      </c>
      <c r="I1030" s="496" t="s">
        <v>765</v>
      </c>
      <c r="J1030" s="497" t="s">
        <v>789</v>
      </c>
      <c r="K1030" s="490"/>
      <c r="L1030" s="474" t="s">
        <v>765</v>
      </c>
      <c r="M1030" s="475"/>
      <c r="N1030" s="476"/>
      <c r="O1030" s="476"/>
      <c r="P1030" s="476"/>
      <c r="Q1030" s="476"/>
      <c r="R1030" s="476"/>
      <c r="S1030" s="476"/>
      <c r="T1030" s="477"/>
      <c r="U1030" s="530">
        <v>0</v>
      </c>
      <c r="V1030" s="530">
        <v>0</v>
      </c>
      <c r="W1030" s="530">
        <v>0</v>
      </c>
      <c r="X1030" s="490"/>
      <c r="Y1030" s="969"/>
      <c r="Z1030" s="969"/>
      <c r="AA1030" s="969"/>
      <c r="AB1030" s="969"/>
      <c r="AC1030" s="969"/>
      <c r="AD1030" s="969"/>
      <c r="AE1030" s="969" t="str">
        <f t="shared" si="48"/>
        <v>TheewaterskloofReferences</v>
      </c>
      <c r="AF1030" s="969"/>
      <c r="AG1030" s="969"/>
    </row>
    <row r="1031" spans="2:33" ht="13.2" customHeight="1" x14ac:dyDescent="0.55000000000000004">
      <c r="B1031" s="371"/>
      <c r="C1031" s="1011">
        <v>55555</v>
      </c>
      <c r="D1031" s="361" t="str">
        <f t="shared" si="46"/>
        <v>Waste water management55555</v>
      </c>
      <c r="E1031" s="361" t="str">
        <f t="shared" si="47"/>
        <v>TheewaterskloofWaste water management1. Classifications are revenue sources and expenditure type</v>
      </c>
      <c r="F1031" s="360" t="str">
        <f>'PART C- Municipal Details'!$G$7</f>
        <v>Theewaterskloof</v>
      </c>
      <c r="G1031" s="361" t="s">
        <v>812</v>
      </c>
      <c r="H1031" s="363" t="s">
        <v>815</v>
      </c>
      <c r="I1031" s="496" t="s">
        <v>767</v>
      </c>
      <c r="J1031" s="497" t="s">
        <v>789</v>
      </c>
      <c r="K1031" s="490"/>
      <c r="L1031" s="465" t="s">
        <v>767</v>
      </c>
      <c r="M1031" s="472"/>
      <c r="N1031" s="473"/>
      <c r="O1031" s="473"/>
      <c r="P1031" s="473"/>
      <c r="Q1031" s="473"/>
      <c r="R1031" s="473"/>
      <c r="S1031" s="473"/>
      <c r="T1031" s="478"/>
      <c r="U1031" s="530">
        <v>0</v>
      </c>
      <c r="V1031" s="530">
        <v>0</v>
      </c>
      <c r="W1031" s="530">
        <v>0</v>
      </c>
      <c r="X1031" s="490"/>
      <c r="Y1031" s="969"/>
      <c r="Z1031" s="969"/>
      <c r="AA1031" s="969"/>
      <c r="AB1031" s="969"/>
      <c r="AC1031" s="969"/>
      <c r="AD1031" s="969"/>
      <c r="AE1031" s="969" t="str">
        <f t="shared" si="48"/>
        <v>Theewaterskloof1. Classifications are revenue sources and expenditure type</v>
      </c>
      <c r="AF1031" s="969"/>
      <c r="AG1031" s="969"/>
    </row>
    <row r="1032" spans="2:33" ht="13.2" customHeight="1" x14ac:dyDescent="0.55000000000000004">
      <c r="B1032" s="371"/>
      <c r="C1032" s="1011">
        <v>55555</v>
      </c>
      <c r="D1032" s="360" t="str">
        <f t="shared" si="46"/>
        <v>Waste water management55555</v>
      </c>
      <c r="E1032" s="360" t="str">
        <f t="shared" si="47"/>
        <v>TheewaterskloofWaste water management2. Detail to be provided in Table SA1</v>
      </c>
      <c r="F1032" s="360" t="str">
        <f>'PART C- Municipal Details'!$G$7</f>
        <v>Theewaterskloof</v>
      </c>
      <c r="G1032" s="360" t="s">
        <v>812</v>
      </c>
      <c r="H1032" s="366" t="s">
        <v>815</v>
      </c>
      <c r="I1032" s="496" t="s">
        <v>769</v>
      </c>
      <c r="J1032" s="497" t="s">
        <v>789</v>
      </c>
      <c r="K1032" s="490"/>
      <c r="L1032" s="465" t="s">
        <v>769</v>
      </c>
      <c r="M1032" s="472"/>
      <c r="N1032" s="473"/>
      <c r="O1032" s="473"/>
      <c r="P1032" s="473"/>
      <c r="Q1032" s="473"/>
      <c r="R1032" s="473"/>
      <c r="S1032" s="473"/>
      <c r="T1032" s="478"/>
      <c r="U1032" s="530">
        <v>0</v>
      </c>
      <c r="V1032" s="530">
        <v>0</v>
      </c>
      <c r="W1032" s="530">
        <v>0</v>
      </c>
      <c r="X1032" s="490"/>
      <c r="Y1032" s="969"/>
      <c r="Z1032" s="969"/>
      <c r="AA1032" s="969"/>
      <c r="AB1032" s="969"/>
      <c r="AC1032" s="969"/>
      <c r="AD1032" s="969"/>
      <c r="AE1032" s="969" t="str">
        <f t="shared" si="48"/>
        <v>Theewaterskloof2. Detail to be provided in Table SA1</v>
      </c>
      <c r="AF1032" s="969"/>
      <c r="AG1032" s="969"/>
    </row>
    <row r="1033" spans="2:33" ht="13.2" customHeight="1" x14ac:dyDescent="0.55000000000000004">
      <c r="B1033" s="371"/>
      <c r="C1033" s="1011">
        <v>55555</v>
      </c>
      <c r="D1033" s="361" t="str">
        <f t="shared" si="46"/>
        <v>Waste water management55555</v>
      </c>
      <c r="E1033" s="361" t="str">
        <f t="shared" si="47"/>
        <v>TheewaterskloofWaste water management3. Debt impairment includes Impairment and Reversal of Impairment Losses</v>
      </c>
      <c r="F1033" s="360" t="str">
        <f>'PART C- Municipal Details'!$G$7</f>
        <v>Theewaterskloof</v>
      </c>
      <c r="G1033" s="361" t="s">
        <v>812</v>
      </c>
      <c r="H1033" s="363" t="s">
        <v>815</v>
      </c>
      <c r="I1033" s="496" t="s">
        <v>795</v>
      </c>
      <c r="J1033" s="497" t="s">
        <v>789</v>
      </c>
      <c r="K1033" s="490"/>
      <c r="L1033" s="465" t="s">
        <v>795</v>
      </c>
      <c r="M1033" s="472"/>
      <c r="N1033" s="473"/>
      <c r="O1033" s="473"/>
      <c r="P1033" s="473"/>
      <c r="Q1033" s="473"/>
      <c r="R1033" s="473"/>
      <c r="S1033" s="473"/>
      <c r="T1033" s="478"/>
      <c r="U1033" s="530">
        <v>0</v>
      </c>
      <c r="V1033" s="530">
        <v>0</v>
      </c>
      <c r="W1033" s="530">
        <v>0</v>
      </c>
      <c r="X1033" s="490"/>
      <c r="Y1033" s="969"/>
      <c r="Z1033" s="969"/>
      <c r="AA1033" s="969"/>
      <c r="AB1033" s="969"/>
      <c r="AC1033" s="969"/>
      <c r="AD1033" s="969"/>
      <c r="AE1033" s="969" t="str">
        <f t="shared" si="48"/>
        <v>Theewaterskloof3. Debt impairment includes Impairment and Reversal of Impairment Losses</v>
      </c>
      <c r="AF1033" s="969"/>
      <c r="AG1033" s="969"/>
    </row>
    <row r="1034" spans="2:33" ht="13.2" customHeight="1" x14ac:dyDescent="0.55000000000000004">
      <c r="B1034" s="371"/>
      <c r="C1034" s="1011">
        <v>55555</v>
      </c>
      <c r="D1034" s="360" t="str">
        <f t="shared" si="46"/>
        <v>Waste water management55555</v>
      </c>
      <c r="E1034" s="360" t="str">
        <f t="shared" si="47"/>
        <v>TheewaterskloofWaste water management4. Expenditure type components previously shown under repairs and maintenance should be allocated back to the originating expenditure group/item; e.g. employee costs</v>
      </c>
      <c r="F1034" s="360" t="str">
        <f>'PART C- Municipal Details'!$G$7</f>
        <v>Theewaterskloof</v>
      </c>
      <c r="G1034" s="360" t="s">
        <v>812</v>
      </c>
      <c r="H1034" s="366" t="s">
        <v>815</v>
      </c>
      <c r="I1034" s="496" t="s">
        <v>775</v>
      </c>
      <c r="J1034" s="497" t="s">
        <v>789</v>
      </c>
      <c r="K1034" s="490"/>
      <c r="L1034" s="465" t="s">
        <v>775</v>
      </c>
      <c r="M1034" s="472"/>
      <c r="N1034" s="473"/>
      <c r="O1034" s="473"/>
      <c r="P1034" s="473"/>
      <c r="Q1034" s="473"/>
      <c r="R1034" s="473"/>
      <c r="S1034" s="473"/>
      <c r="T1034" s="478"/>
      <c r="U1034" s="530">
        <v>0</v>
      </c>
      <c r="V1034" s="530">
        <v>0</v>
      </c>
      <c r="W1034" s="530">
        <v>0</v>
      </c>
      <c r="X1034" s="490"/>
      <c r="Y1034" s="969"/>
      <c r="Z1034" s="969"/>
      <c r="AA1034" s="969"/>
      <c r="AB1034" s="969"/>
      <c r="AC1034" s="969"/>
      <c r="AD1034" s="969"/>
      <c r="AE1034" s="969" t="str">
        <f t="shared" si="48"/>
        <v>Theewaterskloof4. Expenditure type components previously shown under repairs and maintenance should be allocated back to the originating expenditure group/item; e.g. employee costs</v>
      </c>
      <c r="AF1034" s="969"/>
      <c r="AG1034" s="969"/>
    </row>
    <row r="1035" spans="2:33" ht="13.2" customHeight="1" x14ac:dyDescent="0.55000000000000004">
      <c r="B1035" s="371"/>
      <c r="C1035" s="1011">
        <v>55555</v>
      </c>
      <c r="D1035" s="361" t="str">
        <f t="shared" si="46"/>
        <v>Waste water management55555</v>
      </c>
      <c r="E1035" s="361" t="str">
        <f t="shared" si="47"/>
        <v>TheewaterskloofWaste water management5. Repairs &amp; maintenance detailed in Table A9 and Table SA34c</v>
      </c>
      <c r="F1035" s="360" t="str">
        <f>'PART C- Municipal Details'!$G$7</f>
        <v>Theewaterskloof</v>
      </c>
      <c r="G1035" s="361" t="s">
        <v>812</v>
      </c>
      <c r="H1035" s="363" t="s">
        <v>815</v>
      </c>
      <c r="I1035" s="496" t="s">
        <v>777</v>
      </c>
      <c r="J1035" s="497" t="s">
        <v>789</v>
      </c>
      <c r="K1035" s="490"/>
      <c r="L1035" s="465" t="s">
        <v>777</v>
      </c>
      <c r="M1035" s="472"/>
      <c r="N1035" s="473"/>
      <c r="O1035" s="473"/>
      <c r="P1035" s="473"/>
      <c r="Q1035" s="473"/>
      <c r="R1035" s="473"/>
      <c r="S1035" s="473"/>
      <c r="T1035" s="478"/>
      <c r="U1035" s="530">
        <v>0</v>
      </c>
      <c r="V1035" s="530">
        <v>0</v>
      </c>
      <c r="W1035" s="530">
        <v>0</v>
      </c>
      <c r="X1035" s="490"/>
      <c r="Y1035" s="969"/>
      <c r="Z1035" s="969"/>
      <c r="AA1035" s="969"/>
      <c r="AB1035" s="969"/>
      <c r="AC1035" s="969"/>
      <c r="AD1035" s="969"/>
      <c r="AE1035" s="969" t="str">
        <f t="shared" si="48"/>
        <v>Theewaterskloof5. Repairs &amp; maintenance detailed in Table A9 and Table SA34c</v>
      </c>
      <c r="AF1035" s="969"/>
      <c r="AG1035" s="969"/>
    </row>
    <row r="1036" spans="2:33" ht="13.2" customHeight="1" x14ac:dyDescent="0.55000000000000004">
      <c r="B1036" s="371"/>
      <c r="C1036" s="1011">
        <v>55555</v>
      </c>
      <c r="D1036" s="360" t="str">
        <f t="shared" si="46"/>
        <v>Waste water management55555</v>
      </c>
      <c r="E1036" s="360" t="str">
        <f t="shared" si="47"/>
        <v>TheewaterskloofWaste water management6. Contributions are funds provided by external organisations to assist with infrastructure development; e.g. developer contributions (detail to be provided in Table SA1)</v>
      </c>
      <c r="F1036" s="360" t="str">
        <f>'PART C- Municipal Details'!$G$7</f>
        <v>Theewaterskloof</v>
      </c>
      <c r="G1036" s="360" t="s">
        <v>812</v>
      </c>
      <c r="H1036" s="366" t="s">
        <v>815</v>
      </c>
      <c r="I1036" s="496" t="s">
        <v>780</v>
      </c>
      <c r="J1036" s="497" t="s">
        <v>789</v>
      </c>
      <c r="K1036" s="490"/>
      <c r="L1036" s="465" t="s">
        <v>780</v>
      </c>
      <c r="M1036" s="472"/>
      <c r="N1036" s="473"/>
      <c r="O1036" s="473"/>
      <c r="P1036" s="473"/>
      <c r="Q1036" s="473"/>
      <c r="R1036" s="473"/>
      <c r="S1036" s="473"/>
      <c r="T1036" s="478"/>
      <c r="U1036" s="530">
        <v>0</v>
      </c>
      <c r="V1036" s="530">
        <v>0</v>
      </c>
      <c r="W1036" s="530">
        <v>0</v>
      </c>
      <c r="X1036" s="490"/>
      <c r="Y1036" s="969"/>
      <c r="Z1036" s="969"/>
      <c r="AA1036" s="969"/>
      <c r="AB1036" s="969"/>
      <c r="AC1036" s="969"/>
      <c r="AD1036" s="969"/>
      <c r="AE1036" s="969" t="str">
        <f t="shared" si="48"/>
        <v>Theewaterskloof6. Contributions are funds provided by external organisations to assist with infrastructure development; e.g. developer contributions (detail to be provided in Table SA1)</v>
      </c>
      <c r="AF1036" s="969"/>
      <c r="AG1036" s="969"/>
    </row>
    <row r="1037" spans="2:33" ht="13.2" customHeight="1" x14ac:dyDescent="0.55000000000000004">
      <c r="B1037" s="371"/>
      <c r="C1037" s="1011">
        <v>55555</v>
      </c>
      <c r="D1037" s="361" t="str">
        <f t="shared" si="46"/>
        <v>Waste water management55555</v>
      </c>
      <c r="E1037" s="361" t="str">
        <f t="shared" si="47"/>
        <v>TheewaterskloofWaste water management7. Equity method ( Includes Joint Ventures)</v>
      </c>
      <c r="F1037" s="360" t="str">
        <f>'PART C- Municipal Details'!$G$7</f>
        <v>Theewaterskloof</v>
      </c>
      <c r="G1037" s="361" t="s">
        <v>812</v>
      </c>
      <c r="H1037" s="363" t="s">
        <v>815</v>
      </c>
      <c r="I1037" s="496" t="s">
        <v>796</v>
      </c>
      <c r="J1037" s="497" t="s">
        <v>789</v>
      </c>
      <c r="K1037" s="490"/>
      <c r="L1037" s="479" t="s">
        <v>796</v>
      </c>
      <c r="M1037" s="480"/>
      <c r="N1037" s="481"/>
      <c r="O1037" s="481"/>
      <c r="P1037" s="481"/>
      <c r="Q1037" s="481"/>
      <c r="R1037" s="481"/>
      <c r="S1037" s="481"/>
      <c r="T1037" s="482"/>
      <c r="U1037" s="530">
        <v>0</v>
      </c>
      <c r="V1037" s="530">
        <v>0</v>
      </c>
      <c r="W1037" s="530">
        <v>0</v>
      </c>
      <c r="X1037" s="490"/>
      <c r="Y1037" s="969"/>
      <c r="Z1037" s="969"/>
      <c r="AA1037" s="969"/>
      <c r="AB1037" s="969"/>
      <c r="AC1037" s="969"/>
      <c r="AD1037" s="969"/>
      <c r="AE1037" s="969" t="str">
        <f t="shared" si="48"/>
        <v>Theewaterskloof7. Equity method ( Includes Joint Ventures)</v>
      </c>
      <c r="AF1037" s="969"/>
      <c r="AG1037" s="969"/>
    </row>
    <row r="1038" spans="2:33" ht="13.2" customHeight="1" x14ac:dyDescent="0.55000000000000004">
      <c r="B1038" s="371"/>
      <c r="C1038" s="1011">
        <v>55555</v>
      </c>
      <c r="D1038" s="360" t="str">
        <f t="shared" si="46"/>
        <v>Waste water management55555</v>
      </c>
      <c r="E1038" s="360" t="str">
        <f t="shared" si="47"/>
        <v>TheewaterskloofWaste water management8. All materials consumed including water consumed and materials used in operations.</v>
      </c>
      <c r="F1038" s="360" t="str">
        <f>'PART C- Municipal Details'!$G$7</f>
        <v>Theewaterskloof</v>
      </c>
      <c r="G1038" s="360" t="s">
        <v>812</v>
      </c>
      <c r="H1038" s="366" t="s">
        <v>815</v>
      </c>
      <c r="I1038" s="496" t="s">
        <v>797</v>
      </c>
      <c r="J1038" s="497" t="s">
        <v>789</v>
      </c>
      <c r="K1038" s="490"/>
      <c r="L1038" s="501" t="s">
        <v>797</v>
      </c>
      <c r="M1038" s="502"/>
      <c r="N1038" s="503"/>
      <c r="O1038" s="503"/>
      <c r="P1038" s="503"/>
      <c r="Q1038" s="503"/>
      <c r="R1038" s="503"/>
      <c r="S1038" s="503"/>
      <c r="T1038" s="503"/>
      <c r="U1038" s="504"/>
      <c r="V1038" s="504"/>
      <c r="W1038" s="504"/>
      <c r="X1038" s="490"/>
      <c r="Y1038" s="969"/>
      <c r="Z1038" s="969"/>
      <c r="AA1038" s="969"/>
      <c r="AB1038" s="969"/>
      <c r="AC1038" s="969"/>
      <c r="AD1038" s="969"/>
      <c r="AE1038" s="969" t="str">
        <f t="shared" si="48"/>
        <v>Theewaterskloof8. All materials consumed including water consumed and materials used in operations.</v>
      </c>
      <c r="AF1038" s="969"/>
      <c r="AG1038" s="969"/>
    </row>
    <row r="1039" spans="2:33" ht="13.2" customHeight="1" x14ac:dyDescent="0.55000000000000004">
      <c r="B1039" s="371"/>
      <c r="C1039" s="1011">
        <v>55555</v>
      </c>
      <c r="D1039" s="361" t="str">
        <f t="shared" si="46"/>
        <v>55555</v>
      </c>
      <c r="E1039" s="361" t="str">
        <f t="shared" si="47"/>
        <v>Theewaterskloof</v>
      </c>
      <c r="F1039" s="360" t="str">
        <f>'PART C- Municipal Details'!$G$7</f>
        <v>Theewaterskloof</v>
      </c>
      <c r="G1039" s="361" t="s">
        <v>812</v>
      </c>
      <c r="H1039" s="363"/>
      <c r="I1039" s="496"/>
      <c r="J1039" s="497"/>
      <c r="K1039" s="491"/>
      <c r="L1039" s="367"/>
      <c r="M1039" s="368"/>
      <c r="N1039" s="369"/>
      <c r="O1039" s="369"/>
      <c r="P1039" s="369"/>
      <c r="Q1039" s="369"/>
      <c r="R1039" s="369"/>
      <c r="S1039" s="369"/>
      <c r="T1039" s="369"/>
      <c r="U1039" s="368"/>
      <c r="V1039" s="368"/>
      <c r="W1039" s="368"/>
      <c r="X1039" s="490"/>
      <c r="Y1039" s="969"/>
      <c r="Z1039" s="969"/>
      <c r="AA1039" s="969"/>
      <c r="AB1039" s="969"/>
      <c r="AC1039" s="969"/>
      <c r="AD1039" s="969"/>
      <c r="AE1039" s="969" t="str">
        <f t="shared" si="48"/>
        <v>Theewaterskloof</v>
      </c>
      <c r="AF1039" s="969"/>
      <c r="AG1039" s="969"/>
    </row>
    <row r="1040" spans="2:33" ht="13.2" customHeight="1" x14ac:dyDescent="0.55000000000000004">
      <c r="B1040" s="371"/>
      <c r="C1040" s="1010">
        <v>55555</v>
      </c>
      <c r="D1040" s="360" t="str">
        <f t="shared" si="46"/>
        <v>Waste management55555</v>
      </c>
      <c r="E1040" s="361" t="str">
        <f t="shared" si="47"/>
        <v>TheewaterskloofWaste managementzz</v>
      </c>
      <c r="F1040" s="360" t="str">
        <f>'PART C- Municipal Details'!$G$7</f>
        <v>Theewaterskloof</v>
      </c>
      <c r="G1040" s="361" t="s">
        <v>812</v>
      </c>
      <c r="H1040" s="363" t="s">
        <v>816</v>
      </c>
      <c r="I1040" s="496" t="s">
        <v>801</v>
      </c>
      <c r="J1040" s="497" t="s">
        <v>651</v>
      </c>
      <c r="K1040" s="490"/>
      <c r="L1040" s="462" t="s">
        <v>651</v>
      </c>
      <c r="M1040" s="362" t="s">
        <v>652</v>
      </c>
      <c r="N1040" s="466" t="s">
        <v>653</v>
      </c>
      <c r="O1040" s="466" t="s">
        <v>654</v>
      </c>
      <c r="P1040" s="467" t="s">
        <v>655</v>
      </c>
      <c r="Q1040" s="483" t="s">
        <v>656</v>
      </c>
      <c r="R1040" s="468"/>
      <c r="S1040" s="468"/>
      <c r="T1040" s="467"/>
      <c r="U1040" s="527" t="s">
        <v>657</v>
      </c>
      <c r="V1040" s="527" t="s">
        <v>657</v>
      </c>
      <c r="W1040" s="527" t="s">
        <v>657</v>
      </c>
      <c r="X1040" s="490"/>
      <c r="Y1040" s="969"/>
      <c r="Z1040" s="969"/>
      <c r="AA1040" s="969"/>
      <c r="AB1040" s="969"/>
      <c r="AC1040" s="969"/>
      <c r="AD1040" s="969"/>
      <c r="AE1040" s="969" t="str">
        <f t="shared" si="48"/>
        <v>TheewaterskloofDescription</v>
      </c>
      <c r="AF1040" s="969"/>
      <c r="AG1040" s="969"/>
    </row>
    <row r="1041" spans="2:33" ht="13.2" customHeight="1" thickBot="1" x14ac:dyDescent="0.6">
      <c r="B1041" s="371"/>
      <c r="C1041" s="1010">
        <v>55555</v>
      </c>
      <c r="D1041" s="361" t="str">
        <f t="shared" si="46"/>
        <v>Waste management55555</v>
      </c>
      <c r="E1041" s="360" t="str">
        <f t="shared" si="47"/>
        <v>TheewaterskloofWaste managementz</v>
      </c>
      <c r="F1041" s="360" t="str">
        <f>'PART C- Municipal Details'!$G$7</f>
        <v>Theewaterskloof</v>
      </c>
      <c r="G1041" s="360" t="s">
        <v>812</v>
      </c>
      <c r="H1041" s="366" t="s">
        <v>816</v>
      </c>
      <c r="I1041" s="496" t="s">
        <v>802</v>
      </c>
      <c r="J1041" s="497" t="s">
        <v>650</v>
      </c>
      <c r="K1041" s="490"/>
      <c r="L1041" s="365" t="s">
        <v>659</v>
      </c>
      <c r="M1041" s="364" t="s">
        <v>660</v>
      </c>
      <c r="N1041" s="469" t="s">
        <v>661</v>
      </c>
      <c r="O1041" s="469" t="s">
        <v>661</v>
      </c>
      <c r="P1041" s="470" t="s">
        <v>661</v>
      </c>
      <c r="Q1041" s="471" t="s">
        <v>662</v>
      </c>
      <c r="R1041" s="469" t="s">
        <v>663</v>
      </c>
      <c r="S1041" s="469" t="s">
        <v>664</v>
      </c>
      <c r="T1041" s="470" t="s">
        <v>665</v>
      </c>
      <c r="U1041" s="528" t="s">
        <v>666</v>
      </c>
      <c r="V1041" s="528" t="s">
        <v>666</v>
      </c>
      <c r="W1041" s="528" t="s">
        <v>666</v>
      </c>
      <c r="X1041" s="490"/>
      <c r="Y1041" s="969"/>
      <c r="Z1041" s="969"/>
      <c r="AA1041" s="969"/>
      <c r="AB1041" s="969"/>
      <c r="AC1041" s="969"/>
      <c r="AD1041" s="969"/>
      <c r="AE1041" s="969" t="str">
        <f t="shared" si="48"/>
        <v>TheewaterskloofR thousands</v>
      </c>
      <c r="AF1041" s="969"/>
      <c r="AG1041" s="969"/>
    </row>
    <row r="1042" spans="2:33" ht="13.2" customHeight="1" x14ac:dyDescent="0.55000000000000004">
      <c r="B1042" s="371"/>
      <c r="C1042" s="1008" t="s">
        <v>667</v>
      </c>
      <c r="D1042" s="360" t="str">
        <f t="shared" si="46"/>
        <v>Waste management0100</v>
      </c>
      <c r="E1042" s="361" t="str">
        <f t="shared" si="47"/>
        <v>TheewaterskloofWaste managementz</v>
      </c>
      <c r="F1042" s="360" t="str">
        <f>'PART C- Municipal Details'!$G$7</f>
        <v>Theewaterskloof</v>
      </c>
      <c r="G1042" s="361" t="s">
        <v>812</v>
      </c>
      <c r="H1042" s="363" t="s">
        <v>816</v>
      </c>
      <c r="I1042" s="496" t="s">
        <v>802</v>
      </c>
      <c r="J1042" s="497" t="s">
        <v>658</v>
      </c>
      <c r="K1042" s="490"/>
      <c r="L1042" s="505" t="s">
        <v>162</v>
      </c>
      <c r="M1042" s="506"/>
      <c r="N1042" s="507"/>
      <c r="O1042" s="507"/>
      <c r="P1042" s="507"/>
      <c r="Q1042" s="507"/>
      <c r="R1042" s="507"/>
      <c r="S1042" s="507"/>
      <c r="T1042" s="507"/>
      <c r="U1042" s="531">
        <v>0</v>
      </c>
      <c r="V1042" s="531">
        <v>0</v>
      </c>
      <c r="W1042" s="531">
        <v>0</v>
      </c>
      <c r="X1042" s="490"/>
      <c r="Y1042" s="969"/>
      <c r="Z1042" s="969"/>
      <c r="AA1042" s="969"/>
      <c r="AB1042" s="969"/>
      <c r="AC1042" s="969"/>
      <c r="AD1042" s="969"/>
      <c r="AE1042" s="969" t="str">
        <f t="shared" si="48"/>
        <v>TheewaterskloofRevenue</v>
      </c>
      <c r="AF1042" s="969"/>
      <c r="AG1042" s="969"/>
    </row>
    <row r="1043" spans="2:33" ht="13.2" customHeight="1" x14ac:dyDescent="0.55000000000000004">
      <c r="B1043" s="371"/>
      <c r="C1043" s="1009" t="s">
        <v>668</v>
      </c>
      <c r="D1043" s="361" t="str">
        <f t="shared" si="46"/>
        <v>Waste management0200</v>
      </c>
      <c r="E1043" s="360" t="str">
        <f t="shared" si="47"/>
        <v>TheewaterskloofWaste managementz</v>
      </c>
      <c r="F1043" s="360" t="str">
        <f>'PART C- Municipal Details'!$G$7</f>
        <v>Theewaterskloof</v>
      </c>
      <c r="G1043" s="360" t="s">
        <v>812</v>
      </c>
      <c r="H1043" s="366" t="s">
        <v>816</v>
      </c>
      <c r="I1043" s="496" t="s">
        <v>802</v>
      </c>
      <c r="J1043" s="497" t="s">
        <v>0</v>
      </c>
      <c r="K1043" s="490"/>
      <c r="L1043" s="463" t="s">
        <v>670</v>
      </c>
      <c r="M1043" s="459"/>
      <c r="N1043" s="460"/>
      <c r="O1043" s="460"/>
      <c r="P1043" s="460"/>
      <c r="Q1043" s="460"/>
      <c r="R1043" s="460"/>
      <c r="S1043" s="460"/>
      <c r="T1043" s="460"/>
      <c r="U1043" s="530">
        <v>0</v>
      </c>
      <c r="V1043" s="530">
        <v>0</v>
      </c>
      <c r="W1043" s="530">
        <v>0</v>
      </c>
      <c r="X1043" s="490"/>
      <c r="Y1043" s="969"/>
      <c r="Z1043" s="969"/>
      <c r="AA1043" s="969"/>
      <c r="AB1043" s="969"/>
      <c r="AC1043" s="969"/>
      <c r="AD1043" s="969"/>
      <c r="AE1043" s="969" t="str">
        <f t="shared" si="48"/>
        <v>TheewaterskloofExchange Revenue</v>
      </c>
      <c r="AF1043" s="969"/>
      <c r="AG1043" s="969"/>
    </row>
    <row r="1044" spans="2:33" ht="13.2" customHeight="1" x14ac:dyDescent="0.55000000000000004">
      <c r="B1044" s="371"/>
      <c r="C1044" s="1010" t="s">
        <v>671</v>
      </c>
      <c r="D1044" s="360" t="str">
        <f t="shared" si="46"/>
        <v>Waste management0300</v>
      </c>
      <c r="E1044" s="361" t="str">
        <f t="shared" si="47"/>
        <v>TheewaterskloofWaste managementService charges - electricity revenue</v>
      </c>
      <c r="F1044" s="360" t="str">
        <f>'PART C- Municipal Details'!$G$7</f>
        <v>Theewaterskloof</v>
      </c>
      <c r="G1044" s="361" t="s">
        <v>812</v>
      </c>
      <c r="H1044" s="363" t="s">
        <v>816</v>
      </c>
      <c r="I1044" s="496" t="s">
        <v>669</v>
      </c>
      <c r="J1044" s="497" t="s">
        <v>669</v>
      </c>
      <c r="K1044" s="490"/>
      <c r="L1044" s="463" t="s">
        <v>673</v>
      </c>
      <c r="M1044" s="459"/>
      <c r="N1044" s="461"/>
      <c r="O1044" s="461"/>
      <c r="P1044" s="461"/>
      <c r="Q1044" s="461"/>
      <c r="R1044" s="461"/>
      <c r="S1044" s="461"/>
      <c r="T1044" s="461"/>
      <c r="U1044" s="530">
        <v>0</v>
      </c>
      <c r="V1044" s="530">
        <v>0</v>
      </c>
      <c r="W1044" s="530">
        <v>0</v>
      </c>
      <c r="X1044" s="490"/>
      <c r="Y1044" s="969"/>
      <c r="Z1044" s="969"/>
      <c r="AA1044" s="969"/>
      <c r="AB1044" s="969"/>
      <c r="AC1044" s="969"/>
      <c r="AD1044" s="969"/>
      <c r="AE1044" s="969" t="str">
        <f t="shared" si="48"/>
        <v>TheewaterskloofService charges - Electricity</v>
      </c>
      <c r="AF1044" s="969"/>
      <c r="AG1044" s="969"/>
    </row>
    <row r="1045" spans="2:33" ht="13.2" customHeight="1" x14ac:dyDescent="0.55000000000000004">
      <c r="B1045" s="371"/>
      <c r="C1045" s="1010" t="s">
        <v>674</v>
      </c>
      <c r="D1045" s="361" t="str">
        <f t="shared" si="46"/>
        <v>Waste management0400</v>
      </c>
      <c r="E1045" s="360" t="str">
        <f t="shared" si="47"/>
        <v>TheewaterskloofWaste managementService charges - water revenue</v>
      </c>
      <c r="F1045" s="360" t="str">
        <f>'PART C- Municipal Details'!$G$7</f>
        <v>Theewaterskloof</v>
      </c>
      <c r="G1045" s="360" t="s">
        <v>812</v>
      </c>
      <c r="H1045" s="366" t="s">
        <v>816</v>
      </c>
      <c r="I1045" s="496" t="s">
        <v>672</v>
      </c>
      <c r="J1045" s="497" t="s">
        <v>672</v>
      </c>
      <c r="K1045" s="490"/>
      <c r="L1045" s="463" t="s">
        <v>676</v>
      </c>
      <c r="M1045" s="459"/>
      <c r="N1045" s="461"/>
      <c r="O1045" s="461"/>
      <c r="P1045" s="461"/>
      <c r="Q1045" s="461"/>
      <c r="R1045" s="461"/>
      <c r="S1045" s="461"/>
      <c r="T1045" s="461"/>
      <c r="U1045" s="530">
        <v>0</v>
      </c>
      <c r="V1045" s="530">
        <v>0</v>
      </c>
      <c r="W1045" s="530">
        <v>0</v>
      </c>
      <c r="X1045" s="490"/>
      <c r="Y1045" s="969"/>
      <c r="Z1045" s="969"/>
      <c r="AA1045" s="969"/>
      <c r="AB1045" s="969"/>
      <c r="AC1045" s="969"/>
      <c r="AD1045" s="969"/>
      <c r="AE1045" s="969" t="str">
        <f t="shared" si="48"/>
        <v>TheewaterskloofService charges - Water</v>
      </c>
      <c r="AF1045" s="969"/>
      <c r="AG1045" s="969"/>
    </row>
    <row r="1046" spans="2:33" ht="13.2" customHeight="1" x14ac:dyDescent="0.55000000000000004">
      <c r="B1046" s="371"/>
      <c r="C1046" s="1010" t="s">
        <v>677</v>
      </c>
      <c r="D1046" s="360" t="str">
        <f t="shared" si="46"/>
        <v>Waste management0500</v>
      </c>
      <c r="E1046" s="361" t="str">
        <f t="shared" si="47"/>
        <v>TheewaterskloofWaste managementService charges - sanitation revenue</v>
      </c>
      <c r="F1046" s="360" t="str">
        <f>'PART C- Municipal Details'!$G$7</f>
        <v>Theewaterskloof</v>
      </c>
      <c r="G1046" s="361" t="s">
        <v>812</v>
      </c>
      <c r="H1046" s="363" t="s">
        <v>816</v>
      </c>
      <c r="I1046" s="496" t="s">
        <v>675</v>
      </c>
      <c r="J1046" s="497" t="s">
        <v>675</v>
      </c>
      <c r="K1046" s="490"/>
      <c r="L1046" s="463" t="s">
        <v>679</v>
      </c>
      <c r="M1046" s="459"/>
      <c r="N1046" s="461"/>
      <c r="O1046" s="461"/>
      <c r="P1046" s="461"/>
      <c r="Q1046" s="461"/>
      <c r="R1046" s="461"/>
      <c r="S1046" s="461"/>
      <c r="T1046" s="461"/>
      <c r="U1046" s="530">
        <v>0</v>
      </c>
      <c r="V1046" s="530">
        <v>0</v>
      </c>
      <c r="W1046" s="530">
        <v>0</v>
      </c>
      <c r="X1046" s="490"/>
      <c r="Y1046" s="969"/>
      <c r="Z1046" s="969"/>
      <c r="AA1046" s="969"/>
      <c r="AB1046" s="969"/>
      <c r="AC1046" s="969"/>
      <c r="AD1046" s="969"/>
      <c r="AE1046" s="969" t="str">
        <f t="shared" si="48"/>
        <v>TheewaterskloofService charges - Waste Water Management</v>
      </c>
      <c r="AF1046" s="969"/>
      <c r="AG1046" s="969"/>
    </row>
    <row r="1047" spans="2:33" ht="13.2" customHeight="1" x14ac:dyDescent="0.55000000000000004">
      <c r="B1047" s="371"/>
      <c r="C1047" s="1010" t="s">
        <v>680</v>
      </c>
      <c r="D1047" s="361" t="str">
        <f t="shared" ref="D1047:D1107" si="49">H1047&amp;C1047</f>
        <v>Waste management0600</v>
      </c>
      <c r="E1047" s="360" t="str">
        <f t="shared" ref="E1047:E1107" si="50">F1047&amp;H1047&amp;I1047</f>
        <v>TheewaterskloofWaste managementService charges - refuse revenue</v>
      </c>
      <c r="F1047" s="360" t="str">
        <f>'PART C- Municipal Details'!$G$7</f>
        <v>Theewaterskloof</v>
      </c>
      <c r="G1047" s="360" t="s">
        <v>812</v>
      </c>
      <c r="H1047" s="366" t="s">
        <v>816</v>
      </c>
      <c r="I1047" s="496" t="s">
        <v>678</v>
      </c>
      <c r="J1047" s="497" t="s">
        <v>678</v>
      </c>
      <c r="K1047" s="490"/>
      <c r="L1047" s="463" t="s">
        <v>682</v>
      </c>
      <c r="M1047" s="459"/>
      <c r="N1047" s="461"/>
      <c r="O1047" s="461"/>
      <c r="P1047" s="461"/>
      <c r="Q1047" s="461"/>
      <c r="R1047" s="461"/>
      <c r="S1047" s="461"/>
      <c r="T1047" s="461"/>
      <c r="U1047" s="530">
        <v>52158077</v>
      </c>
      <c r="V1047" s="530">
        <v>53931452</v>
      </c>
      <c r="W1047" s="530">
        <v>55657259</v>
      </c>
      <c r="X1047" s="490"/>
      <c r="Y1047" s="969"/>
      <c r="Z1047" s="969"/>
      <c r="AA1047" s="969"/>
      <c r="AB1047" s="969"/>
      <c r="AC1047" s="969"/>
      <c r="AD1047" s="969"/>
      <c r="AE1047" s="969" t="str">
        <f t="shared" si="48"/>
        <v>TheewaterskloofService charges - Waste Management</v>
      </c>
      <c r="AF1047" s="969"/>
      <c r="AG1047" s="969"/>
    </row>
    <row r="1048" spans="2:33" ht="13.2" customHeight="1" x14ac:dyDescent="0.55000000000000004">
      <c r="B1048" s="371"/>
      <c r="C1048" s="1010" t="s">
        <v>683</v>
      </c>
      <c r="D1048" s="360" t="str">
        <f t="shared" si="49"/>
        <v>Waste management0700</v>
      </c>
      <c r="E1048" s="361" t="str">
        <f t="shared" si="50"/>
        <v>TheewaterskloofWaste managementOther revenue</v>
      </c>
      <c r="F1048" s="360" t="str">
        <f>'PART C- Municipal Details'!$G$7</f>
        <v>Theewaterskloof</v>
      </c>
      <c r="G1048" s="361" t="s">
        <v>812</v>
      </c>
      <c r="H1048" s="363" t="s">
        <v>816</v>
      </c>
      <c r="I1048" s="496" t="s">
        <v>7</v>
      </c>
      <c r="J1048" s="497" t="s">
        <v>681</v>
      </c>
      <c r="K1048" s="490"/>
      <c r="L1048" s="463" t="s">
        <v>684</v>
      </c>
      <c r="M1048" s="459"/>
      <c r="N1048" s="461"/>
      <c r="O1048" s="461"/>
      <c r="P1048" s="461"/>
      <c r="Q1048" s="461"/>
      <c r="R1048" s="461"/>
      <c r="S1048" s="461"/>
      <c r="T1048" s="461"/>
      <c r="U1048" s="530">
        <v>0</v>
      </c>
      <c r="V1048" s="530">
        <v>0</v>
      </c>
      <c r="W1048" s="530">
        <v>0</v>
      </c>
      <c r="X1048" s="490"/>
      <c r="Y1048" s="969"/>
      <c r="Z1048" s="969"/>
      <c r="AA1048" s="969"/>
      <c r="AB1048" s="969"/>
      <c r="AC1048" s="969"/>
      <c r="AD1048" s="969"/>
      <c r="AE1048" s="969" t="str">
        <f t="shared" si="48"/>
        <v>TheewaterskloofSale of Goods and Rendering of Services</v>
      </c>
      <c r="AF1048" s="969"/>
      <c r="AG1048" s="969"/>
    </row>
    <row r="1049" spans="2:33" ht="13.2" customHeight="1" x14ac:dyDescent="0.55000000000000004">
      <c r="B1049" s="371"/>
      <c r="C1049" s="1010" t="s">
        <v>685</v>
      </c>
      <c r="D1049" s="361" t="str">
        <f t="shared" si="49"/>
        <v>Waste management0800</v>
      </c>
      <c r="E1049" s="360" t="str">
        <f t="shared" si="50"/>
        <v>TheewaterskloofWaste managementAgency services</v>
      </c>
      <c r="F1049" s="360" t="str">
        <f>'PART C- Municipal Details'!$G$7</f>
        <v>Theewaterskloof</v>
      </c>
      <c r="G1049" s="360" t="s">
        <v>812</v>
      </c>
      <c r="H1049" s="366" t="s">
        <v>816</v>
      </c>
      <c r="I1049" s="496" t="s">
        <v>6</v>
      </c>
      <c r="J1049" s="497" t="s">
        <v>1</v>
      </c>
      <c r="K1049" s="490"/>
      <c r="L1049" s="463" t="s">
        <v>6</v>
      </c>
      <c r="M1049" s="459"/>
      <c r="N1049" s="461"/>
      <c r="O1049" s="461"/>
      <c r="P1049" s="461"/>
      <c r="Q1049" s="461"/>
      <c r="R1049" s="461"/>
      <c r="S1049" s="461"/>
      <c r="T1049" s="461"/>
      <c r="U1049" s="530">
        <v>0</v>
      </c>
      <c r="V1049" s="530">
        <v>0</v>
      </c>
      <c r="W1049" s="530">
        <v>0</v>
      </c>
      <c r="X1049" s="490"/>
      <c r="Y1049" s="969"/>
      <c r="Z1049" s="969"/>
      <c r="AA1049" s="969"/>
      <c r="AB1049" s="969"/>
      <c r="AC1049" s="969"/>
      <c r="AD1049" s="969"/>
      <c r="AE1049" s="969" t="str">
        <f t="shared" si="48"/>
        <v>TheewaterskloofAgency services</v>
      </c>
      <c r="AF1049" s="969"/>
      <c r="AG1049" s="969"/>
    </row>
    <row r="1050" spans="2:33" ht="13.2" customHeight="1" x14ac:dyDescent="0.55000000000000004">
      <c r="B1050" s="371"/>
      <c r="C1050" s="1010" t="s">
        <v>686</v>
      </c>
      <c r="D1050" s="360" t="str">
        <f t="shared" si="49"/>
        <v>Waste management0900</v>
      </c>
      <c r="E1050" s="361" t="str">
        <f t="shared" si="50"/>
        <v>TheewaterskloofWaste managementInterest earned - external investments</v>
      </c>
      <c r="F1050" s="360" t="str">
        <f>'PART C- Municipal Details'!$G$7</f>
        <v>Theewaterskloof</v>
      </c>
      <c r="G1050" s="361" t="s">
        <v>812</v>
      </c>
      <c r="H1050" s="363" t="s">
        <v>816</v>
      </c>
      <c r="I1050" s="496" t="s">
        <v>2</v>
      </c>
      <c r="J1050" s="497" t="s">
        <v>2</v>
      </c>
      <c r="K1050" s="490"/>
      <c r="L1050" s="463" t="s">
        <v>687</v>
      </c>
      <c r="M1050" s="459"/>
      <c r="N1050" s="461"/>
      <c r="O1050" s="461"/>
      <c r="P1050" s="461"/>
      <c r="Q1050" s="461"/>
      <c r="R1050" s="461"/>
      <c r="S1050" s="461"/>
      <c r="T1050" s="461"/>
      <c r="U1050" s="530">
        <v>0</v>
      </c>
      <c r="V1050" s="530">
        <v>0</v>
      </c>
      <c r="W1050" s="530">
        <v>0</v>
      </c>
      <c r="X1050" s="490"/>
      <c r="Y1050" s="969"/>
      <c r="Z1050" s="969"/>
      <c r="AA1050" s="969"/>
      <c r="AB1050" s="969"/>
      <c r="AC1050" s="969"/>
      <c r="AD1050" s="969"/>
      <c r="AE1050" s="969" t="str">
        <f t="shared" si="48"/>
        <v>TheewaterskloofInterest</v>
      </c>
      <c r="AF1050" s="969"/>
      <c r="AG1050" s="969"/>
    </row>
    <row r="1051" spans="2:33" ht="13.2" customHeight="1" x14ac:dyDescent="0.55000000000000004">
      <c r="B1051" s="371"/>
      <c r="C1051" s="1010" t="s">
        <v>688</v>
      </c>
      <c r="D1051" s="361" t="str">
        <f t="shared" si="49"/>
        <v>Waste management1000</v>
      </c>
      <c r="E1051" s="360" t="str">
        <f t="shared" si="50"/>
        <v>TheewaterskloofWaste managementInterest earned - outstanding debtors</v>
      </c>
      <c r="F1051" s="360" t="str">
        <f>'PART C- Municipal Details'!$G$7</f>
        <v>Theewaterskloof</v>
      </c>
      <c r="G1051" s="360" t="s">
        <v>812</v>
      </c>
      <c r="H1051" s="366" t="s">
        <v>816</v>
      </c>
      <c r="I1051" s="496" t="s">
        <v>3</v>
      </c>
      <c r="J1051" s="497" t="s">
        <v>3</v>
      </c>
      <c r="K1051" s="490"/>
      <c r="L1051" s="463" t="s">
        <v>689</v>
      </c>
      <c r="M1051" s="459"/>
      <c r="N1051" s="461"/>
      <c r="O1051" s="461"/>
      <c r="P1051" s="461"/>
      <c r="Q1051" s="461"/>
      <c r="R1051" s="461"/>
      <c r="S1051" s="461"/>
      <c r="T1051" s="461"/>
      <c r="U1051" s="530">
        <v>0</v>
      </c>
      <c r="V1051" s="530">
        <v>0</v>
      </c>
      <c r="W1051" s="530">
        <v>0</v>
      </c>
      <c r="X1051" s="490"/>
      <c r="Y1051" s="969"/>
      <c r="Z1051" s="969"/>
      <c r="AA1051" s="969"/>
      <c r="AB1051" s="969"/>
      <c r="AC1051" s="969"/>
      <c r="AD1051" s="969"/>
      <c r="AE1051" s="969" t="str">
        <f t="shared" si="48"/>
        <v>TheewaterskloofInterest earned from Receivables</v>
      </c>
      <c r="AF1051" s="969"/>
      <c r="AG1051" s="969"/>
    </row>
    <row r="1052" spans="2:33" ht="13.2" customHeight="1" x14ac:dyDescent="0.55000000000000004">
      <c r="B1052" s="371"/>
      <c r="C1052" s="1010" t="s">
        <v>690</v>
      </c>
      <c r="D1052" s="360" t="str">
        <f t="shared" si="49"/>
        <v>Waste management1100</v>
      </c>
      <c r="E1052" s="361" t="str">
        <f t="shared" si="50"/>
        <v>TheewaterskloofWaste managementInterest earned - external investments</v>
      </c>
      <c r="F1052" s="360" t="str">
        <f>'PART C- Municipal Details'!$G$7</f>
        <v>Theewaterskloof</v>
      </c>
      <c r="G1052" s="361" t="s">
        <v>812</v>
      </c>
      <c r="H1052" s="363" t="s">
        <v>816</v>
      </c>
      <c r="I1052" s="496" t="s">
        <v>2</v>
      </c>
      <c r="J1052" s="497" t="s">
        <v>4</v>
      </c>
      <c r="K1052" s="490"/>
      <c r="L1052" s="463" t="s">
        <v>692</v>
      </c>
      <c r="M1052" s="459"/>
      <c r="N1052" s="461"/>
      <c r="O1052" s="461"/>
      <c r="P1052" s="461"/>
      <c r="Q1052" s="461"/>
      <c r="R1052" s="461"/>
      <c r="S1052" s="461"/>
      <c r="T1052" s="461"/>
      <c r="U1052" s="530">
        <v>0</v>
      </c>
      <c r="V1052" s="530">
        <v>0</v>
      </c>
      <c r="W1052" s="530">
        <v>0</v>
      </c>
      <c r="X1052" s="490"/>
      <c r="Y1052" s="969"/>
      <c r="Z1052" s="969"/>
      <c r="AA1052" s="969"/>
      <c r="AB1052" s="969"/>
      <c r="AC1052" s="969"/>
      <c r="AD1052" s="969"/>
      <c r="AE1052" s="969" t="str">
        <f t="shared" si="48"/>
        <v>TheewaterskloofInterest earned from Current and Non Current Assets</v>
      </c>
      <c r="AF1052" s="969"/>
      <c r="AG1052" s="969"/>
    </row>
    <row r="1053" spans="2:33" ht="13.2" customHeight="1" x14ac:dyDescent="0.55000000000000004">
      <c r="B1053" s="371"/>
      <c r="C1053" s="1010" t="s">
        <v>693</v>
      </c>
      <c r="D1053" s="361" t="str">
        <f t="shared" si="49"/>
        <v>Waste management1200</v>
      </c>
      <c r="E1053" s="360" t="str">
        <f t="shared" si="50"/>
        <v>TheewaterskloofWaste managementDividends received</v>
      </c>
      <c r="F1053" s="360" t="str">
        <f>'PART C- Municipal Details'!$G$7</f>
        <v>Theewaterskloof</v>
      </c>
      <c r="G1053" s="360" t="s">
        <v>812</v>
      </c>
      <c r="H1053" s="366" t="s">
        <v>816</v>
      </c>
      <c r="I1053" s="496" t="s">
        <v>4</v>
      </c>
      <c r="J1053" s="497" t="s">
        <v>691</v>
      </c>
      <c r="K1053" s="490"/>
      <c r="L1053" s="463" t="s">
        <v>694</v>
      </c>
      <c r="M1053" s="459"/>
      <c r="N1053" s="461"/>
      <c r="O1053" s="461"/>
      <c r="P1053" s="461"/>
      <c r="Q1053" s="461"/>
      <c r="R1053" s="461"/>
      <c r="S1053" s="461"/>
      <c r="T1053" s="461"/>
      <c r="U1053" s="530">
        <v>0</v>
      </c>
      <c r="V1053" s="530">
        <v>0</v>
      </c>
      <c r="W1053" s="530">
        <v>0</v>
      </c>
      <c r="X1053" s="490"/>
      <c r="Y1053" s="969"/>
      <c r="Z1053" s="969"/>
      <c r="AA1053" s="969"/>
      <c r="AB1053" s="969"/>
      <c r="AC1053" s="969"/>
      <c r="AD1053" s="969"/>
      <c r="AE1053" s="969" t="str">
        <f t="shared" si="48"/>
        <v>TheewaterskloofDividends</v>
      </c>
      <c r="AF1053" s="969"/>
      <c r="AG1053" s="969"/>
    </row>
    <row r="1054" spans="2:33" ht="13.2" customHeight="1" x14ac:dyDescent="0.55000000000000004">
      <c r="B1054" s="371"/>
      <c r="C1054" s="1010" t="s">
        <v>695</v>
      </c>
      <c r="D1054" s="360" t="str">
        <f t="shared" si="49"/>
        <v>Waste management1300</v>
      </c>
      <c r="E1054" s="361" t="str">
        <f t="shared" si="50"/>
        <v>TheewaterskloofWaste managementRental of facilities and equipment</v>
      </c>
      <c r="F1054" s="360" t="str">
        <f>'PART C- Municipal Details'!$G$7</f>
        <v>Theewaterskloof</v>
      </c>
      <c r="G1054" s="361" t="s">
        <v>812</v>
      </c>
      <c r="H1054" s="363" t="s">
        <v>816</v>
      </c>
      <c r="I1054" s="496" t="s">
        <v>1</v>
      </c>
      <c r="J1054" s="497" t="s">
        <v>5</v>
      </c>
      <c r="K1054" s="490"/>
      <c r="L1054" s="463" t="s">
        <v>696</v>
      </c>
      <c r="M1054" s="459"/>
      <c r="N1054" s="461"/>
      <c r="O1054" s="461"/>
      <c r="P1054" s="461"/>
      <c r="Q1054" s="461"/>
      <c r="R1054" s="461"/>
      <c r="S1054" s="461"/>
      <c r="T1054" s="461"/>
      <c r="U1054" s="530">
        <v>0</v>
      </c>
      <c r="V1054" s="530">
        <v>0</v>
      </c>
      <c r="W1054" s="530">
        <v>0</v>
      </c>
      <c r="X1054" s="490"/>
      <c r="Y1054" s="969"/>
      <c r="Z1054" s="969"/>
      <c r="AA1054" s="969"/>
      <c r="AB1054" s="969"/>
      <c r="AC1054" s="969"/>
      <c r="AD1054" s="969"/>
      <c r="AE1054" s="969" t="str">
        <f t="shared" si="48"/>
        <v>TheewaterskloofRent on Land</v>
      </c>
      <c r="AF1054" s="969"/>
      <c r="AG1054" s="969"/>
    </row>
    <row r="1055" spans="2:33" ht="13.2" customHeight="1" x14ac:dyDescent="0.55000000000000004">
      <c r="B1055" s="371"/>
      <c r="C1055" s="1010" t="s">
        <v>697</v>
      </c>
      <c r="D1055" s="361" t="str">
        <f t="shared" si="49"/>
        <v>Waste management1400</v>
      </c>
      <c r="E1055" s="360" t="str">
        <f t="shared" si="50"/>
        <v>TheewaterskloofWaste managementRental of facilities and equipment</v>
      </c>
      <c r="F1055" s="360" t="str">
        <f>'PART C- Municipal Details'!$G$7</f>
        <v>Theewaterskloof</v>
      </c>
      <c r="G1055" s="360" t="s">
        <v>812</v>
      </c>
      <c r="H1055" s="366" t="s">
        <v>816</v>
      </c>
      <c r="I1055" s="496" t="s">
        <v>1</v>
      </c>
      <c r="J1055" s="497" t="s">
        <v>6</v>
      </c>
      <c r="K1055" s="490"/>
      <c r="L1055" s="463" t="s">
        <v>699</v>
      </c>
      <c r="M1055" s="459"/>
      <c r="N1055" s="461"/>
      <c r="O1055" s="461"/>
      <c r="P1055" s="461"/>
      <c r="Q1055" s="461"/>
      <c r="R1055" s="461"/>
      <c r="S1055" s="461"/>
      <c r="T1055" s="461"/>
      <c r="U1055" s="530">
        <v>0</v>
      </c>
      <c r="V1055" s="530">
        <v>0</v>
      </c>
      <c r="W1055" s="530">
        <v>0</v>
      </c>
      <c r="X1055" s="490"/>
      <c r="Y1055" s="969"/>
      <c r="Z1055" s="969"/>
      <c r="AA1055" s="969"/>
      <c r="AB1055" s="969"/>
      <c r="AC1055" s="969"/>
      <c r="AD1055" s="969"/>
      <c r="AE1055" s="969" t="str">
        <f t="shared" si="48"/>
        <v>TheewaterskloofRental from Fixed Assets</v>
      </c>
      <c r="AF1055" s="969"/>
      <c r="AG1055" s="969"/>
    </row>
    <row r="1056" spans="2:33" ht="13.2" customHeight="1" x14ac:dyDescent="0.55000000000000004">
      <c r="B1056" s="371"/>
      <c r="C1056" s="1010" t="s">
        <v>700</v>
      </c>
      <c r="D1056" s="360" t="str">
        <f t="shared" si="49"/>
        <v>Waste management1500</v>
      </c>
      <c r="E1056" s="361" t="str">
        <f t="shared" si="50"/>
        <v>TheewaterskloofWaste managementLicences and permits</v>
      </c>
      <c r="F1056" s="360" t="str">
        <f>'PART C- Municipal Details'!$G$7</f>
        <v>Theewaterskloof</v>
      </c>
      <c r="G1056" s="361" t="s">
        <v>812</v>
      </c>
      <c r="H1056" s="363" t="s">
        <v>816</v>
      </c>
      <c r="I1056" s="496" t="s">
        <v>5</v>
      </c>
      <c r="J1056" s="497" t="s">
        <v>698</v>
      </c>
      <c r="K1056" s="490"/>
      <c r="L1056" s="463" t="s">
        <v>701</v>
      </c>
      <c r="M1056" s="459"/>
      <c r="N1056" s="461"/>
      <c r="O1056" s="461"/>
      <c r="P1056" s="461"/>
      <c r="Q1056" s="461"/>
      <c r="R1056" s="461"/>
      <c r="S1056" s="461"/>
      <c r="T1056" s="461"/>
      <c r="U1056" s="530">
        <v>0</v>
      </c>
      <c r="V1056" s="530">
        <v>0</v>
      </c>
      <c r="W1056" s="530">
        <v>0</v>
      </c>
      <c r="X1056" s="490"/>
      <c r="Y1056" s="969"/>
      <c r="Z1056" s="969"/>
      <c r="AA1056" s="969"/>
      <c r="AB1056" s="969"/>
      <c r="AC1056" s="969"/>
      <c r="AD1056" s="969"/>
      <c r="AE1056" s="969" t="str">
        <f t="shared" si="48"/>
        <v>TheewaterskloofLicence and permits</v>
      </c>
      <c r="AF1056" s="969"/>
      <c r="AG1056" s="969"/>
    </row>
    <row r="1057" spans="2:33" ht="13.2" customHeight="1" x14ac:dyDescent="0.55000000000000004">
      <c r="B1057" s="371"/>
      <c r="C1057" s="1324" t="s">
        <v>1569</v>
      </c>
      <c r="D1057" s="360" t="str">
        <f t="shared" si="49"/>
        <v>Waste management1550</v>
      </c>
      <c r="E1057" s="360" t="str">
        <f t="shared" si="50"/>
        <v>TheewaterskloofWaste managementSpecial rating Levies</v>
      </c>
      <c r="F1057" s="360" t="str">
        <f>'PART C- Municipal Details'!$G$7</f>
        <v>Theewaterskloof</v>
      </c>
      <c r="G1057" s="360" t="s">
        <v>812</v>
      </c>
      <c r="H1057" s="363" t="s">
        <v>816</v>
      </c>
      <c r="I1057" s="496" t="s">
        <v>1568</v>
      </c>
      <c r="J1057" s="497" t="s">
        <v>7</v>
      </c>
      <c r="K1057" s="490"/>
      <c r="L1057" s="463" t="s">
        <v>1567</v>
      </c>
      <c r="M1057" s="459"/>
      <c r="N1057" s="461"/>
      <c r="O1057" s="461"/>
      <c r="P1057" s="461"/>
      <c r="Q1057" s="461"/>
      <c r="R1057" s="461"/>
      <c r="S1057" s="461"/>
      <c r="T1057" s="461"/>
      <c r="U1057" s="530">
        <v>0</v>
      </c>
      <c r="V1057" s="530">
        <v>0</v>
      </c>
      <c r="W1057" s="530">
        <v>0</v>
      </c>
      <c r="X1057" s="490"/>
      <c r="Y1057" s="969"/>
      <c r="Z1057" s="969"/>
      <c r="AA1057" s="969"/>
      <c r="AB1057" s="969"/>
      <c r="AC1057" s="969"/>
      <c r="AD1057" s="969"/>
      <c r="AE1057" s="969"/>
      <c r="AF1057" s="969"/>
      <c r="AG1057" s="969"/>
    </row>
    <row r="1058" spans="2:33" ht="13.2" customHeight="1" x14ac:dyDescent="0.55000000000000004">
      <c r="B1058" s="371"/>
      <c r="C1058" s="1010" t="s">
        <v>702</v>
      </c>
      <c r="D1058" s="361" t="str">
        <f t="shared" si="49"/>
        <v>Waste management1600</v>
      </c>
      <c r="E1058" s="360" t="str">
        <f t="shared" si="50"/>
        <v>TheewaterskloofWaste managementOther revenue</v>
      </c>
      <c r="F1058" s="360" t="str">
        <f>'PART C- Municipal Details'!$G$7</f>
        <v>Theewaterskloof</v>
      </c>
      <c r="G1058" s="360" t="s">
        <v>812</v>
      </c>
      <c r="H1058" s="366" t="s">
        <v>816</v>
      </c>
      <c r="I1058" s="496" t="s">
        <v>7</v>
      </c>
      <c r="J1058" s="497" t="s">
        <v>7</v>
      </c>
      <c r="K1058" s="490"/>
      <c r="L1058" s="463" t="s">
        <v>704</v>
      </c>
      <c r="M1058" s="459"/>
      <c r="N1058" s="461"/>
      <c r="O1058" s="461"/>
      <c r="P1058" s="461"/>
      <c r="Q1058" s="461"/>
      <c r="R1058" s="461"/>
      <c r="S1058" s="461"/>
      <c r="T1058" s="461"/>
      <c r="U1058" s="530">
        <v>1000</v>
      </c>
      <c r="V1058" s="530">
        <v>1034</v>
      </c>
      <c r="W1058" s="530">
        <v>1067</v>
      </c>
      <c r="X1058" s="490"/>
      <c r="Y1058" s="969"/>
      <c r="Z1058" s="969"/>
      <c r="AA1058" s="969"/>
      <c r="AB1058" s="969"/>
      <c r="AC1058" s="969"/>
      <c r="AD1058" s="969"/>
      <c r="AE1058" s="969" t="str">
        <f t="shared" si="48"/>
        <v>TheewaterskloofOperational Revenue</v>
      </c>
      <c r="AF1058" s="969"/>
      <c r="AG1058" s="969"/>
    </row>
    <row r="1059" spans="2:33" ht="13.2" customHeight="1" x14ac:dyDescent="0.55000000000000004">
      <c r="B1059" s="371"/>
      <c r="C1059" s="1009" t="s">
        <v>705</v>
      </c>
      <c r="D1059" s="360" t="str">
        <f t="shared" si="49"/>
        <v>Waste management1700</v>
      </c>
      <c r="E1059" s="361" t="str">
        <f t="shared" si="50"/>
        <v>TheewaterskloofWaste managementx</v>
      </c>
      <c r="F1059" s="360" t="str">
        <f>'PART C- Municipal Details'!$G$7</f>
        <v>Theewaterskloof</v>
      </c>
      <c r="G1059" s="361" t="s">
        <v>812</v>
      </c>
      <c r="H1059" s="363" t="s">
        <v>816</v>
      </c>
      <c r="I1059" s="496" t="s">
        <v>789</v>
      </c>
      <c r="J1059" s="497" t="s">
        <v>703</v>
      </c>
      <c r="K1059" s="490"/>
      <c r="L1059" s="508" t="s">
        <v>708</v>
      </c>
      <c r="M1059" s="509"/>
      <c r="N1059" s="510"/>
      <c r="O1059" s="510"/>
      <c r="P1059" s="510"/>
      <c r="Q1059" s="510"/>
      <c r="R1059" s="510"/>
      <c r="S1059" s="510"/>
      <c r="T1059" s="511"/>
      <c r="U1059" s="531">
        <v>0</v>
      </c>
      <c r="V1059" s="531">
        <v>0</v>
      </c>
      <c r="W1059" s="531">
        <v>0</v>
      </c>
      <c r="X1059" s="490"/>
      <c r="Y1059" s="969"/>
      <c r="Z1059" s="969"/>
      <c r="AA1059" s="969"/>
      <c r="AB1059" s="969"/>
      <c r="AC1059" s="969"/>
      <c r="AD1059" s="969"/>
      <c r="AE1059" s="969" t="str">
        <f t="shared" si="48"/>
        <v>TheewaterskloofNon-Exchange Revenue</v>
      </c>
      <c r="AF1059" s="969"/>
      <c r="AG1059" s="969"/>
    </row>
    <row r="1060" spans="2:33" ht="13.2" customHeight="1" x14ac:dyDescent="0.55000000000000004">
      <c r="B1060" s="371"/>
      <c r="C1060" s="1010" t="s">
        <v>709</v>
      </c>
      <c r="D1060" s="361" t="str">
        <f t="shared" si="49"/>
        <v>Waste management1800</v>
      </c>
      <c r="E1060" s="360" t="str">
        <f t="shared" si="50"/>
        <v>TheewaterskloofWaste managementProperty rates</v>
      </c>
      <c r="F1060" s="360" t="str">
        <f>'PART C- Municipal Details'!$G$7</f>
        <v>Theewaterskloof</v>
      </c>
      <c r="G1060" s="360" t="s">
        <v>812</v>
      </c>
      <c r="H1060" s="366" t="s">
        <v>816</v>
      </c>
      <c r="I1060" s="496" t="s">
        <v>0</v>
      </c>
      <c r="J1060" s="497" t="s">
        <v>707</v>
      </c>
      <c r="K1060" s="490"/>
      <c r="L1060" s="463" t="s">
        <v>0</v>
      </c>
      <c r="M1060" s="459"/>
      <c r="N1060" s="460"/>
      <c r="O1060" s="460"/>
      <c r="P1060" s="460"/>
      <c r="Q1060" s="460"/>
      <c r="R1060" s="460"/>
      <c r="S1060" s="460"/>
      <c r="T1060" s="460"/>
      <c r="U1060" s="530">
        <v>0</v>
      </c>
      <c r="V1060" s="530">
        <v>0</v>
      </c>
      <c r="W1060" s="530">
        <v>0</v>
      </c>
      <c r="X1060" s="490"/>
      <c r="Y1060" s="969"/>
      <c r="Z1060" s="969"/>
      <c r="AA1060" s="969"/>
      <c r="AB1060" s="969"/>
      <c r="AC1060" s="969"/>
      <c r="AD1060" s="969"/>
      <c r="AE1060" s="969" t="str">
        <f t="shared" si="48"/>
        <v>TheewaterskloofProperty rates</v>
      </c>
      <c r="AF1060" s="969"/>
      <c r="AG1060" s="969"/>
    </row>
    <row r="1061" spans="2:33" ht="13.2" customHeight="1" x14ac:dyDescent="0.55000000000000004">
      <c r="B1061" s="371"/>
      <c r="C1061" s="1010" t="s">
        <v>711</v>
      </c>
      <c r="D1061" s="360" t="str">
        <f t="shared" si="49"/>
        <v>Waste management1900</v>
      </c>
      <c r="E1061" s="361" t="str">
        <f t="shared" si="50"/>
        <v>TheewaterskloofWaste managementOther revenue</v>
      </c>
      <c r="F1061" s="360" t="str">
        <f>'PART C- Municipal Details'!$G$7</f>
        <v>Theewaterskloof</v>
      </c>
      <c r="G1061" s="361" t="s">
        <v>812</v>
      </c>
      <c r="H1061" s="363" t="s">
        <v>816</v>
      </c>
      <c r="I1061" s="496" t="s">
        <v>7</v>
      </c>
      <c r="J1061" s="497" t="s">
        <v>710</v>
      </c>
      <c r="K1061" s="490"/>
      <c r="L1061" s="463" t="s">
        <v>713</v>
      </c>
      <c r="M1061" s="459"/>
      <c r="N1061" s="461"/>
      <c r="O1061" s="461"/>
      <c r="P1061" s="461"/>
      <c r="Q1061" s="461"/>
      <c r="R1061" s="461"/>
      <c r="S1061" s="461"/>
      <c r="T1061" s="461"/>
      <c r="U1061" s="530">
        <v>0</v>
      </c>
      <c r="V1061" s="530">
        <v>0</v>
      </c>
      <c r="W1061" s="530">
        <v>0</v>
      </c>
      <c r="X1061" s="490"/>
      <c r="Y1061" s="969"/>
      <c r="Z1061" s="969"/>
      <c r="AA1061" s="969"/>
      <c r="AB1061" s="969"/>
      <c r="AC1061" s="969"/>
      <c r="AD1061" s="969"/>
      <c r="AE1061" s="969" t="str">
        <f t="shared" si="48"/>
        <v>TheewaterskloofSurcharges and Taxes</v>
      </c>
      <c r="AF1061" s="969"/>
      <c r="AG1061" s="969"/>
    </row>
    <row r="1062" spans="2:33" ht="13.2" customHeight="1" x14ac:dyDescent="0.55000000000000004">
      <c r="B1062" s="371"/>
      <c r="C1062" s="1010" t="s">
        <v>714</v>
      </c>
      <c r="D1062" s="361" t="str">
        <f t="shared" si="49"/>
        <v>Waste management2000</v>
      </c>
      <c r="E1062" s="360" t="str">
        <f t="shared" si="50"/>
        <v>TheewaterskloofWaste managementFines, penalties and forfeits</v>
      </c>
      <c r="F1062" s="360" t="str">
        <f>'PART C- Municipal Details'!$G$7</f>
        <v>Theewaterskloof</v>
      </c>
      <c r="G1062" s="360" t="s">
        <v>812</v>
      </c>
      <c r="H1062" s="366" t="s">
        <v>816</v>
      </c>
      <c r="I1062" s="496" t="s">
        <v>691</v>
      </c>
      <c r="J1062" s="497" t="s">
        <v>712</v>
      </c>
      <c r="K1062" s="490"/>
      <c r="L1062" s="463" t="s">
        <v>691</v>
      </c>
      <c r="M1062" s="459"/>
      <c r="N1062" s="461"/>
      <c r="O1062" s="461"/>
      <c r="P1062" s="461"/>
      <c r="Q1062" s="461"/>
      <c r="R1062" s="461"/>
      <c r="S1062" s="461"/>
      <c r="T1062" s="461"/>
      <c r="U1062" s="530">
        <v>0</v>
      </c>
      <c r="V1062" s="530">
        <v>0</v>
      </c>
      <c r="W1062" s="530">
        <v>0</v>
      </c>
      <c r="X1062" s="490"/>
      <c r="Y1062" s="969"/>
      <c r="Z1062" s="969"/>
      <c r="AA1062" s="969"/>
      <c r="AB1062" s="969"/>
      <c r="AC1062" s="969"/>
      <c r="AD1062" s="969"/>
      <c r="AE1062" s="969" t="str">
        <f t="shared" si="48"/>
        <v>TheewaterskloofFines, penalties and forfeits</v>
      </c>
      <c r="AF1062" s="969"/>
      <c r="AG1062" s="969"/>
    </row>
    <row r="1063" spans="2:33" ht="13.2" customHeight="1" x14ac:dyDescent="0.55000000000000004">
      <c r="B1063" s="371"/>
      <c r="C1063" s="1010" t="s">
        <v>715</v>
      </c>
      <c r="D1063" s="360" t="str">
        <f t="shared" si="49"/>
        <v>Waste management2100</v>
      </c>
      <c r="E1063" s="361" t="str">
        <f t="shared" si="50"/>
        <v>TheewaterskloofWaste managementLicences and permits</v>
      </c>
      <c r="F1063" s="360" t="str">
        <f>'PART C- Municipal Details'!$G$7</f>
        <v>Theewaterskloof</v>
      </c>
      <c r="G1063" s="361" t="s">
        <v>812</v>
      </c>
      <c r="H1063" s="363" t="s">
        <v>816</v>
      </c>
      <c r="I1063" s="496" t="s">
        <v>5</v>
      </c>
      <c r="J1063" s="497" t="s">
        <v>8</v>
      </c>
      <c r="K1063" s="490"/>
      <c r="L1063" s="463" t="s">
        <v>716</v>
      </c>
      <c r="M1063" s="459"/>
      <c r="N1063" s="461"/>
      <c r="O1063" s="461"/>
      <c r="P1063" s="461"/>
      <c r="Q1063" s="461"/>
      <c r="R1063" s="461"/>
      <c r="S1063" s="461"/>
      <c r="T1063" s="461"/>
      <c r="U1063" s="530">
        <v>0</v>
      </c>
      <c r="V1063" s="530">
        <v>0</v>
      </c>
      <c r="W1063" s="530">
        <v>0</v>
      </c>
      <c r="X1063" s="490"/>
      <c r="Y1063" s="969"/>
      <c r="Z1063" s="969"/>
      <c r="AA1063" s="969"/>
      <c r="AB1063" s="969"/>
      <c r="AC1063" s="969"/>
      <c r="AD1063" s="969"/>
      <c r="AE1063" s="969" t="str">
        <f t="shared" si="48"/>
        <v>TheewaterskloofLicences or permits</v>
      </c>
      <c r="AF1063" s="969"/>
      <c r="AG1063" s="969"/>
    </row>
    <row r="1064" spans="2:33" ht="13.2" customHeight="1" x14ac:dyDescent="0.55000000000000004">
      <c r="B1064" s="371"/>
      <c r="C1064" s="1010" t="s">
        <v>717</v>
      </c>
      <c r="D1064" s="361" t="str">
        <f t="shared" si="49"/>
        <v>Waste management2200</v>
      </c>
      <c r="E1064" s="360" t="str">
        <f t="shared" si="50"/>
        <v>TheewaterskloofWaste managementTransfers and subsidies Income</v>
      </c>
      <c r="F1064" s="360" t="str">
        <f>'PART C- Municipal Details'!$G$7</f>
        <v>Theewaterskloof</v>
      </c>
      <c r="G1064" s="360" t="s">
        <v>812</v>
      </c>
      <c r="H1064" s="366" t="s">
        <v>816</v>
      </c>
      <c r="I1064" s="496" t="s">
        <v>698</v>
      </c>
      <c r="J1064" s="497" t="s">
        <v>9</v>
      </c>
      <c r="K1064" s="490"/>
      <c r="L1064" s="463" t="s">
        <v>718</v>
      </c>
      <c r="M1064" s="459"/>
      <c r="N1064" s="461"/>
      <c r="O1064" s="461"/>
      <c r="P1064" s="461"/>
      <c r="Q1064" s="461"/>
      <c r="R1064" s="461"/>
      <c r="S1064" s="461"/>
      <c r="T1064" s="461"/>
      <c r="U1064" s="530">
        <v>18598866</v>
      </c>
      <c r="V1064" s="530">
        <v>19549819</v>
      </c>
      <c r="W1064" s="530">
        <v>19951887</v>
      </c>
      <c r="X1064" s="490"/>
      <c r="Y1064" s="969"/>
      <c r="Z1064" s="969"/>
      <c r="AA1064" s="969"/>
      <c r="AB1064" s="969"/>
      <c r="AC1064" s="969"/>
      <c r="AD1064" s="969"/>
      <c r="AE1064" s="969" t="str">
        <f t="shared" si="48"/>
        <v>TheewaterskloofTransfer and subsidies - Operational</v>
      </c>
      <c r="AF1064" s="969"/>
      <c r="AG1064" s="969"/>
    </row>
    <row r="1065" spans="2:33" ht="13.2" customHeight="1" x14ac:dyDescent="0.55000000000000004">
      <c r="B1065" s="371"/>
      <c r="C1065" s="1010" t="s">
        <v>719</v>
      </c>
      <c r="D1065" s="360" t="str">
        <f t="shared" si="49"/>
        <v>Waste management2300</v>
      </c>
      <c r="E1065" s="361" t="str">
        <f t="shared" si="50"/>
        <v>TheewaterskloofWaste managementInterest earned - external investments</v>
      </c>
      <c r="F1065" s="360" t="str">
        <f>'PART C- Municipal Details'!$G$7</f>
        <v>Theewaterskloof</v>
      </c>
      <c r="G1065" s="361" t="s">
        <v>812</v>
      </c>
      <c r="H1065" s="363" t="s">
        <v>816</v>
      </c>
      <c r="I1065" s="496" t="s">
        <v>2</v>
      </c>
      <c r="J1065" s="497" t="s">
        <v>10</v>
      </c>
      <c r="K1065" s="490"/>
      <c r="L1065" s="463" t="s">
        <v>687</v>
      </c>
      <c r="M1065" s="459"/>
      <c r="N1065" s="461"/>
      <c r="O1065" s="461"/>
      <c r="P1065" s="461"/>
      <c r="Q1065" s="461"/>
      <c r="R1065" s="461"/>
      <c r="S1065" s="461"/>
      <c r="T1065" s="461"/>
      <c r="U1065" s="530">
        <v>0</v>
      </c>
      <c r="V1065" s="530">
        <v>0</v>
      </c>
      <c r="W1065" s="530">
        <v>0</v>
      </c>
      <c r="X1065" s="490"/>
      <c r="Y1065" s="969"/>
      <c r="Z1065" s="969"/>
      <c r="AA1065" s="969"/>
      <c r="AB1065" s="969"/>
      <c r="AC1065" s="969"/>
      <c r="AD1065" s="969"/>
      <c r="AE1065" s="969" t="str">
        <f t="shared" si="48"/>
        <v>TheewaterskloofInterest</v>
      </c>
      <c r="AF1065" s="969"/>
      <c r="AG1065" s="969"/>
    </row>
    <row r="1066" spans="2:33" ht="13.2" customHeight="1" x14ac:dyDescent="0.55000000000000004">
      <c r="B1066" s="371"/>
      <c r="C1066" s="1010" t="s">
        <v>721</v>
      </c>
      <c r="D1066" s="361" t="str">
        <f t="shared" si="49"/>
        <v>Waste management2400</v>
      </c>
      <c r="E1066" s="360" t="str">
        <f t="shared" si="50"/>
        <v>TheewaterskloofWaste managementOther revenue</v>
      </c>
      <c r="F1066" s="360" t="str">
        <f>'PART C- Municipal Details'!$G$7</f>
        <v>Theewaterskloof</v>
      </c>
      <c r="G1066" s="360" t="s">
        <v>812</v>
      </c>
      <c r="H1066" s="366" t="s">
        <v>816</v>
      </c>
      <c r="I1066" s="496" t="s">
        <v>7</v>
      </c>
      <c r="J1066" s="497" t="s">
        <v>720</v>
      </c>
      <c r="K1066" s="490"/>
      <c r="L1066" s="463" t="s">
        <v>722</v>
      </c>
      <c r="M1066" s="459"/>
      <c r="N1066" s="461"/>
      <c r="O1066" s="461"/>
      <c r="P1066" s="461"/>
      <c r="Q1066" s="461"/>
      <c r="R1066" s="461"/>
      <c r="S1066" s="461"/>
      <c r="T1066" s="461"/>
      <c r="U1066" s="530">
        <v>0</v>
      </c>
      <c r="V1066" s="530">
        <v>0</v>
      </c>
      <c r="W1066" s="530">
        <v>0</v>
      </c>
      <c r="X1066" s="490"/>
      <c r="Y1066" s="969"/>
      <c r="Z1066" s="969"/>
      <c r="AA1066" s="969"/>
      <c r="AB1066" s="969"/>
      <c r="AC1066" s="969"/>
      <c r="AD1066" s="969"/>
      <c r="AE1066" s="969" t="str">
        <f t="shared" si="48"/>
        <v>TheewaterskloofFuel Levy</v>
      </c>
      <c r="AF1066" s="969"/>
      <c r="AG1066" s="969"/>
    </row>
    <row r="1067" spans="2:33" ht="13.2" customHeight="1" x14ac:dyDescent="0.55000000000000004">
      <c r="B1067" s="371"/>
      <c r="C1067" s="1010" t="s">
        <v>723</v>
      </c>
      <c r="D1067" s="360" t="str">
        <f t="shared" si="49"/>
        <v>Waste management2500</v>
      </c>
      <c r="E1067" s="361" t="str">
        <f t="shared" si="50"/>
        <v>TheewaterskloofWaste managementOther revenue</v>
      </c>
      <c r="F1067" s="360" t="str">
        <f>'PART C- Municipal Details'!$G$7</f>
        <v>Theewaterskloof</v>
      </c>
      <c r="G1067" s="361" t="s">
        <v>812</v>
      </c>
      <c r="H1067" s="363" t="s">
        <v>816</v>
      </c>
      <c r="I1067" s="496" t="s">
        <v>7</v>
      </c>
      <c r="J1067" s="497" t="s">
        <v>11</v>
      </c>
      <c r="K1067" s="490"/>
      <c r="L1067" s="463" t="s">
        <v>704</v>
      </c>
      <c r="M1067" s="459"/>
      <c r="N1067" s="461"/>
      <c r="O1067" s="461"/>
      <c r="P1067" s="461"/>
      <c r="Q1067" s="461"/>
      <c r="R1067" s="461"/>
      <c r="S1067" s="461"/>
      <c r="T1067" s="461"/>
      <c r="U1067" s="530">
        <v>919982</v>
      </c>
      <c r="V1067" s="530">
        <v>951261</v>
      </c>
      <c r="W1067" s="530">
        <v>981701</v>
      </c>
      <c r="X1067" s="490"/>
      <c r="Y1067" s="969"/>
      <c r="Z1067" s="969"/>
      <c r="AA1067" s="969"/>
      <c r="AB1067" s="969"/>
      <c r="AC1067" s="969"/>
      <c r="AD1067" s="969"/>
      <c r="AE1067" s="969" t="str">
        <f t="shared" si="48"/>
        <v>TheewaterskloofOperational Revenue</v>
      </c>
      <c r="AF1067" s="969"/>
      <c r="AG1067" s="969"/>
    </row>
    <row r="1068" spans="2:33" ht="13.2" customHeight="1" x14ac:dyDescent="0.55000000000000004">
      <c r="B1068" s="371"/>
      <c r="C1068" s="1010" t="s">
        <v>725</v>
      </c>
      <c r="D1068" s="361" t="str">
        <f t="shared" si="49"/>
        <v>Waste management2600</v>
      </c>
      <c r="E1068" s="360" t="str">
        <f t="shared" si="50"/>
        <v>TheewaterskloofWaste managementGains</v>
      </c>
      <c r="F1068" s="360" t="str">
        <f>'PART C- Municipal Details'!$G$7</f>
        <v>Theewaterskloof</v>
      </c>
      <c r="G1068" s="360" t="s">
        <v>812</v>
      </c>
      <c r="H1068" s="366" t="s">
        <v>816</v>
      </c>
      <c r="I1068" s="496" t="s">
        <v>703</v>
      </c>
      <c r="J1068" s="497" t="s">
        <v>724</v>
      </c>
      <c r="K1068" s="490"/>
      <c r="L1068" s="463" t="s">
        <v>727</v>
      </c>
      <c r="M1068" s="459"/>
      <c r="N1068" s="461"/>
      <c r="O1068" s="461"/>
      <c r="P1068" s="461"/>
      <c r="Q1068" s="461"/>
      <c r="R1068" s="461"/>
      <c r="S1068" s="461"/>
      <c r="T1068" s="461"/>
      <c r="U1068" s="530">
        <v>0</v>
      </c>
      <c r="V1068" s="530">
        <v>0</v>
      </c>
      <c r="W1068" s="530">
        <v>0</v>
      </c>
      <c r="X1068" s="490"/>
      <c r="Y1068" s="969"/>
      <c r="Z1068" s="969"/>
      <c r="AA1068" s="969"/>
      <c r="AB1068" s="969"/>
      <c r="AC1068" s="969"/>
      <c r="AD1068" s="969"/>
      <c r="AE1068" s="969" t="str">
        <f t="shared" si="48"/>
        <v>TheewaterskloofGains on disposal of Assets</v>
      </c>
      <c r="AF1068" s="969"/>
      <c r="AG1068" s="969"/>
    </row>
    <row r="1069" spans="2:33" ht="13.2" customHeight="1" x14ac:dyDescent="0.55000000000000004">
      <c r="B1069" s="371"/>
      <c r="C1069" s="1010" t="s">
        <v>728</v>
      </c>
      <c r="D1069" s="360" t="str">
        <f t="shared" si="49"/>
        <v>Waste management2700</v>
      </c>
      <c r="E1069" s="361" t="str">
        <f t="shared" si="50"/>
        <v>TheewaterskloofWaste managementOther revenue</v>
      </c>
      <c r="F1069" s="360" t="str">
        <f>'PART C- Municipal Details'!$G$7</f>
        <v>Theewaterskloof</v>
      </c>
      <c r="G1069" s="361" t="s">
        <v>812</v>
      </c>
      <c r="H1069" s="363" t="s">
        <v>816</v>
      </c>
      <c r="I1069" s="496" t="s">
        <v>7</v>
      </c>
      <c r="J1069" s="497" t="s">
        <v>726</v>
      </c>
      <c r="K1069" s="490"/>
      <c r="L1069" s="463" t="s">
        <v>729</v>
      </c>
      <c r="M1069" s="459"/>
      <c r="N1069" s="461"/>
      <c r="O1069" s="461"/>
      <c r="P1069" s="461"/>
      <c r="Q1069" s="461"/>
      <c r="R1069" s="461"/>
      <c r="S1069" s="461"/>
      <c r="T1069" s="461"/>
      <c r="U1069" s="530">
        <v>0</v>
      </c>
      <c r="V1069" s="530">
        <v>0</v>
      </c>
      <c r="W1069" s="530">
        <v>0</v>
      </c>
      <c r="X1069" s="490"/>
      <c r="Y1069" s="969"/>
      <c r="Z1069" s="969"/>
      <c r="AA1069" s="969"/>
      <c r="AB1069" s="969"/>
      <c r="AC1069" s="969"/>
      <c r="AD1069" s="969"/>
      <c r="AE1069" s="969" t="str">
        <f t="shared" si="48"/>
        <v>TheewaterskloofOther Gains</v>
      </c>
      <c r="AF1069" s="969"/>
      <c r="AG1069" s="969"/>
    </row>
    <row r="1070" spans="2:33" ht="13.2" customHeight="1" x14ac:dyDescent="0.55000000000000004">
      <c r="B1070" s="371"/>
      <c r="C1070" s="1010" t="s">
        <v>730</v>
      </c>
      <c r="D1070" s="361" t="str">
        <f t="shared" si="49"/>
        <v>Waste management2800</v>
      </c>
      <c r="E1070" s="360" t="str">
        <f t="shared" si="50"/>
        <v>TheewaterskloofWaste managementOther revenue</v>
      </c>
      <c r="F1070" s="360" t="str">
        <f>'PART C- Municipal Details'!$G$7</f>
        <v>Theewaterskloof</v>
      </c>
      <c r="G1070" s="360" t="s">
        <v>812</v>
      </c>
      <c r="H1070" s="366" t="s">
        <v>816</v>
      </c>
      <c r="I1070" s="496" t="s">
        <v>7</v>
      </c>
      <c r="J1070" s="497" t="s">
        <v>12</v>
      </c>
      <c r="K1070" s="490"/>
      <c r="L1070" s="464" t="s">
        <v>731</v>
      </c>
      <c r="M1070" s="459"/>
      <c r="N1070" s="461"/>
      <c r="O1070" s="461"/>
      <c r="P1070" s="461"/>
      <c r="Q1070" s="461"/>
      <c r="R1070" s="461"/>
      <c r="S1070" s="461"/>
      <c r="T1070" s="461"/>
      <c r="U1070" s="530">
        <v>0</v>
      </c>
      <c r="V1070" s="530">
        <v>0</v>
      </c>
      <c r="W1070" s="530">
        <v>0</v>
      </c>
      <c r="X1070" s="490"/>
      <c r="Y1070" s="969"/>
      <c r="Z1070" s="969"/>
      <c r="AA1070" s="969"/>
      <c r="AB1070" s="969"/>
      <c r="AC1070" s="969"/>
      <c r="AD1070" s="969"/>
      <c r="AE1070" s="969" t="str">
        <f t="shared" si="48"/>
        <v>TheewaterskloofDiscontinued Operations</v>
      </c>
      <c r="AF1070" s="969"/>
      <c r="AG1070" s="969"/>
    </row>
    <row r="1071" spans="2:33" ht="13.2" customHeight="1" x14ac:dyDescent="0.55000000000000004">
      <c r="B1071" s="371"/>
      <c r="C1071" s="1009" t="s">
        <v>732</v>
      </c>
      <c r="D1071" s="360" t="str">
        <f t="shared" si="49"/>
        <v>Waste management2900</v>
      </c>
      <c r="E1071" s="361" t="str">
        <f t="shared" si="50"/>
        <v>TheewaterskloofWaste managementTotal Revenue (excluding capital transfers and contributions)</v>
      </c>
      <c r="F1071" s="360" t="str">
        <f>'PART C- Municipal Details'!$G$7</f>
        <v>Theewaterskloof</v>
      </c>
      <c r="G1071" s="361" t="s">
        <v>812</v>
      </c>
      <c r="H1071" s="363" t="s">
        <v>816</v>
      </c>
      <c r="I1071" s="496" t="s">
        <v>707</v>
      </c>
      <c r="J1071" s="497" t="s">
        <v>204</v>
      </c>
      <c r="K1071" s="490"/>
      <c r="L1071" s="508" t="s">
        <v>707</v>
      </c>
      <c r="M1071" s="509"/>
      <c r="N1071" s="510"/>
      <c r="O1071" s="510"/>
      <c r="P1071" s="510"/>
      <c r="Q1071" s="510"/>
      <c r="R1071" s="510"/>
      <c r="S1071" s="510"/>
      <c r="T1071" s="511"/>
      <c r="U1071" s="531">
        <v>71677925</v>
      </c>
      <c r="V1071" s="531">
        <v>74433566</v>
      </c>
      <c r="W1071" s="531">
        <v>76591914</v>
      </c>
      <c r="X1071" s="490"/>
      <c r="Y1071" s="969"/>
      <c r="Z1071" s="969"/>
      <c r="AA1071" s="969"/>
      <c r="AB1071" s="969"/>
      <c r="AC1071" s="969"/>
      <c r="AD1071" s="969"/>
      <c r="AE1071" s="969" t="str">
        <f t="shared" si="48"/>
        <v>TheewaterskloofTotal Revenue (excluding capital transfers and contributions)</v>
      </c>
      <c r="AF1071" s="969"/>
      <c r="AG1071" s="969"/>
    </row>
    <row r="1072" spans="2:33" ht="13.2" customHeight="1" x14ac:dyDescent="0.55000000000000004">
      <c r="B1072" s="371"/>
      <c r="C1072" s="1009" t="s">
        <v>733</v>
      </c>
      <c r="D1072" s="361" t="str">
        <f t="shared" si="49"/>
        <v>Waste management3000</v>
      </c>
      <c r="E1072" s="360" t="str">
        <f t="shared" si="50"/>
        <v>TheewaterskloofWaste managementx</v>
      </c>
      <c r="F1072" s="360" t="str">
        <f>'PART C- Municipal Details'!$G$7</f>
        <v>Theewaterskloof</v>
      </c>
      <c r="G1072" s="360" t="s">
        <v>812</v>
      </c>
      <c r="H1072" s="366" t="s">
        <v>816</v>
      </c>
      <c r="I1072" s="496" t="s">
        <v>789</v>
      </c>
      <c r="J1072" s="497" t="s">
        <v>13</v>
      </c>
      <c r="K1072" s="490"/>
      <c r="L1072" s="505" t="s">
        <v>22</v>
      </c>
      <c r="M1072" s="506"/>
      <c r="N1072" s="507"/>
      <c r="O1072" s="507"/>
      <c r="P1072" s="507"/>
      <c r="Q1072" s="507"/>
      <c r="R1072" s="507"/>
      <c r="S1072" s="507"/>
      <c r="T1072" s="507"/>
      <c r="U1072" s="531">
        <v>0</v>
      </c>
      <c r="V1072" s="531">
        <v>0</v>
      </c>
      <c r="W1072" s="531">
        <v>0</v>
      </c>
      <c r="X1072" s="490"/>
      <c r="Y1072" s="969"/>
      <c r="Z1072" s="969"/>
      <c r="AA1072" s="969"/>
      <c r="AB1072" s="969"/>
      <c r="AC1072" s="969"/>
      <c r="AD1072" s="969"/>
      <c r="AE1072" s="969" t="str">
        <f t="shared" si="48"/>
        <v>TheewaterskloofExpenditure</v>
      </c>
      <c r="AF1072" s="969"/>
      <c r="AG1072" s="969"/>
    </row>
    <row r="1073" spans="2:33" ht="13.2" customHeight="1" x14ac:dyDescent="0.55000000000000004">
      <c r="B1073" s="371"/>
      <c r="C1073" s="1010" t="s">
        <v>735</v>
      </c>
      <c r="D1073" s="360" t="str">
        <f t="shared" si="49"/>
        <v>Waste management3100</v>
      </c>
      <c r="E1073" s="361" t="str">
        <f t="shared" si="50"/>
        <v>TheewaterskloofWaste managementEmployee related costs</v>
      </c>
      <c r="F1073" s="360" t="str">
        <f>'PART C- Municipal Details'!$G$7</f>
        <v>Theewaterskloof</v>
      </c>
      <c r="G1073" s="361" t="s">
        <v>812</v>
      </c>
      <c r="H1073" s="363" t="s">
        <v>816</v>
      </c>
      <c r="I1073" s="496" t="s">
        <v>8</v>
      </c>
      <c r="J1073" s="497" t="s">
        <v>734</v>
      </c>
      <c r="K1073" s="490"/>
      <c r="L1073" s="463" t="s">
        <v>8</v>
      </c>
      <c r="M1073" s="459"/>
      <c r="N1073" s="461"/>
      <c r="O1073" s="461"/>
      <c r="P1073" s="461"/>
      <c r="Q1073" s="461"/>
      <c r="R1073" s="461"/>
      <c r="S1073" s="461"/>
      <c r="T1073" s="461"/>
      <c r="U1073" s="530">
        <v>22275152</v>
      </c>
      <c r="V1073" s="530">
        <v>23032512</v>
      </c>
      <c r="W1073" s="530">
        <v>23769552</v>
      </c>
      <c r="X1073" s="490"/>
      <c r="Y1073" s="969"/>
      <c r="Z1073" s="969"/>
      <c r="AA1073" s="969"/>
      <c r="AB1073" s="969"/>
      <c r="AC1073" s="969"/>
      <c r="AD1073" s="969"/>
      <c r="AE1073" s="969" t="str">
        <f t="shared" ref="AE1073:AE1108" si="51">F1073&amp;L1073</f>
        <v>TheewaterskloofEmployee related costs</v>
      </c>
      <c r="AF1073" s="969"/>
      <c r="AG1073" s="969"/>
    </row>
    <row r="1074" spans="2:33" ht="13.2" customHeight="1" x14ac:dyDescent="0.55000000000000004">
      <c r="B1074" s="371"/>
      <c r="C1074" s="1010" t="s">
        <v>737</v>
      </c>
      <c r="D1074" s="361" t="str">
        <f t="shared" si="49"/>
        <v>Waste management3200</v>
      </c>
      <c r="E1074" s="360" t="str">
        <f t="shared" si="50"/>
        <v>TheewaterskloofWaste managementRemuneration of councillors</v>
      </c>
      <c r="F1074" s="360" t="str">
        <f>'PART C- Municipal Details'!$G$7</f>
        <v>Theewaterskloof</v>
      </c>
      <c r="G1074" s="360" t="s">
        <v>812</v>
      </c>
      <c r="H1074" s="366" t="s">
        <v>816</v>
      </c>
      <c r="I1074" s="496" t="s">
        <v>9</v>
      </c>
      <c r="J1074" s="497" t="s">
        <v>736</v>
      </c>
      <c r="K1074" s="490"/>
      <c r="L1074" s="463" t="s">
        <v>9</v>
      </c>
      <c r="M1074" s="459"/>
      <c r="N1074" s="461"/>
      <c r="O1074" s="461"/>
      <c r="P1074" s="461"/>
      <c r="Q1074" s="461"/>
      <c r="R1074" s="461"/>
      <c r="S1074" s="461"/>
      <c r="T1074" s="461"/>
      <c r="U1074" s="530">
        <v>0</v>
      </c>
      <c r="V1074" s="530">
        <v>0</v>
      </c>
      <c r="W1074" s="530">
        <v>0</v>
      </c>
      <c r="X1074" s="490"/>
      <c r="Y1074" s="969"/>
      <c r="Z1074" s="969"/>
      <c r="AA1074" s="969"/>
      <c r="AB1074" s="969"/>
      <c r="AC1074" s="969"/>
      <c r="AD1074" s="969"/>
      <c r="AE1074" s="969" t="str">
        <f t="shared" si="51"/>
        <v>TheewaterskloofRemuneration of councillors</v>
      </c>
      <c r="AF1074" s="969"/>
      <c r="AG1074" s="969"/>
    </row>
    <row r="1075" spans="2:33" ht="13.2" customHeight="1" x14ac:dyDescent="0.55000000000000004">
      <c r="B1075" s="371"/>
      <c r="C1075" s="1010" t="s">
        <v>738</v>
      </c>
      <c r="D1075" s="360" t="str">
        <f t="shared" si="49"/>
        <v>Waste management3300</v>
      </c>
      <c r="E1075" s="361" t="str">
        <f t="shared" si="50"/>
        <v>TheewaterskloofWaste managementBulk purchases - electricity</v>
      </c>
      <c r="F1075" s="360" t="str">
        <f>'PART C- Municipal Details'!$G$7</f>
        <v>Theewaterskloof</v>
      </c>
      <c r="G1075" s="361" t="s">
        <v>812</v>
      </c>
      <c r="H1075" s="363" t="s">
        <v>816</v>
      </c>
      <c r="I1075" s="496" t="s">
        <v>724</v>
      </c>
      <c r="J1075" s="497" t="s">
        <v>710</v>
      </c>
      <c r="K1075" s="490"/>
      <c r="L1075" s="463" t="s">
        <v>724</v>
      </c>
      <c r="M1075" s="459"/>
      <c r="N1075" s="461"/>
      <c r="O1075" s="461"/>
      <c r="P1075" s="461"/>
      <c r="Q1075" s="461"/>
      <c r="R1075" s="461"/>
      <c r="S1075" s="461"/>
      <c r="T1075" s="461"/>
      <c r="U1075" s="530">
        <v>0</v>
      </c>
      <c r="V1075" s="530">
        <v>0</v>
      </c>
      <c r="W1075" s="530">
        <v>0</v>
      </c>
      <c r="X1075" s="490"/>
      <c r="Y1075" s="969"/>
      <c r="Z1075" s="969"/>
      <c r="AA1075" s="969"/>
      <c r="AB1075" s="969"/>
      <c r="AC1075" s="969"/>
      <c r="AD1075" s="969"/>
      <c r="AE1075" s="969" t="str">
        <f t="shared" si="51"/>
        <v>TheewaterskloofBulk purchases - electricity</v>
      </c>
      <c r="AF1075" s="969"/>
      <c r="AG1075" s="969"/>
    </row>
    <row r="1076" spans="2:33" ht="13.2" customHeight="1" x14ac:dyDescent="0.55000000000000004">
      <c r="B1076" s="371"/>
      <c r="C1076" s="1010" t="s">
        <v>739</v>
      </c>
      <c r="D1076" s="361" t="str">
        <f t="shared" si="49"/>
        <v>Waste management3400</v>
      </c>
      <c r="E1076" s="360" t="str">
        <f t="shared" si="50"/>
        <v>TheewaterskloofWaste managementInventory consumed</v>
      </c>
      <c r="F1076" s="360" t="str">
        <f>'PART C- Municipal Details'!$G$7</f>
        <v>Theewaterskloof</v>
      </c>
      <c r="G1076" s="360" t="s">
        <v>812</v>
      </c>
      <c r="H1076" s="366" t="s">
        <v>816</v>
      </c>
      <c r="I1076" s="496" t="s">
        <v>726</v>
      </c>
      <c r="J1076" s="497" t="s">
        <v>635</v>
      </c>
      <c r="K1076" s="490"/>
      <c r="L1076" s="463" t="s">
        <v>726</v>
      </c>
      <c r="M1076" s="459"/>
      <c r="N1076" s="461"/>
      <c r="O1076" s="461"/>
      <c r="P1076" s="461"/>
      <c r="Q1076" s="461"/>
      <c r="R1076" s="461"/>
      <c r="S1076" s="461"/>
      <c r="T1076" s="461"/>
      <c r="U1076" s="530">
        <v>1399910</v>
      </c>
      <c r="V1076" s="530">
        <v>1447509</v>
      </c>
      <c r="W1076" s="530">
        <v>1493827</v>
      </c>
      <c r="X1076" s="490"/>
      <c r="Y1076" s="969"/>
      <c r="Z1076" s="969"/>
      <c r="AA1076" s="969"/>
      <c r="AB1076" s="969"/>
      <c r="AC1076" s="969"/>
      <c r="AD1076" s="969"/>
      <c r="AE1076" s="969" t="str">
        <f t="shared" si="51"/>
        <v>TheewaterskloofInventory consumed</v>
      </c>
      <c r="AF1076" s="969"/>
      <c r="AG1076" s="969"/>
    </row>
    <row r="1077" spans="2:33" ht="13.2" customHeight="1" x14ac:dyDescent="0.55000000000000004">
      <c r="B1077" s="371"/>
      <c r="C1077" s="1010" t="s">
        <v>741</v>
      </c>
      <c r="D1077" s="360" t="str">
        <f t="shared" si="49"/>
        <v>Waste management3500</v>
      </c>
      <c r="E1077" s="361" t="str">
        <f t="shared" si="50"/>
        <v>TheewaterskloofWaste managementDebt impairment</v>
      </c>
      <c r="F1077" s="360" t="str">
        <f>'PART C- Municipal Details'!$G$7</f>
        <v>Theewaterskloof</v>
      </c>
      <c r="G1077" s="361" t="s">
        <v>812</v>
      </c>
      <c r="H1077" s="363" t="s">
        <v>816</v>
      </c>
      <c r="I1077" s="496" t="s">
        <v>10</v>
      </c>
      <c r="J1077" s="497" t="s">
        <v>740</v>
      </c>
      <c r="K1077" s="490"/>
      <c r="L1077" s="463" t="s">
        <v>10</v>
      </c>
      <c r="M1077" s="459"/>
      <c r="N1077" s="461"/>
      <c r="O1077" s="461"/>
      <c r="P1077" s="461"/>
      <c r="Q1077" s="461"/>
      <c r="R1077" s="461"/>
      <c r="S1077" s="461"/>
      <c r="T1077" s="461"/>
      <c r="U1077" s="530">
        <v>11260000</v>
      </c>
      <c r="V1077" s="530">
        <v>11642840</v>
      </c>
      <c r="W1077" s="530">
        <v>12015411</v>
      </c>
      <c r="X1077" s="490"/>
      <c r="Y1077" s="969"/>
      <c r="Z1077" s="969"/>
      <c r="AA1077" s="969"/>
      <c r="AB1077" s="969"/>
      <c r="AC1077" s="969"/>
      <c r="AD1077" s="969"/>
      <c r="AE1077" s="969" t="str">
        <f t="shared" si="51"/>
        <v>TheewaterskloofDebt impairment</v>
      </c>
      <c r="AF1077" s="969"/>
      <c r="AG1077" s="969"/>
    </row>
    <row r="1078" spans="2:33" ht="13.2" customHeight="1" x14ac:dyDescent="0.55000000000000004">
      <c r="B1078" s="371"/>
      <c r="C1078" s="1010" t="s">
        <v>743</v>
      </c>
      <c r="D1078" s="361" t="str">
        <f t="shared" si="49"/>
        <v>Waste management3600</v>
      </c>
      <c r="E1078" s="360" t="str">
        <f t="shared" si="50"/>
        <v>TheewaterskloofWaste managementDepreciation and asset impairment</v>
      </c>
      <c r="F1078" s="360" t="str">
        <f>'PART C- Municipal Details'!$G$7</f>
        <v>Theewaterskloof</v>
      </c>
      <c r="G1078" s="360" t="s">
        <v>812</v>
      </c>
      <c r="H1078" s="366" t="s">
        <v>816</v>
      </c>
      <c r="I1078" s="496" t="s">
        <v>720</v>
      </c>
      <c r="J1078" s="497" t="s">
        <v>742</v>
      </c>
      <c r="K1078" s="490"/>
      <c r="L1078" s="463" t="s">
        <v>745</v>
      </c>
      <c r="M1078" s="459"/>
      <c r="N1078" s="461"/>
      <c r="O1078" s="461"/>
      <c r="P1078" s="461"/>
      <c r="Q1078" s="461"/>
      <c r="R1078" s="461"/>
      <c r="S1078" s="461"/>
      <c r="T1078" s="461"/>
      <c r="U1078" s="530">
        <v>8809217</v>
      </c>
      <c r="V1078" s="530">
        <v>9249678</v>
      </c>
      <c r="W1078" s="530">
        <v>9712162</v>
      </c>
      <c r="X1078" s="490"/>
      <c r="Y1078" s="969"/>
      <c r="Z1078" s="969"/>
      <c r="AA1078" s="969"/>
      <c r="AB1078" s="969"/>
      <c r="AC1078" s="969"/>
      <c r="AD1078" s="969"/>
      <c r="AE1078" s="969" t="str">
        <f t="shared" si="51"/>
        <v>TheewaterskloofDepreciation and amortisation</v>
      </c>
      <c r="AF1078" s="969"/>
      <c r="AG1078" s="969"/>
    </row>
    <row r="1079" spans="2:33" ht="13.2" customHeight="1" x14ac:dyDescent="0.55000000000000004">
      <c r="B1079" s="371"/>
      <c r="C1079" s="1010" t="s">
        <v>746</v>
      </c>
      <c r="D1079" s="360" t="str">
        <f t="shared" si="49"/>
        <v>Waste management3700</v>
      </c>
      <c r="E1079" s="361" t="str">
        <f t="shared" si="50"/>
        <v>TheewaterskloofWaste managementFinance charges</v>
      </c>
      <c r="F1079" s="360" t="str">
        <f>'PART C- Municipal Details'!$G$7</f>
        <v>Theewaterskloof</v>
      </c>
      <c r="G1079" s="361" t="s">
        <v>812</v>
      </c>
      <c r="H1079" s="363" t="s">
        <v>816</v>
      </c>
      <c r="I1079" s="496" t="s">
        <v>11</v>
      </c>
      <c r="J1079" s="497" t="s">
        <v>744</v>
      </c>
      <c r="K1079" s="490"/>
      <c r="L1079" s="463" t="s">
        <v>687</v>
      </c>
      <c r="M1079" s="459"/>
      <c r="N1079" s="461"/>
      <c r="O1079" s="461"/>
      <c r="P1079" s="461"/>
      <c r="Q1079" s="461"/>
      <c r="R1079" s="461"/>
      <c r="S1079" s="461"/>
      <c r="T1079" s="461"/>
      <c r="U1079" s="530">
        <v>15564442</v>
      </c>
      <c r="V1079" s="530">
        <v>16093633</v>
      </c>
      <c r="W1079" s="530">
        <v>16608629</v>
      </c>
      <c r="X1079" s="490"/>
      <c r="Y1079" s="969"/>
      <c r="Z1079" s="969"/>
      <c r="AA1079" s="969"/>
      <c r="AB1079" s="969"/>
      <c r="AC1079" s="969"/>
      <c r="AD1079" s="969"/>
      <c r="AE1079" s="969" t="str">
        <f t="shared" si="51"/>
        <v>TheewaterskloofInterest</v>
      </c>
      <c r="AF1079" s="969"/>
      <c r="AG1079" s="969"/>
    </row>
    <row r="1080" spans="2:33" ht="13.2" customHeight="1" x14ac:dyDescent="0.55000000000000004">
      <c r="B1080" s="371"/>
      <c r="C1080" s="1010" t="s">
        <v>748</v>
      </c>
      <c r="D1080" s="361" t="str">
        <f t="shared" si="49"/>
        <v>Waste management3800</v>
      </c>
      <c r="E1080" s="360" t="str">
        <f t="shared" si="50"/>
        <v>TheewaterskloofWaste managementContracted services</v>
      </c>
      <c r="F1080" s="360" t="str">
        <f>'PART C- Municipal Details'!$G$7</f>
        <v>Theewaterskloof</v>
      </c>
      <c r="G1080" s="360" t="s">
        <v>812</v>
      </c>
      <c r="H1080" s="366" t="s">
        <v>816</v>
      </c>
      <c r="I1080" s="496" t="s">
        <v>12</v>
      </c>
      <c r="J1080" s="497" t="s">
        <v>747</v>
      </c>
      <c r="K1080" s="490"/>
      <c r="L1080" s="463" t="s">
        <v>12</v>
      </c>
      <c r="M1080" s="459"/>
      <c r="N1080" s="461"/>
      <c r="O1080" s="461"/>
      <c r="P1080" s="461"/>
      <c r="Q1080" s="461"/>
      <c r="R1080" s="461"/>
      <c r="S1080" s="461"/>
      <c r="T1080" s="461"/>
      <c r="U1080" s="530">
        <v>13038691</v>
      </c>
      <c r="V1080" s="530">
        <v>13482004</v>
      </c>
      <c r="W1080" s="530">
        <v>13913428</v>
      </c>
      <c r="X1080" s="490"/>
      <c r="Y1080" s="969"/>
      <c r="Z1080" s="969"/>
      <c r="AA1080" s="969"/>
      <c r="AB1080" s="969"/>
      <c r="AC1080" s="969"/>
      <c r="AD1080" s="969"/>
      <c r="AE1080" s="969" t="str">
        <f t="shared" si="51"/>
        <v>TheewaterskloofContracted services</v>
      </c>
      <c r="AF1080" s="969"/>
      <c r="AG1080" s="969"/>
    </row>
    <row r="1081" spans="2:33" ht="13.2" customHeight="1" x14ac:dyDescent="0.55000000000000004">
      <c r="B1081" s="371"/>
      <c r="C1081" s="1010" t="s">
        <v>750</v>
      </c>
      <c r="D1081" s="360" t="str">
        <f t="shared" si="49"/>
        <v>Waste management3900</v>
      </c>
      <c r="E1081" s="361" t="str">
        <f t="shared" si="50"/>
        <v>TheewaterskloofWaste managementTransfers and subsidies</v>
      </c>
      <c r="F1081" s="360" t="str">
        <f>'PART C- Municipal Details'!$G$7</f>
        <v>Theewaterskloof</v>
      </c>
      <c r="G1081" s="361" t="s">
        <v>812</v>
      </c>
      <c r="H1081" s="363" t="s">
        <v>816</v>
      </c>
      <c r="I1081" s="496" t="s">
        <v>204</v>
      </c>
      <c r="J1081" s="497" t="s">
        <v>749</v>
      </c>
      <c r="K1081" s="490"/>
      <c r="L1081" s="463" t="s">
        <v>204</v>
      </c>
      <c r="M1081" s="459"/>
      <c r="N1081" s="461"/>
      <c r="O1081" s="461"/>
      <c r="P1081" s="461"/>
      <c r="Q1081" s="461"/>
      <c r="R1081" s="461"/>
      <c r="S1081" s="461"/>
      <c r="T1081" s="461"/>
      <c r="U1081" s="530">
        <v>0</v>
      </c>
      <c r="V1081" s="530">
        <v>0</v>
      </c>
      <c r="W1081" s="530">
        <v>0</v>
      </c>
      <c r="X1081" s="490"/>
      <c r="Y1081" s="969"/>
      <c r="Z1081" s="969"/>
      <c r="AA1081" s="969"/>
      <c r="AB1081" s="969"/>
      <c r="AC1081" s="969"/>
      <c r="AD1081" s="969"/>
      <c r="AE1081" s="969" t="str">
        <f t="shared" si="51"/>
        <v>TheewaterskloofTransfers and subsidies</v>
      </c>
      <c r="AF1081" s="969"/>
      <c r="AG1081" s="969"/>
    </row>
    <row r="1082" spans="2:33" ht="13.2" customHeight="1" x14ac:dyDescent="0.55000000000000004">
      <c r="B1082" s="371"/>
      <c r="C1082" s="1010" t="s">
        <v>752</v>
      </c>
      <c r="D1082" s="361" t="str">
        <f t="shared" si="49"/>
        <v>Waste management4000</v>
      </c>
      <c r="E1082" s="360" t="str">
        <f t="shared" si="50"/>
        <v>TheewaterskloofWaste managementOther expenditure</v>
      </c>
      <c r="F1082" s="360" t="str">
        <f>'PART C- Municipal Details'!$G$7</f>
        <v>Theewaterskloof</v>
      </c>
      <c r="G1082" s="360" t="s">
        <v>812</v>
      </c>
      <c r="H1082" s="366" t="s">
        <v>816</v>
      </c>
      <c r="I1082" s="496" t="s">
        <v>13</v>
      </c>
      <c r="J1082" s="497" t="s">
        <v>751</v>
      </c>
      <c r="K1082" s="490"/>
      <c r="L1082" s="463" t="s">
        <v>754</v>
      </c>
      <c r="M1082" s="459"/>
      <c r="N1082" s="461"/>
      <c r="O1082" s="461"/>
      <c r="P1082" s="461"/>
      <c r="Q1082" s="461"/>
      <c r="R1082" s="461"/>
      <c r="S1082" s="461"/>
      <c r="T1082" s="461"/>
      <c r="U1082" s="530">
        <v>3452000</v>
      </c>
      <c r="V1082" s="530">
        <v>3569368</v>
      </c>
      <c r="W1082" s="530">
        <v>3683588</v>
      </c>
      <c r="X1082" s="490"/>
      <c r="Y1082" s="969"/>
      <c r="Z1082" s="969"/>
      <c r="AA1082" s="969"/>
      <c r="AB1082" s="969"/>
      <c r="AC1082" s="969"/>
      <c r="AD1082" s="969"/>
      <c r="AE1082" s="969" t="str">
        <f t="shared" si="51"/>
        <v>TheewaterskloofIrrecoverable debts written off</v>
      </c>
      <c r="AF1082" s="969"/>
      <c r="AG1082" s="969"/>
    </row>
    <row r="1083" spans="2:33" ht="13.2" customHeight="1" x14ac:dyDescent="0.55000000000000004">
      <c r="B1083" s="371"/>
      <c r="C1083" s="1010" t="s">
        <v>755</v>
      </c>
      <c r="D1083" s="360" t="str">
        <f t="shared" si="49"/>
        <v>Waste management4100</v>
      </c>
      <c r="E1083" s="361" t="str">
        <f t="shared" si="50"/>
        <v>TheewaterskloofWaste managementOther expenditure</v>
      </c>
      <c r="F1083" s="360" t="str">
        <f>'PART C- Municipal Details'!$G$7</f>
        <v>Theewaterskloof</v>
      </c>
      <c r="G1083" s="361" t="s">
        <v>812</v>
      </c>
      <c r="H1083" s="363" t="s">
        <v>816</v>
      </c>
      <c r="I1083" s="496" t="s">
        <v>13</v>
      </c>
      <c r="J1083" s="497" t="s">
        <v>753</v>
      </c>
      <c r="K1083" s="490"/>
      <c r="L1083" s="463" t="s">
        <v>757</v>
      </c>
      <c r="M1083" s="459"/>
      <c r="N1083" s="461"/>
      <c r="O1083" s="461"/>
      <c r="P1083" s="461"/>
      <c r="Q1083" s="461"/>
      <c r="R1083" s="461"/>
      <c r="S1083" s="461"/>
      <c r="T1083" s="461"/>
      <c r="U1083" s="530">
        <v>6690268</v>
      </c>
      <c r="V1083" s="530">
        <v>6917737</v>
      </c>
      <c r="W1083" s="530">
        <v>7139105</v>
      </c>
      <c r="X1083" s="490"/>
      <c r="Y1083" s="969"/>
      <c r="Z1083" s="969"/>
      <c r="AA1083" s="969"/>
      <c r="AB1083" s="969"/>
      <c r="AC1083" s="969"/>
      <c r="AD1083" s="969"/>
      <c r="AE1083" s="969" t="str">
        <f t="shared" si="51"/>
        <v>TheewaterskloofOperational costs</v>
      </c>
      <c r="AF1083" s="969"/>
      <c r="AG1083" s="969"/>
    </row>
    <row r="1084" spans="2:33" ht="13.2" customHeight="1" x14ac:dyDescent="0.55000000000000004">
      <c r="B1084" s="371"/>
      <c r="C1084" s="1010" t="s">
        <v>758</v>
      </c>
      <c r="D1084" s="361" t="str">
        <f t="shared" si="49"/>
        <v>Waste management4200</v>
      </c>
      <c r="E1084" s="360" t="str">
        <f t="shared" si="50"/>
        <v>TheewaterskloofWaste managementLosses</v>
      </c>
      <c r="F1084" s="360" t="str">
        <f>'PART C- Municipal Details'!$G$7</f>
        <v>Theewaterskloof</v>
      </c>
      <c r="G1084" s="360" t="s">
        <v>812</v>
      </c>
      <c r="H1084" s="366" t="s">
        <v>816</v>
      </c>
      <c r="I1084" s="496" t="s">
        <v>734</v>
      </c>
      <c r="J1084" s="497" t="s">
        <v>756</v>
      </c>
      <c r="K1084" s="490"/>
      <c r="L1084" s="463" t="s">
        <v>760</v>
      </c>
      <c r="M1084" s="459"/>
      <c r="N1084" s="461"/>
      <c r="O1084" s="461"/>
      <c r="P1084" s="461"/>
      <c r="Q1084" s="461"/>
      <c r="R1084" s="461"/>
      <c r="S1084" s="461"/>
      <c r="T1084" s="461"/>
      <c r="U1084" s="530">
        <v>0</v>
      </c>
      <c r="V1084" s="530">
        <v>0</v>
      </c>
      <c r="W1084" s="530">
        <v>0</v>
      </c>
      <c r="X1084" s="490"/>
      <c r="Y1084" s="969"/>
      <c r="Z1084" s="969"/>
      <c r="AA1084" s="969"/>
      <c r="AB1084" s="969"/>
      <c r="AC1084" s="969"/>
      <c r="AD1084" s="969"/>
      <c r="AE1084" s="969" t="str">
        <f t="shared" si="51"/>
        <v>TheewaterskloofLosses on disposal of Assets</v>
      </c>
      <c r="AF1084" s="969"/>
      <c r="AG1084" s="969"/>
    </row>
    <row r="1085" spans="2:33" ht="13.2" customHeight="1" x14ac:dyDescent="0.55000000000000004">
      <c r="B1085" s="371"/>
      <c r="C1085" s="1010" t="s">
        <v>761</v>
      </c>
      <c r="D1085" s="360" t="str">
        <f t="shared" si="49"/>
        <v>Waste management4300</v>
      </c>
      <c r="E1085" s="361" t="str">
        <f t="shared" si="50"/>
        <v>TheewaterskloofWaste managementOther expenditure</v>
      </c>
      <c r="F1085" s="360" t="str">
        <f>'PART C- Municipal Details'!$G$7</f>
        <v>Theewaterskloof</v>
      </c>
      <c r="G1085" s="361" t="s">
        <v>812</v>
      </c>
      <c r="H1085" s="363" t="s">
        <v>816</v>
      </c>
      <c r="I1085" s="496" t="s">
        <v>13</v>
      </c>
      <c r="J1085" s="497" t="s">
        <v>759</v>
      </c>
      <c r="K1085" s="490"/>
      <c r="L1085" s="463" t="s">
        <v>763</v>
      </c>
      <c r="M1085" s="459"/>
      <c r="N1085" s="461"/>
      <c r="O1085" s="461"/>
      <c r="P1085" s="461"/>
      <c r="Q1085" s="461"/>
      <c r="R1085" s="461"/>
      <c r="S1085" s="461"/>
      <c r="T1085" s="461"/>
      <c r="U1085" s="530">
        <v>0</v>
      </c>
      <c r="V1085" s="530">
        <v>0</v>
      </c>
      <c r="W1085" s="530">
        <v>0</v>
      </c>
      <c r="X1085" s="490"/>
      <c r="Y1085" s="969"/>
      <c r="Z1085" s="969"/>
      <c r="AA1085" s="969"/>
      <c r="AB1085" s="969"/>
      <c r="AC1085" s="969"/>
      <c r="AD1085" s="969"/>
      <c r="AE1085" s="969" t="str">
        <f t="shared" si="51"/>
        <v>TheewaterskloofOther Losses</v>
      </c>
      <c r="AF1085" s="969"/>
      <c r="AG1085" s="969"/>
    </row>
    <row r="1086" spans="2:33" ht="13.2" customHeight="1" x14ac:dyDescent="0.55000000000000004">
      <c r="B1086" s="371"/>
      <c r="C1086" s="1009" t="s">
        <v>764</v>
      </c>
      <c r="D1086" s="361" t="str">
        <f t="shared" si="49"/>
        <v>Waste management4400</v>
      </c>
      <c r="E1086" s="360" t="str">
        <f t="shared" si="50"/>
        <v>TheewaterskloofWaste managementTotal Expenditure</v>
      </c>
      <c r="F1086" s="360" t="str">
        <f>'PART C- Municipal Details'!$G$7</f>
        <v>Theewaterskloof</v>
      </c>
      <c r="G1086" s="360" t="s">
        <v>812</v>
      </c>
      <c r="H1086" s="366" t="s">
        <v>816</v>
      </c>
      <c r="I1086" s="496" t="s">
        <v>736</v>
      </c>
      <c r="J1086" s="497" t="s">
        <v>762</v>
      </c>
      <c r="K1086" s="490"/>
      <c r="L1086" s="508" t="s">
        <v>736</v>
      </c>
      <c r="M1086" s="509"/>
      <c r="N1086" s="510"/>
      <c r="O1086" s="510"/>
      <c r="P1086" s="510"/>
      <c r="Q1086" s="510"/>
      <c r="R1086" s="510"/>
      <c r="S1086" s="510"/>
      <c r="T1086" s="511"/>
      <c r="U1086" s="529">
        <v>82489680</v>
      </c>
      <c r="V1086" s="529">
        <v>85435281</v>
      </c>
      <c r="W1086" s="529">
        <v>88335702</v>
      </c>
      <c r="X1086" s="490"/>
      <c r="Y1086" s="969"/>
      <c r="Z1086" s="969"/>
      <c r="AA1086" s="969"/>
      <c r="AB1086" s="969"/>
      <c r="AC1086" s="969"/>
      <c r="AD1086" s="969"/>
      <c r="AE1086" s="969" t="str">
        <f t="shared" si="51"/>
        <v>TheewaterskloofTotal Expenditure</v>
      </c>
      <c r="AF1086" s="969"/>
      <c r="AG1086" s="969"/>
    </row>
    <row r="1087" spans="2:33" ht="13.2" customHeight="1" x14ac:dyDescent="0.55000000000000004">
      <c r="B1087" s="371"/>
      <c r="C1087" s="1009" t="s">
        <v>766</v>
      </c>
      <c r="D1087" s="360" t="str">
        <f t="shared" si="49"/>
        <v>Waste management4500</v>
      </c>
      <c r="E1087" s="361" t="str">
        <f t="shared" si="50"/>
        <v>TheewaterskloofWaste managementSurplus/(Deficit)</v>
      </c>
      <c r="F1087" s="360" t="str">
        <f>'PART C- Municipal Details'!$G$7</f>
        <v>Theewaterskloof</v>
      </c>
      <c r="G1087" s="361" t="s">
        <v>812</v>
      </c>
      <c r="H1087" s="363" t="s">
        <v>816</v>
      </c>
      <c r="I1087" s="496" t="s">
        <v>635</v>
      </c>
      <c r="J1087" s="497" t="s">
        <v>765</v>
      </c>
      <c r="K1087" s="490"/>
      <c r="L1087" s="463" t="s">
        <v>635</v>
      </c>
      <c r="M1087" s="459"/>
      <c r="N1087" s="459"/>
      <c r="O1087" s="459"/>
      <c r="P1087" s="459"/>
      <c r="Q1087" s="459"/>
      <c r="R1087" s="459"/>
      <c r="S1087" s="459"/>
      <c r="T1087" s="459"/>
      <c r="U1087" s="530">
        <v>-10811755</v>
      </c>
      <c r="V1087" s="530">
        <v>-11001715</v>
      </c>
      <c r="W1087" s="530">
        <v>-11743788</v>
      </c>
      <c r="X1087" s="490"/>
      <c r="Y1087" s="969"/>
      <c r="Z1087" s="969"/>
      <c r="AA1087" s="969"/>
      <c r="AB1087" s="969"/>
      <c r="AC1087" s="969"/>
      <c r="AD1087" s="969"/>
      <c r="AE1087" s="969" t="str">
        <f t="shared" si="51"/>
        <v>TheewaterskloofSurplus/(Deficit)</v>
      </c>
      <c r="AF1087" s="969"/>
      <c r="AG1087" s="969"/>
    </row>
    <row r="1088" spans="2:33" ht="13.2" customHeight="1" x14ac:dyDescent="0.55000000000000004">
      <c r="B1088" s="371"/>
      <c r="C1088" s="1010" t="s">
        <v>768</v>
      </c>
      <c r="D1088" s="361" t="str">
        <f t="shared" si="49"/>
        <v>Waste management4600</v>
      </c>
      <c r="E1088" s="360" t="str">
        <f t="shared" si="50"/>
        <v>TheewaterskloofWaste managementTransfers and subsidies - capital (monetary allocations) (National / Provincial and District)</v>
      </c>
      <c r="F1088" s="360" t="str">
        <f>'PART C- Municipal Details'!$G$7</f>
        <v>Theewaterskloof</v>
      </c>
      <c r="G1088" s="360" t="s">
        <v>812</v>
      </c>
      <c r="H1088" s="366" t="s">
        <v>816</v>
      </c>
      <c r="I1088" s="496" t="s">
        <v>740</v>
      </c>
      <c r="J1088" s="497" t="s">
        <v>767</v>
      </c>
      <c r="K1088" s="490"/>
      <c r="L1088" s="463" t="s">
        <v>770</v>
      </c>
      <c r="M1088" s="459"/>
      <c r="N1088" s="459"/>
      <c r="O1088" s="459"/>
      <c r="P1088" s="459"/>
      <c r="Q1088" s="459"/>
      <c r="R1088" s="459"/>
      <c r="S1088" s="459"/>
      <c r="T1088" s="459"/>
      <c r="U1088" s="530">
        <v>0</v>
      </c>
      <c r="V1088" s="530">
        <v>0</v>
      </c>
      <c r="W1088" s="530">
        <v>0</v>
      </c>
      <c r="X1088" s="490"/>
      <c r="Y1088" s="969"/>
      <c r="Z1088" s="969"/>
      <c r="AA1088" s="969"/>
      <c r="AB1088" s="969"/>
      <c r="AC1088" s="969"/>
      <c r="AD1088" s="969"/>
      <c r="AE1088" s="969" t="str">
        <f t="shared" si="51"/>
        <v>TheewaterskloofTransfers and subsidies - capital (monetary allocations)</v>
      </c>
      <c r="AF1088" s="969"/>
      <c r="AG1088" s="969"/>
    </row>
    <row r="1089" spans="2:33" ht="13.2" customHeight="1" x14ac:dyDescent="0.55000000000000004">
      <c r="B1089" s="371"/>
      <c r="C1089" s="1010" t="s">
        <v>771</v>
      </c>
      <c r="D1089" s="360" t="str">
        <f t="shared" si="49"/>
        <v>Waste management4700</v>
      </c>
      <c r="E1089" s="361" t="str">
        <f t="shared" si="50"/>
        <v>TheewaterskloofWaste managementTransfers and subsidies - capital (in-kind - all)</v>
      </c>
      <c r="F1089" s="360" t="str">
        <f>'PART C- Municipal Details'!$G$7</f>
        <v>Theewaterskloof</v>
      </c>
      <c r="G1089" s="361" t="s">
        <v>812</v>
      </c>
      <c r="H1089" s="363" t="s">
        <v>816</v>
      </c>
      <c r="I1089" s="496" t="s">
        <v>744</v>
      </c>
      <c r="J1089" s="497" t="s">
        <v>769</v>
      </c>
      <c r="K1089" s="490"/>
      <c r="L1089" s="463" t="s">
        <v>773</v>
      </c>
      <c r="M1089" s="459"/>
      <c r="N1089" s="459"/>
      <c r="O1089" s="459"/>
      <c r="P1089" s="459"/>
      <c r="Q1089" s="459"/>
      <c r="R1089" s="459"/>
      <c r="S1089" s="459"/>
      <c r="T1089" s="459"/>
      <c r="U1089" s="530">
        <v>0</v>
      </c>
      <c r="V1089" s="530">
        <v>0</v>
      </c>
      <c r="W1089" s="530">
        <v>0</v>
      </c>
      <c r="X1089" s="490"/>
      <c r="Y1089" s="969"/>
      <c r="Z1089" s="969"/>
      <c r="AA1089" s="969"/>
      <c r="AB1089" s="969"/>
      <c r="AC1089" s="969"/>
      <c r="AD1089" s="969"/>
      <c r="AE1089" s="969" t="str">
        <f t="shared" si="51"/>
        <v>TheewaterskloofTransfers and subsidies - capital (in-kind)</v>
      </c>
      <c r="AF1089" s="969"/>
      <c r="AG1089" s="969"/>
    </row>
    <row r="1090" spans="2:33" ht="13.2" customHeight="1" x14ac:dyDescent="0.55000000000000004">
      <c r="B1090" s="371"/>
      <c r="C1090" s="1009" t="s">
        <v>774</v>
      </c>
      <c r="D1090" s="361" t="str">
        <f t="shared" si="49"/>
        <v>Waste management4800</v>
      </c>
      <c r="E1090" s="360" t="str">
        <f t="shared" si="50"/>
        <v>TheewaterskloofWaste managementSurplus/(Deficit) after capital transfers and contributions</v>
      </c>
      <c r="F1090" s="360" t="str">
        <f>'PART C- Municipal Details'!$G$7</f>
        <v>Theewaterskloof</v>
      </c>
      <c r="G1090" s="360" t="s">
        <v>812</v>
      </c>
      <c r="H1090" s="366" t="s">
        <v>816</v>
      </c>
      <c r="I1090" s="496" t="s">
        <v>747</v>
      </c>
      <c r="J1090" s="497" t="s">
        <v>772</v>
      </c>
      <c r="K1090" s="490"/>
      <c r="L1090" s="463" t="s">
        <v>747</v>
      </c>
      <c r="M1090" s="459"/>
      <c r="N1090" s="459"/>
      <c r="O1090" s="459"/>
      <c r="P1090" s="459"/>
      <c r="Q1090" s="459"/>
      <c r="R1090" s="459"/>
      <c r="S1090" s="459"/>
      <c r="T1090" s="459"/>
      <c r="U1090" s="530">
        <v>-10811755</v>
      </c>
      <c r="V1090" s="530">
        <v>-11001715</v>
      </c>
      <c r="W1090" s="530">
        <v>-11743788</v>
      </c>
      <c r="X1090" s="490"/>
      <c r="Y1090" s="969"/>
      <c r="Z1090" s="969"/>
      <c r="AA1090" s="969"/>
      <c r="AB1090" s="969"/>
      <c r="AC1090" s="969"/>
      <c r="AD1090" s="969"/>
      <c r="AE1090" s="969" t="str">
        <f t="shared" si="51"/>
        <v>TheewaterskloofSurplus/(Deficit) after capital transfers and contributions</v>
      </c>
      <c r="AF1090" s="969"/>
      <c r="AG1090" s="969"/>
    </row>
    <row r="1091" spans="2:33" ht="13.2" customHeight="1" x14ac:dyDescent="0.55000000000000004">
      <c r="B1091" s="371"/>
      <c r="C1091" s="1010" t="s">
        <v>776</v>
      </c>
      <c r="D1091" s="360" t="str">
        <f t="shared" si="49"/>
        <v>Waste management4900</v>
      </c>
      <c r="E1091" s="361" t="str">
        <f t="shared" si="50"/>
        <v>TheewaterskloofWaste managementTaxation</v>
      </c>
      <c r="F1091" s="360" t="str">
        <f>'PART C- Municipal Details'!$G$7</f>
        <v>Theewaterskloof</v>
      </c>
      <c r="G1091" s="361" t="s">
        <v>812</v>
      </c>
      <c r="H1091" s="363" t="s">
        <v>816</v>
      </c>
      <c r="I1091" s="496" t="s">
        <v>749</v>
      </c>
      <c r="J1091" s="497" t="s">
        <v>775</v>
      </c>
      <c r="K1091" s="490"/>
      <c r="L1091" s="463" t="s">
        <v>778</v>
      </c>
      <c r="M1091" s="459"/>
      <c r="N1091" s="459"/>
      <c r="O1091" s="459"/>
      <c r="P1091" s="459"/>
      <c r="Q1091" s="459"/>
      <c r="R1091" s="459"/>
      <c r="S1091" s="459"/>
      <c r="T1091" s="459"/>
      <c r="U1091" s="530">
        <v>0</v>
      </c>
      <c r="V1091" s="530">
        <v>0</v>
      </c>
      <c r="W1091" s="530">
        <v>0</v>
      </c>
      <c r="X1091" s="490"/>
      <c r="Y1091" s="969"/>
      <c r="Z1091" s="969"/>
      <c r="AA1091" s="969"/>
      <c r="AB1091" s="969"/>
      <c r="AC1091" s="969"/>
      <c r="AD1091" s="969"/>
      <c r="AE1091" s="969" t="str">
        <f t="shared" si="51"/>
        <v>TheewaterskloofIncome Tax</v>
      </c>
      <c r="AF1091" s="969"/>
      <c r="AG1091" s="969"/>
    </row>
    <row r="1092" spans="2:33" ht="13.2" customHeight="1" x14ac:dyDescent="0.55000000000000004">
      <c r="B1092" s="371"/>
      <c r="C1092" s="1009" t="s">
        <v>779</v>
      </c>
      <c r="D1092" s="361" t="str">
        <f t="shared" si="49"/>
        <v>Waste management5000</v>
      </c>
      <c r="E1092" s="360" t="str">
        <f t="shared" si="50"/>
        <v>TheewaterskloofWaste managementSurplus/(Deficit) after taxation</v>
      </c>
      <c r="F1092" s="360" t="str">
        <f>'PART C- Municipal Details'!$G$7</f>
        <v>Theewaterskloof</v>
      </c>
      <c r="G1092" s="360" t="s">
        <v>812</v>
      </c>
      <c r="H1092" s="366" t="s">
        <v>816</v>
      </c>
      <c r="I1092" s="496" t="s">
        <v>751</v>
      </c>
      <c r="J1092" s="497" t="s">
        <v>777</v>
      </c>
      <c r="K1092" s="490"/>
      <c r="L1092" s="463" t="s">
        <v>781</v>
      </c>
      <c r="M1092" s="459"/>
      <c r="N1092" s="459"/>
      <c r="O1092" s="459"/>
      <c r="P1092" s="459"/>
      <c r="Q1092" s="459"/>
      <c r="R1092" s="459"/>
      <c r="S1092" s="459"/>
      <c r="T1092" s="459"/>
      <c r="U1092" s="530">
        <v>-10811755</v>
      </c>
      <c r="V1092" s="530">
        <v>-11001715</v>
      </c>
      <c r="W1092" s="530">
        <v>-11743788</v>
      </c>
      <c r="X1092" s="490"/>
      <c r="Y1092" s="969"/>
      <c r="Z1092" s="969"/>
      <c r="AA1092" s="969"/>
      <c r="AB1092" s="969"/>
      <c r="AC1092" s="969"/>
      <c r="AD1092" s="969"/>
      <c r="AE1092" s="969" t="str">
        <f t="shared" si="51"/>
        <v>TheewaterskloofSurplus/(Deficit) after income tax</v>
      </c>
      <c r="AF1092" s="969"/>
      <c r="AG1092" s="969"/>
    </row>
    <row r="1093" spans="2:33" ht="13.2" customHeight="1" x14ac:dyDescent="0.55000000000000004">
      <c r="B1093" s="371"/>
      <c r="C1093" s="1010" t="s">
        <v>782</v>
      </c>
      <c r="D1093" s="360" t="str">
        <f t="shared" si="49"/>
        <v>Waste management5100</v>
      </c>
      <c r="E1093" s="361" t="str">
        <f t="shared" si="50"/>
        <v>TheewaterskloofWaste managementShare of Surplus/Deficit attributable to Joint Venture</v>
      </c>
      <c r="F1093" s="360" t="str">
        <f>'PART C- Municipal Details'!$G$7</f>
        <v>Theewaterskloof</v>
      </c>
      <c r="G1093" s="361" t="s">
        <v>812</v>
      </c>
      <c r="H1093" s="363" t="s">
        <v>816</v>
      </c>
      <c r="I1093" s="496" t="s">
        <v>783</v>
      </c>
      <c r="J1093" s="497" t="s">
        <v>780</v>
      </c>
      <c r="K1093" s="490"/>
      <c r="L1093" s="463" t="s">
        <v>783</v>
      </c>
      <c r="M1093" s="459"/>
      <c r="N1093" s="459"/>
      <c r="O1093" s="459"/>
      <c r="P1093" s="459"/>
      <c r="Q1093" s="459"/>
      <c r="R1093" s="459"/>
      <c r="S1093" s="459"/>
      <c r="T1093" s="459"/>
      <c r="U1093" s="530">
        <v>0</v>
      </c>
      <c r="V1093" s="530">
        <v>0</v>
      </c>
      <c r="W1093" s="530">
        <v>0</v>
      </c>
      <c r="X1093" s="490"/>
      <c r="Y1093" s="969"/>
      <c r="Z1093" s="969"/>
      <c r="AA1093" s="969"/>
      <c r="AB1093" s="969"/>
      <c r="AC1093" s="969"/>
      <c r="AD1093" s="969"/>
      <c r="AE1093" s="969" t="str">
        <f t="shared" si="51"/>
        <v>TheewaterskloofShare of Surplus/Deficit attributable to Joint Venture</v>
      </c>
      <c r="AF1093" s="969"/>
      <c r="AG1093" s="969"/>
    </row>
    <row r="1094" spans="2:33" ht="13.2" customHeight="1" x14ac:dyDescent="0.55000000000000004">
      <c r="B1094" s="371"/>
      <c r="C1094" s="1010" t="s">
        <v>785</v>
      </c>
      <c r="D1094" s="361" t="str">
        <f t="shared" si="49"/>
        <v>Waste management5200</v>
      </c>
      <c r="E1094" s="360" t="str">
        <f t="shared" si="50"/>
        <v>TheewaterskloofWaste managementAttributable to minorities</v>
      </c>
      <c r="F1094" s="360" t="str">
        <f>'PART C- Municipal Details'!$G$7</f>
        <v>Theewaterskloof</v>
      </c>
      <c r="G1094" s="360" t="s">
        <v>812</v>
      </c>
      <c r="H1094" s="366" t="s">
        <v>816</v>
      </c>
      <c r="I1094" s="496" t="s">
        <v>753</v>
      </c>
      <c r="J1094" s="497" t="s">
        <v>784</v>
      </c>
      <c r="K1094" s="490"/>
      <c r="L1094" s="463" t="s">
        <v>787</v>
      </c>
      <c r="M1094" s="459"/>
      <c r="N1094" s="459"/>
      <c r="O1094" s="459"/>
      <c r="P1094" s="459"/>
      <c r="Q1094" s="459"/>
      <c r="R1094" s="459"/>
      <c r="S1094" s="459"/>
      <c r="T1094" s="459"/>
      <c r="U1094" s="530">
        <v>0</v>
      </c>
      <c r="V1094" s="530">
        <v>0</v>
      </c>
      <c r="W1094" s="530">
        <v>0</v>
      </c>
      <c r="X1094" s="490"/>
      <c r="Y1094" s="969"/>
      <c r="Z1094" s="969"/>
      <c r="AA1094" s="969"/>
      <c r="AB1094" s="969"/>
      <c r="AC1094" s="969"/>
      <c r="AD1094" s="969"/>
      <c r="AE1094" s="969" t="str">
        <f t="shared" si="51"/>
        <v>TheewaterskloofShare of Surplus/Deficit attributable to Minorities</v>
      </c>
      <c r="AF1094" s="969"/>
      <c r="AG1094" s="969"/>
    </row>
    <row r="1095" spans="2:33" ht="13.2" customHeight="1" x14ac:dyDescent="0.55000000000000004">
      <c r="B1095" s="371"/>
      <c r="C1095" s="1009" t="s">
        <v>788</v>
      </c>
      <c r="D1095" s="360" t="str">
        <f t="shared" si="49"/>
        <v>Waste management5300</v>
      </c>
      <c r="E1095" s="361" t="str">
        <f t="shared" si="50"/>
        <v>TheewaterskloofWaste managementSurplus/(Deficit) attributable to municipality</v>
      </c>
      <c r="F1095" s="360" t="str">
        <f>'PART C- Municipal Details'!$G$7</f>
        <v>Theewaterskloof</v>
      </c>
      <c r="G1095" s="361" t="s">
        <v>812</v>
      </c>
      <c r="H1095" s="363" t="s">
        <v>816</v>
      </c>
      <c r="I1095" s="496" t="s">
        <v>756</v>
      </c>
      <c r="J1095" s="497" t="s">
        <v>786</v>
      </c>
      <c r="K1095" s="490"/>
      <c r="L1095" s="463" t="s">
        <v>756</v>
      </c>
      <c r="M1095" s="459"/>
      <c r="N1095" s="459"/>
      <c r="O1095" s="459"/>
      <c r="P1095" s="459"/>
      <c r="Q1095" s="459"/>
      <c r="R1095" s="459"/>
      <c r="S1095" s="459"/>
      <c r="T1095" s="459"/>
      <c r="U1095" s="530">
        <v>-10811755</v>
      </c>
      <c r="V1095" s="530">
        <v>-11001715</v>
      </c>
      <c r="W1095" s="530">
        <v>-11743788</v>
      </c>
      <c r="X1095" s="490"/>
      <c r="Y1095" s="969"/>
      <c r="Z1095" s="969"/>
      <c r="AA1095" s="969"/>
      <c r="AB1095" s="969"/>
      <c r="AC1095" s="969"/>
      <c r="AD1095" s="969"/>
      <c r="AE1095" s="969" t="str">
        <f t="shared" si="51"/>
        <v>TheewaterskloofSurplus/(Deficit) attributable to municipality</v>
      </c>
      <c r="AF1095" s="969"/>
      <c r="AG1095" s="969"/>
    </row>
    <row r="1096" spans="2:33" ht="13.2" customHeight="1" x14ac:dyDescent="0.55000000000000004">
      <c r="B1096" s="371"/>
      <c r="C1096" s="1010" t="s">
        <v>790</v>
      </c>
      <c r="D1096" s="361" t="str">
        <f t="shared" si="49"/>
        <v>Waste management5400</v>
      </c>
      <c r="E1096" s="360" t="str">
        <f t="shared" si="50"/>
        <v>TheewaterskloofWaste managementShare of surplus/ (deficit) of associate</v>
      </c>
      <c r="F1096" s="360" t="str">
        <f>'PART C- Municipal Details'!$G$7</f>
        <v>Theewaterskloof</v>
      </c>
      <c r="G1096" s="360" t="s">
        <v>812</v>
      </c>
      <c r="H1096" s="366" t="s">
        <v>816</v>
      </c>
      <c r="I1096" s="496" t="s">
        <v>759</v>
      </c>
      <c r="J1096" s="497" t="s">
        <v>789</v>
      </c>
      <c r="K1096" s="490"/>
      <c r="L1096" s="463" t="s">
        <v>791</v>
      </c>
      <c r="M1096" s="459"/>
      <c r="N1096" s="459"/>
      <c r="O1096" s="459"/>
      <c r="P1096" s="459"/>
      <c r="Q1096" s="459"/>
      <c r="R1096" s="459"/>
      <c r="S1096" s="459"/>
      <c r="T1096" s="459"/>
      <c r="U1096" s="530">
        <v>0</v>
      </c>
      <c r="V1096" s="530">
        <v>0</v>
      </c>
      <c r="W1096" s="530">
        <v>0</v>
      </c>
      <c r="X1096" s="490"/>
      <c r="Y1096" s="969"/>
      <c r="Z1096" s="969"/>
      <c r="AA1096" s="969"/>
      <c r="AB1096" s="969"/>
      <c r="AC1096" s="969"/>
      <c r="AD1096" s="969"/>
      <c r="AE1096" s="969" t="str">
        <f t="shared" si="51"/>
        <v>TheewaterskloofShare of Surplus/Deficit attributable to Associate</v>
      </c>
      <c r="AF1096" s="969"/>
      <c r="AG1096" s="969"/>
    </row>
    <row r="1097" spans="2:33" ht="13.2" customHeight="1" x14ac:dyDescent="0.55000000000000004">
      <c r="B1097" s="371"/>
      <c r="C1097" s="1010" t="s">
        <v>792</v>
      </c>
      <c r="D1097" s="360" t="str">
        <f t="shared" si="49"/>
        <v>Waste management5500</v>
      </c>
      <c r="E1097" s="361" t="str">
        <f t="shared" si="50"/>
        <v>TheewaterskloofWaste managementIntercompany/Parent subsidiary transactions</v>
      </c>
      <c r="F1097" s="360" t="str">
        <f>'PART C- Municipal Details'!$G$7</f>
        <v>Theewaterskloof</v>
      </c>
      <c r="G1097" s="361" t="s">
        <v>812</v>
      </c>
      <c r="H1097" s="363" t="s">
        <v>816</v>
      </c>
      <c r="I1097" s="496" t="s">
        <v>793</v>
      </c>
      <c r="J1097" s="497" t="s">
        <v>789</v>
      </c>
      <c r="K1097" s="490"/>
      <c r="L1097" s="463" t="s">
        <v>793</v>
      </c>
      <c r="M1097" s="459"/>
      <c r="N1097" s="459"/>
      <c r="O1097" s="459"/>
      <c r="P1097" s="459"/>
      <c r="Q1097" s="459"/>
      <c r="R1097" s="459"/>
      <c r="S1097" s="459"/>
      <c r="T1097" s="459"/>
      <c r="U1097" s="530">
        <v>0</v>
      </c>
      <c r="V1097" s="530">
        <v>0</v>
      </c>
      <c r="W1097" s="530">
        <v>0</v>
      </c>
      <c r="X1097" s="490"/>
      <c r="Y1097" s="969"/>
      <c r="Z1097" s="969"/>
      <c r="AA1097" s="969"/>
      <c r="AB1097" s="969"/>
      <c r="AC1097" s="969"/>
      <c r="AD1097" s="969"/>
      <c r="AE1097" s="969" t="str">
        <f t="shared" si="51"/>
        <v>TheewaterskloofIntercompany/Parent subsidiary transactions</v>
      </c>
      <c r="AF1097" s="969"/>
      <c r="AG1097" s="969"/>
    </row>
    <row r="1098" spans="2:33" ht="13.2" customHeight="1" x14ac:dyDescent="0.55000000000000004">
      <c r="B1098" s="371"/>
      <c r="C1098" s="1009" t="s">
        <v>794</v>
      </c>
      <c r="D1098" s="361" t="str">
        <f t="shared" si="49"/>
        <v>Waste management5600</v>
      </c>
      <c r="E1098" s="360" t="str">
        <f t="shared" si="50"/>
        <v>TheewaterskloofWaste managementSurplus/(Deficit) for the year</v>
      </c>
      <c r="F1098" s="360" t="str">
        <f>'PART C- Municipal Details'!$G$7</f>
        <v>Theewaterskloof</v>
      </c>
      <c r="G1098" s="360" t="s">
        <v>812</v>
      </c>
      <c r="H1098" s="366" t="s">
        <v>816</v>
      </c>
      <c r="I1098" s="496" t="s">
        <v>762</v>
      </c>
      <c r="J1098" s="497" t="s">
        <v>789</v>
      </c>
      <c r="K1098" s="490"/>
      <c r="L1098" s="508" t="s">
        <v>762</v>
      </c>
      <c r="M1098" s="509"/>
      <c r="N1098" s="510"/>
      <c r="O1098" s="510"/>
      <c r="P1098" s="510"/>
      <c r="Q1098" s="510"/>
      <c r="R1098" s="510"/>
      <c r="S1098" s="510"/>
      <c r="T1098" s="511"/>
      <c r="U1098" s="530">
        <v>0</v>
      </c>
      <c r="V1098" s="530">
        <v>0</v>
      </c>
      <c r="W1098" s="530">
        <v>0</v>
      </c>
      <c r="X1098" s="490"/>
      <c r="Y1098" s="969"/>
      <c r="Z1098" s="969"/>
      <c r="AA1098" s="969"/>
      <c r="AB1098" s="969"/>
      <c r="AC1098" s="969"/>
      <c r="AD1098" s="969"/>
      <c r="AE1098" s="969" t="str">
        <f t="shared" si="51"/>
        <v>TheewaterskloofSurplus/(Deficit) for the year</v>
      </c>
      <c r="AF1098" s="969"/>
      <c r="AG1098" s="969"/>
    </row>
    <row r="1099" spans="2:33" ht="13.2" customHeight="1" x14ac:dyDescent="0.55000000000000004">
      <c r="B1099" s="371"/>
      <c r="C1099" s="1011">
        <v>55555</v>
      </c>
      <c r="D1099" s="360" t="str">
        <f t="shared" si="49"/>
        <v>Waste management55555</v>
      </c>
      <c r="E1099" s="361" t="str">
        <f t="shared" si="50"/>
        <v>TheewaterskloofWaste managementReferences</v>
      </c>
      <c r="F1099" s="360" t="str">
        <f>'PART C- Municipal Details'!$G$7</f>
        <v>Theewaterskloof</v>
      </c>
      <c r="G1099" s="361" t="s">
        <v>812</v>
      </c>
      <c r="H1099" s="363" t="s">
        <v>816</v>
      </c>
      <c r="I1099" s="496" t="s">
        <v>765</v>
      </c>
      <c r="J1099" s="497" t="s">
        <v>789</v>
      </c>
      <c r="K1099" s="490"/>
      <c r="L1099" s="474" t="s">
        <v>765</v>
      </c>
      <c r="M1099" s="475"/>
      <c r="N1099" s="476"/>
      <c r="O1099" s="476"/>
      <c r="P1099" s="476"/>
      <c r="Q1099" s="476"/>
      <c r="R1099" s="476"/>
      <c r="S1099" s="476"/>
      <c r="T1099" s="477"/>
      <c r="U1099" s="530">
        <v>0</v>
      </c>
      <c r="V1099" s="530">
        <v>0</v>
      </c>
      <c r="W1099" s="530">
        <v>0</v>
      </c>
      <c r="X1099" s="490"/>
      <c r="Y1099" s="969"/>
      <c r="Z1099" s="969"/>
      <c r="AA1099" s="969"/>
      <c r="AB1099" s="969"/>
      <c r="AC1099" s="969"/>
      <c r="AD1099" s="969"/>
      <c r="AE1099" s="969" t="str">
        <f t="shared" si="51"/>
        <v>TheewaterskloofReferences</v>
      </c>
      <c r="AF1099" s="969"/>
      <c r="AG1099" s="969"/>
    </row>
    <row r="1100" spans="2:33" ht="13.2" customHeight="1" x14ac:dyDescent="0.55000000000000004">
      <c r="B1100" s="371"/>
      <c r="C1100" s="1011">
        <v>55555</v>
      </c>
      <c r="D1100" s="361" t="str">
        <f t="shared" si="49"/>
        <v>Waste management55555</v>
      </c>
      <c r="E1100" s="360" t="str">
        <f t="shared" si="50"/>
        <v>TheewaterskloofWaste management1. Classifications are revenue sources and expenditure type</v>
      </c>
      <c r="F1100" s="360" t="str">
        <f>'PART C- Municipal Details'!$G$7</f>
        <v>Theewaterskloof</v>
      </c>
      <c r="G1100" s="360" t="s">
        <v>812</v>
      </c>
      <c r="H1100" s="366" t="s">
        <v>816</v>
      </c>
      <c r="I1100" s="496" t="s">
        <v>767</v>
      </c>
      <c r="J1100" s="497" t="s">
        <v>789</v>
      </c>
      <c r="K1100" s="490"/>
      <c r="L1100" s="465" t="s">
        <v>767</v>
      </c>
      <c r="M1100" s="472"/>
      <c r="N1100" s="473"/>
      <c r="O1100" s="473"/>
      <c r="P1100" s="473"/>
      <c r="Q1100" s="473"/>
      <c r="R1100" s="473"/>
      <c r="S1100" s="473"/>
      <c r="T1100" s="478"/>
      <c r="U1100" s="530">
        <v>0</v>
      </c>
      <c r="V1100" s="530">
        <v>0</v>
      </c>
      <c r="W1100" s="530">
        <v>0</v>
      </c>
      <c r="X1100" s="490"/>
      <c r="Y1100" s="969"/>
      <c r="Z1100" s="969"/>
      <c r="AA1100" s="969"/>
      <c r="AB1100" s="969"/>
      <c r="AC1100" s="969"/>
      <c r="AD1100" s="969"/>
      <c r="AE1100" s="969" t="str">
        <f t="shared" si="51"/>
        <v>Theewaterskloof1. Classifications are revenue sources and expenditure type</v>
      </c>
      <c r="AF1100" s="969"/>
      <c r="AG1100" s="969"/>
    </row>
    <row r="1101" spans="2:33" ht="13.2" customHeight="1" x14ac:dyDescent="0.55000000000000004">
      <c r="B1101" s="371"/>
      <c r="C1101" s="1011">
        <v>55555</v>
      </c>
      <c r="D1101" s="360" t="str">
        <f t="shared" si="49"/>
        <v>Waste management55555</v>
      </c>
      <c r="E1101" s="361" t="str">
        <f t="shared" si="50"/>
        <v>TheewaterskloofWaste management2. Detail to be provided in Table SA1</v>
      </c>
      <c r="F1101" s="360" t="str">
        <f>'PART C- Municipal Details'!$G$7</f>
        <v>Theewaterskloof</v>
      </c>
      <c r="G1101" s="361" t="s">
        <v>812</v>
      </c>
      <c r="H1101" s="363" t="s">
        <v>816</v>
      </c>
      <c r="I1101" s="496" t="s">
        <v>769</v>
      </c>
      <c r="J1101" s="497" t="s">
        <v>789</v>
      </c>
      <c r="K1101" s="490"/>
      <c r="L1101" s="465" t="s">
        <v>769</v>
      </c>
      <c r="M1101" s="472"/>
      <c r="N1101" s="473"/>
      <c r="O1101" s="473"/>
      <c r="P1101" s="473"/>
      <c r="Q1101" s="473"/>
      <c r="R1101" s="473"/>
      <c r="S1101" s="473"/>
      <c r="T1101" s="478"/>
      <c r="U1101" s="530">
        <v>0</v>
      </c>
      <c r="V1101" s="530">
        <v>0</v>
      </c>
      <c r="W1101" s="530">
        <v>0</v>
      </c>
      <c r="X1101" s="490"/>
      <c r="Y1101" s="969"/>
      <c r="Z1101" s="969"/>
      <c r="AA1101" s="969"/>
      <c r="AB1101" s="969"/>
      <c r="AC1101" s="969"/>
      <c r="AD1101" s="969"/>
      <c r="AE1101" s="969" t="str">
        <f t="shared" si="51"/>
        <v>Theewaterskloof2. Detail to be provided in Table SA1</v>
      </c>
      <c r="AF1101" s="969"/>
      <c r="AG1101" s="969"/>
    </row>
    <row r="1102" spans="2:33" ht="13.2" customHeight="1" x14ac:dyDescent="0.55000000000000004">
      <c r="B1102" s="371"/>
      <c r="C1102" s="1011">
        <v>55555</v>
      </c>
      <c r="D1102" s="361" t="str">
        <f t="shared" si="49"/>
        <v>Waste management55555</v>
      </c>
      <c r="E1102" s="360" t="str">
        <f t="shared" si="50"/>
        <v>TheewaterskloofWaste management3. Debt impairment includes Impairment and Reversal of Impairment Losses</v>
      </c>
      <c r="F1102" s="360" t="str">
        <f>'PART C- Municipal Details'!$G$7</f>
        <v>Theewaterskloof</v>
      </c>
      <c r="G1102" s="360" t="s">
        <v>812</v>
      </c>
      <c r="H1102" s="366" t="s">
        <v>816</v>
      </c>
      <c r="I1102" s="496" t="s">
        <v>795</v>
      </c>
      <c r="J1102" s="497" t="s">
        <v>789</v>
      </c>
      <c r="K1102" s="490"/>
      <c r="L1102" s="465" t="s">
        <v>795</v>
      </c>
      <c r="M1102" s="472"/>
      <c r="N1102" s="473"/>
      <c r="O1102" s="473"/>
      <c r="P1102" s="473"/>
      <c r="Q1102" s="473"/>
      <c r="R1102" s="473"/>
      <c r="S1102" s="473"/>
      <c r="T1102" s="478"/>
      <c r="U1102" s="530">
        <v>0</v>
      </c>
      <c r="V1102" s="530">
        <v>0</v>
      </c>
      <c r="W1102" s="530">
        <v>0</v>
      </c>
      <c r="X1102" s="490"/>
      <c r="Y1102" s="969"/>
      <c r="Z1102" s="969"/>
      <c r="AA1102" s="969"/>
      <c r="AB1102" s="969"/>
      <c r="AC1102" s="969"/>
      <c r="AD1102" s="969"/>
      <c r="AE1102" s="969" t="str">
        <f t="shared" si="51"/>
        <v>Theewaterskloof3. Debt impairment includes Impairment and Reversal of Impairment Losses</v>
      </c>
      <c r="AF1102" s="969"/>
      <c r="AG1102" s="969"/>
    </row>
    <row r="1103" spans="2:33" ht="13.2" customHeight="1" x14ac:dyDescent="0.55000000000000004">
      <c r="B1103" s="371"/>
      <c r="C1103" s="1011">
        <v>55555</v>
      </c>
      <c r="D1103" s="360" t="str">
        <f t="shared" si="49"/>
        <v>Waste management55555</v>
      </c>
      <c r="E1103" s="361" t="str">
        <f t="shared" si="50"/>
        <v>TheewaterskloofWaste management4. Expenditure type components previously shown under repairs and maintenance should be allocated back to the originating expenditure group/item; e.g. employee costs</v>
      </c>
      <c r="F1103" s="360" t="str">
        <f>'PART C- Municipal Details'!$G$7</f>
        <v>Theewaterskloof</v>
      </c>
      <c r="G1103" s="361" t="s">
        <v>812</v>
      </c>
      <c r="H1103" s="363" t="s">
        <v>816</v>
      </c>
      <c r="I1103" s="496" t="s">
        <v>775</v>
      </c>
      <c r="J1103" s="497" t="s">
        <v>789</v>
      </c>
      <c r="K1103" s="490"/>
      <c r="L1103" s="465" t="s">
        <v>775</v>
      </c>
      <c r="M1103" s="472"/>
      <c r="N1103" s="473"/>
      <c r="O1103" s="473"/>
      <c r="P1103" s="473"/>
      <c r="Q1103" s="473"/>
      <c r="R1103" s="473"/>
      <c r="S1103" s="473"/>
      <c r="T1103" s="478"/>
      <c r="U1103" s="530">
        <v>0</v>
      </c>
      <c r="V1103" s="530">
        <v>0</v>
      </c>
      <c r="W1103" s="530">
        <v>0</v>
      </c>
      <c r="X1103" s="490"/>
      <c r="Y1103" s="969"/>
      <c r="Z1103" s="969"/>
      <c r="AA1103" s="969"/>
      <c r="AB1103" s="969"/>
      <c r="AC1103" s="969"/>
      <c r="AD1103" s="969"/>
      <c r="AE1103" s="969" t="str">
        <f t="shared" si="51"/>
        <v>Theewaterskloof4. Expenditure type components previously shown under repairs and maintenance should be allocated back to the originating expenditure group/item; e.g. employee costs</v>
      </c>
      <c r="AF1103" s="969"/>
      <c r="AG1103" s="969"/>
    </row>
    <row r="1104" spans="2:33" ht="13.2" customHeight="1" x14ac:dyDescent="0.55000000000000004">
      <c r="B1104" s="371"/>
      <c r="C1104" s="1011">
        <v>55555</v>
      </c>
      <c r="D1104" s="361" t="str">
        <f t="shared" si="49"/>
        <v>Waste management55555</v>
      </c>
      <c r="E1104" s="360" t="str">
        <f t="shared" si="50"/>
        <v>TheewaterskloofWaste management5. Repairs &amp; maintenance detailed in Table A9 and Table SA34c</v>
      </c>
      <c r="F1104" s="360" t="str">
        <f>'PART C- Municipal Details'!$G$7</f>
        <v>Theewaterskloof</v>
      </c>
      <c r="G1104" s="360" t="s">
        <v>812</v>
      </c>
      <c r="H1104" s="366" t="s">
        <v>816</v>
      </c>
      <c r="I1104" s="496" t="s">
        <v>777</v>
      </c>
      <c r="J1104" s="497" t="s">
        <v>789</v>
      </c>
      <c r="K1104" s="490"/>
      <c r="L1104" s="465" t="s">
        <v>777</v>
      </c>
      <c r="M1104" s="472"/>
      <c r="N1104" s="473"/>
      <c r="O1104" s="473"/>
      <c r="P1104" s="473"/>
      <c r="Q1104" s="473"/>
      <c r="R1104" s="473"/>
      <c r="S1104" s="473"/>
      <c r="T1104" s="478"/>
      <c r="U1104" s="530">
        <v>0</v>
      </c>
      <c r="V1104" s="530">
        <v>0</v>
      </c>
      <c r="W1104" s="530">
        <v>0</v>
      </c>
      <c r="X1104" s="490"/>
      <c r="Y1104" s="969"/>
      <c r="Z1104" s="969"/>
      <c r="AA1104" s="969"/>
      <c r="AB1104" s="969"/>
      <c r="AC1104" s="969"/>
      <c r="AD1104" s="969"/>
      <c r="AE1104" s="969" t="str">
        <f t="shared" si="51"/>
        <v>Theewaterskloof5. Repairs &amp; maintenance detailed in Table A9 and Table SA34c</v>
      </c>
      <c r="AF1104" s="969"/>
      <c r="AG1104" s="969"/>
    </row>
    <row r="1105" spans="2:33" ht="13.2" customHeight="1" x14ac:dyDescent="0.55000000000000004">
      <c r="B1105" s="371"/>
      <c r="C1105" s="1011">
        <v>55555</v>
      </c>
      <c r="D1105" s="360" t="str">
        <f t="shared" si="49"/>
        <v>Waste management55555</v>
      </c>
      <c r="E1105" s="361" t="str">
        <f t="shared" si="50"/>
        <v>TheewaterskloofWaste management6. Contributions are funds provided by external organisations to assist with infrastructure development; e.g. developer contributions (detail to be provided in Table SA1)</v>
      </c>
      <c r="F1105" s="360" t="str">
        <f>'PART C- Municipal Details'!$G$7</f>
        <v>Theewaterskloof</v>
      </c>
      <c r="G1105" s="361" t="s">
        <v>812</v>
      </c>
      <c r="H1105" s="363" t="s">
        <v>816</v>
      </c>
      <c r="I1105" s="496" t="s">
        <v>780</v>
      </c>
      <c r="J1105" s="497" t="s">
        <v>789</v>
      </c>
      <c r="K1105" s="490"/>
      <c r="L1105" s="465" t="s">
        <v>780</v>
      </c>
      <c r="M1105" s="472"/>
      <c r="N1105" s="473"/>
      <c r="O1105" s="473"/>
      <c r="P1105" s="473"/>
      <c r="Q1105" s="473"/>
      <c r="R1105" s="473"/>
      <c r="S1105" s="473"/>
      <c r="T1105" s="478"/>
      <c r="U1105" s="530">
        <v>0</v>
      </c>
      <c r="V1105" s="530">
        <v>0</v>
      </c>
      <c r="W1105" s="530">
        <v>0</v>
      </c>
      <c r="X1105" s="490"/>
      <c r="Y1105" s="969"/>
      <c r="Z1105" s="969"/>
      <c r="AA1105" s="969"/>
      <c r="AB1105" s="969"/>
      <c r="AC1105" s="969"/>
      <c r="AD1105" s="969"/>
      <c r="AE1105" s="969" t="str">
        <f t="shared" si="51"/>
        <v>Theewaterskloof6. Contributions are funds provided by external organisations to assist with infrastructure development; e.g. developer contributions (detail to be provided in Table SA1)</v>
      </c>
      <c r="AF1105" s="969"/>
      <c r="AG1105" s="969"/>
    </row>
    <row r="1106" spans="2:33" ht="13.2" customHeight="1" x14ac:dyDescent="0.55000000000000004">
      <c r="B1106" s="371"/>
      <c r="C1106" s="1011">
        <v>55555</v>
      </c>
      <c r="D1106" s="361" t="str">
        <f t="shared" si="49"/>
        <v>Waste management55555</v>
      </c>
      <c r="E1106" s="360" t="str">
        <f t="shared" si="50"/>
        <v>TheewaterskloofWaste management7. Equity method ( Includes Joint Ventures)</v>
      </c>
      <c r="F1106" s="360" t="str">
        <f>'PART C- Municipal Details'!$G$7</f>
        <v>Theewaterskloof</v>
      </c>
      <c r="G1106" s="360" t="s">
        <v>812</v>
      </c>
      <c r="H1106" s="366" t="s">
        <v>816</v>
      </c>
      <c r="I1106" s="496" t="s">
        <v>796</v>
      </c>
      <c r="J1106" s="497" t="s">
        <v>789</v>
      </c>
      <c r="K1106" s="490"/>
      <c r="L1106" s="479" t="s">
        <v>796</v>
      </c>
      <c r="M1106" s="480"/>
      <c r="N1106" s="481"/>
      <c r="O1106" s="481"/>
      <c r="P1106" s="481"/>
      <c r="Q1106" s="481"/>
      <c r="R1106" s="481"/>
      <c r="S1106" s="481"/>
      <c r="T1106" s="482"/>
      <c r="U1106" s="530">
        <v>0</v>
      </c>
      <c r="V1106" s="530">
        <v>0</v>
      </c>
      <c r="W1106" s="530">
        <v>0</v>
      </c>
      <c r="X1106" s="490"/>
      <c r="Y1106" s="969"/>
      <c r="Z1106" s="969"/>
      <c r="AA1106" s="969"/>
      <c r="AB1106" s="969"/>
      <c r="AC1106" s="969"/>
      <c r="AD1106" s="969"/>
      <c r="AE1106" s="969" t="str">
        <f t="shared" si="51"/>
        <v>Theewaterskloof7. Equity method ( Includes Joint Ventures)</v>
      </c>
      <c r="AF1106" s="969"/>
      <c r="AG1106" s="969"/>
    </row>
    <row r="1107" spans="2:33" ht="13.2" customHeight="1" x14ac:dyDescent="0.55000000000000004">
      <c r="B1107" s="371"/>
      <c r="C1107" s="1011">
        <v>55555</v>
      </c>
      <c r="D1107" s="360" t="str">
        <f t="shared" si="49"/>
        <v>Waste management55555</v>
      </c>
      <c r="E1107" s="361" t="str">
        <f t="shared" si="50"/>
        <v>TheewaterskloofWaste management8. All materials consumed including water consumed and materials used in operations.</v>
      </c>
      <c r="F1107" s="360" t="str">
        <f>'PART C- Municipal Details'!$G$7</f>
        <v>Theewaterskloof</v>
      </c>
      <c r="G1107" s="361" t="s">
        <v>812</v>
      </c>
      <c r="H1107" s="363" t="s">
        <v>816</v>
      </c>
      <c r="I1107" s="496" t="s">
        <v>797</v>
      </c>
      <c r="J1107" s="497" t="s">
        <v>789</v>
      </c>
      <c r="K1107" s="490"/>
      <c r="L1107" s="519" t="s">
        <v>797</v>
      </c>
      <c r="M1107" s="520"/>
      <c r="N1107" s="521"/>
      <c r="O1107" s="521"/>
      <c r="P1107" s="521"/>
      <c r="Q1107" s="521"/>
      <c r="R1107" s="521"/>
      <c r="S1107" s="521"/>
      <c r="T1107" s="521"/>
      <c r="U1107" s="522"/>
      <c r="V1107" s="522"/>
      <c r="W1107" s="522"/>
      <c r="X1107" s="490"/>
      <c r="Y1107" s="969"/>
      <c r="Z1107" s="969"/>
      <c r="AA1107" s="969"/>
      <c r="AB1107" s="969"/>
      <c r="AC1107" s="969"/>
      <c r="AD1107" s="969"/>
      <c r="AE1107" s="969" t="str">
        <f t="shared" si="51"/>
        <v>Theewaterskloof8. All materials consumed including water consumed and materials used in operations.</v>
      </c>
      <c r="AF1107" s="969"/>
      <c r="AG1107" s="969"/>
    </row>
    <row r="1108" spans="2:33" ht="13.2" customHeight="1" x14ac:dyDescent="0.55000000000000004">
      <c r="B1108" s="371"/>
      <c r="C1108" s="1012"/>
      <c r="D1108" s="523"/>
      <c r="E1108" s="523"/>
      <c r="F1108" s="523"/>
      <c r="G1108" s="523"/>
      <c r="H1108" s="523"/>
      <c r="I1108" s="524"/>
      <c r="J1108" s="524"/>
      <c r="K1108" s="525"/>
      <c r="L1108" s="516"/>
      <c r="M1108" s="517"/>
      <c r="N1108" s="515"/>
      <c r="O1108" s="515"/>
      <c r="P1108" s="515"/>
      <c r="Q1108" s="515"/>
      <c r="R1108" s="515"/>
      <c r="S1108" s="515"/>
      <c r="T1108" s="515"/>
      <c r="U1108" s="517"/>
      <c r="V1108" s="517"/>
      <c r="W1108" s="518"/>
      <c r="X1108" s="490"/>
      <c r="Y1108" s="969"/>
      <c r="Z1108" s="969"/>
      <c r="AA1108" s="969"/>
      <c r="AB1108" s="969"/>
      <c r="AC1108" s="969"/>
      <c r="AD1108" s="969"/>
      <c r="AE1108" s="969" t="str">
        <f t="shared" si="51"/>
        <v/>
      </c>
      <c r="AF1108" s="969"/>
      <c r="AG1108" s="969"/>
    </row>
    <row r="1109" spans="2:33" ht="13.2" customHeight="1" thickBot="1" x14ac:dyDescent="0.6">
      <c r="B1109" s="384"/>
      <c r="C1109" s="1013"/>
      <c r="D1109" s="370"/>
      <c r="E1109" s="370"/>
      <c r="F1109" s="370"/>
      <c r="G1109" s="370"/>
      <c r="H1109" s="370"/>
      <c r="I1109" s="492"/>
      <c r="J1109" s="493"/>
      <c r="K1109" s="370"/>
      <c r="L1109" s="370"/>
      <c r="M1109" s="372"/>
      <c r="N1109" s="373"/>
      <c r="O1109" s="373"/>
      <c r="P1109" s="373"/>
      <c r="Q1109" s="373"/>
      <c r="R1109" s="373"/>
      <c r="S1109" s="373"/>
      <c r="T1109" s="373"/>
      <c r="U1109" s="373"/>
      <c r="V1109" s="372"/>
      <c r="W1109" s="372"/>
      <c r="X1109" s="372"/>
      <c r="Y1109" s="969"/>
      <c r="Z1109" s="969"/>
      <c r="AA1109" s="969"/>
      <c r="AB1109" s="969"/>
      <c r="AC1109" s="969"/>
      <c r="AD1109" s="969"/>
      <c r="AE1109" s="969"/>
      <c r="AF1109" s="969"/>
      <c r="AG1109" s="969"/>
    </row>
    <row r="1110" spans="2:33" ht="13.2" customHeight="1" x14ac:dyDescent="0.55000000000000004">
      <c r="B1110" s="384"/>
      <c r="C1110" s="1014"/>
      <c r="D1110" s="370"/>
      <c r="E1110" s="370"/>
      <c r="F1110" s="370"/>
      <c r="G1110" s="370"/>
      <c r="H1110" s="370"/>
      <c r="I1110" s="492"/>
      <c r="J1110" s="493"/>
      <c r="K1110" s="370"/>
      <c r="L1110" s="370"/>
      <c r="M1110" s="372"/>
      <c r="N1110" s="373"/>
      <c r="O1110" s="373"/>
      <c r="P1110" s="373"/>
      <c r="Q1110" s="373"/>
      <c r="R1110" s="373"/>
      <c r="S1110" s="373"/>
      <c r="T1110" s="373"/>
      <c r="U1110" s="373"/>
      <c r="V1110" s="373"/>
      <c r="W1110" s="373"/>
      <c r="X1110" s="372"/>
      <c r="Y1110" s="969"/>
      <c r="Z1110" s="969"/>
      <c r="AA1110" s="969"/>
      <c r="AB1110" s="969"/>
      <c r="AC1110" s="969"/>
      <c r="AD1110" s="969"/>
      <c r="AE1110" s="969"/>
      <c r="AF1110" s="969"/>
      <c r="AG1110" s="969"/>
    </row>
    <row r="1111" spans="2:33" ht="13.2" customHeight="1" x14ac:dyDescent="0.55000000000000004">
      <c r="B1111" s="384"/>
      <c r="C1111" s="1015"/>
      <c r="D1111"/>
      <c r="E1111"/>
      <c r="F1111"/>
      <c r="G1111"/>
      <c r="H1111"/>
      <c r="I1111" s="498"/>
      <c r="J1111" s="498"/>
      <c r="K1111" s="308"/>
      <c r="L1111"/>
      <c r="M1111"/>
      <c r="N1111"/>
      <c r="O1111"/>
      <c r="P1111"/>
      <c r="Q1111"/>
      <c r="R1111"/>
      <c r="S1111"/>
      <c r="T1111"/>
      <c r="U1111"/>
      <c r="V1111"/>
      <c r="W1111"/>
      <c r="X1111"/>
      <c r="Z1111" s="969"/>
      <c r="AA1111" s="969"/>
      <c r="AB1111" s="969"/>
      <c r="AC1111" s="969"/>
      <c r="AD1111" s="969"/>
      <c r="AE1111" s="969"/>
      <c r="AF1111" s="969"/>
      <c r="AG1111" s="969"/>
    </row>
    <row r="1112" spans="2:33" ht="13.2" customHeight="1" x14ac:dyDescent="0.55000000000000004">
      <c r="C1112" s="1013"/>
      <c r="Z1112" s="969"/>
      <c r="AA1112" s="969"/>
      <c r="AB1112" s="969"/>
      <c r="AC1112" s="969"/>
      <c r="AD1112" s="969"/>
      <c r="AE1112" s="969"/>
      <c r="AF1112" s="969"/>
      <c r="AG1112" s="969"/>
    </row>
    <row r="1113" spans="2:33" ht="13.2" customHeight="1" x14ac:dyDescent="0.55000000000000004">
      <c r="C1113" s="1013"/>
      <c r="Z1113" s="969"/>
      <c r="AA1113" s="969"/>
      <c r="AB1113" s="969"/>
      <c r="AC1113" s="969"/>
      <c r="AD1113" s="969"/>
      <c r="AE1113" s="969"/>
      <c r="AF1113" s="969"/>
      <c r="AG1113" s="969"/>
    </row>
    <row r="1114" spans="2:33" ht="13.2" customHeight="1" x14ac:dyDescent="0.55000000000000004">
      <c r="C1114" s="1013"/>
      <c r="Z1114" s="969"/>
      <c r="AA1114" s="969"/>
      <c r="AB1114" s="969"/>
      <c r="AC1114" s="969"/>
      <c r="AD1114" s="969"/>
      <c r="AE1114" s="969"/>
      <c r="AF1114" s="969"/>
      <c r="AG1114" s="969"/>
    </row>
    <row r="1115" spans="2:33" ht="13.2" customHeight="1" x14ac:dyDescent="0.55000000000000004">
      <c r="C1115" s="1013"/>
      <c r="Z1115" s="969"/>
      <c r="AA1115" s="969"/>
      <c r="AB1115" s="969"/>
      <c r="AC1115" s="969"/>
      <c r="AD1115" s="969"/>
      <c r="AE1115" s="969"/>
      <c r="AF1115" s="969"/>
      <c r="AG1115" s="969"/>
    </row>
    <row r="1116" spans="2:33" ht="13.2" customHeight="1" x14ac:dyDescent="0.55000000000000004">
      <c r="C1116" s="1013"/>
      <c r="Z1116" s="969"/>
      <c r="AA1116" s="969"/>
      <c r="AB1116" s="969"/>
      <c r="AC1116" s="969"/>
      <c r="AD1116" s="969"/>
      <c r="AE1116" s="969"/>
      <c r="AF1116" s="969"/>
      <c r="AG1116" s="969"/>
    </row>
    <row r="1117" spans="2:33" ht="13.2" customHeight="1" x14ac:dyDescent="0.55000000000000004">
      <c r="C1117" s="1013"/>
      <c r="Z1117" s="969"/>
      <c r="AA1117" s="969"/>
      <c r="AB1117" s="969"/>
      <c r="AC1117" s="969"/>
      <c r="AD1117" s="969"/>
      <c r="AE1117" s="969"/>
      <c r="AF1117" s="969"/>
      <c r="AG1117" s="969"/>
    </row>
    <row r="1118" spans="2:33" ht="13.2" customHeight="1" x14ac:dyDescent="0.55000000000000004">
      <c r="C1118" s="1013"/>
      <c r="Z1118" s="969"/>
      <c r="AA1118" s="969"/>
      <c r="AB1118" s="969"/>
      <c r="AC1118" s="969"/>
      <c r="AD1118" s="969"/>
      <c r="AE1118" s="969"/>
      <c r="AF1118" s="969"/>
      <c r="AG1118" s="969"/>
    </row>
    <row r="1119" spans="2:33" ht="13.2" customHeight="1" x14ac:dyDescent="0.55000000000000004">
      <c r="C1119" s="1013"/>
      <c r="Z1119" s="969"/>
      <c r="AA1119" s="969"/>
      <c r="AB1119" s="969"/>
      <c r="AC1119" s="969"/>
      <c r="AD1119" s="969"/>
      <c r="AE1119" s="969"/>
      <c r="AF1119" s="969"/>
      <c r="AG1119" s="969"/>
    </row>
    <row r="1120" spans="2:33" ht="13.2" customHeight="1" x14ac:dyDescent="0.55000000000000004">
      <c r="C1120" s="1013"/>
      <c r="Z1120" s="969"/>
      <c r="AA1120" s="969"/>
      <c r="AB1120" s="969"/>
      <c r="AC1120" s="969"/>
      <c r="AD1120" s="969"/>
      <c r="AE1120" s="969"/>
      <c r="AF1120" s="969"/>
      <c r="AG1120" s="969"/>
    </row>
    <row r="1121" spans="3:33" ht="13.2" customHeight="1" x14ac:dyDescent="0.55000000000000004">
      <c r="C1121" s="1013"/>
      <c r="Z1121" s="969"/>
      <c r="AA1121" s="969"/>
      <c r="AB1121" s="969"/>
      <c r="AC1121" s="969"/>
      <c r="AD1121" s="969"/>
      <c r="AE1121" s="969"/>
      <c r="AF1121" s="969"/>
      <c r="AG1121" s="969"/>
    </row>
    <row r="1122" spans="3:33" ht="13.2" customHeight="1" x14ac:dyDescent="0.55000000000000004">
      <c r="C1122" s="1013"/>
      <c r="Z1122" s="969"/>
      <c r="AA1122" s="969"/>
      <c r="AB1122" s="969"/>
      <c r="AC1122" s="969"/>
      <c r="AD1122" s="969"/>
      <c r="AE1122" s="969"/>
      <c r="AF1122" s="969"/>
      <c r="AG1122" s="969"/>
    </row>
    <row r="1123" spans="3:33" ht="13.2" customHeight="1" x14ac:dyDescent="0.55000000000000004">
      <c r="C1123" s="1013"/>
      <c r="Z1123" s="969"/>
      <c r="AA1123" s="969"/>
      <c r="AB1123" s="969"/>
      <c r="AC1123" s="969"/>
      <c r="AD1123" s="969"/>
      <c r="AE1123" s="969"/>
      <c r="AF1123" s="969"/>
      <c r="AG1123" s="969"/>
    </row>
    <row r="1124" spans="3:33" ht="13.2" customHeight="1" x14ac:dyDescent="0.55000000000000004">
      <c r="C1124" s="1013"/>
      <c r="Z1124" s="969"/>
      <c r="AA1124" s="969"/>
      <c r="AB1124" s="969"/>
      <c r="AC1124" s="969"/>
      <c r="AD1124" s="969"/>
      <c r="AE1124" s="969"/>
      <c r="AF1124" s="969"/>
      <c r="AG1124" s="969"/>
    </row>
    <row r="1125" spans="3:33" ht="13.2" customHeight="1" x14ac:dyDescent="0.55000000000000004">
      <c r="C1125" s="1013"/>
      <c r="Z1125" s="969"/>
      <c r="AA1125" s="969"/>
      <c r="AB1125" s="969"/>
      <c r="AC1125" s="969"/>
      <c r="AD1125" s="969"/>
      <c r="AE1125" s="969"/>
      <c r="AF1125" s="969"/>
      <c r="AG1125" s="969"/>
    </row>
    <row r="1126" spans="3:33" ht="13.2" customHeight="1" x14ac:dyDescent="0.55000000000000004">
      <c r="C1126" s="1015"/>
      <c r="Z1126" s="969"/>
      <c r="AA1126" s="969"/>
      <c r="AB1126" s="969"/>
      <c r="AC1126" s="969"/>
      <c r="AD1126" s="969"/>
      <c r="AE1126" s="969"/>
      <c r="AF1126" s="969"/>
      <c r="AG1126" s="969"/>
    </row>
    <row r="1127" spans="3:33" ht="13.2" customHeight="1" x14ac:dyDescent="0.55000000000000004">
      <c r="C1127" s="1013"/>
      <c r="Z1127" s="969"/>
      <c r="AA1127" s="969"/>
      <c r="AB1127" s="969"/>
      <c r="AC1127" s="969"/>
      <c r="AD1127" s="969"/>
      <c r="AE1127" s="969"/>
      <c r="AF1127" s="969"/>
      <c r="AG1127" s="969"/>
    </row>
    <row r="1128" spans="3:33" ht="13.2" customHeight="1" x14ac:dyDescent="0.55000000000000004">
      <c r="C1128" s="1013"/>
      <c r="Z1128" s="969"/>
      <c r="AA1128" s="969"/>
      <c r="AB1128" s="969"/>
      <c r="AC1128" s="969"/>
      <c r="AD1128" s="969"/>
      <c r="AE1128" s="969"/>
      <c r="AF1128" s="969"/>
      <c r="AG1128" s="969"/>
    </row>
    <row r="1129" spans="3:33" ht="13.2" customHeight="1" x14ac:dyDescent="0.55000000000000004">
      <c r="C1129" s="1013"/>
      <c r="Z1129" s="969"/>
      <c r="AA1129" s="969"/>
      <c r="AB1129" s="969"/>
      <c r="AC1129" s="969"/>
      <c r="AD1129" s="969"/>
      <c r="AE1129" s="969"/>
      <c r="AF1129" s="969"/>
      <c r="AG1129" s="969"/>
    </row>
    <row r="1130" spans="3:33" ht="13.2" customHeight="1" x14ac:dyDescent="0.55000000000000004">
      <c r="C1130" s="1013"/>
      <c r="Z1130" s="969"/>
      <c r="AA1130" s="969"/>
      <c r="AB1130" s="969"/>
      <c r="AC1130" s="969"/>
      <c r="AD1130" s="969"/>
      <c r="AE1130" s="969"/>
      <c r="AF1130" s="969"/>
      <c r="AG1130" s="969"/>
    </row>
    <row r="1131" spans="3:33" ht="13.2" customHeight="1" x14ac:dyDescent="0.55000000000000004">
      <c r="C1131" s="1013"/>
      <c r="Z1131" s="969"/>
      <c r="AA1131" s="969"/>
      <c r="AB1131" s="969"/>
      <c r="AC1131" s="969"/>
      <c r="AD1131" s="969"/>
      <c r="AE1131" s="969"/>
      <c r="AF1131" s="969"/>
      <c r="AG1131" s="969"/>
    </row>
    <row r="1132" spans="3:33" ht="13.2" customHeight="1" x14ac:dyDescent="0.55000000000000004">
      <c r="C1132" s="1013"/>
      <c r="Z1132" s="969"/>
      <c r="AA1132" s="969"/>
      <c r="AB1132" s="969"/>
      <c r="AC1132" s="969"/>
      <c r="AD1132" s="969"/>
      <c r="AE1132" s="969"/>
      <c r="AF1132" s="969"/>
      <c r="AG1132" s="969"/>
    </row>
    <row r="1133" spans="3:33" ht="13.2" customHeight="1" x14ac:dyDescent="0.55000000000000004">
      <c r="C1133" s="1013"/>
      <c r="Z1133" s="969"/>
      <c r="AA1133" s="969"/>
      <c r="AB1133" s="969"/>
      <c r="AC1133" s="969"/>
      <c r="AD1133" s="969"/>
      <c r="AE1133" s="969"/>
      <c r="AF1133" s="969"/>
      <c r="AG1133" s="969"/>
    </row>
    <row r="1134" spans="3:33" ht="13.2" customHeight="1" x14ac:dyDescent="0.55000000000000004">
      <c r="C1134" s="1013"/>
      <c r="Z1134" s="969"/>
      <c r="AA1134" s="969"/>
      <c r="AB1134" s="969"/>
      <c r="AC1134" s="969"/>
      <c r="AD1134" s="969"/>
      <c r="AE1134" s="969"/>
      <c r="AF1134" s="969"/>
      <c r="AG1134" s="969"/>
    </row>
    <row r="1135" spans="3:33" ht="13.2" customHeight="1" x14ac:dyDescent="0.55000000000000004">
      <c r="C1135" s="1013"/>
      <c r="Z1135" s="969"/>
      <c r="AA1135" s="969"/>
      <c r="AB1135" s="969"/>
      <c r="AC1135" s="969"/>
      <c r="AD1135" s="969"/>
      <c r="AE1135" s="969"/>
      <c r="AF1135" s="969"/>
      <c r="AG1135" s="969"/>
    </row>
    <row r="1136" spans="3:33" ht="13.2" customHeight="1" x14ac:dyDescent="0.55000000000000004">
      <c r="C1136" s="1013"/>
      <c r="Z1136" s="969"/>
      <c r="AA1136" s="969"/>
      <c r="AB1136" s="969"/>
      <c r="AC1136" s="969"/>
      <c r="AD1136" s="969"/>
      <c r="AE1136" s="969"/>
      <c r="AF1136" s="969"/>
      <c r="AG1136" s="969"/>
    </row>
    <row r="1137" spans="3:33" ht="13.2" customHeight="1" x14ac:dyDescent="0.55000000000000004">
      <c r="C1137" s="1013"/>
      <c r="Z1137" s="969"/>
      <c r="AA1137" s="969"/>
      <c r="AB1137" s="969"/>
      <c r="AC1137" s="969"/>
      <c r="AD1137" s="969"/>
      <c r="AE1137" s="969"/>
      <c r="AF1137" s="969"/>
      <c r="AG1137" s="969"/>
    </row>
    <row r="1138" spans="3:33" ht="13.2" customHeight="1" x14ac:dyDescent="0.55000000000000004">
      <c r="C1138" s="1015"/>
      <c r="Z1138" s="969"/>
      <c r="AA1138" s="969"/>
      <c r="AB1138" s="969"/>
      <c r="AC1138" s="969"/>
      <c r="AD1138" s="969"/>
      <c r="AE1138" s="969"/>
      <c r="AF1138" s="969"/>
      <c r="AG1138" s="969"/>
    </row>
    <row r="1139" spans="3:33" ht="13.2" customHeight="1" x14ac:dyDescent="0.55000000000000004">
      <c r="C1139" s="1015"/>
      <c r="Z1139" s="969"/>
      <c r="AA1139" s="969"/>
      <c r="AB1139" s="969"/>
      <c r="AC1139" s="969"/>
      <c r="AD1139" s="969"/>
      <c r="AE1139" s="969"/>
      <c r="AF1139" s="969"/>
      <c r="AG1139" s="969"/>
    </row>
    <row r="1140" spans="3:33" ht="13.2" customHeight="1" x14ac:dyDescent="0.55000000000000004">
      <c r="C1140" s="1013"/>
      <c r="Z1140" s="969"/>
      <c r="AA1140" s="969"/>
      <c r="AB1140" s="969"/>
      <c r="AC1140" s="969"/>
      <c r="AD1140" s="969"/>
      <c r="AE1140" s="969"/>
      <c r="AF1140" s="969"/>
      <c r="AG1140" s="969"/>
    </row>
    <row r="1141" spans="3:33" ht="13.2" customHeight="1" x14ac:dyDescent="0.55000000000000004">
      <c r="C1141" s="1013"/>
      <c r="Z1141" s="969"/>
      <c r="AA1141" s="969"/>
      <c r="AB1141" s="969"/>
      <c r="AC1141" s="969"/>
      <c r="AD1141" s="969"/>
      <c r="AE1141" s="969"/>
      <c r="AF1141" s="969"/>
      <c r="AG1141" s="969"/>
    </row>
    <row r="1142" spans="3:33" ht="13.2" customHeight="1" x14ac:dyDescent="0.55000000000000004">
      <c r="C1142" s="1013"/>
    </row>
    <row r="1143" spans="3:33" ht="13.2" customHeight="1" x14ac:dyDescent="0.55000000000000004">
      <c r="C1143" s="1013"/>
    </row>
    <row r="1144" spans="3:33" ht="13.2" customHeight="1" x14ac:dyDescent="0.55000000000000004">
      <c r="C1144" s="1013"/>
    </row>
    <row r="1145" spans="3:33" ht="13.2" customHeight="1" x14ac:dyDescent="0.55000000000000004">
      <c r="C1145" s="1013"/>
    </row>
    <row r="1146" spans="3:33" ht="13.2" customHeight="1" x14ac:dyDescent="0.55000000000000004">
      <c r="C1146" s="1013"/>
    </row>
    <row r="1147" spans="3:33" ht="13.2" customHeight="1" x14ac:dyDescent="0.55000000000000004">
      <c r="C1147" s="1013"/>
    </row>
    <row r="1148" spans="3:33" ht="13.2" customHeight="1" x14ac:dyDescent="0.55000000000000004">
      <c r="C1148" s="1013"/>
    </row>
    <row r="1149" spans="3:33" ht="13.2" customHeight="1" x14ac:dyDescent="0.55000000000000004">
      <c r="C1149" s="1013"/>
    </row>
    <row r="1150" spans="3:33" ht="13.2" customHeight="1" x14ac:dyDescent="0.55000000000000004">
      <c r="C1150" s="1013"/>
    </row>
    <row r="1151" spans="3:33" ht="13.2" customHeight="1" x14ac:dyDescent="0.55000000000000004">
      <c r="C1151" s="1013"/>
    </row>
    <row r="1152" spans="3:33" ht="13.2" customHeight="1" x14ac:dyDescent="0.55000000000000004">
      <c r="C1152" s="1013"/>
    </row>
    <row r="1153" spans="3:3" ht="13.2" customHeight="1" x14ac:dyDescent="0.55000000000000004">
      <c r="C1153" s="1015"/>
    </row>
    <row r="1154" spans="3:3" ht="13.2" customHeight="1" x14ac:dyDescent="0.55000000000000004">
      <c r="C1154" s="1015"/>
    </row>
    <row r="1155" spans="3:3" ht="13.2" customHeight="1" x14ac:dyDescent="0.55000000000000004">
      <c r="C1155" s="1013"/>
    </row>
    <row r="1156" spans="3:3" ht="13.2" customHeight="1" x14ac:dyDescent="0.55000000000000004">
      <c r="C1156" s="1013"/>
    </row>
    <row r="1157" spans="3:3" ht="13.2" customHeight="1" x14ac:dyDescent="0.55000000000000004">
      <c r="C1157" s="1015"/>
    </row>
    <row r="1158" spans="3:3" ht="13.2" customHeight="1" x14ac:dyDescent="0.55000000000000004">
      <c r="C1158" s="1013"/>
    </row>
    <row r="1159" spans="3:3" ht="13.2" customHeight="1" x14ac:dyDescent="0.55000000000000004">
      <c r="C1159" s="1015"/>
    </row>
    <row r="1160" spans="3:3" ht="13.2" customHeight="1" x14ac:dyDescent="0.55000000000000004">
      <c r="C1160" s="1013"/>
    </row>
    <row r="1161" spans="3:3" ht="13.2" customHeight="1" x14ac:dyDescent="0.55000000000000004">
      <c r="C1161" s="1013"/>
    </row>
    <row r="1162" spans="3:3" ht="13.2" customHeight="1" x14ac:dyDescent="0.55000000000000004">
      <c r="C1162" s="1015"/>
    </row>
    <row r="1163" spans="3:3" ht="13.2" customHeight="1" x14ac:dyDescent="0.55000000000000004">
      <c r="C1163" s="1013"/>
    </row>
    <row r="1164" spans="3:3" ht="13.2" customHeight="1" x14ac:dyDescent="0.55000000000000004">
      <c r="C1164" s="1013"/>
    </row>
    <row r="1165" spans="3:3" ht="13.2" customHeight="1" x14ac:dyDescent="0.55000000000000004">
      <c r="C1165" s="1015"/>
    </row>
    <row r="1166" spans="3:3" ht="13.2" customHeight="1" x14ac:dyDescent="0.55000000000000004">
      <c r="C1166" s="1011"/>
    </row>
    <row r="1167" spans="3:3" ht="13.2" customHeight="1" x14ac:dyDescent="0.55000000000000004">
      <c r="C1167" s="1011"/>
    </row>
    <row r="1168" spans="3:3" ht="13.2" customHeight="1" x14ac:dyDescent="0.55000000000000004">
      <c r="C1168" s="1011"/>
    </row>
    <row r="1169" spans="3:3" ht="13.2" customHeight="1" x14ac:dyDescent="0.55000000000000004">
      <c r="C1169" s="1011"/>
    </row>
    <row r="1170" spans="3:3" ht="13.2" customHeight="1" x14ac:dyDescent="0.55000000000000004">
      <c r="C1170" s="1011"/>
    </row>
    <row r="1171" spans="3:3" ht="13.2" customHeight="1" x14ac:dyDescent="0.55000000000000004">
      <c r="C1171" s="1011"/>
    </row>
    <row r="1172" spans="3:3" ht="13.2" customHeight="1" x14ac:dyDescent="0.55000000000000004">
      <c r="C1172" s="1011"/>
    </row>
    <row r="1173" spans="3:3" ht="13.2" customHeight="1" x14ac:dyDescent="0.55000000000000004">
      <c r="C1173" s="1011"/>
    </row>
    <row r="1174" spans="3:3" ht="13.2" customHeight="1" x14ac:dyDescent="0.55000000000000004">
      <c r="C1174" s="1011"/>
    </row>
    <row r="1175" spans="3:3" ht="13.2" customHeight="1" x14ac:dyDescent="0.55000000000000004">
      <c r="C1175" s="1011"/>
    </row>
    <row r="1176" spans="3:3" ht="13.2" customHeight="1" x14ac:dyDescent="0.55000000000000004">
      <c r="C1176" s="1011"/>
    </row>
    <row r="1177" spans="3:3" ht="13.2" customHeight="1" x14ac:dyDescent="0.55000000000000004">
      <c r="C1177" s="1011"/>
    </row>
    <row r="1178" spans="3:3" ht="13.2" customHeight="1" thickBot="1" x14ac:dyDescent="0.6">
      <c r="C1178" s="1011"/>
    </row>
    <row r="1179" spans="3:3" ht="13.2" customHeight="1" x14ac:dyDescent="0.55000000000000004">
      <c r="C1179" s="1014"/>
    </row>
    <row r="1180" spans="3:3" ht="13.2" customHeight="1" x14ac:dyDescent="0.55000000000000004">
      <c r="C1180" s="1015"/>
    </row>
    <row r="1181" spans="3:3" ht="13.2" customHeight="1" x14ac:dyDescent="0.55000000000000004">
      <c r="C1181" s="1013"/>
    </row>
    <row r="1182" spans="3:3" ht="13.2" customHeight="1" x14ac:dyDescent="0.55000000000000004">
      <c r="C1182" s="1013"/>
    </row>
    <row r="1183" spans="3:3" ht="13.2" customHeight="1" x14ac:dyDescent="0.55000000000000004">
      <c r="C1183" s="1013"/>
    </row>
    <row r="1184" spans="3:3" ht="13.2" customHeight="1" x14ac:dyDescent="0.55000000000000004">
      <c r="C1184" s="1013"/>
    </row>
    <row r="1185" spans="3:3" ht="13.2" customHeight="1" x14ac:dyDescent="0.55000000000000004">
      <c r="C1185" s="1013"/>
    </row>
    <row r="1186" spans="3:3" ht="13.2" customHeight="1" x14ac:dyDescent="0.55000000000000004">
      <c r="C1186" s="1013"/>
    </row>
    <row r="1187" spans="3:3" ht="13.2" customHeight="1" x14ac:dyDescent="0.55000000000000004">
      <c r="C1187" s="1013"/>
    </row>
    <row r="1188" spans="3:3" ht="13.2" customHeight="1" x14ac:dyDescent="0.55000000000000004">
      <c r="C1188" s="1013"/>
    </row>
    <row r="1189" spans="3:3" ht="13.2" customHeight="1" x14ac:dyDescent="0.55000000000000004">
      <c r="C1189" s="1013"/>
    </row>
    <row r="1190" spans="3:3" ht="13.2" customHeight="1" x14ac:dyDescent="0.55000000000000004">
      <c r="C1190" s="1013"/>
    </row>
    <row r="1191" spans="3:3" ht="13.2" customHeight="1" x14ac:dyDescent="0.55000000000000004">
      <c r="C1191" s="1013"/>
    </row>
    <row r="1192" spans="3:3" ht="13.2" customHeight="1" x14ac:dyDescent="0.55000000000000004">
      <c r="C1192" s="1013"/>
    </row>
    <row r="1193" spans="3:3" ht="13.2" customHeight="1" x14ac:dyDescent="0.55000000000000004">
      <c r="C1193" s="1013"/>
    </row>
    <row r="1194" spans="3:3" ht="13.2" customHeight="1" x14ac:dyDescent="0.55000000000000004">
      <c r="C1194" s="1013"/>
    </row>
    <row r="1195" spans="3:3" ht="13.2" customHeight="1" x14ac:dyDescent="0.55000000000000004">
      <c r="C1195" s="1015"/>
    </row>
    <row r="1196" spans="3:3" ht="13.2" customHeight="1" x14ac:dyDescent="0.55000000000000004">
      <c r="C1196" s="1013"/>
    </row>
    <row r="1197" spans="3:3" ht="13.2" customHeight="1" x14ac:dyDescent="0.55000000000000004">
      <c r="C1197" s="1013"/>
    </row>
    <row r="1198" spans="3:3" ht="13.2" customHeight="1" x14ac:dyDescent="0.55000000000000004">
      <c r="C1198" s="1013"/>
    </row>
    <row r="1199" spans="3:3" ht="13.2" customHeight="1" x14ac:dyDescent="0.55000000000000004">
      <c r="C1199" s="1013"/>
    </row>
    <row r="1200" spans="3:3" ht="13.2" customHeight="1" x14ac:dyDescent="0.55000000000000004">
      <c r="C1200" s="1013"/>
    </row>
    <row r="1201" spans="3:3" ht="13.2" customHeight="1" x14ac:dyDescent="0.55000000000000004">
      <c r="C1201" s="1013"/>
    </row>
    <row r="1202" spans="3:3" ht="13.2" customHeight="1" x14ac:dyDescent="0.55000000000000004">
      <c r="C1202" s="1013"/>
    </row>
    <row r="1203" spans="3:3" ht="13.2" customHeight="1" x14ac:dyDescent="0.55000000000000004">
      <c r="C1203" s="1013"/>
    </row>
    <row r="1204" spans="3:3" ht="13.2" customHeight="1" x14ac:dyDescent="0.55000000000000004">
      <c r="C1204" s="1013"/>
    </row>
    <row r="1205" spans="3:3" ht="13.2" customHeight="1" x14ac:dyDescent="0.55000000000000004">
      <c r="C1205" s="1013"/>
    </row>
    <row r="1206" spans="3:3" ht="13.2" customHeight="1" x14ac:dyDescent="0.55000000000000004">
      <c r="C1206" s="1013"/>
    </row>
    <row r="1207" spans="3:3" ht="13.2" customHeight="1" x14ac:dyDescent="0.55000000000000004">
      <c r="C1207" s="1015"/>
    </row>
    <row r="1208" spans="3:3" ht="13.2" customHeight="1" x14ac:dyDescent="0.55000000000000004">
      <c r="C1208" s="1015"/>
    </row>
    <row r="1209" spans="3:3" ht="13.2" customHeight="1" x14ac:dyDescent="0.55000000000000004">
      <c r="C1209" s="1013"/>
    </row>
    <row r="1210" spans="3:3" ht="13.2" customHeight="1" x14ac:dyDescent="0.55000000000000004">
      <c r="C1210" s="1013"/>
    </row>
    <row r="1211" spans="3:3" ht="13.2" customHeight="1" x14ac:dyDescent="0.55000000000000004">
      <c r="C1211" s="1013"/>
    </row>
    <row r="1212" spans="3:3" ht="13.2" customHeight="1" x14ac:dyDescent="0.55000000000000004">
      <c r="C1212" s="1013"/>
    </row>
    <row r="1213" spans="3:3" ht="13.2" customHeight="1" x14ac:dyDescent="0.55000000000000004">
      <c r="C1213" s="1013"/>
    </row>
    <row r="1214" spans="3:3" ht="13.2" customHeight="1" x14ac:dyDescent="0.55000000000000004">
      <c r="C1214" s="1013"/>
    </row>
    <row r="1215" spans="3:3" ht="13.2" customHeight="1" x14ac:dyDescent="0.55000000000000004">
      <c r="C1215" s="1013"/>
    </row>
    <row r="1216" spans="3:3" ht="13.2" customHeight="1" x14ac:dyDescent="0.55000000000000004">
      <c r="C1216" s="1013"/>
    </row>
    <row r="1217" spans="3:3" ht="13.2" customHeight="1" x14ac:dyDescent="0.55000000000000004">
      <c r="C1217" s="1013"/>
    </row>
    <row r="1218" spans="3:3" ht="13.2" customHeight="1" x14ac:dyDescent="0.55000000000000004">
      <c r="C1218" s="1013"/>
    </row>
    <row r="1219" spans="3:3" ht="13.2" customHeight="1" x14ac:dyDescent="0.55000000000000004">
      <c r="C1219" s="1013"/>
    </row>
    <row r="1220" spans="3:3" ht="13.2" customHeight="1" x14ac:dyDescent="0.55000000000000004">
      <c r="C1220" s="1013"/>
    </row>
    <row r="1221" spans="3:3" ht="13.2" customHeight="1" x14ac:dyDescent="0.55000000000000004">
      <c r="C1221" s="1013"/>
    </row>
    <row r="1222" spans="3:3" ht="13.2" customHeight="1" x14ac:dyDescent="0.55000000000000004">
      <c r="C1222" s="1015"/>
    </row>
    <row r="1223" spans="3:3" ht="13.2" customHeight="1" x14ac:dyDescent="0.55000000000000004">
      <c r="C1223" s="1015"/>
    </row>
    <row r="1224" spans="3:3" ht="13.2" customHeight="1" x14ac:dyDescent="0.55000000000000004">
      <c r="C1224" s="1013"/>
    </row>
    <row r="1225" spans="3:3" ht="13.2" customHeight="1" x14ac:dyDescent="0.55000000000000004">
      <c r="C1225" s="1013"/>
    </row>
    <row r="1226" spans="3:3" ht="13.2" customHeight="1" x14ac:dyDescent="0.55000000000000004">
      <c r="C1226" s="1015"/>
    </row>
    <row r="1227" spans="3:3" ht="13.2" customHeight="1" x14ac:dyDescent="0.55000000000000004">
      <c r="C1227" s="1013"/>
    </row>
    <row r="1228" spans="3:3" ht="13.2" customHeight="1" x14ac:dyDescent="0.55000000000000004">
      <c r="C1228" s="1015"/>
    </row>
    <row r="1229" spans="3:3" ht="13.2" customHeight="1" x14ac:dyDescent="0.55000000000000004">
      <c r="C1229" s="1013"/>
    </row>
    <row r="1230" spans="3:3" ht="13.2" customHeight="1" x14ac:dyDescent="0.55000000000000004">
      <c r="C1230" s="1013"/>
    </row>
    <row r="1231" spans="3:3" ht="13.2" customHeight="1" x14ac:dyDescent="0.55000000000000004">
      <c r="C1231" s="1015"/>
    </row>
    <row r="1232" spans="3:3" ht="13.2" customHeight="1" x14ac:dyDescent="0.55000000000000004">
      <c r="C1232" s="1013"/>
    </row>
    <row r="1233" spans="3:3" ht="13.2" customHeight="1" x14ac:dyDescent="0.55000000000000004">
      <c r="C1233" s="1013"/>
    </row>
    <row r="1234" spans="3:3" ht="13.2" customHeight="1" x14ac:dyDescent="0.55000000000000004">
      <c r="C1234" s="1015"/>
    </row>
    <row r="1235" spans="3:3" ht="13.2" customHeight="1" x14ac:dyDescent="0.55000000000000004">
      <c r="C1235" s="1011"/>
    </row>
    <row r="1236" spans="3:3" ht="13.2" customHeight="1" x14ac:dyDescent="0.55000000000000004">
      <c r="C1236" s="1011"/>
    </row>
    <row r="1237" spans="3:3" ht="13.2" customHeight="1" x14ac:dyDescent="0.55000000000000004">
      <c r="C1237" s="1011"/>
    </row>
    <row r="1238" spans="3:3" ht="13.2" customHeight="1" x14ac:dyDescent="0.55000000000000004">
      <c r="C1238" s="1011"/>
    </row>
    <row r="1239" spans="3:3" ht="13.2" customHeight="1" x14ac:dyDescent="0.55000000000000004">
      <c r="C1239" s="1011"/>
    </row>
    <row r="1240" spans="3:3" ht="13.2" customHeight="1" x14ac:dyDescent="0.55000000000000004">
      <c r="C1240" s="1011"/>
    </row>
    <row r="1241" spans="3:3" ht="13.2" customHeight="1" x14ac:dyDescent="0.55000000000000004">
      <c r="C1241" s="1011"/>
    </row>
    <row r="1242" spans="3:3" ht="13.2" customHeight="1" x14ac:dyDescent="0.55000000000000004">
      <c r="C1242" s="1011"/>
    </row>
    <row r="1243" spans="3:3" ht="13.2" customHeight="1" x14ac:dyDescent="0.55000000000000004">
      <c r="C1243" s="1011"/>
    </row>
  </sheetData>
  <autoFilter ref="C6:W1107" xr:uid="{D52E75BC-0329-4BE8-8A99-0702D305F974}"/>
  <mergeCells count="10">
    <mergeCell ref="Y72:AA72"/>
    <mergeCell ref="C3:H5"/>
    <mergeCell ref="L3:W3"/>
    <mergeCell ref="L4:W5"/>
    <mergeCell ref="D6:D7"/>
    <mergeCell ref="E6:E7"/>
    <mergeCell ref="F6:F7"/>
    <mergeCell ref="G6:G7"/>
    <mergeCell ref="H6:H7"/>
    <mergeCell ref="C6:C7"/>
  </mergeCells>
  <pageMargins left="0.7" right="0.7" top="0.75" bottom="0.75" header="0.3" footer="0.3"/>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7645BD2-BF04-42D6-9656-829F9A4C2D7C}">
  <sheetPr codeName="Sheet40">
    <tabColor theme="2" tint="-0.249977111117893"/>
  </sheetPr>
  <dimension ref="A1:BG73"/>
  <sheetViews>
    <sheetView showGridLines="0" zoomScaleNormal="100" workbookViewId="0">
      <selection activeCell="L8" sqref="L8"/>
    </sheetView>
  </sheetViews>
  <sheetFormatPr defaultColWidth="27.20703125" defaultRowHeight="14.4" x14ac:dyDescent="0.55000000000000004"/>
  <cols>
    <col min="1" max="1" width="27.20703125" style="1321"/>
    <col min="15" max="15" width="27.20703125" customWidth="1"/>
  </cols>
  <sheetData>
    <row r="1" spans="1:59" x14ac:dyDescent="0.55000000000000004">
      <c r="B1" s="374"/>
      <c r="C1" s="374"/>
      <c r="D1" s="374"/>
      <c r="E1" s="374"/>
      <c r="F1" s="374"/>
      <c r="G1" s="374"/>
      <c r="H1" s="374"/>
      <c r="I1" s="374"/>
      <c r="J1" s="374"/>
      <c r="K1" s="374"/>
      <c r="L1" s="374"/>
      <c r="M1" s="374"/>
      <c r="N1" s="374"/>
      <c r="O1" s="374"/>
      <c r="P1" s="374"/>
      <c r="Q1" s="374"/>
      <c r="R1" s="374"/>
      <c r="S1" s="374"/>
      <c r="T1" s="374"/>
      <c r="U1" s="374"/>
      <c r="V1" s="374"/>
      <c r="W1" s="374"/>
      <c r="X1" s="374"/>
      <c r="Y1" s="374"/>
      <c r="Z1" s="374"/>
      <c r="AA1" s="374"/>
      <c r="AB1" s="374"/>
      <c r="AC1" s="374"/>
      <c r="AD1" s="374"/>
      <c r="AE1" s="374"/>
      <c r="AF1" s="374"/>
      <c r="AG1" s="374"/>
      <c r="AH1" s="374"/>
      <c r="AI1" s="374"/>
      <c r="AJ1" s="374"/>
      <c r="AK1" s="374"/>
      <c r="AL1" s="374"/>
      <c r="AM1" s="374"/>
      <c r="AN1" s="374"/>
      <c r="AO1" s="374"/>
      <c r="AP1" s="374"/>
      <c r="AQ1" s="374"/>
      <c r="AR1" s="374"/>
      <c r="AS1" s="374"/>
      <c r="AT1" s="374"/>
      <c r="AU1" s="374"/>
      <c r="AV1" s="374"/>
      <c r="AW1" s="374"/>
      <c r="AX1" s="374"/>
      <c r="AY1" s="374"/>
      <c r="AZ1" s="374"/>
      <c r="BA1" s="374"/>
      <c r="BB1" s="374"/>
      <c r="BC1" s="374"/>
      <c r="BD1" s="374"/>
      <c r="BE1" s="374"/>
      <c r="BF1" s="374"/>
      <c r="BG1" s="374"/>
    </row>
    <row r="2" spans="1:59" x14ac:dyDescent="0.55000000000000004">
      <c r="B2" s="1224"/>
      <c r="C2" s="1310" t="s">
        <v>1670</v>
      </c>
      <c r="D2" s="1310"/>
      <c r="E2" s="1310"/>
      <c r="F2" s="1310"/>
      <c r="G2" s="1310"/>
      <c r="H2" s="1310"/>
      <c r="I2" s="1310"/>
      <c r="J2" s="1310"/>
      <c r="K2" s="1310"/>
      <c r="L2" s="1310"/>
      <c r="M2" s="1310"/>
      <c r="N2" s="1310"/>
      <c r="O2" s="1226"/>
      <c r="P2" s="374"/>
      <c r="Q2" s="374"/>
      <c r="R2" s="374"/>
      <c r="S2" s="374"/>
      <c r="T2" s="374"/>
      <c r="U2" s="374"/>
      <c r="V2" s="374"/>
      <c r="W2" s="374"/>
      <c r="X2" s="374"/>
      <c r="Y2" s="374"/>
      <c r="Z2" s="374"/>
      <c r="AA2" s="374"/>
      <c r="AB2" s="374"/>
      <c r="AC2" s="374"/>
      <c r="AD2" s="374"/>
      <c r="AE2" s="374"/>
      <c r="AF2" s="374"/>
      <c r="AG2" s="374"/>
      <c r="AH2" s="374"/>
      <c r="AI2" s="374"/>
      <c r="AJ2" s="374"/>
      <c r="AK2" s="374"/>
      <c r="AL2" s="374"/>
      <c r="AM2" s="374"/>
      <c r="AN2" s="374"/>
      <c r="AO2" s="374"/>
      <c r="AP2" s="374"/>
      <c r="AQ2" s="374"/>
      <c r="AR2" s="374"/>
      <c r="AS2" s="374"/>
      <c r="AT2" s="374"/>
      <c r="AU2" s="374"/>
      <c r="AV2" s="374"/>
      <c r="AW2" s="374"/>
      <c r="AX2" s="374"/>
      <c r="AY2" s="374"/>
      <c r="AZ2" s="374"/>
      <c r="BA2" s="374"/>
      <c r="BB2" s="374"/>
      <c r="BC2" s="374"/>
      <c r="BD2" s="374"/>
      <c r="BE2" s="374"/>
      <c r="BF2" s="374"/>
      <c r="BG2" s="374"/>
    </row>
    <row r="3" spans="1:59" ht="24" customHeight="1" x14ac:dyDescent="0.55000000000000004">
      <c r="B3" s="1227"/>
      <c r="C3" s="1120" t="s">
        <v>651</v>
      </c>
      <c r="D3" s="1121" t="s">
        <v>652</v>
      </c>
      <c r="E3" s="1122" t="s">
        <v>1671</v>
      </c>
      <c r="F3" s="1122" t="s">
        <v>1672</v>
      </c>
      <c r="G3" s="1122" t="s">
        <v>1673</v>
      </c>
      <c r="H3" s="1772" t="s">
        <v>1674</v>
      </c>
      <c r="I3" s="1773"/>
      <c r="J3" s="1773"/>
      <c r="K3" s="1774"/>
      <c r="L3" s="1775" t="s">
        <v>1675</v>
      </c>
      <c r="M3" s="1776"/>
      <c r="N3" s="1777"/>
      <c r="O3" s="1064"/>
      <c r="P3" s="374"/>
      <c r="Q3" s="374"/>
      <c r="R3" s="374"/>
      <c r="S3" s="374"/>
      <c r="T3" s="374"/>
      <c r="U3" s="374"/>
      <c r="V3" s="374"/>
      <c r="W3" s="374"/>
      <c r="X3" s="374"/>
      <c r="Y3" s="374"/>
      <c r="Z3" s="374"/>
      <c r="AA3" s="374"/>
      <c r="AB3" s="374"/>
      <c r="AC3" s="374"/>
      <c r="AD3" s="374"/>
      <c r="AE3" s="374"/>
      <c r="AF3" s="374"/>
      <c r="AG3" s="374"/>
      <c r="AH3" s="374"/>
      <c r="AI3" s="374"/>
      <c r="AJ3" s="374"/>
      <c r="AK3" s="374"/>
      <c r="AL3" s="374"/>
      <c r="AM3" s="374"/>
      <c r="AN3" s="374"/>
      <c r="AO3" s="374"/>
      <c r="AP3" s="374"/>
      <c r="AQ3" s="374"/>
      <c r="AR3" s="374"/>
      <c r="AS3" s="374"/>
      <c r="AT3" s="374"/>
      <c r="AU3" s="374"/>
      <c r="AV3" s="374"/>
      <c r="AW3" s="374"/>
      <c r="AX3" s="374"/>
      <c r="AY3" s="374"/>
      <c r="AZ3" s="374"/>
      <c r="BA3" s="374"/>
      <c r="BB3" s="374"/>
      <c r="BC3" s="374"/>
      <c r="BD3" s="374"/>
      <c r="BE3" s="374"/>
      <c r="BF3" s="374"/>
      <c r="BG3" s="374"/>
    </row>
    <row r="4" spans="1:59" x14ac:dyDescent="0.55000000000000004">
      <c r="B4" s="1227"/>
      <c r="C4" s="1123" t="s">
        <v>659</v>
      </c>
      <c r="D4" s="375" t="s">
        <v>660</v>
      </c>
      <c r="E4" s="376" t="s">
        <v>661</v>
      </c>
      <c r="F4" s="376" t="s">
        <v>661</v>
      </c>
      <c r="G4" s="377" t="s">
        <v>661</v>
      </c>
      <c r="H4" s="378" t="s">
        <v>662</v>
      </c>
      <c r="I4" s="376" t="s">
        <v>663</v>
      </c>
      <c r="J4" s="376" t="s">
        <v>664</v>
      </c>
      <c r="K4" s="377" t="s">
        <v>665</v>
      </c>
      <c r="L4" s="1099" t="s">
        <v>1676</v>
      </c>
      <c r="M4" s="1100" t="s">
        <v>1677</v>
      </c>
      <c r="N4" s="1124" t="s">
        <v>1678</v>
      </c>
      <c r="O4" s="1064"/>
      <c r="P4" s="374"/>
      <c r="Q4" s="374"/>
      <c r="R4" s="374"/>
      <c r="S4" s="374"/>
      <c r="T4" s="374"/>
      <c r="U4" s="374"/>
      <c r="V4" s="374"/>
      <c r="W4" s="374"/>
      <c r="X4" s="374"/>
      <c r="Y4" s="374"/>
      <c r="Z4" s="374"/>
      <c r="AA4" s="374"/>
      <c r="AB4" s="374"/>
      <c r="AC4" s="374"/>
      <c r="AD4" s="374"/>
      <c r="AE4" s="374"/>
      <c r="AF4" s="374"/>
      <c r="AG4" s="374"/>
      <c r="AH4" s="374"/>
      <c r="AI4" s="374"/>
      <c r="AJ4" s="374"/>
      <c r="AK4" s="374"/>
      <c r="AL4" s="374"/>
      <c r="AM4" s="374"/>
      <c r="AN4" s="374"/>
      <c r="AO4" s="374"/>
      <c r="AP4" s="374"/>
      <c r="AQ4" s="374"/>
      <c r="AR4" s="374"/>
      <c r="AS4" s="374"/>
      <c r="AT4" s="374"/>
      <c r="AU4" s="374"/>
      <c r="AV4" s="374"/>
      <c r="AW4" s="374"/>
      <c r="AX4" s="374"/>
      <c r="AY4" s="374"/>
      <c r="AZ4" s="374"/>
      <c r="BA4" s="374"/>
      <c r="BB4" s="374"/>
      <c r="BC4" s="374"/>
      <c r="BD4" s="374"/>
      <c r="BE4" s="374"/>
      <c r="BF4" s="374"/>
      <c r="BG4" s="374"/>
    </row>
    <row r="5" spans="1:59" x14ac:dyDescent="0.55000000000000004">
      <c r="A5" s="1322" t="s">
        <v>667</v>
      </c>
      <c r="B5" s="1227"/>
      <c r="C5" s="1125" t="s">
        <v>162</v>
      </c>
      <c r="D5" s="549" t="s">
        <v>681</v>
      </c>
      <c r="E5" s="550"/>
      <c r="F5" s="550"/>
      <c r="G5" s="551"/>
      <c r="H5" s="552"/>
      <c r="I5" s="550"/>
      <c r="J5" s="553"/>
      <c r="K5" s="554"/>
      <c r="L5" s="1101"/>
      <c r="M5" s="1102"/>
      <c r="N5" s="1126"/>
      <c r="O5" s="1311" t="s">
        <v>681</v>
      </c>
      <c r="P5" s="374"/>
      <c r="Q5" s="374"/>
      <c r="R5" s="374"/>
      <c r="S5" s="374"/>
      <c r="T5" s="374"/>
      <c r="U5" s="374"/>
      <c r="V5" s="374"/>
      <c r="W5" s="374"/>
      <c r="X5" s="374"/>
      <c r="Y5" s="374"/>
      <c r="Z5" s="374"/>
      <c r="AA5" s="374"/>
      <c r="AB5" s="374"/>
      <c r="AC5" s="374"/>
      <c r="AD5" s="374"/>
      <c r="AE5" s="374"/>
      <c r="AF5" s="374"/>
      <c r="AG5" s="374"/>
      <c r="AH5" s="374"/>
      <c r="AI5" s="374"/>
      <c r="AJ5" s="374"/>
      <c r="AK5" s="374"/>
      <c r="AL5" s="374"/>
      <c r="AM5" s="374"/>
      <c r="AN5" s="374"/>
      <c r="AO5" s="374"/>
      <c r="AP5" s="374"/>
      <c r="AQ5" s="374"/>
      <c r="AR5" s="374"/>
      <c r="AS5" s="374"/>
      <c r="AT5" s="374"/>
      <c r="AU5" s="374"/>
      <c r="AV5" s="374"/>
      <c r="AW5" s="374"/>
      <c r="AX5" s="374"/>
      <c r="AY5" s="374"/>
      <c r="AZ5" s="374"/>
      <c r="BA5" s="374"/>
      <c r="BB5" s="374"/>
      <c r="BC5" s="374"/>
      <c r="BD5" s="374"/>
      <c r="BE5" s="374"/>
      <c r="BF5" s="374"/>
      <c r="BG5" s="374"/>
    </row>
    <row r="6" spans="1:59" x14ac:dyDescent="0.55000000000000004">
      <c r="A6" s="1322" t="s">
        <v>668</v>
      </c>
      <c r="B6" s="1227"/>
      <c r="C6" s="1125" t="s">
        <v>670</v>
      </c>
      <c r="D6" s="379" t="s">
        <v>681</v>
      </c>
      <c r="E6" s="555"/>
      <c r="F6" s="555"/>
      <c r="G6" s="1127"/>
      <c r="H6" s="556"/>
      <c r="I6" s="555"/>
      <c r="J6" s="557"/>
      <c r="K6" s="1128"/>
      <c r="L6" s="1103"/>
      <c r="M6" s="1104"/>
      <c r="N6" s="1129"/>
      <c r="O6" s="1064"/>
      <c r="P6" s="374"/>
      <c r="Q6" s="374"/>
      <c r="R6" s="374"/>
      <c r="S6" s="374"/>
      <c r="T6" s="374"/>
      <c r="U6" s="374"/>
      <c r="V6" s="374"/>
      <c r="W6" s="374"/>
      <c r="X6" s="374"/>
      <c r="Y6" s="374"/>
      <c r="Z6" s="374"/>
      <c r="AA6" s="374"/>
      <c r="AB6" s="374"/>
      <c r="AC6" s="374"/>
      <c r="AD6" s="374"/>
      <c r="AE6" s="374"/>
      <c r="AF6" s="374"/>
      <c r="AG6" s="374"/>
      <c r="AH6" s="374"/>
      <c r="AI6" s="374"/>
      <c r="AJ6" s="374"/>
      <c r="AK6" s="374"/>
      <c r="AL6" s="374"/>
      <c r="AM6" s="374"/>
      <c r="AN6" s="374"/>
      <c r="AO6" s="374"/>
      <c r="AP6" s="374"/>
      <c r="AQ6" s="374"/>
      <c r="AR6" s="374"/>
      <c r="AS6" s="374"/>
      <c r="AT6" s="374"/>
      <c r="AU6" s="374"/>
      <c r="AV6" s="374"/>
      <c r="AW6" s="374"/>
      <c r="AX6" s="374"/>
      <c r="AY6" s="374"/>
      <c r="AZ6" s="374"/>
      <c r="BA6" s="374"/>
      <c r="BB6" s="374"/>
      <c r="BC6" s="374"/>
      <c r="BD6" s="374"/>
      <c r="BE6" s="374"/>
      <c r="BF6" s="374"/>
      <c r="BG6" s="374"/>
    </row>
    <row r="7" spans="1:59" x14ac:dyDescent="0.55000000000000004">
      <c r="A7" s="1322" t="s">
        <v>671</v>
      </c>
      <c r="B7" s="1227"/>
      <c r="C7" s="1125" t="s">
        <v>673</v>
      </c>
      <c r="D7" s="379" t="s">
        <v>1679</v>
      </c>
      <c r="E7" s="558">
        <v>114036716</v>
      </c>
      <c r="F7" s="558">
        <v>131841010</v>
      </c>
      <c r="G7" s="1130">
        <v>150631575</v>
      </c>
      <c r="H7" s="559">
        <v>170078035</v>
      </c>
      <c r="I7" s="558">
        <v>165981000</v>
      </c>
      <c r="J7" s="560">
        <v>165981000</v>
      </c>
      <c r="K7" s="1130">
        <v>118346742</v>
      </c>
      <c r="L7" s="1105">
        <v>179259480</v>
      </c>
      <c r="M7" s="1106">
        <v>185354301</v>
      </c>
      <c r="N7" s="1131">
        <v>191285638.632</v>
      </c>
      <c r="O7" s="1064"/>
      <c r="P7" s="374"/>
      <c r="Q7" s="374"/>
      <c r="R7" s="374"/>
      <c r="S7" s="374"/>
      <c r="T7" s="374"/>
      <c r="U7" s="374"/>
      <c r="V7" s="374"/>
      <c r="W7" s="374"/>
      <c r="X7" s="374"/>
      <c r="Y7" s="374"/>
      <c r="Z7" s="374"/>
      <c r="AA7" s="374"/>
      <c r="AB7" s="374"/>
      <c r="AC7" s="374"/>
      <c r="AD7" s="374"/>
      <c r="AE7" s="374"/>
      <c r="AF7" s="374"/>
      <c r="AG7" s="374"/>
      <c r="AH7" s="374"/>
      <c r="AI7" s="374"/>
      <c r="AJ7" s="374"/>
      <c r="AK7" s="374"/>
      <c r="AL7" s="374"/>
      <c r="AM7" s="374"/>
      <c r="AN7" s="374"/>
      <c r="AO7" s="374"/>
      <c r="AP7" s="374"/>
      <c r="AQ7" s="374"/>
      <c r="AR7" s="374"/>
      <c r="AS7" s="374"/>
      <c r="AT7" s="374"/>
      <c r="AU7" s="374"/>
      <c r="AV7" s="374"/>
      <c r="AW7" s="374"/>
      <c r="AX7" s="374"/>
      <c r="AY7" s="374"/>
      <c r="AZ7" s="374"/>
      <c r="BA7" s="374"/>
      <c r="BB7" s="374"/>
      <c r="BC7" s="374"/>
      <c r="BD7" s="374"/>
      <c r="BE7" s="374"/>
      <c r="BF7" s="374"/>
      <c r="BG7" s="374"/>
    </row>
    <row r="8" spans="1:59" x14ac:dyDescent="0.55000000000000004">
      <c r="A8" s="1322" t="s">
        <v>674</v>
      </c>
      <c r="B8" s="1227"/>
      <c r="C8" s="1125" t="s">
        <v>676</v>
      </c>
      <c r="D8" s="379" t="s">
        <v>1679</v>
      </c>
      <c r="E8" s="558">
        <v>79377063</v>
      </c>
      <c r="F8" s="558">
        <v>88007446</v>
      </c>
      <c r="G8" s="1130">
        <v>98181698</v>
      </c>
      <c r="H8" s="559">
        <v>103719960</v>
      </c>
      <c r="I8" s="558">
        <v>115999000</v>
      </c>
      <c r="J8" s="560">
        <v>115999000</v>
      </c>
      <c r="K8" s="1130">
        <v>92406638</v>
      </c>
      <c r="L8" s="1105">
        <v>125278920</v>
      </c>
      <c r="M8" s="1106">
        <v>129538403</v>
      </c>
      <c r="N8" s="1131">
        <v>133683631.896</v>
      </c>
      <c r="O8" s="1064"/>
      <c r="P8" s="374"/>
      <c r="Q8" s="374"/>
      <c r="R8" s="374"/>
      <c r="S8" s="374"/>
      <c r="T8" s="374"/>
      <c r="U8" s="374"/>
      <c r="V8" s="374"/>
      <c r="W8" s="374"/>
      <c r="X8" s="374"/>
      <c r="Y8" s="374"/>
      <c r="Z8" s="374"/>
      <c r="AA8" s="374"/>
      <c r="AB8" s="374"/>
      <c r="AC8" s="374"/>
      <c r="AD8" s="374"/>
      <c r="AE8" s="374"/>
      <c r="AF8" s="374"/>
      <c r="AG8" s="374"/>
      <c r="AH8" s="374"/>
      <c r="AI8" s="374"/>
      <c r="AJ8" s="374"/>
      <c r="AK8" s="374"/>
      <c r="AL8" s="374"/>
      <c r="AM8" s="374"/>
      <c r="AN8" s="374"/>
      <c r="AO8" s="374"/>
      <c r="AP8" s="374"/>
      <c r="AQ8" s="374"/>
      <c r="AR8" s="374"/>
      <c r="AS8" s="374"/>
      <c r="AT8" s="374"/>
      <c r="AU8" s="374"/>
      <c r="AV8" s="374"/>
      <c r="AW8" s="374"/>
      <c r="AX8" s="374"/>
      <c r="AY8" s="374"/>
      <c r="AZ8" s="374"/>
      <c r="BA8" s="374"/>
      <c r="BB8" s="374"/>
      <c r="BC8" s="374"/>
      <c r="BD8" s="374"/>
      <c r="BE8" s="374"/>
      <c r="BF8" s="374"/>
      <c r="BG8" s="374"/>
    </row>
    <row r="9" spans="1:59" x14ac:dyDescent="0.55000000000000004">
      <c r="A9" s="1322" t="s">
        <v>677</v>
      </c>
      <c r="B9" s="1227"/>
      <c r="C9" s="1125" t="s">
        <v>679</v>
      </c>
      <c r="D9" s="379" t="s">
        <v>1679</v>
      </c>
      <c r="E9" s="558">
        <v>40514481</v>
      </c>
      <c r="F9" s="558">
        <v>43032681</v>
      </c>
      <c r="G9" s="1130">
        <v>46372262</v>
      </c>
      <c r="H9" s="559">
        <v>49741650</v>
      </c>
      <c r="I9" s="558">
        <v>49988000</v>
      </c>
      <c r="J9" s="560">
        <v>49988000</v>
      </c>
      <c r="K9" s="1130">
        <v>35060820</v>
      </c>
      <c r="L9" s="1105">
        <v>52237460</v>
      </c>
      <c r="M9" s="1106">
        <v>54013533</v>
      </c>
      <c r="N9" s="1131">
        <v>55741966.055999994</v>
      </c>
      <c r="O9" s="1064"/>
      <c r="P9" s="374"/>
      <c r="Q9" s="374"/>
      <c r="R9" s="374"/>
      <c r="S9" s="374"/>
      <c r="T9" s="374"/>
      <c r="U9" s="374"/>
      <c r="V9" s="374"/>
      <c r="W9" s="374"/>
      <c r="X9" s="374"/>
      <c r="Y9" s="374"/>
      <c r="Z9" s="374"/>
      <c r="AA9" s="374"/>
      <c r="AB9" s="374"/>
      <c r="AC9" s="374"/>
      <c r="AD9" s="374"/>
      <c r="AE9" s="374"/>
      <c r="AF9" s="374"/>
      <c r="AG9" s="374"/>
      <c r="AH9" s="374"/>
      <c r="AI9" s="374"/>
      <c r="AJ9" s="374"/>
      <c r="AK9" s="374"/>
      <c r="AL9" s="374"/>
      <c r="AM9" s="374"/>
      <c r="AN9" s="374"/>
      <c r="AO9" s="374"/>
      <c r="AP9" s="374"/>
      <c r="AQ9" s="374"/>
      <c r="AR9" s="374"/>
      <c r="AS9" s="374"/>
      <c r="AT9" s="374"/>
      <c r="AU9" s="374"/>
      <c r="AV9" s="374"/>
      <c r="AW9" s="374"/>
      <c r="AX9" s="374"/>
      <c r="AY9" s="374"/>
      <c r="AZ9" s="374"/>
      <c r="BA9" s="374"/>
      <c r="BB9" s="374"/>
      <c r="BC9" s="374"/>
      <c r="BD9" s="374"/>
      <c r="BE9" s="374"/>
      <c r="BF9" s="374"/>
      <c r="BG9" s="374"/>
    </row>
    <row r="10" spans="1:59" x14ac:dyDescent="0.55000000000000004">
      <c r="A10" s="1322" t="s">
        <v>680</v>
      </c>
      <c r="B10" s="1227"/>
      <c r="C10" s="1125" t="s">
        <v>682</v>
      </c>
      <c r="D10" s="379" t="s">
        <v>1679</v>
      </c>
      <c r="E10" s="558">
        <v>39857804</v>
      </c>
      <c r="F10" s="558">
        <v>42458789</v>
      </c>
      <c r="G10" s="1130">
        <v>44412183</v>
      </c>
      <c r="H10" s="559">
        <v>46548600</v>
      </c>
      <c r="I10" s="558">
        <v>46603000</v>
      </c>
      <c r="J10" s="560">
        <v>46603000</v>
      </c>
      <c r="K10" s="1130">
        <v>31954356</v>
      </c>
      <c r="L10" s="1105">
        <v>52158077</v>
      </c>
      <c r="M10" s="1106">
        <v>53931452</v>
      </c>
      <c r="N10" s="1131">
        <v>55657258.464000002</v>
      </c>
      <c r="O10" s="1064"/>
      <c r="P10" s="374"/>
      <c r="Q10" s="374"/>
      <c r="R10" s="374"/>
      <c r="S10" s="374"/>
      <c r="T10" s="374"/>
      <c r="U10" s="374"/>
      <c r="V10" s="374"/>
      <c r="W10" s="374"/>
      <c r="X10" s="374"/>
      <c r="Y10" s="374"/>
      <c r="Z10" s="374"/>
      <c r="AA10" s="374"/>
      <c r="AB10" s="374"/>
      <c r="AC10" s="374"/>
      <c r="AD10" s="374"/>
      <c r="AE10" s="374"/>
      <c r="AF10" s="374"/>
      <c r="AG10" s="374"/>
      <c r="AH10" s="374"/>
      <c r="AI10" s="374"/>
      <c r="AJ10" s="374"/>
      <c r="AK10" s="374"/>
      <c r="AL10" s="374"/>
      <c r="AM10" s="374"/>
      <c r="AN10" s="374"/>
      <c r="AO10" s="374"/>
      <c r="AP10" s="374"/>
      <c r="AQ10" s="374"/>
      <c r="AR10" s="374"/>
      <c r="AS10" s="374"/>
      <c r="AT10" s="374"/>
      <c r="AU10" s="374"/>
      <c r="AV10" s="374"/>
      <c r="AW10" s="374"/>
      <c r="AX10" s="374"/>
      <c r="AY10" s="374"/>
      <c r="AZ10" s="374"/>
      <c r="BA10" s="374"/>
      <c r="BB10" s="374"/>
      <c r="BC10" s="374"/>
      <c r="BD10" s="374"/>
      <c r="BE10" s="374"/>
      <c r="BF10" s="374"/>
      <c r="BG10" s="374"/>
    </row>
    <row r="11" spans="1:59" x14ac:dyDescent="0.55000000000000004">
      <c r="A11" s="1322" t="s">
        <v>683</v>
      </c>
      <c r="B11" s="1227"/>
      <c r="C11" s="1125" t="s">
        <v>684</v>
      </c>
      <c r="D11" s="379" t="s">
        <v>681</v>
      </c>
      <c r="E11" s="558">
        <v>3338219</v>
      </c>
      <c r="F11" s="558">
        <v>3192561</v>
      </c>
      <c r="G11" s="1130">
        <v>4482116</v>
      </c>
      <c r="H11" s="559">
        <v>26616068</v>
      </c>
      <c r="I11" s="558">
        <v>18420628</v>
      </c>
      <c r="J11" s="560">
        <v>18420628</v>
      </c>
      <c r="K11" s="1130">
        <v>3538337</v>
      </c>
      <c r="L11" s="1105">
        <v>12218940</v>
      </c>
      <c r="M11" s="1106">
        <v>12634384</v>
      </c>
      <c r="N11" s="1131">
        <v>13038684.287999999</v>
      </c>
      <c r="O11" s="1064"/>
      <c r="P11" s="374"/>
      <c r="Q11" s="374"/>
      <c r="R11" s="374"/>
      <c r="S11" s="374"/>
      <c r="T11" s="374"/>
      <c r="U11" s="374"/>
      <c r="V11" s="374"/>
      <c r="W11" s="374"/>
      <c r="X11" s="374"/>
      <c r="Y11" s="374"/>
      <c r="Z11" s="374"/>
      <c r="AA11" s="374"/>
      <c r="AB11" s="374"/>
      <c r="AC11" s="374"/>
      <c r="AD11" s="374"/>
      <c r="AE11" s="374"/>
      <c r="AF11" s="374"/>
      <c r="AG11" s="374"/>
      <c r="AH11" s="374"/>
      <c r="AI11" s="374"/>
      <c r="AJ11" s="374"/>
      <c r="AK11" s="374"/>
      <c r="AL11" s="374"/>
      <c r="AM11" s="374"/>
      <c r="AN11" s="374"/>
      <c r="AO11" s="374"/>
      <c r="AP11" s="374"/>
      <c r="AQ11" s="374"/>
      <c r="AR11" s="374"/>
      <c r="AS11" s="374"/>
      <c r="AT11" s="374"/>
      <c r="AU11" s="374"/>
      <c r="AV11" s="374"/>
      <c r="AW11" s="374"/>
      <c r="AX11" s="374"/>
      <c r="AY11" s="374"/>
      <c r="AZ11" s="374"/>
      <c r="BA11" s="374"/>
      <c r="BB11" s="374"/>
      <c r="BC11" s="374"/>
      <c r="BD11" s="374"/>
      <c r="BE11" s="374"/>
      <c r="BF11" s="374"/>
      <c r="BG11" s="374"/>
    </row>
    <row r="12" spans="1:59" x14ac:dyDescent="0.55000000000000004">
      <c r="A12" s="1322" t="s">
        <v>685</v>
      </c>
      <c r="B12" s="1227"/>
      <c r="C12" s="1125" t="s">
        <v>6</v>
      </c>
      <c r="D12" s="379" t="s">
        <v>681</v>
      </c>
      <c r="E12" s="558">
        <v>7635948</v>
      </c>
      <c r="F12" s="558">
        <v>7938120</v>
      </c>
      <c r="G12" s="1130">
        <v>8352464</v>
      </c>
      <c r="H12" s="559">
        <v>8417407</v>
      </c>
      <c r="I12" s="558">
        <v>8417407</v>
      </c>
      <c r="J12" s="560">
        <v>8417407</v>
      </c>
      <c r="K12" s="1130">
        <v>6323605</v>
      </c>
      <c r="L12" s="1105">
        <v>8291000</v>
      </c>
      <c r="M12" s="1106">
        <v>8572894</v>
      </c>
      <c r="N12" s="1131">
        <v>8847226.6079999991</v>
      </c>
      <c r="O12" s="1064"/>
      <c r="P12" s="374"/>
      <c r="Q12" s="374"/>
      <c r="R12" s="374"/>
      <c r="S12" s="374"/>
      <c r="T12" s="374"/>
      <c r="U12" s="374"/>
      <c r="V12" s="374"/>
      <c r="W12" s="374"/>
      <c r="X12" s="374"/>
      <c r="Y12" s="374"/>
      <c r="Z12" s="374"/>
      <c r="AA12" s="374"/>
      <c r="AB12" s="374"/>
      <c r="AC12" s="374"/>
      <c r="AD12" s="374"/>
      <c r="AE12" s="374"/>
      <c r="AF12" s="374"/>
      <c r="AG12" s="374"/>
      <c r="AH12" s="374"/>
      <c r="AI12" s="374"/>
      <c r="AJ12" s="374"/>
      <c r="AK12" s="374"/>
      <c r="AL12" s="374"/>
      <c r="AM12" s="374"/>
      <c r="AN12" s="374"/>
      <c r="AO12" s="374"/>
      <c r="AP12" s="374"/>
      <c r="AQ12" s="374"/>
      <c r="AR12" s="374"/>
      <c r="AS12" s="374"/>
      <c r="AT12" s="374"/>
      <c r="AU12" s="374"/>
      <c r="AV12" s="374"/>
      <c r="AW12" s="374"/>
      <c r="AX12" s="374"/>
      <c r="AY12" s="374"/>
      <c r="AZ12" s="374"/>
      <c r="BA12" s="374"/>
      <c r="BB12" s="374"/>
      <c r="BC12" s="374"/>
      <c r="BD12" s="374"/>
      <c r="BE12" s="374"/>
      <c r="BF12" s="374"/>
      <c r="BG12" s="374"/>
    </row>
    <row r="13" spans="1:59" x14ac:dyDescent="0.55000000000000004">
      <c r="A13" s="1322" t="s">
        <v>686</v>
      </c>
      <c r="B13" s="1227"/>
      <c r="C13" s="1125" t="s">
        <v>1680</v>
      </c>
      <c r="D13" s="379" t="s">
        <v>681</v>
      </c>
      <c r="E13" s="558">
        <v>0</v>
      </c>
      <c r="F13" s="558">
        <v>0</v>
      </c>
      <c r="G13" s="1130">
        <v>0</v>
      </c>
      <c r="H13" s="559">
        <v>0</v>
      </c>
      <c r="I13" s="558">
        <v>0</v>
      </c>
      <c r="J13" s="560">
        <v>0</v>
      </c>
      <c r="K13" s="1130">
        <v>0</v>
      </c>
      <c r="L13" s="1105">
        <v>0</v>
      </c>
      <c r="M13" s="1106">
        <v>0</v>
      </c>
      <c r="N13" s="1131">
        <v>0</v>
      </c>
      <c r="O13" s="1064"/>
      <c r="P13" s="374"/>
      <c r="Q13" s="374"/>
      <c r="R13" s="374"/>
      <c r="S13" s="374"/>
      <c r="T13" s="374"/>
      <c r="U13" s="374"/>
      <c r="V13" s="374"/>
      <c r="W13" s="374"/>
      <c r="X13" s="374"/>
      <c r="Y13" s="374"/>
      <c r="Z13" s="374"/>
      <c r="AA13" s="374"/>
      <c r="AB13" s="374"/>
      <c r="AC13" s="374"/>
      <c r="AD13" s="374"/>
      <c r="AE13" s="374"/>
      <c r="AF13" s="374"/>
      <c r="AG13" s="374"/>
      <c r="AH13" s="374"/>
      <c r="AI13" s="374"/>
      <c r="AJ13" s="374"/>
      <c r="AK13" s="374"/>
      <c r="AL13" s="374"/>
      <c r="AM13" s="374"/>
      <c r="AN13" s="374"/>
      <c r="AO13" s="374"/>
      <c r="AP13" s="374"/>
      <c r="AQ13" s="374"/>
      <c r="AR13" s="374"/>
      <c r="AS13" s="374"/>
      <c r="AT13" s="374"/>
      <c r="AU13" s="374"/>
      <c r="AV13" s="374"/>
      <c r="AW13" s="374"/>
      <c r="AX13" s="374"/>
      <c r="AY13" s="374"/>
      <c r="AZ13" s="374"/>
      <c r="BA13" s="374"/>
      <c r="BB13" s="374"/>
      <c r="BC13" s="374"/>
      <c r="BD13" s="374"/>
      <c r="BE13" s="374"/>
      <c r="BF13" s="374"/>
      <c r="BG13" s="374"/>
    </row>
    <row r="14" spans="1:59" x14ac:dyDescent="0.55000000000000004">
      <c r="A14" s="1322" t="s">
        <v>688</v>
      </c>
      <c r="B14" s="1227"/>
      <c r="C14" s="1125" t="s">
        <v>689</v>
      </c>
      <c r="D14" s="379" t="s">
        <v>681</v>
      </c>
      <c r="E14" s="558">
        <v>23462549</v>
      </c>
      <c r="F14" s="558">
        <v>24870960</v>
      </c>
      <c r="G14" s="1130">
        <v>26223413</v>
      </c>
      <c r="H14" s="559">
        <v>27661000</v>
      </c>
      <c r="I14" s="558">
        <v>26380000</v>
      </c>
      <c r="J14" s="560">
        <v>26380000</v>
      </c>
      <c r="K14" s="1130">
        <v>16681069</v>
      </c>
      <c r="L14" s="1105">
        <v>28560533</v>
      </c>
      <c r="M14" s="1106">
        <v>29531591</v>
      </c>
      <c r="N14" s="1131">
        <v>30476601.912</v>
      </c>
      <c r="O14" s="1064"/>
      <c r="P14" s="374"/>
      <c r="Q14" s="374"/>
      <c r="R14" s="374"/>
      <c r="S14" s="374"/>
      <c r="T14" s="374"/>
      <c r="U14" s="374"/>
      <c r="V14" s="374"/>
      <c r="W14" s="374"/>
      <c r="X14" s="374"/>
      <c r="Y14" s="374"/>
      <c r="Z14" s="374"/>
      <c r="AA14" s="374"/>
      <c r="AB14" s="374"/>
      <c r="AC14" s="374"/>
      <c r="AD14" s="374"/>
      <c r="AE14" s="374"/>
      <c r="AF14" s="374"/>
      <c r="AG14" s="374"/>
      <c r="AH14" s="374"/>
      <c r="AI14" s="374"/>
      <c r="AJ14" s="374"/>
      <c r="AK14" s="374"/>
      <c r="AL14" s="374"/>
      <c r="AM14" s="374"/>
      <c r="AN14" s="374"/>
      <c r="AO14" s="374"/>
      <c r="AP14" s="374"/>
      <c r="AQ14" s="374"/>
      <c r="AR14" s="374"/>
      <c r="AS14" s="374"/>
      <c r="AT14" s="374"/>
      <c r="AU14" s="374"/>
      <c r="AV14" s="374"/>
      <c r="AW14" s="374"/>
      <c r="AX14" s="374"/>
      <c r="AY14" s="374"/>
      <c r="AZ14" s="374"/>
      <c r="BA14" s="374"/>
      <c r="BB14" s="374"/>
      <c r="BC14" s="374"/>
      <c r="BD14" s="374"/>
      <c r="BE14" s="374"/>
      <c r="BF14" s="374"/>
      <c r="BG14" s="374"/>
    </row>
    <row r="15" spans="1:59" x14ac:dyDescent="0.55000000000000004">
      <c r="A15" s="1322" t="s">
        <v>690</v>
      </c>
      <c r="B15" s="1227"/>
      <c r="C15" s="1125" t="s">
        <v>692</v>
      </c>
      <c r="D15" s="379" t="s">
        <v>681</v>
      </c>
      <c r="E15" s="558">
        <v>11469251</v>
      </c>
      <c r="F15" s="558">
        <v>6150879</v>
      </c>
      <c r="G15" s="1130">
        <v>3484406</v>
      </c>
      <c r="H15" s="559">
        <v>6169069</v>
      </c>
      <c r="I15" s="558">
        <v>3300000</v>
      </c>
      <c r="J15" s="560">
        <v>3300000</v>
      </c>
      <c r="K15" s="1130">
        <v>1813671</v>
      </c>
      <c r="L15" s="1105">
        <v>2768552</v>
      </c>
      <c r="M15" s="1106">
        <v>2862683</v>
      </c>
      <c r="N15" s="1131">
        <v>2954288.8560000001</v>
      </c>
      <c r="O15" s="1064"/>
      <c r="P15" s="374"/>
      <c r="Q15" s="374"/>
      <c r="R15" s="374"/>
      <c r="S15" s="374"/>
      <c r="T15" s="374"/>
      <c r="U15" s="374"/>
      <c r="V15" s="374"/>
      <c r="W15" s="374"/>
      <c r="X15" s="374"/>
      <c r="Y15" s="374"/>
      <c r="Z15" s="374"/>
      <c r="AA15" s="374"/>
      <c r="AB15" s="374"/>
      <c r="AC15" s="374"/>
      <c r="AD15" s="374"/>
      <c r="AE15" s="374"/>
      <c r="AF15" s="374"/>
      <c r="AG15" s="374"/>
      <c r="AH15" s="374"/>
      <c r="AI15" s="374"/>
      <c r="AJ15" s="374"/>
      <c r="AK15" s="374"/>
      <c r="AL15" s="374"/>
      <c r="AM15" s="374"/>
      <c r="AN15" s="374"/>
      <c r="AO15" s="374"/>
      <c r="AP15" s="374"/>
      <c r="AQ15" s="374"/>
      <c r="AR15" s="374"/>
      <c r="AS15" s="374"/>
      <c r="AT15" s="374"/>
      <c r="AU15" s="374"/>
      <c r="AV15" s="374"/>
      <c r="AW15" s="374"/>
      <c r="AX15" s="374"/>
      <c r="AY15" s="374"/>
      <c r="AZ15" s="374"/>
      <c r="BA15" s="374"/>
      <c r="BB15" s="374"/>
      <c r="BC15" s="374"/>
      <c r="BD15" s="374"/>
      <c r="BE15" s="374"/>
      <c r="BF15" s="374"/>
      <c r="BG15" s="374"/>
    </row>
    <row r="16" spans="1:59" x14ac:dyDescent="0.55000000000000004">
      <c r="A16" s="1322" t="s">
        <v>693</v>
      </c>
      <c r="B16" s="1227"/>
      <c r="C16" s="1125" t="s">
        <v>694</v>
      </c>
      <c r="D16" s="379" t="s">
        <v>681</v>
      </c>
      <c r="E16" s="558">
        <v>0</v>
      </c>
      <c r="F16" s="558">
        <v>0</v>
      </c>
      <c r="G16" s="1130">
        <v>0</v>
      </c>
      <c r="H16" s="559">
        <v>0</v>
      </c>
      <c r="I16" s="558">
        <v>0</v>
      </c>
      <c r="J16" s="560">
        <v>0</v>
      </c>
      <c r="K16" s="1130">
        <v>0</v>
      </c>
      <c r="L16" s="1105">
        <v>0</v>
      </c>
      <c r="M16" s="1106">
        <v>0</v>
      </c>
      <c r="N16" s="1131">
        <v>0</v>
      </c>
      <c r="O16" s="1064"/>
      <c r="P16" s="374"/>
      <c r="Q16" s="374"/>
      <c r="R16" s="374"/>
      <c r="S16" s="374"/>
      <c r="T16" s="374"/>
      <c r="U16" s="374"/>
      <c r="V16" s="374"/>
      <c r="W16" s="374"/>
      <c r="X16" s="374"/>
      <c r="Y16" s="374"/>
      <c r="Z16" s="374"/>
      <c r="AA16" s="374"/>
      <c r="AB16" s="374"/>
      <c r="AC16" s="374"/>
      <c r="AD16" s="374"/>
      <c r="AE16" s="374"/>
      <c r="AF16" s="374"/>
      <c r="AG16" s="374"/>
      <c r="AH16" s="374"/>
      <c r="AI16" s="374"/>
      <c r="AJ16" s="374"/>
      <c r="AK16" s="374"/>
      <c r="AL16" s="374"/>
      <c r="AM16" s="374"/>
      <c r="AN16" s="374"/>
      <c r="AO16" s="374"/>
      <c r="AP16" s="374"/>
      <c r="AQ16" s="374"/>
      <c r="AR16" s="374"/>
      <c r="AS16" s="374"/>
      <c r="AT16" s="374"/>
      <c r="AU16" s="374"/>
      <c r="AV16" s="374"/>
      <c r="AW16" s="374"/>
      <c r="AX16" s="374"/>
      <c r="AY16" s="374"/>
      <c r="AZ16" s="374"/>
      <c r="BA16" s="374"/>
      <c r="BB16" s="374"/>
      <c r="BC16" s="374"/>
      <c r="BD16" s="374"/>
      <c r="BE16" s="374"/>
      <c r="BF16" s="374"/>
      <c r="BG16" s="374"/>
    </row>
    <row r="17" spans="1:59" x14ac:dyDescent="0.55000000000000004">
      <c r="A17" s="1322" t="s">
        <v>695</v>
      </c>
      <c r="B17" s="1227"/>
      <c r="C17" s="1125" t="s">
        <v>696</v>
      </c>
      <c r="D17" s="379" t="s">
        <v>681</v>
      </c>
      <c r="E17" s="380">
        <v>0</v>
      </c>
      <c r="F17" s="380">
        <v>0</v>
      </c>
      <c r="G17" s="381">
        <v>0</v>
      </c>
      <c r="H17" s="382">
        <v>0</v>
      </c>
      <c r="I17" s="380">
        <v>0</v>
      </c>
      <c r="J17" s="383">
        <v>0</v>
      </c>
      <c r="K17" s="1132">
        <v>0</v>
      </c>
      <c r="L17" s="1107">
        <v>0</v>
      </c>
      <c r="M17" s="1108">
        <v>0</v>
      </c>
      <c r="N17" s="1133">
        <v>0</v>
      </c>
      <c r="O17" s="1064"/>
      <c r="P17" s="374"/>
      <c r="Q17" s="374"/>
      <c r="R17" s="374"/>
      <c r="S17" s="374"/>
      <c r="T17" s="374"/>
      <c r="U17" s="374"/>
      <c r="V17" s="374"/>
      <c r="W17" s="374"/>
      <c r="X17" s="374"/>
      <c r="Y17" s="374"/>
      <c r="Z17" s="374"/>
      <c r="AA17" s="374"/>
      <c r="AB17" s="374"/>
      <c r="AC17" s="374"/>
      <c r="AD17" s="374"/>
      <c r="AE17" s="374"/>
      <c r="AF17" s="374"/>
      <c r="AG17" s="374"/>
      <c r="AH17" s="374"/>
      <c r="AI17" s="374"/>
      <c r="AJ17" s="374"/>
      <c r="AK17" s="374"/>
      <c r="AL17" s="374"/>
      <c r="AM17" s="374"/>
      <c r="AN17" s="374"/>
      <c r="AO17" s="374"/>
      <c r="AP17" s="374"/>
      <c r="AQ17" s="374"/>
      <c r="AR17" s="374"/>
      <c r="AS17" s="374"/>
      <c r="AT17" s="374"/>
      <c r="AU17" s="374"/>
      <c r="AV17" s="374"/>
      <c r="AW17" s="374"/>
      <c r="AX17" s="374"/>
      <c r="AY17" s="374"/>
      <c r="AZ17" s="374"/>
      <c r="BA17" s="374"/>
      <c r="BB17" s="374"/>
      <c r="BC17" s="374"/>
      <c r="BD17" s="374"/>
      <c r="BE17" s="374"/>
      <c r="BF17" s="374"/>
      <c r="BG17" s="374"/>
    </row>
    <row r="18" spans="1:59" x14ac:dyDescent="0.55000000000000004">
      <c r="A18" s="1322" t="s">
        <v>697</v>
      </c>
      <c r="B18" s="1227"/>
      <c r="C18" s="1125" t="s">
        <v>699</v>
      </c>
      <c r="D18" s="379" t="s">
        <v>681</v>
      </c>
      <c r="E18" s="380">
        <v>1854597</v>
      </c>
      <c r="F18" s="380">
        <v>578336</v>
      </c>
      <c r="G18" s="383">
        <v>674125</v>
      </c>
      <c r="H18" s="561">
        <v>2076000</v>
      </c>
      <c r="I18" s="380">
        <v>2076000</v>
      </c>
      <c r="J18" s="383">
        <v>2076000</v>
      </c>
      <c r="K18" s="562">
        <v>1324320</v>
      </c>
      <c r="L18" s="1109">
        <v>1300000</v>
      </c>
      <c r="M18" s="1108">
        <v>1344200</v>
      </c>
      <c r="N18" s="1133">
        <v>1387214.4000000004</v>
      </c>
      <c r="O18" s="1064"/>
      <c r="P18" s="374"/>
      <c r="Q18" s="374"/>
      <c r="R18" s="374"/>
      <c r="S18" s="374"/>
      <c r="T18" s="374"/>
      <c r="U18" s="374"/>
      <c r="V18" s="374"/>
      <c r="W18" s="374"/>
      <c r="X18" s="374"/>
      <c r="Y18" s="374"/>
      <c r="Z18" s="374"/>
      <c r="AA18" s="374"/>
      <c r="AB18" s="374"/>
      <c r="AC18" s="374"/>
      <c r="AD18" s="374"/>
      <c r="AE18" s="374"/>
      <c r="AF18" s="374"/>
      <c r="AG18" s="374"/>
      <c r="AH18" s="374"/>
      <c r="AI18" s="374"/>
      <c r="AJ18" s="374"/>
      <c r="AK18" s="374"/>
      <c r="AL18" s="374"/>
      <c r="AM18" s="374"/>
      <c r="AN18" s="374"/>
      <c r="AO18" s="374"/>
      <c r="AP18" s="374"/>
      <c r="AQ18" s="374"/>
      <c r="AR18" s="374"/>
      <c r="AS18" s="374"/>
      <c r="AT18" s="374"/>
      <c r="AU18" s="374"/>
      <c r="AV18" s="374"/>
      <c r="AW18" s="374"/>
      <c r="AX18" s="374"/>
      <c r="AY18" s="374"/>
      <c r="AZ18" s="374"/>
      <c r="BA18" s="374"/>
      <c r="BB18" s="374"/>
      <c r="BC18" s="374"/>
      <c r="BD18" s="374"/>
      <c r="BE18" s="374"/>
      <c r="BF18" s="374"/>
      <c r="BG18" s="374"/>
    </row>
    <row r="19" spans="1:59" x14ac:dyDescent="0.55000000000000004">
      <c r="A19" s="1322" t="s">
        <v>700</v>
      </c>
      <c r="B19" s="1227"/>
      <c r="C19" s="1125" t="s">
        <v>716</v>
      </c>
      <c r="D19" s="379" t="s">
        <v>681</v>
      </c>
      <c r="E19" s="380">
        <v>4362</v>
      </c>
      <c r="F19" s="380">
        <v>1517</v>
      </c>
      <c r="G19" s="383">
        <v>71125</v>
      </c>
      <c r="H19" s="561">
        <v>76000</v>
      </c>
      <c r="I19" s="380">
        <v>76000</v>
      </c>
      <c r="J19" s="383">
        <v>76000</v>
      </c>
      <c r="K19" s="563">
        <v>52201</v>
      </c>
      <c r="L19" s="1109">
        <v>76000</v>
      </c>
      <c r="M19" s="1108">
        <v>78584</v>
      </c>
      <c r="N19" s="1133">
        <v>81098.688000000009</v>
      </c>
      <c r="O19" s="1064"/>
      <c r="P19" s="374"/>
      <c r="Q19" s="374"/>
      <c r="R19" s="374"/>
      <c r="S19" s="374"/>
      <c r="T19" s="374"/>
      <c r="U19" s="374"/>
      <c r="V19" s="374"/>
      <c r="W19" s="374"/>
      <c r="X19" s="374"/>
      <c r="Y19" s="374"/>
      <c r="Z19" s="374"/>
      <c r="AA19" s="374"/>
      <c r="AB19" s="374"/>
      <c r="AC19" s="374"/>
      <c r="AD19" s="374"/>
      <c r="AE19" s="374"/>
      <c r="AF19" s="374"/>
      <c r="AG19" s="374"/>
      <c r="AH19" s="374"/>
      <c r="AI19" s="374"/>
      <c r="AJ19" s="374"/>
      <c r="AK19" s="374"/>
      <c r="AL19" s="374"/>
      <c r="AM19" s="374"/>
      <c r="AN19" s="374"/>
      <c r="AO19" s="374"/>
      <c r="AP19" s="374"/>
      <c r="AQ19" s="374"/>
      <c r="AR19" s="374"/>
      <c r="AS19" s="374"/>
      <c r="AT19" s="374"/>
      <c r="AU19" s="374"/>
      <c r="AV19" s="374"/>
      <c r="AW19" s="374"/>
      <c r="AX19" s="374"/>
      <c r="AY19" s="374"/>
      <c r="AZ19" s="374"/>
      <c r="BA19" s="374"/>
      <c r="BB19" s="374"/>
      <c r="BC19" s="374"/>
      <c r="BD19" s="374"/>
      <c r="BE19" s="374"/>
      <c r="BF19" s="374"/>
      <c r="BG19" s="374"/>
    </row>
    <row r="20" spans="1:59" x14ac:dyDescent="0.55000000000000004">
      <c r="A20" s="1323">
        <v>1550</v>
      </c>
      <c r="B20" s="1227"/>
      <c r="C20" s="1125" t="s">
        <v>1565</v>
      </c>
      <c r="D20" s="379" t="s">
        <v>681</v>
      </c>
      <c r="E20" s="380">
        <v>0</v>
      </c>
      <c r="F20" s="380">
        <v>0</v>
      </c>
      <c r="G20" s="383">
        <v>0</v>
      </c>
      <c r="H20" s="561">
        <v>0</v>
      </c>
      <c r="I20" s="380">
        <v>0</v>
      </c>
      <c r="J20" s="383">
        <v>0</v>
      </c>
      <c r="K20" s="563">
        <v>0</v>
      </c>
      <c r="L20" s="1109">
        <v>0</v>
      </c>
      <c r="M20" s="1108">
        <v>0</v>
      </c>
      <c r="N20" s="1133">
        <v>0</v>
      </c>
      <c r="O20" s="1064"/>
      <c r="P20" s="374"/>
      <c r="Q20" s="374"/>
      <c r="R20" s="374"/>
      <c r="S20" s="374"/>
      <c r="T20" s="374"/>
      <c r="U20" s="374"/>
      <c r="V20" s="374"/>
      <c r="W20" s="374"/>
      <c r="X20" s="374"/>
      <c r="Y20" s="374"/>
      <c r="Z20" s="374"/>
      <c r="AA20" s="374"/>
      <c r="AB20" s="374"/>
      <c r="AC20" s="374"/>
      <c r="AD20" s="374"/>
      <c r="AE20" s="374"/>
      <c r="AF20" s="374"/>
      <c r="AG20" s="374"/>
      <c r="AH20" s="374"/>
      <c r="AI20" s="374"/>
      <c r="AJ20" s="374"/>
      <c r="AK20" s="374"/>
      <c r="AL20" s="374"/>
      <c r="AM20" s="374"/>
      <c r="AN20" s="374"/>
      <c r="AO20" s="374"/>
      <c r="AP20" s="374"/>
      <c r="AQ20" s="374"/>
      <c r="AR20" s="374"/>
      <c r="AS20" s="374"/>
      <c r="AT20" s="374"/>
      <c r="AU20" s="374"/>
      <c r="AV20" s="374"/>
      <c r="AW20" s="374"/>
      <c r="AX20" s="374"/>
      <c r="AY20" s="374"/>
      <c r="AZ20" s="374"/>
      <c r="BA20" s="374"/>
      <c r="BB20" s="374"/>
      <c r="BC20" s="374"/>
      <c r="BD20" s="374"/>
      <c r="BE20" s="374"/>
      <c r="BF20" s="374"/>
      <c r="BG20" s="374"/>
    </row>
    <row r="21" spans="1:59" x14ac:dyDescent="0.55000000000000004">
      <c r="A21" s="1322" t="s">
        <v>702</v>
      </c>
      <c r="B21" s="1227"/>
      <c r="C21" s="1125" t="s">
        <v>1681</v>
      </c>
      <c r="D21" s="379" t="s">
        <v>681</v>
      </c>
      <c r="E21" s="564">
        <v>0</v>
      </c>
      <c r="F21" s="564">
        <v>0</v>
      </c>
      <c r="G21" s="565">
        <v>0</v>
      </c>
      <c r="H21" s="1134">
        <v>0</v>
      </c>
      <c r="I21" s="564">
        <v>0</v>
      </c>
      <c r="J21" s="565">
        <v>0</v>
      </c>
      <c r="K21" s="566">
        <v>0</v>
      </c>
      <c r="L21" s="1110">
        <v>0</v>
      </c>
      <c r="M21" s="1111">
        <v>0</v>
      </c>
      <c r="N21" s="1135">
        <v>0</v>
      </c>
      <c r="O21" s="1064"/>
      <c r="P21" s="374"/>
      <c r="Q21" s="374"/>
      <c r="R21" s="374"/>
      <c r="S21" s="374"/>
      <c r="T21" s="374"/>
      <c r="U21" s="374"/>
      <c r="V21" s="374"/>
      <c r="W21" s="374"/>
      <c r="X21" s="374"/>
      <c r="Y21" s="374"/>
      <c r="Z21" s="374"/>
      <c r="AA21" s="374"/>
      <c r="AB21" s="374"/>
      <c r="AC21" s="374"/>
      <c r="AD21" s="374"/>
      <c r="AE21" s="374"/>
      <c r="AF21" s="374"/>
      <c r="AG21" s="374"/>
      <c r="AH21" s="374"/>
      <c r="AI21" s="374"/>
      <c r="AJ21" s="374"/>
      <c r="AK21" s="374"/>
      <c r="AL21" s="374"/>
      <c r="AM21" s="374"/>
      <c r="AN21" s="374"/>
      <c r="AO21" s="374"/>
      <c r="AP21" s="374"/>
      <c r="AQ21" s="374"/>
      <c r="AR21" s="374"/>
      <c r="AS21" s="374"/>
      <c r="AT21" s="374"/>
      <c r="AU21" s="374"/>
      <c r="AV21" s="374"/>
      <c r="AW21" s="374"/>
      <c r="AX21" s="374"/>
      <c r="AY21" s="374"/>
      <c r="AZ21" s="374"/>
      <c r="BA21" s="374"/>
      <c r="BB21" s="374"/>
      <c r="BC21" s="374"/>
      <c r="BD21" s="374"/>
      <c r="BE21" s="374"/>
      <c r="BF21" s="374"/>
      <c r="BG21" s="374"/>
    </row>
    <row r="22" spans="1:59" x14ac:dyDescent="0.55000000000000004">
      <c r="A22" s="1322" t="s">
        <v>705</v>
      </c>
      <c r="B22" s="1227"/>
      <c r="C22" s="1125" t="s">
        <v>1682</v>
      </c>
      <c r="D22" s="379" t="s">
        <v>681</v>
      </c>
      <c r="E22" s="380">
        <v>797006</v>
      </c>
      <c r="F22" s="380">
        <v>210760</v>
      </c>
      <c r="G22" s="383">
        <v>1114926</v>
      </c>
      <c r="H22" s="561">
        <v>1000000</v>
      </c>
      <c r="I22" s="380">
        <v>1000000</v>
      </c>
      <c r="J22" s="383">
        <v>1000000</v>
      </c>
      <c r="K22" s="563">
        <v>230775</v>
      </c>
      <c r="L22" s="1109">
        <v>1000000</v>
      </c>
      <c r="M22" s="1108">
        <v>1034000</v>
      </c>
      <c r="N22" s="1133">
        <v>1067088</v>
      </c>
      <c r="O22" s="1064"/>
      <c r="P22" s="374"/>
      <c r="Q22" s="374"/>
      <c r="R22" s="374"/>
      <c r="S22" s="374"/>
      <c r="T22" s="374"/>
      <c r="U22" s="374"/>
      <c r="V22" s="374"/>
      <c r="W22" s="374"/>
      <c r="X22" s="374"/>
      <c r="Y22" s="374"/>
      <c r="Z22" s="374"/>
      <c r="AA22" s="374"/>
      <c r="AB22" s="374"/>
      <c r="AC22" s="374"/>
      <c r="AD22" s="374"/>
      <c r="AE22" s="374"/>
      <c r="AF22" s="374"/>
      <c r="AG22" s="374"/>
      <c r="AH22" s="374"/>
      <c r="AI22" s="374"/>
      <c r="AJ22" s="374"/>
      <c r="AK22" s="374"/>
      <c r="AL22" s="374"/>
      <c r="AM22" s="374"/>
      <c r="AN22" s="374"/>
      <c r="AO22" s="374"/>
      <c r="AP22" s="374"/>
      <c r="AQ22" s="374"/>
      <c r="AR22" s="374"/>
      <c r="AS22" s="374"/>
      <c r="AT22" s="374"/>
      <c r="AU22" s="374"/>
      <c r="AV22" s="374"/>
      <c r="AW22" s="374"/>
      <c r="AX22" s="374"/>
      <c r="AY22" s="374"/>
      <c r="AZ22" s="374"/>
      <c r="BA22" s="374"/>
      <c r="BB22" s="374"/>
      <c r="BC22" s="374"/>
      <c r="BD22" s="374"/>
      <c r="BE22" s="374"/>
      <c r="BF22" s="374"/>
      <c r="BG22" s="374"/>
    </row>
    <row r="23" spans="1:59" x14ac:dyDescent="0.55000000000000004">
      <c r="A23" s="1322" t="s">
        <v>709</v>
      </c>
      <c r="B23" s="1227"/>
      <c r="C23" s="1125" t="s">
        <v>704</v>
      </c>
      <c r="D23" s="379" t="s">
        <v>681</v>
      </c>
      <c r="E23" s="380">
        <v>19162295</v>
      </c>
      <c r="F23" s="380">
        <v>19281325</v>
      </c>
      <c r="G23" s="383">
        <v>3888500</v>
      </c>
      <c r="H23" s="561">
        <v>3055241</v>
      </c>
      <c r="I23" s="380">
        <v>4427320</v>
      </c>
      <c r="J23" s="383">
        <v>4427320</v>
      </c>
      <c r="K23" s="563">
        <v>3101748</v>
      </c>
      <c r="L23" s="1109">
        <v>3724961</v>
      </c>
      <c r="M23" s="1108">
        <v>3851610</v>
      </c>
      <c r="N23" s="1133">
        <v>3974861.5199999996</v>
      </c>
      <c r="O23" s="1064"/>
      <c r="P23" s="374"/>
      <c r="Q23" s="374"/>
      <c r="R23" s="374"/>
      <c r="S23" s="374"/>
      <c r="T23" s="374"/>
      <c r="U23" s="374"/>
      <c r="V23" s="374"/>
      <c r="W23" s="374"/>
      <c r="X23" s="374"/>
      <c r="Y23" s="374"/>
      <c r="Z23" s="374"/>
      <c r="AA23" s="374"/>
      <c r="AB23" s="374"/>
      <c r="AC23" s="374"/>
      <c r="AD23" s="374"/>
      <c r="AE23" s="374"/>
      <c r="AF23" s="374"/>
      <c r="AG23" s="374"/>
      <c r="AH23" s="374"/>
      <c r="AI23" s="374"/>
      <c r="AJ23" s="374"/>
      <c r="AK23" s="374"/>
      <c r="AL23" s="374"/>
      <c r="AM23" s="374"/>
      <c r="AN23" s="374"/>
      <c r="AO23" s="374"/>
      <c r="AP23" s="374"/>
      <c r="AQ23" s="374"/>
      <c r="AR23" s="374"/>
      <c r="AS23" s="374"/>
      <c r="AT23" s="374"/>
      <c r="AU23" s="374"/>
      <c r="AV23" s="374"/>
      <c r="AW23" s="374"/>
      <c r="AX23" s="374"/>
      <c r="AY23" s="374"/>
      <c r="AZ23" s="374"/>
      <c r="BA23" s="374"/>
      <c r="BB23" s="374"/>
      <c r="BC23" s="374"/>
      <c r="BD23" s="374"/>
      <c r="BE23" s="374"/>
      <c r="BF23" s="374"/>
      <c r="BG23" s="374"/>
    </row>
    <row r="24" spans="1:59" x14ac:dyDescent="0.55000000000000004">
      <c r="A24" s="1322" t="s">
        <v>711</v>
      </c>
      <c r="B24" s="1227"/>
      <c r="C24" s="1125" t="s">
        <v>708</v>
      </c>
      <c r="D24" s="379" t="s">
        <v>681</v>
      </c>
      <c r="E24" s="380">
        <v>0</v>
      </c>
      <c r="F24" s="380">
        <v>0</v>
      </c>
      <c r="G24" s="383">
        <v>0</v>
      </c>
      <c r="H24" s="561">
        <v>0</v>
      </c>
      <c r="I24" s="380">
        <v>0</v>
      </c>
      <c r="J24" s="383">
        <v>0</v>
      </c>
      <c r="K24" s="563">
        <v>0</v>
      </c>
      <c r="L24" s="1109">
        <v>0</v>
      </c>
      <c r="M24" s="1108">
        <v>0</v>
      </c>
      <c r="N24" s="1133">
        <v>0</v>
      </c>
      <c r="O24" s="1064"/>
      <c r="P24" s="374"/>
      <c r="Q24" s="374"/>
      <c r="R24" s="374"/>
      <c r="S24" s="374"/>
      <c r="T24" s="374"/>
      <c r="U24" s="374"/>
      <c r="V24" s="374"/>
      <c r="W24" s="374"/>
      <c r="X24" s="374"/>
      <c r="Y24" s="374"/>
      <c r="Z24" s="374"/>
      <c r="AA24" s="374"/>
      <c r="AB24" s="374"/>
      <c r="AC24" s="374"/>
      <c r="AD24" s="374"/>
      <c r="AE24" s="374"/>
      <c r="AF24" s="374"/>
      <c r="AG24" s="374"/>
      <c r="AH24" s="374"/>
      <c r="AI24" s="374"/>
      <c r="AJ24" s="374"/>
      <c r="AK24" s="374"/>
      <c r="AL24" s="374"/>
      <c r="AM24" s="374"/>
      <c r="AN24" s="374"/>
      <c r="AO24" s="374"/>
      <c r="AP24" s="374"/>
      <c r="AQ24" s="374"/>
      <c r="AR24" s="374"/>
      <c r="AS24" s="374"/>
      <c r="AT24" s="374"/>
      <c r="AU24" s="374"/>
      <c r="AV24" s="374"/>
      <c r="AW24" s="374"/>
      <c r="AX24" s="374"/>
      <c r="AY24" s="374"/>
      <c r="AZ24" s="374"/>
      <c r="BA24" s="374"/>
      <c r="BB24" s="374"/>
      <c r="BC24" s="374"/>
      <c r="BD24" s="374"/>
      <c r="BE24" s="374"/>
      <c r="BF24" s="374"/>
      <c r="BG24" s="374"/>
    </row>
    <row r="25" spans="1:59" x14ac:dyDescent="0.55000000000000004">
      <c r="A25" s="1322" t="s">
        <v>714</v>
      </c>
      <c r="B25" s="1227"/>
      <c r="C25" s="1125" t="s">
        <v>0</v>
      </c>
      <c r="D25" s="379" t="s">
        <v>1679</v>
      </c>
      <c r="E25" s="380">
        <v>136353677</v>
      </c>
      <c r="F25" s="380">
        <v>153615706</v>
      </c>
      <c r="G25" s="383">
        <v>161347204</v>
      </c>
      <c r="H25" s="561">
        <v>173070423</v>
      </c>
      <c r="I25" s="380">
        <v>170753000</v>
      </c>
      <c r="J25" s="383">
        <v>170753000</v>
      </c>
      <c r="K25" s="563">
        <v>127122165</v>
      </c>
      <c r="L25" s="1109">
        <v>179290650</v>
      </c>
      <c r="M25" s="1108">
        <v>185386533</v>
      </c>
      <c r="N25" s="1133">
        <v>191318902.05599996</v>
      </c>
      <c r="O25" s="1064"/>
      <c r="P25" s="374"/>
      <c r="Q25" s="374"/>
      <c r="R25" s="374"/>
      <c r="S25" s="374"/>
      <c r="T25" s="374"/>
      <c r="U25" s="374"/>
      <c r="V25" s="374"/>
      <c r="W25" s="374"/>
      <c r="X25" s="374"/>
      <c r="Y25" s="374"/>
      <c r="Z25" s="374"/>
      <c r="AA25" s="374"/>
      <c r="AB25" s="374"/>
      <c r="AC25" s="374"/>
      <c r="AD25" s="374"/>
      <c r="AE25" s="374"/>
      <c r="AF25" s="374"/>
      <c r="AG25" s="374"/>
      <c r="AH25" s="374"/>
      <c r="AI25" s="374"/>
      <c r="AJ25" s="374"/>
      <c r="AK25" s="374"/>
      <c r="AL25" s="374"/>
      <c r="AM25" s="374"/>
      <c r="AN25" s="374"/>
      <c r="AO25" s="374"/>
      <c r="AP25" s="374"/>
      <c r="AQ25" s="374"/>
      <c r="AR25" s="374"/>
      <c r="AS25" s="374"/>
      <c r="AT25" s="374"/>
      <c r="AU25" s="374"/>
      <c r="AV25" s="374"/>
      <c r="AW25" s="374"/>
      <c r="AX25" s="374"/>
      <c r="AY25" s="374"/>
      <c r="AZ25" s="374"/>
      <c r="BA25" s="374"/>
      <c r="BB25" s="374"/>
      <c r="BC25" s="374"/>
      <c r="BD25" s="374"/>
      <c r="BE25" s="374"/>
      <c r="BF25" s="374"/>
      <c r="BG25" s="374"/>
    </row>
    <row r="26" spans="1:59" x14ac:dyDescent="0.55000000000000004">
      <c r="A26" s="1322" t="s">
        <v>715</v>
      </c>
      <c r="B26" s="1227"/>
      <c r="C26" s="1125" t="s">
        <v>713</v>
      </c>
      <c r="D26" s="379" t="s">
        <v>681</v>
      </c>
      <c r="E26" s="380">
        <v>0</v>
      </c>
      <c r="F26" s="380">
        <v>1895427</v>
      </c>
      <c r="G26" s="383">
        <v>1883808</v>
      </c>
      <c r="H26" s="561">
        <v>0</v>
      </c>
      <c r="I26" s="380">
        <v>0</v>
      </c>
      <c r="J26" s="383">
        <v>0</v>
      </c>
      <c r="K26" s="563">
        <v>0</v>
      </c>
      <c r="L26" s="1109">
        <v>0</v>
      </c>
      <c r="M26" s="1108">
        <v>0</v>
      </c>
      <c r="N26" s="1133">
        <v>0</v>
      </c>
      <c r="O26" s="1064"/>
      <c r="P26" s="374"/>
      <c r="Q26" s="374"/>
      <c r="R26" s="374"/>
      <c r="S26" s="374"/>
      <c r="T26" s="374"/>
      <c r="U26" s="374"/>
      <c r="V26" s="374"/>
      <c r="W26" s="374"/>
      <c r="X26" s="374"/>
      <c r="Y26" s="374"/>
      <c r="Z26" s="374"/>
      <c r="AA26" s="374"/>
      <c r="AB26" s="374"/>
      <c r="AC26" s="374"/>
      <c r="AD26" s="374"/>
      <c r="AE26" s="374"/>
      <c r="AF26" s="374"/>
      <c r="AG26" s="374"/>
      <c r="AH26" s="374"/>
      <c r="AI26" s="374"/>
      <c r="AJ26" s="374"/>
      <c r="AK26" s="374"/>
      <c r="AL26" s="374"/>
      <c r="AM26" s="374"/>
      <c r="AN26" s="374"/>
      <c r="AO26" s="374"/>
      <c r="AP26" s="374"/>
      <c r="AQ26" s="374"/>
      <c r="AR26" s="374"/>
      <c r="AS26" s="374"/>
      <c r="AT26" s="374"/>
      <c r="AU26" s="374"/>
      <c r="AV26" s="374"/>
      <c r="AW26" s="374"/>
      <c r="AX26" s="374"/>
      <c r="AY26" s="374"/>
      <c r="AZ26" s="374"/>
      <c r="BA26" s="374"/>
      <c r="BB26" s="374"/>
      <c r="BC26" s="374"/>
      <c r="BD26" s="374"/>
      <c r="BE26" s="374"/>
      <c r="BF26" s="374"/>
      <c r="BG26" s="374"/>
    </row>
    <row r="27" spans="1:59" x14ac:dyDescent="0.55000000000000004">
      <c r="A27" s="1322" t="s">
        <v>717</v>
      </c>
      <c r="B27" s="1227"/>
      <c r="C27" s="1125" t="s">
        <v>691</v>
      </c>
      <c r="D27" s="379" t="s">
        <v>681</v>
      </c>
      <c r="E27" s="380">
        <v>35669802</v>
      </c>
      <c r="F27" s="380">
        <v>20794953</v>
      </c>
      <c r="G27" s="383">
        <v>28519962</v>
      </c>
      <c r="H27" s="561">
        <v>27812457</v>
      </c>
      <c r="I27" s="380">
        <v>43941424</v>
      </c>
      <c r="J27" s="383">
        <v>43941424</v>
      </c>
      <c r="K27" s="563">
        <v>5466837</v>
      </c>
      <c r="L27" s="1109">
        <v>43671100</v>
      </c>
      <c r="M27" s="1108">
        <v>45155917</v>
      </c>
      <c r="N27" s="1133">
        <v>46600906.344000004</v>
      </c>
      <c r="O27" s="1064"/>
      <c r="P27" s="374"/>
      <c r="Q27" s="374"/>
      <c r="R27" s="374"/>
      <c r="S27" s="374"/>
      <c r="T27" s="374"/>
      <c r="U27" s="374"/>
      <c r="V27" s="374"/>
      <c r="W27" s="374"/>
      <c r="X27" s="374"/>
      <c r="Y27" s="374"/>
      <c r="Z27" s="374"/>
      <c r="AA27" s="374"/>
      <c r="AB27" s="374"/>
      <c r="AC27" s="374"/>
      <c r="AD27" s="374"/>
      <c r="AE27" s="374"/>
      <c r="AF27" s="374"/>
      <c r="AG27" s="374"/>
      <c r="AH27" s="374"/>
      <c r="AI27" s="374"/>
      <c r="AJ27" s="374"/>
      <c r="AK27" s="374"/>
      <c r="AL27" s="374"/>
      <c r="AM27" s="374"/>
      <c r="AN27" s="374"/>
      <c r="AO27" s="374"/>
      <c r="AP27" s="374"/>
      <c r="AQ27" s="374"/>
      <c r="AR27" s="374"/>
      <c r="AS27" s="374"/>
      <c r="AT27" s="374"/>
      <c r="AU27" s="374"/>
      <c r="AV27" s="374"/>
      <c r="AW27" s="374"/>
      <c r="AX27" s="374"/>
      <c r="AY27" s="374"/>
      <c r="AZ27" s="374"/>
      <c r="BA27" s="374"/>
      <c r="BB27" s="374"/>
      <c r="BC27" s="374"/>
      <c r="BD27" s="374"/>
      <c r="BE27" s="374"/>
      <c r="BF27" s="374"/>
      <c r="BG27" s="374"/>
    </row>
    <row r="28" spans="1:59" x14ac:dyDescent="0.55000000000000004">
      <c r="A28" s="1322" t="s">
        <v>719</v>
      </c>
      <c r="B28" s="1227"/>
      <c r="C28" s="1125" t="s">
        <v>716</v>
      </c>
      <c r="D28" s="379" t="s">
        <v>681</v>
      </c>
      <c r="E28" s="380">
        <v>0</v>
      </c>
      <c r="F28" s="380">
        <v>0</v>
      </c>
      <c r="G28" s="383">
        <v>0</v>
      </c>
      <c r="H28" s="561">
        <v>0</v>
      </c>
      <c r="I28" s="380">
        <v>0</v>
      </c>
      <c r="J28" s="383">
        <v>0</v>
      </c>
      <c r="K28" s="563">
        <v>0</v>
      </c>
      <c r="L28" s="1109">
        <v>0</v>
      </c>
      <c r="M28" s="1108">
        <v>0</v>
      </c>
      <c r="N28" s="1133">
        <v>0</v>
      </c>
      <c r="O28" s="1064"/>
      <c r="P28" s="374"/>
      <c r="Q28" s="374"/>
      <c r="R28" s="374"/>
      <c r="S28" s="374"/>
      <c r="T28" s="374"/>
      <c r="U28" s="374"/>
      <c r="V28" s="374"/>
      <c r="W28" s="374"/>
      <c r="X28" s="374"/>
      <c r="Y28" s="374"/>
      <c r="Z28" s="374"/>
      <c r="AA28" s="374"/>
      <c r="AB28" s="374"/>
      <c r="AC28" s="374"/>
      <c r="AD28" s="374"/>
      <c r="AE28" s="374"/>
      <c r="AF28" s="374"/>
      <c r="AG28" s="374"/>
      <c r="AH28" s="374"/>
      <c r="AI28" s="374"/>
      <c r="AJ28" s="374"/>
      <c r="AK28" s="374"/>
      <c r="AL28" s="374"/>
      <c r="AM28" s="374"/>
      <c r="AN28" s="374"/>
      <c r="AO28" s="374"/>
      <c r="AP28" s="374"/>
      <c r="AQ28" s="374"/>
      <c r="AR28" s="374"/>
      <c r="AS28" s="374"/>
      <c r="AT28" s="374"/>
      <c r="AU28" s="374"/>
      <c r="AV28" s="374"/>
      <c r="AW28" s="374"/>
      <c r="AX28" s="374"/>
      <c r="AY28" s="374"/>
      <c r="AZ28" s="374"/>
      <c r="BA28" s="374"/>
      <c r="BB28" s="374"/>
      <c r="BC28" s="374"/>
      <c r="BD28" s="374"/>
      <c r="BE28" s="374"/>
      <c r="BF28" s="374"/>
      <c r="BG28" s="374"/>
    </row>
    <row r="29" spans="1:59" x14ac:dyDescent="0.55000000000000004">
      <c r="A29" s="1322" t="s">
        <v>721</v>
      </c>
      <c r="B29" s="1227"/>
      <c r="C29" s="1125" t="s">
        <v>718</v>
      </c>
      <c r="D29" s="379" t="s">
        <v>681</v>
      </c>
      <c r="E29" s="380">
        <v>144870226</v>
      </c>
      <c r="F29" s="380">
        <v>153871924</v>
      </c>
      <c r="G29" s="383">
        <v>163405507</v>
      </c>
      <c r="H29" s="561">
        <v>182289609</v>
      </c>
      <c r="I29" s="380">
        <v>179224151</v>
      </c>
      <c r="J29" s="383">
        <v>179224151</v>
      </c>
      <c r="K29" s="563">
        <v>107822581</v>
      </c>
      <c r="L29" s="1109">
        <v>180298435</v>
      </c>
      <c r="M29" s="1108">
        <v>185740925.99999997</v>
      </c>
      <c r="N29" s="1133">
        <v>189548395.38399994</v>
      </c>
      <c r="O29" s="1064"/>
      <c r="P29" s="374"/>
      <c r="Q29" s="374"/>
      <c r="R29" s="374"/>
      <c r="S29" s="374"/>
      <c r="T29" s="374"/>
      <c r="U29" s="374"/>
      <c r="V29" s="374"/>
      <c r="W29" s="374"/>
      <c r="X29" s="374"/>
      <c r="Y29" s="374"/>
      <c r="Z29" s="374"/>
      <c r="AA29" s="374"/>
      <c r="AB29" s="374"/>
      <c r="AC29" s="374"/>
      <c r="AD29" s="374"/>
      <c r="AE29" s="374"/>
      <c r="AF29" s="374"/>
      <c r="AG29" s="374"/>
      <c r="AH29" s="374"/>
      <c r="AI29" s="374"/>
      <c r="AJ29" s="374"/>
      <c r="AK29" s="374"/>
      <c r="AL29" s="374"/>
      <c r="AM29" s="374"/>
      <c r="AN29" s="374"/>
      <c r="AO29" s="374"/>
      <c r="AP29" s="374"/>
      <c r="AQ29" s="374"/>
      <c r="AR29" s="374"/>
      <c r="AS29" s="374"/>
      <c r="AT29" s="374"/>
      <c r="AU29" s="374"/>
      <c r="AV29" s="374"/>
      <c r="AW29" s="374"/>
      <c r="AX29" s="374"/>
      <c r="AY29" s="374"/>
      <c r="AZ29" s="374"/>
      <c r="BA29" s="374"/>
      <c r="BB29" s="374"/>
      <c r="BC29" s="374"/>
      <c r="BD29" s="374"/>
      <c r="BE29" s="374"/>
      <c r="BF29" s="374"/>
      <c r="BG29" s="374"/>
    </row>
    <row r="30" spans="1:59" x14ac:dyDescent="0.55000000000000004">
      <c r="A30" s="1322" t="s">
        <v>723</v>
      </c>
      <c r="B30" s="1227"/>
      <c r="C30" s="1125" t="s">
        <v>1683</v>
      </c>
      <c r="D30" s="379" t="s">
        <v>681</v>
      </c>
      <c r="E30" s="380">
        <v>0</v>
      </c>
      <c r="F30" s="380">
        <v>5017908</v>
      </c>
      <c r="G30" s="383">
        <v>4020115</v>
      </c>
      <c r="H30" s="561">
        <v>4554000</v>
      </c>
      <c r="I30" s="380">
        <v>3679000</v>
      </c>
      <c r="J30" s="383">
        <v>3679000</v>
      </c>
      <c r="K30" s="563">
        <v>2330939</v>
      </c>
      <c r="L30" s="1109">
        <v>3862950</v>
      </c>
      <c r="M30" s="1108">
        <v>3994290</v>
      </c>
      <c r="N30" s="1133">
        <v>4122107.2800000003</v>
      </c>
      <c r="O30" s="1064"/>
      <c r="P30" s="374"/>
      <c r="Q30" s="374"/>
      <c r="R30" s="374"/>
      <c r="S30" s="374"/>
      <c r="T30" s="374"/>
      <c r="U30" s="374"/>
      <c r="V30" s="374"/>
      <c r="W30" s="374"/>
      <c r="X30" s="374"/>
      <c r="Y30" s="374"/>
      <c r="Z30" s="374"/>
      <c r="AA30" s="374"/>
      <c r="AB30" s="374"/>
      <c r="AC30" s="374"/>
      <c r="AD30" s="374"/>
      <c r="AE30" s="374"/>
      <c r="AF30" s="374"/>
      <c r="AG30" s="374"/>
      <c r="AH30" s="374"/>
      <c r="AI30" s="374"/>
      <c r="AJ30" s="374"/>
      <c r="AK30" s="374"/>
      <c r="AL30" s="374"/>
      <c r="AM30" s="374"/>
      <c r="AN30" s="374"/>
      <c r="AO30" s="374"/>
      <c r="AP30" s="374"/>
      <c r="AQ30" s="374"/>
      <c r="AR30" s="374"/>
      <c r="AS30" s="374"/>
      <c r="AT30" s="374"/>
      <c r="AU30" s="374"/>
      <c r="AV30" s="374"/>
      <c r="AW30" s="374"/>
      <c r="AX30" s="374"/>
      <c r="AY30" s="374"/>
      <c r="AZ30" s="374"/>
      <c r="BA30" s="374"/>
      <c r="BB30" s="374"/>
      <c r="BC30" s="374"/>
      <c r="BD30" s="374"/>
      <c r="BE30" s="374"/>
      <c r="BF30" s="374"/>
      <c r="BG30" s="374"/>
    </row>
    <row r="31" spans="1:59" x14ac:dyDescent="0.55000000000000004">
      <c r="A31" s="1322" t="s">
        <v>725</v>
      </c>
      <c r="B31" s="1227"/>
      <c r="C31" s="1125" t="s">
        <v>722</v>
      </c>
      <c r="D31" s="379" t="s">
        <v>681</v>
      </c>
      <c r="E31" s="380">
        <v>0</v>
      </c>
      <c r="F31" s="380">
        <v>0</v>
      </c>
      <c r="G31" s="383">
        <v>0</v>
      </c>
      <c r="H31" s="1132">
        <v>0</v>
      </c>
      <c r="I31" s="380">
        <v>0</v>
      </c>
      <c r="J31" s="383">
        <v>0</v>
      </c>
      <c r="K31" s="563">
        <v>0</v>
      </c>
      <c r="L31" s="1109">
        <v>0</v>
      </c>
      <c r="M31" s="1108">
        <v>0</v>
      </c>
      <c r="N31" s="1133">
        <v>0</v>
      </c>
      <c r="O31" s="1064"/>
      <c r="P31" s="374"/>
      <c r="Q31" s="374"/>
      <c r="R31" s="374"/>
      <c r="S31" s="374"/>
      <c r="T31" s="374"/>
      <c r="U31" s="374"/>
      <c r="V31" s="374"/>
      <c r="W31" s="374"/>
      <c r="X31" s="374"/>
      <c r="Y31" s="374"/>
      <c r="Z31" s="374"/>
      <c r="AA31" s="374"/>
      <c r="AB31" s="374"/>
      <c r="AC31" s="374"/>
      <c r="AD31" s="374"/>
      <c r="AE31" s="374"/>
      <c r="AF31" s="374"/>
      <c r="AG31" s="374"/>
      <c r="AH31" s="374"/>
      <c r="AI31" s="374"/>
      <c r="AJ31" s="374"/>
      <c r="AK31" s="374"/>
      <c r="AL31" s="374"/>
      <c r="AM31" s="374"/>
      <c r="AN31" s="374"/>
      <c r="AO31" s="374"/>
      <c r="AP31" s="374"/>
      <c r="AQ31" s="374"/>
      <c r="AR31" s="374"/>
      <c r="AS31" s="374"/>
      <c r="AT31" s="374"/>
      <c r="AU31" s="374"/>
      <c r="AV31" s="374"/>
      <c r="AW31" s="374"/>
      <c r="AX31" s="374"/>
      <c r="AY31" s="374"/>
      <c r="AZ31" s="374"/>
      <c r="BA31" s="374"/>
      <c r="BB31" s="374"/>
      <c r="BC31" s="374"/>
      <c r="BD31" s="374"/>
      <c r="BE31" s="374"/>
      <c r="BF31" s="374"/>
      <c r="BG31" s="374"/>
    </row>
    <row r="32" spans="1:59" x14ac:dyDescent="0.55000000000000004">
      <c r="A32" s="1322" t="s">
        <v>728</v>
      </c>
      <c r="B32" s="1227"/>
      <c r="C32" s="1125" t="s">
        <v>704</v>
      </c>
      <c r="D32" s="379" t="s">
        <v>681</v>
      </c>
      <c r="E32" s="380">
        <v>0</v>
      </c>
      <c r="F32" s="380">
        <v>5250479</v>
      </c>
      <c r="G32" s="383">
        <v>5536768</v>
      </c>
      <c r="H32" s="561">
        <v>6003410</v>
      </c>
      <c r="I32" s="380">
        <v>6047000</v>
      </c>
      <c r="J32" s="383">
        <v>6047000</v>
      </c>
      <c r="K32" s="563">
        <v>4162487</v>
      </c>
      <c r="L32" s="1109">
        <v>6529312</v>
      </c>
      <c r="M32" s="1108">
        <v>6751308</v>
      </c>
      <c r="N32" s="1133">
        <v>6967349.8559999997</v>
      </c>
      <c r="O32" s="1064"/>
      <c r="P32" s="374"/>
      <c r="Q32" s="374"/>
      <c r="R32" s="374"/>
      <c r="S32" s="374"/>
      <c r="T32" s="374"/>
      <c r="U32" s="374"/>
      <c r="V32" s="374"/>
      <c r="W32" s="374"/>
      <c r="X32" s="374"/>
      <c r="Y32" s="374"/>
      <c r="Z32" s="374"/>
      <c r="AA32" s="374"/>
      <c r="AB32" s="374"/>
      <c r="AC32" s="374"/>
      <c r="AD32" s="374"/>
      <c r="AE32" s="374"/>
      <c r="AF32" s="374"/>
      <c r="AG32" s="374"/>
      <c r="AH32" s="374"/>
      <c r="AI32" s="374"/>
      <c r="AJ32" s="374"/>
      <c r="AK32" s="374"/>
      <c r="AL32" s="374"/>
      <c r="AM32" s="374"/>
      <c r="AN32" s="374"/>
      <c r="AO32" s="374"/>
      <c r="AP32" s="374"/>
      <c r="AQ32" s="374"/>
      <c r="AR32" s="374"/>
      <c r="AS32" s="374"/>
      <c r="AT32" s="374"/>
      <c r="AU32" s="374"/>
      <c r="AV32" s="374"/>
      <c r="AW32" s="374"/>
      <c r="AX32" s="374"/>
      <c r="AY32" s="374"/>
      <c r="AZ32" s="374"/>
      <c r="BA32" s="374"/>
      <c r="BB32" s="374"/>
      <c r="BC32" s="374"/>
      <c r="BD32" s="374"/>
      <c r="BE32" s="374"/>
      <c r="BF32" s="374"/>
      <c r="BG32" s="374"/>
    </row>
    <row r="33" spans="1:59" x14ac:dyDescent="0.55000000000000004">
      <c r="A33" s="1322" t="s">
        <v>730</v>
      </c>
      <c r="B33" s="1227"/>
      <c r="C33" s="1363" t="s">
        <v>1684</v>
      </c>
      <c r="D33" s="1364" t="s">
        <v>681</v>
      </c>
      <c r="E33" s="1365">
        <v>394957</v>
      </c>
      <c r="F33" s="1365">
        <v>0</v>
      </c>
      <c r="G33" s="1365">
        <v>0</v>
      </c>
      <c r="H33" s="1365">
        <v>114164</v>
      </c>
      <c r="I33" s="1365">
        <v>114154</v>
      </c>
      <c r="J33" s="1365">
        <v>114154</v>
      </c>
      <c r="K33" s="1365">
        <v>57683</v>
      </c>
      <c r="L33" s="1366">
        <v>871790</v>
      </c>
      <c r="M33" s="1366">
        <v>901431</v>
      </c>
      <c r="N33" s="1366">
        <v>930276.79200000002</v>
      </c>
      <c r="O33" s="1064"/>
      <c r="P33" s="374"/>
      <c r="Q33" s="374"/>
      <c r="R33" s="374"/>
      <c r="S33" s="374"/>
      <c r="T33" s="374"/>
      <c r="U33" s="374"/>
      <c r="V33" s="374"/>
      <c r="W33" s="374"/>
      <c r="X33" s="374"/>
      <c r="Y33" s="374"/>
      <c r="Z33" s="374"/>
      <c r="AA33" s="374"/>
      <c r="AB33" s="374"/>
      <c r="AC33" s="374"/>
      <c r="AD33" s="374"/>
      <c r="AE33" s="374"/>
      <c r="AF33" s="374"/>
      <c r="AG33" s="374"/>
      <c r="AH33" s="374"/>
      <c r="AI33" s="374"/>
      <c r="AJ33" s="374"/>
      <c r="AK33" s="374"/>
      <c r="AL33" s="374"/>
      <c r="AM33" s="374"/>
      <c r="AN33" s="374"/>
      <c r="AO33" s="374"/>
      <c r="AP33" s="374"/>
      <c r="AQ33" s="374"/>
      <c r="AR33" s="374"/>
      <c r="AS33" s="374"/>
      <c r="AT33" s="374"/>
      <c r="AU33" s="374"/>
      <c r="AV33" s="374"/>
      <c r="AW33" s="374"/>
      <c r="AX33" s="374"/>
      <c r="AY33" s="374"/>
      <c r="AZ33" s="374"/>
      <c r="BA33" s="374"/>
      <c r="BB33" s="374"/>
      <c r="BC33" s="374"/>
      <c r="BD33" s="374"/>
      <c r="BE33" s="374"/>
      <c r="BF33" s="374"/>
      <c r="BG33" s="374"/>
    </row>
    <row r="34" spans="1:59" x14ac:dyDescent="0.55000000000000004">
      <c r="A34" s="1322" t="s">
        <v>732</v>
      </c>
      <c r="B34" s="1227"/>
      <c r="C34" s="1363" t="s">
        <v>729</v>
      </c>
      <c r="D34" s="1367" t="s">
        <v>681</v>
      </c>
      <c r="E34" s="1370">
        <v>5300514</v>
      </c>
      <c r="F34" s="1370">
        <v>464806</v>
      </c>
      <c r="G34" s="1370">
        <v>0</v>
      </c>
      <c r="H34" s="1370">
        <v>11546000</v>
      </c>
      <c r="I34" s="1370">
        <v>19240000</v>
      </c>
      <c r="J34" s="1370">
        <v>19240000</v>
      </c>
      <c r="K34" s="1370">
        <v>743002</v>
      </c>
      <c r="L34" s="1371">
        <v>18840000</v>
      </c>
      <c r="M34" s="1371">
        <v>19480560</v>
      </c>
      <c r="N34" s="1371">
        <v>20103937.920000002</v>
      </c>
      <c r="O34" s="1064"/>
      <c r="P34" s="374"/>
      <c r="Q34" s="374"/>
      <c r="R34" s="374"/>
      <c r="S34" s="374"/>
      <c r="T34" s="374"/>
      <c r="U34" s="374"/>
      <c r="V34" s="374"/>
      <c r="W34" s="374"/>
      <c r="X34" s="374"/>
      <c r="Y34" s="374"/>
      <c r="Z34" s="374"/>
      <c r="AA34" s="374"/>
      <c r="AB34" s="374"/>
      <c r="AC34" s="374"/>
      <c r="AD34" s="374"/>
      <c r="AE34" s="374"/>
      <c r="AF34" s="374"/>
      <c r="AG34" s="374"/>
      <c r="AH34" s="374"/>
      <c r="AI34" s="374"/>
      <c r="AJ34" s="374"/>
      <c r="AK34" s="374"/>
      <c r="AL34" s="374"/>
      <c r="AM34" s="374"/>
      <c r="AN34" s="374"/>
      <c r="AO34" s="374"/>
      <c r="AP34" s="374"/>
      <c r="AQ34" s="374"/>
      <c r="AR34" s="374"/>
      <c r="AS34" s="374"/>
      <c r="AT34" s="374"/>
      <c r="AU34" s="374"/>
      <c r="AV34" s="374"/>
      <c r="AW34" s="374"/>
      <c r="AX34" s="374"/>
      <c r="AY34" s="374"/>
      <c r="AZ34" s="374"/>
      <c r="BA34" s="374"/>
      <c r="BB34" s="374"/>
      <c r="BC34" s="374"/>
      <c r="BD34" s="374"/>
      <c r="BE34" s="374"/>
      <c r="BF34" s="374"/>
      <c r="BG34" s="374"/>
    </row>
    <row r="35" spans="1:59" x14ac:dyDescent="0.55000000000000004">
      <c r="A35" s="1322" t="s">
        <v>733</v>
      </c>
      <c r="B35" s="1227"/>
      <c r="C35" s="1125" t="s">
        <v>731</v>
      </c>
      <c r="D35" s="568" t="s">
        <v>681</v>
      </c>
      <c r="E35" s="380">
        <v>0</v>
      </c>
      <c r="F35" s="380">
        <v>0</v>
      </c>
      <c r="G35" s="383">
        <v>0</v>
      </c>
      <c r="H35" s="1132">
        <v>0</v>
      </c>
      <c r="I35" s="380">
        <v>0</v>
      </c>
      <c r="J35" s="562">
        <v>0</v>
      </c>
      <c r="K35" s="563">
        <v>0</v>
      </c>
      <c r="L35" s="1109">
        <v>0</v>
      </c>
      <c r="M35" s="1108">
        <v>0</v>
      </c>
      <c r="N35" s="1133">
        <v>0</v>
      </c>
      <c r="O35" s="1064"/>
      <c r="P35" s="374"/>
      <c r="Q35" s="374"/>
      <c r="R35" s="374"/>
      <c r="S35" s="374"/>
      <c r="T35" s="374"/>
      <c r="U35" s="374"/>
      <c r="V35" s="374"/>
      <c r="W35" s="374"/>
      <c r="X35" s="374"/>
      <c r="Y35" s="374"/>
      <c r="Z35" s="374"/>
      <c r="AA35" s="374"/>
      <c r="AB35" s="374"/>
      <c r="AC35" s="374"/>
      <c r="AD35" s="374"/>
      <c r="AE35" s="374"/>
      <c r="AF35" s="374"/>
      <c r="AG35" s="374"/>
      <c r="AH35" s="374"/>
      <c r="AI35" s="374"/>
      <c r="AJ35" s="374"/>
      <c r="AK35" s="374"/>
      <c r="AL35" s="374"/>
      <c r="AM35" s="374"/>
      <c r="AN35" s="374"/>
      <c r="AO35" s="374"/>
      <c r="AP35" s="374"/>
      <c r="AQ35" s="374"/>
      <c r="AR35" s="374"/>
      <c r="AS35" s="374"/>
      <c r="AT35" s="374"/>
      <c r="AU35" s="374"/>
      <c r="AV35" s="374"/>
      <c r="AW35" s="374"/>
      <c r="AX35" s="374"/>
      <c r="AY35" s="374"/>
      <c r="AZ35" s="374"/>
      <c r="BA35" s="374"/>
      <c r="BB35" s="374"/>
      <c r="BC35" s="374"/>
      <c r="BD35" s="374"/>
      <c r="BE35" s="374"/>
      <c r="BF35" s="374"/>
      <c r="BG35" s="374"/>
    </row>
    <row r="36" spans="1:59" x14ac:dyDescent="0.55000000000000004">
      <c r="A36" s="1322" t="s">
        <v>735</v>
      </c>
      <c r="B36" s="1227"/>
      <c r="C36" s="1125" t="s">
        <v>707</v>
      </c>
      <c r="D36" s="379" t="s">
        <v>681</v>
      </c>
      <c r="E36" s="380">
        <v>664099467</v>
      </c>
      <c r="F36" s="380">
        <v>708475587</v>
      </c>
      <c r="G36" s="383">
        <v>752602157</v>
      </c>
      <c r="H36" s="1132">
        <v>850549093</v>
      </c>
      <c r="I36" s="380">
        <v>865667084</v>
      </c>
      <c r="J36" s="562">
        <v>865667084</v>
      </c>
      <c r="K36" s="563">
        <v>558539976</v>
      </c>
      <c r="L36" s="1109">
        <v>900238160</v>
      </c>
      <c r="M36" s="1108">
        <v>930158600</v>
      </c>
      <c r="N36" s="1133">
        <v>957787434.9519999</v>
      </c>
      <c r="O36" s="1064"/>
      <c r="P36" s="374"/>
      <c r="Q36" s="374"/>
      <c r="R36" s="374"/>
      <c r="S36" s="374"/>
      <c r="T36" s="374"/>
      <c r="U36" s="374"/>
      <c r="V36" s="374"/>
      <c r="W36" s="374"/>
      <c r="X36" s="374"/>
      <c r="Y36" s="374"/>
      <c r="Z36" s="374"/>
      <c r="AA36" s="374"/>
      <c r="AB36" s="374"/>
      <c r="AC36" s="374"/>
      <c r="AD36" s="374"/>
      <c r="AE36" s="374"/>
      <c r="AF36" s="374"/>
      <c r="AG36" s="374"/>
      <c r="AH36" s="374"/>
      <c r="AI36" s="374"/>
      <c r="AJ36" s="374"/>
      <c r="AK36" s="374"/>
      <c r="AL36" s="374"/>
      <c r="AM36" s="374"/>
      <c r="AN36" s="374"/>
      <c r="AO36" s="374"/>
      <c r="AP36" s="374"/>
      <c r="AQ36" s="374"/>
      <c r="AR36" s="374"/>
      <c r="AS36" s="374"/>
      <c r="AT36" s="374"/>
      <c r="AU36" s="374"/>
      <c r="AV36" s="374"/>
      <c r="AW36" s="374"/>
      <c r="AX36" s="374"/>
      <c r="AY36" s="374"/>
      <c r="AZ36" s="374"/>
      <c r="BA36" s="374"/>
      <c r="BB36" s="374"/>
      <c r="BC36" s="374"/>
      <c r="BD36" s="374"/>
      <c r="BE36" s="374"/>
      <c r="BF36" s="374"/>
      <c r="BG36" s="374"/>
    </row>
    <row r="37" spans="1:59" x14ac:dyDescent="0.55000000000000004">
      <c r="A37" s="1322" t="s">
        <v>737</v>
      </c>
      <c r="B37" s="1227"/>
      <c r="C37" s="1125" t="s">
        <v>22</v>
      </c>
      <c r="D37" s="379" t="s">
        <v>681</v>
      </c>
      <c r="E37" s="380">
        <v>0</v>
      </c>
      <c r="F37" s="380">
        <v>0</v>
      </c>
      <c r="G37" s="383">
        <v>0</v>
      </c>
      <c r="H37" s="561">
        <v>0</v>
      </c>
      <c r="I37" s="380">
        <v>0</v>
      </c>
      <c r="J37" s="383">
        <v>0</v>
      </c>
      <c r="K37" s="563">
        <v>0</v>
      </c>
      <c r="L37" s="1109">
        <v>0</v>
      </c>
      <c r="M37" s="1108">
        <v>0</v>
      </c>
      <c r="N37" s="1133">
        <v>0</v>
      </c>
      <c r="O37" s="1064"/>
      <c r="P37" s="374"/>
      <c r="Q37" s="374"/>
      <c r="R37" s="374"/>
      <c r="S37" s="374"/>
      <c r="T37" s="374"/>
      <c r="U37" s="374"/>
      <c r="V37" s="374"/>
      <c r="W37" s="374"/>
      <c r="X37" s="374"/>
      <c r="Y37" s="374"/>
      <c r="Z37" s="374"/>
      <c r="AA37" s="374"/>
      <c r="AB37" s="374"/>
      <c r="AC37" s="374"/>
      <c r="AD37" s="374"/>
      <c r="AE37" s="374"/>
      <c r="AF37" s="374"/>
      <c r="AG37" s="374"/>
      <c r="AH37" s="374"/>
      <c r="AI37" s="374"/>
      <c r="AJ37" s="374"/>
      <c r="AK37" s="374"/>
      <c r="AL37" s="374"/>
      <c r="AM37" s="374"/>
      <c r="AN37" s="374"/>
      <c r="AO37" s="374"/>
      <c r="AP37" s="374"/>
      <c r="AQ37" s="374"/>
      <c r="AR37" s="374"/>
      <c r="AS37" s="374"/>
      <c r="AT37" s="374"/>
      <c r="AU37" s="374"/>
      <c r="AV37" s="374"/>
      <c r="AW37" s="374"/>
      <c r="AX37" s="374"/>
      <c r="AY37" s="374"/>
      <c r="AZ37" s="374"/>
      <c r="BA37" s="374"/>
      <c r="BB37" s="374"/>
      <c r="BC37" s="374"/>
      <c r="BD37" s="374"/>
      <c r="BE37" s="374"/>
      <c r="BF37" s="374"/>
      <c r="BG37" s="374"/>
    </row>
    <row r="38" spans="1:59" x14ac:dyDescent="0.55000000000000004">
      <c r="A38" s="1322" t="s">
        <v>738</v>
      </c>
      <c r="B38" s="1227"/>
      <c r="C38" s="1125" t="s">
        <v>8</v>
      </c>
      <c r="D38" s="379" t="s">
        <v>1679</v>
      </c>
      <c r="E38" s="380">
        <v>246990279</v>
      </c>
      <c r="F38" s="380">
        <v>275384233</v>
      </c>
      <c r="G38" s="383">
        <v>281508905</v>
      </c>
      <c r="H38" s="561">
        <v>315821111</v>
      </c>
      <c r="I38" s="380">
        <v>315416465</v>
      </c>
      <c r="J38" s="383">
        <v>315416465</v>
      </c>
      <c r="K38" s="563">
        <v>194344514</v>
      </c>
      <c r="L38" s="1109">
        <v>314715240</v>
      </c>
      <c r="M38" s="1108">
        <v>325417414</v>
      </c>
      <c r="N38" s="1133">
        <v>335832955.15200001</v>
      </c>
      <c r="O38" s="1064"/>
      <c r="P38" s="374"/>
      <c r="Q38" s="374"/>
      <c r="R38" s="374"/>
      <c r="S38" s="374"/>
      <c r="T38" s="374"/>
      <c r="U38" s="374"/>
      <c r="V38" s="374"/>
      <c r="W38" s="374"/>
      <c r="X38" s="374"/>
      <c r="Y38" s="374"/>
      <c r="Z38" s="374"/>
      <c r="AA38" s="374"/>
      <c r="AB38" s="374"/>
      <c r="AC38" s="374"/>
      <c r="AD38" s="374"/>
      <c r="AE38" s="374"/>
      <c r="AF38" s="374"/>
      <c r="AG38" s="374"/>
      <c r="AH38" s="374"/>
      <c r="AI38" s="374"/>
      <c r="AJ38" s="374"/>
      <c r="AK38" s="374"/>
      <c r="AL38" s="374"/>
      <c r="AM38" s="374"/>
      <c r="AN38" s="374"/>
      <c r="AO38" s="374"/>
      <c r="AP38" s="374"/>
      <c r="AQ38" s="374"/>
      <c r="AR38" s="374"/>
      <c r="AS38" s="374"/>
      <c r="AT38" s="374"/>
      <c r="AU38" s="374"/>
      <c r="AV38" s="374"/>
      <c r="AW38" s="374"/>
      <c r="AX38" s="374"/>
      <c r="AY38" s="374"/>
      <c r="AZ38" s="374"/>
      <c r="BA38" s="374"/>
      <c r="BB38" s="374"/>
      <c r="BC38" s="374"/>
      <c r="BD38" s="374"/>
      <c r="BE38" s="374"/>
      <c r="BF38" s="374"/>
      <c r="BG38" s="374"/>
    </row>
    <row r="39" spans="1:59" x14ac:dyDescent="0.55000000000000004">
      <c r="A39" s="1322" t="s">
        <v>739</v>
      </c>
      <c r="B39" s="1227"/>
      <c r="C39" s="1125" t="s">
        <v>9</v>
      </c>
      <c r="D39" s="379" t="s">
        <v>681</v>
      </c>
      <c r="E39" s="380">
        <v>12685581</v>
      </c>
      <c r="F39" s="380">
        <v>13189413</v>
      </c>
      <c r="G39" s="383">
        <v>13148261</v>
      </c>
      <c r="H39" s="1132">
        <v>15017379</v>
      </c>
      <c r="I39" s="380">
        <v>15017379</v>
      </c>
      <c r="J39" s="562">
        <v>15017379</v>
      </c>
      <c r="K39" s="563">
        <v>8830464</v>
      </c>
      <c r="L39" s="1109">
        <v>14271314</v>
      </c>
      <c r="M39" s="1108">
        <v>14756538</v>
      </c>
      <c r="N39" s="1133">
        <v>15228747.216</v>
      </c>
      <c r="O39" s="1064"/>
      <c r="P39" s="374"/>
      <c r="Q39" s="374"/>
      <c r="R39" s="374"/>
      <c r="S39" s="374"/>
      <c r="T39" s="374"/>
      <c r="U39" s="374"/>
      <c r="V39" s="374"/>
      <c r="W39" s="374"/>
      <c r="X39" s="374"/>
      <c r="Y39" s="374"/>
      <c r="Z39" s="374"/>
      <c r="AA39" s="374"/>
      <c r="AB39" s="374"/>
      <c r="AC39" s="374"/>
      <c r="AD39" s="374"/>
      <c r="AE39" s="374"/>
      <c r="AF39" s="374"/>
      <c r="AG39" s="374"/>
      <c r="AH39" s="374"/>
      <c r="AI39" s="374"/>
      <c r="AJ39" s="374"/>
      <c r="AK39" s="374"/>
      <c r="AL39" s="374"/>
      <c r="AM39" s="374"/>
      <c r="AN39" s="374"/>
      <c r="AO39" s="374"/>
      <c r="AP39" s="374"/>
      <c r="AQ39" s="374"/>
      <c r="AR39" s="374"/>
      <c r="AS39" s="374"/>
      <c r="AT39" s="374"/>
      <c r="AU39" s="374"/>
      <c r="AV39" s="374"/>
      <c r="AW39" s="374"/>
      <c r="AX39" s="374"/>
      <c r="AY39" s="374"/>
      <c r="AZ39" s="374"/>
      <c r="BA39" s="374"/>
      <c r="BB39" s="374"/>
      <c r="BC39" s="374"/>
      <c r="BD39" s="374"/>
      <c r="BE39" s="374"/>
      <c r="BF39" s="374"/>
      <c r="BG39" s="374"/>
    </row>
    <row r="40" spans="1:59" x14ac:dyDescent="0.55000000000000004">
      <c r="A40" s="1322" t="s">
        <v>741</v>
      </c>
      <c r="B40" s="1227"/>
      <c r="C40" s="1125" t="s">
        <v>724</v>
      </c>
      <c r="D40" s="379" t="s">
        <v>1679</v>
      </c>
      <c r="E40" s="380">
        <v>87773616</v>
      </c>
      <c r="F40" s="380">
        <v>101021445</v>
      </c>
      <c r="G40" s="383">
        <v>120103715</v>
      </c>
      <c r="H40" s="561">
        <v>139206740</v>
      </c>
      <c r="I40" s="380">
        <v>139206740</v>
      </c>
      <c r="J40" s="383">
        <v>139206740</v>
      </c>
      <c r="K40" s="563">
        <v>82625968</v>
      </c>
      <c r="L40" s="1109">
        <v>152140082</v>
      </c>
      <c r="M40" s="1108">
        <v>157312845</v>
      </c>
      <c r="N40" s="1133">
        <v>162346856.03999999</v>
      </c>
      <c r="O40" s="1064"/>
      <c r="P40" s="374"/>
      <c r="Q40" s="374"/>
      <c r="R40" s="374"/>
      <c r="S40" s="374"/>
      <c r="T40" s="374"/>
      <c r="U40" s="374"/>
      <c r="V40" s="374"/>
      <c r="W40" s="374"/>
      <c r="X40" s="374"/>
      <c r="Y40" s="374"/>
      <c r="Z40" s="374"/>
      <c r="AA40" s="374"/>
      <c r="AB40" s="374"/>
      <c r="AC40" s="374"/>
      <c r="AD40" s="374"/>
      <c r="AE40" s="374"/>
      <c r="AF40" s="374"/>
      <c r="AG40" s="374"/>
      <c r="AH40" s="374"/>
      <c r="AI40" s="374"/>
      <c r="AJ40" s="374"/>
      <c r="AK40" s="374"/>
      <c r="AL40" s="374"/>
      <c r="AM40" s="374"/>
      <c r="AN40" s="374"/>
      <c r="AO40" s="374"/>
      <c r="AP40" s="374"/>
      <c r="AQ40" s="374"/>
      <c r="AR40" s="374"/>
      <c r="AS40" s="374"/>
      <c r="AT40" s="374"/>
      <c r="AU40" s="374"/>
      <c r="AV40" s="374"/>
      <c r="AW40" s="374"/>
      <c r="AX40" s="374"/>
      <c r="AY40" s="374"/>
      <c r="AZ40" s="374"/>
      <c r="BA40" s="374"/>
      <c r="BB40" s="374"/>
      <c r="BC40" s="374"/>
      <c r="BD40" s="374"/>
      <c r="BE40" s="374"/>
      <c r="BF40" s="374"/>
      <c r="BG40" s="374"/>
    </row>
    <row r="41" spans="1:59" x14ac:dyDescent="0.55000000000000004">
      <c r="A41" s="1322" t="s">
        <v>743</v>
      </c>
      <c r="B41" s="1227"/>
      <c r="C41" s="1125" t="s">
        <v>726</v>
      </c>
      <c r="D41" s="379" t="s">
        <v>1685</v>
      </c>
      <c r="E41" s="380">
        <v>33436440</v>
      </c>
      <c r="F41" s="380">
        <v>40326882</v>
      </c>
      <c r="G41" s="383">
        <v>39710741</v>
      </c>
      <c r="H41" s="1132">
        <v>41789812</v>
      </c>
      <c r="I41" s="380">
        <v>46956247</v>
      </c>
      <c r="J41" s="562">
        <v>46956247</v>
      </c>
      <c r="K41" s="563">
        <v>23418672</v>
      </c>
      <c r="L41" s="1109">
        <v>44401679</v>
      </c>
      <c r="M41" s="1108">
        <v>45911352</v>
      </c>
      <c r="N41" s="1133">
        <v>47380515.263999999</v>
      </c>
      <c r="O41" s="1064"/>
      <c r="P41" s="374"/>
      <c r="Q41" s="374"/>
      <c r="R41" s="374"/>
      <c r="S41" s="374"/>
      <c r="T41" s="374"/>
      <c r="U41" s="374"/>
      <c r="V41" s="374"/>
      <c r="W41" s="374"/>
      <c r="X41" s="374"/>
      <c r="Y41" s="374"/>
      <c r="Z41" s="374"/>
      <c r="AA41" s="374"/>
      <c r="AB41" s="374"/>
      <c r="AC41" s="374"/>
      <c r="AD41" s="374"/>
      <c r="AE41" s="374"/>
      <c r="AF41" s="374"/>
      <c r="AG41" s="374"/>
      <c r="AH41" s="374"/>
      <c r="AI41" s="374"/>
      <c r="AJ41" s="374"/>
      <c r="AK41" s="374"/>
      <c r="AL41" s="374"/>
      <c r="AM41" s="374"/>
      <c r="AN41" s="374"/>
      <c r="AO41" s="374"/>
      <c r="AP41" s="374"/>
      <c r="AQ41" s="374"/>
      <c r="AR41" s="374"/>
      <c r="AS41" s="374"/>
      <c r="AT41" s="374"/>
      <c r="AU41" s="374"/>
      <c r="AV41" s="374"/>
      <c r="AW41" s="374"/>
      <c r="AX41" s="374"/>
      <c r="AY41" s="374"/>
      <c r="AZ41" s="374"/>
      <c r="BA41" s="374"/>
      <c r="BB41" s="374"/>
      <c r="BC41" s="374"/>
      <c r="BD41" s="374"/>
      <c r="BE41" s="374"/>
      <c r="BF41" s="374"/>
      <c r="BG41" s="374"/>
    </row>
    <row r="42" spans="1:59" x14ac:dyDescent="0.55000000000000004">
      <c r="A42" s="1322" t="s">
        <v>746</v>
      </c>
      <c r="B42" s="1227"/>
      <c r="C42" s="1125" t="s">
        <v>10</v>
      </c>
      <c r="D42" s="379" t="s">
        <v>1686</v>
      </c>
      <c r="E42" s="380">
        <v>99602555</v>
      </c>
      <c r="F42" s="380">
        <v>88787711</v>
      </c>
      <c r="G42" s="383">
        <v>100461168</v>
      </c>
      <c r="H42" s="1132">
        <v>116591150</v>
      </c>
      <c r="I42" s="380">
        <v>110914000</v>
      </c>
      <c r="J42" s="562">
        <v>110914000</v>
      </c>
      <c r="K42" s="563">
        <v>68233513</v>
      </c>
      <c r="L42" s="1109">
        <v>107826000</v>
      </c>
      <c r="M42" s="1108">
        <v>111492084</v>
      </c>
      <c r="N42" s="1133">
        <v>115059830.68799999</v>
      </c>
      <c r="O42" s="1064"/>
      <c r="P42" s="374"/>
      <c r="Q42" s="374"/>
      <c r="R42" s="374"/>
      <c r="S42" s="374"/>
      <c r="T42" s="374"/>
      <c r="U42" s="374"/>
      <c r="V42" s="374"/>
      <c r="W42" s="374"/>
      <c r="X42" s="374"/>
      <c r="Y42" s="374"/>
      <c r="Z42" s="374"/>
      <c r="AA42" s="374"/>
      <c r="AB42" s="374"/>
      <c r="AC42" s="374"/>
      <c r="AD42" s="374"/>
      <c r="AE42" s="374"/>
      <c r="AF42" s="374"/>
      <c r="AG42" s="374"/>
      <c r="AH42" s="374"/>
      <c r="AI42" s="374"/>
      <c r="AJ42" s="374"/>
      <c r="AK42" s="374"/>
      <c r="AL42" s="374"/>
      <c r="AM42" s="374"/>
      <c r="AN42" s="374"/>
      <c r="AO42" s="374"/>
      <c r="AP42" s="374"/>
      <c r="AQ42" s="374"/>
      <c r="AR42" s="374"/>
      <c r="AS42" s="374"/>
      <c r="AT42" s="374"/>
      <c r="AU42" s="374"/>
      <c r="AV42" s="374"/>
      <c r="AW42" s="374"/>
      <c r="AX42" s="374"/>
      <c r="AY42" s="374"/>
      <c r="AZ42" s="374"/>
      <c r="BA42" s="374"/>
      <c r="BB42" s="374"/>
      <c r="BC42" s="374"/>
      <c r="BD42" s="374"/>
      <c r="BE42" s="374"/>
      <c r="BF42" s="374"/>
      <c r="BG42" s="374"/>
    </row>
    <row r="43" spans="1:59" x14ac:dyDescent="0.55000000000000004">
      <c r="A43" s="1322" t="s">
        <v>748</v>
      </c>
      <c r="B43" s="1227"/>
      <c r="C43" s="1125" t="s">
        <v>1687</v>
      </c>
      <c r="D43" s="379" t="s">
        <v>681</v>
      </c>
      <c r="E43" s="380">
        <v>32626466</v>
      </c>
      <c r="F43" s="380">
        <v>34240710</v>
      </c>
      <c r="G43" s="383">
        <v>41320524</v>
      </c>
      <c r="H43" s="561">
        <v>35541317</v>
      </c>
      <c r="I43" s="380">
        <v>43847541</v>
      </c>
      <c r="J43" s="383">
        <v>43847541</v>
      </c>
      <c r="K43" s="563">
        <v>23048366</v>
      </c>
      <c r="L43" s="1109">
        <v>40079353</v>
      </c>
      <c r="M43" s="1108">
        <v>42062858.560000002</v>
      </c>
      <c r="N43" s="1133">
        <v>44123207</v>
      </c>
      <c r="O43" s="1064"/>
      <c r="P43" s="374"/>
      <c r="Q43" s="374"/>
      <c r="R43" s="374"/>
      <c r="S43" s="374"/>
      <c r="T43" s="374"/>
      <c r="U43" s="374"/>
      <c r="V43" s="374"/>
      <c r="W43" s="374"/>
      <c r="X43" s="374"/>
      <c r="Y43" s="374"/>
      <c r="Z43" s="374"/>
      <c r="AA43" s="374"/>
      <c r="AB43" s="374"/>
      <c r="AC43" s="374"/>
      <c r="AD43" s="374"/>
      <c r="AE43" s="374"/>
      <c r="AF43" s="374"/>
      <c r="AG43" s="374"/>
      <c r="AH43" s="374"/>
      <c r="AI43" s="374"/>
      <c r="AJ43" s="374"/>
      <c r="AK43" s="374"/>
      <c r="AL43" s="374"/>
      <c r="AM43" s="374"/>
      <c r="AN43" s="374"/>
      <c r="AO43" s="374"/>
      <c r="AP43" s="374"/>
      <c r="AQ43" s="374"/>
      <c r="AR43" s="374"/>
      <c r="AS43" s="374"/>
      <c r="AT43" s="374"/>
      <c r="AU43" s="374"/>
      <c r="AV43" s="374"/>
      <c r="AW43" s="374"/>
      <c r="AX43" s="374"/>
      <c r="AY43" s="374"/>
      <c r="AZ43" s="374"/>
      <c r="BA43" s="374"/>
      <c r="BB43" s="374"/>
      <c r="BC43" s="374"/>
      <c r="BD43" s="374"/>
      <c r="BE43" s="374"/>
      <c r="BF43" s="374"/>
      <c r="BG43" s="374"/>
    </row>
    <row r="44" spans="1:59" x14ac:dyDescent="0.55000000000000004">
      <c r="A44" s="1322" t="s">
        <v>750</v>
      </c>
      <c r="B44" s="1227"/>
      <c r="C44" s="1125" t="s">
        <v>1688</v>
      </c>
      <c r="D44" s="379" t="s">
        <v>681</v>
      </c>
      <c r="E44" s="380">
        <v>32478549</v>
      </c>
      <c r="F44" s="380">
        <v>41699342</v>
      </c>
      <c r="G44" s="383">
        <v>47204499</v>
      </c>
      <c r="H44" s="1132">
        <v>47550598</v>
      </c>
      <c r="I44" s="380">
        <v>54458598</v>
      </c>
      <c r="J44" s="562">
        <v>54458598</v>
      </c>
      <c r="K44" s="563">
        <v>14984224</v>
      </c>
      <c r="L44" s="1109">
        <v>45677838</v>
      </c>
      <c r="M44" s="1108">
        <v>47230883</v>
      </c>
      <c r="N44" s="1133">
        <v>48742271.255999997</v>
      </c>
      <c r="O44" s="1064"/>
      <c r="P44" s="374"/>
      <c r="Q44" s="374"/>
      <c r="R44" s="374"/>
      <c r="S44" s="374"/>
      <c r="T44" s="374"/>
      <c r="U44" s="374"/>
      <c r="V44" s="374"/>
      <c r="W44" s="374"/>
      <c r="X44" s="374"/>
      <c r="Y44" s="374"/>
      <c r="Z44" s="374"/>
      <c r="AA44" s="374"/>
      <c r="AB44" s="374"/>
      <c r="AC44" s="374"/>
      <c r="AD44" s="374"/>
      <c r="AE44" s="374"/>
      <c r="AF44" s="374"/>
      <c r="AG44" s="374"/>
      <c r="AH44" s="374"/>
      <c r="AI44" s="374"/>
      <c r="AJ44" s="374"/>
      <c r="AK44" s="374"/>
      <c r="AL44" s="374"/>
      <c r="AM44" s="374"/>
      <c r="AN44" s="374"/>
      <c r="AO44" s="374"/>
      <c r="AP44" s="374"/>
      <c r="AQ44" s="374"/>
      <c r="AR44" s="374"/>
      <c r="AS44" s="374"/>
      <c r="AT44" s="374"/>
      <c r="AU44" s="374"/>
      <c r="AV44" s="374"/>
      <c r="AW44" s="374"/>
      <c r="AX44" s="374"/>
      <c r="AY44" s="374"/>
      <c r="AZ44" s="374"/>
      <c r="BA44" s="374"/>
      <c r="BB44" s="374"/>
      <c r="BC44" s="374"/>
      <c r="BD44" s="374"/>
      <c r="BE44" s="374"/>
      <c r="BF44" s="374"/>
      <c r="BG44" s="374"/>
    </row>
    <row r="45" spans="1:59" x14ac:dyDescent="0.55000000000000004">
      <c r="A45" s="1322" t="s">
        <v>752</v>
      </c>
      <c r="B45" s="1227"/>
      <c r="C45" s="1125" t="s">
        <v>12</v>
      </c>
      <c r="D45" s="379" t="s">
        <v>681</v>
      </c>
      <c r="E45" s="380">
        <v>122692028</v>
      </c>
      <c r="F45" s="380">
        <v>141907442</v>
      </c>
      <c r="G45" s="383">
        <v>58563481</v>
      </c>
      <c r="H45" s="561">
        <v>60428978</v>
      </c>
      <c r="I45" s="380">
        <v>73142706</v>
      </c>
      <c r="J45" s="383">
        <v>73142706</v>
      </c>
      <c r="K45" s="563">
        <v>26488372</v>
      </c>
      <c r="L45" s="1109">
        <v>66568331</v>
      </c>
      <c r="M45" s="1108">
        <v>68831710</v>
      </c>
      <c r="N45" s="1133">
        <v>71034324.719999865</v>
      </c>
      <c r="O45" s="1064"/>
      <c r="P45" s="374"/>
      <c r="Q45" s="374"/>
      <c r="R45" s="374"/>
      <c r="S45" s="374"/>
      <c r="T45" s="374"/>
      <c r="U45" s="374"/>
      <c r="V45" s="374"/>
      <c r="W45" s="374"/>
      <c r="X45" s="374"/>
      <c r="Y45" s="374"/>
      <c r="Z45" s="374"/>
      <c r="AA45" s="374"/>
      <c r="AB45" s="374"/>
      <c r="AC45" s="374"/>
      <c r="AD45" s="374"/>
      <c r="AE45" s="374"/>
      <c r="AF45" s="374"/>
      <c r="AG45" s="374"/>
      <c r="AH45" s="374"/>
      <c r="AI45" s="374"/>
      <c r="AJ45" s="374"/>
      <c r="AK45" s="374"/>
      <c r="AL45" s="374"/>
      <c r="AM45" s="374"/>
      <c r="AN45" s="374"/>
      <c r="AO45" s="374"/>
      <c r="AP45" s="374"/>
      <c r="AQ45" s="374"/>
      <c r="AR45" s="374"/>
      <c r="AS45" s="374"/>
      <c r="AT45" s="374"/>
      <c r="AU45" s="374"/>
      <c r="AV45" s="374"/>
      <c r="AW45" s="374"/>
      <c r="AX45" s="374"/>
      <c r="AY45" s="374"/>
      <c r="AZ45" s="374"/>
      <c r="BA45" s="374"/>
      <c r="BB45" s="374"/>
      <c r="BC45" s="374"/>
      <c r="BD45" s="374"/>
      <c r="BE45" s="374"/>
      <c r="BF45" s="374"/>
      <c r="BG45" s="374"/>
    </row>
    <row r="46" spans="1:59" x14ac:dyDescent="0.55000000000000004">
      <c r="A46" s="1322" t="s">
        <v>755</v>
      </c>
      <c r="B46" s="1227"/>
      <c r="C46" s="1125" t="s">
        <v>204</v>
      </c>
      <c r="D46" s="379" t="s">
        <v>681</v>
      </c>
      <c r="E46" s="380">
        <v>8527581</v>
      </c>
      <c r="F46" s="380">
        <v>1951552</v>
      </c>
      <c r="G46" s="383">
        <v>5501302</v>
      </c>
      <c r="H46" s="1132">
        <v>12080001</v>
      </c>
      <c r="I46" s="380">
        <v>11549087</v>
      </c>
      <c r="J46" s="383">
        <v>11549087</v>
      </c>
      <c r="K46" s="563">
        <v>388733</v>
      </c>
      <c r="L46" s="1109">
        <v>11800</v>
      </c>
      <c r="M46" s="1108">
        <v>12201</v>
      </c>
      <c r="N46" s="1133">
        <v>12591.432000000001</v>
      </c>
      <c r="O46" s="1064"/>
      <c r="P46" s="374"/>
      <c r="Q46" s="374"/>
      <c r="R46" s="374"/>
      <c r="S46" s="374"/>
      <c r="T46" s="374"/>
      <c r="U46" s="374"/>
      <c r="V46" s="374"/>
      <c r="W46" s="374"/>
      <c r="X46" s="374"/>
      <c r="Y46" s="374"/>
      <c r="Z46" s="374"/>
      <c r="AA46" s="374"/>
      <c r="AB46" s="374"/>
      <c r="AC46" s="374"/>
      <c r="AD46" s="374"/>
      <c r="AE46" s="374"/>
      <c r="AF46" s="374"/>
      <c r="AG46" s="374"/>
      <c r="AH46" s="374"/>
      <c r="AI46" s="374"/>
      <c r="AJ46" s="374"/>
      <c r="AK46" s="374"/>
      <c r="AL46" s="374"/>
      <c r="AM46" s="374"/>
      <c r="AN46" s="374"/>
      <c r="AO46" s="374"/>
      <c r="AP46" s="374"/>
      <c r="AQ46" s="374"/>
      <c r="AR46" s="374"/>
      <c r="AS46" s="374"/>
      <c r="AT46" s="374"/>
      <c r="AU46" s="374"/>
      <c r="AV46" s="374"/>
      <c r="AW46" s="374"/>
      <c r="AX46" s="374"/>
      <c r="AY46" s="374"/>
      <c r="AZ46" s="374"/>
      <c r="BA46" s="374"/>
      <c r="BB46" s="374"/>
      <c r="BC46" s="374"/>
      <c r="BD46" s="374"/>
      <c r="BE46" s="374"/>
      <c r="BF46" s="374"/>
      <c r="BG46" s="374"/>
    </row>
    <row r="47" spans="1:59" x14ac:dyDescent="0.55000000000000004">
      <c r="A47" s="1322" t="s">
        <v>758</v>
      </c>
      <c r="B47" s="1227"/>
      <c r="C47" s="1125" t="s">
        <v>754</v>
      </c>
      <c r="D47" s="379" t="s">
        <v>681</v>
      </c>
      <c r="E47" s="380">
        <v>0</v>
      </c>
      <c r="F47" s="380">
        <v>0</v>
      </c>
      <c r="G47" s="383">
        <v>0</v>
      </c>
      <c r="H47" s="561">
        <v>5</v>
      </c>
      <c r="I47" s="380">
        <v>16650005</v>
      </c>
      <c r="J47" s="383">
        <v>16650005</v>
      </c>
      <c r="K47" s="563">
        <v>8324727</v>
      </c>
      <c r="L47" s="1109">
        <v>15816000</v>
      </c>
      <c r="M47" s="1108">
        <v>16353744</v>
      </c>
      <c r="N47" s="1133">
        <v>16877063.807999998</v>
      </c>
      <c r="O47" s="1064"/>
      <c r="P47" s="374"/>
      <c r="Q47" s="374"/>
      <c r="R47" s="374"/>
      <c r="S47" s="374"/>
      <c r="T47" s="374"/>
      <c r="U47" s="374"/>
      <c r="V47" s="374"/>
      <c r="W47" s="374"/>
      <c r="X47" s="374"/>
      <c r="Y47" s="374"/>
      <c r="Z47" s="374"/>
      <c r="AA47" s="374"/>
      <c r="AB47" s="374"/>
      <c r="AC47" s="374"/>
      <c r="AD47" s="374"/>
      <c r="AE47" s="374"/>
      <c r="AF47" s="374"/>
      <c r="AG47" s="374"/>
      <c r="AH47" s="374"/>
      <c r="AI47" s="374"/>
      <c r="AJ47" s="374"/>
      <c r="AK47" s="374"/>
      <c r="AL47" s="374"/>
      <c r="AM47" s="374"/>
      <c r="AN47" s="374"/>
      <c r="AO47" s="374"/>
      <c r="AP47" s="374"/>
      <c r="AQ47" s="374"/>
      <c r="AR47" s="374"/>
      <c r="AS47" s="374"/>
      <c r="AT47" s="374"/>
      <c r="AU47" s="374"/>
      <c r="AV47" s="374"/>
      <c r="AW47" s="374"/>
      <c r="AX47" s="374"/>
      <c r="AY47" s="374"/>
      <c r="AZ47" s="374"/>
      <c r="BA47" s="374"/>
      <c r="BB47" s="374"/>
      <c r="BC47" s="374"/>
      <c r="BD47" s="374"/>
      <c r="BE47" s="374"/>
      <c r="BF47" s="374"/>
      <c r="BG47" s="374"/>
    </row>
    <row r="48" spans="1:59" x14ac:dyDescent="0.55000000000000004">
      <c r="A48" s="1322" t="s">
        <v>761</v>
      </c>
      <c r="B48" s="1227"/>
      <c r="C48" s="1363" t="s">
        <v>1689</v>
      </c>
      <c r="D48" s="1364" t="s">
        <v>681</v>
      </c>
      <c r="E48" s="1365">
        <v>126834556</v>
      </c>
      <c r="F48" s="1365">
        <v>118080020</v>
      </c>
      <c r="G48" s="1365">
        <v>78672042</v>
      </c>
      <c r="H48" s="1365">
        <v>94465699</v>
      </c>
      <c r="I48" s="1365">
        <v>89261969</v>
      </c>
      <c r="J48" s="1365">
        <v>89261969</v>
      </c>
      <c r="K48" s="1365">
        <v>65106183</v>
      </c>
      <c r="L48" s="1366">
        <v>90309744</v>
      </c>
      <c r="M48" s="1366">
        <v>93380277</v>
      </c>
      <c r="N48" s="1366">
        <v>96368445.864000022</v>
      </c>
      <c r="O48" s="1064"/>
      <c r="P48" s="374"/>
      <c r="Q48" s="374"/>
      <c r="R48" s="374"/>
      <c r="S48" s="374"/>
      <c r="T48" s="374"/>
      <c r="U48" s="374"/>
      <c r="V48" s="374"/>
      <c r="W48" s="374"/>
      <c r="X48" s="374"/>
      <c r="Y48" s="374"/>
      <c r="Z48" s="374"/>
      <c r="AA48" s="374"/>
      <c r="AB48" s="374"/>
      <c r="AC48" s="374"/>
      <c r="AD48" s="374"/>
      <c r="AE48" s="374"/>
      <c r="AF48" s="374"/>
      <c r="AG48" s="374"/>
      <c r="AH48" s="374"/>
      <c r="AI48" s="374"/>
      <c r="AJ48" s="374"/>
      <c r="AK48" s="374"/>
      <c r="AL48" s="374"/>
      <c r="AM48" s="374"/>
      <c r="AN48" s="374"/>
      <c r="AO48" s="374"/>
      <c r="AP48" s="374"/>
      <c r="AQ48" s="374"/>
      <c r="AR48" s="374"/>
      <c r="AS48" s="374"/>
      <c r="AT48" s="374"/>
      <c r="AU48" s="374"/>
      <c r="AV48" s="374"/>
      <c r="AW48" s="374"/>
      <c r="AX48" s="374"/>
      <c r="AY48" s="374"/>
      <c r="AZ48" s="374"/>
      <c r="BA48" s="374"/>
      <c r="BB48" s="374"/>
      <c r="BC48" s="374"/>
      <c r="BD48" s="374"/>
      <c r="BE48" s="374"/>
      <c r="BF48" s="374"/>
      <c r="BG48" s="374"/>
    </row>
    <row r="49" spans="1:59" x14ac:dyDescent="0.55000000000000004">
      <c r="A49" s="1322" t="s">
        <v>764</v>
      </c>
      <c r="B49" s="1227"/>
      <c r="C49" s="1363" t="s">
        <v>1690</v>
      </c>
      <c r="D49" s="1367" t="s">
        <v>681</v>
      </c>
      <c r="E49" s="1368">
        <v>0</v>
      </c>
      <c r="F49" s="1368">
        <v>40340812</v>
      </c>
      <c r="G49" s="1368">
        <v>7677311</v>
      </c>
      <c r="H49" s="1368">
        <v>64410</v>
      </c>
      <c r="I49" s="1368">
        <v>64410</v>
      </c>
      <c r="J49" s="1368">
        <v>64410</v>
      </c>
      <c r="K49" s="1368">
        <v>0</v>
      </c>
      <c r="L49" s="1369">
        <v>10</v>
      </c>
      <c r="M49" s="1369">
        <v>10</v>
      </c>
      <c r="N49" s="1369">
        <v>10.32</v>
      </c>
      <c r="O49" s="1064"/>
      <c r="P49" s="374"/>
      <c r="Q49" s="374"/>
      <c r="R49" s="374"/>
      <c r="S49" s="374"/>
      <c r="T49" s="374"/>
      <c r="U49" s="374"/>
      <c r="V49" s="374"/>
      <c r="W49" s="374"/>
      <c r="X49" s="374"/>
      <c r="Y49" s="374"/>
      <c r="Z49" s="374"/>
      <c r="AA49" s="374"/>
      <c r="AB49" s="374"/>
      <c r="AC49" s="374"/>
      <c r="AD49" s="374"/>
      <c r="AE49" s="374"/>
      <c r="AF49" s="374"/>
      <c r="AG49" s="374"/>
      <c r="AH49" s="374"/>
      <c r="AI49" s="374"/>
      <c r="AJ49" s="374"/>
      <c r="AK49" s="374"/>
      <c r="AL49" s="374"/>
      <c r="AM49" s="374"/>
      <c r="AN49" s="374"/>
      <c r="AO49" s="374"/>
      <c r="AP49" s="374"/>
      <c r="AQ49" s="374"/>
      <c r="AR49" s="374"/>
      <c r="AS49" s="374"/>
      <c r="AT49" s="374"/>
      <c r="AU49" s="374"/>
      <c r="AV49" s="374"/>
      <c r="AW49" s="374"/>
      <c r="AX49" s="374"/>
      <c r="AY49" s="374"/>
      <c r="AZ49" s="374"/>
      <c r="BA49" s="374"/>
      <c r="BB49" s="374"/>
      <c r="BC49" s="374"/>
      <c r="BD49" s="374"/>
      <c r="BE49" s="374"/>
      <c r="BF49" s="374"/>
      <c r="BG49" s="374"/>
    </row>
    <row r="50" spans="1:59" x14ac:dyDescent="0.55000000000000004">
      <c r="A50" s="1322" t="s">
        <v>766</v>
      </c>
      <c r="B50" s="1227"/>
      <c r="C50" s="1125" t="s">
        <v>763</v>
      </c>
      <c r="D50" s="379" t="s">
        <v>681</v>
      </c>
      <c r="E50" s="380">
        <v>1830778</v>
      </c>
      <c r="F50" s="380">
        <v>219532</v>
      </c>
      <c r="G50" s="383">
        <v>3615810</v>
      </c>
      <c r="H50" s="561">
        <v>5546000</v>
      </c>
      <c r="I50" s="380">
        <v>3680100</v>
      </c>
      <c r="J50" s="383">
        <v>3680100</v>
      </c>
      <c r="K50" s="563">
        <v>0</v>
      </c>
      <c r="L50" s="1109">
        <v>3680100</v>
      </c>
      <c r="M50" s="1108">
        <v>3805223</v>
      </c>
      <c r="N50" s="1133">
        <v>3926990.1359999999</v>
      </c>
      <c r="O50" s="1064"/>
      <c r="P50" s="374"/>
      <c r="Q50" s="374"/>
      <c r="R50" s="374"/>
      <c r="S50" s="374"/>
      <c r="T50" s="374"/>
      <c r="U50" s="374"/>
      <c r="V50" s="374"/>
      <c r="W50" s="374"/>
      <c r="X50" s="374"/>
      <c r="Y50" s="374"/>
      <c r="Z50" s="374"/>
      <c r="AA50" s="374"/>
      <c r="AB50" s="374"/>
      <c r="AC50" s="374"/>
      <c r="AD50" s="374"/>
      <c r="AE50" s="374"/>
      <c r="AF50" s="374"/>
      <c r="AG50" s="374"/>
      <c r="AH50" s="374"/>
      <c r="AI50" s="374"/>
      <c r="AJ50" s="374"/>
      <c r="AK50" s="374"/>
      <c r="AL50" s="374"/>
      <c r="AM50" s="374"/>
      <c r="AN50" s="374"/>
      <c r="AO50" s="374"/>
      <c r="AP50" s="374"/>
      <c r="AQ50" s="374"/>
      <c r="AR50" s="374"/>
      <c r="AS50" s="374"/>
      <c r="AT50" s="374"/>
      <c r="AU50" s="374"/>
      <c r="AV50" s="374"/>
      <c r="AW50" s="374"/>
      <c r="AX50" s="374"/>
      <c r="AY50" s="374"/>
      <c r="AZ50" s="374"/>
      <c r="BA50" s="374"/>
      <c r="BB50" s="374"/>
      <c r="BC50" s="374"/>
      <c r="BD50" s="374"/>
      <c r="BE50" s="374"/>
      <c r="BF50" s="374"/>
      <c r="BG50" s="374"/>
    </row>
    <row r="51" spans="1:59" x14ac:dyDescent="0.55000000000000004">
      <c r="A51" s="1322" t="s">
        <v>768</v>
      </c>
      <c r="B51" s="1227"/>
      <c r="C51" s="1125" t="s">
        <v>736</v>
      </c>
      <c r="D51" s="379" t="s">
        <v>681</v>
      </c>
      <c r="E51" s="380">
        <v>805478429</v>
      </c>
      <c r="F51" s="380">
        <v>897149094</v>
      </c>
      <c r="G51" s="383">
        <v>797487759</v>
      </c>
      <c r="H51" s="1132">
        <v>884103200</v>
      </c>
      <c r="I51" s="380">
        <v>920165247</v>
      </c>
      <c r="J51" s="383">
        <v>920165247</v>
      </c>
      <c r="K51" s="563">
        <v>515793736</v>
      </c>
      <c r="L51" s="1109">
        <v>895497491</v>
      </c>
      <c r="M51" s="1108">
        <v>926567139.55999994</v>
      </c>
      <c r="N51" s="1133">
        <v>956933808.89599991</v>
      </c>
      <c r="O51" s="1064"/>
      <c r="P51" s="374"/>
      <c r="Q51" s="374"/>
      <c r="R51" s="374"/>
      <c r="S51" s="374"/>
      <c r="T51" s="374"/>
      <c r="U51" s="374"/>
      <c r="V51" s="374"/>
      <c r="W51" s="374"/>
      <c r="X51" s="374"/>
      <c r="Y51" s="374"/>
      <c r="Z51" s="374"/>
      <c r="AA51" s="374"/>
      <c r="AB51" s="374"/>
      <c r="AC51" s="374"/>
      <c r="AD51" s="374"/>
      <c r="AE51" s="374"/>
      <c r="AF51" s="374"/>
      <c r="AG51" s="374"/>
      <c r="AH51" s="374"/>
      <c r="AI51" s="374"/>
      <c r="AJ51" s="374"/>
      <c r="AK51" s="374"/>
      <c r="AL51" s="374"/>
      <c r="AM51" s="374"/>
      <c r="AN51" s="374"/>
      <c r="AO51" s="374"/>
      <c r="AP51" s="374"/>
      <c r="AQ51" s="374"/>
      <c r="AR51" s="374"/>
      <c r="AS51" s="374"/>
      <c r="AT51" s="374"/>
      <c r="AU51" s="374"/>
      <c r="AV51" s="374"/>
      <c r="AW51" s="374"/>
      <c r="AX51" s="374"/>
      <c r="AY51" s="374"/>
      <c r="AZ51" s="374"/>
      <c r="BA51" s="374"/>
      <c r="BB51" s="374"/>
      <c r="BC51" s="374"/>
      <c r="BD51" s="374"/>
      <c r="BE51" s="374"/>
      <c r="BF51" s="374"/>
      <c r="BG51" s="374"/>
    </row>
    <row r="52" spans="1:59" x14ac:dyDescent="0.55000000000000004">
      <c r="A52" s="1322" t="s">
        <v>771</v>
      </c>
      <c r="B52" s="1227"/>
      <c r="C52" s="1125" t="s">
        <v>635</v>
      </c>
      <c r="D52" s="379" t="s">
        <v>681</v>
      </c>
      <c r="E52" s="569">
        <v>-141378962</v>
      </c>
      <c r="F52" s="569">
        <v>-188673507</v>
      </c>
      <c r="G52" s="570">
        <v>-44885602</v>
      </c>
      <c r="H52" s="571">
        <v>-33554107</v>
      </c>
      <c r="I52" s="569">
        <v>-54498163</v>
      </c>
      <c r="J52" s="570">
        <v>-54498163</v>
      </c>
      <c r="K52" s="572">
        <v>42746240</v>
      </c>
      <c r="L52" s="1112">
        <v>4740669</v>
      </c>
      <c r="M52" s="1113">
        <v>3591460.4400000572</v>
      </c>
      <c r="N52" s="1136">
        <v>853626.05599999428</v>
      </c>
      <c r="O52" s="1064"/>
      <c r="P52" s="374"/>
      <c r="Q52" s="374"/>
      <c r="R52" s="374"/>
      <c r="S52" s="374"/>
      <c r="T52" s="374"/>
      <c r="U52" s="374"/>
      <c r="V52" s="374"/>
      <c r="W52" s="374"/>
      <c r="X52" s="374"/>
      <c r="Y52" s="374"/>
      <c r="Z52" s="374"/>
      <c r="AA52" s="374"/>
      <c r="AB52" s="374"/>
      <c r="AC52" s="374"/>
      <c r="AD52" s="374"/>
      <c r="AE52" s="374"/>
      <c r="AF52" s="374"/>
      <c r="AG52" s="374"/>
      <c r="AH52" s="374"/>
      <c r="AI52" s="374"/>
      <c r="AJ52" s="374"/>
      <c r="AK52" s="374"/>
      <c r="AL52" s="374"/>
      <c r="AM52" s="374"/>
      <c r="AN52" s="374"/>
      <c r="AO52" s="374"/>
      <c r="AP52" s="374"/>
      <c r="AQ52" s="374"/>
      <c r="AR52" s="374"/>
      <c r="AS52" s="374"/>
      <c r="AT52" s="374"/>
      <c r="AU52" s="374"/>
      <c r="AV52" s="374"/>
      <c r="AW52" s="374"/>
      <c r="AX52" s="374"/>
      <c r="AY52" s="374"/>
      <c r="AZ52" s="374"/>
      <c r="BA52" s="374"/>
      <c r="BB52" s="374"/>
      <c r="BC52" s="374"/>
      <c r="BD52" s="374"/>
      <c r="BE52" s="374"/>
      <c r="BF52" s="374"/>
      <c r="BG52" s="374"/>
    </row>
    <row r="53" spans="1:59" x14ac:dyDescent="0.55000000000000004">
      <c r="A53" s="1322" t="s">
        <v>774</v>
      </c>
      <c r="B53" s="1227"/>
      <c r="C53" s="1125" t="s">
        <v>770</v>
      </c>
      <c r="D53" s="379" t="s">
        <v>1691</v>
      </c>
      <c r="E53" s="573">
        <v>55424654</v>
      </c>
      <c r="F53" s="573">
        <v>80056469</v>
      </c>
      <c r="G53" s="574">
        <v>38488641</v>
      </c>
      <c r="H53" s="575">
        <v>72237391</v>
      </c>
      <c r="I53" s="573">
        <v>35973553</v>
      </c>
      <c r="J53" s="574">
        <v>35973553</v>
      </c>
      <c r="K53" s="576">
        <v>22962163</v>
      </c>
      <c r="L53" s="1114">
        <v>33209566</v>
      </c>
      <c r="M53" s="1115">
        <v>36086086</v>
      </c>
      <c r="N53" s="1137">
        <v>37216521</v>
      </c>
      <c r="O53" s="1064"/>
      <c r="P53" s="374"/>
      <c r="Q53" s="374"/>
      <c r="R53" s="374"/>
      <c r="S53" s="374"/>
      <c r="T53" s="374"/>
      <c r="U53" s="374"/>
      <c r="V53" s="374"/>
      <c r="W53" s="374"/>
      <c r="X53" s="374"/>
      <c r="Y53" s="374"/>
      <c r="Z53" s="374"/>
      <c r="AA53" s="374"/>
      <c r="AB53" s="374"/>
      <c r="AC53" s="374"/>
      <c r="AD53" s="374"/>
      <c r="AE53" s="374"/>
      <c r="AF53" s="374"/>
      <c r="AG53" s="374"/>
      <c r="AH53" s="374"/>
      <c r="AI53" s="374"/>
      <c r="AJ53" s="374"/>
      <c r="AK53" s="374"/>
      <c r="AL53" s="374"/>
      <c r="AM53" s="374"/>
      <c r="AN53" s="374"/>
      <c r="AO53" s="374"/>
      <c r="AP53" s="374"/>
      <c r="AQ53" s="374"/>
      <c r="AR53" s="374"/>
      <c r="AS53" s="374"/>
      <c r="AT53" s="374"/>
      <c r="AU53" s="374"/>
      <c r="AV53" s="374"/>
      <c r="AW53" s="374"/>
      <c r="AX53" s="374"/>
      <c r="AY53" s="374"/>
      <c r="AZ53" s="374"/>
      <c r="BA53" s="374"/>
      <c r="BB53" s="374"/>
      <c r="BC53" s="374"/>
      <c r="BD53" s="374"/>
      <c r="BE53" s="374"/>
      <c r="BF53" s="374"/>
      <c r="BG53" s="374"/>
    </row>
    <row r="54" spans="1:59" x14ac:dyDescent="0.55000000000000004">
      <c r="A54" s="1322" t="s">
        <v>776</v>
      </c>
      <c r="B54" s="1227"/>
      <c r="C54" s="1125" t="s">
        <v>773</v>
      </c>
      <c r="D54" s="379" t="s">
        <v>1691</v>
      </c>
      <c r="E54" s="577">
        <v>0</v>
      </c>
      <c r="F54" s="577">
        <v>0</v>
      </c>
      <c r="G54" s="578">
        <v>64951335</v>
      </c>
      <c r="H54" s="579">
        <v>50000</v>
      </c>
      <c r="I54" s="577">
        <v>91337000</v>
      </c>
      <c r="J54" s="578">
        <v>91337000</v>
      </c>
      <c r="K54" s="580">
        <v>44661</v>
      </c>
      <c r="L54" s="1116">
        <v>40000</v>
      </c>
      <c r="M54" s="1117">
        <v>0</v>
      </c>
      <c r="N54" s="1138">
        <v>0</v>
      </c>
      <c r="O54" s="1064"/>
      <c r="P54" s="374"/>
      <c r="Q54" s="374"/>
      <c r="R54" s="374"/>
      <c r="S54" s="374"/>
      <c r="T54" s="374"/>
      <c r="U54" s="374"/>
      <c r="V54" s="374"/>
      <c r="W54" s="374"/>
      <c r="X54" s="374"/>
      <c r="Y54" s="374"/>
      <c r="Z54" s="374"/>
      <c r="AA54" s="374"/>
      <c r="AB54" s="374"/>
      <c r="AC54" s="374"/>
      <c r="AD54" s="374"/>
      <c r="AE54" s="374"/>
      <c r="AF54" s="374"/>
      <c r="AG54" s="374"/>
      <c r="AH54" s="374"/>
      <c r="AI54" s="374"/>
      <c r="AJ54" s="374"/>
      <c r="AK54" s="374"/>
      <c r="AL54" s="374"/>
      <c r="AM54" s="374"/>
      <c r="AN54" s="374"/>
      <c r="AO54" s="374"/>
      <c r="AP54" s="374"/>
      <c r="AQ54" s="374"/>
      <c r="AR54" s="374"/>
      <c r="AS54" s="374"/>
      <c r="AT54" s="374"/>
      <c r="AU54" s="374"/>
      <c r="AV54" s="374"/>
      <c r="AW54" s="374"/>
      <c r="AX54" s="374"/>
      <c r="AY54" s="374"/>
      <c r="AZ54" s="374"/>
      <c r="BA54" s="374"/>
      <c r="BB54" s="374"/>
      <c r="BC54" s="374"/>
      <c r="BD54" s="374"/>
      <c r="BE54" s="374"/>
      <c r="BF54" s="374"/>
      <c r="BG54" s="374"/>
    </row>
    <row r="55" spans="1:59" x14ac:dyDescent="0.55000000000000004">
      <c r="A55" s="1322" t="s">
        <v>779</v>
      </c>
      <c r="B55" s="1227"/>
      <c r="C55" s="1125" t="s">
        <v>747</v>
      </c>
      <c r="D55" s="379" t="s">
        <v>681</v>
      </c>
      <c r="E55" s="573">
        <v>-85954308</v>
      </c>
      <c r="F55" s="573">
        <v>-108617038</v>
      </c>
      <c r="G55" s="574">
        <v>58554374</v>
      </c>
      <c r="H55" s="575">
        <v>38733284</v>
      </c>
      <c r="I55" s="573">
        <v>72812390</v>
      </c>
      <c r="J55" s="574">
        <v>72812390</v>
      </c>
      <c r="K55" s="576">
        <v>65753064</v>
      </c>
      <c r="L55" s="1114">
        <v>37990235</v>
      </c>
      <c r="M55" s="1115">
        <v>39677546.440000057</v>
      </c>
      <c r="N55" s="1137">
        <v>38070147.055999994</v>
      </c>
      <c r="O55" s="1064"/>
      <c r="P55" s="374"/>
      <c r="Q55" s="374"/>
      <c r="R55" s="374"/>
      <c r="S55" s="374"/>
      <c r="T55" s="374"/>
      <c r="U55" s="374"/>
      <c r="V55" s="374"/>
      <c r="W55" s="374"/>
      <c r="X55" s="374"/>
      <c r="Y55" s="374"/>
      <c r="Z55" s="374"/>
      <c r="AA55" s="374"/>
      <c r="AB55" s="374"/>
      <c r="AC55" s="374"/>
      <c r="AD55" s="374"/>
      <c r="AE55" s="374"/>
      <c r="AF55" s="374"/>
      <c r="AG55" s="374"/>
      <c r="AH55" s="374"/>
      <c r="AI55" s="374"/>
      <c r="AJ55" s="374"/>
      <c r="AK55" s="374"/>
      <c r="AL55" s="374"/>
      <c r="AM55" s="374"/>
      <c r="AN55" s="374"/>
      <c r="AO55" s="374"/>
      <c r="AP55" s="374"/>
      <c r="AQ55" s="374"/>
      <c r="AR55" s="374"/>
      <c r="AS55" s="374"/>
      <c r="AT55" s="374"/>
      <c r="AU55" s="374"/>
      <c r="AV55" s="374"/>
      <c r="AW55" s="374"/>
      <c r="AX55" s="374"/>
      <c r="AY55" s="374"/>
      <c r="AZ55" s="374"/>
      <c r="BA55" s="374"/>
      <c r="BB55" s="374"/>
      <c r="BC55" s="374"/>
      <c r="BD55" s="374"/>
      <c r="BE55" s="374"/>
      <c r="BF55" s="374"/>
      <c r="BG55" s="374"/>
    </row>
    <row r="56" spans="1:59" x14ac:dyDescent="0.55000000000000004">
      <c r="A56" s="1322" t="s">
        <v>782</v>
      </c>
      <c r="B56" s="1227"/>
      <c r="C56" s="1125" t="s">
        <v>778</v>
      </c>
      <c r="D56" s="379" t="s">
        <v>681</v>
      </c>
      <c r="E56" s="573">
        <v>0</v>
      </c>
      <c r="F56" s="573">
        <v>0</v>
      </c>
      <c r="G56" s="574">
        <v>0</v>
      </c>
      <c r="H56" s="575">
        <v>0</v>
      </c>
      <c r="I56" s="573">
        <v>0</v>
      </c>
      <c r="J56" s="574">
        <v>0</v>
      </c>
      <c r="K56" s="581">
        <v>0</v>
      </c>
      <c r="L56" s="1114">
        <v>0</v>
      </c>
      <c r="M56" s="1115">
        <v>0</v>
      </c>
      <c r="N56" s="1137">
        <v>0</v>
      </c>
      <c r="O56" s="1064"/>
      <c r="P56" s="374"/>
      <c r="Q56" s="374"/>
      <c r="R56" s="374"/>
      <c r="S56" s="374"/>
      <c r="T56" s="374"/>
      <c r="U56" s="374"/>
      <c r="V56" s="374"/>
      <c r="W56" s="374"/>
      <c r="X56" s="374"/>
      <c r="Y56" s="374"/>
      <c r="Z56" s="374"/>
      <c r="AA56" s="374"/>
      <c r="AB56" s="374"/>
      <c r="AC56" s="374"/>
      <c r="AD56" s="374"/>
      <c r="AE56" s="374"/>
      <c r="AF56" s="374"/>
      <c r="AG56" s="374"/>
      <c r="AH56" s="374"/>
      <c r="AI56" s="374"/>
      <c r="AJ56" s="374"/>
      <c r="AK56" s="374"/>
      <c r="AL56" s="374"/>
      <c r="AM56" s="374"/>
      <c r="AN56" s="374"/>
      <c r="AO56" s="374"/>
      <c r="AP56" s="374"/>
      <c r="AQ56" s="374"/>
      <c r="AR56" s="374"/>
      <c r="AS56" s="374"/>
      <c r="AT56" s="374"/>
      <c r="AU56" s="374"/>
      <c r="AV56" s="374"/>
      <c r="AW56" s="374"/>
      <c r="AX56" s="374"/>
      <c r="AY56" s="374"/>
      <c r="AZ56" s="374"/>
      <c r="BA56" s="374"/>
      <c r="BB56" s="374"/>
      <c r="BC56" s="374"/>
      <c r="BD56" s="374"/>
      <c r="BE56" s="374"/>
      <c r="BF56" s="374"/>
      <c r="BG56" s="374"/>
    </row>
    <row r="57" spans="1:59" x14ac:dyDescent="0.55000000000000004">
      <c r="A57" s="1322" t="s">
        <v>785</v>
      </c>
      <c r="B57" s="1227"/>
      <c r="C57" s="1125" t="s">
        <v>781</v>
      </c>
      <c r="D57" s="379" t="s">
        <v>681</v>
      </c>
      <c r="E57" s="569">
        <v>-85954308</v>
      </c>
      <c r="F57" s="569">
        <v>-108617038</v>
      </c>
      <c r="G57" s="570">
        <v>58554374</v>
      </c>
      <c r="H57" s="571">
        <v>38733284</v>
      </c>
      <c r="I57" s="569">
        <v>72812390</v>
      </c>
      <c r="J57" s="570">
        <v>72812390</v>
      </c>
      <c r="K57" s="572">
        <v>65753064</v>
      </c>
      <c r="L57" s="1112">
        <v>37990235</v>
      </c>
      <c r="M57" s="1113">
        <v>39677546.440000057</v>
      </c>
      <c r="N57" s="1136">
        <v>38070147.055999994</v>
      </c>
      <c r="O57" s="1064"/>
      <c r="P57" s="374"/>
      <c r="Q57" s="374"/>
      <c r="R57" s="374"/>
      <c r="S57" s="374"/>
      <c r="T57" s="374"/>
      <c r="U57" s="374"/>
      <c r="V57" s="374"/>
      <c r="W57" s="374"/>
      <c r="X57" s="374"/>
      <c r="Y57" s="374"/>
      <c r="Z57" s="374"/>
      <c r="AA57" s="374"/>
      <c r="AB57" s="374"/>
      <c r="AC57" s="374"/>
      <c r="AD57" s="374"/>
      <c r="AE57" s="374"/>
      <c r="AF57" s="374"/>
      <c r="AG57" s="374"/>
      <c r="AH57" s="374"/>
      <c r="AI57" s="374"/>
      <c r="AJ57" s="374"/>
      <c r="AK57" s="374"/>
      <c r="AL57" s="374"/>
      <c r="AM57" s="374"/>
      <c r="AN57" s="374"/>
      <c r="AO57" s="374"/>
      <c r="AP57" s="374"/>
      <c r="AQ57" s="374"/>
      <c r="AR57" s="374"/>
      <c r="AS57" s="374"/>
      <c r="AT57" s="374"/>
      <c r="AU57" s="374"/>
      <c r="AV57" s="374"/>
      <c r="AW57" s="374"/>
      <c r="AX57" s="374"/>
      <c r="AY57" s="374"/>
      <c r="AZ57" s="374"/>
      <c r="BA57" s="374"/>
      <c r="BB57" s="374"/>
      <c r="BC57" s="374"/>
      <c r="BD57" s="374"/>
      <c r="BE57" s="374"/>
      <c r="BF57" s="374"/>
      <c r="BG57" s="374"/>
    </row>
    <row r="58" spans="1:59" x14ac:dyDescent="0.55000000000000004">
      <c r="A58" s="1322" t="s">
        <v>788</v>
      </c>
      <c r="B58" s="1227"/>
      <c r="C58" s="1125" t="s">
        <v>783</v>
      </c>
      <c r="D58" s="379" t="s">
        <v>681</v>
      </c>
      <c r="E58" s="573">
        <v>0</v>
      </c>
      <c r="F58" s="573">
        <v>0</v>
      </c>
      <c r="G58" s="574">
        <v>0</v>
      </c>
      <c r="H58" s="1132">
        <v>0</v>
      </c>
      <c r="I58" s="380">
        <v>0</v>
      </c>
      <c r="J58" s="383">
        <v>0</v>
      </c>
      <c r="K58" s="1132">
        <v>0</v>
      </c>
      <c r="L58" s="1107">
        <v>0</v>
      </c>
      <c r="M58" s="1108">
        <v>0</v>
      </c>
      <c r="N58" s="1133">
        <v>0</v>
      </c>
      <c r="O58" s="1064"/>
      <c r="P58" s="374"/>
      <c r="Q58" s="374"/>
      <c r="R58" s="374"/>
      <c r="S58" s="374"/>
      <c r="T58" s="374"/>
      <c r="U58" s="374"/>
      <c r="V58" s="374"/>
      <c r="W58" s="374"/>
      <c r="X58" s="374"/>
      <c r="Y58" s="374"/>
      <c r="Z58" s="374"/>
      <c r="AA58" s="374"/>
      <c r="AB58" s="374"/>
      <c r="AC58" s="374"/>
      <c r="AD58" s="374"/>
      <c r="AE58" s="374"/>
      <c r="AF58" s="374"/>
      <c r="AG58" s="374"/>
      <c r="AH58" s="374"/>
      <c r="AI58" s="374"/>
      <c r="AJ58" s="374"/>
      <c r="AK58" s="374"/>
      <c r="AL58" s="374"/>
      <c r="AM58" s="374"/>
      <c r="AN58" s="374"/>
      <c r="AO58" s="374"/>
      <c r="AP58" s="374"/>
      <c r="AQ58" s="374"/>
      <c r="AR58" s="374"/>
      <c r="AS58" s="374"/>
      <c r="AT58" s="374"/>
      <c r="AU58" s="374"/>
      <c r="AV58" s="374"/>
      <c r="AW58" s="374"/>
      <c r="AX58" s="374"/>
      <c r="AY58" s="374"/>
      <c r="AZ58" s="374"/>
      <c r="BA58" s="374"/>
      <c r="BB58" s="374"/>
      <c r="BC58" s="374"/>
      <c r="BD58" s="374"/>
      <c r="BE58" s="374"/>
      <c r="BF58" s="374"/>
      <c r="BG58" s="374"/>
    </row>
    <row r="59" spans="1:59" x14ac:dyDescent="0.55000000000000004">
      <c r="A59" s="1322" t="s">
        <v>790</v>
      </c>
      <c r="B59" s="1227"/>
      <c r="C59" s="1125" t="s">
        <v>787</v>
      </c>
      <c r="D59" s="379" t="s">
        <v>681</v>
      </c>
      <c r="E59" s="573">
        <v>0</v>
      </c>
      <c r="F59" s="573">
        <v>0</v>
      </c>
      <c r="G59" s="574">
        <v>0</v>
      </c>
      <c r="H59" s="1132">
        <v>0</v>
      </c>
      <c r="I59" s="380">
        <v>0</v>
      </c>
      <c r="J59" s="567">
        <v>0</v>
      </c>
      <c r="K59" s="1132">
        <v>0</v>
      </c>
      <c r="L59" s="1107">
        <v>0</v>
      </c>
      <c r="M59" s="1108">
        <v>0</v>
      </c>
      <c r="N59" s="1133">
        <v>0</v>
      </c>
      <c r="O59" s="1064"/>
      <c r="P59" s="374"/>
      <c r="Q59" s="374"/>
      <c r="R59" s="374"/>
      <c r="S59" s="374"/>
      <c r="T59" s="374"/>
      <c r="U59" s="374"/>
      <c r="V59" s="374"/>
      <c r="W59" s="374"/>
      <c r="X59" s="374"/>
      <c r="Y59" s="374"/>
      <c r="Z59" s="374"/>
      <c r="AA59" s="374"/>
      <c r="AB59" s="374"/>
      <c r="AC59" s="374"/>
      <c r="AD59" s="374"/>
      <c r="AE59" s="374"/>
      <c r="AF59" s="374"/>
      <c r="AG59" s="374"/>
      <c r="AH59" s="374"/>
      <c r="AI59" s="374"/>
      <c r="AJ59" s="374"/>
      <c r="AK59" s="374"/>
      <c r="AL59" s="374"/>
      <c r="AM59" s="374"/>
      <c r="AN59" s="374"/>
      <c r="AO59" s="374"/>
      <c r="AP59" s="374"/>
      <c r="AQ59" s="374"/>
      <c r="AR59" s="374"/>
      <c r="AS59" s="374"/>
      <c r="AT59" s="374"/>
      <c r="AU59" s="374"/>
      <c r="AV59" s="374"/>
      <c r="AW59" s="374"/>
      <c r="AX59" s="374"/>
      <c r="AY59" s="374"/>
      <c r="AZ59" s="374"/>
      <c r="BA59" s="374"/>
      <c r="BB59" s="374"/>
      <c r="BC59" s="374"/>
      <c r="BD59" s="374"/>
      <c r="BE59" s="374"/>
      <c r="BF59" s="374"/>
      <c r="BG59" s="374"/>
    </row>
    <row r="60" spans="1:59" x14ac:dyDescent="0.55000000000000004">
      <c r="A60" s="1322" t="s">
        <v>792</v>
      </c>
      <c r="B60" s="1227"/>
      <c r="C60" s="1125" t="s">
        <v>756</v>
      </c>
      <c r="D60" s="582" t="s">
        <v>681</v>
      </c>
      <c r="E60" s="583">
        <v>-85954308</v>
      </c>
      <c r="F60" s="583">
        <v>-108617038</v>
      </c>
      <c r="G60" s="584">
        <v>58554374</v>
      </c>
      <c r="H60" s="585">
        <v>38733284</v>
      </c>
      <c r="I60" s="583">
        <v>72812390</v>
      </c>
      <c r="J60" s="586">
        <v>72812390</v>
      </c>
      <c r="K60" s="587">
        <v>65753064</v>
      </c>
      <c r="L60" s="1118">
        <v>37990235</v>
      </c>
      <c r="M60" s="1119">
        <v>39677546.440000057</v>
      </c>
      <c r="N60" s="1139">
        <v>38070147.055999994</v>
      </c>
      <c r="O60" s="1064"/>
      <c r="P60" s="374"/>
      <c r="Q60" s="374"/>
      <c r="R60" s="374"/>
      <c r="S60" s="374"/>
      <c r="T60" s="374"/>
      <c r="U60" s="374"/>
      <c r="V60" s="374"/>
      <c r="W60" s="374"/>
      <c r="X60" s="374"/>
      <c r="Y60" s="374"/>
      <c r="Z60" s="374"/>
      <c r="AA60" s="374"/>
      <c r="AB60" s="374"/>
      <c r="AC60" s="374"/>
      <c r="AD60" s="374"/>
      <c r="AE60" s="374"/>
      <c r="AF60" s="374"/>
      <c r="AG60" s="374"/>
      <c r="AH60" s="374"/>
      <c r="AI60" s="374"/>
      <c r="AJ60" s="374"/>
      <c r="AK60" s="374"/>
      <c r="AL60" s="374"/>
      <c r="AM60" s="374"/>
      <c r="AN60" s="374"/>
      <c r="AO60" s="374"/>
      <c r="AP60" s="374"/>
      <c r="AQ60" s="374"/>
      <c r="AR60" s="374"/>
      <c r="AS60" s="374"/>
      <c r="AT60" s="374"/>
      <c r="AU60" s="374"/>
      <c r="AV60" s="374"/>
      <c r="AW60" s="374"/>
      <c r="AX60" s="374"/>
      <c r="AY60" s="374"/>
      <c r="AZ60" s="374"/>
      <c r="BA60" s="374"/>
      <c r="BB60" s="374"/>
      <c r="BC60" s="374"/>
      <c r="BD60" s="374"/>
      <c r="BE60" s="374"/>
      <c r="BF60" s="374"/>
      <c r="BG60" s="374"/>
    </row>
    <row r="61" spans="1:59" x14ac:dyDescent="0.55000000000000004">
      <c r="A61" s="1322" t="s">
        <v>794</v>
      </c>
      <c r="B61" s="1227"/>
      <c r="C61" s="1125" t="s">
        <v>791</v>
      </c>
      <c r="D61" s="1140"/>
      <c r="E61" s="1140"/>
      <c r="F61" s="1140"/>
      <c r="G61" s="1140"/>
      <c r="H61" s="1140"/>
      <c r="I61" s="1140"/>
      <c r="J61" s="1140"/>
      <c r="K61" s="1140"/>
      <c r="L61" s="1141"/>
      <c r="M61" s="1141"/>
      <c r="N61" s="1142"/>
      <c r="O61" s="1064"/>
      <c r="P61" s="374"/>
      <c r="Q61" s="374"/>
      <c r="R61" s="374"/>
      <c r="S61" s="374"/>
      <c r="T61" s="374"/>
      <c r="U61" s="374"/>
      <c r="V61" s="374"/>
      <c r="W61" s="374"/>
      <c r="X61" s="374"/>
      <c r="Y61" s="374"/>
      <c r="Z61" s="374"/>
      <c r="AA61" s="374"/>
      <c r="AB61" s="374"/>
      <c r="AC61" s="374"/>
      <c r="AD61" s="374"/>
      <c r="AE61" s="374"/>
      <c r="AF61" s="374"/>
      <c r="AG61" s="374"/>
      <c r="AH61" s="374"/>
      <c r="AI61" s="374"/>
      <c r="AJ61" s="374"/>
      <c r="AK61" s="374"/>
      <c r="AL61" s="374"/>
      <c r="AM61" s="374"/>
      <c r="AN61" s="374"/>
      <c r="AO61" s="374"/>
      <c r="AP61" s="374"/>
      <c r="AQ61" s="374"/>
      <c r="AR61" s="374"/>
      <c r="AS61" s="374"/>
      <c r="AT61" s="374"/>
      <c r="AU61" s="374"/>
      <c r="AV61" s="374"/>
      <c r="AW61" s="374"/>
      <c r="AX61" s="374"/>
      <c r="AY61" s="374"/>
      <c r="AZ61" s="374"/>
      <c r="BA61" s="374"/>
      <c r="BB61" s="374"/>
      <c r="BC61" s="374"/>
      <c r="BD61" s="374"/>
      <c r="BE61" s="374"/>
      <c r="BF61" s="374"/>
      <c r="BG61" s="374"/>
    </row>
    <row r="62" spans="1:59" x14ac:dyDescent="0.55000000000000004">
      <c r="A62" s="1322">
        <v>55555</v>
      </c>
      <c r="B62" s="1227"/>
      <c r="C62" s="1125" t="s">
        <v>793</v>
      </c>
      <c r="D62" s="1140"/>
      <c r="E62" s="1140"/>
      <c r="F62" s="1140"/>
      <c r="G62" s="1140"/>
      <c r="H62" s="1140"/>
      <c r="I62" s="1140"/>
      <c r="J62" s="1140"/>
      <c r="K62" s="1140"/>
      <c r="L62" s="1141"/>
      <c r="M62" s="1141"/>
      <c r="N62" s="1142"/>
      <c r="O62" s="1064"/>
      <c r="P62" s="374"/>
      <c r="Q62" s="374"/>
      <c r="R62" s="374"/>
      <c r="S62" s="374"/>
      <c r="T62" s="374"/>
      <c r="U62" s="374"/>
      <c r="V62" s="374"/>
      <c r="W62" s="374"/>
      <c r="X62" s="374"/>
      <c r="Y62" s="374"/>
      <c r="Z62" s="374"/>
      <c r="AA62" s="374"/>
      <c r="AB62" s="374"/>
      <c r="AC62" s="374"/>
      <c r="AD62" s="374"/>
      <c r="AE62" s="374"/>
      <c r="AF62" s="374"/>
      <c r="AG62" s="374"/>
      <c r="AH62" s="374"/>
      <c r="AI62" s="374"/>
      <c r="AJ62" s="374"/>
      <c r="AK62" s="374"/>
      <c r="AL62" s="374"/>
      <c r="AM62" s="374"/>
      <c r="AN62" s="374"/>
      <c r="AO62" s="374"/>
      <c r="AP62" s="374"/>
      <c r="AQ62" s="374"/>
      <c r="AR62" s="374"/>
      <c r="AS62" s="374"/>
      <c r="AT62" s="374"/>
      <c r="AU62" s="374"/>
      <c r="AV62" s="374"/>
      <c r="AW62" s="374"/>
      <c r="AX62" s="374"/>
      <c r="AY62" s="374"/>
      <c r="AZ62" s="374"/>
      <c r="BA62" s="374"/>
      <c r="BB62" s="374"/>
      <c r="BC62" s="374"/>
      <c r="BD62" s="374"/>
      <c r="BE62" s="374"/>
      <c r="BF62" s="374"/>
      <c r="BG62" s="374"/>
    </row>
    <row r="63" spans="1:59" x14ac:dyDescent="0.55000000000000004">
      <c r="A63" s="1322">
        <v>55555</v>
      </c>
      <c r="B63" s="1227"/>
      <c r="C63" s="1125" t="s">
        <v>762</v>
      </c>
      <c r="D63" s="1140"/>
      <c r="E63" s="1140"/>
      <c r="F63" s="1140"/>
      <c r="G63" s="1140"/>
      <c r="H63" s="1140"/>
      <c r="I63" s="1140"/>
      <c r="J63" s="1140"/>
      <c r="K63" s="1140"/>
      <c r="L63" s="1141"/>
      <c r="M63" s="1141"/>
      <c r="N63" s="1142"/>
      <c r="O63" s="1064"/>
      <c r="P63" s="374"/>
      <c r="Q63" s="374"/>
      <c r="R63" s="374"/>
      <c r="S63" s="374"/>
      <c r="T63" s="374"/>
      <c r="U63" s="374"/>
      <c r="V63" s="374"/>
      <c r="W63" s="374"/>
      <c r="X63" s="374"/>
      <c r="Y63" s="374"/>
      <c r="Z63" s="374"/>
      <c r="AA63" s="374"/>
      <c r="AB63" s="374"/>
      <c r="AC63" s="374"/>
      <c r="AD63" s="374"/>
      <c r="AE63" s="374"/>
      <c r="AF63" s="374"/>
      <c r="AG63" s="374"/>
      <c r="AH63" s="374"/>
      <c r="AI63" s="374"/>
      <c r="AJ63" s="374"/>
      <c r="AK63" s="374"/>
      <c r="AL63" s="374"/>
      <c r="AM63" s="374"/>
      <c r="AN63" s="374"/>
      <c r="AO63" s="374"/>
      <c r="AP63" s="374"/>
      <c r="AQ63" s="374"/>
      <c r="AR63" s="374"/>
      <c r="AS63" s="374"/>
      <c r="AT63" s="374"/>
      <c r="AU63" s="374"/>
      <c r="AV63" s="374"/>
      <c r="AW63" s="374"/>
      <c r="AX63" s="374"/>
      <c r="AY63" s="374"/>
      <c r="AZ63" s="374"/>
      <c r="BA63" s="374"/>
      <c r="BB63" s="374"/>
      <c r="BC63" s="374"/>
      <c r="BD63" s="374"/>
      <c r="BE63" s="374"/>
      <c r="BF63" s="374"/>
      <c r="BG63" s="374"/>
    </row>
    <row r="64" spans="1:59" x14ac:dyDescent="0.55000000000000004">
      <c r="A64" s="1322">
        <v>55555</v>
      </c>
      <c r="B64" s="1227"/>
      <c r="C64" s="1125" t="s">
        <v>765</v>
      </c>
      <c r="D64" s="1140"/>
      <c r="E64" s="1140"/>
      <c r="F64" s="1140"/>
      <c r="G64" s="1140"/>
      <c r="H64" s="1140"/>
      <c r="I64" s="1140"/>
      <c r="J64" s="1140"/>
      <c r="K64" s="1140"/>
      <c r="L64" s="1141"/>
      <c r="M64" s="1141"/>
      <c r="N64" s="1142"/>
      <c r="O64" s="1064"/>
      <c r="P64" s="374"/>
      <c r="Q64" s="374"/>
      <c r="R64" s="374"/>
      <c r="S64" s="374"/>
      <c r="T64" s="374"/>
      <c r="U64" s="374"/>
      <c r="V64" s="374"/>
      <c r="W64" s="374"/>
      <c r="X64" s="374"/>
      <c r="Y64" s="374"/>
      <c r="Z64" s="374"/>
      <c r="AA64" s="374"/>
      <c r="AB64" s="374"/>
      <c r="AC64" s="374"/>
      <c r="AD64" s="374"/>
      <c r="AE64" s="374"/>
      <c r="AF64" s="374"/>
      <c r="AG64" s="374"/>
      <c r="AH64" s="374"/>
      <c r="AI64" s="374"/>
      <c r="AJ64" s="374"/>
      <c r="AK64" s="374"/>
      <c r="AL64" s="374"/>
      <c r="AM64" s="374"/>
      <c r="AN64" s="374"/>
      <c r="AO64" s="374"/>
      <c r="AP64" s="374"/>
      <c r="AQ64" s="374"/>
      <c r="AR64" s="374"/>
      <c r="AS64" s="374"/>
      <c r="AT64" s="374"/>
      <c r="AU64" s="374"/>
      <c r="AV64" s="374"/>
      <c r="AW64" s="374"/>
      <c r="AX64" s="374"/>
      <c r="AY64" s="374"/>
      <c r="AZ64" s="374"/>
      <c r="BA64" s="374"/>
      <c r="BB64" s="374"/>
      <c r="BC64" s="374"/>
      <c r="BD64" s="374"/>
      <c r="BE64" s="374"/>
      <c r="BF64" s="374"/>
      <c r="BG64" s="374"/>
    </row>
    <row r="65" spans="1:59" x14ac:dyDescent="0.55000000000000004">
      <c r="A65" s="1322">
        <v>55555</v>
      </c>
      <c r="B65" s="1227"/>
      <c r="C65" s="1125" t="s">
        <v>767</v>
      </c>
      <c r="D65" s="1140"/>
      <c r="E65" s="1140"/>
      <c r="F65" s="1140"/>
      <c r="G65" s="1140"/>
      <c r="H65" s="1140"/>
      <c r="I65" s="1140"/>
      <c r="J65" s="1140"/>
      <c r="K65" s="1140"/>
      <c r="L65" s="1141"/>
      <c r="M65" s="1141"/>
      <c r="N65" s="1142"/>
      <c r="O65" s="1064"/>
      <c r="P65" s="374"/>
      <c r="Q65" s="374"/>
      <c r="R65" s="374"/>
      <c r="S65" s="374"/>
      <c r="T65" s="374"/>
      <c r="U65" s="374"/>
      <c r="V65" s="374"/>
      <c r="W65" s="374"/>
      <c r="X65" s="374"/>
      <c r="Y65" s="374"/>
      <c r="Z65" s="374"/>
      <c r="AA65" s="374"/>
      <c r="AB65" s="374"/>
      <c r="AC65" s="374"/>
      <c r="AD65" s="374"/>
      <c r="AE65" s="374"/>
      <c r="AF65" s="374"/>
      <c r="AG65" s="374"/>
      <c r="AH65" s="374"/>
      <c r="AI65" s="374"/>
      <c r="AJ65" s="374"/>
      <c r="AK65" s="374"/>
      <c r="AL65" s="374"/>
      <c r="AM65" s="374"/>
      <c r="AN65" s="374"/>
      <c r="AO65" s="374"/>
      <c r="AP65" s="374"/>
      <c r="AQ65" s="374"/>
      <c r="AR65" s="374"/>
      <c r="AS65" s="374"/>
      <c r="AT65" s="374"/>
      <c r="AU65" s="374"/>
      <c r="AV65" s="374"/>
      <c r="AW65" s="374"/>
      <c r="AX65" s="374"/>
      <c r="AY65" s="374"/>
      <c r="AZ65" s="374"/>
      <c r="BA65" s="374"/>
      <c r="BB65" s="374"/>
      <c r="BC65" s="374"/>
      <c r="BD65" s="374"/>
      <c r="BE65" s="374"/>
      <c r="BF65" s="374"/>
      <c r="BG65" s="374"/>
    </row>
    <row r="66" spans="1:59" x14ac:dyDescent="0.55000000000000004">
      <c r="A66" s="1322">
        <v>55555</v>
      </c>
      <c r="B66" s="1227"/>
      <c r="C66" s="1125" t="s">
        <v>769</v>
      </c>
      <c r="D66" s="1140"/>
      <c r="E66" s="1140"/>
      <c r="F66" s="1140"/>
      <c r="G66" s="1140"/>
      <c r="H66" s="1140"/>
      <c r="I66" s="1140"/>
      <c r="J66" s="1140"/>
      <c r="K66" s="1140"/>
      <c r="L66" s="1141"/>
      <c r="M66" s="1141"/>
      <c r="N66" s="1142"/>
      <c r="O66" s="1064"/>
      <c r="P66" s="374"/>
      <c r="Q66" s="374"/>
      <c r="R66" s="374"/>
      <c r="S66" s="374"/>
      <c r="T66" s="374"/>
      <c r="U66" s="374"/>
      <c r="V66" s="374"/>
      <c r="W66" s="374"/>
      <c r="X66" s="374"/>
      <c r="Y66" s="374"/>
      <c r="Z66" s="374"/>
      <c r="AA66" s="374"/>
      <c r="AB66" s="374"/>
      <c r="AC66" s="374"/>
      <c r="AD66" s="374"/>
      <c r="AE66" s="374"/>
      <c r="AF66" s="374"/>
      <c r="AG66" s="374"/>
      <c r="AH66" s="374"/>
      <c r="AI66" s="374"/>
      <c r="AJ66" s="374"/>
      <c r="AK66" s="374"/>
      <c r="AL66" s="374"/>
      <c r="AM66" s="374"/>
      <c r="AN66" s="374"/>
      <c r="AO66" s="374"/>
      <c r="AP66" s="374"/>
      <c r="AQ66" s="374"/>
      <c r="AR66" s="374"/>
      <c r="AS66" s="374"/>
      <c r="AT66" s="374"/>
      <c r="AU66" s="374"/>
      <c r="AV66" s="374"/>
      <c r="AW66" s="374"/>
      <c r="AX66" s="374"/>
      <c r="AY66" s="374"/>
      <c r="AZ66" s="374"/>
      <c r="BA66" s="374"/>
      <c r="BB66" s="374"/>
      <c r="BC66" s="374"/>
      <c r="BD66" s="374"/>
      <c r="BE66" s="374"/>
      <c r="BF66" s="374"/>
      <c r="BG66" s="374"/>
    </row>
    <row r="67" spans="1:59" x14ac:dyDescent="0.55000000000000004">
      <c r="A67" s="1322">
        <v>55555</v>
      </c>
      <c r="B67" s="1227"/>
      <c r="C67" s="1125" t="s">
        <v>795</v>
      </c>
      <c r="D67" s="1140"/>
      <c r="E67" s="1140"/>
      <c r="F67" s="1140"/>
      <c r="G67" s="1140"/>
      <c r="H67" s="1140"/>
      <c r="I67" s="1140"/>
      <c r="J67" s="1140"/>
      <c r="K67" s="1140"/>
      <c r="L67" s="1141"/>
      <c r="M67" s="1141"/>
      <c r="N67" s="1142"/>
      <c r="O67" s="1064"/>
      <c r="P67" s="374"/>
      <c r="Q67" s="374"/>
      <c r="R67" s="374"/>
      <c r="S67" s="374"/>
      <c r="T67" s="374"/>
      <c r="U67" s="374"/>
      <c r="V67" s="374"/>
      <c r="W67" s="374"/>
      <c r="X67" s="374"/>
      <c r="Y67" s="374"/>
      <c r="Z67" s="374"/>
      <c r="AA67" s="374"/>
      <c r="AB67" s="374"/>
      <c r="AC67" s="374"/>
      <c r="AD67" s="374"/>
      <c r="AE67" s="374"/>
      <c r="AF67" s="374"/>
      <c r="AG67" s="374"/>
      <c r="AH67" s="374"/>
      <c r="AI67" s="374"/>
      <c r="AJ67" s="374"/>
      <c r="AK67" s="374"/>
      <c r="AL67" s="374"/>
      <c r="AM67" s="374"/>
      <c r="AN67" s="374"/>
      <c r="AO67" s="374"/>
      <c r="AP67" s="374"/>
      <c r="AQ67" s="374"/>
      <c r="AR67" s="374"/>
      <c r="AS67" s="374"/>
      <c r="AT67" s="374"/>
      <c r="AU67" s="374"/>
      <c r="AV67" s="374"/>
      <c r="AW67" s="374"/>
      <c r="AX67" s="374"/>
      <c r="AY67" s="374"/>
      <c r="AZ67" s="374"/>
      <c r="BA67" s="374"/>
      <c r="BB67" s="374"/>
      <c r="BC67" s="374"/>
      <c r="BD67" s="374"/>
      <c r="BE67" s="374"/>
      <c r="BF67" s="374"/>
      <c r="BG67" s="374"/>
    </row>
    <row r="68" spans="1:59" x14ac:dyDescent="0.55000000000000004">
      <c r="A68" s="1322">
        <v>55555</v>
      </c>
      <c r="B68" s="1227"/>
      <c r="C68" s="1125" t="s">
        <v>775</v>
      </c>
      <c r="D68" s="1140"/>
      <c r="E68" s="1140"/>
      <c r="F68" s="1140"/>
      <c r="G68" s="1140"/>
      <c r="H68" s="1140"/>
      <c r="I68" s="1140"/>
      <c r="J68" s="1140"/>
      <c r="K68" s="1140"/>
      <c r="L68" s="1141"/>
      <c r="M68" s="1141"/>
      <c r="N68" s="1142"/>
      <c r="O68" s="1064"/>
      <c r="P68" s="374"/>
      <c r="Q68" s="374"/>
      <c r="R68" s="374"/>
      <c r="S68" s="374"/>
      <c r="T68" s="374"/>
      <c r="U68" s="374"/>
      <c r="V68" s="374"/>
      <c r="W68" s="374"/>
      <c r="X68" s="374"/>
      <c r="Y68" s="374"/>
      <c r="Z68" s="374"/>
      <c r="AA68" s="374"/>
      <c r="AB68" s="374"/>
      <c r="AC68" s="374"/>
      <c r="AD68" s="374"/>
      <c r="AE68" s="374"/>
      <c r="AF68" s="374"/>
      <c r="AG68" s="374"/>
      <c r="AH68" s="374"/>
      <c r="AI68" s="374"/>
      <c r="AJ68" s="374"/>
      <c r="AK68" s="374"/>
      <c r="AL68" s="374"/>
      <c r="AM68" s="374"/>
      <c r="AN68" s="374"/>
      <c r="AO68" s="374"/>
      <c r="AP68" s="374"/>
      <c r="AQ68" s="374"/>
      <c r="AR68" s="374"/>
      <c r="AS68" s="374"/>
      <c r="AT68" s="374"/>
      <c r="AU68" s="374"/>
      <c r="AV68" s="374"/>
      <c r="AW68" s="374"/>
      <c r="AX68" s="374"/>
      <c r="AY68" s="374"/>
      <c r="AZ68" s="374"/>
      <c r="BA68" s="374"/>
      <c r="BB68" s="374"/>
      <c r="BC68" s="374"/>
      <c r="BD68" s="374"/>
      <c r="BE68" s="374"/>
      <c r="BF68" s="374"/>
      <c r="BG68" s="374"/>
    </row>
    <row r="69" spans="1:59" x14ac:dyDescent="0.55000000000000004">
      <c r="A69" s="1322">
        <v>55555</v>
      </c>
      <c r="B69" s="1227"/>
      <c r="C69" s="1143" t="s">
        <v>777</v>
      </c>
      <c r="D69" s="1144"/>
      <c r="E69" s="1144"/>
      <c r="F69" s="1144"/>
      <c r="G69" s="1144"/>
      <c r="H69" s="1144"/>
      <c r="I69" s="1144"/>
      <c r="J69" s="1144"/>
      <c r="K69" s="1144"/>
      <c r="L69" s="1145"/>
      <c r="M69" s="1145"/>
      <c r="N69" s="1146"/>
      <c r="O69" s="1064"/>
      <c r="P69" s="374"/>
      <c r="Q69" s="374"/>
      <c r="R69" s="374"/>
      <c r="S69" s="374"/>
      <c r="T69" s="374"/>
      <c r="U69" s="374"/>
      <c r="V69" s="374"/>
      <c r="W69" s="374"/>
      <c r="X69" s="374"/>
      <c r="Y69" s="374"/>
      <c r="Z69" s="374"/>
      <c r="AA69" s="374"/>
      <c r="AB69" s="374"/>
      <c r="AC69" s="374"/>
      <c r="AD69" s="374"/>
      <c r="AE69" s="374"/>
      <c r="AF69" s="374"/>
      <c r="AG69" s="374"/>
      <c r="AH69" s="374"/>
      <c r="AI69" s="374"/>
      <c r="AJ69" s="374"/>
      <c r="AK69" s="374"/>
      <c r="AL69" s="374"/>
      <c r="AM69" s="374"/>
      <c r="AN69" s="374"/>
      <c r="AO69" s="374"/>
      <c r="AP69" s="374"/>
      <c r="AQ69" s="374"/>
      <c r="AR69" s="374"/>
      <c r="AS69" s="374"/>
      <c r="AT69" s="374"/>
      <c r="AU69" s="374"/>
      <c r="AV69" s="374"/>
      <c r="AW69" s="374"/>
      <c r="AX69" s="374"/>
      <c r="AY69" s="374"/>
      <c r="AZ69" s="374"/>
      <c r="BA69" s="374"/>
      <c r="BB69" s="374"/>
      <c r="BC69" s="374"/>
      <c r="BD69" s="374"/>
      <c r="BE69" s="374"/>
      <c r="BF69" s="374"/>
      <c r="BG69" s="374"/>
    </row>
    <row r="70" spans="1:59" x14ac:dyDescent="0.55000000000000004">
      <c r="B70" s="1065"/>
      <c r="C70" s="1066"/>
      <c r="D70" s="1066"/>
      <c r="E70" s="1066"/>
      <c r="F70" s="1066"/>
      <c r="G70" s="1066"/>
      <c r="H70" s="1066"/>
      <c r="I70" s="1066"/>
      <c r="J70" s="1066"/>
      <c r="K70" s="1066"/>
      <c r="L70" s="1066"/>
      <c r="M70" s="1066"/>
      <c r="N70" s="1066"/>
      <c r="O70" s="1067"/>
      <c r="P70" s="374"/>
      <c r="Q70" s="374"/>
      <c r="R70" s="374"/>
      <c r="S70" s="374"/>
      <c r="T70" s="374"/>
      <c r="U70" s="374"/>
      <c r="V70" s="374"/>
      <c r="W70" s="374"/>
      <c r="X70" s="374"/>
      <c r="Y70" s="374"/>
      <c r="Z70" s="374"/>
      <c r="AA70" s="374"/>
      <c r="AB70" s="374"/>
      <c r="AC70" s="374"/>
      <c r="AD70" s="374"/>
      <c r="AE70" s="374"/>
      <c r="AF70" s="374"/>
      <c r="AG70" s="374"/>
      <c r="AH70" s="374"/>
      <c r="AI70" s="374"/>
      <c r="AJ70" s="374"/>
      <c r="AK70" s="374"/>
      <c r="AL70" s="374"/>
      <c r="AM70" s="374"/>
      <c r="AN70" s="374"/>
      <c r="AO70" s="374"/>
      <c r="AP70" s="374"/>
      <c r="AQ70" s="374"/>
      <c r="AR70" s="374"/>
      <c r="AS70" s="374"/>
      <c r="AT70" s="374"/>
      <c r="AU70" s="374"/>
      <c r="AV70" s="374"/>
      <c r="AW70" s="374"/>
      <c r="AX70" s="374"/>
      <c r="AY70" s="374"/>
      <c r="AZ70" s="374"/>
      <c r="BA70" s="374"/>
      <c r="BB70" s="374"/>
      <c r="BC70" s="374"/>
      <c r="BD70" s="374"/>
      <c r="BE70" s="374"/>
      <c r="BF70" s="374"/>
      <c r="BG70" s="374"/>
    </row>
    <row r="71" spans="1:59" x14ac:dyDescent="0.55000000000000004">
      <c r="B71" s="384"/>
      <c r="C71" s="384"/>
      <c r="D71" s="384"/>
      <c r="E71" s="384"/>
      <c r="F71" s="384"/>
      <c r="G71" s="384"/>
      <c r="H71" s="384"/>
      <c r="I71" s="384"/>
      <c r="J71" s="384"/>
      <c r="K71" s="384"/>
      <c r="L71" s="384"/>
      <c r="M71" s="384"/>
      <c r="N71" s="384"/>
      <c r="O71" s="384"/>
      <c r="P71" s="384"/>
      <c r="Q71" s="384"/>
      <c r="R71" s="384"/>
      <c r="S71" s="384"/>
      <c r="T71" s="384"/>
      <c r="U71" s="384"/>
      <c r="V71" s="384"/>
      <c r="W71" s="384"/>
      <c r="X71" s="384"/>
      <c r="Y71" s="384"/>
      <c r="Z71" s="384"/>
      <c r="AA71" s="384"/>
      <c r="AB71" s="384"/>
      <c r="AC71" s="384"/>
      <c r="AD71" s="384"/>
      <c r="AE71" s="384"/>
      <c r="AF71" s="384"/>
      <c r="AG71" s="384"/>
      <c r="AH71" s="384"/>
      <c r="AI71" s="384"/>
      <c r="AJ71" s="384"/>
      <c r="AK71" s="384"/>
      <c r="AL71" s="384"/>
      <c r="AM71" s="384"/>
      <c r="AN71" s="384"/>
      <c r="AO71" s="384"/>
      <c r="AP71" s="384"/>
      <c r="AQ71" s="384"/>
      <c r="AR71" s="384"/>
      <c r="AS71" s="384"/>
      <c r="AT71" s="384"/>
      <c r="AU71" s="384"/>
      <c r="AV71" s="384"/>
      <c r="AW71" s="384"/>
      <c r="AX71" s="384"/>
      <c r="AY71" s="384"/>
      <c r="AZ71" s="384"/>
      <c r="BA71" s="384"/>
      <c r="BB71" s="384"/>
      <c r="BC71" s="384"/>
      <c r="BD71" s="384"/>
      <c r="BE71" s="384"/>
      <c r="BF71" s="384"/>
      <c r="BG71" s="384"/>
    </row>
    <row r="72" spans="1:59" x14ac:dyDescent="0.55000000000000004">
      <c r="B72" s="384"/>
      <c r="C72" s="384"/>
      <c r="D72" s="384"/>
      <c r="E72" s="384"/>
      <c r="F72" s="384"/>
      <c r="G72" s="384"/>
      <c r="H72" s="384"/>
      <c r="I72" s="384"/>
      <c r="J72" s="384"/>
      <c r="K72" s="384"/>
      <c r="L72" s="384"/>
      <c r="M72" s="384"/>
      <c r="N72" s="384"/>
      <c r="O72" s="384"/>
      <c r="P72" s="384"/>
      <c r="Q72" s="384"/>
      <c r="R72" s="384"/>
      <c r="S72" s="384"/>
      <c r="T72" s="384"/>
      <c r="U72" s="384"/>
      <c r="V72" s="384"/>
      <c r="W72" s="384"/>
      <c r="X72" s="384"/>
      <c r="Y72" s="384"/>
      <c r="Z72" s="384"/>
      <c r="AA72" s="384"/>
      <c r="AB72" s="384"/>
      <c r="AC72" s="384"/>
      <c r="AD72" s="384"/>
      <c r="AE72" s="384"/>
      <c r="AF72" s="384"/>
      <c r="AG72" s="384"/>
      <c r="AH72" s="384"/>
      <c r="AI72" s="384"/>
      <c r="AJ72" s="384"/>
      <c r="AK72" s="384"/>
      <c r="AL72" s="384"/>
      <c r="AM72" s="384"/>
      <c r="AN72" s="384"/>
      <c r="AO72" s="384"/>
      <c r="AP72" s="384"/>
      <c r="AQ72" s="384"/>
      <c r="AR72" s="384"/>
      <c r="AS72" s="384"/>
      <c r="AT72" s="384"/>
      <c r="AU72" s="384"/>
      <c r="AV72" s="384"/>
      <c r="AW72" s="384"/>
      <c r="AX72" s="384"/>
      <c r="AY72" s="384"/>
      <c r="AZ72" s="384"/>
      <c r="BA72" s="384"/>
      <c r="BB72" s="384"/>
      <c r="BC72" s="384"/>
      <c r="BD72" s="384"/>
      <c r="BE72" s="384"/>
      <c r="BF72" s="384"/>
      <c r="BG72" s="384"/>
    </row>
    <row r="73" spans="1:59" x14ac:dyDescent="0.55000000000000004">
      <c r="B73" s="384"/>
      <c r="C73" s="384"/>
      <c r="D73" s="384"/>
      <c r="E73" s="384"/>
      <c r="F73" s="384"/>
      <c r="G73" s="384"/>
      <c r="H73" s="384"/>
      <c r="I73" s="384"/>
      <c r="J73" s="384"/>
      <c r="K73" s="384"/>
      <c r="L73" s="384"/>
      <c r="M73" s="384"/>
      <c r="N73" s="384"/>
      <c r="O73" s="384"/>
      <c r="P73" s="384"/>
      <c r="Q73" s="384"/>
      <c r="R73" s="384"/>
      <c r="S73" s="384"/>
      <c r="T73" s="384"/>
      <c r="U73" s="384"/>
      <c r="V73" s="384"/>
      <c r="W73" s="384"/>
      <c r="X73" s="384"/>
      <c r="Y73" s="384"/>
      <c r="Z73" s="384"/>
      <c r="AA73" s="384"/>
      <c r="AB73" s="384"/>
      <c r="AC73" s="384"/>
      <c r="AD73" s="384"/>
      <c r="AE73" s="384"/>
      <c r="AF73" s="384"/>
      <c r="AG73" s="384"/>
      <c r="AH73" s="384"/>
      <c r="AI73" s="384"/>
      <c r="AJ73" s="384"/>
      <c r="AK73" s="384"/>
      <c r="AL73" s="384"/>
      <c r="AM73" s="384"/>
      <c r="AN73" s="384"/>
      <c r="AO73" s="384"/>
      <c r="AP73" s="384"/>
      <c r="AQ73" s="384"/>
      <c r="AR73" s="384"/>
      <c r="AS73" s="384"/>
      <c r="AT73" s="384"/>
      <c r="AU73" s="384"/>
      <c r="AV73" s="384"/>
      <c r="AW73" s="384"/>
      <c r="AX73" s="384"/>
      <c r="AY73" s="384"/>
      <c r="AZ73" s="384"/>
      <c r="BA73" s="384"/>
      <c r="BB73" s="384"/>
      <c r="BC73" s="384"/>
      <c r="BD73" s="384"/>
      <c r="BE73" s="384"/>
      <c r="BF73" s="384"/>
      <c r="BG73" s="384"/>
    </row>
  </sheetData>
  <autoFilter ref="C5:N69" xr:uid="{86E18B2D-CC50-4F22-99B1-D2323184F36C}"/>
  <mergeCells count="2">
    <mergeCell ref="H3:K3"/>
    <mergeCell ref="L3:N3"/>
  </mergeCells>
  <pageMargins left="0.7" right="0.7" top="0.75" bottom="0.75" header="0.3" footer="0.3"/>
  <pageSetup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FFF5FBA-D953-40E8-B94E-E6EB933DB3C5}">
  <sheetPr codeName="Sheet41">
    <tabColor theme="2" tint="-0.249977111117893"/>
  </sheetPr>
  <dimension ref="A1:IV73"/>
  <sheetViews>
    <sheetView zoomScaleNormal="100" workbookViewId="0">
      <selection activeCell="AF11" sqref="AF11"/>
    </sheetView>
  </sheetViews>
  <sheetFormatPr defaultColWidth="17.3125" defaultRowHeight="12" customHeight="1" outlineLevelCol="1" x14ac:dyDescent="0.35"/>
  <cols>
    <col min="1" max="1" width="17.3125" style="978" customWidth="1"/>
    <col min="2" max="16" width="17.3125" style="962" customWidth="1"/>
    <col min="17" max="17" width="17.3125" style="979" customWidth="1"/>
    <col min="18" max="19" width="17.3125" style="962" customWidth="1"/>
    <col min="20" max="20" width="17.3125" style="980" customWidth="1"/>
    <col min="21" max="23" width="17.3125" style="981" customWidth="1" outlineLevel="1"/>
    <col min="24" max="24" width="17.3125" style="1003" customWidth="1"/>
    <col min="25" max="33" width="17.3125" style="980" customWidth="1" outlineLevel="1"/>
    <col min="34" max="34" width="17.3125" style="980" customWidth="1"/>
    <col min="35" max="38" width="17.3125" style="980" customWidth="1" outlineLevel="1"/>
    <col min="39" max="40" width="17.3125" style="997" customWidth="1"/>
    <col min="41" max="41" width="17.3125" style="981" customWidth="1"/>
    <col min="42" max="42" width="17.3125" style="1004" customWidth="1"/>
    <col min="43" max="43" width="17.3125" style="997" customWidth="1"/>
    <col min="44" max="44" width="17.3125" style="1005" customWidth="1"/>
    <col min="45" max="45" width="17.3125" style="998" customWidth="1"/>
    <col min="46" max="46" width="17.3125" style="1002" customWidth="1"/>
    <col min="47" max="47" width="17.3125" style="978" customWidth="1"/>
    <col min="48" max="62" width="17.3125" style="962" customWidth="1"/>
    <col min="63" max="63" width="17.3125" style="979" customWidth="1"/>
    <col min="64" max="65" width="17.3125" style="962" customWidth="1"/>
    <col min="66" max="66" width="17.3125" style="980" customWidth="1"/>
    <col min="67" max="69" width="17.3125" style="981" customWidth="1" outlineLevel="1"/>
    <col min="70" max="70" width="17.3125" style="981" customWidth="1"/>
    <col min="71" max="79" width="17.3125" style="980" customWidth="1" outlineLevel="1"/>
    <col min="80" max="80" width="17.3125" style="980" customWidth="1"/>
    <col min="81" max="84" width="17.3125" style="980" customWidth="1" outlineLevel="1"/>
    <col min="85" max="86" width="17.3125" style="997" customWidth="1"/>
    <col min="87" max="87" width="17.3125" style="981" customWidth="1"/>
    <col min="88" max="88" width="17.3125" style="1004" customWidth="1"/>
    <col min="89" max="89" width="17.3125" style="997" customWidth="1"/>
    <col min="90" max="90" width="17.3125" style="1005" customWidth="1"/>
    <col min="91" max="91" width="17.3125" style="998" customWidth="1"/>
    <col min="92" max="93" width="17.3125" style="978" customWidth="1"/>
    <col min="94" max="108" width="17.3125" style="962" customWidth="1"/>
    <col min="109" max="109" width="17.3125" style="979" customWidth="1"/>
    <col min="110" max="111" width="17.3125" style="962" customWidth="1"/>
    <col min="112" max="112" width="17.3125" style="980" customWidth="1"/>
    <col min="113" max="115" width="17.3125" style="981" customWidth="1" outlineLevel="1"/>
    <col min="116" max="116" width="17.3125" style="981" customWidth="1"/>
    <col min="117" max="125" width="17.3125" style="980" customWidth="1" outlineLevel="1"/>
    <col min="126" max="126" width="17.3125" style="980" customWidth="1"/>
    <col min="127" max="130" width="17.3125" style="980" customWidth="1" outlineLevel="1"/>
    <col min="131" max="132" width="17.3125" style="997" customWidth="1"/>
    <col min="133" max="133" width="17.3125" style="981" customWidth="1"/>
    <col min="134" max="134" width="17.3125" style="1004" customWidth="1"/>
    <col min="135" max="135" width="17.3125" style="997" customWidth="1"/>
    <col min="136" max="136" width="17.3125" style="1005" customWidth="1"/>
    <col min="137" max="138" width="17.3125" style="978" customWidth="1"/>
    <col min="139" max="16384" width="17.3125" style="978"/>
  </cols>
  <sheetData>
    <row r="1" spans="1:256" ht="12" customHeight="1" x14ac:dyDescent="0.35">
      <c r="T1" s="987"/>
      <c r="U1" s="988"/>
      <c r="V1" s="988"/>
      <c r="W1" s="988"/>
      <c r="X1" s="989"/>
      <c r="Y1" s="989"/>
      <c r="Z1" s="989"/>
      <c r="AA1" s="989"/>
      <c r="AB1" s="989"/>
      <c r="AC1" s="989"/>
      <c r="AD1" s="989"/>
      <c r="AE1" s="989"/>
      <c r="AF1" s="989"/>
      <c r="AG1" s="989"/>
      <c r="AH1" s="989"/>
      <c r="AI1" s="990"/>
      <c r="AJ1" s="990"/>
      <c r="AK1" s="990"/>
      <c r="AL1" s="990"/>
      <c r="AM1" s="990"/>
      <c r="AN1" s="991"/>
      <c r="AO1" s="991"/>
      <c r="AP1" s="991"/>
      <c r="AQ1" s="992"/>
      <c r="AR1" s="993"/>
      <c r="AS1" s="984"/>
      <c r="AT1" s="985"/>
      <c r="BN1" s="987"/>
      <c r="BO1" s="988"/>
      <c r="BP1" s="988"/>
      <c r="BQ1" s="988"/>
      <c r="BR1" s="989"/>
      <c r="BS1" s="989"/>
      <c r="BT1" s="989"/>
      <c r="BU1" s="989"/>
      <c r="BV1" s="989"/>
      <c r="BW1" s="989"/>
      <c r="BX1" s="989"/>
      <c r="BY1" s="989"/>
      <c r="BZ1" s="989"/>
      <c r="CA1" s="989"/>
      <c r="CB1" s="989"/>
      <c r="CC1" s="990"/>
      <c r="CD1" s="990"/>
      <c r="CE1" s="990"/>
      <c r="CF1" s="990"/>
      <c r="CG1" s="989"/>
      <c r="CH1" s="991"/>
      <c r="CI1" s="991"/>
      <c r="CJ1" s="991"/>
      <c r="CK1" s="992"/>
      <c r="CL1" s="993"/>
      <c r="CM1" s="984"/>
      <c r="DH1" s="987"/>
      <c r="DI1" s="988"/>
      <c r="DJ1" s="988"/>
      <c r="DK1" s="988"/>
      <c r="DL1" s="989"/>
      <c r="DM1" s="989"/>
      <c r="DN1" s="989"/>
      <c r="DO1" s="989"/>
      <c r="DP1" s="989"/>
      <c r="DQ1" s="989"/>
      <c r="DR1" s="989"/>
      <c r="DS1" s="989"/>
      <c r="DT1" s="989"/>
      <c r="DU1" s="989"/>
      <c r="DV1" s="989"/>
      <c r="DW1" s="990"/>
      <c r="DX1" s="990"/>
      <c r="DY1" s="990"/>
      <c r="DZ1" s="990"/>
      <c r="EA1" s="989"/>
      <c r="EB1" s="991"/>
      <c r="EC1" s="991"/>
      <c r="ED1" s="991"/>
      <c r="EE1" s="992"/>
      <c r="EF1" s="993"/>
    </row>
    <row r="2" spans="1:256" ht="12" customHeight="1" x14ac:dyDescent="0.35">
      <c r="X2" s="982"/>
      <c r="AM2" s="980"/>
      <c r="AN2" s="980"/>
      <c r="AO2" s="980"/>
      <c r="AP2" s="980"/>
      <c r="AQ2" s="980"/>
      <c r="AR2" s="983"/>
      <c r="AS2" s="984"/>
      <c r="AT2" s="985"/>
      <c r="BR2" s="980"/>
      <c r="CG2" s="980"/>
      <c r="CH2" s="980"/>
      <c r="CI2" s="980"/>
      <c r="CJ2" s="980"/>
      <c r="CK2" s="980"/>
      <c r="CL2" s="983"/>
      <c r="CM2" s="984"/>
      <c r="DL2" s="980"/>
      <c r="EA2" s="980"/>
      <c r="EB2" s="980"/>
      <c r="EC2" s="980"/>
      <c r="ED2" s="980"/>
      <c r="EE2" s="980"/>
      <c r="EF2" s="983"/>
    </row>
    <row r="3" spans="1:256" s="771" customFormat="1" ht="16.95" customHeight="1" x14ac:dyDescent="0.5">
      <c r="A3" s="769"/>
      <c r="B3" s="769"/>
      <c r="C3" s="769"/>
      <c r="D3" s="769"/>
      <c r="E3" s="769"/>
      <c r="F3" s="769"/>
      <c r="G3" s="769"/>
      <c r="H3" s="769"/>
      <c r="I3" s="769"/>
      <c r="J3" s="769"/>
      <c r="K3" s="769"/>
      <c r="L3" s="769"/>
      <c r="M3" s="769"/>
      <c r="N3" s="769"/>
      <c r="O3" s="769"/>
      <c r="P3" s="769"/>
      <c r="Q3" s="770"/>
      <c r="S3" s="962"/>
      <c r="T3" s="1787" t="s">
        <v>863</v>
      </c>
      <c r="U3" s="1788"/>
      <c r="V3" s="1788"/>
      <c r="W3" s="1788"/>
      <c r="X3" s="1788"/>
      <c r="Y3" s="1788"/>
      <c r="Z3" s="1788"/>
      <c r="AA3" s="1788"/>
      <c r="AB3" s="1788"/>
      <c r="AC3" s="1788"/>
      <c r="AD3" s="1788"/>
      <c r="AE3" s="1788"/>
      <c r="AF3" s="1788"/>
      <c r="AG3" s="1788"/>
      <c r="AH3" s="1788"/>
      <c r="AI3" s="1788"/>
      <c r="AJ3" s="1788"/>
      <c r="AK3" s="1788"/>
      <c r="AL3" s="1788"/>
      <c r="AM3" s="1788"/>
      <c r="AN3" s="1788"/>
      <c r="AO3" s="1788"/>
      <c r="AP3" s="1788"/>
      <c r="AQ3" s="1789"/>
      <c r="AR3" s="772"/>
      <c r="AS3" s="773"/>
      <c r="AT3" s="774"/>
      <c r="AU3" s="769"/>
      <c r="AV3" s="769"/>
      <c r="AW3" s="769"/>
      <c r="AX3" s="769"/>
      <c r="AY3" s="769"/>
      <c r="AZ3" s="769"/>
      <c r="BA3" s="769"/>
      <c r="BB3" s="769"/>
      <c r="BC3" s="769"/>
      <c r="BD3" s="769"/>
      <c r="BE3" s="769"/>
      <c r="BF3" s="769"/>
      <c r="BG3" s="769"/>
      <c r="BH3" s="769"/>
      <c r="BI3" s="769"/>
      <c r="BJ3" s="769"/>
      <c r="BK3" s="770"/>
      <c r="BM3" s="775"/>
      <c r="BN3" s="1784" t="s">
        <v>864</v>
      </c>
      <c r="BO3" s="1785"/>
      <c r="BP3" s="1785"/>
      <c r="BQ3" s="1785"/>
      <c r="BR3" s="1785"/>
      <c r="BS3" s="1785"/>
      <c r="BT3" s="1785"/>
      <c r="BU3" s="1785"/>
      <c r="BV3" s="1785"/>
      <c r="BW3" s="1785"/>
      <c r="BX3" s="1785"/>
      <c r="BY3" s="1785"/>
      <c r="BZ3" s="1785"/>
      <c r="CA3" s="1785"/>
      <c r="CB3" s="1785"/>
      <c r="CC3" s="1785"/>
      <c r="CD3" s="1785"/>
      <c r="CE3" s="1785"/>
      <c r="CF3" s="1785"/>
      <c r="CG3" s="1785"/>
      <c r="CH3" s="1785"/>
      <c r="CI3" s="1785"/>
      <c r="CJ3" s="1785"/>
      <c r="CK3" s="1786"/>
      <c r="CL3" s="772"/>
      <c r="CM3" s="773"/>
      <c r="CO3" s="769"/>
      <c r="CP3" s="769"/>
      <c r="CQ3" s="769"/>
      <c r="CR3" s="769"/>
      <c r="CS3" s="769"/>
      <c r="CT3" s="769"/>
      <c r="CU3" s="769"/>
      <c r="CV3" s="769"/>
      <c r="CW3" s="769"/>
      <c r="CX3" s="769"/>
      <c r="CY3" s="769"/>
      <c r="CZ3" s="769"/>
      <c r="DA3" s="769"/>
      <c r="DB3" s="769"/>
      <c r="DC3" s="769"/>
      <c r="DD3" s="769"/>
      <c r="DE3" s="770"/>
      <c r="DG3" s="775"/>
      <c r="DH3" s="1784" t="s">
        <v>865</v>
      </c>
      <c r="DI3" s="1785"/>
      <c r="DJ3" s="1785"/>
      <c r="DK3" s="1785"/>
      <c r="DL3" s="1785"/>
      <c r="DM3" s="1785"/>
      <c r="DN3" s="1785"/>
      <c r="DO3" s="1785"/>
      <c r="DP3" s="1785"/>
      <c r="DQ3" s="1785"/>
      <c r="DR3" s="1785"/>
      <c r="DS3" s="1785"/>
      <c r="DT3" s="1785"/>
      <c r="DU3" s="1785"/>
      <c r="DV3" s="1785"/>
      <c r="DW3" s="1785"/>
      <c r="DX3" s="1785"/>
      <c r="DY3" s="1785"/>
      <c r="DZ3" s="1785"/>
      <c r="EA3" s="1785"/>
      <c r="EB3" s="1785"/>
      <c r="EC3" s="1785"/>
      <c r="ED3" s="1785"/>
      <c r="EE3" s="1785"/>
      <c r="EF3" s="1786"/>
      <c r="EG3" s="959"/>
      <c r="EH3" s="959"/>
      <c r="EI3" s="959"/>
      <c r="EJ3" s="959"/>
      <c r="EK3" s="959"/>
      <c r="EL3" s="959"/>
      <c r="EM3" s="959"/>
      <c r="EN3" s="959"/>
      <c r="EO3" s="959"/>
      <c r="EP3" s="959"/>
      <c r="EQ3" s="959"/>
      <c r="ER3" s="959"/>
      <c r="ES3" s="959"/>
      <c r="ET3" s="959"/>
      <c r="EU3" s="959"/>
      <c r="EV3" s="959"/>
      <c r="EW3" s="959"/>
      <c r="EX3" s="959"/>
      <c r="EY3" s="959"/>
      <c r="EZ3" s="959"/>
      <c r="FA3" s="959"/>
      <c r="FB3" s="959"/>
      <c r="FC3" s="959"/>
      <c r="FD3" s="959"/>
      <c r="FE3" s="959"/>
      <c r="FF3" s="959"/>
      <c r="FG3" s="959"/>
      <c r="FH3" s="959"/>
      <c r="FI3" s="959"/>
      <c r="FJ3" s="959"/>
      <c r="FK3" s="959"/>
      <c r="FL3" s="959"/>
      <c r="FM3" s="959"/>
      <c r="FN3" s="959"/>
      <c r="FO3" s="959"/>
      <c r="FP3" s="959"/>
      <c r="FQ3" s="959"/>
      <c r="FR3" s="959"/>
      <c r="FS3" s="959"/>
      <c r="FT3" s="959"/>
      <c r="FU3" s="959"/>
      <c r="FV3" s="959"/>
      <c r="FW3" s="959"/>
      <c r="FX3" s="959"/>
      <c r="FY3" s="959"/>
      <c r="FZ3" s="959"/>
      <c r="GA3" s="959"/>
      <c r="GB3" s="959"/>
      <c r="GC3" s="959"/>
      <c r="GD3" s="959"/>
      <c r="GE3" s="959"/>
      <c r="GF3" s="959"/>
      <c r="GG3" s="959"/>
      <c r="GH3" s="959"/>
      <c r="GI3" s="959"/>
      <c r="GJ3" s="959"/>
      <c r="GK3" s="959"/>
      <c r="GL3" s="959"/>
      <c r="GM3" s="959"/>
      <c r="GN3" s="959"/>
      <c r="GO3" s="959"/>
      <c r="GP3" s="959"/>
      <c r="GQ3" s="959"/>
      <c r="GR3" s="959"/>
      <c r="GS3" s="959"/>
      <c r="GT3" s="959"/>
      <c r="GU3" s="959"/>
      <c r="GV3" s="959"/>
      <c r="GW3" s="959"/>
      <c r="GX3" s="959"/>
      <c r="GY3" s="959"/>
      <c r="GZ3" s="959"/>
      <c r="HA3" s="959"/>
      <c r="HB3" s="959"/>
      <c r="HC3" s="959"/>
      <c r="HD3" s="959"/>
      <c r="HE3" s="959"/>
      <c r="HF3" s="959"/>
      <c r="HG3" s="959"/>
      <c r="HH3" s="959"/>
      <c r="HI3" s="959"/>
      <c r="HJ3" s="959"/>
      <c r="HK3" s="959"/>
      <c r="HL3" s="959"/>
      <c r="HM3" s="959"/>
      <c r="HN3" s="959"/>
      <c r="HO3" s="959"/>
      <c r="HP3" s="959"/>
      <c r="HQ3" s="959"/>
      <c r="HR3" s="959"/>
      <c r="HS3" s="959"/>
      <c r="HT3" s="959"/>
      <c r="HU3" s="959"/>
      <c r="HV3" s="959"/>
      <c r="HW3" s="959"/>
      <c r="HX3" s="959"/>
      <c r="HY3" s="959"/>
      <c r="HZ3" s="959"/>
      <c r="IA3" s="959"/>
      <c r="IB3" s="959"/>
      <c r="IC3" s="959"/>
      <c r="ID3" s="959"/>
      <c r="IE3" s="959"/>
      <c r="IF3" s="959"/>
      <c r="IG3" s="959"/>
      <c r="IH3" s="959"/>
      <c r="II3" s="959"/>
      <c r="IJ3" s="959"/>
      <c r="IK3" s="959"/>
      <c r="IL3" s="959"/>
      <c r="IM3" s="959"/>
      <c r="IN3" s="959"/>
      <c r="IO3" s="959"/>
      <c r="IP3" s="959"/>
      <c r="IQ3" s="959"/>
      <c r="IR3" s="959"/>
      <c r="IS3" s="959"/>
      <c r="IT3" s="959"/>
      <c r="IU3" s="959"/>
      <c r="IV3" s="959"/>
    </row>
    <row r="4" spans="1:256" s="402" customFormat="1" ht="13.2" customHeight="1" x14ac:dyDescent="0.55000000000000004">
      <c r="A4" s="405"/>
      <c r="B4" s="406"/>
      <c r="C4" s="406"/>
      <c r="D4" s="406"/>
      <c r="E4" s="406"/>
      <c r="F4" s="406"/>
      <c r="G4" s="406"/>
      <c r="H4" s="406"/>
      <c r="I4" s="406"/>
      <c r="J4" s="406"/>
      <c r="K4" s="406"/>
      <c r="L4" s="406"/>
      <c r="M4" s="406"/>
      <c r="N4" s="406"/>
      <c r="O4" s="406"/>
      <c r="P4" s="406"/>
      <c r="Q4" s="400"/>
      <c r="R4" s="401"/>
      <c r="S4" s="994"/>
      <c r="T4" s="588"/>
      <c r="U4" s="589"/>
      <c r="V4" s="589"/>
      <c r="W4" s="589">
        <f ca="1">'5.Cons and detailed recon'!CC29</f>
        <v>0</v>
      </c>
      <c r="X4" s="589">
        <f ca="1">'5.Cons and detailed recon'!CF29</f>
        <v>0</v>
      </c>
      <c r="Y4" s="589"/>
      <c r="Z4" s="589"/>
      <c r="AA4" s="589"/>
      <c r="AB4" s="589"/>
      <c r="AC4" s="589"/>
      <c r="AD4" s="589"/>
      <c r="AE4" s="589"/>
      <c r="AF4" s="589"/>
      <c r="AG4" s="589"/>
      <c r="AH4" s="589"/>
      <c r="AI4" s="590"/>
      <c r="AJ4" s="590"/>
      <c r="AK4" s="590"/>
      <c r="AL4" s="590"/>
      <c r="AM4" s="590"/>
      <c r="AN4" s="589"/>
      <c r="AO4" s="589"/>
      <c r="AP4" s="589"/>
      <c r="AQ4" s="589"/>
      <c r="AR4" s="403"/>
      <c r="AS4" s="733"/>
      <c r="AT4" s="404"/>
      <c r="AU4" s="405"/>
      <c r="AV4" s="406"/>
      <c r="AW4" s="406"/>
      <c r="AX4" s="406"/>
      <c r="AY4" s="406"/>
      <c r="AZ4" s="406"/>
      <c r="BA4" s="406"/>
      <c r="BB4" s="406"/>
      <c r="BC4" s="406"/>
      <c r="BD4" s="406"/>
      <c r="BE4" s="406"/>
      <c r="BF4" s="406"/>
      <c r="BG4" s="406"/>
      <c r="BH4" s="406"/>
      <c r="BI4" s="406"/>
      <c r="BJ4" s="406"/>
      <c r="BK4" s="400"/>
      <c r="BL4" s="401"/>
      <c r="BM4" s="735"/>
      <c r="BN4" s="588"/>
      <c r="BO4" s="589"/>
      <c r="BP4" s="589"/>
      <c r="BQ4" s="589"/>
      <c r="BR4" s="589"/>
      <c r="BS4" s="589"/>
      <c r="BT4" s="589"/>
      <c r="BU4" s="589"/>
      <c r="BV4" s="589"/>
      <c r="BW4" s="589"/>
      <c r="BX4" s="589"/>
      <c r="BY4" s="589"/>
      <c r="BZ4" s="589"/>
      <c r="CA4" s="589"/>
      <c r="CB4" s="589"/>
      <c r="CC4" s="590"/>
      <c r="CD4" s="590"/>
      <c r="CE4" s="590"/>
      <c r="CF4" s="590"/>
      <c r="CG4" s="589"/>
      <c r="CH4" s="589"/>
      <c r="CI4" s="589"/>
      <c r="CJ4" s="589"/>
      <c r="CK4" s="589"/>
      <c r="CL4" s="403"/>
      <c r="CM4" s="733"/>
      <c r="CO4" s="398"/>
      <c r="CP4" s="406"/>
      <c r="CQ4" s="406"/>
      <c r="CR4" s="406"/>
      <c r="CS4" s="406"/>
      <c r="CT4" s="406"/>
      <c r="CU4" s="406"/>
      <c r="CV4" s="406"/>
      <c r="CW4" s="406"/>
      <c r="CX4" s="406"/>
      <c r="CY4" s="406"/>
      <c r="CZ4" s="406"/>
      <c r="DA4" s="406"/>
      <c r="DB4" s="406"/>
      <c r="DC4" s="406"/>
      <c r="DD4" s="406"/>
      <c r="DE4" s="400"/>
      <c r="DF4" s="401"/>
      <c r="DG4" s="735"/>
      <c r="DH4" s="588">
        <v>0</v>
      </c>
      <c r="DI4" s="589"/>
      <c r="DJ4" s="589"/>
      <c r="DK4" s="589"/>
      <c r="DL4" s="589"/>
      <c r="DM4" s="589"/>
      <c r="DN4" s="589"/>
      <c r="DO4" s="589"/>
      <c r="DP4" s="589"/>
      <c r="DQ4" s="589"/>
      <c r="DR4" s="589"/>
      <c r="DS4" s="589"/>
      <c r="DT4" s="589"/>
      <c r="DU4" s="589"/>
      <c r="DV4" s="589"/>
      <c r="DW4" s="590"/>
      <c r="DX4" s="590"/>
      <c r="DY4" s="590"/>
      <c r="DZ4" s="590"/>
      <c r="EA4" s="589"/>
      <c r="EB4" s="589"/>
      <c r="EC4" s="589"/>
      <c r="ED4" s="589"/>
      <c r="EE4" s="589"/>
      <c r="EF4" s="403"/>
      <c r="EG4" s="978"/>
      <c r="EH4" s="978"/>
      <c r="EI4" s="978"/>
      <c r="EJ4" s="978"/>
      <c r="EK4" s="978"/>
      <c r="EL4" s="978"/>
      <c r="EM4" s="978"/>
      <c r="EN4" s="978"/>
      <c r="EO4" s="978"/>
      <c r="EP4" s="978"/>
      <c r="EQ4" s="978"/>
      <c r="ER4" s="978"/>
      <c r="ES4" s="978"/>
      <c r="ET4" s="978"/>
      <c r="EU4" s="978"/>
      <c r="EV4" s="978"/>
      <c r="EW4" s="978"/>
      <c r="EX4" s="978"/>
      <c r="EY4" s="978"/>
      <c r="EZ4" s="978"/>
      <c r="FA4" s="978"/>
      <c r="FB4" s="978"/>
      <c r="FC4" s="978"/>
      <c r="FD4" s="978"/>
      <c r="FE4" s="978"/>
      <c r="FF4" s="978"/>
      <c r="FG4" s="978"/>
      <c r="FH4" s="978"/>
      <c r="FI4" s="978"/>
      <c r="FJ4" s="978"/>
      <c r="FK4" s="978"/>
      <c r="FL4" s="978"/>
      <c r="FM4" s="978"/>
      <c r="FN4" s="978"/>
      <c r="FO4" s="978"/>
      <c r="FP4" s="978"/>
      <c r="FQ4" s="978"/>
      <c r="FR4" s="978"/>
      <c r="FS4" s="978"/>
      <c r="FT4" s="978"/>
      <c r="FU4" s="978"/>
      <c r="FV4" s="978"/>
      <c r="FW4" s="978"/>
      <c r="FX4" s="978"/>
      <c r="FY4" s="978"/>
      <c r="FZ4" s="978"/>
      <c r="GA4" s="978"/>
      <c r="GB4" s="978"/>
      <c r="GC4" s="978"/>
      <c r="GD4" s="978"/>
      <c r="GE4" s="978"/>
      <c r="GF4" s="978"/>
      <c r="GG4" s="978"/>
      <c r="GH4" s="978"/>
      <c r="GI4" s="978"/>
      <c r="GJ4" s="978"/>
      <c r="GK4" s="978"/>
      <c r="GL4" s="978"/>
      <c r="GM4" s="978"/>
      <c r="GN4" s="978"/>
      <c r="GO4" s="978"/>
      <c r="GP4" s="978"/>
      <c r="GQ4" s="978"/>
      <c r="GR4" s="978"/>
      <c r="GS4" s="978"/>
      <c r="GT4" s="978"/>
      <c r="GU4" s="978"/>
      <c r="GV4" s="978"/>
      <c r="GW4" s="978"/>
      <c r="GX4" s="978"/>
      <c r="GY4" s="978"/>
      <c r="GZ4" s="978"/>
      <c r="HA4" s="978"/>
      <c r="HB4" s="978"/>
      <c r="HC4" s="978"/>
      <c r="HD4" s="978"/>
      <c r="HE4" s="978"/>
      <c r="HF4" s="978"/>
      <c r="HG4" s="978"/>
      <c r="HH4" s="978"/>
      <c r="HI4" s="978"/>
      <c r="HJ4" s="978"/>
      <c r="HK4" s="978"/>
      <c r="HL4" s="978"/>
      <c r="HM4" s="978"/>
      <c r="HN4" s="978"/>
      <c r="HO4" s="978"/>
      <c r="HP4" s="978"/>
      <c r="HQ4" s="978"/>
      <c r="HR4" s="978"/>
      <c r="HS4" s="978"/>
      <c r="HT4" s="978"/>
      <c r="HU4" s="978"/>
      <c r="HV4" s="978"/>
      <c r="HW4" s="978"/>
      <c r="HX4" s="978"/>
      <c r="HY4" s="978"/>
      <c r="HZ4" s="978"/>
      <c r="IA4" s="978"/>
      <c r="IB4" s="978"/>
      <c r="IC4" s="978"/>
      <c r="ID4" s="978"/>
      <c r="IE4" s="978"/>
      <c r="IF4" s="978"/>
      <c r="IG4" s="978"/>
      <c r="IH4" s="978"/>
      <c r="II4" s="978"/>
      <c r="IJ4" s="978"/>
      <c r="IK4" s="978"/>
      <c r="IL4" s="978"/>
      <c r="IM4" s="978"/>
      <c r="IN4" s="978"/>
      <c r="IO4" s="978"/>
      <c r="IP4" s="978"/>
      <c r="IQ4" s="978"/>
      <c r="IR4" s="978"/>
      <c r="IS4" s="978"/>
      <c r="IT4" s="978"/>
      <c r="IU4" s="978"/>
      <c r="IV4" s="978"/>
    </row>
    <row r="5" spans="1:256" s="402" customFormat="1" ht="15.6" customHeight="1" x14ac:dyDescent="0.55000000000000004">
      <c r="A5" s="398"/>
      <c r="B5" s="399"/>
      <c r="C5" s="399"/>
      <c r="D5" s="399"/>
      <c r="E5" s="399"/>
      <c r="F5" s="399"/>
      <c r="G5" s="399"/>
      <c r="H5" s="399"/>
      <c r="I5" s="399"/>
      <c r="J5" s="399"/>
      <c r="K5" s="399"/>
      <c r="L5" s="399"/>
      <c r="M5" s="399"/>
      <c r="N5" s="399"/>
      <c r="O5" s="399"/>
      <c r="P5" s="399"/>
      <c r="Q5" s="400"/>
      <c r="R5" s="401"/>
      <c r="S5" s="994"/>
      <c r="T5" s="796" t="s">
        <v>819</v>
      </c>
      <c r="U5" s="782"/>
      <c r="V5" s="782"/>
      <c r="W5" s="782"/>
      <c r="X5" s="783"/>
      <c r="Y5" s="783"/>
      <c r="Z5" s="783"/>
      <c r="AA5" s="783"/>
      <c r="AB5" s="783"/>
      <c r="AC5" s="783"/>
      <c r="AD5" s="783"/>
      <c r="AE5" s="783"/>
      <c r="AF5" s="783"/>
      <c r="AG5" s="783"/>
      <c r="AH5" s="783"/>
      <c r="AI5" s="784"/>
      <c r="AJ5" s="784"/>
      <c r="AK5" s="784"/>
      <c r="AL5" s="784"/>
      <c r="AM5" s="800"/>
      <c r="AN5" s="793"/>
      <c r="AO5" s="1790" t="s">
        <v>820</v>
      </c>
      <c r="AP5" s="1791"/>
      <c r="AQ5" s="1792"/>
      <c r="AR5" s="407"/>
      <c r="AS5" s="733"/>
      <c r="AT5" s="404"/>
      <c r="AU5" s="398"/>
      <c r="AV5" s="399"/>
      <c r="AW5" s="399"/>
      <c r="AX5" s="399"/>
      <c r="AY5" s="399"/>
      <c r="AZ5" s="399"/>
      <c r="BA5" s="399"/>
      <c r="BB5" s="399"/>
      <c r="BC5" s="399"/>
      <c r="BD5" s="399"/>
      <c r="BE5" s="399"/>
      <c r="BF5" s="399"/>
      <c r="BG5" s="399"/>
      <c r="BH5" s="399"/>
      <c r="BI5" s="399"/>
      <c r="BJ5" s="399"/>
      <c r="BK5" s="400"/>
      <c r="BL5" s="401"/>
      <c r="BM5" s="735"/>
      <c r="BN5" s="796" t="s">
        <v>819</v>
      </c>
      <c r="BO5" s="782"/>
      <c r="BP5" s="782"/>
      <c r="BQ5" s="782"/>
      <c r="BR5" s="783"/>
      <c r="BS5" s="783"/>
      <c r="BT5" s="783"/>
      <c r="BU5" s="783"/>
      <c r="BV5" s="783"/>
      <c r="BW5" s="783"/>
      <c r="BX5" s="783"/>
      <c r="BY5" s="783"/>
      <c r="BZ5" s="783"/>
      <c r="CA5" s="783"/>
      <c r="CB5" s="783"/>
      <c r="CC5" s="784"/>
      <c r="CD5" s="784"/>
      <c r="CE5" s="784"/>
      <c r="CF5" s="784"/>
      <c r="CG5" s="800"/>
      <c r="CH5" s="793"/>
      <c r="CI5" s="1790" t="s">
        <v>820</v>
      </c>
      <c r="CJ5" s="1791"/>
      <c r="CK5" s="1792"/>
      <c r="CL5" s="407"/>
      <c r="CM5" s="733"/>
      <c r="CO5" s="398"/>
      <c r="CP5" s="399"/>
      <c r="CQ5" s="399"/>
      <c r="CR5" s="399"/>
      <c r="CS5" s="399"/>
      <c r="CT5" s="399"/>
      <c r="CU5" s="399"/>
      <c r="CV5" s="399"/>
      <c r="CW5" s="399"/>
      <c r="CX5" s="399"/>
      <c r="CY5" s="399"/>
      <c r="CZ5" s="399"/>
      <c r="DA5" s="399"/>
      <c r="DB5" s="399"/>
      <c r="DC5" s="399"/>
      <c r="DD5" s="399"/>
      <c r="DE5" s="400"/>
      <c r="DF5" s="401"/>
      <c r="DG5" s="735"/>
      <c r="DH5" s="796" t="s">
        <v>819</v>
      </c>
      <c r="DI5" s="782"/>
      <c r="DJ5" s="782"/>
      <c r="DK5" s="782"/>
      <c r="DL5" s="783"/>
      <c r="DM5" s="783"/>
      <c r="DN5" s="783"/>
      <c r="DO5" s="783"/>
      <c r="DP5" s="783"/>
      <c r="DQ5" s="783"/>
      <c r="DR5" s="783"/>
      <c r="DS5" s="783"/>
      <c r="DT5" s="783"/>
      <c r="DU5" s="783"/>
      <c r="DV5" s="783"/>
      <c r="DW5" s="784"/>
      <c r="DX5" s="784"/>
      <c r="DY5" s="784"/>
      <c r="DZ5" s="784"/>
      <c r="EA5" s="800"/>
      <c r="EB5" s="793"/>
      <c r="EC5" s="1790" t="s">
        <v>820</v>
      </c>
      <c r="ED5" s="1791"/>
      <c r="EE5" s="1792"/>
      <c r="EF5" s="407"/>
      <c r="EG5" s="978"/>
      <c r="EH5" s="978"/>
      <c r="EI5" s="978"/>
      <c r="EJ5" s="978"/>
      <c r="EK5" s="978"/>
      <c r="EL5" s="978"/>
      <c r="EM5" s="978"/>
      <c r="EN5" s="978"/>
      <c r="EO5" s="978"/>
      <c r="EP5" s="978"/>
      <c r="EQ5" s="978"/>
      <c r="ER5" s="978"/>
      <c r="ES5" s="978"/>
      <c r="ET5" s="978"/>
      <c r="EU5" s="978"/>
      <c r="EV5" s="978"/>
      <c r="EW5" s="978"/>
      <c r="EX5" s="978"/>
      <c r="EY5" s="978"/>
      <c r="EZ5" s="978"/>
      <c r="FA5" s="978"/>
      <c r="FB5" s="978"/>
      <c r="FC5" s="978"/>
      <c r="FD5" s="978"/>
      <c r="FE5" s="978"/>
      <c r="FF5" s="978"/>
      <c r="FG5" s="978"/>
      <c r="FH5" s="978"/>
      <c r="FI5" s="978"/>
      <c r="FJ5" s="978"/>
      <c r="FK5" s="978"/>
      <c r="FL5" s="978"/>
      <c r="FM5" s="978"/>
      <c r="FN5" s="978"/>
      <c r="FO5" s="978"/>
      <c r="FP5" s="978"/>
      <c r="FQ5" s="978"/>
      <c r="FR5" s="978"/>
      <c r="FS5" s="978"/>
      <c r="FT5" s="978"/>
      <c r="FU5" s="978"/>
      <c r="FV5" s="978"/>
      <c r="FW5" s="978"/>
      <c r="FX5" s="978"/>
      <c r="FY5" s="978"/>
      <c r="FZ5" s="978"/>
      <c r="GA5" s="978"/>
      <c r="GB5" s="978"/>
      <c r="GC5" s="978"/>
      <c r="GD5" s="978"/>
      <c r="GE5" s="978"/>
      <c r="GF5" s="978"/>
      <c r="GG5" s="978"/>
      <c r="GH5" s="978"/>
      <c r="GI5" s="978"/>
      <c r="GJ5" s="978"/>
      <c r="GK5" s="978"/>
      <c r="GL5" s="978"/>
      <c r="GM5" s="978"/>
      <c r="GN5" s="978"/>
      <c r="GO5" s="978"/>
      <c r="GP5" s="978"/>
      <c r="GQ5" s="978"/>
      <c r="GR5" s="978"/>
      <c r="GS5" s="978"/>
      <c r="GT5" s="978"/>
      <c r="GU5" s="978"/>
      <c r="GV5" s="978"/>
      <c r="GW5" s="978"/>
      <c r="GX5" s="978"/>
      <c r="GY5" s="978"/>
      <c r="GZ5" s="978"/>
      <c r="HA5" s="978"/>
      <c r="HB5" s="978"/>
      <c r="HC5" s="978"/>
      <c r="HD5" s="978"/>
      <c r="HE5" s="978"/>
      <c r="HF5" s="978"/>
      <c r="HG5" s="978"/>
      <c r="HH5" s="978"/>
      <c r="HI5" s="978"/>
      <c r="HJ5" s="978"/>
      <c r="HK5" s="978"/>
      <c r="HL5" s="978"/>
      <c r="HM5" s="978"/>
      <c r="HN5" s="978"/>
      <c r="HO5" s="978"/>
      <c r="HP5" s="978"/>
      <c r="HQ5" s="978"/>
      <c r="HR5" s="978"/>
      <c r="HS5" s="978"/>
      <c r="HT5" s="978"/>
      <c r="HU5" s="978"/>
      <c r="HV5" s="978"/>
      <c r="HW5" s="978"/>
      <c r="HX5" s="978"/>
      <c r="HY5" s="978"/>
      <c r="HZ5" s="978"/>
      <c r="IA5" s="978"/>
      <c r="IB5" s="978"/>
      <c r="IC5" s="978"/>
      <c r="ID5" s="978"/>
      <c r="IE5" s="978"/>
      <c r="IF5" s="978"/>
      <c r="IG5" s="978"/>
      <c r="IH5" s="978"/>
      <c r="II5" s="978"/>
      <c r="IJ5" s="978"/>
      <c r="IK5" s="978"/>
      <c r="IL5" s="978"/>
      <c r="IM5" s="978"/>
      <c r="IN5" s="978"/>
      <c r="IO5" s="978"/>
      <c r="IP5" s="978"/>
      <c r="IQ5" s="978"/>
      <c r="IR5" s="978"/>
      <c r="IS5" s="978"/>
      <c r="IT5" s="978"/>
      <c r="IU5" s="978"/>
      <c r="IV5" s="978"/>
    </row>
    <row r="6" spans="1:256" s="765" customFormat="1" ht="16.95" customHeight="1" x14ac:dyDescent="0.55000000000000004">
      <c r="A6" s="758"/>
      <c r="B6" s="759"/>
      <c r="C6" s="759"/>
      <c r="D6" s="548"/>
      <c r="E6" s="548"/>
      <c r="F6" s="548"/>
      <c r="G6" s="548" t="s">
        <v>807</v>
      </c>
      <c r="H6" s="548" t="s">
        <v>477</v>
      </c>
      <c r="I6" s="548" t="s">
        <v>808</v>
      </c>
      <c r="J6" s="548" t="s">
        <v>809</v>
      </c>
      <c r="K6" s="548" t="s">
        <v>810</v>
      </c>
      <c r="L6" s="548" t="s">
        <v>811</v>
      </c>
      <c r="M6" s="548" t="s">
        <v>813</v>
      </c>
      <c r="N6" s="548" t="s">
        <v>814</v>
      </c>
      <c r="O6" s="548" t="s">
        <v>815</v>
      </c>
      <c r="P6" s="548" t="s">
        <v>816</v>
      </c>
      <c r="Q6" s="760"/>
      <c r="R6" s="761"/>
      <c r="S6" s="994"/>
      <c r="T6" s="747" t="s">
        <v>650</v>
      </c>
      <c r="U6" s="1778" t="s">
        <v>639</v>
      </c>
      <c r="V6" s="1779"/>
      <c r="W6" s="1779"/>
      <c r="X6" s="1780"/>
      <c r="Y6" s="1778" t="s">
        <v>640</v>
      </c>
      <c r="Z6" s="1779"/>
      <c r="AA6" s="1779"/>
      <c r="AB6" s="1779"/>
      <c r="AC6" s="1779"/>
      <c r="AD6" s="1779"/>
      <c r="AE6" s="1779"/>
      <c r="AF6" s="1779"/>
      <c r="AG6" s="1779"/>
      <c r="AH6" s="1780"/>
      <c r="AI6" s="1781" t="s">
        <v>641</v>
      </c>
      <c r="AJ6" s="1782"/>
      <c r="AK6" s="1782"/>
      <c r="AL6" s="1782"/>
      <c r="AM6" s="1782"/>
      <c r="AN6" s="794"/>
      <c r="AO6" s="1781" t="s">
        <v>821</v>
      </c>
      <c r="AP6" s="1782"/>
      <c r="AQ6" s="1783"/>
      <c r="AR6" s="762"/>
      <c r="AS6" s="763"/>
      <c r="AT6" s="764"/>
      <c r="AU6" s="758"/>
      <c r="AV6" s="759"/>
      <c r="AW6" s="759"/>
      <c r="AX6" s="548"/>
      <c r="AY6" s="548"/>
      <c r="AZ6" s="548"/>
      <c r="BA6" s="548" t="s">
        <v>807</v>
      </c>
      <c r="BB6" s="548" t="s">
        <v>477</v>
      </c>
      <c r="BC6" s="548" t="s">
        <v>808</v>
      </c>
      <c r="BD6" s="548" t="s">
        <v>809</v>
      </c>
      <c r="BE6" s="548" t="s">
        <v>810</v>
      </c>
      <c r="BF6" s="548" t="s">
        <v>811</v>
      </c>
      <c r="BG6" s="548" t="s">
        <v>813</v>
      </c>
      <c r="BH6" s="548" t="s">
        <v>814</v>
      </c>
      <c r="BI6" s="548" t="s">
        <v>815</v>
      </c>
      <c r="BJ6" s="548" t="s">
        <v>816</v>
      </c>
      <c r="BK6" s="760"/>
      <c r="BL6" s="761"/>
      <c r="BM6" s="735"/>
      <c r="BN6" s="747" t="s">
        <v>650</v>
      </c>
      <c r="BO6" s="1778" t="s">
        <v>639</v>
      </c>
      <c r="BP6" s="1779"/>
      <c r="BQ6" s="1779"/>
      <c r="BR6" s="1780"/>
      <c r="BS6" s="1778" t="s">
        <v>640</v>
      </c>
      <c r="BT6" s="1779"/>
      <c r="BU6" s="1779"/>
      <c r="BV6" s="1779"/>
      <c r="BW6" s="1779"/>
      <c r="BX6" s="1779"/>
      <c r="BY6" s="1779"/>
      <c r="BZ6" s="1779"/>
      <c r="CA6" s="1779"/>
      <c r="CB6" s="1780"/>
      <c r="CC6" s="1781" t="s">
        <v>641</v>
      </c>
      <c r="CD6" s="1782"/>
      <c r="CE6" s="1782"/>
      <c r="CF6" s="1782"/>
      <c r="CG6" s="1783"/>
      <c r="CH6" s="794"/>
      <c r="CI6" s="1781" t="s">
        <v>821</v>
      </c>
      <c r="CJ6" s="1782"/>
      <c r="CK6" s="1783"/>
      <c r="CL6" s="762"/>
      <c r="CM6" s="763"/>
      <c r="CO6" s="758"/>
      <c r="CP6" s="759"/>
      <c r="CQ6" s="759"/>
      <c r="CR6" s="548"/>
      <c r="CS6" s="548"/>
      <c r="CT6" s="548"/>
      <c r="CU6" s="548" t="s">
        <v>807</v>
      </c>
      <c r="CV6" s="548" t="s">
        <v>477</v>
      </c>
      <c r="CW6" s="548" t="s">
        <v>808</v>
      </c>
      <c r="CX6" s="548" t="s">
        <v>809</v>
      </c>
      <c r="CY6" s="548" t="s">
        <v>810</v>
      </c>
      <c r="CZ6" s="548" t="s">
        <v>811</v>
      </c>
      <c r="DA6" s="548" t="s">
        <v>813</v>
      </c>
      <c r="DB6" s="548" t="s">
        <v>814</v>
      </c>
      <c r="DC6" s="548" t="s">
        <v>815</v>
      </c>
      <c r="DD6" s="548" t="s">
        <v>816</v>
      </c>
      <c r="DE6" s="760"/>
      <c r="DF6" s="761"/>
      <c r="DG6" s="735"/>
      <c r="DH6" s="747" t="s">
        <v>650</v>
      </c>
      <c r="DI6" s="1778" t="s">
        <v>639</v>
      </c>
      <c r="DJ6" s="1779"/>
      <c r="DK6" s="1779"/>
      <c r="DL6" s="1780"/>
      <c r="DM6" s="1778" t="s">
        <v>640</v>
      </c>
      <c r="DN6" s="1779"/>
      <c r="DO6" s="1779"/>
      <c r="DP6" s="1779"/>
      <c r="DQ6" s="1779"/>
      <c r="DR6" s="1779"/>
      <c r="DS6" s="1779"/>
      <c r="DT6" s="1779"/>
      <c r="DU6" s="1779"/>
      <c r="DV6" s="1780"/>
      <c r="DW6" s="1781" t="s">
        <v>641</v>
      </c>
      <c r="DX6" s="1782"/>
      <c r="DY6" s="1782"/>
      <c r="DZ6" s="1782"/>
      <c r="EA6" s="1783"/>
      <c r="EB6" s="794"/>
      <c r="EC6" s="1781" t="s">
        <v>821</v>
      </c>
      <c r="ED6" s="1782"/>
      <c r="EE6" s="1783"/>
      <c r="EF6" s="762"/>
      <c r="EG6" s="986"/>
      <c r="EH6" s="986"/>
      <c r="EI6" s="986"/>
      <c r="EJ6" s="986"/>
      <c r="EK6" s="986"/>
      <c r="EL6" s="986"/>
      <c r="EM6" s="986"/>
      <c r="EN6" s="986"/>
      <c r="EO6" s="986"/>
      <c r="EP6" s="986"/>
      <c r="EQ6" s="986"/>
      <c r="ER6" s="986"/>
      <c r="ES6" s="986"/>
      <c r="ET6" s="986"/>
      <c r="EU6" s="986"/>
      <c r="EV6" s="986"/>
      <c r="EW6" s="986"/>
      <c r="EX6" s="986"/>
      <c r="EY6" s="986"/>
      <c r="EZ6" s="986"/>
      <c r="FA6" s="986"/>
      <c r="FB6" s="986"/>
      <c r="FC6" s="986"/>
      <c r="FD6" s="986"/>
      <c r="FE6" s="986"/>
      <c r="FF6" s="986"/>
      <c r="FG6" s="986"/>
      <c r="FH6" s="986"/>
      <c r="FI6" s="986"/>
      <c r="FJ6" s="986"/>
      <c r="FK6" s="986"/>
      <c r="FL6" s="986"/>
      <c r="FM6" s="986"/>
      <c r="FN6" s="986"/>
      <c r="FO6" s="986"/>
      <c r="FP6" s="986"/>
      <c r="FQ6" s="986"/>
      <c r="FR6" s="986"/>
      <c r="FS6" s="986"/>
      <c r="FT6" s="986"/>
      <c r="FU6" s="986"/>
      <c r="FV6" s="986"/>
      <c r="FW6" s="986"/>
      <c r="FX6" s="986"/>
      <c r="FY6" s="986"/>
      <c r="FZ6" s="986"/>
      <c r="GA6" s="986"/>
      <c r="GB6" s="986"/>
      <c r="GC6" s="986"/>
      <c r="GD6" s="986"/>
      <c r="GE6" s="986"/>
      <c r="GF6" s="986"/>
      <c r="GG6" s="986"/>
      <c r="GH6" s="986"/>
      <c r="GI6" s="986"/>
      <c r="GJ6" s="986"/>
      <c r="GK6" s="986"/>
      <c r="GL6" s="986"/>
      <c r="GM6" s="986"/>
      <c r="GN6" s="986"/>
      <c r="GO6" s="986"/>
      <c r="GP6" s="986"/>
      <c r="GQ6" s="986"/>
      <c r="GR6" s="986"/>
      <c r="GS6" s="986"/>
      <c r="GT6" s="986"/>
      <c r="GU6" s="986"/>
      <c r="GV6" s="986"/>
      <c r="GW6" s="986"/>
      <c r="GX6" s="986"/>
      <c r="GY6" s="986"/>
      <c r="GZ6" s="986"/>
      <c r="HA6" s="986"/>
      <c r="HB6" s="986"/>
      <c r="HC6" s="986"/>
      <c r="HD6" s="986"/>
      <c r="HE6" s="986"/>
      <c r="HF6" s="986"/>
      <c r="HG6" s="986"/>
      <c r="HH6" s="986"/>
      <c r="HI6" s="986"/>
      <c r="HJ6" s="986"/>
      <c r="HK6" s="986"/>
      <c r="HL6" s="986"/>
      <c r="HM6" s="986"/>
      <c r="HN6" s="986"/>
      <c r="HO6" s="986"/>
      <c r="HP6" s="986"/>
      <c r="HQ6" s="986"/>
      <c r="HR6" s="986"/>
      <c r="HS6" s="986"/>
      <c r="HT6" s="986"/>
      <c r="HU6" s="986"/>
      <c r="HV6" s="986"/>
      <c r="HW6" s="986"/>
      <c r="HX6" s="986"/>
      <c r="HY6" s="986"/>
      <c r="HZ6" s="986"/>
      <c r="IA6" s="986"/>
      <c r="IB6" s="986"/>
      <c r="IC6" s="986"/>
      <c r="ID6" s="986"/>
      <c r="IE6" s="986"/>
      <c r="IF6" s="986"/>
      <c r="IG6" s="986"/>
      <c r="IH6" s="986"/>
      <c r="II6" s="986"/>
      <c r="IJ6" s="986"/>
      <c r="IK6" s="986"/>
      <c r="IL6" s="986"/>
      <c r="IM6" s="986"/>
      <c r="IN6" s="986"/>
      <c r="IO6" s="986"/>
      <c r="IP6" s="986"/>
      <c r="IQ6" s="986"/>
      <c r="IR6" s="986"/>
      <c r="IS6" s="986"/>
      <c r="IT6" s="986"/>
      <c r="IU6" s="986"/>
      <c r="IV6" s="986"/>
    </row>
    <row r="7" spans="1:256" s="409" customFormat="1" ht="28.5" customHeight="1" thickBot="1" x14ac:dyDescent="0.6">
      <c r="A7" s="546" t="s">
        <v>648</v>
      </c>
      <c r="B7" s="547" t="s">
        <v>798</v>
      </c>
      <c r="C7" s="547" t="s">
        <v>800</v>
      </c>
      <c r="D7" s="547" t="s">
        <v>804</v>
      </c>
      <c r="E7" s="547" t="s">
        <v>805</v>
      </c>
      <c r="F7" s="547" t="s">
        <v>806</v>
      </c>
      <c r="G7" s="547" t="s">
        <v>807</v>
      </c>
      <c r="H7" s="547" t="s">
        <v>477</v>
      </c>
      <c r="I7" s="547" t="s">
        <v>808</v>
      </c>
      <c r="J7" s="547" t="s">
        <v>809</v>
      </c>
      <c r="K7" s="547" t="s">
        <v>810</v>
      </c>
      <c r="L7" s="547" t="s">
        <v>811</v>
      </c>
      <c r="M7" s="753" t="s">
        <v>813</v>
      </c>
      <c r="N7" s="753" t="s">
        <v>814</v>
      </c>
      <c r="O7" s="753" t="s">
        <v>815</v>
      </c>
      <c r="P7" s="753" t="s">
        <v>816</v>
      </c>
      <c r="Q7" s="755" t="s">
        <v>824</v>
      </c>
      <c r="R7" s="401"/>
      <c r="S7" s="995"/>
      <c r="T7" s="756"/>
      <c r="U7" s="806" t="s">
        <v>648</v>
      </c>
      <c r="V7" s="807" t="s">
        <v>822</v>
      </c>
      <c r="W7" s="807" t="s">
        <v>823</v>
      </c>
      <c r="X7" s="749" t="s">
        <v>639</v>
      </c>
      <c r="Y7" s="801" t="s">
        <v>804</v>
      </c>
      <c r="Z7" s="802" t="s">
        <v>805</v>
      </c>
      <c r="AA7" s="802" t="s">
        <v>806</v>
      </c>
      <c r="AB7" s="802" t="s">
        <v>807</v>
      </c>
      <c r="AC7" s="802" t="s">
        <v>477</v>
      </c>
      <c r="AD7" s="802" t="s">
        <v>808</v>
      </c>
      <c r="AE7" s="802" t="s">
        <v>809</v>
      </c>
      <c r="AF7" s="802" t="s">
        <v>810</v>
      </c>
      <c r="AG7" s="803" t="s">
        <v>811</v>
      </c>
      <c r="AH7" s="757" t="s">
        <v>640</v>
      </c>
      <c r="AI7" s="788" t="s">
        <v>813</v>
      </c>
      <c r="AJ7" s="788" t="s">
        <v>814</v>
      </c>
      <c r="AK7" s="788" t="s">
        <v>815</v>
      </c>
      <c r="AL7" s="788" t="s">
        <v>816</v>
      </c>
      <c r="AM7" s="789" t="s">
        <v>825</v>
      </c>
      <c r="AN7" s="794"/>
      <c r="AO7" s="797" t="s">
        <v>850</v>
      </c>
      <c r="AP7" s="798" t="s">
        <v>826</v>
      </c>
      <c r="AQ7" s="799" t="s">
        <v>827</v>
      </c>
      <c r="AR7" s="720"/>
      <c r="AS7" s="730"/>
      <c r="AT7" s="408"/>
      <c r="AU7" s="546" t="s">
        <v>648</v>
      </c>
      <c r="AV7" s="547" t="s">
        <v>798</v>
      </c>
      <c r="AW7" s="547" t="s">
        <v>800</v>
      </c>
      <c r="AX7" s="547" t="s">
        <v>804</v>
      </c>
      <c r="AY7" s="547" t="s">
        <v>805</v>
      </c>
      <c r="AZ7" s="547" t="s">
        <v>806</v>
      </c>
      <c r="BA7" s="547" t="s">
        <v>807</v>
      </c>
      <c r="BB7" s="547" t="s">
        <v>477</v>
      </c>
      <c r="BC7" s="547" t="s">
        <v>808</v>
      </c>
      <c r="BD7" s="547" t="s">
        <v>809</v>
      </c>
      <c r="BE7" s="547" t="s">
        <v>810</v>
      </c>
      <c r="BF7" s="547" t="s">
        <v>811</v>
      </c>
      <c r="BG7" s="753" t="s">
        <v>813</v>
      </c>
      <c r="BH7" s="753" t="s">
        <v>814</v>
      </c>
      <c r="BI7" s="753" t="s">
        <v>815</v>
      </c>
      <c r="BJ7" s="753" t="s">
        <v>816</v>
      </c>
      <c r="BK7" s="755" t="s">
        <v>824</v>
      </c>
      <c r="BL7" s="401"/>
      <c r="BM7" s="754"/>
      <c r="BN7" s="756"/>
      <c r="BO7" s="780" t="s">
        <v>648</v>
      </c>
      <c r="BP7" s="781" t="s">
        <v>822</v>
      </c>
      <c r="BQ7" s="781" t="s">
        <v>823</v>
      </c>
      <c r="BR7" s="749" t="s">
        <v>639</v>
      </c>
      <c r="BS7" s="785" t="s">
        <v>804</v>
      </c>
      <c r="BT7" s="786" t="s">
        <v>805</v>
      </c>
      <c r="BU7" s="786" t="s">
        <v>806</v>
      </c>
      <c r="BV7" s="786" t="s">
        <v>807</v>
      </c>
      <c r="BW7" s="786" t="s">
        <v>477</v>
      </c>
      <c r="BX7" s="786" t="s">
        <v>808</v>
      </c>
      <c r="BY7" s="786" t="s">
        <v>809</v>
      </c>
      <c r="BZ7" s="786" t="s">
        <v>810</v>
      </c>
      <c r="CA7" s="787" t="s">
        <v>811</v>
      </c>
      <c r="CB7" s="757" t="s">
        <v>640</v>
      </c>
      <c r="CC7" s="788" t="s">
        <v>813</v>
      </c>
      <c r="CD7" s="788" t="s">
        <v>814</v>
      </c>
      <c r="CE7" s="788" t="s">
        <v>815</v>
      </c>
      <c r="CF7" s="788" t="s">
        <v>816</v>
      </c>
      <c r="CG7" s="789" t="s">
        <v>825</v>
      </c>
      <c r="CH7" s="794"/>
      <c r="CI7" s="797" t="s">
        <v>850</v>
      </c>
      <c r="CJ7" s="798" t="s">
        <v>826</v>
      </c>
      <c r="CK7" s="799" t="s">
        <v>827</v>
      </c>
      <c r="CL7" s="720"/>
      <c r="CM7" s="730"/>
      <c r="CO7" s="546" t="s">
        <v>648</v>
      </c>
      <c r="CP7" s="547" t="s">
        <v>798</v>
      </c>
      <c r="CQ7" s="547" t="s">
        <v>800</v>
      </c>
      <c r="CR7" s="547" t="s">
        <v>804</v>
      </c>
      <c r="CS7" s="547" t="s">
        <v>805</v>
      </c>
      <c r="CT7" s="547" t="s">
        <v>806</v>
      </c>
      <c r="CU7" s="547" t="s">
        <v>807</v>
      </c>
      <c r="CV7" s="547" t="s">
        <v>477</v>
      </c>
      <c r="CW7" s="547" t="s">
        <v>808</v>
      </c>
      <c r="CX7" s="547" t="s">
        <v>809</v>
      </c>
      <c r="CY7" s="547" t="s">
        <v>810</v>
      </c>
      <c r="CZ7" s="547" t="s">
        <v>811</v>
      </c>
      <c r="DA7" s="753" t="s">
        <v>813</v>
      </c>
      <c r="DB7" s="753" t="s">
        <v>814</v>
      </c>
      <c r="DC7" s="753" t="s">
        <v>815</v>
      </c>
      <c r="DD7" s="753" t="s">
        <v>816</v>
      </c>
      <c r="DE7" s="755" t="s">
        <v>824</v>
      </c>
      <c r="DF7" s="401"/>
      <c r="DG7" s="754"/>
      <c r="DH7" s="756"/>
      <c r="DI7" s="780" t="s">
        <v>648</v>
      </c>
      <c r="DJ7" s="781" t="s">
        <v>822</v>
      </c>
      <c r="DK7" s="781" t="s">
        <v>823</v>
      </c>
      <c r="DL7" s="749" t="s">
        <v>639</v>
      </c>
      <c r="DM7" s="785" t="s">
        <v>804</v>
      </c>
      <c r="DN7" s="786" t="s">
        <v>805</v>
      </c>
      <c r="DO7" s="786" t="s">
        <v>806</v>
      </c>
      <c r="DP7" s="786" t="s">
        <v>807</v>
      </c>
      <c r="DQ7" s="786" t="s">
        <v>477</v>
      </c>
      <c r="DR7" s="786" t="s">
        <v>808</v>
      </c>
      <c r="DS7" s="786" t="s">
        <v>809</v>
      </c>
      <c r="DT7" s="786" t="s">
        <v>810</v>
      </c>
      <c r="DU7" s="787" t="s">
        <v>811</v>
      </c>
      <c r="DV7" s="757" t="s">
        <v>640</v>
      </c>
      <c r="DW7" s="788" t="s">
        <v>813</v>
      </c>
      <c r="DX7" s="788" t="s">
        <v>814</v>
      </c>
      <c r="DY7" s="788" t="s">
        <v>815</v>
      </c>
      <c r="DZ7" s="788" t="s">
        <v>816</v>
      </c>
      <c r="EA7" s="789" t="s">
        <v>825</v>
      </c>
      <c r="EB7" s="794"/>
      <c r="EC7" s="797" t="s">
        <v>850</v>
      </c>
      <c r="ED7" s="798" t="s">
        <v>826</v>
      </c>
      <c r="EE7" s="799" t="s">
        <v>827</v>
      </c>
      <c r="EF7" s="720"/>
      <c r="EG7" s="980"/>
      <c r="EH7" s="980"/>
      <c r="EI7" s="980"/>
      <c r="EJ7" s="980"/>
      <c r="EK7" s="980"/>
      <c r="EL7" s="980"/>
      <c r="EM7" s="980"/>
      <c r="EN7" s="980"/>
      <c r="EO7" s="980"/>
      <c r="EP7" s="980"/>
      <c r="EQ7" s="980"/>
      <c r="ER7" s="980"/>
      <c r="ES7" s="980"/>
      <c r="ET7" s="980"/>
      <c r="EU7" s="980"/>
      <c r="EV7" s="980"/>
      <c r="EW7" s="980"/>
      <c r="EX7" s="980"/>
      <c r="EY7" s="980"/>
      <c r="EZ7" s="980"/>
      <c r="FA7" s="980"/>
      <c r="FB7" s="980"/>
      <c r="FC7" s="980"/>
      <c r="FD7" s="980"/>
      <c r="FE7" s="980"/>
      <c r="FF7" s="980"/>
      <c r="FG7" s="980"/>
      <c r="FH7" s="980"/>
      <c r="FI7" s="980"/>
      <c r="FJ7" s="980"/>
      <c r="FK7" s="980"/>
      <c r="FL7" s="980"/>
      <c r="FM7" s="980"/>
      <c r="FN7" s="980"/>
      <c r="FO7" s="980"/>
      <c r="FP7" s="980"/>
      <c r="FQ7" s="980"/>
      <c r="FR7" s="980"/>
      <c r="FS7" s="980"/>
      <c r="FT7" s="980"/>
      <c r="FU7" s="980"/>
      <c r="FV7" s="980"/>
      <c r="FW7" s="980"/>
      <c r="FX7" s="980"/>
      <c r="FY7" s="980"/>
      <c r="FZ7" s="980"/>
      <c r="GA7" s="980"/>
      <c r="GB7" s="980"/>
      <c r="GC7" s="980"/>
      <c r="GD7" s="980"/>
      <c r="GE7" s="980"/>
      <c r="GF7" s="980"/>
      <c r="GG7" s="980"/>
      <c r="GH7" s="980"/>
      <c r="GI7" s="980"/>
      <c r="GJ7" s="980"/>
      <c r="GK7" s="980"/>
      <c r="GL7" s="980"/>
      <c r="GM7" s="980"/>
      <c r="GN7" s="980"/>
      <c r="GO7" s="980"/>
      <c r="GP7" s="980"/>
      <c r="GQ7" s="980"/>
      <c r="GR7" s="980"/>
      <c r="GS7" s="980"/>
      <c r="GT7" s="980"/>
      <c r="GU7" s="980"/>
      <c r="GV7" s="980"/>
      <c r="GW7" s="980"/>
      <c r="GX7" s="980"/>
      <c r="GY7" s="980"/>
      <c r="GZ7" s="980"/>
      <c r="HA7" s="980"/>
      <c r="HB7" s="980"/>
      <c r="HC7" s="980"/>
      <c r="HD7" s="980"/>
      <c r="HE7" s="980"/>
      <c r="HF7" s="980"/>
      <c r="HG7" s="980"/>
      <c r="HH7" s="980"/>
      <c r="HI7" s="980"/>
      <c r="HJ7" s="980"/>
      <c r="HK7" s="980"/>
      <c r="HL7" s="980"/>
      <c r="HM7" s="980"/>
      <c r="HN7" s="980"/>
      <c r="HO7" s="980"/>
      <c r="HP7" s="980"/>
      <c r="HQ7" s="980"/>
      <c r="HR7" s="980"/>
      <c r="HS7" s="980"/>
      <c r="HT7" s="980"/>
      <c r="HU7" s="980"/>
      <c r="HV7" s="980"/>
      <c r="HW7" s="980"/>
      <c r="HX7" s="980"/>
      <c r="HY7" s="980"/>
      <c r="HZ7" s="980"/>
      <c r="IA7" s="980"/>
      <c r="IB7" s="980"/>
      <c r="IC7" s="980"/>
      <c r="ID7" s="980"/>
      <c r="IE7" s="980"/>
      <c r="IF7" s="980"/>
      <c r="IG7" s="980"/>
      <c r="IH7" s="980"/>
      <c r="II7" s="980"/>
      <c r="IJ7" s="980"/>
      <c r="IK7" s="980"/>
      <c r="IL7" s="980"/>
      <c r="IM7" s="980"/>
      <c r="IN7" s="980"/>
      <c r="IO7" s="980"/>
      <c r="IP7" s="980"/>
      <c r="IQ7" s="980"/>
      <c r="IR7" s="980"/>
      <c r="IS7" s="980"/>
      <c r="IT7" s="980"/>
      <c r="IU7" s="980"/>
      <c r="IV7" s="980"/>
    </row>
    <row r="8" spans="1:256" s="409" customFormat="1" ht="12" customHeight="1" x14ac:dyDescent="0.55000000000000004">
      <c r="A8" s="398"/>
      <c r="B8" s="410"/>
      <c r="C8" s="410"/>
      <c r="D8" s="410"/>
      <c r="E8" s="410"/>
      <c r="F8" s="410"/>
      <c r="G8" s="410"/>
      <c r="H8" s="410"/>
      <c r="I8" s="410"/>
      <c r="J8" s="410"/>
      <c r="K8" s="410"/>
      <c r="L8" s="410"/>
      <c r="M8" s="410"/>
      <c r="N8" s="410"/>
      <c r="O8" s="410"/>
      <c r="P8" s="410"/>
      <c r="Q8" s="741"/>
      <c r="R8" s="741"/>
      <c r="S8" s="994"/>
      <c r="T8" s="740" t="s">
        <v>162</v>
      </c>
      <c r="U8" s="808"/>
      <c r="V8" s="808"/>
      <c r="W8" s="808"/>
      <c r="X8" s="413">
        <f>SUM(U8:W8)</f>
        <v>0</v>
      </c>
      <c r="Y8" s="808"/>
      <c r="Z8" s="808"/>
      <c r="AA8" s="808"/>
      <c r="AB8" s="808"/>
      <c r="AC8" s="808"/>
      <c r="AD8" s="808"/>
      <c r="AE8" s="808"/>
      <c r="AF8" s="808"/>
      <c r="AG8" s="808"/>
      <c r="AH8" s="413">
        <f>SUM(Y8:AG8)</f>
        <v>0</v>
      </c>
      <c r="AI8" s="808"/>
      <c r="AJ8" s="808"/>
      <c r="AK8" s="808"/>
      <c r="AL8" s="808"/>
      <c r="AM8" s="748">
        <f t="shared" ref="AM8:AM64" si="0">SUM(AI8:AL8)</f>
        <v>0</v>
      </c>
      <c r="AN8" s="794"/>
      <c r="AO8" s="740"/>
      <c r="AP8" s="740"/>
      <c r="AQ8" s="413">
        <f ca="1">SUM(AQ9:AQ52)</f>
        <v>898257591</v>
      </c>
      <c r="AR8" s="742" t="s">
        <v>828</v>
      </c>
      <c r="AS8" s="730"/>
      <c r="AT8" s="408"/>
      <c r="AU8" s="398"/>
      <c r="AV8" s="410"/>
      <c r="AW8" s="410"/>
      <c r="AX8" s="410"/>
      <c r="AY8" s="410"/>
      <c r="AZ8" s="410"/>
      <c r="BA8" s="410"/>
      <c r="BB8" s="410"/>
      <c r="BC8" s="410"/>
      <c r="BD8" s="410"/>
      <c r="BE8" s="410"/>
      <c r="BF8" s="410"/>
      <c r="BG8" s="410"/>
      <c r="BH8" s="410"/>
      <c r="BI8" s="410"/>
      <c r="BJ8" s="410"/>
      <c r="BK8" s="741"/>
      <c r="BL8" s="741"/>
      <c r="BM8" s="735"/>
      <c r="BN8" s="740" t="s">
        <v>162</v>
      </c>
      <c r="BO8" s="750"/>
      <c r="BP8" s="750"/>
      <c r="BQ8" s="752"/>
      <c r="BR8" s="413"/>
      <c r="BS8" s="751"/>
      <c r="BT8" s="751"/>
      <c r="BU8" s="751"/>
      <c r="BV8" s="751"/>
      <c r="BW8" s="751"/>
      <c r="BX8" s="751"/>
      <c r="BY8" s="751"/>
      <c r="BZ8" s="751"/>
      <c r="CA8" s="751"/>
      <c r="CB8" s="413"/>
      <c r="CC8" s="751"/>
      <c r="CD8" s="751"/>
      <c r="CE8" s="751"/>
      <c r="CF8" s="751"/>
      <c r="CG8" s="748"/>
      <c r="CH8" s="794"/>
      <c r="CI8" s="740"/>
      <c r="CJ8" s="740"/>
      <c r="CK8" s="413">
        <f ca="1">SUM(CK9:CK51)</f>
        <v>2771233.4399999976</v>
      </c>
      <c r="CL8" s="742" t="s">
        <v>828</v>
      </c>
      <c r="CM8" s="730"/>
      <c r="CO8" s="398"/>
      <c r="CP8" s="410"/>
      <c r="CQ8" s="410"/>
      <c r="CR8" s="410"/>
      <c r="CS8" s="410"/>
      <c r="CT8" s="410"/>
      <c r="CU8" s="410"/>
      <c r="CV8" s="410"/>
      <c r="CW8" s="410"/>
      <c r="CX8" s="410"/>
      <c r="CY8" s="410"/>
      <c r="CZ8" s="410"/>
      <c r="DA8" s="410"/>
      <c r="DB8" s="410"/>
      <c r="DC8" s="410"/>
      <c r="DD8" s="410"/>
      <c r="DE8" s="741"/>
      <c r="DF8" s="741"/>
      <c r="DG8" s="735"/>
      <c r="DH8" s="740" t="s">
        <v>162</v>
      </c>
      <c r="DI8" s="750"/>
      <c r="DJ8" s="750"/>
      <c r="DK8" s="750"/>
      <c r="DL8" s="413"/>
      <c r="DM8" s="751"/>
      <c r="DN8" s="751"/>
      <c r="DO8" s="751"/>
      <c r="DP8" s="751"/>
      <c r="DQ8" s="751"/>
      <c r="DR8" s="751"/>
      <c r="DS8" s="751"/>
      <c r="DT8" s="751"/>
      <c r="DU8" s="751"/>
      <c r="DV8" s="413"/>
      <c r="DW8" s="751"/>
      <c r="DX8" s="751"/>
      <c r="DY8" s="751"/>
      <c r="DZ8" s="751"/>
      <c r="EA8" s="748"/>
      <c r="EB8" s="794"/>
      <c r="EC8" s="740"/>
      <c r="ED8" s="740"/>
      <c r="EE8" s="413">
        <f ca="1">SUM(EE9:EE52)</f>
        <v>959793773.33600032</v>
      </c>
      <c r="EF8" s="742" t="s">
        <v>828</v>
      </c>
      <c r="EG8" s="980"/>
      <c r="EH8" s="980"/>
      <c r="EI8" s="980"/>
      <c r="EJ8" s="980"/>
      <c r="EK8" s="980"/>
      <c r="EL8" s="980"/>
      <c r="EM8" s="980"/>
      <c r="EN8" s="980"/>
      <c r="EO8" s="980"/>
      <c r="EP8" s="980"/>
      <c r="EQ8" s="980"/>
      <c r="ER8" s="980"/>
      <c r="ES8" s="980"/>
      <c r="ET8" s="980"/>
      <c r="EU8" s="980"/>
      <c r="EV8" s="980"/>
      <c r="EW8" s="980"/>
      <c r="EX8" s="980"/>
      <c r="EY8" s="980"/>
      <c r="EZ8" s="980"/>
      <c r="FA8" s="980"/>
      <c r="FB8" s="980"/>
      <c r="FC8" s="980"/>
      <c r="FD8" s="980"/>
      <c r="FE8" s="980"/>
      <c r="FF8" s="980"/>
      <c r="FG8" s="980"/>
      <c r="FH8" s="980"/>
      <c r="FI8" s="980"/>
      <c r="FJ8" s="980"/>
      <c r="FK8" s="980"/>
      <c r="FL8" s="980"/>
      <c r="FM8" s="980"/>
      <c r="FN8" s="980"/>
      <c r="FO8" s="980"/>
      <c r="FP8" s="980"/>
      <c r="FQ8" s="980"/>
      <c r="FR8" s="980"/>
      <c r="FS8" s="980"/>
      <c r="FT8" s="980"/>
      <c r="FU8" s="980"/>
      <c r="FV8" s="980"/>
      <c r="FW8" s="980"/>
      <c r="FX8" s="980"/>
      <c r="FY8" s="980"/>
      <c r="FZ8" s="980"/>
      <c r="GA8" s="980"/>
      <c r="GB8" s="980"/>
      <c r="GC8" s="980"/>
      <c r="GD8" s="980"/>
      <c r="GE8" s="980"/>
      <c r="GF8" s="980"/>
      <c r="GG8" s="980"/>
      <c r="GH8" s="980"/>
      <c r="GI8" s="980"/>
      <c r="GJ8" s="980"/>
      <c r="GK8" s="980"/>
      <c r="GL8" s="980"/>
      <c r="GM8" s="980"/>
      <c r="GN8" s="980"/>
      <c r="GO8" s="980"/>
      <c r="GP8" s="980"/>
      <c r="GQ8" s="980"/>
      <c r="GR8" s="980"/>
      <c r="GS8" s="980"/>
      <c r="GT8" s="980"/>
      <c r="GU8" s="980"/>
      <c r="GV8" s="980"/>
      <c r="GW8" s="980"/>
      <c r="GX8" s="980"/>
      <c r="GY8" s="980"/>
      <c r="GZ8" s="980"/>
      <c r="HA8" s="980"/>
      <c r="HB8" s="980"/>
      <c r="HC8" s="980"/>
      <c r="HD8" s="980"/>
      <c r="HE8" s="980"/>
      <c r="HF8" s="980"/>
      <c r="HG8" s="980"/>
      <c r="HH8" s="980"/>
      <c r="HI8" s="980"/>
      <c r="HJ8" s="980"/>
      <c r="HK8" s="980"/>
      <c r="HL8" s="980"/>
      <c r="HM8" s="980"/>
      <c r="HN8" s="980"/>
      <c r="HO8" s="980"/>
      <c r="HP8" s="980"/>
      <c r="HQ8" s="980"/>
      <c r="HR8" s="980"/>
      <c r="HS8" s="980"/>
      <c r="HT8" s="980"/>
      <c r="HU8" s="980"/>
      <c r="HV8" s="980"/>
      <c r="HW8" s="980"/>
      <c r="HX8" s="980"/>
      <c r="HY8" s="980"/>
      <c r="HZ8" s="980"/>
      <c r="IA8" s="980"/>
      <c r="IB8" s="980"/>
      <c r="IC8" s="980"/>
      <c r="ID8" s="980"/>
      <c r="IE8" s="980"/>
      <c r="IF8" s="980"/>
      <c r="IG8" s="980"/>
      <c r="IH8" s="980"/>
      <c r="II8" s="980"/>
      <c r="IJ8" s="980"/>
      <c r="IK8" s="980"/>
      <c r="IL8" s="980"/>
      <c r="IM8" s="980"/>
      <c r="IN8" s="980"/>
      <c r="IO8" s="980"/>
      <c r="IP8" s="980"/>
      <c r="IQ8" s="980"/>
      <c r="IR8" s="980"/>
      <c r="IS8" s="980"/>
      <c r="IT8" s="980"/>
      <c r="IU8" s="980"/>
      <c r="IV8" s="980"/>
    </row>
    <row r="9" spans="1:256" s="409" customFormat="1" ht="12" customHeight="1" x14ac:dyDescent="0.55000000000000004">
      <c r="A9" s="398" t="str">
        <f t="shared" ref="A9:A40" si="1">A$7&amp;$Q9</f>
        <v>Executive and Council0200</v>
      </c>
      <c r="B9" s="398" t="str">
        <f t="shared" ref="B9:P25" si="2">B$7&amp;$Q9</f>
        <v>Finance and administration0200</v>
      </c>
      <c r="C9" s="398" t="str">
        <f t="shared" si="2"/>
        <v>Internal audit0200</v>
      </c>
      <c r="D9" s="398" t="str">
        <f t="shared" si="2"/>
        <v>Community and social services0200</v>
      </c>
      <c r="E9" s="398" t="str">
        <f t="shared" si="2"/>
        <v>Sport and recreation0200</v>
      </c>
      <c r="F9" s="398" t="str">
        <f t="shared" si="2"/>
        <v>Public safety0200</v>
      </c>
      <c r="G9" s="398" t="str">
        <f t="shared" si="2"/>
        <v>Housing0200</v>
      </c>
      <c r="H9" s="398" t="str">
        <f t="shared" si="2"/>
        <v>Health0200</v>
      </c>
      <c r="I9" s="398" t="str">
        <f t="shared" si="2"/>
        <v>Planning and development0200</v>
      </c>
      <c r="J9" s="398" t="str">
        <f t="shared" si="2"/>
        <v>Road transport0200</v>
      </c>
      <c r="K9" s="398" t="str">
        <f t="shared" si="2"/>
        <v>Environmental protection0200</v>
      </c>
      <c r="L9" s="398" t="str">
        <f t="shared" si="2"/>
        <v>Other0200</v>
      </c>
      <c r="M9" s="398" t="str">
        <f t="shared" si="2"/>
        <v>Energy sources0200</v>
      </c>
      <c r="N9" s="398" t="str">
        <f t="shared" si="2"/>
        <v>Water management0200</v>
      </c>
      <c r="O9" s="398" t="str">
        <f t="shared" si="2"/>
        <v>Waste water management0200</v>
      </c>
      <c r="P9" s="398" t="str">
        <f t="shared" si="2"/>
        <v>Waste management0200</v>
      </c>
      <c r="Q9" s="743" t="s">
        <v>668</v>
      </c>
      <c r="R9" s="743" t="s">
        <v>668</v>
      </c>
      <c r="S9" s="994"/>
      <c r="T9" s="748" t="s">
        <v>670</v>
      </c>
      <c r="U9" s="804">
        <f ca="1">SUMIF('3.Inc &amp; Exp per Function'!$D8:$D1107,'5.Cons and detailed recon'!A9,'3.Inc &amp; Exp per Function'!$U8:$U1106)</f>
        <v>0</v>
      </c>
      <c r="V9" s="804">
        <f ca="1">SUMIF('3.Inc &amp; Exp per Function'!$D8:$D1107,'5.Cons and detailed recon'!B9,'3.Inc &amp; Exp per Function'!$U8:$U1106)</f>
        <v>0</v>
      </c>
      <c r="W9" s="804">
        <f ca="1">SUMIF('3.Inc &amp; Exp per Function'!$D8:$D1107,'5.Cons and detailed recon'!C9,'3.Inc &amp; Exp per Function'!$U8:$U1106)</f>
        <v>0</v>
      </c>
      <c r="X9" s="413">
        <f ca="1">SUM(U9:W9)</f>
        <v>0</v>
      </c>
      <c r="Y9" s="1326">
        <f ca="1">SUMIF('3.Inc &amp; Exp per Function'!$D8:$D1107,'5.Cons and detailed recon'!D9,'3.Inc &amp; Exp per Function'!$U8:$U1106)</f>
        <v>0</v>
      </c>
      <c r="Z9" s="1326">
        <f ca="1">SUMIF('3.Inc &amp; Exp per Function'!$D8:$D1107,'5.Cons and detailed recon'!E9,'3.Inc &amp; Exp per Function'!$U8:$U1106)</f>
        <v>0</v>
      </c>
      <c r="AA9" s="1326">
        <f ca="1">SUMIF('3.Inc &amp; Exp per Function'!$D8:$D1107,'5.Cons and detailed recon'!F9,'3.Inc &amp; Exp per Function'!$U8:$U1106)</f>
        <v>0</v>
      </c>
      <c r="AB9" s="1326">
        <f ca="1">SUMIF('3.Inc &amp; Exp per Function'!$D8:$D1107,'5.Cons and detailed recon'!G9,'3.Inc &amp; Exp per Function'!$U8:$U1106)</f>
        <v>0</v>
      </c>
      <c r="AC9" s="1326">
        <f ca="1">SUMIF('3.Inc &amp; Exp per Function'!$D8:$D1107,'5.Cons and detailed recon'!H9,'3.Inc &amp; Exp per Function'!$U8:$U1106)</f>
        <v>0</v>
      </c>
      <c r="AD9" s="1326">
        <f ca="1">SUMIF('3.Inc &amp; Exp per Function'!$D8:$D1107,'5.Cons and detailed recon'!I9,'3.Inc &amp; Exp per Function'!$U8:$U1106)</f>
        <v>0</v>
      </c>
      <c r="AE9" s="1326">
        <f ca="1">SUMIF('3.Inc &amp; Exp per Function'!$D8:$D1107,'5.Cons and detailed recon'!J9,'3.Inc &amp; Exp per Function'!$U8:$U1106)</f>
        <v>0</v>
      </c>
      <c r="AF9" s="1326">
        <f ca="1">SUMIF('3.Inc &amp; Exp per Function'!$D8:$D1107,'5.Cons and detailed recon'!K9,'3.Inc &amp; Exp per Function'!$U8:$U1106)</f>
        <v>0</v>
      </c>
      <c r="AG9" s="1326">
        <f ca="1">SUMIF('3.Inc &amp; Exp per Function'!$D8:$D1107,'5.Cons and detailed recon'!L9,'3.Inc &amp; Exp per Function'!$U8:$U1106)</f>
        <v>0</v>
      </c>
      <c r="AH9" s="413">
        <f t="shared" ref="AH9:AH64" ca="1" si="3">SUM(Y9:AG9)</f>
        <v>0</v>
      </c>
      <c r="AI9" s="804">
        <f ca="1">SUMIF('3.Inc &amp; Exp per Function'!$D8:$D1107,'5.Cons and detailed recon'!M9,'3.Inc &amp; Exp per Function'!$U8:$U1106)</f>
        <v>0</v>
      </c>
      <c r="AJ9" s="1326">
        <f ca="1">SUMIF('3.Inc &amp; Exp per Function'!$D8:$D1107,'5.Cons and detailed recon'!P9,'3.Inc &amp; Exp per Function'!$U8:$U1106)</f>
        <v>0</v>
      </c>
      <c r="AK9" s="804">
        <f ca="1">SUMIF('3.Inc &amp; Exp per Function'!$D8:$D1107,'5.Cons and detailed recon'!O9,'3.Inc &amp; Exp per Function'!$U8:$U1106)</f>
        <v>0</v>
      </c>
      <c r="AL9" s="804">
        <f ca="1">SUMIF('3.Inc &amp; Exp per Function'!$D8:$D1107,'5.Cons and detailed recon'!P9,'3.Inc &amp; Exp per Function'!$U8:$U1106)</f>
        <v>0</v>
      </c>
      <c r="AM9" s="748">
        <f t="shared" ca="1" si="0"/>
        <v>0</v>
      </c>
      <c r="AN9" s="794"/>
      <c r="AO9" s="790">
        <f ca="1">X9+AH9+AM9</f>
        <v>0</v>
      </c>
      <c r="AP9" s="411">
        <f>SUMIF('4.Inc &amp; Exp Summary'!A:A,'5.Cons and detailed recon'!R9,'4.Inc &amp; Exp Summary'!L:L)</f>
        <v>0</v>
      </c>
      <c r="AQ9" s="412">
        <f t="shared" ref="AQ9:AQ24" ca="1" si="4">AO9-AP9</f>
        <v>0</v>
      </c>
      <c r="AR9" s="744"/>
      <c r="AS9" s="730"/>
      <c r="AT9" s="408"/>
      <c r="AU9" s="398" t="str">
        <f t="shared" ref="AU9:BJ25" si="5">AU$7&amp;$Q9</f>
        <v>Executive and Council0200</v>
      </c>
      <c r="AV9" s="398" t="str">
        <f t="shared" si="5"/>
        <v>Finance and administration0200</v>
      </c>
      <c r="AW9" s="398" t="str">
        <f t="shared" si="5"/>
        <v>Internal audit0200</v>
      </c>
      <c r="AX9" s="398" t="str">
        <f t="shared" si="5"/>
        <v>Community and social services0200</v>
      </c>
      <c r="AY9" s="398" t="str">
        <f t="shared" si="5"/>
        <v>Sport and recreation0200</v>
      </c>
      <c r="AZ9" s="398" t="str">
        <f t="shared" si="5"/>
        <v>Public safety0200</v>
      </c>
      <c r="BA9" s="398" t="str">
        <f t="shared" si="5"/>
        <v>Housing0200</v>
      </c>
      <c r="BB9" s="398" t="str">
        <f t="shared" si="5"/>
        <v>Health0200</v>
      </c>
      <c r="BC9" s="398" t="str">
        <f t="shared" si="5"/>
        <v>Planning and development0200</v>
      </c>
      <c r="BD9" s="398" t="str">
        <f t="shared" si="5"/>
        <v>Road transport0200</v>
      </c>
      <c r="BE9" s="398" t="str">
        <f t="shared" si="5"/>
        <v>Environmental protection0200</v>
      </c>
      <c r="BF9" s="398" t="str">
        <f t="shared" si="5"/>
        <v>Other0200</v>
      </c>
      <c r="BG9" s="398" t="str">
        <f t="shared" si="5"/>
        <v>Energy sources0200</v>
      </c>
      <c r="BH9" s="398" t="str">
        <f t="shared" si="5"/>
        <v>Water management0200</v>
      </c>
      <c r="BI9" s="398" t="str">
        <f t="shared" si="5"/>
        <v>Waste water management0200</v>
      </c>
      <c r="BJ9" s="398" t="str">
        <f t="shared" si="5"/>
        <v>Waste management0200</v>
      </c>
      <c r="BK9" s="743" t="s">
        <v>668</v>
      </c>
      <c r="BL9" s="743" t="s">
        <v>668</v>
      </c>
      <c r="BM9" s="735"/>
      <c r="BN9" s="748" t="s">
        <v>670</v>
      </c>
      <c r="BO9" s="751">
        <f ca="1">SUMIF('3.Inc &amp; Exp per Function'!$D8:$D1107,'5.Cons and detailed recon'!AU9,'3.Inc &amp; Exp per Function'!$V8:$V1106)</f>
        <v>0</v>
      </c>
      <c r="BP9" s="751">
        <f ca="1">SUMIF('3.Inc &amp; Exp per Function'!$D8:$D1107,'5.Cons and detailed recon'!AV9,'3.Inc &amp; Exp per Function'!$V8:$V1106)</f>
        <v>0</v>
      </c>
      <c r="BQ9" s="751">
        <f ca="1">SUMIF('3.Inc &amp; Exp per Function'!$D8:$D1107,'5.Cons and detailed recon'!AW9,'3.Inc &amp; Exp per Function'!$V8:$V1106)</f>
        <v>0</v>
      </c>
      <c r="BR9" s="413">
        <f t="shared" ref="BR9:BR64" ca="1" si="6">BO9+BP9+BQ9</f>
        <v>0</v>
      </c>
      <c r="BS9" s="751">
        <f ca="1">SUMIF('3.Inc &amp; Exp per Function'!$D8:$D1107,'5.Cons and detailed recon'!AX9,'3.Inc &amp; Exp per Function'!$V8:$V1106)</f>
        <v>0</v>
      </c>
      <c r="BT9" s="751">
        <f ca="1">SUMIF('3.Inc &amp; Exp per Function'!$D8:$D1107,'5.Cons and detailed recon'!AY9,'3.Inc &amp; Exp per Function'!$V8:$V1106)</f>
        <v>0</v>
      </c>
      <c r="BU9" s="751">
        <f ca="1">SUMIF('3.Inc &amp; Exp per Function'!$D8:$D1107,'5.Cons and detailed recon'!AZ9,'3.Inc &amp; Exp per Function'!$V8:$V1106)</f>
        <v>0</v>
      </c>
      <c r="BV9" s="751">
        <f ca="1">SUMIF('3.Inc &amp; Exp per Function'!$D8:$D1107,'5.Cons and detailed recon'!BA9,'3.Inc &amp; Exp per Function'!$V8:$V1106)</f>
        <v>0</v>
      </c>
      <c r="BW9" s="751">
        <f ca="1">SUMIF('3.Inc &amp; Exp per Function'!$D8:$D1107,'5.Cons and detailed recon'!BB9,'3.Inc &amp; Exp per Function'!$V8:$V1106)</f>
        <v>0</v>
      </c>
      <c r="BX9" s="751">
        <f ca="1">SUMIF('3.Inc &amp; Exp per Function'!$D8:$D1107,'5.Cons and detailed recon'!BC9,'3.Inc &amp; Exp per Function'!$V8:$V1106)</f>
        <v>0</v>
      </c>
      <c r="BY9" s="751">
        <f ca="1">SUMIF('3.Inc &amp; Exp per Function'!$D8:$D1107,'5.Cons and detailed recon'!BD9,'3.Inc &amp; Exp per Function'!$V8:$V1106)</f>
        <v>0</v>
      </c>
      <c r="BZ9" s="751">
        <f ca="1">SUMIF('3.Inc &amp; Exp per Function'!$D8:$D1107,'5.Cons and detailed recon'!BE9,'3.Inc &amp; Exp per Function'!$V8:$V1106)</f>
        <v>0</v>
      </c>
      <c r="CA9" s="751">
        <f ca="1">SUMIF('3.Inc &amp; Exp per Function'!$D8:$D1107,'5.Cons and detailed recon'!BF9,'3.Inc &amp; Exp per Function'!$V8:$V1106)</f>
        <v>0</v>
      </c>
      <c r="CB9" s="413">
        <f t="shared" ref="CB9:CB64" ca="1" si="7">SUM(BS9:CA9)</f>
        <v>0</v>
      </c>
      <c r="CC9" s="751">
        <f ca="1">SUMIF('3.Inc &amp; Exp per Function'!$D8:$D1107,'5.Cons and detailed recon'!BG9,'3.Inc &amp; Exp per Function'!$V8:$V1106)</f>
        <v>0</v>
      </c>
      <c r="CD9" s="751">
        <f ca="1">SUMIF('3.Inc &amp; Exp per Function'!$D8:$D1107,'5.Cons and detailed recon'!BH9,'3.Inc &amp; Exp per Function'!$V8:$V1106)</f>
        <v>0</v>
      </c>
      <c r="CE9" s="751">
        <f ca="1">SUMIF('3.Inc &amp; Exp per Function'!$D8:$D1107,'5.Cons and detailed recon'!BI9,'3.Inc &amp; Exp per Function'!$V8:$V1106)</f>
        <v>0</v>
      </c>
      <c r="CF9" s="751">
        <f ca="1">SUMIF('3.Inc &amp; Exp per Function'!$D8:$D1107,'5.Cons and detailed recon'!BJ9,'3.Inc &amp; Exp per Function'!$V8:$V1106)</f>
        <v>0</v>
      </c>
      <c r="CG9" s="748">
        <f t="shared" ref="CG9:CG64" ca="1" si="8">SUM(CC9:CF9)</f>
        <v>0</v>
      </c>
      <c r="CH9" s="794"/>
      <c r="CI9" s="790">
        <f t="shared" ref="CI9:CI64" ca="1" si="9">BR9+CB9+CG9</f>
        <v>0</v>
      </c>
      <c r="CJ9" s="411">
        <f>SUMIF('4.Inc &amp; Exp Summary'!A:A,'5.Cons and detailed recon'!R9,'4.Inc &amp; Exp Summary'!M:M)</f>
        <v>0</v>
      </c>
      <c r="CK9" s="412">
        <f ca="1">CI9-CJ9</f>
        <v>0</v>
      </c>
      <c r="CL9" s="744"/>
      <c r="CM9" s="730"/>
      <c r="CO9" s="398" t="str">
        <f t="shared" ref="CO9:DD25" si="10">CO$7&amp;$Q9</f>
        <v>Executive and Council0200</v>
      </c>
      <c r="CP9" s="398" t="str">
        <f t="shared" si="10"/>
        <v>Finance and administration0200</v>
      </c>
      <c r="CQ9" s="398" t="str">
        <f t="shared" si="10"/>
        <v>Internal audit0200</v>
      </c>
      <c r="CR9" s="398" t="str">
        <f t="shared" si="10"/>
        <v>Community and social services0200</v>
      </c>
      <c r="CS9" s="398" t="str">
        <f t="shared" si="10"/>
        <v>Sport and recreation0200</v>
      </c>
      <c r="CT9" s="398" t="str">
        <f t="shared" si="10"/>
        <v>Public safety0200</v>
      </c>
      <c r="CU9" s="398" t="str">
        <f t="shared" si="10"/>
        <v>Housing0200</v>
      </c>
      <c r="CV9" s="398" t="str">
        <f t="shared" si="10"/>
        <v>Health0200</v>
      </c>
      <c r="CW9" s="398" t="str">
        <f t="shared" si="10"/>
        <v>Planning and development0200</v>
      </c>
      <c r="CX9" s="398" t="str">
        <f t="shared" si="10"/>
        <v>Road transport0200</v>
      </c>
      <c r="CY9" s="398" t="str">
        <f t="shared" si="10"/>
        <v>Environmental protection0200</v>
      </c>
      <c r="CZ9" s="398" t="str">
        <f t="shared" si="10"/>
        <v>Other0200</v>
      </c>
      <c r="DA9" s="398" t="str">
        <f t="shared" si="10"/>
        <v>Energy sources0200</v>
      </c>
      <c r="DB9" s="398" t="str">
        <f t="shared" si="10"/>
        <v>Water management0200</v>
      </c>
      <c r="DC9" s="398" t="str">
        <f t="shared" si="10"/>
        <v>Waste water management0200</v>
      </c>
      <c r="DD9" s="398" t="str">
        <f t="shared" si="10"/>
        <v>Waste management0200</v>
      </c>
      <c r="DE9" s="743" t="s">
        <v>668</v>
      </c>
      <c r="DF9" s="743" t="s">
        <v>668</v>
      </c>
      <c r="DG9" s="735"/>
      <c r="DH9" s="748" t="s">
        <v>670</v>
      </c>
      <c r="DI9" s="751">
        <f ca="1">SUMIF('3.Inc &amp; Exp per Function'!$D8:$D1107,'5.Cons and detailed recon'!CO9,'3.Inc &amp; Exp per Function'!$W8:$W1106)</f>
        <v>0</v>
      </c>
      <c r="DJ9" s="751">
        <f ca="1">SUMIF('3.Inc &amp; Exp per Function'!$D8:$D1107,'5.Cons and detailed recon'!CP9,'3.Inc &amp; Exp per Function'!$W8:$W1106)</f>
        <v>0</v>
      </c>
      <c r="DK9" s="751">
        <f ca="1">SUMIF('3.Inc &amp; Exp per Function'!$D8:$D1107,'5.Cons and detailed recon'!CQ9,'3.Inc &amp; Exp per Function'!$W8:$W1106)</f>
        <v>0</v>
      </c>
      <c r="DL9" s="413">
        <f t="shared" ref="DL9:DL64" ca="1" si="11">DI9+DJ9+DK9</f>
        <v>0</v>
      </c>
      <c r="DM9" s="751">
        <f ca="1">SUMIF('3.Inc &amp; Exp per Function'!$D8:$D1107,'5.Cons and detailed recon'!CR9,'3.Inc &amp; Exp per Function'!$W8:$W1106)</f>
        <v>0</v>
      </c>
      <c r="DN9" s="751">
        <f ca="1">SUMIF('3.Inc &amp; Exp per Function'!$D8:$D1107,'5.Cons and detailed recon'!CS9,'3.Inc &amp; Exp per Function'!$W8:$W1106)</f>
        <v>0</v>
      </c>
      <c r="DO9" s="751">
        <f ca="1">SUMIF('3.Inc &amp; Exp per Function'!$D8:$D1107,'5.Cons and detailed recon'!CT9,'3.Inc &amp; Exp per Function'!$W8:$W1106)</f>
        <v>0</v>
      </c>
      <c r="DP9" s="751">
        <f ca="1">SUMIF('3.Inc &amp; Exp per Function'!$D8:$D1107,'5.Cons and detailed recon'!CU9,'3.Inc &amp; Exp per Function'!$W8:$W1106)</f>
        <v>0</v>
      </c>
      <c r="DQ9" s="751">
        <f ca="1">SUMIF('3.Inc &amp; Exp per Function'!$D8:$D1107,'5.Cons and detailed recon'!CV9,'3.Inc &amp; Exp per Function'!$W8:$W1106)</f>
        <v>0</v>
      </c>
      <c r="DR9" s="751">
        <f ca="1">SUMIF('3.Inc &amp; Exp per Function'!$D8:$D1107,'5.Cons and detailed recon'!CW9,'3.Inc &amp; Exp per Function'!$W8:$W1106)</f>
        <v>0</v>
      </c>
      <c r="DS9" s="751">
        <f ca="1">SUMIF('3.Inc &amp; Exp per Function'!$D8:$D1107,'5.Cons and detailed recon'!CX9,'3.Inc &amp; Exp per Function'!$W8:$W1106)</f>
        <v>0</v>
      </c>
      <c r="DT9" s="751">
        <f ca="1">SUMIF('3.Inc &amp; Exp per Function'!$D8:$D1107,'5.Cons and detailed recon'!CY9,'3.Inc &amp; Exp per Function'!$W8:$W1106)</f>
        <v>0</v>
      </c>
      <c r="DU9" s="751">
        <f ca="1">SUMIF('3.Inc &amp; Exp per Function'!$D8:$D1107,'5.Cons and detailed recon'!CZ9,'3.Inc &amp; Exp per Function'!$W8:$W1106)</f>
        <v>0</v>
      </c>
      <c r="DV9" s="413">
        <f t="shared" ref="DV9:DV64" ca="1" si="12">SUM(DM9:DU9)</f>
        <v>0</v>
      </c>
      <c r="DW9" s="751">
        <f ca="1">SUMIF('3.Inc &amp; Exp per Function'!$D8:$D1107,'5.Cons and detailed recon'!DA9,'3.Inc &amp; Exp per Function'!$W8:$W1106)</f>
        <v>0</v>
      </c>
      <c r="DX9" s="751">
        <f ca="1">SUMIF('3.Inc &amp; Exp per Function'!$D8:$D1107,'5.Cons and detailed recon'!DB9,'3.Inc &amp; Exp per Function'!$W8:$W1106)</f>
        <v>0</v>
      </c>
      <c r="DY9" s="751">
        <f ca="1">SUMIF('3.Inc &amp; Exp per Function'!$D8:$D1107,'5.Cons and detailed recon'!DC9,'3.Inc &amp; Exp per Function'!$W8:$W1106)</f>
        <v>0</v>
      </c>
      <c r="DZ9" s="751">
        <f ca="1">SUMIF('3.Inc &amp; Exp per Function'!$D8:$D1107,'5.Cons and detailed recon'!DD9,'3.Inc &amp; Exp per Function'!$W8:$W1106)</f>
        <v>0</v>
      </c>
      <c r="EA9" s="748">
        <f t="shared" ref="EA9:EA64" ca="1" si="13">SUM(DW9:DZ9)</f>
        <v>0</v>
      </c>
      <c r="EB9" s="794"/>
      <c r="EC9" s="790">
        <f t="shared" ref="EC9:EC64" ca="1" si="14">DL9+DV9+EA9</f>
        <v>0</v>
      </c>
      <c r="ED9" s="411">
        <f>SUMIF('4.Inc &amp; Exp Summary'!A:A,'5.Cons and detailed recon'!DF9,'4.Inc &amp; Exp Summary'!N:N)</f>
        <v>0</v>
      </c>
      <c r="EE9" s="412">
        <f t="shared" ref="EE9:EE63" ca="1" si="15">EC9-ED9</f>
        <v>0</v>
      </c>
      <c r="EF9" s="744"/>
      <c r="EG9" s="980"/>
      <c r="EH9" s="980"/>
      <c r="EI9" s="980"/>
      <c r="EJ9" s="980"/>
      <c r="EK9" s="980"/>
      <c r="EL9" s="980"/>
      <c r="EM9" s="980"/>
      <c r="EN9" s="980"/>
      <c r="EO9" s="980"/>
      <c r="EP9" s="980"/>
      <c r="EQ9" s="980"/>
      <c r="ER9" s="980"/>
      <c r="ES9" s="980"/>
      <c r="ET9" s="980"/>
      <c r="EU9" s="980"/>
      <c r="EV9" s="980"/>
      <c r="EW9" s="980"/>
      <c r="EX9" s="980"/>
      <c r="EY9" s="980"/>
      <c r="EZ9" s="980"/>
      <c r="FA9" s="980"/>
      <c r="FB9" s="980"/>
      <c r="FC9" s="980"/>
      <c r="FD9" s="980"/>
      <c r="FE9" s="980"/>
      <c r="FF9" s="980"/>
      <c r="FG9" s="980"/>
      <c r="FH9" s="980"/>
      <c r="FI9" s="980"/>
      <c r="FJ9" s="980"/>
      <c r="FK9" s="980"/>
      <c r="FL9" s="980"/>
      <c r="FM9" s="980"/>
      <c r="FN9" s="980"/>
      <c r="FO9" s="980"/>
      <c r="FP9" s="980"/>
      <c r="FQ9" s="980"/>
      <c r="FR9" s="980"/>
      <c r="FS9" s="980"/>
      <c r="FT9" s="980"/>
      <c r="FU9" s="980"/>
      <c r="FV9" s="980"/>
      <c r="FW9" s="980"/>
      <c r="FX9" s="980"/>
      <c r="FY9" s="980"/>
      <c r="FZ9" s="980"/>
      <c r="GA9" s="980"/>
      <c r="GB9" s="980"/>
      <c r="GC9" s="980"/>
      <c r="GD9" s="980"/>
      <c r="GE9" s="980"/>
      <c r="GF9" s="980"/>
      <c r="GG9" s="980"/>
      <c r="GH9" s="980"/>
      <c r="GI9" s="980"/>
      <c r="GJ9" s="980"/>
      <c r="GK9" s="980"/>
      <c r="GL9" s="980"/>
      <c r="GM9" s="980"/>
      <c r="GN9" s="980"/>
      <c r="GO9" s="980"/>
      <c r="GP9" s="980"/>
      <c r="GQ9" s="980"/>
      <c r="GR9" s="980"/>
      <c r="GS9" s="980"/>
      <c r="GT9" s="980"/>
      <c r="GU9" s="980"/>
      <c r="GV9" s="980"/>
      <c r="GW9" s="980"/>
      <c r="GX9" s="980"/>
      <c r="GY9" s="980"/>
      <c r="GZ9" s="980"/>
      <c r="HA9" s="980"/>
      <c r="HB9" s="980"/>
      <c r="HC9" s="980"/>
      <c r="HD9" s="980"/>
      <c r="HE9" s="980"/>
      <c r="HF9" s="980"/>
      <c r="HG9" s="980"/>
      <c r="HH9" s="980"/>
      <c r="HI9" s="980"/>
      <c r="HJ9" s="980"/>
      <c r="HK9" s="980"/>
      <c r="HL9" s="980"/>
      <c r="HM9" s="980"/>
      <c r="HN9" s="980"/>
      <c r="HO9" s="980"/>
      <c r="HP9" s="980"/>
      <c r="HQ9" s="980"/>
      <c r="HR9" s="980"/>
      <c r="HS9" s="980"/>
      <c r="HT9" s="980"/>
      <c r="HU9" s="980"/>
      <c r="HV9" s="980"/>
      <c r="HW9" s="980"/>
      <c r="HX9" s="980"/>
      <c r="HY9" s="980"/>
      <c r="HZ9" s="980"/>
      <c r="IA9" s="980"/>
      <c r="IB9" s="980"/>
      <c r="IC9" s="980"/>
      <c r="ID9" s="980"/>
      <c r="IE9" s="980"/>
      <c r="IF9" s="980"/>
      <c r="IG9" s="980"/>
      <c r="IH9" s="980"/>
      <c r="II9" s="980"/>
      <c r="IJ9" s="980"/>
      <c r="IK9" s="980"/>
      <c r="IL9" s="980"/>
      <c r="IM9" s="980"/>
      <c r="IN9" s="980"/>
      <c r="IO9" s="980"/>
      <c r="IP9" s="980"/>
      <c r="IQ9" s="980"/>
      <c r="IR9" s="980"/>
      <c r="IS9" s="980"/>
      <c r="IT9" s="980"/>
      <c r="IU9" s="980"/>
      <c r="IV9" s="980"/>
    </row>
    <row r="10" spans="1:256" s="409" customFormat="1" ht="12" customHeight="1" x14ac:dyDescent="0.55000000000000004">
      <c r="A10" s="398" t="str">
        <f t="shared" si="1"/>
        <v>Executive and Council0300</v>
      </c>
      <c r="B10" s="398" t="str">
        <f t="shared" si="2"/>
        <v>Finance and administration0300</v>
      </c>
      <c r="C10" s="398" t="str">
        <f t="shared" si="2"/>
        <v>Internal audit0300</v>
      </c>
      <c r="D10" s="398" t="str">
        <f t="shared" si="2"/>
        <v>Community and social services0300</v>
      </c>
      <c r="E10" s="398" t="str">
        <f t="shared" si="2"/>
        <v>Sport and recreation0300</v>
      </c>
      <c r="F10" s="398" t="str">
        <f t="shared" si="2"/>
        <v>Public safety0300</v>
      </c>
      <c r="G10" s="398" t="str">
        <f t="shared" si="2"/>
        <v>Housing0300</v>
      </c>
      <c r="H10" s="398" t="str">
        <f t="shared" si="2"/>
        <v>Health0300</v>
      </c>
      <c r="I10" s="398" t="str">
        <f t="shared" si="2"/>
        <v>Planning and development0300</v>
      </c>
      <c r="J10" s="398" t="str">
        <f t="shared" si="2"/>
        <v>Road transport0300</v>
      </c>
      <c r="K10" s="398" t="str">
        <f t="shared" si="2"/>
        <v>Environmental protection0300</v>
      </c>
      <c r="L10" s="398" t="str">
        <f t="shared" si="2"/>
        <v>Other0300</v>
      </c>
      <c r="M10" s="398" t="str">
        <f t="shared" si="2"/>
        <v>Energy sources0300</v>
      </c>
      <c r="N10" s="398" t="str">
        <f t="shared" si="2"/>
        <v>Water management0300</v>
      </c>
      <c r="O10" s="398" t="str">
        <f t="shared" si="2"/>
        <v>Waste water management0300</v>
      </c>
      <c r="P10" s="398" t="str">
        <f t="shared" si="2"/>
        <v>Waste management0300</v>
      </c>
      <c r="Q10" s="745" t="s">
        <v>671</v>
      </c>
      <c r="R10" s="745" t="s">
        <v>671</v>
      </c>
      <c r="S10" s="994"/>
      <c r="T10" s="748" t="s">
        <v>673</v>
      </c>
      <c r="U10" s="804">
        <f ca="1">SUMIF('3.Inc &amp; Exp per Function'!$D9:$D1108,'5.Cons and detailed recon'!A10,'3.Inc &amp; Exp per Function'!$U9:$U1107)</f>
        <v>0</v>
      </c>
      <c r="V10" s="804">
        <f ca="1">SUMIF('3.Inc &amp; Exp per Function'!$D9:$D1108,'5.Cons and detailed recon'!B10,'3.Inc &amp; Exp per Function'!$U9:$U1107)</f>
        <v>0</v>
      </c>
      <c r="W10" s="804">
        <f ca="1">SUMIF('3.Inc &amp; Exp per Function'!$D9:$D1108,'5.Cons and detailed recon'!C10,'3.Inc &amp; Exp per Function'!$U9:$U1107)</f>
        <v>0</v>
      </c>
      <c r="X10" s="413">
        <f t="shared" ref="X10:X36" ca="1" si="16">SUM(U10:W10)</f>
        <v>0</v>
      </c>
      <c r="Y10" s="1326">
        <f ca="1">SUMIF('3.Inc &amp; Exp per Function'!$D9:$D1108,'5.Cons and detailed recon'!D10,'3.Inc &amp; Exp per Function'!$U9:$U1107)</f>
        <v>0</v>
      </c>
      <c r="Z10" s="1326">
        <f ca="1">SUMIF('3.Inc &amp; Exp per Function'!$D9:$D1108,'5.Cons and detailed recon'!E10,'3.Inc &amp; Exp per Function'!$U9:$U1107)</f>
        <v>0</v>
      </c>
      <c r="AA10" s="1326">
        <f ca="1">SUMIF('3.Inc &amp; Exp per Function'!$D9:$D1108,'5.Cons and detailed recon'!F10,'3.Inc &amp; Exp per Function'!$U9:$U1107)</f>
        <v>0</v>
      </c>
      <c r="AB10" s="1326">
        <f ca="1">SUMIF('3.Inc &amp; Exp per Function'!$D9:$D1108,'5.Cons and detailed recon'!G10,'3.Inc &amp; Exp per Function'!$U9:$U1107)</f>
        <v>0</v>
      </c>
      <c r="AC10" s="1326">
        <f ca="1">SUMIF('3.Inc &amp; Exp per Function'!$D9:$D1108,'5.Cons and detailed recon'!H10,'3.Inc &amp; Exp per Function'!$U9:$U1107)</f>
        <v>0</v>
      </c>
      <c r="AD10" s="1326">
        <f ca="1">SUMIF('3.Inc &amp; Exp per Function'!$D9:$D1108,'5.Cons and detailed recon'!I10,'3.Inc &amp; Exp per Function'!$U9:$U1107)</f>
        <v>0</v>
      </c>
      <c r="AE10" s="1326">
        <f ca="1">SUMIF('3.Inc &amp; Exp per Function'!$D9:$D1108,'5.Cons and detailed recon'!J10,'3.Inc &amp; Exp per Function'!$U9:$U1107)</f>
        <v>0</v>
      </c>
      <c r="AF10" s="1326">
        <f ca="1">SUMIF('3.Inc &amp; Exp per Function'!$D9:$D1108,'5.Cons and detailed recon'!K10,'3.Inc &amp; Exp per Function'!$U9:$U1107)</f>
        <v>0</v>
      </c>
      <c r="AG10" s="1326">
        <f ca="1">SUMIF('3.Inc &amp; Exp per Function'!$D9:$D1108,'5.Cons and detailed recon'!L10,'3.Inc &amp; Exp per Function'!$U9:$U1107)</f>
        <v>0</v>
      </c>
      <c r="AH10" s="413">
        <f t="shared" ca="1" si="3"/>
        <v>0</v>
      </c>
      <c r="AI10" s="804">
        <f ca="1">SUMIF('3.Inc &amp; Exp per Function'!$D9:$D1108,'5.Cons and detailed recon'!M10,'3.Inc &amp; Exp per Function'!$U9:$U1107)</f>
        <v>179259480</v>
      </c>
      <c r="AJ10" s="804">
        <f ca="1">SUMIF('3.Inc &amp; Exp per Function'!$D9:$D1108,'5.Cons and detailed recon'!N10,'3.Inc &amp; Exp per Function'!$U9:$U1107)</f>
        <v>0</v>
      </c>
      <c r="AK10" s="804">
        <f ca="1">SUMIF('3.Inc &amp; Exp per Function'!$D9:$D1108,'5.Cons and detailed recon'!O10,'3.Inc &amp; Exp per Function'!$U9:$U1107)</f>
        <v>0</v>
      </c>
      <c r="AL10" s="804">
        <f ca="1">SUMIF('3.Inc &amp; Exp per Function'!$D9:$D1108,'5.Cons and detailed recon'!P10,'3.Inc &amp; Exp per Function'!$U9:$U1107)</f>
        <v>0</v>
      </c>
      <c r="AM10" s="748">
        <f t="shared" ca="1" si="0"/>
        <v>179259480</v>
      </c>
      <c r="AN10" s="794"/>
      <c r="AO10" s="791">
        <f ca="1">X10+AH10+AM10</f>
        <v>179259480</v>
      </c>
      <c r="AP10" s="414">
        <f>SUMIF('4.Inc &amp; Exp Summary'!A:A,'5.Cons and detailed recon'!R10,'4.Inc &amp; Exp Summary'!L:L)</f>
        <v>179259480</v>
      </c>
      <c r="AQ10" s="415">
        <f t="shared" ca="1" si="4"/>
        <v>0</v>
      </c>
      <c r="AR10" s="744"/>
      <c r="AS10" s="730"/>
      <c r="AT10" s="408"/>
      <c r="AU10" s="398" t="str">
        <f t="shared" si="5"/>
        <v>Executive and Council0300</v>
      </c>
      <c r="AV10" s="398" t="str">
        <f t="shared" si="5"/>
        <v>Finance and administration0300</v>
      </c>
      <c r="AW10" s="398" t="str">
        <f t="shared" si="5"/>
        <v>Internal audit0300</v>
      </c>
      <c r="AX10" s="398" t="str">
        <f t="shared" si="5"/>
        <v>Community and social services0300</v>
      </c>
      <c r="AY10" s="398" t="str">
        <f t="shared" si="5"/>
        <v>Sport and recreation0300</v>
      </c>
      <c r="AZ10" s="398" t="str">
        <f t="shared" si="5"/>
        <v>Public safety0300</v>
      </c>
      <c r="BA10" s="398" t="str">
        <f t="shared" si="5"/>
        <v>Housing0300</v>
      </c>
      <c r="BB10" s="398" t="str">
        <f t="shared" si="5"/>
        <v>Health0300</v>
      </c>
      <c r="BC10" s="398" t="str">
        <f t="shared" si="5"/>
        <v>Planning and development0300</v>
      </c>
      <c r="BD10" s="398" t="str">
        <f t="shared" si="5"/>
        <v>Road transport0300</v>
      </c>
      <c r="BE10" s="398" t="str">
        <f t="shared" si="5"/>
        <v>Environmental protection0300</v>
      </c>
      <c r="BF10" s="398" t="str">
        <f t="shared" si="5"/>
        <v>Other0300</v>
      </c>
      <c r="BG10" s="398" t="str">
        <f t="shared" si="5"/>
        <v>Energy sources0300</v>
      </c>
      <c r="BH10" s="398" t="str">
        <f t="shared" si="5"/>
        <v>Water management0300</v>
      </c>
      <c r="BI10" s="398" t="str">
        <f t="shared" si="5"/>
        <v>Waste water management0300</v>
      </c>
      <c r="BJ10" s="398" t="str">
        <f t="shared" si="5"/>
        <v>Waste management0300</v>
      </c>
      <c r="BK10" s="745" t="s">
        <v>671</v>
      </c>
      <c r="BL10" s="745" t="s">
        <v>671</v>
      </c>
      <c r="BM10" s="735"/>
      <c r="BN10" s="748" t="s">
        <v>673</v>
      </c>
      <c r="BO10" s="751">
        <f ca="1">SUMIF('3.Inc &amp; Exp per Function'!$D9:$D1108,'5.Cons and detailed recon'!AU10,'3.Inc &amp; Exp per Function'!$V9:$V1107)</f>
        <v>0</v>
      </c>
      <c r="BP10" s="751">
        <f ca="1">SUMIF('3.Inc &amp; Exp per Function'!$D9:$D1108,'5.Cons and detailed recon'!AV10,'3.Inc &amp; Exp per Function'!$V9:$V1107)</f>
        <v>0</v>
      </c>
      <c r="BQ10" s="751">
        <f ca="1">SUMIF('3.Inc &amp; Exp per Function'!$D9:$D1108,'5.Cons and detailed recon'!AW10,'3.Inc &amp; Exp per Function'!$V9:$V1107)</f>
        <v>0</v>
      </c>
      <c r="BR10" s="413">
        <f t="shared" ca="1" si="6"/>
        <v>0</v>
      </c>
      <c r="BS10" s="751">
        <f ca="1">SUMIF('3.Inc &amp; Exp per Function'!$D9:$D1108,'5.Cons and detailed recon'!AX10,'3.Inc &amp; Exp per Function'!$V9:$V1107)</f>
        <v>0</v>
      </c>
      <c r="BT10" s="751">
        <f ca="1">SUMIF('3.Inc &amp; Exp per Function'!$D9:$D1108,'5.Cons and detailed recon'!AY10,'3.Inc &amp; Exp per Function'!$V9:$V1107)</f>
        <v>0</v>
      </c>
      <c r="BU10" s="751">
        <f ca="1">SUMIF('3.Inc &amp; Exp per Function'!$D9:$D1108,'5.Cons and detailed recon'!AZ10,'3.Inc &amp; Exp per Function'!$V9:$V1107)</f>
        <v>0</v>
      </c>
      <c r="BV10" s="751">
        <f ca="1">SUMIF('3.Inc &amp; Exp per Function'!$D9:$D1108,'5.Cons and detailed recon'!BA10,'3.Inc &amp; Exp per Function'!$V9:$V1107)</f>
        <v>0</v>
      </c>
      <c r="BW10" s="751">
        <f ca="1">SUMIF('3.Inc &amp; Exp per Function'!$D9:$D1108,'5.Cons and detailed recon'!BB10,'3.Inc &amp; Exp per Function'!$V9:$V1107)</f>
        <v>0</v>
      </c>
      <c r="BX10" s="751">
        <f ca="1">SUMIF('3.Inc &amp; Exp per Function'!$D9:$D1108,'5.Cons and detailed recon'!BC10,'3.Inc &amp; Exp per Function'!$V9:$V1107)</f>
        <v>0</v>
      </c>
      <c r="BY10" s="751">
        <f ca="1">SUMIF('3.Inc &amp; Exp per Function'!$D9:$D1108,'5.Cons and detailed recon'!BD10,'3.Inc &amp; Exp per Function'!$V9:$V1107)</f>
        <v>0</v>
      </c>
      <c r="BZ10" s="751">
        <f ca="1">SUMIF('3.Inc &amp; Exp per Function'!$D9:$D1108,'5.Cons and detailed recon'!BE10,'3.Inc &amp; Exp per Function'!$V9:$V1107)</f>
        <v>0</v>
      </c>
      <c r="CA10" s="751">
        <f ca="1">SUMIF('3.Inc &amp; Exp per Function'!$D9:$D1108,'5.Cons and detailed recon'!BF10,'3.Inc &amp; Exp per Function'!$V9:$V1107)</f>
        <v>0</v>
      </c>
      <c r="CB10" s="413">
        <f t="shared" ca="1" si="7"/>
        <v>0</v>
      </c>
      <c r="CC10" s="751">
        <f ca="1">SUMIF('3.Inc &amp; Exp per Function'!$D9:$D1108,'5.Cons and detailed recon'!BG10,'3.Inc &amp; Exp per Function'!$V9:$V1107)</f>
        <v>185354301</v>
      </c>
      <c r="CD10" s="751">
        <f ca="1">SUMIF('3.Inc &amp; Exp per Function'!$D9:$D1108,'5.Cons and detailed recon'!BH10,'3.Inc &amp; Exp per Function'!$V9:$V1107)</f>
        <v>0</v>
      </c>
      <c r="CE10" s="751">
        <f ca="1">SUMIF('3.Inc &amp; Exp per Function'!$D9:$D1108,'5.Cons and detailed recon'!BI10,'3.Inc &amp; Exp per Function'!$V9:$V1107)</f>
        <v>0</v>
      </c>
      <c r="CF10" s="751">
        <f ca="1">SUMIF('3.Inc &amp; Exp per Function'!$D9:$D1108,'5.Cons and detailed recon'!BJ10,'3.Inc &amp; Exp per Function'!$V9:$V1107)</f>
        <v>0</v>
      </c>
      <c r="CG10" s="748">
        <f t="shared" ca="1" si="8"/>
        <v>185354301</v>
      </c>
      <c r="CH10" s="794"/>
      <c r="CI10" s="791">
        <f t="shared" ca="1" si="9"/>
        <v>185354301</v>
      </c>
      <c r="CJ10" s="411">
        <f>SUMIF('4.Inc &amp; Exp Summary'!A:A,'5.Cons and detailed recon'!R10,'4.Inc &amp; Exp Summary'!M:M)</f>
        <v>185354301</v>
      </c>
      <c r="CK10" s="415">
        <f t="shared" ref="CK10:CK41" ca="1" si="17">CI10-CJ10</f>
        <v>0</v>
      </c>
      <c r="CL10" s="744"/>
      <c r="CM10" s="730"/>
      <c r="CO10" s="398" t="str">
        <f t="shared" si="10"/>
        <v>Executive and Council0300</v>
      </c>
      <c r="CP10" s="398" t="str">
        <f t="shared" si="10"/>
        <v>Finance and administration0300</v>
      </c>
      <c r="CQ10" s="398" t="str">
        <f t="shared" si="10"/>
        <v>Internal audit0300</v>
      </c>
      <c r="CR10" s="398" t="str">
        <f t="shared" si="10"/>
        <v>Community and social services0300</v>
      </c>
      <c r="CS10" s="398" t="str">
        <f t="shared" si="10"/>
        <v>Sport and recreation0300</v>
      </c>
      <c r="CT10" s="398" t="str">
        <f t="shared" si="10"/>
        <v>Public safety0300</v>
      </c>
      <c r="CU10" s="398" t="str">
        <f t="shared" si="10"/>
        <v>Housing0300</v>
      </c>
      <c r="CV10" s="398" t="str">
        <f t="shared" si="10"/>
        <v>Health0300</v>
      </c>
      <c r="CW10" s="398" t="str">
        <f t="shared" si="10"/>
        <v>Planning and development0300</v>
      </c>
      <c r="CX10" s="398" t="str">
        <f t="shared" si="10"/>
        <v>Road transport0300</v>
      </c>
      <c r="CY10" s="398" t="str">
        <f t="shared" si="10"/>
        <v>Environmental protection0300</v>
      </c>
      <c r="CZ10" s="398" t="str">
        <f t="shared" si="10"/>
        <v>Other0300</v>
      </c>
      <c r="DA10" s="398" t="str">
        <f t="shared" si="10"/>
        <v>Energy sources0300</v>
      </c>
      <c r="DB10" s="398" t="str">
        <f t="shared" si="10"/>
        <v>Water management0300</v>
      </c>
      <c r="DC10" s="398" t="str">
        <f t="shared" si="10"/>
        <v>Waste water management0300</v>
      </c>
      <c r="DD10" s="398" t="str">
        <f t="shared" si="10"/>
        <v>Waste management0300</v>
      </c>
      <c r="DE10" s="745" t="s">
        <v>671</v>
      </c>
      <c r="DF10" s="745" t="s">
        <v>671</v>
      </c>
      <c r="DG10" s="735"/>
      <c r="DH10" s="748" t="s">
        <v>673</v>
      </c>
      <c r="DI10" s="751">
        <f ca="1">SUMIF('3.Inc &amp; Exp per Function'!$D9:$D1108,'5.Cons and detailed recon'!CO10,'3.Inc &amp; Exp per Function'!$W9:$W1107)</f>
        <v>0</v>
      </c>
      <c r="DJ10" s="751">
        <f ca="1">SUMIF('3.Inc &amp; Exp per Function'!$D9:$D1108,'5.Cons and detailed recon'!CP10,'3.Inc &amp; Exp per Function'!$W9:$W1107)</f>
        <v>0</v>
      </c>
      <c r="DK10" s="751">
        <f ca="1">SUMIF('3.Inc &amp; Exp per Function'!$D9:$D1108,'5.Cons and detailed recon'!CQ10,'3.Inc &amp; Exp per Function'!$W9:$W1107)</f>
        <v>0</v>
      </c>
      <c r="DL10" s="413">
        <f t="shared" ca="1" si="11"/>
        <v>0</v>
      </c>
      <c r="DM10" s="751">
        <f ca="1">SUMIF('3.Inc &amp; Exp per Function'!$D9:$D1108,'5.Cons and detailed recon'!CR10,'3.Inc &amp; Exp per Function'!$W9:$W1107)</f>
        <v>0</v>
      </c>
      <c r="DN10" s="751">
        <f ca="1">SUMIF('3.Inc &amp; Exp per Function'!$D9:$D1108,'5.Cons and detailed recon'!CS10,'3.Inc &amp; Exp per Function'!$W9:$W1107)</f>
        <v>0</v>
      </c>
      <c r="DO10" s="751">
        <f ca="1">SUMIF('3.Inc &amp; Exp per Function'!$D9:$D1108,'5.Cons and detailed recon'!CT10,'3.Inc &amp; Exp per Function'!$W9:$W1107)</f>
        <v>0</v>
      </c>
      <c r="DP10" s="751">
        <f ca="1">SUMIF('3.Inc &amp; Exp per Function'!$D9:$D1108,'5.Cons and detailed recon'!CU10,'3.Inc &amp; Exp per Function'!$W9:$W1107)</f>
        <v>0</v>
      </c>
      <c r="DQ10" s="751">
        <f ca="1">SUMIF('3.Inc &amp; Exp per Function'!$D9:$D1108,'5.Cons and detailed recon'!CV10,'3.Inc &amp; Exp per Function'!$W9:$W1107)</f>
        <v>0</v>
      </c>
      <c r="DR10" s="751">
        <f ca="1">SUMIF('3.Inc &amp; Exp per Function'!$D9:$D1108,'5.Cons and detailed recon'!CW10,'3.Inc &amp; Exp per Function'!$W9:$W1107)</f>
        <v>0</v>
      </c>
      <c r="DS10" s="751">
        <f ca="1">SUMIF('3.Inc &amp; Exp per Function'!$D9:$D1108,'5.Cons and detailed recon'!CX10,'3.Inc &amp; Exp per Function'!$W9:$W1107)</f>
        <v>0</v>
      </c>
      <c r="DT10" s="751">
        <f ca="1">SUMIF('3.Inc &amp; Exp per Function'!$D9:$D1108,'5.Cons and detailed recon'!CY10,'3.Inc &amp; Exp per Function'!$W9:$W1107)</f>
        <v>0</v>
      </c>
      <c r="DU10" s="751">
        <f ca="1">SUMIF('3.Inc &amp; Exp per Function'!$D9:$D1108,'5.Cons and detailed recon'!CZ10,'3.Inc &amp; Exp per Function'!$W9:$W1107)</f>
        <v>0</v>
      </c>
      <c r="DV10" s="413">
        <f t="shared" ca="1" si="12"/>
        <v>0</v>
      </c>
      <c r="DW10" s="751">
        <f ca="1">SUMIF('3.Inc &amp; Exp per Function'!$D9:$D1108,'5.Cons and detailed recon'!DA10,'3.Inc &amp; Exp per Function'!$W9:$W1107)</f>
        <v>191285640</v>
      </c>
      <c r="DX10" s="751">
        <f ca="1">SUMIF('3.Inc &amp; Exp per Function'!$D9:$D1108,'5.Cons and detailed recon'!DB10,'3.Inc &amp; Exp per Function'!$W9:$W1107)</f>
        <v>0</v>
      </c>
      <c r="DY10" s="751">
        <f ca="1">SUMIF('3.Inc &amp; Exp per Function'!$D9:$D1108,'5.Cons and detailed recon'!DC10,'3.Inc &amp; Exp per Function'!$W9:$W1107)</f>
        <v>0</v>
      </c>
      <c r="DZ10" s="751">
        <f ca="1">SUMIF('3.Inc &amp; Exp per Function'!$D9:$D1108,'5.Cons and detailed recon'!DD10,'3.Inc &amp; Exp per Function'!$W9:$W1107)</f>
        <v>0</v>
      </c>
      <c r="EA10" s="748">
        <f t="shared" ca="1" si="13"/>
        <v>191285640</v>
      </c>
      <c r="EB10" s="794"/>
      <c r="EC10" s="791">
        <f t="shared" ca="1" si="14"/>
        <v>191285640</v>
      </c>
      <c r="ED10" s="414">
        <f>SUMIF('4.Inc &amp; Exp Summary'!A:A,'5.Cons and detailed recon'!DF10,'4.Inc &amp; Exp Summary'!N:N)</f>
        <v>191285638.632</v>
      </c>
      <c r="EE10" s="415">
        <f t="shared" ca="1" si="15"/>
        <v>1.3680000007152557</v>
      </c>
      <c r="EF10" s="744"/>
      <c r="EG10" s="980"/>
      <c r="EH10" s="980"/>
      <c r="EI10" s="980"/>
      <c r="EJ10" s="980"/>
      <c r="EK10" s="980"/>
      <c r="EL10" s="980"/>
      <c r="EM10" s="980"/>
      <c r="EN10" s="980"/>
      <c r="EO10" s="980"/>
      <c r="EP10" s="980"/>
      <c r="EQ10" s="980"/>
      <c r="ER10" s="980"/>
      <c r="ES10" s="980"/>
      <c r="ET10" s="980"/>
      <c r="EU10" s="980"/>
      <c r="EV10" s="980"/>
      <c r="EW10" s="980"/>
      <c r="EX10" s="980"/>
      <c r="EY10" s="980"/>
      <c r="EZ10" s="980"/>
      <c r="FA10" s="980"/>
      <c r="FB10" s="980"/>
      <c r="FC10" s="980"/>
      <c r="FD10" s="980"/>
      <c r="FE10" s="980"/>
      <c r="FF10" s="980"/>
      <c r="FG10" s="980"/>
      <c r="FH10" s="980"/>
      <c r="FI10" s="980"/>
      <c r="FJ10" s="980"/>
      <c r="FK10" s="980"/>
      <c r="FL10" s="980"/>
      <c r="FM10" s="980"/>
      <c r="FN10" s="980"/>
      <c r="FO10" s="980"/>
      <c r="FP10" s="980"/>
      <c r="FQ10" s="980"/>
      <c r="FR10" s="980"/>
      <c r="FS10" s="980"/>
      <c r="FT10" s="980"/>
      <c r="FU10" s="980"/>
      <c r="FV10" s="980"/>
      <c r="FW10" s="980"/>
      <c r="FX10" s="980"/>
      <c r="FY10" s="980"/>
      <c r="FZ10" s="980"/>
      <c r="GA10" s="980"/>
      <c r="GB10" s="980"/>
      <c r="GC10" s="980"/>
      <c r="GD10" s="980"/>
      <c r="GE10" s="980"/>
      <c r="GF10" s="980"/>
      <c r="GG10" s="980"/>
      <c r="GH10" s="980"/>
      <c r="GI10" s="980"/>
      <c r="GJ10" s="980"/>
      <c r="GK10" s="980"/>
      <c r="GL10" s="980"/>
      <c r="GM10" s="980"/>
      <c r="GN10" s="980"/>
      <c r="GO10" s="980"/>
      <c r="GP10" s="980"/>
      <c r="GQ10" s="980"/>
      <c r="GR10" s="980"/>
      <c r="GS10" s="980"/>
      <c r="GT10" s="980"/>
      <c r="GU10" s="980"/>
      <c r="GV10" s="980"/>
      <c r="GW10" s="980"/>
      <c r="GX10" s="980"/>
      <c r="GY10" s="980"/>
      <c r="GZ10" s="980"/>
      <c r="HA10" s="980"/>
      <c r="HB10" s="980"/>
      <c r="HC10" s="980"/>
      <c r="HD10" s="980"/>
      <c r="HE10" s="980"/>
      <c r="HF10" s="980"/>
      <c r="HG10" s="980"/>
      <c r="HH10" s="980"/>
      <c r="HI10" s="980"/>
      <c r="HJ10" s="980"/>
      <c r="HK10" s="980"/>
      <c r="HL10" s="980"/>
      <c r="HM10" s="980"/>
      <c r="HN10" s="980"/>
      <c r="HO10" s="980"/>
      <c r="HP10" s="980"/>
      <c r="HQ10" s="980"/>
      <c r="HR10" s="980"/>
      <c r="HS10" s="980"/>
      <c r="HT10" s="980"/>
      <c r="HU10" s="980"/>
      <c r="HV10" s="980"/>
      <c r="HW10" s="980"/>
      <c r="HX10" s="980"/>
      <c r="HY10" s="980"/>
      <c r="HZ10" s="980"/>
      <c r="IA10" s="980"/>
      <c r="IB10" s="980"/>
      <c r="IC10" s="980"/>
      <c r="ID10" s="980"/>
      <c r="IE10" s="980"/>
      <c r="IF10" s="980"/>
      <c r="IG10" s="980"/>
      <c r="IH10" s="980"/>
      <c r="II10" s="980"/>
      <c r="IJ10" s="980"/>
      <c r="IK10" s="980"/>
      <c r="IL10" s="980"/>
      <c r="IM10" s="980"/>
      <c r="IN10" s="980"/>
      <c r="IO10" s="980"/>
      <c r="IP10" s="980"/>
      <c r="IQ10" s="980"/>
      <c r="IR10" s="980"/>
      <c r="IS10" s="980"/>
      <c r="IT10" s="980"/>
      <c r="IU10" s="980"/>
      <c r="IV10" s="980"/>
    </row>
    <row r="11" spans="1:256" s="409" customFormat="1" ht="12" customHeight="1" x14ac:dyDescent="0.55000000000000004">
      <c r="A11" s="398" t="str">
        <f t="shared" si="1"/>
        <v>Executive and Council0400</v>
      </c>
      <c r="B11" s="398" t="str">
        <f t="shared" si="2"/>
        <v>Finance and administration0400</v>
      </c>
      <c r="C11" s="398" t="str">
        <f t="shared" si="2"/>
        <v>Internal audit0400</v>
      </c>
      <c r="D11" s="398" t="str">
        <f t="shared" si="2"/>
        <v>Community and social services0400</v>
      </c>
      <c r="E11" s="398" t="str">
        <f t="shared" si="2"/>
        <v>Sport and recreation0400</v>
      </c>
      <c r="F11" s="398" t="str">
        <f t="shared" si="2"/>
        <v>Public safety0400</v>
      </c>
      <c r="G11" s="398" t="str">
        <f t="shared" si="2"/>
        <v>Housing0400</v>
      </c>
      <c r="H11" s="398" t="str">
        <f t="shared" si="2"/>
        <v>Health0400</v>
      </c>
      <c r="I11" s="398" t="str">
        <f t="shared" si="2"/>
        <v>Planning and development0400</v>
      </c>
      <c r="J11" s="398" t="str">
        <f t="shared" si="2"/>
        <v>Road transport0400</v>
      </c>
      <c r="K11" s="398" t="str">
        <f t="shared" si="2"/>
        <v>Environmental protection0400</v>
      </c>
      <c r="L11" s="398" t="str">
        <f t="shared" si="2"/>
        <v>Other0400</v>
      </c>
      <c r="M11" s="398" t="str">
        <f t="shared" si="2"/>
        <v>Energy sources0400</v>
      </c>
      <c r="N11" s="398" t="str">
        <f t="shared" si="2"/>
        <v>Water management0400</v>
      </c>
      <c r="O11" s="398" t="str">
        <f t="shared" si="2"/>
        <v>Waste water management0400</v>
      </c>
      <c r="P11" s="398" t="str">
        <f t="shared" si="2"/>
        <v>Waste management0400</v>
      </c>
      <c r="Q11" s="745" t="s">
        <v>674</v>
      </c>
      <c r="R11" s="745" t="s">
        <v>674</v>
      </c>
      <c r="S11" s="994"/>
      <c r="T11" s="748" t="s">
        <v>676</v>
      </c>
      <c r="U11" s="804">
        <f ca="1">SUMIF('3.Inc &amp; Exp per Function'!$D10:$D1109,'5.Cons and detailed recon'!A11,'3.Inc &amp; Exp per Function'!$U10:$U1108)</f>
        <v>0</v>
      </c>
      <c r="V11" s="804">
        <f ca="1">SUMIF('3.Inc &amp; Exp per Function'!$D10:$D1109,'5.Cons and detailed recon'!B11,'3.Inc &amp; Exp per Function'!$U10:$U1108)</f>
        <v>0</v>
      </c>
      <c r="W11" s="804">
        <f ca="1">SUMIF('3.Inc &amp; Exp per Function'!$D10:$D1109,'5.Cons and detailed recon'!C11,'3.Inc &amp; Exp per Function'!$U10:$U1108)</f>
        <v>0</v>
      </c>
      <c r="X11" s="413">
        <f t="shared" ca="1" si="16"/>
        <v>0</v>
      </c>
      <c r="Y11" s="1326">
        <f ca="1">SUMIF('3.Inc &amp; Exp per Function'!$D10:$D1109,'5.Cons and detailed recon'!D11,'3.Inc &amp; Exp per Function'!$U10:$U1108)</f>
        <v>0</v>
      </c>
      <c r="Z11" s="1326">
        <f ca="1">SUMIF('3.Inc &amp; Exp per Function'!$D10:$D1109,'5.Cons and detailed recon'!E11,'3.Inc &amp; Exp per Function'!$U10:$U1108)</f>
        <v>0</v>
      </c>
      <c r="AA11" s="1326">
        <f ca="1">SUMIF('3.Inc &amp; Exp per Function'!$D10:$D1109,'5.Cons and detailed recon'!F11,'3.Inc &amp; Exp per Function'!$U10:$U1108)</f>
        <v>0</v>
      </c>
      <c r="AB11" s="1326">
        <f ca="1">SUMIF('3.Inc &amp; Exp per Function'!$D10:$D1109,'5.Cons and detailed recon'!G11,'3.Inc &amp; Exp per Function'!$U10:$U1108)</f>
        <v>0</v>
      </c>
      <c r="AC11" s="1326">
        <f ca="1">SUMIF('3.Inc &amp; Exp per Function'!$D10:$D1109,'5.Cons and detailed recon'!H11,'3.Inc &amp; Exp per Function'!$U10:$U1108)</f>
        <v>0</v>
      </c>
      <c r="AD11" s="1326">
        <f ca="1">SUMIF('3.Inc &amp; Exp per Function'!$D10:$D1109,'5.Cons and detailed recon'!I11,'3.Inc &amp; Exp per Function'!$U10:$U1108)</f>
        <v>0</v>
      </c>
      <c r="AE11" s="1326">
        <f ca="1">SUMIF('3.Inc &amp; Exp per Function'!$D10:$D1109,'5.Cons and detailed recon'!J11,'3.Inc &amp; Exp per Function'!$U10:$U1108)</f>
        <v>0</v>
      </c>
      <c r="AF11" s="1326">
        <f ca="1">SUMIF('3.Inc &amp; Exp per Function'!$D10:$D1109,'5.Cons and detailed recon'!K11,'3.Inc &amp; Exp per Function'!$U10:$U1108)</f>
        <v>0</v>
      </c>
      <c r="AG11" s="1326">
        <f ca="1">SUMIF('3.Inc &amp; Exp per Function'!$D10:$D1109,'5.Cons and detailed recon'!L11,'3.Inc &amp; Exp per Function'!$U10:$U1108)</f>
        <v>0</v>
      </c>
      <c r="AH11" s="413">
        <f t="shared" ca="1" si="3"/>
        <v>0</v>
      </c>
      <c r="AI11" s="804">
        <f ca="1">SUMIF('3.Inc &amp; Exp per Function'!$D10:$D1109,'5.Cons and detailed recon'!M11,'3.Inc &amp; Exp per Function'!$U10:$U1108)</f>
        <v>0</v>
      </c>
      <c r="AJ11" s="804">
        <f ca="1">SUMIF('3.Inc &amp; Exp per Function'!$D10:$D1109,'5.Cons and detailed recon'!N11,'3.Inc &amp; Exp per Function'!$U10:$U1108)</f>
        <v>125278920</v>
      </c>
      <c r="AK11" s="804">
        <f ca="1">SUMIF('3.Inc &amp; Exp per Function'!$D10:$D1109,'5.Cons and detailed recon'!O11,'3.Inc &amp; Exp per Function'!$U10:$U1108)</f>
        <v>0</v>
      </c>
      <c r="AL11" s="804">
        <f ca="1">SUMIF('3.Inc &amp; Exp per Function'!$D10:$D1109,'5.Cons and detailed recon'!P11,'3.Inc &amp; Exp per Function'!$U10:$U1108)</f>
        <v>0</v>
      </c>
      <c r="AM11" s="748">
        <f t="shared" ca="1" si="0"/>
        <v>125278920</v>
      </c>
      <c r="AN11" s="794"/>
      <c r="AO11" s="791">
        <f t="shared" ref="AO11:AO36" ca="1" si="18">X11+AH11+AM11</f>
        <v>125278920</v>
      </c>
      <c r="AP11" s="414">
        <f>SUMIF('4.Inc &amp; Exp Summary'!A:A,'5.Cons and detailed recon'!R11,'4.Inc &amp; Exp Summary'!L:L)</f>
        <v>125278920</v>
      </c>
      <c r="AQ11" s="415">
        <f t="shared" ca="1" si="4"/>
        <v>0</v>
      </c>
      <c r="AR11" s="720"/>
      <c r="AS11" s="730"/>
      <c r="AT11" s="408"/>
      <c r="AU11" s="398" t="str">
        <f t="shared" si="5"/>
        <v>Executive and Council0400</v>
      </c>
      <c r="AV11" s="398" t="str">
        <f t="shared" si="5"/>
        <v>Finance and administration0400</v>
      </c>
      <c r="AW11" s="398" t="str">
        <f t="shared" si="5"/>
        <v>Internal audit0400</v>
      </c>
      <c r="AX11" s="398" t="str">
        <f t="shared" si="5"/>
        <v>Community and social services0400</v>
      </c>
      <c r="AY11" s="398" t="str">
        <f t="shared" si="5"/>
        <v>Sport and recreation0400</v>
      </c>
      <c r="AZ11" s="398" t="str">
        <f t="shared" si="5"/>
        <v>Public safety0400</v>
      </c>
      <c r="BA11" s="398" t="str">
        <f t="shared" si="5"/>
        <v>Housing0400</v>
      </c>
      <c r="BB11" s="398" t="str">
        <f t="shared" si="5"/>
        <v>Health0400</v>
      </c>
      <c r="BC11" s="398" t="str">
        <f t="shared" si="5"/>
        <v>Planning and development0400</v>
      </c>
      <c r="BD11" s="398" t="str">
        <f t="shared" si="5"/>
        <v>Road transport0400</v>
      </c>
      <c r="BE11" s="398" t="str">
        <f t="shared" si="5"/>
        <v>Environmental protection0400</v>
      </c>
      <c r="BF11" s="398" t="str">
        <f t="shared" si="5"/>
        <v>Other0400</v>
      </c>
      <c r="BG11" s="398" t="str">
        <f t="shared" si="5"/>
        <v>Energy sources0400</v>
      </c>
      <c r="BH11" s="398" t="str">
        <f t="shared" si="5"/>
        <v>Water management0400</v>
      </c>
      <c r="BI11" s="398" t="str">
        <f t="shared" si="5"/>
        <v>Waste water management0400</v>
      </c>
      <c r="BJ11" s="398" t="str">
        <f t="shared" si="5"/>
        <v>Waste management0400</v>
      </c>
      <c r="BK11" s="745" t="s">
        <v>674</v>
      </c>
      <c r="BL11" s="745" t="s">
        <v>674</v>
      </c>
      <c r="BM11" s="735"/>
      <c r="BN11" s="748" t="s">
        <v>676</v>
      </c>
      <c r="BO11" s="751">
        <f ca="1">SUMIF('3.Inc &amp; Exp per Function'!$D10:$D1109,'5.Cons and detailed recon'!AU11,'3.Inc &amp; Exp per Function'!$V10:$V1108)</f>
        <v>0</v>
      </c>
      <c r="BP11" s="751">
        <f ca="1">SUMIF('3.Inc &amp; Exp per Function'!$D10:$D1109,'5.Cons and detailed recon'!AV11,'3.Inc &amp; Exp per Function'!$V10:$V1108)</f>
        <v>0</v>
      </c>
      <c r="BQ11" s="751">
        <f ca="1">SUMIF('3.Inc &amp; Exp per Function'!$D10:$D1109,'5.Cons and detailed recon'!AW11,'3.Inc &amp; Exp per Function'!$V10:$V1108)</f>
        <v>0</v>
      </c>
      <c r="BR11" s="413">
        <f t="shared" ca="1" si="6"/>
        <v>0</v>
      </c>
      <c r="BS11" s="751">
        <f ca="1">SUMIF('3.Inc &amp; Exp per Function'!$D10:$D1109,'5.Cons and detailed recon'!AX11,'3.Inc &amp; Exp per Function'!$V10:$V1108)</f>
        <v>0</v>
      </c>
      <c r="BT11" s="751">
        <f ca="1">SUMIF('3.Inc &amp; Exp per Function'!$D10:$D1109,'5.Cons and detailed recon'!AY11,'3.Inc &amp; Exp per Function'!$V10:$V1108)</f>
        <v>0</v>
      </c>
      <c r="BU11" s="751">
        <f ca="1">SUMIF('3.Inc &amp; Exp per Function'!$D10:$D1109,'5.Cons and detailed recon'!AZ11,'3.Inc &amp; Exp per Function'!$V10:$V1108)</f>
        <v>0</v>
      </c>
      <c r="BV11" s="751">
        <f ca="1">SUMIF('3.Inc &amp; Exp per Function'!$D10:$D1109,'5.Cons and detailed recon'!BA11,'3.Inc &amp; Exp per Function'!$V10:$V1108)</f>
        <v>0</v>
      </c>
      <c r="BW11" s="751">
        <f ca="1">SUMIF('3.Inc &amp; Exp per Function'!$D10:$D1109,'5.Cons and detailed recon'!BB11,'3.Inc &amp; Exp per Function'!$V10:$V1108)</f>
        <v>0</v>
      </c>
      <c r="BX11" s="751">
        <f ca="1">SUMIF('3.Inc &amp; Exp per Function'!$D10:$D1109,'5.Cons and detailed recon'!BC11,'3.Inc &amp; Exp per Function'!$V10:$V1108)</f>
        <v>0</v>
      </c>
      <c r="BY11" s="751">
        <f ca="1">SUMIF('3.Inc &amp; Exp per Function'!$D10:$D1109,'5.Cons and detailed recon'!BD11,'3.Inc &amp; Exp per Function'!$V10:$V1108)</f>
        <v>0</v>
      </c>
      <c r="BZ11" s="751">
        <f ca="1">SUMIF('3.Inc &amp; Exp per Function'!$D10:$D1109,'5.Cons and detailed recon'!BE11,'3.Inc &amp; Exp per Function'!$V10:$V1108)</f>
        <v>0</v>
      </c>
      <c r="CA11" s="751">
        <f ca="1">SUMIF('3.Inc &amp; Exp per Function'!$D10:$D1109,'5.Cons and detailed recon'!BF11,'3.Inc &amp; Exp per Function'!$V10:$V1108)</f>
        <v>0</v>
      </c>
      <c r="CB11" s="413">
        <f t="shared" ca="1" si="7"/>
        <v>0</v>
      </c>
      <c r="CC11" s="751">
        <f ca="1">SUMIF('3.Inc &amp; Exp per Function'!$D10:$D1109,'5.Cons and detailed recon'!BG11,'3.Inc &amp; Exp per Function'!$V10:$V1108)</f>
        <v>0</v>
      </c>
      <c r="CD11" s="751">
        <f ca="1">SUMIF('3.Inc &amp; Exp per Function'!$D10:$D1109,'5.Cons and detailed recon'!BH11,'3.Inc &amp; Exp per Function'!$V10:$V1108)</f>
        <v>129538403</v>
      </c>
      <c r="CE11" s="751">
        <f ca="1">SUMIF('3.Inc &amp; Exp per Function'!$D10:$D1109,'5.Cons and detailed recon'!BI11,'3.Inc &amp; Exp per Function'!$V10:$V1108)</f>
        <v>0</v>
      </c>
      <c r="CF11" s="751">
        <f ca="1">SUMIF('3.Inc &amp; Exp per Function'!$D10:$D1109,'5.Cons and detailed recon'!BJ11,'3.Inc &amp; Exp per Function'!$V10:$V1108)</f>
        <v>0</v>
      </c>
      <c r="CG11" s="748">
        <f t="shared" ca="1" si="8"/>
        <v>129538403</v>
      </c>
      <c r="CH11" s="794"/>
      <c r="CI11" s="791">
        <f t="shared" ca="1" si="9"/>
        <v>129538403</v>
      </c>
      <c r="CJ11" s="411">
        <f>SUMIF('4.Inc &amp; Exp Summary'!A:A,'5.Cons and detailed recon'!R11,'4.Inc &amp; Exp Summary'!M:M)</f>
        <v>129538403</v>
      </c>
      <c r="CK11" s="415">
        <f t="shared" ca="1" si="17"/>
        <v>0</v>
      </c>
      <c r="CL11" s="720"/>
      <c r="CM11" s="730"/>
      <c r="CO11" s="398" t="str">
        <f t="shared" si="10"/>
        <v>Executive and Council0400</v>
      </c>
      <c r="CP11" s="398" t="str">
        <f t="shared" si="10"/>
        <v>Finance and administration0400</v>
      </c>
      <c r="CQ11" s="398" t="str">
        <f t="shared" si="10"/>
        <v>Internal audit0400</v>
      </c>
      <c r="CR11" s="398" t="str">
        <f t="shared" si="10"/>
        <v>Community and social services0400</v>
      </c>
      <c r="CS11" s="398" t="str">
        <f t="shared" si="10"/>
        <v>Sport and recreation0400</v>
      </c>
      <c r="CT11" s="398" t="str">
        <f t="shared" si="10"/>
        <v>Public safety0400</v>
      </c>
      <c r="CU11" s="398" t="str">
        <f t="shared" si="10"/>
        <v>Housing0400</v>
      </c>
      <c r="CV11" s="398" t="str">
        <f t="shared" si="10"/>
        <v>Health0400</v>
      </c>
      <c r="CW11" s="398" t="str">
        <f t="shared" si="10"/>
        <v>Planning and development0400</v>
      </c>
      <c r="CX11" s="398" t="str">
        <f t="shared" si="10"/>
        <v>Road transport0400</v>
      </c>
      <c r="CY11" s="398" t="str">
        <f t="shared" si="10"/>
        <v>Environmental protection0400</v>
      </c>
      <c r="CZ11" s="398" t="str">
        <f t="shared" si="10"/>
        <v>Other0400</v>
      </c>
      <c r="DA11" s="398" t="str">
        <f t="shared" si="10"/>
        <v>Energy sources0400</v>
      </c>
      <c r="DB11" s="398" t="str">
        <f t="shared" si="10"/>
        <v>Water management0400</v>
      </c>
      <c r="DC11" s="398" t="str">
        <f t="shared" si="10"/>
        <v>Waste water management0400</v>
      </c>
      <c r="DD11" s="398" t="str">
        <f t="shared" si="10"/>
        <v>Waste management0400</v>
      </c>
      <c r="DE11" s="745" t="s">
        <v>674</v>
      </c>
      <c r="DF11" s="745" t="s">
        <v>674</v>
      </c>
      <c r="DG11" s="735"/>
      <c r="DH11" s="748" t="s">
        <v>676</v>
      </c>
      <c r="DI11" s="751">
        <f ca="1">SUMIF('3.Inc &amp; Exp per Function'!$D10:$D1109,'5.Cons and detailed recon'!CO11,'3.Inc &amp; Exp per Function'!$W10:$W1108)</f>
        <v>0</v>
      </c>
      <c r="DJ11" s="751">
        <f ca="1">SUMIF('3.Inc &amp; Exp per Function'!$D10:$D1109,'5.Cons and detailed recon'!CP11,'3.Inc &amp; Exp per Function'!$W10:$W1108)</f>
        <v>0</v>
      </c>
      <c r="DK11" s="751">
        <f ca="1">SUMIF('3.Inc &amp; Exp per Function'!$D10:$D1109,'5.Cons and detailed recon'!CQ11,'3.Inc &amp; Exp per Function'!$W10:$W1108)</f>
        <v>0</v>
      </c>
      <c r="DL11" s="413">
        <f t="shared" ca="1" si="11"/>
        <v>0</v>
      </c>
      <c r="DM11" s="751">
        <f ca="1">SUMIF('3.Inc &amp; Exp per Function'!$D10:$D1109,'5.Cons and detailed recon'!CR11,'3.Inc &amp; Exp per Function'!$W10:$W1108)</f>
        <v>0</v>
      </c>
      <c r="DN11" s="751">
        <f ca="1">SUMIF('3.Inc &amp; Exp per Function'!$D10:$D1109,'5.Cons and detailed recon'!CS11,'3.Inc &amp; Exp per Function'!$W10:$W1108)</f>
        <v>0</v>
      </c>
      <c r="DO11" s="751">
        <f ca="1">SUMIF('3.Inc &amp; Exp per Function'!$D10:$D1109,'5.Cons and detailed recon'!CT11,'3.Inc &amp; Exp per Function'!$W10:$W1108)</f>
        <v>0</v>
      </c>
      <c r="DP11" s="751">
        <f ca="1">SUMIF('3.Inc &amp; Exp per Function'!$D10:$D1109,'5.Cons and detailed recon'!CU11,'3.Inc &amp; Exp per Function'!$W10:$W1108)</f>
        <v>0</v>
      </c>
      <c r="DQ11" s="751">
        <f ca="1">SUMIF('3.Inc &amp; Exp per Function'!$D10:$D1109,'5.Cons and detailed recon'!CV11,'3.Inc &amp; Exp per Function'!$W10:$W1108)</f>
        <v>0</v>
      </c>
      <c r="DR11" s="751">
        <f ca="1">SUMIF('3.Inc &amp; Exp per Function'!$D10:$D1109,'5.Cons and detailed recon'!CW11,'3.Inc &amp; Exp per Function'!$W10:$W1108)</f>
        <v>0</v>
      </c>
      <c r="DS11" s="751">
        <f ca="1">SUMIF('3.Inc &amp; Exp per Function'!$D10:$D1109,'5.Cons and detailed recon'!CX11,'3.Inc &amp; Exp per Function'!$W10:$W1108)</f>
        <v>0</v>
      </c>
      <c r="DT11" s="751">
        <f ca="1">SUMIF('3.Inc &amp; Exp per Function'!$D10:$D1109,'5.Cons and detailed recon'!CY11,'3.Inc &amp; Exp per Function'!$W10:$W1108)</f>
        <v>0</v>
      </c>
      <c r="DU11" s="751">
        <f ca="1">SUMIF('3.Inc &amp; Exp per Function'!$D10:$D1109,'5.Cons and detailed recon'!CZ11,'3.Inc &amp; Exp per Function'!$W10:$W1108)</f>
        <v>0</v>
      </c>
      <c r="DV11" s="413">
        <f t="shared" ca="1" si="12"/>
        <v>0</v>
      </c>
      <c r="DW11" s="751">
        <f ca="1">SUMIF('3.Inc &amp; Exp per Function'!$D10:$D1109,'5.Cons and detailed recon'!DA11,'3.Inc &amp; Exp per Function'!$W10:$W1108)</f>
        <v>0</v>
      </c>
      <c r="DX11" s="751">
        <f ca="1">SUMIF('3.Inc &amp; Exp per Function'!$D10:$D1109,'5.Cons and detailed recon'!DB11,'3.Inc &amp; Exp per Function'!$W10:$W1108)</f>
        <v>133683632</v>
      </c>
      <c r="DY11" s="751">
        <f ca="1">SUMIF('3.Inc &amp; Exp per Function'!$D10:$D1109,'5.Cons and detailed recon'!DC11,'3.Inc &amp; Exp per Function'!$W10:$W1108)</f>
        <v>0</v>
      </c>
      <c r="DZ11" s="751">
        <f ca="1">SUMIF('3.Inc &amp; Exp per Function'!$D10:$D1109,'5.Cons and detailed recon'!DD11,'3.Inc &amp; Exp per Function'!$W10:$W1108)</f>
        <v>0</v>
      </c>
      <c r="EA11" s="748">
        <f t="shared" ca="1" si="13"/>
        <v>133683632</v>
      </c>
      <c r="EB11" s="794"/>
      <c r="EC11" s="791">
        <f t="shared" ca="1" si="14"/>
        <v>133683632</v>
      </c>
      <c r="ED11" s="414">
        <f>SUMIF('4.Inc &amp; Exp Summary'!A:A,'5.Cons and detailed recon'!DF11,'4.Inc &amp; Exp Summary'!N:N)</f>
        <v>133683631.896</v>
      </c>
      <c r="EE11" s="415">
        <f t="shared" ca="1" si="15"/>
        <v>0.10400000214576721</v>
      </c>
      <c r="EF11" s="720"/>
      <c r="EG11" s="980"/>
      <c r="EH11" s="980"/>
      <c r="EI11" s="980"/>
      <c r="EJ11" s="980"/>
      <c r="EK11" s="980"/>
      <c r="EL11" s="980"/>
      <c r="EM11" s="980"/>
      <c r="EN11" s="980"/>
      <c r="EO11" s="980"/>
      <c r="EP11" s="980"/>
      <c r="EQ11" s="980"/>
      <c r="ER11" s="980"/>
      <c r="ES11" s="980"/>
      <c r="ET11" s="980"/>
      <c r="EU11" s="980"/>
      <c r="EV11" s="980"/>
      <c r="EW11" s="980"/>
      <c r="EX11" s="980"/>
      <c r="EY11" s="980"/>
      <c r="EZ11" s="980"/>
      <c r="FA11" s="980"/>
      <c r="FB11" s="980"/>
      <c r="FC11" s="980"/>
      <c r="FD11" s="980"/>
      <c r="FE11" s="980"/>
      <c r="FF11" s="980"/>
      <c r="FG11" s="980"/>
      <c r="FH11" s="980"/>
      <c r="FI11" s="980"/>
      <c r="FJ11" s="980"/>
      <c r="FK11" s="980"/>
      <c r="FL11" s="980"/>
      <c r="FM11" s="980"/>
      <c r="FN11" s="980"/>
      <c r="FO11" s="980"/>
      <c r="FP11" s="980"/>
      <c r="FQ11" s="980"/>
      <c r="FR11" s="980"/>
      <c r="FS11" s="980"/>
      <c r="FT11" s="980"/>
      <c r="FU11" s="980"/>
      <c r="FV11" s="980"/>
      <c r="FW11" s="980"/>
      <c r="FX11" s="980"/>
      <c r="FY11" s="980"/>
      <c r="FZ11" s="980"/>
      <c r="GA11" s="980"/>
      <c r="GB11" s="980"/>
      <c r="GC11" s="980"/>
      <c r="GD11" s="980"/>
      <c r="GE11" s="980"/>
      <c r="GF11" s="980"/>
      <c r="GG11" s="980"/>
      <c r="GH11" s="980"/>
      <c r="GI11" s="980"/>
      <c r="GJ11" s="980"/>
      <c r="GK11" s="980"/>
      <c r="GL11" s="980"/>
      <c r="GM11" s="980"/>
      <c r="GN11" s="980"/>
      <c r="GO11" s="980"/>
      <c r="GP11" s="980"/>
      <c r="GQ11" s="980"/>
      <c r="GR11" s="980"/>
      <c r="GS11" s="980"/>
      <c r="GT11" s="980"/>
      <c r="GU11" s="980"/>
      <c r="GV11" s="980"/>
      <c r="GW11" s="980"/>
      <c r="GX11" s="980"/>
      <c r="GY11" s="980"/>
      <c r="GZ11" s="980"/>
      <c r="HA11" s="980"/>
      <c r="HB11" s="980"/>
      <c r="HC11" s="980"/>
      <c r="HD11" s="980"/>
      <c r="HE11" s="980"/>
      <c r="HF11" s="980"/>
      <c r="HG11" s="980"/>
      <c r="HH11" s="980"/>
      <c r="HI11" s="980"/>
      <c r="HJ11" s="980"/>
      <c r="HK11" s="980"/>
      <c r="HL11" s="980"/>
      <c r="HM11" s="980"/>
      <c r="HN11" s="980"/>
      <c r="HO11" s="980"/>
      <c r="HP11" s="980"/>
      <c r="HQ11" s="980"/>
      <c r="HR11" s="980"/>
      <c r="HS11" s="980"/>
      <c r="HT11" s="980"/>
      <c r="HU11" s="980"/>
      <c r="HV11" s="980"/>
      <c r="HW11" s="980"/>
      <c r="HX11" s="980"/>
      <c r="HY11" s="980"/>
      <c r="HZ11" s="980"/>
      <c r="IA11" s="980"/>
      <c r="IB11" s="980"/>
      <c r="IC11" s="980"/>
      <c r="ID11" s="980"/>
      <c r="IE11" s="980"/>
      <c r="IF11" s="980"/>
      <c r="IG11" s="980"/>
      <c r="IH11" s="980"/>
      <c r="II11" s="980"/>
      <c r="IJ11" s="980"/>
      <c r="IK11" s="980"/>
      <c r="IL11" s="980"/>
      <c r="IM11" s="980"/>
      <c r="IN11" s="980"/>
      <c r="IO11" s="980"/>
      <c r="IP11" s="980"/>
      <c r="IQ11" s="980"/>
      <c r="IR11" s="980"/>
      <c r="IS11" s="980"/>
      <c r="IT11" s="980"/>
      <c r="IU11" s="980"/>
      <c r="IV11" s="980"/>
    </row>
    <row r="12" spans="1:256" s="409" customFormat="1" ht="12" customHeight="1" x14ac:dyDescent="0.55000000000000004">
      <c r="A12" s="398" t="str">
        <f t="shared" si="1"/>
        <v>Executive and Council0500</v>
      </c>
      <c r="B12" s="398" t="str">
        <f t="shared" si="2"/>
        <v>Finance and administration0500</v>
      </c>
      <c r="C12" s="398" t="str">
        <f t="shared" si="2"/>
        <v>Internal audit0500</v>
      </c>
      <c r="D12" s="398" t="str">
        <f t="shared" si="2"/>
        <v>Community and social services0500</v>
      </c>
      <c r="E12" s="398" t="str">
        <f t="shared" si="2"/>
        <v>Sport and recreation0500</v>
      </c>
      <c r="F12" s="398" t="str">
        <f t="shared" si="2"/>
        <v>Public safety0500</v>
      </c>
      <c r="G12" s="398" t="str">
        <f t="shared" si="2"/>
        <v>Housing0500</v>
      </c>
      <c r="H12" s="398" t="str">
        <f t="shared" si="2"/>
        <v>Health0500</v>
      </c>
      <c r="I12" s="398" t="str">
        <f t="shared" si="2"/>
        <v>Planning and development0500</v>
      </c>
      <c r="J12" s="398" t="str">
        <f t="shared" si="2"/>
        <v>Road transport0500</v>
      </c>
      <c r="K12" s="398" t="str">
        <f t="shared" si="2"/>
        <v>Environmental protection0500</v>
      </c>
      <c r="L12" s="398" t="str">
        <f t="shared" si="2"/>
        <v>Other0500</v>
      </c>
      <c r="M12" s="398" t="str">
        <f t="shared" si="2"/>
        <v>Energy sources0500</v>
      </c>
      <c r="N12" s="398" t="str">
        <f t="shared" si="2"/>
        <v>Water management0500</v>
      </c>
      <c r="O12" s="398" t="str">
        <f t="shared" si="2"/>
        <v>Waste water management0500</v>
      </c>
      <c r="P12" s="398" t="str">
        <f t="shared" si="2"/>
        <v>Waste management0500</v>
      </c>
      <c r="Q12" s="745" t="s">
        <v>677</v>
      </c>
      <c r="R12" s="745" t="s">
        <v>677</v>
      </c>
      <c r="S12" s="994"/>
      <c r="T12" s="748" t="s">
        <v>679</v>
      </c>
      <c r="U12" s="804">
        <f ca="1">SUMIF('3.Inc &amp; Exp per Function'!$D11:$D1110,'5.Cons and detailed recon'!A12,'3.Inc &amp; Exp per Function'!$U11:$U1109)</f>
        <v>0</v>
      </c>
      <c r="V12" s="804">
        <f ca="1">SUMIF('3.Inc &amp; Exp per Function'!$D11:$D1110,'5.Cons and detailed recon'!B12,'3.Inc &amp; Exp per Function'!$U11:$U1109)</f>
        <v>0</v>
      </c>
      <c r="W12" s="804">
        <f ca="1">SUMIF('3.Inc &amp; Exp per Function'!$D11:$D1110,'5.Cons and detailed recon'!C12,'3.Inc &amp; Exp per Function'!$U11:$U1109)</f>
        <v>0</v>
      </c>
      <c r="X12" s="413">
        <f t="shared" ca="1" si="16"/>
        <v>0</v>
      </c>
      <c r="Y12" s="1326">
        <f ca="1">SUMIF('3.Inc &amp; Exp per Function'!$D11:$D1110,'5.Cons and detailed recon'!D12,'3.Inc &amp; Exp per Function'!$U11:$U1109)</f>
        <v>0</v>
      </c>
      <c r="Z12" s="1326">
        <f ca="1">SUMIF('3.Inc &amp; Exp per Function'!$D11:$D1110,'5.Cons and detailed recon'!E12,'3.Inc &amp; Exp per Function'!$U11:$U1109)</f>
        <v>0</v>
      </c>
      <c r="AA12" s="1326">
        <f ca="1">SUMIF('3.Inc &amp; Exp per Function'!$D11:$D1110,'5.Cons and detailed recon'!F12,'3.Inc &amp; Exp per Function'!$U11:$U1109)</f>
        <v>0</v>
      </c>
      <c r="AB12" s="1326">
        <f ca="1">SUMIF('3.Inc &amp; Exp per Function'!$D11:$D1110,'5.Cons and detailed recon'!G12,'3.Inc &amp; Exp per Function'!$U11:$U1109)</f>
        <v>0</v>
      </c>
      <c r="AC12" s="1326">
        <f ca="1">SUMIF('3.Inc &amp; Exp per Function'!$D11:$D1110,'5.Cons and detailed recon'!H12,'3.Inc &amp; Exp per Function'!$U11:$U1109)</f>
        <v>0</v>
      </c>
      <c r="AD12" s="1326">
        <f ca="1">SUMIF('3.Inc &amp; Exp per Function'!$D11:$D1110,'5.Cons and detailed recon'!I12,'3.Inc &amp; Exp per Function'!$U11:$U1109)</f>
        <v>0</v>
      </c>
      <c r="AE12" s="1326">
        <f ca="1">SUMIF('3.Inc &amp; Exp per Function'!$D11:$D1110,'5.Cons and detailed recon'!J12,'3.Inc &amp; Exp per Function'!$U11:$U1109)</f>
        <v>0</v>
      </c>
      <c r="AF12" s="1326">
        <f ca="1">SUMIF('3.Inc &amp; Exp per Function'!$D11:$D1110,'5.Cons and detailed recon'!K12,'3.Inc &amp; Exp per Function'!$U11:$U1109)</f>
        <v>0</v>
      </c>
      <c r="AG12" s="1326">
        <f ca="1">SUMIF('3.Inc &amp; Exp per Function'!$D11:$D1110,'5.Cons and detailed recon'!L12,'3.Inc &amp; Exp per Function'!$U11:$U1109)</f>
        <v>0</v>
      </c>
      <c r="AH12" s="413">
        <f t="shared" ca="1" si="3"/>
        <v>0</v>
      </c>
      <c r="AI12" s="804">
        <f ca="1">SUMIF('3.Inc &amp; Exp per Function'!$D11:$D1110,'5.Cons and detailed recon'!M12,'3.Inc &amp; Exp per Function'!$U11:$U1109)</f>
        <v>0</v>
      </c>
      <c r="AJ12" s="804">
        <f ca="1">SUMIF('3.Inc &amp; Exp per Function'!$D11:$D1110,'5.Cons and detailed recon'!N12,'3.Inc &amp; Exp per Function'!$U11:$U1109)</f>
        <v>0</v>
      </c>
      <c r="AK12" s="804">
        <f ca="1">SUMIF('3.Inc &amp; Exp per Function'!$D11:$D1110,'5.Cons and detailed recon'!O12,'3.Inc &amp; Exp per Function'!$U11:$U1109)</f>
        <v>52237460</v>
      </c>
      <c r="AL12" s="804">
        <f ca="1">SUMIF('3.Inc &amp; Exp per Function'!$D11:$D1110,'5.Cons and detailed recon'!P12,'3.Inc &amp; Exp per Function'!$U11:$U1109)</f>
        <v>0</v>
      </c>
      <c r="AM12" s="748">
        <f t="shared" ca="1" si="0"/>
        <v>52237460</v>
      </c>
      <c r="AN12" s="794"/>
      <c r="AO12" s="791">
        <f t="shared" ca="1" si="18"/>
        <v>52237460</v>
      </c>
      <c r="AP12" s="414">
        <f>SUMIF('4.Inc &amp; Exp Summary'!A:A,'5.Cons and detailed recon'!R12,'4.Inc &amp; Exp Summary'!L:L)</f>
        <v>52237460</v>
      </c>
      <c r="AQ12" s="415">
        <f t="shared" ca="1" si="4"/>
        <v>0</v>
      </c>
      <c r="AR12" s="720"/>
      <c r="AS12" s="730"/>
      <c r="AT12" s="408"/>
      <c r="AU12" s="398" t="str">
        <f t="shared" si="5"/>
        <v>Executive and Council0500</v>
      </c>
      <c r="AV12" s="398" t="str">
        <f t="shared" si="5"/>
        <v>Finance and administration0500</v>
      </c>
      <c r="AW12" s="398" t="str">
        <f t="shared" si="5"/>
        <v>Internal audit0500</v>
      </c>
      <c r="AX12" s="398" t="str">
        <f t="shared" si="5"/>
        <v>Community and social services0500</v>
      </c>
      <c r="AY12" s="398" t="str">
        <f t="shared" si="5"/>
        <v>Sport and recreation0500</v>
      </c>
      <c r="AZ12" s="398" t="str">
        <f t="shared" si="5"/>
        <v>Public safety0500</v>
      </c>
      <c r="BA12" s="398" t="str">
        <f t="shared" si="5"/>
        <v>Housing0500</v>
      </c>
      <c r="BB12" s="398" t="str">
        <f t="shared" si="5"/>
        <v>Health0500</v>
      </c>
      <c r="BC12" s="398" t="str">
        <f t="shared" si="5"/>
        <v>Planning and development0500</v>
      </c>
      <c r="BD12" s="398" t="str">
        <f t="shared" si="5"/>
        <v>Road transport0500</v>
      </c>
      <c r="BE12" s="398" t="str">
        <f t="shared" si="5"/>
        <v>Environmental protection0500</v>
      </c>
      <c r="BF12" s="398" t="str">
        <f t="shared" si="5"/>
        <v>Other0500</v>
      </c>
      <c r="BG12" s="398" t="str">
        <f t="shared" si="5"/>
        <v>Energy sources0500</v>
      </c>
      <c r="BH12" s="398" t="str">
        <f t="shared" si="5"/>
        <v>Water management0500</v>
      </c>
      <c r="BI12" s="398" t="str">
        <f t="shared" si="5"/>
        <v>Waste water management0500</v>
      </c>
      <c r="BJ12" s="398" t="str">
        <f t="shared" si="5"/>
        <v>Waste management0500</v>
      </c>
      <c r="BK12" s="745" t="s">
        <v>677</v>
      </c>
      <c r="BL12" s="745" t="s">
        <v>677</v>
      </c>
      <c r="BM12" s="735"/>
      <c r="BN12" s="748" t="s">
        <v>679</v>
      </c>
      <c r="BO12" s="751">
        <f ca="1">SUMIF('3.Inc &amp; Exp per Function'!$D11:$D1110,'5.Cons and detailed recon'!AU12,'3.Inc &amp; Exp per Function'!$V11:$V1109)</f>
        <v>0</v>
      </c>
      <c r="BP12" s="751">
        <f ca="1">SUMIF('3.Inc &amp; Exp per Function'!$D11:$D1110,'5.Cons and detailed recon'!AV12,'3.Inc &amp; Exp per Function'!$V11:$V1109)</f>
        <v>0</v>
      </c>
      <c r="BQ12" s="751">
        <f ca="1">SUMIF('3.Inc &amp; Exp per Function'!$D11:$D1110,'5.Cons and detailed recon'!AW12,'3.Inc &amp; Exp per Function'!$V11:$V1109)</f>
        <v>0</v>
      </c>
      <c r="BR12" s="413">
        <f t="shared" ca="1" si="6"/>
        <v>0</v>
      </c>
      <c r="BS12" s="751">
        <f ca="1">SUMIF('3.Inc &amp; Exp per Function'!$D11:$D1110,'5.Cons and detailed recon'!AX12,'3.Inc &amp; Exp per Function'!$V11:$V1109)</f>
        <v>0</v>
      </c>
      <c r="BT12" s="751">
        <f ca="1">SUMIF('3.Inc &amp; Exp per Function'!$D11:$D1110,'5.Cons and detailed recon'!AY12,'3.Inc &amp; Exp per Function'!$V11:$V1109)</f>
        <v>0</v>
      </c>
      <c r="BU12" s="751">
        <f ca="1">SUMIF('3.Inc &amp; Exp per Function'!$D11:$D1110,'5.Cons and detailed recon'!AZ12,'3.Inc &amp; Exp per Function'!$V11:$V1109)</f>
        <v>0</v>
      </c>
      <c r="BV12" s="751">
        <f ca="1">SUMIF('3.Inc &amp; Exp per Function'!$D11:$D1110,'5.Cons and detailed recon'!BA12,'3.Inc &amp; Exp per Function'!$V11:$V1109)</f>
        <v>0</v>
      </c>
      <c r="BW12" s="751">
        <f ca="1">SUMIF('3.Inc &amp; Exp per Function'!$D11:$D1110,'5.Cons and detailed recon'!BB12,'3.Inc &amp; Exp per Function'!$V11:$V1109)</f>
        <v>0</v>
      </c>
      <c r="BX12" s="751">
        <f ca="1">SUMIF('3.Inc &amp; Exp per Function'!$D11:$D1110,'5.Cons and detailed recon'!BC12,'3.Inc &amp; Exp per Function'!$V11:$V1109)</f>
        <v>0</v>
      </c>
      <c r="BY12" s="751">
        <f ca="1">SUMIF('3.Inc &amp; Exp per Function'!$D11:$D1110,'5.Cons and detailed recon'!BD12,'3.Inc &amp; Exp per Function'!$V11:$V1109)</f>
        <v>0</v>
      </c>
      <c r="BZ12" s="751">
        <f ca="1">SUMIF('3.Inc &amp; Exp per Function'!$D11:$D1110,'5.Cons and detailed recon'!BE12,'3.Inc &amp; Exp per Function'!$V11:$V1109)</f>
        <v>0</v>
      </c>
      <c r="CA12" s="751">
        <f ca="1">SUMIF('3.Inc &amp; Exp per Function'!$D11:$D1110,'5.Cons and detailed recon'!BF12,'3.Inc &amp; Exp per Function'!$V11:$V1109)</f>
        <v>0</v>
      </c>
      <c r="CB12" s="413">
        <f t="shared" ca="1" si="7"/>
        <v>0</v>
      </c>
      <c r="CC12" s="751">
        <f ca="1">SUMIF('3.Inc &amp; Exp per Function'!$D11:$D1110,'5.Cons and detailed recon'!BG12,'3.Inc &amp; Exp per Function'!$V11:$V1109)</f>
        <v>0</v>
      </c>
      <c r="CD12" s="751">
        <f ca="1">SUMIF('3.Inc &amp; Exp per Function'!$D11:$D1110,'5.Cons and detailed recon'!BH12,'3.Inc &amp; Exp per Function'!$V11:$V1109)</f>
        <v>0</v>
      </c>
      <c r="CE12" s="751">
        <f ca="1">SUMIF('3.Inc &amp; Exp per Function'!$D11:$D1110,'5.Cons and detailed recon'!BI12,'3.Inc &amp; Exp per Function'!$V11:$V1109)</f>
        <v>54013533</v>
      </c>
      <c r="CF12" s="751">
        <f ca="1">SUMIF('3.Inc &amp; Exp per Function'!$D11:$D1110,'5.Cons and detailed recon'!BJ12,'3.Inc &amp; Exp per Function'!$V11:$V1109)</f>
        <v>0</v>
      </c>
      <c r="CG12" s="748">
        <f t="shared" ca="1" si="8"/>
        <v>54013533</v>
      </c>
      <c r="CH12" s="794"/>
      <c r="CI12" s="791">
        <f t="shared" ca="1" si="9"/>
        <v>54013533</v>
      </c>
      <c r="CJ12" s="411">
        <f>SUMIF('4.Inc &amp; Exp Summary'!A:A,'5.Cons and detailed recon'!R12,'4.Inc &amp; Exp Summary'!M:M)</f>
        <v>54013533</v>
      </c>
      <c r="CK12" s="415">
        <f t="shared" ca="1" si="17"/>
        <v>0</v>
      </c>
      <c r="CL12" s="720"/>
      <c r="CM12" s="730"/>
      <c r="CO12" s="398" t="str">
        <f t="shared" si="10"/>
        <v>Executive and Council0500</v>
      </c>
      <c r="CP12" s="398" t="str">
        <f t="shared" si="10"/>
        <v>Finance and administration0500</v>
      </c>
      <c r="CQ12" s="398" t="str">
        <f t="shared" si="10"/>
        <v>Internal audit0500</v>
      </c>
      <c r="CR12" s="398" t="str">
        <f t="shared" si="10"/>
        <v>Community and social services0500</v>
      </c>
      <c r="CS12" s="398" t="str">
        <f t="shared" si="10"/>
        <v>Sport and recreation0500</v>
      </c>
      <c r="CT12" s="398" t="str">
        <f t="shared" si="10"/>
        <v>Public safety0500</v>
      </c>
      <c r="CU12" s="398" t="str">
        <f t="shared" si="10"/>
        <v>Housing0500</v>
      </c>
      <c r="CV12" s="398" t="str">
        <f t="shared" si="10"/>
        <v>Health0500</v>
      </c>
      <c r="CW12" s="398" t="str">
        <f t="shared" si="10"/>
        <v>Planning and development0500</v>
      </c>
      <c r="CX12" s="398" t="str">
        <f t="shared" si="10"/>
        <v>Road transport0500</v>
      </c>
      <c r="CY12" s="398" t="str">
        <f t="shared" si="10"/>
        <v>Environmental protection0500</v>
      </c>
      <c r="CZ12" s="398" t="str">
        <f t="shared" si="10"/>
        <v>Other0500</v>
      </c>
      <c r="DA12" s="398" t="str">
        <f t="shared" si="10"/>
        <v>Energy sources0500</v>
      </c>
      <c r="DB12" s="398" t="str">
        <f t="shared" si="10"/>
        <v>Water management0500</v>
      </c>
      <c r="DC12" s="398" t="str">
        <f t="shared" si="10"/>
        <v>Waste water management0500</v>
      </c>
      <c r="DD12" s="398" t="str">
        <f t="shared" si="10"/>
        <v>Waste management0500</v>
      </c>
      <c r="DE12" s="745" t="s">
        <v>677</v>
      </c>
      <c r="DF12" s="745" t="s">
        <v>677</v>
      </c>
      <c r="DG12" s="735"/>
      <c r="DH12" s="748" t="s">
        <v>679</v>
      </c>
      <c r="DI12" s="751">
        <f ca="1">SUMIF('3.Inc &amp; Exp per Function'!$D11:$D1110,'5.Cons and detailed recon'!CO12,'3.Inc &amp; Exp per Function'!$W11:$W1109)</f>
        <v>0</v>
      </c>
      <c r="DJ12" s="751">
        <f ca="1">SUMIF('3.Inc &amp; Exp per Function'!$D11:$D1110,'5.Cons and detailed recon'!CP12,'3.Inc &amp; Exp per Function'!$W11:$W1109)</f>
        <v>0</v>
      </c>
      <c r="DK12" s="751">
        <f ca="1">SUMIF('3.Inc &amp; Exp per Function'!$D11:$D1110,'5.Cons and detailed recon'!CQ12,'3.Inc &amp; Exp per Function'!$W11:$W1109)</f>
        <v>0</v>
      </c>
      <c r="DL12" s="413">
        <f t="shared" ca="1" si="11"/>
        <v>0</v>
      </c>
      <c r="DM12" s="751">
        <f ca="1">SUMIF('3.Inc &amp; Exp per Function'!$D11:$D1110,'5.Cons and detailed recon'!CR12,'3.Inc &amp; Exp per Function'!$W11:$W1109)</f>
        <v>0</v>
      </c>
      <c r="DN12" s="751">
        <f ca="1">SUMIF('3.Inc &amp; Exp per Function'!$D11:$D1110,'5.Cons and detailed recon'!CS12,'3.Inc &amp; Exp per Function'!$W11:$W1109)</f>
        <v>0</v>
      </c>
      <c r="DO12" s="751">
        <f ca="1">SUMIF('3.Inc &amp; Exp per Function'!$D11:$D1110,'5.Cons and detailed recon'!CT12,'3.Inc &amp; Exp per Function'!$W11:$W1109)</f>
        <v>0</v>
      </c>
      <c r="DP12" s="751">
        <f ca="1">SUMIF('3.Inc &amp; Exp per Function'!$D11:$D1110,'5.Cons and detailed recon'!CU12,'3.Inc &amp; Exp per Function'!$W11:$W1109)</f>
        <v>0</v>
      </c>
      <c r="DQ12" s="751">
        <f ca="1">SUMIF('3.Inc &amp; Exp per Function'!$D11:$D1110,'5.Cons and detailed recon'!CV12,'3.Inc &amp; Exp per Function'!$W11:$W1109)</f>
        <v>0</v>
      </c>
      <c r="DR12" s="751">
        <f ca="1">SUMIF('3.Inc &amp; Exp per Function'!$D11:$D1110,'5.Cons and detailed recon'!CW12,'3.Inc &amp; Exp per Function'!$W11:$W1109)</f>
        <v>0</v>
      </c>
      <c r="DS12" s="751">
        <f ca="1">SUMIF('3.Inc &amp; Exp per Function'!$D11:$D1110,'5.Cons and detailed recon'!CX12,'3.Inc &amp; Exp per Function'!$W11:$W1109)</f>
        <v>0</v>
      </c>
      <c r="DT12" s="751">
        <f ca="1">SUMIF('3.Inc &amp; Exp per Function'!$D11:$D1110,'5.Cons and detailed recon'!CY12,'3.Inc &amp; Exp per Function'!$W11:$W1109)</f>
        <v>0</v>
      </c>
      <c r="DU12" s="751">
        <f ca="1">SUMIF('3.Inc &amp; Exp per Function'!$D11:$D1110,'5.Cons and detailed recon'!CZ12,'3.Inc &amp; Exp per Function'!$W11:$W1109)</f>
        <v>0</v>
      </c>
      <c r="DV12" s="413">
        <f t="shared" ca="1" si="12"/>
        <v>0</v>
      </c>
      <c r="DW12" s="751">
        <f ca="1">SUMIF('3.Inc &amp; Exp per Function'!$D11:$D1110,'5.Cons and detailed recon'!DA12,'3.Inc &amp; Exp per Function'!$W11:$W1109)</f>
        <v>0</v>
      </c>
      <c r="DX12" s="751">
        <f ca="1">SUMIF('3.Inc &amp; Exp per Function'!$D11:$D1110,'5.Cons and detailed recon'!DB12,'3.Inc &amp; Exp per Function'!$W11:$W1109)</f>
        <v>0</v>
      </c>
      <c r="DY12" s="751">
        <f ca="1">SUMIF('3.Inc &amp; Exp per Function'!$D11:$D1110,'5.Cons and detailed recon'!DC12,'3.Inc &amp; Exp per Function'!$W11:$W1109)</f>
        <v>55741966</v>
      </c>
      <c r="DZ12" s="751">
        <f ca="1">SUMIF('3.Inc &amp; Exp per Function'!$D11:$D1110,'5.Cons and detailed recon'!DD12,'3.Inc &amp; Exp per Function'!$W11:$W1109)</f>
        <v>0</v>
      </c>
      <c r="EA12" s="748">
        <f t="shared" ca="1" si="13"/>
        <v>55741966</v>
      </c>
      <c r="EB12" s="794"/>
      <c r="EC12" s="791">
        <f t="shared" ca="1" si="14"/>
        <v>55741966</v>
      </c>
      <c r="ED12" s="414">
        <f>SUMIF('4.Inc &amp; Exp Summary'!A:A,'5.Cons and detailed recon'!DF12,'4.Inc &amp; Exp Summary'!N:N)</f>
        <v>55741966.055999994</v>
      </c>
      <c r="EE12" s="415">
        <f t="shared" ca="1" si="15"/>
        <v>-5.5999994277954102E-2</v>
      </c>
      <c r="EF12" s="720"/>
      <c r="EG12" s="980"/>
      <c r="EH12" s="980"/>
      <c r="EI12" s="980"/>
      <c r="EJ12" s="980"/>
      <c r="EK12" s="980"/>
      <c r="EL12" s="980"/>
      <c r="EM12" s="980"/>
      <c r="EN12" s="980"/>
      <c r="EO12" s="980"/>
      <c r="EP12" s="980"/>
      <c r="EQ12" s="980"/>
      <c r="ER12" s="980"/>
      <c r="ES12" s="980"/>
      <c r="ET12" s="980"/>
      <c r="EU12" s="980"/>
      <c r="EV12" s="980"/>
      <c r="EW12" s="980"/>
      <c r="EX12" s="980"/>
      <c r="EY12" s="980"/>
      <c r="EZ12" s="980"/>
      <c r="FA12" s="980"/>
      <c r="FB12" s="980"/>
      <c r="FC12" s="980"/>
      <c r="FD12" s="980"/>
      <c r="FE12" s="980"/>
      <c r="FF12" s="980"/>
      <c r="FG12" s="980"/>
      <c r="FH12" s="980"/>
      <c r="FI12" s="980"/>
      <c r="FJ12" s="980"/>
      <c r="FK12" s="980"/>
      <c r="FL12" s="980"/>
      <c r="FM12" s="980"/>
      <c r="FN12" s="980"/>
      <c r="FO12" s="980"/>
      <c r="FP12" s="980"/>
      <c r="FQ12" s="980"/>
      <c r="FR12" s="980"/>
      <c r="FS12" s="980"/>
      <c r="FT12" s="980"/>
      <c r="FU12" s="980"/>
      <c r="FV12" s="980"/>
      <c r="FW12" s="980"/>
      <c r="FX12" s="980"/>
      <c r="FY12" s="980"/>
      <c r="FZ12" s="980"/>
      <c r="GA12" s="980"/>
      <c r="GB12" s="980"/>
      <c r="GC12" s="980"/>
      <c r="GD12" s="980"/>
      <c r="GE12" s="980"/>
      <c r="GF12" s="980"/>
      <c r="GG12" s="980"/>
      <c r="GH12" s="980"/>
      <c r="GI12" s="980"/>
      <c r="GJ12" s="980"/>
      <c r="GK12" s="980"/>
      <c r="GL12" s="980"/>
      <c r="GM12" s="980"/>
      <c r="GN12" s="980"/>
      <c r="GO12" s="980"/>
      <c r="GP12" s="980"/>
      <c r="GQ12" s="980"/>
      <c r="GR12" s="980"/>
      <c r="GS12" s="980"/>
      <c r="GT12" s="980"/>
      <c r="GU12" s="980"/>
      <c r="GV12" s="980"/>
      <c r="GW12" s="980"/>
      <c r="GX12" s="980"/>
      <c r="GY12" s="980"/>
      <c r="GZ12" s="980"/>
      <c r="HA12" s="980"/>
      <c r="HB12" s="980"/>
      <c r="HC12" s="980"/>
      <c r="HD12" s="980"/>
      <c r="HE12" s="980"/>
      <c r="HF12" s="980"/>
      <c r="HG12" s="980"/>
      <c r="HH12" s="980"/>
      <c r="HI12" s="980"/>
      <c r="HJ12" s="980"/>
      <c r="HK12" s="980"/>
      <c r="HL12" s="980"/>
      <c r="HM12" s="980"/>
      <c r="HN12" s="980"/>
      <c r="HO12" s="980"/>
      <c r="HP12" s="980"/>
      <c r="HQ12" s="980"/>
      <c r="HR12" s="980"/>
      <c r="HS12" s="980"/>
      <c r="HT12" s="980"/>
      <c r="HU12" s="980"/>
      <c r="HV12" s="980"/>
      <c r="HW12" s="980"/>
      <c r="HX12" s="980"/>
      <c r="HY12" s="980"/>
      <c r="HZ12" s="980"/>
      <c r="IA12" s="980"/>
      <c r="IB12" s="980"/>
      <c r="IC12" s="980"/>
      <c r="ID12" s="980"/>
      <c r="IE12" s="980"/>
      <c r="IF12" s="980"/>
      <c r="IG12" s="980"/>
      <c r="IH12" s="980"/>
      <c r="II12" s="980"/>
      <c r="IJ12" s="980"/>
      <c r="IK12" s="980"/>
      <c r="IL12" s="980"/>
      <c r="IM12" s="980"/>
      <c r="IN12" s="980"/>
      <c r="IO12" s="980"/>
      <c r="IP12" s="980"/>
      <c r="IQ12" s="980"/>
      <c r="IR12" s="980"/>
      <c r="IS12" s="980"/>
      <c r="IT12" s="980"/>
      <c r="IU12" s="980"/>
      <c r="IV12" s="980"/>
    </row>
    <row r="13" spans="1:256" s="409" customFormat="1" ht="12" customHeight="1" x14ac:dyDescent="0.55000000000000004">
      <c r="A13" s="398" t="str">
        <f t="shared" si="1"/>
        <v>Executive and Council0600</v>
      </c>
      <c r="B13" s="398" t="str">
        <f t="shared" si="2"/>
        <v>Finance and administration0600</v>
      </c>
      <c r="C13" s="398" t="str">
        <f t="shared" si="2"/>
        <v>Internal audit0600</v>
      </c>
      <c r="D13" s="398" t="str">
        <f t="shared" si="2"/>
        <v>Community and social services0600</v>
      </c>
      <c r="E13" s="398" t="str">
        <f t="shared" si="2"/>
        <v>Sport and recreation0600</v>
      </c>
      <c r="F13" s="398" t="str">
        <f t="shared" si="2"/>
        <v>Public safety0600</v>
      </c>
      <c r="G13" s="398" t="str">
        <f t="shared" si="2"/>
        <v>Housing0600</v>
      </c>
      <c r="H13" s="398" t="str">
        <f t="shared" si="2"/>
        <v>Health0600</v>
      </c>
      <c r="I13" s="398" t="str">
        <f t="shared" si="2"/>
        <v>Planning and development0600</v>
      </c>
      <c r="J13" s="398" t="str">
        <f t="shared" si="2"/>
        <v>Road transport0600</v>
      </c>
      <c r="K13" s="398" t="str">
        <f t="shared" si="2"/>
        <v>Environmental protection0600</v>
      </c>
      <c r="L13" s="398" t="str">
        <f t="shared" si="2"/>
        <v>Other0600</v>
      </c>
      <c r="M13" s="398" t="str">
        <f t="shared" si="2"/>
        <v>Energy sources0600</v>
      </c>
      <c r="N13" s="398" t="str">
        <f t="shared" si="2"/>
        <v>Water management0600</v>
      </c>
      <c r="O13" s="398" t="str">
        <f t="shared" si="2"/>
        <v>Waste water management0600</v>
      </c>
      <c r="P13" s="398" t="str">
        <f t="shared" si="2"/>
        <v>Waste management0600</v>
      </c>
      <c r="Q13" s="745" t="s">
        <v>680</v>
      </c>
      <c r="R13" s="745" t="s">
        <v>680</v>
      </c>
      <c r="S13" s="994"/>
      <c r="T13" s="748" t="s">
        <v>682</v>
      </c>
      <c r="U13" s="804">
        <f ca="1">SUMIF('3.Inc &amp; Exp per Function'!$D12:$D1111,'5.Cons and detailed recon'!A13,'3.Inc &amp; Exp per Function'!$U12:$U1110)</f>
        <v>0</v>
      </c>
      <c r="V13" s="804">
        <f ca="1">SUMIF('3.Inc &amp; Exp per Function'!$D12:$D1111,'5.Cons and detailed recon'!B13,'3.Inc &amp; Exp per Function'!$U12:$U1110)</f>
        <v>0</v>
      </c>
      <c r="W13" s="804">
        <f ca="1">SUMIF('3.Inc &amp; Exp per Function'!$D12:$D1111,'5.Cons and detailed recon'!C13,'3.Inc &amp; Exp per Function'!$U12:$U1110)</f>
        <v>0</v>
      </c>
      <c r="X13" s="413">
        <f t="shared" ca="1" si="16"/>
        <v>0</v>
      </c>
      <c r="Y13" s="1326">
        <f ca="1">SUMIF('3.Inc &amp; Exp per Function'!$D12:$D1111,'5.Cons and detailed recon'!D13,'3.Inc &amp; Exp per Function'!$U12:$U1110)</f>
        <v>0</v>
      </c>
      <c r="Z13" s="1326">
        <f ca="1">SUMIF('3.Inc &amp; Exp per Function'!$D12:$D1111,'5.Cons and detailed recon'!E13,'3.Inc &amp; Exp per Function'!$U12:$U1110)</f>
        <v>0</v>
      </c>
      <c r="AA13" s="1326">
        <f ca="1">SUMIF('3.Inc &amp; Exp per Function'!$D12:$D1111,'5.Cons and detailed recon'!F13,'3.Inc &amp; Exp per Function'!$U12:$U1110)</f>
        <v>0</v>
      </c>
      <c r="AB13" s="1326">
        <f ca="1">SUMIF('3.Inc &amp; Exp per Function'!$D12:$D1111,'5.Cons and detailed recon'!G13,'3.Inc &amp; Exp per Function'!$U12:$U1110)</f>
        <v>0</v>
      </c>
      <c r="AC13" s="1326">
        <f ca="1">SUMIF('3.Inc &amp; Exp per Function'!$D12:$D1111,'5.Cons and detailed recon'!H13,'3.Inc &amp; Exp per Function'!$U12:$U1110)</f>
        <v>0</v>
      </c>
      <c r="AD13" s="1326">
        <f ca="1">SUMIF('3.Inc &amp; Exp per Function'!$D12:$D1111,'5.Cons and detailed recon'!I13,'3.Inc &amp; Exp per Function'!$U12:$U1110)</f>
        <v>0</v>
      </c>
      <c r="AE13" s="1326">
        <f ca="1">SUMIF('3.Inc &amp; Exp per Function'!$D12:$D1111,'5.Cons and detailed recon'!J13,'3.Inc &amp; Exp per Function'!$U12:$U1110)</f>
        <v>0</v>
      </c>
      <c r="AF13" s="1326">
        <f ca="1">SUMIF('3.Inc &amp; Exp per Function'!$D12:$D1111,'5.Cons and detailed recon'!K13,'3.Inc &amp; Exp per Function'!$U12:$U1110)</f>
        <v>0</v>
      </c>
      <c r="AG13" s="1326">
        <f ca="1">SUMIF('3.Inc &amp; Exp per Function'!$D12:$D1111,'5.Cons and detailed recon'!L13,'3.Inc &amp; Exp per Function'!$U12:$U1110)</f>
        <v>0</v>
      </c>
      <c r="AH13" s="413">
        <f t="shared" ca="1" si="3"/>
        <v>0</v>
      </c>
      <c r="AI13" s="804">
        <f ca="1">SUMIF('3.Inc &amp; Exp per Function'!$D12:$D1111,'5.Cons and detailed recon'!M13,'3.Inc &amp; Exp per Function'!$U12:$U1110)</f>
        <v>0</v>
      </c>
      <c r="AJ13" s="804">
        <f ca="1">SUMIF('3.Inc &amp; Exp per Function'!$D12:$D1111,'5.Cons and detailed recon'!N13,'3.Inc &amp; Exp per Function'!$U12:$U1110)</f>
        <v>0</v>
      </c>
      <c r="AK13" s="804">
        <f ca="1">SUMIF('3.Inc &amp; Exp per Function'!$D12:$D1111,'5.Cons and detailed recon'!O13,'3.Inc &amp; Exp per Function'!$U12:$U1110)</f>
        <v>0</v>
      </c>
      <c r="AL13" s="804">
        <f ca="1">SUMIF('3.Inc &amp; Exp per Function'!$D12:$D1111,'5.Cons and detailed recon'!P13,'3.Inc &amp; Exp per Function'!$U12:$U1110)</f>
        <v>52158077</v>
      </c>
      <c r="AM13" s="748">
        <f t="shared" ca="1" si="0"/>
        <v>52158077</v>
      </c>
      <c r="AN13" s="794"/>
      <c r="AO13" s="791">
        <f t="shared" ca="1" si="18"/>
        <v>52158077</v>
      </c>
      <c r="AP13" s="414">
        <f>SUMIF('4.Inc &amp; Exp Summary'!A:A,'5.Cons and detailed recon'!R13,'4.Inc &amp; Exp Summary'!L:L)</f>
        <v>52158077</v>
      </c>
      <c r="AQ13" s="415">
        <f t="shared" ca="1" si="4"/>
        <v>0</v>
      </c>
      <c r="AR13" s="720"/>
      <c r="AS13" s="730"/>
      <c r="AT13" s="408"/>
      <c r="AU13" s="398" t="str">
        <f t="shared" si="5"/>
        <v>Executive and Council0600</v>
      </c>
      <c r="AV13" s="398" t="str">
        <f t="shared" si="5"/>
        <v>Finance and administration0600</v>
      </c>
      <c r="AW13" s="398" t="str">
        <f t="shared" si="5"/>
        <v>Internal audit0600</v>
      </c>
      <c r="AX13" s="398" t="str">
        <f t="shared" si="5"/>
        <v>Community and social services0600</v>
      </c>
      <c r="AY13" s="398" t="str">
        <f t="shared" si="5"/>
        <v>Sport and recreation0600</v>
      </c>
      <c r="AZ13" s="398" t="str">
        <f t="shared" si="5"/>
        <v>Public safety0600</v>
      </c>
      <c r="BA13" s="398" t="str">
        <f t="shared" si="5"/>
        <v>Housing0600</v>
      </c>
      <c r="BB13" s="398" t="str">
        <f t="shared" si="5"/>
        <v>Health0600</v>
      </c>
      <c r="BC13" s="398" t="str">
        <f t="shared" si="5"/>
        <v>Planning and development0600</v>
      </c>
      <c r="BD13" s="398" t="str">
        <f t="shared" si="5"/>
        <v>Road transport0600</v>
      </c>
      <c r="BE13" s="398" t="str">
        <f t="shared" si="5"/>
        <v>Environmental protection0600</v>
      </c>
      <c r="BF13" s="398" t="str">
        <f t="shared" si="5"/>
        <v>Other0600</v>
      </c>
      <c r="BG13" s="398" t="str">
        <f t="shared" si="5"/>
        <v>Energy sources0600</v>
      </c>
      <c r="BH13" s="398" t="str">
        <f t="shared" si="5"/>
        <v>Water management0600</v>
      </c>
      <c r="BI13" s="398" t="str">
        <f t="shared" si="5"/>
        <v>Waste water management0600</v>
      </c>
      <c r="BJ13" s="398" t="str">
        <f t="shared" si="5"/>
        <v>Waste management0600</v>
      </c>
      <c r="BK13" s="745" t="s">
        <v>680</v>
      </c>
      <c r="BL13" s="745" t="s">
        <v>680</v>
      </c>
      <c r="BM13" s="735"/>
      <c r="BN13" s="748" t="s">
        <v>682</v>
      </c>
      <c r="BO13" s="751">
        <f ca="1">SUMIF('3.Inc &amp; Exp per Function'!$D12:$D1111,'5.Cons and detailed recon'!AU13,'3.Inc &amp; Exp per Function'!$V12:$V1110)</f>
        <v>0</v>
      </c>
      <c r="BP13" s="751">
        <f ca="1">SUMIF('3.Inc &amp; Exp per Function'!$D12:$D1111,'5.Cons and detailed recon'!AV13,'3.Inc &amp; Exp per Function'!$V12:$V1110)</f>
        <v>0</v>
      </c>
      <c r="BQ13" s="751">
        <f ca="1">SUMIF('3.Inc &amp; Exp per Function'!$D12:$D1111,'5.Cons and detailed recon'!AW13,'3.Inc &amp; Exp per Function'!$V12:$V1110)</f>
        <v>0</v>
      </c>
      <c r="BR13" s="413">
        <f t="shared" ca="1" si="6"/>
        <v>0</v>
      </c>
      <c r="BS13" s="751">
        <f ca="1">SUMIF('3.Inc &amp; Exp per Function'!$D12:$D1111,'5.Cons and detailed recon'!AX13,'3.Inc &amp; Exp per Function'!$V12:$V1110)</f>
        <v>0</v>
      </c>
      <c r="BT13" s="751">
        <f ca="1">SUMIF('3.Inc &amp; Exp per Function'!$D12:$D1111,'5.Cons and detailed recon'!AY13,'3.Inc &amp; Exp per Function'!$V12:$V1110)</f>
        <v>0</v>
      </c>
      <c r="BU13" s="751">
        <f ca="1">SUMIF('3.Inc &amp; Exp per Function'!$D12:$D1111,'5.Cons and detailed recon'!AZ13,'3.Inc &amp; Exp per Function'!$V12:$V1110)</f>
        <v>0</v>
      </c>
      <c r="BV13" s="751">
        <f ca="1">SUMIF('3.Inc &amp; Exp per Function'!$D12:$D1111,'5.Cons and detailed recon'!BA13,'3.Inc &amp; Exp per Function'!$V12:$V1110)</f>
        <v>0</v>
      </c>
      <c r="BW13" s="751">
        <f ca="1">SUMIF('3.Inc &amp; Exp per Function'!$D12:$D1111,'5.Cons and detailed recon'!BB13,'3.Inc &amp; Exp per Function'!$V12:$V1110)</f>
        <v>0</v>
      </c>
      <c r="BX13" s="751">
        <f ca="1">SUMIF('3.Inc &amp; Exp per Function'!$D12:$D1111,'5.Cons and detailed recon'!BC13,'3.Inc &amp; Exp per Function'!$V12:$V1110)</f>
        <v>0</v>
      </c>
      <c r="BY13" s="751">
        <f ca="1">SUMIF('3.Inc &amp; Exp per Function'!$D12:$D1111,'5.Cons and detailed recon'!BD13,'3.Inc &amp; Exp per Function'!$V12:$V1110)</f>
        <v>0</v>
      </c>
      <c r="BZ13" s="751">
        <f ca="1">SUMIF('3.Inc &amp; Exp per Function'!$D12:$D1111,'5.Cons and detailed recon'!BE13,'3.Inc &amp; Exp per Function'!$V12:$V1110)</f>
        <v>0</v>
      </c>
      <c r="CA13" s="751">
        <f ca="1">SUMIF('3.Inc &amp; Exp per Function'!$D12:$D1111,'5.Cons and detailed recon'!BF13,'3.Inc &amp; Exp per Function'!$V12:$V1110)</f>
        <v>0</v>
      </c>
      <c r="CB13" s="413">
        <f t="shared" ca="1" si="7"/>
        <v>0</v>
      </c>
      <c r="CC13" s="751">
        <f ca="1">SUMIF('3.Inc &amp; Exp per Function'!$D12:$D1111,'5.Cons and detailed recon'!BG13,'3.Inc &amp; Exp per Function'!$V12:$V1110)</f>
        <v>0</v>
      </c>
      <c r="CD13" s="751">
        <f ca="1">SUMIF('3.Inc &amp; Exp per Function'!$D12:$D1111,'5.Cons and detailed recon'!BH13,'3.Inc &amp; Exp per Function'!$V12:$V1110)</f>
        <v>0</v>
      </c>
      <c r="CE13" s="751">
        <f ca="1">SUMIF('3.Inc &amp; Exp per Function'!$D12:$D1111,'5.Cons and detailed recon'!BI13,'3.Inc &amp; Exp per Function'!$V12:$V1110)</f>
        <v>0</v>
      </c>
      <c r="CF13" s="751">
        <f ca="1">SUMIF('3.Inc &amp; Exp per Function'!$D12:$D1111,'5.Cons and detailed recon'!BJ13,'3.Inc &amp; Exp per Function'!$V12:$V1110)</f>
        <v>53931452</v>
      </c>
      <c r="CG13" s="748">
        <f t="shared" ca="1" si="8"/>
        <v>53931452</v>
      </c>
      <c r="CH13" s="794"/>
      <c r="CI13" s="791">
        <f t="shared" ca="1" si="9"/>
        <v>53931452</v>
      </c>
      <c r="CJ13" s="411">
        <f>SUMIF('4.Inc &amp; Exp Summary'!A:A,'5.Cons and detailed recon'!R13,'4.Inc &amp; Exp Summary'!M:M)</f>
        <v>53931452</v>
      </c>
      <c r="CK13" s="415">
        <f t="shared" ca="1" si="17"/>
        <v>0</v>
      </c>
      <c r="CL13" s="720"/>
      <c r="CM13" s="730"/>
      <c r="CO13" s="398" t="str">
        <f t="shared" si="10"/>
        <v>Executive and Council0600</v>
      </c>
      <c r="CP13" s="398" t="str">
        <f t="shared" si="10"/>
        <v>Finance and administration0600</v>
      </c>
      <c r="CQ13" s="398" t="str">
        <f t="shared" si="10"/>
        <v>Internal audit0600</v>
      </c>
      <c r="CR13" s="398" t="str">
        <f t="shared" si="10"/>
        <v>Community and social services0600</v>
      </c>
      <c r="CS13" s="398" t="str">
        <f t="shared" si="10"/>
        <v>Sport and recreation0600</v>
      </c>
      <c r="CT13" s="398" t="str">
        <f t="shared" si="10"/>
        <v>Public safety0600</v>
      </c>
      <c r="CU13" s="398" t="str">
        <f t="shared" si="10"/>
        <v>Housing0600</v>
      </c>
      <c r="CV13" s="398" t="str">
        <f t="shared" si="10"/>
        <v>Health0600</v>
      </c>
      <c r="CW13" s="398" t="str">
        <f t="shared" si="10"/>
        <v>Planning and development0600</v>
      </c>
      <c r="CX13" s="398" t="str">
        <f t="shared" si="10"/>
        <v>Road transport0600</v>
      </c>
      <c r="CY13" s="398" t="str">
        <f t="shared" si="10"/>
        <v>Environmental protection0600</v>
      </c>
      <c r="CZ13" s="398" t="str">
        <f t="shared" si="10"/>
        <v>Other0600</v>
      </c>
      <c r="DA13" s="398" t="str">
        <f t="shared" si="10"/>
        <v>Energy sources0600</v>
      </c>
      <c r="DB13" s="398" t="str">
        <f t="shared" si="10"/>
        <v>Water management0600</v>
      </c>
      <c r="DC13" s="398" t="str">
        <f t="shared" si="10"/>
        <v>Waste water management0600</v>
      </c>
      <c r="DD13" s="398" t="str">
        <f t="shared" si="10"/>
        <v>Waste management0600</v>
      </c>
      <c r="DE13" s="745" t="s">
        <v>680</v>
      </c>
      <c r="DF13" s="745" t="s">
        <v>680</v>
      </c>
      <c r="DG13" s="735"/>
      <c r="DH13" s="748" t="s">
        <v>682</v>
      </c>
      <c r="DI13" s="751">
        <f ca="1">SUMIF('3.Inc &amp; Exp per Function'!$D12:$D1111,'5.Cons and detailed recon'!CO13,'3.Inc &amp; Exp per Function'!$W12:$W1110)</f>
        <v>0</v>
      </c>
      <c r="DJ13" s="751">
        <f ca="1">SUMIF('3.Inc &amp; Exp per Function'!$D12:$D1111,'5.Cons and detailed recon'!CP13,'3.Inc &amp; Exp per Function'!$W12:$W1110)</f>
        <v>0</v>
      </c>
      <c r="DK13" s="751">
        <f ca="1">SUMIF('3.Inc &amp; Exp per Function'!$D12:$D1111,'5.Cons and detailed recon'!CQ13,'3.Inc &amp; Exp per Function'!$W12:$W1110)</f>
        <v>0</v>
      </c>
      <c r="DL13" s="413">
        <f t="shared" ca="1" si="11"/>
        <v>0</v>
      </c>
      <c r="DM13" s="751">
        <f ca="1">SUMIF('3.Inc &amp; Exp per Function'!$D12:$D1111,'5.Cons and detailed recon'!CR13,'3.Inc &amp; Exp per Function'!$W12:$W1110)</f>
        <v>0</v>
      </c>
      <c r="DN13" s="751">
        <f ca="1">SUMIF('3.Inc &amp; Exp per Function'!$D12:$D1111,'5.Cons and detailed recon'!CS13,'3.Inc &amp; Exp per Function'!$W12:$W1110)</f>
        <v>0</v>
      </c>
      <c r="DO13" s="751">
        <f ca="1">SUMIF('3.Inc &amp; Exp per Function'!$D12:$D1111,'5.Cons and detailed recon'!CT13,'3.Inc &amp; Exp per Function'!$W12:$W1110)</f>
        <v>0</v>
      </c>
      <c r="DP13" s="751">
        <f ca="1">SUMIF('3.Inc &amp; Exp per Function'!$D12:$D1111,'5.Cons and detailed recon'!CU13,'3.Inc &amp; Exp per Function'!$W12:$W1110)</f>
        <v>0</v>
      </c>
      <c r="DQ13" s="751">
        <f ca="1">SUMIF('3.Inc &amp; Exp per Function'!$D12:$D1111,'5.Cons and detailed recon'!CV13,'3.Inc &amp; Exp per Function'!$W12:$W1110)</f>
        <v>0</v>
      </c>
      <c r="DR13" s="751">
        <f ca="1">SUMIF('3.Inc &amp; Exp per Function'!$D12:$D1111,'5.Cons and detailed recon'!CW13,'3.Inc &amp; Exp per Function'!$W12:$W1110)</f>
        <v>0</v>
      </c>
      <c r="DS13" s="751">
        <f ca="1">SUMIF('3.Inc &amp; Exp per Function'!$D12:$D1111,'5.Cons and detailed recon'!CX13,'3.Inc &amp; Exp per Function'!$W12:$W1110)</f>
        <v>0</v>
      </c>
      <c r="DT13" s="751">
        <f ca="1">SUMIF('3.Inc &amp; Exp per Function'!$D12:$D1111,'5.Cons and detailed recon'!CY13,'3.Inc &amp; Exp per Function'!$W12:$W1110)</f>
        <v>0</v>
      </c>
      <c r="DU13" s="751">
        <f ca="1">SUMIF('3.Inc &amp; Exp per Function'!$D12:$D1111,'5.Cons and detailed recon'!CZ13,'3.Inc &amp; Exp per Function'!$W12:$W1110)</f>
        <v>0</v>
      </c>
      <c r="DV13" s="413">
        <f t="shared" ca="1" si="12"/>
        <v>0</v>
      </c>
      <c r="DW13" s="751">
        <f ca="1">SUMIF('3.Inc &amp; Exp per Function'!$D12:$D1111,'5.Cons and detailed recon'!DA13,'3.Inc &amp; Exp per Function'!$W12:$W1110)</f>
        <v>0</v>
      </c>
      <c r="DX13" s="751">
        <f ca="1">SUMIF('3.Inc &amp; Exp per Function'!$D12:$D1111,'5.Cons and detailed recon'!DB13,'3.Inc &amp; Exp per Function'!$W12:$W1110)</f>
        <v>0</v>
      </c>
      <c r="DY13" s="751">
        <f ca="1">SUMIF('3.Inc &amp; Exp per Function'!$D12:$D1111,'5.Cons and detailed recon'!DC13,'3.Inc &amp; Exp per Function'!$W12:$W1110)</f>
        <v>0</v>
      </c>
      <c r="DZ13" s="751">
        <f ca="1">SUMIF('3.Inc &amp; Exp per Function'!$D12:$D1111,'5.Cons and detailed recon'!DD13,'3.Inc &amp; Exp per Function'!$W12:$W1110)</f>
        <v>55657259</v>
      </c>
      <c r="EA13" s="748">
        <f t="shared" ca="1" si="13"/>
        <v>55657259</v>
      </c>
      <c r="EB13" s="794"/>
      <c r="EC13" s="791">
        <f t="shared" ca="1" si="14"/>
        <v>55657259</v>
      </c>
      <c r="ED13" s="414">
        <f>SUMIF('4.Inc &amp; Exp Summary'!A:A,'5.Cons and detailed recon'!DF13,'4.Inc &amp; Exp Summary'!N:N)</f>
        <v>55657258.464000002</v>
      </c>
      <c r="EE13" s="415">
        <f t="shared" ca="1" si="15"/>
        <v>0.53599999845027924</v>
      </c>
      <c r="EF13" s="720"/>
      <c r="EG13" s="980"/>
      <c r="EH13" s="980"/>
      <c r="EI13" s="980"/>
      <c r="EJ13" s="980"/>
      <c r="EK13" s="980"/>
      <c r="EL13" s="980"/>
      <c r="EM13" s="980"/>
      <c r="EN13" s="980"/>
      <c r="EO13" s="980"/>
      <c r="EP13" s="980"/>
      <c r="EQ13" s="980"/>
      <c r="ER13" s="980"/>
      <c r="ES13" s="980"/>
      <c r="ET13" s="980"/>
      <c r="EU13" s="980"/>
      <c r="EV13" s="980"/>
      <c r="EW13" s="980"/>
      <c r="EX13" s="980"/>
      <c r="EY13" s="980"/>
      <c r="EZ13" s="980"/>
      <c r="FA13" s="980"/>
      <c r="FB13" s="980"/>
      <c r="FC13" s="980"/>
      <c r="FD13" s="980"/>
      <c r="FE13" s="980"/>
      <c r="FF13" s="980"/>
      <c r="FG13" s="980"/>
      <c r="FH13" s="980"/>
      <c r="FI13" s="980"/>
      <c r="FJ13" s="980"/>
      <c r="FK13" s="980"/>
      <c r="FL13" s="980"/>
      <c r="FM13" s="980"/>
      <c r="FN13" s="980"/>
      <c r="FO13" s="980"/>
      <c r="FP13" s="980"/>
      <c r="FQ13" s="980"/>
      <c r="FR13" s="980"/>
      <c r="FS13" s="980"/>
      <c r="FT13" s="980"/>
      <c r="FU13" s="980"/>
      <c r="FV13" s="980"/>
      <c r="FW13" s="980"/>
      <c r="FX13" s="980"/>
      <c r="FY13" s="980"/>
      <c r="FZ13" s="980"/>
      <c r="GA13" s="980"/>
      <c r="GB13" s="980"/>
      <c r="GC13" s="980"/>
      <c r="GD13" s="980"/>
      <c r="GE13" s="980"/>
      <c r="GF13" s="980"/>
      <c r="GG13" s="980"/>
      <c r="GH13" s="980"/>
      <c r="GI13" s="980"/>
      <c r="GJ13" s="980"/>
      <c r="GK13" s="980"/>
      <c r="GL13" s="980"/>
      <c r="GM13" s="980"/>
      <c r="GN13" s="980"/>
      <c r="GO13" s="980"/>
      <c r="GP13" s="980"/>
      <c r="GQ13" s="980"/>
      <c r="GR13" s="980"/>
      <c r="GS13" s="980"/>
      <c r="GT13" s="980"/>
      <c r="GU13" s="980"/>
      <c r="GV13" s="980"/>
      <c r="GW13" s="980"/>
      <c r="GX13" s="980"/>
      <c r="GY13" s="980"/>
      <c r="GZ13" s="980"/>
      <c r="HA13" s="980"/>
      <c r="HB13" s="980"/>
      <c r="HC13" s="980"/>
      <c r="HD13" s="980"/>
      <c r="HE13" s="980"/>
      <c r="HF13" s="980"/>
      <c r="HG13" s="980"/>
      <c r="HH13" s="980"/>
      <c r="HI13" s="980"/>
      <c r="HJ13" s="980"/>
      <c r="HK13" s="980"/>
      <c r="HL13" s="980"/>
      <c r="HM13" s="980"/>
      <c r="HN13" s="980"/>
      <c r="HO13" s="980"/>
      <c r="HP13" s="980"/>
      <c r="HQ13" s="980"/>
      <c r="HR13" s="980"/>
      <c r="HS13" s="980"/>
      <c r="HT13" s="980"/>
      <c r="HU13" s="980"/>
      <c r="HV13" s="980"/>
      <c r="HW13" s="980"/>
      <c r="HX13" s="980"/>
      <c r="HY13" s="980"/>
      <c r="HZ13" s="980"/>
      <c r="IA13" s="980"/>
      <c r="IB13" s="980"/>
      <c r="IC13" s="980"/>
      <c r="ID13" s="980"/>
      <c r="IE13" s="980"/>
      <c r="IF13" s="980"/>
      <c r="IG13" s="980"/>
      <c r="IH13" s="980"/>
      <c r="II13" s="980"/>
      <c r="IJ13" s="980"/>
      <c r="IK13" s="980"/>
      <c r="IL13" s="980"/>
      <c r="IM13" s="980"/>
      <c r="IN13" s="980"/>
      <c r="IO13" s="980"/>
      <c r="IP13" s="980"/>
      <c r="IQ13" s="980"/>
      <c r="IR13" s="980"/>
      <c r="IS13" s="980"/>
      <c r="IT13" s="980"/>
      <c r="IU13" s="980"/>
      <c r="IV13" s="980"/>
    </row>
    <row r="14" spans="1:256" s="409" customFormat="1" ht="12" customHeight="1" x14ac:dyDescent="0.55000000000000004">
      <c r="A14" s="398" t="str">
        <f t="shared" si="1"/>
        <v>Executive and Council0700</v>
      </c>
      <c r="B14" s="398" t="str">
        <f t="shared" si="2"/>
        <v>Finance and administration0700</v>
      </c>
      <c r="C14" s="398" t="str">
        <f t="shared" si="2"/>
        <v>Internal audit0700</v>
      </c>
      <c r="D14" s="398" t="str">
        <f t="shared" si="2"/>
        <v>Community and social services0700</v>
      </c>
      <c r="E14" s="398" t="str">
        <f t="shared" si="2"/>
        <v>Sport and recreation0700</v>
      </c>
      <c r="F14" s="398" t="str">
        <f t="shared" si="2"/>
        <v>Public safety0700</v>
      </c>
      <c r="G14" s="398" t="str">
        <f t="shared" si="2"/>
        <v>Housing0700</v>
      </c>
      <c r="H14" s="398" t="str">
        <f t="shared" si="2"/>
        <v>Health0700</v>
      </c>
      <c r="I14" s="398" t="str">
        <f t="shared" si="2"/>
        <v>Planning and development0700</v>
      </c>
      <c r="J14" s="398" t="str">
        <f t="shared" si="2"/>
        <v>Road transport0700</v>
      </c>
      <c r="K14" s="398" t="str">
        <f t="shared" si="2"/>
        <v>Environmental protection0700</v>
      </c>
      <c r="L14" s="398" t="str">
        <f t="shared" si="2"/>
        <v>Other0700</v>
      </c>
      <c r="M14" s="398" t="str">
        <f t="shared" si="2"/>
        <v>Energy sources0700</v>
      </c>
      <c r="N14" s="398" t="str">
        <f t="shared" si="2"/>
        <v>Water management0700</v>
      </c>
      <c r="O14" s="398" t="str">
        <f t="shared" si="2"/>
        <v>Waste water management0700</v>
      </c>
      <c r="P14" s="398" t="str">
        <f t="shared" si="2"/>
        <v>Waste management0700</v>
      </c>
      <c r="Q14" s="745" t="s">
        <v>683</v>
      </c>
      <c r="R14" s="745" t="s">
        <v>683</v>
      </c>
      <c r="S14" s="994"/>
      <c r="T14" s="748" t="s">
        <v>684</v>
      </c>
      <c r="U14" s="804">
        <f ca="1">SUMIF('3.Inc &amp; Exp per Function'!$D13:$D1112,'5.Cons and detailed recon'!A14,'3.Inc &amp; Exp per Function'!$U13:$U1111)</f>
        <v>0</v>
      </c>
      <c r="V14" s="804">
        <f ca="1">SUMIF('3.Inc &amp; Exp per Function'!$D13:$D1112,'5.Cons and detailed recon'!B14,'3.Inc &amp; Exp per Function'!$U13:$U1111)</f>
        <v>8816940</v>
      </c>
      <c r="W14" s="804">
        <f ca="1">SUMIF('3.Inc &amp; Exp per Function'!$D13:$D1112,'5.Cons and detailed recon'!C14,'3.Inc &amp; Exp per Function'!$U13:$U1111)</f>
        <v>0</v>
      </c>
      <c r="X14" s="413">
        <f t="shared" ca="1" si="16"/>
        <v>8816940</v>
      </c>
      <c r="Y14" s="1326">
        <f ca="1">SUMIF('3.Inc &amp; Exp per Function'!$D13:$D1112,'5.Cons and detailed recon'!D14,'3.Inc &amp; Exp per Function'!$U13:$U1111)</f>
        <v>839500</v>
      </c>
      <c r="Z14" s="1326">
        <f ca="1">SUMIF('3.Inc &amp; Exp per Function'!$D13:$D1112,'5.Cons and detailed recon'!E14,'3.Inc &amp; Exp per Function'!$U13:$U1111)</f>
        <v>1000</v>
      </c>
      <c r="AA14" s="1326">
        <f ca="1">SUMIF('3.Inc &amp; Exp per Function'!$D13:$D1112,'5.Cons and detailed recon'!F14,'3.Inc &amp; Exp per Function'!$U13:$U1111)</f>
        <v>330000</v>
      </c>
      <c r="AB14" s="1326">
        <f ca="1">SUMIF('3.Inc &amp; Exp per Function'!$D13:$D1112,'5.Cons and detailed recon'!G14,'3.Inc &amp; Exp per Function'!$U13:$U1111)</f>
        <v>0</v>
      </c>
      <c r="AC14" s="1326">
        <f ca="1">SUMIF('3.Inc &amp; Exp per Function'!$D13:$D1112,'5.Cons and detailed recon'!H14,'3.Inc &amp; Exp per Function'!$U13:$U1111)</f>
        <v>0</v>
      </c>
      <c r="AD14" s="1326">
        <f ca="1">SUMIF('3.Inc &amp; Exp per Function'!$D13:$D1112,'5.Cons and detailed recon'!I14,'3.Inc &amp; Exp per Function'!$U13:$U1111)</f>
        <v>2231500</v>
      </c>
      <c r="AE14" s="1326">
        <f ca="1">SUMIF('3.Inc &amp; Exp per Function'!$D13:$D1112,'5.Cons and detailed recon'!J14,'3.Inc &amp; Exp per Function'!$U13:$U1111)</f>
        <v>0</v>
      </c>
      <c r="AF14" s="1326">
        <f ca="1">SUMIF('3.Inc &amp; Exp per Function'!$D13:$D1112,'5.Cons and detailed recon'!K14,'3.Inc &amp; Exp per Function'!$U13:$U1111)</f>
        <v>0</v>
      </c>
      <c r="AG14" s="1326">
        <f ca="1">SUMIF('3.Inc &amp; Exp per Function'!$D13:$D1112,'5.Cons and detailed recon'!L14,'3.Inc &amp; Exp per Function'!$U13:$U1111)</f>
        <v>0</v>
      </c>
      <c r="AH14" s="413">
        <f t="shared" ca="1" si="3"/>
        <v>3402000</v>
      </c>
      <c r="AI14" s="804">
        <f ca="1">SUMIF('3.Inc &amp; Exp per Function'!$D13:$D1112,'5.Cons and detailed recon'!M14,'3.Inc &amp; Exp per Function'!$U13:$U1111)</f>
        <v>0</v>
      </c>
      <c r="AJ14" s="804">
        <f ca="1">SUMIF('3.Inc &amp; Exp per Function'!$D13:$D1112,'5.Cons and detailed recon'!N14,'3.Inc &amp; Exp per Function'!$U13:$U1111)</f>
        <v>0</v>
      </c>
      <c r="AK14" s="804">
        <f ca="1">SUMIF('3.Inc &amp; Exp per Function'!$D13:$D1112,'5.Cons and detailed recon'!O14,'3.Inc &amp; Exp per Function'!$U13:$U1111)</f>
        <v>0</v>
      </c>
      <c r="AL14" s="804">
        <f ca="1">SUMIF('3.Inc &amp; Exp per Function'!$D13:$D1112,'5.Cons and detailed recon'!P14,'3.Inc &amp; Exp per Function'!$U13:$U1111)</f>
        <v>0</v>
      </c>
      <c r="AM14" s="748">
        <f t="shared" ca="1" si="0"/>
        <v>0</v>
      </c>
      <c r="AN14" s="794"/>
      <c r="AO14" s="791">
        <f t="shared" ca="1" si="18"/>
        <v>12218940</v>
      </c>
      <c r="AP14" s="414">
        <f>SUMIF('4.Inc &amp; Exp Summary'!A:A,'5.Cons and detailed recon'!R14,'4.Inc &amp; Exp Summary'!L:L)</f>
        <v>12218940</v>
      </c>
      <c r="AQ14" s="415"/>
      <c r="AR14" s="720"/>
      <c r="AS14" s="730"/>
      <c r="AT14" s="408"/>
      <c r="AU14" s="398" t="str">
        <f t="shared" si="5"/>
        <v>Executive and Council0700</v>
      </c>
      <c r="AV14" s="398" t="str">
        <f t="shared" si="5"/>
        <v>Finance and administration0700</v>
      </c>
      <c r="AW14" s="398" t="str">
        <f t="shared" si="5"/>
        <v>Internal audit0700</v>
      </c>
      <c r="AX14" s="398" t="str">
        <f t="shared" si="5"/>
        <v>Community and social services0700</v>
      </c>
      <c r="AY14" s="398" t="str">
        <f t="shared" si="5"/>
        <v>Sport and recreation0700</v>
      </c>
      <c r="AZ14" s="398" t="str">
        <f t="shared" si="5"/>
        <v>Public safety0700</v>
      </c>
      <c r="BA14" s="398" t="str">
        <f t="shared" si="5"/>
        <v>Housing0700</v>
      </c>
      <c r="BB14" s="398" t="str">
        <f t="shared" si="5"/>
        <v>Health0700</v>
      </c>
      <c r="BC14" s="398" t="str">
        <f t="shared" si="5"/>
        <v>Planning and development0700</v>
      </c>
      <c r="BD14" s="398" t="str">
        <f t="shared" si="5"/>
        <v>Road transport0700</v>
      </c>
      <c r="BE14" s="398" t="str">
        <f t="shared" si="5"/>
        <v>Environmental protection0700</v>
      </c>
      <c r="BF14" s="398" t="str">
        <f t="shared" si="5"/>
        <v>Other0700</v>
      </c>
      <c r="BG14" s="398" t="str">
        <f t="shared" si="5"/>
        <v>Energy sources0700</v>
      </c>
      <c r="BH14" s="398" t="str">
        <f t="shared" si="5"/>
        <v>Water management0700</v>
      </c>
      <c r="BI14" s="398" t="str">
        <f t="shared" si="5"/>
        <v>Waste water management0700</v>
      </c>
      <c r="BJ14" s="398" t="str">
        <f t="shared" si="5"/>
        <v>Waste management0700</v>
      </c>
      <c r="BK14" s="745" t="s">
        <v>683</v>
      </c>
      <c r="BL14" s="745" t="s">
        <v>683</v>
      </c>
      <c r="BM14" s="735"/>
      <c r="BN14" s="748" t="s">
        <v>684</v>
      </c>
      <c r="BO14" s="751">
        <f ca="1">SUMIF('3.Inc &amp; Exp per Function'!$D13:$D1112,'5.Cons and detailed recon'!AU14,'3.Inc &amp; Exp per Function'!$V13:$V1111)</f>
        <v>0</v>
      </c>
      <c r="BP14" s="751">
        <f ca="1">SUMIF('3.Inc &amp; Exp per Function'!$D13:$D1112,'5.Cons and detailed recon'!AV14,'3.Inc &amp; Exp per Function'!$V13:$V1111)</f>
        <v>9116716</v>
      </c>
      <c r="BQ14" s="751">
        <f ca="1">SUMIF('3.Inc &amp; Exp per Function'!$D13:$D1112,'5.Cons and detailed recon'!AW14,'3.Inc &amp; Exp per Function'!$V13:$V1111)</f>
        <v>0</v>
      </c>
      <c r="BR14" s="413">
        <f t="shared" ca="1" si="6"/>
        <v>9116716</v>
      </c>
      <c r="BS14" s="751">
        <f ca="1">SUMIF('3.Inc &amp; Exp per Function'!$D13:$D1112,'5.Cons and detailed recon'!AX14,'3.Inc &amp; Exp per Function'!$V13:$V1111)</f>
        <v>868043</v>
      </c>
      <c r="BT14" s="751">
        <f ca="1">SUMIF('3.Inc &amp; Exp per Function'!$D13:$D1112,'5.Cons and detailed recon'!AY14,'3.Inc &amp; Exp per Function'!$V13:$V1111)</f>
        <v>1034</v>
      </c>
      <c r="BU14" s="751">
        <f ca="1">SUMIF('3.Inc &amp; Exp per Function'!$D13:$D1112,'5.Cons and detailed recon'!AZ14,'3.Inc &amp; Exp per Function'!$V13:$V1111)</f>
        <v>341220</v>
      </c>
      <c r="BV14" s="751">
        <f ca="1">SUMIF('3.Inc &amp; Exp per Function'!$D13:$D1112,'5.Cons and detailed recon'!BA14,'3.Inc &amp; Exp per Function'!$V13:$V1111)</f>
        <v>0</v>
      </c>
      <c r="BW14" s="751">
        <f ca="1">SUMIF('3.Inc &amp; Exp per Function'!$D13:$D1112,'5.Cons and detailed recon'!BB14,'3.Inc &amp; Exp per Function'!$V13:$V1111)</f>
        <v>0</v>
      </c>
      <c r="BX14" s="751">
        <f ca="1">SUMIF('3.Inc &amp; Exp per Function'!$D13:$D1112,'5.Cons and detailed recon'!BC14,'3.Inc &amp; Exp per Function'!$V13:$V1111)</f>
        <v>2307371</v>
      </c>
      <c r="BY14" s="751">
        <f ca="1">SUMIF('3.Inc &amp; Exp per Function'!$D13:$D1112,'5.Cons and detailed recon'!BD14,'3.Inc &amp; Exp per Function'!$V13:$V1111)</f>
        <v>0</v>
      </c>
      <c r="BZ14" s="751">
        <f ca="1">SUMIF('3.Inc &amp; Exp per Function'!$D13:$D1112,'5.Cons and detailed recon'!BE14,'3.Inc &amp; Exp per Function'!$V13:$V1111)</f>
        <v>0</v>
      </c>
      <c r="CA14" s="751">
        <f ca="1">SUMIF('3.Inc &amp; Exp per Function'!$D13:$D1112,'5.Cons and detailed recon'!BF14,'3.Inc &amp; Exp per Function'!$V13:$V1111)</f>
        <v>0</v>
      </c>
      <c r="CB14" s="413">
        <f t="shared" ca="1" si="7"/>
        <v>3517668</v>
      </c>
      <c r="CC14" s="751">
        <f ca="1">SUMIF('3.Inc &amp; Exp per Function'!$D13:$D1112,'5.Cons and detailed recon'!BG14,'3.Inc &amp; Exp per Function'!$V13:$V1111)</f>
        <v>0</v>
      </c>
      <c r="CD14" s="751">
        <f ca="1">SUMIF('3.Inc &amp; Exp per Function'!$D13:$D1112,'5.Cons and detailed recon'!BH14,'3.Inc &amp; Exp per Function'!$V13:$V1111)</f>
        <v>0</v>
      </c>
      <c r="CE14" s="751">
        <f ca="1">SUMIF('3.Inc &amp; Exp per Function'!$D13:$D1112,'5.Cons and detailed recon'!BI14,'3.Inc &amp; Exp per Function'!$V13:$V1111)</f>
        <v>0</v>
      </c>
      <c r="CF14" s="751">
        <f ca="1">SUMIF('3.Inc &amp; Exp per Function'!$D13:$D1112,'5.Cons and detailed recon'!BJ14,'3.Inc &amp; Exp per Function'!$V13:$V1111)</f>
        <v>0</v>
      </c>
      <c r="CG14" s="748">
        <f t="shared" ca="1" si="8"/>
        <v>0</v>
      </c>
      <c r="CH14" s="794"/>
      <c r="CI14" s="791">
        <f t="shared" ca="1" si="9"/>
        <v>12634384</v>
      </c>
      <c r="CJ14" s="411">
        <f>SUMIF('4.Inc &amp; Exp Summary'!A:A,'5.Cons and detailed recon'!R14,'4.Inc &amp; Exp Summary'!M:M)</f>
        <v>12634384</v>
      </c>
      <c r="CK14" s="415">
        <f t="shared" ca="1" si="17"/>
        <v>0</v>
      </c>
      <c r="CL14" s="720"/>
      <c r="CM14" s="730"/>
      <c r="CO14" s="398" t="str">
        <f t="shared" si="10"/>
        <v>Executive and Council0700</v>
      </c>
      <c r="CP14" s="398" t="str">
        <f t="shared" si="10"/>
        <v>Finance and administration0700</v>
      </c>
      <c r="CQ14" s="398" t="str">
        <f t="shared" si="10"/>
        <v>Internal audit0700</v>
      </c>
      <c r="CR14" s="398" t="str">
        <f t="shared" si="10"/>
        <v>Community and social services0700</v>
      </c>
      <c r="CS14" s="398" t="str">
        <f t="shared" si="10"/>
        <v>Sport and recreation0700</v>
      </c>
      <c r="CT14" s="398" t="str">
        <f t="shared" si="10"/>
        <v>Public safety0700</v>
      </c>
      <c r="CU14" s="398" t="str">
        <f t="shared" si="10"/>
        <v>Housing0700</v>
      </c>
      <c r="CV14" s="398" t="str">
        <f t="shared" si="10"/>
        <v>Health0700</v>
      </c>
      <c r="CW14" s="398" t="str">
        <f t="shared" si="10"/>
        <v>Planning and development0700</v>
      </c>
      <c r="CX14" s="398" t="str">
        <f t="shared" si="10"/>
        <v>Road transport0700</v>
      </c>
      <c r="CY14" s="398" t="str">
        <f t="shared" si="10"/>
        <v>Environmental protection0700</v>
      </c>
      <c r="CZ14" s="398" t="str">
        <f t="shared" si="10"/>
        <v>Other0700</v>
      </c>
      <c r="DA14" s="398" t="str">
        <f t="shared" si="10"/>
        <v>Energy sources0700</v>
      </c>
      <c r="DB14" s="398" t="str">
        <f t="shared" si="10"/>
        <v>Water management0700</v>
      </c>
      <c r="DC14" s="398" t="str">
        <f t="shared" si="10"/>
        <v>Waste water management0700</v>
      </c>
      <c r="DD14" s="398" t="str">
        <f t="shared" si="10"/>
        <v>Waste management0700</v>
      </c>
      <c r="DE14" s="745" t="s">
        <v>683</v>
      </c>
      <c r="DF14" s="745" t="s">
        <v>683</v>
      </c>
      <c r="DG14" s="735"/>
      <c r="DH14" s="748" t="s">
        <v>684</v>
      </c>
      <c r="DI14" s="751">
        <f ca="1">SUMIF('3.Inc &amp; Exp per Function'!$D13:$D1112,'5.Cons and detailed recon'!CO14,'3.Inc &amp; Exp per Function'!$W13:$W1111)</f>
        <v>0</v>
      </c>
      <c r="DJ14" s="751">
        <f ca="1">SUMIF('3.Inc &amp; Exp per Function'!$D13:$D1112,'5.Cons and detailed recon'!CP14,'3.Inc &amp; Exp per Function'!$W13:$W1111)</f>
        <v>9408452</v>
      </c>
      <c r="DK14" s="751">
        <f ca="1">SUMIF('3.Inc &amp; Exp per Function'!$D13:$D1112,'5.Cons and detailed recon'!CQ14,'3.Inc &amp; Exp per Function'!$W13:$W1111)</f>
        <v>0</v>
      </c>
      <c r="DL14" s="413">
        <f t="shared" ca="1" si="11"/>
        <v>9408452</v>
      </c>
      <c r="DM14" s="751">
        <f ca="1">SUMIF('3.Inc &amp; Exp per Function'!$D13:$D1112,'5.Cons and detailed recon'!CR14,'3.Inc &amp; Exp per Function'!$W13:$W1111)</f>
        <v>895821</v>
      </c>
      <c r="DN14" s="751">
        <f ca="1">SUMIF('3.Inc &amp; Exp per Function'!$D13:$D1112,'5.Cons and detailed recon'!CS14,'3.Inc &amp; Exp per Function'!$W13:$W1111)</f>
        <v>1067</v>
      </c>
      <c r="DO14" s="751">
        <f ca="1">SUMIF('3.Inc &amp; Exp per Function'!$D13:$D1112,'5.Cons and detailed recon'!CT14,'3.Inc &amp; Exp per Function'!$W13:$W1111)</f>
        <v>352139</v>
      </c>
      <c r="DP14" s="751">
        <f ca="1">SUMIF('3.Inc &amp; Exp per Function'!$D13:$D1112,'5.Cons and detailed recon'!CU14,'3.Inc &amp; Exp per Function'!$W13:$W1111)</f>
        <v>0</v>
      </c>
      <c r="DQ14" s="751">
        <f ca="1">SUMIF('3.Inc &amp; Exp per Function'!$D13:$D1112,'5.Cons and detailed recon'!CV14,'3.Inc &amp; Exp per Function'!$W13:$W1111)</f>
        <v>0</v>
      </c>
      <c r="DR14" s="751">
        <f ca="1">SUMIF('3.Inc &amp; Exp per Function'!$D13:$D1112,'5.Cons and detailed recon'!CW14,'3.Inc &amp; Exp per Function'!$W13:$W1111)</f>
        <v>2381206</v>
      </c>
      <c r="DS14" s="751">
        <f ca="1">SUMIF('3.Inc &amp; Exp per Function'!$D13:$D1112,'5.Cons and detailed recon'!CX14,'3.Inc &amp; Exp per Function'!$W13:$W1111)</f>
        <v>0</v>
      </c>
      <c r="DT14" s="751">
        <f ca="1">SUMIF('3.Inc &amp; Exp per Function'!$D13:$D1112,'5.Cons and detailed recon'!CY14,'3.Inc &amp; Exp per Function'!$W13:$W1111)</f>
        <v>0</v>
      </c>
      <c r="DU14" s="751">
        <f ca="1">SUMIF('3.Inc &amp; Exp per Function'!$D13:$D1112,'5.Cons and detailed recon'!CZ14,'3.Inc &amp; Exp per Function'!$W13:$W1111)</f>
        <v>0</v>
      </c>
      <c r="DV14" s="413">
        <f t="shared" ca="1" si="12"/>
        <v>3630233</v>
      </c>
      <c r="DW14" s="751">
        <f ca="1">SUMIF('3.Inc &amp; Exp per Function'!$D13:$D1112,'5.Cons and detailed recon'!DA14,'3.Inc &amp; Exp per Function'!$W13:$W1111)</f>
        <v>0</v>
      </c>
      <c r="DX14" s="751">
        <f ca="1">SUMIF('3.Inc &amp; Exp per Function'!$D13:$D1112,'5.Cons and detailed recon'!DB14,'3.Inc &amp; Exp per Function'!$W13:$W1111)</f>
        <v>0</v>
      </c>
      <c r="DY14" s="751">
        <f ca="1">SUMIF('3.Inc &amp; Exp per Function'!$D13:$D1112,'5.Cons and detailed recon'!DC14,'3.Inc &amp; Exp per Function'!$W13:$W1111)</f>
        <v>0</v>
      </c>
      <c r="DZ14" s="751">
        <f ca="1">SUMIF('3.Inc &amp; Exp per Function'!$D13:$D1112,'5.Cons and detailed recon'!DD14,'3.Inc &amp; Exp per Function'!$W13:$W1111)</f>
        <v>0</v>
      </c>
      <c r="EA14" s="748">
        <f t="shared" ca="1" si="13"/>
        <v>0</v>
      </c>
      <c r="EB14" s="794"/>
      <c r="EC14" s="791">
        <f t="shared" ca="1" si="14"/>
        <v>13038685</v>
      </c>
      <c r="ED14" s="414">
        <f>SUMIF('4.Inc &amp; Exp Summary'!A:A,'5.Cons and detailed recon'!DF14,'4.Inc &amp; Exp Summary'!N:N)</f>
        <v>13038684.287999999</v>
      </c>
      <c r="EE14" s="415">
        <f t="shared" ca="1" si="15"/>
        <v>0.71200000122189522</v>
      </c>
      <c r="EF14" s="720"/>
      <c r="EG14" s="980"/>
      <c r="EH14" s="980"/>
      <c r="EI14" s="980"/>
      <c r="EJ14" s="980"/>
      <c r="EK14" s="980"/>
      <c r="EL14" s="980"/>
      <c r="EM14" s="980"/>
      <c r="EN14" s="980"/>
      <c r="EO14" s="980"/>
      <c r="EP14" s="980"/>
      <c r="EQ14" s="980"/>
      <c r="ER14" s="980"/>
      <c r="ES14" s="980"/>
      <c r="ET14" s="980"/>
      <c r="EU14" s="980"/>
      <c r="EV14" s="980"/>
      <c r="EW14" s="980"/>
      <c r="EX14" s="980"/>
      <c r="EY14" s="980"/>
      <c r="EZ14" s="980"/>
      <c r="FA14" s="980"/>
      <c r="FB14" s="980"/>
      <c r="FC14" s="980"/>
      <c r="FD14" s="980"/>
      <c r="FE14" s="980"/>
      <c r="FF14" s="980"/>
      <c r="FG14" s="980"/>
      <c r="FH14" s="980"/>
      <c r="FI14" s="980"/>
      <c r="FJ14" s="980"/>
      <c r="FK14" s="980"/>
      <c r="FL14" s="980"/>
      <c r="FM14" s="980"/>
      <c r="FN14" s="980"/>
      <c r="FO14" s="980"/>
      <c r="FP14" s="980"/>
      <c r="FQ14" s="980"/>
      <c r="FR14" s="980"/>
      <c r="FS14" s="980"/>
      <c r="FT14" s="980"/>
      <c r="FU14" s="980"/>
      <c r="FV14" s="980"/>
      <c r="FW14" s="980"/>
      <c r="FX14" s="980"/>
      <c r="FY14" s="980"/>
      <c r="FZ14" s="980"/>
      <c r="GA14" s="980"/>
      <c r="GB14" s="980"/>
      <c r="GC14" s="980"/>
      <c r="GD14" s="980"/>
      <c r="GE14" s="980"/>
      <c r="GF14" s="980"/>
      <c r="GG14" s="980"/>
      <c r="GH14" s="980"/>
      <c r="GI14" s="980"/>
      <c r="GJ14" s="980"/>
      <c r="GK14" s="980"/>
      <c r="GL14" s="980"/>
      <c r="GM14" s="980"/>
      <c r="GN14" s="980"/>
      <c r="GO14" s="980"/>
      <c r="GP14" s="980"/>
      <c r="GQ14" s="980"/>
      <c r="GR14" s="980"/>
      <c r="GS14" s="980"/>
      <c r="GT14" s="980"/>
      <c r="GU14" s="980"/>
      <c r="GV14" s="980"/>
      <c r="GW14" s="980"/>
      <c r="GX14" s="980"/>
      <c r="GY14" s="980"/>
      <c r="GZ14" s="980"/>
      <c r="HA14" s="980"/>
      <c r="HB14" s="980"/>
      <c r="HC14" s="980"/>
      <c r="HD14" s="980"/>
      <c r="HE14" s="980"/>
      <c r="HF14" s="980"/>
      <c r="HG14" s="980"/>
      <c r="HH14" s="980"/>
      <c r="HI14" s="980"/>
      <c r="HJ14" s="980"/>
      <c r="HK14" s="980"/>
      <c r="HL14" s="980"/>
      <c r="HM14" s="980"/>
      <c r="HN14" s="980"/>
      <c r="HO14" s="980"/>
      <c r="HP14" s="980"/>
      <c r="HQ14" s="980"/>
      <c r="HR14" s="980"/>
      <c r="HS14" s="980"/>
      <c r="HT14" s="980"/>
      <c r="HU14" s="980"/>
      <c r="HV14" s="980"/>
      <c r="HW14" s="980"/>
      <c r="HX14" s="980"/>
      <c r="HY14" s="980"/>
      <c r="HZ14" s="980"/>
      <c r="IA14" s="980"/>
      <c r="IB14" s="980"/>
      <c r="IC14" s="980"/>
      <c r="ID14" s="980"/>
      <c r="IE14" s="980"/>
      <c r="IF14" s="980"/>
      <c r="IG14" s="980"/>
      <c r="IH14" s="980"/>
      <c r="II14" s="980"/>
      <c r="IJ14" s="980"/>
      <c r="IK14" s="980"/>
      <c r="IL14" s="980"/>
      <c r="IM14" s="980"/>
      <c r="IN14" s="980"/>
      <c r="IO14" s="980"/>
      <c r="IP14" s="980"/>
      <c r="IQ14" s="980"/>
      <c r="IR14" s="980"/>
      <c r="IS14" s="980"/>
      <c r="IT14" s="980"/>
      <c r="IU14" s="980"/>
      <c r="IV14" s="980"/>
    </row>
    <row r="15" spans="1:256" s="409" customFormat="1" ht="12" customHeight="1" x14ac:dyDescent="0.55000000000000004">
      <c r="A15" s="398" t="str">
        <f t="shared" si="1"/>
        <v>Executive and Council0800</v>
      </c>
      <c r="B15" s="398" t="str">
        <f t="shared" si="2"/>
        <v>Finance and administration0800</v>
      </c>
      <c r="C15" s="398" t="str">
        <f t="shared" si="2"/>
        <v>Internal audit0800</v>
      </c>
      <c r="D15" s="398" t="str">
        <f t="shared" si="2"/>
        <v>Community and social services0800</v>
      </c>
      <c r="E15" s="398" t="str">
        <f t="shared" si="2"/>
        <v>Sport and recreation0800</v>
      </c>
      <c r="F15" s="398" t="str">
        <f t="shared" si="2"/>
        <v>Public safety0800</v>
      </c>
      <c r="G15" s="398" t="str">
        <f t="shared" si="2"/>
        <v>Housing0800</v>
      </c>
      <c r="H15" s="398" t="str">
        <f t="shared" si="2"/>
        <v>Health0800</v>
      </c>
      <c r="I15" s="398" t="str">
        <f t="shared" si="2"/>
        <v>Planning and development0800</v>
      </c>
      <c r="J15" s="398" t="str">
        <f t="shared" si="2"/>
        <v>Road transport0800</v>
      </c>
      <c r="K15" s="398" t="str">
        <f t="shared" si="2"/>
        <v>Environmental protection0800</v>
      </c>
      <c r="L15" s="398" t="str">
        <f t="shared" si="2"/>
        <v>Other0800</v>
      </c>
      <c r="M15" s="398" t="str">
        <f t="shared" si="2"/>
        <v>Energy sources0800</v>
      </c>
      <c r="N15" s="398" t="str">
        <f t="shared" si="2"/>
        <v>Water management0800</v>
      </c>
      <c r="O15" s="398" t="str">
        <f t="shared" si="2"/>
        <v>Waste water management0800</v>
      </c>
      <c r="P15" s="398" t="str">
        <f t="shared" si="2"/>
        <v>Waste management0800</v>
      </c>
      <c r="Q15" s="745" t="s">
        <v>685</v>
      </c>
      <c r="R15" s="745" t="s">
        <v>685</v>
      </c>
      <c r="S15" s="994"/>
      <c r="T15" s="748" t="s">
        <v>6</v>
      </c>
      <c r="U15" s="804">
        <f ca="1">SUMIF('3.Inc &amp; Exp per Function'!$D14:$D1113,'5.Cons and detailed recon'!A15,'3.Inc &amp; Exp per Function'!$U14:$U1112)</f>
        <v>0</v>
      </c>
      <c r="V15" s="804">
        <f ca="1">SUMIF('3.Inc &amp; Exp per Function'!$D14:$D1113,'5.Cons and detailed recon'!B15,'3.Inc &amp; Exp per Function'!$U14:$U1112)</f>
        <v>0</v>
      </c>
      <c r="W15" s="804">
        <f ca="1">SUMIF('3.Inc &amp; Exp per Function'!$D14:$D1113,'5.Cons and detailed recon'!C15,'3.Inc &amp; Exp per Function'!$U14:$U1112)</f>
        <v>0</v>
      </c>
      <c r="X15" s="413">
        <f t="shared" ca="1" si="16"/>
        <v>0</v>
      </c>
      <c r="Y15" s="1326">
        <f ca="1">SUMIF('3.Inc &amp; Exp per Function'!$D14:$D1113,'5.Cons and detailed recon'!D15,'3.Inc &amp; Exp per Function'!$U14:$U1112)</f>
        <v>0</v>
      </c>
      <c r="Z15" s="1326">
        <f ca="1">SUMIF('3.Inc &amp; Exp per Function'!$D14:$D1113,'5.Cons and detailed recon'!E15,'3.Inc &amp; Exp per Function'!$U14:$U1112)</f>
        <v>0</v>
      </c>
      <c r="AA15" s="1326">
        <f ca="1">SUMIF('3.Inc &amp; Exp per Function'!$D14:$D1113,'5.Cons and detailed recon'!F15,'3.Inc &amp; Exp per Function'!$U14:$U1112)</f>
        <v>0</v>
      </c>
      <c r="AB15" s="1326">
        <f ca="1">SUMIF('3.Inc &amp; Exp per Function'!$D14:$D1113,'5.Cons and detailed recon'!G15,'3.Inc &amp; Exp per Function'!$U14:$U1112)</f>
        <v>0</v>
      </c>
      <c r="AC15" s="1326">
        <f ca="1">SUMIF('3.Inc &amp; Exp per Function'!$D14:$D1113,'5.Cons and detailed recon'!H15,'3.Inc &amp; Exp per Function'!$U14:$U1112)</f>
        <v>0</v>
      </c>
      <c r="AD15" s="1326">
        <f ca="1">SUMIF('3.Inc &amp; Exp per Function'!$D14:$D1113,'5.Cons and detailed recon'!I15,'3.Inc &amp; Exp per Function'!$U14:$U1112)</f>
        <v>0</v>
      </c>
      <c r="AE15" s="1326">
        <f ca="1">SUMIF('3.Inc &amp; Exp per Function'!$D14:$D1113,'5.Cons and detailed recon'!J15,'3.Inc &amp; Exp per Function'!$U14:$U1112)</f>
        <v>8291000</v>
      </c>
      <c r="AF15" s="1326">
        <f ca="1">SUMIF('3.Inc &amp; Exp per Function'!$D14:$D1113,'5.Cons and detailed recon'!K15,'3.Inc &amp; Exp per Function'!$U14:$U1112)</f>
        <v>0</v>
      </c>
      <c r="AG15" s="1326">
        <f ca="1">SUMIF('3.Inc &amp; Exp per Function'!$D14:$D1113,'5.Cons and detailed recon'!L15,'3.Inc &amp; Exp per Function'!$U14:$U1112)</f>
        <v>0</v>
      </c>
      <c r="AH15" s="413">
        <f t="shared" ca="1" si="3"/>
        <v>8291000</v>
      </c>
      <c r="AI15" s="804">
        <f ca="1">SUMIF('3.Inc &amp; Exp per Function'!$D14:$D1113,'5.Cons and detailed recon'!M15,'3.Inc &amp; Exp per Function'!$U14:$U1112)</f>
        <v>0</v>
      </c>
      <c r="AJ15" s="804">
        <f ca="1">SUMIF('3.Inc &amp; Exp per Function'!$D14:$D1113,'5.Cons and detailed recon'!N15,'3.Inc &amp; Exp per Function'!$U14:$U1112)</f>
        <v>0</v>
      </c>
      <c r="AK15" s="804">
        <f ca="1">SUMIF('3.Inc &amp; Exp per Function'!$D14:$D1113,'5.Cons and detailed recon'!O15,'3.Inc &amp; Exp per Function'!$U14:$U1112)</f>
        <v>0</v>
      </c>
      <c r="AL15" s="804">
        <f ca="1">SUMIF('3.Inc &amp; Exp per Function'!$D14:$D1113,'5.Cons and detailed recon'!P15,'3.Inc &amp; Exp per Function'!$U14:$U1112)</f>
        <v>0</v>
      </c>
      <c r="AM15" s="748">
        <f t="shared" ca="1" si="0"/>
        <v>0</v>
      </c>
      <c r="AN15" s="794"/>
      <c r="AO15" s="791">
        <f t="shared" ca="1" si="18"/>
        <v>8291000</v>
      </c>
      <c r="AP15" s="414">
        <f>SUMIF('4.Inc &amp; Exp Summary'!A:A,'5.Cons and detailed recon'!R15,'4.Inc &amp; Exp Summary'!L:L)</f>
        <v>8291000</v>
      </c>
      <c r="AQ15" s="415">
        <f t="shared" ca="1" si="4"/>
        <v>0</v>
      </c>
      <c r="AR15" s="720"/>
      <c r="AS15" s="730"/>
      <c r="AT15" s="408"/>
      <c r="AU15" s="398" t="str">
        <f t="shared" si="5"/>
        <v>Executive and Council0800</v>
      </c>
      <c r="AV15" s="398" t="str">
        <f t="shared" si="5"/>
        <v>Finance and administration0800</v>
      </c>
      <c r="AW15" s="398" t="str">
        <f t="shared" si="5"/>
        <v>Internal audit0800</v>
      </c>
      <c r="AX15" s="398" t="str">
        <f t="shared" si="5"/>
        <v>Community and social services0800</v>
      </c>
      <c r="AY15" s="398" t="str">
        <f t="shared" si="5"/>
        <v>Sport and recreation0800</v>
      </c>
      <c r="AZ15" s="398" t="str">
        <f t="shared" si="5"/>
        <v>Public safety0800</v>
      </c>
      <c r="BA15" s="398" t="str">
        <f t="shared" si="5"/>
        <v>Housing0800</v>
      </c>
      <c r="BB15" s="398" t="str">
        <f t="shared" si="5"/>
        <v>Health0800</v>
      </c>
      <c r="BC15" s="398" t="str">
        <f t="shared" si="5"/>
        <v>Planning and development0800</v>
      </c>
      <c r="BD15" s="398" t="str">
        <f t="shared" si="5"/>
        <v>Road transport0800</v>
      </c>
      <c r="BE15" s="398" t="str">
        <f t="shared" si="5"/>
        <v>Environmental protection0800</v>
      </c>
      <c r="BF15" s="398" t="str">
        <f t="shared" si="5"/>
        <v>Other0800</v>
      </c>
      <c r="BG15" s="398" t="str">
        <f t="shared" si="5"/>
        <v>Energy sources0800</v>
      </c>
      <c r="BH15" s="398" t="str">
        <f t="shared" si="5"/>
        <v>Water management0800</v>
      </c>
      <c r="BI15" s="398" t="str">
        <f t="shared" si="5"/>
        <v>Waste water management0800</v>
      </c>
      <c r="BJ15" s="398" t="str">
        <f t="shared" si="5"/>
        <v>Waste management0800</v>
      </c>
      <c r="BK15" s="745" t="s">
        <v>685</v>
      </c>
      <c r="BL15" s="745" t="s">
        <v>685</v>
      </c>
      <c r="BM15" s="735"/>
      <c r="BN15" s="748" t="s">
        <v>6</v>
      </c>
      <c r="BO15" s="751">
        <f ca="1">SUMIF('3.Inc &amp; Exp per Function'!$D14:$D1113,'5.Cons and detailed recon'!AU15,'3.Inc &amp; Exp per Function'!$V14:$V1112)</f>
        <v>0</v>
      </c>
      <c r="BP15" s="751">
        <f ca="1">SUMIF('3.Inc &amp; Exp per Function'!$D14:$D1113,'5.Cons and detailed recon'!AV15,'3.Inc &amp; Exp per Function'!$V14:$V1112)</f>
        <v>0</v>
      </c>
      <c r="BQ15" s="751">
        <f ca="1">SUMIF('3.Inc &amp; Exp per Function'!$D14:$D1113,'5.Cons and detailed recon'!AW15,'3.Inc &amp; Exp per Function'!$V14:$V1112)</f>
        <v>0</v>
      </c>
      <c r="BR15" s="413">
        <f t="shared" ca="1" si="6"/>
        <v>0</v>
      </c>
      <c r="BS15" s="751">
        <f ca="1">SUMIF('3.Inc &amp; Exp per Function'!$D14:$D1113,'5.Cons and detailed recon'!AX15,'3.Inc &amp; Exp per Function'!$V14:$V1112)</f>
        <v>0</v>
      </c>
      <c r="BT15" s="751">
        <f ca="1">SUMIF('3.Inc &amp; Exp per Function'!$D14:$D1113,'5.Cons and detailed recon'!AY15,'3.Inc &amp; Exp per Function'!$V14:$V1112)</f>
        <v>0</v>
      </c>
      <c r="BU15" s="751">
        <f ca="1">SUMIF('3.Inc &amp; Exp per Function'!$D14:$D1113,'5.Cons and detailed recon'!AZ15,'3.Inc &amp; Exp per Function'!$V14:$V1112)</f>
        <v>0</v>
      </c>
      <c r="BV15" s="751">
        <f ca="1">SUMIF('3.Inc &amp; Exp per Function'!$D14:$D1113,'5.Cons and detailed recon'!BA15,'3.Inc &amp; Exp per Function'!$V14:$V1112)</f>
        <v>0</v>
      </c>
      <c r="BW15" s="751">
        <f ca="1">SUMIF('3.Inc &amp; Exp per Function'!$D14:$D1113,'5.Cons and detailed recon'!BB15,'3.Inc &amp; Exp per Function'!$V14:$V1112)</f>
        <v>0</v>
      </c>
      <c r="BX15" s="751">
        <f ca="1">SUMIF('3.Inc &amp; Exp per Function'!$D14:$D1113,'5.Cons and detailed recon'!BC15,'3.Inc &amp; Exp per Function'!$V14:$V1112)</f>
        <v>0</v>
      </c>
      <c r="BY15" s="751">
        <f ca="1">SUMIF('3.Inc &amp; Exp per Function'!$D14:$D1113,'5.Cons and detailed recon'!BD15,'3.Inc &amp; Exp per Function'!$V14:$V1112)</f>
        <v>8572894</v>
      </c>
      <c r="BZ15" s="751">
        <f ca="1">SUMIF('3.Inc &amp; Exp per Function'!$D14:$D1113,'5.Cons and detailed recon'!BE15,'3.Inc &amp; Exp per Function'!$V14:$V1112)</f>
        <v>0</v>
      </c>
      <c r="CA15" s="751">
        <f ca="1">SUMIF('3.Inc &amp; Exp per Function'!$D14:$D1113,'5.Cons and detailed recon'!BF15,'3.Inc &amp; Exp per Function'!$V14:$V1112)</f>
        <v>0</v>
      </c>
      <c r="CB15" s="413">
        <f t="shared" ca="1" si="7"/>
        <v>8572894</v>
      </c>
      <c r="CC15" s="751">
        <f ca="1">SUMIF('3.Inc &amp; Exp per Function'!$D14:$D1113,'5.Cons and detailed recon'!BG15,'3.Inc &amp; Exp per Function'!$V14:$V1112)</f>
        <v>0</v>
      </c>
      <c r="CD15" s="751">
        <f ca="1">SUMIF('3.Inc &amp; Exp per Function'!$D14:$D1113,'5.Cons and detailed recon'!BH15,'3.Inc &amp; Exp per Function'!$V14:$V1112)</f>
        <v>0</v>
      </c>
      <c r="CE15" s="751">
        <f ca="1">SUMIF('3.Inc &amp; Exp per Function'!$D14:$D1113,'5.Cons and detailed recon'!BI15,'3.Inc &amp; Exp per Function'!$V14:$V1112)</f>
        <v>0</v>
      </c>
      <c r="CF15" s="751">
        <f ca="1">SUMIF('3.Inc &amp; Exp per Function'!$D14:$D1113,'5.Cons and detailed recon'!BJ15,'3.Inc &amp; Exp per Function'!$V14:$V1112)</f>
        <v>0</v>
      </c>
      <c r="CG15" s="748">
        <f t="shared" ca="1" si="8"/>
        <v>0</v>
      </c>
      <c r="CH15" s="794"/>
      <c r="CI15" s="791">
        <f t="shared" ca="1" si="9"/>
        <v>8572894</v>
      </c>
      <c r="CJ15" s="411">
        <f>SUMIF('4.Inc &amp; Exp Summary'!A:A,'5.Cons and detailed recon'!R15,'4.Inc &amp; Exp Summary'!M:M)</f>
        <v>8572894</v>
      </c>
      <c r="CK15" s="415">
        <f t="shared" ca="1" si="17"/>
        <v>0</v>
      </c>
      <c r="CL15" s="720"/>
      <c r="CM15" s="730"/>
      <c r="CO15" s="398" t="str">
        <f t="shared" si="10"/>
        <v>Executive and Council0800</v>
      </c>
      <c r="CP15" s="398" t="str">
        <f t="shared" si="10"/>
        <v>Finance and administration0800</v>
      </c>
      <c r="CQ15" s="398" t="str">
        <f t="shared" si="10"/>
        <v>Internal audit0800</v>
      </c>
      <c r="CR15" s="398" t="str">
        <f t="shared" si="10"/>
        <v>Community and social services0800</v>
      </c>
      <c r="CS15" s="398" t="str">
        <f t="shared" si="10"/>
        <v>Sport and recreation0800</v>
      </c>
      <c r="CT15" s="398" t="str">
        <f t="shared" si="10"/>
        <v>Public safety0800</v>
      </c>
      <c r="CU15" s="398" t="str">
        <f t="shared" si="10"/>
        <v>Housing0800</v>
      </c>
      <c r="CV15" s="398" t="str">
        <f t="shared" si="10"/>
        <v>Health0800</v>
      </c>
      <c r="CW15" s="398" t="str">
        <f t="shared" si="10"/>
        <v>Planning and development0800</v>
      </c>
      <c r="CX15" s="398" t="str">
        <f t="shared" si="10"/>
        <v>Road transport0800</v>
      </c>
      <c r="CY15" s="398" t="str">
        <f t="shared" si="10"/>
        <v>Environmental protection0800</v>
      </c>
      <c r="CZ15" s="398" t="str">
        <f t="shared" si="10"/>
        <v>Other0800</v>
      </c>
      <c r="DA15" s="398" t="str">
        <f t="shared" si="10"/>
        <v>Energy sources0800</v>
      </c>
      <c r="DB15" s="398" t="str">
        <f t="shared" si="10"/>
        <v>Water management0800</v>
      </c>
      <c r="DC15" s="398" t="str">
        <f t="shared" si="10"/>
        <v>Waste water management0800</v>
      </c>
      <c r="DD15" s="398" t="str">
        <f t="shared" si="10"/>
        <v>Waste management0800</v>
      </c>
      <c r="DE15" s="745" t="s">
        <v>685</v>
      </c>
      <c r="DF15" s="745" t="s">
        <v>685</v>
      </c>
      <c r="DG15" s="735"/>
      <c r="DH15" s="748" t="s">
        <v>6</v>
      </c>
      <c r="DI15" s="751">
        <f ca="1">SUMIF('3.Inc &amp; Exp per Function'!$D14:$D1113,'5.Cons and detailed recon'!CO15,'3.Inc &amp; Exp per Function'!$W14:$W1112)</f>
        <v>0</v>
      </c>
      <c r="DJ15" s="751">
        <f ca="1">SUMIF('3.Inc &amp; Exp per Function'!$D14:$D1113,'5.Cons and detailed recon'!CP15,'3.Inc &amp; Exp per Function'!$W14:$W1112)</f>
        <v>0</v>
      </c>
      <c r="DK15" s="751">
        <f ca="1">SUMIF('3.Inc &amp; Exp per Function'!$D14:$D1113,'5.Cons and detailed recon'!CQ15,'3.Inc &amp; Exp per Function'!$W14:$W1112)</f>
        <v>0</v>
      </c>
      <c r="DL15" s="413">
        <f t="shared" ca="1" si="11"/>
        <v>0</v>
      </c>
      <c r="DM15" s="751">
        <f ca="1">SUMIF('3.Inc &amp; Exp per Function'!$D14:$D1113,'5.Cons and detailed recon'!CR15,'3.Inc &amp; Exp per Function'!$W14:$W1112)</f>
        <v>0</v>
      </c>
      <c r="DN15" s="751">
        <f ca="1">SUMIF('3.Inc &amp; Exp per Function'!$D14:$D1113,'5.Cons and detailed recon'!CS15,'3.Inc &amp; Exp per Function'!$W14:$W1112)</f>
        <v>0</v>
      </c>
      <c r="DO15" s="751">
        <f ca="1">SUMIF('3.Inc &amp; Exp per Function'!$D14:$D1113,'5.Cons and detailed recon'!CT15,'3.Inc &amp; Exp per Function'!$W14:$W1112)</f>
        <v>0</v>
      </c>
      <c r="DP15" s="751">
        <f ca="1">SUMIF('3.Inc &amp; Exp per Function'!$D14:$D1113,'5.Cons and detailed recon'!CU15,'3.Inc &amp; Exp per Function'!$W14:$W1112)</f>
        <v>0</v>
      </c>
      <c r="DQ15" s="751">
        <f ca="1">SUMIF('3.Inc &amp; Exp per Function'!$D14:$D1113,'5.Cons and detailed recon'!CV15,'3.Inc &amp; Exp per Function'!$W14:$W1112)</f>
        <v>0</v>
      </c>
      <c r="DR15" s="751">
        <f ca="1">SUMIF('3.Inc &amp; Exp per Function'!$D14:$D1113,'5.Cons and detailed recon'!CW15,'3.Inc &amp; Exp per Function'!$W14:$W1112)</f>
        <v>0</v>
      </c>
      <c r="DS15" s="751">
        <f ca="1">SUMIF('3.Inc &amp; Exp per Function'!$D14:$D1113,'5.Cons and detailed recon'!CX15,'3.Inc &amp; Exp per Function'!$W14:$W1112)</f>
        <v>8847228</v>
      </c>
      <c r="DT15" s="751">
        <f ca="1">SUMIF('3.Inc &amp; Exp per Function'!$D14:$D1113,'5.Cons and detailed recon'!CY15,'3.Inc &amp; Exp per Function'!$W14:$W1112)</f>
        <v>0</v>
      </c>
      <c r="DU15" s="751">
        <f ca="1">SUMIF('3.Inc &amp; Exp per Function'!$D14:$D1113,'5.Cons and detailed recon'!CZ15,'3.Inc &amp; Exp per Function'!$W14:$W1112)</f>
        <v>0</v>
      </c>
      <c r="DV15" s="413">
        <f t="shared" ca="1" si="12"/>
        <v>8847228</v>
      </c>
      <c r="DW15" s="751">
        <f ca="1">SUMIF('3.Inc &amp; Exp per Function'!$D14:$D1113,'5.Cons and detailed recon'!DA15,'3.Inc &amp; Exp per Function'!$W14:$W1112)</f>
        <v>0</v>
      </c>
      <c r="DX15" s="751">
        <f ca="1">SUMIF('3.Inc &amp; Exp per Function'!$D14:$D1113,'5.Cons and detailed recon'!DB15,'3.Inc &amp; Exp per Function'!$W14:$W1112)</f>
        <v>0</v>
      </c>
      <c r="DY15" s="751">
        <f ca="1">SUMIF('3.Inc &amp; Exp per Function'!$D14:$D1113,'5.Cons and detailed recon'!DC15,'3.Inc &amp; Exp per Function'!$W14:$W1112)</f>
        <v>0</v>
      </c>
      <c r="DZ15" s="751">
        <f ca="1">SUMIF('3.Inc &amp; Exp per Function'!$D14:$D1113,'5.Cons and detailed recon'!DD15,'3.Inc &amp; Exp per Function'!$W14:$W1112)</f>
        <v>0</v>
      </c>
      <c r="EA15" s="748">
        <f t="shared" ca="1" si="13"/>
        <v>0</v>
      </c>
      <c r="EB15" s="794"/>
      <c r="EC15" s="791">
        <f t="shared" ca="1" si="14"/>
        <v>8847228</v>
      </c>
      <c r="ED15" s="414">
        <f>SUMIF('4.Inc &amp; Exp Summary'!A:A,'5.Cons and detailed recon'!DF15,'4.Inc &amp; Exp Summary'!N:N)</f>
        <v>8847226.6079999991</v>
      </c>
      <c r="EE15" s="415">
        <f t="shared" ca="1" si="15"/>
        <v>1.392000000923872</v>
      </c>
      <c r="EF15" s="720"/>
      <c r="EG15" s="980"/>
      <c r="EH15" s="980"/>
      <c r="EI15" s="980"/>
      <c r="EJ15" s="980"/>
      <c r="EK15" s="980"/>
      <c r="EL15" s="980"/>
      <c r="EM15" s="980"/>
      <c r="EN15" s="980"/>
      <c r="EO15" s="980"/>
      <c r="EP15" s="980"/>
      <c r="EQ15" s="980"/>
      <c r="ER15" s="980"/>
      <c r="ES15" s="980"/>
      <c r="ET15" s="980"/>
      <c r="EU15" s="980"/>
      <c r="EV15" s="980"/>
      <c r="EW15" s="980"/>
      <c r="EX15" s="980"/>
      <c r="EY15" s="980"/>
      <c r="EZ15" s="980"/>
      <c r="FA15" s="980"/>
      <c r="FB15" s="980"/>
      <c r="FC15" s="980"/>
      <c r="FD15" s="980"/>
      <c r="FE15" s="980"/>
      <c r="FF15" s="980"/>
      <c r="FG15" s="980"/>
      <c r="FH15" s="980"/>
      <c r="FI15" s="980"/>
      <c r="FJ15" s="980"/>
      <c r="FK15" s="980"/>
      <c r="FL15" s="980"/>
      <c r="FM15" s="980"/>
      <c r="FN15" s="980"/>
      <c r="FO15" s="980"/>
      <c r="FP15" s="980"/>
      <c r="FQ15" s="980"/>
      <c r="FR15" s="980"/>
      <c r="FS15" s="980"/>
      <c r="FT15" s="980"/>
      <c r="FU15" s="980"/>
      <c r="FV15" s="980"/>
      <c r="FW15" s="980"/>
      <c r="FX15" s="980"/>
      <c r="FY15" s="980"/>
      <c r="FZ15" s="980"/>
      <c r="GA15" s="980"/>
      <c r="GB15" s="980"/>
      <c r="GC15" s="980"/>
      <c r="GD15" s="980"/>
      <c r="GE15" s="980"/>
      <c r="GF15" s="980"/>
      <c r="GG15" s="980"/>
      <c r="GH15" s="980"/>
      <c r="GI15" s="980"/>
      <c r="GJ15" s="980"/>
      <c r="GK15" s="980"/>
      <c r="GL15" s="980"/>
      <c r="GM15" s="980"/>
      <c r="GN15" s="980"/>
      <c r="GO15" s="980"/>
      <c r="GP15" s="980"/>
      <c r="GQ15" s="980"/>
      <c r="GR15" s="980"/>
      <c r="GS15" s="980"/>
      <c r="GT15" s="980"/>
      <c r="GU15" s="980"/>
      <c r="GV15" s="980"/>
      <c r="GW15" s="980"/>
      <c r="GX15" s="980"/>
      <c r="GY15" s="980"/>
      <c r="GZ15" s="980"/>
      <c r="HA15" s="980"/>
      <c r="HB15" s="980"/>
      <c r="HC15" s="980"/>
      <c r="HD15" s="980"/>
      <c r="HE15" s="980"/>
      <c r="HF15" s="980"/>
      <c r="HG15" s="980"/>
      <c r="HH15" s="980"/>
      <c r="HI15" s="980"/>
      <c r="HJ15" s="980"/>
      <c r="HK15" s="980"/>
      <c r="HL15" s="980"/>
      <c r="HM15" s="980"/>
      <c r="HN15" s="980"/>
      <c r="HO15" s="980"/>
      <c r="HP15" s="980"/>
      <c r="HQ15" s="980"/>
      <c r="HR15" s="980"/>
      <c r="HS15" s="980"/>
      <c r="HT15" s="980"/>
      <c r="HU15" s="980"/>
      <c r="HV15" s="980"/>
      <c r="HW15" s="980"/>
      <c r="HX15" s="980"/>
      <c r="HY15" s="980"/>
      <c r="HZ15" s="980"/>
      <c r="IA15" s="980"/>
      <c r="IB15" s="980"/>
      <c r="IC15" s="980"/>
      <c r="ID15" s="980"/>
      <c r="IE15" s="980"/>
      <c r="IF15" s="980"/>
      <c r="IG15" s="980"/>
      <c r="IH15" s="980"/>
      <c r="II15" s="980"/>
      <c r="IJ15" s="980"/>
      <c r="IK15" s="980"/>
      <c r="IL15" s="980"/>
      <c r="IM15" s="980"/>
      <c r="IN15" s="980"/>
      <c r="IO15" s="980"/>
      <c r="IP15" s="980"/>
      <c r="IQ15" s="980"/>
      <c r="IR15" s="980"/>
      <c r="IS15" s="980"/>
      <c r="IT15" s="980"/>
      <c r="IU15" s="980"/>
      <c r="IV15" s="980"/>
    </row>
    <row r="16" spans="1:256" s="409" customFormat="1" ht="12" customHeight="1" x14ac:dyDescent="0.55000000000000004">
      <c r="A16" s="398" t="str">
        <f t="shared" si="1"/>
        <v>Executive and Council0900</v>
      </c>
      <c r="B16" s="398" t="str">
        <f t="shared" si="2"/>
        <v>Finance and administration0900</v>
      </c>
      <c r="C16" s="398" t="str">
        <f t="shared" si="2"/>
        <v>Internal audit0900</v>
      </c>
      <c r="D16" s="398" t="str">
        <f t="shared" si="2"/>
        <v>Community and social services0900</v>
      </c>
      <c r="E16" s="398" t="str">
        <f t="shared" si="2"/>
        <v>Sport and recreation0900</v>
      </c>
      <c r="F16" s="398" t="str">
        <f t="shared" si="2"/>
        <v>Public safety0900</v>
      </c>
      <c r="G16" s="398" t="str">
        <f t="shared" si="2"/>
        <v>Housing0900</v>
      </c>
      <c r="H16" s="398" t="str">
        <f t="shared" si="2"/>
        <v>Health0900</v>
      </c>
      <c r="I16" s="398" t="str">
        <f t="shared" si="2"/>
        <v>Planning and development0900</v>
      </c>
      <c r="J16" s="398" t="str">
        <f t="shared" si="2"/>
        <v>Road transport0900</v>
      </c>
      <c r="K16" s="398" t="str">
        <f t="shared" si="2"/>
        <v>Environmental protection0900</v>
      </c>
      <c r="L16" s="398" t="str">
        <f t="shared" si="2"/>
        <v>Other0900</v>
      </c>
      <c r="M16" s="398" t="str">
        <f t="shared" si="2"/>
        <v>Energy sources0900</v>
      </c>
      <c r="N16" s="398" t="str">
        <f t="shared" si="2"/>
        <v>Water management0900</v>
      </c>
      <c r="O16" s="398" t="str">
        <f t="shared" si="2"/>
        <v>Waste water management0900</v>
      </c>
      <c r="P16" s="398" t="str">
        <f t="shared" si="2"/>
        <v>Waste management0900</v>
      </c>
      <c r="Q16" s="745" t="s">
        <v>686</v>
      </c>
      <c r="R16" s="745" t="s">
        <v>686</v>
      </c>
      <c r="S16" s="994"/>
      <c r="T16" s="748" t="s">
        <v>687</v>
      </c>
      <c r="U16" s="804">
        <f ca="1">SUMIF('3.Inc &amp; Exp per Function'!$D15:$D1114,'5.Cons and detailed recon'!A16,'3.Inc &amp; Exp per Function'!$U15:$U1113)</f>
        <v>0</v>
      </c>
      <c r="V16" s="804">
        <f ca="1">SUMIF('3.Inc &amp; Exp per Function'!$D15:$D1114,'5.Cons and detailed recon'!B16,'3.Inc &amp; Exp per Function'!$U15:$U1113)</f>
        <v>0</v>
      </c>
      <c r="W16" s="804">
        <f ca="1">SUMIF('3.Inc &amp; Exp per Function'!$D15:$D1114,'5.Cons and detailed recon'!C16,'3.Inc &amp; Exp per Function'!$U15:$U1113)</f>
        <v>0</v>
      </c>
      <c r="X16" s="413">
        <f t="shared" ca="1" si="16"/>
        <v>0</v>
      </c>
      <c r="Y16" s="1326">
        <f ca="1">SUMIF('3.Inc &amp; Exp per Function'!$D15:$D1114,'5.Cons and detailed recon'!D16,'3.Inc &amp; Exp per Function'!$U15:$U1113)</f>
        <v>0</v>
      </c>
      <c r="Z16" s="1326">
        <f ca="1">SUMIF('3.Inc &amp; Exp per Function'!$D15:$D1114,'5.Cons and detailed recon'!E16,'3.Inc &amp; Exp per Function'!$U15:$U1113)</f>
        <v>0</v>
      </c>
      <c r="AA16" s="1326">
        <f ca="1">SUMIF('3.Inc &amp; Exp per Function'!$D15:$D1114,'5.Cons and detailed recon'!F16,'3.Inc &amp; Exp per Function'!$U15:$U1113)</f>
        <v>0</v>
      </c>
      <c r="AB16" s="1326">
        <f ca="1">SUMIF('3.Inc &amp; Exp per Function'!$D15:$D1114,'5.Cons and detailed recon'!G16,'3.Inc &amp; Exp per Function'!$U15:$U1113)</f>
        <v>0</v>
      </c>
      <c r="AC16" s="1326">
        <f ca="1">SUMIF('3.Inc &amp; Exp per Function'!$D15:$D1114,'5.Cons and detailed recon'!H16,'3.Inc &amp; Exp per Function'!$U15:$U1113)</f>
        <v>0</v>
      </c>
      <c r="AD16" s="1326">
        <f ca="1">SUMIF('3.Inc &amp; Exp per Function'!$D15:$D1114,'5.Cons and detailed recon'!I16,'3.Inc &amp; Exp per Function'!$U15:$U1113)</f>
        <v>0</v>
      </c>
      <c r="AE16" s="1326">
        <f ca="1">SUMIF('3.Inc &amp; Exp per Function'!$D15:$D1114,'5.Cons and detailed recon'!J16,'3.Inc &amp; Exp per Function'!$U15:$U1113)</f>
        <v>0</v>
      </c>
      <c r="AF16" s="1326">
        <f ca="1">SUMIF('3.Inc &amp; Exp per Function'!$D15:$D1114,'5.Cons and detailed recon'!K16,'3.Inc &amp; Exp per Function'!$U15:$U1113)</f>
        <v>0</v>
      </c>
      <c r="AG16" s="1326">
        <f ca="1">SUMIF('3.Inc &amp; Exp per Function'!$D15:$D1114,'5.Cons and detailed recon'!L16,'3.Inc &amp; Exp per Function'!$U15:$U1113)</f>
        <v>0</v>
      </c>
      <c r="AH16" s="413">
        <f t="shared" ca="1" si="3"/>
        <v>0</v>
      </c>
      <c r="AI16" s="804">
        <f ca="1">SUMIF('3.Inc &amp; Exp per Function'!$D15:$D1114,'5.Cons and detailed recon'!M16,'3.Inc &amp; Exp per Function'!$U15:$U1113)</f>
        <v>0</v>
      </c>
      <c r="AJ16" s="804">
        <f ca="1">SUMIF('3.Inc &amp; Exp per Function'!$D15:$D1114,'5.Cons and detailed recon'!N16,'3.Inc &amp; Exp per Function'!$U15:$U1113)</f>
        <v>0</v>
      </c>
      <c r="AK16" s="804">
        <f ca="1">SUMIF('3.Inc &amp; Exp per Function'!$D15:$D1114,'5.Cons and detailed recon'!O16,'3.Inc &amp; Exp per Function'!$U15:$U1113)</f>
        <v>0</v>
      </c>
      <c r="AL16" s="804">
        <f ca="1">SUMIF('3.Inc &amp; Exp per Function'!$D15:$D1114,'5.Cons and detailed recon'!P16,'3.Inc &amp; Exp per Function'!$U15:$U1113)</f>
        <v>0</v>
      </c>
      <c r="AM16" s="748">
        <f t="shared" ca="1" si="0"/>
        <v>0</v>
      </c>
      <c r="AN16" s="794"/>
      <c r="AO16" s="791">
        <f t="shared" ca="1" si="18"/>
        <v>0</v>
      </c>
      <c r="AP16" s="414">
        <f>SUMIF('4.Inc &amp; Exp Summary'!A:A,'5.Cons and detailed recon'!R16,'4.Inc &amp; Exp Summary'!L:L)</f>
        <v>0</v>
      </c>
      <c r="AQ16" s="415">
        <f t="shared" ca="1" si="4"/>
        <v>0</v>
      </c>
      <c r="AR16" s="720"/>
      <c r="AS16" s="730"/>
      <c r="AT16" s="408"/>
      <c r="AU16" s="398" t="str">
        <f t="shared" si="5"/>
        <v>Executive and Council0900</v>
      </c>
      <c r="AV16" s="398" t="str">
        <f t="shared" si="5"/>
        <v>Finance and administration0900</v>
      </c>
      <c r="AW16" s="398" t="str">
        <f t="shared" si="5"/>
        <v>Internal audit0900</v>
      </c>
      <c r="AX16" s="398" t="str">
        <f t="shared" si="5"/>
        <v>Community and social services0900</v>
      </c>
      <c r="AY16" s="398" t="str">
        <f t="shared" si="5"/>
        <v>Sport and recreation0900</v>
      </c>
      <c r="AZ16" s="398" t="str">
        <f t="shared" si="5"/>
        <v>Public safety0900</v>
      </c>
      <c r="BA16" s="398" t="str">
        <f t="shared" si="5"/>
        <v>Housing0900</v>
      </c>
      <c r="BB16" s="398" t="str">
        <f t="shared" si="5"/>
        <v>Health0900</v>
      </c>
      <c r="BC16" s="398" t="str">
        <f t="shared" si="5"/>
        <v>Planning and development0900</v>
      </c>
      <c r="BD16" s="398" t="str">
        <f t="shared" si="5"/>
        <v>Road transport0900</v>
      </c>
      <c r="BE16" s="398" t="str">
        <f t="shared" si="5"/>
        <v>Environmental protection0900</v>
      </c>
      <c r="BF16" s="398" t="str">
        <f t="shared" si="5"/>
        <v>Other0900</v>
      </c>
      <c r="BG16" s="398" t="str">
        <f t="shared" si="5"/>
        <v>Energy sources0900</v>
      </c>
      <c r="BH16" s="398" t="str">
        <f t="shared" si="5"/>
        <v>Water management0900</v>
      </c>
      <c r="BI16" s="398" t="str">
        <f t="shared" si="5"/>
        <v>Waste water management0900</v>
      </c>
      <c r="BJ16" s="398" t="str">
        <f t="shared" si="5"/>
        <v>Waste management0900</v>
      </c>
      <c r="BK16" s="745" t="s">
        <v>686</v>
      </c>
      <c r="BL16" s="745" t="s">
        <v>686</v>
      </c>
      <c r="BM16" s="735"/>
      <c r="BN16" s="748" t="s">
        <v>687</v>
      </c>
      <c r="BO16" s="751">
        <f ca="1">SUMIF('3.Inc &amp; Exp per Function'!$D15:$D1114,'5.Cons and detailed recon'!AU16,'3.Inc &amp; Exp per Function'!$V15:$V1113)</f>
        <v>0</v>
      </c>
      <c r="BP16" s="751">
        <f ca="1">SUMIF('3.Inc &amp; Exp per Function'!$D15:$D1114,'5.Cons and detailed recon'!AV16,'3.Inc &amp; Exp per Function'!$V15:$V1113)</f>
        <v>0</v>
      </c>
      <c r="BQ16" s="751">
        <f ca="1">SUMIF('3.Inc &amp; Exp per Function'!$D15:$D1114,'5.Cons and detailed recon'!AW16,'3.Inc &amp; Exp per Function'!$V15:$V1113)</f>
        <v>0</v>
      </c>
      <c r="BR16" s="413">
        <f t="shared" ca="1" si="6"/>
        <v>0</v>
      </c>
      <c r="BS16" s="751">
        <f ca="1">SUMIF('3.Inc &amp; Exp per Function'!$D15:$D1114,'5.Cons and detailed recon'!AX16,'3.Inc &amp; Exp per Function'!$V15:$V1113)</f>
        <v>0</v>
      </c>
      <c r="BT16" s="751">
        <f ca="1">SUMIF('3.Inc &amp; Exp per Function'!$D15:$D1114,'5.Cons and detailed recon'!AY16,'3.Inc &amp; Exp per Function'!$V15:$V1113)</f>
        <v>0</v>
      </c>
      <c r="BU16" s="751">
        <f ca="1">SUMIF('3.Inc &amp; Exp per Function'!$D15:$D1114,'5.Cons and detailed recon'!AZ16,'3.Inc &amp; Exp per Function'!$V15:$V1113)</f>
        <v>0</v>
      </c>
      <c r="BV16" s="751">
        <f ca="1">SUMIF('3.Inc &amp; Exp per Function'!$D15:$D1114,'5.Cons and detailed recon'!BA16,'3.Inc &amp; Exp per Function'!$V15:$V1113)</f>
        <v>0</v>
      </c>
      <c r="BW16" s="751">
        <f ca="1">SUMIF('3.Inc &amp; Exp per Function'!$D15:$D1114,'5.Cons and detailed recon'!BB16,'3.Inc &amp; Exp per Function'!$V15:$V1113)</f>
        <v>0</v>
      </c>
      <c r="BX16" s="751">
        <f ca="1">SUMIF('3.Inc &amp; Exp per Function'!$D15:$D1114,'5.Cons and detailed recon'!BC16,'3.Inc &amp; Exp per Function'!$V15:$V1113)</f>
        <v>0</v>
      </c>
      <c r="BY16" s="751">
        <f ca="1">SUMIF('3.Inc &amp; Exp per Function'!$D15:$D1114,'5.Cons and detailed recon'!BD16,'3.Inc &amp; Exp per Function'!$V15:$V1113)</f>
        <v>0</v>
      </c>
      <c r="BZ16" s="751">
        <f ca="1">SUMIF('3.Inc &amp; Exp per Function'!$D15:$D1114,'5.Cons and detailed recon'!BE16,'3.Inc &amp; Exp per Function'!$V15:$V1113)</f>
        <v>0</v>
      </c>
      <c r="CA16" s="751">
        <f ca="1">SUMIF('3.Inc &amp; Exp per Function'!$D15:$D1114,'5.Cons and detailed recon'!BF16,'3.Inc &amp; Exp per Function'!$V15:$V1113)</f>
        <v>0</v>
      </c>
      <c r="CB16" s="413">
        <f t="shared" ca="1" si="7"/>
        <v>0</v>
      </c>
      <c r="CC16" s="751">
        <f ca="1">SUMIF('3.Inc &amp; Exp per Function'!$D15:$D1114,'5.Cons and detailed recon'!BG16,'3.Inc &amp; Exp per Function'!$V15:$V1113)</f>
        <v>0</v>
      </c>
      <c r="CD16" s="751">
        <f ca="1">SUMIF('3.Inc &amp; Exp per Function'!$D15:$D1114,'5.Cons and detailed recon'!BH16,'3.Inc &amp; Exp per Function'!$V15:$V1113)</f>
        <v>0</v>
      </c>
      <c r="CE16" s="751">
        <f ca="1">SUMIF('3.Inc &amp; Exp per Function'!$D15:$D1114,'5.Cons and detailed recon'!BI16,'3.Inc &amp; Exp per Function'!$V15:$V1113)</f>
        <v>0</v>
      </c>
      <c r="CF16" s="751">
        <f ca="1">SUMIF('3.Inc &amp; Exp per Function'!$D15:$D1114,'5.Cons and detailed recon'!BJ16,'3.Inc &amp; Exp per Function'!$V15:$V1113)</f>
        <v>0</v>
      </c>
      <c r="CG16" s="748">
        <f t="shared" ca="1" si="8"/>
        <v>0</v>
      </c>
      <c r="CH16" s="794"/>
      <c r="CI16" s="791">
        <f t="shared" ca="1" si="9"/>
        <v>0</v>
      </c>
      <c r="CJ16" s="411">
        <f>SUMIF('4.Inc &amp; Exp Summary'!A:A,'5.Cons and detailed recon'!R16,'4.Inc &amp; Exp Summary'!M:M)</f>
        <v>0</v>
      </c>
      <c r="CK16" s="415">
        <f t="shared" ca="1" si="17"/>
        <v>0</v>
      </c>
      <c r="CL16" s="720"/>
      <c r="CM16" s="730"/>
      <c r="CO16" s="398" t="str">
        <f t="shared" si="10"/>
        <v>Executive and Council0900</v>
      </c>
      <c r="CP16" s="398" t="str">
        <f t="shared" si="10"/>
        <v>Finance and administration0900</v>
      </c>
      <c r="CQ16" s="398" t="str">
        <f t="shared" si="10"/>
        <v>Internal audit0900</v>
      </c>
      <c r="CR16" s="398" t="str">
        <f t="shared" si="10"/>
        <v>Community and social services0900</v>
      </c>
      <c r="CS16" s="398" t="str">
        <f t="shared" si="10"/>
        <v>Sport and recreation0900</v>
      </c>
      <c r="CT16" s="398" t="str">
        <f t="shared" si="10"/>
        <v>Public safety0900</v>
      </c>
      <c r="CU16" s="398" t="str">
        <f t="shared" si="10"/>
        <v>Housing0900</v>
      </c>
      <c r="CV16" s="398" t="str">
        <f t="shared" si="10"/>
        <v>Health0900</v>
      </c>
      <c r="CW16" s="398" t="str">
        <f t="shared" si="10"/>
        <v>Planning and development0900</v>
      </c>
      <c r="CX16" s="398" t="str">
        <f t="shared" si="10"/>
        <v>Road transport0900</v>
      </c>
      <c r="CY16" s="398" t="str">
        <f t="shared" si="10"/>
        <v>Environmental protection0900</v>
      </c>
      <c r="CZ16" s="398" t="str">
        <f t="shared" si="10"/>
        <v>Other0900</v>
      </c>
      <c r="DA16" s="398" t="str">
        <f t="shared" si="10"/>
        <v>Energy sources0900</v>
      </c>
      <c r="DB16" s="398" t="str">
        <f t="shared" si="10"/>
        <v>Water management0900</v>
      </c>
      <c r="DC16" s="398" t="str">
        <f t="shared" si="10"/>
        <v>Waste water management0900</v>
      </c>
      <c r="DD16" s="398" t="str">
        <f t="shared" si="10"/>
        <v>Waste management0900</v>
      </c>
      <c r="DE16" s="745" t="s">
        <v>686</v>
      </c>
      <c r="DF16" s="745" t="s">
        <v>686</v>
      </c>
      <c r="DG16" s="735"/>
      <c r="DH16" s="748" t="s">
        <v>687</v>
      </c>
      <c r="DI16" s="751">
        <f ca="1">SUMIF('3.Inc &amp; Exp per Function'!$D15:$D1114,'5.Cons and detailed recon'!CO16,'3.Inc &amp; Exp per Function'!$W15:$W1113)</f>
        <v>0</v>
      </c>
      <c r="DJ16" s="751">
        <f ca="1">SUMIF('3.Inc &amp; Exp per Function'!$D15:$D1114,'5.Cons and detailed recon'!CP16,'3.Inc &amp; Exp per Function'!$W15:$W1113)</f>
        <v>0</v>
      </c>
      <c r="DK16" s="751">
        <f ca="1">SUMIF('3.Inc &amp; Exp per Function'!$D15:$D1114,'5.Cons and detailed recon'!CQ16,'3.Inc &amp; Exp per Function'!$W15:$W1113)</f>
        <v>0</v>
      </c>
      <c r="DL16" s="413">
        <f t="shared" ca="1" si="11"/>
        <v>0</v>
      </c>
      <c r="DM16" s="751">
        <f ca="1">SUMIF('3.Inc &amp; Exp per Function'!$D15:$D1114,'5.Cons and detailed recon'!CR16,'3.Inc &amp; Exp per Function'!$W15:$W1113)</f>
        <v>0</v>
      </c>
      <c r="DN16" s="751">
        <f ca="1">SUMIF('3.Inc &amp; Exp per Function'!$D15:$D1114,'5.Cons and detailed recon'!CS16,'3.Inc &amp; Exp per Function'!$W15:$W1113)</f>
        <v>0</v>
      </c>
      <c r="DO16" s="751">
        <f ca="1">SUMIF('3.Inc &amp; Exp per Function'!$D15:$D1114,'5.Cons and detailed recon'!CT16,'3.Inc &amp; Exp per Function'!$W15:$W1113)</f>
        <v>0</v>
      </c>
      <c r="DP16" s="751">
        <f ca="1">SUMIF('3.Inc &amp; Exp per Function'!$D15:$D1114,'5.Cons and detailed recon'!CU16,'3.Inc &amp; Exp per Function'!$W15:$W1113)</f>
        <v>0</v>
      </c>
      <c r="DQ16" s="751">
        <f ca="1">SUMIF('3.Inc &amp; Exp per Function'!$D15:$D1114,'5.Cons and detailed recon'!CV16,'3.Inc &amp; Exp per Function'!$W15:$W1113)</f>
        <v>0</v>
      </c>
      <c r="DR16" s="751">
        <f ca="1">SUMIF('3.Inc &amp; Exp per Function'!$D15:$D1114,'5.Cons and detailed recon'!CW16,'3.Inc &amp; Exp per Function'!$W15:$W1113)</f>
        <v>0</v>
      </c>
      <c r="DS16" s="751">
        <f ca="1">SUMIF('3.Inc &amp; Exp per Function'!$D15:$D1114,'5.Cons and detailed recon'!CX16,'3.Inc &amp; Exp per Function'!$W15:$W1113)</f>
        <v>0</v>
      </c>
      <c r="DT16" s="751">
        <f ca="1">SUMIF('3.Inc &amp; Exp per Function'!$D15:$D1114,'5.Cons and detailed recon'!CY16,'3.Inc &amp; Exp per Function'!$W15:$W1113)</f>
        <v>0</v>
      </c>
      <c r="DU16" s="751">
        <f ca="1">SUMIF('3.Inc &amp; Exp per Function'!$D15:$D1114,'5.Cons and detailed recon'!CZ16,'3.Inc &amp; Exp per Function'!$W15:$W1113)</f>
        <v>0</v>
      </c>
      <c r="DV16" s="413">
        <f t="shared" ca="1" si="12"/>
        <v>0</v>
      </c>
      <c r="DW16" s="751">
        <f ca="1">SUMIF('3.Inc &amp; Exp per Function'!$D15:$D1114,'5.Cons and detailed recon'!DA16,'3.Inc &amp; Exp per Function'!$W15:$W1113)</f>
        <v>0</v>
      </c>
      <c r="DX16" s="751">
        <f ca="1">SUMIF('3.Inc &amp; Exp per Function'!$D15:$D1114,'5.Cons and detailed recon'!DB16,'3.Inc &amp; Exp per Function'!$W15:$W1113)</f>
        <v>0</v>
      </c>
      <c r="DY16" s="751">
        <f ca="1">SUMIF('3.Inc &amp; Exp per Function'!$D15:$D1114,'5.Cons and detailed recon'!DC16,'3.Inc &amp; Exp per Function'!$W15:$W1113)</f>
        <v>0</v>
      </c>
      <c r="DZ16" s="751">
        <f ca="1">SUMIF('3.Inc &amp; Exp per Function'!$D15:$D1114,'5.Cons and detailed recon'!DD16,'3.Inc &amp; Exp per Function'!$W15:$W1113)</f>
        <v>0</v>
      </c>
      <c r="EA16" s="748">
        <f t="shared" ca="1" si="13"/>
        <v>0</v>
      </c>
      <c r="EB16" s="794"/>
      <c r="EC16" s="791">
        <f t="shared" ca="1" si="14"/>
        <v>0</v>
      </c>
      <c r="ED16" s="414">
        <f>SUMIF('4.Inc &amp; Exp Summary'!A:A,'5.Cons and detailed recon'!DF16,'4.Inc &amp; Exp Summary'!N:N)</f>
        <v>0</v>
      </c>
      <c r="EE16" s="415">
        <f t="shared" ca="1" si="15"/>
        <v>0</v>
      </c>
      <c r="EF16" s="720"/>
      <c r="EG16" s="980"/>
      <c r="EH16" s="980"/>
      <c r="EI16" s="980"/>
      <c r="EJ16" s="980"/>
      <c r="EK16" s="980"/>
      <c r="EL16" s="980"/>
      <c r="EM16" s="980"/>
      <c r="EN16" s="980"/>
      <c r="EO16" s="980"/>
      <c r="EP16" s="980"/>
      <c r="EQ16" s="980"/>
      <c r="ER16" s="980"/>
      <c r="ES16" s="980"/>
      <c r="ET16" s="980"/>
      <c r="EU16" s="980"/>
      <c r="EV16" s="980"/>
      <c r="EW16" s="980"/>
      <c r="EX16" s="980"/>
      <c r="EY16" s="980"/>
      <c r="EZ16" s="980"/>
      <c r="FA16" s="980"/>
      <c r="FB16" s="980"/>
      <c r="FC16" s="980"/>
      <c r="FD16" s="980"/>
      <c r="FE16" s="980"/>
      <c r="FF16" s="980"/>
      <c r="FG16" s="980"/>
      <c r="FH16" s="980"/>
      <c r="FI16" s="980"/>
      <c r="FJ16" s="980"/>
      <c r="FK16" s="980"/>
      <c r="FL16" s="980"/>
      <c r="FM16" s="980"/>
      <c r="FN16" s="980"/>
      <c r="FO16" s="980"/>
      <c r="FP16" s="980"/>
      <c r="FQ16" s="980"/>
      <c r="FR16" s="980"/>
      <c r="FS16" s="980"/>
      <c r="FT16" s="980"/>
      <c r="FU16" s="980"/>
      <c r="FV16" s="980"/>
      <c r="FW16" s="980"/>
      <c r="FX16" s="980"/>
      <c r="FY16" s="980"/>
      <c r="FZ16" s="980"/>
      <c r="GA16" s="980"/>
      <c r="GB16" s="980"/>
      <c r="GC16" s="980"/>
      <c r="GD16" s="980"/>
      <c r="GE16" s="980"/>
      <c r="GF16" s="980"/>
      <c r="GG16" s="980"/>
      <c r="GH16" s="980"/>
      <c r="GI16" s="980"/>
      <c r="GJ16" s="980"/>
      <c r="GK16" s="980"/>
      <c r="GL16" s="980"/>
      <c r="GM16" s="980"/>
      <c r="GN16" s="980"/>
      <c r="GO16" s="980"/>
      <c r="GP16" s="980"/>
      <c r="GQ16" s="980"/>
      <c r="GR16" s="980"/>
      <c r="GS16" s="980"/>
      <c r="GT16" s="980"/>
      <c r="GU16" s="980"/>
      <c r="GV16" s="980"/>
      <c r="GW16" s="980"/>
      <c r="GX16" s="980"/>
      <c r="GY16" s="980"/>
      <c r="GZ16" s="980"/>
      <c r="HA16" s="980"/>
      <c r="HB16" s="980"/>
      <c r="HC16" s="980"/>
      <c r="HD16" s="980"/>
      <c r="HE16" s="980"/>
      <c r="HF16" s="980"/>
      <c r="HG16" s="980"/>
      <c r="HH16" s="980"/>
      <c r="HI16" s="980"/>
      <c r="HJ16" s="980"/>
      <c r="HK16" s="980"/>
      <c r="HL16" s="980"/>
      <c r="HM16" s="980"/>
      <c r="HN16" s="980"/>
      <c r="HO16" s="980"/>
      <c r="HP16" s="980"/>
      <c r="HQ16" s="980"/>
      <c r="HR16" s="980"/>
      <c r="HS16" s="980"/>
      <c r="HT16" s="980"/>
      <c r="HU16" s="980"/>
      <c r="HV16" s="980"/>
      <c r="HW16" s="980"/>
      <c r="HX16" s="980"/>
      <c r="HY16" s="980"/>
      <c r="HZ16" s="980"/>
      <c r="IA16" s="980"/>
      <c r="IB16" s="980"/>
      <c r="IC16" s="980"/>
      <c r="ID16" s="980"/>
      <c r="IE16" s="980"/>
      <c r="IF16" s="980"/>
      <c r="IG16" s="980"/>
      <c r="IH16" s="980"/>
      <c r="II16" s="980"/>
      <c r="IJ16" s="980"/>
      <c r="IK16" s="980"/>
      <c r="IL16" s="980"/>
      <c r="IM16" s="980"/>
      <c r="IN16" s="980"/>
      <c r="IO16" s="980"/>
      <c r="IP16" s="980"/>
      <c r="IQ16" s="980"/>
      <c r="IR16" s="980"/>
      <c r="IS16" s="980"/>
      <c r="IT16" s="980"/>
      <c r="IU16" s="980"/>
      <c r="IV16" s="980"/>
    </row>
    <row r="17" spans="1:256" s="409" customFormat="1" ht="12" customHeight="1" x14ac:dyDescent="0.55000000000000004">
      <c r="A17" s="398" t="str">
        <f t="shared" si="1"/>
        <v>Executive and Council1000</v>
      </c>
      <c r="B17" s="398" t="str">
        <f t="shared" si="2"/>
        <v>Finance and administration1000</v>
      </c>
      <c r="C17" s="398" t="str">
        <f t="shared" si="2"/>
        <v>Internal audit1000</v>
      </c>
      <c r="D17" s="398" t="str">
        <f t="shared" si="2"/>
        <v>Community and social services1000</v>
      </c>
      <c r="E17" s="398" t="str">
        <f t="shared" si="2"/>
        <v>Sport and recreation1000</v>
      </c>
      <c r="F17" s="398" t="str">
        <f t="shared" si="2"/>
        <v>Public safety1000</v>
      </c>
      <c r="G17" s="398" t="str">
        <f t="shared" si="2"/>
        <v>Housing1000</v>
      </c>
      <c r="H17" s="398" t="str">
        <f t="shared" si="2"/>
        <v>Health1000</v>
      </c>
      <c r="I17" s="398" t="str">
        <f t="shared" si="2"/>
        <v>Planning and development1000</v>
      </c>
      <c r="J17" s="398" t="str">
        <f t="shared" si="2"/>
        <v>Road transport1000</v>
      </c>
      <c r="K17" s="398" t="str">
        <f t="shared" si="2"/>
        <v>Environmental protection1000</v>
      </c>
      <c r="L17" s="398" t="str">
        <f t="shared" si="2"/>
        <v>Other1000</v>
      </c>
      <c r="M17" s="398" t="str">
        <f t="shared" si="2"/>
        <v>Energy sources1000</v>
      </c>
      <c r="N17" s="398" t="str">
        <f t="shared" si="2"/>
        <v>Water management1000</v>
      </c>
      <c r="O17" s="398" t="str">
        <f t="shared" si="2"/>
        <v>Waste water management1000</v>
      </c>
      <c r="P17" s="398" t="str">
        <f t="shared" si="2"/>
        <v>Waste management1000</v>
      </c>
      <c r="Q17" s="745" t="s">
        <v>688</v>
      </c>
      <c r="R17" s="745" t="s">
        <v>688</v>
      </c>
      <c r="S17" s="994"/>
      <c r="T17" s="748" t="s">
        <v>689</v>
      </c>
      <c r="U17" s="804">
        <f ca="1">SUMIF('3.Inc &amp; Exp per Function'!$D16:$D1115,'5.Cons and detailed recon'!A17,'3.Inc &amp; Exp per Function'!$U16:$U1114)</f>
        <v>0</v>
      </c>
      <c r="V17" s="804">
        <f ca="1">SUMIF('3.Inc &amp; Exp per Function'!$D16:$D1115,'5.Cons and detailed recon'!B17,'3.Inc &amp; Exp per Function'!$U16:$U1114)</f>
        <v>20594498</v>
      </c>
      <c r="W17" s="804">
        <f ca="1">SUMIF('3.Inc &amp; Exp per Function'!$D16:$D1115,'5.Cons and detailed recon'!C17,'3.Inc &amp; Exp per Function'!$U16:$U1114)</f>
        <v>0</v>
      </c>
      <c r="X17" s="413">
        <f t="shared" ca="1" si="16"/>
        <v>20594498</v>
      </c>
      <c r="Y17" s="1326">
        <f ca="1">SUMIF('3.Inc &amp; Exp per Function'!$D16:$D1115,'5.Cons and detailed recon'!D17,'3.Inc &amp; Exp per Function'!$U16:$U1114)</f>
        <v>0</v>
      </c>
      <c r="Z17" s="1326">
        <f ca="1">SUMIF('3.Inc &amp; Exp per Function'!$D16:$D1115,'5.Cons and detailed recon'!E17,'3.Inc &amp; Exp per Function'!$U16:$U1114)</f>
        <v>0</v>
      </c>
      <c r="AA17" s="1326">
        <f ca="1">SUMIF('3.Inc &amp; Exp per Function'!$D16:$D1115,'5.Cons and detailed recon'!F17,'3.Inc &amp; Exp per Function'!$U16:$U1114)</f>
        <v>0</v>
      </c>
      <c r="AB17" s="1326">
        <f ca="1">SUMIF('3.Inc &amp; Exp per Function'!$D16:$D1115,'5.Cons and detailed recon'!G17,'3.Inc &amp; Exp per Function'!$U16:$U1114)</f>
        <v>0</v>
      </c>
      <c r="AC17" s="1326">
        <f ca="1">SUMIF('3.Inc &amp; Exp per Function'!$D16:$D1115,'5.Cons and detailed recon'!H17,'3.Inc &amp; Exp per Function'!$U16:$U1114)</f>
        <v>0</v>
      </c>
      <c r="AD17" s="1326">
        <f ca="1">SUMIF('3.Inc &amp; Exp per Function'!$D16:$D1115,'5.Cons and detailed recon'!I17,'3.Inc &amp; Exp per Function'!$U16:$U1114)</f>
        <v>0</v>
      </c>
      <c r="AE17" s="1326">
        <f ca="1">SUMIF('3.Inc &amp; Exp per Function'!$D16:$D1115,'5.Cons and detailed recon'!J17,'3.Inc &amp; Exp per Function'!$U16:$U1114)</f>
        <v>0</v>
      </c>
      <c r="AF17" s="1326">
        <f ca="1">SUMIF('3.Inc &amp; Exp per Function'!$D16:$D1115,'5.Cons and detailed recon'!K17,'3.Inc &amp; Exp per Function'!$U16:$U1114)</f>
        <v>0</v>
      </c>
      <c r="AG17" s="1326">
        <f ca="1">SUMIF('3.Inc &amp; Exp per Function'!$D16:$D1115,'5.Cons and detailed recon'!L17,'3.Inc &amp; Exp per Function'!$U16:$U1114)</f>
        <v>0</v>
      </c>
      <c r="AH17" s="413">
        <f t="shared" ca="1" si="3"/>
        <v>0</v>
      </c>
      <c r="AI17" s="804">
        <f ca="1">SUMIF('3.Inc &amp; Exp per Function'!$D16:$D1115,'5.Cons and detailed recon'!M17,'3.Inc &amp; Exp per Function'!$U16:$U1114)</f>
        <v>0</v>
      </c>
      <c r="AJ17" s="804">
        <f ca="1">SUMIF('3.Inc &amp; Exp per Function'!$D16:$D1115,'5.Cons and detailed recon'!N17,'3.Inc &amp; Exp per Function'!$U16:$U1114)</f>
        <v>0</v>
      </c>
      <c r="AK17" s="804">
        <f ca="1">SUMIF('3.Inc &amp; Exp per Function'!$D16:$D1115,'5.Cons and detailed recon'!O17,'3.Inc &amp; Exp per Function'!$U16:$U1114)</f>
        <v>7966035</v>
      </c>
      <c r="AL17" s="804">
        <f ca="1">SUMIF('3.Inc &amp; Exp per Function'!$D16:$D1115,'5.Cons and detailed recon'!P17,'3.Inc &amp; Exp per Function'!$U16:$U1114)</f>
        <v>0</v>
      </c>
      <c r="AM17" s="748">
        <f t="shared" ca="1" si="0"/>
        <v>7966035</v>
      </c>
      <c r="AN17" s="794"/>
      <c r="AO17" s="791">
        <f t="shared" ca="1" si="18"/>
        <v>28560533</v>
      </c>
      <c r="AP17" s="414">
        <f>SUMIF('4.Inc &amp; Exp Summary'!A:A,'5.Cons and detailed recon'!R17,'4.Inc &amp; Exp Summary'!L:L)</f>
        <v>28560533</v>
      </c>
      <c r="AQ17" s="415">
        <f t="shared" ca="1" si="4"/>
        <v>0</v>
      </c>
      <c r="AR17" s="720"/>
      <c r="AS17" s="730"/>
      <c r="AT17" s="408"/>
      <c r="AU17" s="398" t="str">
        <f t="shared" si="5"/>
        <v>Executive and Council1000</v>
      </c>
      <c r="AV17" s="398" t="str">
        <f t="shared" si="5"/>
        <v>Finance and administration1000</v>
      </c>
      <c r="AW17" s="398" t="str">
        <f t="shared" si="5"/>
        <v>Internal audit1000</v>
      </c>
      <c r="AX17" s="398" t="str">
        <f t="shared" si="5"/>
        <v>Community and social services1000</v>
      </c>
      <c r="AY17" s="398" t="str">
        <f t="shared" si="5"/>
        <v>Sport and recreation1000</v>
      </c>
      <c r="AZ17" s="398" t="str">
        <f t="shared" si="5"/>
        <v>Public safety1000</v>
      </c>
      <c r="BA17" s="398" t="str">
        <f t="shared" si="5"/>
        <v>Housing1000</v>
      </c>
      <c r="BB17" s="398" t="str">
        <f t="shared" si="5"/>
        <v>Health1000</v>
      </c>
      <c r="BC17" s="398" t="str">
        <f t="shared" si="5"/>
        <v>Planning and development1000</v>
      </c>
      <c r="BD17" s="398" t="str">
        <f t="shared" si="5"/>
        <v>Road transport1000</v>
      </c>
      <c r="BE17" s="398" t="str">
        <f t="shared" si="5"/>
        <v>Environmental protection1000</v>
      </c>
      <c r="BF17" s="398" t="str">
        <f t="shared" si="5"/>
        <v>Other1000</v>
      </c>
      <c r="BG17" s="398" t="str">
        <f t="shared" si="5"/>
        <v>Energy sources1000</v>
      </c>
      <c r="BH17" s="398" t="str">
        <f t="shared" si="5"/>
        <v>Water management1000</v>
      </c>
      <c r="BI17" s="398" t="str">
        <f t="shared" si="5"/>
        <v>Waste water management1000</v>
      </c>
      <c r="BJ17" s="398" t="str">
        <f t="shared" si="5"/>
        <v>Waste management1000</v>
      </c>
      <c r="BK17" s="745" t="s">
        <v>688</v>
      </c>
      <c r="BL17" s="745" t="s">
        <v>688</v>
      </c>
      <c r="BM17" s="735"/>
      <c r="BN17" s="748" t="s">
        <v>689</v>
      </c>
      <c r="BO17" s="751">
        <f ca="1">SUMIF('3.Inc &amp; Exp per Function'!$D16:$D1115,'5.Cons and detailed recon'!AU17,'3.Inc &amp; Exp per Function'!$V16:$V1114)</f>
        <v>0</v>
      </c>
      <c r="BP17" s="751">
        <f ca="1">SUMIF('3.Inc &amp; Exp per Function'!$D16:$D1115,'5.Cons and detailed recon'!AV17,'3.Inc &amp; Exp per Function'!$V16:$V1114)</f>
        <v>21294711</v>
      </c>
      <c r="BQ17" s="751">
        <f ca="1">SUMIF('3.Inc &amp; Exp per Function'!$D16:$D1115,'5.Cons and detailed recon'!AW17,'3.Inc &amp; Exp per Function'!$V16:$V1114)</f>
        <v>0</v>
      </c>
      <c r="BR17" s="413">
        <f t="shared" ca="1" si="6"/>
        <v>21294711</v>
      </c>
      <c r="BS17" s="751">
        <f ca="1">SUMIF('3.Inc &amp; Exp per Function'!$D16:$D1115,'5.Cons and detailed recon'!AX17,'3.Inc &amp; Exp per Function'!$V16:$V1114)</f>
        <v>0</v>
      </c>
      <c r="BT17" s="751">
        <f ca="1">SUMIF('3.Inc &amp; Exp per Function'!$D16:$D1115,'5.Cons and detailed recon'!AY17,'3.Inc &amp; Exp per Function'!$V16:$V1114)</f>
        <v>0</v>
      </c>
      <c r="BU17" s="751">
        <f ca="1">SUMIF('3.Inc &amp; Exp per Function'!$D16:$D1115,'5.Cons and detailed recon'!AZ17,'3.Inc &amp; Exp per Function'!$V16:$V1114)</f>
        <v>0</v>
      </c>
      <c r="BV17" s="751">
        <f ca="1">SUMIF('3.Inc &amp; Exp per Function'!$D16:$D1115,'5.Cons and detailed recon'!BA17,'3.Inc &amp; Exp per Function'!$V16:$V1114)</f>
        <v>0</v>
      </c>
      <c r="BW17" s="751">
        <f ca="1">SUMIF('3.Inc &amp; Exp per Function'!$D16:$D1115,'5.Cons and detailed recon'!BB17,'3.Inc &amp; Exp per Function'!$V16:$V1114)</f>
        <v>0</v>
      </c>
      <c r="BX17" s="751">
        <f ca="1">SUMIF('3.Inc &amp; Exp per Function'!$D16:$D1115,'5.Cons and detailed recon'!BC17,'3.Inc &amp; Exp per Function'!$V16:$V1114)</f>
        <v>0</v>
      </c>
      <c r="BY17" s="751">
        <f ca="1">SUMIF('3.Inc &amp; Exp per Function'!$D16:$D1115,'5.Cons and detailed recon'!BD17,'3.Inc &amp; Exp per Function'!$V16:$V1114)</f>
        <v>0</v>
      </c>
      <c r="BZ17" s="751">
        <f ca="1">SUMIF('3.Inc &amp; Exp per Function'!$D16:$D1115,'5.Cons and detailed recon'!BE17,'3.Inc &amp; Exp per Function'!$V16:$V1114)</f>
        <v>0</v>
      </c>
      <c r="CA17" s="751">
        <f ca="1">SUMIF('3.Inc &amp; Exp per Function'!$D16:$D1115,'5.Cons and detailed recon'!BF17,'3.Inc &amp; Exp per Function'!$V16:$V1114)</f>
        <v>0</v>
      </c>
      <c r="CB17" s="413">
        <f t="shared" ca="1" si="7"/>
        <v>0</v>
      </c>
      <c r="CC17" s="751">
        <f ca="1">SUMIF('3.Inc &amp; Exp per Function'!$D16:$D1115,'5.Cons and detailed recon'!BG17,'3.Inc &amp; Exp per Function'!$V16:$V1114)</f>
        <v>0</v>
      </c>
      <c r="CD17" s="751">
        <f ca="1">SUMIF('3.Inc &amp; Exp per Function'!$D16:$D1115,'5.Cons and detailed recon'!BH17,'3.Inc &amp; Exp per Function'!$V16:$V1114)</f>
        <v>0</v>
      </c>
      <c r="CE17" s="751">
        <f ca="1">SUMIF('3.Inc &amp; Exp per Function'!$D16:$D1115,'5.Cons and detailed recon'!BI17,'3.Inc &amp; Exp per Function'!$V16:$V1114)</f>
        <v>8236880</v>
      </c>
      <c r="CF17" s="751">
        <f ca="1">SUMIF('3.Inc &amp; Exp per Function'!$D16:$D1115,'5.Cons and detailed recon'!BJ17,'3.Inc &amp; Exp per Function'!$V16:$V1114)</f>
        <v>0</v>
      </c>
      <c r="CG17" s="748">
        <f t="shared" ca="1" si="8"/>
        <v>8236880</v>
      </c>
      <c r="CH17" s="794"/>
      <c r="CI17" s="791">
        <f t="shared" ca="1" si="9"/>
        <v>29531591</v>
      </c>
      <c r="CJ17" s="411">
        <f>SUMIF('4.Inc &amp; Exp Summary'!A:A,'5.Cons and detailed recon'!R17,'4.Inc &amp; Exp Summary'!M:M)</f>
        <v>29531591</v>
      </c>
      <c r="CK17" s="415">
        <f t="shared" ca="1" si="17"/>
        <v>0</v>
      </c>
      <c r="CL17" s="720"/>
      <c r="CM17" s="730"/>
      <c r="CO17" s="398" t="str">
        <f t="shared" si="10"/>
        <v>Executive and Council1000</v>
      </c>
      <c r="CP17" s="398" t="str">
        <f t="shared" si="10"/>
        <v>Finance and administration1000</v>
      </c>
      <c r="CQ17" s="398" t="str">
        <f t="shared" si="10"/>
        <v>Internal audit1000</v>
      </c>
      <c r="CR17" s="398" t="str">
        <f t="shared" si="10"/>
        <v>Community and social services1000</v>
      </c>
      <c r="CS17" s="398" t="str">
        <f t="shared" si="10"/>
        <v>Sport and recreation1000</v>
      </c>
      <c r="CT17" s="398" t="str">
        <f t="shared" si="10"/>
        <v>Public safety1000</v>
      </c>
      <c r="CU17" s="398" t="str">
        <f t="shared" si="10"/>
        <v>Housing1000</v>
      </c>
      <c r="CV17" s="398" t="str">
        <f t="shared" si="10"/>
        <v>Health1000</v>
      </c>
      <c r="CW17" s="398" t="str">
        <f t="shared" si="10"/>
        <v>Planning and development1000</v>
      </c>
      <c r="CX17" s="398" t="str">
        <f t="shared" si="10"/>
        <v>Road transport1000</v>
      </c>
      <c r="CY17" s="398" t="str">
        <f t="shared" si="10"/>
        <v>Environmental protection1000</v>
      </c>
      <c r="CZ17" s="398" t="str">
        <f t="shared" si="10"/>
        <v>Other1000</v>
      </c>
      <c r="DA17" s="398" t="str">
        <f t="shared" si="10"/>
        <v>Energy sources1000</v>
      </c>
      <c r="DB17" s="398" t="str">
        <f t="shared" si="10"/>
        <v>Water management1000</v>
      </c>
      <c r="DC17" s="398" t="str">
        <f t="shared" si="10"/>
        <v>Waste water management1000</v>
      </c>
      <c r="DD17" s="398" t="str">
        <f t="shared" si="10"/>
        <v>Waste management1000</v>
      </c>
      <c r="DE17" s="745" t="s">
        <v>688</v>
      </c>
      <c r="DF17" s="745" t="s">
        <v>688</v>
      </c>
      <c r="DG17" s="735"/>
      <c r="DH17" s="748" t="s">
        <v>689</v>
      </c>
      <c r="DI17" s="751">
        <f ca="1">SUMIF('3.Inc &amp; Exp per Function'!$D16:$D1115,'5.Cons and detailed recon'!CO17,'3.Inc &amp; Exp per Function'!$W16:$W1114)</f>
        <v>0</v>
      </c>
      <c r="DJ17" s="751">
        <f ca="1">SUMIF('3.Inc &amp; Exp per Function'!$D16:$D1115,'5.Cons and detailed recon'!CP17,'3.Inc &amp; Exp per Function'!$W16:$W1114)</f>
        <v>21976141</v>
      </c>
      <c r="DK17" s="751">
        <f ca="1">SUMIF('3.Inc &amp; Exp per Function'!$D16:$D1115,'5.Cons and detailed recon'!CQ17,'3.Inc &amp; Exp per Function'!$W16:$W1114)</f>
        <v>0</v>
      </c>
      <c r="DL17" s="413">
        <f t="shared" ca="1" si="11"/>
        <v>21976141</v>
      </c>
      <c r="DM17" s="751">
        <f ca="1">SUMIF('3.Inc &amp; Exp per Function'!$D16:$D1115,'5.Cons and detailed recon'!CR17,'3.Inc &amp; Exp per Function'!$W16:$W1114)</f>
        <v>0</v>
      </c>
      <c r="DN17" s="751">
        <f ca="1">SUMIF('3.Inc &amp; Exp per Function'!$D16:$D1115,'5.Cons and detailed recon'!CS17,'3.Inc &amp; Exp per Function'!$W16:$W1114)</f>
        <v>0</v>
      </c>
      <c r="DO17" s="751">
        <f ca="1">SUMIF('3.Inc &amp; Exp per Function'!$D16:$D1115,'5.Cons and detailed recon'!CT17,'3.Inc &amp; Exp per Function'!$W16:$W1114)</f>
        <v>0</v>
      </c>
      <c r="DP17" s="751">
        <f ca="1">SUMIF('3.Inc &amp; Exp per Function'!$D16:$D1115,'5.Cons and detailed recon'!CU17,'3.Inc &amp; Exp per Function'!$W16:$W1114)</f>
        <v>0</v>
      </c>
      <c r="DQ17" s="751">
        <f ca="1">SUMIF('3.Inc &amp; Exp per Function'!$D16:$D1115,'5.Cons and detailed recon'!CV17,'3.Inc &amp; Exp per Function'!$W16:$W1114)</f>
        <v>0</v>
      </c>
      <c r="DR17" s="751">
        <f ca="1">SUMIF('3.Inc &amp; Exp per Function'!$D16:$D1115,'5.Cons and detailed recon'!CW17,'3.Inc &amp; Exp per Function'!$W16:$W1114)</f>
        <v>0</v>
      </c>
      <c r="DS17" s="751">
        <f ca="1">SUMIF('3.Inc &amp; Exp per Function'!$D16:$D1115,'5.Cons and detailed recon'!CX17,'3.Inc &amp; Exp per Function'!$W16:$W1114)</f>
        <v>0</v>
      </c>
      <c r="DT17" s="751">
        <f ca="1">SUMIF('3.Inc &amp; Exp per Function'!$D16:$D1115,'5.Cons and detailed recon'!CY17,'3.Inc &amp; Exp per Function'!$W16:$W1114)</f>
        <v>0</v>
      </c>
      <c r="DU17" s="751">
        <f ca="1">SUMIF('3.Inc &amp; Exp per Function'!$D16:$D1115,'5.Cons and detailed recon'!CZ17,'3.Inc &amp; Exp per Function'!$W16:$W1114)</f>
        <v>0</v>
      </c>
      <c r="DV17" s="413">
        <f t="shared" ca="1" si="12"/>
        <v>0</v>
      </c>
      <c r="DW17" s="751">
        <f ca="1">SUMIF('3.Inc &amp; Exp per Function'!$D16:$D1115,'5.Cons and detailed recon'!DA17,'3.Inc &amp; Exp per Function'!$W16:$W1114)</f>
        <v>0</v>
      </c>
      <c r="DX17" s="751">
        <f ca="1">SUMIF('3.Inc &amp; Exp per Function'!$D16:$D1115,'5.Cons and detailed recon'!DB17,'3.Inc &amp; Exp per Function'!$W16:$W1114)</f>
        <v>0</v>
      </c>
      <c r="DY17" s="751">
        <f ca="1">SUMIF('3.Inc &amp; Exp per Function'!$D16:$D1115,'5.Cons and detailed recon'!DC17,'3.Inc &amp; Exp per Function'!$W16:$W1114)</f>
        <v>8500460</v>
      </c>
      <c r="DZ17" s="751">
        <f ca="1">SUMIF('3.Inc &amp; Exp per Function'!$D16:$D1115,'5.Cons and detailed recon'!DD17,'3.Inc &amp; Exp per Function'!$W16:$W1114)</f>
        <v>0</v>
      </c>
      <c r="EA17" s="748">
        <f t="shared" ca="1" si="13"/>
        <v>8500460</v>
      </c>
      <c r="EB17" s="794"/>
      <c r="EC17" s="791">
        <f t="shared" ca="1" si="14"/>
        <v>30476601</v>
      </c>
      <c r="ED17" s="414">
        <f>SUMIF('4.Inc &amp; Exp Summary'!A:A,'5.Cons and detailed recon'!DF17,'4.Inc &amp; Exp Summary'!N:N)</f>
        <v>30476601.912</v>
      </c>
      <c r="EE17" s="415">
        <f t="shared" ca="1" si="15"/>
        <v>-0.91200000047683716</v>
      </c>
      <c r="EF17" s="720"/>
      <c r="EG17" s="980"/>
      <c r="EH17" s="980"/>
      <c r="EI17" s="980"/>
      <c r="EJ17" s="980"/>
      <c r="EK17" s="980"/>
      <c r="EL17" s="980"/>
      <c r="EM17" s="980"/>
      <c r="EN17" s="980"/>
      <c r="EO17" s="980"/>
      <c r="EP17" s="980"/>
      <c r="EQ17" s="980"/>
      <c r="ER17" s="980"/>
      <c r="ES17" s="980"/>
      <c r="ET17" s="980"/>
      <c r="EU17" s="980"/>
      <c r="EV17" s="980"/>
      <c r="EW17" s="980"/>
      <c r="EX17" s="980"/>
      <c r="EY17" s="980"/>
      <c r="EZ17" s="980"/>
      <c r="FA17" s="980"/>
      <c r="FB17" s="980"/>
      <c r="FC17" s="980"/>
      <c r="FD17" s="980"/>
      <c r="FE17" s="980"/>
      <c r="FF17" s="980"/>
      <c r="FG17" s="980"/>
      <c r="FH17" s="980"/>
      <c r="FI17" s="980"/>
      <c r="FJ17" s="980"/>
      <c r="FK17" s="980"/>
      <c r="FL17" s="980"/>
      <c r="FM17" s="980"/>
      <c r="FN17" s="980"/>
      <c r="FO17" s="980"/>
      <c r="FP17" s="980"/>
      <c r="FQ17" s="980"/>
      <c r="FR17" s="980"/>
      <c r="FS17" s="980"/>
      <c r="FT17" s="980"/>
      <c r="FU17" s="980"/>
      <c r="FV17" s="980"/>
      <c r="FW17" s="980"/>
      <c r="FX17" s="980"/>
      <c r="FY17" s="980"/>
      <c r="FZ17" s="980"/>
      <c r="GA17" s="980"/>
      <c r="GB17" s="980"/>
      <c r="GC17" s="980"/>
      <c r="GD17" s="980"/>
      <c r="GE17" s="980"/>
      <c r="GF17" s="980"/>
      <c r="GG17" s="980"/>
      <c r="GH17" s="980"/>
      <c r="GI17" s="980"/>
      <c r="GJ17" s="980"/>
      <c r="GK17" s="980"/>
      <c r="GL17" s="980"/>
      <c r="GM17" s="980"/>
      <c r="GN17" s="980"/>
      <c r="GO17" s="980"/>
      <c r="GP17" s="980"/>
      <c r="GQ17" s="980"/>
      <c r="GR17" s="980"/>
      <c r="GS17" s="980"/>
      <c r="GT17" s="980"/>
      <c r="GU17" s="980"/>
      <c r="GV17" s="980"/>
      <c r="GW17" s="980"/>
      <c r="GX17" s="980"/>
      <c r="GY17" s="980"/>
      <c r="GZ17" s="980"/>
      <c r="HA17" s="980"/>
      <c r="HB17" s="980"/>
      <c r="HC17" s="980"/>
      <c r="HD17" s="980"/>
      <c r="HE17" s="980"/>
      <c r="HF17" s="980"/>
      <c r="HG17" s="980"/>
      <c r="HH17" s="980"/>
      <c r="HI17" s="980"/>
      <c r="HJ17" s="980"/>
      <c r="HK17" s="980"/>
      <c r="HL17" s="980"/>
      <c r="HM17" s="980"/>
      <c r="HN17" s="980"/>
      <c r="HO17" s="980"/>
      <c r="HP17" s="980"/>
      <c r="HQ17" s="980"/>
      <c r="HR17" s="980"/>
      <c r="HS17" s="980"/>
      <c r="HT17" s="980"/>
      <c r="HU17" s="980"/>
      <c r="HV17" s="980"/>
      <c r="HW17" s="980"/>
      <c r="HX17" s="980"/>
      <c r="HY17" s="980"/>
      <c r="HZ17" s="980"/>
      <c r="IA17" s="980"/>
      <c r="IB17" s="980"/>
      <c r="IC17" s="980"/>
      <c r="ID17" s="980"/>
      <c r="IE17" s="980"/>
      <c r="IF17" s="980"/>
      <c r="IG17" s="980"/>
      <c r="IH17" s="980"/>
      <c r="II17" s="980"/>
      <c r="IJ17" s="980"/>
      <c r="IK17" s="980"/>
      <c r="IL17" s="980"/>
      <c r="IM17" s="980"/>
      <c r="IN17" s="980"/>
      <c r="IO17" s="980"/>
      <c r="IP17" s="980"/>
      <c r="IQ17" s="980"/>
      <c r="IR17" s="980"/>
      <c r="IS17" s="980"/>
      <c r="IT17" s="980"/>
      <c r="IU17" s="980"/>
      <c r="IV17" s="980"/>
    </row>
    <row r="18" spans="1:256" s="409" customFormat="1" ht="12" customHeight="1" x14ac:dyDescent="0.55000000000000004">
      <c r="A18" s="398" t="str">
        <f t="shared" si="1"/>
        <v>Executive and Council1100</v>
      </c>
      <c r="B18" s="398" t="str">
        <f t="shared" si="2"/>
        <v>Finance and administration1100</v>
      </c>
      <c r="C18" s="398" t="str">
        <f t="shared" si="2"/>
        <v>Internal audit1100</v>
      </c>
      <c r="D18" s="398" t="str">
        <f t="shared" si="2"/>
        <v>Community and social services1100</v>
      </c>
      <c r="E18" s="398" t="str">
        <f t="shared" si="2"/>
        <v>Sport and recreation1100</v>
      </c>
      <c r="F18" s="398" t="str">
        <f t="shared" si="2"/>
        <v>Public safety1100</v>
      </c>
      <c r="G18" s="398" t="str">
        <f t="shared" si="2"/>
        <v>Housing1100</v>
      </c>
      <c r="H18" s="398" t="str">
        <f t="shared" si="2"/>
        <v>Health1100</v>
      </c>
      <c r="I18" s="398" t="str">
        <f t="shared" si="2"/>
        <v>Planning and development1100</v>
      </c>
      <c r="J18" s="398" t="str">
        <f t="shared" si="2"/>
        <v>Road transport1100</v>
      </c>
      <c r="K18" s="398" t="str">
        <f t="shared" si="2"/>
        <v>Environmental protection1100</v>
      </c>
      <c r="L18" s="398" t="str">
        <f t="shared" si="2"/>
        <v>Other1100</v>
      </c>
      <c r="M18" s="398" t="str">
        <f t="shared" si="2"/>
        <v>Energy sources1100</v>
      </c>
      <c r="N18" s="398" t="str">
        <f t="shared" si="2"/>
        <v>Water management1100</v>
      </c>
      <c r="O18" s="398" t="str">
        <f t="shared" si="2"/>
        <v>Waste water management1100</v>
      </c>
      <c r="P18" s="398" t="str">
        <f t="shared" si="2"/>
        <v>Waste management1100</v>
      </c>
      <c r="Q18" s="745" t="s">
        <v>690</v>
      </c>
      <c r="R18" s="745" t="s">
        <v>690</v>
      </c>
      <c r="S18" s="994"/>
      <c r="T18" s="748" t="s">
        <v>692</v>
      </c>
      <c r="U18" s="804">
        <f ca="1">SUMIF('3.Inc &amp; Exp per Function'!$D17:$D1116,'5.Cons and detailed recon'!A18,'3.Inc &amp; Exp per Function'!$U17:$U1115)</f>
        <v>0</v>
      </c>
      <c r="V18" s="804">
        <f ca="1">SUMIF('3.Inc &amp; Exp per Function'!$D17:$D1116,'5.Cons and detailed recon'!B18,'3.Inc &amp; Exp per Function'!$U17:$U1115)</f>
        <v>2548552</v>
      </c>
      <c r="W18" s="804">
        <f ca="1">SUMIF('3.Inc &amp; Exp per Function'!$D17:$D1116,'5.Cons and detailed recon'!C18,'3.Inc &amp; Exp per Function'!$U17:$U1115)</f>
        <v>0</v>
      </c>
      <c r="X18" s="413">
        <f t="shared" ca="1" si="16"/>
        <v>2548552</v>
      </c>
      <c r="Y18" s="1326">
        <f ca="1">SUMIF('3.Inc &amp; Exp per Function'!$D17:$D1116,'5.Cons and detailed recon'!D18,'3.Inc &amp; Exp per Function'!$U17:$U1115)</f>
        <v>0</v>
      </c>
      <c r="Z18" s="1326">
        <f ca="1">SUMIF('3.Inc &amp; Exp per Function'!$D17:$D1116,'5.Cons and detailed recon'!E18,'3.Inc &amp; Exp per Function'!$U17:$U1115)</f>
        <v>0</v>
      </c>
      <c r="AA18" s="1326">
        <f ca="1">SUMIF('3.Inc &amp; Exp per Function'!$D17:$D1116,'5.Cons and detailed recon'!F18,'3.Inc &amp; Exp per Function'!$U17:$U1115)</f>
        <v>0</v>
      </c>
      <c r="AB18" s="1326">
        <f ca="1">SUMIF('3.Inc &amp; Exp per Function'!$D17:$D1116,'5.Cons and detailed recon'!G18,'3.Inc &amp; Exp per Function'!$U17:$U1115)</f>
        <v>0</v>
      </c>
      <c r="AC18" s="1326">
        <f ca="1">SUMIF('3.Inc &amp; Exp per Function'!$D17:$D1116,'5.Cons and detailed recon'!H18,'3.Inc &amp; Exp per Function'!$U17:$U1115)</f>
        <v>0</v>
      </c>
      <c r="AD18" s="1326">
        <f ca="1">SUMIF('3.Inc &amp; Exp per Function'!$D17:$D1116,'5.Cons and detailed recon'!I18,'3.Inc &amp; Exp per Function'!$U17:$U1115)</f>
        <v>0</v>
      </c>
      <c r="AE18" s="1326">
        <f ca="1">SUMIF('3.Inc &amp; Exp per Function'!$D17:$D1116,'5.Cons and detailed recon'!J18,'3.Inc &amp; Exp per Function'!$U17:$U1115)</f>
        <v>0</v>
      </c>
      <c r="AF18" s="1326">
        <f ca="1">SUMIF('3.Inc &amp; Exp per Function'!$D17:$D1116,'5.Cons and detailed recon'!K18,'3.Inc &amp; Exp per Function'!$U17:$U1115)</f>
        <v>0</v>
      </c>
      <c r="AG18" s="1326">
        <f ca="1">SUMIF('3.Inc &amp; Exp per Function'!$D17:$D1116,'5.Cons and detailed recon'!L18,'3.Inc &amp; Exp per Function'!$U17:$U1115)</f>
        <v>0</v>
      </c>
      <c r="AH18" s="413">
        <f t="shared" ca="1" si="3"/>
        <v>0</v>
      </c>
      <c r="AI18" s="804">
        <f ca="1">SUMIF('3.Inc &amp; Exp per Function'!$D17:$D1116,'5.Cons and detailed recon'!M18,'3.Inc &amp; Exp per Function'!$U17:$U1115)</f>
        <v>220000</v>
      </c>
      <c r="AJ18" s="804">
        <f ca="1">SUMIF('3.Inc &amp; Exp per Function'!$D17:$D1116,'5.Cons and detailed recon'!N18,'3.Inc &amp; Exp per Function'!$U17:$U1115)</f>
        <v>0</v>
      </c>
      <c r="AK18" s="804">
        <f ca="1">SUMIF('3.Inc &amp; Exp per Function'!$D17:$D1116,'5.Cons and detailed recon'!O18,'3.Inc &amp; Exp per Function'!$U17:$U1115)</f>
        <v>0</v>
      </c>
      <c r="AL18" s="804">
        <f ca="1">SUMIF('3.Inc &amp; Exp per Function'!$D17:$D1116,'5.Cons and detailed recon'!P18,'3.Inc &amp; Exp per Function'!$U17:$U1115)</f>
        <v>0</v>
      </c>
      <c r="AM18" s="748">
        <f t="shared" ca="1" si="0"/>
        <v>220000</v>
      </c>
      <c r="AN18" s="794"/>
      <c r="AO18" s="791">
        <f t="shared" ca="1" si="18"/>
        <v>2768552</v>
      </c>
      <c r="AP18" s="414">
        <f>SUMIF('4.Inc &amp; Exp Summary'!A:A,'5.Cons and detailed recon'!R18,'4.Inc &amp; Exp Summary'!L:L)</f>
        <v>2768552</v>
      </c>
      <c r="AQ18" s="415">
        <f t="shared" ca="1" si="4"/>
        <v>0</v>
      </c>
      <c r="AR18" s="720"/>
      <c r="AS18" s="730"/>
      <c r="AT18" s="408"/>
      <c r="AU18" s="398" t="str">
        <f t="shared" si="5"/>
        <v>Executive and Council1100</v>
      </c>
      <c r="AV18" s="398" t="str">
        <f t="shared" si="5"/>
        <v>Finance and administration1100</v>
      </c>
      <c r="AW18" s="398" t="str">
        <f t="shared" si="5"/>
        <v>Internal audit1100</v>
      </c>
      <c r="AX18" s="398" t="str">
        <f t="shared" si="5"/>
        <v>Community and social services1100</v>
      </c>
      <c r="AY18" s="398" t="str">
        <f t="shared" si="5"/>
        <v>Sport and recreation1100</v>
      </c>
      <c r="AZ18" s="398" t="str">
        <f t="shared" si="5"/>
        <v>Public safety1100</v>
      </c>
      <c r="BA18" s="398" t="str">
        <f t="shared" si="5"/>
        <v>Housing1100</v>
      </c>
      <c r="BB18" s="398" t="str">
        <f t="shared" si="5"/>
        <v>Health1100</v>
      </c>
      <c r="BC18" s="398" t="str">
        <f t="shared" si="5"/>
        <v>Planning and development1100</v>
      </c>
      <c r="BD18" s="398" t="str">
        <f t="shared" si="5"/>
        <v>Road transport1100</v>
      </c>
      <c r="BE18" s="398" t="str">
        <f t="shared" si="5"/>
        <v>Environmental protection1100</v>
      </c>
      <c r="BF18" s="398" t="str">
        <f t="shared" si="5"/>
        <v>Other1100</v>
      </c>
      <c r="BG18" s="398" t="str">
        <f t="shared" si="5"/>
        <v>Energy sources1100</v>
      </c>
      <c r="BH18" s="398" t="str">
        <f t="shared" si="5"/>
        <v>Water management1100</v>
      </c>
      <c r="BI18" s="398" t="str">
        <f t="shared" si="5"/>
        <v>Waste water management1100</v>
      </c>
      <c r="BJ18" s="398" t="str">
        <f t="shared" si="5"/>
        <v>Waste management1100</v>
      </c>
      <c r="BK18" s="745" t="s">
        <v>690</v>
      </c>
      <c r="BL18" s="745" t="s">
        <v>690</v>
      </c>
      <c r="BM18" s="735"/>
      <c r="BN18" s="748" t="s">
        <v>692</v>
      </c>
      <c r="BO18" s="751">
        <f ca="1">SUMIF('3.Inc &amp; Exp per Function'!$D17:$D1116,'5.Cons and detailed recon'!AU18,'3.Inc &amp; Exp per Function'!$V17:$V1115)</f>
        <v>0</v>
      </c>
      <c r="BP18" s="751">
        <f ca="1">SUMIF('3.Inc &amp; Exp per Function'!$D17:$D1116,'5.Cons and detailed recon'!AV18,'3.Inc &amp; Exp per Function'!$V17:$V1115)</f>
        <v>2635203</v>
      </c>
      <c r="BQ18" s="751">
        <f ca="1">SUMIF('3.Inc &amp; Exp per Function'!$D17:$D1116,'5.Cons and detailed recon'!AW18,'3.Inc &amp; Exp per Function'!$V17:$V1115)</f>
        <v>0</v>
      </c>
      <c r="BR18" s="413">
        <f t="shared" ca="1" si="6"/>
        <v>2635203</v>
      </c>
      <c r="BS18" s="751">
        <f ca="1">SUMIF('3.Inc &amp; Exp per Function'!$D17:$D1116,'5.Cons and detailed recon'!AX18,'3.Inc &amp; Exp per Function'!$V17:$V1115)</f>
        <v>0</v>
      </c>
      <c r="BT18" s="751">
        <f ca="1">SUMIF('3.Inc &amp; Exp per Function'!$D17:$D1116,'5.Cons and detailed recon'!AY18,'3.Inc &amp; Exp per Function'!$V17:$V1115)</f>
        <v>0</v>
      </c>
      <c r="BU18" s="751">
        <f ca="1">SUMIF('3.Inc &amp; Exp per Function'!$D17:$D1116,'5.Cons and detailed recon'!AZ18,'3.Inc &amp; Exp per Function'!$V17:$V1115)</f>
        <v>0</v>
      </c>
      <c r="BV18" s="751">
        <f ca="1">SUMIF('3.Inc &amp; Exp per Function'!$D17:$D1116,'5.Cons and detailed recon'!BA18,'3.Inc &amp; Exp per Function'!$V17:$V1115)</f>
        <v>0</v>
      </c>
      <c r="BW18" s="751">
        <f ca="1">SUMIF('3.Inc &amp; Exp per Function'!$D17:$D1116,'5.Cons and detailed recon'!BB18,'3.Inc &amp; Exp per Function'!$V17:$V1115)</f>
        <v>0</v>
      </c>
      <c r="BX18" s="751">
        <f ca="1">SUMIF('3.Inc &amp; Exp per Function'!$D17:$D1116,'5.Cons and detailed recon'!BC18,'3.Inc &amp; Exp per Function'!$V17:$V1115)</f>
        <v>0</v>
      </c>
      <c r="BY18" s="751">
        <f ca="1">SUMIF('3.Inc &amp; Exp per Function'!$D17:$D1116,'5.Cons and detailed recon'!BD18,'3.Inc &amp; Exp per Function'!$V17:$V1115)</f>
        <v>0</v>
      </c>
      <c r="BZ18" s="751">
        <f ca="1">SUMIF('3.Inc &amp; Exp per Function'!$D17:$D1116,'5.Cons and detailed recon'!BE18,'3.Inc &amp; Exp per Function'!$V17:$V1115)</f>
        <v>0</v>
      </c>
      <c r="CA18" s="751">
        <f ca="1">SUMIF('3.Inc &amp; Exp per Function'!$D17:$D1116,'5.Cons and detailed recon'!BF18,'3.Inc &amp; Exp per Function'!$V17:$V1115)</f>
        <v>0</v>
      </c>
      <c r="CB18" s="413">
        <f t="shared" ca="1" si="7"/>
        <v>0</v>
      </c>
      <c r="CC18" s="751">
        <f ca="1">SUMIF('3.Inc &amp; Exp per Function'!$D17:$D1116,'5.Cons and detailed recon'!BG18,'3.Inc &amp; Exp per Function'!$V17:$V1115)</f>
        <v>227480</v>
      </c>
      <c r="CD18" s="751">
        <f ca="1">SUMIF('3.Inc &amp; Exp per Function'!$D17:$D1116,'5.Cons and detailed recon'!BH18,'3.Inc &amp; Exp per Function'!$V17:$V1115)</f>
        <v>0</v>
      </c>
      <c r="CE18" s="751">
        <f ca="1">SUMIF('3.Inc &amp; Exp per Function'!$D17:$D1116,'5.Cons and detailed recon'!BI18,'3.Inc &amp; Exp per Function'!$V17:$V1115)</f>
        <v>0</v>
      </c>
      <c r="CF18" s="751">
        <f ca="1">SUMIF('3.Inc &amp; Exp per Function'!$D17:$D1116,'5.Cons and detailed recon'!BJ18,'3.Inc &amp; Exp per Function'!$V17:$V1115)</f>
        <v>0</v>
      </c>
      <c r="CG18" s="748">
        <f t="shared" ca="1" si="8"/>
        <v>227480</v>
      </c>
      <c r="CH18" s="794"/>
      <c r="CI18" s="791">
        <f t="shared" ca="1" si="9"/>
        <v>2862683</v>
      </c>
      <c r="CJ18" s="411">
        <f>SUMIF('4.Inc &amp; Exp Summary'!A:A,'5.Cons and detailed recon'!R18,'4.Inc &amp; Exp Summary'!M:M)</f>
        <v>2862683</v>
      </c>
      <c r="CK18" s="415">
        <f t="shared" ca="1" si="17"/>
        <v>0</v>
      </c>
      <c r="CL18" s="720"/>
      <c r="CM18" s="730"/>
      <c r="CO18" s="398" t="str">
        <f t="shared" si="10"/>
        <v>Executive and Council1100</v>
      </c>
      <c r="CP18" s="398" t="str">
        <f t="shared" si="10"/>
        <v>Finance and administration1100</v>
      </c>
      <c r="CQ18" s="398" t="str">
        <f t="shared" si="10"/>
        <v>Internal audit1100</v>
      </c>
      <c r="CR18" s="398" t="str">
        <f t="shared" si="10"/>
        <v>Community and social services1100</v>
      </c>
      <c r="CS18" s="398" t="str">
        <f t="shared" si="10"/>
        <v>Sport and recreation1100</v>
      </c>
      <c r="CT18" s="398" t="str">
        <f t="shared" si="10"/>
        <v>Public safety1100</v>
      </c>
      <c r="CU18" s="398" t="str">
        <f t="shared" si="10"/>
        <v>Housing1100</v>
      </c>
      <c r="CV18" s="398" t="str">
        <f t="shared" si="10"/>
        <v>Health1100</v>
      </c>
      <c r="CW18" s="398" t="str">
        <f t="shared" si="10"/>
        <v>Planning and development1100</v>
      </c>
      <c r="CX18" s="398" t="str">
        <f t="shared" si="10"/>
        <v>Road transport1100</v>
      </c>
      <c r="CY18" s="398" t="str">
        <f t="shared" si="10"/>
        <v>Environmental protection1100</v>
      </c>
      <c r="CZ18" s="398" t="str">
        <f t="shared" si="10"/>
        <v>Other1100</v>
      </c>
      <c r="DA18" s="398" t="str">
        <f t="shared" si="10"/>
        <v>Energy sources1100</v>
      </c>
      <c r="DB18" s="398" t="str">
        <f t="shared" si="10"/>
        <v>Water management1100</v>
      </c>
      <c r="DC18" s="398" t="str">
        <f t="shared" si="10"/>
        <v>Waste water management1100</v>
      </c>
      <c r="DD18" s="398" t="str">
        <f t="shared" si="10"/>
        <v>Waste management1100</v>
      </c>
      <c r="DE18" s="745" t="s">
        <v>690</v>
      </c>
      <c r="DF18" s="745" t="s">
        <v>690</v>
      </c>
      <c r="DG18" s="735"/>
      <c r="DH18" s="748" t="s">
        <v>692</v>
      </c>
      <c r="DI18" s="751">
        <f ca="1">SUMIF('3.Inc &amp; Exp per Function'!$D17:$D1116,'5.Cons and detailed recon'!CO18,'3.Inc &amp; Exp per Function'!$W17:$W1115)</f>
        <v>0</v>
      </c>
      <c r="DJ18" s="751">
        <f ca="1">SUMIF('3.Inc &amp; Exp per Function'!$D17:$D1116,'5.Cons and detailed recon'!CP18,'3.Inc &amp; Exp per Function'!$W17:$W1115)</f>
        <v>2719529</v>
      </c>
      <c r="DK18" s="751">
        <f ca="1">SUMIF('3.Inc &amp; Exp per Function'!$D17:$D1116,'5.Cons and detailed recon'!CQ18,'3.Inc &amp; Exp per Function'!$W17:$W1115)</f>
        <v>0</v>
      </c>
      <c r="DL18" s="413">
        <f t="shared" ca="1" si="11"/>
        <v>2719529</v>
      </c>
      <c r="DM18" s="751">
        <f ca="1">SUMIF('3.Inc &amp; Exp per Function'!$D17:$D1116,'5.Cons and detailed recon'!CR18,'3.Inc &amp; Exp per Function'!$W17:$W1115)</f>
        <v>0</v>
      </c>
      <c r="DN18" s="751">
        <f ca="1">SUMIF('3.Inc &amp; Exp per Function'!$D17:$D1116,'5.Cons and detailed recon'!CS18,'3.Inc &amp; Exp per Function'!$W17:$W1115)</f>
        <v>0</v>
      </c>
      <c r="DO18" s="751">
        <f ca="1">SUMIF('3.Inc &amp; Exp per Function'!$D17:$D1116,'5.Cons and detailed recon'!CT18,'3.Inc &amp; Exp per Function'!$W17:$W1115)</f>
        <v>0</v>
      </c>
      <c r="DP18" s="751">
        <f ca="1">SUMIF('3.Inc &amp; Exp per Function'!$D17:$D1116,'5.Cons and detailed recon'!CU18,'3.Inc &amp; Exp per Function'!$W17:$W1115)</f>
        <v>0</v>
      </c>
      <c r="DQ18" s="751">
        <f ca="1">SUMIF('3.Inc &amp; Exp per Function'!$D17:$D1116,'5.Cons and detailed recon'!CV18,'3.Inc &amp; Exp per Function'!$W17:$W1115)</f>
        <v>0</v>
      </c>
      <c r="DR18" s="751">
        <f ca="1">SUMIF('3.Inc &amp; Exp per Function'!$D17:$D1116,'5.Cons and detailed recon'!CW18,'3.Inc &amp; Exp per Function'!$W17:$W1115)</f>
        <v>0</v>
      </c>
      <c r="DS18" s="751">
        <f ca="1">SUMIF('3.Inc &amp; Exp per Function'!$D17:$D1116,'5.Cons and detailed recon'!CX18,'3.Inc &amp; Exp per Function'!$W17:$W1115)</f>
        <v>0</v>
      </c>
      <c r="DT18" s="751">
        <f ca="1">SUMIF('3.Inc &amp; Exp per Function'!$D17:$D1116,'5.Cons and detailed recon'!CY18,'3.Inc &amp; Exp per Function'!$W17:$W1115)</f>
        <v>0</v>
      </c>
      <c r="DU18" s="751">
        <f ca="1">SUMIF('3.Inc &amp; Exp per Function'!$D17:$D1116,'5.Cons and detailed recon'!CZ18,'3.Inc &amp; Exp per Function'!$W17:$W1115)</f>
        <v>0</v>
      </c>
      <c r="DV18" s="413">
        <f t="shared" ca="1" si="12"/>
        <v>0</v>
      </c>
      <c r="DW18" s="751">
        <f ca="1">SUMIF('3.Inc &amp; Exp per Function'!$D17:$D1116,'5.Cons and detailed recon'!DA18,'3.Inc &amp; Exp per Function'!$W17:$W1115)</f>
        <v>234759</v>
      </c>
      <c r="DX18" s="751">
        <f ca="1">SUMIF('3.Inc &amp; Exp per Function'!$D17:$D1116,'5.Cons and detailed recon'!DB18,'3.Inc &amp; Exp per Function'!$W17:$W1115)</f>
        <v>0</v>
      </c>
      <c r="DY18" s="751">
        <f ca="1">SUMIF('3.Inc &amp; Exp per Function'!$D17:$D1116,'5.Cons and detailed recon'!DC18,'3.Inc &amp; Exp per Function'!$W17:$W1115)</f>
        <v>0</v>
      </c>
      <c r="DZ18" s="751">
        <f ca="1">SUMIF('3.Inc &amp; Exp per Function'!$D17:$D1116,'5.Cons and detailed recon'!DD18,'3.Inc &amp; Exp per Function'!$W17:$W1115)</f>
        <v>0</v>
      </c>
      <c r="EA18" s="748">
        <f t="shared" ca="1" si="13"/>
        <v>234759</v>
      </c>
      <c r="EB18" s="794"/>
      <c r="EC18" s="791">
        <f t="shared" ca="1" si="14"/>
        <v>2954288</v>
      </c>
      <c r="ED18" s="414">
        <f>SUMIF('4.Inc &amp; Exp Summary'!A:A,'5.Cons and detailed recon'!DF18,'4.Inc &amp; Exp Summary'!N:N)</f>
        <v>2954288.8560000001</v>
      </c>
      <c r="EE18" s="415">
        <f t="shared" ca="1" si="15"/>
        <v>-0.85600000014528632</v>
      </c>
      <c r="EF18" s="720"/>
      <c r="EG18" s="980"/>
      <c r="EH18" s="980"/>
      <c r="EI18" s="980"/>
      <c r="EJ18" s="980"/>
      <c r="EK18" s="980"/>
      <c r="EL18" s="980"/>
      <c r="EM18" s="980"/>
      <c r="EN18" s="980"/>
      <c r="EO18" s="980"/>
      <c r="EP18" s="980"/>
      <c r="EQ18" s="980"/>
      <c r="ER18" s="980"/>
      <c r="ES18" s="980"/>
      <c r="ET18" s="980"/>
      <c r="EU18" s="980"/>
      <c r="EV18" s="980"/>
      <c r="EW18" s="980"/>
      <c r="EX18" s="980"/>
      <c r="EY18" s="980"/>
      <c r="EZ18" s="980"/>
      <c r="FA18" s="980"/>
      <c r="FB18" s="980"/>
      <c r="FC18" s="980"/>
      <c r="FD18" s="980"/>
      <c r="FE18" s="980"/>
      <c r="FF18" s="980"/>
      <c r="FG18" s="980"/>
      <c r="FH18" s="980"/>
      <c r="FI18" s="980"/>
      <c r="FJ18" s="980"/>
      <c r="FK18" s="980"/>
      <c r="FL18" s="980"/>
      <c r="FM18" s="980"/>
      <c r="FN18" s="980"/>
      <c r="FO18" s="980"/>
      <c r="FP18" s="980"/>
      <c r="FQ18" s="980"/>
      <c r="FR18" s="980"/>
      <c r="FS18" s="980"/>
      <c r="FT18" s="980"/>
      <c r="FU18" s="980"/>
      <c r="FV18" s="980"/>
      <c r="FW18" s="980"/>
      <c r="FX18" s="980"/>
      <c r="FY18" s="980"/>
      <c r="FZ18" s="980"/>
      <c r="GA18" s="980"/>
      <c r="GB18" s="980"/>
      <c r="GC18" s="980"/>
      <c r="GD18" s="980"/>
      <c r="GE18" s="980"/>
      <c r="GF18" s="980"/>
      <c r="GG18" s="980"/>
      <c r="GH18" s="980"/>
      <c r="GI18" s="980"/>
      <c r="GJ18" s="980"/>
      <c r="GK18" s="980"/>
      <c r="GL18" s="980"/>
      <c r="GM18" s="980"/>
      <c r="GN18" s="980"/>
      <c r="GO18" s="980"/>
      <c r="GP18" s="980"/>
      <c r="GQ18" s="980"/>
      <c r="GR18" s="980"/>
      <c r="GS18" s="980"/>
      <c r="GT18" s="980"/>
      <c r="GU18" s="980"/>
      <c r="GV18" s="980"/>
      <c r="GW18" s="980"/>
      <c r="GX18" s="980"/>
      <c r="GY18" s="980"/>
      <c r="GZ18" s="980"/>
      <c r="HA18" s="980"/>
      <c r="HB18" s="980"/>
      <c r="HC18" s="980"/>
      <c r="HD18" s="980"/>
      <c r="HE18" s="980"/>
      <c r="HF18" s="980"/>
      <c r="HG18" s="980"/>
      <c r="HH18" s="980"/>
      <c r="HI18" s="980"/>
      <c r="HJ18" s="980"/>
      <c r="HK18" s="980"/>
      <c r="HL18" s="980"/>
      <c r="HM18" s="980"/>
      <c r="HN18" s="980"/>
      <c r="HO18" s="980"/>
      <c r="HP18" s="980"/>
      <c r="HQ18" s="980"/>
      <c r="HR18" s="980"/>
      <c r="HS18" s="980"/>
      <c r="HT18" s="980"/>
      <c r="HU18" s="980"/>
      <c r="HV18" s="980"/>
      <c r="HW18" s="980"/>
      <c r="HX18" s="980"/>
      <c r="HY18" s="980"/>
      <c r="HZ18" s="980"/>
      <c r="IA18" s="980"/>
      <c r="IB18" s="980"/>
      <c r="IC18" s="980"/>
      <c r="ID18" s="980"/>
      <c r="IE18" s="980"/>
      <c r="IF18" s="980"/>
      <c r="IG18" s="980"/>
      <c r="IH18" s="980"/>
      <c r="II18" s="980"/>
      <c r="IJ18" s="980"/>
      <c r="IK18" s="980"/>
      <c r="IL18" s="980"/>
      <c r="IM18" s="980"/>
      <c r="IN18" s="980"/>
      <c r="IO18" s="980"/>
      <c r="IP18" s="980"/>
      <c r="IQ18" s="980"/>
      <c r="IR18" s="980"/>
      <c r="IS18" s="980"/>
      <c r="IT18" s="980"/>
      <c r="IU18" s="980"/>
      <c r="IV18" s="980"/>
    </row>
    <row r="19" spans="1:256" s="409" customFormat="1" ht="12" customHeight="1" x14ac:dyDescent="0.55000000000000004">
      <c r="A19" s="398" t="str">
        <f t="shared" si="1"/>
        <v>Executive and Council1200</v>
      </c>
      <c r="B19" s="398" t="str">
        <f t="shared" si="2"/>
        <v>Finance and administration1200</v>
      </c>
      <c r="C19" s="398" t="str">
        <f t="shared" si="2"/>
        <v>Internal audit1200</v>
      </c>
      <c r="D19" s="398" t="str">
        <f t="shared" si="2"/>
        <v>Community and social services1200</v>
      </c>
      <c r="E19" s="398" t="str">
        <f t="shared" si="2"/>
        <v>Sport and recreation1200</v>
      </c>
      <c r="F19" s="398" t="str">
        <f t="shared" si="2"/>
        <v>Public safety1200</v>
      </c>
      <c r="G19" s="398" t="str">
        <f t="shared" si="2"/>
        <v>Housing1200</v>
      </c>
      <c r="H19" s="398" t="str">
        <f t="shared" si="2"/>
        <v>Health1200</v>
      </c>
      <c r="I19" s="398" t="str">
        <f t="shared" si="2"/>
        <v>Planning and development1200</v>
      </c>
      <c r="J19" s="398" t="str">
        <f t="shared" si="2"/>
        <v>Road transport1200</v>
      </c>
      <c r="K19" s="398" t="str">
        <f t="shared" si="2"/>
        <v>Environmental protection1200</v>
      </c>
      <c r="L19" s="398" t="str">
        <f t="shared" si="2"/>
        <v>Other1200</v>
      </c>
      <c r="M19" s="398" t="str">
        <f t="shared" si="2"/>
        <v>Energy sources1200</v>
      </c>
      <c r="N19" s="398" t="str">
        <f t="shared" si="2"/>
        <v>Water management1200</v>
      </c>
      <c r="O19" s="398" t="str">
        <f t="shared" si="2"/>
        <v>Waste water management1200</v>
      </c>
      <c r="P19" s="398" t="str">
        <f t="shared" si="2"/>
        <v>Waste management1200</v>
      </c>
      <c r="Q19" s="745" t="s">
        <v>693</v>
      </c>
      <c r="R19" s="745" t="s">
        <v>693</v>
      </c>
      <c r="S19" s="994"/>
      <c r="T19" s="748" t="s">
        <v>694</v>
      </c>
      <c r="U19" s="804">
        <f ca="1">SUMIF('3.Inc &amp; Exp per Function'!$D18:$D1117,'5.Cons and detailed recon'!A19,'3.Inc &amp; Exp per Function'!$U18:$U1116)</f>
        <v>0</v>
      </c>
      <c r="V19" s="804">
        <f ca="1">SUMIF('3.Inc &amp; Exp per Function'!$D18:$D1117,'5.Cons and detailed recon'!B19,'3.Inc &amp; Exp per Function'!$U18:$U1116)</f>
        <v>0</v>
      </c>
      <c r="W19" s="804">
        <f ca="1">SUMIF('3.Inc &amp; Exp per Function'!$D18:$D1117,'5.Cons and detailed recon'!C19,'3.Inc &amp; Exp per Function'!$U18:$U1116)</f>
        <v>0</v>
      </c>
      <c r="X19" s="413">
        <f t="shared" ca="1" si="16"/>
        <v>0</v>
      </c>
      <c r="Y19" s="1326">
        <f ca="1">SUMIF('3.Inc &amp; Exp per Function'!$D18:$D1117,'5.Cons and detailed recon'!D19,'3.Inc &amp; Exp per Function'!$U18:$U1116)</f>
        <v>0</v>
      </c>
      <c r="Z19" s="1326">
        <f ca="1">SUMIF('3.Inc &amp; Exp per Function'!$D18:$D1117,'5.Cons and detailed recon'!E19,'3.Inc &amp; Exp per Function'!$U18:$U1116)</f>
        <v>0</v>
      </c>
      <c r="AA19" s="1326">
        <f ca="1">SUMIF('3.Inc &amp; Exp per Function'!$D18:$D1117,'5.Cons and detailed recon'!F19,'3.Inc &amp; Exp per Function'!$U18:$U1116)</f>
        <v>0</v>
      </c>
      <c r="AB19" s="1326">
        <f ca="1">SUMIF('3.Inc &amp; Exp per Function'!$D18:$D1117,'5.Cons and detailed recon'!G19,'3.Inc &amp; Exp per Function'!$U18:$U1116)</f>
        <v>0</v>
      </c>
      <c r="AC19" s="1326">
        <f ca="1">SUMIF('3.Inc &amp; Exp per Function'!$D18:$D1117,'5.Cons and detailed recon'!H19,'3.Inc &amp; Exp per Function'!$U18:$U1116)</f>
        <v>0</v>
      </c>
      <c r="AD19" s="1326">
        <f ca="1">SUMIF('3.Inc &amp; Exp per Function'!$D18:$D1117,'5.Cons and detailed recon'!I19,'3.Inc &amp; Exp per Function'!$U18:$U1116)</f>
        <v>0</v>
      </c>
      <c r="AE19" s="1326">
        <f ca="1">SUMIF('3.Inc &amp; Exp per Function'!$D18:$D1117,'5.Cons and detailed recon'!J19,'3.Inc &amp; Exp per Function'!$U18:$U1116)</f>
        <v>0</v>
      </c>
      <c r="AF19" s="1326">
        <f ca="1">SUMIF('3.Inc &amp; Exp per Function'!$D18:$D1117,'5.Cons and detailed recon'!K19,'3.Inc &amp; Exp per Function'!$U18:$U1116)</f>
        <v>0</v>
      </c>
      <c r="AG19" s="1326">
        <f ca="1">SUMIF('3.Inc &amp; Exp per Function'!$D18:$D1117,'5.Cons and detailed recon'!L19,'3.Inc &amp; Exp per Function'!$U18:$U1116)</f>
        <v>0</v>
      </c>
      <c r="AH19" s="413">
        <f t="shared" ca="1" si="3"/>
        <v>0</v>
      </c>
      <c r="AI19" s="804">
        <f ca="1">SUMIF('3.Inc &amp; Exp per Function'!$D18:$D1117,'5.Cons and detailed recon'!M19,'3.Inc &amp; Exp per Function'!$U18:$U1116)</f>
        <v>0</v>
      </c>
      <c r="AJ19" s="804">
        <f ca="1">SUMIF('3.Inc &amp; Exp per Function'!$D18:$D1117,'5.Cons and detailed recon'!N19,'3.Inc &amp; Exp per Function'!$U18:$U1116)</f>
        <v>0</v>
      </c>
      <c r="AK19" s="804">
        <f ca="1">SUMIF('3.Inc &amp; Exp per Function'!$D18:$D1117,'5.Cons and detailed recon'!O19,'3.Inc &amp; Exp per Function'!$U18:$U1116)</f>
        <v>0</v>
      </c>
      <c r="AL19" s="804">
        <f ca="1">SUMIF('3.Inc &amp; Exp per Function'!$D18:$D1117,'5.Cons and detailed recon'!P19,'3.Inc &amp; Exp per Function'!$U18:$U1116)</f>
        <v>0</v>
      </c>
      <c r="AM19" s="748">
        <f t="shared" ca="1" si="0"/>
        <v>0</v>
      </c>
      <c r="AN19" s="794"/>
      <c r="AO19" s="791">
        <f t="shared" ca="1" si="18"/>
        <v>0</v>
      </c>
      <c r="AP19" s="414">
        <f>SUMIF('4.Inc &amp; Exp Summary'!A:A,'5.Cons and detailed recon'!R19,'4.Inc &amp; Exp Summary'!L:L)</f>
        <v>0</v>
      </c>
      <c r="AQ19" s="415">
        <f t="shared" ca="1" si="4"/>
        <v>0</v>
      </c>
      <c r="AR19" s="720"/>
      <c r="AS19" s="730"/>
      <c r="AT19" s="408"/>
      <c r="AU19" s="398" t="str">
        <f t="shared" si="5"/>
        <v>Executive and Council1200</v>
      </c>
      <c r="AV19" s="398" t="str">
        <f t="shared" si="5"/>
        <v>Finance and administration1200</v>
      </c>
      <c r="AW19" s="398" t="str">
        <f t="shared" si="5"/>
        <v>Internal audit1200</v>
      </c>
      <c r="AX19" s="398" t="str">
        <f t="shared" si="5"/>
        <v>Community and social services1200</v>
      </c>
      <c r="AY19" s="398" t="str">
        <f t="shared" si="5"/>
        <v>Sport and recreation1200</v>
      </c>
      <c r="AZ19" s="398" t="str">
        <f t="shared" si="5"/>
        <v>Public safety1200</v>
      </c>
      <c r="BA19" s="398" t="str">
        <f t="shared" si="5"/>
        <v>Housing1200</v>
      </c>
      <c r="BB19" s="398" t="str">
        <f t="shared" si="5"/>
        <v>Health1200</v>
      </c>
      <c r="BC19" s="398" t="str">
        <f t="shared" si="5"/>
        <v>Planning and development1200</v>
      </c>
      <c r="BD19" s="398" t="str">
        <f t="shared" si="5"/>
        <v>Road transport1200</v>
      </c>
      <c r="BE19" s="398" t="str">
        <f t="shared" si="5"/>
        <v>Environmental protection1200</v>
      </c>
      <c r="BF19" s="398" t="str">
        <f t="shared" si="5"/>
        <v>Other1200</v>
      </c>
      <c r="BG19" s="398" t="str">
        <f t="shared" si="5"/>
        <v>Energy sources1200</v>
      </c>
      <c r="BH19" s="398" t="str">
        <f t="shared" si="5"/>
        <v>Water management1200</v>
      </c>
      <c r="BI19" s="398" t="str">
        <f t="shared" si="5"/>
        <v>Waste water management1200</v>
      </c>
      <c r="BJ19" s="398" t="str">
        <f t="shared" si="5"/>
        <v>Waste management1200</v>
      </c>
      <c r="BK19" s="745" t="s">
        <v>693</v>
      </c>
      <c r="BL19" s="745" t="s">
        <v>693</v>
      </c>
      <c r="BM19" s="735"/>
      <c r="BN19" s="748" t="s">
        <v>694</v>
      </c>
      <c r="BO19" s="751">
        <f ca="1">SUMIF('3.Inc &amp; Exp per Function'!$D18:$D1117,'5.Cons and detailed recon'!AU19,'3.Inc &amp; Exp per Function'!$V18:$V1116)</f>
        <v>0</v>
      </c>
      <c r="BP19" s="751">
        <f ca="1">SUMIF('3.Inc &amp; Exp per Function'!$D18:$D1117,'5.Cons and detailed recon'!AV19,'3.Inc &amp; Exp per Function'!$V18:$V1116)</f>
        <v>0</v>
      </c>
      <c r="BQ19" s="751">
        <f ca="1">SUMIF('3.Inc &amp; Exp per Function'!$D18:$D1117,'5.Cons and detailed recon'!AW19,'3.Inc &amp; Exp per Function'!$V18:$V1116)</f>
        <v>0</v>
      </c>
      <c r="BR19" s="413">
        <f t="shared" ca="1" si="6"/>
        <v>0</v>
      </c>
      <c r="BS19" s="751">
        <f ca="1">SUMIF('3.Inc &amp; Exp per Function'!$D18:$D1117,'5.Cons and detailed recon'!AX19,'3.Inc &amp; Exp per Function'!$V18:$V1116)</f>
        <v>0</v>
      </c>
      <c r="BT19" s="751">
        <f ca="1">SUMIF('3.Inc &amp; Exp per Function'!$D18:$D1117,'5.Cons and detailed recon'!AY19,'3.Inc &amp; Exp per Function'!$V18:$V1116)</f>
        <v>0</v>
      </c>
      <c r="BU19" s="751">
        <f ca="1">SUMIF('3.Inc &amp; Exp per Function'!$D18:$D1117,'5.Cons and detailed recon'!AZ19,'3.Inc &amp; Exp per Function'!$V18:$V1116)</f>
        <v>0</v>
      </c>
      <c r="BV19" s="751">
        <f ca="1">SUMIF('3.Inc &amp; Exp per Function'!$D18:$D1117,'5.Cons and detailed recon'!BA19,'3.Inc &amp; Exp per Function'!$V18:$V1116)</f>
        <v>0</v>
      </c>
      <c r="BW19" s="751">
        <f ca="1">SUMIF('3.Inc &amp; Exp per Function'!$D18:$D1117,'5.Cons and detailed recon'!BB19,'3.Inc &amp; Exp per Function'!$V18:$V1116)</f>
        <v>0</v>
      </c>
      <c r="BX19" s="751">
        <f ca="1">SUMIF('3.Inc &amp; Exp per Function'!$D18:$D1117,'5.Cons and detailed recon'!BC19,'3.Inc &amp; Exp per Function'!$V18:$V1116)</f>
        <v>0</v>
      </c>
      <c r="BY19" s="751">
        <f ca="1">SUMIF('3.Inc &amp; Exp per Function'!$D18:$D1117,'5.Cons and detailed recon'!BD19,'3.Inc &amp; Exp per Function'!$V18:$V1116)</f>
        <v>0</v>
      </c>
      <c r="BZ19" s="751">
        <f ca="1">SUMIF('3.Inc &amp; Exp per Function'!$D18:$D1117,'5.Cons and detailed recon'!BE19,'3.Inc &amp; Exp per Function'!$V18:$V1116)</f>
        <v>0</v>
      </c>
      <c r="CA19" s="751">
        <f ca="1">SUMIF('3.Inc &amp; Exp per Function'!$D18:$D1117,'5.Cons and detailed recon'!BF19,'3.Inc &amp; Exp per Function'!$V18:$V1116)</f>
        <v>0</v>
      </c>
      <c r="CB19" s="413">
        <f t="shared" ca="1" si="7"/>
        <v>0</v>
      </c>
      <c r="CC19" s="751">
        <f ca="1">SUMIF('3.Inc &amp; Exp per Function'!$D18:$D1117,'5.Cons and detailed recon'!BG19,'3.Inc &amp; Exp per Function'!$V18:$V1116)</f>
        <v>0</v>
      </c>
      <c r="CD19" s="751">
        <f ca="1">SUMIF('3.Inc &amp; Exp per Function'!$D18:$D1117,'5.Cons and detailed recon'!BH19,'3.Inc &amp; Exp per Function'!$V18:$V1116)</f>
        <v>0</v>
      </c>
      <c r="CE19" s="751">
        <f ca="1">SUMIF('3.Inc &amp; Exp per Function'!$D18:$D1117,'5.Cons and detailed recon'!BI19,'3.Inc &amp; Exp per Function'!$V18:$V1116)</f>
        <v>0</v>
      </c>
      <c r="CF19" s="751">
        <f ca="1">SUMIF('3.Inc &amp; Exp per Function'!$D18:$D1117,'5.Cons and detailed recon'!BJ19,'3.Inc &amp; Exp per Function'!$V18:$V1116)</f>
        <v>0</v>
      </c>
      <c r="CG19" s="748">
        <f t="shared" ca="1" si="8"/>
        <v>0</v>
      </c>
      <c r="CH19" s="794"/>
      <c r="CI19" s="791">
        <f t="shared" ca="1" si="9"/>
        <v>0</v>
      </c>
      <c r="CJ19" s="411">
        <f>SUMIF('4.Inc &amp; Exp Summary'!A:A,'5.Cons and detailed recon'!R19,'4.Inc &amp; Exp Summary'!M:M)</f>
        <v>0</v>
      </c>
      <c r="CK19" s="415">
        <f t="shared" ca="1" si="17"/>
        <v>0</v>
      </c>
      <c r="CL19" s="720"/>
      <c r="CM19" s="730"/>
      <c r="CO19" s="398" t="str">
        <f t="shared" si="10"/>
        <v>Executive and Council1200</v>
      </c>
      <c r="CP19" s="398" t="str">
        <f t="shared" si="10"/>
        <v>Finance and administration1200</v>
      </c>
      <c r="CQ19" s="398" t="str">
        <f t="shared" si="10"/>
        <v>Internal audit1200</v>
      </c>
      <c r="CR19" s="398" t="str">
        <f t="shared" si="10"/>
        <v>Community and social services1200</v>
      </c>
      <c r="CS19" s="398" t="str">
        <f t="shared" si="10"/>
        <v>Sport and recreation1200</v>
      </c>
      <c r="CT19" s="398" t="str">
        <f t="shared" si="10"/>
        <v>Public safety1200</v>
      </c>
      <c r="CU19" s="398" t="str">
        <f t="shared" si="10"/>
        <v>Housing1200</v>
      </c>
      <c r="CV19" s="398" t="str">
        <f t="shared" si="10"/>
        <v>Health1200</v>
      </c>
      <c r="CW19" s="398" t="str">
        <f t="shared" si="10"/>
        <v>Planning and development1200</v>
      </c>
      <c r="CX19" s="398" t="str">
        <f t="shared" si="10"/>
        <v>Road transport1200</v>
      </c>
      <c r="CY19" s="398" t="str">
        <f t="shared" si="10"/>
        <v>Environmental protection1200</v>
      </c>
      <c r="CZ19" s="398" t="str">
        <f t="shared" si="10"/>
        <v>Other1200</v>
      </c>
      <c r="DA19" s="398" t="str">
        <f t="shared" si="10"/>
        <v>Energy sources1200</v>
      </c>
      <c r="DB19" s="398" t="str">
        <f t="shared" si="10"/>
        <v>Water management1200</v>
      </c>
      <c r="DC19" s="398" t="str">
        <f t="shared" si="10"/>
        <v>Waste water management1200</v>
      </c>
      <c r="DD19" s="398" t="str">
        <f t="shared" si="10"/>
        <v>Waste management1200</v>
      </c>
      <c r="DE19" s="745" t="s">
        <v>693</v>
      </c>
      <c r="DF19" s="745" t="s">
        <v>693</v>
      </c>
      <c r="DG19" s="735"/>
      <c r="DH19" s="748" t="s">
        <v>694</v>
      </c>
      <c r="DI19" s="751">
        <f ca="1">SUMIF('3.Inc &amp; Exp per Function'!$D18:$D1117,'5.Cons and detailed recon'!CO19,'3.Inc &amp; Exp per Function'!$W18:$W1116)</f>
        <v>0</v>
      </c>
      <c r="DJ19" s="751">
        <f ca="1">SUMIF('3.Inc &amp; Exp per Function'!$D18:$D1117,'5.Cons and detailed recon'!CP19,'3.Inc &amp; Exp per Function'!$W18:$W1116)</f>
        <v>0</v>
      </c>
      <c r="DK19" s="751">
        <f ca="1">SUMIF('3.Inc &amp; Exp per Function'!$D18:$D1117,'5.Cons and detailed recon'!CQ19,'3.Inc &amp; Exp per Function'!$W18:$W1116)</f>
        <v>0</v>
      </c>
      <c r="DL19" s="413">
        <f t="shared" ca="1" si="11"/>
        <v>0</v>
      </c>
      <c r="DM19" s="751">
        <f ca="1">SUMIF('3.Inc &amp; Exp per Function'!$D18:$D1117,'5.Cons and detailed recon'!CR19,'3.Inc &amp; Exp per Function'!$W18:$W1116)</f>
        <v>0</v>
      </c>
      <c r="DN19" s="751">
        <f ca="1">SUMIF('3.Inc &amp; Exp per Function'!$D18:$D1117,'5.Cons and detailed recon'!CS19,'3.Inc &amp; Exp per Function'!$W18:$W1116)</f>
        <v>0</v>
      </c>
      <c r="DO19" s="751">
        <f ca="1">SUMIF('3.Inc &amp; Exp per Function'!$D18:$D1117,'5.Cons and detailed recon'!CT19,'3.Inc &amp; Exp per Function'!$W18:$W1116)</f>
        <v>0</v>
      </c>
      <c r="DP19" s="751">
        <f ca="1">SUMIF('3.Inc &amp; Exp per Function'!$D18:$D1117,'5.Cons and detailed recon'!CU19,'3.Inc &amp; Exp per Function'!$W18:$W1116)</f>
        <v>0</v>
      </c>
      <c r="DQ19" s="751">
        <f ca="1">SUMIF('3.Inc &amp; Exp per Function'!$D18:$D1117,'5.Cons and detailed recon'!CV19,'3.Inc &amp; Exp per Function'!$W18:$W1116)</f>
        <v>0</v>
      </c>
      <c r="DR19" s="751">
        <f ca="1">SUMIF('3.Inc &amp; Exp per Function'!$D18:$D1117,'5.Cons and detailed recon'!CW19,'3.Inc &amp; Exp per Function'!$W18:$W1116)</f>
        <v>0</v>
      </c>
      <c r="DS19" s="751">
        <f ca="1">SUMIF('3.Inc &amp; Exp per Function'!$D18:$D1117,'5.Cons and detailed recon'!CX19,'3.Inc &amp; Exp per Function'!$W18:$W1116)</f>
        <v>0</v>
      </c>
      <c r="DT19" s="751">
        <f ca="1">SUMIF('3.Inc &amp; Exp per Function'!$D18:$D1117,'5.Cons and detailed recon'!CY19,'3.Inc &amp; Exp per Function'!$W18:$W1116)</f>
        <v>0</v>
      </c>
      <c r="DU19" s="751">
        <f ca="1">SUMIF('3.Inc &amp; Exp per Function'!$D18:$D1117,'5.Cons and detailed recon'!CZ19,'3.Inc &amp; Exp per Function'!$W18:$W1116)</f>
        <v>0</v>
      </c>
      <c r="DV19" s="413">
        <f t="shared" ca="1" si="12"/>
        <v>0</v>
      </c>
      <c r="DW19" s="751">
        <f ca="1">SUMIF('3.Inc &amp; Exp per Function'!$D18:$D1117,'5.Cons and detailed recon'!DA19,'3.Inc &amp; Exp per Function'!$W18:$W1116)</f>
        <v>0</v>
      </c>
      <c r="DX19" s="751">
        <f ca="1">SUMIF('3.Inc &amp; Exp per Function'!$D18:$D1117,'5.Cons and detailed recon'!DB19,'3.Inc &amp; Exp per Function'!$W18:$W1116)</f>
        <v>0</v>
      </c>
      <c r="DY19" s="751">
        <f ca="1">SUMIF('3.Inc &amp; Exp per Function'!$D18:$D1117,'5.Cons and detailed recon'!DC19,'3.Inc &amp; Exp per Function'!$W18:$W1116)</f>
        <v>0</v>
      </c>
      <c r="DZ19" s="751">
        <f ca="1">SUMIF('3.Inc &amp; Exp per Function'!$D18:$D1117,'5.Cons and detailed recon'!DD19,'3.Inc &amp; Exp per Function'!$W18:$W1116)</f>
        <v>0</v>
      </c>
      <c r="EA19" s="748">
        <f t="shared" ca="1" si="13"/>
        <v>0</v>
      </c>
      <c r="EB19" s="794"/>
      <c r="EC19" s="791">
        <f t="shared" ca="1" si="14"/>
        <v>0</v>
      </c>
      <c r="ED19" s="414">
        <f>SUMIF('4.Inc &amp; Exp Summary'!A:A,'5.Cons and detailed recon'!DF19,'4.Inc &amp; Exp Summary'!N:N)</f>
        <v>0</v>
      </c>
      <c r="EE19" s="415">
        <f t="shared" ca="1" si="15"/>
        <v>0</v>
      </c>
      <c r="EF19" s="720"/>
      <c r="EG19" s="980"/>
      <c r="EH19" s="980"/>
      <c r="EI19" s="980"/>
      <c r="EJ19" s="980"/>
      <c r="EK19" s="980"/>
      <c r="EL19" s="980"/>
      <c r="EM19" s="980"/>
      <c r="EN19" s="980"/>
      <c r="EO19" s="980"/>
      <c r="EP19" s="980"/>
      <c r="EQ19" s="980"/>
      <c r="ER19" s="980"/>
      <c r="ES19" s="980"/>
      <c r="ET19" s="980"/>
      <c r="EU19" s="980"/>
      <c r="EV19" s="980"/>
      <c r="EW19" s="980"/>
      <c r="EX19" s="980"/>
      <c r="EY19" s="980"/>
      <c r="EZ19" s="980"/>
      <c r="FA19" s="980"/>
      <c r="FB19" s="980"/>
      <c r="FC19" s="980"/>
      <c r="FD19" s="980"/>
      <c r="FE19" s="980"/>
      <c r="FF19" s="980"/>
      <c r="FG19" s="980"/>
      <c r="FH19" s="980"/>
      <c r="FI19" s="980"/>
      <c r="FJ19" s="980"/>
      <c r="FK19" s="980"/>
      <c r="FL19" s="980"/>
      <c r="FM19" s="980"/>
      <c r="FN19" s="980"/>
      <c r="FO19" s="980"/>
      <c r="FP19" s="980"/>
      <c r="FQ19" s="980"/>
      <c r="FR19" s="980"/>
      <c r="FS19" s="980"/>
      <c r="FT19" s="980"/>
      <c r="FU19" s="980"/>
      <c r="FV19" s="980"/>
      <c r="FW19" s="980"/>
      <c r="FX19" s="980"/>
      <c r="FY19" s="980"/>
      <c r="FZ19" s="980"/>
      <c r="GA19" s="980"/>
      <c r="GB19" s="980"/>
      <c r="GC19" s="980"/>
      <c r="GD19" s="980"/>
      <c r="GE19" s="980"/>
      <c r="GF19" s="980"/>
      <c r="GG19" s="980"/>
      <c r="GH19" s="980"/>
      <c r="GI19" s="980"/>
      <c r="GJ19" s="980"/>
      <c r="GK19" s="980"/>
      <c r="GL19" s="980"/>
      <c r="GM19" s="980"/>
      <c r="GN19" s="980"/>
      <c r="GO19" s="980"/>
      <c r="GP19" s="980"/>
      <c r="GQ19" s="980"/>
      <c r="GR19" s="980"/>
      <c r="GS19" s="980"/>
      <c r="GT19" s="980"/>
      <c r="GU19" s="980"/>
      <c r="GV19" s="980"/>
      <c r="GW19" s="980"/>
      <c r="GX19" s="980"/>
      <c r="GY19" s="980"/>
      <c r="GZ19" s="980"/>
      <c r="HA19" s="980"/>
      <c r="HB19" s="980"/>
      <c r="HC19" s="980"/>
      <c r="HD19" s="980"/>
      <c r="HE19" s="980"/>
      <c r="HF19" s="980"/>
      <c r="HG19" s="980"/>
      <c r="HH19" s="980"/>
      <c r="HI19" s="980"/>
      <c r="HJ19" s="980"/>
      <c r="HK19" s="980"/>
      <c r="HL19" s="980"/>
      <c r="HM19" s="980"/>
      <c r="HN19" s="980"/>
      <c r="HO19" s="980"/>
      <c r="HP19" s="980"/>
      <c r="HQ19" s="980"/>
      <c r="HR19" s="980"/>
      <c r="HS19" s="980"/>
      <c r="HT19" s="980"/>
      <c r="HU19" s="980"/>
      <c r="HV19" s="980"/>
      <c r="HW19" s="980"/>
      <c r="HX19" s="980"/>
      <c r="HY19" s="980"/>
      <c r="HZ19" s="980"/>
      <c r="IA19" s="980"/>
      <c r="IB19" s="980"/>
      <c r="IC19" s="980"/>
      <c r="ID19" s="980"/>
      <c r="IE19" s="980"/>
      <c r="IF19" s="980"/>
      <c r="IG19" s="980"/>
      <c r="IH19" s="980"/>
      <c r="II19" s="980"/>
      <c r="IJ19" s="980"/>
      <c r="IK19" s="980"/>
      <c r="IL19" s="980"/>
      <c r="IM19" s="980"/>
      <c r="IN19" s="980"/>
      <c r="IO19" s="980"/>
      <c r="IP19" s="980"/>
      <c r="IQ19" s="980"/>
      <c r="IR19" s="980"/>
      <c r="IS19" s="980"/>
      <c r="IT19" s="980"/>
      <c r="IU19" s="980"/>
      <c r="IV19" s="980"/>
    </row>
    <row r="20" spans="1:256" s="409" customFormat="1" ht="12" customHeight="1" x14ac:dyDescent="0.55000000000000004">
      <c r="A20" s="398" t="str">
        <f t="shared" si="1"/>
        <v>Executive and Council1300</v>
      </c>
      <c r="B20" s="398" t="str">
        <f t="shared" si="2"/>
        <v>Finance and administration1300</v>
      </c>
      <c r="C20" s="398" t="str">
        <f t="shared" si="2"/>
        <v>Internal audit1300</v>
      </c>
      <c r="D20" s="398" t="str">
        <f t="shared" si="2"/>
        <v>Community and social services1300</v>
      </c>
      <c r="E20" s="398" t="str">
        <f t="shared" si="2"/>
        <v>Sport and recreation1300</v>
      </c>
      <c r="F20" s="398" t="str">
        <f t="shared" si="2"/>
        <v>Public safety1300</v>
      </c>
      <c r="G20" s="398" t="str">
        <f t="shared" si="2"/>
        <v>Housing1300</v>
      </c>
      <c r="H20" s="398" t="str">
        <f t="shared" si="2"/>
        <v>Health1300</v>
      </c>
      <c r="I20" s="398" t="str">
        <f t="shared" si="2"/>
        <v>Planning and development1300</v>
      </c>
      <c r="J20" s="398" t="str">
        <f t="shared" si="2"/>
        <v>Road transport1300</v>
      </c>
      <c r="K20" s="398" t="str">
        <f t="shared" si="2"/>
        <v>Environmental protection1300</v>
      </c>
      <c r="L20" s="398" t="str">
        <f t="shared" si="2"/>
        <v>Other1300</v>
      </c>
      <c r="M20" s="398" t="str">
        <f t="shared" si="2"/>
        <v>Energy sources1300</v>
      </c>
      <c r="N20" s="398" t="str">
        <f t="shared" si="2"/>
        <v>Water management1300</v>
      </c>
      <c r="O20" s="398" t="str">
        <f t="shared" si="2"/>
        <v>Waste water management1300</v>
      </c>
      <c r="P20" s="398" t="str">
        <f t="shared" si="2"/>
        <v>Waste management1300</v>
      </c>
      <c r="Q20" s="745" t="s">
        <v>695</v>
      </c>
      <c r="R20" s="745" t="s">
        <v>695</v>
      </c>
      <c r="S20" s="994"/>
      <c r="T20" s="748" t="s">
        <v>696</v>
      </c>
      <c r="U20" s="804">
        <f ca="1">SUMIF('3.Inc &amp; Exp per Function'!$D19:$D1118,'5.Cons and detailed recon'!A20,'3.Inc &amp; Exp per Function'!$U19:$U1117)</f>
        <v>0</v>
      </c>
      <c r="V20" s="804">
        <f ca="1">SUMIF('3.Inc &amp; Exp per Function'!$D19:$D1118,'5.Cons and detailed recon'!B20,'3.Inc &amp; Exp per Function'!$U19:$U1117)</f>
        <v>0</v>
      </c>
      <c r="W20" s="804">
        <f ca="1">SUMIF('3.Inc &amp; Exp per Function'!$D19:$D1118,'5.Cons and detailed recon'!C20,'3.Inc &amp; Exp per Function'!$U19:$U1117)</f>
        <v>0</v>
      </c>
      <c r="X20" s="413">
        <f t="shared" ca="1" si="16"/>
        <v>0</v>
      </c>
      <c r="Y20" s="1326">
        <f ca="1">SUMIF('3.Inc &amp; Exp per Function'!$D19:$D1118,'5.Cons and detailed recon'!D20,'3.Inc &amp; Exp per Function'!$U19:$U1117)</f>
        <v>0</v>
      </c>
      <c r="Z20" s="1326">
        <f ca="1">SUMIF('3.Inc &amp; Exp per Function'!$D19:$D1118,'5.Cons and detailed recon'!E20,'3.Inc &amp; Exp per Function'!$U19:$U1117)</f>
        <v>0</v>
      </c>
      <c r="AA20" s="1326">
        <f ca="1">SUMIF('3.Inc &amp; Exp per Function'!$D19:$D1118,'5.Cons and detailed recon'!F20,'3.Inc &amp; Exp per Function'!$U19:$U1117)</f>
        <v>0</v>
      </c>
      <c r="AB20" s="1326">
        <f ca="1">SUMIF('3.Inc &amp; Exp per Function'!$D19:$D1118,'5.Cons and detailed recon'!G20,'3.Inc &amp; Exp per Function'!$U19:$U1117)</f>
        <v>0</v>
      </c>
      <c r="AC20" s="1326">
        <f ca="1">SUMIF('3.Inc &amp; Exp per Function'!$D19:$D1118,'5.Cons and detailed recon'!H20,'3.Inc &amp; Exp per Function'!$U19:$U1117)</f>
        <v>0</v>
      </c>
      <c r="AD20" s="1326">
        <f ca="1">SUMIF('3.Inc &amp; Exp per Function'!$D19:$D1118,'5.Cons and detailed recon'!I20,'3.Inc &amp; Exp per Function'!$U19:$U1117)</f>
        <v>0</v>
      </c>
      <c r="AE20" s="1326">
        <f ca="1">SUMIF('3.Inc &amp; Exp per Function'!$D19:$D1118,'5.Cons and detailed recon'!J20,'3.Inc &amp; Exp per Function'!$U19:$U1117)</f>
        <v>0</v>
      </c>
      <c r="AF20" s="1326">
        <f ca="1">SUMIF('3.Inc &amp; Exp per Function'!$D19:$D1118,'5.Cons and detailed recon'!K20,'3.Inc &amp; Exp per Function'!$U19:$U1117)</f>
        <v>0</v>
      </c>
      <c r="AG20" s="1326">
        <f ca="1">SUMIF('3.Inc &amp; Exp per Function'!$D19:$D1118,'5.Cons and detailed recon'!L20,'3.Inc &amp; Exp per Function'!$U19:$U1117)</f>
        <v>0</v>
      </c>
      <c r="AH20" s="413">
        <f t="shared" ca="1" si="3"/>
        <v>0</v>
      </c>
      <c r="AI20" s="804">
        <f ca="1">SUMIF('3.Inc &amp; Exp per Function'!$D19:$D1118,'5.Cons and detailed recon'!M20,'3.Inc &amp; Exp per Function'!$U19:$U1117)</f>
        <v>0</v>
      </c>
      <c r="AJ20" s="804">
        <f ca="1">SUMIF('3.Inc &amp; Exp per Function'!$D19:$D1118,'5.Cons and detailed recon'!N20,'3.Inc &amp; Exp per Function'!$U19:$U1117)</f>
        <v>0</v>
      </c>
      <c r="AK20" s="804">
        <f ca="1">SUMIF('3.Inc &amp; Exp per Function'!$D19:$D1118,'5.Cons and detailed recon'!O20,'3.Inc &amp; Exp per Function'!$U19:$U1117)</f>
        <v>0</v>
      </c>
      <c r="AL20" s="804">
        <f ca="1">SUMIF('3.Inc &amp; Exp per Function'!$D19:$D1118,'5.Cons and detailed recon'!P20,'3.Inc &amp; Exp per Function'!$U19:$U1117)</f>
        <v>0</v>
      </c>
      <c r="AM20" s="748">
        <f t="shared" ca="1" si="0"/>
        <v>0</v>
      </c>
      <c r="AN20" s="794"/>
      <c r="AO20" s="791">
        <f t="shared" ca="1" si="18"/>
        <v>0</v>
      </c>
      <c r="AP20" s="414">
        <f>SUMIF('4.Inc &amp; Exp Summary'!A:A,'5.Cons and detailed recon'!R20,'4.Inc &amp; Exp Summary'!L:L)</f>
        <v>0</v>
      </c>
      <c r="AQ20" s="415">
        <f t="shared" ca="1" si="4"/>
        <v>0</v>
      </c>
      <c r="AR20" s="720"/>
      <c r="AS20" s="730"/>
      <c r="AT20" s="408"/>
      <c r="AU20" s="398" t="str">
        <f t="shared" si="5"/>
        <v>Executive and Council1300</v>
      </c>
      <c r="AV20" s="398" t="str">
        <f t="shared" si="5"/>
        <v>Finance and administration1300</v>
      </c>
      <c r="AW20" s="398" t="str">
        <f t="shared" si="5"/>
        <v>Internal audit1300</v>
      </c>
      <c r="AX20" s="398" t="str">
        <f t="shared" si="5"/>
        <v>Community and social services1300</v>
      </c>
      <c r="AY20" s="398" t="str">
        <f t="shared" si="5"/>
        <v>Sport and recreation1300</v>
      </c>
      <c r="AZ20" s="398" t="str">
        <f t="shared" si="5"/>
        <v>Public safety1300</v>
      </c>
      <c r="BA20" s="398" t="str">
        <f t="shared" si="5"/>
        <v>Housing1300</v>
      </c>
      <c r="BB20" s="398" t="str">
        <f t="shared" si="5"/>
        <v>Health1300</v>
      </c>
      <c r="BC20" s="398" t="str">
        <f t="shared" si="5"/>
        <v>Planning and development1300</v>
      </c>
      <c r="BD20" s="398" t="str">
        <f t="shared" si="5"/>
        <v>Road transport1300</v>
      </c>
      <c r="BE20" s="398" t="str">
        <f t="shared" si="5"/>
        <v>Environmental protection1300</v>
      </c>
      <c r="BF20" s="398" t="str">
        <f t="shared" si="5"/>
        <v>Other1300</v>
      </c>
      <c r="BG20" s="398" t="str">
        <f t="shared" si="5"/>
        <v>Energy sources1300</v>
      </c>
      <c r="BH20" s="398" t="str">
        <f t="shared" si="5"/>
        <v>Water management1300</v>
      </c>
      <c r="BI20" s="398" t="str">
        <f t="shared" si="5"/>
        <v>Waste water management1300</v>
      </c>
      <c r="BJ20" s="398" t="str">
        <f t="shared" si="5"/>
        <v>Waste management1300</v>
      </c>
      <c r="BK20" s="745" t="s">
        <v>695</v>
      </c>
      <c r="BL20" s="745" t="s">
        <v>695</v>
      </c>
      <c r="BM20" s="735"/>
      <c r="BN20" s="748" t="s">
        <v>696</v>
      </c>
      <c r="BO20" s="751">
        <f ca="1">SUMIF('3.Inc &amp; Exp per Function'!$D19:$D1118,'5.Cons and detailed recon'!AU20,'3.Inc &amp; Exp per Function'!$V19:$V1117)</f>
        <v>0</v>
      </c>
      <c r="BP20" s="751">
        <f ca="1">SUMIF('3.Inc &amp; Exp per Function'!$D19:$D1118,'5.Cons and detailed recon'!AV20,'3.Inc &amp; Exp per Function'!$V19:$V1117)</f>
        <v>0</v>
      </c>
      <c r="BQ20" s="751">
        <f ca="1">SUMIF('3.Inc &amp; Exp per Function'!$D19:$D1118,'5.Cons and detailed recon'!AW20,'3.Inc &amp; Exp per Function'!$V19:$V1117)</f>
        <v>0</v>
      </c>
      <c r="BR20" s="413">
        <f t="shared" ca="1" si="6"/>
        <v>0</v>
      </c>
      <c r="BS20" s="751">
        <f ca="1">SUMIF('3.Inc &amp; Exp per Function'!$D19:$D1118,'5.Cons and detailed recon'!AX20,'3.Inc &amp; Exp per Function'!$V19:$V1117)</f>
        <v>0</v>
      </c>
      <c r="BT20" s="751">
        <f ca="1">SUMIF('3.Inc &amp; Exp per Function'!$D19:$D1118,'5.Cons and detailed recon'!AY20,'3.Inc &amp; Exp per Function'!$V19:$V1117)</f>
        <v>0</v>
      </c>
      <c r="BU20" s="751">
        <f ca="1">SUMIF('3.Inc &amp; Exp per Function'!$D19:$D1118,'5.Cons and detailed recon'!AZ20,'3.Inc &amp; Exp per Function'!$V19:$V1117)</f>
        <v>0</v>
      </c>
      <c r="BV20" s="751">
        <f ca="1">SUMIF('3.Inc &amp; Exp per Function'!$D19:$D1118,'5.Cons and detailed recon'!BA20,'3.Inc &amp; Exp per Function'!$V19:$V1117)</f>
        <v>0</v>
      </c>
      <c r="BW20" s="751">
        <f ca="1">SUMIF('3.Inc &amp; Exp per Function'!$D19:$D1118,'5.Cons and detailed recon'!BB20,'3.Inc &amp; Exp per Function'!$V19:$V1117)</f>
        <v>0</v>
      </c>
      <c r="BX20" s="751">
        <f ca="1">SUMIF('3.Inc &amp; Exp per Function'!$D19:$D1118,'5.Cons and detailed recon'!BC20,'3.Inc &amp; Exp per Function'!$V19:$V1117)</f>
        <v>0</v>
      </c>
      <c r="BY20" s="751">
        <f ca="1">SUMIF('3.Inc &amp; Exp per Function'!$D19:$D1118,'5.Cons and detailed recon'!BD20,'3.Inc &amp; Exp per Function'!$V19:$V1117)</f>
        <v>0</v>
      </c>
      <c r="BZ20" s="751">
        <f ca="1">SUMIF('3.Inc &amp; Exp per Function'!$D19:$D1118,'5.Cons and detailed recon'!BE20,'3.Inc &amp; Exp per Function'!$V19:$V1117)</f>
        <v>0</v>
      </c>
      <c r="CA20" s="751">
        <f ca="1">SUMIF('3.Inc &amp; Exp per Function'!$D19:$D1118,'5.Cons and detailed recon'!BF20,'3.Inc &amp; Exp per Function'!$V19:$V1117)</f>
        <v>0</v>
      </c>
      <c r="CB20" s="413">
        <f t="shared" ca="1" si="7"/>
        <v>0</v>
      </c>
      <c r="CC20" s="751">
        <f ca="1">SUMIF('3.Inc &amp; Exp per Function'!$D19:$D1118,'5.Cons and detailed recon'!BG20,'3.Inc &amp; Exp per Function'!$V19:$V1117)</f>
        <v>0</v>
      </c>
      <c r="CD20" s="751">
        <f ca="1">SUMIF('3.Inc &amp; Exp per Function'!$D19:$D1118,'5.Cons and detailed recon'!BH20,'3.Inc &amp; Exp per Function'!$V19:$V1117)</f>
        <v>0</v>
      </c>
      <c r="CE20" s="751">
        <f ca="1">SUMIF('3.Inc &amp; Exp per Function'!$D19:$D1118,'5.Cons and detailed recon'!BI20,'3.Inc &amp; Exp per Function'!$V19:$V1117)</f>
        <v>0</v>
      </c>
      <c r="CF20" s="751">
        <f ca="1">SUMIF('3.Inc &amp; Exp per Function'!$D19:$D1118,'5.Cons and detailed recon'!BJ20,'3.Inc &amp; Exp per Function'!$V19:$V1117)</f>
        <v>0</v>
      </c>
      <c r="CG20" s="748">
        <f t="shared" ca="1" si="8"/>
        <v>0</v>
      </c>
      <c r="CH20" s="794"/>
      <c r="CI20" s="791">
        <f t="shared" ca="1" si="9"/>
        <v>0</v>
      </c>
      <c r="CJ20" s="411">
        <f>SUMIF('4.Inc &amp; Exp Summary'!A:A,'5.Cons and detailed recon'!R20,'4.Inc &amp; Exp Summary'!M:M)</f>
        <v>0</v>
      </c>
      <c r="CK20" s="415">
        <f t="shared" ca="1" si="17"/>
        <v>0</v>
      </c>
      <c r="CL20" s="720"/>
      <c r="CM20" s="730"/>
      <c r="CO20" s="398" t="str">
        <f t="shared" si="10"/>
        <v>Executive and Council1300</v>
      </c>
      <c r="CP20" s="398" t="str">
        <f t="shared" si="10"/>
        <v>Finance and administration1300</v>
      </c>
      <c r="CQ20" s="398" t="str">
        <f t="shared" si="10"/>
        <v>Internal audit1300</v>
      </c>
      <c r="CR20" s="398" t="str">
        <f t="shared" si="10"/>
        <v>Community and social services1300</v>
      </c>
      <c r="CS20" s="398" t="str">
        <f t="shared" si="10"/>
        <v>Sport and recreation1300</v>
      </c>
      <c r="CT20" s="398" t="str">
        <f t="shared" si="10"/>
        <v>Public safety1300</v>
      </c>
      <c r="CU20" s="398" t="str">
        <f t="shared" si="10"/>
        <v>Housing1300</v>
      </c>
      <c r="CV20" s="398" t="str">
        <f t="shared" si="10"/>
        <v>Health1300</v>
      </c>
      <c r="CW20" s="398" t="str">
        <f t="shared" si="10"/>
        <v>Planning and development1300</v>
      </c>
      <c r="CX20" s="398" t="str">
        <f t="shared" si="10"/>
        <v>Road transport1300</v>
      </c>
      <c r="CY20" s="398" t="str">
        <f t="shared" si="10"/>
        <v>Environmental protection1300</v>
      </c>
      <c r="CZ20" s="398" t="str">
        <f t="shared" si="10"/>
        <v>Other1300</v>
      </c>
      <c r="DA20" s="398" t="str">
        <f t="shared" si="10"/>
        <v>Energy sources1300</v>
      </c>
      <c r="DB20" s="398" t="str">
        <f t="shared" si="10"/>
        <v>Water management1300</v>
      </c>
      <c r="DC20" s="398" t="str">
        <f t="shared" si="10"/>
        <v>Waste water management1300</v>
      </c>
      <c r="DD20" s="398" t="str">
        <f t="shared" si="10"/>
        <v>Waste management1300</v>
      </c>
      <c r="DE20" s="745" t="s">
        <v>695</v>
      </c>
      <c r="DF20" s="745" t="s">
        <v>695</v>
      </c>
      <c r="DG20" s="735"/>
      <c r="DH20" s="748" t="s">
        <v>696</v>
      </c>
      <c r="DI20" s="751">
        <f ca="1">SUMIF('3.Inc &amp; Exp per Function'!$D19:$D1118,'5.Cons and detailed recon'!CO20,'3.Inc &amp; Exp per Function'!$W19:$W1117)</f>
        <v>0</v>
      </c>
      <c r="DJ20" s="751">
        <f ca="1">SUMIF('3.Inc &amp; Exp per Function'!$D19:$D1118,'5.Cons and detailed recon'!CP20,'3.Inc &amp; Exp per Function'!$W19:$W1117)</f>
        <v>0</v>
      </c>
      <c r="DK20" s="751">
        <f ca="1">SUMIF('3.Inc &amp; Exp per Function'!$D19:$D1118,'5.Cons and detailed recon'!CQ20,'3.Inc &amp; Exp per Function'!$W19:$W1117)</f>
        <v>0</v>
      </c>
      <c r="DL20" s="413">
        <f t="shared" ca="1" si="11"/>
        <v>0</v>
      </c>
      <c r="DM20" s="751">
        <f ca="1">SUMIF('3.Inc &amp; Exp per Function'!$D19:$D1118,'5.Cons and detailed recon'!CR20,'3.Inc &amp; Exp per Function'!$W19:$W1117)</f>
        <v>0</v>
      </c>
      <c r="DN20" s="751">
        <f ca="1">SUMIF('3.Inc &amp; Exp per Function'!$D19:$D1118,'5.Cons and detailed recon'!CS20,'3.Inc &amp; Exp per Function'!$W19:$W1117)</f>
        <v>0</v>
      </c>
      <c r="DO20" s="751">
        <f ca="1">SUMIF('3.Inc &amp; Exp per Function'!$D19:$D1118,'5.Cons and detailed recon'!CT20,'3.Inc &amp; Exp per Function'!$W19:$W1117)</f>
        <v>0</v>
      </c>
      <c r="DP20" s="751">
        <f ca="1">SUMIF('3.Inc &amp; Exp per Function'!$D19:$D1118,'5.Cons and detailed recon'!CU20,'3.Inc &amp; Exp per Function'!$W19:$W1117)</f>
        <v>0</v>
      </c>
      <c r="DQ20" s="751">
        <f ca="1">SUMIF('3.Inc &amp; Exp per Function'!$D19:$D1118,'5.Cons and detailed recon'!CV20,'3.Inc &amp; Exp per Function'!$W19:$W1117)</f>
        <v>0</v>
      </c>
      <c r="DR20" s="751">
        <f ca="1">SUMIF('3.Inc &amp; Exp per Function'!$D19:$D1118,'5.Cons and detailed recon'!CW20,'3.Inc &amp; Exp per Function'!$W19:$W1117)</f>
        <v>0</v>
      </c>
      <c r="DS20" s="751">
        <f ca="1">SUMIF('3.Inc &amp; Exp per Function'!$D19:$D1118,'5.Cons and detailed recon'!CX20,'3.Inc &amp; Exp per Function'!$W19:$W1117)</f>
        <v>0</v>
      </c>
      <c r="DT20" s="751">
        <f ca="1">SUMIF('3.Inc &amp; Exp per Function'!$D19:$D1118,'5.Cons and detailed recon'!CY20,'3.Inc &amp; Exp per Function'!$W19:$W1117)</f>
        <v>0</v>
      </c>
      <c r="DU20" s="751">
        <f ca="1">SUMIF('3.Inc &amp; Exp per Function'!$D19:$D1118,'5.Cons and detailed recon'!CZ20,'3.Inc &amp; Exp per Function'!$W19:$W1117)</f>
        <v>0</v>
      </c>
      <c r="DV20" s="413">
        <f t="shared" ca="1" si="12"/>
        <v>0</v>
      </c>
      <c r="DW20" s="751">
        <f ca="1">SUMIF('3.Inc &amp; Exp per Function'!$D19:$D1118,'5.Cons and detailed recon'!DA20,'3.Inc &amp; Exp per Function'!$W19:$W1117)</f>
        <v>0</v>
      </c>
      <c r="DX20" s="751">
        <f ca="1">SUMIF('3.Inc &amp; Exp per Function'!$D19:$D1118,'5.Cons and detailed recon'!DB20,'3.Inc &amp; Exp per Function'!$W19:$W1117)</f>
        <v>0</v>
      </c>
      <c r="DY20" s="751">
        <f ca="1">SUMIF('3.Inc &amp; Exp per Function'!$D19:$D1118,'5.Cons and detailed recon'!DC20,'3.Inc &amp; Exp per Function'!$W19:$W1117)</f>
        <v>0</v>
      </c>
      <c r="DZ20" s="751">
        <f ca="1">SUMIF('3.Inc &amp; Exp per Function'!$D19:$D1118,'5.Cons and detailed recon'!DD20,'3.Inc &amp; Exp per Function'!$W19:$W1117)</f>
        <v>0</v>
      </c>
      <c r="EA20" s="748">
        <f t="shared" ca="1" si="13"/>
        <v>0</v>
      </c>
      <c r="EB20" s="794"/>
      <c r="EC20" s="791">
        <f t="shared" ca="1" si="14"/>
        <v>0</v>
      </c>
      <c r="ED20" s="414">
        <f>SUMIF('4.Inc &amp; Exp Summary'!A:A,'5.Cons and detailed recon'!DF20,'4.Inc &amp; Exp Summary'!N:N)</f>
        <v>0</v>
      </c>
      <c r="EE20" s="415">
        <f t="shared" ca="1" si="15"/>
        <v>0</v>
      </c>
      <c r="EF20" s="720"/>
      <c r="EG20" s="980"/>
      <c r="EH20" s="980"/>
      <c r="EI20" s="980"/>
      <c r="EJ20" s="980"/>
      <c r="EK20" s="980"/>
      <c r="EL20" s="980"/>
      <c r="EM20" s="980"/>
      <c r="EN20" s="980"/>
      <c r="EO20" s="980"/>
      <c r="EP20" s="980"/>
      <c r="EQ20" s="980"/>
      <c r="ER20" s="980"/>
      <c r="ES20" s="980"/>
      <c r="ET20" s="980"/>
      <c r="EU20" s="980"/>
      <c r="EV20" s="980"/>
      <c r="EW20" s="980"/>
      <c r="EX20" s="980"/>
      <c r="EY20" s="980"/>
      <c r="EZ20" s="980"/>
      <c r="FA20" s="980"/>
      <c r="FB20" s="980"/>
      <c r="FC20" s="980"/>
      <c r="FD20" s="980"/>
      <c r="FE20" s="980"/>
      <c r="FF20" s="980"/>
      <c r="FG20" s="980"/>
      <c r="FH20" s="980"/>
      <c r="FI20" s="980"/>
      <c r="FJ20" s="980"/>
      <c r="FK20" s="980"/>
      <c r="FL20" s="980"/>
      <c r="FM20" s="980"/>
      <c r="FN20" s="980"/>
      <c r="FO20" s="980"/>
      <c r="FP20" s="980"/>
      <c r="FQ20" s="980"/>
      <c r="FR20" s="980"/>
      <c r="FS20" s="980"/>
      <c r="FT20" s="980"/>
      <c r="FU20" s="980"/>
      <c r="FV20" s="980"/>
      <c r="FW20" s="980"/>
      <c r="FX20" s="980"/>
      <c r="FY20" s="980"/>
      <c r="FZ20" s="980"/>
      <c r="GA20" s="980"/>
      <c r="GB20" s="980"/>
      <c r="GC20" s="980"/>
      <c r="GD20" s="980"/>
      <c r="GE20" s="980"/>
      <c r="GF20" s="980"/>
      <c r="GG20" s="980"/>
      <c r="GH20" s="980"/>
      <c r="GI20" s="980"/>
      <c r="GJ20" s="980"/>
      <c r="GK20" s="980"/>
      <c r="GL20" s="980"/>
      <c r="GM20" s="980"/>
      <c r="GN20" s="980"/>
      <c r="GO20" s="980"/>
      <c r="GP20" s="980"/>
      <c r="GQ20" s="980"/>
      <c r="GR20" s="980"/>
      <c r="GS20" s="980"/>
      <c r="GT20" s="980"/>
      <c r="GU20" s="980"/>
      <c r="GV20" s="980"/>
      <c r="GW20" s="980"/>
      <c r="GX20" s="980"/>
      <c r="GY20" s="980"/>
      <c r="GZ20" s="980"/>
      <c r="HA20" s="980"/>
      <c r="HB20" s="980"/>
      <c r="HC20" s="980"/>
      <c r="HD20" s="980"/>
      <c r="HE20" s="980"/>
      <c r="HF20" s="980"/>
      <c r="HG20" s="980"/>
      <c r="HH20" s="980"/>
      <c r="HI20" s="980"/>
      <c r="HJ20" s="980"/>
      <c r="HK20" s="980"/>
      <c r="HL20" s="980"/>
      <c r="HM20" s="980"/>
      <c r="HN20" s="980"/>
      <c r="HO20" s="980"/>
      <c r="HP20" s="980"/>
      <c r="HQ20" s="980"/>
      <c r="HR20" s="980"/>
      <c r="HS20" s="980"/>
      <c r="HT20" s="980"/>
      <c r="HU20" s="980"/>
      <c r="HV20" s="980"/>
      <c r="HW20" s="980"/>
      <c r="HX20" s="980"/>
      <c r="HY20" s="980"/>
      <c r="HZ20" s="980"/>
      <c r="IA20" s="980"/>
      <c r="IB20" s="980"/>
      <c r="IC20" s="980"/>
      <c r="ID20" s="980"/>
      <c r="IE20" s="980"/>
      <c r="IF20" s="980"/>
      <c r="IG20" s="980"/>
      <c r="IH20" s="980"/>
      <c r="II20" s="980"/>
      <c r="IJ20" s="980"/>
      <c r="IK20" s="980"/>
      <c r="IL20" s="980"/>
      <c r="IM20" s="980"/>
      <c r="IN20" s="980"/>
      <c r="IO20" s="980"/>
      <c r="IP20" s="980"/>
      <c r="IQ20" s="980"/>
      <c r="IR20" s="980"/>
      <c r="IS20" s="980"/>
      <c r="IT20" s="980"/>
      <c r="IU20" s="980"/>
      <c r="IV20" s="980"/>
    </row>
    <row r="21" spans="1:256" s="409" customFormat="1" ht="12" customHeight="1" x14ac:dyDescent="0.55000000000000004">
      <c r="A21" s="398" t="str">
        <f t="shared" si="1"/>
        <v>Executive and Council1400</v>
      </c>
      <c r="B21" s="398" t="str">
        <f t="shared" si="2"/>
        <v>Finance and administration1400</v>
      </c>
      <c r="C21" s="398" t="str">
        <f t="shared" si="2"/>
        <v>Internal audit1400</v>
      </c>
      <c r="D21" s="398" t="str">
        <f t="shared" si="2"/>
        <v>Community and social services1400</v>
      </c>
      <c r="E21" s="398" t="str">
        <f t="shared" si="2"/>
        <v>Sport and recreation1400</v>
      </c>
      <c r="F21" s="398" t="str">
        <f t="shared" si="2"/>
        <v>Public safety1400</v>
      </c>
      <c r="G21" s="398" t="str">
        <f t="shared" si="2"/>
        <v>Housing1400</v>
      </c>
      <c r="H21" s="398" t="str">
        <f t="shared" si="2"/>
        <v>Health1400</v>
      </c>
      <c r="I21" s="398" t="str">
        <f t="shared" si="2"/>
        <v>Planning and development1400</v>
      </c>
      <c r="J21" s="398" t="str">
        <f t="shared" si="2"/>
        <v>Road transport1400</v>
      </c>
      <c r="K21" s="398" t="str">
        <f t="shared" si="2"/>
        <v>Environmental protection1400</v>
      </c>
      <c r="L21" s="398" t="str">
        <f t="shared" si="2"/>
        <v>Other1400</v>
      </c>
      <c r="M21" s="398" t="str">
        <f t="shared" si="2"/>
        <v>Energy sources1400</v>
      </c>
      <c r="N21" s="398" t="str">
        <f t="shared" si="2"/>
        <v>Water management1400</v>
      </c>
      <c r="O21" s="398" t="str">
        <f t="shared" si="2"/>
        <v>Waste water management1400</v>
      </c>
      <c r="P21" s="398" t="str">
        <f t="shared" si="2"/>
        <v>Waste management1400</v>
      </c>
      <c r="Q21" s="745" t="s">
        <v>697</v>
      </c>
      <c r="R21" s="745" t="s">
        <v>697</v>
      </c>
      <c r="S21" s="994"/>
      <c r="T21" s="748" t="s">
        <v>699</v>
      </c>
      <c r="U21" s="804">
        <f ca="1">SUMIF('3.Inc &amp; Exp per Function'!$D20:$D1119,'5.Cons and detailed recon'!A21,'3.Inc &amp; Exp per Function'!$U20:$U1118)</f>
        <v>0</v>
      </c>
      <c r="V21" s="804">
        <f ca="1">SUMIF('3.Inc &amp; Exp per Function'!$D20:$D1119,'5.Cons and detailed recon'!B21,'3.Inc &amp; Exp per Function'!$U20:$U1118)</f>
        <v>1230000</v>
      </c>
      <c r="W21" s="804">
        <f ca="1">SUMIF('3.Inc &amp; Exp per Function'!$D20:$D1119,'5.Cons and detailed recon'!C21,'3.Inc &amp; Exp per Function'!$U20:$U1118)</f>
        <v>0</v>
      </c>
      <c r="X21" s="413">
        <f t="shared" ca="1" si="16"/>
        <v>1230000</v>
      </c>
      <c r="Y21" s="1326">
        <f ca="1">SUMIF('3.Inc &amp; Exp per Function'!$D20:$D1119,'5.Cons and detailed recon'!D21,'3.Inc &amp; Exp per Function'!$U20:$U1118)</f>
        <v>0</v>
      </c>
      <c r="Z21" s="1326">
        <f ca="1">SUMIF('3.Inc &amp; Exp per Function'!$D20:$D1119,'5.Cons and detailed recon'!E21,'3.Inc &amp; Exp per Function'!$U20:$U1118)</f>
        <v>70000</v>
      </c>
      <c r="AA21" s="1326">
        <f ca="1">SUMIF('3.Inc &amp; Exp per Function'!$D20:$D1119,'5.Cons and detailed recon'!F21,'3.Inc &amp; Exp per Function'!$U20:$U1118)</f>
        <v>0</v>
      </c>
      <c r="AB21" s="1326">
        <f ca="1">SUMIF('3.Inc &amp; Exp per Function'!$D20:$D1119,'5.Cons and detailed recon'!G21,'3.Inc &amp; Exp per Function'!$U20:$U1118)</f>
        <v>0</v>
      </c>
      <c r="AC21" s="1326">
        <f ca="1">SUMIF('3.Inc &amp; Exp per Function'!$D20:$D1119,'5.Cons and detailed recon'!H21,'3.Inc &amp; Exp per Function'!$U20:$U1118)</f>
        <v>0</v>
      </c>
      <c r="AD21" s="1326">
        <f ca="1">SUMIF('3.Inc &amp; Exp per Function'!$D20:$D1119,'5.Cons and detailed recon'!I21,'3.Inc &amp; Exp per Function'!$U20:$U1118)</f>
        <v>0</v>
      </c>
      <c r="AE21" s="1326">
        <f ca="1">SUMIF('3.Inc &amp; Exp per Function'!$D20:$D1119,'5.Cons and detailed recon'!J21,'3.Inc &amp; Exp per Function'!$U20:$U1118)</f>
        <v>0</v>
      </c>
      <c r="AF21" s="1326">
        <f ca="1">SUMIF('3.Inc &amp; Exp per Function'!$D20:$D1119,'5.Cons and detailed recon'!K21,'3.Inc &amp; Exp per Function'!$U20:$U1118)</f>
        <v>0</v>
      </c>
      <c r="AG21" s="1326">
        <f ca="1">SUMIF('3.Inc &amp; Exp per Function'!$D20:$D1119,'5.Cons and detailed recon'!L21,'3.Inc &amp; Exp per Function'!$U20:$U1118)</f>
        <v>0</v>
      </c>
      <c r="AH21" s="413">
        <f t="shared" ca="1" si="3"/>
        <v>70000</v>
      </c>
      <c r="AI21" s="804">
        <f ca="1">SUMIF('3.Inc &amp; Exp per Function'!$D20:$D1119,'5.Cons and detailed recon'!M21,'3.Inc &amp; Exp per Function'!$U20:$U1118)</f>
        <v>0</v>
      </c>
      <c r="AJ21" s="804">
        <f ca="1">SUMIF('3.Inc &amp; Exp per Function'!$D20:$D1119,'5.Cons and detailed recon'!N21,'3.Inc &amp; Exp per Function'!$U20:$U1118)</f>
        <v>0</v>
      </c>
      <c r="AK21" s="804">
        <f ca="1">SUMIF('3.Inc &amp; Exp per Function'!$D20:$D1119,'5.Cons and detailed recon'!O21,'3.Inc &amp; Exp per Function'!$U20:$U1118)</f>
        <v>0</v>
      </c>
      <c r="AL21" s="804">
        <f ca="1">SUMIF('3.Inc &amp; Exp per Function'!$D20:$D1119,'5.Cons and detailed recon'!P21,'3.Inc &amp; Exp per Function'!$U20:$U1118)</f>
        <v>0</v>
      </c>
      <c r="AM21" s="748">
        <f t="shared" ca="1" si="0"/>
        <v>0</v>
      </c>
      <c r="AN21" s="794"/>
      <c r="AO21" s="791">
        <f t="shared" ca="1" si="18"/>
        <v>1300000</v>
      </c>
      <c r="AP21" s="414">
        <f>SUMIF('4.Inc &amp; Exp Summary'!A:A,'5.Cons and detailed recon'!R21,'4.Inc &amp; Exp Summary'!L:L)</f>
        <v>1300000</v>
      </c>
      <c r="AQ21" s="415">
        <f t="shared" ca="1" si="4"/>
        <v>0</v>
      </c>
      <c r="AR21" s="720"/>
      <c r="AS21" s="730"/>
      <c r="AT21" s="408"/>
      <c r="AU21" s="398" t="str">
        <f t="shared" si="5"/>
        <v>Executive and Council1400</v>
      </c>
      <c r="AV21" s="398" t="str">
        <f t="shared" si="5"/>
        <v>Finance and administration1400</v>
      </c>
      <c r="AW21" s="398" t="str">
        <f t="shared" si="5"/>
        <v>Internal audit1400</v>
      </c>
      <c r="AX21" s="398" t="str">
        <f t="shared" si="5"/>
        <v>Community and social services1400</v>
      </c>
      <c r="AY21" s="398" t="str">
        <f t="shared" si="5"/>
        <v>Sport and recreation1400</v>
      </c>
      <c r="AZ21" s="398" t="str">
        <f t="shared" si="5"/>
        <v>Public safety1400</v>
      </c>
      <c r="BA21" s="398" t="str">
        <f t="shared" si="5"/>
        <v>Housing1400</v>
      </c>
      <c r="BB21" s="398" t="str">
        <f t="shared" si="5"/>
        <v>Health1400</v>
      </c>
      <c r="BC21" s="398" t="str">
        <f t="shared" si="5"/>
        <v>Planning and development1400</v>
      </c>
      <c r="BD21" s="398" t="str">
        <f t="shared" si="5"/>
        <v>Road transport1400</v>
      </c>
      <c r="BE21" s="398" t="str">
        <f t="shared" si="5"/>
        <v>Environmental protection1400</v>
      </c>
      <c r="BF21" s="398" t="str">
        <f t="shared" si="5"/>
        <v>Other1400</v>
      </c>
      <c r="BG21" s="398" t="str">
        <f t="shared" si="5"/>
        <v>Energy sources1400</v>
      </c>
      <c r="BH21" s="398" t="str">
        <f t="shared" si="5"/>
        <v>Water management1400</v>
      </c>
      <c r="BI21" s="398" t="str">
        <f t="shared" si="5"/>
        <v>Waste water management1400</v>
      </c>
      <c r="BJ21" s="398" t="str">
        <f t="shared" si="5"/>
        <v>Waste management1400</v>
      </c>
      <c r="BK21" s="745" t="s">
        <v>697</v>
      </c>
      <c r="BL21" s="745" t="s">
        <v>697</v>
      </c>
      <c r="BM21" s="735"/>
      <c r="BN21" s="748" t="s">
        <v>699</v>
      </c>
      <c r="BO21" s="751">
        <f ca="1">SUMIF('3.Inc &amp; Exp per Function'!$D20:$D1119,'5.Cons and detailed recon'!AU21,'3.Inc &amp; Exp per Function'!$V20:$V1118)</f>
        <v>0</v>
      </c>
      <c r="BP21" s="751">
        <f ca="1">SUMIF('3.Inc &amp; Exp per Function'!$D20:$D1119,'5.Cons and detailed recon'!AV21,'3.Inc &amp; Exp per Function'!$V20:$V1118)</f>
        <v>1271820</v>
      </c>
      <c r="BQ21" s="751">
        <f ca="1">SUMIF('3.Inc &amp; Exp per Function'!$D20:$D1119,'5.Cons and detailed recon'!AW21,'3.Inc &amp; Exp per Function'!$V20:$V1118)</f>
        <v>0</v>
      </c>
      <c r="BR21" s="413">
        <f t="shared" ca="1" si="6"/>
        <v>1271820</v>
      </c>
      <c r="BS21" s="751">
        <f ca="1">SUMIF('3.Inc &amp; Exp per Function'!$D20:$D1119,'5.Cons and detailed recon'!AX21,'3.Inc &amp; Exp per Function'!$V20:$V1118)</f>
        <v>0</v>
      </c>
      <c r="BT21" s="751">
        <f ca="1">SUMIF('3.Inc &amp; Exp per Function'!$D20:$D1119,'5.Cons and detailed recon'!AY21,'3.Inc &amp; Exp per Function'!$V20:$V1118)</f>
        <v>72380</v>
      </c>
      <c r="BU21" s="751">
        <f ca="1">SUMIF('3.Inc &amp; Exp per Function'!$D20:$D1119,'5.Cons and detailed recon'!AZ21,'3.Inc &amp; Exp per Function'!$V20:$V1118)</f>
        <v>0</v>
      </c>
      <c r="BV21" s="751">
        <f ca="1">SUMIF('3.Inc &amp; Exp per Function'!$D20:$D1119,'5.Cons and detailed recon'!BA21,'3.Inc &amp; Exp per Function'!$V20:$V1118)</f>
        <v>0</v>
      </c>
      <c r="BW21" s="751">
        <f ca="1">SUMIF('3.Inc &amp; Exp per Function'!$D20:$D1119,'5.Cons and detailed recon'!BB21,'3.Inc &amp; Exp per Function'!$V20:$V1118)</f>
        <v>0</v>
      </c>
      <c r="BX21" s="751">
        <f ca="1">SUMIF('3.Inc &amp; Exp per Function'!$D20:$D1119,'5.Cons and detailed recon'!BC21,'3.Inc &amp; Exp per Function'!$V20:$V1118)</f>
        <v>0</v>
      </c>
      <c r="BY21" s="751">
        <f ca="1">SUMIF('3.Inc &amp; Exp per Function'!$D20:$D1119,'5.Cons and detailed recon'!BD21,'3.Inc &amp; Exp per Function'!$V20:$V1118)</f>
        <v>0</v>
      </c>
      <c r="BZ21" s="751">
        <f ca="1">SUMIF('3.Inc &amp; Exp per Function'!$D20:$D1119,'5.Cons and detailed recon'!BE21,'3.Inc &amp; Exp per Function'!$V20:$V1118)</f>
        <v>0</v>
      </c>
      <c r="CA21" s="751">
        <f ca="1">SUMIF('3.Inc &amp; Exp per Function'!$D20:$D1119,'5.Cons and detailed recon'!BF21,'3.Inc &amp; Exp per Function'!$V20:$V1118)</f>
        <v>0</v>
      </c>
      <c r="CB21" s="413">
        <f t="shared" ca="1" si="7"/>
        <v>72380</v>
      </c>
      <c r="CC21" s="751">
        <f ca="1">SUMIF('3.Inc &amp; Exp per Function'!$D20:$D1119,'5.Cons and detailed recon'!BG21,'3.Inc &amp; Exp per Function'!$V20:$V1118)</f>
        <v>0</v>
      </c>
      <c r="CD21" s="751">
        <f ca="1">SUMIF('3.Inc &amp; Exp per Function'!$D20:$D1119,'5.Cons and detailed recon'!BH21,'3.Inc &amp; Exp per Function'!$V20:$V1118)</f>
        <v>0</v>
      </c>
      <c r="CE21" s="751">
        <f ca="1">SUMIF('3.Inc &amp; Exp per Function'!$D20:$D1119,'5.Cons and detailed recon'!BI21,'3.Inc &amp; Exp per Function'!$V20:$V1118)</f>
        <v>0</v>
      </c>
      <c r="CF21" s="751">
        <f ca="1">SUMIF('3.Inc &amp; Exp per Function'!$D20:$D1119,'5.Cons and detailed recon'!BJ21,'3.Inc &amp; Exp per Function'!$V20:$V1118)</f>
        <v>0</v>
      </c>
      <c r="CG21" s="748">
        <f t="shared" ca="1" si="8"/>
        <v>0</v>
      </c>
      <c r="CH21" s="794"/>
      <c r="CI21" s="791">
        <f t="shared" ca="1" si="9"/>
        <v>1344200</v>
      </c>
      <c r="CJ21" s="411">
        <f>SUMIF('4.Inc &amp; Exp Summary'!A:A,'5.Cons and detailed recon'!R21,'4.Inc &amp; Exp Summary'!M:M)</f>
        <v>1344200</v>
      </c>
      <c r="CK21" s="415">
        <f t="shared" ca="1" si="17"/>
        <v>0</v>
      </c>
      <c r="CL21" s="720"/>
      <c r="CM21" s="730"/>
      <c r="CO21" s="398" t="str">
        <f t="shared" si="10"/>
        <v>Executive and Council1400</v>
      </c>
      <c r="CP21" s="398" t="str">
        <f t="shared" si="10"/>
        <v>Finance and administration1400</v>
      </c>
      <c r="CQ21" s="398" t="str">
        <f t="shared" si="10"/>
        <v>Internal audit1400</v>
      </c>
      <c r="CR21" s="398" t="str">
        <f t="shared" si="10"/>
        <v>Community and social services1400</v>
      </c>
      <c r="CS21" s="398" t="str">
        <f t="shared" si="10"/>
        <v>Sport and recreation1400</v>
      </c>
      <c r="CT21" s="398" t="str">
        <f t="shared" si="10"/>
        <v>Public safety1400</v>
      </c>
      <c r="CU21" s="398" t="str">
        <f t="shared" si="10"/>
        <v>Housing1400</v>
      </c>
      <c r="CV21" s="398" t="str">
        <f t="shared" si="10"/>
        <v>Health1400</v>
      </c>
      <c r="CW21" s="398" t="str">
        <f t="shared" si="10"/>
        <v>Planning and development1400</v>
      </c>
      <c r="CX21" s="398" t="str">
        <f t="shared" si="10"/>
        <v>Road transport1400</v>
      </c>
      <c r="CY21" s="398" t="str">
        <f t="shared" si="10"/>
        <v>Environmental protection1400</v>
      </c>
      <c r="CZ21" s="398" t="str">
        <f t="shared" si="10"/>
        <v>Other1400</v>
      </c>
      <c r="DA21" s="398" t="str">
        <f t="shared" si="10"/>
        <v>Energy sources1400</v>
      </c>
      <c r="DB21" s="398" t="str">
        <f t="shared" si="10"/>
        <v>Water management1400</v>
      </c>
      <c r="DC21" s="398" t="str">
        <f t="shared" si="10"/>
        <v>Waste water management1400</v>
      </c>
      <c r="DD21" s="398" t="str">
        <f t="shared" si="10"/>
        <v>Waste management1400</v>
      </c>
      <c r="DE21" s="745" t="s">
        <v>697</v>
      </c>
      <c r="DF21" s="745" t="s">
        <v>697</v>
      </c>
      <c r="DG21" s="735"/>
      <c r="DH21" s="748" t="s">
        <v>699</v>
      </c>
      <c r="DI21" s="751">
        <f ca="1">SUMIF('3.Inc &amp; Exp per Function'!$D20:$D1119,'5.Cons and detailed recon'!CO21,'3.Inc &amp; Exp per Function'!$W20:$W1118)</f>
        <v>0</v>
      </c>
      <c r="DJ21" s="751">
        <f ca="1">SUMIF('3.Inc &amp; Exp per Function'!$D20:$D1119,'5.Cons and detailed recon'!CP21,'3.Inc &amp; Exp per Function'!$W20:$W1118)</f>
        <v>1312518</v>
      </c>
      <c r="DK21" s="751">
        <f ca="1">SUMIF('3.Inc &amp; Exp per Function'!$D20:$D1119,'5.Cons and detailed recon'!CQ21,'3.Inc &amp; Exp per Function'!$W20:$W1118)</f>
        <v>0</v>
      </c>
      <c r="DL21" s="413">
        <f t="shared" ca="1" si="11"/>
        <v>1312518</v>
      </c>
      <c r="DM21" s="751">
        <f ca="1">SUMIF('3.Inc &amp; Exp per Function'!$D20:$D1119,'5.Cons and detailed recon'!CR21,'3.Inc &amp; Exp per Function'!$W20:$W1118)</f>
        <v>0</v>
      </c>
      <c r="DN21" s="751">
        <f ca="1">SUMIF('3.Inc &amp; Exp per Function'!$D20:$D1119,'5.Cons and detailed recon'!CS21,'3.Inc &amp; Exp per Function'!$W20:$W1118)</f>
        <v>74696</v>
      </c>
      <c r="DO21" s="751">
        <f ca="1">SUMIF('3.Inc &amp; Exp per Function'!$D20:$D1119,'5.Cons and detailed recon'!CT21,'3.Inc &amp; Exp per Function'!$W20:$W1118)</f>
        <v>0</v>
      </c>
      <c r="DP21" s="751">
        <f ca="1">SUMIF('3.Inc &amp; Exp per Function'!$D20:$D1119,'5.Cons and detailed recon'!CU21,'3.Inc &amp; Exp per Function'!$W20:$W1118)</f>
        <v>0</v>
      </c>
      <c r="DQ21" s="751">
        <f ca="1">SUMIF('3.Inc &amp; Exp per Function'!$D20:$D1119,'5.Cons and detailed recon'!CV21,'3.Inc &amp; Exp per Function'!$W20:$W1118)</f>
        <v>0</v>
      </c>
      <c r="DR21" s="751">
        <f ca="1">SUMIF('3.Inc &amp; Exp per Function'!$D20:$D1119,'5.Cons and detailed recon'!CW21,'3.Inc &amp; Exp per Function'!$W20:$W1118)</f>
        <v>0</v>
      </c>
      <c r="DS21" s="751">
        <f ca="1">SUMIF('3.Inc &amp; Exp per Function'!$D20:$D1119,'5.Cons and detailed recon'!CX21,'3.Inc &amp; Exp per Function'!$W20:$W1118)</f>
        <v>0</v>
      </c>
      <c r="DT21" s="751">
        <f ca="1">SUMIF('3.Inc &amp; Exp per Function'!$D20:$D1119,'5.Cons and detailed recon'!CY21,'3.Inc &amp; Exp per Function'!$W20:$W1118)</f>
        <v>0</v>
      </c>
      <c r="DU21" s="751">
        <f ca="1">SUMIF('3.Inc &amp; Exp per Function'!$D20:$D1119,'5.Cons and detailed recon'!CZ21,'3.Inc &amp; Exp per Function'!$W20:$W1118)</f>
        <v>0</v>
      </c>
      <c r="DV21" s="413">
        <f t="shared" ca="1" si="12"/>
        <v>74696</v>
      </c>
      <c r="DW21" s="751">
        <f ca="1">SUMIF('3.Inc &amp; Exp per Function'!$D20:$D1119,'5.Cons and detailed recon'!DA21,'3.Inc &amp; Exp per Function'!$W20:$W1118)</f>
        <v>0</v>
      </c>
      <c r="DX21" s="751">
        <f ca="1">SUMIF('3.Inc &amp; Exp per Function'!$D20:$D1119,'5.Cons and detailed recon'!DB21,'3.Inc &amp; Exp per Function'!$W20:$W1118)</f>
        <v>0</v>
      </c>
      <c r="DY21" s="751">
        <f ca="1">SUMIF('3.Inc &amp; Exp per Function'!$D20:$D1119,'5.Cons and detailed recon'!DC21,'3.Inc &amp; Exp per Function'!$W20:$W1118)</f>
        <v>0</v>
      </c>
      <c r="DZ21" s="751">
        <f ca="1">SUMIF('3.Inc &amp; Exp per Function'!$D20:$D1119,'5.Cons and detailed recon'!DD21,'3.Inc &amp; Exp per Function'!$W20:$W1118)</f>
        <v>0</v>
      </c>
      <c r="EA21" s="748">
        <f t="shared" ca="1" si="13"/>
        <v>0</v>
      </c>
      <c r="EB21" s="794"/>
      <c r="EC21" s="791">
        <f t="shared" ca="1" si="14"/>
        <v>1387214</v>
      </c>
      <c r="ED21" s="414">
        <f>SUMIF('4.Inc &amp; Exp Summary'!A:A,'5.Cons and detailed recon'!DF21,'4.Inc &amp; Exp Summary'!N:N)</f>
        <v>1387214.4000000004</v>
      </c>
      <c r="EE21" s="415">
        <f t="shared" ca="1" si="15"/>
        <v>-0.40000000037252903</v>
      </c>
      <c r="EF21" s="720"/>
      <c r="EG21" s="980"/>
      <c r="EH21" s="980"/>
      <c r="EI21" s="980"/>
      <c r="EJ21" s="980"/>
      <c r="EK21" s="980"/>
      <c r="EL21" s="980"/>
      <c r="EM21" s="980"/>
      <c r="EN21" s="980"/>
      <c r="EO21" s="980"/>
      <c r="EP21" s="980"/>
      <c r="EQ21" s="980"/>
      <c r="ER21" s="980"/>
      <c r="ES21" s="980"/>
      <c r="ET21" s="980"/>
      <c r="EU21" s="980"/>
      <c r="EV21" s="980"/>
      <c r="EW21" s="980"/>
      <c r="EX21" s="980"/>
      <c r="EY21" s="980"/>
      <c r="EZ21" s="980"/>
      <c r="FA21" s="980"/>
      <c r="FB21" s="980"/>
      <c r="FC21" s="980"/>
      <c r="FD21" s="980"/>
      <c r="FE21" s="980"/>
      <c r="FF21" s="980"/>
      <c r="FG21" s="980"/>
      <c r="FH21" s="980"/>
      <c r="FI21" s="980"/>
      <c r="FJ21" s="980"/>
      <c r="FK21" s="980"/>
      <c r="FL21" s="980"/>
      <c r="FM21" s="980"/>
      <c r="FN21" s="980"/>
      <c r="FO21" s="980"/>
      <c r="FP21" s="980"/>
      <c r="FQ21" s="980"/>
      <c r="FR21" s="980"/>
      <c r="FS21" s="980"/>
      <c r="FT21" s="980"/>
      <c r="FU21" s="980"/>
      <c r="FV21" s="980"/>
      <c r="FW21" s="980"/>
      <c r="FX21" s="980"/>
      <c r="FY21" s="980"/>
      <c r="FZ21" s="980"/>
      <c r="GA21" s="980"/>
      <c r="GB21" s="980"/>
      <c r="GC21" s="980"/>
      <c r="GD21" s="980"/>
      <c r="GE21" s="980"/>
      <c r="GF21" s="980"/>
      <c r="GG21" s="980"/>
      <c r="GH21" s="980"/>
      <c r="GI21" s="980"/>
      <c r="GJ21" s="980"/>
      <c r="GK21" s="980"/>
      <c r="GL21" s="980"/>
      <c r="GM21" s="980"/>
      <c r="GN21" s="980"/>
      <c r="GO21" s="980"/>
      <c r="GP21" s="980"/>
      <c r="GQ21" s="980"/>
      <c r="GR21" s="980"/>
      <c r="GS21" s="980"/>
      <c r="GT21" s="980"/>
      <c r="GU21" s="980"/>
      <c r="GV21" s="980"/>
      <c r="GW21" s="980"/>
      <c r="GX21" s="980"/>
      <c r="GY21" s="980"/>
      <c r="GZ21" s="980"/>
      <c r="HA21" s="980"/>
      <c r="HB21" s="980"/>
      <c r="HC21" s="980"/>
      <c r="HD21" s="980"/>
      <c r="HE21" s="980"/>
      <c r="HF21" s="980"/>
      <c r="HG21" s="980"/>
      <c r="HH21" s="980"/>
      <c r="HI21" s="980"/>
      <c r="HJ21" s="980"/>
      <c r="HK21" s="980"/>
      <c r="HL21" s="980"/>
      <c r="HM21" s="980"/>
      <c r="HN21" s="980"/>
      <c r="HO21" s="980"/>
      <c r="HP21" s="980"/>
      <c r="HQ21" s="980"/>
      <c r="HR21" s="980"/>
      <c r="HS21" s="980"/>
      <c r="HT21" s="980"/>
      <c r="HU21" s="980"/>
      <c r="HV21" s="980"/>
      <c r="HW21" s="980"/>
      <c r="HX21" s="980"/>
      <c r="HY21" s="980"/>
      <c r="HZ21" s="980"/>
      <c r="IA21" s="980"/>
      <c r="IB21" s="980"/>
      <c r="IC21" s="980"/>
      <c r="ID21" s="980"/>
      <c r="IE21" s="980"/>
      <c r="IF21" s="980"/>
      <c r="IG21" s="980"/>
      <c r="IH21" s="980"/>
      <c r="II21" s="980"/>
      <c r="IJ21" s="980"/>
      <c r="IK21" s="980"/>
      <c r="IL21" s="980"/>
      <c r="IM21" s="980"/>
      <c r="IN21" s="980"/>
      <c r="IO21" s="980"/>
      <c r="IP21" s="980"/>
      <c r="IQ21" s="980"/>
      <c r="IR21" s="980"/>
      <c r="IS21" s="980"/>
      <c r="IT21" s="980"/>
      <c r="IU21" s="980"/>
      <c r="IV21" s="980"/>
    </row>
    <row r="22" spans="1:256" s="409" customFormat="1" ht="13.95" customHeight="1" x14ac:dyDescent="0.55000000000000004">
      <c r="A22" s="398" t="str">
        <f t="shared" si="1"/>
        <v>Executive and Council1500</v>
      </c>
      <c r="B22" s="398" t="str">
        <f t="shared" si="2"/>
        <v>Finance and administration1500</v>
      </c>
      <c r="C22" s="398" t="str">
        <f t="shared" si="2"/>
        <v>Internal audit1500</v>
      </c>
      <c r="D22" s="398" t="str">
        <f t="shared" si="2"/>
        <v>Community and social services1500</v>
      </c>
      <c r="E22" s="398" t="str">
        <f t="shared" si="2"/>
        <v>Sport and recreation1500</v>
      </c>
      <c r="F22" s="398" t="str">
        <f t="shared" si="2"/>
        <v>Public safety1500</v>
      </c>
      <c r="G22" s="398" t="str">
        <f t="shared" si="2"/>
        <v>Housing1500</v>
      </c>
      <c r="H22" s="398" t="str">
        <f t="shared" si="2"/>
        <v>Health1500</v>
      </c>
      <c r="I22" s="398" t="str">
        <f t="shared" si="2"/>
        <v>Planning and development1500</v>
      </c>
      <c r="J22" s="398" t="str">
        <f t="shared" si="2"/>
        <v>Road transport1500</v>
      </c>
      <c r="K22" s="398" t="str">
        <f t="shared" si="2"/>
        <v>Environmental protection1500</v>
      </c>
      <c r="L22" s="398" t="str">
        <f t="shared" si="2"/>
        <v>Other1500</v>
      </c>
      <c r="M22" s="398" t="str">
        <f t="shared" si="2"/>
        <v>Energy sources1500</v>
      </c>
      <c r="N22" s="398" t="str">
        <f t="shared" si="2"/>
        <v>Water management1500</v>
      </c>
      <c r="O22" s="398" t="str">
        <f t="shared" si="2"/>
        <v>Waste water management1500</v>
      </c>
      <c r="P22" s="398" t="str">
        <f t="shared" si="2"/>
        <v>Waste management1500</v>
      </c>
      <c r="Q22" s="745" t="s">
        <v>700</v>
      </c>
      <c r="R22" s="745" t="s">
        <v>700</v>
      </c>
      <c r="S22" s="994"/>
      <c r="T22" s="748" t="s">
        <v>701</v>
      </c>
      <c r="U22" s="804">
        <f ca="1">SUMIF('3.Inc &amp; Exp per Function'!$D21:$D1120,'5.Cons and detailed recon'!A22,'3.Inc &amp; Exp per Function'!$U21:$U1119)</f>
        <v>0</v>
      </c>
      <c r="V22" s="804">
        <f ca="1">SUMIF('3.Inc &amp; Exp per Function'!$D21:$D1120,'5.Cons and detailed recon'!B22,'3.Inc &amp; Exp per Function'!$U21:$U1119)</f>
        <v>0</v>
      </c>
      <c r="W22" s="804">
        <f ca="1">SUMIF('3.Inc &amp; Exp per Function'!$D21:$D1120,'5.Cons and detailed recon'!C22,'3.Inc &amp; Exp per Function'!$U21:$U1119)</f>
        <v>0</v>
      </c>
      <c r="X22" s="413">
        <f t="shared" ca="1" si="16"/>
        <v>0</v>
      </c>
      <c r="Y22" s="1326">
        <f ca="1">SUMIF('3.Inc &amp; Exp per Function'!$D21:$D1120,'5.Cons and detailed recon'!D22,'3.Inc &amp; Exp per Function'!$U21:$U1119)</f>
        <v>0</v>
      </c>
      <c r="Z22" s="1326">
        <f ca="1">SUMIF('3.Inc &amp; Exp per Function'!$D21:$D1120,'5.Cons and detailed recon'!E22,'3.Inc &amp; Exp per Function'!$U21:$U1119)</f>
        <v>0</v>
      </c>
      <c r="AA22" s="1326">
        <f ca="1">SUMIF('3.Inc &amp; Exp per Function'!$D21:$D1120,'5.Cons and detailed recon'!F22,'3.Inc &amp; Exp per Function'!$U21:$U1119)</f>
        <v>1000</v>
      </c>
      <c r="AB22" s="1326">
        <f ca="1">SUMIF('3.Inc &amp; Exp per Function'!$D21:$D1120,'5.Cons and detailed recon'!G22,'3.Inc &amp; Exp per Function'!$U21:$U1119)</f>
        <v>0</v>
      </c>
      <c r="AC22" s="1326">
        <f ca="1">SUMIF('3.Inc &amp; Exp per Function'!$D21:$D1120,'5.Cons and detailed recon'!H22,'3.Inc &amp; Exp per Function'!$U21:$U1119)</f>
        <v>0</v>
      </c>
      <c r="AD22" s="1326">
        <f ca="1">SUMIF('3.Inc &amp; Exp per Function'!$D21:$D1120,'5.Cons and detailed recon'!I22,'3.Inc &amp; Exp per Function'!$U21:$U1119)</f>
        <v>75000</v>
      </c>
      <c r="AE22" s="1326">
        <f ca="1">SUMIF('3.Inc &amp; Exp per Function'!$D21:$D1120,'5.Cons and detailed recon'!J22,'3.Inc &amp; Exp per Function'!$U21:$U1119)</f>
        <v>0</v>
      </c>
      <c r="AF22" s="1326">
        <f ca="1">SUMIF('3.Inc &amp; Exp per Function'!$D21:$D1120,'5.Cons and detailed recon'!K22,'3.Inc &amp; Exp per Function'!$U21:$U1119)</f>
        <v>0</v>
      </c>
      <c r="AG22" s="1326">
        <f ca="1">SUMIF('3.Inc &amp; Exp per Function'!$D21:$D1120,'5.Cons and detailed recon'!L22,'3.Inc &amp; Exp per Function'!$U21:$U1119)</f>
        <v>0</v>
      </c>
      <c r="AH22" s="413">
        <f t="shared" ca="1" si="3"/>
        <v>76000</v>
      </c>
      <c r="AI22" s="804">
        <f ca="1">SUMIF('3.Inc &amp; Exp per Function'!$D21:$D1120,'5.Cons and detailed recon'!M22,'3.Inc &amp; Exp per Function'!$U21:$U1119)</f>
        <v>0</v>
      </c>
      <c r="AJ22" s="804">
        <f ca="1">SUMIF('3.Inc &amp; Exp per Function'!$D21:$D1120,'5.Cons and detailed recon'!N22,'3.Inc &amp; Exp per Function'!$U21:$U1119)</f>
        <v>0</v>
      </c>
      <c r="AK22" s="804">
        <f ca="1">SUMIF('3.Inc &amp; Exp per Function'!$D21:$D1120,'5.Cons and detailed recon'!O22,'3.Inc &amp; Exp per Function'!$U21:$U1119)</f>
        <v>0</v>
      </c>
      <c r="AL22" s="804">
        <f ca="1">SUMIF('3.Inc &amp; Exp per Function'!$D21:$D1120,'5.Cons and detailed recon'!P22,'3.Inc &amp; Exp per Function'!$U21:$U1119)</f>
        <v>0</v>
      </c>
      <c r="AM22" s="748">
        <f t="shared" ca="1" si="0"/>
        <v>0</v>
      </c>
      <c r="AN22" s="794"/>
      <c r="AO22" s="791">
        <f t="shared" ca="1" si="18"/>
        <v>76000</v>
      </c>
      <c r="AP22" s="414">
        <f>SUMIF('4.Inc &amp; Exp Summary'!A:A,'5.Cons and detailed recon'!R22,'4.Inc &amp; Exp Summary'!L:L)</f>
        <v>76000</v>
      </c>
      <c r="AQ22" s="415">
        <f t="shared" ca="1" si="4"/>
        <v>0</v>
      </c>
      <c r="AR22" s="720"/>
      <c r="AS22" s="730"/>
      <c r="AT22" s="408"/>
      <c r="AU22" s="398" t="str">
        <f t="shared" si="5"/>
        <v>Executive and Council1500</v>
      </c>
      <c r="AV22" s="398" t="str">
        <f t="shared" si="5"/>
        <v>Finance and administration1500</v>
      </c>
      <c r="AW22" s="398" t="str">
        <f t="shared" si="5"/>
        <v>Internal audit1500</v>
      </c>
      <c r="AX22" s="398" t="str">
        <f t="shared" si="5"/>
        <v>Community and social services1500</v>
      </c>
      <c r="AY22" s="398" t="str">
        <f t="shared" si="5"/>
        <v>Sport and recreation1500</v>
      </c>
      <c r="AZ22" s="398" t="str">
        <f t="shared" si="5"/>
        <v>Public safety1500</v>
      </c>
      <c r="BA22" s="398" t="str">
        <f t="shared" si="5"/>
        <v>Housing1500</v>
      </c>
      <c r="BB22" s="398" t="str">
        <f t="shared" si="5"/>
        <v>Health1500</v>
      </c>
      <c r="BC22" s="398" t="str">
        <f t="shared" si="5"/>
        <v>Planning and development1500</v>
      </c>
      <c r="BD22" s="398" t="str">
        <f t="shared" si="5"/>
        <v>Road transport1500</v>
      </c>
      <c r="BE22" s="398" t="str">
        <f t="shared" si="5"/>
        <v>Environmental protection1500</v>
      </c>
      <c r="BF22" s="398" t="str">
        <f t="shared" si="5"/>
        <v>Other1500</v>
      </c>
      <c r="BG22" s="398" t="str">
        <f t="shared" si="5"/>
        <v>Energy sources1500</v>
      </c>
      <c r="BH22" s="398" t="str">
        <f t="shared" si="5"/>
        <v>Water management1500</v>
      </c>
      <c r="BI22" s="398" t="str">
        <f t="shared" si="5"/>
        <v>Waste water management1500</v>
      </c>
      <c r="BJ22" s="398" t="str">
        <f t="shared" si="5"/>
        <v>Waste management1500</v>
      </c>
      <c r="BK22" s="745" t="s">
        <v>700</v>
      </c>
      <c r="BL22" s="745" t="s">
        <v>700</v>
      </c>
      <c r="BM22" s="735"/>
      <c r="BN22" s="748" t="s">
        <v>701</v>
      </c>
      <c r="BO22" s="751">
        <f ca="1">SUMIF('3.Inc &amp; Exp per Function'!$D21:$D1120,'5.Cons and detailed recon'!AU22,'3.Inc &amp; Exp per Function'!$V21:$V1119)</f>
        <v>0</v>
      </c>
      <c r="BP22" s="751">
        <f ca="1">SUMIF('3.Inc &amp; Exp per Function'!$D21:$D1120,'5.Cons and detailed recon'!AV22,'3.Inc &amp; Exp per Function'!$V21:$V1119)</f>
        <v>0</v>
      </c>
      <c r="BQ22" s="751">
        <f ca="1">SUMIF('3.Inc &amp; Exp per Function'!$D21:$D1120,'5.Cons and detailed recon'!AW22,'3.Inc &amp; Exp per Function'!$V21:$V1119)</f>
        <v>0</v>
      </c>
      <c r="BR22" s="413">
        <f t="shared" ca="1" si="6"/>
        <v>0</v>
      </c>
      <c r="BS22" s="751">
        <f ca="1">SUMIF('3.Inc &amp; Exp per Function'!$D21:$D1120,'5.Cons and detailed recon'!AX22,'3.Inc &amp; Exp per Function'!$V21:$V1119)</f>
        <v>0</v>
      </c>
      <c r="BT22" s="751">
        <f ca="1">SUMIF('3.Inc &amp; Exp per Function'!$D21:$D1120,'5.Cons and detailed recon'!AY22,'3.Inc &amp; Exp per Function'!$V21:$V1119)</f>
        <v>0</v>
      </c>
      <c r="BU22" s="751">
        <f ca="1">SUMIF('3.Inc &amp; Exp per Function'!$D21:$D1120,'5.Cons and detailed recon'!AZ22,'3.Inc &amp; Exp per Function'!$V21:$V1119)</f>
        <v>1034</v>
      </c>
      <c r="BV22" s="751">
        <f ca="1">SUMIF('3.Inc &amp; Exp per Function'!$D21:$D1120,'5.Cons and detailed recon'!BA22,'3.Inc &amp; Exp per Function'!$V21:$V1119)</f>
        <v>0</v>
      </c>
      <c r="BW22" s="751">
        <f ca="1">SUMIF('3.Inc &amp; Exp per Function'!$D21:$D1120,'5.Cons and detailed recon'!BB22,'3.Inc &amp; Exp per Function'!$V21:$V1119)</f>
        <v>0</v>
      </c>
      <c r="BX22" s="751">
        <f ca="1">SUMIF('3.Inc &amp; Exp per Function'!$D21:$D1120,'5.Cons and detailed recon'!BC22,'3.Inc &amp; Exp per Function'!$V21:$V1119)</f>
        <v>77550</v>
      </c>
      <c r="BY22" s="751">
        <f ca="1">SUMIF('3.Inc &amp; Exp per Function'!$D21:$D1120,'5.Cons and detailed recon'!BD22,'3.Inc &amp; Exp per Function'!$V21:$V1119)</f>
        <v>0</v>
      </c>
      <c r="BZ22" s="751">
        <f ca="1">SUMIF('3.Inc &amp; Exp per Function'!$D21:$D1120,'5.Cons and detailed recon'!BE22,'3.Inc &amp; Exp per Function'!$V21:$V1119)</f>
        <v>0</v>
      </c>
      <c r="CA22" s="751">
        <f ca="1">SUMIF('3.Inc &amp; Exp per Function'!$D21:$D1120,'5.Cons and detailed recon'!BF22,'3.Inc &amp; Exp per Function'!$V21:$V1119)</f>
        <v>0</v>
      </c>
      <c r="CB22" s="413">
        <f t="shared" ca="1" si="7"/>
        <v>78584</v>
      </c>
      <c r="CC22" s="751">
        <f ca="1">SUMIF('3.Inc &amp; Exp per Function'!$D21:$D1120,'5.Cons and detailed recon'!BG22,'3.Inc &amp; Exp per Function'!$V21:$V1119)</f>
        <v>0</v>
      </c>
      <c r="CD22" s="751">
        <f ca="1">SUMIF('3.Inc &amp; Exp per Function'!$D21:$D1120,'5.Cons and detailed recon'!BH22,'3.Inc &amp; Exp per Function'!$V21:$V1119)</f>
        <v>0</v>
      </c>
      <c r="CE22" s="751">
        <f ca="1">SUMIF('3.Inc &amp; Exp per Function'!$D21:$D1120,'5.Cons and detailed recon'!BI22,'3.Inc &amp; Exp per Function'!$V21:$V1119)</f>
        <v>0</v>
      </c>
      <c r="CF22" s="751">
        <f ca="1">SUMIF('3.Inc &amp; Exp per Function'!$D21:$D1120,'5.Cons and detailed recon'!BJ22,'3.Inc &amp; Exp per Function'!$V21:$V1119)</f>
        <v>0</v>
      </c>
      <c r="CG22" s="748">
        <f t="shared" ca="1" si="8"/>
        <v>0</v>
      </c>
      <c r="CH22" s="794"/>
      <c r="CI22" s="791">
        <f t="shared" ca="1" si="9"/>
        <v>78584</v>
      </c>
      <c r="CJ22" s="411">
        <f>SUMIF('4.Inc &amp; Exp Summary'!A:A,'5.Cons and detailed recon'!R22,'4.Inc &amp; Exp Summary'!M:M)</f>
        <v>78584</v>
      </c>
      <c r="CK22" s="415">
        <f t="shared" ca="1" si="17"/>
        <v>0</v>
      </c>
      <c r="CL22" s="720"/>
      <c r="CM22" s="730"/>
      <c r="CO22" s="398" t="str">
        <f t="shared" si="10"/>
        <v>Executive and Council1500</v>
      </c>
      <c r="CP22" s="398" t="str">
        <f t="shared" si="10"/>
        <v>Finance and administration1500</v>
      </c>
      <c r="CQ22" s="398" t="str">
        <f t="shared" si="10"/>
        <v>Internal audit1500</v>
      </c>
      <c r="CR22" s="398" t="str">
        <f t="shared" si="10"/>
        <v>Community and social services1500</v>
      </c>
      <c r="CS22" s="398" t="str">
        <f t="shared" si="10"/>
        <v>Sport and recreation1500</v>
      </c>
      <c r="CT22" s="398" t="str">
        <f t="shared" si="10"/>
        <v>Public safety1500</v>
      </c>
      <c r="CU22" s="398" t="str">
        <f t="shared" si="10"/>
        <v>Housing1500</v>
      </c>
      <c r="CV22" s="398" t="str">
        <f t="shared" si="10"/>
        <v>Health1500</v>
      </c>
      <c r="CW22" s="398" t="str">
        <f t="shared" si="10"/>
        <v>Planning and development1500</v>
      </c>
      <c r="CX22" s="398" t="str">
        <f t="shared" si="10"/>
        <v>Road transport1500</v>
      </c>
      <c r="CY22" s="398" t="str">
        <f t="shared" si="10"/>
        <v>Environmental protection1500</v>
      </c>
      <c r="CZ22" s="398" t="str">
        <f t="shared" si="10"/>
        <v>Other1500</v>
      </c>
      <c r="DA22" s="398" t="str">
        <f t="shared" si="10"/>
        <v>Energy sources1500</v>
      </c>
      <c r="DB22" s="398" t="str">
        <f t="shared" si="10"/>
        <v>Water management1500</v>
      </c>
      <c r="DC22" s="398" t="str">
        <f t="shared" si="10"/>
        <v>Waste water management1500</v>
      </c>
      <c r="DD22" s="398" t="str">
        <f t="shared" si="10"/>
        <v>Waste management1500</v>
      </c>
      <c r="DE22" s="745" t="s">
        <v>700</v>
      </c>
      <c r="DF22" s="745" t="s">
        <v>700</v>
      </c>
      <c r="DG22" s="735"/>
      <c r="DH22" s="748" t="s">
        <v>701</v>
      </c>
      <c r="DI22" s="751">
        <f ca="1">SUMIF('3.Inc &amp; Exp per Function'!$D21:$D1120,'5.Cons and detailed recon'!CO22,'3.Inc &amp; Exp per Function'!$W21:$W1119)</f>
        <v>0</v>
      </c>
      <c r="DJ22" s="751">
        <f ca="1">SUMIF('3.Inc &amp; Exp per Function'!$D21:$D1120,'5.Cons and detailed recon'!CP22,'3.Inc &amp; Exp per Function'!$W21:$W1119)</f>
        <v>0</v>
      </c>
      <c r="DK22" s="751">
        <f ca="1">SUMIF('3.Inc &amp; Exp per Function'!$D21:$D1120,'5.Cons and detailed recon'!CQ22,'3.Inc &amp; Exp per Function'!$W21:$W1119)</f>
        <v>0</v>
      </c>
      <c r="DL22" s="413">
        <f t="shared" ca="1" si="11"/>
        <v>0</v>
      </c>
      <c r="DM22" s="751">
        <f ca="1">SUMIF('3.Inc &amp; Exp per Function'!$D21:$D1120,'5.Cons and detailed recon'!CR22,'3.Inc &amp; Exp per Function'!$W21:$W1119)</f>
        <v>0</v>
      </c>
      <c r="DN22" s="751">
        <f ca="1">SUMIF('3.Inc &amp; Exp per Function'!$D21:$D1120,'5.Cons and detailed recon'!CS22,'3.Inc &amp; Exp per Function'!$W21:$W1119)</f>
        <v>0</v>
      </c>
      <c r="DO22" s="751">
        <f ca="1">SUMIF('3.Inc &amp; Exp per Function'!$D21:$D1120,'5.Cons and detailed recon'!CT22,'3.Inc &amp; Exp per Function'!$W21:$W1119)</f>
        <v>1067</v>
      </c>
      <c r="DP22" s="751">
        <f ca="1">SUMIF('3.Inc &amp; Exp per Function'!$D21:$D1120,'5.Cons and detailed recon'!CU22,'3.Inc &amp; Exp per Function'!$W21:$W1119)</f>
        <v>0</v>
      </c>
      <c r="DQ22" s="751">
        <f ca="1">SUMIF('3.Inc &amp; Exp per Function'!$D21:$D1120,'5.Cons and detailed recon'!CV22,'3.Inc &amp; Exp per Function'!$W21:$W1119)</f>
        <v>0</v>
      </c>
      <c r="DR22" s="751">
        <f ca="1">SUMIF('3.Inc &amp; Exp per Function'!$D21:$D1120,'5.Cons and detailed recon'!CW22,'3.Inc &amp; Exp per Function'!$W21:$W1119)</f>
        <v>80032</v>
      </c>
      <c r="DS22" s="751">
        <f ca="1">SUMIF('3.Inc &amp; Exp per Function'!$D21:$D1120,'5.Cons and detailed recon'!CX22,'3.Inc &amp; Exp per Function'!$W21:$W1119)</f>
        <v>0</v>
      </c>
      <c r="DT22" s="751">
        <f ca="1">SUMIF('3.Inc &amp; Exp per Function'!$D21:$D1120,'5.Cons and detailed recon'!CY22,'3.Inc &amp; Exp per Function'!$W21:$W1119)</f>
        <v>0</v>
      </c>
      <c r="DU22" s="751">
        <f ca="1">SUMIF('3.Inc &amp; Exp per Function'!$D21:$D1120,'5.Cons and detailed recon'!CZ22,'3.Inc &amp; Exp per Function'!$W21:$W1119)</f>
        <v>0</v>
      </c>
      <c r="DV22" s="413">
        <f t="shared" ca="1" si="12"/>
        <v>81099</v>
      </c>
      <c r="DW22" s="751">
        <f ca="1">SUMIF('3.Inc &amp; Exp per Function'!$D21:$D1120,'5.Cons and detailed recon'!DA22,'3.Inc &amp; Exp per Function'!$W21:$W1119)</f>
        <v>0</v>
      </c>
      <c r="DX22" s="751">
        <f ca="1">SUMIF('3.Inc &amp; Exp per Function'!$D21:$D1120,'5.Cons and detailed recon'!DB22,'3.Inc &amp; Exp per Function'!$W21:$W1119)</f>
        <v>0</v>
      </c>
      <c r="DY22" s="751">
        <f ca="1">SUMIF('3.Inc &amp; Exp per Function'!$D21:$D1120,'5.Cons and detailed recon'!DC22,'3.Inc &amp; Exp per Function'!$W21:$W1119)</f>
        <v>0</v>
      </c>
      <c r="DZ22" s="751">
        <f ca="1">SUMIF('3.Inc &amp; Exp per Function'!$D21:$D1120,'5.Cons and detailed recon'!DD22,'3.Inc &amp; Exp per Function'!$W21:$W1119)</f>
        <v>0</v>
      </c>
      <c r="EA22" s="748">
        <f t="shared" ca="1" si="13"/>
        <v>0</v>
      </c>
      <c r="EB22" s="794"/>
      <c r="EC22" s="791">
        <f t="shared" ca="1" si="14"/>
        <v>81099</v>
      </c>
      <c r="ED22" s="414">
        <f>SUMIF('4.Inc &amp; Exp Summary'!A:A,'5.Cons and detailed recon'!DF22,'4.Inc &amp; Exp Summary'!N:N)</f>
        <v>81098.688000000009</v>
      </c>
      <c r="EE22" s="415">
        <f t="shared" ca="1" si="15"/>
        <v>0.31199999999080319</v>
      </c>
      <c r="EF22" s="720"/>
      <c r="EG22" s="980"/>
      <c r="EH22" s="980"/>
      <c r="EI22" s="980"/>
      <c r="EJ22" s="980"/>
      <c r="EK22" s="980"/>
      <c r="EL22" s="980"/>
      <c r="EM22" s="980"/>
      <c r="EN22" s="980"/>
      <c r="EO22" s="980"/>
      <c r="EP22" s="980"/>
      <c r="EQ22" s="980"/>
      <c r="ER22" s="980"/>
      <c r="ES22" s="980"/>
      <c r="ET22" s="980"/>
      <c r="EU22" s="980"/>
      <c r="EV22" s="980"/>
      <c r="EW22" s="980"/>
      <c r="EX22" s="980"/>
      <c r="EY22" s="980"/>
      <c r="EZ22" s="980"/>
      <c r="FA22" s="980"/>
      <c r="FB22" s="980"/>
      <c r="FC22" s="980"/>
      <c r="FD22" s="980"/>
      <c r="FE22" s="980"/>
      <c r="FF22" s="980"/>
      <c r="FG22" s="980"/>
      <c r="FH22" s="980"/>
      <c r="FI22" s="980"/>
      <c r="FJ22" s="980"/>
      <c r="FK22" s="980"/>
      <c r="FL22" s="980"/>
      <c r="FM22" s="980"/>
      <c r="FN22" s="980"/>
      <c r="FO22" s="980"/>
      <c r="FP22" s="980"/>
      <c r="FQ22" s="980"/>
      <c r="FR22" s="980"/>
      <c r="FS22" s="980"/>
      <c r="FT22" s="980"/>
      <c r="FU22" s="980"/>
      <c r="FV22" s="980"/>
      <c r="FW22" s="980"/>
      <c r="FX22" s="980"/>
      <c r="FY22" s="980"/>
      <c r="FZ22" s="980"/>
      <c r="GA22" s="980"/>
      <c r="GB22" s="980"/>
      <c r="GC22" s="980"/>
      <c r="GD22" s="980"/>
      <c r="GE22" s="980"/>
      <c r="GF22" s="980"/>
      <c r="GG22" s="980"/>
      <c r="GH22" s="980"/>
      <c r="GI22" s="980"/>
      <c r="GJ22" s="980"/>
      <c r="GK22" s="980"/>
      <c r="GL22" s="980"/>
      <c r="GM22" s="980"/>
      <c r="GN22" s="980"/>
      <c r="GO22" s="980"/>
      <c r="GP22" s="980"/>
      <c r="GQ22" s="980"/>
      <c r="GR22" s="980"/>
      <c r="GS22" s="980"/>
      <c r="GT22" s="980"/>
      <c r="GU22" s="980"/>
      <c r="GV22" s="980"/>
      <c r="GW22" s="980"/>
      <c r="GX22" s="980"/>
      <c r="GY22" s="980"/>
      <c r="GZ22" s="980"/>
      <c r="HA22" s="980"/>
      <c r="HB22" s="980"/>
      <c r="HC22" s="980"/>
      <c r="HD22" s="980"/>
      <c r="HE22" s="980"/>
      <c r="HF22" s="980"/>
      <c r="HG22" s="980"/>
      <c r="HH22" s="980"/>
      <c r="HI22" s="980"/>
      <c r="HJ22" s="980"/>
      <c r="HK22" s="980"/>
      <c r="HL22" s="980"/>
      <c r="HM22" s="980"/>
      <c r="HN22" s="980"/>
      <c r="HO22" s="980"/>
      <c r="HP22" s="980"/>
      <c r="HQ22" s="980"/>
      <c r="HR22" s="980"/>
      <c r="HS22" s="980"/>
      <c r="HT22" s="980"/>
      <c r="HU22" s="980"/>
      <c r="HV22" s="980"/>
      <c r="HW22" s="980"/>
      <c r="HX22" s="980"/>
      <c r="HY22" s="980"/>
      <c r="HZ22" s="980"/>
      <c r="IA22" s="980"/>
      <c r="IB22" s="980"/>
      <c r="IC22" s="980"/>
      <c r="ID22" s="980"/>
      <c r="IE22" s="980"/>
      <c r="IF22" s="980"/>
      <c r="IG22" s="980"/>
      <c r="IH22" s="980"/>
      <c r="II22" s="980"/>
      <c r="IJ22" s="980"/>
      <c r="IK22" s="980"/>
      <c r="IL22" s="980"/>
      <c r="IM22" s="980"/>
      <c r="IN22" s="980"/>
      <c r="IO22" s="980"/>
      <c r="IP22" s="980"/>
      <c r="IQ22" s="980"/>
      <c r="IR22" s="980"/>
      <c r="IS22" s="980"/>
      <c r="IT22" s="980"/>
      <c r="IU22" s="980"/>
      <c r="IV22" s="980"/>
    </row>
    <row r="23" spans="1:256" s="409" customFormat="1" ht="12" customHeight="1" x14ac:dyDescent="0.55000000000000004">
      <c r="A23" s="1319" t="str">
        <f t="shared" si="1"/>
        <v>Executive and Council1550</v>
      </c>
      <c r="B23" s="1319" t="str">
        <f t="shared" si="2"/>
        <v>Finance and administration1550</v>
      </c>
      <c r="C23" s="1319" t="str">
        <f t="shared" si="2"/>
        <v>Internal audit1550</v>
      </c>
      <c r="D23" s="1319" t="str">
        <f t="shared" si="2"/>
        <v>Community and social services1550</v>
      </c>
      <c r="E23" s="1319" t="str">
        <f t="shared" si="2"/>
        <v>Sport and recreation1550</v>
      </c>
      <c r="F23" s="1319" t="str">
        <f t="shared" si="2"/>
        <v>Public safety1550</v>
      </c>
      <c r="G23" s="1319" t="str">
        <f t="shared" si="2"/>
        <v>Housing1550</v>
      </c>
      <c r="H23" s="1319" t="str">
        <f t="shared" si="2"/>
        <v>Health1550</v>
      </c>
      <c r="I23" s="1319" t="str">
        <f t="shared" si="2"/>
        <v>Planning and development1550</v>
      </c>
      <c r="J23" s="1319" t="str">
        <f t="shared" si="2"/>
        <v>Road transport1550</v>
      </c>
      <c r="K23" s="1319" t="str">
        <f t="shared" si="2"/>
        <v>Environmental protection1550</v>
      </c>
      <c r="L23" s="1319" t="str">
        <f t="shared" si="2"/>
        <v>Other1550</v>
      </c>
      <c r="M23" s="1319" t="str">
        <f t="shared" si="2"/>
        <v>Energy sources1550</v>
      </c>
      <c r="N23" s="1319" t="str">
        <f t="shared" si="2"/>
        <v>Water management1550</v>
      </c>
      <c r="O23" s="1319" t="str">
        <f t="shared" si="2"/>
        <v>Waste water management1550</v>
      </c>
      <c r="P23" s="1319" t="str">
        <f t="shared" si="2"/>
        <v>Waste management1550</v>
      </c>
      <c r="Q23" s="1320">
        <v>1550</v>
      </c>
      <c r="R23" s="1320">
        <v>1550</v>
      </c>
      <c r="S23" s="1341"/>
      <c r="T23" s="1342" t="s">
        <v>1566</v>
      </c>
      <c r="U23" s="1343">
        <f ca="1">SUMIF('3.Inc &amp; Exp per Function'!$D22:$D1121,'5.Cons and detailed recon'!A23,'3.Inc &amp; Exp per Function'!$U22:$U1120)</f>
        <v>0</v>
      </c>
      <c r="V23" s="1343">
        <f ca="1">SUMIF('3.Inc &amp; Exp per Function'!$D22:$D1121,'5.Cons and detailed recon'!B23,'3.Inc &amp; Exp per Function'!$U22:$U1120)</f>
        <v>0</v>
      </c>
      <c r="W23" s="1343">
        <f ca="1">SUMIF('3.Inc &amp; Exp per Function'!$D22:$D1121,'5.Cons and detailed recon'!C23,'3.Inc &amp; Exp per Function'!$U22:$U1120)</f>
        <v>0</v>
      </c>
      <c r="X23" s="1344">
        <f t="shared" ca="1" si="16"/>
        <v>0</v>
      </c>
      <c r="Y23" s="1345">
        <f ca="1">SUMIF('3.Inc &amp; Exp per Function'!$D22:$D1121,'5.Cons and detailed recon'!D23,'3.Inc &amp; Exp per Function'!$U22:$U1120)</f>
        <v>0</v>
      </c>
      <c r="Z23" s="1345">
        <f ca="1">SUMIF('3.Inc &amp; Exp per Function'!$D22:$D1121,'5.Cons and detailed recon'!E23,'3.Inc &amp; Exp per Function'!$U22:$U1120)</f>
        <v>0</v>
      </c>
      <c r="AA23" s="1345">
        <f ca="1">SUMIF('3.Inc &amp; Exp per Function'!$D22:$D1121,'5.Cons and detailed recon'!F23,'3.Inc &amp; Exp per Function'!$U22:$U1120)</f>
        <v>0</v>
      </c>
      <c r="AB23" s="1345">
        <f ca="1">SUMIF('3.Inc &amp; Exp per Function'!$D22:$D1121,'5.Cons and detailed recon'!G23,'3.Inc &amp; Exp per Function'!$U22:$U1120)</f>
        <v>0</v>
      </c>
      <c r="AC23" s="1345">
        <f ca="1">SUMIF('3.Inc &amp; Exp per Function'!$D22:$D1121,'5.Cons and detailed recon'!H23,'3.Inc &amp; Exp per Function'!$U22:$U1120)</f>
        <v>0</v>
      </c>
      <c r="AD23" s="1345">
        <f ca="1">SUMIF('3.Inc &amp; Exp per Function'!$D22:$D1121,'5.Cons and detailed recon'!I23,'3.Inc &amp; Exp per Function'!$U22:$U1120)</f>
        <v>0</v>
      </c>
      <c r="AE23" s="1345">
        <f ca="1">SUMIF('3.Inc &amp; Exp per Function'!$D22:$D1121,'5.Cons and detailed recon'!J23,'3.Inc &amp; Exp per Function'!$U22:$U1120)</f>
        <v>0</v>
      </c>
      <c r="AF23" s="1345">
        <f ca="1">SUMIF('3.Inc &amp; Exp per Function'!$D22:$D1121,'5.Cons and detailed recon'!K23,'3.Inc &amp; Exp per Function'!$U22:$U1120)</f>
        <v>0</v>
      </c>
      <c r="AG23" s="1345">
        <f ca="1">SUMIF('3.Inc &amp; Exp per Function'!$D22:$D1121,'5.Cons and detailed recon'!L23,'3.Inc &amp; Exp per Function'!$U22:$U1120)</f>
        <v>0</v>
      </c>
      <c r="AH23" s="1344"/>
      <c r="AI23" s="1343">
        <f ca="1">SUMIF('3.Inc &amp; Exp per Function'!$D22:$D1121,'5.Cons and detailed recon'!M23,'3.Inc &amp; Exp per Function'!$U22:$U1120)</f>
        <v>0</v>
      </c>
      <c r="AJ23" s="1343">
        <f ca="1">SUMIF('3.Inc &amp; Exp per Function'!$D22:$D1121,'5.Cons and detailed recon'!N23,'3.Inc &amp; Exp per Function'!$U22:$U1120)</f>
        <v>0</v>
      </c>
      <c r="AK23" s="1343">
        <f ca="1">SUMIF('3.Inc &amp; Exp per Function'!$D22:$D1121,'5.Cons and detailed recon'!O23,'3.Inc &amp; Exp per Function'!$U22:$U1120)</f>
        <v>0</v>
      </c>
      <c r="AL23" s="1343">
        <f ca="1">SUMIF('3.Inc &amp; Exp per Function'!$D22:$D1121,'5.Cons and detailed recon'!P23,'3.Inc &amp; Exp per Function'!$U22:$U1120)</f>
        <v>0</v>
      </c>
      <c r="AM23" s="748">
        <f t="shared" ca="1" si="0"/>
        <v>0</v>
      </c>
      <c r="AN23" s="1346"/>
      <c r="AO23" s="1347">
        <f t="shared" ca="1" si="18"/>
        <v>0</v>
      </c>
      <c r="AP23" s="1348">
        <f>SUMIF('4.Inc &amp; Exp Summary'!A:A,'5.Cons and detailed recon'!R23,'4.Inc &amp; Exp Summary'!L:L)</f>
        <v>0</v>
      </c>
      <c r="AQ23" s="1349">
        <f t="shared" ca="1" si="4"/>
        <v>0</v>
      </c>
      <c r="AR23" s="1350"/>
      <c r="AS23" s="1351"/>
      <c r="AT23" s="1352"/>
      <c r="AU23" s="1319" t="str">
        <f t="shared" ref="AU23:BJ23" si="19">AU$7&amp;$Q23</f>
        <v>Executive and Council1550</v>
      </c>
      <c r="AV23" s="1319" t="str">
        <f t="shared" si="19"/>
        <v>Finance and administration1550</v>
      </c>
      <c r="AW23" s="1319" t="str">
        <f t="shared" si="19"/>
        <v>Internal audit1550</v>
      </c>
      <c r="AX23" s="1319" t="str">
        <f t="shared" si="19"/>
        <v>Community and social services1550</v>
      </c>
      <c r="AY23" s="1319" t="str">
        <f t="shared" si="19"/>
        <v>Sport and recreation1550</v>
      </c>
      <c r="AZ23" s="1319" t="str">
        <f t="shared" si="19"/>
        <v>Public safety1550</v>
      </c>
      <c r="BA23" s="1319" t="str">
        <f t="shared" si="19"/>
        <v>Housing1550</v>
      </c>
      <c r="BB23" s="1319" t="str">
        <f t="shared" si="19"/>
        <v>Health1550</v>
      </c>
      <c r="BC23" s="1319" t="str">
        <f t="shared" si="19"/>
        <v>Planning and development1550</v>
      </c>
      <c r="BD23" s="1319" t="str">
        <f t="shared" si="19"/>
        <v>Road transport1550</v>
      </c>
      <c r="BE23" s="1319" t="str">
        <f t="shared" si="19"/>
        <v>Environmental protection1550</v>
      </c>
      <c r="BF23" s="1319" t="str">
        <f t="shared" si="19"/>
        <v>Other1550</v>
      </c>
      <c r="BG23" s="1319" t="str">
        <f t="shared" si="19"/>
        <v>Energy sources1550</v>
      </c>
      <c r="BH23" s="1319" t="str">
        <f t="shared" si="19"/>
        <v>Water management1550</v>
      </c>
      <c r="BI23" s="1319" t="str">
        <f t="shared" si="19"/>
        <v>Waste water management1550</v>
      </c>
      <c r="BJ23" s="1319" t="str">
        <f t="shared" si="19"/>
        <v>Waste management1550</v>
      </c>
      <c r="BK23" s="1320">
        <v>1550</v>
      </c>
      <c r="BL23" s="1320">
        <v>1550</v>
      </c>
      <c r="BM23" s="1341"/>
      <c r="BN23" s="1342" t="s">
        <v>1566</v>
      </c>
      <c r="BO23" s="1353">
        <f ca="1">SUMIF('3.Inc &amp; Exp per Function'!$D22:$D1121,'5.Cons and detailed recon'!AU23,'3.Inc &amp; Exp per Function'!$V22:$V1120)</f>
        <v>0</v>
      </c>
      <c r="BP23" s="1353">
        <f ca="1">SUMIF('3.Inc &amp; Exp per Function'!$D22:$D1121,'5.Cons and detailed recon'!AV23,'3.Inc &amp; Exp per Function'!$V22:$V1120)</f>
        <v>0</v>
      </c>
      <c r="BQ23" s="1353">
        <f ca="1">SUMIF('3.Inc &amp; Exp per Function'!$D22:$D1121,'5.Cons and detailed recon'!AW23,'3.Inc &amp; Exp per Function'!$V22:$V1120)</f>
        <v>0</v>
      </c>
      <c r="BR23" s="1344">
        <f t="shared" ca="1" si="6"/>
        <v>0</v>
      </c>
      <c r="BS23" s="1353">
        <f ca="1">SUMIF('3.Inc &amp; Exp per Function'!$D22:$D1121,'5.Cons and detailed recon'!AX23,'3.Inc &amp; Exp per Function'!$V22:$V1120)</f>
        <v>0</v>
      </c>
      <c r="BT23" s="1353">
        <f ca="1">SUMIF('3.Inc &amp; Exp per Function'!$D22:$D1121,'5.Cons and detailed recon'!AY23,'3.Inc &amp; Exp per Function'!$V22:$V1120)</f>
        <v>0</v>
      </c>
      <c r="BU23" s="1353">
        <f ca="1">SUMIF('3.Inc &amp; Exp per Function'!$D22:$D1121,'5.Cons and detailed recon'!AZ23,'3.Inc &amp; Exp per Function'!$V22:$V1120)</f>
        <v>0</v>
      </c>
      <c r="BV23" s="1353">
        <f ca="1">SUMIF('3.Inc &amp; Exp per Function'!$D22:$D1121,'5.Cons and detailed recon'!BA23,'3.Inc &amp; Exp per Function'!$V22:$V1120)</f>
        <v>0</v>
      </c>
      <c r="BW23" s="1353">
        <f ca="1">SUMIF('3.Inc &amp; Exp per Function'!$D22:$D1121,'5.Cons and detailed recon'!BB23,'3.Inc &amp; Exp per Function'!$V22:$V1120)</f>
        <v>0</v>
      </c>
      <c r="BX23" s="1353">
        <f ca="1">SUMIF('3.Inc &amp; Exp per Function'!$D22:$D1121,'5.Cons and detailed recon'!BC23,'3.Inc &amp; Exp per Function'!$V22:$V1120)</f>
        <v>0</v>
      </c>
      <c r="BY23" s="1353">
        <f ca="1">SUMIF('3.Inc &amp; Exp per Function'!$D22:$D1121,'5.Cons and detailed recon'!BD23,'3.Inc &amp; Exp per Function'!$V22:$V1120)</f>
        <v>0</v>
      </c>
      <c r="BZ23" s="1353">
        <f ca="1">SUMIF('3.Inc &amp; Exp per Function'!$D22:$D1121,'5.Cons and detailed recon'!BE23,'3.Inc &amp; Exp per Function'!$V22:$V1120)</f>
        <v>0</v>
      </c>
      <c r="CA23" s="1353">
        <f ca="1">SUMIF('3.Inc &amp; Exp per Function'!$D22:$D1121,'5.Cons and detailed recon'!BF23,'3.Inc &amp; Exp per Function'!$V22:$V1120)</f>
        <v>0</v>
      </c>
      <c r="CB23" s="1344">
        <f t="shared" ca="1" si="7"/>
        <v>0</v>
      </c>
      <c r="CC23" s="1353">
        <f ca="1">SUMIF('3.Inc &amp; Exp per Function'!$D22:$D1121,'5.Cons and detailed recon'!BG23,'3.Inc &amp; Exp per Function'!$V22:$V1120)</f>
        <v>0</v>
      </c>
      <c r="CD23" s="1353">
        <f ca="1">SUMIF('3.Inc &amp; Exp per Function'!$D22:$D1121,'5.Cons and detailed recon'!BH23,'3.Inc &amp; Exp per Function'!$V22:$V1120)</f>
        <v>0</v>
      </c>
      <c r="CE23" s="1353">
        <f ca="1">SUMIF('3.Inc &amp; Exp per Function'!$D22:$D1121,'5.Cons and detailed recon'!BI23,'3.Inc &amp; Exp per Function'!$V22:$V1120)</f>
        <v>0</v>
      </c>
      <c r="CF23" s="1353">
        <f ca="1">SUMIF('3.Inc &amp; Exp per Function'!$D22:$D1121,'5.Cons and detailed recon'!BJ23,'3.Inc &amp; Exp per Function'!$V22:$V1120)</f>
        <v>0</v>
      </c>
      <c r="CG23" s="1342">
        <f t="shared" ca="1" si="8"/>
        <v>0</v>
      </c>
      <c r="CH23" s="1346"/>
      <c r="CI23" s="1347">
        <f t="shared" ca="1" si="9"/>
        <v>0</v>
      </c>
      <c r="CJ23" s="1354">
        <f>SUMIF('4.Inc &amp; Exp Summary'!A:A,'5.Cons and detailed recon'!R23,'4.Inc &amp; Exp Summary'!M:M)</f>
        <v>0</v>
      </c>
      <c r="CK23" s="1349">
        <f t="shared" ca="1" si="17"/>
        <v>0</v>
      </c>
      <c r="CL23" s="1350"/>
      <c r="CM23" s="1351"/>
      <c r="CN23" s="1355"/>
      <c r="CO23" s="1319" t="str">
        <f t="shared" ref="CO23:DD23" si="20">CO$7&amp;$Q23</f>
        <v>Executive and Council1550</v>
      </c>
      <c r="CP23" s="1319" t="str">
        <f t="shared" si="20"/>
        <v>Finance and administration1550</v>
      </c>
      <c r="CQ23" s="1319" t="str">
        <f t="shared" si="20"/>
        <v>Internal audit1550</v>
      </c>
      <c r="CR23" s="1319" t="str">
        <f t="shared" si="20"/>
        <v>Community and social services1550</v>
      </c>
      <c r="CS23" s="1319" t="str">
        <f t="shared" si="20"/>
        <v>Sport and recreation1550</v>
      </c>
      <c r="CT23" s="1319" t="str">
        <f t="shared" si="20"/>
        <v>Public safety1550</v>
      </c>
      <c r="CU23" s="1319" t="str">
        <f t="shared" si="20"/>
        <v>Housing1550</v>
      </c>
      <c r="CV23" s="1319" t="str">
        <f t="shared" si="20"/>
        <v>Health1550</v>
      </c>
      <c r="CW23" s="1319" t="str">
        <f t="shared" si="20"/>
        <v>Planning and development1550</v>
      </c>
      <c r="CX23" s="1319" t="str">
        <f t="shared" si="20"/>
        <v>Road transport1550</v>
      </c>
      <c r="CY23" s="1319" t="str">
        <f t="shared" si="20"/>
        <v>Environmental protection1550</v>
      </c>
      <c r="CZ23" s="1319" t="str">
        <f t="shared" si="20"/>
        <v>Other1550</v>
      </c>
      <c r="DA23" s="1319" t="str">
        <f t="shared" si="20"/>
        <v>Energy sources1550</v>
      </c>
      <c r="DB23" s="1319" t="str">
        <f t="shared" si="20"/>
        <v>Water management1550</v>
      </c>
      <c r="DC23" s="1319" t="str">
        <f t="shared" si="20"/>
        <v>Waste water management1550</v>
      </c>
      <c r="DD23" s="1319" t="str">
        <f t="shared" si="20"/>
        <v>Waste management1550</v>
      </c>
      <c r="DE23" s="1320">
        <v>1550</v>
      </c>
      <c r="DF23" s="1320">
        <v>1550</v>
      </c>
      <c r="DG23" s="1341"/>
      <c r="DH23" s="1342" t="s">
        <v>1566</v>
      </c>
      <c r="DI23" s="1353">
        <f ca="1">SUMIF('3.Inc &amp; Exp per Function'!$D22:$D1121,'5.Cons and detailed recon'!CO23,'3.Inc &amp; Exp per Function'!$W22:$W1120)</f>
        <v>0</v>
      </c>
      <c r="DJ23" s="1353">
        <f ca="1">SUMIF('3.Inc &amp; Exp per Function'!$D22:$D1121,'5.Cons and detailed recon'!CP23,'3.Inc &amp; Exp per Function'!$W22:$W1120)</f>
        <v>0</v>
      </c>
      <c r="DK23" s="1353">
        <f ca="1">SUMIF('3.Inc &amp; Exp per Function'!$D22:$D1121,'5.Cons and detailed recon'!CQ23,'3.Inc &amp; Exp per Function'!$W22:$W1120)</f>
        <v>0</v>
      </c>
      <c r="DL23" s="413">
        <f t="shared" ca="1" si="11"/>
        <v>0</v>
      </c>
      <c r="DM23" s="1353">
        <f ca="1">SUMIF('3.Inc &amp; Exp per Function'!$D22:$D1121,'5.Cons and detailed recon'!CR23,'3.Inc &amp; Exp per Function'!$W22:$W1120)</f>
        <v>0</v>
      </c>
      <c r="DN23" s="1353">
        <f ca="1">SUMIF('3.Inc &amp; Exp per Function'!$D22:$D1121,'5.Cons and detailed recon'!CS23,'3.Inc &amp; Exp per Function'!$W22:$W1120)</f>
        <v>0</v>
      </c>
      <c r="DO23" s="1353">
        <f ca="1">SUMIF('3.Inc &amp; Exp per Function'!$D22:$D1121,'5.Cons and detailed recon'!CT23,'3.Inc &amp; Exp per Function'!$W22:$W1120)</f>
        <v>0</v>
      </c>
      <c r="DP23" s="1353">
        <f ca="1">SUMIF('3.Inc &amp; Exp per Function'!$D22:$D1121,'5.Cons and detailed recon'!CU23,'3.Inc &amp; Exp per Function'!$W22:$W1120)</f>
        <v>0</v>
      </c>
      <c r="DQ23" s="1353">
        <f ca="1">SUMIF('3.Inc &amp; Exp per Function'!$D22:$D1121,'5.Cons and detailed recon'!CV23,'3.Inc &amp; Exp per Function'!$W22:$W1120)</f>
        <v>0</v>
      </c>
      <c r="DR23" s="1353">
        <f ca="1">SUMIF('3.Inc &amp; Exp per Function'!$D22:$D1121,'5.Cons and detailed recon'!CW23,'3.Inc &amp; Exp per Function'!$W22:$W1120)</f>
        <v>0</v>
      </c>
      <c r="DS23" s="1353">
        <f ca="1">SUMIF('3.Inc &amp; Exp per Function'!$D22:$D1121,'5.Cons and detailed recon'!CX23,'3.Inc &amp; Exp per Function'!$W22:$W1120)</f>
        <v>0</v>
      </c>
      <c r="DT23" s="1353">
        <f ca="1">SUMIF('3.Inc &amp; Exp per Function'!$D22:$D1121,'5.Cons and detailed recon'!CY23,'3.Inc &amp; Exp per Function'!$W22:$W1120)</f>
        <v>0</v>
      </c>
      <c r="DU23" s="1353">
        <f ca="1">SUMIF('3.Inc &amp; Exp per Function'!$D22:$D1121,'5.Cons and detailed recon'!CZ23,'3.Inc &amp; Exp per Function'!$W22:$W1120)</f>
        <v>0</v>
      </c>
      <c r="DV23" s="1344">
        <f t="shared" ca="1" si="12"/>
        <v>0</v>
      </c>
      <c r="DW23" s="1353">
        <f ca="1">SUMIF('3.Inc &amp; Exp per Function'!$D22:$D1121,'5.Cons and detailed recon'!DA23,'3.Inc &amp; Exp per Function'!$W22:$W1120)</f>
        <v>0</v>
      </c>
      <c r="DX23" s="1353">
        <f ca="1">SUMIF('3.Inc &amp; Exp per Function'!$D22:$D1121,'5.Cons and detailed recon'!DB23,'3.Inc &amp; Exp per Function'!$W22:$W1120)</f>
        <v>0</v>
      </c>
      <c r="DY23" s="1353">
        <f ca="1">SUMIF('3.Inc &amp; Exp per Function'!$D22:$D1121,'5.Cons and detailed recon'!DC23,'3.Inc &amp; Exp per Function'!$W22:$W1120)</f>
        <v>0</v>
      </c>
      <c r="DZ23" s="1353">
        <f ca="1">SUMIF('3.Inc &amp; Exp per Function'!$D22:$D1121,'5.Cons and detailed recon'!DD23,'3.Inc &amp; Exp per Function'!$W22:$W1120)</f>
        <v>0</v>
      </c>
      <c r="EA23" s="1342">
        <f t="shared" ca="1" si="13"/>
        <v>0</v>
      </c>
      <c r="EB23" s="794"/>
      <c r="EC23" s="1347">
        <f t="shared" ref="EC23" ca="1" si="21">DL23+DV23+EA23</f>
        <v>0</v>
      </c>
      <c r="ED23" s="1348">
        <f>SUMIF('4.Inc &amp; Exp Summary'!A:A,'5.Cons and detailed recon'!DF23,'4.Inc &amp; Exp Summary'!N:N)</f>
        <v>0</v>
      </c>
      <c r="EE23" s="1349">
        <f t="shared" ref="EE23" ca="1" si="22">EC23-ED23</f>
        <v>0</v>
      </c>
      <c r="EF23" s="1350"/>
      <c r="EG23" s="980"/>
      <c r="EH23" s="980"/>
      <c r="EI23" s="980"/>
      <c r="EJ23" s="980"/>
      <c r="EK23" s="980"/>
      <c r="EL23" s="980"/>
      <c r="EM23" s="980"/>
      <c r="EN23" s="980"/>
      <c r="EO23" s="980"/>
      <c r="EP23" s="980"/>
      <c r="EQ23" s="980"/>
      <c r="ER23" s="980"/>
      <c r="ES23" s="980"/>
      <c r="ET23" s="980"/>
      <c r="EU23" s="980"/>
      <c r="EV23" s="980"/>
      <c r="EW23" s="980"/>
      <c r="EX23" s="980"/>
      <c r="EY23" s="980"/>
      <c r="EZ23" s="980"/>
      <c r="FA23" s="980"/>
      <c r="FB23" s="980"/>
      <c r="FC23" s="980"/>
      <c r="FD23" s="980"/>
      <c r="FE23" s="980"/>
      <c r="FF23" s="980"/>
      <c r="FG23" s="980"/>
      <c r="FH23" s="980"/>
      <c r="FI23" s="980"/>
      <c r="FJ23" s="980"/>
      <c r="FK23" s="980"/>
      <c r="FL23" s="980"/>
      <c r="FM23" s="980"/>
      <c r="FN23" s="980"/>
      <c r="FO23" s="980"/>
      <c r="FP23" s="980"/>
      <c r="FQ23" s="980"/>
      <c r="FR23" s="980"/>
      <c r="FS23" s="980"/>
      <c r="FT23" s="980"/>
      <c r="FU23" s="980"/>
      <c r="FV23" s="980"/>
      <c r="FW23" s="980"/>
      <c r="FX23" s="980"/>
      <c r="FY23" s="980"/>
      <c r="FZ23" s="980"/>
      <c r="GA23" s="980"/>
      <c r="GB23" s="980"/>
      <c r="GC23" s="980"/>
      <c r="GD23" s="980"/>
      <c r="GE23" s="980"/>
      <c r="GF23" s="980"/>
      <c r="GG23" s="980"/>
      <c r="GH23" s="980"/>
      <c r="GI23" s="980"/>
      <c r="GJ23" s="980"/>
      <c r="GK23" s="980"/>
      <c r="GL23" s="980"/>
      <c r="GM23" s="980"/>
      <c r="GN23" s="980"/>
      <c r="GO23" s="980"/>
      <c r="GP23" s="980"/>
      <c r="GQ23" s="980"/>
      <c r="GR23" s="980"/>
      <c r="GS23" s="980"/>
      <c r="GT23" s="980"/>
      <c r="GU23" s="980"/>
      <c r="GV23" s="980"/>
      <c r="GW23" s="980"/>
      <c r="GX23" s="980"/>
      <c r="GY23" s="980"/>
      <c r="GZ23" s="980"/>
      <c r="HA23" s="980"/>
      <c r="HB23" s="980"/>
      <c r="HC23" s="980"/>
      <c r="HD23" s="980"/>
      <c r="HE23" s="980"/>
      <c r="HF23" s="980"/>
      <c r="HG23" s="980"/>
      <c r="HH23" s="980"/>
      <c r="HI23" s="980"/>
      <c r="HJ23" s="980"/>
      <c r="HK23" s="980"/>
      <c r="HL23" s="980"/>
      <c r="HM23" s="980"/>
      <c r="HN23" s="980"/>
      <c r="HO23" s="980"/>
      <c r="HP23" s="980"/>
      <c r="HQ23" s="980"/>
      <c r="HR23" s="980"/>
      <c r="HS23" s="980"/>
      <c r="HT23" s="980"/>
      <c r="HU23" s="980"/>
      <c r="HV23" s="980"/>
      <c r="HW23" s="980"/>
      <c r="HX23" s="980"/>
      <c r="HY23" s="980"/>
      <c r="HZ23" s="980"/>
      <c r="IA23" s="980"/>
      <c r="IB23" s="980"/>
      <c r="IC23" s="980"/>
      <c r="ID23" s="980"/>
      <c r="IE23" s="980"/>
      <c r="IF23" s="980"/>
      <c r="IG23" s="980"/>
      <c r="IH23" s="980"/>
      <c r="II23" s="980"/>
      <c r="IJ23" s="980"/>
      <c r="IK23" s="980"/>
      <c r="IL23" s="980"/>
      <c r="IM23" s="980"/>
      <c r="IN23" s="980"/>
      <c r="IO23" s="980"/>
      <c r="IP23" s="980"/>
      <c r="IQ23" s="980"/>
      <c r="IR23" s="980"/>
      <c r="IS23" s="980"/>
      <c r="IT23" s="980"/>
      <c r="IU23" s="980"/>
      <c r="IV23" s="980"/>
    </row>
    <row r="24" spans="1:256" s="409" customFormat="1" ht="12" customHeight="1" x14ac:dyDescent="0.55000000000000004">
      <c r="A24" s="398" t="str">
        <f t="shared" si="1"/>
        <v>Executive and Council1600</v>
      </c>
      <c r="B24" s="398" t="str">
        <f t="shared" si="2"/>
        <v>Finance and administration1600</v>
      </c>
      <c r="C24" s="398" t="str">
        <f t="shared" si="2"/>
        <v>Internal audit1600</v>
      </c>
      <c r="D24" s="398" t="str">
        <f t="shared" si="2"/>
        <v>Community and social services1600</v>
      </c>
      <c r="E24" s="398" t="str">
        <f t="shared" si="2"/>
        <v>Sport and recreation1600</v>
      </c>
      <c r="F24" s="398" t="str">
        <f t="shared" si="2"/>
        <v>Public safety1600</v>
      </c>
      <c r="G24" s="398" t="str">
        <f t="shared" si="2"/>
        <v>Housing1600</v>
      </c>
      <c r="H24" s="398" t="str">
        <f t="shared" si="2"/>
        <v>Health1600</v>
      </c>
      <c r="I24" s="398" t="str">
        <f t="shared" si="2"/>
        <v>Planning and development1600</v>
      </c>
      <c r="J24" s="398" t="str">
        <f t="shared" si="2"/>
        <v>Road transport1600</v>
      </c>
      <c r="K24" s="398" t="str">
        <f t="shared" si="2"/>
        <v>Environmental protection1600</v>
      </c>
      <c r="L24" s="398" t="str">
        <f t="shared" si="2"/>
        <v>Other1600</v>
      </c>
      <c r="M24" s="398" t="str">
        <f t="shared" si="2"/>
        <v>Energy sources1600</v>
      </c>
      <c r="N24" s="398" t="str">
        <f t="shared" si="2"/>
        <v>Water management1600</v>
      </c>
      <c r="O24" s="398" t="str">
        <f t="shared" si="2"/>
        <v>Waste water management1600</v>
      </c>
      <c r="P24" s="398" t="str">
        <f t="shared" si="2"/>
        <v>Waste management1600</v>
      </c>
      <c r="Q24" s="745" t="s">
        <v>702</v>
      </c>
      <c r="R24" s="745" t="s">
        <v>702</v>
      </c>
      <c r="S24" s="994"/>
      <c r="T24" s="748" t="s">
        <v>704</v>
      </c>
      <c r="U24" s="804">
        <f ca="1">SUMIF('3.Inc &amp; Exp per Function'!$D23:$D1122,'5.Cons and detailed recon'!A24,'3.Inc &amp; Exp per Function'!$U23:$U1121)</f>
        <v>0</v>
      </c>
      <c r="V24" s="804">
        <f ca="1">SUMIF('3.Inc &amp; Exp per Function'!$D23:$D1122,'5.Cons and detailed recon'!B24,'3.Inc &amp; Exp per Function'!$U23:$U1121)</f>
        <v>3742461</v>
      </c>
      <c r="W24" s="804">
        <f ca="1">SUMIF('3.Inc &amp; Exp per Function'!$D23:$D1122,'5.Cons and detailed recon'!C24,'3.Inc &amp; Exp per Function'!$U23:$U1121)</f>
        <v>0</v>
      </c>
      <c r="X24" s="413">
        <f t="shared" ca="1" si="16"/>
        <v>3742461</v>
      </c>
      <c r="Y24" s="1326">
        <f ca="1">SUMIF('3.Inc &amp; Exp per Function'!$D23:$D1122,'5.Cons and detailed recon'!D24,'3.Inc &amp; Exp per Function'!$U23:$U1121)</f>
        <v>0</v>
      </c>
      <c r="Z24" s="1326">
        <f ca="1">SUMIF('3.Inc &amp; Exp per Function'!$D23:$D1122,'5.Cons and detailed recon'!E24,'3.Inc &amp; Exp per Function'!$U23:$U1121)</f>
        <v>0</v>
      </c>
      <c r="AA24" s="1326">
        <f ca="1">SUMIF('3.Inc &amp; Exp per Function'!$D23:$D1122,'5.Cons and detailed recon'!F24,'3.Inc &amp; Exp per Function'!$U23:$U1121)</f>
        <v>0</v>
      </c>
      <c r="AB24" s="1326">
        <f ca="1">SUMIF('3.Inc &amp; Exp per Function'!$D23:$D1122,'5.Cons and detailed recon'!G24,'3.Inc &amp; Exp per Function'!$U23:$U1121)</f>
        <v>0</v>
      </c>
      <c r="AC24" s="1326">
        <f ca="1">SUMIF('3.Inc &amp; Exp per Function'!$D23:$D1122,'5.Cons and detailed recon'!H24,'3.Inc &amp; Exp per Function'!$U23:$U1121)</f>
        <v>0</v>
      </c>
      <c r="AD24" s="1326">
        <f ca="1">SUMIF('3.Inc &amp; Exp per Function'!$D23:$D1122,'5.Cons and detailed recon'!I24,'3.Inc &amp; Exp per Function'!$U23:$U1121)</f>
        <v>21000</v>
      </c>
      <c r="AE24" s="1326">
        <f ca="1">SUMIF('3.Inc &amp; Exp per Function'!$D23:$D1122,'5.Cons and detailed recon'!J24,'3.Inc &amp; Exp per Function'!$U23:$U1121)</f>
        <v>0</v>
      </c>
      <c r="AF24" s="1326">
        <f ca="1">SUMIF('3.Inc &amp; Exp per Function'!$D23:$D1122,'5.Cons and detailed recon'!K24,'3.Inc &amp; Exp per Function'!$U23:$U1121)</f>
        <v>0</v>
      </c>
      <c r="AG24" s="1326">
        <f ca="1">SUMIF('3.Inc &amp; Exp per Function'!$D23:$D1122,'5.Cons and detailed recon'!L24,'3.Inc &amp; Exp per Function'!$U23:$U1121)</f>
        <v>0</v>
      </c>
      <c r="AH24" s="413">
        <f t="shared" ca="1" si="3"/>
        <v>21000</v>
      </c>
      <c r="AI24" s="804">
        <f ca="1">SUMIF('3.Inc &amp; Exp per Function'!$D23:$D1122,'5.Cons and detailed recon'!M24,'3.Inc &amp; Exp per Function'!$U23:$U1121)</f>
        <v>0</v>
      </c>
      <c r="AJ24" s="804">
        <f ca="1">SUMIF('3.Inc &amp; Exp per Function'!$D23:$D1122,'5.Cons and detailed recon'!N24,'3.Inc &amp; Exp per Function'!$U23:$U1121)</f>
        <v>0</v>
      </c>
      <c r="AK24" s="804">
        <f ca="1">SUMIF('3.Inc &amp; Exp per Function'!$D23:$D1122,'5.Cons and detailed recon'!O24,'3.Inc &amp; Exp per Function'!$U23:$U1121)</f>
        <v>500</v>
      </c>
      <c r="AL24" s="804">
        <f ca="1">SUMIF('3.Inc &amp; Exp per Function'!$D23:$D1122,'5.Cons and detailed recon'!P24,'3.Inc &amp; Exp per Function'!$U23:$U1121)</f>
        <v>1000</v>
      </c>
      <c r="AM24" s="748">
        <f t="shared" ca="1" si="0"/>
        <v>1500</v>
      </c>
      <c r="AN24" s="794"/>
      <c r="AO24" s="791">
        <f t="shared" ca="1" si="18"/>
        <v>3764961</v>
      </c>
      <c r="AP24" s="414">
        <f>SUMIF('4.Inc &amp; Exp Summary'!A:A,'5.Cons and detailed recon'!R24,'4.Inc &amp; Exp Summary'!L:L)</f>
        <v>0</v>
      </c>
      <c r="AQ24" s="415">
        <f t="shared" ca="1" si="4"/>
        <v>3764961</v>
      </c>
      <c r="AR24" s="720"/>
      <c r="AS24" s="730"/>
      <c r="AT24" s="408"/>
      <c r="AU24" s="398" t="str">
        <f t="shared" si="5"/>
        <v>Executive and Council1600</v>
      </c>
      <c r="AV24" s="398" t="str">
        <f t="shared" si="5"/>
        <v>Finance and administration1600</v>
      </c>
      <c r="AW24" s="398" t="str">
        <f t="shared" si="5"/>
        <v>Internal audit1600</v>
      </c>
      <c r="AX24" s="398" t="str">
        <f t="shared" si="5"/>
        <v>Community and social services1600</v>
      </c>
      <c r="AY24" s="398" t="str">
        <f t="shared" si="5"/>
        <v>Sport and recreation1600</v>
      </c>
      <c r="AZ24" s="398" t="str">
        <f t="shared" si="5"/>
        <v>Public safety1600</v>
      </c>
      <c r="BA24" s="398" t="str">
        <f t="shared" si="5"/>
        <v>Housing1600</v>
      </c>
      <c r="BB24" s="398" t="str">
        <f t="shared" si="5"/>
        <v>Health1600</v>
      </c>
      <c r="BC24" s="398" t="str">
        <f t="shared" si="5"/>
        <v>Planning and development1600</v>
      </c>
      <c r="BD24" s="398" t="str">
        <f t="shared" si="5"/>
        <v>Road transport1600</v>
      </c>
      <c r="BE24" s="398" t="str">
        <f t="shared" si="5"/>
        <v>Environmental protection1600</v>
      </c>
      <c r="BF24" s="398" t="str">
        <f t="shared" si="5"/>
        <v>Other1600</v>
      </c>
      <c r="BG24" s="398" t="str">
        <f t="shared" si="5"/>
        <v>Energy sources1600</v>
      </c>
      <c r="BH24" s="398" t="str">
        <f t="shared" si="5"/>
        <v>Water management1600</v>
      </c>
      <c r="BI24" s="398" t="str">
        <f t="shared" si="5"/>
        <v>Waste water management1600</v>
      </c>
      <c r="BJ24" s="398" t="str">
        <f t="shared" si="5"/>
        <v>Waste management1600</v>
      </c>
      <c r="BK24" s="745" t="s">
        <v>702</v>
      </c>
      <c r="BL24" s="745" t="s">
        <v>702</v>
      </c>
      <c r="BM24" s="735"/>
      <c r="BN24" s="748" t="s">
        <v>704</v>
      </c>
      <c r="BO24" s="751">
        <f ca="1">SUMIF('3.Inc &amp; Exp per Function'!$D24:$D1122,'5.Cons and detailed recon'!AU24,'3.Inc &amp; Exp per Function'!$V24:$V1121)</f>
        <v>0</v>
      </c>
      <c r="BP24" s="751">
        <f ca="1">SUMIF('3.Inc &amp; Exp per Function'!$D23:$D1122,'5.Cons and detailed recon'!AV24,'3.Inc &amp; Exp per Function'!$V23:$V1121)</f>
        <v>3828345</v>
      </c>
      <c r="BQ24" s="751">
        <f ca="1">SUMIF('3.Inc &amp; Exp per Function'!$D23:$D1122,'5.Cons and detailed recon'!AW24,'3.Inc &amp; Exp per Function'!$V23:$V1121)</f>
        <v>0</v>
      </c>
      <c r="BR24" s="413">
        <f t="shared" ca="1" si="6"/>
        <v>3828345</v>
      </c>
      <c r="BS24" s="751">
        <f ca="1">SUMIF('3.Inc &amp; Exp per Function'!$D23:$D1122,'5.Cons and detailed recon'!AX24,'3.Inc &amp; Exp per Function'!$V23:$V1121)</f>
        <v>0</v>
      </c>
      <c r="BT24" s="751">
        <f ca="1">SUMIF('3.Inc &amp; Exp per Function'!$D23:$D1122,'5.Cons and detailed recon'!AY24,'3.Inc &amp; Exp per Function'!$V23:$V1121)</f>
        <v>0</v>
      </c>
      <c r="BU24" s="751">
        <f ca="1">SUMIF('3.Inc &amp; Exp per Function'!$D23:$D1122,'5.Cons and detailed recon'!AZ24,'3.Inc &amp; Exp per Function'!$V23:$V1121)</f>
        <v>0</v>
      </c>
      <c r="BV24" s="751">
        <f ca="1">SUMIF('3.Inc &amp; Exp per Function'!$D23:$D1122,'5.Cons and detailed recon'!BA24,'3.Inc &amp; Exp per Function'!$V23:$V1121)</f>
        <v>0</v>
      </c>
      <c r="BW24" s="751">
        <f ca="1">SUMIF('3.Inc &amp; Exp per Function'!$D23:$D1122,'5.Cons and detailed recon'!BB24,'3.Inc &amp; Exp per Function'!$V23:$V1121)</f>
        <v>0</v>
      </c>
      <c r="BX24" s="751">
        <f ca="1">SUMIF('3.Inc &amp; Exp per Function'!$D23:$D1122,'5.Cons and detailed recon'!BC24,'3.Inc &amp; Exp per Function'!$V23:$V1121)</f>
        <v>21714</v>
      </c>
      <c r="BY24" s="751">
        <f ca="1">SUMIF('3.Inc &amp; Exp per Function'!$D23:$D1122,'5.Cons and detailed recon'!BD24,'3.Inc &amp; Exp per Function'!$V23:$V1121)</f>
        <v>0</v>
      </c>
      <c r="BZ24" s="751">
        <f ca="1">SUMIF('3.Inc &amp; Exp per Function'!$D23:$D1122,'5.Cons and detailed recon'!BE24,'3.Inc &amp; Exp per Function'!$V23:$V1121)</f>
        <v>0</v>
      </c>
      <c r="CA24" s="751">
        <f ca="1">SUMIF('3.Inc &amp; Exp per Function'!$D23:$D1122,'5.Cons and detailed recon'!BF24,'3.Inc &amp; Exp per Function'!$V23:$V1121)</f>
        <v>0</v>
      </c>
      <c r="CB24" s="413">
        <f t="shared" ca="1" si="7"/>
        <v>21714</v>
      </c>
      <c r="CC24" s="751">
        <f ca="1">SUMIF('3.Inc &amp; Exp per Function'!$D23:$D1122,'5.Cons and detailed recon'!BG24,'3.Inc &amp; Exp per Function'!$V23:$V1121)</f>
        <v>0</v>
      </c>
      <c r="CD24" s="751">
        <f ca="1">SUMIF('3.Inc &amp; Exp per Function'!$D23:$D1122,'5.Cons and detailed recon'!BH24,'3.Inc &amp; Exp per Function'!$V23:$V1121)</f>
        <v>0</v>
      </c>
      <c r="CE24" s="751">
        <f ca="1">SUMIF('3.Inc &amp; Exp per Function'!$D23:$D1122,'5.Cons and detailed recon'!BI24,'3.Inc &amp; Exp per Function'!$V23:$V1121)</f>
        <v>517</v>
      </c>
      <c r="CF24" s="751">
        <f ca="1">SUMIF('3.Inc &amp; Exp per Function'!$D23:$D1122,'5.Cons and detailed recon'!BJ24,'3.Inc &amp; Exp per Function'!$V23:$V1121)</f>
        <v>1034</v>
      </c>
      <c r="CG24" s="748">
        <f t="shared" ca="1" si="8"/>
        <v>1551</v>
      </c>
      <c r="CH24" s="794"/>
      <c r="CI24" s="791">
        <f t="shared" ca="1" si="9"/>
        <v>3851610</v>
      </c>
      <c r="CJ24" s="411">
        <f>SUMIF('4.Inc &amp; Exp Summary'!A:A,'5.Cons and detailed recon'!R24,'4.Inc &amp; Exp Summary'!M:M)</f>
        <v>0</v>
      </c>
      <c r="CK24" s="415">
        <f t="shared" ca="1" si="17"/>
        <v>3851610</v>
      </c>
      <c r="CL24" s="720"/>
      <c r="CM24" s="730"/>
      <c r="CO24" s="398" t="str">
        <f t="shared" si="10"/>
        <v>Executive and Council1600</v>
      </c>
      <c r="CP24" s="398" t="str">
        <f t="shared" si="10"/>
        <v>Finance and administration1600</v>
      </c>
      <c r="CQ24" s="398" t="str">
        <f t="shared" si="10"/>
        <v>Internal audit1600</v>
      </c>
      <c r="CR24" s="398" t="str">
        <f t="shared" si="10"/>
        <v>Community and social services1600</v>
      </c>
      <c r="CS24" s="398" t="str">
        <f t="shared" si="10"/>
        <v>Sport and recreation1600</v>
      </c>
      <c r="CT24" s="398" t="str">
        <f t="shared" si="10"/>
        <v>Public safety1600</v>
      </c>
      <c r="CU24" s="398" t="str">
        <f t="shared" si="10"/>
        <v>Housing1600</v>
      </c>
      <c r="CV24" s="398" t="str">
        <f t="shared" si="10"/>
        <v>Health1600</v>
      </c>
      <c r="CW24" s="398" t="str">
        <f t="shared" si="10"/>
        <v>Planning and development1600</v>
      </c>
      <c r="CX24" s="398" t="str">
        <f t="shared" si="10"/>
        <v>Road transport1600</v>
      </c>
      <c r="CY24" s="398" t="str">
        <f t="shared" si="10"/>
        <v>Environmental protection1600</v>
      </c>
      <c r="CZ24" s="398" t="str">
        <f t="shared" si="10"/>
        <v>Other1600</v>
      </c>
      <c r="DA24" s="398" t="str">
        <f t="shared" si="10"/>
        <v>Energy sources1600</v>
      </c>
      <c r="DB24" s="398" t="str">
        <f t="shared" si="10"/>
        <v>Water management1600</v>
      </c>
      <c r="DC24" s="398" t="str">
        <f t="shared" si="10"/>
        <v>Waste water management1600</v>
      </c>
      <c r="DD24" s="398" t="str">
        <f t="shared" si="10"/>
        <v>Waste management1600</v>
      </c>
      <c r="DE24" s="745" t="s">
        <v>702</v>
      </c>
      <c r="DF24" s="745" t="s">
        <v>702</v>
      </c>
      <c r="DG24" s="735"/>
      <c r="DH24" s="748" t="s">
        <v>704</v>
      </c>
      <c r="DI24" s="751">
        <f ca="1">SUMIF('3.Inc &amp; Exp per Function'!$D23:$D1122,'5.Cons and detailed recon'!CO24,'3.Inc &amp; Exp per Function'!$W23:$W1121)</f>
        <v>0</v>
      </c>
      <c r="DJ24" s="1356">
        <f ca="1">SUMIF('3.Inc &amp; Exp per Function'!$D22:$D1121,'5.Cons and detailed recon'!CP24,'3.Inc &amp; Exp per Function'!$W22:$W1120)</f>
        <v>3950853</v>
      </c>
      <c r="DK24" s="1356">
        <f ca="1">SUMIF('3.Inc &amp; Exp per Function'!$D22:$D1121,'5.Cons and detailed recon'!CQ24,'3.Inc &amp; Exp per Function'!$W22:$W1120)</f>
        <v>0</v>
      </c>
      <c r="DL24" s="413">
        <f t="shared" ca="1" si="11"/>
        <v>3950853</v>
      </c>
      <c r="DM24" s="1356">
        <f ca="1">SUMIF('3.Inc &amp; Exp per Function'!$D22:$D1121,'5.Cons and detailed recon'!CR24,'3.Inc &amp; Exp per Function'!$W22:$W1120)</f>
        <v>0</v>
      </c>
      <c r="DN24" s="1356">
        <f ca="1">SUMIF('3.Inc &amp; Exp per Function'!$D22:$D1121,'5.Cons and detailed recon'!CS24,'3.Inc &amp; Exp per Function'!$W22:$W1120)</f>
        <v>0</v>
      </c>
      <c r="DO24" s="1356">
        <f ca="1">SUMIF('3.Inc &amp; Exp per Function'!$D22:$D1121,'5.Cons and detailed recon'!CT24,'3.Inc &amp; Exp per Function'!$W22:$W1120)</f>
        <v>0</v>
      </c>
      <c r="DP24" s="1356">
        <f ca="1">SUMIF('3.Inc &amp; Exp per Function'!$D22:$D1121,'5.Cons and detailed recon'!CU24,'3.Inc &amp; Exp per Function'!$W22:$W1120)</f>
        <v>0</v>
      </c>
      <c r="DQ24" s="1356">
        <f ca="1">SUMIF('3.Inc &amp; Exp per Function'!$D22:$D1121,'5.Cons and detailed recon'!CV24,'3.Inc &amp; Exp per Function'!$W22:$W1120)</f>
        <v>0</v>
      </c>
      <c r="DR24" s="1356">
        <f ca="1">SUMIF('3.Inc &amp; Exp per Function'!$D22:$D1121,'5.Cons and detailed recon'!CW24,'3.Inc &amp; Exp per Function'!$W22:$W1120)</f>
        <v>22409</v>
      </c>
      <c r="DS24" s="1356">
        <f ca="1">SUMIF('3.Inc &amp; Exp per Function'!$D22:$D1121,'5.Cons and detailed recon'!CX24,'3.Inc &amp; Exp per Function'!$W22:$W1120)</f>
        <v>0</v>
      </c>
      <c r="DT24" s="1356">
        <f ca="1">SUMIF('3.Inc &amp; Exp per Function'!$D22:$D1121,'5.Cons and detailed recon'!CY24,'3.Inc &amp; Exp per Function'!$W22:$W1120)</f>
        <v>0</v>
      </c>
      <c r="DU24" s="1356">
        <f ca="1">SUMIF('3.Inc &amp; Exp per Function'!$D22:$D1121,'5.Cons and detailed recon'!CZ24,'3.Inc &amp; Exp per Function'!$W22:$W1120)</f>
        <v>0</v>
      </c>
      <c r="DV24" s="413">
        <f t="shared" ca="1" si="12"/>
        <v>22409</v>
      </c>
      <c r="DW24" s="1356">
        <f ca="1">SUMIF('3.Inc &amp; Exp per Function'!$D22:$D1121,'5.Cons and detailed recon'!DA24,'3.Inc &amp; Exp per Function'!$W22:$W1120)</f>
        <v>0</v>
      </c>
      <c r="DX24" s="1356">
        <f ca="1">SUMIF('3.Inc &amp; Exp per Function'!$D22:$D1121,'5.Cons and detailed recon'!DB24,'3.Inc &amp; Exp per Function'!$W22:$W1120)</f>
        <v>0</v>
      </c>
      <c r="DY24" s="1356">
        <f ca="1">SUMIF('3.Inc &amp; Exp per Function'!$D22:$D1121,'5.Cons and detailed recon'!DC24,'3.Inc &amp; Exp per Function'!$W22:$W1120)</f>
        <v>534</v>
      </c>
      <c r="DZ24" s="1356">
        <f ca="1">SUMIF('3.Inc &amp; Exp per Function'!$D22:$D1121,'5.Cons and detailed recon'!DD24,'3.Inc &amp; Exp per Function'!$W22:$W1120)</f>
        <v>1067</v>
      </c>
      <c r="EA24" s="748">
        <f t="shared" ca="1" si="13"/>
        <v>1601</v>
      </c>
      <c r="EB24" s="1357"/>
      <c r="EC24" s="1358">
        <f t="shared" ca="1" si="14"/>
        <v>3974863</v>
      </c>
      <c r="ED24" s="1359">
        <f>SUMIF('4.Inc &amp; Exp Summary'!A:A,'5.Cons and detailed recon'!DF24,'4.Inc &amp; Exp Summary'!N:N)</f>
        <v>0</v>
      </c>
      <c r="EE24" s="1360">
        <f t="shared" ca="1" si="15"/>
        <v>3974863</v>
      </c>
      <c r="EF24" s="726"/>
      <c r="EG24" s="980"/>
      <c r="EH24" s="980"/>
      <c r="EI24" s="980"/>
      <c r="EJ24" s="980"/>
      <c r="EK24" s="980"/>
      <c r="EL24" s="980"/>
      <c r="EM24" s="980"/>
      <c r="EN24" s="980"/>
      <c r="EO24" s="980"/>
      <c r="EP24" s="980"/>
      <c r="EQ24" s="980"/>
      <c r="ER24" s="980"/>
      <c r="ES24" s="980"/>
      <c r="ET24" s="980"/>
      <c r="EU24" s="980"/>
      <c r="EV24" s="980"/>
      <c r="EW24" s="980"/>
      <c r="EX24" s="980"/>
      <c r="EY24" s="980"/>
      <c r="EZ24" s="980"/>
      <c r="FA24" s="980"/>
      <c r="FB24" s="980"/>
      <c r="FC24" s="980"/>
      <c r="FD24" s="980"/>
      <c r="FE24" s="980"/>
      <c r="FF24" s="980"/>
      <c r="FG24" s="980"/>
      <c r="FH24" s="980"/>
      <c r="FI24" s="980"/>
      <c r="FJ24" s="980"/>
      <c r="FK24" s="980"/>
      <c r="FL24" s="980"/>
      <c r="FM24" s="980"/>
      <c r="FN24" s="980"/>
      <c r="FO24" s="980"/>
      <c r="FP24" s="980"/>
      <c r="FQ24" s="980"/>
      <c r="FR24" s="980"/>
      <c r="FS24" s="980"/>
      <c r="FT24" s="980"/>
      <c r="FU24" s="980"/>
      <c r="FV24" s="980"/>
      <c r="FW24" s="980"/>
      <c r="FX24" s="980"/>
      <c r="FY24" s="980"/>
      <c r="FZ24" s="980"/>
      <c r="GA24" s="980"/>
      <c r="GB24" s="980"/>
      <c r="GC24" s="980"/>
      <c r="GD24" s="980"/>
      <c r="GE24" s="980"/>
      <c r="GF24" s="980"/>
      <c r="GG24" s="980"/>
      <c r="GH24" s="980"/>
      <c r="GI24" s="980"/>
      <c r="GJ24" s="980"/>
      <c r="GK24" s="980"/>
      <c r="GL24" s="980"/>
      <c r="GM24" s="980"/>
      <c r="GN24" s="980"/>
      <c r="GO24" s="980"/>
      <c r="GP24" s="980"/>
      <c r="GQ24" s="980"/>
      <c r="GR24" s="980"/>
      <c r="GS24" s="980"/>
      <c r="GT24" s="980"/>
      <c r="GU24" s="980"/>
      <c r="GV24" s="980"/>
      <c r="GW24" s="980"/>
      <c r="GX24" s="980"/>
      <c r="GY24" s="980"/>
      <c r="GZ24" s="980"/>
      <c r="HA24" s="980"/>
      <c r="HB24" s="980"/>
      <c r="HC24" s="980"/>
      <c r="HD24" s="980"/>
      <c r="HE24" s="980"/>
      <c r="HF24" s="980"/>
      <c r="HG24" s="980"/>
      <c r="HH24" s="980"/>
      <c r="HI24" s="980"/>
      <c r="HJ24" s="980"/>
      <c r="HK24" s="980"/>
      <c r="HL24" s="980"/>
      <c r="HM24" s="980"/>
      <c r="HN24" s="980"/>
      <c r="HO24" s="980"/>
      <c r="HP24" s="980"/>
      <c r="HQ24" s="980"/>
      <c r="HR24" s="980"/>
      <c r="HS24" s="980"/>
      <c r="HT24" s="980"/>
      <c r="HU24" s="980"/>
      <c r="HV24" s="980"/>
      <c r="HW24" s="980"/>
      <c r="HX24" s="980"/>
      <c r="HY24" s="980"/>
      <c r="HZ24" s="980"/>
      <c r="IA24" s="980"/>
      <c r="IB24" s="980"/>
      <c r="IC24" s="980"/>
      <c r="ID24" s="980"/>
      <c r="IE24" s="980"/>
      <c r="IF24" s="980"/>
      <c r="IG24" s="980"/>
      <c r="IH24" s="980"/>
      <c r="II24" s="980"/>
      <c r="IJ24" s="980"/>
      <c r="IK24" s="980"/>
      <c r="IL24" s="980"/>
      <c r="IM24" s="980"/>
      <c r="IN24" s="980"/>
      <c r="IO24" s="980"/>
      <c r="IP24" s="980"/>
      <c r="IQ24" s="980"/>
      <c r="IR24" s="980"/>
      <c r="IS24" s="980"/>
      <c r="IT24" s="980"/>
      <c r="IU24" s="980"/>
      <c r="IV24" s="980"/>
    </row>
    <row r="25" spans="1:256" s="409" customFormat="1" ht="12" customHeight="1" x14ac:dyDescent="0.55000000000000004">
      <c r="A25" s="398" t="str">
        <f t="shared" si="1"/>
        <v>Executive and Council1700</v>
      </c>
      <c r="B25" s="398" t="str">
        <f t="shared" si="2"/>
        <v>Finance and administration1700</v>
      </c>
      <c r="C25" s="398" t="str">
        <f t="shared" si="2"/>
        <v>Internal audit1700</v>
      </c>
      <c r="D25" s="398" t="str">
        <f t="shared" si="2"/>
        <v>Community and social services1700</v>
      </c>
      <c r="E25" s="398" t="str">
        <f t="shared" si="2"/>
        <v>Sport and recreation1700</v>
      </c>
      <c r="F25" s="398" t="str">
        <f t="shared" si="2"/>
        <v>Public safety1700</v>
      </c>
      <c r="G25" s="398" t="str">
        <f t="shared" si="2"/>
        <v>Housing1700</v>
      </c>
      <c r="H25" s="398" t="str">
        <f t="shared" si="2"/>
        <v>Health1700</v>
      </c>
      <c r="I25" s="398" t="str">
        <f t="shared" si="2"/>
        <v>Planning and development1700</v>
      </c>
      <c r="J25" s="398" t="str">
        <f t="shared" si="2"/>
        <v>Road transport1700</v>
      </c>
      <c r="K25" s="398" t="str">
        <f t="shared" si="2"/>
        <v>Environmental protection1700</v>
      </c>
      <c r="L25" s="398" t="str">
        <f t="shared" si="2"/>
        <v>Other1700</v>
      </c>
      <c r="M25" s="398" t="str">
        <f t="shared" si="2"/>
        <v>Energy sources1700</v>
      </c>
      <c r="N25" s="398" t="str">
        <f t="shared" si="2"/>
        <v>Water management1700</v>
      </c>
      <c r="O25" s="398" t="str">
        <f t="shared" si="2"/>
        <v>Waste water management1700</v>
      </c>
      <c r="P25" s="398" t="str">
        <f t="shared" si="2"/>
        <v>Waste management1700</v>
      </c>
      <c r="Q25" s="743" t="s">
        <v>705</v>
      </c>
      <c r="R25" s="743" t="s">
        <v>705</v>
      </c>
      <c r="S25" s="994"/>
      <c r="T25" s="740" t="s">
        <v>708</v>
      </c>
      <c r="U25" s="804">
        <f ca="1">SUMIF('3.Inc &amp; Exp per Function'!$D24:$D1123,'5.Cons and detailed recon'!A25,'3.Inc &amp; Exp per Function'!$U24:$U1122)</f>
        <v>0</v>
      </c>
      <c r="V25" s="804">
        <f ca="1">SUMIF('3.Inc &amp; Exp per Function'!$D24:$D1123,'5.Cons and detailed recon'!B25,'3.Inc &amp; Exp per Function'!$U24:$U1122)</f>
        <v>0</v>
      </c>
      <c r="W25" s="804">
        <f ca="1">SUMIF('3.Inc &amp; Exp per Function'!$D24:$D1123,'5.Cons and detailed recon'!C25,'3.Inc &amp; Exp per Function'!$U24:$U1122)</f>
        <v>0</v>
      </c>
      <c r="X25" s="413">
        <f t="shared" ca="1" si="16"/>
        <v>0</v>
      </c>
      <c r="Y25" s="1326">
        <f ca="1">SUMIF('3.Inc &amp; Exp per Function'!$D24:$D1123,'5.Cons and detailed recon'!D25,'3.Inc &amp; Exp per Function'!$U24:$U1122)</f>
        <v>0</v>
      </c>
      <c r="Z25" s="1326">
        <f ca="1">SUMIF('3.Inc &amp; Exp per Function'!$D24:$D1123,'5.Cons and detailed recon'!E25,'3.Inc &amp; Exp per Function'!$U24:$U1122)</f>
        <v>0</v>
      </c>
      <c r="AA25" s="1326">
        <f ca="1">SUMIF('3.Inc &amp; Exp per Function'!$D24:$D1123,'5.Cons and detailed recon'!F25,'3.Inc &amp; Exp per Function'!$U24:$U1122)</f>
        <v>0</v>
      </c>
      <c r="AB25" s="1326">
        <f ca="1">SUMIF('3.Inc &amp; Exp per Function'!$D24:$D1123,'5.Cons and detailed recon'!G25,'3.Inc &amp; Exp per Function'!$U24:$U1122)</f>
        <v>0</v>
      </c>
      <c r="AC25" s="1326">
        <f ca="1">SUMIF('3.Inc &amp; Exp per Function'!$D24:$D1123,'5.Cons and detailed recon'!H25,'3.Inc &amp; Exp per Function'!$U24:$U1122)</f>
        <v>0</v>
      </c>
      <c r="AD25" s="1326">
        <f ca="1">SUMIF('3.Inc &amp; Exp per Function'!$D24:$D1123,'5.Cons and detailed recon'!I25,'3.Inc &amp; Exp per Function'!$U24:$U1122)</f>
        <v>0</v>
      </c>
      <c r="AE25" s="1326">
        <f ca="1">SUMIF('3.Inc &amp; Exp per Function'!$D24:$D1123,'5.Cons and detailed recon'!J25,'3.Inc &amp; Exp per Function'!$U24:$U1122)</f>
        <v>0</v>
      </c>
      <c r="AF25" s="1326">
        <f ca="1">SUMIF('3.Inc &amp; Exp per Function'!$D24:$D1123,'5.Cons and detailed recon'!K25,'3.Inc &amp; Exp per Function'!$U24:$U1122)</f>
        <v>0</v>
      </c>
      <c r="AG25" s="1326">
        <f ca="1">SUMIF('3.Inc &amp; Exp per Function'!$D24:$D1123,'5.Cons and detailed recon'!L25,'3.Inc &amp; Exp per Function'!$U24:$U1122)</f>
        <v>0</v>
      </c>
      <c r="AH25" s="413">
        <f t="shared" ca="1" si="3"/>
        <v>0</v>
      </c>
      <c r="AI25" s="804">
        <f ca="1">SUMIF('3.Inc &amp; Exp per Function'!$D24:$D1123,'5.Cons and detailed recon'!M25,'3.Inc &amp; Exp per Function'!$U24:$U1122)</f>
        <v>0</v>
      </c>
      <c r="AJ25" s="804">
        <f ca="1">SUMIF('3.Inc &amp; Exp per Function'!$D24:$D1123,'5.Cons and detailed recon'!N25,'3.Inc &amp; Exp per Function'!$U24:$U1122)</f>
        <v>0</v>
      </c>
      <c r="AK25" s="804">
        <f ca="1">SUMIF('3.Inc &amp; Exp per Function'!$D24:$D1123,'5.Cons and detailed recon'!O25,'3.Inc &amp; Exp per Function'!$U24:$U1122)</f>
        <v>0</v>
      </c>
      <c r="AL25" s="804">
        <f ca="1">SUMIF('3.Inc &amp; Exp per Function'!$D24:$D1123,'5.Cons and detailed recon'!P25,'3.Inc &amp; Exp per Function'!$U24:$U1122)</f>
        <v>0</v>
      </c>
      <c r="AM25" s="748">
        <f t="shared" ca="1" si="0"/>
        <v>0</v>
      </c>
      <c r="AN25" s="794"/>
      <c r="AO25" s="791">
        <f t="shared" ca="1" si="18"/>
        <v>0</v>
      </c>
      <c r="AP25" s="414">
        <f>SUMIF('4.Inc &amp; Exp Summary'!A:A,'5.Cons and detailed recon'!R25,'4.Inc &amp; Exp Summary'!L:L)</f>
        <v>1000000</v>
      </c>
      <c r="AQ25" s="415">
        <f t="shared" ref="AQ25:AQ63" ca="1" si="23">AO25-AP25</f>
        <v>-1000000</v>
      </c>
      <c r="AR25" s="720"/>
      <c r="AS25" s="730"/>
      <c r="AT25" s="408"/>
      <c r="AU25" s="398" t="str">
        <f t="shared" si="5"/>
        <v>Executive and Council1700</v>
      </c>
      <c r="AV25" s="398" t="str">
        <f t="shared" si="5"/>
        <v>Finance and administration1700</v>
      </c>
      <c r="AW25" s="398" t="str">
        <f t="shared" si="5"/>
        <v>Internal audit1700</v>
      </c>
      <c r="AX25" s="398" t="str">
        <f t="shared" si="5"/>
        <v>Community and social services1700</v>
      </c>
      <c r="AY25" s="398" t="str">
        <f t="shared" si="5"/>
        <v>Sport and recreation1700</v>
      </c>
      <c r="AZ25" s="398" t="str">
        <f t="shared" si="5"/>
        <v>Public safety1700</v>
      </c>
      <c r="BA25" s="398" t="str">
        <f t="shared" si="5"/>
        <v>Housing1700</v>
      </c>
      <c r="BB25" s="398" t="str">
        <f t="shared" si="5"/>
        <v>Health1700</v>
      </c>
      <c r="BC25" s="398" t="str">
        <f t="shared" si="5"/>
        <v>Planning and development1700</v>
      </c>
      <c r="BD25" s="398" t="str">
        <f t="shared" si="5"/>
        <v>Road transport1700</v>
      </c>
      <c r="BE25" s="398" t="str">
        <f t="shared" si="5"/>
        <v>Environmental protection1700</v>
      </c>
      <c r="BF25" s="398" t="str">
        <f t="shared" si="5"/>
        <v>Other1700</v>
      </c>
      <c r="BG25" s="398" t="str">
        <f t="shared" si="5"/>
        <v>Energy sources1700</v>
      </c>
      <c r="BH25" s="398" t="str">
        <f t="shared" si="5"/>
        <v>Water management1700</v>
      </c>
      <c r="BI25" s="398" t="str">
        <f t="shared" si="5"/>
        <v>Waste water management1700</v>
      </c>
      <c r="BJ25" s="398" t="str">
        <f>BJ$7&amp;$Q25</f>
        <v>Waste management1700</v>
      </c>
      <c r="BK25" s="743" t="s">
        <v>705</v>
      </c>
      <c r="BL25" s="743" t="s">
        <v>705</v>
      </c>
      <c r="BM25" s="735"/>
      <c r="BN25" s="740" t="s">
        <v>708</v>
      </c>
      <c r="BO25" s="751">
        <f ca="1">SUMIF('3.Inc &amp; Exp per Function'!$D25:$D1123,'5.Cons and detailed recon'!AU25,'3.Inc &amp; Exp per Function'!$V25:$V1122)</f>
        <v>0</v>
      </c>
      <c r="BP25" s="751">
        <f ca="1">SUMIF('3.Inc &amp; Exp per Function'!$D24:$D1123,'5.Cons and detailed recon'!AV25,'3.Inc &amp; Exp per Function'!$V24:$V1122)</f>
        <v>0</v>
      </c>
      <c r="BQ25" s="751">
        <f ca="1">SUMIF('3.Inc &amp; Exp per Function'!$D24:$D1123,'5.Cons and detailed recon'!AW25,'3.Inc &amp; Exp per Function'!$V24:$V1122)</f>
        <v>0</v>
      </c>
      <c r="BR25" s="413">
        <f t="shared" ca="1" si="6"/>
        <v>0</v>
      </c>
      <c r="BS25" s="751">
        <f ca="1">SUMIF('3.Inc &amp; Exp per Function'!$D24:$D1123,'5.Cons and detailed recon'!AX25,'3.Inc &amp; Exp per Function'!$V24:$V1122)</f>
        <v>0</v>
      </c>
      <c r="BT25" s="751">
        <f ca="1">SUMIF('3.Inc &amp; Exp per Function'!$D24:$D1123,'5.Cons and detailed recon'!AY25,'3.Inc &amp; Exp per Function'!$V24:$V1122)</f>
        <v>0</v>
      </c>
      <c r="BU25" s="751">
        <f ca="1">SUMIF('3.Inc &amp; Exp per Function'!$D24:$D1123,'5.Cons and detailed recon'!AZ25,'3.Inc &amp; Exp per Function'!$V24:$V1122)</f>
        <v>0</v>
      </c>
      <c r="BV25" s="751">
        <f ca="1">SUMIF('3.Inc &amp; Exp per Function'!$D24:$D1123,'5.Cons and detailed recon'!BA25,'3.Inc &amp; Exp per Function'!$V24:$V1122)</f>
        <v>0</v>
      </c>
      <c r="BW25" s="751">
        <f ca="1">SUMIF('3.Inc &amp; Exp per Function'!$D24:$D1123,'5.Cons and detailed recon'!BB25,'3.Inc &amp; Exp per Function'!$V24:$V1122)</f>
        <v>0</v>
      </c>
      <c r="BX25" s="751">
        <f ca="1">SUMIF('3.Inc &amp; Exp per Function'!$D24:$D1123,'5.Cons and detailed recon'!BC25,'3.Inc &amp; Exp per Function'!$V24:$V1122)</f>
        <v>0</v>
      </c>
      <c r="BY25" s="751">
        <f ca="1">SUMIF('3.Inc &amp; Exp per Function'!$D24:$D1123,'5.Cons and detailed recon'!BD25,'3.Inc &amp; Exp per Function'!$V24:$V1122)</f>
        <v>0</v>
      </c>
      <c r="BZ25" s="751">
        <f ca="1">SUMIF('3.Inc &amp; Exp per Function'!$D24:$D1123,'5.Cons and detailed recon'!BE25,'3.Inc &amp; Exp per Function'!$V24:$V1122)</f>
        <v>0</v>
      </c>
      <c r="CA25" s="751">
        <f ca="1">SUMIF('3.Inc &amp; Exp per Function'!$D24:$D1123,'5.Cons and detailed recon'!BF25,'3.Inc &amp; Exp per Function'!$V24:$V1122)</f>
        <v>0</v>
      </c>
      <c r="CB25" s="413">
        <f t="shared" ca="1" si="7"/>
        <v>0</v>
      </c>
      <c r="CC25" s="751">
        <f ca="1">SUMIF('3.Inc &amp; Exp per Function'!$D24:$D1123,'5.Cons and detailed recon'!BG25,'3.Inc &amp; Exp per Function'!$V24:$V1122)</f>
        <v>0</v>
      </c>
      <c r="CD25" s="751">
        <f ca="1">SUMIF('3.Inc &amp; Exp per Function'!$D24:$D1123,'5.Cons and detailed recon'!BH25,'3.Inc &amp; Exp per Function'!$V24:$V1122)</f>
        <v>0</v>
      </c>
      <c r="CE25" s="751">
        <f ca="1">SUMIF('3.Inc &amp; Exp per Function'!$D24:$D1123,'5.Cons and detailed recon'!BI25,'3.Inc &amp; Exp per Function'!$V24:$V1122)</f>
        <v>0</v>
      </c>
      <c r="CF25" s="751">
        <f ca="1">SUMIF('3.Inc &amp; Exp per Function'!$D24:$D1123,'5.Cons and detailed recon'!BJ25,'3.Inc &amp; Exp per Function'!$V24:$V1122)</f>
        <v>0</v>
      </c>
      <c r="CG25" s="748">
        <f t="shared" ca="1" si="8"/>
        <v>0</v>
      </c>
      <c r="CH25" s="794"/>
      <c r="CI25" s="791">
        <f t="shared" ca="1" si="9"/>
        <v>0</v>
      </c>
      <c r="CJ25" s="411">
        <f>SUMIF('4.Inc &amp; Exp Summary'!A:A,'5.Cons and detailed recon'!R25,'4.Inc &amp; Exp Summary'!M:M)</f>
        <v>1034000</v>
      </c>
      <c r="CK25" s="415">
        <f t="shared" ca="1" si="17"/>
        <v>-1034000</v>
      </c>
      <c r="CL25" s="720"/>
      <c r="CM25" s="730"/>
      <c r="CO25" s="398" t="str">
        <f t="shared" si="10"/>
        <v>Executive and Council1700</v>
      </c>
      <c r="CP25" s="398" t="str">
        <f t="shared" si="10"/>
        <v>Finance and administration1700</v>
      </c>
      <c r="CQ25" s="398" t="str">
        <f t="shared" si="10"/>
        <v>Internal audit1700</v>
      </c>
      <c r="CR25" s="398" t="str">
        <f t="shared" si="10"/>
        <v>Community and social services1700</v>
      </c>
      <c r="CS25" s="398" t="str">
        <f t="shared" si="10"/>
        <v>Sport and recreation1700</v>
      </c>
      <c r="CT25" s="398" t="str">
        <f t="shared" si="10"/>
        <v>Public safety1700</v>
      </c>
      <c r="CU25" s="398" t="str">
        <f t="shared" si="10"/>
        <v>Housing1700</v>
      </c>
      <c r="CV25" s="398" t="str">
        <f t="shared" si="10"/>
        <v>Health1700</v>
      </c>
      <c r="CW25" s="398" t="str">
        <f t="shared" si="10"/>
        <v>Planning and development1700</v>
      </c>
      <c r="CX25" s="398" t="str">
        <f t="shared" si="10"/>
        <v>Road transport1700</v>
      </c>
      <c r="CY25" s="398" t="str">
        <f t="shared" si="10"/>
        <v>Environmental protection1700</v>
      </c>
      <c r="CZ25" s="398" t="str">
        <f t="shared" si="10"/>
        <v>Other1700</v>
      </c>
      <c r="DA25" s="398" t="str">
        <f t="shared" si="10"/>
        <v>Energy sources1700</v>
      </c>
      <c r="DB25" s="398" t="str">
        <f t="shared" si="10"/>
        <v>Water management1700</v>
      </c>
      <c r="DC25" s="398" t="str">
        <f t="shared" si="10"/>
        <v>Waste water management1700</v>
      </c>
      <c r="DD25" s="398" t="str">
        <f>DD$7&amp;$Q25</f>
        <v>Waste management1700</v>
      </c>
      <c r="DE25" s="743" t="s">
        <v>705</v>
      </c>
      <c r="DF25" s="743" t="s">
        <v>705</v>
      </c>
      <c r="DG25" s="735"/>
      <c r="DH25" s="740" t="s">
        <v>708</v>
      </c>
      <c r="DI25" s="751">
        <f ca="1">SUMIF('3.Inc &amp; Exp per Function'!$D24:$D1123,'5.Cons and detailed recon'!CO25,'3.Inc &amp; Exp per Function'!$W24:$W1122)</f>
        <v>0</v>
      </c>
      <c r="DJ25" s="751">
        <f ca="1">SUMIF('3.Inc &amp; Exp per Function'!$D24:$D1122,'5.Cons and detailed recon'!CP25,'3.Inc &amp; Exp per Function'!$W24:$W1121)</f>
        <v>0</v>
      </c>
      <c r="DK25" s="751">
        <f ca="1">SUMIF('3.Inc &amp; Exp per Function'!$D24:$D1122,'5.Cons and detailed recon'!CQ25,'3.Inc &amp; Exp per Function'!$W24:$W1121)</f>
        <v>0</v>
      </c>
      <c r="DL25" s="413">
        <f t="shared" ca="1" si="11"/>
        <v>0</v>
      </c>
      <c r="DM25" s="751">
        <f ca="1">SUMIF('3.Inc &amp; Exp per Function'!$D24:$D1122,'5.Cons and detailed recon'!CR25,'3.Inc &amp; Exp per Function'!$W24:$W1121)</f>
        <v>0</v>
      </c>
      <c r="DN25" s="751">
        <f ca="1">SUMIF('3.Inc &amp; Exp per Function'!$D24:$D1122,'5.Cons and detailed recon'!CS25,'3.Inc &amp; Exp per Function'!$W24:$W1121)</f>
        <v>0</v>
      </c>
      <c r="DO25" s="751">
        <f ca="1">SUMIF('3.Inc &amp; Exp per Function'!$D24:$D1122,'5.Cons and detailed recon'!CT25,'3.Inc &amp; Exp per Function'!$W24:$W1121)</f>
        <v>0</v>
      </c>
      <c r="DP25" s="751">
        <f ca="1">SUMIF('3.Inc &amp; Exp per Function'!$D24:$D1122,'5.Cons and detailed recon'!CU25,'3.Inc &amp; Exp per Function'!$W24:$W1121)</f>
        <v>0</v>
      </c>
      <c r="DQ25" s="751">
        <f ca="1">SUMIF('3.Inc &amp; Exp per Function'!$D24:$D1122,'5.Cons and detailed recon'!CV25,'3.Inc &amp; Exp per Function'!$W24:$W1121)</f>
        <v>0</v>
      </c>
      <c r="DR25" s="751">
        <f ca="1">SUMIF('3.Inc &amp; Exp per Function'!$D24:$D1122,'5.Cons and detailed recon'!CW25,'3.Inc &amp; Exp per Function'!$W24:$W1121)</f>
        <v>0</v>
      </c>
      <c r="DS25" s="751">
        <f ca="1">SUMIF('3.Inc &amp; Exp per Function'!$D24:$D1122,'5.Cons and detailed recon'!CX25,'3.Inc &amp; Exp per Function'!$W24:$W1121)</f>
        <v>0</v>
      </c>
      <c r="DT25" s="751">
        <f ca="1">SUMIF('3.Inc &amp; Exp per Function'!$D24:$D1122,'5.Cons and detailed recon'!CY25,'3.Inc &amp; Exp per Function'!$W24:$W1121)</f>
        <v>0</v>
      </c>
      <c r="DU25" s="751">
        <f ca="1">SUMIF('3.Inc &amp; Exp per Function'!$D24:$D1122,'5.Cons and detailed recon'!CZ25,'3.Inc &amp; Exp per Function'!$W24:$W1121)</f>
        <v>0</v>
      </c>
      <c r="DV25" s="413">
        <f t="shared" ca="1" si="12"/>
        <v>0</v>
      </c>
      <c r="DW25" s="751">
        <f ca="1">SUMIF('3.Inc &amp; Exp per Function'!$D24:$D1122,'5.Cons and detailed recon'!DA25,'3.Inc &amp; Exp per Function'!$W24:$W1121)</f>
        <v>0</v>
      </c>
      <c r="DX25" s="751">
        <f ca="1">SUMIF('3.Inc &amp; Exp per Function'!$D24:$D1122,'5.Cons and detailed recon'!DB25,'3.Inc &amp; Exp per Function'!$W24:$W1121)</f>
        <v>0</v>
      </c>
      <c r="DY25" s="751">
        <f ca="1">SUMIF('3.Inc &amp; Exp per Function'!$D24:$D1122,'5.Cons and detailed recon'!DC25,'3.Inc &amp; Exp per Function'!$W24:$W1121)</f>
        <v>0</v>
      </c>
      <c r="DZ25" s="751">
        <f ca="1">SUMIF('3.Inc &amp; Exp per Function'!$D24:$D1122,'5.Cons and detailed recon'!DD25,'3.Inc &amp; Exp per Function'!$W24:$W1121)</f>
        <v>0</v>
      </c>
      <c r="EA25" s="748">
        <f t="shared" ca="1" si="13"/>
        <v>0</v>
      </c>
      <c r="EB25" s="794"/>
      <c r="EC25" s="1358">
        <f t="shared" ca="1" si="14"/>
        <v>0</v>
      </c>
      <c r="ED25" s="1359">
        <f>SUMIF('4.Inc &amp; Exp Summary'!A:A,'5.Cons and detailed recon'!DF25,'4.Inc &amp; Exp Summary'!N:N)</f>
        <v>1067088</v>
      </c>
      <c r="EE25" s="1360">
        <f t="shared" ca="1" si="15"/>
        <v>-1067088</v>
      </c>
      <c r="EF25" s="726"/>
      <c r="EG25" s="980"/>
      <c r="EH25" s="980"/>
      <c r="EI25" s="980"/>
      <c r="EJ25" s="980"/>
      <c r="EK25" s="980"/>
      <c r="EL25" s="980"/>
      <c r="EM25" s="980"/>
      <c r="EN25" s="980"/>
      <c r="EO25" s="980"/>
      <c r="EP25" s="980"/>
      <c r="EQ25" s="980"/>
      <c r="ER25" s="980"/>
      <c r="ES25" s="980"/>
      <c r="ET25" s="980"/>
      <c r="EU25" s="980"/>
      <c r="EV25" s="980"/>
      <c r="EW25" s="980"/>
      <c r="EX25" s="980"/>
      <c r="EY25" s="980"/>
      <c r="EZ25" s="980"/>
      <c r="FA25" s="980"/>
      <c r="FB25" s="980"/>
      <c r="FC25" s="980"/>
      <c r="FD25" s="980"/>
      <c r="FE25" s="980"/>
      <c r="FF25" s="980"/>
      <c r="FG25" s="980"/>
      <c r="FH25" s="980"/>
      <c r="FI25" s="980"/>
      <c r="FJ25" s="980"/>
      <c r="FK25" s="980"/>
      <c r="FL25" s="980"/>
      <c r="FM25" s="980"/>
      <c r="FN25" s="980"/>
      <c r="FO25" s="980"/>
      <c r="FP25" s="980"/>
      <c r="FQ25" s="980"/>
      <c r="FR25" s="980"/>
      <c r="FS25" s="980"/>
      <c r="FT25" s="980"/>
      <c r="FU25" s="980"/>
      <c r="FV25" s="980"/>
      <c r="FW25" s="980"/>
      <c r="FX25" s="980"/>
      <c r="FY25" s="980"/>
      <c r="FZ25" s="980"/>
      <c r="GA25" s="980"/>
      <c r="GB25" s="980"/>
      <c r="GC25" s="980"/>
      <c r="GD25" s="980"/>
      <c r="GE25" s="980"/>
      <c r="GF25" s="980"/>
      <c r="GG25" s="980"/>
      <c r="GH25" s="980"/>
      <c r="GI25" s="980"/>
      <c r="GJ25" s="980"/>
      <c r="GK25" s="980"/>
      <c r="GL25" s="980"/>
      <c r="GM25" s="980"/>
      <c r="GN25" s="980"/>
      <c r="GO25" s="980"/>
      <c r="GP25" s="980"/>
      <c r="GQ25" s="980"/>
      <c r="GR25" s="980"/>
      <c r="GS25" s="980"/>
      <c r="GT25" s="980"/>
      <c r="GU25" s="980"/>
      <c r="GV25" s="980"/>
      <c r="GW25" s="980"/>
      <c r="GX25" s="980"/>
      <c r="GY25" s="980"/>
      <c r="GZ25" s="980"/>
      <c r="HA25" s="980"/>
      <c r="HB25" s="980"/>
      <c r="HC25" s="980"/>
      <c r="HD25" s="980"/>
      <c r="HE25" s="980"/>
      <c r="HF25" s="980"/>
      <c r="HG25" s="980"/>
      <c r="HH25" s="980"/>
      <c r="HI25" s="980"/>
      <c r="HJ25" s="980"/>
      <c r="HK25" s="980"/>
      <c r="HL25" s="980"/>
      <c r="HM25" s="980"/>
      <c r="HN25" s="980"/>
      <c r="HO25" s="980"/>
      <c r="HP25" s="980"/>
      <c r="HQ25" s="980"/>
      <c r="HR25" s="980"/>
      <c r="HS25" s="980"/>
      <c r="HT25" s="980"/>
      <c r="HU25" s="980"/>
      <c r="HV25" s="980"/>
      <c r="HW25" s="980"/>
      <c r="HX25" s="980"/>
      <c r="HY25" s="980"/>
      <c r="HZ25" s="980"/>
      <c r="IA25" s="980"/>
      <c r="IB25" s="980"/>
      <c r="IC25" s="980"/>
      <c r="ID25" s="980"/>
      <c r="IE25" s="980"/>
      <c r="IF25" s="980"/>
      <c r="IG25" s="980"/>
      <c r="IH25" s="980"/>
      <c r="II25" s="980"/>
      <c r="IJ25" s="980"/>
      <c r="IK25" s="980"/>
      <c r="IL25" s="980"/>
      <c r="IM25" s="980"/>
      <c r="IN25" s="980"/>
      <c r="IO25" s="980"/>
      <c r="IP25" s="980"/>
      <c r="IQ25" s="980"/>
      <c r="IR25" s="980"/>
      <c r="IS25" s="980"/>
      <c r="IT25" s="980"/>
      <c r="IU25" s="980"/>
      <c r="IV25" s="980"/>
    </row>
    <row r="26" spans="1:256" s="409" customFormat="1" ht="12" customHeight="1" x14ac:dyDescent="0.55000000000000004">
      <c r="A26" s="398" t="str">
        <f t="shared" si="1"/>
        <v>Executive and Council1800</v>
      </c>
      <c r="B26" s="398" t="str">
        <f t="shared" ref="B26:P40" si="24">B$7&amp;$Q26</f>
        <v>Finance and administration1800</v>
      </c>
      <c r="C26" s="398" t="str">
        <f t="shared" si="24"/>
        <v>Internal audit1800</v>
      </c>
      <c r="D26" s="398" t="str">
        <f t="shared" si="24"/>
        <v>Community and social services1800</v>
      </c>
      <c r="E26" s="398" t="str">
        <f t="shared" si="24"/>
        <v>Sport and recreation1800</v>
      </c>
      <c r="F26" s="398" t="str">
        <f t="shared" si="24"/>
        <v>Public safety1800</v>
      </c>
      <c r="G26" s="398" t="str">
        <f t="shared" si="24"/>
        <v>Housing1800</v>
      </c>
      <c r="H26" s="398" t="str">
        <f t="shared" si="24"/>
        <v>Health1800</v>
      </c>
      <c r="I26" s="398" t="str">
        <f t="shared" si="24"/>
        <v>Planning and development1800</v>
      </c>
      <c r="J26" s="398" t="str">
        <f t="shared" si="24"/>
        <v>Road transport1800</v>
      </c>
      <c r="K26" s="398" t="str">
        <f t="shared" si="24"/>
        <v>Environmental protection1800</v>
      </c>
      <c r="L26" s="398" t="str">
        <f t="shared" si="24"/>
        <v>Other1800</v>
      </c>
      <c r="M26" s="398" t="str">
        <f t="shared" si="24"/>
        <v>Energy sources1800</v>
      </c>
      <c r="N26" s="398" t="str">
        <f t="shared" si="24"/>
        <v>Water management1800</v>
      </c>
      <c r="O26" s="398" t="str">
        <f t="shared" si="24"/>
        <v>Waste water management1800</v>
      </c>
      <c r="P26" s="398" t="str">
        <f t="shared" si="24"/>
        <v>Waste management1800</v>
      </c>
      <c r="Q26" s="745" t="s">
        <v>709</v>
      </c>
      <c r="R26" s="745" t="s">
        <v>709</v>
      </c>
      <c r="S26" s="994"/>
      <c r="T26" s="748" t="s">
        <v>0</v>
      </c>
      <c r="U26" s="804">
        <f ca="1">SUMIF('3.Inc &amp; Exp per Function'!$D25:$D1124,'5.Cons and detailed recon'!A26,'3.Inc &amp; Exp per Function'!$U25:$U1123)</f>
        <v>0</v>
      </c>
      <c r="V26" s="804">
        <f ca="1">SUMIF('3.Inc &amp; Exp per Function'!$D25:$D1124,'5.Cons and detailed recon'!B26,'3.Inc &amp; Exp per Function'!$U25:$U1123)</f>
        <v>179290650</v>
      </c>
      <c r="W26" s="804">
        <f ca="1">SUMIF('3.Inc &amp; Exp per Function'!$D25:$D1124,'5.Cons and detailed recon'!C26,'3.Inc &amp; Exp per Function'!$U25:$U1123)</f>
        <v>0</v>
      </c>
      <c r="X26" s="413">
        <f t="shared" ca="1" si="16"/>
        <v>179290650</v>
      </c>
      <c r="Y26" s="1326">
        <f ca="1">SUMIF('3.Inc &amp; Exp per Function'!$D25:$D1124,'5.Cons and detailed recon'!D26,'3.Inc &amp; Exp per Function'!$U25:$U1123)</f>
        <v>0</v>
      </c>
      <c r="Z26" s="1326">
        <f ca="1">SUMIF('3.Inc &amp; Exp per Function'!$D25:$D1124,'5.Cons and detailed recon'!E26,'3.Inc &amp; Exp per Function'!$U25:$U1123)</f>
        <v>0</v>
      </c>
      <c r="AA26" s="1326">
        <f ca="1">SUMIF('3.Inc &amp; Exp per Function'!$D25:$D1124,'5.Cons and detailed recon'!F26,'3.Inc &amp; Exp per Function'!$U25:$U1123)</f>
        <v>0</v>
      </c>
      <c r="AB26" s="1326">
        <f ca="1">SUMIF('3.Inc &amp; Exp per Function'!$D25:$D1124,'5.Cons and detailed recon'!G26,'3.Inc &amp; Exp per Function'!$U25:$U1123)</f>
        <v>0</v>
      </c>
      <c r="AC26" s="1326">
        <f ca="1">SUMIF('3.Inc &amp; Exp per Function'!$D25:$D1124,'5.Cons and detailed recon'!H26,'3.Inc &amp; Exp per Function'!$U25:$U1123)</f>
        <v>0</v>
      </c>
      <c r="AD26" s="1326">
        <f ca="1">SUMIF('3.Inc &amp; Exp per Function'!$D25:$D1124,'5.Cons and detailed recon'!I26,'3.Inc &amp; Exp per Function'!$U25:$U1123)</f>
        <v>0</v>
      </c>
      <c r="AE26" s="1326">
        <f ca="1">SUMIF('3.Inc &amp; Exp per Function'!$D25:$D1124,'5.Cons and detailed recon'!J26,'3.Inc &amp; Exp per Function'!$U25:$U1123)</f>
        <v>0</v>
      </c>
      <c r="AF26" s="1326">
        <f ca="1">SUMIF('3.Inc &amp; Exp per Function'!$D25:$D1124,'5.Cons and detailed recon'!K26,'3.Inc &amp; Exp per Function'!$U25:$U1123)</f>
        <v>0</v>
      </c>
      <c r="AG26" s="1326">
        <f ca="1">SUMIF('3.Inc &amp; Exp per Function'!$D25:$D1124,'5.Cons and detailed recon'!L26,'3.Inc &amp; Exp per Function'!$U25:$U1123)</f>
        <v>0</v>
      </c>
      <c r="AH26" s="413">
        <f t="shared" ca="1" si="3"/>
        <v>0</v>
      </c>
      <c r="AI26" s="804">
        <f ca="1">SUMIF('3.Inc &amp; Exp per Function'!$D25:$D1124,'5.Cons and detailed recon'!M26,'3.Inc &amp; Exp per Function'!$U25:$U1123)</f>
        <v>0</v>
      </c>
      <c r="AJ26" s="804">
        <f ca="1">SUMIF('3.Inc &amp; Exp per Function'!$D25:$D1124,'5.Cons and detailed recon'!N26,'3.Inc &amp; Exp per Function'!$U25:$U1123)</f>
        <v>0</v>
      </c>
      <c r="AK26" s="804">
        <f ca="1">SUMIF('3.Inc &amp; Exp per Function'!$D25:$D1124,'5.Cons and detailed recon'!O26,'3.Inc &amp; Exp per Function'!$U25:$U1123)</f>
        <v>0</v>
      </c>
      <c r="AL26" s="804">
        <f ca="1">SUMIF('3.Inc &amp; Exp per Function'!$D25:$D1124,'5.Cons and detailed recon'!P26,'3.Inc &amp; Exp per Function'!$U25:$U1123)</f>
        <v>0</v>
      </c>
      <c r="AM26" s="748">
        <f t="shared" ca="1" si="0"/>
        <v>0</v>
      </c>
      <c r="AN26" s="794"/>
      <c r="AO26" s="791">
        <f t="shared" ca="1" si="18"/>
        <v>179290650</v>
      </c>
      <c r="AP26" s="414">
        <f>SUMIF('4.Inc &amp; Exp Summary'!A:A,'5.Cons and detailed recon'!R26,'4.Inc &amp; Exp Summary'!L:L)</f>
        <v>3724961</v>
      </c>
      <c r="AQ26" s="415">
        <f t="shared" ca="1" si="23"/>
        <v>175565689</v>
      </c>
      <c r="AR26" s="720"/>
      <c r="AS26" s="730"/>
      <c r="AT26" s="408"/>
      <c r="AU26" s="398" t="str">
        <f t="shared" ref="AU26:BJ41" si="25">AU$7&amp;$Q26</f>
        <v>Executive and Council1800</v>
      </c>
      <c r="AV26" s="398" t="str">
        <f t="shared" si="25"/>
        <v>Finance and administration1800</v>
      </c>
      <c r="AW26" s="398" t="str">
        <f t="shared" si="25"/>
        <v>Internal audit1800</v>
      </c>
      <c r="AX26" s="398" t="str">
        <f t="shared" si="25"/>
        <v>Community and social services1800</v>
      </c>
      <c r="AY26" s="398" t="str">
        <f t="shared" si="25"/>
        <v>Sport and recreation1800</v>
      </c>
      <c r="AZ26" s="398" t="str">
        <f t="shared" si="25"/>
        <v>Public safety1800</v>
      </c>
      <c r="BA26" s="398" t="str">
        <f t="shared" si="25"/>
        <v>Housing1800</v>
      </c>
      <c r="BB26" s="398" t="str">
        <f t="shared" si="25"/>
        <v>Health1800</v>
      </c>
      <c r="BC26" s="398" t="str">
        <f t="shared" si="25"/>
        <v>Planning and development1800</v>
      </c>
      <c r="BD26" s="398" t="str">
        <f t="shared" si="25"/>
        <v>Road transport1800</v>
      </c>
      <c r="BE26" s="398" t="str">
        <f t="shared" si="25"/>
        <v>Environmental protection1800</v>
      </c>
      <c r="BF26" s="398" t="str">
        <f t="shared" si="25"/>
        <v>Other1800</v>
      </c>
      <c r="BG26" s="398" t="str">
        <f t="shared" si="25"/>
        <v>Energy sources1800</v>
      </c>
      <c r="BH26" s="398" t="str">
        <f t="shared" si="25"/>
        <v>Water management1800</v>
      </c>
      <c r="BI26" s="398" t="str">
        <f t="shared" si="25"/>
        <v>Waste water management1800</v>
      </c>
      <c r="BJ26" s="398" t="str">
        <f t="shared" si="25"/>
        <v>Waste management1800</v>
      </c>
      <c r="BK26" s="745" t="s">
        <v>709</v>
      </c>
      <c r="BL26" s="745" t="s">
        <v>709</v>
      </c>
      <c r="BM26" s="735"/>
      <c r="BN26" s="748" t="s">
        <v>0</v>
      </c>
      <c r="BO26" s="751">
        <f ca="1">SUMIF('3.Inc &amp; Exp per Function'!$D26:$D1124,'5.Cons and detailed recon'!AU26,'3.Inc &amp; Exp per Function'!$V26:$V1123)</f>
        <v>0</v>
      </c>
      <c r="BP26" s="751">
        <f ca="1">SUMIF('3.Inc &amp; Exp per Function'!$D25:$D1124,'5.Cons and detailed recon'!AV26,'3.Inc &amp; Exp per Function'!$V25:$V1123)</f>
        <v>185386533</v>
      </c>
      <c r="BQ26" s="751">
        <f ca="1">SUMIF('3.Inc &amp; Exp per Function'!$D25:$D1124,'5.Cons and detailed recon'!AW26,'3.Inc &amp; Exp per Function'!$V25:$V1123)</f>
        <v>0</v>
      </c>
      <c r="BR26" s="413">
        <f t="shared" ca="1" si="6"/>
        <v>185386533</v>
      </c>
      <c r="BS26" s="751">
        <f ca="1">SUMIF('3.Inc &amp; Exp per Function'!$D25:$D1124,'5.Cons and detailed recon'!AX26,'3.Inc &amp; Exp per Function'!$V25:$V1123)</f>
        <v>0</v>
      </c>
      <c r="BT26" s="751">
        <f ca="1">SUMIF('3.Inc &amp; Exp per Function'!$D25:$D1124,'5.Cons and detailed recon'!AY26,'3.Inc &amp; Exp per Function'!$V25:$V1123)</f>
        <v>0</v>
      </c>
      <c r="BU26" s="751">
        <f ca="1">SUMIF('3.Inc &amp; Exp per Function'!$D25:$D1124,'5.Cons and detailed recon'!AZ26,'3.Inc &amp; Exp per Function'!$V25:$V1123)</f>
        <v>0</v>
      </c>
      <c r="BV26" s="751">
        <f ca="1">SUMIF('3.Inc &amp; Exp per Function'!$D25:$D1124,'5.Cons and detailed recon'!BA26,'3.Inc &amp; Exp per Function'!$V25:$V1123)</f>
        <v>0</v>
      </c>
      <c r="BW26" s="751">
        <f ca="1">SUMIF('3.Inc &amp; Exp per Function'!$D25:$D1124,'5.Cons and detailed recon'!BB26,'3.Inc &amp; Exp per Function'!$V25:$V1123)</f>
        <v>0</v>
      </c>
      <c r="BX26" s="751">
        <f ca="1">SUMIF('3.Inc &amp; Exp per Function'!$D25:$D1124,'5.Cons and detailed recon'!BC26,'3.Inc &amp; Exp per Function'!$V25:$V1123)</f>
        <v>0</v>
      </c>
      <c r="BY26" s="751">
        <f ca="1">SUMIF('3.Inc &amp; Exp per Function'!$D25:$D1124,'5.Cons and detailed recon'!BD26,'3.Inc &amp; Exp per Function'!$V25:$V1123)</f>
        <v>0</v>
      </c>
      <c r="BZ26" s="751">
        <f ca="1">SUMIF('3.Inc &amp; Exp per Function'!$D25:$D1124,'5.Cons and detailed recon'!BE26,'3.Inc &amp; Exp per Function'!$V25:$V1123)</f>
        <v>0</v>
      </c>
      <c r="CA26" s="751">
        <f ca="1">SUMIF('3.Inc &amp; Exp per Function'!$D25:$D1124,'5.Cons and detailed recon'!BF26,'3.Inc &amp; Exp per Function'!$V25:$V1123)</f>
        <v>0</v>
      </c>
      <c r="CB26" s="413">
        <f t="shared" ca="1" si="7"/>
        <v>0</v>
      </c>
      <c r="CC26" s="751">
        <f ca="1">SUMIF('3.Inc &amp; Exp per Function'!$D25:$D1124,'5.Cons and detailed recon'!BG26,'3.Inc &amp; Exp per Function'!$V25:$V1123)</f>
        <v>0</v>
      </c>
      <c r="CD26" s="751">
        <f ca="1">SUMIF('3.Inc &amp; Exp per Function'!$D25:$D1124,'5.Cons and detailed recon'!BH26,'3.Inc &amp; Exp per Function'!$V25:$V1123)</f>
        <v>0</v>
      </c>
      <c r="CE26" s="751">
        <f ca="1">SUMIF('3.Inc &amp; Exp per Function'!$D25:$D1124,'5.Cons and detailed recon'!BI26,'3.Inc &amp; Exp per Function'!$V25:$V1123)</f>
        <v>0</v>
      </c>
      <c r="CF26" s="751">
        <f ca="1">SUMIF('3.Inc &amp; Exp per Function'!$D25:$D1124,'5.Cons and detailed recon'!BJ26,'3.Inc &amp; Exp per Function'!$V25:$V1123)</f>
        <v>0</v>
      </c>
      <c r="CG26" s="748">
        <f t="shared" ca="1" si="8"/>
        <v>0</v>
      </c>
      <c r="CH26" s="794"/>
      <c r="CI26" s="791">
        <f t="shared" ca="1" si="9"/>
        <v>185386533</v>
      </c>
      <c r="CJ26" s="411">
        <f>SUMIF('4.Inc &amp; Exp Summary'!A:A,'5.Cons and detailed recon'!R26,'4.Inc &amp; Exp Summary'!M:M)</f>
        <v>3851610</v>
      </c>
      <c r="CK26" s="415">
        <f t="shared" ca="1" si="17"/>
        <v>181534923</v>
      </c>
      <c r="CL26" s="720"/>
      <c r="CM26" s="730"/>
      <c r="CO26" s="398" t="str">
        <f t="shared" ref="CO26:DD41" si="26">CO$7&amp;$Q26</f>
        <v>Executive and Council1800</v>
      </c>
      <c r="CP26" s="398" t="str">
        <f t="shared" si="26"/>
        <v>Finance and administration1800</v>
      </c>
      <c r="CQ26" s="398" t="str">
        <f t="shared" si="26"/>
        <v>Internal audit1800</v>
      </c>
      <c r="CR26" s="398" t="str">
        <f t="shared" si="26"/>
        <v>Community and social services1800</v>
      </c>
      <c r="CS26" s="398" t="str">
        <f t="shared" si="26"/>
        <v>Sport and recreation1800</v>
      </c>
      <c r="CT26" s="398" t="str">
        <f t="shared" si="26"/>
        <v>Public safety1800</v>
      </c>
      <c r="CU26" s="398" t="str">
        <f t="shared" si="26"/>
        <v>Housing1800</v>
      </c>
      <c r="CV26" s="398" t="str">
        <f t="shared" si="26"/>
        <v>Health1800</v>
      </c>
      <c r="CW26" s="398" t="str">
        <f t="shared" si="26"/>
        <v>Planning and development1800</v>
      </c>
      <c r="CX26" s="398" t="str">
        <f t="shared" si="26"/>
        <v>Road transport1800</v>
      </c>
      <c r="CY26" s="398" t="str">
        <f t="shared" si="26"/>
        <v>Environmental protection1800</v>
      </c>
      <c r="CZ26" s="398" t="str">
        <f t="shared" si="26"/>
        <v>Other1800</v>
      </c>
      <c r="DA26" s="398" t="str">
        <f t="shared" si="26"/>
        <v>Energy sources1800</v>
      </c>
      <c r="DB26" s="398" t="str">
        <f t="shared" si="26"/>
        <v>Water management1800</v>
      </c>
      <c r="DC26" s="398" t="str">
        <f t="shared" si="26"/>
        <v>Waste water management1800</v>
      </c>
      <c r="DD26" s="398" t="str">
        <f t="shared" si="26"/>
        <v>Waste management1800</v>
      </c>
      <c r="DE26" s="745" t="s">
        <v>709</v>
      </c>
      <c r="DF26" s="745" t="s">
        <v>709</v>
      </c>
      <c r="DG26" s="735"/>
      <c r="DH26" s="748" t="s">
        <v>0</v>
      </c>
      <c r="DI26" s="751">
        <f ca="1">SUMIF('3.Inc &amp; Exp per Function'!$D25:$D1124,'5.Cons and detailed recon'!CO26,'3.Inc &amp; Exp per Function'!$W25:$W1123)</f>
        <v>0</v>
      </c>
      <c r="DJ26" s="751">
        <f ca="1">SUMIF('3.Inc &amp; Exp per Function'!$D25:$D1123,'5.Cons and detailed recon'!CP26,'3.Inc &amp; Exp per Function'!$W25:$W1122)</f>
        <v>191318902</v>
      </c>
      <c r="DK26" s="751">
        <f ca="1">SUMIF('3.Inc &amp; Exp per Function'!$D25:$D1123,'5.Cons and detailed recon'!CQ26,'3.Inc &amp; Exp per Function'!$W25:$W1122)</f>
        <v>0</v>
      </c>
      <c r="DL26" s="413">
        <f t="shared" ca="1" si="11"/>
        <v>191318902</v>
      </c>
      <c r="DM26" s="751">
        <f ca="1">SUMIF('3.Inc &amp; Exp per Function'!$D25:$D1123,'5.Cons and detailed recon'!CR26,'3.Inc &amp; Exp per Function'!$W25:$W1122)</f>
        <v>0</v>
      </c>
      <c r="DN26" s="751">
        <f ca="1">SUMIF('3.Inc &amp; Exp per Function'!$D25:$D1123,'5.Cons and detailed recon'!CS26,'3.Inc &amp; Exp per Function'!$W25:$W1122)</f>
        <v>0</v>
      </c>
      <c r="DO26" s="751">
        <f ca="1">SUMIF('3.Inc &amp; Exp per Function'!$D25:$D1123,'5.Cons and detailed recon'!CT26,'3.Inc &amp; Exp per Function'!$W25:$W1122)</f>
        <v>0</v>
      </c>
      <c r="DP26" s="751">
        <f ca="1">SUMIF('3.Inc &amp; Exp per Function'!$D25:$D1123,'5.Cons and detailed recon'!CU26,'3.Inc &amp; Exp per Function'!$W25:$W1122)</f>
        <v>0</v>
      </c>
      <c r="DQ26" s="751">
        <f ca="1">SUMIF('3.Inc &amp; Exp per Function'!$D25:$D1123,'5.Cons and detailed recon'!CV26,'3.Inc &amp; Exp per Function'!$W25:$W1122)</f>
        <v>0</v>
      </c>
      <c r="DR26" s="751">
        <f ca="1">SUMIF('3.Inc &amp; Exp per Function'!$D25:$D1123,'5.Cons and detailed recon'!CW26,'3.Inc &amp; Exp per Function'!$W25:$W1122)</f>
        <v>0</v>
      </c>
      <c r="DS26" s="751">
        <f ca="1">SUMIF('3.Inc &amp; Exp per Function'!$D25:$D1123,'5.Cons and detailed recon'!CX26,'3.Inc &amp; Exp per Function'!$W25:$W1122)</f>
        <v>0</v>
      </c>
      <c r="DT26" s="751">
        <f ca="1">SUMIF('3.Inc &amp; Exp per Function'!$D25:$D1123,'5.Cons and detailed recon'!CY26,'3.Inc &amp; Exp per Function'!$W25:$W1122)</f>
        <v>0</v>
      </c>
      <c r="DU26" s="751">
        <f ca="1">SUMIF('3.Inc &amp; Exp per Function'!$D25:$D1123,'5.Cons and detailed recon'!CZ26,'3.Inc &amp; Exp per Function'!$W25:$W1122)</f>
        <v>0</v>
      </c>
      <c r="DV26" s="413">
        <f t="shared" ca="1" si="12"/>
        <v>0</v>
      </c>
      <c r="DW26" s="751">
        <f ca="1">SUMIF('3.Inc &amp; Exp per Function'!$D25:$D1123,'5.Cons and detailed recon'!DA26,'3.Inc &amp; Exp per Function'!$W25:$W1122)</f>
        <v>0</v>
      </c>
      <c r="DX26" s="751">
        <f ca="1">SUMIF('3.Inc &amp; Exp per Function'!$D25:$D1123,'5.Cons and detailed recon'!DB26,'3.Inc &amp; Exp per Function'!$W25:$W1122)</f>
        <v>0</v>
      </c>
      <c r="DY26" s="751">
        <f ca="1">SUMIF('3.Inc &amp; Exp per Function'!$D25:$D1123,'5.Cons and detailed recon'!DC26,'3.Inc &amp; Exp per Function'!$W25:$W1122)</f>
        <v>0</v>
      </c>
      <c r="DZ26" s="751">
        <f ca="1">SUMIF('3.Inc &amp; Exp per Function'!$D25:$D1123,'5.Cons and detailed recon'!DD26,'3.Inc &amp; Exp per Function'!$W25:$W1122)</f>
        <v>0</v>
      </c>
      <c r="EA26" s="748">
        <f t="shared" ca="1" si="13"/>
        <v>0</v>
      </c>
      <c r="EB26" s="794"/>
      <c r="EC26" s="791">
        <f t="shared" ca="1" si="14"/>
        <v>191318902</v>
      </c>
      <c r="ED26" s="414">
        <f>SUMIF('4.Inc &amp; Exp Summary'!A:A,'5.Cons and detailed recon'!DF26,'4.Inc &amp; Exp Summary'!N:N)</f>
        <v>3974861.5199999996</v>
      </c>
      <c r="EE26" s="415">
        <f t="shared" ca="1" si="15"/>
        <v>187344040.47999999</v>
      </c>
      <c r="EF26" s="720"/>
      <c r="EG26" s="980"/>
      <c r="EH26" s="980"/>
      <c r="EI26" s="980"/>
      <c r="EJ26" s="980"/>
      <c r="EK26" s="980"/>
      <c r="EL26" s="980"/>
      <c r="EM26" s="980"/>
      <c r="EN26" s="980"/>
      <c r="EO26" s="980"/>
      <c r="EP26" s="980"/>
      <c r="EQ26" s="980"/>
      <c r="ER26" s="980"/>
      <c r="ES26" s="980"/>
      <c r="ET26" s="980"/>
      <c r="EU26" s="980"/>
      <c r="EV26" s="980"/>
      <c r="EW26" s="980"/>
      <c r="EX26" s="980"/>
      <c r="EY26" s="980"/>
      <c r="EZ26" s="980"/>
      <c r="FA26" s="980"/>
      <c r="FB26" s="980"/>
      <c r="FC26" s="980"/>
      <c r="FD26" s="980"/>
      <c r="FE26" s="980"/>
      <c r="FF26" s="980"/>
      <c r="FG26" s="980"/>
      <c r="FH26" s="980"/>
      <c r="FI26" s="980"/>
      <c r="FJ26" s="980"/>
      <c r="FK26" s="980"/>
      <c r="FL26" s="980"/>
      <c r="FM26" s="980"/>
      <c r="FN26" s="980"/>
      <c r="FO26" s="980"/>
      <c r="FP26" s="980"/>
      <c r="FQ26" s="980"/>
      <c r="FR26" s="980"/>
      <c r="FS26" s="980"/>
      <c r="FT26" s="980"/>
      <c r="FU26" s="980"/>
      <c r="FV26" s="980"/>
      <c r="FW26" s="980"/>
      <c r="FX26" s="980"/>
      <c r="FY26" s="980"/>
      <c r="FZ26" s="980"/>
      <c r="GA26" s="980"/>
      <c r="GB26" s="980"/>
      <c r="GC26" s="980"/>
      <c r="GD26" s="980"/>
      <c r="GE26" s="980"/>
      <c r="GF26" s="980"/>
      <c r="GG26" s="980"/>
      <c r="GH26" s="980"/>
      <c r="GI26" s="980"/>
      <c r="GJ26" s="980"/>
      <c r="GK26" s="980"/>
      <c r="GL26" s="980"/>
      <c r="GM26" s="980"/>
      <c r="GN26" s="980"/>
      <c r="GO26" s="980"/>
      <c r="GP26" s="980"/>
      <c r="GQ26" s="980"/>
      <c r="GR26" s="980"/>
      <c r="GS26" s="980"/>
      <c r="GT26" s="980"/>
      <c r="GU26" s="980"/>
      <c r="GV26" s="980"/>
      <c r="GW26" s="980"/>
      <c r="GX26" s="980"/>
      <c r="GY26" s="980"/>
      <c r="GZ26" s="980"/>
      <c r="HA26" s="980"/>
      <c r="HB26" s="980"/>
      <c r="HC26" s="980"/>
      <c r="HD26" s="980"/>
      <c r="HE26" s="980"/>
      <c r="HF26" s="980"/>
      <c r="HG26" s="980"/>
      <c r="HH26" s="980"/>
      <c r="HI26" s="980"/>
      <c r="HJ26" s="980"/>
      <c r="HK26" s="980"/>
      <c r="HL26" s="980"/>
      <c r="HM26" s="980"/>
      <c r="HN26" s="980"/>
      <c r="HO26" s="980"/>
      <c r="HP26" s="980"/>
      <c r="HQ26" s="980"/>
      <c r="HR26" s="980"/>
      <c r="HS26" s="980"/>
      <c r="HT26" s="980"/>
      <c r="HU26" s="980"/>
      <c r="HV26" s="980"/>
      <c r="HW26" s="980"/>
      <c r="HX26" s="980"/>
      <c r="HY26" s="980"/>
      <c r="HZ26" s="980"/>
      <c r="IA26" s="980"/>
      <c r="IB26" s="980"/>
      <c r="IC26" s="980"/>
      <c r="ID26" s="980"/>
      <c r="IE26" s="980"/>
      <c r="IF26" s="980"/>
      <c r="IG26" s="980"/>
      <c r="IH26" s="980"/>
      <c r="II26" s="980"/>
      <c r="IJ26" s="980"/>
      <c r="IK26" s="980"/>
      <c r="IL26" s="980"/>
      <c r="IM26" s="980"/>
      <c r="IN26" s="980"/>
      <c r="IO26" s="980"/>
      <c r="IP26" s="980"/>
      <c r="IQ26" s="980"/>
      <c r="IR26" s="980"/>
      <c r="IS26" s="980"/>
      <c r="IT26" s="980"/>
      <c r="IU26" s="980"/>
      <c r="IV26" s="980"/>
    </row>
    <row r="27" spans="1:256" s="409" customFormat="1" ht="12" customHeight="1" x14ac:dyDescent="0.55000000000000004">
      <c r="A27" s="398" t="str">
        <f t="shared" si="1"/>
        <v>Executive and Council1900</v>
      </c>
      <c r="B27" s="398" t="str">
        <f t="shared" si="24"/>
        <v>Finance and administration1900</v>
      </c>
      <c r="C27" s="398" t="str">
        <f t="shared" si="24"/>
        <v>Internal audit1900</v>
      </c>
      <c r="D27" s="398" t="str">
        <f t="shared" si="24"/>
        <v>Community and social services1900</v>
      </c>
      <c r="E27" s="398" t="str">
        <f t="shared" si="24"/>
        <v>Sport and recreation1900</v>
      </c>
      <c r="F27" s="398" t="str">
        <f t="shared" si="24"/>
        <v>Public safety1900</v>
      </c>
      <c r="G27" s="398" t="str">
        <f t="shared" si="24"/>
        <v>Housing1900</v>
      </c>
      <c r="H27" s="398" t="str">
        <f t="shared" si="24"/>
        <v>Health1900</v>
      </c>
      <c r="I27" s="398" t="str">
        <f t="shared" si="24"/>
        <v>Planning and development1900</v>
      </c>
      <c r="J27" s="398" t="str">
        <f t="shared" si="24"/>
        <v>Road transport1900</v>
      </c>
      <c r="K27" s="398" t="str">
        <f t="shared" si="24"/>
        <v>Environmental protection1900</v>
      </c>
      <c r="L27" s="398" t="str">
        <f t="shared" si="24"/>
        <v>Other1900</v>
      </c>
      <c r="M27" s="398" t="str">
        <f t="shared" si="24"/>
        <v>Energy sources1900</v>
      </c>
      <c r="N27" s="398" t="str">
        <f t="shared" si="24"/>
        <v>Water management1900</v>
      </c>
      <c r="O27" s="398" t="str">
        <f t="shared" si="24"/>
        <v>Waste water management1900</v>
      </c>
      <c r="P27" s="398" t="str">
        <f t="shared" si="24"/>
        <v>Waste management1900</v>
      </c>
      <c r="Q27" s="745" t="s">
        <v>711</v>
      </c>
      <c r="R27" s="745" t="s">
        <v>711</v>
      </c>
      <c r="S27" s="994"/>
      <c r="T27" s="748" t="s">
        <v>713</v>
      </c>
      <c r="U27" s="804">
        <f ca="1">SUMIF('3.Inc &amp; Exp per Function'!$D26:$D1125,'5.Cons and detailed recon'!A27,'3.Inc &amp; Exp per Function'!$U26:$U1124)</f>
        <v>0</v>
      </c>
      <c r="V27" s="804">
        <f ca="1">SUMIF('3.Inc &amp; Exp per Function'!$D26:$D1125,'5.Cons and detailed recon'!B27,'3.Inc &amp; Exp per Function'!$U26:$U1124)</f>
        <v>0</v>
      </c>
      <c r="W27" s="804">
        <f ca="1">SUMIF('3.Inc &amp; Exp per Function'!$D26:$D1125,'5.Cons and detailed recon'!C27,'3.Inc &amp; Exp per Function'!$U26:$U1124)</f>
        <v>0</v>
      </c>
      <c r="X27" s="413">
        <f t="shared" ca="1" si="16"/>
        <v>0</v>
      </c>
      <c r="Y27" s="1326">
        <f ca="1">SUMIF('3.Inc &amp; Exp per Function'!$D26:$D1125,'5.Cons and detailed recon'!D27,'3.Inc &amp; Exp per Function'!$U26:$U1124)</f>
        <v>0</v>
      </c>
      <c r="Z27" s="1326">
        <f ca="1">SUMIF('3.Inc &amp; Exp per Function'!$D26:$D1125,'5.Cons and detailed recon'!E27,'3.Inc &amp; Exp per Function'!$U26:$U1124)</f>
        <v>0</v>
      </c>
      <c r="AA27" s="1326">
        <f ca="1">SUMIF('3.Inc &amp; Exp per Function'!$D26:$D1125,'5.Cons and detailed recon'!F27,'3.Inc &amp; Exp per Function'!$U26:$U1124)</f>
        <v>0</v>
      </c>
      <c r="AB27" s="1326">
        <f ca="1">SUMIF('3.Inc &amp; Exp per Function'!$D26:$D1125,'5.Cons and detailed recon'!G27,'3.Inc &amp; Exp per Function'!$U26:$U1124)</f>
        <v>0</v>
      </c>
      <c r="AC27" s="1326">
        <f ca="1">SUMIF('3.Inc &amp; Exp per Function'!$D26:$D1125,'5.Cons and detailed recon'!H27,'3.Inc &amp; Exp per Function'!$U26:$U1124)</f>
        <v>0</v>
      </c>
      <c r="AD27" s="1326">
        <f ca="1">SUMIF('3.Inc &amp; Exp per Function'!$D26:$D1125,'5.Cons and detailed recon'!I27,'3.Inc &amp; Exp per Function'!$U26:$U1124)</f>
        <v>0</v>
      </c>
      <c r="AE27" s="1326">
        <f ca="1">SUMIF('3.Inc &amp; Exp per Function'!$D26:$D1125,'5.Cons and detailed recon'!J27,'3.Inc &amp; Exp per Function'!$U26:$U1124)</f>
        <v>0</v>
      </c>
      <c r="AF27" s="1326">
        <f ca="1">SUMIF('3.Inc &amp; Exp per Function'!$D26:$D1125,'5.Cons and detailed recon'!K27,'3.Inc &amp; Exp per Function'!$U26:$U1124)</f>
        <v>0</v>
      </c>
      <c r="AG27" s="1326">
        <f ca="1">SUMIF('3.Inc &amp; Exp per Function'!$D26:$D1125,'5.Cons and detailed recon'!L27,'3.Inc &amp; Exp per Function'!$U26:$U1124)</f>
        <v>0</v>
      </c>
      <c r="AH27" s="413">
        <f t="shared" ca="1" si="3"/>
        <v>0</v>
      </c>
      <c r="AI27" s="804">
        <f ca="1">SUMIF('3.Inc &amp; Exp per Function'!$D26:$D1125,'5.Cons and detailed recon'!M27,'3.Inc &amp; Exp per Function'!$U26:$U1124)</f>
        <v>0</v>
      </c>
      <c r="AJ27" s="804">
        <f ca="1">SUMIF('3.Inc &amp; Exp per Function'!$D26:$D1125,'5.Cons and detailed recon'!N27,'3.Inc &amp; Exp per Function'!$U26:$U1124)</f>
        <v>0</v>
      </c>
      <c r="AK27" s="804">
        <f ca="1">SUMIF('3.Inc &amp; Exp per Function'!$D26:$D1125,'5.Cons and detailed recon'!O27,'3.Inc &amp; Exp per Function'!$U26:$U1124)</f>
        <v>0</v>
      </c>
      <c r="AL27" s="804">
        <f ca="1">SUMIF('3.Inc &amp; Exp per Function'!$D26:$D1125,'5.Cons and detailed recon'!P27,'3.Inc &amp; Exp per Function'!$U26:$U1124)</f>
        <v>0</v>
      </c>
      <c r="AM27" s="748">
        <f t="shared" ca="1" si="0"/>
        <v>0</v>
      </c>
      <c r="AN27" s="794"/>
      <c r="AO27" s="791">
        <f t="shared" ca="1" si="18"/>
        <v>0</v>
      </c>
      <c r="AP27" s="414">
        <f>SUMIF('4.Inc &amp; Exp Summary'!A:A,'5.Cons and detailed recon'!R27,'4.Inc &amp; Exp Summary'!L:L)</f>
        <v>0</v>
      </c>
      <c r="AQ27" s="415">
        <f t="shared" ca="1" si="23"/>
        <v>0</v>
      </c>
      <c r="AR27" s="720"/>
      <c r="AS27" s="730"/>
      <c r="AT27" s="408"/>
      <c r="AU27" s="398" t="str">
        <f t="shared" si="25"/>
        <v>Executive and Council1900</v>
      </c>
      <c r="AV27" s="398" t="str">
        <f t="shared" si="25"/>
        <v>Finance and administration1900</v>
      </c>
      <c r="AW27" s="398" t="str">
        <f t="shared" si="25"/>
        <v>Internal audit1900</v>
      </c>
      <c r="AX27" s="398" t="str">
        <f t="shared" si="25"/>
        <v>Community and social services1900</v>
      </c>
      <c r="AY27" s="398" t="str">
        <f t="shared" si="25"/>
        <v>Sport and recreation1900</v>
      </c>
      <c r="AZ27" s="398" t="str">
        <f t="shared" si="25"/>
        <v>Public safety1900</v>
      </c>
      <c r="BA27" s="398" t="str">
        <f t="shared" si="25"/>
        <v>Housing1900</v>
      </c>
      <c r="BB27" s="398" t="str">
        <f t="shared" si="25"/>
        <v>Health1900</v>
      </c>
      <c r="BC27" s="398" t="str">
        <f t="shared" si="25"/>
        <v>Planning and development1900</v>
      </c>
      <c r="BD27" s="398" t="str">
        <f t="shared" si="25"/>
        <v>Road transport1900</v>
      </c>
      <c r="BE27" s="398" t="str">
        <f t="shared" si="25"/>
        <v>Environmental protection1900</v>
      </c>
      <c r="BF27" s="398" t="str">
        <f t="shared" si="25"/>
        <v>Other1900</v>
      </c>
      <c r="BG27" s="398" t="str">
        <f t="shared" si="25"/>
        <v>Energy sources1900</v>
      </c>
      <c r="BH27" s="398" t="str">
        <f t="shared" si="25"/>
        <v>Water management1900</v>
      </c>
      <c r="BI27" s="398" t="str">
        <f t="shared" si="25"/>
        <v>Waste water management1900</v>
      </c>
      <c r="BJ27" s="398" t="str">
        <f t="shared" si="25"/>
        <v>Waste management1900</v>
      </c>
      <c r="BK27" s="745" t="s">
        <v>711</v>
      </c>
      <c r="BL27" s="745" t="s">
        <v>711</v>
      </c>
      <c r="BM27" s="735"/>
      <c r="BN27" s="748" t="s">
        <v>713</v>
      </c>
      <c r="BO27" s="751">
        <f ca="1">SUMIF('3.Inc &amp; Exp per Function'!$D27:$D1125,'5.Cons and detailed recon'!AU27,'3.Inc &amp; Exp per Function'!$V27:$V1124)</f>
        <v>0</v>
      </c>
      <c r="BP27" s="751">
        <f ca="1">SUMIF('3.Inc &amp; Exp per Function'!$D26:$D1125,'5.Cons and detailed recon'!AV27,'3.Inc &amp; Exp per Function'!$V26:$V1124)</f>
        <v>0</v>
      </c>
      <c r="BQ27" s="751">
        <f ca="1">SUMIF('3.Inc &amp; Exp per Function'!$D26:$D1125,'5.Cons and detailed recon'!AW27,'3.Inc &amp; Exp per Function'!$V26:$V1124)</f>
        <v>0</v>
      </c>
      <c r="BR27" s="413">
        <f t="shared" ca="1" si="6"/>
        <v>0</v>
      </c>
      <c r="BS27" s="751">
        <f ca="1">SUMIF('3.Inc &amp; Exp per Function'!$D26:$D1125,'5.Cons and detailed recon'!AX27,'3.Inc &amp; Exp per Function'!$V26:$V1124)</f>
        <v>0</v>
      </c>
      <c r="BT27" s="751">
        <f ca="1">SUMIF('3.Inc &amp; Exp per Function'!$D26:$D1125,'5.Cons and detailed recon'!AY27,'3.Inc &amp; Exp per Function'!$V26:$V1124)</f>
        <v>0</v>
      </c>
      <c r="BU27" s="751">
        <f ca="1">SUMIF('3.Inc &amp; Exp per Function'!$D26:$D1125,'5.Cons and detailed recon'!AZ27,'3.Inc &amp; Exp per Function'!$V26:$V1124)</f>
        <v>0</v>
      </c>
      <c r="BV27" s="751">
        <f ca="1">SUMIF('3.Inc &amp; Exp per Function'!$D26:$D1125,'5.Cons and detailed recon'!BA27,'3.Inc &amp; Exp per Function'!$V26:$V1124)</f>
        <v>0</v>
      </c>
      <c r="BW27" s="751">
        <f ca="1">SUMIF('3.Inc &amp; Exp per Function'!$D26:$D1125,'5.Cons and detailed recon'!BB27,'3.Inc &amp; Exp per Function'!$V26:$V1124)</f>
        <v>0</v>
      </c>
      <c r="BX27" s="751">
        <f ca="1">SUMIF('3.Inc &amp; Exp per Function'!$D26:$D1125,'5.Cons and detailed recon'!BC27,'3.Inc &amp; Exp per Function'!$V26:$V1124)</f>
        <v>0</v>
      </c>
      <c r="BY27" s="751">
        <f ca="1">SUMIF('3.Inc &amp; Exp per Function'!$D26:$D1125,'5.Cons and detailed recon'!BD27,'3.Inc &amp; Exp per Function'!$V26:$V1124)</f>
        <v>0</v>
      </c>
      <c r="BZ27" s="751">
        <f ca="1">SUMIF('3.Inc &amp; Exp per Function'!$D26:$D1125,'5.Cons and detailed recon'!BE27,'3.Inc &amp; Exp per Function'!$V26:$V1124)</f>
        <v>0</v>
      </c>
      <c r="CA27" s="751">
        <f ca="1">SUMIF('3.Inc &amp; Exp per Function'!$D26:$D1125,'5.Cons and detailed recon'!BF27,'3.Inc &amp; Exp per Function'!$V26:$V1124)</f>
        <v>0</v>
      </c>
      <c r="CB27" s="413">
        <f t="shared" ca="1" si="7"/>
        <v>0</v>
      </c>
      <c r="CC27" s="751">
        <f ca="1">SUMIF('3.Inc &amp; Exp per Function'!$D26:$D1125,'5.Cons and detailed recon'!BG27,'3.Inc &amp; Exp per Function'!$V26:$V1124)</f>
        <v>0</v>
      </c>
      <c r="CD27" s="751">
        <f ca="1">SUMIF('3.Inc &amp; Exp per Function'!$D26:$D1125,'5.Cons and detailed recon'!BH27,'3.Inc &amp; Exp per Function'!$V26:$V1124)</f>
        <v>0</v>
      </c>
      <c r="CE27" s="751">
        <f ca="1">SUMIF('3.Inc &amp; Exp per Function'!$D26:$D1125,'5.Cons and detailed recon'!BI27,'3.Inc &amp; Exp per Function'!$V26:$V1124)</f>
        <v>0</v>
      </c>
      <c r="CF27" s="751">
        <f ca="1">SUMIF('3.Inc &amp; Exp per Function'!$D26:$D1125,'5.Cons and detailed recon'!BJ27,'3.Inc &amp; Exp per Function'!$V26:$V1124)</f>
        <v>0</v>
      </c>
      <c r="CG27" s="748">
        <f t="shared" ca="1" si="8"/>
        <v>0</v>
      </c>
      <c r="CH27" s="794"/>
      <c r="CI27" s="791">
        <f t="shared" ca="1" si="9"/>
        <v>0</v>
      </c>
      <c r="CJ27" s="411">
        <f>SUMIF('4.Inc &amp; Exp Summary'!A:A,'5.Cons and detailed recon'!R27,'4.Inc &amp; Exp Summary'!M:M)</f>
        <v>0</v>
      </c>
      <c r="CK27" s="415">
        <f t="shared" ca="1" si="17"/>
        <v>0</v>
      </c>
      <c r="CL27" s="720"/>
      <c r="CM27" s="730"/>
      <c r="CO27" s="398" t="str">
        <f t="shared" si="26"/>
        <v>Executive and Council1900</v>
      </c>
      <c r="CP27" s="398" t="str">
        <f t="shared" si="26"/>
        <v>Finance and administration1900</v>
      </c>
      <c r="CQ27" s="398" t="str">
        <f t="shared" si="26"/>
        <v>Internal audit1900</v>
      </c>
      <c r="CR27" s="398" t="str">
        <f t="shared" si="26"/>
        <v>Community and social services1900</v>
      </c>
      <c r="CS27" s="398" t="str">
        <f t="shared" si="26"/>
        <v>Sport and recreation1900</v>
      </c>
      <c r="CT27" s="398" t="str">
        <f t="shared" si="26"/>
        <v>Public safety1900</v>
      </c>
      <c r="CU27" s="398" t="str">
        <f t="shared" si="26"/>
        <v>Housing1900</v>
      </c>
      <c r="CV27" s="398" t="str">
        <f t="shared" si="26"/>
        <v>Health1900</v>
      </c>
      <c r="CW27" s="398" t="str">
        <f t="shared" si="26"/>
        <v>Planning and development1900</v>
      </c>
      <c r="CX27" s="398" t="str">
        <f t="shared" si="26"/>
        <v>Road transport1900</v>
      </c>
      <c r="CY27" s="398" t="str">
        <f t="shared" si="26"/>
        <v>Environmental protection1900</v>
      </c>
      <c r="CZ27" s="398" t="str">
        <f t="shared" si="26"/>
        <v>Other1900</v>
      </c>
      <c r="DA27" s="398" t="str">
        <f t="shared" si="26"/>
        <v>Energy sources1900</v>
      </c>
      <c r="DB27" s="398" t="str">
        <f t="shared" si="26"/>
        <v>Water management1900</v>
      </c>
      <c r="DC27" s="398" t="str">
        <f t="shared" si="26"/>
        <v>Waste water management1900</v>
      </c>
      <c r="DD27" s="398" t="str">
        <f t="shared" si="26"/>
        <v>Waste management1900</v>
      </c>
      <c r="DE27" s="745" t="s">
        <v>711</v>
      </c>
      <c r="DF27" s="745" t="s">
        <v>711</v>
      </c>
      <c r="DG27" s="735"/>
      <c r="DH27" s="748" t="s">
        <v>713</v>
      </c>
      <c r="DI27" s="751">
        <f ca="1">SUMIF('3.Inc &amp; Exp per Function'!$D26:$D1125,'5.Cons and detailed recon'!CO27,'3.Inc &amp; Exp per Function'!$W26:$W1124)</f>
        <v>0</v>
      </c>
      <c r="DJ27" s="751">
        <f ca="1">SUMIF('3.Inc &amp; Exp per Function'!$D26:$D1124,'5.Cons and detailed recon'!CP27,'3.Inc &amp; Exp per Function'!$W26:$W1123)</f>
        <v>0</v>
      </c>
      <c r="DK27" s="751">
        <f ca="1">SUMIF('3.Inc &amp; Exp per Function'!$D26:$D1124,'5.Cons and detailed recon'!CQ27,'3.Inc &amp; Exp per Function'!$W26:$W1123)</f>
        <v>0</v>
      </c>
      <c r="DL27" s="413">
        <f t="shared" ca="1" si="11"/>
        <v>0</v>
      </c>
      <c r="DM27" s="751">
        <f ca="1">SUMIF('3.Inc &amp; Exp per Function'!$D26:$D1124,'5.Cons and detailed recon'!CR27,'3.Inc &amp; Exp per Function'!$W26:$W1123)</f>
        <v>0</v>
      </c>
      <c r="DN27" s="751">
        <f ca="1">SUMIF('3.Inc &amp; Exp per Function'!$D26:$D1124,'5.Cons and detailed recon'!CS27,'3.Inc &amp; Exp per Function'!$W26:$W1123)</f>
        <v>0</v>
      </c>
      <c r="DO27" s="751">
        <f ca="1">SUMIF('3.Inc &amp; Exp per Function'!$D26:$D1124,'5.Cons and detailed recon'!CT27,'3.Inc &amp; Exp per Function'!$W26:$W1123)</f>
        <v>0</v>
      </c>
      <c r="DP27" s="751">
        <f ca="1">SUMIF('3.Inc &amp; Exp per Function'!$D26:$D1124,'5.Cons and detailed recon'!CU27,'3.Inc &amp; Exp per Function'!$W26:$W1123)</f>
        <v>0</v>
      </c>
      <c r="DQ27" s="751">
        <f ca="1">SUMIF('3.Inc &amp; Exp per Function'!$D26:$D1124,'5.Cons and detailed recon'!CV27,'3.Inc &amp; Exp per Function'!$W26:$W1123)</f>
        <v>0</v>
      </c>
      <c r="DR27" s="751">
        <f ca="1">SUMIF('3.Inc &amp; Exp per Function'!$D26:$D1124,'5.Cons and detailed recon'!CW27,'3.Inc &amp; Exp per Function'!$W26:$W1123)</f>
        <v>0</v>
      </c>
      <c r="DS27" s="751">
        <f ca="1">SUMIF('3.Inc &amp; Exp per Function'!$D26:$D1124,'5.Cons and detailed recon'!CX27,'3.Inc &amp; Exp per Function'!$W26:$W1123)</f>
        <v>0</v>
      </c>
      <c r="DT27" s="751">
        <f ca="1">SUMIF('3.Inc &amp; Exp per Function'!$D26:$D1124,'5.Cons and detailed recon'!CY27,'3.Inc &amp; Exp per Function'!$W26:$W1123)</f>
        <v>0</v>
      </c>
      <c r="DU27" s="751">
        <f ca="1">SUMIF('3.Inc &amp; Exp per Function'!$D26:$D1124,'5.Cons and detailed recon'!CZ27,'3.Inc &amp; Exp per Function'!$W26:$W1123)</f>
        <v>0</v>
      </c>
      <c r="DV27" s="413">
        <f t="shared" ca="1" si="12"/>
        <v>0</v>
      </c>
      <c r="DW27" s="751">
        <f ca="1">SUMIF('3.Inc &amp; Exp per Function'!$D26:$D1124,'5.Cons and detailed recon'!DA27,'3.Inc &amp; Exp per Function'!$W26:$W1123)</f>
        <v>0</v>
      </c>
      <c r="DX27" s="751">
        <f ca="1">SUMIF('3.Inc &amp; Exp per Function'!$D26:$D1124,'5.Cons and detailed recon'!DB27,'3.Inc &amp; Exp per Function'!$W26:$W1123)</f>
        <v>0</v>
      </c>
      <c r="DY27" s="751">
        <f ca="1">SUMIF('3.Inc &amp; Exp per Function'!$D26:$D1124,'5.Cons and detailed recon'!DC27,'3.Inc &amp; Exp per Function'!$W26:$W1123)</f>
        <v>0</v>
      </c>
      <c r="DZ27" s="751">
        <f ca="1">SUMIF('3.Inc &amp; Exp per Function'!$D26:$D1124,'5.Cons and detailed recon'!DD27,'3.Inc &amp; Exp per Function'!$W26:$W1123)</f>
        <v>0</v>
      </c>
      <c r="EA27" s="748">
        <f t="shared" ca="1" si="13"/>
        <v>0</v>
      </c>
      <c r="EB27" s="794"/>
      <c r="EC27" s="791">
        <f t="shared" ca="1" si="14"/>
        <v>0</v>
      </c>
      <c r="ED27" s="414">
        <f>SUMIF('4.Inc &amp; Exp Summary'!A:A,'5.Cons and detailed recon'!DF27,'4.Inc &amp; Exp Summary'!N:N)</f>
        <v>0</v>
      </c>
      <c r="EE27" s="415">
        <f t="shared" ca="1" si="15"/>
        <v>0</v>
      </c>
      <c r="EF27" s="720"/>
      <c r="EG27" s="980"/>
      <c r="EH27" s="980"/>
      <c r="EI27" s="980"/>
      <c r="EJ27" s="980"/>
      <c r="EK27" s="980"/>
      <c r="EL27" s="980"/>
      <c r="EM27" s="980"/>
      <c r="EN27" s="980"/>
      <c r="EO27" s="980"/>
      <c r="EP27" s="980"/>
      <c r="EQ27" s="980"/>
      <c r="ER27" s="980"/>
      <c r="ES27" s="980"/>
      <c r="ET27" s="980"/>
      <c r="EU27" s="980"/>
      <c r="EV27" s="980"/>
      <c r="EW27" s="980"/>
      <c r="EX27" s="980"/>
      <c r="EY27" s="980"/>
      <c r="EZ27" s="980"/>
      <c r="FA27" s="980"/>
      <c r="FB27" s="980"/>
      <c r="FC27" s="980"/>
      <c r="FD27" s="980"/>
      <c r="FE27" s="980"/>
      <c r="FF27" s="980"/>
      <c r="FG27" s="980"/>
      <c r="FH27" s="980"/>
      <c r="FI27" s="980"/>
      <c r="FJ27" s="980"/>
      <c r="FK27" s="980"/>
      <c r="FL27" s="980"/>
      <c r="FM27" s="980"/>
      <c r="FN27" s="980"/>
      <c r="FO27" s="980"/>
      <c r="FP27" s="980"/>
      <c r="FQ27" s="980"/>
      <c r="FR27" s="980"/>
      <c r="FS27" s="980"/>
      <c r="FT27" s="980"/>
      <c r="FU27" s="980"/>
      <c r="FV27" s="980"/>
      <c r="FW27" s="980"/>
      <c r="FX27" s="980"/>
      <c r="FY27" s="980"/>
      <c r="FZ27" s="980"/>
      <c r="GA27" s="980"/>
      <c r="GB27" s="980"/>
      <c r="GC27" s="980"/>
      <c r="GD27" s="980"/>
      <c r="GE27" s="980"/>
      <c r="GF27" s="980"/>
      <c r="GG27" s="980"/>
      <c r="GH27" s="980"/>
      <c r="GI27" s="980"/>
      <c r="GJ27" s="980"/>
      <c r="GK27" s="980"/>
      <c r="GL27" s="980"/>
      <c r="GM27" s="980"/>
      <c r="GN27" s="980"/>
      <c r="GO27" s="980"/>
      <c r="GP27" s="980"/>
      <c r="GQ27" s="980"/>
      <c r="GR27" s="980"/>
      <c r="GS27" s="980"/>
      <c r="GT27" s="980"/>
      <c r="GU27" s="980"/>
      <c r="GV27" s="980"/>
      <c r="GW27" s="980"/>
      <c r="GX27" s="980"/>
      <c r="GY27" s="980"/>
      <c r="GZ27" s="980"/>
      <c r="HA27" s="980"/>
      <c r="HB27" s="980"/>
      <c r="HC27" s="980"/>
      <c r="HD27" s="980"/>
      <c r="HE27" s="980"/>
      <c r="HF27" s="980"/>
      <c r="HG27" s="980"/>
      <c r="HH27" s="980"/>
      <c r="HI27" s="980"/>
      <c r="HJ27" s="980"/>
      <c r="HK27" s="980"/>
      <c r="HL27" s="980"/>
      <c r="HM27" s="980"/>
      <c r="HN27" s="980"/>
      <c r="HO27" s="980"/>
      <c r="HP27" s="980"/>
      <c r="HQ27" s="980"/>
      <c r="HR27" s="980"/>
      <c r="HS27" s="980"/>
      <c r="HT27" s="980"/>
      <c r="HU27" s="980"/>
      <c r="HV27" s="980"/>
      <c r="HW27" s="980"/>
      <c r="HX27" s="980"/>
      <c r="HY27" s="980"/>
      <c r="HZ27" s="980"/>
      <c r="IA27" s="980"/>
      <c r="IB27" s="980"/>
      <c r="IC27" s="980"/>
      <c r="ID27" s="980"/>
      <c r="IE27" s="980"/>
      <c r="IF27" s="980"/>
      <c r="IG27" s="980"/>
      <c r="IH27" s="980"/>
      <c r="II27" s="980"/>
      <c r="IJ27" s="980"/>
      <c r="IK27" s="980"/>
      <c r="IL27" s="980"/>
      <c r="IM27" s="980"/>
      <c r="IN27" s="980"/>
      <c r="IO27" s="980"/>
      <c r="IP27" s="980"/>
      <c r="IQ27" s="980"/>
      <c r="IR27" s="980"/>
      <c r="IS27" s="980"/>
      <c r="IT27" s="980"/>
      <c r="IU27" s="980"/>
      <c r="IV27" s="980"/>
    </row>
    <row r="28" spans="1:256" s="409" customFormat="1" ht="12" customHeight="1" x14ac:dyDescent="0.55000000000000004">
      <c r="A28" s="398" t="str">
        <f t="shared" si="1"/>
        <v>Executive and Council2000</v>
      </c>
      <c r="B28" s="398" t="str">
        <f t="shared" si="24"/>
        <v>Finance and administration2000</v>
      </c>
      <c r="C28" s="398" t="str">
        <f t="shared" si="24"/>
        <v>Internal audit2000</v>
      </c>
      <c r="D28" s="398" t="str">
        <f t="shared" si="24"/>
        <v>Community and social services2000</v>
      </c>
      <c r="E28" s="398" t="str">
        <f t="shared" si="24"/>
        <v>Sport and recreation2000</v>
      </c>
      <c r="F28" s="398" t="str">
        <f t="shared" si="24"/>
        <v>Public safety2000</v>
      </c>
      <c r="G28" s="398" t="str">
        <f t="shared" si="24"/>
        <v>Housing2000</v>
      </c>
      <c r="H28" s="398" t="str">
        <f t="shared" si="24"/>
        <v>Health2000</v>
      </c>
      <c r="I28" s="398" t="str">
        <f t="shared" si="24"/>
        <v>Planning and development2000</v>
      </c>
      <c r="J28" s="398" t="str">
        <f t="shared" si="24"/>
        <v>Road transport2000</v>
      </c>
      <c r="K28" s="398" t="str">
        <f t="shared" si="24"/>
        <v>Environmental protection2000</v>
      </c>
      <c r="L28" s="398" t="str">
        <f t="shared" si="24"/>
        <v>Other2000</v>
      </c>
      <c r="M28" s="398" t="str">
        <f t="shared" si="24"/>
        <v>Energy sources2000</v>
      </c>
      <c r="N28" s="398" t="str">
        <f t="shared" si="24"/>
        <v>Water management2000</v>
      </c>
      <c r="O28" s="398" t="str">
        <f t="shared" si="24"/>
        <v>Waste water management2000</v>
      </c>
      <c r="P28" s="398" t="str">
        <f t="shared" si="24"/>
        <v>Waste management2000</v>
      </c>
      <c r="Q28" s="745" t="s">
        <v>714</v>
      </c>
      <c r="R28" s="745" t="s">
        <v>714</v>
      </c>
      <c r="S28" s="994"/>
      <c r="T28" s="748" t="s">
        <v>691</v>
      </c>
      <c r="U28" s="804">
        <f ca="1">SUMIF('3.Inc &amp; Exp per Function'!$D27:$D1126,'5.Cons and detailed recon'!A28,'3.Inc &amp; Exp per Function'!$U27:$U1125)</f>
        <v>0</v>
      </c>
      <c r="V28" s="804">
        <f ca="1">SUMIF('3.Inc &amp; Exp per Function'!$D27:$D1126,'5.Cons and detailed recon'!B28,'3.Inc &amp; Exp per Function'!$U27:$U1125)</f>
        <v>2850100</v>
      </c>
      <c r="W28" s="804">
        <f ca="1">SUMIF('3.Inc &amp; Exp per Function'!$D27:$D1126,'5.Cons and detailed recon'!C28,'3.Inc &amp; Exp per Function'!$U27:$U1125)</f>
        <v>0</v>
      </c>
      <c r="X28" s="413">
        <f t="shared" ca="1" si="16"/>
        <v>2850100</v>
      </c>
      <c r="Y28" s="1326">
        <f ca="1">SUMIF('3.Inc &amp; Exp per Function'!$D27:$D1126,'5.Cons and detailed recon'!D28,'3.Inc &amp; Exp per Function'!$U27:$U1125)</f>
        <v>12000</v>
      </c>
      <c r="Z28" s="1326">
        <f ca="1">SUMIF('3.Inc &amp; Exp per Function'!$D27:$D1126,'5.Cons and detailed recon'!E28,'3.Inc &amp; Exp per Function'!$U27:$U1125)</f>
        <v>0</v>
      </c>
      <c r="AA28" s="1326">
        <f ca="1">SUMIF('3.Inc &amp; Exp per Function'!$D27:$D1126,'5.Cons and detailed recon'!F28,'3.Inc &amp; Exp per Function'!$U27:$U1125)</f>
        <v>40809000</v>
      </c>
      <c r="AB28" s="1326">
        <f ca="1">SUMIF('3.Inc &amp; Exp per Function'!$D27:$D1126,'5.Cons and detailed recon'!G28,'3.Inc &amp; Exp per Function'!$U27:$U1125)</f>
        <v>0</v>
      </c>
      <c r="AC28" s="1326">
        <f ca="1">SUMIF('3.Inc &amp; Exp per Function'!$D27:$D1126,'5.Cons and detailed recon'!H28,'3.Inc &amp; Exp per Function'!$U27:$U1125)</f>
        <v>0</v>
      </c>
      <c r="AD28" s="1326">
        <f ca="1">SUMIF('3.Inc &amp; Exp per Function'!$D27:$D1126,'5.Cons and detailed recon'!I28,'3.Inc &amp; Exp per Function'!$U27:$U1125)</f>
        <v>0</v>
      </c>
      <c r="AE28" s="1326">
        <f ca="1">SUMIF('3.Inc &amp; Exp per Function'!$D27:$D1126,'5.Cons and detailed recon'!J28,'3.Inc &amp; Exp per Function'!$U27:$U1125)</f>
        <v>0</v>
      </c>
      <c r="AF28" s="1326">
        <f ca="1">SUMIF('3.Inc &amp; Exp per Function'!$D27:$D1126,'5.Cons and detailed recon'!K28,'3.Inc &amp; Exp per Function'!$U27:$U1125)</f>
        <v>0</v>
      </c>
      <c r="AG28" s="1326">
        <f ca="1">SUMIF('3.Inc &amp; Exp per Function'!$D27:$D1126,'5.Cons and detailed recon'!L28,'3.Inc &amp; Exp per Function'!$U27:$U1125)</f>
        <v>0</v>
      </c>
      <c r="AH28" s="413">
        <f t="shared" ca="1" si="3"/>
        <v>40821000</v>
      </c>
      <c r="AI28" s="804">
        <f ca="1">SUMIF('3.Inc &amp; Exp per Function'!$D27:$D1126,'5.Cons and detailed recon'!M28,'3.Inc &amp; Exp per Function'!$U27:$U1125)</f>
        <v>0</v>
      </c>
      <c r="AJ28" s="804">
        <f ca="1">SUMIF('3.Inc &amp; Exp per Function'!$D27:$D1126,'5.Cons and detailed recon'!N28,'3.Inc &amp; Exp per Function'!$U27:$U1125)</f>
        <v>0</v>
      </c>
      <c r="AK28" s="804">
        <f ca="1">SUMIF('3.Inc &amp; Exp per Function'!$D27:$D1126,'5.Cons and detailed recon'!O28,'3.Inc &amp; Exp per Function'!$U27:$U1125)</f>
        <v>0</v>
      </c>
      <c r="AL28" s="804">
        <f ca="1">SUMIF('3.Inc &amp; Exp per Function'!$D27:$D1126,'5.Cons and detailed recon'!P28,'3.Inc &amp; Exp per Function'!$U27:$U1125)</f>
        <v>0</v>
      </c>
      <c r="AM28" s="748">
        <f t="shared" ca="1" si="0"/>
        <v>0</v>
      </c>
      <c r="AN28" s="794"/>
      <c r="AO28" s="791">
        <f t="shared" ca="1" si="18"/>
        <v>43671100</v>
      </c>
      <c r="AP28" s="414">
        <f>SUMIF('4.Inc &amp; Exp Summary'!A:A,'5.Cons and detailed recon'!R28,'4.Inc &amp; Exp Summary'!L:L)</f>
        <v>179290650</v>
      </c>
      <c r="AQ28" s="415">
        <f t="shared" ca="1" si="23"/>
        <v>-135619550</v>
      </c>
      <c r="AR28" s="720"/>
      <c r="AS28" s="730"/>
      <c r="AT28" s="408"/>
      <c r="AU28" s="398" t="str">
        <f t="shared" si="25"/>
        <v>Executive and Council2000</v>
      </c>
      <c r="AV28" s="398" t="str">
        <f t="shared" si="25"/>
        <v>Finance and administration2000</v>
      </c>
      <c r="AW28" s="398" t="str">
        <f t="shared" si="25"/>
        <v>Internal audit2000</v>
      </c>
      <c r="AX28" s="398" t="str">
        <f t="shared" si="25"/>
        <v>Community and social services2000</v>
      </c>
      <c r="AY28" s="398" t="str">
        <f t="shared" si="25"/>
        <v>Sport and recreation2000</v>
      </c>
      <c r="AZ28" s="398" t="str">
        <f t="shared" si="25"/>
        <v>Public safety2000</v>
      </c>
      <c r="BA28" s="398" t="str">
        <f t="shared" si="25"/>
        <v>Housing2000</v>
      </c>
      <c r="BB28" s="398" t="str">
        <f t="shared" si="25"/>
        <v>Health2000</v>
      </c>
      <c r="BC28" s="398" t="str">
        <f t="shared" si="25"/>
        <v>Planning and development2000</v>
      </c>
      <c r="BD28" s="398" t="str">
        <f t="shared" si="25"/>
        <v>Road transport2000</v>
      </c>
      <c r="BE28" s="398" t="str">
        <f t="shared" si="25"/>
        <v>Environmental protection2000</v>
      </c>
      <c r="BF28" s="398" t="str">
        <f t="shared" si="25"/>
        <v>Other2000</v>
      </c>
      <c r="BG28" s="398" t="str">
        <f t="shared" si="25"/>
        <v>Energy sources2000</v>
      </c>
      <c r="BH28" s="398" t="str">
        <f t="shared" si="25"/>
        <v>Water management2000</v>
      </c>
      <c r="BI28" s="398" t="str">
        <f t="shared" si="25"/>
        <v>Waste water management2000</v>
      </c>
      <c r="BJ28" s="398" t="str">
        <f t="shared" si="25"/>
        <v>Waste management2000</v>
      </c>
      <c r="BK28" s="745" t="s">
        <v>714</v>
      </c>
      <c r="BL28" s="745" t="s">
        <v>714</v>
      </c>
      <c r="BM28" s="735"/>
      <c r="BN28" s="748" t="s">
        <v>691</v>
      </c>
      <c r="BO28" s="751">
        <f ca="1">SUMIF('3.Inc &amp; Exp per Function'!$D28:$D1126,'5.Cons and detailed recon'!AU28,'3.Inc &amp; Exp per Function'!$V28:$V1125)</f>
        <v>0</v>
      </c>
      <c r="BP28" s="751">
        <f ca="1">SUMIF('3.Inc &amp; Exp per Function'!$D27:$D1126,'5.Cons and detailed recon'!AV28,'3.Inc &amp; Exp per Function'!$V27:$V1125)</f>
        <v>2947003</v>
      </c>
      <c r="BQ28" s="751">
        <f ca="1">SUMIF('3.Inc &amp; Exp per Function'!$D27:$D1126,'5.Cons and detailed recon'!AW28,'3.Inc &amp; Exp per Function'!$V27:$V1125)</f>
        <v>0</v>
      </c>
      <c r="BR28" s="413">
        <f t="shared" ca="1" si="6"/>
        <v>2947003</v>
      </c>
      <c r="BS28" s="751">
        <f ca="1">SUMIF('3.Inc &amp; Exp per Function'!$D27:$D1126,'5.Cons and detailed recon'!AX28,'3.Inc &amp; Exp per Function'!$V27:$V1125)</f>
        <v>12408</v>
      </c>
      <c r="BT28" s="751">
        <f ca="1">SUMIF('3.Inc &amp; Exp per Function'!$D27:$D1126,'5.Cons and detailed recon'!AY28,'3.Inc &amp; Exp per Function'!$V27:$V1125)</f>
        <v>0</v>
      </c>
      <c r="BU28" s="751">
        <f ca="1">SUMIF('3.Inc &amp; Exp per Function'!$D27:$D1126,'5.Cons and detailed recon'!AZ28,'3.Inc &amp; Exp per Function'!$V27:$V1125)</f>
        <v>42196506</v>
      </c>
      <c r="BV28" s="751">
        <f ca="1">SUMIF('3.Inc &amp; Exp per Function'!$D27:$D1126,'5.Cons and detailed recon'!BA28,'3.Inc &amp; Exp per Function'!$V27:$V1125)</f>
        <v>0</v>
      </c>
      <c r="BW28" s="751">
        <f ca="1">SUMIF('3.Inc &amp; Exp per Function'!$D27:$D1126,'5.Cons and detailed recon'!BB28,'3.Inc &amp; Exp per Function'!$V27:$V1125)</f>
        <v>0</v>
      </c>
      <c r="BX28" s="751">
        <f ca="1">SUMIF('3.Inc &amp; Exp per Function'!$D27:$D1126,'5.Cons and detailed recon'!BC28,'3.Inc &amp; Exp per Function'!$V27:$V1125)</f>
        <v>0</v>
      </c>
      <c r="BY28" s="751">
        <f ca="1">SUMIF('3.Inc &amp; Exp per Function'!$D27:$D1126,'5.Cons and detailed recon'!BD28,'3.Inc &amp; Exp per Function'!$V27:$V1125)</f>
        <v>0</v>
      </c>
      <c r="BZ28" s="751">
        <f ca="1">SUMIF('3.Inc &amp; Exp per Function'!$D27:$D1126,'5.Cons and detailed recon'!BE28,'3.Inc &amp; Exp per Function'!$V27:$V1125)</f>
        <v>0</v>
      </c>
      <c r="CA28" s="751">
        <f ca="1">SUMIF('3.Inc &amp; Exp per Function'!$D27:$D1126,'5.Cons and detailed recon'!BF28,'3.Inc &amp; Exp per Function'!$V27:$V1125)</f>
        <v>0</v>
      </c>
      <c r="CB28" s="413">
        <f t="shared" ca="1" si="7"/>
        <v>42208914</v>
      </c>
      <c r="CC28" s="751">
        <f ca="1">SUMIF('3.Inc &amp; Exp per Function'!$D27:$D1126,'5.Cons and detailed recon'!BG28,'3.Inc &amp; Exp per Function'!$V27:$V1125)</f>
        <v>0</v>
      </c>
      <c r="CD28" s="751">
        <f ca="1">SUMIF('3.Inc &amp; Exp per Function'!$D27:$D1126,'5.Cons and detailed recon'!BH28,'3.Inc &amp; Exp per Function'!$V27:$V1125)</f>
        <v>0</v>
      </c>
      <c r="CE28" s="751">
        <f ca="1">SUMIF('3.Inc &amp; Exp per Function'!$D27:$D1126,'5.Cons and detailed recon'!BI28,'3.Inc &amp; Exp per Function'!$V27:$V1125)</f>
        <v>0</v>
      </c>
      <c r="CF28" s="751">
        <f ca="1">SUMIF('3.Inc &amp; Exp per Function'!$D27:$D1126,'5.Cons and detailed recon'!BJ28,'3.Inc &amp; Exp per Function'!$V27:$V1125)</f>
        <v>0</v>
      </c>
      <c r="CG28" s="748">
        <f t="shared" ca="1" si="8"/>
        <v>0</v>
      </c>
      <c r="CH28" s="794"/>
      <c r="CI28" s="791">
        <f t="shared" ca="1" si="9"/>
        <v>45155917</v>
      </c>
      <c r="CJ28" s="411">
        <f>SUMIF('4.Inc &amp; Exp Summary'!A:A,'5.Cons and detailed recon'!R28,'4.Inc &amp; Exp Summary'!M:M)</f>
        <v>185386533</v>
      </c>
      <c r="CK28" s="415">
        <f t="shared" ca="1" si="17"/>
        <v>-140230616</v>
      </c>
      <c r="CL28" s="720"/>
      <c r="CM28" s="730"/>
      <c r="CO28" s="398" t="str">
        <f t="shared" si="26"/>
        <v>Executive and Council2000</v>
      </c>
      <c r="CP28" s="398" t="str">
        <f t="shared" si="26"/>
        <v>Finance and administration2000</v>
      </c>
      <c r="CQ28" s="398" t="str">
        <f t="shared" si="26"/>
        <v>Internal audit2000</v>
      </c>
      <c r="CR28" s="398" t="str">
        <f t="shared" si="26"/>
        <v>Community and social services2000</v>
      </c>
      <c r="CS28" s="398" t="str">
        <f t="shared" si="26"/>
        <v>Sport and recreation2000</v>
      </c>
      <c r="CT28" s="398" t="str">
        <f t="shared" si="26"/>
        <v>Public safety2000</v>
      </c>
      <c r="CU28" s="398" t="str">
        <f t="shared" si="26"/>
        <v>Housing2000</v>
      </c>
      <c r="CV28" s="398" t="str">
        <f t="shared" si="26"/>
        <v>Health2000</v>
      </c>
      <c r="CW28" s="398" t="str">
        <f t="shared" si="26"/>
        <v>Planning and development2000</v>
      </c>
      <c r="CX28" s="398" t="str">
        <f t="shared" si="26"/>
        <v>Road transport2000</v>
      </c>
      <c r="CY28" s="398" t="str">
        <f t="shared" si="26"/>
        <v>Environmental protection2000</v>
      </c>
      <c r="CZ28" s="398" t="str">
        <f t="shared" si="26"/>
        <v>Other2000</v>
      </c>
      <c r="DA28" s="398" t="str">
        <f t="shared" si="26"/>
        <v>Energy sources2000</v>
      </c>
      <c r="DB28" s="398" t="str">
        <f t="shared" si="26"/>
        <v>Water management2000</v>
      </c>
      <c r="DC28" s="398" t="str">
        <f t="shared" si="26"/>
        <v>Waste water management2000</v>
      </c>
      <c r="DD28" s="398" t="str">
        <f t="shared" si="26"/>
        <v>Waste management2000</v>
      </c>
      <c r="DE28" s="745" t="s">
        <v>714</v>
      </c>
      <c r="DF28" s="745" t="s">
        <v>714</v>
      </c>
      <c r="DG28" s="735"/>
      <c r="DH28" s="748" t="s">
        <v>691</v>
      </c>
      <c r="DI28" s="751">
        <f ca="1">SUMIF('3.Inc &amp; Exp per Function'!$D27:$D1126,'5.Cons and detailed recon'!CO28,'3.Inc &amp; Exp per Function'!$W27:$W1125)</f>
        <v>0</v>
      </c>
      <c r="DJ28" s="751">
        <f ca="1">SUMIF('3.Inc &amp; Exp per Function'!$D27:$D1125,'5.Cons and detailed recon'!CP28,'3.Inc &amp; Exp per Function'!$W27:$W1124)</f>
        <v>3041307</v>
      </c>
      <c r="DK28" s="751">
        <f ca="1">SUMIF('3.Inc &amp; Exp per Function'!$D27:$D1125,'5.Cons and detailed recon'!CQ28,'3.Inc &amp; Exp per Function'!$W27:$W1124)</f>
        <v>0</v>
      </c>
      <c r="DL28" s="413">
        <f t="shared" ca="1" si="11"/>
        <v>3041307</v>
      </c>
      <c r="DM28" s="751">
        <f ca="1">SUMIF('3.Inc &amp; Exp per Function'!$D27:$D1125,'5.Cons and detailed recon'!CR28,'3.Inc &amp; Exp per Function'!$W27:$W1124)</f>
        <v>12805</v>
      </c>
      <c r="DN28" s="751">
        <f ca="1">SUMIF('3.Inc &amp; Exp per Function'!$D27:$D1125,'5.Cons and detailed recon'!CS28,'3.Inc &amp; Exp per Function'!$W27:$W1124)</f>
        <v>0</v>
      </c>
      <c r="DO28" s="751">
        <f ca="1">SUMIF('3.Inc &amp; Exp per Function'!$D27:$D1125,'5.Cons and detailed recon'!CT28,'3.Inc &amp; Exp per Function'!$W27:$W1124)</f>
        <v>43546794</v>
      </c>
      <c r="DP28" s="751">
        <f ca="1">SUMIF('3.Inc &amp; Exp per Function'!$D27:$D1125,'5.Cons and detailed recon'!CU28,'3.Inc &amp; Exp per Function'!$W27:$W1124)</f>
        <v>0</v>
      </c>
      <c r="DQ28" s="751">
        <f ca="1">SUMIF('3.Inc &amp; Exp per Function'!$D27:$D1125,'5.Cons and detailed recon'!CV28,'3.Inc &amp; Exp per Function'!$W27:$W1124)</f>
        <v>0</v>
      </c>
      <c r="DR28" s="751">
        <f ca="1">SUMIF('3.Inc &amp; Exp per Function'!$D27:$D1125,'5.Cons and detailed recon'!CW28,'3.Inc &amp; Exp per Function'!$W27:$W1124)</f>
        <v>0</v>
      </c>
      <c r="DS28" s="751">
        <f ca="1">SUMIF('3.Inc &amp; Exp per Function'!$D27:$D1125,'5.Cons and detailed recon'!CX28,'3.Inc &amp; Exp per Function'!$W27:$W1124)</f>
        <v>0</v>
      </c>
      <c r="DT28" s="751">
        <f ca="1">SUMIF('3.Inc &amp; Exp per Function'!$D27:$D1125,'5.Cons and detailed recon'!CY28,'3.Inc &amp; Exp per Function'!$W27:$W1124)</f>
        <v>0</v>
      </c>
      <c r="DU28" s="751">
        <f ca="1">SUMIF('3.Inc &amp; Exp per Function'!$D27:$D1125,'5.Cons and detailed recon'!CZ28,'3.Inc &amp; Exp per Function'!$W27:$W1124)</f>
        <v>0</v>
      </c>
      <c r="DV28" s="413">
        <f t="shared" ca="1" si="12"/>
        <v>43559599</v>
      </c>
      <c r="DW28" s="751">
        <f ca="1">SUMIF('3.Inc &amp; Exp per Function'!$D27:$D1125,'5.Cons and detailed recon'!DA28,'3.Inc &amp; Exp per Function'!$W27:$W1124)</f>
        <v>0</v>
      </c>
      <c r="DX28" s="751">
        <f ca="1">SUMIF('3.Inc &amp; Exp per Function'!$D27:$D1125,'5.Cons and detailed recon'!DB28,'3.Inc &amp; Exp per Function'!$W27:$W1124)</f>
        <v>0</v>
      </c>
      <c r="DY28" s="751">
        <f ca="1">SUMIF('3.Inc &amp; Exp per Function'!$D27:$D1125,'5.Cons and detailed recon'!DC28,'3.Inc &amp; Exp per Function'!$W27:$W1124)</f>
        <v>0</v>
      </c>
      <c r="DZ28" s="751">
        <f ca="1">SUMIF('3.Inc &amp; Exp per Function'!$D27:$D1125,'5.Cons and detailed recon'!DD28,'3.Inc &amp; Exp per Function'!$W27:$W1124)</f>
        <v>0</v>
      </c>
      <c r="EA28" s="748">
        <f t="shared" ca="1" si="13"/>
        <v>0</v>
      </c>
      <c r="EB28" s="794"/>
      <c r="EC28" s="791">
        <f t="shared" ca="1" si="14"/>
        <v>46600906</v>
      </c>
      <c r="ED28" s="414">
        <f>SUMIF('4.Inc &amp; Exp Summary'!A:A,'5.Cons and detailed recon'!DF28,'4.Inc &amp; Exp Summary'!N:N)</f>
        <v>191318902.05599996</v>
      </c>
      <c r="EE28" s="415">
        <f t="shared" ca="1" si="15"/>
        <v>-144717996.05599996</v>
      </c>
      <c r="EF28" s="720"/>
      <c r="EG28" s="980"/>
      <c r="EH28" s="980"/>
      <c r="EI28" s="980"/>
      <c r="EJ28" s="980"/>
      <c r="EK28" s="980"/>
      <c r="EL28" s="980"/>
      <c r="EM28" s="980"/>
      <c r="EN28" s="980"/>
      <c r="EO28" s="980"/>
      <c r="EP28" s="980"/>
      <c r="EQ28" s="980"/>
      <c r="ER28" s="980"/>
      <c r="ES28" s="980"/>
      <c r="ET28" s="980"/>
      <c r="EU28" s="980"/>
      <c r="EV28" s="980"/>
      <c r="EW28" s="980"/>
      <c r="EX28" s="980"/>
      <c r="EY28" s="980"/>
      <c r="EZ28" s="980"/>
      <c r="FA28" s="980"/>
      <c r="FB28" s="980"/>
      <c r="FC28" s="980"/>
      <c r="FD28" s="980"/>
      <c r="FE28" s="980"/>
      <c r="FF28" s="980"/>
      <c r="FG28" s="980"/>
      <c r="FH28" s="980"/>
      <c r="FI28" s="980"/>
      <c r="FJ28" s="980"/>
      <c r="FK28" s="980"/>
      <c r="FL28" s="980"/>
      <c r="FM28" s="980"/>
      <c r="FN28" s="980"/>
      <c r="FO28" s="980"/>
      <c r="FP28" s="980"/>
      <c r="FQ28" s="980"/>
      <c r="FR28" s="980"/>
      <c r="FS28" s="980"/>
      <c r="FT28" s="980"/>
      <c r="FU28" s="980"/>
      <c r="FV28" s="980"/>
      <c r="FW28" s="980"/>
      <c r="FX28" s="980"/>
      <c r="FY28" s="980"/>
      <c r="FZ28" s="980"/>
      <c r="GA28" s="980"/>
      <c r="GB28" s="980"/>
      <c r="GC28" s="980"/>
      <c r="GD28" s="980"/>
      <c r="GE28" s="980"/>
      <c r="GF28" s="980"/>
      <c r="GG28" s="980"/>
      <c r="GH28" s="980"/>
      <c r="GI28" s="980"/>
      <c r="GJ28" s="980"/>
      <c r="GK28" s="980"/>
      <c r="GL28" s="980"/>
      <c r="GM28" s="980"/>
      <c r="GN28" s="980"/>
      <c r="GO28" s="980"/>
      <c r="GP28" s="980"/>
      <c r="GQ28" s="980"/>
      <c r="GR28" s="980"/>
      <c r="GS28" s="980"/>
      <c r="GT28" s="980"/>
      <c r="GU28" s="980"/>
      <c r="GV28" s="980"/>
      <c r="GW28" s="980"/>
      <c r="GX28" s="980"/>
      <c r="GY28" s="980"/>
      <c r="GZ28" s="980"/>
      <c r="HA28" s="980"/>
      <c r="HB28" s="980"/>
      <c r="HC28" s="980"/>
      <c r="HD28" s="980"/>
      <c r="HE28" s="980"/>
      <c r="HF28" s="980"/>
      <c r="HG28" s="980"/>
      <c r="HH28" s="980"/>
      <c r="HI28" s="980"/>
      <c r="HJ28" s="980"/>
      <c r="HK28" s="980"/>
      <c r="HL28" s="980"/>
      <c r="HM28" s="980"/>
      <c r="HN28" s="980"/>
      <c r="HO28" s="980"/>
      <c r="HP28" s="980"/>
      <c r="HQ28" s="980"/>
      <c r="HR28" s="980"/>
      <c r="HS28" s="980"/>
      <c r="HT28" s="980"/>
      <c r="HU28" s="980"/>
      <c r="HV28" s="980"/>
      <c r="HW28" s="980"/>
      <c r="HX28" s="980"/>
      <c r="HY28" s="980"/>
      <c r="HZ28" s="980"/>
      <c r="IA28" s="980"/>
      <c r="IB28" s="980"/>
      <c r="IC28" s="980"/>
      <c r="ID28" s="980"/>
      <c r="IE28" s="980"/>
      <c r="IF28" s="980"/>
      <c r="IG28" s="980"/>
      <c r="IH28" s="980"/>
      <c r="II28" s="980"/>
      <c r="IJ28" s="980"/>
      <c r="IK28" s="980"/>
      <c r="IL28" s="980"/>
      <c r="IM28" s="980"/>
      <c r="IN28" s="980"/>
      <c r="IO28" s="980"/>
      <c r="IP28" s="980"/>
      <c r="IQ28" s="980"/>
      <c r="IR28" s="980"/>
      <c r="IS28" s="980"/>
      <c r="IT28" s="980"/>
      <c r="IU28" s="980"/>
      <c r="IV28" s="980"/>
    </row>
    <row r="29" spans="1:256" s="409" customFormat="1" ht="12" customHeight="1" x14ac:dyDescent="0.55000000000000004">
      <c r="A29" s="398" t="str">
        <f t="shared" si="1"/>
        <v>Executive and Council2100</v>
      </c>
      <c r="B29" s="398" t="str">
        <f t="shared" si="24"/>
        <v>Finance and administration2100</v>
      </c>
      <c r="C29" s="398" t="str">
        <f t="shared" si="24"/>
        <v>Internal audit2100</v>
      </c>
      <c r="D29" s="398" t="str">
        <f t="shared" si="24"/>
        <v>Community and social services2100</v>
      </c>
      <c r="E29" s="398" t="str">
        <f t="shared" si="24"/>
        <v>Sport and recreation2100</v>
      </c>
      <c r="F29" s="398" t="str">
        <f t="shared" si="24"/>
        <v>Public safety2100</v>
      </c>
      <c r="G29" s="398" t="str">
        <f t="shared" si="24"/>
        <v>Housing2100</v>
      </c>
      <c r="H29" s="398" t="str">
        <f t="shared" si="24"/>
        <v>Health2100</v>
      </c>
      <c r="I29" s="398" t="str">
        <f t="shared" si="24"/>
        <v>Planning and development2100</v>
      </c>
      <c r="J29" s="398" t="str">
        <f t="shared" si="24"/>
        <v>Road transport2100</v>
      </c>
      <c r="K29" s="398" t="str">
        <f t="shared" si="24"/>
        <v>Environmental protection2100</v>
      </c>
      <c r="L29" s="398" t="str">
        <f t="shared" si="24"/>
        <v>Other2100</v>
      </c>
      <c r="M29" s="398" t="str">
        <f t="shared" si="24"/>
        <v>Energy sources2100</v>
      </c>
      <c r="N29" s="398" t="str">
        <f t="shared" si="24"/>
        <v>Water management2100</v>
      </c>
      <c r="O29" s="398" t="str">
        <f t="shared" si="24"/>
        <v>Waste water management2100</v>
      </c>
      <c r="P29" s="398" t="str">
        <f t="shared" si="24"/>
        <v>Waste management2100</v>
      </c>
      <c r="Q29" s="745" t="s">
        <v>715</v>
      </c>
      <c r="R29" s="745" t="s">
        <v>715</v>
      </c>
      <c r="S29" s="994"/>
      <c r="T29" s="748" t="s">
        <v>716</v>
      </c>
      <c r="U29" s="804">
        <f ca="1">SUMIF('3.Inc &amp; Exp per Function'!$D28:$D1127,'5.Cons and detailed recon'!A29,'3.Inc &amp; Exp per Function'!$U28:$U1126)</f>
        <v>0</v>
      </c>
      <c r="V29" s="804">
        <f ca="1">SUMIF('3.Inc &amp; Exp per Function'!$D28:$D1127,'5.Cons and detailed recon'!B29,'3.Inc &amp; Exp per Function'!$U28:$U1126)</f>
        <v>0</v>
      </c>
      <c r="W29" s="804">
        <f ca="1">SUMIF('3.Inc &amp; Exp per Function'!$D28:$D1127,'5.Cons and detailed recon'!C29,'3.Inc &amp; Exp per Function'!$U28:$U1126)</f>
        <v>0</v>
      </c>
      <c r="X29" s="413">
        <f t="shared" ca="1" si="16"/>
        <v>0</v>
      </c>
      <c r="Y29" s="1326">
        <f ca="1">SUMIF('3.Inc &amp; Exp per Function'!$D28:$D1127,'5.Cons and detailed recon'!D29,'3.Inc &amp; Exp per Function'!$U28:$U1126)</f>
        <v>0</v>
      </c>
      <c r="Z29" s="1326">
        <f ca="1">SUMIF('3.Inc &amp; Exp per Function'!$D28:$D1127,'5.Cons and detailed recon'!E29,'3.Inc &amp; Exp per Function'!$U28:$U1126)</f>
        <v>0</v>
      </c>
      <c r="AA29" s="1326">
        <f ca="1">SUMIF('3.Inc &amp; Exp per Function'!$D28:$D1127,'5.Cons and detailed recon'!F29,'3.Inc &amp; Exp per Function'!$U28:$U1126)</f>
        <v>0</v>
      </c>
      <c r="AB29" s="1326">
        <f ca="1">SUMIF('3.Inc &amp; Exp per Function'!$D28:$D1127,'5.Cons and detailed recon'!G29,'3.Inc &amp; Exp per Function'!$U28:$U1126)</f>
        <v>0</v>
      </c>
      <c r="AC29" s="1326">
        <f ca="1">SUMIF('3.Inc &amp; Exp per Function'!$D28:$D1127,'5.Cons and detailed recon'!H29,'3.Inc &amp; Exp per Function'!$U28:$U1126)</f>
        <v>0</v>
      </c>
      <c r="AD29" s="1326">
        <f ca="1">SUMIF('3.Inc &amp; Exp per Function'!$D28:$D1127,'5.Cons and detailed recon'!I29,'3.Inc &amp; Exp per Function'!$U28:$U1126)</f>
        <v>0</v>
      </c>
      <c r="AE29" s="1326">
        <f ca="1">SUMIF('3.Inc &amp; Exp per Function'!$D28:$D1127,'5.Cons and detailed recon'!J29,'3.Inc &amp; Exp per Function'!$U28:$U1126)</f>
        <v>0</v>
      </c>
      <c r="AF29" s="1326">
        <f ca="1">SUMIF('3.Inc &amp; Exp per Function'!$D28:$D1127,'5.Cons and detailed recon'!K29,'3.Inc &amp; Exp per Function'!$U28:$U1126)</f>
        <v>0</v>
      </c>
      <c r="AG29" s="1326">
        <f ca="1">SUMIF('3.Inc &amp; Exp per Function'!$D28:$D1127,'5.Cons and detailed recon'!L29,'3.Inc &amp; Exp per Function'!$U28:$U1126)</f>
        <v>0</v>
      </c>
      <c r="AH29" s="413">
        <f t="shared" ca="1" si="3"/>
        <v>0</v>
      </c>
      <c r="AI29" s="804">
        <f ca="1">SUMIF('3.Inc &amp; Exp per Function'!$D28:$D1127,'5.Cons and detailed recon'!M29,'3.Inc &amp; Exp per Function'!$U28:$U1126)</f>
        <v>0</v>
      </c>
      <c r="AJ29" s="804">
        <f ca="1">SUMIF('3.Inc &amp; Exp per Function'!$D28:$D1127,'5.Cons and detailed recon'!N29,'3.Inc &amp; Exp per Function'!$U28:$U1126)</f>
        <v>0</v>
      </c>
      <c r="AK29" s="804">
        <f ca="1">SUMIF('3.Inc &amp; Exp per Function'!$D28:$D1127,'5.Cons and detailed recon'!O29,'3.Inc &amp; Exp per Function'!$U28:$U1126)</f>
        <v>0</v>
      </c>
      <c r="AL29" s="804">
        <f ca="1">SUMIF('3.Inc &amp; Exp per Function'!$D28:$D1127,'5.Cons and detailed recon'!P29,'3.Inc &amp; Exp per Function'!$U28:$U1126)</f>
        <v>0</v>
      </c>
      <c r="AM29" s="748">
        <f t="shared" ca="1" si="0"/>
        <v>0</v>
      </c>
      <c r="AN29" s="794"/>
      <c r="AO29" s="791">
        <f t="shared" ca="1" si="18"/>
        <v>0</v>
      </c>
      <c r="AP29" s="414">
        <f>SUMIF('4.Inc &amp; Exp Summary'!A:A,'5.Cons and detailed recon'!R29,'4.Inc &amp; Exp Summary'!L:L)</f>
        <v>0</v>
      </c>
      <c r="AQ29" s="415">
        <f t="shared" ca="1" si="23"/>
        <v>0</v>
      </c>
      <c r="AR29" s="720"/>
      <c r="AS29" s="730"/>
      <c r="AT29" s="408"/>
      <c r="AU29" s="398" t="str">
        <f t="shared" si="25"/>
        <v>Executive and Council2100</v>
      </c>
      <c r="AV29" s="398" t="str">
        <f t="shared" si="25"/>
        <v>Finance and administration2100</v>
      </c>
      <c r="AW29" s="398" t="str">
        <f t="shared" si="25"/>
        <v>Internal audit2100</v>
      </c>
      <c r="AX29" s="398" t="str">
        <f t="shared" si="25"/>
        <v>Community and social services2100</v>
      </c>
      <c r="AY29" s="398" t="str">
        <f t="shared" si="25"/>
        <v>Sport and recreation2100</v>
      </c>
      <c r="AZ29" s="398" t="str">
        <f t="shared" si="25"/>
        <v>Public safety2100</v>
      </c>
      <c r="BA29" s="398" t="str">
        <f t="shared" si="25"/>
        <v>Housing2100</v>
      </c>
      <c r="BB29" s="398" t="str">
        <f t="shared" si="25"/>
        <v>Health2100</v>
      </c>
      <c r="BC29" s="398" t="str">
        <f t="shared" si="25"/>
        <v>Planning and development2100</v>
      </c>
      <c r="BD29" s="398" t="str">
        <f t="shared" si="25"/>
        <v>Road transport2100</v>
      </c>
      <c r="BE29" s="398" t="str">
        <f t="shared" si="25"/>
        <v>Environmental protection2100</v>
      </c>
      <c r="BF29" s="398" t="str">
        <f t="shared" si="25"/>
        <v>Other2100</v>
      </c>
      <c r="BG29" s="398" t="str">
        <f t="shared" si="25"/>
        <v>Energy sources2100</v>
      </c>
      <c r="BH29" s="398" t="str">
        <f t="shared" si="25"/>
        <v>Water management2100</v>
      </c>
      <c r="BI29" s="398" t="str">
        <f t="shared" si="25"/>
        <v>Waste water management2100</v>
      </c>
      <c r="BJ29" s="398" t="str">
        <f t="shared" si="25"/>
        <v>Waste management2100</v>
      </c>
      <c r="BK29" s="745" t="s">
        <v>715</v>
      </c>
      <c r="BL29" s="745" t="s">
        <v>715</v>
      </c>
      <c r="BM29" s="735"/>
      <c r="BN29" s="748" t="s">
        <v>716</v>
      </c>
      <c r="BO29" s="751">
        <f ca="1">SUMIF('3.Inc &amp; Exp per Function'!$D29:$D1127,'5.Cons and detailed recon'!AU29,'3.Inc &amp; Exp per Function'!$V29:$V1126)</f>
        <v>0</v>
      </c>
      <c r="BP29" s="751">
        <f ca="1">SUMIF('3.Inc &amp; Exp per Function'!$D28:$D1127,'5.Cons and detailed recon'!AV29,'3.Inc &amp; Exp per Function'!$V28:$V1126)</f>
        <v>0</v>
      </c>
      <c r="BQ29" s="751">
        <f ca="1">SUMIF('3.Inc &amp; Exp per Function'!$D28:$D1127,'5.Cons and detailed recon'!AW29,'3.Inc &amp; Exp per Function'!$V28:$V1126)</f>
        <v>0</v>
      </c>
      <c r="BR29" s="413">
        <f t="shared" ca="1" si="6"/>
        <v>0</v>
      </c>
      <c r="BS29" s="751">
        <f ca="1">SUMIF('3.Inc &amp; Exp per Function'!$D28:$D1127,'5.Cons and detailed recon'!AX29,'3.Inc &amp; Exp per Function'!$V28:$V1126)</f>
        <v>0</v>
      </c>
      <c r="BT29" s="751">
        <f ca="1">SUMIF('3.Inc &amp; Exp per Function'!$D28:$D1127,'5.Cons and detailed recon'!AY29,'3.Inc &amp; Exp per Function'!$V28:$V1126)</f>
        <v>0</v>
      </c>
      <c r="BU29" s="751">
        <f ca="1">SUMIF('3.Inc &amp; Exp per Function'!$D28:$D1127,'5.Cons and detailed recon'!AZ29,'3.Inc &amp; Exp per Function'!$V28:$V1126)</f>
        <v>0</v>
      </c>
      <c r="BV29" s="751">
        <f ca="1">SUMIF('3.Inc &amp; Exp per Function'!$D28:$D1127,'5.Cons and detailed recon'!BA29,'3.Inc &amp; Exp per Function'!$V28:$V1126)</f>
        <v>0</v>
      </c>
      <c r="BW29" s="751">
        <f ca="1">SUMIF('3.Inc &amp; Exp per Function'!$D28:$D1127,'5.Cons and detailed recon'!BB29,'3.Inc &amp; Exp per Function'!$V28:$V1126)</f>
        <v>0</v>
      </c>
      <c r="BX29" s="751">
        <f ca="1">SUMIF('3.Inc &amp; Exp per Function'!$D28:$D1127,'5.Cons and detailed recon'!BC29,'3.Inc &amp; Exp per Function'!$V28:$V1126)</f>
        <v>0</v>
      </c>
      <c r="BY29" s="751">
        <f ca="1">SUMIF('3.Inc &amp; Exp per Function'!$D28:$D1127,'5.Cons and detailed recon'!BD29,'3.Inc &amp; Exp per Function'!$V28:$V1126)</f>
        <v>0</v>
      </c>
      <c r="BZ29" s="751">
        <f ca="1">SUMIF('3.Inc &amp; Exp per Function'!$D28:$D1127,'5.Cons and detailed recon'!BE29,'3.Inc &amp; Exp per Function'!$V28:$V1126)</f>
        <v>0</v>
      </c>
      <c r="CA29" s="751">
        <f ca="1">SUMIF('3.Inc &amp; Exp per Function'!$D28:$D1127,'5.Cons and detailed recon'!BF29,'3.Inc &amp; Exp per Function'!$V28:$V1126)</f>
        <v>0</v>
      </c>
      <c r="CB29" s="413">
        <f t="shared" ca="1" si="7"/>
        <v>0</v>
      </c>
      <c r="CC29" s="751">
        <f ca="1">SUMIF('3.Inc &amp; Exp per Function'!$D28:$D1127,'5.Cons and detailed recon'!BG29,'3.Inc &amp; Exp per Function'!$V28:$V1126)</f>
        <v>0</v>
      </c>
      <c r="CD29" s="751">
        <f ca="1">SUMIF('3.Inc &amp; Exp per Function'!$D28:$D1127,'5.Cons and detailed recon'!BH29,'3.Inc &amp; Exp per Function'!$V28:$V1126)</f>
        <v>0</v>
      </c>
      <c r="CE29" s="751">
        <f ca="1">SUMIF('3.Inc &amp; Exp per Function'!$D28:$D1127,'5.Cons and detailed recon'!BI29,'3.Inc &amp; Exp per Function'!$V28:$V1126)</f>
        <v>0</v>
      </c>
      <c r="CF29" s="751">
        <f ca="1">SUMIF('3.Inc &amp; Exp per Function'!$D28:$D1127,'5.Cons and detailed recon'!BJ29,'3.Inc &amp; Exp per Function'!$V28:$V1126)</f>
        <v>0</v>
      </c>
      <c r="CG29" s="748">
        <f t="shared" ca="1" si="8"/>
        <v>0</v>
      </c>
      <c r="CH29" s="794"/>
      <c r="CI29" s="791">
        <f t="shared" ca="1" si="9"/>
        <v>0</v>
      </c>
      <c r="CJ29" s="411">
        <f>SUMIF('4.Inc &amp; Exp Summary'!A:A,'5.Cons and detailed recon'!R29,'4.Inc &amp; Exp Summary'!M:M)</f>
        <v>0</v>
      </c>
      <c r="CK29" s="415">
        <f t="shared" ca="1" si="17"/>
        <v>0</v>
      </c>
      <c r="CL29" s="720"/>
      <c r="CM29" s="730"/>
      <c r="CO29" s="398" t="str">
        <f t="shared" si="26"/>
        <v>Executive and Council2100</v>
      </c>
      <c r="CP29" s="398" t="str">
        <f t="shared" si="26"/>
        <v>Finance and administration2100</v>
      </c>
      <c r="CQ29" s="398" t="str">
        <f t="shared" si="26"/>
        <v>Internal audit2100</v>
      </c>
      <c r="CR29" s="398" t="str">
        <f t="shared" si="26"/>
        <v>Community and social services2100</v>
      </c>
      <c r="CS29" s="398" t="str">
        <f t="shared" si="26"/>
        <v>Sport and recreation2100</v>
      </c>
      <c r="CT29" s="398" t="str">
        <f t="shared" si="26"/>
        <v>Public safety2100</v>
      </c>
      <c r="CU29" s="398" t="str">
        <f t="shared" si="26"/>
        <v>Housing2100</v>
      </c>
      <c r="CV29" s="398" t="str">
        <f t="shared" si="26"/>
        <v>Health2100</v>
      </c>
      <c r="CW29" s="398" t="str">
        <f t="shared" si="26"/>
        <v>Planning and development2100</v>
      </c>
      <c r="CX29" s="398" t="str">
        <f t="shared" si="26"/>
        <v>Road transport2100</v>
      </c>
      <c r="CY29" s="398" t="str">
        <f t="shared" si="26"/>
        <v>Environmental protection2100</v>
      </c>
      <c r="CZ29" s="398" t="str">
        <f t="shared" si="26"/>
        <v>Other2100</v>
      </c>
      <c r="DA29" s="398" t="str">
        <f t="shared" si="26"/>
        <v>Energy sources2100</v>
      </c>
      <c r="DB29" s="398" t="str">
        <f t="shared" si="26"/>
        <v>Water management2100</v>
      </c>
      <c r="DC29" s="398" t="str">
        <f t="shared" si="26"/>
        <v>Waste water management2100</v>
      </c>
      <c r="DD29" s="398" t="str">
        <f t="shared" si="26"/>
        <v>Waste management2100</v>
      </c>
      <c r="DE29" s="745" t="s">
        <v>715</v>
      </c>
      <c r="DF29" s="745" t="s">
        <v>715</v>
      </c>
      <c r="DG29" s="735"/>
      <c r="DH29" s="748" t="s">
        <v>716</v>
      </c>
      <c r="DI29" s="751">
        <f ca="1">SUMIF('3.Inc &amp; Exp per Function'!$D28:$D1127,'5.Cons and detailed recon'!CO29,'3.Inc &amp; Exp per Function'!$W28:$W1126)</f>
        <v>0</v>
      </c>
      <c r="DJ29" s="751">
        <f ca="1">SUMIF('3.Inc &amp; Exp per Function'!$D28:$D1126,'5.Cons and detailed recon'!CP29,'3.Inc &amp; Exp per Function'!$W28:$W1125)</f>
        <v>0</v>
      </c>
      <c r="DK29" s="751">
        <f ca="1">SUMIF('3.Inc &amp; Exp per Function'!$D28:$D1126,'5.Cons and detailed recon'!CQ29,'3.Inc &amp; Exp per Function'!$W28:$W1125)</f>
        <v>0</v>
      </c>
      <c r="DL29" s="413">
        <f t="shared" ca="1" si="11"/>
        <v>0</v>
      </c>
      <c r="DM29" s="751">
        <f ca="1">SUMIF('3.Inc &amp; Exp per Function'!$D28:$D1126,'5.Cons and detailed recon'!CR29,'3.Inc &amp; Exp per Function'!$W28:$W1125)</f>
        <v>0</v>
      </c>
      <c r="DN29" s="751">
        <f ca="1">SUMIF('3.Inc &amp; Exp per Function'!$D28:$D1126,'5.Cons and detailed recon'!CS29,'3.Inc &amp; Exp per Function'!$W28:$W1125)</f>
        <v>0</v>
      </c>
      <c r="DO29" s="751">
        <f ca="1">SUMIF('3.Inc &amp; Exp per Function'!$D28:$D1126,'5.Cons and detailed recon'!CT29,'3.Inc &amp; Exp per Function'!$W28:$W1125)</f>
        <v>0</v>
      </c>
      <c r="DP29" s="751">
        <f ca="1">SUMIF('3.Inc &amp; Exp per Function'!$D28:$D1126,'5.Cons and detailed recon'!CU29,'3.Inc &amp; Exp per Function'!$W28:$W1125)</f>
        <v>0</v>
      </c>
      <c r="DQ29" s="751">
        <f ca="1">SUMIF('3.Inc &amp; Exp per Function'!$D28:$D1126,'5.Cons and detailed recon'!CV29,'3.Inc &amp; Exp per Function'!$W28:$W1125)</f>
        <v>0</v>
      </c>
      <c r="DR29" s="751">
        <f ca="1">SUMIF('3.Inc &amp; Exp per Function'!$D28:$D1126,'5.Cons and detailed recon'!CW29,'3.Inc &amp; Exp per Function'!$W28:$W1125)</f>
        <v>0</v>
      </c>
      <c r="DS29" s="751">
        <f ca="1">SUMIF('3.Inc &amp; Exp per Function'!$D28:$D1126,'5.Cons and detailed recon'!CX29,'3.Inc &amp; Exp per Function'!$W28:$W1125)</f>
        <v>0</v>
      </c>
      <c r="DT29" s="751">
        <f ca="1">SUMIF('3.Inc &amp; Exp per Function'!$D28:$D1126,'5.Cons and detailed recon'!CY29,'3.Inc &amp; Exp per Function'!$W28:$W1125)</f>
        <v>0</v>
      </c>
      <c r="DU29" s="751">
        <f ca="1">SUMIF('3.Inc &amp; Exp per Function'!$D28:$D1126,'5.Cons and detailed recon'!CZ29,'3.Inc &amp; Exp per Function'!$W28:$W1125)</f>
        <v>0</v>
      </c>
      <c r="DV29" s="413">
        <f t="shared" ca="1" si="12"/>
        <v>0</v>
      </c>
      <c r="DW29" s="751">
        <f ca="1">SUMIF('3.Inc &amp; Exp per Function'!$D28:$D1126,'5.Cons and detailed recon'!DA29,'3.Inc &amp; Exp per Function'!$W28:$W1125)</f>
        <v>0</v>
      </c>
      <c r="DX29" s="751">
        <f ca="1">SUMIF('3.Inc &amp; Exp per Function'!$D28:$D1126,'5.Cons and detailed recon'!DB29,'3.Inc &amp; Exp per Function'!$W28:$W1125)</f>
        <v>0</v>
      </c>
      <c r="DY29" s="751">
        <f ca="1">SUMIF('3.Inc &amp; Exp per Function'!$D28:$D1126,'5.Cons and detailed recon'!DC29,'3.Inc &amp; Exp per Function'!$W28:$W1125)</f>
        <v>0</v>
      </c>
      <c r="DZ29" s="751">
        <f ca="1">SUMIF('3.Inc &amp; Exp per Function'!$D28:$D1126,'5.Cons and detailed recon'!DD29,'3.Inc &amp; Exp per Function'!$W28:$W1125)</f>
        <v>0</v>
      </c>
      <c r="EA29" s="748">
        <f t="shared" ca="1" si="13"/>
        <v>0</v>
      </c>
      <c r="EB29" s="794"/>
      <c r="EC29" s="791">
        <f t="shared" ca="1" si="14"/>
        <v>0</v>
      </c>
      <c r="ED29" s="414">
        <f>SUMIF('4.Inc &amp; Exp Summary'!A:A,'5.Cons and detailed recon'!DF29,'4.Inc &amp; Exp Summary'!N:N)</f>
        <v>0</v>
      </c>
      <c r="EE29" s="415">
        <f t="shared" ca="1" si="15"/>
        <v>0</v>
      </c>
      <c r="EF29" s="720"/>
      <c r="EG29" s="980"/>
      <c r="EH29" s="980"/>
      <c r="EI29" s="980"/>
      <c r="EJ29" s="980"/>
      <c r="EK29" s="980"/>
      <c r="EL29" s="980"/>
      <c r="EM29" s="980"/>
      <c r="EN29" s="980"/>
      <c r="EO29" s="980"/>
      <c r="EP29" s="980"/>
      <c r="EQ29" s="980"/>
      <c r="ER29" s="980"/>
      <c r="ES29" s="980"/>
      <c r="ET29" s="980"/>
      <c r="EU29" s="980"/>
      <c r="EV29" s="980"/>
      <c r="EW29" s="980"/>
      <c r="EX29" s="980"/>
      <c r="EY29" s="980"/>
      <c r="EZ29" s="980"/>
      <c r="FA29" s="980"/>
      <c r="FB29" s="980"/>
      <c r="FC29" s="980"/>
      <c r="FD29" s="980"/>
      <c r="FE29" s="980"/>
      <c r="FF29" s="980"/>
      <c r="FG29" s="980"/>
      <c r="FH29" s="980"/>
      <c r="FI29" s="980"/>
      <c r="FJ29" s="980"/>
      <c r="FK29" s="980"/>
      <c r="FL29" s="980"/>
      <c r="FM29" s="980"/>
      <c r="FN29" s="980"/>
      <c r="FO29" s="980"/>
      <c r="FP29" s="980"/>
      <c r="FQ29" s="980"/>
      <c r="FR29" s="980"/>
      <c r="FS29" s="980"/>
      <c r="FT29" s="980"/>
      <c r="FU29" s="980"/>
      <c r="FV29" s="980"/>
      <c r="FW29" s="980"/>
      <c r="FX29" s="980"/>
      <c r="FY29" s="980"/>
      <c r="FZ29" s="980"/>
      <c r="GA29" s="980"/>
      <c r="GB29" s="980"/>
      <c r="GC29" s="980"/>
      <c r="GD29" s="980"/>
      <c r="GE29" s="980"/>
      <c r="GF29" s="980"/>
      <c r="GG29" s="980"/>
      <c r="GH29" s="980"/>
      <c r="GI29" s="980"/>
      <c r="GJ29" s="980"/>
      <c r="GK29" s="980"/>
      <c r="GL29" s="980"/>
      <c r="GM29" s="980"/>
      <c r="GN29" s="980"/>
      <c r="GO29" s="980"/>
      <c r="GP29" s="980"/>
      <c r="GQ29" s="980"/>
      <c r="GR29" s="980"/>
      <c r="GS29" s="980"/>
      <c r="GT29" s="980"/>
      <c r="GU29" s="980"/>
      <c r="GV29" s="980"/>
      <c r="GW29" s="980"/>
      <c r="GX29" s="980"/>
      <c r="GY29" s="980"/>
      <c r="GZ29" s="980"/>
      <c r="HA29" s="980"/>
      <c r="HB29" s="980"/>
      <c r="HC29" s="980"/>
      <c r="HD29" s="980"/>
      <c r="HE29" s="980"/>
      <c r="HF29" s="980"/>
      <c r="HG29" s="980"/>
      <c r="HH29" s="980"/>
      <c r="HI29" s="980"/>
      <c r="HJ29" s="980"/>
      <c r="HK29" s="980"/>
      <c r="HL29" s="980"/>
      <c r="HM29" s="980"/>
      <c r="HN29" s="980"/>
      <c r="HO29" s="980"/>
      <c r="HP29" s="980"/>
      <c r="HQ29" s="980"/>
      <c r="HR29" s="980"/>
      <c r="HS29" s="980"/>
      <c r="HT29" s="980"/>
      <c r="HU29" s="980"/>
      <c r="HV29" s="980"/>
      <c r="HW29" s="980"/>
      <c r="HX29" s="980"/>
      <c r="HY29" s="980"/>
      <c r="HZ29" s="980"/>
      <c r="IA29" s="980"/>
      <c r="IB29" s="980"/>
      <c r="IC29" s="980"/>
      <c r="ID29" s="980"/>
      <c r="IE29" s="980"/>
      <c r="IF29" s="980"/>
      <c r="IG29" s="980"/>
      <c r="IH29" s="980"/>
      <c r="II29" s="980"/>
      <c r="IJ29" s="980"/>
      <c r="IK29" s="980"/>
      <c r="IL29" s="980"/>
      <c r="IM29" s="980"/>
      <c r="IN29" s="980"/>
      <c r="IO29" s="980"/>
      <c r="IP29" s="980"/>
      <c r="IQ29" s="980"/>
      <c r="IR29" s="980"/>
      <c r="IS29" s="980"/>
      <c r="IT29" s="980"/>
      <c r="IU29" s="980"/>
      <c r="IV29" s="980"/>
    </row>
    <row r="30" spans="1:256" s="409" customFormat="1" ht="12" customHeight="1" x14ac:dyDescent="0.55000000000000004">
      <c r="A30" s="398" t="str">
        <f t="shared" si="1"/>
        <v>Executive and Council2200</v>
      </c>
      <c r="B30" s="398" t="str">
        <f t="shared" si="24"/>
        <v>Finance and administration2200</v>
      </c>
      <c r="C30" s="398" t="str">
        <f t="shared" si="24"/>
        <v>Internal audit2200</v>
      </c>
      <c r="D30" s="398" t="str">
        <f t="shared" si="24"/>
        <v>Community and social services2200</v>
      </c>
      <c r="E30" s="398" t="str">
        <f t="shared" si="24"/>
        <v>Sport and recreation2200</v>
      </c>
      <c r="F30" s="398" t="str">
        <f t="shared" si="24"/>
        <v>Public safety2200</v>
      </c>
      <c r="G30" s="398" t="str">
        <f t="shared" si="24"/>
        <v>Housing2200</v>
      </c>
      <c r="H30" s="398" t="str">
        <f t="shared" si="24"/>
        <v>Health2200</v>
      </c>
      <c r="I30" s="398" t="str">
        <f t="shared" si="24"/>
        <v>Planning and development2200</v>
      </c>
      <c r="J30" s="398" t="str">
        <f t="shared" si="24"/>
        <v>Road transport2200</v>
      </c>
      <c r="K30" s="398" t="str">
        <f t="shared" si="24"/>
        <v>Environmental protection2200</v>
      </c>
      <c r="L30" s="398" t="str">
        <f t="shared" si="24"/>
        <v>Other2200</v>
      </c>
      <c r="M30" s="398" t="str">
        <f t="shared" si="24"/>
        <v>Energy sources2200</v>
      </c>
      <c r="N30" s="398" t="str">
        <f t="shared" si="24"/>
        <v>Water management2200</v>
      </c>
      <c r="O30" s="398" t="str">
        <f t="shared" si="24"/>
        <v>Waste water management2200</v>
      </c>
      <c r="P30" s="398" t="str">
        <f t="shared" si="24"/>
        <v>Waste management2200</v>
      </c>
      <c r="Q30" s="745" t="s">
        <v>717</v>
      </c>
      <c r="R30" s="745" t="s">
        <v>717</v>
      </c>
      <c r="S30" s="994"/>
      <c r="T30" s="748" t="s">
        <v>718</v>
      </c>
      <c r="U30" s="804">
        <f ca="1">SUMIF('3.Inc &amp; Exp per Function'!$D29:$D1128,'5.Cons and detailed recon'!A30,'3.Inc &amp; Exp per Function'!$U29:$U1127)</f>
        <v>118000</v>
      </c>
      <c r="V30" s="804">
        <f ca="1">SUMIF('3.Inc &amp; Exp per Function'!$D29:$D1128,'5.Cons and detailed recon'!B30,'3.Inc &amp; Exp per Function'!$U29:$U1127)</f>
        <v>100835856</v>
      </c>
      <c r="W30" s="804">
        <f ca="1">SUMIF('3.Inc &amp; Exp per Function'!$D29:$D1128,'5.Cons and detailed recon'!C30,'3.Inc &amp; Exp per Function'!$U29:$U1127)</f>
        <v>0</v>
      </c>
      <c r="X30" s="413">
        <f t="shared" ca="1" si="16"/>
        <v>100953856</v>
      </c>
      <c r="Y30" s="1326">
        <f ca="1">SUMIF('3.Inc &amp; Exp per Function'!$D29:$D1128,'5.Cons and detailed recon'!D30,'3.Inc &amp; Exp per Function'!$U29:$U1127)</f>
        <v>11756000</v>
      </c>
      <c r="Z30" s="1326">
        <f ca="1">SUMIF('3.Inc &amp; Exp per Function'!$D29:$D1128,'5.Cons and detailed recon'!E30,'3.Inc &amp; Exp per Function'!$U29:$U1127)</f>
        <v>0</v>
      </c>
      <c r="AA30" s="1326">
        <f ca="1">SUMIF('3.Inc &amp; Exp per Function'!$D29:$D1128,'5.Cons and detailed recon'!F30,'3.Inc &amp; Exp per Function'!$U29:$U1127)</f>
        <v>0</v>
      </c>
      <c r="AB30" s="1326">
        <f ca="1">SUMIF('3.Inc &amp; Exp per Function'!$D29:$D1128,'5.Cons and detailed recon'!G30,'3.Inc &amp; Exp per Function'!$U29:$U1127)</f>
        <v>0</v>
      </c>
      <c r="AC30" s="1326">
        <f ca="1">SUMIF('3.Inc &amp; Exp per Function'!$D29:$D1128,'5.Cons and detailed recon'!H30,'3.Inc &amp; Exp per Function'!$U29:$U1127)</f>
        <v>0</v>
      </c>
      <c r="AD30" s="1326">
        <f ca="1">SUMIF('3.Inc &amp; Exp per Function'!$D29:$D1128,'5.Cons and detailed recon'!I30,'3.Inc &amp; Exp per Function'!$U29:$U1127)</f>
        <v>1912000</v>
      </c>
      <c r="AE30" s="1326">
        <f ca="1">SUMIF('3.Inc &amp; Exp per Function'!$D29:$D1128,'5.Cons and detailed recon'!J30,'3.Inc &amp; Exp per Function'!$U29:$U1127)</f>
        <v>165000</v>
      </c>
      <c r="AF30" s="1326">
        <f ca="1">SUMIF('3.Inc &amp; Exp per Function'!$D29:$D1128,'5.Cons and detailed recon'!K30,'3.Inc &amp; Exp per Function'!$U29:$U1127)</f>
        <v>0</v>
      </c>
      <c r="AG30" s="1326">
        <f ca="1">SUMIF('3.Inc &amp; Exp per Function'!$D29:$D1128,'5.Cons and detailed recon'!L30,'3.Inc &amp; Exp per Function'!$U29:$U1127)</f>
        <v>0</v>
      </c>
      <c r="AH30" s="413">
        <f t="shared" ca="1" si="3"/>
        <v>13833000</v>
      </c>
      <c r="AI30" s="804">
        <f ca="1">SUMIF('3.Inc &amp; Exp per Function'!$D29:$D1128,'5.Cons and detailed recon'!M30,'3.Inc &amp; Exp per Function'!$U29:$U1127)</f>
        <v>14719848</v>
      </c>
      <c r="AJ30" s="804">
        <f ca="1">SUMIF('3.Inc &amp; Exp per Function'!$D29:$D1128,'5.Cons and detailed recon'!N30,'3.Inc &amp; Exp per Function'!$U29:$U1127)</f>
        <v>16721640</v>
      </c>
      <c r="AK30" s="804">
        <f ca="1">SUMIF('3.Inc &amp; Exp per Function'!$D29:$D1128,'5.Cons and detailed recon'!O30,'3.Inc &amp; Exp per Function'!$U29:$U1127)</f>
        <v>15471225</v>
      </c>
      <c r="AL30" s="804">
        <f ca="1">SUMIF('3.Inc &amp; Exp per Function'!$D29:$D1128,'5.Cons and detailed recon'!P30,'3.Inc &amp; Exp per Function'!$U29:$U1127)</f>
        <v>18598866</v>
      </c>
      <c r="AM30" s="748">
        <f t="shared" ca="1" si="0"/>
        <v>65511579</v>
      </c>
      <c r="AN30" s="794"/>
      <c r="AO30" s="791">
        <f t="shared" ca="1" si="18"/>
        <v>180298435</v>
      </c>
      <c r="AP30" s="414">
        <f>SUMIF('4.Inc &amp; Exp Summary'!A:A,'5.Cons and detailed recon'!R30,'4.Inc &amp; Exp Summary'!L:L)</f>
        <v>43671100</v>
      </c>
      <c r="AQ30" s="415">
        <f t="shared" ca="1" si="23"/>
        <v>136627335</v>
      </c>
      <c r="AR30" s="720"/>
      <c r="AS30" s="730"/>
      <c r="AT30" s="408"/>
      <c r="AU30" s="398" t="str">
        <f t="shared" si="25"/>
        <v>Executive and Council2200</v>
      </c>
      <c r="AV30" s="398" t="str">
        <f t="shared" si="25"/>
        <v>Finance and administration2200</v>
      </c>
      <c r="AW30" s="398" t="str">
        <f t="shared" si="25"/>
        <v>Internal audit2200</v>
      </c>
      <c r="AX30" s="398" t="str">
        <f t="shared" si="25"/>
        <v>Community and social services2200</v>
      </c>
      <c r="AY30" s="398" t="str">
        <f t="shared" si="25"/>
        <v>Sport and recreation2200</v>
      </c>
      <c r="AZ30" s="398" t="str">
        <f t="shared" si="25"/>
        <v>Public safety2200</v>
      </c>
      <c r="BA30" s="398" t="str">
        <f t="shared" si="25"/>
        <v>Housing2200</v>
      </c>
      <c r="BB30" s="398" t="str">
        <f t="shared" si="25"/>
        <v>Health2200</v>
      </c>
      <c r="BC30" s="398" t="str">
        <f t="shared" si="25"/>
        <v>Planning and development2200</v>
      </c>
      <c r="BD30" s="398" t="str">
        <f t="shared" si="25"/>
        <v>Road transport2200</v>
      </c>
      <c r="BE30" s="398" t="str">
        <f t="shared" si="25"/>
        <v>Environmental protection2200</v>
      </c>
      <c r="BF30" s="398" t="str">
        <f t="shared" si="25"/>
        <v>Other2200</v>
      </c>
      <c r="BG30" s="398" t="str">
        <f t="shared" si="25"/>
        <v>Energy sources2200</v>
      </c>
      <c r="BH30" s="398" t="str">
        <f t="shared" si="25"/>
        <v>Water management2200</v>
      </c>
      <c r="BI30" s="398" t="str">
        <f t="shared" si="25"/>
        <v>Waste water management2200</v>
      </c>
      <c r="BJ30" s="398" t="str">
        <f t="shared" si="25"/>
        <v>Waste management2200</v>
      </c>
      <c r="BK30" s="745" t="s">
        <v>717</v>
      </c>
      <c r="BL30" s="745" t="s">
        <v>717</v>
      </c>
      <c r="BM30" s="735"/>
      <c r="BN30" s="748" t="s">
        <v>718</v>
      </c>
      <c r="BO30" s="751">
        <f ca="1">SUMIF('3.Inc &amp; Exp per Function'!$D30:$D1128,'5.Cons and detailed recon'!AU30,'3.Inc &amp; Exp per Function'!$V30:$V1127)</f>
        <v>122012</v>
      </c>
      <c r="BP30" s="751">
        <f ca="1">SUMIF('3.Inc &amp; Exp per Function'!$D29:$D1128,'5.Cons and detailed recon'!AV30,'3.Inc &amp; Exp per Function'!$V29:$V1127)</f>
        <v>103977768</v>
      </c>
      <c r="BQ30" s="751">
        <f ca="1">SUMIF('3.Inc &amp; Exp per Function'!$D29:$D1128,'5.Cons and detailed recon'!AW30,'3.Inc &amp; Exp per Function'!$V29:$V1127)</f>
        <v>0</v>
      </c>
      <c r="BR30" s="413">
        <f t="shared" ca="1" si="6"/>
        <v>104099780</v>
      </c>
      <c r="BS30" s="751">
        <f ca="1">SUMIF('3.Inc &amp; Exp per Function'!$D29:$D1128,'5.Cons and detailed recon'!AX30,'3.Inc &amp; Exp per Function'!$V29:$V1127)</f>
        <v>11873000</v>
      </c>
      <c r="BT30" s="751">
        <f ca="1">SUMIF('3.Inc &amp; Exp per Function'!$D29:$D1128,'5.Cons and detailed recon'!AY30,'3.Inc &amp; Exp per Function'!$V29:$V1127)</f>
        <v>0</v>
      </c>
      <c r="BU30" s="751">
        <f ca="1">SUMIF('3.Inc &amp; Exp per Function'!$D29:$D1128,'5.Cons and detailed recon'!AZ30,'3.Inc &amp; Exp per Function'!$V29:$V1127)</f>
        <v>0</v>
      </c>
      <c r="BV30" s="751">
        <f ca="1">SUMIF('3.Inc &amp; Exp per Function'!$D29:$D1128,'5.Cons and detailed recon'!BA30,'3.Inc &amp; Exp per Function'!$V29:$V1127)</f>
        <v>0</v>
      </c>
      <c r="BW30" s="751">
        <f ca="1">SUMIF('3.Inc &amp; Exp per Function'!$D29:$D1128,'5.Cons and detailed recon'!BB30,'3.Inc &amp; Exp per Function'!$V29:$V1127)</f>
        <v>0</v>
      </c>
      <c r="BX30" s="751">
        <f ca="1">SUMIF('3.Inc &amp; Exp per Function'!$D29:$D1128,'5.Cons and detailed recon'!BC30,'3.Inc &amp; Exp per Function'!$V29:$V1127)</f>
        <v>0</v>
      </c>
      <c r="BY30" s="751">
        <f ca="1">SUMIF('3.Inc &amp; Exp per Function'!$D29:$D1128,'5.Cons and detailed recon'!BD30,'3.Inc &amp; Exp per Function'!$V29:$V1127)</f>
        <v>185000</v>
      </c>
      <c r="BZ30" s="751">
        <f ca="1">SUMIF('3.Inc &amp; Exp per Function'!$D29:$D1128,'5.Cons and detailed recon'!BE30,'3.Inc &amp; Exp per Function'!$V29:$V1127)</f>
        <v>0</v>
      </c>
      <c r="CA30" s="751">
        <f ca="1">SUMIF('3.Inc &amp; Exp per Function'!$D29:$D1128,'5.Cons and detailed recon'!BF30,'3.Inc &amp; Exp per Function'!$V29:$V1127)</f>
        <v>0</v>
      </c>
      <c r="CB30" s="413">
        <f t="shared" ca="1" si="7"/>
        <v>12058000</v>
      </c>
      <c r="CC30" s="751">
        <f ca="1">SUMIF('3.Inc &amp; Exp per Function'!$D29:$D1128,'5.Cons and detailed recon'!BG30,'3.Inc &amp; Exp per Function'!$V29:$V1127)</f>
        <v>16194453</v>
      </c>
      <c r="CD30" s="751">
        <f ca="1">SUMIF('3.Inc &amp; Exp per Function'!$D29:$D1128,'5.Cons and detailed recon'!BH30,'3.Inc &amp; Exp per Function'!$V29:$V1127)</f>
        <v>17576611</v>
      </c>
      <c r="CE30" s="751">
        <f ca="1">SUMIF('3.Inc &amp; Exp per Function'!$D29:$D1128,'5.Cons and detailed recon'!BI30,'3.Inc &amp; Exp per Function'!$V29:$V1127)</f>
        <v>16262263</v>
      </c>
      <c r="CF30" s="751">
        <f ca="1">SUMIF('3.Inc &amp; Exp per Function'!$D29:$D1128,'5.Cons and detailed recon'!BJ30,'3.Inc &amp; Exp per Function'!$V29:$V1127)</f>
        <v>19549819</v>
      </c>
      <c r="CG30" s="748">
        <f t="shared" ca="1" si="8"/>
        <v>69583146</v>
      </c>
      <c r="CH30" s="794"/>
      <c r="CI30" s="791">
        <f t="shared" ca="1" si="9"/>
        <v>185740926</v>
      </c>
      <c r="CJ30" s="411">
        <f>SUMIF('4.Inc &amp; Exp Summary'!A:A,'5.Cons and detailed recon'!R30,'4.Inc &amp; Exp Summary'!M:M)</f>
        <v>45155917</v>
      </c>
      <c r="CK30" s="415">
        <f t="shared" ca="1" si="17"/>
        <v>140585009</v>
      </c>
      <c r="CL30" s="720"/>
      <c r="CM30" s="730"/>
      <c r="CO30" s="398" t="str">
        <f t="shared" si="26"/>
        <v>Executive and Council2200</v>
      </c>
      <c r="CP30" s="398" t="str">
        <f t="shared" si="26"/>
        <v>Finance and administration2200</v>
      </c>
      <c r="CQ30" s="398" t="str">
        <f t="shared" si="26"/>
        <v>Internal audit2200</v>
      </c>
      <c r="CR30" s="398" t="str">
        <f t="shared" si="26"/>
        <v>Community and social services2200</v>
      </c>
      <c r="CS30" s="398" t="str">
        <f t="shared" si="26"/>
        <v>Sport and recreation2200</v>
      </c>
      <c r="CT30" s="398" t="str">
        <f t="shared" si="26"/>
        <v>Public safety2200</v>
      </c>
      <c r="CU30" s="398" t="str">
        <f t="shared" si="26"/>
        <v>Housing2200</v>
      </c>
      <c r="CV30" s="398" t="str">
        <f t="shared" si="26"/>
        <v>Health2200</v>
      </c>
      <c r="CW30" s="398" t="str">
        <f t="shared" si="26"/>
        <v>Planning and development2200</v>
      </c>
      <c r="CX30" s="398" t="str">
        <f t="shared" si="26"/>
        <v>Road transport2200</v>
      </c>
      <c r="CY30" s="398" t="str">
        <f t="shared" si="26"/>
        <v>Environmental protection2200</v>
      </c>
      <c r="CZ30" s="398" t="str">
        <f t="shared" si="26"/>
        <v>Other2200</v>
      </c>
      <c r="DA30" s="398" t="str">
        <f t="shared" si="26"/>
        <v>Energy sources2200</v>
      </c>
      <c r="DB30" s="398" t="str">
        <f t="shared" si="26"/>
        <v>Water management2200</v>
      </c>
      <c r="DC30" s="398" t="str">
        <f t="shared" si="26"/>
        <v>Waste water management2200</v>
      </c>
      <c r="DD30" s="398" t="str">
        <f t="shared" si="26"/>
        <v>Waste management2200</v>
      </c>
      <c r="DE30" s="745" t="s">
        <v>717</v>
      </c>
      <c r="DF30" s="745" t="s">
        <v>717</v>
      </c>
      <c r="DG30" s="735"/>
      <c r="DH30" s="748" t="s">
        <v>718</v>
      </c>
      <c r="DI30" s="751">
        <f ca="1">SUMIF('3.Inc &amp; Exp per Function'!$D29:$D1128,'5.Cons and detailed recon'!CO30,'3.Inc &amp; Exp per Function'!$W29:$W1127)</f>
        <v>125916</v>
      </c>
      <c r="DJ30" s="751">
        <f ca="1">SUMIF('3.Inc &amp; Exp per Function'!$D29:$D1127,'5.Cons and detailed recon'!CP30,'3.Inc &amp; Exp per Function'!$W29:$W1126)</f>
        <v>106211171</v>
      </c>
      <c r="DK30" s="751">
        <f ca="1">SUMIF('3.Inc &amp; Exp per Function'!$D29:$D1127,'5.Cons and detailed recon'!CQ30,'3.Inc &amp; Exp per Function'!$W29:$W1126)</f>
        <v>0</v>
      </c>
      <c r="DL30" s="413">
        <f t="shared" ca="1" si="11"/>
        <v>106337087</v>
      </c>
      <c r="DM30" s="751">
        <f ca="1">SUMIF('3.Inc &amp; Exp per Function'!$D29:$D1127,'5.Cons and detailed recon'!CR30,'3.Inc &amp; Exp per Function'!$W29:$W1126)</f>
        <v>11992000</v>
      </c>
      <c r="DN30" s="751">
        <f ca="1">SUMIF('3.Inc &amp; Exp per Function'!$D29:$D1127,'5.Cons and detailed recon'!CS30,'3.Inc &amp; Exp per Function'!$W29:$W1126)</f>
        <v>0</v>
      </c>
      <c r="DO30" s="751">
        <f ca="1">SUMIF('3.Inc &amp; Exp per Function'!$D29:$D1127,'5.Cons and detailed recon'!CT30,'3.Inc &amp; Exp per Function'!$W29:$W1126)</f>
        <v>0</v>
      </c>
      <c r="DP30" s="751">
        <f ca="1">SUMIF('3.Inc &amp; Exp per Function'!$D29:$D1127,'5.Cons and detailed recon'!CU30,'3.Inc &amp; Exp per Function'!$W29:$W1126)</f>
        <v>0</v>
      </c>
      <c r="DQ30" s="751">
        <f ca="1">SUMIF('3.Inc &amp; Exp per Function'!$D29:$D1127,'5.Cons and detailed recon'!CV30,'3.Inc &amp; Exp per Function'!$W29:$W1126)</f>
        <v>0</v>
      </c>
      <c r="DR30" s="751">
        <f ca="1">SUMIF('3.Inc &amp; Exp per Function'!$D29:$D1127,'5.Cons and detailed recon'!CW30,'3.Inc &amp; Exp per Function'!$W29:$W1126)</f>
        <v>0</v>
      </c>
      <c r="DS30" s="751">
        <f ca="1">SUMIF('3.Inc &amp; Exp per Function'!$D29:$D1127,'5.Cons and detailed recon'!CX30,'3.Inc &amp; Exp per Function'!$W29:$W1126)</f>
        <v>185000</v>
      </c>
      <c r="DT30" s="751">
        <f ca="1">SUMIF('3.Inc &amp; Exp per Function'!$D29:$D1127,'5.Cons and detailed recon'!CY30,'3.Inc &amp; Exp per Function'!$W29:$W1126)</f>
        <v>0</v>
      </c>
      <c r="DU30" s="751">
        <f ca="1">SUMIF('3.Inc &amp; Exp per Function'!$D29:$D1127,'5.Cons and detailed recon'!CZ30,'3.Inc &amp; Exp per Function'!$W29:$W1126)</f>
        <v>0</v>
      </c>
      <c r="DV30" s="413">
        <f t="shared" ca="1" si="12"/>
        <v>12177000</v>
      </c>
      <c r="DW30" s="751">
        <f ca="1">SUMIF('3.Inc &amp; Exp per Function'!$D29:$D1127,'5.Cons and detailed recon'!DA30,'3.Inc &amp; Exp per Function'!$W29:$W1126)</f>
        <v>16547604</v>
      </c>
      <c r="DX30" s="751">
        <f ca="1">SUMIF('3.Inc &amp; Exp per Function'!$D29:$D1127,'5.Cons and detailed recon'!DB30,'3.Inc &amp; Exp per Function'!$W29:$W1126)</f>
        <v>17938098</v>
      </c>
      <c r="DY30" s="751">
        <f ca="1">SUMIF('3.Inc &amp; Exp per Function'!$D29:$D1127,'5.Cons and detailed recon'!DC30,'3.Inc &amp; Exp per Function'!$W29:$W1126)</f>
        <v>16596718</v>
      </c>
      <c r="DZ30" s="751">
        <f ca="1">SUMIF('3.Inc &amp; Exp per Function'!$D29:$D1127,'5.Cons and detailed recon'!DD30,'3.Inc &amp; Exp per Function'!$W29:$W1126)</f>
        <v>19951887</v>
      </c>
      <c r="EA30" s="748">
        <f t="shared" ca="1" si="13"/>
        <v>71034307</v>
      </c>
      <c r="EB30" s="794"/>
      <c r="EC30" s="791">
        <f t="shared" ca="1" si="14"/>
        <v>189548394</v>
      </c>
      <c r="ED30" s="414">
        <f>SUMIF('4.Inc &amp; Exp Summary'!A:A,'5.Cons and detailed recon'!DF30,'4.Inc &amp; Exp Summary'!N:N)</f>
        <v>46600906.344000004</v>
      </c>
      <c r="EE30" s="415">
        <f t="shared" ca="1" si="15"/>
        <v>142947487.65599999</v>
      </c>
      <c r="EF30" s="720"/>
      <c r="EG30" s="980"/>
      <c r="EH30" s="980"/>
      <c r="EI30" s="980"/>
      <c r="EJ30" s="980"/>
      <c r="EK30" s="980"/>
      <c r="EL30" s="980"/>
      <c r="EM30" s="980"/>
      <c r="EN30" s="980"/>
      <c r="EO30" s="980"/>
      <c r="EP30" s="980"/>
      <c r="EQ30" s="980"/>
      <c r="ER30" s="980"/>
      <c r="ES30" s="980"/>
      <c r="ET30" s="980"/>
      <c r="EU30" s="980"/>
      <c r="EV30" s="980"/>
      <c r="EW30" s="980"/>
      <c r="EX30" s="980"/>
      <c r="EY30" s="980"/>
      <c r="EZ30" s="980"/>
      <c r="FA30" s="980"/>
      <c r="FB30" s="980"/>
      <c r="FC30" s="980"/>
      <c r="FD30" s="980"/>
      <c r="FE30" s="980"/>
      <c r="FF30" s="980"/>
      <c r="FG30" s="980"/>
      <c r="FH30" s="980"/>
      <c r="FI30" s="980"/>
      <c r="FJ30" s="980"/>
      <c r="FK30" s="980"/>
      <c r="FL30" s="980"/>
      <c r="FM30" s="980"/>
      <c r="FN30" s="980"/>
      <c r="FO30" s="980"/>
      <c r="FP30" s="980"/>
      <c r="FQ30" s="980"/>
      <c r="FR30" s="980"/>
      <c r="FS30" s="980"/>
      <c r="FT30" s="980"/>
      <c r="FU30" s="980"/>
      <c r="FV30" s="980"/>
      <c r="FW30" s="980"/>
      <c r="FX30" s="980"/>
      <c r="FY30" s="980"/>
      <c r="FZ30" s="980"/>
      <c r="GA30" s="980"/>
      <c r="GB30" s="980"/>
      <c r="GC30" s="980"/>
      <c r="GD30" s="980"/>
      <c r="GE30" s="980"/>
      <c r="GF30" s="980"/>
      <c r="GG30" s="980"/>
      <c r="GH30" s="980"/>
      <c r="GI30" s="980"/>
      <c r="GJ30" s="980"/>
      <c r="GK30" s="980"/>
      <c r="GL30" s="980"/>
      <c r="GM30" s="980"/>
      <c r="GN30" s="980"/>
      <c r="GO30" s="980"/>
      <c r="GP30" s="980"/>
      <c r="GQ30" s="980"/>
      <c r="GR30" s="980"/>
      <c r="GS30" s="980"/>
      <c r="GT30" s="980"/>
      <c r="GU30" s="980"/>
      <c r="GV30" s="980"/>
      <c r="GW30" s="980"/>
      <c r="GX30" s="980"/>
      <c r="GY30" s="980"/>
      <c r="GZ30" s="980"/>
      <c r="HA30" s="980"/>
      <c r="HB30" s="980"/>
      <c r="HC30" s="980"/>
      <c r="HD30" s="980"/>
      <c r="HE30" s="980"/>
      <c r="HF30" s="980"/>
      <c r="HG30" s="980"/>
      <c r="HH30" s="980"/>
      <c r="HI30" s="980"/>
      <c r="HJ30" s="980"/>
      <c r="HK30" s="980"/>
      <c r="HL30" s="980"/>
      <c r="HM30" s="980"/>
      <c r="HN30" s="980"/>
      <c r="HO30" s="980"/>
      <c r="HP30" s="980"/>
      <c r="HQ30" s="980"/>
      <c r="HR30" s="980"/>
      <c r="HS30" s="980"/>
      <c r="HT30" s="980"/>
      <c r="HU30" s="980"/>
      <c r="HV30" s="980"/>
      <c r="HW30" s="980"/>
      <c r="HX30" s="980"/>
      <c r="HY30" s="980"/>
      <c r="HZ30" s="980"/>
      <c r="IA30" s="980"/>
      <c r="IB30" s="980"/>
      <c r="IC30" s="980"/>
      <c r="ID30" s="980"/>
      <c r="IE30" s="980"/>
      <c r="IF30" s="980"/>
      <c r="IG30" s="980"/>
      <c r="IH30" s="980"/>
      <c r="II30" s="980"/>
      <c r="IJ30" s="980"/>
      <c r="IK30" s="980"/>
      <c r="IL30" s="980"/>
      <c r="IM30" s="980"/>
      <c r="IN30" s="980"/>
      <c r="IO30" s="980"/>
      <c r="IP30" s="980"/>
      <c r="IQ30" s="980"/>
      <c r="IR30" s="980"/>
      <c r="IS30" s="980"/>
      <c r="IT30" s="980"/>
      <c r="IU30" s="980"/>
      <c r="IV30" s="980"/>
    </row>
    <row r="31" spans="1:256" s="409" customFormat="1" ht="12" customHeight="1" x14ac:dyDescent="0.55000000000000004">
      <c r="A31" s="398" t="str">
        <f t="shared" si="1"/>
        <v>Executive and Council2300</v>
      </c>
      <c r="B31" s="398" t="str">
        <f t="shared" si="24"/>
        <v>Finance and administration2300</v>
      </c>
      <c r="C31" s="398" t="str">
        <f t="shared" si="24"/>
        <v>Internal audit2300</v>
      </c>
      <c r="D31" s="398" t="str">
        <f t="shared" si="24"/>
        <v>Community and social services2300</v>
      </c>
      <c r="E31" s="398" t="str">
        <f t="shared" si="24"/>
        <v>Sport and recreation2300</v>
      </c>
      <c r="F31" s="398" t="str">
        <f t="shared" si="24"/>
        <v>Public safety2300</v>
      </c>
      <c r="G31" s="398" t="str">
        <f t="shared" si="24"/>
        <v>Housing2300</v>
      </c>
      <c r="H31" s="398" t="str">
        <f t="shared" si="24"/>
        <v>Health2300</v>
      </c>
      <c r="I31" s="398" t="str">
        <f t="shared" si="24"/>
        <v>Planning and development2300</v>
      </c>
      <c r="J31" s="398" t="str">
        <f t="shared" si="24"/>
        <v>Road transport2300</v>
      </c>
      <c r="K31" s="398" t="str">
        <f t="shared" si="24"/>
        <v>Environmental protection2300</v>
      </c>
      <c r="L31" s="398" t="str">
        <f t="shared" si="24"/>
        <v>Other2300</v>
      </c>
      <c r="M31" s="398" t="str">
        <f t="shared" si="24"/>
        <v>Energy sources2300</v>
      </c>
      <c r="N31" s="398" t="str">
        <f t="shared" si="24"/>
        <v>Water management2300</v>
      </c>
      <c r="O31" s="398" t="str">
        <f t="shared" si="24"/>
        <v>Waste water management2300</v>
      </c>
      <c r="P31" s="398" t="str">
        <f t="shared" si="24"/>
        <v>Waste management2300</v>
      </c>
      <c r="Q31" s="745" t="s">
        <v>719</v>
      </c>
      <c r="R31" s="745" t="s">
        <v>719</v>
      </c>
      <c r="S31" s="994"/>
      <c r="T31" s="748" t="s">
        <v>687</v>
      </c>
      <c r="U31" s="804">
        <f ca="1">SUMIF('3.Inc &amp; Exp per Function'!$D30:$D1129,'5.Cons and detailed recon'!A31,'3.Inc &amp; Exp per Function'!$U30:$U1128)</f>
        <v>0</v>
      </c>
      <c r="V31" s="804">
        <f ca="1">SUMIF('3.Inc &amp; Exp per Function'!$D30:$D1129,'5.Cons and detailed recon'!B31,'3.Inc &amp; Exp per Function'!$U30:$U1128)</f>
        <v>3862950</v>
      </c>
      <c r="W31" s="804">
        <f ca="1">SUMIF('3.Inc &amp; Exp per Function'!$D30:$D1129,'5.Cons and detailed recon'!C31,'3.Inc &amp; Exp per Function'!$U30:$U1128)</f>
        <v>0</v>
      </c>
      <c r="X31" s="413">
        <f t="shared" ca="1" si="16"/>
        <v>3862950</v>
      </c>
      <c r="Y31" s="1326">
        <f ca="1">SUMIF('3.Inc &amp; Exp per Function'!$D30:$D1129,'5.Cons and detailed recon'!D31,'3.Inc &amp; Exp per Function'!$U30:$U1128)</f>
        <v>0</v>
      </c>
      <c r="Z31" s="1326">
        <f ca="1">SUMIF('3.Inc &amp; Exp per Function'!$D30:$D1129,'5.Cons and detailed recon'!E31,'3.Inc &amp; Exp per Function'!$U30:$U1128)</f>
        <v>0</v>
      </c>
      <c r="AA31" s="1326">
        <f ca="1">SUMIF('3.Inc &amp; Exp per Function'!$D30:$D1129,'5.Cons and detailed recon'!F31,'3.Inc &amp; Exp per Function'!$U30:$U1128)</f>
        <v>0</v>
      </c>
      <c r="AB31" s="1326">
        <f ca="1">SUMIF('3.Inc &amp; Exp per Function'!$D30:$D1129,'5.Cons and detailed recon'!G31,'3.Inc &amp; Exp per Function'!$U30:$U1128)</f>
        <v>0</v>
      </c>
      <c r="AC31" s="1326">
        <f ca="1">SUMIF('3.Inc &amp; Exp per Function'!$D30:$D1129,'5.Cons and detailed recon'!H31,'3.Inc &amp; Exp per Function'!$U30:$U1128)</f>
        <v>0</v>
      </c>
      <c r="AD31" s="1326">
        <f ca="1">SUMIF('3.Inc &amp; Exp per Function'!$D30:$D1129,'5.Cons and detailed recon'!I31,'3.Inc &amp; Exp per Function'!$U30:$U1128)</f>
        <v>0</v>
      </c>
      <c r="AE31" s="1326">
        <f ca="1">SUMIF('3.Inc &amp; Exp per Function'!$D30:$D1129,'5.Cons and detailed recon'!J31,'3.Inc &amp; Exp per Function'!$U30:$U1128)</f>
        <v>0</v>
      </c>
      <c r="AF31" s="1326">
        <f ca="1">SUMIF('3.Inc &amp; Exp per Function'!$D30:$D1129,'5.Cons and detailed recon'!K31,'3.Inc &amp; Exp per Function'!$U30:$U1128)</f>
        <v>0</v>
      </c>
      <c r="AG31" s="1326">
        <f ca="1">SUMIF('3.Inc &amp; Exp per Function'!$D30:$D1129,'5.Cons and detailed recon'!L31,'3.Inc &amp; Exp per Function'!$U30:$U1128)</f>
        <v>0</v>
      </c>
      <c r="AH31" s="413">
        <f t="shared" ca="1" si="3"/>
        <v>0</v>
      </c>
      <c r="AI31" s="804">
        <f ca="1">SUMIF('3.Inc &amp; Exp per Function'!$D30:$D1129,'5.Cons and detailed recon'!M31,'3.Inc &amp; Exp per Function'!$U30:$U1128)</f>
        <v>0</v>
      </c>
      <c r="AJ31" s="804">
        <f ca="1">SUMIF('3.Inc &amp; Exp per Function'!$D30:$D1129,'5.Cons and detailed recon'!N31,'3.Inc &amp; Exp per Function'!$U30:$U1128)</f>
        <v>0</v>
      </c>
      <c r="AK31" s="804">
        <f ca="1">SUMIF('3.Inc &amp; Exp per Function'!$D30:$D1129,'5.Cons and detailed recon'!O31,'3.Inc &amp; Exp per Function'!$U30:$U1128)</f>
        <v>0</v>
      </c>
      <c r="AL31" s="804">
        <f ca="1">SUMIF('3.Inc &amp; Exp per Function'!$D30:$D1129,'5.Cons and detailed recon'!P31,'3.Inc &amp; Exp per Function'!$U30:$U1128)</f>
        <v>0</v>
      </c>
      <c r="AM31" s="748">
        <f t="shared" ca="1" si="0"/>
        <v>0</v>
      </c>
      <c r="AN31" s="794"/>
      <c r="AO31" s="791">
        <f t="shared" ca="1" si="18"/>
        <v>3862950</v>
      </c>
      <c r="AP31" s="414">
        <f>SUMIF('4.Inc &amp; Exp Summary'!A:A,'5.Cons and detailed recon'!R31,'4.Inc &amp; Exp Summary'!L:L)</f>
        <v>0</v>
      </c>
      <c r="AQ31" s="415">
        <f t="shared" ca="1" si="23"/>
        <v>3862950</v>
      </c>
      <c r="AR31" s="720"/>
      <c r="AS31" s="730"/>
      <c r="AT31" s="408"/>
      <c r="AU31" s="398" t="str">
        <f t="shared" si="25"/>
        <v>Executive and Council2300</v>
      </c>
      <c r="AV31" s="398" t="str">
        <f t="shared" si="25"/>
        <v>Finance and administration2300</v>
      </c>
      <c r="AW31" s="398" t="str">
        <f t="shared" si="25"/>
        <v>Internal audit2300</v>
      </c>
      <c r="AX31" s="398" t="str">
        <f t="shared" si="25"/>
        <v>Community and social services2300</v>
      </c>
      <c r="AY31" s="398" t="str">
        <f t="shared" si="25"/>
        <v>Sport and recreation2300</v>
      </c>
      <c r="AZ31" s="398" t="str">
        <f t="shared" si="25"/>
        <v>Public safety2300</v>
      </c>
      <c r="BA31" s="398" t="str">
        <f t="shared" si="25"/>
        <v>Housing2300</v>
      </c>
      <c r="BB31" s="398" t="str">
        <f t="shared" si="25"/>
        <v>Health2300</v>
      </c>
      <c r="BC31" s="398" t="str">
        <f t="shared" si="25"/>
        <v>Planning and development2300</v>
      </c>
      <c r="BD31" s="398" t="str">
        <f t="shared" si="25"/>
        <v>Road transport2300</v>
      </c>
      <c r="BE31" s="398" t="str">
        <f t="shared" si="25"/>
        <v>Environmental protection2300</v>
      </c>
      <c r="BF31" s="398" t="str">
        <f t="shared" si="25"/>
        <v>Other2300</v>
      </c>
      <c r="BG31" s="398" t="str">
        <f t="shared" si="25"/>
        <v>Energy sources2300</v>
      </c>
      <c r="BH31" s="398" t="str">
        <f t="shared" si="25"/>
        <v>Water management2300</v>
      </c>
      <c r="BI31" s="398" t="str">
        <f t="shared" si="25"/>
        <v>Waste water management2300</v>
      </c>
      <c r="BJ31" s="398" t="str">
        <f t="shared" si="25"/>
        <v>Waste management2300</v>
      </c>
      <c r="BK31" s="745" t="s">
        <v>719</v>
      </c>
      <c r="BL31" s="745" t="s">
        <v>719</v>
      </c>
      <c r="BM31" s="735"/>
      <c r="BN31" s="748" t="s">
        <v>687</v>
      </c>
      <c r="BO31" s="751">
        <f ca="1">SUMIF('3.Inc &amp; Exp per Function'!$D31:$D1129,'5.Cons and detailed recon'!AU31,'3.Inc &amp; Exp per Function'!$V31:$V1128)</f>
        <v>0</v>
      </c>
      <c r="BP31" s="751">
        <f ca="1">SUMIF('3.Inc &amp; Exp per Function'!$D30:$D1129,'5.Cons and detailed recon'!AV31,'3.Inc &amp; Exp per Function'!$V30:$V1128)</f>
        <v>3994290</v>
      </c>
      <c r="BQ31" s="751">
        <f ca="1">SUMIF('3.Inc &amp; Exp per Function'!$D30:$D1129,'5.Cons and detailed recon'!AW31,'3.Inc &amp; Exp per Function'!$V30:$V1128)</f>
        <v>0</v>
      </c>
      <c r="BR31" s="413">
        <f t="shared" ca="1" si="6"/>
        <v>3994290</v>
      </c>
      <c r="BS31" s="751">
        <f ca="1">SUMIF('3.Inc &amp; Exp per Function'!$D30:$D1129,'5.Cons and detailed recon'!AX31,'3.Inc &amp; Exp per Function'!$V30:$V1128)</f>
        <v>0</v>
      </c>
      <c r="BT31" s="751">
        <f ca="1">SUMIF('3.Inc &amp; Exp per Function'!$D30:$D1129,'5.Cons and detailed recon'!AY31,'3.Inc &amp; Exp per Function'!$V30:$V1128)</f>
        <v>0</v>
      </c>
      <c r="BU31" s="751">
        <f ca="1">SUMIF('3.Inc &amp; Exp per Function'!$D30:$D1129,'5.Cons and detailed recon'!AZ31,'3.Inc &amp; Exp per Function'!$V30:$V1128)</f>
        <v>0</v>
      </c>
      <c r="BV31" s="751">
        <f ca="1">SUMIF('3.Inc &amp; Exp per Function'!$D30:$D1129,'5.Cons and detailed recon'!BA31,'3.Inc &amp; Exp per Function'!$V30:$V1128)</f>
        <v>0</v>
      </c>
      <c r="BW31" s="751">
        <f ca="1">SUMIF('3.Inc &amp; Exp per Function'!$D30:$D1129,'5.Cons and detailed recon'!BB31,'3.Inc &amp; Exp per Function'!$V30:$V1128)</f>
        <v>0</v>
      </c>
      <c r="BX31" s="751">
        <f ca="1">SUMIF('3.Inc &amp; Exp per Function'!$D30:$D1129,'5.Cons and detailed recon'!BC31,'3.Inc &amp; Exp per Function'!$V30:$V1128)</f>
        <v>0</v>
      </c>
      <c r="BY31" s="751">
        <f ca="1">SUMIF('3.Inc &amp; Exp per Function'!$D30:$D1129,'5.Cons and detailed recon'!BD31,'3.Inc &amp; Exp per Function'!$V30:$V1128)</f>
        <v>0</v>
      </c>
      <c r="BZ31" s="751">
        <f ca="1">SUMIF('3.Inc &amp; Exp per Function'!$D30:$D1129,'5.Cons and detailed recon'!BE31,'3.Inc &amp; Exp per Function'!$V30:$V1128)</f>
        <v>0</v>
      </c>
      <c r="CA31" s="751">
        <f ca="1">SUMIF('3.Inc &amp; Exp per Function'!$D30:$D1129,'5.Cons and detailed recon'!BF31,'3.Inc &amp; Exp per Function'!$V30:$V1128)</f>
        <v>0</v>
      </c>
      <c r="CB31" s="413">
        <f t="shared" ca="1" si="7"/>
        <v>0</v>
      </c>
      <c r="CC31" s="751">
        <f ca="1">SUMIF('3.Inc &amp; Exp per Function'!$D30:$D1129,'5.Cons and detailed recon'!BG31,'3.Inc &amp; Exp per Function'!$V30:$V1128)</f>
        <v>0</v>
      </c>
      <c r="CD31" s="751">
        <f ca="1">SUMIF('3.Inc &amp; Exp per Function'!$D30:$D1129,'5.Cons and detailed recon'!BH31,'3.Inc &amp; Exp per Function'!$V30:$V1128)</f>
        <v>0</v>
      </c>
      <c r="CE31" s="751">
        <f ca="1">SUMIF('3.Inc &amp; Exp per Function'!$D30:$D1129,'5.Cons and detailed recon'!BI31,'3.Inc &amp; Exp per Function'!$V30:$V1128)</f>
        <v>0</v>
      </c>
      <c r="CF31" s="751">
        <f ca="1">SUMIF('3.Inc &amp; Exp per Function'!$D30:$D1129,'5.Cons and detailed recon'!BJ31,'3.Inc &amp; Exp per Function'!$V30:$V1128)</f>
        <v>0</v>
      </c>
      <c r="CG31" s="748">
        <f t="shared" ca="1" si="8"/>
        <v>0</v>
      </c>
      <c r="CH31" s="794"/>
      <c r="CI31" s="791">
        <f t="shared" ca="1" si="9"/>
        <v>3994290</v>
      </c>
      <c r="CJ31" s="411">
        <f>SUMIF('4.Inc &amp; Exp Summary'!A:A,'5.Cons and detailed recon'!R31,'4.Inc &amp; Exp Summary'!M:M)</f>
        <v>0</v>
      </c>
      <c r="CK31" s="415">
        <f t="shared" ca="1" si="17"/>
        <v>3994290</v>
      </c>
      <c r="CL31" s="720"/>
      <c r="CM31" s="730"/>
      <c r="CO31" s="398" t="str">
        <f t="shared" si="26"/>
        <v>Executive and Council2300</v>
      </c>
      <c r="CP31" s="398" t="str">
        <f t="shared" si="26"/>
        <v>Finance and administration2300</v>
      </c>
      <c r="CQ31" s="398" t="str">
        <f t="shared" si="26"/>
        <v>Internal audit2300</v>
      </c>
      <c r="CR31" s="398" t="str">
        <f t="shared" si="26"/>
        <v>Community and social services2300</v>
      </c>
      <c r="CS31" s="398" t="str">
        <f t="shared" si="26"/>
        <v>Sport and recreation2300</v>
      </c>
      <c r="CT31" s="398" t="str">
        <f t="shared" si="26"/>
        <v>Public safety2300</v>
      </c>
      <c r="CU31" s="398" t="str">
        <f t="shared" si="26"/>
        <v>Housing2300</v>
      </c>
      <c r="CV31" s="398" t="str">
        <f t="shared" si="26"/>
        <v>Health2300</v>
      </c>
      <c r="CW31" s="398" t="str">
        <f t="shared" si="26"/>
        <v>Planning and development2300</v>
      </c>
      <c r="CX31" s="398" t="str">
        <f t="shared" si="26"/>
        <v>Road transport2300</v>
      </c>
      <c r="CY31" s="398" t="str">
        <f t="shared" si="26"/>
        <v>Environmental protection2300</v>
      </c>
      <c r="CZ31" s="398" t="str">
        <f t="shared" si="26"/>
        <v>Other2300</v>
      </c>
      <c r="DA31" s="398" t="str">
        <f t="shared" si="26"/>
        <v>Energy sources2300</v>
      </c>
      <c r="DB31" s="398" t="str">
        <f t="shared" si="26"/>
        <v>Water management2300</v>
      </c>
      <c r="DC31" s="398" t="str">
        <f t="shared" si="26"/>
        <v>Waste water management2300</v>
      </c>
      <c r="DD31" s="398" t="str">
        <f t="shared" si="26"/>
        <v>Waste management2300</v>
      </c>
      <c r="DE31" s="745" t="s">
        <v>719</v>
      </c>
      <c r="DF31" s="745" t="s">
        <v>719</v>
      </c>
      <c r="DG31" s="735"/>
      <c r="DH31" s="748" t="s">
        <v>687</v>
      </c>
      <c r="DI31" s="751">
        <f ca="1">SUMIF('3.Inc &amp; Exp per Function'!$D30:$D1129,'5.Cons and detailed recon'!CO31,'3.Inc &amp; Exp per Function'!$W30:$W1128)</f>
        <v>0</v>
      </c>
      <c r="DJ31" s="751">
        <f ca="1">SUMIF('3.Inc &amp; Exp per Function'!$D30:$D1128,'5.Cons and detailed recon'!CP31,'3.Inc &amp; Exp per Function'!$W30:$W1127)</f>
        <v>4122107</v>
      </c>
      <c r="DK31" s="751">
        <f ca="1">SUMIF('3.Inc &amp; Exp per Function'!$D30:$D1128,'5.Cons and detailed recon'!CQ31,'3.Inc &amp; Exp per Function'!$W30:$W1127)</f>
        <v>0</v>
      </c>
      <c r="DL31" s="413">
        <f t="shared" ca="1" si="11"/>
        <v>4122107</v>
      </c>
      <c r="DM31" s="751">
        <f ca="1">SUMIF('3.Inc &amp; Exp per Function'!$D30:$D1128,'5.Cons and detailed recon'!CR31,'3.Inc &amp; Exp per Function'!$W30:$W1127)</f>
        <v>0</v>
      </c>
      <c r="DN31" s="751">
        <f ca="1">SUMIF('3.Inc &amp; Exp per Function'!$D30:$D1128,'5.Cons and detailed recon'!CS31,'3.Inc &amp; Exp per Function'!$W30:$W1127)</f>
        <v>0</v>
      </c>
      <c r="DO31" s="751">
        <f ca="1">SUMIF('3.Inc &amp; Exp per Function'!$D30:$D1128,'5.Cons and detailed recon'!CT31,'3.Inc &amp; Exp per Function'!$W30:$W1127)</f>
        <v>0</v>
      </c>
      <c r="DP31" s="751">
        <f ca="1">SUMIF('3.Inc &amp; Exp per Function'!$D30:$D1128,'5.Cons and detailed recon'!CU31,'3.Inc &amp; Exp per Function'!$W30:$W1127)</f>
        <v>0</v>
      </c>
      <c r="DQ31" s="751">
        <f ca="1">SUMIF('3.Inc &amp; Exp per Function'!$D30:$D1128,'5.Cons and detailed recon'!CV31,'3.Inc &amp; Exp per Function'!$W30:$W1127)</f>
        <v>0</v>
      </c>
      <c r="DR31" s="751">
        <f ca="1">SUMIF('3.Inc &amp; Exp per Function'!$D30:$D1128,'5.Cons and detailed recon'!CW31,'3.Inc &amp; Exp per Function'!$W30:$W1127)</f>
        <v>0</v>
      </c>
      <c r="DS31" s="751">
        <f ca="1">SUMIF('3.Inc &amp; Exp per Function'!$D30:$D1128,'5.Cons and detailed recon'!CX31,'3.Inc &amp; Exp per Function'!$W30:$W1127)</f>
        <v>0</v>
      </c>
      <c r="DT31" s="751">
        <f ca="1">SUMIF('3.Inc &amp; Exp per Function'!$D30:$D1128,'5.Cons and detailed recon'!CY31,'3.Inc &amp; Exp per Function'!$W30:$W1127)</f>
        <v>0</v>
      </c>
      <c r="DU31" s="751">
        <f ca="1">SUMIF('3.Inc &amp; Exp per Function'!$D30:$D1128,'5.Cons and detailed recon'!CZ31,'3.Inc &amp; Exp per Function'!$W30:$W1127)</f>
        <v>0</v>
      </c>
      <c r="DV31" s="413">
        <f t="shared" ca="1" si="12"/>
        <v>0</v>
      </c>
      <c r="DW31" s="751">
        <f ca="1">SUMIF('3.Inc &amp; Exp per Function'!$D30:$D1128,'5.Cons and detailed recon'!DA31,'3.Inc &amp; Exp per Function'!$W30:$W1127)</f>
        <v>0</v>
      </c>
      <c r="DX31" s="751">
        <f ca="1">SUMIF('3.Inc &amp; Exp per Function'!$D30:$D1128,'5.Cons and detailed recon'!DB31,'3.Inc &amp; Exp per Function'!$W30:$W1127)</f>
        <v>0</v>
      </c>
      <c r="DY31" s="751">
        <f ca="1">SUMIF('3.Inc &amp; Exp per Function'!$D30:$D1128,'5.Cons and detailed recon'!DC31,'3.Inc &amp; Exp per Function'!$W30:$W1127)</f>
        <v>0</v>
      </c>
      <c r="DZ31" s="751">
        <f ca="1">SUMIF('3.Inc &amp; Exp per Function'!$D30:$D1128,'5.Cons and detailed recon'!DD31,'3.Inc &amp; Exp per Function'!$W30:$W1127)</f>
        <v>0</v>
      </c>
      <c r="EA31" s="748">
        <f t="shared" ca="1" si="13"/>
        <v>0</v>
      </c>
      <c r="EB31" s="794"/>
      <c r="EC31" s="791">
        <f t="shared" ca="1" si="14"/>
        <v>4122107</v>
      </c>
      <c r="ED31" s="414">
        <f>SUMIF('4.Inc &amp; Exp Summary'!A:A,'5.Cons and detailed recon'!DF31,'4.Inc &amp; Exp Summary'!N:N)</f>
        <v>0</v>
      </c>
      <c r="EE31" s="415">
        <f t="shared" ca="1" si="15"/>
        <v>4122107</v>
      </c>
      <c r="EF31" s="720"/>
      <c r="EG31" s="980"/>
      <c r="EH31" s="980"/>
      <c r="EI31" s="980"/>
      <c r="EJ31" s="980"/>
      <c r="EK31" s="980"/>
      <c r="EL31" s="980"/>
      <c r="EM31" s="980"/>
      <c r="EN31" s="980"/>
      <c r="EO31" s="980"/>
      <c r="EP31" s="980"/>
      <c r="EQ31" s="980"/>
      <c r="ER31" s="980"/>
      <c r="ES31" s="980"/>
      <c r="ET31" s="980"/>
      <c r="EU31" s="980"/>
      <c r="EV31" s="980"/>
      <c r="EW31" s="980"/>
      <c r="EX31" s="980"/>
      <c r="EY31" s="980"/>
      <c r="EZ31" s="980"/>
      <c r="FA31" s="980"/>
      <c r="FB31" s="980"/>
      <c r="FC31" s="980"/>
      <c r="FD31" s="980"/>
      <c r="FE31" s="980"/>
      <c r="FF31" s="980"/>
      <c r="FG31" s="980"/>
      <c r="FH31" s="980"/>
      <c r="FI31" s="980"/>
      <c r="FJ31" s="980"/>
      <c r="FK31" s="980"/>
      <c r="FL31" s="980"/>
      <c r="FM31" s="980"/>
      <c r="FN31" s="980"/>
      <c r="FO31" s="980"/>
      <c r="FP31" s="980"/>
      <c r="FQ31" s="980"/>
      <c r="FR31" s="980"/>
      <c r="FS31" s="980"/>
      <c r="FT31" s="980"/>
      <c r="FU31" s="980"/>
      <c r="FV31" s="980"/>
      <c r="FW31" s="980"/>
      <c r="FX31" s="980"/>
      <c r="FY31" s="980"/>
      <c r="FZ31" s="980"/>
      <c r="GA31" s="980"/>
      <c r="GB31" s="980"/>
      <c r="GC31" s="980"/>
      <c r="GD31" s="980"/>
      <c r="GE31" s="980"/>
      <c r="GF31" s="980"/>
      <c r="GG31" s="980"/>
      <c r="GH31" s="980"/>
      <c r="GI31" s="980"/>
      <c r="GJ31" s="980"/>
      <c r="GK31" s="980"/>
      <c r="GL31" s="980"/>
      <c r="GM31" s="980"/>
      <c r="GN31" s="980"/>
      <c r="GO31" s="980"/>
      <c r="GP31" s="980"/>
      <c r="GQ31" s="980"/>
      <c r="GR31" s="980"/>
      <c r="GS31" s="980"/>
      <c r="GT31" s="980"/>
      <c r="GU31" s="980"/>
      <c r="GV31" s="980"/>
      <c r="GW31" s="980"/>
      <c r="GX31" s="980"/>
      <c r="GY31" s="980"/>
      <c r="GZ31" s="980"/>
      <c r="HA31" s="980"/>
      <c r="HB31" s="980"/>
      <c r="HC31" s="980"/>
      <c r="HD31" s="980"/>
      <c r="HE31" s="980"/>
      <c r="HF31" s="980"/>
      <c r="HG31" s="980"/>
      <c r="HH31" s="980"/>
      <c r="HI31" s="980"/>
      <c r="HJ31" s="980"/>
      <c r="HK31" s="980"/>
      <c r="HL31" s="980"/>
      <c r="HM31" s="980"/>
      <c r="HN31" s="980"/>
      <c r="HO31" s="980"/>
      <c r="HP31" s="980"/>
      <c r="HQ31" s="980"/>
      <c r="HR31" s="980"/>
      <c r="HS31" s="980"/>
      <c r="HT31" s="980"/>
      <c r="HU31" s="980"/>
      <c r="HV31" s="980"/>
      <c r="HW31" s="980"/>
      <c r="HX31" s="980"/>
      <c r="HY31" s="980"/>
      <c r="HZ31" s="980"/>
      <c r="IA31" s="980"/>
      <c r="IB31" s="980"/>
      <c r="IC31" s="980"/>
      <c r="ID31" s="980"/>
      <c r="IE31" s="980"/>
      <c r="IF31" s="980"/>
      <c r="IG31" s="980"/>
      <c r="IH31" s="980"/>
      <c r="II31" s="980"/>
      <c r="IJ31" s="980"/>
      <c r="IK31" s="980"/>
      <c r="IL31" s="980"/>
      <c r="IM31" s="980"/>
      <c r="IN31" s="980"/>
      <c r="IO31" s="980"/>
      <c r="IP31" s="980"/>
      <c r="IQ31" s="980"/>
      <c r="IR31" s="980"/>
      <c r="IS31" s="980"/>
      <c r="IT31" s="980"/>
      <c r="IU31" s="980"/>
      <c r="IV31" s="980"/>
    </row>
    <row r="32" spans="1:256" s="409" customFormat="1" ht="12" customHeight="1" x14ac:dyDescent="0.55000000000000004">
      <c r="A32" s="398" t="str">
        <f t="shared" si="1"/>
        <v>Executive and Council2400</v>
      </c>
      <c r="B32" s="398" t="str">
        <f t="shared" si="24"/>
        <v>Finance and administration2400</v>
      </c>
      <c r="C32" s="398" t="str">
        <f t="shared" si="24"/>
        <v>Internal audit2400</v>
      </c>
      <c r="D32" s="398" t="str">
        <f t="shared" si="24"/>
        <v>Community and social services2400</v>
      </c>
      <c r="E32" s="398" t="str">
        <f t="shared" si="24"/>
        <v>Sport and recreation2400</v>
      </c>
      <c r="F32" s="398" t="str">
        <f t="shared" si="24"/>
        <v>Public safety2400</v>
      </c>
      <c r="G32" s="398" t="str">
        <f t="shared" si="24"/>
        <v>Housing2400</v>
      </c>
      <c r="H32" s="398" t="str">
        <f t="shared" si="24"/>
        <v>Health2400</v>
      </c>
      <c r="I32" s="398" t="str">
        <f t="shared" si="24"/>
        <v>Planning and development2400</v>
      </c>
      <c r="J32" s="398" t="str">
        <f t="shared" si="24"/>
        <v>Road transport2400</v>
      </c>
      <c r="K32" s="398" t="str">
        <f t="shared" si="24"/>
        <v>Environmental protection2400</v>
      </c>
      <c r="L32" s="398" t="str">
        <f t="shared" si="24"/>
        <v>Other2400</v>
      </c>
      <c r="M32" s="398" t="str">
        <f t="shared" si="24"/>
        <v>Energy sources2400</v>
      </c>
      <c r="N32" s="398" t="str">
        <f t="shared" si="24"/>
        <v>Water management2400</v>
      </c>
      <c r="O32" s="398" t="str">
        <f t="shared" si="24"/>
        <v>Waste water management2400</v>
      </c>
      <c r="P32" s="398" t="str">
        <f t="shared" si="24"/>
        <v>Waste management2400</v>
      </c>
      <c r="Q32" s="745" t="s">
        <v>721</v>
      </c>
      <c r="R32" s="745" t="s">
        <v>721</v>
      </c>
      <c r="S32" s="994"/>
      <c r="T32" s="748" t="s">
        <v>722</v>
      </c>
      <c r="U32" s="804">
        <f ca="1">SUMIF('3.Inc &amp; Exp per Function'!$D31:$D1130,'5.Cons and detailed recon'!A32,'3.Inc &amp; Exp per Function'!$U31:$U1129)</f>
        <v>0</v>
      </c>
      <c r="V32" s="804">
        <f ca="1">SUMIF('3.Inc &amp; Exp per Function'!$D31:$D1130,'5.Cons and detailed recon'!B32,'3.Inc &amp; Exp per Function'!$U31:$U1129)</f>
        <v>0</v>
      </c>
      <c r="W32" s="804">
        <f ca="1">SUMIF('3.Inc &amp; Exp per Function'!$D31:$D1130,'5.Cons and detailed recon'!C32,'3.Inc &amp; Exp per Function'!$U31:$U1129)</f>
        <v>0</v>
      </c>
      <c r="X32" s="413">
        <f t="shared" ca="1" si="16"/>
        <v>0</v>
      </c>
      <c r="Y32" s="1326">
        <f ca="1">SUMIF('3.Inc &amp; Exp per Function'!$D31:$D1130,'5.Cons and detailed recon'!D32,'3.Inc &amp; Exp per Function'!$U31:$U1129)</f>
        <v>0</v>
      </c>
      <c r="Z32" s="1326">
        <f ca="1">SUMIF('3.Inc &amp; Exp per Function'!$D31:$D1130,'5.Cons and detailed recon'!E32,'3.Inc &amp; Exp per Function'!$U31:$U1129)</f>
        <v>0</v>
      </c>
      <c r="AA32" s="1326">
        <f ca="1">SUMIF('3.Inc &amp; Exp per Function'!$D31:$D1130,'5.Cons and detailed recon'!F32,'3.Inc &amp; Exp per Function'!$U31:$U1129)</f>
        <v>0</v>
      </c>
      <c r="AB32" s="1326">
        <f ca="1">SUMIF('3.Inc &amp; Exp per Function'!$D31:$D1130,'5.Cons and detailed recon'!G32,'3.Inc &amp; Exp per Function'!$U31:$U1129)</f>
        <v>0</v>
      </c>
      <c r="AC32" s="1326">
        <f ca="1">SUMIF('3.Inc &amp; Exp per Function'!$D31:$D1130,'5.Cons and detailed recon'!H32,'3.Inc &amp; Exp per Function'!$U31:$U1129)</f>
        <v>0</v>
      </c>
      <c r="AD32" s="1326">
        <f ca="1">SUMIF('3.Inc &amp; Exp per Function'!$D31:$D1130,'5.Cons and detailed recon'!I32,'3.Inc &amp; Exp per Function'!$U31:$U1129)</f>
        <v>0</v>
      </c>
      <c r="AE32" s="1326">
        <f ca="1">SUMIF('3.Inc &amp; Exp per Function'!$D31:$D1130,'5.Cons and detailed recon'!J32,'3.Inc &amp; Exp per Function'!$U31:$U1129)</f>
        <v>0</v>
      </c>
      <c r="AF32" s="1326">
        <f ca="1">SUMIF('3.Inc &amp; Exp per Function'!$D31:$D1130,'5.Cons and detailed recon'!K32,'3.Inc &amp; Exp per Function'!$U31:$U1129)</f>
        <v>0</v>
      </c>
      <c r="AG32" s="1326">
        <f ca="1">SUMIF('3.Inc &amp; Exp per Function'!$D31:$D1130,'5.Cons and detailed recon'!L32,'3.Inc &amp; Exp per Function'!$U31:$U1129)</f>
        <v>0</v>
      </c>
      <c r="AH32" s="413">
        <f t="shared" ca="1" si="3"/>
        <v>0</v>
      </c>
      <c r="AI32" s="804">
        <f ca="1">SUMIF('3.Inc &amp; Exp per Function'!$D31:$D1130,'5.Cons and detailed recon'!M32,'3.Inc &amp; Exp per Function'!$U31:$U1129)</f>
        <v>0</v>
      </c>
      <c r="AJ32" s="804">
        <f ca="1">SUMIF('3.Inc &amp; Exp per Function'!$D31:$D1130,'5.Cons and detailed recon'!N32,'3.Inc &amp; Exp per Function'!$U31:$U1129)</f>
        <v>0</v>
      </c>
      <c r="AK32" s="804">
        <f ca="1">SUMIF('3.Inc &amp; Exp per Function'!$D31:$D1130,'5.Cons and detailed recon'!O32,'3.Inc &amp; Exp per Function'!$U31:$U1129)</f>
        <v>0</v>
      </c>
      <c r="AL32" s="804">
        <f ca="1">SUMIF('3.Inc &amp; Exp per Function'!$D31:$D1130,'5.Cons and detailed recon'!P32,'3.Inc &amp; Exp per Function'!$U31:$U1129)</f>
        <v>0</v>
      </c>
      <c r="AM32" s="748">
        <f t="shared" ca="1" si="0"/>
        <v>0</v>
      </c>
      <c r="AN32" s="794"/>
      <c r="AO32" s="791">
        <f t="shared" ca="1" si="18"/>
        <v>0</v>
      </c>
      <c r="AP32" s="414">
        <f>SUMIF('4.Inc &amp; Exp Summary'!A:A,'5.Cons and detailed recon'!R32,'4.Inc &amp; Exp Summary'!L:L)</f>
        <v>180298435</v>
      </c>
      <c r="AQ32" s="415">
        <f t="shared" ca="1" si="23"/>
        <v>-180298435</v>
      </c>
      <c r="AR32" s="720"/>
      <c r="AS32" s="730"/>
      <c r="AT32" s="408"/>
      <c r="AU32" s="398" t="str">
        <f t="shared" si="25"/>
        <v>Executive and Council2400</v>
      </c>
      <c r="AV32" s="398" t="str">
        <f t="shared" si="25"/>
        <v>Finance and administration2400</v>
      </c>
      <c r="AW32" s="398" t="str">
        <f t="shared" si="25"/>
        <v>Internal audit2400</v>
      </c>
      <c r="AX32" s="398" t="str">
        <f t="shared" si="25"/>
        <v>Community and social services2400</v>
      </c>
      <c r="AY32" s="398" t="str">
        <f t="shared" si="25"/>
        <v>Sport and recreation2400</v>
      </c>
      <c r="AZ32" s="398" t="str">
        <f t="shared" si="25"/>
        <v>Public safety2400</v>
      </c>
      <c r="BA32" s="398" t="str">
        <f t="shared" si="25"/>
        <v>Housing2400</v>
      </c>
      <c r="BB32" s="398" t="str">
        <f t="shared" si="25"/>
        <v>Health2400</v>
      </c>
      <c r="BC32" s="398" t="str">
        <f t="shared" si="25"/>
        <v>Planning and development2400</v>
      </c>
      <c r="BD32" s="398" t="str">
        <f t="shared" si="25"/>
        <v>Road transport2400</v>
      </c>
      <c r="BE32" s="398" t="str">
        <f t="shared" si="25"/>
        <v>Environmental protection2400</v>
      </c>
      <c r="BF32" s="398" t="str">
        <f t="shared" si="25"/>
        <v>Other2400</v>
      </c>
      <c r="BG32" s="398" t="str">
        <f t="shared" si="25"/>
        <v>Energy sources2400</v>
      </c>
      <c r="BH32" s="398" t="str">
        <f t="shared" si="25"/>
        <v>Water management2400</v>
      </c>
      <c r="BI32" s="398" t="str">
        <f t="shared" si="25"/>
        <v>Waste water management2400</v>
      </c>
      <c r="BJ32" s="398" t="str">
        <f t="shared" si="25"/>
        <v>Waste management2400</v>
      </c>
      <c r="BK32" s="745" t="s">
        <v>721</v>
      </c>
      <c r="BL32" s="745" t="s">
        <v>721</v>
      </c>
      <c r="BM32" s="735"/>
      <c r="BN32" s="748" t="s">
        <v>722</v>
      </c>
      <c r="BO32" s="751">
        <f ca="1">SUMIF('3.Inc &amp; Exp per Function'!$D32:$D1130,'5.Cons and detailed recon'!AU32,'3.Inc &amp; Exp per Function'!$V32:$V1129)</f>
        <v>0</v>
      </c>
      <c r="BP32" s="751">
        <f ca="1">SUMIF('3.Inc &amp; Exp per Function'!$D31:$D1130,'5.Cons and detailed recon'!AV32,'3.Inc &amp; Exp per Function'!$V31:$V1129)</f>
        <v>0</v>
      </c>
      <c r="BQ32" s="751">
        <f ca="1">SUMIF('3.Inc &amp; Exp per Function'!$D31:$D1130,'5.Cons and detailed recon'!AW32,'3.Inc &amp; Exp per Function'!$V31:$V1129)</f>
        <v>0</v>
      </c>
      <c r="BR32" s="413">
        <f t="shared" ca="1" si="6"/>
        <v>0</v>
      </c>
      <c r="BS32" s="751">
        <f ca="1">SUMIF('3.Inc &amp; Exp per Function'!$D31:$D1130,'5.Cons and detailed recon'!AX32,'3.Inc &amp; Exp per Function'!$V31:$V1129)</f>
        <v>0</v>
      </c>
      <c r="BT32" s="751">
        <f ca="1">SUMIF('3.Inc &amp; Exp per Function'!$D31:$D1130,'5.Cons and detailed recon'!AY32,'3.Inc &amp; Exp per Function'!$V31:$V1129)</f>
        <v>0</v>
      </c>
      <c r="BU32" s="751">
        <f ca="1">SUMIF('3.Inc &amp; Exp per Function'!$D31:$D1130,'5.Cons and detailed recon'!AZ32,'3.Inc &amp; Exp per Function'!$V31:$V1129)</f>
        <v>0</v>
      </c>
      <c r="BV32" s="751">
        <f ca="1">SUMIF('3.Inc &amp; Exp per Function'!$D31:$D1130,'5.Cons and detailed recon'!BA32,'3.Inc &amp; Exp per Function'!$V31:$V1129)</f>
        <v>0</v>
      </c>
      <c r="BW32" s="751">
        <f ca="1">SUMIF('3.Inc &amp; Exp per Function'!$D31:$D1130,'5.Cons and detailed recon'!BB32,'3.Inc &amp; Exp per Function'!$V31:$V1129)</f>
        <v>0</v>
      </c>
      <c r="BX32" s="751">
        <f ca="1">SUMIF('3.Inc &amp; Exp per Function'!$D31:$D1130,'5.Cons and detailed recon'!BC32,'3.Inc &amp; Exp per Function'!$V31:$V1129)</f>
        <v>0</v>
      </c>
      <c r="BY32" s="751">
        <f ca="1">SUMIF('3.Inc &amp; Exp per Function'!$D31:$D1130,'5.Cons and detailed recon'!BD32,'3.Inc &amp; Exp per Function'!$V31:$V1129)</f>
        <v>0</v>
      </c>
      <c r="BZ32" s="751">
        <f ca="1">SUMIF('3.Inc &amp; Exp per Function'!$D31:$D1130,'5.Cons and detailed recon'!BE32,'3.Inc &amp; Exp per Function'!$V31:$V1129)</f>
        <v>0</v>
      </c>
      <c r="CA32" s="751">
        <f ca="1">SUMIF('3.Inc &amp; Exp per Function'!$D31:$D1130,'5.Cons and detailed recon'!BF32,'3.Inc &amp; Exp per Function'!$V31:$V1129)</f>
        <v>0</v>
      </c>
      <c r="CB32" s="413">
        <f t="shared" ca="1" si="7"/>
        <v>0</v>
      </c>
      <c r="CC32" s="751">
        <f ca="1">SUMIF('3.Inc &amp; Exp per Function'!$D31:$D1130,'5.Cons and detailed recon'!BG32,'3.Inc &amp; Exp per Function'!$V31:$V1129)</f>
        <v>0</v>
      </c>
      <c r="CD32" s="751">
        <f ca="1">SUMIF('3.Inc &amp; Exp per Function'!$D31:$D1130,'5.Cons and detailed recon'!BH32,'3.Inc &amp; Exp per Function'!$V31:$V1129)</f>
        <v>0</v>
      </c>
      <c r="CE32" s="751">
        <f ca="1">SUMIF('3.Inc &amp; Exp per Function'!$D31:$D1130,'5.Cons and detailed recon'!BI32,'3.Inc &amp; Exp per Function'!$V31:$V1129)</f>
        <v>0</v>
      </c>
      <c r="CF32" s="751">
        <f ca="1">SUMIF('3.Inc &amp; Exp per Function'!$D31:$D1130,'5.Cons and detailed recon'!BJ32,'3.Inc &amp; Exp per Function'!$V31:$V1129)</f>
        <v>0</v>
      </c>
      <c r="CG32" s="748">
        <f t="shared" ca="1" si="8"/>
        <v>0</v>
      </c>
      <c r="CH32" s="794"/>
      <c r="CI32" s="791">
        <f t="shared" ca="1" si="9"/>
        <v>0</v>
      </c>
      <c r="CJ32" s="411">
        <f>SUMIF('4.Inc &amp; Exp Summary'!A:A,'5.Cons and detailed recon'!R32,'4.Inc &amp; Exp Summary'!M:M)</f>
        <v>185740925.99999997</v>
      </c>
      <c r="CK32" s="415">
        <f t="shared" ca="1" si="17"/>
        <v>-185740925.99999997</v>
      </c>
      <c r="CL32" s="720"/>
      <c r="CM32" s="730"/>
      <c r="CO32" s="398" t="str">
        <f t="shared" si="26"/>
        <v>Executive and Council2400</v>
      </c>
      <c r="CP32" s="398" t="str">
        <f t="shared" si="26"/>
        <v>Finance and administration2400</v>
      </c>
      <c r="CQ32" s="398" t="str">
        <f t="shared" si="26"/>
        <v>Internal audit2400</v>
      </c>
      <c r="CR32" s="398" t="str">
        <f t="shared" si="26"/>
        <v>Community and social services2400</v>
      </c>
      <c r="CS32" s="398" t="str">
        <f t="shared" si="26"/>
        <v>Sport and recreation2400</v>
      </c>
      <c r="CT32" s="398" t="str">
        <f t="shared" si="26"/>
        <v>Public safety2400</v>
      </c>
      <c r="CU32" s="398" t="str">
        <f t="shared" si="26"/>
        <v>Housing2400</v>
      </c>
      <c r="CV32" s="398" t="str">
        <f t="shared" si="26"/>
        <v>Health2400</v>
      </c>
      <c r="CW32" s="398" t="str">
        <f t="shared" si="26"/>
        <v>Planning and development2400</v>
      </c>
      <c r="CX32" s="398" t="str">
        <f t="shared" si="26"/>
        <v>Road transport2400</v>
      </c>
      <c r="CY32" s="398" t="str">
        <f t="shared" si="26"/>
        <v>Environmental protection2400</v>
      </c>
      <c r="CZ32" s="398" t="str">
        <f t="shared" si="26"/>
        <v>Other2400</v>
      </c>
      <c r="DA32" s="398" t="str">
        <f t="shared" si="26"/>
        <v>Energy sources2400</v>
      </c>
      <c r="DB32" s="398" t="str">
        <f t="shared" si="26"/>
        <v>Water management2400</v>
      </c>
      <c r="DC32" s="398" t="str">
        <f t="shared" si="26"/>
        <v>Waste water management2400</v>
      </c>
      <c r="DD32" s="398" t="str">
        <f t="shared" si="26"/>
        <v>Waste management2400</v>
      </c>
      <c r="DE32" s="745" t="s">
        <v>721</v>
      </c>
      <c r="DF32" s="745" t="s">
        <v>721</v>
      </c>
      <c r="DG32" s="735"/>
      <c r="DH32" s="748" t="s">
        <v>722</v>
      </c>
      <c r="DI32" s="751">
        <f ca="1">SUMIF('3.Inc &amp; Exp per Function'!$D31:$D1130,'5.Cons and detailed recon'!CO32,'3.Inc &amp; Exp per Function'!$W31:$W1129)</f>
        <v>0</v>
      </c>
      <c r="DJ32" s="751">
        <f ca="1">SUMIF('3.Inc &amp; Exp per Function'!$D31:$D1129,'5.Cons and detailed recon'!CP32,'3.Inc &amp; Exp per Function'!$W31:$W1128)</f>
        <v>0</v>
      </c>
      <c r="DK32" s="751">
        <f ca="1">SUMIF('3.Inc &amp; Exp per Function'!$D31:$D1129,'5.Cons and detailed recon'!CQ32,'3.Inc &amp; Exp per Function'!$W31:$W1128)</f>
        <v>0</v>
      </c>
      <c r="DL32" s="413">
        <f t="shared" ca="1" si="11"/>
        <v>0</v>
      </c>
      <c r="DM32" s="751">
        <f ca="1">SUMIF('3.Inc &amp; Exp per Function'!$D31:$D1129,'5.Cons and detailed recon'!CR32,'3.Inc &amp; Exp per Function'!$W31:$W1128)</f>
        <v>0</v>
      </c>
      <c r="DN32" s="751">
        <f ca="1">SUMIF('3.Inc &amp; Exp per Function'!$D31:$D1129,'5.Cons and detailed recon'!CS32,'3.Inc &amp; Exp per Function'!$W31:$W1128)</f>
        <v>0</v>
      </c>
      <c r="DO32" s="751">
        <f ca="1">SUMIF('3.Inc &amp; Exp per Function'!$D31:$D1129,'5.Cons and detailed recon'!CT32,'3.Inc &amp; Exp per Function'!$W31:$W1128)</f>
        <v>0</v>
      </c>
      <c r="DP32" s="751">
        <f ca="1">SUMIF('3.Inc &amp; Exp per Function'!$D31:$D1129,'5.Cons and detailed recon'!CU32,'3.Inc &amp; Exp per Function'!$W31:$W1128)</f>
        <v>0</v>
      </c>
      <c r="DQ32" s="751">
        <f ca="1">SUMIF('3.Inc &amp; Exp per Function'!$D31:$D1129,'5.Cons and detailed recon'!CV32,'3.Inc &amp; Exp per Function'!$W31:$W1128)</f>
        <v>0</v>
      </c>
      <c r="DR32" s="751">
        <f ca="1">SUMIF('3.Inc &amp; Exp per Function'!$D31:$D1129,'5.Cons and detailed recon'!CW32,'3.Inc &amp; Exp per Function'!$W31:$W1128)</f>
        <v>0</v>
      </c>
      <c r="DS32" s="751">
        <f ca="1">SUMIF('3.Inc &amp; Exp per Function'!$D31:$D1129,'5.Cons and detailed recon'!CX32,'3.Inc &amp; Exp per Function'!$W31:$W1128)</f>
        <v>0</v>
      </c>
      <c r="DT32" s="751">
        <f ca="1">SUMIF('3.Inc &amp; Exp per Function'!$D31:$D1129,'5.Cons and detailed recon'!CY32,'3.Inc &amp; Exp per Function'!$W31:$W1128)</f>
        <v>0</v>
      </c>
      <c r="DU32" s="751">
        <f ca="1">SUMIF('3.Inc &amp; Exp per Function'!$D31:$D1129,'5.Cons and detailed recon'!CZ32,'3.Inc &amp; Exp per Function'!$W31:$W1128)</f>
        <v>0</v>
      </c>
      <c r="DV32" s="413">
        <f t="shared" ca="1" si="12"/>
        <v>0</v>
      </c>
      <c r="DW32" s="751">
        <f ca="1">SUMIF('3.Inc &amp; Exp per Function'!$D31:$D1129,'5.Cons and detailed recon'!DA32,'3.Inc &amp; Exp per Function'!$W31:$W1128)</f>
        <v>0</v>
      </c>
      <c r="DX32" s="751">
        <f ca="1">SUMIF('3.Inc &amp; Exp per Function'!$D31:$D1129,'5.Cons and detailed recon'!DB32,'3.Inc &amp; Exp per Function'!$W31:$W1128)</f>
        <v>0</v>
      </c>
      <c r="DY32" s="751">
        <f ca="1">SUMIF('3.Inc &amp; Exp per Function'!$D31:$D1129,'5.Cons and detailed recon'!DC32,'3.Inc &amp; Exp per Function'!$W31:$W1128)</f>
        <v>0</v>
      </c>
      <c r="DZ32" s="751">
        <f ca="1">SUMIF('3.Inc &amp; Exp per Function'!$D31:$D1129,'5.Cons and detailed recon'!DD32,'3.Inc &amp; Exp per Function'!$W31:$W1128)</f>
        <v>0</v>
      </c>
      <c r="EA32" s="748">
        <f t="shared" ca="1" si="13"/>
        <v>0</v>
      </c>
      <c r="EB32" s="794"/>
      <c r="EC32" s="791">
        <f t="shared" ca="1" si="14"/>
        <v>0</v>
      </c>
      <c r="ED32" s="414">
        <f>SUMIF('4.Inc &amp; Exp Summary'!A:A,'5.Cons and detailed recon'!DF32,'4.Inc &amp; Exp Summary'!N:N)</f>
        <v>189548395.38399994</v>
      </c>
      <c r="EE32" s="415">
        <f t="shared" ca="1" si="15"/>
        <v>-189548395.38399994</v>
      </c>
      <c r="EF32" s="720"/>
      <c r="EG32" s="980"/>
      <c r="EH32" s="980"/>
      <c r="EI32" s="980"/>
      <c r="EJ32" s="980"/>
      <c r="EK32" s="980"/>
      <c r="EL32" s="980"/>
      <c r="EM32" s="980"/>
      <c r="EN32" s="980"/>
      <c r="EO32" s="980"/>
      <c r="EP32" s="980"/>
      <c r="EQ32" s="980"/>
      <c r="ER32" s="980"/>
      <c r="ES32" s="980"/>
      <c r="ET32" s="980"/>
      <c r="EU32" s="980"/>
      <c r="EV32" s="980"/>
      <c r="EW32" s="980"/>
      <c r="EX32" s="980"/>
      <c r="EY32" s="980"/>
      <c r="EZ32" s="980"/>
      <c r="FA32" s="980"/>
      <c r="FB32" s="980"/>
      <c r="FC32" s="980"/>
      <c r="FD32" s="980"/>
      <c r="FE32" s="980"/>
      <c r="FF32" s="980"/>
      <c r="FG32" s="980"/>
      <c r="FH32" s="980"/>
      <c r="FI32" s="980"/>
      <c r="FJ32" s="980"/>
      <c r="FK32" s="980"/>
      <c r="FL32" s="980"/>
      <c r="FM32" s="980"/>
      <c r="FN32" s="980"/>
      <c r="FO32" s="980"/>
      <c r="FP32" s="980"/>
      <c r="FQ32" s="980"/>
      <c r="FR32" s="980"/>
      <c r="FS32" s="980"/>
      <c r="FT32" s="980"/>
      <c r="FU32" s="980"/>
      <c r="FV32" s="980"/>
      <c r="FW32" s="980"/>
      <c r="FX32" s="980"/>
      <c r="FY32" s="980"/>
      <c r="FZ32" s="980"/>
      <c r="GA32" s="980"/>
      <c r="GB32" s="980"/>
      <c r="GC32" s="980"/>
      <c r="GD32" s="980"/>
      <c r="GE32" s="980"/>
      <c r="GF32" s="980"/>
      <c r="GG32" s="980"/>
      <c r="GH32" s="980"/>
      <c r="GI32" s="980"/>
      <c r="GJ32" s="980"/>
      <c r="GK32" s="980"/>
      <c r="GL32" s="980"/>
      <c r="GM32" s="980"/>
      <c r="GN32" s="980"/>
      <c r="GO32" s="980"/>
      <c r="GP32" s="980"/>
      <c r="GQ32" s="980"/>
      <c r="GR32" s="980"/>
      <c r="GS32" s="980"/>
      <c r="GT32" s="980"/>
      <c r="GU32" s="980"/>
      <c r="GV32" s="980"/>
      <c r="GW32" s="980"/>
      <c r="GX32" s="980"/>
      <c r="GY32" s="980"/>
      <c r="GZ32" s="980"/>
      <c r="HA32" s="980"/>
      <c r="HB32" s="980"/>
      <c r="HC32" s="980"/>
      <c r="HD32" s="980"/>
      <c r="HE32" s="980"/>
      <c r="HF32" s="980"/>
      <c r="HG32" s="980"/>
      <c r="HH32" s="980"/>
      <c r="HI32" s="980"/>
      <c r="HJ32" s="980"/>
      <c r="HK32" s="980"/>
      <c r="HL32" s="980"/>
      <c r="HM32" s="980"/>
      <c r="HN32" s="980"/>
      <c r="HO32" s="980"/>
      <c r="HP32" s="980"/>
      <c r="HQ32" s="980"/>
      <c r="HR32" s="980"/>
      <c r="HS32" s="980"/>
      <c r="HT32" s="980"/>
      <c r="HU32" s="980"/>
      <c r="HV32" s="980"/>
      <c r="HW32" s="980"/>
      <c r="HX32" s="980"/>
      <c r="HY32" s="980"/>
      <c r="HZ32" s="980"/>
      <c r="IA32" s="980"/>
      <c r="IB32" s="980"/>
      <c r="IC32" s="980"/>
      <c r="ID32" s="980"/>
      <c r="IE32" s="980"/>
      <c r="IF32" s="980"/>
      <c r="IG32" s="980"/>
      <c r="IH32" s="980"/>
      <c r="II32" s="980"/>
      <c r="IJ32" s="980"/>
      <c r="IK32" s="980"/>
      <c r="IL32" s="980"/>
      <c r="IM32" s="980"/>
      <c r="IN32" s="980"/>
      <c r="IO32" s="980"/>
      <c r="IP32" s="980"/>
      <c r="IQ32" s="980"/>
      <c r="IR32" s="980"/>
      <c r="IS32" s="980"/>
      <c r="IT32" s="980"/>
      <c r="IU32" s="980"/>
      <c r="IV32" s="980"/>
    </row>
    <row r="33" spans="1:256" s="409" customFormat="1" ht="12" customHeight="1" x14ac:dyDescent="0.55000000000000004">
      <c r="A33" s="398" t="str">
        <f t="shared" si="1"/>
        <v>Executive and Council2500</v>
      </c>
      <c r="B33" s="398" t="str">
        <f t="shared" si="24"/>
        <v>Finance and administration2500</v>
      </c>
      <c r="C33" s="398" t="str">
        <f t="shared" si="24"/>
        <v>Internal audit2500</v>
      </c>
      <c r="D33" s="398" t="str">
        <f t="shared" si="24"/>
        <v>Community and social services2500</v>
      </c>
      <c r="E33" s="398" t="str">
        <f t="shared" si="24"/>
        <v>Sport and recreation2500</v>
      </c>
      <c r="F33" s="398" t="str">
        <f t="shared" si="24"/>
        <v>Public safety2500</v>
      </c>
      <c r="G33" s="398" t="str">
        <f t="shared" si="24"/>
        <v>Housing2500</v>
      </c>
      <c r="H33" s="398" t="str">
        <f t="shared" si="24"/>
        <v>Health2500</v>
      </c>
      <c r="I33" s="398" t="str">
        <f t="shared" si="24"/>
        <v>Planning and development2500</v>
      </c>
      <c r="J33" s="398" t="str">
        <f t="shared" si="24"/>
        <v>Road transport2500</v>
      </c>
      <c r="K33" s="398" t="str">
        <f t="shared" si="24"/>
        <v>Environmental protection2500</v>
      </c>
      <c r="L33" s="398" t="str">
        <f t="shared" si="24"/>
        <v>Other2500</v>
      </c>
      <c r="M33" s="398" t="str">
        <f t="shared" si="24"/>
        <v>Energy sources2500</v>
      </c>
      <c r="N33" s="398" t="str">
        <f t="shared" si="24"/>
        <v>Water management2500</v>
      </c>
      <c r="O33" s="398" t="str">
        <f t="shared" si="24"/>
        <v>Waste water management2500</v>
      </c>
      <c r="P33" s="398" t="str">
        <f t="shared" si="24"/>
        <v>Waste management2500</v>
      </c>
      <c r="Q33" s="745" t="s">
        <v>723</v>
      </c>
      <c r="R33" s="745" t="s">
        <v>723</v>
      </c>
      <c r="S33" s="994"/>
      <c r="T33" s="748" t="s">
        <v>704</v>
      </c>
      <c r="U33" s="804">
        <f ca="1">SUMIF('3.Inc &amp; Exp per Function'!$D32:$D1131,'5.Cons and detailed recon'!A33,'3.Inc &amp; Exp per Function'!$U32:$U1130)</f>
        <v>0</v>
      </c>
      <c r="V33" s="804">
        <f ca="1">SUMIF('3.Inc &amp; Exp per Function'!$D32:$D1131,'5.Cons and detailed recon'!B33,'3.Inc &amp; Exp per Function'!$U32:$U1130)</f>
        <v>0</v>
      </c>
      <c r="W33" s="804">
        <f ca="1">SUMIF('3.Inc &amp; Exp per Function'!$D32:$D1131,'5.Cons and detailed recon'!C33,'3.Inc &amp; Exp per Function'!$U32:$U1130)</f>
        <v>0</v>
      </c>
      <c r="X33" s="413">
        <f t="shared" ca="1" si="16"/>
        <v>0</v>
      </c>
      <c r="Y33" s="1326">
        <f ca="1">SUMIF('3.Inc &amp; Exp per Function'!$D32:$D1131,'5.Cons and detailed recon'!D33,'3.Inc &amp; Exp per Function'!$U32:$U1130)</f>
        <v>0</v>
      </c>
      <c r="Z33" s="1326">
        <f ca="1">SUMIF('3.Inc &amp; Exp per Function'!$D32:$D1131,'5.Cons and detailed recon'!E33,'3.Inc &amp; Exp per Function'!$U32:$U1130)</f>
        <v>0</v>
      </c>
      <c r="AA33" s="1326">
        <f ca="1">SUMIF('3.Inc &amp; Exp per Function'!$D32:$D1131,'5.Cons and detailed recon'!F33,'3.Inc &amp; Exp per Function'!$U32:$U1130)</f>
        <v>0</v>
      </c>
      <c r="AB33" s="1326">
        <f ca="1">SUMIF('3.Inc &amp; Exp per Function'!$D32:$D1131,'5.Cons and detailed recon'!G33,'3.Inc &amp; Exp per Function'!$U32:$U1130)</f>
        <v>0</v>
      </c>
      <c r="AC33" s="1326">
        <f ca="1">SUMIF('3.Inc &amp; Exp per Function'!$D32:$D1131,'5.Cons and detailed recon'!H33,'3.Inc &amp; Exp per Function'!$U32:$U1130)</f>
        <v>0</v>
      </c>
      <c r="AD33" s="1326">
        <f ca="1">SUMIF('3.Inc &amp; Exp per Function'!$D32:$D1131,'5.Cons and detailed recon'!I33,'3.Inc &amp; Exp per Function'!$U32:$U1130)</f>
        <v>0</v>
      </c>
      <c r="AE33" s="1326">
        <f ca="1">SUMIF('3.Inc &amp; Exp per Function'!$D32:$D1131,'5.Cons and detailed recon'!J33,'3.Inc &amp; Exp per Function'!$U32:$U1130)</f>
        <v>0</v>
      </c>
      <c r="AF33" s="1326">
        <f ca="1">SUMIF('3.Inc &amp; Exp per Function'!$D32:$D1131,'5.Cons and detailed recon'!K33,'3.Inc &amp; Exp per Function'!$U32:$U1130)</f>
        <v>0</v>
      </c>
      <c r="AG33" s="1326">
        <f ca="1">SUMIF('3.Inc &amp; Exp per Function'!$D32:$D1131,'5.Cons and detailed recon'!L33,'3.Inc &amp; Exp per Function'!$U32:$U1130)</f>
        <v>0</v>
      </c>
      <c r="AH33" s="413">
        <f t="shared" ca="1" si="3"/>
        <v>0</v>
      </c>
      <c r="AI33" s="804">
        <f ca="1">SUMIF('3.Inc &amp; Exp per Function'!$D32:$D1131,'5.Cons and detailed recon'!M33,'3.Inc &amp; Exp per Function'!$U32:$U1130)</f>
        <v>2152440</v>
      </c>
      <c r="AJ33" s="804">
        <f ca="1">SUMIF('3.Inc &amp; Exp per Function'!$D32:$D1131,'5.Cons and detailed recon'!N33,'3.Inc &amp; Exp per Function'!$U32:$U1130)</f>
        <v>2451600</v>
      </c>
      <c r="AK33" s="804">
        <f ca="1">SUMIF('3.Inc &amp; Exp per Function'!$D32:$D1131,'5.Cons and detailed recon'!O33,'3.Inc &amp; Exp per Function'!$U32:$U1130)</f>
        <v>1005290</v>
      </c>
      <c r="AL33" s="804">
        <f ca="1">SUMIF('3.Inc &amp; Exp per Function'!$D32:$D1131,'5.Cons and detailed recon'!P33,'3.Inc &amp; Exp per Function'!$U32:$U1130)</f>
        <v>919982</v>
      </c>
      <c r="AM33" s="748">
        <f t="shared" ca="1" si="0"/>
        <v>6529312</v>
      </c>
      <c r="AN33" s="794"/>
      <c r="AO33" s="791">
        <f t="shared" ca="1" si="18"/>
        <v>6529312</v>
      </c>
      <c r="AP33" s="414">
        <f>SUMIF('4.Inc &amp; Exp Summary'!A:A,'5.Cons and detailed recon'!R33,'4.Inc &amp; Exp Summary'!L:L)</f>
        <v>3862950</v>
      </c>
      <c r="AQ33" s="415">
        <f t="shared" ca="1" si="23"/>
        <v>2666362</v>
      </c>
      <c r="AR33" s="720"/>
      <c r="AS33" s="730"/>
      <c r="AT33" s="408"/>
      <c r="AU33" s="398" t="str">
        <f t="shared" si="25"/>
        <v>Executive and Council2500</v>
      </c>
      <c r="AV33" s="398" t="str">
        <f t="shared" si="25"/>
        <v>Finance and administration2500</v>
      </c>
      <c r="AW33" s="398" t="str">
        <f t="shared" si="25"/>
        <v>Internal audit2500</v>
      </c>
      <c r="AX33" s="398" t="str">
        <f t="shared" si="25"/>
        <v>Community and social services2500</v>
      </c>
      <c r="AY33" s="398" t="str">
        <f t="shared" si="25"/>
        <v>Sport and recreation2500</v>
      </c>
      <c r="AZ33" s="398" t="str">
        <f t="shared" si="25"/>
        <v>Public safety2500</v>
      </c>
      <c r="BA33" s="398" t="str">
        <f t="shared" si="25"/>
        <v>Housing2500</v>
      </c>
      <c r="BB33" s="398" t="str">
        <f t="shared" si="25"/>
        <v>Health2500</v>
      </c>
      <c r="BC33" s="398" t="str">
        <f t="shared" si="25"/>
        <v>Planning and development2500</v>
      </c>
      <c r="BD33" s="398" t="str">
        <f t="shared" si="25"/>
        <v>Road transport2500</v>
      </c>
      <c r="BE33" s="398" t="str">
        <f t="shared" si="25"/>
        <v>Environmental protection2500</v>
      </c>
      <c r="BF33" s="398" t="str">
        <f t="shared" si="25"/>
        <v>Other2500</v>
      </c>
      <c r="BG33" s="398" t="str">
        <f t="shared" si="25"/>
        <v>Energy sources2500</v>
      </c>
      <c r="BH33" s="398" t="str">
        <f t="shared" si="25"/>
        <v>Water management2500</v>
      </c>
      <c r="BI33" s="398" t="str">
        <f t="shared" si="25"/>
        <v>Waste water management2500</v>
      </c>
      <c r="BJ33" s="398" t="str">
        <f t="shared" si="25"/>
        <v>Waste management2500</v>
      </c>
      <c r="BK33" s="745" t="s">
        <v>723</v>
      </c>
      <c r="BL33" s="745" t="s">
        <v>723</v>
      </c>
      <c r="BM33" s="735"/>
      <c r="BN33" s="748" t="s">
        <v>704</v>
      </c>
      <c r="BO33" s="751">
        <f ca="1">SUMIF('3.Inc &amp; Exp per Function'!$D33:$D1131,'5.Cons and detailed recon'!AU33,'3.Inc &amp; Exp per Function'!$V33:$V1130)</f>
        <v>0</v>
      </c>
      <c r="BP33" s="751">
        <f ca="1">SUMIF('3.Inc &amp; Exp per Function'!$D32:$D1131,'5.Cons and detailed recon'!AV33,'3.Inc &amp; Exp per Function'!$V32:$V1130)</f>
        <v>0</v>
      </c>
      <c r="BQ33" s="751">
        <f ca="1">SUMIF('3.Inc &amp; Exp per Function'!$D32:$D1131,'5.Cons and detailed recon'!AW33,'3.Inc &amp; Exp per Function'!$V32:$V1130)</f>
        <v>0</v>
      </c>
      <c r="BR33" s="413">
        <f t="shared" ca="1" si="6"/>
        <v>0</v>
      </c>
      <c r="BS33" s="751">
        <f ca="1">SUMIF('3.Inc &amp; Exp per Function'!$D32:$D1131,'5.Cons and detailed recon'!AX33,'3.Inc &amp; Exp per Function'!$V32:$V1130)</f>
        <v>0</v>
      </c>
      <c r="BT33" s="751">
        <f ca="1">SUMIF('3.Inc &amp; Exp per Function'!$D32:$D1131,'5.Cons and detailed recon'!AY33,'3.Inc &amp; Exp per Function'!$V32:$V1130)</f>
        <v>0</v>
      </c>
      <c r="BU33" s="751">
        <f ca="1">SUMIF('3.Inc &amp; Exp per Function'!$D32:$D1131,'5.Cons and detailed recon'!AZ33,'3.Inc &amp; Exp per Function'!$V32:$V1130)</f>
        <v>0</v>
      </c>
      <c r="BV33" s="751">
        <f ca="1">SUMIF('3.Inc &amp; Exp per Function'!$D32:$D1131,'5.Cons and detailed recon'!BA33,'3.Inc &amp; Exp per Function'!$V32:$V1130)</f>
        <v>0</v>
      </c>
      <c r="BW33" s="751">
        <f ca="1">SUMIF('3.Inc &amp; Exp per Function'!$D32:$D1131,'5.Cons and detailed recon'!BB33,'3.Inc &amp; Exp per Function'!$V32:$V1130)</f>
        <v>0</v>
      </c>
      <c r="BX33" s="751">
        <f ca="1">SUMIF('3.Inc &amp; Exp per Function'!$D32:$D1131,'5.Cons and detailed recon'!BC33,'3.Inc &amp; Exp per Function'!$V32:$V1130)</f>
        <v>0</v>
      </c>
      <c r="BY33" s="751">
        <f ca="1">SUMIF('3.Inc &amp; Exp per Function'!$D32:$D1131,'5.Cons and detailed recon'!BD33,'3.Inc &amp; Exp per Function'!$V32:$V1130)</f>
        <v>0</v>
      </c>
      <c r="BZ33" s="751">
        <f ca="1">SUMIF('3.Inc &amp; Exp per Function'!$D32:$D1131,'5.Cons and detailed recon'!BE33,'3.Inc &amp; Exp per Function'!$V32:$V1130)</f>
        <v>0</v>
      </c>
      <c r="CA33" s="751">
        <f ca="1">SUMIF('3.Inc &amp; Exp per Function'!$D32:$D1131,'5.Cons and detailed recon'!BF33,'3.Inc &amp; Exp per Function'!$V32:$V1130)</f>
        <v>0</v>
      </c>
      <c r="CB33" s="413">
        <f t="shared" ca="1" si="7"/>
        <v>0</v>
      </c>
      <c r="CC33" s="751">
        <f ca="1">SUMIF('3.Inc &amp; Exp per Function'!$D32:$D1131,'5.Cons and detailed recon'!BG33,'3.Inc &amp; Exp per Function'!$V32:$V1130)</f>
        <v>2225623</v>
      </c>
      <c r="CD33" s="751">
        <f ca="1">SUMIF('3.Inc &amp; Exp per Function'!$D32:$D1131,'5.Cons and detailed recon'!BH33,'3.Inc &amp; Exp per Function'!$V32:$V1130)</f>
        <v>2534954</v>
      </c>
      <c r="CE33" s="751">
        <f ca="1">SUMIF('3.Inc &amp; Exp per Function'!$D32:$D1131,'5.Cons and detailed recon'!BI33,'3.Inc &amp; Exp per Function'!$V32:$V1130)</f>
        <v>1039470</v>
      </c>
      <c r="CF33" s="751">
        <f ca="1">SUMIF('3.Inc &amp; Exp per Function'!$D32:$D1131,'5.Cons and detailed recon'!BJ33,'3.Inc &amp; Exp per Function'!$V32:$V1130)</f>
        <v>951261</v>
      </c>
      <c r="CG33" s="748">
        <f t="shared" ca="1" si="8"/>
        <v>6751308</v>
      </c>
      <c r="CH33" s="794"/>
      <c r="CI33" s="791">
        <f t="shared" ca="1" si="9"/>
        <v>6751308</v>
      </c>
      <c r="CJ33" s="411">
        <f>SUMIF('4.Inc &amp; Exp Summary'!A:A,'5.Cons and detailed recon'!R33,'4.Inc &amp; Exp Summary'!M:M)</f>
        <v>3994290</v>
      </c>
      <c r="CK33" s="415">
        <f t="shared" ca="1" si="17"/>
        <v>2757018</v>
      </c>
      <c r="CL33" s="720"/>
      <c r="CM33" s="730"/>
      <c r="CO33" s="398" t="str">
        <f t="shared" si="26"/>
        <v>Executive and Council2500</v>
      </c>
      <c r="CP33" s="398" t="str">
        <f t="shared" si="26"/>
        <v>Finance and administration2500</v>
      </c>
      <c r="CQ33" s="398" t="str">
        <f t="shared" si="26"/>
        <v>Internal audit2500</v>
      </c>
      <c r="CR33" s="398" t="str">
        <f t="shared" si="26"/>
        <v>Community and social services2500</v>
      </c>
      <c r="CS33" s="398" t="str">
        <f t="shared" si="26"/>
        <v>Sport and recreation2500</v>
      </c>
      <c r="CT33" s="398" t="str">
        <f t="shared" si="26"/>
        <v>Public safety2500</v>
      </c>
      <c r="CU33" s="398" t="str">
        <f t="shared" si="26"/>
        <v>Housing2500</v>
      </c>
      <c r="CV33" s="398" t="str">
        <f t="shared" si="26"/>
        <v>Health2500</v>
      </c>
      <c r="CW33" s="398" t="str">
        <f t="shared" si="26"/>
        <v>Planning and development2500</v>
      </c>
      <c r="CX33" s="398" t="str">
        <f t="shared" si="26"/>
        <v>Road transport2500</v>
      </c>
      <c r="CY33" s="398" t="str">
        <f t="shared" si="26"/>
        <v>Environmental protection2500</v>
      </c>
      <c r="CZ33" s="398" t="str">
        <f t="shared" si="26"/>
        <v>Other2500</v>
      </c>
      <c r="DA33" s="398" t="str">
        <f t="shared" si="26"/>
        <v>Energy sources2500</v>
      </c>
      <c r="DB33" s="398" t="str">
        <f t="shared" si="26"/>
        <v>Water management2500</v>
      </c>
      <c r="DC33" s="398" t="str">
        <f t="shared" si="26"/>
        <v>Waste water management2500</v>
      </c>
      <c r="DD33" s="398" t="str">
        <f t="shared" si="26"/>
        <v>Waste management2500</v>
      </c>
      <c r="DE33" s="745" t="s">
        <v>723</v>
      </c>
      <c r="DF33" s="745" t="s">
        <v>723</v>
      </c>
      <c r="DG33" s="735"/>
      <c r="DH33" s="748" t="s">
        <v>704</v>
      </c>
      <c r="DI33" s="751">
        <f ca="1">SUMIF('3.Inc &amp; Exp per Function'!$D32:$D1131,'5.Cons and detailed recon'!CO33,'3.Inc &amp; Exp per Function'!$W32:$W1130)</f>
        <v>0</v>
      </c>
      <c r="DJ33" s="751">
        <f ca="1">SUMIF('3.Inc &amp; Exp per Function'!$D32:$D1130,'5.Cons and detailed recon'!CP33,'3.Inc &amp; Exp per Function'!$W32:$W1129)</f>
        <v>0</v>
      </c>
      <c r="DK33" s="751">
        <f ca="1">SUMIF('3.Inc &amp; Exp per Function'!$D32:$D1130,'5.Cons and detailed recon'!CQ33,'3.Inc &amp; Exp per Function'!$W32:$W1129)</f>
        <v>0</v>
      </c>
      <c r="DL33" s="413">
        <f t="shared" ca="1" si="11"/>
        <v>0</v>
      </c>
      <c r="DM33" s="751">
        <f ca="1">SUMIF('3.Inc &amp; Exp per Function'!$D32:$D1130,'5.Cons and detailed recon'!CR33,'3.Inc &amp; Exp per Function'!$W32:$W1129)</f>
        <v>0</v>
      </c>
      <c r="DN33" s="751">
        <f ca="1">SUMIF('3.Inc &amp; Exp per Function'!$D32:$D1130,'5.Cons and detailed recon'!CS33,'3.Inc &amp; Exp per Function'!$W32:$W1129)</f>
        <v>0</v>
      </c>
      <c r="DO33" s="751">
        <f ca="1">SUMIF('3.Inc &amp; Exp per Function'!$D32:$D1130,'5.Cons and detailed recon'!CT33,'3.Inc &amp; Exp per Function'!$W32:$W1129)</f>
        <v>0</v>
      </c>
      <c r="DP33" s="751">
        <f ca="1">SUMIF('3.Inc &amp; Exp per Function'!$D32:$D1130,'5.Cons and detailed recon'!CU33,'3.Inc &amp; Exp per Function'!$W32:$W1129)</f>
        <v>0</v>
      </c>
      <c r="DQ33" s="751">
        <f ca="1">SUMIF('3.Inc &amp; Exp per Function'!$D32:$D1130,'5.Cons and detailed recon'!CV33,'3.Inc &amp; Exp per Function'!$W32:$W1129)</f>
        <v>0</v>
      </c>
      <c r="DR33" s="751">
        <f ca="1">SUMIF('3.Inc &amp; Exp per Function'!$D32:$D1130,'5.Cons and detailed recon'!CW33,'3.Inc &amp; Exp per Function'!$W32:$W1129)</f>
        <v>0</v>
      </c>
      <c r="DS33" s="751">
        <f ca="1">SUMIF('3.Inc &amp; Exp per Function'!$D32:$D1130,'5.Cons and detailed recon'!CX33,'3.Inc &amp; Exp per Function'!$W32:$W1129)</f>
        <v>0</v>
      </c>
      <c r="DT33" s="751">
        <f ca="1">SUMIF('3.Inc &amp; Exp per Function'!$D32:$D1130,'5.Cons and detailed recon'!CY33,'3.Inc &amp; Exp per Function'!$W32:$W1129)</f>
        <v>0</v>
      </c>
      <c r="DU33" s="751">
        <f ca="1">SUMIF('3.Inc &amp; Exp per Function'!$D32:$D1130,'5.Cons and detailed recon'!CZ33,'3.Inc &amp; Exp per Function'!$W32:$W1129)</f>
        <v>0</v>
      </c>
      <c r="DV33" s="413">
        <f t="shared" ca="1" si="12"/>
        <v>0</v>
      </c>
      <c r="DW33" s="751">
        <f ca="1">SUMIF('3.Inc &amp; Exp per Function'!$D32:$D1130,'5.Cons and detailed recon'!DA33,'3.Inc &amp; Exp per Function'!$W32:$W1129)</f>
        <v>2296843</v>
      </c>
      <c r="DX33" s="751">
        <f ca="1">SUMIF('3.Inc &amp; Exp per Function'!$D32:$D1130,'5.Cons and detailed recon'!DB33,'3.Inc &amp; Exp per Function'!$W32:$W1129)</f>
        <v>2616073</v>
      </c>
      <c r="DY33" s="751">
        <f ca="1">SUMIF('3.Inc &amp; Exp per Function'!$D32:$D1130,'5.Cons and detailed recon'!DC33,'3.Inc &amp; Exp per Function'!$W32:$W1129)</f>
        <v>1072733</v>
      </c>
      <c r="DZ33" s="751">
        <f ca="1">SUMIF('3.Inc &amp; Exp per Function'!$D32:$D1130,'5.Cons and detailed recon'!DD33,'3.Inc &amp; Exp per Function'!$W32:$W1129)</f>
        <v>981701</v>
      </c>
      <c r="EA33" s="748">
        <f t="shared" ca="1" si="13"/>
        <v>6967350</v>
      </c>
      <c r="EB33" s="794"/>
      <c r="EC33" s="791">
        <f t="shared" ca="1" si="14"/>
        <v>6967350</v>
      </c>
      <c r="ED33" s="414">
        <f>SUMIF('4.Inc &amp; Exp Summary'!A:A,'5.Cons and detailed recon'!DF33,'4.Inc &amp; Exp Summary'!N:N)</f>
        <v>4122107.2800000003</v>
      </c>
      <c r="EE33" s="415">
        <f t="shared" ca="1" si="15"/>
        <v>2845242.7199999997</v>
      </c>
      <c r="EF33" s="720"/>
      <c r="EG33" s="980"/>
      <c r="EH33" s="980"/>
      <c r="EI33" s="980"/>
      <c r="EJ33" s="980"/>
      <c r="EK33" s="980"/>
      <c r="EL33" s="980"/>
      <c r="EM33" s="980"/>
      <c r="EN33" s="980"/>
      <c r="EO33" s="980"/>
      <c r="EP33" s="980"/>
      <c r="EQ33" s="980"/>
      <c r="ER33" s="980"/>
      <c r="ES33" s="980"/>
      <c r="ET33" s="980"/>
      <c r="EU33" s="980"/>
      <c r="EV33" s="980"/>
      <c r="EW33" s="980"/>
      <c r="EX33" s="980"/>
      <c r="EY33" s="980"/>
      <c r="EZ33" s="980"/>
      <c r="FA33" s="980"/>
      <c r="FB33" s="980"/>
      <c r="FC33" s="980"/>
      <c r="FD33" s="980"/>
      <c r="FE33" s="980"/>
      <c r="FF33" s="980"/>
      <c r="FG33" s="980"/>
      <c r="FH33" s="980"/>
      <c r="FI33" s="980"/>
      <c r="FJ33" s="980"/>
      <c r="FK33" s="980"/>
      <c r="FL33" s="980"/>
      <c r="FM33" s="980"/>
      <c r="FN33" s="980"/>
      <c r="FO33" s="980"/>
      <c r="FP33" s="980"/>
      <c r="FQ33" s="980"/>
      <c r="FR33" s="980"/>
      <c r="FS33" s="980"/>
      <c r="FT33" s="980"/>
      <c r="FU33" s="980"/>
      <c r="FV33" s="980"/>
      <c r="FW33" s="980"/>
      <c r="FX33" s="980"/>
      <c r="FY33" s="980"/>
      <c r="FZ33" s="980"/>
      <c r="GA33" s="980"/>
      <c r="GB33" s="980"/>
      <c r="GC33" s="980"/>
      <c r="GD33" s="980"/>
      <c r="GE33" s="980"/>
      <c r="GF33" s="980"/>
      <c r="GG33" s="980"/>
      <c r="GH33" s="980"/>
      <c r="GI33" s="980"/>
      <c r="GJ33" s="980"/>
      <c r="GK33" s="980"/>
      <c r="GL33" s="980"/>
      <c r="GM33" s="980"/>
      <c r="GN33" s="980"/>
      <c r="GO33" s="980"/>
      <c r="GP33" s="980"/>
      <c r="GQ33" s="980"/>
      <c r="GR33" s="980"/>
      <c r="GS33" s="980"/>
      <c r="GT33" s="980"/>
      <c r="GU33" s="980"/>
      <c r="GV33" s="980"/>
      <c r="GW33" s="980"/>
      <c r="GX33" s="980"/>
      <c r="GY33" s="980"/>
      <c r="GZ33" s="980"/>
      <c r="HA33" s="980"/>
      <c r="HB33" s="980"/>
      <c r="HC33" s="980"/>
      <c r="HD33" s="980"/>
      <c r="HE33" s="980"/>
      <c r="HF33" s="980"/>
      <c r="HG33" s="980"/>
      <c r="HH33" s="980"/>
      <c r="HI33" s="980"/>
      <c r="HJ33" s="980"/>
      <c r="HK33" s="980"/>
      <c r="HL33" s="980"/>
      <c r="HM33" s="980"/>
      <c r="HN33" s="980"/>
      <c r="HO33" s="980"/>
      <c r="HP33" s="980"/>
      <c r="HQ33" s="980"/>
      <c r="HR33" s="980"/>
      <c r="HS33" s="980"/>
      <c r="HT33" s="980"/>
      <c r="HU33" s="980"/>
      <c r="HV33" s="980"/>
      <c r="HW33" s="980"/>
      <c r="HX33" s="980"/>
      <c r="HY33" s="980"/>
      <c r="HZ33" s="980"/>
      <c r="IA33" s="980"/>
      <c r="IB33" s="980"/>
      <c r="IC33" s="980"/>
      <c r="ID33" s="980"/>
      <c r="IE33" s="980"/>
      <c r="IF33" s="980"/>
      <c r="IG33" s="980"/>
      <c r="IH33" s="980"/>
      <c r="II33" s="980"/>
      <c r="IJ33" s="980"/>
      <c r="IK33" s="980"/>
      <c r="IL33" s="980"/>
      <c r="IM33" s="980"/>
      <c r="IN33" s="980"/>
      <c r="IO33" s="980"/>
      <c r="IP33" s="980"/>
      <c r="IQ33" s="980"/>
      <c r="IR33" s="980"/>
      <c r="IS33" s="980"/>
      <c r="IT33" s="980"/>
      <c r="IU33" s="980"/>
      <c r="IV33" s="980"/>
    </row>
    <row r="34" spans="1:256" s="409" customFormat="1" ht="12" customHeight="1" x14ac:dyDescent="0.55000000000000004">
      <c r="A34" s="398" t="str">
        <f t="shared" si="1"/>
        <v>Executive and Council2600</v>
      </c>
      <c r="B34" s="398" t="str">
        <f t="shared" si="24"/>
        <v>Finance and administration2600</v>
      </c>
      <c r="C34" s="398" t="str">
        <f t="shared" si="24"/>
        <v>Internal audit2600</v>
      </c>
      <c r="D34" s="398" t="str">
        <f t="shared" si="24"/>
        <v>Community and social services2600</v>
      </c>
      <c r="E34" s="398" t="str">
        <f t="shared" si="24"/>
        <v>Sport and recreation2600</v>
      </c>
      <c r="F34" s="398" t="str">
        <f t="shared" si="24"/>
        <v>Public safety2600</v>
      </c>
      <c r="G34" s="398" t="str">
        <f t="shared" si="24"/>
        <v>Housing2600</v>
      </c>
      <c r="H34" s="398" t="str">
        <f t="shared" si="24"/>
        <v>Health2600</v>
      </c>
      <c r="I34" s="398" t="str">
        <f t="shared" si="24"/>
        <v>Planning and development2600</v>
      </c>
      <c r="J34" s="398" t="str">
        <f t="shared" si="24"/>
        <v>Road transport2600</v>
      </c>
      <c r="K34" s="398" t="str">
        <f t="shared" si="24"/>
        <v>Environmental protection2600</v>
      </c>
      <c r="L34" s="398" t="str">
        <f t="shared" si="24"/>
        <v>Other2600</v>
      </c>
      <c r="M34" s="398" t="str">
        <f t="shared" si="24"/>
        <v>Energy sources2600</v>
      </c>
      <c r="N34" s="398" t="str">
        <f t="shared" si="24"/>
        <v>Water management2600</v>
      </c>
      <c r="O34" s="398" t="str">
        <f t="shared" si="24"/>
        <v>Waste water management2600</v>
      </c>
      <c r="P34" s="398" t="str">
        <f t="shared" si="24"/>
        <v>Waste management2600</v>
      </c>
      <c r="Q34" s="745" t="s">
        <v>725</v>
      </c>
      <c r="R34" s="745" t="s">
        <v>725</v>
      </c>
      <c r="S34" s="994"/>
      <c r="T34" s="748" t="s">
        <v>727</v>
      </c>
      <c r="U34" s="804">
        <f ca="1">SUMIF('3.Inc &amp; Exp per Function'!$D33:$D1132,'5.Cons and detailed recon'!A34,'3.Inc &amp; Exp per Function'!$U33:$U1131)</f>
        <v>0</v>
      </c>
      <c r="V34" s="804">
        <f ca="1">SUMIF('3.Inc &amp; Exp per Function'!$D33:$D1132,'5.Cons and detailed recon'!B34,'3.Inc &amp; Exp per Function'!$U33:$U1131)</f>
        <v>871790</v>
      </c>
      <c r="W34" s="804">
        <f ca="1">SUMIF('3.Inc &amp; Exp per Function'!$D33:$D1132,'5.Cons and detailed recon'!C34,'3.Inc &amp; Exp per Function'!$U33:$U1131)</f>
        <v>0</v>
      </c>
      <c r="X34" s="413">
        <f t="shared" ca="1" si="16"/>
        <v>871790</v>
      </c>
      <c r="Y34" s="1326">
        <f ca="1">SUMIF('3.Inc &amp; Exp per Function'!$D33:$D1132,'5.Cons and detailed recon'!D34,'3.Inc &amp; Exp per Function'!$U33:$U1131)</f>
        <v>0</v>
      </c>
      <c r="Z34" s="1326">
        <f ca="1">SUMIF('3.Inc &amp; Exp per Function'!$D33:$D1132,'5.Cons and detailed recon'!E34,'3.Inc &amp; Exp per Function'!$U33:$U1131)</f>
        <v>0</v>
      </c>
      <c r="AA34" s="1326">
        <f ca="1">SUMIF('3.Inc &amp; Exp per Function'!$D33:$D1132,'5.Cons and detailed recon'!F34,'3.Inc &amp; Exp per Function'!$U33:$U1131)</f>
        <v>0</v>
      </c>
      <c r="AB34" s="1326">
        <f ca="1">SUMIF('3.Inc &amp; Exp per Function'!$D33:$D1132,'5.Cons and detailed recon'!G34,'3.Inc &amp; Exp per Function'!$U33:$U1131)</f>
        <v>0</v>
      </c>
      <c r="AC34" s="1326">
        <f ca="1">SUMIF('3.Inc &amp; Exp per Function'!$D33:$D1132,'5.Cons and detailed recon'!H34,'3.Inc &amp; Exp per Function'!$U33:$U1131)</f>
        <v>0</v>
      </c>
      <c r="AD34" s="1326">
        <f ca="1">SUMIF('3.Inc &amp; Exp per Function'!$D33:$D1132,'5.Cons and detailed recon'!I34,'3.Inc &amp; Exp per Function'!$U33:$U1131)</f>
        <v>0</v>
      </c>
      <c r="AE34" s="1326">
        <f ca="1">SUMIF('3.Inc &amp; Exp per Function'!$D33:$D1132,'5.Cons and detailed recon'!J34,'3.Inc &amp; Exp per Function'!$U33:$U1131)</f>
        <v>0</v>
      </c>
      <c r="AF34" s="1326">
        <f ca="1">SUMIF('3.Inc &amp; Exp per Function'!$D33:$D1132,'5.Cons and detailed recon'!K34,'3.Inc &amp; Exp per Function'!$U33:$U1131)</f>
        <v>0</v>
      </c>
      <c r="AG34" s="1326">
        <f ca="1">SUMIF('3.Inc &amp; Exp per Function'!$D33:$D1132,'5.Cons and detailed recon'!L34,'3.Inc &amp; Exp per Function'!$U33:$U1131)</f>
        <v>0</v>
      </c>
      <c r="AH34" s="413">
        <f t="shared" ca="1" si="3"/>
        <v>0</v>
      </c>
      <c r="AI34" s="804">
        <f ca="1">SUMIF('3.Inc &amp; Exp per Function'!$D33:$D1132,'5.Cons and detailed recon'!M34,'3.Inc &amp; Exp per Function'!$U33:$U1131)</f>
        <v>0</v>
      </c>
      <c r="AJ34" s="804">
        <f ca="1">SUMIF('3.Inc &amp; Exp per Function'!$D33:$D1132,'5.Cons and detailed recon'!N34,'3.Inc &amp; Exp per Function'!$U33:$U1131)</f>
        <v>0</v>
      </c>
      <c r="AK34" s="804">
        <f ca="1">SUMIF('3.Inc &amp; Exp per Function'!$D33:$D1132,'5.Cons and detailed recon'!O34,'3.Inc &amp; Exp per Function'!$U33:$U1131)</f>
        <v>0</v>
      </c>
      <c r="AL34" s="804">
        <f ca="1">SUMIF('3.Inc &amp; Exp per Function'!$D33:$D1132,'5.Cons and detailed recon'!P34,'3.Inc &amp; Exp per Function'!$U33:$U1131)</f>
        <v>0</v>
      </c>
      <c r="AM34" s="748">
        <f t="shared" ca="1" si="0"/>
        <v>0</v>
      </c>
      <c r="AN34" s="794"/>
      <c r="AO34" s="791">
        <f t="shared" ca="1" si="18"/>
        <v>871790</v>
      </c>
      <c r="AP34" s="414">
        <f>SUMIF('4.Inc &amp; Exp Summary'!A:A,'5.Cons and detailed recon'!R34,'4.Inc &amp; Exp Summary'!L:L)</f>
        <v>0</v>
      </c>
      <c r="AQ34" s="415">
        <f t="shared" ca="1" si="23"/>
        <v>871790</v>
      </c>
      <c r="AR34" s="720"/>
      <c r="AS34" s="730"/>
      <c r="AT34" s="408"/>
      <c r="AU34" s="398" t="str">
        <f t="shared" si="25"/>
        <v>Executive and Council2600</v>
      </c>
      <c r="AV34" s="398" t="str">
        <f t="shared" si="25"/>
        <v>Finance and administration2600</v>
      </c>
      <c r="AW34" s="398" t="str">
        <f t="shared" si="25"/>
        <v>Internal audit2600</v>
      </c>
      <c r="AX34" s="398" t="str">
        <f t="shared" si="25"/>
        <v>Community and social services2600</v>
      </c>
      <c r="AY34" s="398" t="str">
        <f t="shared" si="25"/>
        <v>Sport and recreation2600</v>
      </c>
      <c r="AZ34" s="398" t="str">
        <f t="shared" si="25"/>
        <v>Public safety2600</v>
      </c>
      <c r="BA34" s="398" t="str">
        <f t="shared" si="25"/>
        <v>Housing2600</v>
      </c>
      <c r="BB34" s="398" t="str">
        <f t="shared" si="25"/>
        <v>Health2600</v>
      </c>
      <c r="BC34" s="398" t="str">
        <f t="shared" si="25"/>
        <v>Planning and development2600</v>
      </c>
      <c r="BD34" s="398" t="str">
        <f t="shared" si="25"/>
        <v>Road transport2600</v>
      </c>
      <c r="BE34" s="398" t="str">
        <f t="shared" si="25"/>
        <v>Environmental protection2600</v>
      </c>
      <c r="BF34" s="398" t="str">
        <f t="shared" si="25"/>
        <v>Other2600</v>
      </c>
      <c r="BG34" s="398" t="str">
        <f t="shared" si="25"/>
        <v>Energy sources2600</v>
      </c>
      <c r="BH34" s="398" t="str">
        <f t="shared" si="25"/>
        <v>Water management2600</v>
      </c>
      <c r="BI34" s="398" t="str">
        <f t="shared" si="25"/>
        <v>Waste water management2600</v>
      </c>
      <c r="BJ34" s="398" t="str">
        <f t="shared" si="25"/>
        <v>Waste management2600</v>
      </c>
      <c r="BK34" s="745" t="s">
        <v>725</v>
      </c>
      <c r="BL34" s="745" t="s">
        <v>725</v>
      </c>
      <c r="BM34" s="735"/>
      <c r="BN34" s="748" t="s">
        <v>727</v>
      </c>
      <c r="BO34" s="751">
        <f ca="1">SUMIF('3.Inc &amp; Exp per Function'!$D34:$D1132,'5.Cons and detailed recon'!AU34,'3.Inc &amp; Exp per Function'!$V34:$V1131)</f>
        <v>0</v>
      </c>
      <c r="BP34" s="751">
        <f ca="1">SUMIF('3.Inc &amp; Exp per Function'!$D33:$D1132,'5.Cons and detailed recon'!AV34,'3.Inc &amp; Exp per Function'!$V33:$V1131)</f>
        <v>901431</v>
      </c>
      <c r="BQ34" s="751">
        <f ca="1">SUMIF('3.Inc &amp; Exp per Function'!$D33:$D1132,'5.Cons and detailed recon'!AW34,'3.Inc &amp; Exp per Function'!$V33:$V1131)</f>
        <v>0</v>
      </c>
      <c r="BR34" s="413">
        <f t="shared" ca="1" si="6"/>
        <v>901431</v>
      </c>
      <c r="BS34" s="751">
        <f ca="1">SUMIF('3.Inc &amp; Exp per Function'!$D33:$D1132,'5.Cons and detailed recon'!AX34,'3.Inc &amp; Exp per Function'!$V33:$V1131)</f>
        <v>0</v>
      </c>
      <c r="BT34" s="751">
        <f ca="1">SUMIF('3.Inc &amp; Exp per Function'!$D33:$D1132,'5.Cons and detailed recon'!AY34,'3.Inc &amp; Exp per Function'!$V33:$V1131)</f>
        <v>0</v>
      </c>
      <c r="BU34" s="751">
        <f ca="1">SUMIF('3.Inc &amp; Exp per Function'!$D33:$D1132,'5.Cons and detailed recon'!AZ34,'3.Inc &amp; Exp per Function'!$V33:$V1131)</f>
        <v>0</v>
      </c>
      <c r="BV34" s="751">
        <f ca="1">SUMIF('3.Inc &amp; Exp per Function'!$D33:$D1132,'5.Cons and detailed recon'!BA34,'3.Inc &amp; Exp per Function'!$V33:$V1131)</f>
        <v>0</v>
      </c>
      <c r="BW34" s="751">
        <f ca="1">SUMIF('3.Inc &amp; Exp per Function'!$D33:$D1132,'5.Cons and detailed recon'!BB34,'3.Inc &amp; Exp per Function'!$V33:$V1131)</f>
        <v>0</v>
      </c>
      <c r="BX34" s="751">
        <f ca="1">SUMIF('3.Inc &amp; Exp per Function'!$D33:$D1132,'5.Cons and detailed recon'!BC34,'3.Inc &amp; Exp per Function'!$V33:$V1131)</f>
        <v>0</v>
      </c>
      <c r="BY34" s="751">
        <f ca="1">SUMIF('3.Inc &amp; Exp per Function'!$D33:$D1132,'5.Cons and detailed recon'!BD34,'3.Inc &amp; Exp per Function'!$V33:$V1131)</f>
        <v>0</v>
      </c>
      <c r="BZ34" s="751">
        <f ca="1">SUMIF('3.Inc &amp; Exp per Function'!$D33:$D1132,'5.Cons and detailed recon'!BE34,'3.Inc &amp; Exp per Function'!$V33:$V1131)</f>
        <v>0</v>
      </c>
      <c r="CA34" s="751">
        <f ca="1">SUMIF('3.Inc &amp; Exp per Function'!$D33:$D1132,'5.Cons and detailed recon'!BF34,'3.Inc &amp; Exp per Function'!$V33:$V1131)</f>
        <v>0</v>
      </c>
      <c r="CB34" s="413">
        <f t="shared" ca="1" si="7"/>
        <v>0</v>
      </c>
      <c r="CC34" s="751">
        <f ca="1">SUMIF('3.Inc &amp; Exp per Function'!$D33:$D1132,'5.Cons and detailed recon'!BG34,'3.Inc &amp; Exp per Function'!$V33:$V1131)</f>
        <v>0</v>
      </c>
      <c r="CD34" s="751">
        <f ca="1">SUMIF('3.Inc &amp; Exp per Function'!$D33:$D1132,'5.Cons and detailed recon'!BH34,'3.Inc &amp; Exp per Function'!$V33:$V1131)</f>
        <v>0</v>
      </c>
      <c r="CE34" s="751">
        <f ca="1">SUMIF('3.Inc &amp; Exp per Function'!$D33:$D1132,'5.Cons and detailed recon'!BI34,'3.Inc &amp; Exp per Function'!$V33:$V1131)</f>
        <v>0</v>
      </c>
      <c r="CF34" s="751">
        <f ca="1">SUMIF('3.Inc &amp; Exp per Function'!$D33:$D1132,'5.Cons and detailed recon'!BJ34,'3.Inc &amp; Exp per Function'!$V33:$V1131)</f>
        <v>0</v>
      </c>
      <c r="CG34" s="748">
        <f t="shared" ca="1" si="8"/>
        <v>0</v>
      </c>
      <c r="CH34" s="794"/>
      <c r="CI34" s="791">
        <f t="shared" ca="1" si="9"/>
        <v>901431</v>
      </c>
      <c r="CJ34" s="411">
        <f>SUMIF('4.Inc &amp; Exp Summary'!A:A,'5.Cons and detailed recon'!R34,'4.Inc &amp; Exp Summary'!M:M)</f>
        <v>0</v>
      </c>
      <c r="CK34" s="415">
        <f t="shared" ca="1" si="17"/>
        <v>901431</v>
      </c>
      <c r="CL34" s="720"/>
      <c r="CM34" s="730"/>
      <c r="CO34" s="398" t="str">
        <f t="shared" si="26"/>
        <v>Executive and Council2600</v>
      </c>
      <c r="CP34" s="398" t="str">
        <f t="shared" si="26"/>
        <v>Finance and administration2600</v>
      </c>
      <c r="CQ34" s="398" t="str">
        <f t="shared" si="26"/>
        <v>Internal audit2600</v>
      </c>
      <c r="CR34" s="398" t="str">
        <f t="shared" si="26"/>
        <v>Community and social services2600</v>
      </c>
      <c r="CS34" s="398" t="str">
        <f t="shared" si="26"/>
        <v>Sport and recreation2600</v>
      </c>
      <c r="CT34" s="398" t="str">
        <f t="shared" si="26"/>
        <v>Public safety2600</v>
      </c>
      <c r="CU34" s="398" t="str">
        <f t="shared" si="26"/>
        <v>Housing2600</v>
      </c>
      <c r="CV34" s="398" t="str">
        <f t="shared" si="26"/>
        <v>Health2600</v>
      </c>
      <c r="CW34" s="398" t="str">
        <f t="shared" si="26"/>
        <v>Planning and development2600</v>
      </c>
      <c r="CX34" s="398" t="str">
        <f t="shared" si="26"/>
        <v>Road transport2600</v>
      </c>
      <c r="CY34" s="398" t="str">
        <f t="shared" si="26"/>
        <v>Environmental protection2600</v>
      </c>
      <c r="CZ34" s="398" t="str">
        <f t="shared" si="26"/>
        <v>Other2600</v>
      </c>
      <c r="DA34" s="398" t="str">
        <f t="shared" si="26"/>
        <v>Energy sources2600</v>
      </c>
      <c r="DB34" s="398" t="str">
        <f t="shared" si="26"/>
        <v>Water management2600</v>
      </c>
      <c r="DC34" s="398" t="str">
        <f t="shared" si="26"/>
        <v>Waste water management2600</v>
      </c>
      <c r="DD34" s="398" t="str">
        <f t="shared" si="26"/>
        <v>Waste management2600</v>
      </c>
      <c r="DE34" s="745" t="s">
        <v>725</v>
      </c>
      <c r="DF34" s="745" t="s">
        <v>725</v>
      </c>
      <c r="DG34" s="735"/>
      <c r="DH34" s="748" t="s">
        <v>727</v>
      </c>
      <c r="DI34" s="751">
        <f ca="1">SUMIF('3.Inc &amp; Exp per Function'!$D33:$D1132,'5.Cons and detailed recon'!CO34,'3.Inc &amp; Exp per Function'!$W33:$W1131)</f>
        <v>0</v>
      </c>
      <c r="DJ34" s="751">
        <f ca="1">SUMIF('3.Inc &amp; Exp per Function'!$D33:$D1131,'5.Cons and detailed recon'!CP34,'3.Inc &amp; Exp per Function'!$W33:$W1130)</f>
        <v>930277</v>
      </c>
      <c r="DK34" s="751">
        <f ca="1">SUMIF('3.Inc &amp; Exp per Function'!$D33:$D1131,'5.Cons and detailed recon'!CQ34,'3.Inc &amp; Exp per Function'!$W33:$W1130)</f>
        <v>0</v>
      </c>
      <c r="DL34" s="413">
        <f t="shared" ca="1" si="11"/>
        <v>930277</v>
      </c>
      <c r="DM34" s="751">
        <f ca="1">SUMIF('3.Inc &amp; Exp per Function'!$D33:$D1131,'5.Cons and detailed recon'!CR34,'3.Inc &amp; Exp per Function'!$W33:$W1130)</f>
        <v>0</v>
      </c>
      <c r="DN34" s="751">
        <f ca="1">SUMIF('3.Inc &amp; Exp per Function'!$D33:$D1131,'5.Cons and detailed recon'!CS34,'3.Inc &amp; Exp per Function'!$W33:$W1130)</f>
        <v>0</v>
      </c>
      <c r="DO34" s="751">
        <f ca="1">SUMIF('3.Inc &amp; Exp per Function'!$D33:$D1131,'5.Cons and detailed recon'!CT34,'3.Inc &amp; Exp per Function'!$W33:$W1130)</f>
        <v>0</v>
      </c>
      <c r="DP34" s="751">
        <f ca="1">SUMIF('3.Inc &amp; Exp per Function'!$D33:$D1131,'5.Cons and detailed recon'!CU34,'3.Inc &amp; Exp per Function'!$W33:$W1130)</f>
        <v>0</v>
      </c>
      <c r="DQ34" s="751">
        <f ca="1">SUMIF('3.Inc &amp; Exp per Function'!$D33:$D1131,'5.Cons and detailed recon'!CV34,'3.Inc &amp; Exp per Function'!$W33:$W1130)</f>
        <v>0</v>
      </c>
      <c r="DR34" s="751">
        <f ca="1">SUMIF('3.Inc &amp; Exp per Function'!$D33:$D1131,'5.Cons and detailed recon'!CW34,'3.Inc &amp; Exp per Function'!$W33:$W1130)</f>
        <v>0</v>
      </c>
      <c r="DS34" s="751">
        <f ca="1">SUMIF('3.Inc &amp; Exp per Function'!$D33:$D1131,'5.Cons and detailed recon'!CX34,'3.Inc &amp; Exp per Function'!$W33:$W1130)</f>
        <v>0</v>
      </c>
      <c r="DT34" s="751">
        <f ca="1">SUMIF('3.Inc &amp; Exp per Function'!$D33:$D1131,'5.Cons and detailed recon'!CY34,'3.Inc &amp; Exp per Function'!$W33:$W1130)</f>
        <v>0</v>
      </c>
      <c r="DU34" s="751">
        <f ca="1">SUMIF('3.Inc &amp; Exp per Function'!$D33:$D1131,'5.Cons and detailed recon'!CZ34,'3.Inc &amp; Exp per Function'!$W33:$W1130)</f>
        <v>0</v>
      </c>
      <c r="DV34" s="413">
        <f t="shared" ca="1" si="12"/>
        <v>0</v>
      </c>
      <c r="DW34" s="751">
        <f ca="1">SUMIF('3.Inc &amp; Exp per Function'!$D33:$D1131,'5.Cons and detailed recon'!DA34,'3.Inc &amp; Exp per Function'!$W33:$W1130)</f>
        <v>0</v>
      </c>
      <c r="DX34" s="751">
        <f ca="1">SUMIF('3.Inc &amp; Exp per Function'!$D33:$D1131,'5.Cons and detailed recon'!DB34,'3.Inc &amp; Exp per Function'!$W33:$W1130)</f>
        <v>0</v>
      </c>
      <c r="DY34" s="751">
        <f ca="1">SUMIF('3.Inc &amp; Exp per Function'!$D33:$D1131,'5.Cons and detailed recon'!DC34,'3.Inc &amp; Exp per Function'!$W33:$W1130)</f>
        <v>0</v>
      </c>
      <c r="DZ34" s="751">
        <f ca="1">SUMIF('3.Inc &amp; Exp per Function'!$D33:$D1131,'5.Cons and detailed recon'!DD34,'3.Inc &amp; Exp per Function'!$W33:$W1130)</f>
        <v>0</v>
      </c>
      <c r="EA34" s="748">
        <f t="shared" ca="1" si="13"/>
        <v>0</v>
      </c>
      <c r="EB34" s="794"/>
      <c r="EC34" s="791">
        <f t="shared" ca="1" si="14"/>
        <v>930277</v>
      </c>
      <c r="ED34" s="414">
        <f>SUMIF('4.Inc &amp; Exp Summary'!A:A,'5.Cons and detailed recon'!DF34,'4.Inc &amp; Exp Summary'!N:N)</f>
        <v>0</v>
      </c>
      <c r="EE34" s="415">
        <f t="shared" ca="1" si="15"/>
        <v>930277</v>
      </c>
      <c r="EF34" s="720"/>
      <c r="EG34" s="980"/>
      <c r="EH34" s="980"/>
      <c r="EI34" s="980"/>
      <c r="EJ34" s="980"/>
      <c r="EK34" s="980"/>
      <c r="EL34" s="980"/>
      <c r="EM34" s="980"/>
      <c r="EN34" s="980"/>
      <c r="EO34" s="980"/>
      <c r="EP34" s="980"/>
      <c r="EQ34" s="980"/>
      <c r="ER34" s="980"/>
      <c r="ES34" s="980"/>
      <c r="ET34" s="980"/>
      <c r="EU34" s="980"/>
      <c r="EV34" s="980"/>
      <c r="EW34" s="980"/>
      <c r="EX34" s="980"/>
      <c r="EY34" s="980"/>
      <c r="EZ34" s="980"/>
      <c r="FA34" s="980"/>
      <c r="FB34" s="980"/>
      <c r="FC34" s="980"/>
      <c r="FD34" s="980"/>
      <c r="FE34" s="980"/>
      <c r="FF34" s="980"/>
      <c r="FG34" s="980"/>
      <c r="FH34" s="980"/>
      <c r="FI34" s="980"/>
      <c r="FJ34" s="980"/>
      <c r="FK34" s="980"/>
      <c r="FL34" s="980"/>
      <c r="FM34" s="980"/>
      <c r="FN34" s="980"/>
      <c r="FO34" s="980"/>
      <c r="FP34" s="980"/>
      <c r="FQ34" s="980"/>
      <c r="FR34" s="980"/>
      <c r="FS34" s="980"/>
      <c r="FT34" s="980"/>
      <c r="FU34" s="980"/>
      <c r="FV34" s="980"/>
      <c r="FW34" s="980"/>
      <c r="FX34" s="980"/>
      <c r="FY34" s="980"/>
      <c r="FZ34" s="980"/>
      <c r="GA34" s="980"/>
      <c r="GB34" s="980"/>
      <c r="GC34" s="980"/>
      <c r="GD34" s="980"/>
      <c r="GE34" s="980"/>
      <c r="GF34" s="980"/>
      <c r="GG34" s="980"/>
      <c r="GH34" s="980"/>
      <c r="GI34" s="980"/>
      <c r="GJ34" s="980"/>
      <c r="GK34" s="980"/>
      <c r="GL34" s="980"/>
      <c r="GM34" s="980"/>
      <c r="GN34" s="980"/>
      <c r="GO34" s="980"/>
      <c r="GP34" s="980"/>
      <c r="GQ34" s="980"/>
      <c r="GR34" s="980"/>
      <c r="GS34" s="980"/>
      <c r="GT34" s="980"/>
      <c r="GU34" s="980"/>
      <c r="GV34" s="980"/>
      <c r="GW34" s="980"/>
      <c r="GX34" s="980"/>
      <c r="GY34" s="980"/>
      <c r="GZ34" s="980"/>
      <c r="HA34" s="980"/>
      <c r="HB34" s="980"/>
      <c r="HC34" s="980"/>
      <c r="HD34" s="980"/>
      <c r="HE34" s="980"/>
      <c r="HF34" s="980"/>
      <c r="HG34" s="980"/>
      <c r="HH34" s="980"/>
      <c r="HI34" s="980"/>
      <c r="HJ34" s="980"/>
      <c r="HK34" s="980"/>
      <c r="HL34" s="980"/>
      <c r="HM34" s="980"/>
      <c r="HN34" s="980"/>
      <c r="HO34" s="980"/>
      <c r="HP34" s="980"/>
      <c r="HQ34" s="980"/>
      <c r="HR34" s="980"/>
      <c r="HS34" s="980"/>
      <c r="HT34" s="980"/>
      <c r="HU34" s="980"/>
      <c r="HV34" s="980"/>
      <c r="HW34" s="980"/>
      <c r="HX34" s="980"/>
      <c r="HY34" s="980"/>
      <c r="HZ34" s="980"/>
      <c r="IA34" s="980"/>
      <c r="IB34" s="980"/>
      <c r="IC34" s="980"/>
      <c r="ID34" s="980"/>
      <c r="IE34" s="980"/>
      <c r="IF34" s="980"/>
      <c r="IG34" s="980"/>
      <c r="IH34" s="980"/>
      <c r="II34" s="980"/>
      <c r="IJ34" s="980"/>
      <c r="IK34" s="980"/>
      <c r="IL34" s="980"/>
      <c r="IM34" s="980"/>
      <c r="IN34" s="980"/>
      <c r="IO34" s="980"/>
      <c r="IP34" s="980"/>
      <c r="IQ34" s="980"/>
      <c r="IR34" s="980"/>
      <c r="IS34" s="980"/>
      <c r="IT34" s="980"/>
      <c r="IU34" s="980"/>
      <c r="IV34" s="980"/>
    </row>
    <row r="35" spans="1:256" s="409" customFormat="1" ht="12" customHeight="1" x14ac:dyDescent="0.55000000000000004">
      <c r="A35" s="398" t="str">
        <f t="shared" si="1"/>
        <v>Executive and Council2700</v>
      </c>
      <c r="B35" s="398" t="str">
        <f t="shared" si="24"/>
        <v>Finance and administration2700</v>
      </c>
      <c r="C35" s="398" t="str">
        <f t="shared" si="24"/>
        <v>Internal audit2700</v>
      </c>
      <c r="D35" s="398" t="str">
        <f t="shared" si="24"/>
        <v>Community and social services2700</v>
      </c>
      <c r="E35" s="398" t="str">
        <f t="shared" si="24"/>
        <v>Sport and recreation2700</v>
      </c>
      <c r="F35" s="398" t="str">
        <f t="shared" si="24"/>
        <v>Public safety2700</v>
      </c>
      <c r="G35" s="398" t="str">
        <f t="shared" si="24"/>
        <v>Housing2700</v>
      </c>
      <c r="H35" s="398" t="str">
        <f t="shared" si="24"/>
        <v>Health2700</v>
      </c>
      <c r="I35" s="398" t="str">
        <f t="shared" si="24"/>
        <v>Planning and development2700</v>
      </c>
      <c r="J35" s="398" t="str">
        <f t="shared" si="24"/>
        <v>Road transport2700</v>
      </c>
      <c r="K35" s="398" t="str">
        <f t="shared" si="24"/>
        <v>Environmental protection2700</v>
      </c>
      <c r="L35" s="398" t="str">
        <f t="shared" si="24"/>
        <v>Other2700</v>
      </c>
      <c r="M35" s="398" t="str">
        <f t="shared" si="24"/>
        <v>Energy sources2700</v>
      </c>
      <c r="N35" s="398" t="str">
        <f t="shared" si="24"/>
        <v>Water management2700</v>
      </c>
      <c r="O35" s="398" t="str">
        <f t="shared" si="24"/>
        <v>Waste water management2700</v>
      </c>
      <c r="P35" s="398" t="str">
        <f t="shared" si="24"/>
        <v>Waste management2700</v>
      </c>
      <c r="Q35" s="745" t="s">
        <v>728</v>
      </c>
      <c r="R35" s="745" t="s">
        <v>728</v>
      </c>
      <c r="S35" s="994"/>
      <c r="T35" s="748" t="s">
        <v>729</v>
      </c>
      <c r="U35" s="804">
        <f ca="1">SUMIF('3.Inc &amp; Exp per Function'!$D34:$D1133,'5.Cons and detailed recon'!A35,'3.Inc &amp; Exp per Function'!$U34:$U1132)</f>
        <v>0</v>
      </c>
      <c r="V35" s="804">
        <f ca="1">SUMIF('3.Inc &amp; Exp per Function'!$D34:$D1133,'5.Cons and detailed recon'!B35,'3.Inc &amp; Exp per Function'!$U34:$U1132)</f>
        <v>3840000</v>
      </c>
      <c r="W35" s="804">
        <f ca="1">SUMIF('3.Inc &amp; Exp per Function'!$D34:$D1133,'5.Cons and detailed recon'!C35,'3.Inc &amp; Exp per Function'!$U34:$U1132)</f>
        <v>0</v>
      </c>
      <c r="X35" s="413">
        <f t="shared" ca="1" si="16"/>
        <v>3840000</v>
      </c>
      <c r="Y35" s="1326">
        <f ca="1">SUMIF('3.Inc &amp; Exp per Function'!$D34:$D1133,'5.Cons and detailed recon'!D35,'3.Inc &amp; Exp per Function'!$U34:$U1132)</f>
        <v>0</v>
      </c>
      <c r="Z35" s="1326">
        <f ca="1">SUMIF('3.Inc &amp; Exp per Function'!$D34:$D1133,'5.Cons and detailed recon'!E35,'3.Inc &amp; Exp per Function'!$U34:$U1132)</f>
        <v>0</v>
      </c>
      <c r="AA35" s="1326">
        <f ca="1">SUMIF('3.Inc &amp; Exp per Function'!$D34:$D1133,'5.Cons and detailed recon'!F35,'3.Inc &amp; Exp per Function'!$U34:$U1132)</f>
        <v>0</v>
      </c>
      <c r="AB35" s="1326">
        <f ca="1">SUMIF('3.Inc &amp; Exp per Function'!$D34:$D1133,'5.Cons and detailed recon'!G35,'3.Inc &amp; Exp per Function'!$U34:$U1132)</f>
        <v>0</v>
      </c>
      <c r="AC35" s="1326">
        <f ca="1">SUMIF('3.Inc &amp; Exp per Function'!$D34:$D1133,'5.Cons and detailed recon'!H35,'3.Inc &amp; Exp per Function'!$U34:$U1132)</f>
        <v>0</v>
      </c>
      <c r="AD35" s="1326">
        <f ca="1">SUMIF('3.Inc &amp; Exp per Function'!$D34:$D1133,'5.Cons and detailed recon'!I35,'3.Inc &amp; Exp per Function'!$U34:$U1132)</f>
        <v>0</v>
      </c>
      <c r="AE35" s="1326">
        <f ca="1">SUMIF('3.Inc &amp; Exp per Function'!$D34:$D1133,'5.Cons and detailed recon'!J35,'3.Inc &amp; Exp per Function'!$U34:$U1132)</f>
        <v>0</v>
      </c>
      <c r="AF35" s="1326">
        <f ca="1">SUMIF('3.Inc &amp; Exp per Function'!$D34:$D1133,'5.Cons and detailed recon'!K35,'3.Inc &amp; Exp per Function'!$U34:$U1132)</f>
        <v>0</v>
      </c>
      <c r="AG35" s="1326">
        <f ca="1">SUMIF('3.Inc &amp; Exp per Function'!$D34:$D1133,'5.Cons and detailed recon'!L35,'3.Inc &amp; Exp per Function'!$U34:$U1132)</f>
        <v>0</v>
      </c>
      <c r="AH35" s="413">
        <f t="shared" ca="1" si="3"/>
        <v>0</v>
      </c>
      <c r="AI35" s="804">
        <f ca="1">SUMIF('3.Inc &amp; Exp per Function'!$D34:$D1133,'5.Cons and detailed recon'!M35,'3.Inc &amp; Exp per Function'!$U34:$U1132)</f>
        <v>15000000</v>
      </c>
      <c r="AJ35" s="804">
        <f ca="1">SUMIF('3.Inc &amp; Exp per Function'!$D34:$D1133,'5.Cons and detailed recon'!N35,'3.Inc &amp; Exp per Function'!$U34:$U1132)</f>
        <v>0</v>
      </c>
      <c r="AK35" s="804">
        <f ca="1">SUMIF('3.Inc &amp; Exp per Function'!$D34:$D1133,'5.Cons and detailed recon'!O35,'3.Inc &amp; Exp per Function'!$U34:$U1132)</f>
        <v>0</v>
      </c>
      <c r="AL35" s="804">
        <f ca="1">SUMIF('3.Inc &amp; Exp per Function'!$D34:$D1133,'5.Cons and detailed recon'!P35,'3.Inc &amp; Exp per Function'!$U34:$U1132)</f>
        <v>0</v>
      </c>
      <c r="AM35" s="748">
        <f t="shared" ca="1" si="0"/>
        <v>15000000</v>
      </c>
      <c r="AN35" s="794"/>
      <c r="AO35" s="791">
        <f t="shared" ca="1" si="18"/>
        <v>18840000</v>
      </c>
      <c r="AP35" s="414">
        <f>SUMIF('4.Inc &amp; Exp Summary'!A:A,'5.Cons and detailed recon'!R35,'4.Inc &amp; Exp Summary'!L:L)</f>
        <v>6529312</v>
      </c>
      <c r="AQ35" s="415">
        <f t="shared" ca="1" si="23"/>
        <v>12310688</v>
      </c>
      <c r="AR35" s="720"/>
      <c r="AS35" s="730"/>
      <c r="AT35" s="408"/>
      <c r="AU35" s="398" t="str">
        <f t="shared" si="25"/>
        <v>Executive and Council2700</v>
      </c>
      <c r="AV35" s="398" t="str">
        <f t="shared" si="25"/>
        <v>Finance and administration2700</v>
      </c>
      <c r="AW35" s="398" t="str">
        <f t="shared" si="25"/>
        <v>Internal audit2700</v>
      </c>
      <c r="AX35" s="398" t="str">
        <f t="shared" si="25"/>
        <v>Community and social services2700</v>
      </c>
      <c r="AY35" s="398" t="str">
        <f t="shared" si="25"/>
        <v>Sport and recreation2700</v>
      </c>
      <c r="AZ35" s="398" t="str">
        <f t="shared" si="25"/>
        <v>Public safety2700</v>
      </c>
      <c r="BA35" s="398" t="str">
        <f t="shared" si="25"/>
        <v>Housing2700</v>
      </c>
      <c r="BB35" s="398" t="str">
        <f t="shared" si="25"/>
        <v>Health2700</v>
      </c>
      <c r="BC35" s="398" t="str">
        <f t="shared" si="25"/>
        <v>Planning and development2700</v>
      </c>
      <c r="BD35" s="398" t="str">
        <f t="shared" si="25"/>
        <v>Road transport2700</v>
      </c>
      <c r="BE35" s="398" t="str">
        <f t="shared" si="25"/>
        <v>Environmental protection2700</v>
      </c>
      <c r="BF35" s="398" t="str">
        <f t="shared" si="25"/>
        <v>Other2700</v>
      </c>
      <c r="BG35" s="398" t="str">
        <f t="shared" si="25"/>
        <v>Energy sources2700</v>
      </c>
      <c r="BH35" s="398" t="str">
        <f t="shared" si="25"/>
        <v>Water management2700</v>
      </c>
      <c r="BI35" s="398" t="str">
        <f t="shared" si="25"/>
        <v>Waste water management2700</v>
      </c>
      <c r="BJ35" s="398" t="str">
        <f t="shared" si="25"/>
        <v>Waste management2700</v>
      </c>
      <c r="BK35" s="745" t="s">
        <v>728</v>
      </c>
      <c r="BL35" s="745" t="s">
        <v>728</v>
      </c>
      <c r="BM35" s="735"/>
      <c r="BN35" s="748" t="s">
        <v>729</v>
      </c>
      <c r="BO35" s="751">
        <f ca="1">SUMIF('3.Inc &amp; Exp per Function'!$D35:$D1133,'5.Cons and detailed recon'!AU35,'3.Inc &amp; Exp per Function'!$V35:$V1132)</f>
        <v>0</v>
      </c>
      <c r="BP35" s="751">
        <f ca="1">SUMIF('3.Inc &amp; Exp per Function'!$D34:$D1133,'5.Cons and detailed recon'!AV35,'3.Inc &amp; Exp per Function'!$V34:$V1132)</f>
        <v>3970560</v>
      </c>
      <c r="BQ35" s="751">
        <f ca="1">SUMIF('3.Inc &amp; Exp per Function'!$D34:$D1133,'5.Cons and detailed recon'!AW35,'3.Inc &amp; Exp per Function'!$V34:$V1132)</f>
        <v>0</v>
      </c>
      <c r="BR35" s="413">
        <f t="shared" ca="1" si="6"/>
        <v>3970560</v>
      </c>
      <c r="BS35" s="751">
        <f ca="1">SUMIF('3.Inc &amp; Exp per Function'!$D34:$D1133,'5.Cons and detailed recon'!AX35,'3.Inc &amp; Exp per Function'!$V34:$V1132)</f>
        <v>0</v>
      </c>
      <c r="BT35" s="751">
        <f ca="1">SUMIF('3.Inc &amp; Exp per Function'!$D34:$D1133,'5.Cons and detailed recon'!AY35,'3.Inc &amp; Exp per Function'!$V34:$V1132)</f>
        <v>0</v>
      </c>
      <c r="BU35" s="751">
        <f ca="1">SUMIF('3.Inc &amp; Exp per Function'!$D34:$D1133,'5.Cons and detailed recon'!AZ35,'3.Inc &amp; Exp per Function'!$V34:$V1132)</f>
        <v>0</v>
      </c>
      <c r="BV35" s="751">
        <f ca="1">SUMIF('3.Inc &amp; Exp per Function'!$D34:$D1133,'5.Cons and detailed recon'!BA35,'3.Inc &amp; Exp per Function'!$V34:$V1132)</f>
        <v>0</v>
      </c>
      <c r="BW35" s="751">
        <f ca="1">SUMIF('3.Inc &amp; Exp per Function'!$D34:$D1133,'5.Cons and detailed recon'!BB35,'3.Inc &amp; Exp per Function'!$V34:$V1132)</f>
        <v>0</v>
      </c>
      <c r="BX35" s="751">
        <f ca="1">SUMIF('3.Inc &amp; Exp per Function'!$D34:$D1133,'5.Cons and detailed recon'!BC35,'3.Inc &amp; Exp per Function'!$V34:$V1132)</f>
        <v>0</v>
      </c>
      <c r="BY35" s="751">
        <f ca="1">SUMIF('3.Inc &amp; Exp per Function'!$D34:$D1133,'5.Cons and detailed recon'!BD35,'3.Inc &amp; Exp per Function'!$V34:$V1132)</f>
        <v>0</v>
      </c>
      <c r="BZ35" s="751">
        <f ca="1">SUMIF('3.Inc &amp; Exp per Function'!$D34:$D1133,'5.Cons and detailed recon'!BE35,'3.Inc &amp; Exp per Function'!$V34:$V1132)</f>
        <v>0</v>
      </c>
      <c r="CA35" s="751">
        <f ca="1">SUMIF('3.Inc &amp; Exp per Function'!$D34:$D1133,'5.Cons and detailed recon'!BF35,'3.Inc &amp; Exp per Function'!$V34:$V1132)</f>
        <v>0</v>
      </c>
      <c r="CB35" s="413">
        <f t="shared" ca="1" si="7"/>
        <v>0</v>
      </c>
      <c r="CC35" s="751">
        <f ca="1">SUMIF('3.Inc &amp; Exp per Function'!$D34:$D1133,'5.Cons and detailed recon'!BG35,'3.Inc &amp; Exp per Function'!$V34:$V1132)</f>
        <v>15510000</v>
      </c>
      <c r="CD35" s="751">
        <f ca="1">SUMIF('3.Inc &amp; Exp per Function'!$D34:$D1133,'5.Cons and detailed recon'!BH35,'3.Inc &amp; Exp per Function'!$V34:$V1132)</f>
        <v>0</v>
      </c>
      <c r="CE35" s="751">
        <f ca="1">SUMIF('3.Inc &amp; Exp per Function'!$D34:$D1133,'5.Cons and detailed recon'!BI35,'3.Inc &amp; Exp per Function'!$V34:$V1132)</f>
        <v>0</v>
      </c>
      <c r="CF35" s="751">
        <f ca="1">SUMIF('3.Inc &amp; Exp per Function'!$D34:$D1133,'5.Cons and detailed recon'!BJ35,'3.Inc &amp; Exp per Function'!$V34:$V1132)</f>
        <v>0</v>
      </c>
      <c r="CG35" s="748">
        <f t="shared" ca="1" si="8"/>
        <v>15510000</v>
      </c>
      <c r="CH35" s="794"/>
      <c r="CI35" s="791">
        <f t="shared" ca="1" si="9"/>
        <v>19480560</v>
      </c>
      <c r="CJ35" s="411">
        <f>SUMIF('4.Inc &amp; Exp Summary'!A:A,'5.Cons and detailed recon'!R35,'4.Inc &amp; Exp Summary'!M:M)</f>
        <v>6751308</v>
      </c>
      <c r="CK35" s="415">
        <f t="shared" ca="1" si="17"/>
        <v>12729252</v>
      </c>
      <c r="CL35" s="720"/>
      <c r="CM35" s="730"/>
      <c r="CO35" s="398" t="str">
        <f t="shared" si="26"/>
        <v>Executive and Council2700</v>
      </c>
      <c r="CP35" s="398" t="str">
        <f t="shared" si="26"/>
        <v>Finance and administration2700</v>
      </c>
      <c r="CQ35" s="398" t="str">
        <f t="shared" si="26"/>
        <v>Internal audit2700</v>
      </c>
      <c r="CR35" s="398" t="str">
        <f t="shared" si="26"/>
        <v>Community and social services2700</v>
      </c>
      <c r="CS35" s="398" t="str">
        <f t="shared" si="26"/>
        <v>Sport and recreation2700</v>
      </c>
      <c r="CT35" s="398" t="str">
        <f t="shared" si="26"/>
        <v>Public safety2700</v>
      </c>
      <c r="CU35" s="398" t="str">
        <f t="shared" si="26"/>
        <v>Housing2700</v>
      </c>
      <c r="CV35" s="398" t="str">
        <f t="shared" si="26"/>
        <v>Health2700</v>
      </c>
      <c r="CW35" s="398" t="str">
        <f t="shared" si="26"/>
        <v>Planning and development2700</v>
      </c>
      <c r="CX35" s="398" t="str">
        <f t="shared" si="26"/>
        <v>Road transport2700</v>
      </c>
      <c r="CY35" s="398" t="str">
        <f t="shared" si="26"/>
        <v>Environmental protection2700</v>
      </c>
      <c r="CZ35" s="398" t="str">
        <f t="shared" si="26"/>
        <v>Other2700</v>
      </c>
      <c r="DA35" s="398" t="str">
        <f t="shared" si="26"/>
        <v>Energy sources2700</v>
      </c>
      <c r="DB35" s="398" t="str">
        <f t="shared" si="26"/>
        <v>Water management2700</v>
      </c>
      <c r="DC35" s="398" t="str">
        <f t="shared" si="26"/>
        <v>Waste water management2700</v>
      </c>
      <c r="DD35" s="398" t="str">
        <f t="shared" si="26"/>
        <v>Waste management2700</v>
      </c>
      <c r="DE35" s="745" t="s">
        <v>728</v>
      </c>
      <c r="DF35" s="745" t="s">
        <v>728</v>
      </c>
      <c r="DG35" s="735"/>
      <c r="DH35" s="748" t="s">
        <v>729</v>
      </c>
      <c r="DI35" s="751">
        <f ca="1">SUMIF('3.Inc &amp; Exp per Function'!$D34:$D1133,'5.Cons and detailed recon'!CO35,'3.Inc &amp; Exp per Function'!$W34:$W1132)</f>
        <v>0</v>
      </c>
      <c r="DJ35" s="751">
        <f ca="1">SUMIF('3.Inc &amp; Exp per Function'!$D34:$D1132,'5.Cons and detailed recon'!CP35,'3.Inc &amp; Exp per Function'!$W34:$W1131)</f>
        <v>4097618</v>
      </c>
      <c r="DK35" s="751">
        <f ca="1">SUMIF('3.Inc &amp; Exp per Function'!$D34:$D1132,'5.Cons and detailed recon'!CQ35,'3.Inc &amp; Exp per Function'!$W34:$W1131)</f>
        <v>0</v>
      </c>
      <c r="DL35" s="413">
        <f t="shared" ca="1" si="11"/>
        <v>4097618</v>
      </c>
      <c r="DM35" s="751">
        <f ca="1">SUMIF('3.Inc &amp; Exp per Function'!$D34:$D1132,'5.Cons and detailed recon'!CR35,'3.Inc &amp; Exp per Function'!$W34:$W1131)</f>
        <v>0</v>
      </c>
      <c r="DN35" s="751">
        <f ca="1">SUMIF('3.Inc &amp; Exp per Function'!$D34:$D1132,'5.Cons and detailed recon'!CS35,'3.Inc &amp; Exp per Function'!$W34:$W1131)</f>
        <v>0</v>
      </c>
      <c r="DO35" s="751">
        <f ca="1">SUMIF('3.Inc &amp; Exp per Function'!$D34:$D1132,'5.Cons and detailed recon'!CT35,'3.Inc &amp; Exp per Function'!$W34:$W1131)</f>
        <v>0</v>
      </c>
      <c r="DP35" s="751">
        <f ca="1">SUMIF('3.Inc &amp; Exp per Function'!$D34:$D1132,'5.Cons and detailed recon'!CU35,'3.Inc &amp; Exp per Function'!$W34:$W1131)</f>
        <v>0</v>
      </c>
      <c r="DQ35" s="751">
        <f ca="1">SUMIF('3.Inc &amp; Exp per Function'!$D34:$D1132,'5.Cons and detailed recon'!CV35,'3.Inc &amp; Exp per Function'!$W34:$W1131)</f>
        <v>0</v>
      </c>
      <c r="DR35" s="751">
        <f ca="1">SUMIF('3.Inc &amp; Exp per Function'!$D34:$D1132,'5.Cons and detailed recon'!CW35,'3.Inc &amp; Exp per Function'!$W34:$W1131)</f>
        <v>0</v>
      </c>
      <c r="DS35" s="751">
        <f ca="1">SUMIF('3.Inc &amp; Exp per Function'!$D34:$D1132,'5.Cons and detailed recon'!CX35,'3.Inc &amp; Exp per Function'!$W34:$W1131)</f>
        <v>0</v>
      </c>
      <c r="DT35" s="751">
        <f ca="1">SUMIF('3.Inc &amp; Exp per Function'!$D34:$D1132,'5.Cons and detailed recon'!CY35,'3.Inc &amp; Exp per Function'!$W34:$W1131)</f>
        <v>0</v>
      </c>
      <c r="DU35" s="751">
        <f ca="1">SUMIF('3.Inc &amp; Exp per Function'!$D34:$D1132,'5.Cons and detailed recon'!CZ35,'3.Inc &amp; Exp per Function'!$W34:$W1131)</f>
        <v>0</v>
      </c>
      <c r="DV35" s="413">
        <f t="shared" ca="1" si="12"/>
        <v>0</v>
      </c>
      <c r="DW35" s="751">
        <f ca="1">SUMIF('3.Inc &amp; Exp per Function'!$D34:$D1132,'5.Cons and detailed recon'!DA35,'3.Inc &amp; Exp per Function'!$W34:$W1131)</f>
        <v>16006320</v>
      </c>
      <c r="DX35" s="751">
        <f ca="1">SUMIF('3.Inc &amp; Exp per Function'!$D34:$D1132,'5.Cons and detailed recon'!DB35,'3.Inc &amp; Exp per Function'!$W34:$W1131)</f>
        <v>0</v>
      </c>
      <c r="DY35" s="751">
        <f ca="1">SUMIF('3.Inc &amp; Exp per Function'!$D34:$D1132,'5.Cons and detailed recon'!DC35,'3.Inc &amp; Exp per Function'!$W34:$W1131)</f>
        <v>0</v>
      </c>
      <c r="DZ35" s="751">
        <f ca="1">SUMIF('3.Inc &amp; Exp per Function'!$D34:$D1132,'5.Cons and detailed recon'!DD35,'3.Inc &amp; Exp per Function'!$W34:$W1131)</f>
        <v>0</v>
      </c>
      <c r="EA35" s="748">
        <f t="shared" ca="1" si="13"/>
        <v>16006320</v>
      </c>
      <c r="EB35" s="794"/>
      <c r="EC35" s="791">
        <f t="shared" ca="1" si="14"/>
        <v>20103938</v>
      </c>
      <c r="ED35" s="414">
        <f>SUMIF('4.Inc &amp; Exp Summary'!A:A,'5.Cons and detailed recon'!DF35,'4.Inc &amp; Exp Summary'!N:N)</f>
        <v>6967349.8559999997</v>
      </c>
      <c r="EE35" s="415">
        <f t="shared" ca="1" si="15"/>
        <v>13136588.144000001</v>
      </c>
      <c r="EF35" s="720"/>
      <c r="EG35" s="980"/>
      <c r="EH35" s="980"/>
      <c r="EI35" s="980"/>
      <c r="EJ35" s="980"/>
      <c r="EK35" s="980"/>
      <c r="EL35" s="980"/>
      <c r="EM35" s="980"/>
      <c r="EN35" s="980"/>
      <c r="EO35" s="980"/>
      <c r="EP35" s="980"/>
      <c r="EQ35" s="980"/>
      <c r="ER35" s="980"/>
      <c r="ES35" s="980"/>
      <c r="ET35" s="980"/>
      <c r="EU35" s="980"/>
      <c r="EV35" s="980"/>
      <c r="EW35" s="980"/>
      <c r="EX35" s="980"/>
      <c r="EY35" s="980"/>
      <c r="EZ35" s="980"/>
      <c r="FA35" s="980"/>
      <c r="FB35" s="980"/>
      <c r="FC35" s="980"/>
      <c r="FD35" s="980"/>
      <c r="FE35" s="980"/>
      <c r="FF35" s="980"/>
      <c r="FG35" s="980"/>
      <c r="FH35" s="980"/>
      <c r="FI35" s="980"/>
      <c r="FJ35" s="980"/>
      <c r="FK35" s="980"/>
      <c r="FL35" s="980"/>
      <c r="FM35" s="980"/>
      <c r="FN35" s="980"/>
      <c r="FO35" s="980"/>
      <c r="FP35" s="980"/>
      <c r="FQ35" s="980"/>
      <c r="FR35" s="980"/>
      <c r="FS35" s="980"/>
      <c r="FT35" s="980"/>
      <c r="FU35" s="980"/>
      <c r="FV35" s="980"/>
      <c r="FW35" s="980"/>
      <c r="FX35" s="980"/>
      <c r="FY35" s="980"/>
      <c r="FZ35" s="980"/>
      <c r="GA35" s="980"/>
      <c r="GB35" s="980"/>
      <c r="GC35" s="980"/>
      <c r="GD35" s="980"/>
      <c r="GE35" s="980"/>
      <c r="GF35" s="980"/>
      <c r="GG35" s="980"/>
      <c r="GH35" s="980"/>
      <c r="GI35" s="980"/>
      <c r="GJ35" s="980"/>
      <c r="GK35" s="980"/>
      <c r="GL35" s="980"/>
      <c r="GM35" s="980"/>
      <c r="GN35" s="980"/>
      <c r="GO35" s="980"/>
      <c r="GP35" s="980"/>
      <c r="GQ35" s="980"/>
      <c r="GR35" s="980"/>
      <c r="GS35" s="980"/>
      <c r="GT35" s="980"/>
      <c r="GU35" s="980"/>
      <c r="GV35" s="980"/>
      <c r="GW35" s="980"/>
      <c r="GX35" s="980"/>
      <c r="GY35" s="980"/>
      <c r="GZ35" s="980"/>
      <c r="HA35" s="980"/>
      <c r="HB35" s="980"/>
      <c r="HC35" s="980"/>
      <c r="HD35" s="980"/>
      <c r="HE35" s="980"/>
      <c r="HF35" s="980"/>
      <c r="HG35" s="980"/>
      <c r="HH35" s="980"/>
      <c r="HI35" s="980"/>
      <c r="HJ35" s="980"/>
      <c r="HK35" s="980"/>
      <c r="HL35" s="980"/>
      <c r="HM35" s="980"/>
      <c r="HN35" s="980"/>
      <c r="HO35" s="980"/>
      <c r="HP35" s="980"/>
      <c r="HQ35" s="980"/>
      <c r="HR35" s="980"/>
      <c r="HS35" s="980"/>
      <c r="HT35" s="980"/>
      <c r="HU35" s="980"/>
      <c r="HV35" s="980"/>
      <c r="HW35" s="980"/>
      <c r="HX35" s="980"/>
      <c r="HY35" s="980"/>
      <c r="HZ35" s="980"/>
      <c r="IA35" s="980"/>
      <c r="IB35" s="980"/>
      <c r="IC35" s="980"/>
      <c r="ID35" s="980"/>
      <c r="IE35" s="980"/>
      <c r="IF35" s="980"/>
      <c r="IG35" s="980"/>
      <c r="IH35" s="980"/>
      <c r="II35" s="980"/>
      <c r="IJ35" s="980"/>
      <c r="IK35" s="980"/>
      <c r="IL35" s="980"/>
      <c r="IM35" s="980"/>
      <c r="IN35" s="980"/>
      <c r="IO35" s="980"/>
      <c r="IP35" s="980"/>
      <c r="IQ35" s="980"/>
      <c r="IR35" s="980"/>
      <c r="IS35" s="980"/>
      <c r="IT35" s="980"/>
      <c r="IU35" s="980"/>
      <c r="IV35" s="980"/>
    </row>
    <row r="36" spans="1:256" s="409" customFormat="1" ht="12" customHeight="1" x14ac:dyDescent="0.55000000000000004">
      <c r="A36" s="398" t="str">
        <f t="shared" si="1"/>
        <v>Executive and Council2800</v>
      </c>
      <c r="B36" s="398" t="str">
        <f t="shared" si="24"/>
        <v>Finance and administration2800</v>
      </c>
      <c r="C36" s="398" t="str">
        <f t="shared" si="24"/>
        <v>Internal audit2800</v>
      </c>
      <c r="D36" s="398" t="str">
        <f t="shared" si="24"/>
        <v>Community and social services2800</v>
      </c>
      <c r="E36" s="398" t="str">
        <f t="shared" si="24"/>
        <v>Sport and recreation2800</v>
      </c>
      <c r="F36" s="398" t="str">
        <f t="shared" si="24"/>
        <v>Public safety2800</v>
      </c>
      <c r="G36" s="398" t="str">
        <f t="shared" si="24"/>
        <v>Housing2800</v>
      </c>
      <c r="H36" s="398" t="str">
        <f t="shared" si="24"/>
        <v>Health2800</v>
      </c>
      <c r="I36" s="398" t="str">
        <f t="shared" si="24"/>
        <v>Planning and development2800</v>
      </c>
      <c r="J36" s="398" t="str">
        <f t="shared" si="24"/>
        <v>Road transport2800</v>
      </c>
      <c r="K36" s="398" t="str">
        <f t="shared" si="24"/>
        <v>Environmental protection2800</v>
      </c>
      <c r="L36" s="398" t="str">
        <f t="shared" si="24"/>
        <v>Other2800</v>
      </c>
      <c r="M36" s="398" t="str">
        <f t="shared" si="24"/>
        <v>Energy sources2800</v>
      </c>
      <c r="N36" s="398" t="str">
        <f t="shared" si="24"/>
        <v>Water management2800</v>
      </c>
      <c r="O36" s="398" t="str">
        <f t="shared" si="24"/>
        <v>Waste water management2800</v>
      </c>
      <c r="P36" s="398" t="str">
        <f t="shared" si="24"/>
        <v>Waste management2800</v>
      </c>
      <c r="Q36" s="745" t="s">
        <v>730</v>
      </c>
      <c r="R36" s="745" t="s">
        <v>730</v>
      </c>
      <c r="S36" s="994"/>
      <c r="T36" s="748" t="s">
        <v>731</v>
      </c>
      <c r="U36" s="804">
        <f ca="1">SUMIF('3.Inc &amp; Exp per Function'!$D35:$D1134,'5.Cons and detailed recon'!A36,'3.Inc &amp; Exp per Function'!$U35:$U1133)</f>
        <v>0</v>
      </c>
      <c r="V36" s="804">
        <f ca="1">SUMIF('3.Inc &amp; Exp per Function'!$D35:$D1134,'5.Cons and detailed recon'!B36,'3.Inc &amp; Exp per Function'!$U35:$U1133)</f>
        <v>0</v>
      </c>
      <c r="W36" s="804">
        <f ca="1">SUMIF('3.Inc &amp; Exp per Function'!$D35:$D1134,'5.Cons and detailed recon'!C36,'3.Inc &amp; Exp per Function'!$U35:$U1133)</f>
        <v>0</v>
      </c>
      <c r="X36" s="413">
        <f t="shared" ca="1" si="16"/>
        <v>0</v>
      </c>
      <c r="Y36" s="804">
        <f ca="1">SUMIF('3.Inc &amp; Exp per Function'!$D36:$D1134,'5.Cons and detailed recon'!D36,'3.Inc &amp; Exp per Function'!$U36:$U1133)</f>
        <v>0</v>
      </c>
      <c r="Z36" s="804">
        <f ca="1">SUMIF('3.Inc &amp; Exp per Function'!$D36:$D1134,'5.Cons and detailed recon'!E36,'3.Inc &amp; Exp per Function'!$U36:$U1133)</f>
        <v>0</v>
      </c>
      <c r="AA36" s="804">
        <f ca="1">SUMIF('3.Inc &amp; Exp per Function'!$D36:$D1134,'5.Cons and detailed recon'!F36,'3.Inc &amp; Exp per Function'!$U36:$U1133)</f>
        <v>0</v>
      </c>
      <c r="AB36" s="804">
        <f ca="1">SUMIF('3.Inc &amp; Exp per Function'!$D36:$D1134,'5.Cons and detailed recon'!G36,'3.Inc &amp; Exp per Function'!$U36:$U1133)</f>
        <v>0</v>
      </c>
      <c r="AC36" s="804">
        <f ca="1">SUMIF('3.Inc &amp; Exp per Function'!$D36:$D1134,'5.Cons and detailed recon'!H36,'3.Inc &amp; Exp per Function'!$U36:$U1133)</f>
        <v>0</v>
      </c>
      <c r="AD36" s="804">
        <f ca="1">SUMIF('3.Inc &amp; Exp per Function'!$D36:$D1134,'5.Cons and detailed recon'!I36,'3.Inc &amp; Exp per Function'!$U36:$U1133)</f>
        <v>0</v>
      </c>
      <c r="AE36" s="804">
        <f ca="1">SUMIF('3.Inc &amp; Exp per Function'!$D36:$D1134,'5.Cons and detailed recon'!J36,'3.Inc &amp; Exp per Function'!$U36:$U1133)</f>
        <v>0</v>
      </c>
      <c r="AF36" s="804">
        <f ca="1">SUMIF('3.Inc &amp; Exp per Function'!$D36:$D1134,'5.Cons and detailed recon'!K36,'3.Inc &amp; Exp per Function'!$U36:$U1133)</f>
        <v>0</v>
      </c>
      <c r="AG36" s="1326">
        <f ca="1">SUMIF('3.Inc &amp; Exp per Function'!$D35:$D1134,'5.Cons and detailed recon'!L36,'3.Inc &amp; Exp per Function'!$U35:$U1133)</f>
        <v>0</v>
      </c>
      <c r="AH36" s="413">
        <f t="shared" ca="1" si="3"/>
        <v>0</v>
      </c>
      <c r="AI36" s="804">
        <f ca="1">SUMIF('3.Inc &amp; Exp per Function'!$D36:$D1134,'5.Cons and detailed recon'!M36,'3.Inc &amp; Exp per Function'!$U36:$U1133)</f>
        <v>0</v>
      </c>
      <c r="AJ36" s="804">
        <f ca="1">SUMIF('3.Inc &amp; Exp per Function'!$D36:$D1134,'5.Cons and detailed recon'!N36,'3.Inc &amp; Exp per Function'!$U36:$U1133)</f>
        <v>0</v>
      </c>
      <c r="AK36" s="804">
        <f ca="1">SUMIF('3.Inc &amp; Exp per Function'!$D36:$D1134,'5.Cons and detailed recon'!O36,'3.Inc &amp; Exp per Function'!$U36:$U1133)</f>
        <v>0</v>
      </c>
      <c r="AL36" s="804">
        <f ca="1">SUMIF('3.Inc &amp; Exp per Function'!$D36:$D1134,'5.Cons and detailed recon'!P36,'3.Inc &amp; Exp per Function'!$U36:$U1133)</f>
        <v>0</v>
      </c>
      <c r="AM36" s="748">
        <f t="shared" ca="1" si="0"/>
        <v>0</v>
      </c>
      <c r="AN36" s="794"/>
      <c r="AO36" s="791">
        <f t="shared" ca="1" si="18"/>
        <v>0</v>
      </c>
      <c r="AP36" s="414">
        <f>SUMIF('4.Inc &amp; Exp Summary'!A:A,'5.Cons and detailed recon'!R36,'4.Inc &amp; Exp Summary'!L:L)</f>
        <v>871790</v>
      </c>
      <c r="AQ36" s="415">
        <f t="shared" ca="1" si="23"/>
        <v>-871790</v>
      </c>
      <c r="AR36" s="720"/>
      <c r="AS36" s="730"/>
      <c r="AT36" s="408"/>
      <c r="AU36" s="398" t="str">
        <f t="shared" si="25"/>
        <v>Executive and Council2800</v>
      </c>
      <c r="AV36" s="398" t="str">
        <f t="shared" si="25"/>
        <v>Finance and administration2800</v>
      </c>
      <c r="AW36" s="398" t="str">
        <f t="shared" si="25"/>
        <v>Internal audit2800</v>
      </c>
      <c r="AX36" s="398" t="str">
        <f t="shared" si="25"/>
        <v>Community and social services2800</v>
      </c>
      <c r="AY36" s="398" t="str">
        <f t="shared" si="25"/>
        <v>Sport and recreation2800</v>
      </c>
      <c r="AZ36" s="398" t="str">
        <f t="shared" si="25"/>
        <v>Public safety2800</v>
      </c>
      <c r="BA36" s="398" t="str">
        <f t="shared" si="25"/>
        <v>Housing2800</v>
      </c>
      <c r="BB36" s="398" t="str">
        <f t="shared" si="25"/>
        <v>Health2800</v>
      </c>
      <c r="BC36" s="398" t="str">
        <f t="shared" si="25"/>
        <v>Planning and development2800</v>
      </c>
      <c r="BD36" s="398" t="str">
        <f t="shared" si="25"/>
        <v>Road transport2800</v>
      </c>
      <c r="BE36" s="398" t="str">
        <f t="shared" si="25"/>
        <v>Environmental protection2800</v>
      </c>
      <c r="BF36" s="398" t="str">
        <f t="shared" si="25"/>
        <v>Other2800</v>
      </c>
      <c r="BG36" s="398" t="str">
        <f t="shared" si="25"/>
        <v>Energy sources2800</v>
      </c>
      <c r="BH36" s="398" t="str">
        <f t="shared" si="25"/>
        <v>Water management2800</v>
      </c>
      <c r="BI36" s="398" t="str">
        <f t="shared" si="25"/>
        <v>Waste water management2800</v>
      </c>
      <c r="BJ36" s="398" t="str">
        <f t="shared" si="25"/>
        <v>Waste management2800</v>
      </c>
      <c r="BK36" s="745" t="s">
        <v>730</v>
      </c>
      <c r="BL36" s="745" t="s">
        <v>730</v>
      </c>
      <c r="BM36" s="735"/>
      <c r="BN36" s="748" t="s">
        <v>731</v>
      </c>
      <c r="BO36" s="751">
        <f ca="1">SUMIF('3.Inc &amp; Exp per Function'!$D36:$D1134,'5.Cons and detailed recon'!AU36,'3.Inc &amp; Exp per Function'!$V36:$V1133)</f>
        <v>0</v>
      </c>
      <c r="BP36" s="751">
        <f ca="1">SUMIF('3.Inc &amp; Exp per Function'!$D35:$D1134,'5.Cons and detailed recon'!AV36,'3.Inc &amp; Exp per Function'!$V35:$V1133)</f>
        <v>0</v>
      </c>
      <c r="BQ36" s="751">
        <f ca="1">SUMIF('3.Inc &amp; Exp per Function'!$D35:$D1134,'5.Cons and detailed recon'!AW36,'3.Inc &amp; Exp per Function'!$V35:$V1133)</f>
        <v>0</v>
      </c>
      <c r="BR36" s="1329">
        <f t="shared" ca="1" si="6"/>
        <v>0</v>
      </c>
      <c r="BS36" s="751">
        <f ca="1">SUMIF('3.Inc &amp; Exp per Function'!$D35:$D1134,'5.Cons and detailed recon'!AX36,'3.Inc &amp; Exp per Function'!$V35:$V1133)</f>
        <v>0</v>
      </c>
      <c r="BT36" s="751">
        <f ca="1">SUMIF('3.Inc &amp; Exp per Function'!$D35:$D1134,'5.Cons and detailed recon'!AY36,'3.Inc &amp; Exp per Function'!$V35:$V1133)</f>
        <v>0</v>
      </c>
      <c r="BU36" s="751">
        <f ca="1">SUMIF('3.Inc &amp; Exp per Function'!$D35:$D1134,'5.Cons and detailed recon'!AZ36,'3.Inc &amp; Exp per Function'!$V35:$V1133)</f>
        <v>0</v>
      </c>
      <c r="BV36" s="751">
        <f ca="1">SUMIF('3.Inc &amp; Exp per Function'!$D35:$D1134,'5.Cons and detailed recon'!BA36,'3.Inc &amp; Exp per Function'!$V35:$V1133)</f>
        <v>0</v>
      </c>
      <c r="BW36" s="751">
        <f ca="1">SUMIF('3.Inc &amp; Exp per Function'!$D35:$D1134,'5.Cons and detailed recon'!BB36,'3.Inc &amp; Exp per Function'!$V35:$V1133)</f>
        <v>0</v>
      </c>
      <c r="BX36" s="751">
        <f ca="1">SUMIF('3.Inc &amp; Exp per Function'!$D35:$D1134,'5.Cons and detailed recon'!BC36,'3.Inc &amp; Exp per Function'!$V35:$V1133)</f>
        <v>0</v>
      </c>
      <c r="BY36" s="751">
        <f ca="1">SUMIF('3.Inc &amp; Exp per Function'!$D35:$D1134,'5.Cons and detailed recon'!BD36,'3.Inc &amp; Exp per Function'!$V35:$V1133)</f>
        <v>0</v>
      </c>
      <c r="BZ36" s="751">
        <f ca="1">SUMIF('3.Inc &amp; Exp per Function'!$D35:$D1134,'5.Cons and detailed recon'!BE36,'3.Inc &amp; Exp per Function'!$V35:$V1133)</f>
        <v>0</v>
      </c>
      <c r="CA36" s="751">
        <f ca="1">SUMIF('3.Inc &amp; Exp per Function'!$D35:$D1134,'5.Cons and detailed recon'!BF36,'3.Inc &amp; Exp per Function'!$V35:$V1133)</f>
        <v>0</v>
      </c>
      <c r="CB36" s="413">
        <f t="shared" ca="1" si="7"/>
        <v>0</v>
      </c>
      <c r="CC36" s="751">
        <f ca="1">SUMIF('3.Inc &amp; Exp per Function'!$D35:$D1134,'5.Cons and detailed recon'!BG36,'3.Inc &amp; Exp per Function'!$V35:$V1133)</f>
        <v>0</v>
      </c>
      <c r="CD36" s="751">
        <f ca="1">SUMIF('3.Inc &amp; Exp per Function'!$D35:$D1134,'5.Cons and detailed recon'!BH36,'3.Inc &amp; Exp per Function'!$V35:$V1133)</f>
        <v>0</v>
      </c>
      <c r="CE36" s="751">
        <f ca="1">SUMIF('3.Inc &amp; Exp per Function'!$D35:$D1134,'5.Cons and detailed recon'!BI36,'3.Inc &amp; Exp per Function'!$V35:$V1133)</f>
        <v>0</v>
      </c>
      <c r="CF36" s="751">
        <f ca="1">SUMIF('3.Inc &amp; Exp per Function'!$D35:$D1134,'5.Cons and detailed recon'!BJ36,'3.Inc &amp; Exp per Function'!$V35:$V1133)</f>
        <v>0</v>
      </c>
      <c r="CG36" s="748">
        <f t="shared" ca="1" si="8"/>
        <v>0</v>
      </c>
      <c r="CH36" s="794"/>
      <c r="CI36" s="791">
        <f t="shared" ca="1" si="9"/>
        <v>0</v>
      </c>
      <c r="CJ36" s="411">
        <f>SUMIF('4.Inc &amp; Exp Summary'!A:A,'5.Cons and detailed recon'!R36,'4.Inc &amp; Exp Summary'!M:M)</f>
        <v>901431</v>
      </c>
      <c r="CK36" s="415">
        <f t="shared" ca="1" si="17"/>
        <v>-901431</v>
      </c>
      <c r="CL36" s="720"/>
      <c r="CM36" s="730"/>
      <c r="CO36" s="398" t="str">
        <f t="shared" si="26"/>
        <v>Executive and Council2800</v>
      </c>
      <c r="CP36" s="398" t="str">
        <f t="shared" si="26"/>
        <v>Finance and administration2800</v>
      </c>
      <c r="CQ36" s="398" t="str">
        <f t="shared" si="26"/>
        <v>Internal audit2800</v>
      </c>
      <c r="CR36" s="398" t="str">
        <f t="shared" si="26"/>
        <v>Community and social services2800</v>
      </c>
      <c r="CS36" s="398" t="str">
        <f t="shared" si="26"/>
        <v>Sport and recreation2800</v>
      </c>
      <c r="CT36" s="398" t="str">
        <f t="shared" si="26"/>
        <v>Public safety2800</v>
      </c>
      <c r="CU36" s="398" t="str">
        <f t="shared" si="26"/>
        <v>Housing2800</v>
      </c>
      <c r="CV36" s="398" t="str">
        <f t="shared" si="26"/>
        <v>Health2800</v>
      </c>
      <c r="CW36" s="398" t="str">
        <f t="shared" si="26"/>
        <v>Planning and development2800</v>
      </c>
      <c r="CX36" s="398" t="str">
        <f t="shared" si="26"/>
        <v>Road transport2800</v>
      </c>
      <c r="CY36" s="398" t="str">
        <f t="shared" si="26"/>
        <v>Environmental protection2800</v>
      </c>
      <c r="CZ36" s="398" t="str">
        <f t="shared" si="26"/>
        <v>Other2800</v>
      </c>
      <c r="DA36" s="398" t="str">
        <f t="shared" si="26"/>
        <v>Energy sources2800</v>
      </c>
      <c r="DB36" s="398" t="str">
        <f t="shared" si="26"/>
        <v>Water management2800</v>
      </c>
      <c r="DC36" s="398" t="str">
        <f t="shared" si="26"/>
        <v>Waste water management2800</v>
      </c>
      <c r="DD36" s="398" t="str">
        <f t="shared" si="26"/>
        <v>Waste management2800</v>
      </c>
      <c r="DE36" s="745" t="s">
        <v>730</v>
      </c>
      <c r="DF36" s="745" t="s">
        <v>730</v>
      </c>
      <c r="DG36" s="735"/>
      <c r="DH36" s="748" t="s">
        <v>731</v>
      </c>
      <c r="DI36" s="751">
        <f ca="1">SUMIF('3.Inc &amp; Exp per Function'!$D35:$D1134,'5.Cons and detailed recon'!CO36,'3.Inc &amp; Exp per Function'!$W35:$W1133)</f>
        <v>0</v>
      </c>
      <c r="DJ36" s="751">
        <f ca="1">SUMIF('3.Inc &amp; Exp per Function'!$D35:$D1133,'5.Cons and detailed recon'!CP36,'3.Inc &amp; Exp per Function'!$W35:$W1132)</f>
        <v>0</v>
      </c>
      <c r="DK36" s="751">
        <f ca="1">SUMIF('3.Inc &amp; Exp per Function'!$D35:$D1133,'5.Cons and detailed recon'!CQ36,'3.Inc &amp; Exp per Function'!$W35:$W1132)</f>
        <v>0</v>
      </c>
      <c r="DL36" s="413">
        <f t="shared" ca="1" si="11"/>
        <v>0</v>
      </c>
      <c r="DM36" s="751">
        <f ca="1">SUMIF('3.Inc &amp; Exp per Function'!$D35:$D1133,'5.Cons and detailed recon'!CR36,'3.Inc &amp; Exp per Function'!$W35:$W1132)</f>
        <v>0</v>
      </c>
      <c r="DN36" s="751">
        <f ca="1">SUMIF('3.Inc &amp; Exp per Function'!$D35:$D1133,'5.Cons and detailed recon'!CS36,'3.Inc &amp; Exp per Function'!$W35:$W1132)</f>
        <v>0</v>
      </c>
      <c r="DO36" s="751">
        <f ca="1">SUMIF('3.Inc &amp; Exp per Function'!$D35:$D1133,'5.Cons and detailed recon'!CT36,'3.Inc &amp; Exp per Function'!$W35:$W1132)</f>
        <v>0</v>
      </c>
      <c r="DP36" s="751">
        <f ca="1">SUMIF('3.Inc &amp; Exp per Function'!$D35:$D1133,'5.Cons and detailed recon'!CU36,'3.Inc &amp; Exp per Function'!$W35:$W1132)</f>
        <v>0</v>
      </c>
      <c r="DQ36" s="751">
        <f ca="1">SUMIF('3.Inc &amp; Exp per Function'!$D35:$D1133,'5.Cons and detailed recon'!CV36,'3.Inc &amp; Exp per Function'!$W35:$W1132)</f>
        <v>0</v>
      </c>
      <c r="DR36" s="751">
        <f ca="1">SUMIF('3.Inc &amp; Exp per Function'!$D35:$D1133,'5.Cons and detailed recon'!CW36,'3.Inc &amp; Exp per Function'!$W35:$W1132)</f>
        <v>0</v>
      </c>
      <c r="DS36" s="751">
        <f ca="1">SUMIF('3.Inc &amp; Exp per Function'!$D35:$D1133,'5.Cons and detailed recon'!CX36,'3.Inc &amp; Exp per Function'!$W35:$W1132)</f>
        <v>0</v>
      </c>
      <c r="DT36" s="751">
        <f ca="1">SUMIF('3.Inc &amp; Exp per Function'!$D35:$D1133,'5.Cons and detailed recon'!CY36,'3.Inc &amp; Exp per Function'!$W35:$W1132)</f>
        <v>0</v>
      </c>
      <c r="DU36" s="751">
        <f ca="1">SUMIF('3.Inc &amp; Exp per Function'!$D35:$D1133,'5.Cons and detailed recon'!CZ36,'3.Inc &amp; Exp per Function'!$W35:$W1132)</f>
        <v>0</v>
      </c>
      <c r="DV36" s="413">
        <f t="shared" ca="1" si="12"/>
        <v>0</v>
      </c>
      <c r="DW36" s="751">
        <f ca="1">SUMIF('3.Inc &amp; Exp per Function'!$D35:$D1133,'5.Cons and detailed recon'!DA36,'3.Inc &amp; Exp per Function'!$W35:$W1132)</f>
        <v>0</v>
      </c>
      <c r="DX36" s="751">
        <f ca="1">SUMIF('3.Inc &amp; Exp per Function'!$D35:$D1133,'5.Cons and detailed recon'!DB36,'3.Inc &amp; Exp per Function'!$W35:$W1132)</f>
        <v>0</v>
      </c>
      <c r="DY36" s="751">
        <f ca="1">SUMIF('3.Inc &amp; Exp per Function'!$D35:$D1133,'5.Cons and detailed recon'!DC36,'3.Inc &amp; Exp per Function'!$W35:$W1132)</f>
        <v>0</v>
      </c>
      <c r="DZ36" s="751">
        <f ca="1">SUMIF('3.Inc &amp; Exp per Function'!$D35:$D1133,'5.Cons and detailed recon'!DD36,'3.Inc &amp; Exp per Function'!$W35:$W1132)</f>
        <v>0</v>
      </c>
      <c r="EA36" s="748">
        <f t="shared" ca="1" si="13"/>
        <v>0</v>
      </c>
      <c r="EB36" s="794"/>
      <c r="EC36" s="791">
        <f t="shared" ca="1" si="14"/>
        <v>0</v>
      </c>
      <c r="ED36" s="414">
        <f>SUMIF('4.Inc &amp; Exp Summary'!A:A,'5.Cons and detailed recon'!DF36,'4.Inc &amp; Exp Summary'!N:N)</f>
        <v>930276.79200000002</v>
      </c>
      <c r="EE36" s="415">
        <f t="shared" ca="1" si="15"/>
        <v>-930276.79200000002</v>
      </c>
      <c r="EF36" s="720"/>
      <c r="EG36" s="980"/>
      <c r="EH36" s="980"/>
      <c r="EI36" s="980"/>
      <c r="EJ36" s="980"/>
      <c r="EK36" s="980"/>
      <c r="EL36" s="980"/>
      <c r="EM36" s="980"/>
      <c r="EN36" s="980"/>
      <c r="EO36" s="980"/>
      <c r="EP36" s="980"/>
      <c r="EQ36" s="980"/>
      <c r="ER36" s="980"/>
      <c r="ES36" s="980"/>
      <c r="ET36" s="980"/>
      <c r="EU36" s="980"/>
      <c r="EV36" s="980"/>
      <c r="EW36" s="980"/>
      <c r="EX36" s="980"/>
      <c r="EY36" s="980"/>
      <c r="EZ36" s="980"/>
      <c r="FA36" s="980"/>
      <c r="FB36" s="980"/>
      <c r="FC36" s="980"/>
      <c r="FD36" s="980"/>
      <c r="FE36" s="980"/>
      <c r="FF36" s="980"/>
      <c r="FG36" s="980"/>
      <c r="FH36" s="980"/>
      <c r="FI36" s="980"/>
      <c r="FJ36" s="980"/>
      <c r="FK36" s="980"/>
      <c r="FL36" s="980"/>
      <c r="FM36" s="980"/>
      <c r="FN36" s="980"/>
      <c r="FO36" s="980"/>
      <c r="FP36" s="980"/>
      <c r="FQ36" s="980"/>
      <c r="FR36" s="980"/>
      <c r="FS36" s="980"/>
      <c r="FT36" s="980"/>
      <c r="FU36" s="980"/>
      <c r="FV36" s="980"/>
      <c r="FW36" s="980"/>
      <c r="FX36" s="980"/>
      <c r="FY36" s="980"/>
      <c r="FZ36" s="980"/>
      <c r="GA36" s="980"/>
      <c r="GB36" s="980"/>
      <c r="GC36" s="980"/>
      <c r="GD36" s="980"/>
      <c r="GE36" s="980"/>
      <c r="GF36" s="980"/>
      <c r="GG36" s="980"/>
      <c r="GH36" s="980"/>
      <c r="GI36" s="980"/>
      <c r="GJ36" s="980"/>
      <c r="GK36" s="980"/>
      <c r="GL36" s="980"/>
      <c r="GM36" s="980"/>
      <c r="GN36" s="980"/>
      <c r="GO36" s="980"/>
      <c r="GP36" s="980"/>
      <c r="GQ36" s="980"/>
      <c r="GR36" s="980"/>
      <c r="GS36" s="980"/>
      <c r="GT36" s="980"/>
      <c r="GU36" s="980"/>
      <c r="GV36" s="980"/>
      <c r="GW36" s="980"/>
      <c r="GX36" s="980"/>
      <c r="GY36" s="980"/>
      <c r="GZ36" s="980"/>
      <c r="HA36" s="980"/>
      <c r="HB36" s="980"/>
      <c r="HC36" s="980"/>
      <c r="HD36" s="980"/>
      <c r="HE36" s="980"/>
      <c r="HF36" s="980"/>
      <c r="HG36" s="980"/>
      <c r="HH36" s="980"/>
      <c r="HI36" s="980"/>
      <c r="HJ36" s="980"/>
      <c r="HK36" s="980"/>
      <c r="HL36" s="980"/>
      <c r="HM36" s="980"/>
      <c r="HN36" s="980"/>
      <c r="HO36" s="980"/>
      <c r="HP36" s="980"/>
      <c r="HQ36" s="980"/>
      <c r="HR36" s="980"/>
      <c r="HS36" s="980"/>
      <c r="HT36" s="980"/>
      <c r="HU36" s="980"/>
      <c r="HV36" s="980"/>
      <c r="HW36" s="980"/>
      <c r="HX36" s="980"/>
      <c r="HY36" s="980"/>
      <c r="HZ36" s="980"/>
      <c r="IA36" s="980"/>
      <c r="IB36" s="980"/>
      <c r="IC36" s="980"/>
      <c r="ID36" s="980"/>
      <c r="IE36" s="980"/>
      <c r="IF36" s="980"/>
      <c r="IG36" s="980"/>
      <c r="IH36" s="980"/>
      <c r="II36" s="980"/>
      <c r="IJ36" s="980"/>
      <c r="IK36" s="980"/>
      <c r="IL36" s="980"/>
      <c r="IM36" s="980"/>
      <c r="IN36" s="980"/>
      <c r="IO36" s="980"/>
      <c r="IP36" s="980"/>
      <c r="IQ36" s="980"/>
      <c r="IR36" s="980"/>
      <c r="IS36" s="980"/>
      <c r="IT36" s="980"/>
      <c r="IU36" s="980"/>
      <c r="IV36" s="980"/>
    </row>
    <row r="37" spans="1:256" s="409" customFormat="1" ht="12" customHeight="1" x14ac:dyDescent="0.55000000000000004">
      <c r="A37" s="398" t="str">
        <f t="shared" si="1"/>
        <v>Executive and Council2900</v>
      </c>
      <c r="B37" s="398" t="str">
        <f t="shared" si="24"/>
        <v>Finance and administration2900</v>
      </c>
      <c r="C37" s="398" t="str">
        <f t="shared" si="24"/>
        <v>Internal audit2900</v>
      </c>
      <c r="D37" s="398" t="str">
        <f t="shared" si="24"/>
        <v>Community and social services2900</v>
      </c>
      <c r="E37" s="398" t="str">
        <f t="shared" si="24"/>
        <v>Sport and recreation2900</v>
      </c>
      <c r="F37" s="398" t="str">
        <f t="shared" si="24"/>
        <v>Public safety2900</v>
      </c>
      <c r="G37" s="398" t="str">
        <f t="shared" si="24"/>
        <v>Housing2900</v>
      </c>
      <c r="H37" s="398" t="str">
        <f t="shared" si="24"/>
        <v>Health2900</v>
      </c>
      <c r="I37" s="398" t="str">
        <f t="shared" si="24"/>
        <v>Planning and development2900</v>
      </c>
      <c r="J37" s="398" t="str">
        <f t="shared" si="24"/>
        <v>Road transport2900</v>
      </c>
      <c r="K37" s="398" t="str">
        <f t="shared" si="24"/>
        <v>Environmental protection2900</v>
      </c>
      <c r="L37" s="398" t="str">
        <f t="shared" si="24"/>
        <v>Other2900</v>
      </c>
      <c r="M37" s="398" t="str">
        <f t="shared" si="24"/>
        <v>Energy sources2900</v>
      </c>
      <c r="N37" s="398" t="str">
        <f t="shared" si="24"/>
        <v>Water management2900</v>
      </c>
      <c r="O37" s="398" t="str">
        <f t="shared" si="24"/>
        <v>Waste water management2900</v>
      </c>
      <c r="P37" s="398" t="str">
        <f t="shared" si="24"/>
        <v>Waste management2900</v>
      </c>
      <c r="Q37" s="743" t="s">
        <v>732</v>
      </c>
      <c r="R37" s="746" t="s">
        <v>732</v>
      </c>
      <c r="S37" s="994"/>
      <c r="T37" s="778" t="s">
        <v>707</v>
      </c>
      <c r="U37" s="804">
        <f ca="1">SUMIF('3.Inc &amp; Exp per Function'!$D36:$D1135,'5.Cons and detailed recon'!A37,'3.Inc &amp; Exp per Function'!$U36:$U1134)</f>
        <v>118000</v>
      </c>
      <c r="V37" s="804">
        <f ca="1">SUMIF('3.Inc &amp; Exp per Function'!$D36:$D1135,'5.Cons and detailed recon'!B37,'3.Inc &amp; Exp per Function'!$U36:$U1134)</f>
        <v>328483797</v>
      </c>
      <c r="W37" s="804">
        <f ca="1">SUMIF('3.Inc &amp; Exp per Function'!$D36:$D1135,'5.Cons and detailed recon'!C37,'3.Inc &amp; Exp per Function'!$U36:$U1134)</f>
        <v>0</v>
      </c>
      <c r="X37" s="1325">
        <f t="shared" ref="X37" ca="1" si="27">SUM(X8:X36)</f>
        <v>328601797</v>
      </c>
      <c r="Y37" s="804">
        <f ca="1">SUMIF('3.Inc &amp; Exp per Function'!$D37:$D1135,'5.Cons and detailed recon'!D37,'3.Inc &amp; Exp per Function'!$U37:$U1134)</f>
        <v>12607500</v>
      </c>
      <c r="Z37" s="804">
        <f ca="1">SUMIF('3.Inc &amp; Exp per Function'!$D37:$D1135,'5.Cons and detailed recon'!E37,'3.Inc &amp; Exp per Function'!$U37:$U1134)</f>
        <v>71000</v>
      </c>
      <c r="AA37" s="804">
        <f ca="1">SUMIF('3.Inc &amp; Exp per Function'!$D37:$D1135,'5.Cons and detailed recon'!F37,'3.Inc &amp; Exp per Function'!$U37:$U1134)</f>
        <v>41140000</v>
      </c>
      <c r="AB37" s="804">
        <f ca="1">SUMIF('3.Inc &amp; Exp per Function'!$D37:$D1135,'5.Cons and detailed recon'!G37,'3.Inc &amp; Exp per Function'!$U37:$U1134)</f>
        <v>0</v>
      </c>
      <c r="AC37" s="804">
        <f ca="1">SUMIF('3.Inc &amp; Exp per Function'!$D37:$D1135,'5.Cons and detailed recon'!H37,'3.Inc &amp; Exp per Function'!$U37:$U1134)</f>
        <v>0</v>
      </c>
      <c r="AD37" s="804">
        <f ca="1">SUMIF('3.Inc &amp; Exp per Function'!$D37:$D1135,'5.Cons and detailed recon'!I37,'3.Inc &amp; Exp per Function'!$U37:$U1134)</f>
        <v>5239500</v>
      </c>
      <c r="AE37" s="804">
        <f ca="1">SUMIF('3.Inc &amp; Exp per Function'!$D37:$D1135,'5.Cons and detailed recon'!J37,'3.Inc &amp; Exp per Function'!$U37:$U1134)</f>
        <v>8456000</v>
      </c>
      <c r="AF37" s="804">
        <f ca="1">SUMIF('3.Inc &amp; Exp per Function'!$D37:$D1135,'5.Cons and detailed recon'!K37,'3.Inc &amp; Exp per Function'!$U37:$U1134)</f>
        <v>0</v>
      </c>
      <c r="AG37" s="1326">
        <f ca="1">SUMIF('3.Inc &amp; Exp per Function'!$D36:$D1135,'5.Cons and detailed recon'!L37,'3.Inc &amp; Exp per Function'!$U36:$U1134)</f>
        <v>0</v>
      </c>
      <c r="AH37" s="416">
        <f t="shared" ca="1" si="3"/>
        <v>67514000</v>
      </c>
      <c r="AI37" s="804">
        <f ca="1">SUMIF('3.Inc &amp; Exp per Function'!$D37:$D1135,'5.Cons and detailed recon'!M37,'3.Inc &amp; Exp per Function'!$U37:$U1134)</f>
        <v>211351768</v>
      </c>
      <c r="AJ37" s="804">
        <f ca="1">SUMIF('3.Inc &amp; Exp per Function'!$D37:$D1135,'5.Cons and detailed recon'!N37,'3.Inc &amp; Exp per Function'!$U37:$U1134)</f>
        <v>144452160</v>
      </c>
      <c r="AK37" s="804">
        <f ca="1">SUMIF('3.Inc &amp; Exp per Function'!$D37:$D1135,'5.Cons and detailed recon'!O37,'3.Inc &amp; Exp per Function'!$U37:$U1134)</f>
        <v>76680510</v>
      </c>
      <c r="AL37" s="804">
        <f ca="1">SUMIF('3.Inc &amp; Exp per Function'!$D37:$D1135,'5.Cons and detailed recon'!P37,'3.Inc &amp; Exp per Function'!$U37:$U1134)</f>
        <v>71677925</v>
      </c>
      <c r="AM37" s="776">
        <f t="shared" ca="1" si="0"/>
        <v>504162363</v>
      </c>
      <c r="AN37" s="794"/>
      <c r="AO37" s="736">
        <f t="shared" ref="AO37" ca="1" si="28">X37+AH37+AM37</f>
        <v>900278160</v>
      </c>
      <c r="AP37" s="736">
        <f>SUMIF('4.Inc &amp; Exp Summary'!A:A,'5.Cons and detailed recon'!R37,'4.Inc &amp; Exp Summary'!L:L)</f>
        <v>18840000</v>
      </c>
      <c r="AQ37" s="809">
        <f t="shared" ca="1" si="23"/>
        <v>881438160</v>
      </c>
      <c r="AR37" s="720"/>
      <c r="AS37" s="730"/>
      <c r="AT37" s="408"/>
      <c r="AU37" s="398" t="str">
        <f t="shared" si="25"/>
        <v>Executive and Council2900</v>
      </c>
      <c r="AV37" s="398" t="str">
        <f t="shared" si="25"/>
        <v>Finance and administration2900</v>
      </c>
      <c r="AW37" s="398" t="str">
        <f t="shared" si="25"/>
        <v>Internal audit2900</v>
      </c>
      <c r="AX37" s="398" t="str">
        <f t="shared" si="25"/>
        <v>Community and social services2900</v>
      </c>
      <c r="AY37" s="398" t="str">
        <f t="shared" si="25"/>
        <v>Sport and recreation2900</v>
      </c>
      <c r="AZ37" s="398" t="str">
        <f t="shared" si="25"/>
        <v>Public safety2900</v>
      </c>
      <c r="BA37" s="398" t="str">
        <f t="shared" si="25"/>
        <v>Housing2900</v>
      </c>
      <c r="BB37" s="398" t="str">
        <f t="shared" si="25"/>
        <v>Health2900</v>
      </c>
      <c r="BC37" s="398" t="str">
        <f t="shared" si="25"/>
        <v>Planning and development2900</v>
      </c>
      <c r="BD37" s="398" t="str">
        <f t="shared" si="25"/>
        <v>Road transport2900</v>
      </c>
      <c r="BE37" s="398" t="str">
        <f t="shared" si="25"/>
        <v>Environmental protection2900</v>
      </c>
      <c r="BF37" s="398" t="str">
        <f t="shared" si="25"/>
        <v>Other2900</v>
      </c>
      <c r="BG37" s="398" t="str">
        <f t="shared" si="25"/>
        <v>Energy sources2900</v>
      </c>
      <c r="BH37" s="398" t="str">
        <f t="shared" si="25"/>
        <v>Water management2900</v>
      </c>
      <c r="BI37" s="398" t="str">
        <f t="shared" si="25"/>
        <v>Waste water management2900</v>
      </c>
      <c r="BJ37" s="398" t="str">
        <f t="shared" si="25"/>
        <v>Waste management2900</v>
      </c>
      <c r="BK37" s="743" t="s">
        <v>732</v>
      </c>
      <c r="BL37" s="1382" t="s">
        <v>732</v>
      </c>
      <c r="BM37" s="735"/>
      <c r="BN37" s="778" t="s">
        <v>707</v>
      </c>
      <c r="BO37" s="777">
        <f ca="1">SUMIF('3.Inc &amp; Exp per Function'!$D37:$D1135,'5.Cons and detailed recon'!AU37,'3.Inc &amp; Exp per Function'!$V37:$V1134)</f>
        <v>122012</v>
      </c>
      <c r="BP37" s="777">
        <f ca="1">SUMIF('3.Inc &amp; Exp per Function'!$D37:$D1135,'5.Cons and detailed recon'!AV37,'3.Inc &amp; Exp per Function'!$V37:$V1134)</f>
        <v>339324380</v>
      </c>
      <c r="BQ37" s="777">
        <f ca="1">SUMIF('3.Inc &amp; Exp per Function'!$D37:$D1135,'5.Cons and detailed recon'!AW37,'3.Inc &amp; Exp per Function'!$V37:$V1134)</f>
        <v>0</v>
      </c>
      <c r="BR37" s="416">
        <f t="shared" ca="1" si="6"/>
        <v>339446392</v>
      </c>
      <c r="BS37" s="777">
        <f ca="1">SUMIF('3.Inc &amp; Exp per Function'!$D36:$D1135,'5.Cons and detailed recon'!AX37,'3.Inc &amp; Exp per Function'!$V36:$V1134)</f>
        <v>12753451</v>
      </c>
      <c r="BT37" s="777">
        <f ca="1">SUMIF('3.Inc &amp; Exp per Function'!$D36:$D1135,'5.Cons and detailed recon'!AY37,'3.Inc &amp; Exp per Function'!$V36:$V1134)</f>
        <v>73414</v>
      </c>
      <c r="BU37" s="777">
        <f ca="1">SUMIF('3.Inc &amp; Exp per Function'!$D36:$D1135,'5.Cons and detailed recon'!AZ37,'3.Inc &amp; Exp per Function'!$V36:$V1134)</f>
        <v>42538760</v>
      </c>
      <c r="BV37" s="777">
        <f ca="1">SUMIF('3.Inc &amp; Exp per Function'!$D36:$D1135,'5.Cons and detailed recon'!BA37,'3.Inc &amp; Exp per Function'!$V36:$V1134)</f>
        <v>0</v>
      </c>
      <c r="BW37" s="777">
        <f ca="1">SUMIF('3.Inc &amp; Exp per Function'!$D36:$D1135,'5.Cons and detailed recon'!BB37,'3.Inc &amp; Exp per Function'!$V36:$V1134)</f>
        <v>0</v>
      </c>
      <c r="BX37" s="777">
        <f ca="1">SUMIF('3.Inc &amp; Exp per Function'!$D36:$D1135,'5.Cons and detailed recon'!BC37,'3.Inc &amp; Exp per Function'!$V36:$V1134)</f>
        <v>3440635</v>
      </c>
      <c r="BY37" s="777">
        <f ca="1">SUMIF('3.Inc &amp; Exp per Function'!$D36:$D1135,'5.Cons and detailed recon'!BD37,'3.Inc &amp; Exp per Function'!$V36:$V1134)</f>
        <v>8757894</v>
      </c>
      <c r="BZ37" s="777">
        <f ca="1">SUMIF('3.Inc &amp; Exp per Function'!$D36:$D1135,'5.Cons and detailed recon'!BE37,'3.Inc &amp; Exp per Function'!$V36:$V1134)</f>
        <v>0</v>
      </c>
      <c r="CA37" s="777">
        <f ca="1">SUMIF('3.Inc &amp; Exp per Function'!$D36:$D1135,'5.Cons and detailed recon'!BF37,'3.Inc &amp; Exp per Function'!$V36:$V1134)</f>
        <v>0</v>
      </c>
      <c r="CB37" s="416">
        <f t="shared" ca="1" si="7"/>
        <v>67564154</v>
      </c>
      <c r="CC37" s="777">
        <f ca="1">SUMIF('3.Inc &amp; Exp per Function'!$D36:$D1135,'5.Cons and detailed recon'!BG37,'3.Inc &amp; Exp per Function'!$V36:$V1134)</f>
        <v>219511857</v>
      </c>
      <c r="CD37" s="777">
        <f ca="1">SUMIF('3.Inc &amp; Exp per Function'!$D36:$D1135,'5.Cons and detailed recon'!BH37,'3.Inc &amp; Exp per Function'!$V36:$V1134)</f>
        <v>149649968</v>
      </c>
      <c r="CE37" s="777">
        <f ca="1">SUMIF('3.Inc &amp; Exp per Function'!$D36:$D1135,'5.Cons and detailed recon'!BI37,'3.Inc &amp; Exp per Function'!$V36:$V1134)</f>
        <v>79552663</v>
      </c>
      <c r="CF37" s="777">
        <f ca="1">SUMIF('3.Inc &amp; Exp per Function'!$D36:$D1135,'5.Cons and detailed recon'!BJ37,'3.Inc &amp; Exp per Function'!$V36:$V1134)</f>
        <v>74433566</v>
      </c>
      <c r="CG37" s="1330">
        <f t="shared" ca="1" si="8"/>
        <v>523148054</v>
      </c>
      <c r="CH37" s="777"/>
      <c r="CI37" s="736">
        <f t="shared" ref="CI37" ca="1" si="29">BR37+CB37+CG37</f>
        <v>930158600</v>
      </c>
      <c r="CJ37" s="736">
        <f>SUMIF('4.Inc &amp; Exp Summary'!A:A,'5.Cons and detailed recon'!R37,'4.Inc &amp; Exp Summary'!M:M)</f>
        <v>19480560</v>
      </c>
      <c r="CK37" s="415">
        <f t="shared" ca="1" si="17"/>
        <v>910678040</v>
      </c>
      <c r="CL37" s="720"/>
      <c r="CM37" s="730"/>
      <c r="CO37" s="398" t="str">
        <f t="shared" si="26"/>
        <v>Executive and Council2900</v>
      </c>
      <c r="CP37" s="398" t="str">
        <f t="shared" si="26"/>
        <v>Finance and administration2900</v>
      </c>
      <c r="CQ37" s="398" t="str">
        <f t="shared" si="26"/>
        <v>Internal audit2900</v>
      </c>
      <c r="CR37" s="398" t="str">
        <f t="shared" si="26"/>
        <v>Community and social services2900</v>
      </c>
      <c r="CS37" s="398" t="str">
        <f t="shared" si="26"/>
        <v>Sport and recreation2900</v>
      </c>
      <c r="CT37" s="398" t="str">
        <f t="shared" si="26"/>
        <v>Public safety2900</v>
      </c>
      <c r="CU37" s="398" t="str">
        <f t="shared" si="26"/>
        <v>Housing2900</v>
      </c>
      <c r="CV37" s="398" t="str">
        <f t="shared" si="26"/>
        <v>Health2900</v>
      </c>
      <c r="CW37" s="398" t="str">
        <f t="shared" si="26"/>
        <v>Planning and development2900</v>
      </c>
      <c r="CX37" s="398" t="str">
        <f t="shared" si="26"/>
        <v>Road transport2900</v>
      </c>
      <c r="CY37" s="398" t="str">
        <f t="shared" si="26"/>
        <v>Environmental protection2900</v>
      </c>
      <c r="CZ37" s="398" t="str">
        <f t="shared" si="26"/>
        <v>Other2900</v>
      </c>
      <c r="DA37" s="398" t="str">
        <f t="shared" si="26"/>
        <v>Energy sources2900</v>
      </c>
      <c r="DB37" s="398" t="str">
        <f t="shared" si="26"/>
        <v>Water management2900</v>
      </c>
      <c r="DC37" s="398" t="str">
        <f t="shared" si="26"/>
        <v>Waste water management2900</v>
      </c>
      <c r="DD37" s="398" t="str">
        <f t="shared" si="26"/>
        <v>Waste management2900</v>
      </c>
      <c r="DE37" s="743" t="s">
        <v>732</v>
      </c>
      <c r="DF37" s="746" t="s">
        <v>732</v>
      </c>
      <c r="DG37" s="735"/>
      <c r="DH37" s="778" t="s">
        <v>707</v>
      </c>
      <c r="DI37" s="777">
        <f ca="1">SUMIF('3.Inc &amp; Exp per Function'!$D36:$D1135,'5.Cons and detailed recon'!CO37,'3.Inc &amp; Exp per Function'!$W36:$W1134)</f>
        <v>125916</v>
      </c>
      <c r="DJ37" s="777">
        <f ca="1">SUMIF('3.Inc &amp; Exp per Function'!$D36:$D1134,'5.Cons and detailed recon'!CP37,'3.Inc &amp; Exp per Function'!$W36:$W1133)</f>
        <v>349088875</v>
      </c>
      <c r="DK37" s="777">
        <f ca="1">SUMIF('3.Inc &amp; Exp per Function'!$D36:$D1134,'5.Cons and detailed recon'!CQ37,'3.Inc &amp; Exp per Function'!$W36:$W1133)</f>
        <v>0</v>
      </c>
      <c r="DL37" s="416">
        <f t="shared" ca="1" si="11"/>
        <v>349214791</v>
      </c>
      <c r="DM37" s="777">
        <f ca="1">SUMIF('3.Inc &amp; Exp per Function'!$D36:$D1134,'5.Cons and detailed recon'!CR37,'3.Inc &amp; Exp per Function'!$W36:$W1133)</f>
        <v>12900626</v>
      </c>
      <c r="DN37" s="777">
        <f ca="1">SUMIF('3.Inc &amp; Exp per Function'!$D36:$D1134,'5.Cons and detailed recon'!CS37,'3.Inc &amp; Exp per Function'!$W36:$W1133)</f>
        <v>75763</v>
      </c>
      <c r="DO37" s="777">
        <f ca="1">SUMIF('3.Inc &amp; Exp per Function'!$D36:$D1134,'5.Cons and detailed recon'!CT37,'3.Inc &amp; Exp per Function'!$W36:$W1133)</f>
        <v>43900000</v>
      </c>
      <c r="DP37" s="777">
        <f ca="1">SUMIF('3.Inc &amp; Exp per Function'!$D36:$D1134,'5.Cons and detailed recon'!CU37,'3.Inc &amp; Exp per Function'!$W36:$W1133)</f>
        <v>0</v>
      </c>
      <c r="DQ37" s="777">
        <f ca="1">SUMIF('3.Inc &amp; Exp per Function'!$D36:$D1134,'5.Cons and detailed recon'!CV37,'3.Inc &amp; Exp per Function'!$W36:$W1133)</f>
        <v>0</v>
      </c>
      <c r="DR37" s="777">
        <f ca="1">SUMIF('3.Inc &amp; Exp per Function'!$D36:$D1134,'5.Cons and detailed recon'!CW37,'3.Inc &amp; Exp per Function'!$W36:$W1133)</f>
        <v>3550735</v>
      </c>
      <c r="DS37" s="777">
        <f ca="1">SUMIF('3.Inc &amp; Exp per Function'!$D36:$D1134,'5.Cons and detailed recon'!CX37,'3.Inc &amp; Exp per Function'!$W36:$W1133)</f>
        <v>9032228</v>
      </c>
      <c r="DT37" s="777">
        <f ca="1">SUMIF('3.Inc &amp; Exp per Function'!$D36:$D1134,'5.Cons and detailed recon'!CY37,'3.Inc &amp; Exp per Function'!$W36:$W1133)</f>
        <v>0</v>
      </c>
      <c r="DU37" s="777">
        <f ca="1">SUMIF('3.Inc &amp; Exp per Function'!$D36:$D1134,'5.Cons and detailed recon'!CZ37,'3.Inc &amp; Exp per Function'!$W36:$W1133)</f>
        <v>0</v>
      </c>
      <c r="DV37" s="416">
        <f t="shared" ca="1" si="12"/>
        <v>69459352</v>
      </c>
      <c r="DW37" s="777">
        <f ca="1">SUMIF('3.Inc &amp; Exp per Function'!$D36:$D1134,'5.Cons and detailed recon'!DA37,'3.Inc &amp; Exp per Function'!$W36:$W1133)</f>
        <v>226371166</v>
      </c>
      <c r="DX37" s="777">
        <f ca="1">SUMIF('3.Inc &amp; Exp per Function'!$D36:$D1134,'5.Cons and detailed recon'!DB37,'3.Inc &amp; Exp per Function'!$W36:$W1133)</f>
        <v>154237803</v>
      </c>
      <c r="DY37" s="777">
        <f ca="1">SUMIF('3.Inc &amp; Exp per Function'!$D36:$D1134,'5.Cons and detailed recon'!DC37,'3.Inc &amp; Exp per Function'!$W36:$W1133)</f>
        <v>81912411</v>
      </c>
      <c r="DZ37" s="777">
        <f ca="1">SUMIF('3.Inc &amp; Exp per Function'!$D36:$D1134,'5.Cons and detailed recon'!DD37,'3.Inc &amp; Exp per Function'!$W36:$W1133)</f>
        <v>76591914</v>
      </c>
      <c r="EA37" s="1330">
        <f t="shared" ca="1" si="13"/>
        <v>539113294</v>
      </c>
      <c r="EB37" s="1361"/>
      <c r="EC37" s="736">
        <f t="shared" ca="1" si="14"/>
        <v>957787437</v>
      </c>
      <c r="ED37" s="736">
        <f>SUMIF('4.Inc &amp; Exp Summary'!A:A,'5.Cons and detailed recon'!DF37,'4.Inc &amp; Exp Summary'!N:N)</f>
        <v>20103937.920000002</v>
      </c>
      <c r="EE37" s="1362">
        <f t="shared" ca="1" si="15"/>
        <v>937683499.08000004</v>
      </c>
      <c r="EF37" s="720"/>
      <c r="EG37" s="980"/>
      <c r="EH37" s="980"/>
      <c r="EI37" s="980"/>
      <c r="EJ37" s="980"/>
      <c r="EK37" s="980"/>
      <c r="EL37" s="980"/>
      <c r="EM37" s="980"/>
      <c r="EN37" s="980"/>
      <c r="EO37" s="980"/>
      <c r="EP37" s="980"/>
      <c r="EQ37" s="980"/>
      <c r="ER37" s="980"/>
      <c r="ES37" s="980"/>
      <c r="ET37" s="980"/>
      <c r="EU37" s="980"/>
      <c r="EV37" s="980"/>
      <c r="EW37" s="980"/>
      <c r="EX37" s="980"/>
      <c r="EY37" s="980"/>
      <c r="EZ37" s="980"/>
      <c r="FA37" s="980"/>
      <c r="FB37" s="980"/>
      <c r="FC37" s="980"/>
      <c r="FD37" s="980"/>
      <c r="FE37" s="980"/>
      <c r="FF37" s="980"/>
      <c r="FG37" s="980"/>
      <c r="FH37" s="980"/>
      <c r="FI37" s="980"/>
      <c r="FJ37" s="980"/>
      <c r="FK37" s="980"/>
      <c r="FL37" s="980"/>
      <c r="FM37" s="980"/>
      <c r="FN37" s="980"/>
      <c r="FO37" s="980"/>
      <c r="FP37" s="980"/>
      <c r="FQ37" s="980"/>
      <c r="FR37" s="980"/>
      <c r="FS37" s="980"/>
      <c r="FT37" s="980"/>
      <c r="FU37" s="980"/>
      <c r="FV37" s="980"/>
      <c r="FW37" s="980"/>
      <c r="FX37" s="980"/>
      <c r="FY37" s="980"/>
      <c r="FZ37" s="980"/>
      <c r="GA37" s="980"/>
      <c r="GB37" s="980"/>
      <c r="GC37" s="980"/>
      <c r="GD37" s="980"/>
      <c r="GE37" s="980"/>
      <c r="GF37" s="980"/>
      <c r="GG37" s="980"/>
      <c r="GH37" s="980"/>
      <c r="GI37" s="980"/>
      <c r="GJ37" s="980"/>
      <c r="GK37" s="980"/>
      <c r="GL37" s="980"/>
      <c r="GM37" s="980"/>
      <c r="GN37" s="980"/>
      <c r="GO37" s="980"/>
      <c r="GP37" s="980"/>
      <c r="GQ37" s="980"/>
      <c r="GR37" s="980"/>
      <c r="GS37" s="980"/>
      <c r="GT37" s="980"/>
      <c r="GU37" s="980"/>
      <c r="GV37" s="980"/>
      <c r="GW37" s="980"/>
      <c r="GX37" s="980"/>
      <c r="GY37" s="980"/>
      <c r="GZ37" s="980"/>
      <c r="HA37" s="980"/>
      <c r="HB37" s="980"/>
      <c r="HC37" s="980"/>
      <c r="HD37" s="980"/>
      <c r="HE37" s="980"/>
      <c r="HF37" s="980"/>
      <c r="HG37" s="980"/>
      <c r="HH37" s="980"/>
      <c r="HI37" s="980"/>
      <c r="HJ37" s="980"/>
      <c r="HK37" s="980"/>
      <c r="HL37" s="980"/>
      <c r="HM37" s="980"/>
      <c r="HN37" s="980"/>
      <c r="HO37" s="980"/>
      <c r="HP37" s="980"/>
      <c r="HQ37" s="980"/>
      <c r="HR37" s="980"/>
      <c r="HS37" s="980"/>
      <c r="HT37" s="980"/>
      <c r="HU37" s="980"/>
      <c r="HV37" s="980"/>
      <c r="HW37" s="980"/>
      <c r="HX37" s="980"/>
      <c r="HY37" s="980"/>
      <c r="HZ37" s="980"/>
      <c r="IA37" s="980"/>
      <c r="IB37" s="980"/>
      <c r="IC37" s="980"/>
      <c r="ID37" s="980"/>
      <c r="IE37" s="980"/>
      <c r="IF37" s="980"/>
      <c r="IG37" s="980"/>
      <c r="IH37" s="980"/>
      <c r="II37" s="980"/>
      <c r="IJ37" s="980"/>
      <c r="IK37" s="980"/>
      <c r="IL37" s="980"/>
      <c r="IM37" s="980"/>
      <c r="IN37" s="980"/>
      <c r="IO37" s="980"/>
      <c r="IP37" s="980"/>
      <c r="IQ37" s="980"/>
      <c r="IR37" s="980"/>
      <c r="IS37" s="980"/>
      <c r="IT37" s="980"/>
      <c r="IU37" s="980"/>
      <c r="IV37" s="980"/>
    </row>
    <row r="38" spans="1:256" s="409" customFormat="1" ht="12" customHeight="1" x14ac:dyDescent="0.55000000000000004">
      <c r="A38" s="398" t="str">
        <f t="shared" si="1"/>
        <v>Executive and Council3000</v>
      </c>
      <c r="B38" s="398" t="str">
        <f t="shared" si="24"/>
        <v>Finance and administration3000</v>
      </c>
      <c r="C38" s="398" t="str">
        <f t="shared" si="24"/>
        <v>Internal audit3000</v>
      </c>
      <c r="D38" s="398" t="str">
        <f t="shared" si="24"/>
        <v>Community and social services3000</v>
      </c>
      <c r="E38" s="398" t="str">
        <f t="shared" si="24"/>
        <v>Sport and recreation3000</v>
      </c>
      <c r="F38" s="398" t="str">
        <f t="shared" si="24"/>
        <v>Public safety3000</v>
      </c>
      <c r="G38" s="398" t="str">
        <f t="shared" si="24"/>
        <v>Housing3000</v>
      </c>
      <c r="H38" s="398" t="str">
        <f t="shared" si="24"/>
        <v>Health3000</v>
      </c>
      <c r="I38" s="398" t="str">
        <f t="shared" si="24"/>
        <v>Planning and development3000</v>
      </c>
      <c r="J38" s="398" t="str">
        <f t="shared" si="24"/>
        <v>Road transport3000</v>
      </c>
      <c r="K38" s="398" t="str">
        <f t="shared" si="24"/>
        <v>Environmental protection3000</v>
      </c>
      <c r="L38" s="398" t="str">
        <f t="shared" si="24"/>
        <v>Other3000</v>
      </c>
      <c r="M38" s="398" t="str">
        <f t="shared" si="24"/>
        <v>Energy sources3000</v>
      </c>
      <c r="N38" s="398" t="str">
        <f t="shared" si="24"/>
        <v>Water management3000</v>
      </c>
      <c r="O38" s="398" t="str">
        <f t="shared" si="24"/>
        <v>Waste water management3000</v>
      </c>
      <c r="P38" s="398" t="str">
        <f t="shared" si="24"/>
        <v>Waste management3000</v>
      </c>
      <c r="Q38" s="743" t="s">
        <v>733</v>
      </c>
      <c r="R38" s="743" t="s">
        <v>733</v>
      </c>
      <c r="S38" s="994"/>
      <c r="T38" s="748" t="s">
        <v>22</v>
      </c>
      <c r="U38" s="804"/>
      <c r="V38" s="804"/>
      <c r="W38" s="804"/>
      <c r="X38" s="413"/>
      <c r="Y38" s="804"/>
      <c r="Z38" s="804"/>
      <c r="AA38" s="804"/>
      <c r="AB38" s="804"/>
      <c r="AC38" s="804"/>
      <c r="AD38" s="804"/>
      <c r="AE38" s="804"/>
      <c r="AF38" s="804"/>
      <c r="AG38" s="804"/>
      <c r="AH38" s="413">
        <f t="shared" si="3"/>
        <v>0</v>
      </c>
      <c r="AI38" s="804"/>
      <c r="AJ38" s="804"/>
      <c r="AK38" s="804"/>
      <c r="AL38" s="804"/>
      <c r="AM38" s="748">
        <f t="shared" si="0"/>
        <v>0</v>
      </c>
      <c r="AN38" s="794"/>
      <c r="AO38" s="791"/>
      <c r="AP38" s="414"/>
      <c r="AQ38" s="1327"/>
      <c r="AR38" s="720"/>
      <c r="AS38" s="730"/>
      <c r="AT38" s="408"/>
      <c r="AU38" s="398" t="str">
        <f t="shared" si="25"/>
        <v>Executive and Council3000</v>
      </c>
      <c r="AV38" s="398" t="str">
        <f t="shared" si="25"/>
        <v>Finance and administration3000</v>
      </c>
      <c r="AW38" s="398" t="str">
        <f t="shared" si="25"/>
        <v>Internal audit3000</v>
      </c>
      <c r="AX38" s="398" t="str">
        <f t="shared" si="25"/>
        <v>Community and social services3000</v>
      </c>
      <c r="AY38" s="398" t="str">
        <f t="shared" si="25"/>
        <v>Sport and recreation3000</v>
      </c>
      <c r="AZ38" s="398" t="str">
        <f t="shared" si="25"/>
        <v>Public safety3000</v>
      </c>
      <c r="BA38" s="398" t="str">
        <f t="shared" si="25"/>
        <v>Housing3000</v>
      </c>
      <c r="BB38" s="398" t="str">
        <f t="shared" si="25"/>
        <v>Health3000</v>
      </c>
      <c r="BC38" s="398" t="str">
        <f t="shared" si="25"/>
        <v>Planning and development3000</v>
      </c>
      <c r="BD38" s="398" t="str">
        <f t="shared" si="25"/>
        <v>Road transport3000</v>
      </c>
      <c r="BE38" s="398" t="str">
        <f t="shared" si="25"/>
        <v>Environmental protection3000</v>
      </c>
      <c r="BF38" s="398" t="str">
        <f t="shared" si="25"/>
        <v>Other3000</v>
      </c>
      <c r="BG38" s="398" t="str">
        <f t="shared" si="25"/>
        <v>Energy sources3000</v>
      </c>
      <c r="BH38" s="398" t="str">
        <f t="shared" si="25"/>
        <v>Water management3000</v>
      </c>
      <c r="BI38" s="398" t="str">
        <f t="shared" si="25"/>
        <v>Waste water management3000</v>
      </c>
      <c r="BJ38" s="398" t="str">
        <f t="shared" si="25"/>
        <v>Waste management3000</v>
      </c>
      <c r="BK38" s="743" t="s">
        <v>733</v>
      </c>
      <c r="BL38" s="743" t="s">
        <v>733</v>
      </c>
      <c r="BM38" s="735"/>
      <c r="BN38" s="748" t="s">
        <v>22</v>
      </c>
      <c r="BO38" s="751">
        <f ca="1">SUMIF('3.Inc &amp; Exp per Function'!$D38:$D1136,'5.Cons and detailed recon'!AU38,'3.Inc &amp; Exp per Function'!$V38:$V1135)</f>
        <v>0</v>
      </c>
      <c r="BP38" s="751">
        <f ca="1">SUMIF('3.Inc &amp; Exp per Function'!$D37:$D1136,'5.Cons and detailed recon'!AV38,'3.Inc &amp; Exp per Function'!$V37:$V1135)</f>
        <v>0</v>
      </c>
      <c r="BQ38" s="751">
        <f ca="1">SUMIF('3.Inc &amp; Exp per Function'!$D38:$D1136,'5.Cons and detailed recon'!AW38,'3.Inc &amp; Exp per Function'!$V38:$V1135)</f>
        <v>0</v>
      </c>
      <c r="BR38" s="413">
        <f t="shared" ca="1" si="6"/>
        <v>0</v>
      </c>
      <c r="BS38" s="751">
        <f ca="1">SUMIF('3.Inc &amp; Exp per Function'!$D38:$D1136,'5.Cons and detailed recon'!AX38,'3.Inc &amp; Exp per Function'!$V38:$V1135)</f>
        <v>0</v>
      </c>
      <c r="BT38" s="751">
        <f ca="1">SUMIF('3.Inc &amp; Exp per Function'!$D38:$D1136,'5.Cons and detailed recon'!AY38,'3.Inc &amp; Exp per Function'!$V38:$V1135)</f>
        <v>0</v>
      </c>
      <c r="BU38" s="751">
        <f ca="1">SUMIF('3.Inc &amp; Exp per Function'!$D38:$D1136,'5.Cons and detailed recon'!BA38,'3.Inc &amp; Exp per Function'!$V38:$V1135)</f>
        <v>0</v>
      </c>
      <c r="BV38" s="751">
        <f ca="1">SUMIF('3.Inc &amp; Exp per Function'!$D38:$D1136,'5.Cons and detailed recon'!BB38,'3.Inc &amp; Exp per Function'!$V38:$V1135)</f>
        <v>0</v>
      </c>
      <c r="BW38" s="751">
        <f ca="1">SUMIF('3.Inc &amp; Exp per Function'!$D38:$D1136,'5.Cons and detailed recon'!BB38,'3.Inc &amp; Exp per Function'!$V38:$V1135)</f>
        <v>0</v>
      </c>
      <c r="BX38" s="751">
        <f ca="1">SUMIF('3.Inc &amp; Exp per Function'!$D38:$D1136,'5.Cons and detailed recon'!BC38,'3.Inc &amp; Exp per Function'!$V38:$V1135)</f>
        <v>0</v>
      </c>
      <c r="BY38" s="751">
        <f ca="1">SUMIF('3.Inc &amp; Exp per Function'!$D38:$D1136,'5.Cons and detailed recon'!BD38,'3.Inc &amp; Exp per Function'!$V38:$V1135)</f>
        <v>0</v>
      </c>
      <c r="BZ38" s="751">
        <f ca="1">SUMIF('3.Inc &amp; Exp per Function'!$D38:$D1136,'5.Cons and detailed recon'!BE38,'3.Inc &amp; Exp per Function'!$V38:$V1135)</f>
        <v>0</v>
      </c>
      <c r="CA38" s="751">
        <f ca="1">SUMIF('3.Inc &amp; Exp per Function'!$D38:$D1136,'5.Cons and detailed recon'!BF38,'3.Inc &amp; Exp per Function'!$V38:$V1135)</f>
        <v>0</v>
      </c>
      <c r="CB38" s="413">
        <f t="shared" ca="1" si="7"/>
        <v>0</v>
      </c>
      <c r="CC38" s="751">
        <f ca="1">SUMIF('3.Inc &amp; Exp per Function'!$D38:$D1136,'5.Cons and detailed recon'!BG38,'3.Inc &amp; Exp per Function'!$V38:$V1135)</f>
        <v>0</v>
      </c>
      <c r="CD38" s="751">
        <f ca="1">SUMIF('3.Inc &amp; Exp per Function'!$D38:$D1136,'5.Cons and detailed recon'!BJ38,'3.Inc &amp; Exp per Function'!$V38:$V1135)</f>
        <v>0</v>
      </c>
      <c r="CE38" s="751">
        <f ca="1">SUMIF('3.Inc &amp; Exp per Function'!$D38:$D1136,'5.Cons and detailed recon'!BK38,'3.Inc &amp; Exp per Function'!$V38:$V1135)</f>
        <v>0</v>
      </c>
      <c r="CF38" s="751">
        <f ca="1">SUMIF('3.Inc &amp; Exp per Function'!$D38:$D1136,'5.Cons and detailed recon'!BL38,'3.Inc &amp; Exp per Function'!$V38:$V1135)</f>
        <v>0</v>
      </c>
      <c r="CG38" s="748">
        <f t="shared" ca="1" si="8"/>
        <v>0</v>
      </c>
      <c r="CH38" s="751"/>
      <c r="CI38" s="791">
        <f t="shared" ca="1" si="9"/>
        <v>0</v>
      </c>
      <c r="CJ38" s="414">
        <f>SUMIF('4.Inc &amp; Exp Summary'!A:A,'5.Cons and detailed recon'!R38,'4.Inc &amp; Exp Summary'!M:M)</f>
        <v>0</v>
      </c>
      <c r="CK38" s="415">
        <f t="shared" ca="1" si="17"/>
        <v>0</v>
      </c>
      <c r="CL38" s="720"/>
      <c r="CM38" s="730"/>
      <c r="CO38" s="398" t="str">
        <f t="shared" si="26"/>
        <v>Executive and Council3000</v>
      </c>
      <c r="CP38" s="398" t="str">
        <f t="shared" si="26"/>
        <v>Finance and administration3000</v>
      </c>
      <c r="CQ38" s="398" t="str">
        <f t="shared" si="26"/>
        <v>Internal audit3000</v>
      </c>
      <c r="CR38" s="398" t="str">
        <f t="shared" si="26"/>
        <v>Community and social services3000</v>
      </c>
      <c r="CS38" s="398" t="str">
        <f t="shared" si="26"/>
        <v>Sport and recreation3000</v>
      </c>
      <c r="CT38" s="398" t="str">
        <f t="shared" si="26"/>
        <v>Public safety3000</v>
      </c>
      <c r="CU38" s="398" t="str">
        <f t="shared" si="26"/>
        <v>Housing3000</v>
      </c>
      <c r="CV38" s="398" t="str">
        <f t="shared" si="26"/>
        <v>Health3000</v>
      </c>
      <c r="CW38" s="398" t="str">
        <f t="shared" si="26"/>
        <v>Planning and development3000</v>
      </c>
      <c r="CX38" s="398" t="str">
        <f t="shared" si="26"/>
        <v>Road transport3000</v>
      </c>
      <c r="CY38" s="398" t="str">
        <f t="shared" si="26"/>
        <v>Environmental protection3000</v>
      </c>
      <c r="CZ38" s="398" t="str">
        <f t="shared" si="26"/>
        <v>Other3000</v>
      </c>
      <c r="DA38" s="398" t="str">
        <f t="shared" si="26"/>
        <v>Energy sources3000</v>
      </c>
      <c r="DB38" s="398" t="str">
        <f t="shared" si="26"/>
        <v>Water management3000</v>
      </c>
      <c r="DC38" s="398" t="str">
        <f t="shared" si="26"/>
        <v>Waste water management3000</v>
      </c>
      <c r="DD38" s="398" t="str">
        <f t="shared" si="26"/>
        <v>Waste management3000</v>
      </c>
      <c r="DE38" s="743" t="s">
        <v>733</v>
      </c>
      <c r="DF38" s="743" t="s">
        <v>733</v>
      </c>
      <c r="DG38" s="735"/>
      <c r="DH38" s="748" t="s">
        <v>22</v>
      </c>
      <c r="DI38" s="751">
        <f ca="1">SUMIF('3.Inc &amp; Exp per Function'!$D37:$D1136,'5.Cons and detailed recon'!CO38,'3.Inc &amp; Exp per Function'!$W37:$W1135)</f>
        <v>0</v>
      </c>
      <c r="DJ38" s="751">
        <f ca="1">SUMIF('3.Inc &amp; Exp per Function'!$D37:$D1135,'5.Cons and detailed recon'!CP38,'3.Inc &amp; Exp per Function'!$W37:$W1134)</f>
        <v>0</v>
      </c>
      <c r="DK38" s="751">
        <f ca="1">SUMIF('3.Inc &amp; Exp per Function'!$D37:$D1135,'5.Cons and detailed recon'!CQ38,'3.Inc &amp; Exp per Function'!$W37:$W1134)</f>
        <v>0</v>
      </c>
      <c r="DL38" s="413">
        <f t="shared" ca="1" si="11"/>
        <v>0</v>
      </c>
      <c r="DM38" s="751">
        <f ca="1">SUMIF('3.Inc &amp; Exp per Function'!$D37:$D1135,'5.Cons and detailed recon'!CR38,'3.Inc &amp; Exp per Function'!$W37:$W1134)</f>
        <v>0</v>
      </c>
      <c r="DN38" s="751">
        <f ca="1">SUMIF('3.Inc &amp; Exp per Function'!$D37:$D1135,'5.Cons and detailed recon'!CS38,'3.Inc &amp; Exp per Function'!$W37:$W1134)</f>
        <v>0</v>
      </c>
      <c r="DO38" s="751">
        <f ca="1">SUMIF('3.Inc &amp; Exp per Function'!$D37:$D1135,'5.Cons and detailed recon'!CT38,'3.Inc &amp; Exp per Function'!$W37:$W1134)</f>
        <v>0</v>
      </c>
      <c r="DP38" s="751">
        <f ca="1">SUMIF('3.Inc &amp; Exp per Function'!$D37:$D1135,'5.Cons and detailed recon'!CU38,'3.Inc &amp; Exp per Function'!$W37:$W1134)</f>
        <v>0</v>
      </c>
      <c r="DQ38" s="751">
        <f ca="1">SUMIF('3.Inc &amp; Exp per Function'!$D37:$D1135,'5.Cons and detailed recon'!CV38,'3.Inc &amp; Exp per Function'!$W37:$W1134)</f>
        <v>0</v>
      </c>
      <c r="DR38" s="751">
        <f ca="1">SUMIF('3.Inc &amp; Exp per Function'!$D37:$D1135,'5.Cons and detailed recon'!CW38,'3.Inc &amp; Exp per Function'!$W37:$W1134)</f>
        <v>0</v>
      </c>
      <c r="DS38" s="751">
        <f ca="1">SUMIF('3.Inc &amp; Exp per Function'!$D37:$D1135,'5.Cons and detailed recon'!CX38,'3.Inc &amp; Exp per Function'!$W37:$W1134)</f>
        <v>0</v>
      </c>
      <c r="DT38" s="751">
        <f ca="1">SUMIF('3.Inc &amp; Exp per Function'!$D37:$D1135,'5.Cons and detailed recon'!CY38,'3.Inc &amp; Exp per Function'!$W37:$W1134)</f>
        <v>0</v>
      </c>
      <c r="DU38" s="751">
        <f ca="1">SUMIF('3.Inc &amp; Exp per Function'!$D37:$D1135,'5.Cons and detailed recon'!CZ38,'3.Inc &amp; Exp per Function'!$W37:$W1134)</f>
        <v>0</v>
      </c>
      <c r="DV38" s="413">
        <f t="shared" ca="1" si="12"/>
        <v>0</v>
      </c>
      <c r="DW38" s="751">
        <f ca="1">SUMIF('3.Inc &amp; Exp per Function'!$D37:$D1135,'5.Cons and detailed recon'!DA38,'3.Inc &amp; Exp per Function'!$W37:$W1134)</f>
        <v>0</v>
      </c>
      <c r="DX38" s="751">
        <f ca="1">SUMIF('3.Inc &amp; Exp per Function'!$D37:$D1135,'5.Cons and detailed recon'!DB38,'3.Inc &amp; Exp per Function'!$W37:$W1134)</f>
        <v>0</v>
      </c>
      <c r="DY38" s="751">
        <f ca="1">SUMIF('3.Inc &amp; Exp per Function'!$D37:$D1135,'5.Cons and detailed recon'!DC38,'3.Inc &amp; Exp per Function'!$W37:$W1134)</f>
        <v>0</v>
      </c>
      <c r="DZ38" s="751">
        <f ca="1">SUMIF('3.Inc &amp; Exp per Function'!$D37:$D1135,'5.Cons and detailed recon'!DD38,'3.Inc &amp; Exp per Function'!$W37:$W1134)</f>
        <v>0</v>
      </c>
      <c r="EA38" s="748">
        <f t="shared" ca="1" si="13"/>
        <v>0</v>
      </c>
      <c r="EB38" s="794"/>
      <c r="EC38" s="791">
        <f t="shared" ca="1" si="14"/>
        <v>0</v>
      </c>
      <c r="ED38" s="414">
        <f>SUMIF('4.Inc &amp; Exp Summary'!A:A,'5.Cons and detailed recon'!DF38,'4.Inc &amp; Exp Summary'!N:N)</f>
        <v>0</v>
      </c>
      <c r="EE38" s="415">
        <f t="shared" ca="1" si="15"/>
        <v>0</v>
      </c>
      <c r="EF38" s="720"/>
      <c r="EG38" s="980"/>
      <c r="EH38" s="980"/>
      <c r="EI38" s="980"/>
      <c r="EJ38" s="980"/>
      <c r="EK38" s="980"/>
      <c r="EL38" s="980"/>
      <c r="EM38" s="980"/>
      <c r="EN38" s="980"/>
      <c r="EO38" s="980"/>
      <c r="EP38" s="980"/>
      <c r="EQ38" s="980"/>
      <c r="ER38" s="980"/>
      <c r="ES38" s="980"/>
      <c r="ET38" s="980"/>
      <c r="EU38" s="980"/>
      <c r="EV38" s="980"/>
      <c r="EW38" s="980"/>
      <c r="EX38" s="980"/>
      <c r="EY38" s="980"/>
      <c r="EZ38" s="980"/>
      <c r="FA38" s="980"/>
      <c r="FB38" s="980"/>
      <c r="FC38" s="980"/>
      <c r="FD38" s="980"/>
      <c r="FE38" s="980"/>
      <c r="FF38" s="980"/>
      <c r="FG38" s="980"/>
      <c r="FH38" s="980"/>
      <c r="FI38" s="980"/>
      <c r="FJ38" s="980"/>
      <c r="FK38" s="980"/>
      <c r="FL38" s="980"/>
      <c r="FM38" s="980"/>
      <c r="FN38" s="980"/>
      <c r="FO38" s="980"/>
      <c r="FP38" s="980"/>
      <c r="FQ38" s="980"/>
      <c r="FR38" s="980"/>
      <c r="FS38" s="980"/>
      <c r="FT38" s="980"/>
      <c r="FU38" s="980"/>
      <c r="FV38" s="980"/>
      <c r="FW38" s="980"/>
      <c r="FX38" s="980"/>
      <c r="FY38" s="980"/>
      <c r="FZ38" s="980"/>
      <c r="GA38" s="980"/>
      <c r="GB38" s="980"/>
      <c r="GC38" s="980"/>
      <c r="GD38" s="980"/>
      <c r="GE38" s="980"/>
      <c r="GF38" s="980"/>
      <c r="GG38" s="980"/>
      <c r="GH38" s="980"/>
      <c r="GI38" s="980"/>
      <c r="GJ38" s="980"/>
      <c r="GK38" s="980"/>
      <c r="GL38" s="980"/>
      <c r="GM38" s="980"/>
      <c r="GN38" s="980"/>
      <c r="GO38" s="980"/>
      <c r="GP38" s="980"/>
      <c r="GQ38" s="980"/>
      <c r="GR38" s="980"/>
      <c r="GS38" s="980"/>
      <c r="GT38" s="980"/>
      <c r="GU38" s="980"/>
      <c r="GV38" s="980"/>
      <c r="GW38" s="980"/>
      <c r="GX38" s="980"/>
      <c r="GY38" s="980"/>
      <c r="GZ38" s="980"/>
      <c r="HA38" s="980"/>
      <c r="HB38" s="980"/>
      <c r="HC38" s="980"/>
      <c r="HD38" s="980"/>
      <c r="HE38" s="980"/>
      <c r="HF38" s="980"/>
      <c r="HG38" s="980"/>
      <c r="HH38" s="980"/>
      <c r="HI38" s="980"/>
      <c r="HJ38" s="980"/>
      <c r="HK38" s="980"/>
      <c r="HL38" s="980"/>
      <c r="HM38" s="980"/>
      <c r="HN38" s="980"/>
      <c r="HO38" s="980"/>
      <c r="HP38" s="980"/>
      <c r="HQ38" s="980"/>
      <c r="HR38" s="980"/>
      <c r="HS38" s="980"/>
      <c r="HT38" s="980"/>
      <c r="HU38" s="980"/>
      <c r="HV38" s="980"/>
      <c r="HW38" s="980"/>
      <c r="HX38" s="980"/>
      <c r="HY38" s="980"/>
      <c r="HZ38" s="980"/>
      <c r="IA38" s="980"/>
      <c r="IB38" s="980"/>
      <c r="IC38" s="980"/>
      <c r="ID38" s="980"/>
      <c r="IE38" s="980"/>
      <c r="IF38" s="980"/>
      <c r="IG38" s="980"/>
      <c r="IH38" s="980"/>
      <c r="II38" s="980"/>
      <c r="IJ38" s="980"/>
      <c r="IK38" s="980"/>
      <c r="IL38" s="980"/>
      <c r="IM38" s="980"/>
      <c r="IN38" s="980"/>
      <c r="IO38" s="980"/>
      <c r="IP38" s="980"/>
      <c r="IQ38" s="980"/>
      <c r="IR38" s="980"/>
      <c r="IS38" s="980"/>
      <c r="IT38" s="980"/>
      <c r="IU38" s="980"/>
      <c r="IV38" s="980"/>
    </row>
    <row r="39" spans="1:256" s="409" customFormat="1" ht="12" customHeight="1" x14ac:dyDescent="0.55000000000000004">
      <c r="A39" s="398" t="str">
        <f t="shared" si="1"/>
        <v>Executive and Council3100</v>
      </c>
      <c r="B39" s="398" t="str">
        <f t="shared" si="24"/>
        <v>Finance and administration3100</v>
      </c>
      <c r="C39" s="398" t="str">
        <f t="shared" si="24"/>
        <v>Internal audit3100</v>
      </c>
      <c r="D39" s="398" t="str">
        <f t="shared" si="24"/>
        <v>Community and social services3100</v>
      </c>
      <c r="E39" s="398" t="str">
        <f t="shared" si="24"/>
        <v>Sport and recreation3100</v>
      </c>
      <c r="F39" s="398" t="str">
        <f t="shared" si="24"/>
        <v>Public safety3100</v>
      </c>
      <c r="G39" s="398" t="str">
        <f t="shared" si="24"/>
        <v>Housing3100</v>
      </c>
      <c r="H39" s="398" t="str">
        <f t="shared" si="24"/>
        <v>Health3100</v>
      </c>
      <c r="I39" s="398" t="str">
        <f t="shared" si="24"/>
        <v>Planning and development3100</v>
      </c>
      <c r="J39" s="398" t="str">
        <f t="shared" si="24"/>
        <v>Road transport3100</v>
      </c>
      <c r="K39" s="398" t="str">
        <f t="shared" si="24"/>
        <v>Environmental protection3100</v>
      </c>
      <c r="L39" s="398" t="str">
        <f t="shared" si="24"/>
        <v>Other3100</v>
      </c>
      <c r="M39" s="398" t="str">
        <f t="shared" si="24"/>
        <v>Energy sources3100</v>
      </c>
      <c r="N39" s="398" t="str">
        <f t="shared" si="24"/>
        <v>Water management3100</v>
      </c>
      <c r="O39" s="398" t="str">
        <f t="shared" si="24"/>
        <v>Waste water management3100</v>
      </c>
      <c r="P39" s="398" t="str">
        <f t="shared" si="24"/>
        <v>Waste management3100</v>
      </c>
      <c r="Q39" s="745" t="s">
        <v>735</v>
      </c>
      <c r="R39" s="745" t="s">
        <v>735</v>
      </c>
      <c r="S39" s="994"/>
      <c r="T39" s="748" t="s">
        <v>8</v>
      </c>
      <c r="U39" s="804">
        <f ca="1">SUMIF('3.Inc &amp; Exp per Function'!$D38:$D1136,'5.Cons and detailed recon'!A39,'3.Inc &amp; Exp per Function'!$U38:$U1135)</f>
        <v>5832861</v>
      </c>
      <c r="V39" s="804">
        <f ca="1">SUMIF('3.Inc &amp; Exp per Function'!$D38:$D1136,'5.Cons and detailed recon'!B39,'3.Inc &amp; Exp per Function'!$U38:$U1135)</f>
        <v>113069494</v>
      </c>
      <c r="W39" s="804">
        <f ca="1">SUMIF('3.Inc &amp; Exp per Function'!$D38:$D1136,'5.Cons and detailed recon'!C39,'3.Inc &amp; Exp per Function'!$U38:$U1135)</f>
        <v>3256916</v>
      </c>
      <c r="X39" s="413">
        <f ca="1">SUM(U39:W39)</f>
        <v>122159271</v>
      </c>
      <c r="Y39" s="804">
        <f ca="1">SUMIF('3.Inc &amp; Exp per Function'!$D38:$D1136,'5.Cons and detailed recon'!D39,'3.Inc &amp; Exp per Function'!$U38:$U1135)</f>
        <v>10894923</v>
      </c>
      <c r="Z39" s="804">
        <f ca="1">SUMIF('3.Inc &amp; Exp per Function'!$D38:$D1136,'5.Cons and detailed recon'!E39,'3.Inc &amp; Exp per Function'!$U38:$U1135)</f>
        <v>9466370</v>
      </c>
      <c r="AA39" s="804">
        <f ca="1">SUMIF('3.Inc &amp; Exp per Function'!$D38:$D1136,'5.Cons and detailed recon'!F39,'3.Inc &amp; Exp per Function'!$U38:$U1135)</f>
        <v>25280265</v>
      </c>
      <c r="AB39" s="804">
        <f ca="1">SUMIF('3.Inc &amp; Exp per Function'!$D38:$D1136,'5.Cons and detailed recon'!G39,'3.Inc &amp; Exp per Function'!$U38:$U1135)</f>
        <v>11129005</v>
      </c>
      <c r="AC39" s="804">
        <f ca="1">SUMIF('3.Inc &amp; Exp per Function'!$D38:$D1136,'5.Cons and detailed recon'!H39,'3.Inc &amp; Exp per Function'!$U38:$U1135)</f>
        <v>0</v>
      </c>
      <c r="AD39" s="804">
        <f ca="1">SUMIF('3.Inc &amp; Exp per Function'!$D38:$D1136,'5.Cons and detailed recon'!I39,'3.Inc &amp; Exp per Function'!$U38:$U1135)</f>
        <v>36449315</v>
      </c>
      <c r="AE39" s="804">
        <f ca="1">SUMIF('3.Inc &amp; Exp per Function'!$D38:$D1136,'5.Cons and detailed recon'!J39,'3.Inc &amp; Exp per Function'!$U38:$U1135)</f>
        <v>33670868</v>
      </c>
      <c r="AF39" s="804">
        <f ca="1">SUMIF('3.Inc &amp; Exp per Function'!$D38:$D1136,'5.Cons and detailed recon'!K39,'3.Inc &amp; Exp per Function'!$U38:$U1135)</f>
        <v>0</v>
      </c>
      <c r="AG39" s="804">
        <f ca="1">SUMIF('3.Inc &amp; Exp per Function'!$D38:$D1136,'5.Cons and detailed recon'!L39,'3.Inc &amp; Exp per Function'!$U38:$U1135)</f>
        <v>0</v>
      </c>
      <c r="AH39" s="413">
        <f t="shared" ca="1" si="3"/>
        <v>126890746</v>
      </c>
      <c r="AI39" s="804">
        <f ca="1">SUMIF('3.Inc &amp; Exp per Function'!$D38:$D1136,'5.Cons and detailed recon'!M39,'3.Inc &amp; Exp per Function'!$U38:$U1135)</f>
        <v>10857592</v>
      </c>
      <c r="AJ39" s="804">
        <f ca="1">SUMIF('3.Inc &amp; Exp per Function'!$D38:$D1136,'5.Cons and detailed recon'!N39,'3.Inc &amp; Exp per Function'!$U38:$U1135)</f>
        <v>12061071</v>
      </c>
      <c r="AK39" s="804">
        <f ca="1">SUMIF('3.Inc &amp; Exp per Function'!$D38:$D1136,'5.Cons and detailed recon'!O39,'3.Inc &amp; Exp per Function'!$U38:$U1135)</f>
        <v>20471408</v>
      </c>
      <c r="AL39" s="804">
        <f ca="1">SUMIF('3.Inc &amp; Exp per Function'!$D38:$D1136,'5.Cons and detailed recon'!P39,'3.Inc &amp; Exp per Function'!$U38:$U1135)</f>
        <v>22275152</v>
      </c>
      <c r="AM39" s="748">
        <f t="shared" ca="1" si="0"/>
        <v>65665223</v>
      </c>
      <c r="AN39" s="794"/>
      <c r="AO39" s="791">
        <f ca="1">X39+AH39+AM39</f>
        <v>314715240</v>
      </c>
      <c r="AP39" s="414">
        <f>SUMIF('4.Inc &amp; Exp Summary'!A:A,'5.Cons and detailed recon'!R39,'4.Inc &amp; Exp Summary'!L:L)</f>
        <v>900238160</v>
      </c>
      <c r="AQ39" s="415">
        <f t="shared" ca="1" si="23"/>
        <v>-585522920</v>
      </c>
      <c r="AR39" s="720"/>
      <c r="AS39" s="730"/>
      <c r="AT39" s="408"/>
      <c r="AU39" s="398" t="str">
        <f t="shared" si="25"/>
        <v>Executive and Council3100</v>
      </c>
      <c r="AV39" s="398" t="str">
        <f t="shared" si="25"/>
        <v>Finance and administration3100</v>
      </c>
      <c r="AW39" s="398" t="str">
        <f t="shared" si="25"/>
        <v>Internal audit3100</v>
      </c>
      <c r="AX39" s="398" t="str">
        <f t="shared" si="25"/>
        <v>Community and social services3100</v>
      </c>
      <c r="AY39" s="398" t="str">
        <f t="shared" si="25"/>
        <v>Sport and recreation3100</v>
      </c>
      <c r="AZ39" s="398" t="str">
        <f t="shared" si="25"/>
        <v>Public safety3100</v>
      </c>
      <c r="BA39" s="398" t="str">
        <f t="shared" si="25"/>
        <v>Housing3100</v>
      </c>
      <c r="BB39" s="398" t="str">
        <f t="shared" si="25"/>
        <v>Health3100</v>
      </c>
      <c r="BC39" s="398" t="str">
        <f t="shared" si="25"/>
        <v>Planning and development3100</v>
      </c>
      <c r="BD39" s="398" t="str">
        <f t="shared" si="25"/>
        <v>Road transport3100</v>
      </c>
      <c r="BE39" s="398" t="str">
        <f t="shared" si="25"/>
        <v>Environmental protection3100</v>
      </c>
      <c r="BF39" s="398" t="str">
        <f t="shared" si="25"/>
        <v>Other3100</v>
      </c>
      <c r="BG39" s="398" t="str">
        <f t="shared" si="25"/>
        <v>Energy sources3100</v>
      </c>
      <c r="BH39" s="398" t="str">
        <f t="shared" si="25"/>
        <v>Water management3100</v>
      </c>
      <c r="BI39" s="398" t="str">
        <f t="shared" si="25"/>
        <v>Waste water management3100</v>
      </c>
      <c r="BJ39" s="398" t="str">
        <f t="shared" si="25"/>
        <v>Waste management3100</v>
      </c>
      <c r="BK39" s="745" t="s">
        <v>735</v>
      </c>
      <c r="BL39" s="745" t="s">
        <v>735</v>
      </c>
      <c r="BM39" s="735"/>
      <c r="BN39" s="748" t="s">
        <v>8</v>
      </c>
      <c r="BO39" s="751">
        <f ca="1">SUMIF('3.Inc &amp; Exp per Function'!$D39:$D1137,'5.Cons and detailed recon'!AU39,'3.Inc &amp; Exp per Function'!$V39:$V1136)</f>
        <v>6031177</v>
      </c>
      <c r="BP39" s="751">
        <f ca="1">SUMIF('3.Inc &amp; Exp per Function'!$D38:$D1137,'5.Cons and detailed recon'!AV39,'3.Inc &amp; Exp per Function'!$V38:$V1136)</f>
        <v>116913980</v>
      </c>
      <c r="BQ39" s="751">
        <f ca="1">SUMIF('3.Inc &amp; Exp per Function'!$D39:$D1137,'5.Cons and detailed recon'!AW39,'3.Inc &amp; Exp per Function'!$V39:$V1136)</f>
        <v>3367650</v>
      </c>
      <c r="BR39" s="413">
        <f t="shared" ca="1" si="6"/>
        <v>126312807</v>
      </c>
      <c r="BS39" s="751">
        <f ca="1">SUMIF('3.Inc &amp; Exp per Function'!$D38:$D1137,'5.Cons and detailed recon'!AX39,'3.Inc &amp; Exp per Function'!$V38:$V1136)</f>
        <v>11265348</v>
      </c>
      <c r="BT39" s="751">
        <f ca="1">SUMIF('3.Inc &amp; Exp per Function'!$D38:$D1137,'5.Cons and detailed recon'!AY39,'3.Inc &amp; Exp per Function'!$V38:$V1136)</f>
        <v>9788708</v>
      </c>
      <c r="BU39" s="751">
        <f ca="1">SUMIF('3.Inc &amp; Exp per Function'!$D39:$D1137,'5.Cons and detailed recon'!AZ39,'3.Inc &amp; Exp per Function'!$V39:$V1136)</f>
        <v>26139799</v>
      </c>
      <c r="BV39" s="751">
        <f ca="1">SUMIF('3.Inc &amp; Exp per Function'!$D39:$D1137,'5.Cons and detailed recon'!BA39,'3.Inc &amp; Exp per Function'!$V39:$V1136)</f>
        <v>11507394</v>
      </c>
      <c r="BW39" s="751">
        <f ca="1">SUMIF('3.Inc &amp; Exp per Function'!$D39:$D1137,'5.Cons and detailed recon'!BB39,'3.Inc &amp; Exp per Function'!$V39:$V1136)</f>
        <v>0</v>
      </c>
      <c r="BX39" s="751">
        <f ca="1">SUMIF('3.Inc &amp; Exp per Function'!$D39:$D1137,'5.Cons and detailed recon'!BC39,'3.Inc &amp; Exp per Function'!$V39:$V1136)</f>
        <v>37689484</v>
      </c>
      <c r="BY39" s="751">
        <f ca="1">SUMIF('3.Inc &amp; Exp per Function'!$D39:$D1137,'5.Cons and detailed recon'!BD39,'3.Inc &amp; Exp per Function'!$V39:$V1136)</f>
        <v>34815679</v>
      </c>
      <c r="BZ39" s="751">
        <f ca="1">SUMIF('3.Inc &amp; Exp per Function'!$D39:$D1137,'5.Cons and detailed recon'!BE39,'3.Inc &amp; Exp per Function'!$V39:$V1136)</f>
        <v>0</v>
      </c>
      <c r="CA39" s="751">
        <f ca="1">SUMIF('3.Inc &amp; Exp per Function'!$D39:$D1137,'5.Cons and detailed recon'!BF39,'3.Inc &amp; Exp per Function'!$V39:$V1136)</f>
        <v>0</v>
      </c>
      <c r="CB39" s="413">
        <f t="shared" ca="1" si="7"/>
        <v>131206412</v>
      </c>
      <c r="CC39" s="751">
        <f ca="1">SUMIF('3.Inc &amp; Exp per Function'!$D39:$D1137,'5.Cons and detailed recon'!BG39,'3.Inc &amp; Exp per Function'!$V39:$V1136)</f>
        <v>11226748</v>
      </c>
      <c r="CD39" s="751">
        <f ca="1">SUMIF('3.Inc &amp; Exp per Function'!$D39:$D1137,'5.Cons and detailed recon'!BH39,'3.Inc &amp; Exp per Function'!$V39:$V1136)</f>
        <v>12471500</v>
      </c>
      <c r="CE39" s="751">
        <f ca="1">SUMIF('3.Inc &amp; Exp per Function'!$D39:$D1137,'5.Cons and detailed recon'!BI39,'3.Inc &amp; Exp per Function'!$V39:$V1136)</f>
        <v>21167435</v>
      </c>
      <c r="CF39" s="751">
        <f ca="1">SUMIF('3.Inc &amp; Exp per Function'!$D39:$D1137,'5.Cons and detailed recon'!BJ39,'3.Inc &amp; Exp per Function'!$V39:$V1136)</f>
        <v>23032512</v>
      </c>
      <c r="CG39" s="748">
        <f t="shared" ca="1" si="8"/>
        <v>67898195</v>
      </c>
      <c r="CH39" s="751"/>
      <c r="CI39" s="791">
        <f t="shared" ca="1" si="9"/>
        <v>325417414</v>
      </c>
      <c r="CJ39" s="411">
        <f>SUMIF('4.Inc &amp; Exp Summary'!A:A,'5.Cons and detailed recon'!R39,'4.Inc &amp; Exp Summary'!M:M)</f>
        <v>930158600</v>
      </c>
      <c r="CK39" s="415">
        <f t="shared" ca="1" si="17"/>
        <v>-604741186</v>
      </c>
      <c r="CL39" s="720"/>
      <c r="CM39" s="730"/>
      <c r="CO39" s="398" t="str">
        <f t="shared" si="26"/>
        <v>Executive and Council3100</v>
      </c>
      <c r="CP39" s="398" t="str">
        <f t="shared" si="26"/>
        <v>Finance and administration3100</v>
      </c>
      <c r="CQ39" s="398" t="str">
        <f t="shared" si="26"/>
        <v>Internal audit3100</v>
      </c>
      <c r="CR39" s="398" t="str">
        <f t="shared" si="26"/>
        <v>Community and social services3100</v>
      </c>
      <c r="CS39" s="398" t="str">
        <f t="shared" si="26"/>
        <v>Sport and recreation3100</v>
      </c>
      <c r="CT39" s="398" t="str">
        <f t="shared" si="26"/>
        <v>Public safety3100</v>
      </c>
      <c r="CU39" s="398" t="str">
        <f t="shared" si="26"/>
        <v>Housing3100</v>
      </c>
      <c r="CV39" s="398" t="str">
        <f t="shared" si="26"/>
        <v>Health3100</v>
      </c>
      <c r="CW39" s="398" t="str">
        <f t="shared" si="26"/>
        <v>Planning and development3100</v>
      </c>
      <c r="CX39" s="398" t="str">
        <f t="shared" si="26"/>
        <v>Road transport3100</v>
      </c>
      <c r="CY39" s="398" t="str">
        <f t="shared" si="26"/>
        <v>Environmental protection3100</v>
      </c>
      <c r="CZ39" s="398" t="str">
        <f t="shared" si="26"/>
        <v>Other3100</v>
      </c>
      <c r="DA39" s="398" t="str">
        <f t="shared" si="26"/>
        <v>Energy sources3100</v>
      </c>
      <c r="DB39" s="398" t="str">
        <f t="shared" si="26"/>
        <v>Water management3100</v>
      </c>
      <c r="DC39" s="398" t="str">
        <f t="shared" si="26"/>
        <v>Waste water management3100</v>
      </c>
      <c r="DD39" s="398" t="str">
        <f t="shared" si="26"/>
        <v>Waste management3100</v>
      </c>
      <c r="DE39" s="745" t="s">
        <v>735</v>
      </c>
      <c r="DF39" s="745" t="s">
        <v>735</v>
      </c>
      <c r="DG39" s="735"/>
      <c r="DH39" s="748" t="s">
        <v>8</v>
      </c>
      <c r="DI39" s="751">
        <f ca="1">SUMIF('3.Inc &amp; Exp per Function'!$D38:$D1137,'5.Cons and detailed recon'!CO39,'3.Inc &amp; Exp per Function'!$W38:$W1136)</f>
        <v>6224172</v>
      </c>
      <c r="DJ39" s="751">
        <f ca="1">SUMIF('3.Inc &amp; Exp per Function'!$D38:$D1136,'5.Cons and detailed recon'!CP39,'3.Inc &amp; Exp per Function'!$W38:$W1135)</f>
        <v>120655367</v>
      </c>
      <c r="DK39" s="751">
        <f ca="1">SUMIF('3.Inc &amp; Exp per Function'!$D38:$D1136,'5.Cons and detailed recon'!CQ39,'3.Inc &amp; Exp per Function'!$W38:$W1135)</f>
        <v>3475415</v>
      </c>
      <c r="DL39" s="413">
        <f t="shared" ca="1" si="11"/>
        <v>130354954</v>
      </c>
      <c r="DM39" s="751">
        <f ca="1">SUMIF('3.Inc &amp; Exp per Function'!$D38:$D1136,'5.Cons and detailed recon'!CR39,'3.Inc &amp; Exp per Function'!$W38:$W1135)</f>
        <v>11625838</v>
      </c>
      <c r="DN39" s="751">
        <f ca="1">SUMIF('3.Inc &amp; Exp per Function'!$D38:$D1136,'5.Cons and detailed recon'!CS39,'3.Inc &amp; Exp per Function'!$W38:$W1135)</f>
        <v>10102514</v>
      </c>
      <c r="DO39" s="751">
        <f ca="1">SUMIF('3.Inc &amp; Exp per Function'!$D38:$D1136,'5.Cons and detailed recon'!CT39,'3.Inc &amp; Exp per Function'!$W38:$W1135)</f>
        <v>26976273</v>
      </c>
      <c r="DP39" s="751">
        <f ca="1">SUMIF('3.Inc &amp; Exp per Function'!$D38:$D1136,'5.Cons and detailed recon'!CU39,'3.Inc &amp; Exp per Function'!$W38:$W1135)</f>
        <v>11875629</v>
      </c>
      <c r="DQ39" s="751">
        <f ca="1">SUMIF('3.Inc &amp; Exp per Function'!$D38:$D1136,'5.Cons and detailed recon'!CV39,'3.Inc &amp; Exp per Function'!$W38:$W1135)</f>
        <v>0</v>
      </c>
      <c r="DR39" s="751">
        <f ca="1">SUMIF('3.Inc &amp; Exp per Function'!$D38:$D1136,'5.Cons and detailed recon'!CW39,'3.Inc &amp; Exp per Function'!$W38:$W1135)</f>
        <v>38896605</v>
      </c>
      <c r="DS39" s="751">
        <f ca="1">SUMIF('3.Inc &amp; Exp per Function'!$D38:$D1136,'5.Cons and detailed recon'!CX39,'3.Inc &amp; Exp per Function'!$W38:$W1135)</f>
        <v>35929780</v>
      </c>
      <c r="DT39" s="751">
        <f ca="1">SUMIF('3.Inc &amp; Exp per Function'!$D38:$D1136,'5.Cons and detailed recon'!CY39,'3.Inc &amp; Exp per Function'!$W38:$W1135)</f>
        <v>0</v>
      </c>
      <c r="DU39" s="751">
        <f ca="1">SUMIF('3.Inc &amp; Exp per Function'!$D38:$D1136,'5.Cons and detailed recon'!CZ39,'3.Inc &amp; Exp per Function'!$W38:$W1135)</f>
        <v>0</v>
      </c>
      <c r="DV39" s="413">
        <f t="shared" ca="1" si="12"/>
        <v>135406639</v>
      </c>
      <c r="DW39" s="751">
        <f ca="1">SUMIF('3.Inc &amp; Exp per Function'!$D38:$D1136,'5.Cons and detailed recon'!DA39,'3.Inc &amp; Exp per Function'!$W38:$W1135)</f>
        <v>11586002</v>
      </c>
      <c r="DX39" s="751">
        <f ca="1">SUMIF('3.Inc &amp; Exp per Function'!$D38:$D1136,'5.Cons and detailed recon'!DB39,'3.Inc &amp; Exp per Function'!$W38:$W1135)</f>
        <v>12871002</v>
      </c>
      <c r="DY39" s="751">
        <f ca="1">SUMIF('3.Inc &amp; Exp per Function'!$D38:$D1136,'5.Cons and detailed recon'!DC39,'3.Inc &amp; Exp per Function'!$W38:$W1135)</f>
        <v>21844789</v>
      </c>
      <c r="DZ39" s="751">
        <f ca="1">SUMIF('3.Inc &amp; Exp per Function'!$D38:$D1136,'5.Cons and detailed recon'!DD39,'3.Inc &amp; Exp per Function'!$W38:$W1135)</f>
        <v>23769552</v>
      </c>
      <c r="EA39" s="748">
        <f t="shared" ca="1" si="13"/>
        <v>70071345</v>
      </c>
      <c r="EB39" s="794"/>
      <c r="EC39" s="791">
        <f t="shared" ca="1" si="14"/>
        <v>335832938</v>
      </c>
      <c r="ED39" s="414">
        <f>SUMIF('4.Inc &amp; Exp Summary'!A:A,'5.Cons and detailed recon'!DF39,'4.Inc &amp; Exp Summary'!N:N)</f>
        <v>957787434.9519999</v>
      </c>
      <c r="EE39" s="415">
        <f t="shared" ca="1" si="15"/>
        <v>-621954496.9519999</v>
      </c>
      <c r="EF39" s="720"/>
      <c r="EG39" s="980"/>
      <c r="EH39" s="980"/>
      <c r="EI39" s="980"/>
      <c r="EJ39" s="980"/>
      <c r="EK39" s="980"/>
      <c r="EL39" s="980"/>
      <c r="EM39" s="980"/>
      <c r="EN39" s="980"/>
      <c r="EO39" s="980"/>
      <c r="EP39" s="980"/>
      <c r="EQ39" s="980"/>
      <c r="ER39" s="980"/>
      <c r="ES39" s="980"/>
      <c r="ET39" s="980"/>
      <c r="EU39" s="980"/>
      <c r="EV39" s="980"/>
      <c r="EW39" s="980"/>
      <c r="EX39" s="980"/>
      <c r="EY39" s="980"/>
      <c r="EZ39" s="980"/>
      <c r="FA39" s="980"/>
      <c r="FB39" s="980"/>
      <c r="FC39" s="980"/>
      <c r="FD39" s="980"/>
      <c r="FE39" s="980"/>
      <c r="FF39" s="980"/>
      <c r="FG39" s="980"/>
      <c r="FH39" s="980"/>
      <c r="FI39" s="980"/>
      <c r="FJ39" s="980"/>
      <c r="FK39" s="980"/>
      <c r="FL39" s="980"/>
      <c r="FM39" s="980"/>
      <c r="FN39" s="980"/>
      <c r="FO39" s="980"/>
      <c r="FP39" s="980"/>
      <c r="FQ39" s="980"/>
      <c r="FR39" s="980"/>
      <c r="FS39" s="980"/>
      <c r="FT39" s="980"/>
      <c r="FU39" s="980"/>
      <c r="FV39" s="980"/>
      <c r="FW39" s="980"/>
      <c r="FX39" s="980"/>
      <c r="FY39" s="980"/>
      <c r="FZ39" s="980"/>
      <c r="GA39" s="980"/>
      <c r="GB39" s="980"/>
      <c r="GC39" s="980"/>
      <c r="GD39" s="980"/>
      <c r="GE39" s="980"/>
      <c r="GF39" s="980"/>
      <c r="GG39" s="980"/>
      <c r="GH39" s="980"/>
      <c r="GI39" s="980"/>
      <c r="GJ39" s="980"/>
      <c r="GK39" s="980"/>
      <c r="GL39" s="980"/>
      <c r="GM39" s="980"/>
      <c r="GN39" s="980"/>
      <c r="GO39" s="980"/>
      <c r="GP39" s="980"/>
      <c r="GQ39" s="980"/>
      <c r="GR39" s="980"/>
      <c r="GS39" s="980"/>
      <c r="GT39" s="980"/>
      <c r="GU39" s="980"/>
      <c r="GV39" s="980"/>
      <c r="GW39" s="980"/>
      <c r="GX39" s="980"/>
      <c r="GY39" s="980"/>
      <c r="GZ39" s="980"/>
      <c r="HA39" s="980"/>
      <c r="HB39" s="980"/>
      <c r="HC39" s="980"/>
      <c r="HD39" s="980"/>
      <c r="HE39" s="980"/>
      <c r="HF39" s="980"/>
      <c r="HG39" s="980"/>
      <c r="HH39" s="980"/>
      <c r="HI39" s="980"/>
      <c r="HJ39" s="980"/>
      <c r="HK39" s="980"/>
      <c r="HL39" s="980"/>
      <c r="HM39" s="980"/>
      <c r="HN39" s="980"/>
      <c r="HO39" s="980"/>
      <c r="HP39" s="980"/>
      <c r="HQ39" s="980"/>
      <c r="HR39" s="980"/>
      <c r="HS39" s="980"/>
      <c r="HT39" s="980"/>
      <c r="HU39" s="980"/>
      <c r="HV39" s="980"/>
      <c r="HW39" s="980"/>
      <c r="HX39" s="980"/>
      <c r="HY39" s="980"/>
      <c r="HZ39" s="980"/>
      <c r="IA39" s="980"/>
      <c r="IB39" s="980"/>
      <c r="IC39" s="980"/>
      <c r="ID39" s="980"/>
      <c r="IE39" s="980"/>
      <c r="IF39" s="980"/>
      <c r="IG39" s="980"/>
      <c r="IH39" s="980"/>
      <c r="II39" s="980"/>
      <c r="IJ39" s="980"/>
      <c r="IK39" s="980"/>
      <c r="IL39" s="980"/>
      <c r="IM39" s="980"/>
      <c r="IN39" s="980"/>
      <c r="IO39" s="980"/>
      <c r="IP39" s="980"/>
      <c r="IQ39" s="980"/>
      <c r="IR39" s="980"/>
      <c r="IS39" s="980"/>
      <c r="IT39" s="980"/>
      <c r="IU39" s="980"/>
      <c r="IV39" s="980"/>
    </row>
    <row r="40" spans="1:256" s="409" customFormat="1" ht="12" customHeight="1" x14ac:dyDescent="0.55000000000000004">
      <c r="A40" s="398" t="str">
        <f t="shared" si="1"/>
        <v>Executive and Council3200</v>
      </c>
      <c r="B40" s="398" t="str">
        <f t="shared" si="24"/>
        <v>Finance and administration3200</v>
      </c>
      <c r="C40" s="398" t="str">
        <f t="shared" si="24"/>
        <v>Internal audit3200</v>
      </c>
      <c r="D40" s="398" t="str">
        <f t="shared" si="24"/>
        <v>Community and social services3200</v>
      </c>
      <c r="E40" s="398" t="str">
        <f t="shared" si="24"/>
        <v>Sport and recreation3200</v>
      </c>
      <c r="F40" s="398" t="str">
        <f t="shared" si="24"/>
        <v>Public safety3200</v>
      </c>
      <c r="G40" s="398" t="str">
        <f t="shared" si="24"/>
        <v>Housing3200</v>
      </c>
      <c r="H40" s="398" t="str">
        <f t="shared" si="24"/>
        <v>Health3200</v>
      </c>
      <c r="I40" s="398" t="str">
        <f t="shared" si="24"/>
        <v>Planning and development3200</v>
      </c>
      <c r="J40" s="398" t="str">
        <f t="shared" si="24"/>
        <v>Road transport3200</v>
      </c>
      <c r="K40" s="398" t="str">
        <f t="shared" si="24"/>
        <v>Environmental protection3200</v>
      </c>
      <c r="L40" s="398" t="str">
        <f t="shared" si="24"/>
        <v>Other3200</v>
      </c>
      <c r="M40" s="398" t="str">
        <f t="shared" si="24"/>
        <v>Energy sources3200</v>
      </c>
      <c r="N40" s="398" t="str">
        <f t="shared" si="24"/>
        <v>Water management3200</v>
      </c>
      <c r="O40" s="398" t="str">
        <f t="shared" si="24"/>
        <v>Waste water management3200</v>
      </c>
      <c r="P40" s="398" t="str">
        <f t="shared" si="24"/>
        <v>Waste management3200</v>
      </c>
      <c r="Q40" s="745" t="s">
        <v>737</v>
      </c>
      <c r="R40" s="745" t="s">
        <v>737</v>
      </c>
      <c r="S40" s="994"/>
      <c r="T40" s="748" t="s">
        <v>9</v>
      </c>
      <c r="U40" s="804">
        <f ca="1">SUMIF('3.Inc &amp; Exp per Function'!$D39:$D1137,'5.Cons and detailed recon'!A40,'3.Inc &amp; Exp per Function'!$U39:$U1136)</f>
        <v>14271314</v>
      </c>
      <c r="V40" s="804">
        <f ca="1">SUMIF('3.Inc &amp; Exp per Function'!$D39:$D1137,'5.Cons and detailed recon'!B40,'3.Inc &amp; Exp per Function'!$U39:$U1136)</f>
        <v>0</v>
      </c>
      <c r="W40" s="804">
        <f ca="1">SUMIF('3.Inc &amp; Exp per Function'!$D39:$D1137,'5.Cons and detailed recon'!C40,'3.Inc &amp; Exp per Function'!$U39:$U1136)</f>
        <v>0</v>
      </c>
      <c r="X40" s="413">
        <f ca="1">SUM(U40:W40)</f>
        <v>14271314</v>
      </c>
      <c r="Y40" s="804">
        <f ca="1">SUMIF('3.Inc &amp; Exp per Function'!$D39:$D1137,'5.Cons and detailed recon'!D40,'3.Inc &amp; Exp per Function'!$U39:$U1136)</f>
        <v>0</v>
      </c>
      <c r="Z40" s="804">
        <f ca="1">SUMIF('3.Inc &amp; Exp per Function'!$D39:$D1137,'5.Cons and detailed recon'!E40,'3.Inc &amp; Exp per Function'!$U39:$U1136)</f>
        <v>0</v>
      </c>
      <c r="AA40" s="804">
        <f ca="1">SUMIF('3.Inc &amp; Exp per Function'!$D39:$D1137,'5.Cons and detailed recon'!F40,'3.Inc &amp; Exp per Function'!$U39:$U1136)</f>
        <v>0</v>
      </c>
      <c r="AB40" s="804">
        <f ca="1">SUMIF('3.Inc &amp; Exp per Function'!$D39:$D1137,'5.Cons and detailed recon'!G40,'3.Inc &amp; Exp per Function'!$U39:$U1136)</f>
        <v>0</v>
      </c>
      <c r="AC40" s="804">
        <f ca="1">SUMIF('3.Inc &amp; Exp per Function'!$D39:$D1137,'5.Cons and detailed recon'!H40,'3.Inc &amp; Exp per Function'!$U39:$U1136)</f>
        <v>0</v>
      </c>
      <c r="AD40" s="804">
        <f ca="1">SUMIF('3.Inc &amp; Exp per Function'!$D39:$D1137,'5.Cons and detailed recon'!I40,'3.Inc &amp; Exp per Function'!$U39:$U1136)</f>
        <v>0</v>
      </c>
      <c r="AE40" s="804">
        <f ca="1">SUMIF('3.Inc &amp; Exp per Function'!$D39:$D1137,'5.Cons and detailed recon'!J40,'3.Inc &amp; Exp per Function'!$U39:$U1136)</f>
        <v>0</v>
      </c>
      <c r="AF40" s="804">
        <f ca="1">SUMIF('3.Inc &amp; Exp per Function'!$D39:$D1137,'5.Cons and detailed recon'!K40,'3.Inc &amp; Exp per Function'!$U39:$U1136)</f>
        <v>0</v>
      </c>
      <c r="AG40" s="804">
        <f ca="1">SUMIF('3.Inc &amp; Exp per Function'!$D39:$D1137,'5.Cons and detailed recon'!L40,'3.Inc &amp; Exp per Function'!$U39:$U1136)</f>
        <v>0</v>
      </c>
      <c r="AH40" s="413">
        <f t="shared" ca="1" si="3"/>
        <v>0</v>
      </c>
      <c r="AI40" s="804">
        <f ca="1">SUMIF('3.Inc &amp; Exp per Function'!$D39:$D1137,'5.Cons and detailed recon'!M40,'3.Inc &amp; Exp per Function'!$U39:$U1136)</f>
        <v>0</v>
      </c>
      <c r="AJ40" s="804">
        <f ca="1">SUMIF('3.Inc &amp; Exp per Function'!$D39:$D1137,'5.Cons and detailed recon'!N40,'3.Inc &amp; Exp per Function'!$U39:$U1136)</f>
        <v>0</v>
      </c>
      <c r="AK40" s="804">
        <f ca="1">SUMIF('3.Inc &amp; Exp per Function'!$D39:$D1137,'5.Cons and detailed recon'!O40,'3.Inc &amp; Exp per Function'!$U39:$U1136)</f>
        <v>0</v>
      </c>
      <c r="AL40" s="804">
        <f ca="1">SUMIF('3.Inc &amp; Exp per Function'!$D39:$D1137,'5.Cons and detailed recon'!P40,'3.Inc &amp; Exp per Function'!$U39:$U1136)</f>
        <v>0</v>
      </c>
      <c r="AM40" s="748">
        <f t="shared" ca="1" si="0"/>
        <v>0</v>
      </c>
      <c r="AN40" s="794"/>
      <c r="AO40" s="791">
        <f t="shared" ref="AO40:AO50" ca="1" si="30">X40+AH40+AM40</f>
        <v>14271314</v>
      </c>
      <c r="AP40" s="414">
        <f>SUMIF('4.Inc &amp; Exp Summary'!A:A,'5.Cons and detailed recon'!R40,'4.Inc &amp; Exp Summary'!L:L)</f>
        <v>0</v>
      </c>
      <c r="AQ40" s="415">
        <f t="shared" ca="1" si="23"/>
        <v>14271314</v>
      </c>
      <c r="AR40" s="720"/>
      <c r="AS40" s="730"/>
      <c r="AT40" s="408"/>
      <c r="AU40" s="398" t="str">
        <f t="shared" si="25"/>
        <v>Executive and Council3200</v>
      </c>
      <c r="AV40" s="398" t="str">
        <f t="shared" si="25"/>
        <v>Finance and administration3200</v>
      </c>
      <c r="AW40" s="398" t="str">
        <f t="shared" si="25"/>
        <v>Internal audit3200</v>
      </c>
      <c r="AX40" s="398" t="str">
        <f t="shared" si="25"/>
        <v>Community and social services3200</v>
      </c>
      <c r="AY40" s="398" t="str">
        <f t="shared" si="25"/>
        <v>Sport and recreation3200</v>
      </c>
      <c r="AZ40" s="398" t="str">
        <f t="shared" si="25"/>
        <v>Public safety3200</v>
      </c>
      <c r="BA40" s="398" t="str">
        <f t="shared" si="25"/>
        <v>Housing3200</v>
      </c>
      <c r="BB40" s="398" t="str">
        <f t="shared" si="25"/>
        <v>Health3200</v>
      </c>
      <c r="BC40" s="398" t="str">
        <f t="shared" si="25"/>
        <v>Planning and development3200</v>
      </c>
      <c r="BD40" s="398" t="str">
        <f t="shared" si="25"/>
        <v>Road transport3200</v>
      </c>
      <c r="BE40" s="398" t="str">
        <f t="shared" si="25"/>
        <v>Environmental protection3200</v>
      </c>
      <c r="BF40" s="398" t="str">
        <f t="shared" si="25"/>
        <v>Other3200</v>
      </c>
      <c r="BG40" s="398" t="str">
        <f t="shared" si="25"/>
        <v>Energy sources3200</v>
      </c>
      <c r="BH40" s="398" t="str">
        <f t="shared" si="25"/>
        <v>Water management3200</v>
      </c>
      <c r="BI40" s="398" t="str">
        <f t="shared" si="25"/>
        <v>Waste water management3200</v>
      </c>
      <c r="BJ40" s="398" t="str">
        <f t="shared" si="25"/>
        <v>Waste management3200</v>
      </c>
      <c r="BK40" s="745" t="s">
        <v>737</v>
      </c>
      <c r="BL40" s="745" t="s">
        <v>737</v>
      </c>
      <c r="BM40" s="735"/>
      <c r="BN40" s="748" t="s">
        <v>9</v>
      </c>
      <c r="BO40" s="751">
        <f ca="1">SUMIF('3.Inc &amp; Exp per Function'!$D40:$D1138,'5.Cons and detailed recon'!AU40,'3.Inc &amp; Exp per Function'!$V40:$V1137)</f>
        <v>14756538</v>
      </c>
      <c r="BP40" s="751">
        <f ca="1">SUMIF('3.Inc &amp; Exp per Function'!$D39:$D1138,'5.Cons and detailed recon'!AV40,'3.Inc &amp; Exp per Function'!$V39:$V1137)</f>
        <v>0</v>
      </c>
      <c r="BQ40" s="751">
        <f ca="1">SUMIF('3.Inc &amp; Exp per Function'!$D40:$D1138,'5.Cons and detailed recon'!AW40,'3.Inc &amp; Exp per Function'!$V40:$V1137)</f>
        <v>0</v>
      </c>
      <c r="BR40" s="413">
        <f t="shared" ca="1" si="6"/>
        <v>14756538</v>
      </c>
      <c r="BS40" s="751">
        <f ca="1">SUMIF('3.Inc &amp; Exp per Function'!$D39:$D1138,'5.Cons and detailed recon'!AX40,'3.Inc &amp; Exp per Function'!$V39:$V1137)</f>
        <v>0</v>
      </c>
      <c r="BT40" s="751">
        <f ca="1">SUMIF('3.Inc &amp; Exp per Function'!$D39:$D1138,'5.Cons and detailed recon'!AY40,'3.Inc &amp; Exp per Function'!$V39:$V1137)</f>
        <v>0</v>
      </c>
      <c r="BU40" s="751">
        <f ca="1">SUMIF('3.Inc &amp; Exp per Function'!$D40:$D1138,'5.Cons and detailed recon'!AZ40,'3.Inc &amp; Exp per Function'!$V40:$V1137)</f>
        <v>0</v>
      </c>
      <c r="BV40" s="751">
        <f ca="1">SUMIF('3.Inc &amp; Exp per Function'!$D40:$D1138,'5.Cons and detailed recon'!BA40,'3.Inc &amp; Exp per Function'!$V40:$V1137)</f>
        <v>0</v>
      </c>
      <c r="BW40" s="751">
        <f ca="1">SUMIF('3.Inc &amp; Exp per Function'!$D40:$D1138,'5.Cons and detailed recon'!BB40,'3.Inc &amp; Exp per Function'!$V40:$V1137)</f>
        <v>0</v>
      </c>
      <c r="BX40" s="751">
        <f ca="1">SUMIF('3.Inc &amp; Exp per Function'!$D40:$D1138,'5.Cons and detailed recon'!BC40,'3.Inc &amp; Exp per Function'!$V40:$V1137)</f>
        <v>0</v>
      </c>
      <c r="BY40" s="751">
        <f ca="1">SUMIF('3.Inc &amp; Exp per Function'!$D40:$D1138,'5.Cons and detailed recon'!BD40,'3.Inc &amp; Exp per Function'!$V40:$V1137)</f>
        <v>0</v>
      </c>
      <c r="BZ40" s="751">
        <f ca="1">SUMIF('3.Inc &amp; Exp per Function'!$D40:$D1138,'5.Cons and detailed recon'!BE40,'3.Inc &amp; Exp per Function'!$V40:$V1137)</f>
        <v>0</v>
      </c>
      <c r="CA40" s="751">
        <f ca="1">SUMIF('3.Inc &amp; Exp per Function'!$D40:$D1138,'5.Cons and detailed recon'!BF40,'3.Inc &amp; Exp per Function'!$V40:$V1137)</f>
        <v>0</v>
      </c>
      <c r="CB40" s="413">
        <f t="shared" ca="1" si="7"/>
        <v>0</v>
      </c>
      <c r="CC40" s="751">
        <f ca="1">SUMIF('3.Inc &amp; Exp per Function'!$D40:$D1138,'5.Cons and detailed recon'!BG40,'3.Inc &amp; Exp per Function'!$V40:$V1137)</f>
        <v>0</v>
      </c>
      <c r="CD40" s="751">
        <f ca="1">SUMIF('3.Inc &amp; Exp per Function'!$D40:$D1138,'5.Cons and detailed recon'!BH40,'3.Inc &amp; Exp per Function'!$V40:$V1137)</f>
        <v>0</v>
      </c>
      <c r="CE40" s="751">
        <f ca="1">SUMIF('3.Inc &amp; Exp per Function'!$D40:$D1138,'5.Cons and detailed recon'!BI40,'3.Inc &amp; Exp per Function'!$V40:$V1137)</f>
        <v>0</v>
      </c>
      <c r="CF40" s="751">
        <f ca="1">SUMIF('3.Inc &amp; Exp per Function'!$D40:$D1138,'5.Cons and detailed recon'!BJ40,'3.Inc &amp; Exp per Function'!$V40:$V1137)</f>
        <v>0</v>
      </c>
      <c r="CG40" s="748">
        <f t="shared" ca="1" si="8"/>
        <v>0</v>
      </c>
      <c r="CH40" s="751"/>
      <c r="CI40" s="791">
        <f t="shared" ca="1" si="9"/>
        <v>14756538</v>
      </c>
      <c r="CJ40" s="411">
        <f>SUMIF('4.Inc &amp; Exp Summary'!A:A,'5.Cons and detailed recon'!R40,'4.Inc &amp; Exp Summary'!M:M)</f>
        <v>0</v>
      </c>
      <c r="CK40" s="415">
        <f t="shared" ca="1" si="17"/>
        <v>14756538</v>
      </c>
      <c r="CL40" s="720"/>
      <c r="CM40" s="730"/>
      <c r="CO40" s="398" t="str">
        <f t="shared" si="26"/>
        <v>Executive and Council3200</v>
      </c>
      <c r="CP40" s="398" t="str">
        <f t="shared" si="26"/>
        <v>Finance and administration3200</v>
      </c>
      <c r="CQ40" s="398" t="str">
        <f t="shared" si="26"/>
        <v>Internal audit3200</v>
      </c>
      <c r="CR40" s="398" t="str">
        <f t="shared" si="26"/>
        <v>Community and social services3200</v>
      </c>
      <c r="CS40" s="398" t="str">
        <f t="shared" si="26"/>
        <v>Sport and recreation3200</v>
      </c>
      <c r="CT40" s="398" t="str">
        <f t="shared" si="26"/>
        <v>Public safety3200</v>
      </c>
      <c r="CU40" s="398" t="str">
        <f t="shared" si="26"/>
        <v>Housing3200</v>
      </c>
      <c r="CV40" s="398" t="str">
        <f t="shared" si="26"/>
        <v>Health3200</v>
      </c>
      <c r="CW40" s="398" t="str">
        <f t="shared" si="26"/>
        <v>Planning and development3200</v>
      </c>
      <c r="CX40" s="398" t="str">
        <f t="shared" si="26"/>
        <v>Road transport3200</v>
      </c>
      <c r="CY40" s="398" t="str">
        <f t="shared" si="26"/>
        <v>Environmental protection3200</v>
      </c>
      <c r="CZ40" s="398" t="str">
        <f t="shared" si="26"/>
        <v>Other3200</v>
      </c>
      <c r="DA40" s="398" t="str">
        <f t="shared" si="26"/>
        <v>Energy sources3200</v>
      </c>
      <c r="DB40" s="398" t="str">
        <f t="shared" si="26"/>
        <v>Water management3200</v>
      </c>
      <c r="DC40" s="398" t="str">
        <f t="shared" si="26"/>
        <v>Waste water management3200</v>
      </c>
      <c r="DD40" s="398" t="str">
        <f t="shared" si="26"/>
        <v>Waste management3200</v>
      </c>
      <c r="DE40" s="745" t="s">
        <v>737</v>
      </c>
      <c r="DF40" s="745" t="s">
        <v>737</v>
      </c>
      <c r="DG40" s="735"/>
      <c r="DH40" s="748" t="s">
        <v>9</v>
      </c>
      <c r="DI40" s="751">
        <f ca="1">SUMIF('3.Inc &amp; Exp per Function'!$D39:$D1138,'5.Cons and detailed recon'!CO40,'3.Inc &amp; Exp per Function'!$W39:$W1137)</f>
        <v>15228750</v>
      </c>
      <c r="DJ40" s="751">
        <f ca="1">SUMIF('3.Inc &amp; Exp per Function'!$D39:$D1137,'5.Cons and detailed recon'!CP40,'3.Inc &amp; Exp per Function'!$W39:$W1136)</f>
        <v>0</v>
      </c>
      <c r="DK40" s="751">
        <f ca="1">SUMIF('3.Inc &amp; Exp per Function'!$D39:$D1137,'5.Cons and detailed recon'!CQ40,'3.Inc &amp; Exp per Function'!$W39:$W1136)</f>
        <v>0</v>
      </c>
      <c r="DL40" s="413">
        <f t="shared" ca="1" si="11"/>
        <v>15228750</v>
      </c>
      <c r="DM40" s="751">
        <f ca="1">SUMIF('3.Inc &amp; Exp per Function'!$D39:$D1137,'5.Cons and detailed recon'!CR40,'3.Inc &amp; Exp per Function'!$W39:$W1136)</f>
        <v>0</v>
      </c>
      <c r="DN40" s="751">
        <f ca="1">SUMIF('3.Inc &amp; Exp per Function'!$D39:$D1137,'5.Cons and detailed recon'!CS40,'3.Inc &amp; Exp per Function'!$W39:$W1136)</f>
        <v>0</v>
      </c>
      <c r="DO40" s="751">
        <f ca="1">SUMIF('3.Inc &amp; Exp per Function'!$D39:$D1137,'5.Cons and detailed recon'!CT40,'3.Inc &amp; Exp per Function'!$W39:$W1136)</f>
        <v>0</v>
      </c>
      <c r="DP40" s="751">
        <f ca="1">SUMIF('3.Inc &amp; Exp per Function'!$D39:$D1137,'5.Cons and detailed recon'!CU40,'3.Inc &amp; Exp per Function'!$W39:$W1136)</f>
        <v>0</v>
      </c>
      <c r="DQ40" s="751">
        <f ca="1">SUMIF('3.Inc &amp; Exp per Function'!$D39:$D1137,'5.Cons and detailed recon'!CV40,'3.Inc &amp; Exp per Function'!$W39:$W1136)</f>
        <v>0</v>
      </c>
      <c r="DR40" s="751">
        <f ca="1">SUMIF('3.Inc &amp; Exp per Function'!$D39:$D1137,'5.Cons and detailed recon'!CW40,'3.Inc &amp; Exp per Function'!$W39:$W1136)</f>
        <v>0</v>
      </c>
      <c r="DS40" s="751">
        <f ca="1">SUMIF('3.Inc &amp; Exp per Function'!$D39:$D1137,'5.Cons and detailed recon'!CX40,'3.Inc &amp; Exp per Function'!$W39:$W1136)</f>
        <v>0</v>
      </c>
      <c r="DT40" s="751">
        <f ca="1">SUMIF('3.Inc &amp; Exp per Function'!$D39:$D1137,'5.Cons and detailed recon'!CY40,'3.Inc &amp; Exp per Function'!$W39:$W1136)</f>
        <v>0</v>
      </c>
      <c r="DU40" s="751">
        <f ca="1">SUMIF('3.Inc &amp; Exp per Function'!$D39:$D1137,'5.Cons and detailed recon'!CZ40,'3.Inc &amp; Exp per Function'!$W39:$W1136)</f>
        <v>0</v>
      </c>
      <c r="DV40" s="413">
        <f t="shared" ca="1" si="12"/>
        <v>0</v>
      </c>
      <c r="DW40" s="751">
        <f ca="1">SUMIF('3.Inc &amp; Exp per Function'!$D39:$D1137,'5.Cons and detailed recon'!DA40,'3.Inc &amp; Exp per Function'!$W39:$W1136)</f>
        <v>0</v>
      </c>
      <c r="DX40" s="751">
        <f ca="1">SUMIF('3.Inc &amp; Exp per Function'!$D39:$D1137,'5.Cons and detailed recon'!DB40,'3.Inc &amp; Exp per Function'!$W39:$W1136)</f>
        <v>0</v>
      </c>
      <c r="DY40" s="751">
        <f ca="1">SUMIF('3.Inc &amp; Exp per Function'!$D39:$D1137,'5.Cons and detailed recon'!DC40,'3.Inc &amp; Exp per Function'!$W39:$W1136)</f>
        <v>0</v>
      </c>
      <c r="DZ40" s="751">
        <f ca="1">SUMIF('3.Inc &amp; Exp per Function'!$D39:$D1137,'5.Cons and detailed recon'!DD40,'3.Inc &amp; Exp per Function'!$W39:$W1136)</f>
        <v>0</v>
      </c>
      <c r="EA40" s="748">
        <f t="shared" ca="1" si="13"/>
        <v>0</v>
      </c>
      <c r="EB40" s="794"/>
      <c r="EC40" s="791">
        <f t="shared" ca="1" si="14"/>
        <v>15228750</v>
      </c>
      <c r="ED40" s="414">
        <f>SUMIF('4.Inc &amp; Exp Summary'!A:A,'5.Cons and detailed recon'!DF40,'4.Inc &amp; Exp Summary'!N:N)</f>
        <v>0</v>
      </c>
      <c r="EE40" s="415">
        <f t="shared" ca="1" si="15"/>
        <v>15228750</v>
      </c>
      <c r="EF40" s="720"/>
      <c r="EG40" s="980"/>
      <c r="EH40" s="980"/>
      <c r="EI40" s="980"/>
      <c r="EJ40" s="980"/>
      <c r="EK40" s="980"/>
      <c r="EL40" s="980"/>
      <c r="EM40" s="980"/>
      <c r="EN40" s="980"/>
      <c r="EO40" s="980"/>
      <c r="EP40" s="980"/>
      <c r="EQ40" s="980"/>
      <c r="ER40" s="980"/>
      <c r="ES40" s="980"/>
      <c r="ET40" s="980"/>
      <c r="EU40" s="980"/>
      <c r="EV40" s="980"/>
      <c r="EW40" s="980"/>
      <c r="EX40" s="980"/>
      <c r="EY40" s="980"/>
      <c r="EZ40" s="980"/>
      <c r="FA40" s="980"/>
      <c r="FB40" s="980"/>
      <c r="FC40" s="980"/>
      <c r="FD40" s="980"/>
      <c r="FE40" s="980"/>
      <c r="FF40" s="980"/>
      <c r="FG40" s="980"/>
      <c r="FH40" s="980"/>
      <c r="FI40" s="980"/>
      <c r="FJ40" s="980"/>
      <c r="FK40" s="980"/>
      <c r="FL40" s="980"/>
      <c r="FM40" s="980"/>
      <c r="FN40" s="980"/>
      <c r="FO40" s="980"/>
      <c r="FP40" s="980"/>
      <c r="FQ40" s="980"/>
      <c r="FR40" s="980"/>
      <c r="FS40" s="980"/>
      <c r="FT40" s="980"/>
      <c r="FU40" s="980"/>
      <c r="FV40" s="980"/>
      <c r="FW40" s="980"/>
      <c r="FX40" s="980"/>
      <c r="FY40" s="980"/>
      <c r="FZ40" s="980"/>
      <c r="GA40" s="980"/>
      <c r="GB40" s="980"/>
      <c r="GC40" s="980"/>
      <c r="GD40" s="980"/>
      <c r="GE40" s="980"/>
      <c r="GF40" s="980"/>
      <c r="GG40" s="980"/>
      <c r="GH40" s="980"/>
      <c r="GI40" s="980"/>
      <c r="GJ40" s="980"/>
      <c r="GK40" s="980"/>
      <c r="GL40" s="980"/>
      <c r="GM40" s="980"/>
      <c r="GN40" s="980"/>
      <c r="GO40" s="980"/>
      <c r="GP40" s="980"/>
      <c r="GQ40" s="980"/>
      <c r="GR40" s="980"/>
      <c r="GS40" s="980"/>
      <c r="GT40" s="980"/>
      <c r="GU40" s="980"/>
      <c r="GV40" s="980"/>
      <c r="GW40" s="980"/>
      <c r="GX40" s="980"/>
      <c r="GY40" s="980"/>
      <c r="GZ40" s="980"/>
      <c r="HA40" s="980"/>
      <c r="HB40" s="980"/>
      <c r="HC40" s="980"/>
      <c r="HD40" s="980"/>
      <c r="HE40" s="980"/>
      <c r="HF40" s="980"/>
      <c r="HG40" s="980"/>
      <c r="HH40" s="980"/>
      <c r="HI40" s="980"/>
      <c r="HJ40" s="980"/>
      <c r="HK40" s="980"/>
      <c r="HL40" s="980"/>
      <c r="HM40" s="980"/>
      <c r="HN40" s="980"/>
      <c r="HO40" s="980"/>
      <c r="HP40" s="980"/>
      <c r="HQ40" s="980"/>
      <c r="HR40" s="980"/>
      <c r="HS40" s="980"/>
      <c r="HT40" s="980"/>
      <c r="HU40" s="980"/>
      <c r="HV40" s="980"/>
      <c r="HW40" s="980"/>
      <c r="HX40" s="980"/>
      <c r="HY40" s="980"/>
      <c r="HZ40" s="980"/>
      <c r="IA40" s="980"/>
      <c r="IB40" s="980"/>
      <c r="IC40" s="980"/>
      <c r="ID40" s="980"/>
      <c r="IE40" s="980"/>
      <c r="IF40" s="980"/>
      <c r="IG40" s="980"/>
      <c r="IH40" s="980"/>
      <c r="II40" s="980"/>
      <c r="IJ40" s="980"/>
      <c r="IK40" s="980"/>
      <c r="IL40" s="980"/>
      <c r="IM40" s="980"/>
      <c r="IN40" s="980"/>
      <c r="IO40" s="980"/>
      <c r="IP40" s="980"/>
      <c r="IQ40" s="980"/>
      <c r="IR40" s="980"/>
      <c r="IS40" s="980"/>
      <c r="IT40" s="980"/>
      <c r="IU40" s="980"/>
      <c r="IV40" s="980"/>
    </row>
    <row r="41" spans="1:256" s="409" customFormat="1" ht="12" customHeight="1" x14ac:dyDescent="0.55000000000000004">
      <c r="A41" s="398" t="str">
        <f t="shared" ref="A41:P56" si="31">A$7&amp;$Q41</f>
        <v>Executive and Council3300</v>
      </c>
      <c r="B41" s="398" t="str">
        <f t="shared" si="31"/>
        <v>Finance and administration3300</v>
      </c>
      <c r="C41" s="398" t="str">
        <f t="shared" si="31"/>
        <v>Internal audit3300</v>
      </c>
      <c r="D41" s="398" t="str">
        <f t="shared" si="31"/>
        <v>Community and social services3300</v>
      </c>
      <c r="E41" s="398" t="str">
        <f t="shared" si="31"/>
        <v>Sport and recreation3300</v>
      </c>
      <c r="F41" s="398" t="str">
        <f t="shared" si="31"/>
        <v>Public safety3300</v>
      </c>
      <c r="G41" s="398" t="str">
        <f t="shared" si="31"/>
        <v>Housing3300</v>
      </c>
      <c r="H41" s="398" t="str">
        <f t="shared" si="31"/>
        <v>Health3300</v>
      </c>
      <c r="I41" s="398" t="str">
        <f t="shared" si="31"/>
        <v>Planning and development3300</v>
      </c>
      <c r="J41" s="398" t="str">
        <f t="shared" si="31"/>
        <v>Road transport3300</v>
      </c>
      <c r="K41" s="398" t="str">
        <f t="shared" si="31"/>
        <v>Environmental protection3300</v>
      </c>
      <c r="L41" s="398" t="str">
        <f t="shared" si="31"/>
        <v>Other3300</v>
      </c>
      <c r="M41" s="398" t="str">
        <f t="shared" si="31"/>
        <v>Energy sources3300</v>
      </c>
      <c r="N41" s="398" t="str">
        <f t="shared" si="31"/>
        <v>Water management3300</v>
      </c>
      <c r="O41" s="398" t="str">
        <f t="shared" si="31"/>
        <v>Waste water management3300</v>
      </c>
      <c r="P41" s="398" t="str">
        <f t="shared" si="31"/>
        <v>Waste management3300</v>
      </c>
      <c r="Q41" s="745" t="s">
        <v>738</v>
      </c>
      <c r="R41" s="745" t="s">
        <v>738</v>
      </c>
      <c r="S41" s="994"/>
      <c r="T41" s="748" t="s">
        <v>724</v>
      </c>
      <c r="U41" s="804">
        <f ca="1">SUMIF('3.Inc &amp; Exp per Function'!$D40:$D1138,'5.Cons and detailed recon'!A41,'3.Inc &amp; Exp per Function'!$U40:$U1137)</f>
        <v>0</v>
      </c>
      <c r="V41" s="804">
        <f ca="1">SUMIF('3.Inc &amp; Exp per Function'!$D40:$D1138,'5.Cons and detailed recon'!B41,'3.Inc &amp; Exp per Function'!$U40:$U1137)</f>
        <v>0</v>
      </c>
      <c r="W41" s="804">
        <f ca="1">SUMIF('3.Inc &amp; Exp per Function'!$D40:$D1138,'5.Cons and detailed recon'!C41,'3.Inc &amp; Exp per Function'!$U40:$U1137)</f>
        <v>0</v>
      </c>
      <c r="X41" s="413">
        <f t="shared" ref="X41:X51" ca="1" si="32">SUM(U41:W41)</f>
        <v>0</v>
      </c>
      <c r="Y41" s="804">
        <f ca="1">SUMIF('3.Inc &amp; Exp per Function'!$D40:$D1138,'5.Cons and detailed recon'!D41,'3.Inc &amp; Exp per Function'!$U40:$U1137)</f>
        <v>0</v>
      </c>
      <c r="Z41" s="804">
        <f ca="1">SUMIF('3.Inc &amp; Exp per Function'!$D40:$D1138,'5.Cons and detailed recon'!E41,'3.Inc &amp; Exp per Function'!$U40:$U1137)</f>
        <v>0</v>
      </c>
      <c r="AA41" s="804">
        <f ca="1">SUMIF('3.Inc &amp; Exp per Function'!$D40:$D1138,'5.Cons and detailed recon'!F41,'3.Inc &amp; Exp per Function'!$U40:$U1137)</f>
        <v>0</v>
      </c>
      <c r="AB41" s="804">
        <f ca="1">SUMIF('3.Inc &amp; Exp per Function'!$D40:$D1138,'5.Cons and detailed recon'!G41,'3.Inc &amp; Exp per Function'!$U40:$U1137)</f>
        <v>0</v>
      </c>
      <c r="AC41" s="804">
        <f ca="1">SUMIF('3.Inc &amp; Exp per Function'!$D40:$D1138,'5.Cons and detailed recon'!H41,'3.Inc &amp; Exp per Function'!$U40:$U1137)</f>
        <v>0</v>
      </c>
      <c r="AD41" s="804">
        <f ca="1">SUMIF('3.Inc &amp; Exp per Function'!$D40:$D1138,'5.Cons and detailed recon'!I41,'3.Inc &amp; Exp per Function'!$U40:$U1137)</f>
        <v>0</v>
      </c>
      <c r="AE41" s="804">
        <f ca="1">SUMIF('3.Inc &amp; Exp per Function'!$D40:$D1138,'5.Cons and detailed recon'!J41,'3.Inc &amp; Exp per Function'!$U40:$U1137)</f>
        <v>0</v>
      </c>
      <c r="AF41" s="804">
        <f ca="1">SUMIF('3.Inc &amp; Exp per Function'!$D40:$D1138,'5.Cons and detailed recon'!K41,'3.Inc &amp; Exp per Function'!$U40:$U1137)</f>
        <v>0</v>
      </c>
      <c r="AG41" s="804">
        <f ca="1">SUMIF('3.Inc &amp; Exp per Function'!$D40:$D1138,'5.Cons and detailed recon'!L41,'3.Inc &amp; Exp per Function'!$U40:$U1137)</f>
        <v>0</v>
      </c>
      <c r="AH41" s="413">
        <f t="shared" ca="1" si="3"/>
        <v>0</v>
      </c>
      <c r="AI41" s="804">
        <f ca="1">SUMIF('3.Inc &amp; Exp per Function'!$D40:$D1138,'5.Cons and detailed recon'!M41,'3.Inc &amp; Exp per Function'!$U40:$U1137)</f>
        <v>152140082</v>
      </c>
      <c r="AJ41" s="804">
        <f ca="1">SUMIF('3.Inc &amp; Exp per Function'!$D40:$D1138,'5.Cons and detailed recon'!N41,'3.Inc &amp; Exp per Function'!$U40:$U1137)</f>
        <v>0</v>
      </c>
      <c r="AK41" s="804">
        <f ca="1">SUMIF('3.Inc &amp; Exp per Function'!$D40:$D1138,'5.Cons and detailed recon'!O41,'3.Inc &amp; Exp per Function'!$U40:$U1137)</f>
        <v>0</v>
      </c>
      <c r="AL41" s="804">
        <f ca="1">SUMIF('3.Inc &amp; Exp per Function'!$D40:$D1138,'5.Cons and detailed recon'!P41,'3.Inc &amp; Exp per Function'!$U40:$U1137)</f>
        <v>0</v>
      </c>
      <c r="AM41" s="748">
        <f t="shared" ca="1" si="0"/>
        <v>152140082</v>
      </c>
      <c r="AN41" s="794"/>
      <c r="AO41" s="791">
        <f t="shared" ca="1" si="30"/>
        <v>152140082</v>
      </c>
      <c r="AP41" s="414">
        <f>SUMIF('4.Inc &amp; Exp Summary'!A:A,'5.Cons and detailed recon'!R41,'4.Inc &amp; Exp Summary'!L:L)</f>
        <v>314715240</v>
      </c>
      <c r="AQ41" s="415">
        <f t="shared" ca="1" si="23"/>
        <v>-162575158</v>
      </c>
      <c r="AR41" s="720"/>
      <c r="AS41" s="730"/>
      <c r="AT41" s="408"/>
      <c r="AU41" s="398" t="str">
        <f t="shared" si="25"/>
        <v>Executive and Council3300</v>
      </c>
      <c r="AV41" s="398" t="str">
        <f t="shared" si="25"/>
        <v>Finance and administration3300</v>
      </c>
      <c r="AW41" s="398" t="str">
        <f t="shared" si="25"/>
        <v>Internal audit3300</v>
      </c>
      <c r="AX41" s="398" t="str">
        <f t="shared" si="25"/>
        <v>Community and social services3300</v>
      </c>
      <c r="AY41" s="398" t="str">
        <f t="shared" si="25"/>
        <v>Sport and recreation3300</v>
      </c>
      <c r="AZ41" s="398" t="str">
        <f t="shared" si="25"/>
        <v>Public safety3300</v>
      </c>
      <c r="BA41" s="398" t="str">
        <f t="shared" si="25"/>
        <v>Housing3300</v>
      </c>
      <c r="BB41" s="398" t="str">
        <f t="shared" si="25"/>
        <v>Health3300</v>
      </c>
      <c r="BC41" s="398" t="str">
        <f t="shared" si="25"/>
        <v>Planning and development3300</v>
      </c>
      <c r="BD41" s="398" t="str">
        <f t="shared" si="25"/>
        <v>Road transport3300</v>
      </c>
      <c r="BE41" s="398" t="str">
        <f t="shared" si="25"/>
        <v>Environmental protection3300</v>
      </c>
      <c r="BF41" s="398" t="str">
        <f t="shared" si="25"/>
        <v>Other3300</v>
      </c>
      <c r="BG41" s="398" t="str">
        <f t="shared" si="25"/>
        <v>Energy sources3300</v>
      </c>
      <c r="BH41" s="398" t="str">
        <f t="shared" si="25"/>
        <v>Water management3300</v>
      </c>
      <c r="BI41" s="398" t="str">
        <f t="shared" si="25"/>
        <v>Waste water management3300</v>
      </c>
      <c r="BJ41" s="398" t="str">
        <f>BJ$7&amp;$Q41</f>
        <v>Waste management3300</v>
      </c>
      <c r="BK41" s="745" t="s">
        <v>738</v>
      </c>
      <c r="BL41" s="745" t="s">
        <v>738</v>
      </c>
      <c r="BM41" s="735"/>
      <c r="BN41" s="748" t="s">
        <v>724</v>
      </c>
      <c r="BO41" s="751">
        <f ca="1">SUMIF('3.Inc &amp; Exp per Function'!$D41:$D1139,'5.Cons and detailed recon'!AU41,'3.Inc &amp; Exp per Function'!$V41:$V1138)</f>
        <v>0</v>
      </c>
      <c r="BP41" s="751">
        <f ca="1">SUMIF('3.Inc &amp; Exp per Function'!$D40:$D1139,'5.Cons and detailed recon'!AV41,'3.Inc &amp; Exp per Function'!$V40:$V1138)</f>
        <v>0</v>
      </c>
      <c r="BQ41" s="751">
        <f ca="1">SUMIF('3.Inc &amp; Exp per Function'!$D41:$D1139,'5.Cons and detailed recon'!AW41,'3.Inc &amp; Exp per Function'!$V41:$V1138)</f>
        <v>0</v>
      </c>
      <c r="BR41" s="413">
        <f t="shared" ca="1" si="6"/>
        <v>0</v>
      </c>
      <c r="BS41" s="751">
        <f ca="1">SUMIF('3.Inc &amp; Exp per Function'!$D40:$D1139,'5.Cons and detailed recon'!AX41,'3.Inc &amp; Exp per Function'!$V40:$V1138)</f>
        <v>0</v>
      </c>
      <c r="BT41" s="751">
        <f ca="1">SUMIF('3.Inc &amp; Exp per Function'!$D40:$D1139,'5.Cons and detailed recon'!AY41,'3.Inc &amp; Exp per Function'!$V40:$V1138)</f>
        <v>0</v>
      </c>
      <c r="BU41" s="751">
        <f ca="1">SUMIF('3.Inc &amp; Exp per Function'!$D41:$D1139,'5.Cons and detailed recon'!AZ41,'3.Inc &amp; Exp per Function'!$V41:$V1138)</f>
        <v>0</v>
      </c>
      <c r="BV41" s="751">
        <f ca="1">SUMIF('3.Inc &amp; Exp per Function'!$D41:$D1139,'5.Cons and detailed recon'!BA41,'3.Inc &amp; Exp per Function'!$V41:$V1138)</f>
        <v>0</v>
      </c>
      <c r="BW41" s="751">
        <f ca="1">SUMIF('3.Inc &amp; Exp per Function'!$D41:$D1139,'5.Cons and detailed recon'!BB41,'3.Inc &amp; Exp per Function'!$V41:$V1138)</f>
        <v>0</v>
      </c>
      <c r="BX41" s="751">
        <f ca="1">SUMIF('3.Inc &amp; Exp per Function'!$D41:$D1139,'5.Cons and detailed recon'!BC41,'3.Inc &amp; Exp per Function'!$V41:$V1138)</f>
        <v>0</v>
      </c>
      <c r="BY41" s="751">
        <f ca="1">SUMIF('3.Inc &amp; Exp per Function'!$D41:$D1139,'5.Cons and detailed recon'!BD41,'3.Inc &amp; Exp per Function'!$V41:$V1138)</f>
        <v>0</v>
      </c>
      <c r="BZ41" s="751">
        <f ca="1">SUMIF('3.Inc &amp; Exp per Function'!$D41:$D1139,'5.Cons and detailed recon'!BE41,'3.Inc &amp; Exp per Function'!$V41:$V1138)</f>
        <v>0</v>
      </c>
      <c r="CA41" s="751">
        <f ca="1">SUMIF('3.Inc &amp; Exp per Function'!$D41:$D1139,'5.Cons and detailed recon'!BF41,'3.Inc &amp; Exp per Function'!$V41:$V1138)</f>
        <v>0</v>
      </c>
      <c r="CB41" s="413">
        <f t="shared" ca="1" si="7"/>
        <v>0</v>
      </c>
      <c r="CC41" s="751">
        <f ca="1">SUMIF('3.Inc &amp; Exp per Function'!$D41:$D1139,'5.Cons and detailed recon'!BG41,'3.Inc &amp; Exp per Function'!$V41:$V1138)</f>
        <v>157312845</v>
      </c>
      <c r="CD41" s="751">
        <f ca="1">SUMIF('3.Inc &amp; Exp per Function'!$D41:$D1139,'5.Cons and detailed recon'!BH41,'3.Inc &amp; Exp per Function'!$V41:$V1138)</f>
        <v>0</v>
      </c>
      <c r="CE41" s="751">
        <f ca="1">SUMIF('3.Inc &amp; Exp per Function'!$D41:$D1139,'5.Cons and detailed recon'!BI41,'3.Inc &amp; Exp per Function'!$V41:$V1138)</f>
        <v>0</v>
      </c>
      <c r="CF41" s="751">
        <f ca="1">SUMIF('3.Inc &amp; Exp per Function'!$D41:$D1139,'5.Cons and detailed recon'!BJ41,'3.Inc &amp; Exp per Function'!$V41:$V1138)</f>
        <v>0</v>
      </c>
      <c r="CG41" s="748">
        <f t="shared" ca="1" si="8"/>
        <v>157312845</v>
      </c>
      <c r="CH41" s="751"/>
      <c r="CI41" s="791">
        <f t="shared" ca="1" si="9"/>
        <v>157312845</v>
      </c>
      <c r="CJ41" s="411">
        <f>SUMIF('4.Inc &amp; Exp Summary'!A:A,'5.Cons and detailed recon'!R41,'4.Inc &amp; Exp Summary'!M:M)</f>
        <v>325417414</v>
      </c>
      <c r="CK41" s="415">
        <f t="shared" ca="1" si="17"/>
        <v>-168104569</v>
      </c>
      <c r="CL41" s="720"/>
      <c r="CM41" s="730"/>
      <c r="CO41" s="398" t="str">
        <f t="shared" si="26"/>
        <v>Executive and Council3300</v>
      </c>
      <c r="CP41" s="398" t="str">
        <f t="shared" si="26"/>
        <v>Finance and administration3300</v>
      </c>
      <c r="CQ41" s="398" t="str">
        <f t="shared" si="26"/>
        <v>Internal audit3300</v>
      </c>
      <c r="CR41" s="398" t="str">
        <f t="shared" si="26"/>
        <v>Community and social services3300</v>
      </c>
      <c r="CS41" s="398" t="str">
        <f t="shared" si="26"/>
        <v>Sport and recreation3300</v>
      </c>
      <c r="CT41" s="398" t="str">
        <f t="shared" si="26"/>
        <v>Public safety3300</v>
      </c>
      <c r="CU41" s="398" t="str">
        <f t="shared" si="26"/>
        <v>Housing3300</v>
      </c>
      <c r="CV41" s="398" t="str">
        <f t="shared" si="26"/>
        <v>Health3300</v>
      </c>
      <c r="CW41" s="398" t="str">
        <f t="shared" si="26"/>
        <v>Planning and development3300</v>
      </c>
      <c r="CX41" s="398" t="str">
        <f t="shared" si="26"/>
        <v>Road transport3300</v>
      </c>
      <c r="CY41" s="398" t="str">
        <f t="shared" si="26"/>
        <v>Environmental protection3300</v>
      </c>
      <c r="CZ41" s="398" t="str">
        <f t="shared" si="26"/>
        <v>Other3300</v>
      </c>
      <c r="DA41" s="398" t="str">
        <f t="shared" si="26"/>
        <v>Energy sources3300</v>
      </c>
      <c r="DB41" s="398" t="str">
        <f t="shared" si="26"/>
        <v>Water management3300</v>
      </c>
      <c r="DC41" s="398" t="str">
        <f t="shared" si="26"/>
        <v>Waste water management3300</v>
      </c>
      <c r="DD41" s="398" t="str">
        <f>DD$7&amp;$Q41</f>
        <v>Waste management3300</v>
      </c>
      <c r="DE41" s="745" t="s">
        <v>738</v>
      </c>
      <c r="DF41" s="745" t="s">
        <v>738</v>
      </c>
      <c r="DG41" s="735"/>
      <c r="DH41" s="748" t="s">
        <v>724</v>
      </c>
      <c r="DI41" s="751">
        <f ca="1">SUMIF('3.Inc &amp; Exp per Function'!$D40:$D1139,'5.Cons and detailed recon'!CO41,'3.Inc &amp; Exp per Function'!$W40:$W1138)</f>
        <v>0</v>
      </c>
      <c r="DJ41" s="751">
        <f ca="1">SUMIF('3.Inc &amp; Exp per Function'!$D40:$D1138,'5.Cons and detailed recon'!CP41,'3.Inc &amp; Exp per Function'!$W40:$W1137)</f>
        <v>0</v>
      </c>
      <c r="DK41" s="751">
        <f ca="1">SUMIF('3.Inc &amp; Exp per Function'!$D40:$D1138,'5.Cons and detailed recon'!CQ41,'3.Inc &amp; Exp per Function'!$W40:$W1137)</f>
        <v>0</v>
      </c>
      <c r="DL41" s="413">
        <f t="shared" ca="1" si="11"/>
        <v>0</v>
      </c>
      <c r="DM41" s="751">
        <f ca="1">SUMIF('3.Inc &amp; Exp per Function'!$D40:$D1138,'5.Cons and detailed recon'!CR41,'3.Inc &amp; Exp per Function'!$W40:$W1137)</f>
        <v>0</v>
      </c>
      <c r="DN41" s="751">
        <f ca="1">SUMIF('3.Inc &amp; Exp per Function'!$D40:$D1138,'5.Cons and detailed recon'!CS41,'3.Inc &amp; Exp per Function'!$W40:$W1137)</f>
        <v>0</v>
      </c>
      <c r="DO41" s="751">
        <f ca="1">SUMIF('3.Inc &amp; Exp per Function'!$D40:$D1138,'5.Cons and detailed recon'!CT41,'3.Inc &amp; Exp per Function'!$W40:$W1137)</f>
        <v>0</v>
      </c>
      <c r="DP41" s="751">
        <f ca="1">SUMIF('3.Inc &amp; Exp per Function'!$D40:$D1138,'5.Cons and detailed recon'!CU41,'3.Inc &amp; Exp per Function'!$W40:$W1137)</f>
        <v>0</v>
      </c>
      <c r="DQ41" s="751">
        <f ca="1">SUMIF('3.Inc &amp; Exp per Function'!$D40:$D1138,'5.Cons and detailed recon'!CV41,'3.Inc &amp; Exp per Function'!$W40:$W1137)</f>
        <v>0</v>
      </c>
      <c r="DR41" s="751">
        <f ca="1">SUMIF('3.Inc &amp; Exp per Function'!$D40:$D1138,'5.Cons and detailed recon'!CW41,'3.Inc &amp; Exp per Function'!$W40:$W1137)</f>
        <v>0</v>
      </c>
      <c r="DS41" s="751">
        <f ca="1">SUMIF('3.Inc &amp; Exp per Function'!$D40:$D1138,'5.Cons and detailed recon'!CX41,'3.Inc &amp; Exp per Function'!$W40:$W1137)</f>
        <v>0</v>
      </c>
      <c r="DT41" s="751">
        <f ca="1">SUMIF('3.Inc &amp; Exp per Function'!$D40:$D1138,'5.Cons and detailed recon'!CY41,'3.Inc &amp; Exp per Function'!$W40:$W1137)</f>
        <v>0</v>
      </c>
      <c r="DU41" s="751">
        <f ca="1">SUMIF('3.Inc &amp; Exp per Function'!$D40:$D1138,'5.Cons and detailed recon'!CZ41,'3.Inc &amp; Exp per Function'!$W40:$W1137)</f>
        <v>0</v>
      </c>
      <c r="DV41" s="413">
        <f t="shared" ca="1" si="12"/>
        <v>0</v>
      </c>
      <c r="DW41" s="751">
        <f ca="1">SUMIF('3.Inc &amp; Exp per Function'!$D40:$D1138,'5.Cons and detailed recon'!DA41,'3.Inc &amp; Exp per Function'!$W40:$W1137)</f>
        <v>162346856</v>
      </c>
      <c r="DX41" s="751">
        <f ca="1">SUMIF('3.Inc &amp; Exp per Function'!$D40:$D1138,'5.Cons and detailed recon'!DB41,'3.Inc &amp; Exp per Function'!$W40:$W1137)</f>
        <v>0</v>
      </c>
      <c r="DY41" s="751">
        <f ca="1">SUMIF('3.Inc &amp; Exp per Function'!$D40:$D1138,'5.Cons and detailed recon'!DC41,'3.Inc &amp; Exp per Function'!$W40:$W1137)</f>
        <v>0</v>
      </c>
      <c r="DZ41" s="751">
        <f ca="1">SUMIF('3.Inc &amp; Exp per Function'!$D40:$D1138,'5.Cons and detailed recon'!DD41,'3.Inc &amp; Exp per Function'!$W40:$W1137)</f>
        <v>0</v>
      </c>
      <c r="EA41" s="748">
        <f t="shared" ca="1" si="13"/>
        <v>162346856</v>
      </c>
      <c r="EB41" s="794"/>
      <c r="EC41" s="791">
        <f t="shared" ca="1" si="14"/>
        <v>162346856</v>
      </c>
      <c r="ED41" s="414">
        <f>SUMIF('4.Inc &amp; Exp Summary'!A:A,'5.Cons and detailed recon'!DF41,'4.Inc &amp; Exp Summary'!N:N)</f>
        <v>335832955.15200001</v>
      </c>
      <c r="EE41" s="415">
        <f t="shared" ca="1" si="15"/>
        <v>-173486099.15200001</v>
      </c>
      <c r="EF41" s="720"/>
      <c r="EG41" s="980"/>
      <c r="EH41" s="980"/>
      <c r="EI41" s="980"/>
      <c r="EJ41" s="980"/>
      <c r="EK41" s="980"/>
      <c r="EL41" s="980"/>
      <c r="EM41" s="980"/>
      <c r="EN41" s="980"/>
      <c r="EO41" s="980"/>
      <c r="EP41" s="980"/>
      <c r="EQ41" s="980"/>
      <c r="ER41" s="980"/>
      <c r="ES41" s="980"/>
      <c r="ET41" s="980"/>
      <c r="EU41" s="980"/>
      <c r="EV41" s="980"/>
      <c r="EW41" s="980"/>
      <c r="EX41" s="980"/>
      <c r="EY41" s="980"/>
      <c r="EZ41" s="980"/>
      <c r="FA41" s="980"/>
      <c r="FB41" s="980"/>
      <c r="FC41" s="980"/>
      <c r="FD41" s="980"/>
      <c r="FE41" s="980"/>
      <c r="FF41" s="980"/>
      <c r="FG41" s="980"/>
      <c r="FH41" s="980"/>
      <c r="FI41" s="980"/>
      <c r="FJ41" s="980"/>
      <c r="FK41" s="980"/>
      <c r="FL41" s="980"/>
      <c r="FM41" s="980"/>
      <c r="FN41" s="980"/>
      <c r="FO41" s="980"/>
      <c r="FP41" s="980"/>
      <c r="FQ41" s="980"/>
      <c r="FR41" s="980"/>
      <c r="FS41" s="980"/>
      <c r="FT41" s="980"/>
      <c r="FU41" s="980"/>
      <c r="FV41" s="980"/>
      <c r="FW41" s="980"/>
      <c r="FX41" s="980"/>
      <c r="FY41" s="980"/>
      <c r="FZ41" s="980"/>
      <c r="GA41" s="980"/>
      <c r="GB41" s="980"/>
      <c r="GC41" s="980"/>
      <c r="GD41" s="980"/>
      <c r="GE41" s="980"/>
      <c r="GF41" s="980"/>
      <c r="GG41" s="980"/>
      <c r="GH41" s="980"/>
      <c r="GI41" s="980"/>
      <c r="GJ41" s="980"/>
      <c r="GK41" s="980"/>
      <c r="GL41" s="980"/>
      <c r="GM41" s="980"/>
      <c r="GN41" s="980"/>
      <c r="GO41" s="980"/>
      <c r="GP41" s="980"/>
      <c r="GQ41" s="980"/>
      <c r="GR41" s="980"/>
      <c r="GS41" s="980"/>
      <c r="GT41" s="980"/>
      <c r="GU41" s="980"/>
      <c r="GV41" s="980"/>
      <c r="GW41" s="980"/>
      <c r="GX41" s="980"/>
      <c r="GY41" s="980"/>
      <c r="GZ41" s="980"/>
      <c r="HA41" s="980"/>
      <c r="HB41" s="980"/>
      <c r="HC41" s="980"/>
      <c r="HD41" s="980"/>
      <c r="HE41" s="980"/>
      <c r="HF41" s="980"/>
      <c r="HG41" s="980"/>
      <c r="HH41" s="980"/>
      <c r="HI41" s="980"/>
      <c r="HJ41" s="980"/>
      <c r="HK41" s="980"/>
      <c r="HL41" s="980"/>
      <c r="HM41" s="980"/>
      <c r="HN41" s="980"/>
      <c r="HO41" s="980"/>
      <c r="HP41" s="980"/>
      <c r="HQ41" s="980"/>
      <c r="HR41" s="980"/>
      <c r="HS41" s="980"/>
      <c r="HT41" s="980"/>
      <c r="HU41" s="980"/>
      <c r="HV41" s="980"/>
      <c r="HW41" s="980"/>
      <c r="HX41" s="980"/>
      <c r="HY41" s="980"/>
      <c r="HZ41" s="980"/>
      <c r="IA41" s="980"/>
      <c r="IB41" s="980"/>
      <c r="IC41" s="980"/>
      <c r="ID41" s="980"/>
      <c r="IE41" s="980"/>
      <c r="IF41" s="980"/>
      <c r="IG41" s="980"/>
      <c r="IH41" s="980"/>
      <c r="II41" s="980"/>
      <c r="IJ41" s="980"/>
      <c r="IK41" s="980"/>
      <c r="IL41" s="980"/>
      <c r="IM41" s="980"/>
      <c r="IN41" s="980"/>
      <c r="IO41" s="980"/>
      <c r="IP41" s="980"/>
      <c r="IQ41" s="980"/>
      <c r="IR41" s="980"/>
      <c r="IS41" s="980"/>
      <c r="IT41" s="980"/>
      <c r="IU41" s="980"/>
      <c r="IV41" s="980"/>
    </row>
    <row r="42" spans="1:256" s="409" customFormat="1" ht="12" customHeight="1" x14ac:dyDescent="0.55000000000000004">
      <c r="A42" s="398" t="str">
        <f t="shared" si="31"/>
        <v>Executive and Council3400</v>
      </c>
      <c r="B42" s="398" t="str">
        <f t="shared" si="31"/>
        <v>Finance and administration3400</v>
      </c>
      <c r="C42" s="398" t="str">
        <f t="shared" si="31"/>
        <v>Internal audit3400</v>
      </c>
      <c r="D42" s="398" t="str">
        <f t="shared" si="31"/>
        <v>Community and social services3400</v>
      </c>
      <c r="E42" s="398" t="str">
        <f t="shared" si="31"/>
        <v>Sport and recreation3400</v>
      </c>
      <c r="F42" s="398" t="str">
        <f t="shared" si="31"/>
        <v>Public safety3400</v>
      </c>
      <c r="G42" s="398" t="str">
        <f t="shared" si="31"/>
        <v>Housing3400</v>
      </c>
      <c r="H42" s="398" t="str">
        <f t="shared" si="31"/>
        <v>Health3400</v>
      </c>
      <c r="I42" s="398" t="str">
        <f t="shared" si="31"/>
        <v>Planning and development3400</v>
      </c>
      <c r="J42" s="398" t="str">
        <f t="shared" si="31"/>
        <v>Road transport3400</v>
      </c>
      <c r="K42" s="398" t="str">
        <f t="shared" si="31"/>
        <v>Environmental protection3400</v>
      </c>
      <c r="L42" s="398" t="str">
        <f t="shared" si="31"/>
        <v>Other3400</v>
      </c>
      <c r="M42" s="398" t="str">
        <f t="shared" si="31"/>
        <v>Energy sources3400</v>
      </c>
      <c r="N42" s="398" t="str">
        <f t="shared" si="31"/>
        <v>Water management3400</v>
      </c>
      <c r="O42" s="398" t="str">
        <f t="shared" si="31"/>
        <v>Waste water management3400</v>
      </c>
      <c r="P42" s="398" t="str">
        <f t="shared" si="31"/>
        <v>Waste management3400</v>
      </c>
      <c r="Q42" s="745" t="s">
        <v>739</v>
      </c>
      <c r="R42" s="745" t="s">
        <v>739</v>
      </c>
      <c r="S42" s="994"/>
      <c r="T42" s="748" t="s">
        <v>726</v>
      </c>
      <c r="U42" s="804">
        <f ca="1">SUMIF('3.Inc &amp; Exp per Function'!$D41:$D1139,'5.Cons and detailed recon'!A42,'3.Inc &amp; Exp per Function'!$U41:$U1138)</f>
        <v>63000</v>
      </c>
      <c r="V42" s="804">
        <f ca="1">SUMIF('3.Inc &amp; Exp per Function'!$D41:$D1139,'5.Cons and detailed recon'!B42,'3.Inc &amp; Exp per Function'!$U41:$U1138)</f>
        <v>1733682</v>
      </c>
      <c r="W42" s="804">
        <f ca="1">SUMIF('3.Inc &amp; Exp per Function'!$D41:$D1139,'5.Cons and detailed recon'!C42,'3.Inc &amp; Exp per Function'!$U41:$U1138)</f>
        <v>500</v>
      </c>
      <c r="X42" s="413">
        <f t="shared" ca="1" si="32"/>
        <v>1797182</v>
      </c>
      <c r="Y42" s="804">
        <f ca="1">SUMIF('3.Inc &amp; Exp per Function'!$D41:$D1139,'5.Cons and detailed recon'!D42,'3.Inc &amp; Exp per Function'!$U41:$U1138)</f>
        <v>301738</v>
      </c>
      <c r="Z42" s="804">
        <f ca="1">SUMIF('3.Inc &amp; Exp per Function'!$D41:$D1139,'5.Cons and detailed recon'!E42,'3.Inc &amp; Exp per Function'!$U41:$U1138)</f>
        <v>601804</v>
      </c>
      <c r="AA42" s="804">
        <f ca="1">SUMIF('3.Inc &amp; Exp per Function'!$D41:$D1139,'5.Cons and detailed recon'!F42,'3.Inc &amp; Exp per Function'!$U41:$U1138)</f>
        <v>513425</v>
      </c>
      <c r="AB42" s="804">
        <f ca="1">SUMIF('3.Inc &amp; Exp per Function'!$D41:$D1139,'5.Cons and detailed recon'!G42,'3.Inc &amp; Exp per Function'!$U41:$U1138)</f>
        <v>220180</v>
      </c>
      <c r="AC42" s="804">
        <f ca="1">SUMIF('3.Inc &amp; Exp per Function'!$D41:$D1139,'5.Cons and detailed recon'!H42,'3.Inc &amp; Exp per Function'!$U41:$U1138)</f>
        <v>0</v>
      </c>
      <c r="AD42" s="804">
        <f ca="1">SUMIF('3.Inc &amp; Exp per Function'!$D41:$D1139,'5.Cons and detailed recon'!I42,'3.Inc &amp; Exp per Function'!$U41:$U1138)</f>
        <v>57078</v>
      </c>
      <c r="AE42" s="804">
        <f ca="1">SUMIF('3.Inc &amp; Exp per Function'!$D41:$D1139,'5.Cons and detailed recon'!J42,'3.Inc &amp; Exp per Function'!$U41:$U1138)</f>
        <v>2165780</v>
      </c>
      <c r="AF42" s="804">
        <f ca="1">SUMIF('3.Inc &amp; Exp per Function'!$D41:$D1139,'5.Cons and detailed recon'!K42,'3.Inc &amp; Exp per Function'!$U41:$U1138)</f>
        <v>0</v>
      </c>
      <c r="AG42" s="804">
        <f ca="1">SUMIF('3.Inc &amp; Exp per Function'!$D41:$D1139,'5.Cons and detailed recon'!L42,'3.Inc &amp; Exp per Function'!$U41:$U1138)</f>
        <v>0</v>
      </c>
      <c r="AH42" s="413">
        <f t="shared" ca="1" si="3"/>
        <v>3860005</v>
      </c>
      <c r="AI42" s="804">
        <f ca="1">SUMIF('3.Inc &amp; Exp per Function'!$D41:$D1139,'5.Cons and detailed recon'!M42,'3.Inc &amp; Exp per Function'!$U41:$U1138)</f>
        <v>1423290</v>
      </c>
      <c r="AJ42" s="804">
        <f ca="1">SUMIF('3.Inc &amp; Exp per Function'!$D41:$D1139,'5.Cons and detailed recon'!N42,'3.Inc &amp; Exp per Function'!$U41:$U1138)</f>
        <v>34332949</v>
      </c>
      <c r="AK42" s="804">
        <f ca="1">SUMIF('3.Inc &amp; Exp per Function'!$D41:$D1139,'5.Cons and detailed recon'!O42,'3.Inc &amp; Exp per Function'!$U41:$U1138)</f>
        <v>1606343</v>
      </c>
      <c r="AL42" s="804">
        <f ca="1">SUMIF('3.Inc &amp; Exp per Function'!$D41:$D1139,'5.Cons and detailed recon'!P42,'3.Inc &amp; Exp per Function'!$U41:$U1138)</f>
        <v>1399910</v>
      </c>
      <c r="AM42" s="748">
        <f t="shared" ca="1" si="0"/>
        <v>38762492</v>
      </c>
      <c r="AN42" s="794"/>
      <c r="AO42" s="791">
        <f t="shared" ca="1" si="30"/>
        <v>44419679</v>
      </c>
      <c r="AP42" s="414">
        <f>SUMIF('4.Inc &amp; Exp Summary'!A:A,'5.Cons and detailed recon'!R42,'4.Inc &amp; Exp Summary'!L:L)</f>
        <v>14271314</v>
      </c>
      <c r="AQ42" s="415">
        <f t="shared" ca="1" si="23"/>
        <v>30148365</v>
      </c>
      <c r="AR42" s="720"/>
      <c r="AS42" s="730"/>
      <c r="AT42" s="408"/>
      <c r="AU42" s="398" t="str">
        <f t="shared" ref="AU42:BJ57" si="33">AU$7&amp;$Q42</f>
        <v>Executive and Council3400</v>
      </c>
      <c r="AV42" s="398" t="str">
        <f t="shared" si="33"/>
        <v>Finance and administration3400</v>
      </c>
      <c r="AW42" s="398" t="str">
        <f t="shared" si="33"/>
        <v>Internal audit3400</v>
      </c>
      <c r="AX42" s="398" t="str">
        <f t="shared" si="33"/>
        <v>Community and social services3400</v>
      </c>
      <c r="AY42" s="398" t="str">
        <f t="shared" si="33"/>
        <v>Sport and recreation3400</v>
      </c>
      <c r="AZ42" s="398" t="str">
        <f t="shared" si="33"/>
        <v>Public safety3400</v>
      </c>
      <c r="BA42" s="398" t="str">
        <f t="shared" si="33"/>
        <v>Housing3400</v>
      </c>
      <c r="BB42" s="398" t="str">
        <f t="shared" si="33"/>
        <v>Health3400</v>
      </c>
      <c r="BC42" s="398" t="str">
        <f t="shared" si="33"/>
        <v>Planning and development3400</v>
      </c>
      <c r="BD42" s="398" t="str">
        <f t="shared" si="33"/>
        <v>Road transport3400</v>
      </c>
      <c r="BE42" s="398" t="str">
        <f t="shared" si="33"/>
        <v>Environmental protection3400</v>
      </c>
      <c r="BF42" s="398" t="str">
        <f t="shared" si="33"/>
        <v>Other3400</v>
      </c>
      <c r="BG42" s="398" t="str">
        <f t="shared" si="33"/>
        <v>Energy sources3400</v>
      </c>
      <c r="BH42" s="398" t="str">
        <f t="shared" si="33"/>
        <v>Water management3400</v>
      </c>
      <c r="BI42" s="398" t="str">
        <f t="shared" si="33"/>
        <v>Waste water management3400</v>
      </c>
      <c r="BJ42" s="398" t="str">
        <f t="shared" si="33"/>
        <v>Waste management3400</v>
      </c>
      <c r="BK42" s="745" t="s">
        <v>739</v>
      </c>
      <c r="BL42" s="745" t="s">
        <v>739</v>
      </c>
      <c r="BM42" s="735"/>
      <c r="BN42" s="748" t="s">
        <v>726</v>
      </c>
      <c r="BO42" s="751">
        <f ca="1">SUMIF('3.Inc &amp; Exp per Function'!$D42:$D1140,'5.Cons and detailed recon'!AU42,'3.Inc &amp; Exp per Function'!$V42:$V1139)</f>
        <v>65142</v>
      </c>
      <c r="BP42" s="751">
        <f ca="1">SUMIF('3.Inc &amp; Exp per Function'!$D41:$D1140,'5.Cons and detailed recon'!AV42,'3.Inc &amp; Exp per Function'!$V41:$V1139)</f>
        <v>1792628</v>
      </c>
      <c r="BQ42" s="751">
        <f ca="1">SUMIF('3.Inc &amp; Exp per Function'!$D42:$D1140,'5.Cons and detailed recon'!AW42,'3.Inc &amp; Exp per Function'!$V42:$V1139)</f>
        <v>517</v>
      </c>
      <c r="BR42" s="413">
        <f t="shared" ca="1" si="6"/>
        <v>1858287</v>
      </c>
      <c r="BS42" s="751">
        <f ca="1">SUMIF('3.Inc &amp; Exp per Function'!$D41:$D1140,'5.Cons and detailed recon'!AX42,'3.Inc &amp; Exp per Function'!$V41:$V1139)</f>
        <v>311997</v>
      </c>
      <c r="BT42" s="751">
        <f ca="1">SUMIF('3.Inc &amp; Exp per Function'!$D41:$D1140,'5.Cons and detailed recon'!AY42,'3.Inc &amp; Exp per Function'!$V41:$V1139)</f>
        <v>622266</v>
      </c>
      <c r="BU42" s="751">
        <f ca="1">SUMIF('3.Inc &amp; Exp per Function'!$D42:$D1140,'5.Cons and detailed recon'!AZ42,'3.Inc &amp; Exp per Function'!$V42:$V1139)</f>
        <v>530882</v>
      </c>
      <c r="BV42" s="751">
        <f ca="1">SUMIF('3.Inc &amp; Exp per Function'!$D42:$D1140,'5.Cons and detailed recon'!BA42,'3.Inc &amp; Exp per Function'!$V42:$V1139)</f>
        <v>227667</v>
      </c>
      <c r="BW42" s="751">
        <f ca="1">SUMIF('3.Inc &amp; Exp per Function'!$D42:$D1140,'5.Cons and detailed recon'!BB42,'3.Inc &amp; Exp per Function'!$V42:$V1139)</f>
        <v>0</v>
      </c>
      <c r="BX42" s="751">
        <f ca="1">SUMIF('3.Inc &amp; Exp per Function'!$D42:$D1140,'5.Cons and detailed recon'!BC42,'3.Inc &amp; Exp per Function'!$V42:$V1139)</f>
        <v>59019</v>
      </c>
      <c r="BY42" s="751">
        <f ca="1">SUMIF('3.Inc &amp; Exp per Function'!$D42:$D1140,'5.Cons and detailed recon'!BD42,'3.Inc &amp; Exp per Function'!$V42:$V1139)</f>
        <v>2239419</v>
      </c>
      <c r="BZ42" s="751">
        <f ca="1">SUMIF('3.Inc &amp; Exp per Function'!$D42:$D1140,'5.Cons and detailed recon'!BE42,'3.Inc &amp; Exp per Function'!$V42:$V1139)</f>
        <v>0</v>
      </c>
      <c r="CA42" s="751">
        <f ca="1">SUMIF('3.Inc &amp; Exp per Function'!$D42:$D1140,'5.Cons and detailed recon'!BF42,'3.Inc &amp; Exp per Function'!$V42:$V1139)</f>
        <v>0</v>
      </c>
      <c r="CB42" s="413">
        <f t="shared" ca="1" si="7"/>
        <v>3991250</v>
      </c>
      <c r="CC42" s="751">
        <f ca="1">SUMIF('3.Inc &amp; Exp per Function'!$D42:$D1140,'5.Cons and detailed recon'!BG42,'3.Inc &amp; Exp per Function'!$V42:$V1139)</f>
        <v>1471684</v>
      </c>
      <c r="CD42" s="751">
        <f ca="1">SUMIF('3.Inc &amp; Exp per Function'!$D42:$D1140,'5.Cons and detailed recon'!BH42,'3.Inc &amp; Exp per Function'!$V42:$V1139)</f>
        <v>35500273</v>
      </c>
      <c r="CE42" s="751">
        <f ca="1">SUMIF('3.Inc &amp; Exp per Function'!$D42:$D1140,'5.Cons and detailed recon'!BI42,'3.Inc &amp; Exp per Function'!$V42:$V1139)</f>
        <v>1660961</v>
      </c>
      <c r="CF42" s="751">
        <f ca="1">SUMIF('3.Inc &amp; Exp per Function'!$D42:$D1140,'5.Cons and detailed recon'!BJ42,'3.Inc &amp; Exp per Function'!$V42:$V1139)</f>
        <v>1447509</v>
      </c>
      <c r="CG42" s="748">
        <f t="shared" ca="1" si="8"/>
        <v>40080427</v>
      </c>
      <c r="CH42" s="751"/>
      <c r="CI42" s="791">
        <f t="shared" ca="1" si="9"/>
        <v>45929964</v>
      </c>
      <c r="CJ42" s="411">
        <f>SUMIF('4.Inc &amp; Exp Summary'!A:A,'5.Cons and detailed recon'!R42,'4.Inc &amp; Exp Summary'!M:M)</f>
        <v>14756538</v>
      </c>
      <c r="CK42" s="415">
        <f ca="1">CI42-CJ42</f>
        <v>31173426</v>
      </c>
      <c r="CL42" s="720"/>
      <c r="CM42" s="730"/>
      <c r="CO42" s="398" t="str">
        <f t="shared" ref="CO42:DD57" si="34">CO$7&amp;$Q42</f>
        <v>Executive and Council3400</v>
      </c>
      <c r="CP42" s="398" t="str">
        <f t="shared" si="34"/>
        <v>Finance and administration3400</v>
      </c>
      <c r="CQ42" s="398" t="str">
        <f t="shared" si="34"/>
        <v>Internal audit3400</v>
      </c>
      <c r="CR42" s="398" t="str">
        <f t="shared" si="34"/>
        <v>Community and social services3400</v>
      </c>
      <c r="CS42" s="398" t="str">
        <f t="shared" si="34"/>
        <v>Sport and recreation3400</v>
      </c>
      <c r="CT42" s="398" t="str">
        <f t="shared" si="34"/>
        <v>Public safety3400</v>
      </c>
      <c r="CU42" s="398" t="str">
        <f t="shared" si="34"/>
        <v>Housing3400</v>
      </c>
      <c r="CV42" s="398" t="str">
        <f t="shared" si="34"/>
        <v>Health3400</v>
      </c>
      <c r="CW42" s="398" t="str">
        <f t="shared" si="34"/>
        <v>Planning and development3400</v>
      </c>
      <c r="CX42" s="398" t="str">
        <f t="shared" si="34"/>
        <v>Road transport3400</v>
      </c>
      <c r="CY42" s="398" t="str">
        <f t="shared" si="34"/>
        <v>Environmental protection3400</v>
      </c>
      <c r="CZ42" s="398" t="str">
        <f t="shared" si="34"/>
        <v>Other3400</v>
      </c>
      <c r="DA42" s="398" t="str">
        <f t="shared" si="34"/>
        <v>Energy sources3400</v>
      </c>
      <c r="DB42" s="398" t="str">
        <f t="shared" si="34"/>
        <v>Water management3400</v>
      </c>
      <c r="DC42" s="398" t="str">
        <f t="shared" si="34"/>
        <v>Waste water management3400</v>
      </c>
      <c r="DD42" s="398" t="str">
        <f t="shared" si="34"/>
        <v>Waste management3400</v>
      </c>
      <c r="DE42" s="745" t="s">
        <v>739</v>
      </c>
      <c r="DF42" s="745" t="s">
        <v>739</v>
      </c>
      <c r="DG42" s="735"/>
      <c r="DH42" s="748" t="s">
        <v>726</v>
      </c>
      <c r="DI42" s="751">
        <f ca="1">SUMIF('3.Inc &amp; Exp per Function'!$D41:$D1140,'5.Cons and detailed recon'!CO42,'3.Inc &amp; Exp per Function'!$W41:$W1139)</f>
        <v>67226</v>
      </c>
      <c r="DJ42" s="751">
        <f ca="1">SUMIF('3.Inc &amp; Exp per Function'!$D41:$D1139,'5.Cons and detailed recon'!CP42,'3.Inc &amp; Exp per Function'!$W41:$W1138)</f>
        <v>1849993</v>
      </c>
      <c r="DK42" s="751">
        <f ca="1">SUMIF('3.Inc &amp; Exp per Function'!$D41:$D1139,'5.Cons and detailed recon'!CQ42,'3.Inc &amp; Exp per Function'!$W41:$W1138)</f>
        <v>534</v>
      </c>
      <c r="DL42" s="413">
        <f t="shared" ca="1" si="11"/>
        <v>1917753</v>
      </c>
      <c r="DM42" s="751">
        <f ca="1">SUMIF('3.Inc &amp; Exp per Function'!$D41:$D1139,'5.Cons and detailed recon'!CR42,'3.Inc &amp; Exp per Function'!$W41:$W1138)</f>
        <v>321982</v>
      </c>
      <c r="DN42" s="751">
        <f ca="1">SUMIF('3.Inc &amp; Exp per Function'!$D41:$D1139,'5.Cons and detailed recon'!CS42,'3.Inc &amp; Exp per Function'!$W41:$W1138)</f>
        <v>642179</v>
      </c>
      <c r="DO42" s="751">
        <f ca="1">SUMIF('3.Inc &amp; Exp per Function'!$D41:$D1139,'5.Cons and detailed recon'!CT42,'3.Inc &amp; Exp per Function'!$W41:$W1138)</f>
        <v>547870</v>
      </c>
      <c r="DP42" s="751">
        <f ca="1">SUMIF('3.Inc &amp; Exp per Function'!$D41:$D1139,'5.Cons and detailed recon'!CU42,'3.Inc &amp; Exp per Function'!$W41:$W1138)</f>
        <v>234951</v>
      </c>
      <c r="DQ42" s="751">
        <f ca="1">SUMIF('3.Inc &amp; Exp per Function'!$D41:$D1139,'5.Cons and detailed recon'!CV42,'3.Inc &amp; Exp per Function'!$W41:$W1138)</f>
        <v>0</v>
      </c>
      <c r="DR42" s="751">
        <f ca="1">SUMIF('3.Inc &amp; Exp per Function'!$D41:$D1139,'5.Cons and detailed recon'!CW42,'3.Inc &amp; Exp per Function'!$W41:$W1138)</f>
        <v>60906</v>
      </c>
      <c r="DS42" s="751">
        <f ca="1">SUMIF('3.Inc &amp; Exp per Function'!$D41:$D1139,'5.Cons and detailed recon'!CX42,'3.Inc &amp; Exp per Function'!$W41:$W1138)</f>
        <v>2311081</v>
      </c>
      <c r="DT42" s="751">
        <f ca="1">SUMIF('3.Inc &amp; Exp per Function'!$D41:$D1139,'5.Cons and detailed recon'!CY42,'3.Inc &amp; Exp per Function'!$W41:$W1138)</f>
        <v>0</v>
      </c>
      <c r="DU42" s="751">
        <f ca="1">SUMIF('3.Inc &amp; Exp per Function'!$D41:$D1139,'5.Cons and detailed recon'!CZ42,'3.Inc &amp; Exp per Function'!$W41:$W1138)</f>
        <v>0</v>
      </c>
      <c r="DV42" s="413">
        <f t="shared" ca="1" si="12"/>
        <v>4118969</v>
      </c>
      <c r="DW42" s="751">
        <f ca="1">SUMIF('3.Inc &amp; Exp per Function'!$D41:$D1139,'5.Cons and detailed recon'!DA42,'3.Inc &amp; Exp per Function'!$W41:$W1138)</f>
        <v>1518776</v>
      </c>
      <c r="DX42" s="751">
        <f ca="1">SUMIF('3.Inc &amp; Exp per Function'!$D41:$D1139,'5.Cons and detailed recon'!DB42,'3.Inc &amp; Exp per Function'!$W41:$W1138)</f>
        <v>36636281</v>
      </c>
      <c r="DY42" s="751">
        <f ca="1">SUMIF('3.Inc &amp; Exp per Function'!$D41:$D1139,'5.Cons and detailed recon'!DC42,'3.Inc &amp; Exp per Function'!$W41:$W1138)</f>
        <v>1714112</v>
      </c>
      <c r="DZ42" s="751">
        <f ca="1">SUMIF('3.Inc &amp; Exp per Function'!$D41:$D1139,'5.Cons and detailed recon'!DD42,'3.Inc &amp; Exp per Function'!$W41:$W1138)</f>
        <v>1493827</v>
      </c>
      <c r="EA42" s="748">
        <f t="shared" ca="1" si="13"/>
        <v>41362996</v>
      </c>
      <c r="EB42" s="794"/>
      <c r="EC42" s="791">
        <f t="shared" ca="1" si="14"/>
        <v>47399718</v>
      </c>
      <c r="ED42" s="414">
        <f>SUMIF('4.Inc &amp; Exp Summary'!A:A,'5.Cons and detailed recon'!DF42,'4.Inc &amp; Exp Summary'!N:N)</f>
        <v>15228747.216</v>
      </c>
      <c r="EE42" s="415">
        <f t="shared" ca="1" si="15"/>
        <v>32170970.784000002</v>
      </c>
      <c r="EF42" s="720"/>
      <c r="EG42" s="980"/>
      <c r="EH42" s="980"/>
      <c r="EI42" s="980"/>
      <c r="EJ42" s="980"/>
      <c r="EK42" s="980"/>
      <c r="EL42" s="980"/>
      <c r="EM42" s="980"/>
      <c r="EN42" s="980"/>
      <c r="EO42" s="980"/>
      <c r="EP42" s="980"/>
      <c r="EQ42" s="980"/>
      <c r="ER42" s="980"/>
      <c r="ES42" s="980"/>
      <c r="ET42" s="980"/>
      <c r="EU42" s="980"/>
      <c r="EV42" s="980"/>
      <c r="EW42" s="980"/>
      <c r="EX42" s="980"/>
      <c r="EY42" s="980"/>
      <c r="EZ42" s="980"/>
      <c r="FA42" s="980"/>
      <c r="FB42" s="980"/>
      <c r="FC42" s="980"/>
      <c r="FD42" s="980"/>
      <c r="FE42" s="980"/>
      <c r="FF42" s="980"/>
      <c r="FG42" s="980"/>
      <c r="FH42" s="980"/>
      <c r="FI42" s="980"/>
      <c r="FJ42" s="980"/>
      <c r="FK42" s="980"/>
      <c r="FL42" s="980"/>
      <c r="FM42" s="980"/>
      <c r="FN42" s="980"/>
      <c r="FO42" s="980"/>
      <c r="FP42" s="980"/>
      <c r="FQ42" s="980"/>
      <c r="FR42" s="980"/>
      <c r="FS42" s="980"/>
      <c r="FT42" s="980"/>
      <c r="FU42" s="980"/>
      <c r="FV42" s="980"/>
      <c r="FW42" s="980"/>
      <c r="FX42" s="980"/>
      <c r="FY42" s="980"/>
      <c r="FZ42" s="980"/>
      <c r="GA42" s="980"/>
      <c r="GB42" s="980"/>
      <c r="GC42" s="980"/>
      <c r="GD42" s="980"/>
      <c r="GE42" s="980"/>
      <c r="GF42" s="980"/>
      <c r="GG42" s="980"/>
      <c r="GH42" s="980"/>
      <c r="GI42" s="980"/>
      <c r="GJ42" s="980"/>
      <c r="GK42" s="980"/>
      <c r="GL42" s="980"/>
      <c r="GM42" s="980"/>
      <c r="GN42" s="980"/>
      <c r="GO42" s="980"/>
      <c r="GP42" s="980"/>
      <c r="GQ42" s="980"/>
      <c r="GR42" s="980"/>
      <c r="GS42" s="980"/>
      <c r="GT42" s="980"/>
      <c r="GU42" s="980"/>
      <c r="GV42" s="980"/>
      <c r="GW42" s="980"/>
      <c r="GX42" s="980"/>
      <c r="GY42" s="980"/>
      <c r="GZ42" s="980"/>
      <c r="HA42" s="980"/>
      <c r="HB42" s="980"/>
      <c r="HC42" s="980"/>
      <c r="HD42" s="980"/>
      <c r="HE42" s="980"/>
      <c r="HF42" s="980"/>
      <c r="HG42" s="980"/>
      <c r="HH42" s="980"/>
      <c r="HI42" s="980"/>
      <c r="HJ42" s="980"/>
      <c r="HK42" s="980"/>
      <c r="HL42" s="980"/>
      <c r="HM42" s="980"/>
      <c r="HN42" s="980"/>
      <c r="HO42" s="980"/>
      <c r="HP42" s="980"/>
      <c r="HQ42" s="980"/>
      <c r="HR42" s="980"/>
      <c r="HS42" s="980"/>
      <c r="HT42" s="980"/>
      <c r="HU42" s="980"/>
      <c r="HV42" s="980"/>
      <c r="HW42" s="980"/>
      <c r="HX42" s="980"/>
      <c r="HY42" s="980"/>
      <c r="HZ42" s="980"/>
      <c r="IA42" s="980"/>
      <c r="IB42" s="980"/>
      <c r="IC42" s="980"/>
      <c r="ID42" s="980"/>
      <c r="IE42" s="980"/>
      <c r="IF42" s="980"/>
      <c r="IG42" s="980"/>
      <c r="IH42" s="980"/>
      <c r="II42" s="980"/>
      <c r="IJ42" s="980"/>
      <c r="IK42" s="980"/>
      <c r="IL42" s="980"/>
      <c r="IM42" s="980"/>
      <c r="IN42" s="980"/>
      <c r="IO42" s="980"/>
      <c r="IP42" s="980"/>
      <c r="IQ42" s="980"/>
      <c r="IR42" s="980"/>
      <c r="IS42" s="980"/>
      <c r="IT42" s="980"/>
      <c r="IU42" s="980"/>
      <c r="IV42" s="980"/>
    </row>
    <row r="43" spans="1:256" s="409" customFormat="1" ht="12" customHeight="1" x14ac:dyDescent="0.55000000000000004">
      <c r="A43" s="398" t="str">
        <f t="shared" si="31"/>
        <v>Executive and Council3500</v>
      </c>
      <c r="B43" s="398" t="str">
        <f t="shared" si="31"/>
        <v>Finance and administration3500</v>
      </c>
      <c r="C43" s="398" t="str">
        <f t="shared" si="31"/>
        <v>Internal audit3500</v>
      </c>
      <c r="D43" s="398" t="str">
        <f t="shared" si="31"/>
        <v>Community and social services3500</v>
      </c>
      <c r="E43" s="398" t="str">
        <f t="shared" si="31"/>
        <v>Sport and recreation3500</v>
      </c>
      <c r="F43" s="398" t="str">
        <f t="shared" si="31"/>
        <v>Public safety3500</v>
      </c>
      <c r="G43" s="398" t="str">
        <f t="shared" si="31"/>
        <v>Housing3500</v>
      </c>
      <c r="H43" s="398" t="str">
        <f t="shared" si="31"/>
        <v>Health3500</v>
      </c>
      <c r="I43" s="398" t="str">
        <f t="shared" si="31"/>
        <v>Planning and development3500</v>
      </c>
      <c r="J43" s="398" t="str">
        <f t="shared" si="31"/>
        <v>Road transport3500</v>
      </c>
      <c r="K43" s="398" t="str">
        <f t="shared" si="31"/>
        <v>Environmental protection3500</v>
      </c>
      <c r="L43" s="398" t="str">
        <f t="shared" si="31"/>
        <v>Other3500</v>
      </c>
      <c r="M43" s="398" t="str">
        <f t="shared" si="31"/>
        <v>Energy sources3500</v>
      </c>
      <c r="N43" s="398" t="str">
        <f t="shared" si="31"/>
        <v>Water management3500</v>
      </c>
      <c r="O43" s="398" t="str">
        <f t="shared" si="31"/>
        <v>Waste water management3500</v>
      </c>
      <c r="P43" s="398" t="str">
        <f t="shared" si="31"/>
        <v>Waste management3500</v>
      </c>
      <c r="Q43" s="745" t="s">
        <v>741</v>
      </c>
      <c r="R43" s="745" t="s">
        <v>741</v>
      </c>
      <c r="S43" s="994"/>
      <c r="T43" s="748" t="s">
        <v>10</v>
      </c>
      <c r="U43" s="804">
        <f ca="1">SUMIF('3.Inc &amp; Exp per Function'!$D42:$D1140,'5.Cons and detailed recon'!A43,'3.Inc &amp; Exp per Function'!$U42:$U1139)</f>
        <v>0</v>
      </c>
      <c r="V43" s="804">
        <f ca="1">SUMIF('3.Inc &amp; Exp per Function'!$D42:$D1140,'5.Cons and detailed recon'!B43,'3.Inc &amp; Exp per Function'!$U42:$U1139)</f>
        <v>30117000</v>
      </c>
      <c r="W43" s="804">
        <f ca="1">SUMIF('3.Inc &amp; Exp per Function'!$D42:$D1140,'5.Cons and detailed recon'!C43,'3.Inc &amp; Exp per Function'!$U42:$U1139)</f>
        <v>0</v>
      </c>
      <c r="X43" s="413">
        <f t="shared" ca="1" si="32"/>
        <v>30117000</v>
      </c>
      <c r="Y43" s="804">
        <f ca="1">SUMIF('3.Inc &amp; Exp per Function'!$D42:$D1140,'5.Cons and detailed recon'!D43,'3.Inc &amp; Exp per Function'!$U42:$U1139)</f>
        <v>0</v>
      </c>
      <c r="Z43" s="804">
        <f ca="1">SUMIF('3.Inc &amp; Exp per Function'!$D42:$D1140,'5.Cons and detailed recon'!E43,'3.Inc &amp; Exp per Function'!$U42:$U1139)</f>
        <v>0</v>
      </c>
      <c r="AA43" s="804">
        <f ca="1">SUMIF('3.Inc &amp; Exp per Function'!$D42:$D1140,'5.Cons and detailed recon'!F43,'3.Inc &amp; Exp per Function'!$U42:$U1139)</f>
        <v>35588000</v>
      </c>
      <c r="AB43" s="804">
        <f ca="1">SUMIF('3.Inc &amp; Exp per Function'!$D42:$D1140,'5.Cons and detailed recon'!G43,'3.Inc &amp; Exp per Function'!$U42:$U1139)</f>
        <v>0</v>
      </c>
      <c r="AC43" s="804">
        <f ca="1">SUMIF('3.Inc &amp; Exp per Function'!$D42:$D1140,'5.Cons and detailed recon'!H43,'3.Inc &amp; Exp per Function'!$U42:$U1139)</f>
        <v>0</v>
      </c>
      <c r="AD43" s="804">
        <f ca="1">SUMIF('3.Inc &amp; Exp per Function'!$D42:$D1140,'5.Cons and detailed recon'!I43,'3.Inc &amp; Exp per Function'!$U42:$U1139)</f>
        <v>0</v>
      </c>
      <c r="AE43" s="804">
        <f ca="1">SUMIF('3.Inc &amp; Exp per Function'!$D42:$D1140,'5.Cons and detailed recon'!J43,'3.Inc &amp; Exp per Function'!$U42:$U1139)</f>
        <v>0</v>
      </c>
      <c r="AF43" s="804">
        <f ca="1">SUMIF('3.Inc &amp; Exp per Function'!$D42:$D1140,'5.Cons and detailed recon'!K43,'3.Inc &amp; Exp per Function'!$U42:$U1139)</f>
        <v>0</v>
      </c>
      <c r="AG43" s="804">
        <f ca="1">SUMIF('3.Inc &amp; Exp per Function'!$D42:$D1140,'5.Cons and detailed recon'!L43,'3.Inc &amp; Exp per Function'!$U42:$U1139)</f>
        <v>0</v>
      </c>
      <c r="AH43" s="413">
        <f t="shared" ca="1" si="3"/>
        <v>35588000</v>
      </c>
      <c r="AI43" s="804">
        <f ca="1">SUMIF('3.Inc &amp; Exp per Function'!$D42:$D1140,'5.Cons and detailed recon'!M43,'3.Inc &amp; Exp per Function'!$U42:$U1139)</f>
        <v>1808000</v>
      </c>
      <c r="AJ43" s="804">
        <f ca="1">SUMIF('3.Inc &amp; Exp per Function'!$D42:$D1140,'5.Cons and detailed recon'!N43,'3.Inc &amp; Exp per Function'!$U42:$U1139)</f>
        <v>18521000</v>
      </c>
      <c r="AK43" s="804">
        <f ca="1">SUMIF('3.Inc &amp; Exp per Function'!$D42:$D1140,'5.Cons and detailed recon'!O43,'3.Inc &amp; Exp per Function'!$U42:$U1139)</f>
        <v>13338000</v>
      </c>
      <c r="AL43" s="804">
        <f ca="1">SUMIF('3.Inc &amp; Exp per Function'!$D42:$D1140,'5.Cons and detailed recon'!P43,'3.Inc &amp; Exp per Function'!$U42:$U1139)</f>
        <v>11260000</v>
      </c>
      <c r="AM43" s="748">
        <f t="shared" ca="1" si="0"/>
        <v>44927000</v>
      </c>
      <c r="AN43" s="794"/>
      <c r="AO43" s="791">
        <f t="shared" ca="1" si="30"/>
        <v>110632000</v>
      </c>
      <c r="AP43" s="414">
        <f>SUMIF('4.Inc &amp; Exp Summary'!A:A,'5.Cons and detailed recon'!R43,'4.Inc &amp; Exp Summary'!L:L)</f>
        <v>152140082</v>
      </c>
      <c r="AQ43" s="415">
        <f t="shared" ca="1" si="23"/>
        <v>-41508082</v>
      </c>
      <c r="AR43" s="720"/>
      <c r="AS43" s="730"/>
      <c r="AT43" s="408"/>
      <c r="AU43" s="398" t="str">
        <f t="shared" si="33"/>
        <v>Executive and Council3500</v>
      </c>
      <c r="AV43" s="398" t="str">
        <f t="shared" si="33"/>
        <v>Finance and administration3500</v>
      </c>
      <c r="AW43" s="398" t="str">
        <f t="shared" si="33"/>
        <v>Internal audit3500</v>
      </c>
      <c r="AX43" s="398" t="str">
        <f t="shared" si="33"/>
        <v>Community and social services3500</v>
      </c>
      <c r="AY43" s="398" t="str">
        <f t="shared" si="33"/>
        <v>Sport and recreation3500</v>
      </c>
      <c r="AZ43" s="398" t="str">
        <f t="shared" si="33"/>
        <v>Public safety3500</v>
      </c>
      <c r="BA43" s="398" t="str">
        <f t="shared" si="33"/>
        <v>Housing3500</v>
      </c>
      <c r="BB43" s="398" t="str">
        <f t="shared" si="33"/>
        <v>Health3500</v>
      </c>
      <c r="BC43" s="398" t="str">
        <f t="shared" si="33"/>
        <v>Planning and development3500</v>
      </c>
      <c r="BD43" s="398" t="str">
        <f t="shared" si="33"/>
        <v>Road transport3500</v>
      </c>
      <c r="BE43" s="398" t="str">
        <f t="shared" si="33"/>
        <v>Environmental protection3500</v>
      </c>
      <c r="BF43" s="398" t="str">
        <f t="shared" si="33"/>
        <v>Other3500</v>
      </c>
      <c r="BG43" s="398" t="str">
        <f t="shared" si="33"/>
        <v>Energy sources3500</v>
      </c>
      <c r="BH43" s="398" t="str">
        <f t="shared" si="33"/>
        <v>Water management3500</v>
      </c>
      <c r="BI43" s="398" t="str">
        <f t="shared" si="33"/>
        <v>Waste water management3500</v>
      </c>
      <c r="BJ43" s="398" t="str">
        <f t="shared" si="33"/>
        <v>Waste management3500</v>
      </c>
      <c r="BK43" s="745" t="s">
        <v>741</v>
      </c>
      <c r="BL43" s="745" t="s">
        <v>741</v>
      </c>
      <c r="BM43" s="735"/>
      <c r="BN43" s="748" t="s">
        <v>10</v>
      </c>
      <c r="BO43" s="751">
        <f ca="1">SUMIF('3.Inc &amp; Exp per Function'!$D43:$D1141,'5.Cons and detailed recon'!AU43,'3.Inc &amp; Exp per Function'!$V43:$V1140)</f>
        <v>0</v>
      </c>
      <c r="BP43" s="751">
        <f ca="1">SUMIF('3.Inc &amp; Exp per Function'!$D42:$D1141,'5.Cons and detailed recon'!AV43,'3.Inc &amp; Exp per Function'!$V42:$V1140)</f>
        <v>31140978</v>
      </c>
      <c r="BQ43" s="751">
        <f ca="1">SUMIF('3.Inc &amp; Exp per Function'!$D43:$D1141,'5.Cons and detailed recon'!AW43,'3.Inc &amp; Exp per Function'!$V43:$V1140)</f>
        <v>0</v>
      </c>
      <c r="BR43" s="413">
        <f t="shared" ca="1" si="6"/>
        <v>31140978</v>
      </c>
      <c r="BS43" s="751">
        <f ca="1">SUMIF('3.Inc &amp; Exp per Function'!$D42:$D1141,'5.Cons and detailed recon'!AX43,'3.Inc &amp; Exp per Function'!$V42:$V1140)</f>
        <v>0</v>
      </c>
      <c r="BT43" s="751">
        <f ca="1">SUMIF('3.Inc &amp; Exp per Function'!$D42:$D1141,'5.Cons and detailed recon'!AY43,'3.Inc &amp; Exp per Function'!$V42:$V1140)</f>
        <v>0</v>
      </c>
      <c r="BU43" s="751">
        <f ca="1">SUMIF('3.Inc &amp; Exp per Function'!$D43:$D1141,'5.Cons and detailed recon'!AZ43,'3.Inc &amp; Exp per Function'!$V43:$V1140)</f>
        <v>36797992</v>
      </c>
      <c r="BV43" s="751">
        <f ca="1">SUMIF('3.Inc &amp; Exp per Function'!$D43:$D1141,'5.Cons and detailed recon'!BA43,'3.Inc &amp; Exp per Function'!$V43:$V1140)</f>
        <v>0</v>
      </c>
      <c r="BW43" s="751">
        <f ca="1">SUMIF('3.Inc &amp; Exp per Function'!$D43:$D1141,'5.Cons and detailed recon'!BB43,'3.Inc &amp; Exp per Function'!$V43:$V1140)</f>
        <v>0</v>
      </c>
      <c r="BX43" s="751">
        <f ca="1">SUMIF('3.Inc &amp; Exp per Function'!$D43:$D1141,'5.Cons and detailed recon'!BC43,'3.Inc &amp; Exp per Function'!$V43:$V1140)</f>
        <v>0</v>
      </c>
      <c r="BY43" s="751">
        <f ca="1">SUMIF('3.Inc &amp; Exp per Function'!$D43:$D1141,'5.Cons and detailed recon'!BD43,'3.Inc &amp; Exp per Function'!$V43:$V1140)</f>
        <v>0</v>
      </c>
      <c r="BZ43" s="751">
        <f ca="1">SUMIF('3.Inc &amp; Exp per Function'!$D43:$D1141,'5.Cons and detailed recon'!BE43,'3.Inc &amp; Exp per Function'!$V43:$V1140)</f>
        <v>0</v>
      </c>
      <c r="CA43" s="751">
        <f ca="1">SUMIF('3.Inc &amp; Exp per Function'!$D43:$D1141,'5.Cons and detailed recon'!BF43,'3.Inc &amp; Exp per Function'!$V43:$V1140)</f>
        <v>0</v>
      </c>
      <c r="CB43" s="413">
        <f t="shared" ca="1" si="7"/>
        <v>36797992</v>
      </c>
      <c r="CC43" s="751">
        <f ca="1">SUMIF('3.Inc &amp; Exp per Function'!$D43:$D1141,'5.Cons and detailed recon'!BG43,'3.Inc &amp; Exp per Function'!$V43:$V1140)</f>
        <v>1869472</v>
      </c>
      <c r="CD43" s="751">
        <f ca="1">SUMIF('3.Inc &amp; Exp per Function'!$D43:$D1141,'5.Cons and detailed recon'!BH43,'3.Inc &amp; Exp per Function'!$V43:$V1140)</f>
        <v>19150714</v>
      </c>
      <c r="CE43" s="751">
        <f ca="1">SUMIF('3.Inc &amp; Exp per Function'!$D43:$D1141,'5.Cons and detailed recon'!BI43,'3.Inc &amp; Exp per Function'!$V43:$V1140)</f>
        <v>13791492</v>
      </c>
      <c r="CF43" s="751">
        <f ca="1">SUMIF('3.Inc &amp; Exp per Function'!$D43:$D1141,'5.Cons and detailed recon'!BJ43,'3.Inc &amp; Exp per Function'!$V43:$V1140)</f>
        <v>11642840</v>
      </c>
      <c r="CG43" s="748">
        <f t="shared" ca="1" si="8"/>
        <v>46454518</v>
      </c>
      <c r="CH43" s="751"/>
      <c r="CI43" s="791">
        <f t="shared" ca="1" si="9"/>
        <v>114393488</v>
      </c>
      <c r="CJ43" s="411">
        <f>SUMIF('4.Inc &amp; Exp Summary'!A:A,'5.Cons and detailed recon'!R43,'4.Inc &amp; Exp Summary'!M:M)</f>
        <v>157312845</v>
      </c>
      <c r="CK43" s="415">
        <f t="shared" ref="CK43:CK63" ca="1" si="35">CI43-CJ43</f>
        <v>-42919357</v>
      </c>
      <c r="CL43" s="720"/>
      <c r="CM43" s="730"/>
      <c r="CO43" s="398" t="str">
        <f t="shared" si="34"/>
        <v>Executive and Council3500</v>
      </c>
      <c r="CP43" s="398" t="str">
        <f t="shared" si="34"/>
        <v>Finance and administration3500</v>
      </c>
      <c r="CQ43" s="398" t="str">
        <f t="shared" si="34"/>
        <v>Internal audit3500</v>
      </c>
      <c r="CR43" s="398" t="str">
        <f t="shared" si="34"/>
        <v>Community and social services3500</v>
      </c>
      <c r="CS43" s="398" t="str">
        <f t="shared" si="34"/>
        <v>Sport and recreation3500</v>
      </c>
      <c r="CT43" s="398" t="str">
        <f t="shared" si="34"/>
        <v>Public safety3500</v>
      </c>
      <c r="CU43" s="398" t="str">
        <f t="shared" si="34"/>
        <v>Housing3500</v>
      </c>
      <c r="CV43" s="398" t="str">
        <f t="shared" si="34"/>
        <v>Health3500</v>
      </c>
      <c r="CW43" s="398" t="str">
        <f t="shared" si="34"/>
        <v>Planning and development3500</v>
      </c>
      <c r="CX43" s="398" t="str">
        <f t="shared" si="34"/>
        <v>Road transport3500</v>
      </c>
      <c r="CY43" s="398" t="str">
        <f t="shared" si="34"/>
        <v>Environmental protection3500</v>
      </c>
      <c r="CZ43" s="398" t="str">
        <f t="shared" si="34"/>
        <v>Other3500</v>
      </c>
      <c r="DA43" s="398" t="str">
        <f t="shared" si="34"/>
        <v>Energy sources3500</v>
      </c>
      <c r="DB43" s="398" t="str">
        <f t="shared" si="34"/>
        <v>Water management3500</v>
      </c>
      <c r="DC43" s="398" t="str">
        <f t="shared" si="34"/>
        <v>Waste water management3500</v>
      </c>
      <c r="DD43" s="398" t="str">
        <f t="shared" si="34"/>
        <v>Waste management3500</v>
      </c>
      <c r="DE43" s="745" t="s">
        <v>741</v>
      </c>
      <c r="DF43" s="745" t="s">
        <v>741</v>
      </c>
      <c r="DG43" s="735"/>
      <c r="DH43" s="748" t="s">
        <v>10</v>
      </c>
      <c r="DI43" s="751">
        <f ca="1">SUMIF('3.Inc &amp; Exp per Function'!$D42:$D1141,'5.Cons and detailed recon'!CO43,'3.Inc &amp; Exp per Function'!$W42:$W1140)</f>
        <v>0</v>
      </c>
      <c r="DJ43" s="751">
        <f ca="1">SUMIF('3.Inc &amp; Exp per Function'!$D42:$D1140,'5.Cons and detailed recon'!CP43,'3.Inc &amp; Exp per Function'!$W42:$W1139)</f>
        <v>32137489</v>
      </c>
      <c r="DK43" s="751">
        <f ca="1">SUMIF('3.Inc &amp; Exp per Function'!$D42:$D1140,'5.Cons and detailed recon'!CQ43,'3.Inc &amp; Exp per Function'!$W42:$W1139)</f>
        <v>0</v>
      </c>
      <c r="DL43" s="413">
        <f t="shared" ca="1" si="11"/>
        <v>32137489</v>
      </c>
      <c r="DM43" s="751">
        <f ca="1">SUMIF('3.Inc &amp; Exp per Function'!$D42:$D1140,'5.Cons and detailed recon'!CR43,'3.Inc &amp; Exp per Function'!$W42:$W1139)</f>
        <v>0</v>
      </c>
      <c r="DN43" s="751">
        <f ca="1">SUMIF('3.Inc &amp; Exp per Function'!$D42:$D1140,'5.Cons and detailed recon'!CS43,'3.Inc &amp; Exp per Function'!$W42:$W1139)</f>
        <v>0</v>
      </c>
      <c r="DO43" s="751">
        <f ca="1">SUMIF('3.Inc &amp; Exp per Function'!$D42:$D1140,'5.Cons and detailed recon'!CT43,'3.Inc &amp; Exp per Function'!$W42:$W1139)</f>
        <v>37975528</v>
      </c>
      <c r="DP43" s="751">
        <f ca="1">SUMIF('3.Inc &amp; Exp per Function'!$D42:$D1140,'5.Cons and detailed recon'!CU43,'3.Inc &amp; Exp per Function'!$W42:$W1139)</f>
        <v>0</v>
      </c>
      <c r="DQ43" s="751">
        <f ca="1">SUMIF('3.Inc &amp; Exp per Function'!$D42:$D1140,'5.Cons and detailed recon'!CV43,'3.Inc &amp; Exp per Function'!$W42:$W1139)</f>
        <v>0</v>
      </c>
      <c r="DR43" s="751">
        <f ca="1">SUMIF('3.Inc &amp; Exp per Function'!$D42:$D1140,'5.Cons and detailed recon'!CW43,'3.Inc &amp; Exp per Function'!$W42:$W1139)</f>
        <v>0</v>
      </c>
      <c r="DS43" s="751">
        <f ca="1">SUMIF('3.Inc &amp; Exp per Function'!$D42:$D1140,'5.Cons and detailed recon'!CX43,'3.Inc &amp; Exp per Function'!$W42:$W1139)</f>
        <v>0</v>
      </c>
      <c r="DT43" s="751">
        <f ca="1">SUMIF('3.Inc &amp; Exp per Function'!$D42:$D1140,'5.Cons and detailed recon'!CY43,'3.Inc &amp; Exp per Function'!$W42:$W1139)</f>
        <v>0</v>
      </c>
      <c r="DU43" s="751">
        <f ca="1">SUMIF('3.Inc &amp; Exp per Function'!$D42:$D1140,'5.Cons and detailed recon'!CZ43,'3.Inc &amp; Exp per Function'!$W42:$W1139)</f>
        <v>0</v>
      </c>
      <c r="DV43" s="413">
        <f t="shared" ca="1" si="12"/>
        <v>37975528</v>
      </c>
      <c r="DW43" s="751">
        <f ca="1">SUMIF('3.Inc &amp; Exp per Function'!$D42:$D1140,'5.Cons and detailed recon'!DA43,'3.Inc &amp; Exp per Function'!$W42:$W1139)</f>
        <v>1929295</v>
      </c>
      <c r="DX43" s="751">
        <f ca="1">SUMIF('3.Inc &amp; Exp per Function'!$D42:$D1140,'5.Cons and detailed recon'!DB43,'3.Inc &amp; Exp per Function'!$W42:$W1139)</f>
        <v>19763537</v>
      </c>
      <c r="DY43" s="751">
        <f ca="1">SUMIF('3.Inc &amp; Exp per Function'!$D42:$D1140,'5.Cons and detailed recon'!DC43,'3.Inc &amp; Exp per Function'!$W42:$W1139)</f>
        <v>14232820</v>
      </c>
      <c r="DZ43" s="751">
        <f ca="1">SUMIF('3.Inc &amp; Exp per Function'!$D42:$D1140,'5.Cons and detailed recon'!DD43,'3.Inc &amp; Exp per Function'!$W42:$W1139)</f>
        <v>12015411</v>
      </c>
      <c r="EA43" s="748">
        <f t="shared" ca="1" si="13"/>
        <v>47941063</v>
      </c>
      <c r="EB43" s="794"/>
      <c r="EC43" s="791">
        <f t="shared" ca="1" si="14"/>
        <v>118054080</v>
      </c>
      <c r="ED43" s="414">
        <f>SUMIF('4.Inc &amp; Exp Summary'!A:A,'5.Cons and detailed recon'!DF43,'4.Inc &amp; Exp Summary'!N:N)</f>
        <v>162346856.03999999</v>
      </c>
      <c r="EE43" s="415">
        <f t="shared" ca="1" si="15"/>
        <v>-44292776.039999992</v>
      </c>
      <c r="EF43" s="720"/>
      <c r="EG43" s="980"/>
      <c r="EH43" s="980"/>
      <c r="EI43" s="980"/>
      <c r="EJ43" s="980"/>
      <c r="EK43" s="980"/>
      <c r="EL43" s="980"/>
      <c r="EM43" s="980"/>
      <c r="EN43" s="980"/>
      <c r="EO43" s="980"/>
      <c r="EP43" s="980"/>
      <c r="EQ43" s="980"/>
      <c r="ER43" s="980"/>
      <c r="ES43" s="980"/>
      <c r="ET43" s="980"/>
      <c r="EU43" s="980"/>
      <c r="EV43" s="980"/>
      <c r="EW43" s="980"/>
      <c r="EX43" s="980"/>
      <c r="EY43" s="980"/>
      <c r="EZ43" s="980"/>
      <c r="FA43" s="980"/>
      <c r="FB43" s="980"/>
      <c r="FC43" s="980"/>
      <c r="FD43" s="980"/>
      <c r="FE43" s="980"/>
      <c r="FF43" s="980"/>
      <c r="FG43" s="980"/>
      <c r="FH43" s="980"/>
      <c r="FI43" s="980"/>
      <c r="FJ43" s="980"/>
      <c r="FK43" s="980"/>
      <c r="FL43" s="980"/>
      <c r="FM43" s="980"/>
      <c r="FN43" s="980"/>
      <c r="FO43" s="980"/>
      <c r="FP43" s="980"/>
      <c r="FQ43" s="980"/>
      <c r="FR43" s="980"/>
      <c r="FS43" s="980"/>
      <c r="FT43" s="980"/>
      <c r="FU43" s="980"/>
      <c r="FV43" s="980"/>
      <c r="FW43" s="980"/>
      <c r="FX43" s="980"/>
      <c r="FY43" s="980"/>
      <c r="FZ43" s="980"/>
      <c r="GA43" s="980"/>
      <c r="GB43" s="980"/>
      <c r="GC43" s="980"/>
      <c r="GD43" s="980"/>
      <c r="GE43" s="980"/>
      <c r="GF43" s="980"/>
      <c r="GG43" s="980"/>
      <c r="GH43" s="980"/>
      <c r="GI43" s="980"/>
      <c r="GJ43" s="980"/>
      <c r="GK43" s="980"/>
      <c r="GL43" s="980"/>
      <c r="GM43" s="980"/>
      <c r="GN43" s="980"/>
      <c r="GO43" s="980"/>
      <c r="GP43" s="980"/>
      <c r="GQ43" s="980"/>
      <c r="GR43" s="980"/>
      <c r="GS43" s="980"/>
      <c r="GT43" s="980"/>
      <c r="GU43" s="980"/>
      <c r="GV43" s="980"/>
      <c r="GW43" s="980"/>
      <c r="GX43" s="980"/>
      <c r="GY43" s="980"/>
      <c r="GZ43" s="980"/>
      <c r="HA43" s="980"/>
      <c r="HB43" s="980"/>
      <c r="HC43" s="980"/>
      <c r="HD43" s="980"/>
      <c r="HE43" s="980"/>
      <c r="HF43" s="980"/>
      <c r="HG43" s="980"/>
      <c r="HH43" s="980"/>
      <c r="HI43" s="980"/>
      <c r="HJ43" s="980"/>
      <c r="HK43" s="980"/>
      <c r="HL43" s="980"/>
      <c r="HM43" s="980"/>
      <c r="HN43" s="980"/>
      <c r="HO43" s="980"/>
      <c r="HP43" s="980"/>
      <c r="HQ43" s="980"/>
      <c r="HR43" s="980"/>
      <c r="HS43" s="980"/>
      <c r="HT43" s="980"/>
      <c r="HU43" s="980"/>
      <c r="HV43" s="980"/>
      <c r="HW43" s="980"/>
      <c r="HX43" s="980"/>
      <c r="HY43" s="980"/>
      <c r="HZ43" s="980"/>
      <c r="IA43" s="980"/>
      <c r="IB43" s="980"/>
      <c r="IC43" s="980"/>
      <c r="ID43" s="980"/>
      <c r="IE43" s="980"/>
      <c r="IF43" s="980"/>
      <c r="IG43" s="980"/>
      <c r="IH43" s="980"/>
      <c r="II43" s="980"/>
      <c r="IJ43" s="980"/>
      <c r="IK43" s="980"/>
      <c r="IL43" s="980"/>
      <c r="IM43" s="980"/>
      <c r="IN43" s="980"/>
      <c r="IO43" s="980"/>
      <c r="IP43" s="980"/>
      <c r="IQ43" s="980"/>
      <c r="IR43" s="980"/>
      <c r="IS43" s="980"/>
      <c r="IT43" s="980"/>
      <c r="IU43" s="980"/>
      <c r="IV43" s="980"/>
    </row>
    <row r="44" spans="1:256" s="409" customFormat="1" ht="12" customHeight="1" x14ac:dyDescent="0.55000000000000004">
      <c r="A44" s="398" t="str">
        <f t="shared" si="31"/>
        <v>Executive and Council3600</v>
      </c>
      <c r="B44" s="398" t="str">
        <f t="shared" si="31"/>
        <v>Finance and administration3600</v>
      </c>
      <c r="C44" s="398" t="str">
        <f t="shared" si="31"/>
        <v>Internal audit3600</v>
      </c>
      <c r="D44" s="398" t="str">
        <f t="shared" si="31"/>
        <v>Community and social services3600</v>
      </c>
      <c r="E44" s="398" t="str">
        <f t="shared" si="31"/>
        <v>Sport and recreation3600</v>
      </c>
      <c r="F44" s="398" t="str">
        <f t="shared" si="31"/>
        <v>Public safety3600</v>
      </c>
      <c r="G44" s="398" t="str">
        <f t="shared" si="31"/>
        <v>Housing3600</v>
      </c>
      <c r="H44" s="398" t="str">
        <f t="shared" si="31"/>
        <v>Health3600</v>
      </c>
      <c r="I44" s="398" t="str">
        <f t="shared" si="31"/>
        <v>Planning and development3600</v>
      </c>
      <c r="J44" s="398" t="str">
        <f t="shared" si="31"/>
        <v>Road transport3600</v>
      </c>
      <c r="K44" s="398" t="str">
        <f t="shared" si="31"/>
        <v>Environmental protection3600</v>
      </c>
      <c r="L44" s="398" t="str">
        <f t="shared" si="31"/>
        <v>Other3600</v>
      </c>
      <c r="M44" s="398" t="str">
        <f t="shared" si="31"/>
        <v>Energy sources3600</v>
      </c>
      <c r="N44" s="398" t="str">
        <f t="shared" si="31"/>
        <v>Water management3600</v>
      </c>
      <c r="O44" s="398" t="str">
        <f t="shared" si="31"/>
        <v>Waste water management3600</v>
      </c>
      <c r="P44" s="398" t="str">
        <f t="shared" si="31"/>
        <v>Waste management3600</v>
      </c>
      <c r="Q44" s="745" t="s">
        <v>743</v>
      </c>
      <c r="R44" s="745" t="s">
        <v>743</v>
      </c>
      <c r="S44" s="994"/>
      <c r="T44" s="748" t="s">
        <v>745</v>
      </c>
      <c r="U44" s="804">
        <f ca="1">SUMIF('3.Inc &amp; Exp per Function'!$D43:$D1141,'5.Cons and detailed recon'!A44,'3.Inc &amp; Exp per Function'!$U43:$U1140)</f>
        <v>0</v>
      </c>
      <c r="V44" s="804">
        <f ca="1">SUMIF('3.Inc &amp; Exp per Function'!$D43:$D1141,'5.Cons and detailed recon'!B44,'3.Inc &amp; Exp per Function'!$U43:$U1140)</f>
        <v>6387407</v>
      </c>
      <c r="W44" s="804">
        <f ca="1">SUMIF('3.Inc &amp; Exp per Function'!$D43:$D1141,'5.Cons and detailed recon'!C44,'3.Inc &amp; Exp per Function'!$U43:$U1140)</f>
        <v>0</v>
      </c>
      <c r="X44" s="413">
        <f t="shared" ca="1" si="32"/>
        <v>6387407</v>
      </c>
      <c r="Y44" s="804">
        <f ca="1">SUMIF('3.Inc &amp; Exp per Function'!$D43:$D1141,'5.Cons and detailed recon'!D44,'3.Inc &amp; Exp per Function'!$U43:$U1140)</f>
        <v>0</v>
      </c>
      <c r="Z44" s="804">
        <f ca="1">SUMIF('3.Inc &amp; Exp per Function'!$D43:$D1141,'5.Cons and detailed recon'!E44,'3.Inc &amp; Exp per Function'!$U43:$U1140)</f>
        <v>0</v>
      </c>
      <c r="AA44" s="804">
        <f ca="1">SUMIF('3.Inc &amp; Exp per Function'!$D43:$D1141,'5.Cons and detailed recon'!F44,'3.Inc &amp; Exp per Function'!$U43:$U1140)</f>
        <v>0</v>
      </c>
      <c r="AB44" s="804">
        <f ca="1">SUMIF('3.Inc &amp; Exp per Function'!$D43:$D1141,'5.Cons and detailed recon'!G44,'3.Inc &amp; Exp per Function'!$U43:$U1140)</f>
        <v>0</v>
      </c>
      <c r="AC44" s="804">
        <f ca="1">SUMIF('3.Inc &amp; Exp per Function'!$D43:$D1141,'5.Cons and detailed recon'!H44,'3.Inc &amp; Exp per Function'!$U43:$U1140)</f>
        <v>0</v>
      </c>
      <c r="AD44" s="804">
        <f ca="1">SUMIF('3.Inc &amp; Exp per Function'!$D43:$D1141,'5.Cons and detailed recon'!I44,'3.Inc &amp; Exp per Function'!$U43:$U1140)</f>
        <v>0</v>
      </c>
      <c r="AE44" s="804">
        <f ca="1">SUMIF('3.Inc &amp; Exp per Function'!$D43:$D1141,'5.Cons and detailed recon'!J44,'3.Inc &amp; Exp per Function'!$U43:$U1140)</f>
        <v>4673514</v>
      </c>
      <c r="AF44" s="804">
        <f ca="1">SUMIF('3.Inc &amp; Exp per Function'!$D43:$D1141,'5.Cons and detailed recon'!K44,'3.Inc &amp; Exp per Function'!$U43:$U1140)</f>
        <v>0</v>
      </c>
      <c r="AG44" s="804">
        <f ca="1">SUMIF('3.Inc &amp; Exp per Function'!$D43:$D1141,'5.Cons and detailed recon'!L44,'3.Inc &amp; Exp per Function'!$U43:$U1140)</f>
        <v>0</v>
      </c>
      <c r="AH44" s="413">
        <f t="shared" ca="1" si="3"/>
        <v>4673514</v>
      </c>
      <c r="AI44" s="804">
        <f ca="1">SUMIF('3.Inc &amp; Exp per Function'!$D43:$D1141,'5.Cons and detailed recon'!M44,'3.Inc &amp; Exp per Function'!$U43:$U1140)</f>
        <v>3703046</v>
      </c>
      <c r="AJ44" s="804">
        <f ca="1">SUMIF('3.Inc &amp; Exp per Function'!$D43:$D1141,'5.Cons and detailed recon'!N44,'3.Inc &amp; Exp per Function'!$U43:$U1140)</f>
        <v>7198765</v>
      </c>
      <c r="AK44" s="804">
        <f ca="1">SUMIF('3.Inc &amp; Exp per Function'!$D43:$D1141,'5.Cons and detailed recon'!O44,'3.Inc &amp; Exp per Function'!$U43:$U1140)</f>
        <v>9307404</v>
      </c>
      <c r="AL44" s="804">
        <f ca="1">SUMIF('3.Inc &amp; Exp per Function'!$D43:$D1141,'5.Cons and detailed recon'!P44,'3.Inc &amp; Exp per Function'!$U43:$U1140)</f>
        <v>8809217</v>
      </c>
      <c r="AM44" s="748">
        <f t="shared" ca="1" si="0"/>
        <v>29018432</v>
      </c>
      <c r="AN44" s="794"/>
      <c r="AO44" s="791">
        <f t="shared" ca="1" si="30"/>
        <v>40079353</v>
      </c>
      <c r="AP44" s="414">
        <f>SUMIF('4.Inc &amp; Exp Summary'!A:A,'5.Cons and detailed recon'!R44,'4.Inc &amp; Exp Summary'!L:L)</f>
        <v>44401679</v>
      </c>
      <c r="AQ44" s="415">
        <f t="shared" ca="1" si="23"/>
        <v>-4322326</v>
      </c>
      <c r="AR44" s="720"/>
      <c r="AS44" s="730"/>
      <c r="AT44" s="408"/>
      <c r="AU44" s="398" t="str">
        <f t="shared" si="33"/>
        <v>Executive and Council3600</v>
      </c>
      <c r="AV44" s="398" t="str">
        <f t="shared" si="33"/>
        <v>Finance and administration3600</v>
      </c>
      <c r="AW44" s="398" t="str">
        <f t="shared" si="33"/>
        <v>Internal audit3600</v>
      </c>
      <c r="AX44" s="398" t="str">
        <f t="shared" si="33"/>
        <v>Community and social services3600</v>
      </c>
      <c r="AY44" s="398" t="str">
        <f t="shared" si="33"/>
        <v>Sport and recreation3600</v>
      </c>
      <c r="AZ44" s="398" t="str">
        <f t="shared" si="33"/>
        <v>Public safety3600</v>
      </c>
      <c r="BA44" s="398" t="str">
        <f t="shared" si="33"/>
        <v>Housing3600</v>
      </c>
      <c r="BB44" s="398" t="str">
        <f t="shared" si="33"/>
        <v>Health3600</v>
      </c>
      <c r="BC44" s="398" t="str">
        <f t="shared" si="33"/>
        <v>Planning and development3600</v>
      </c>
      <c r="BD44" s="398" t="str">
        <f t="shared" si="33"/>
        <v>Road transport3600</v>
      </c>
      <c r="BE44" s="398" t="str">
        <f t="shared" si="33"/>
        <v>Environmental protection3600</v>
      </c>
      <c r="BF44" s="398" t="str">
        <f t="shared" si="33"/>
        <v>Other3600</v>
      </c>
      <c r="BG44" s="398" t="str">
        <f t="shared" si="33"/>
        <v>Energy sources3600</v>
      </c>
      <c r="BH44" s="398" t="str">
        <f t="shared" si="33"/>
        <v>Water management3600</v>
      </c>
      <c r="BI44" s="398" t="str">
        <f t="shared" si="33"/>
        <v>Waste water management3600</v>
      </c>
      <c r="BJ44" s="398" t="str">
        <f t="shared" si="33"/>
        <v>Waste management3600</v>
      </c>
      <c r="BK44" s="745" t="s">
        <v>743</v>
      </c>
      <c r="BL44" s="745" t="s">
        <v>743</v>
      </c>
      <c r="BM44" s="735"/>
      <c r="BN44" s="748" t="s">
        <v>745</v>
      </c>
      <c r="BO44" s="751">
        <f ca="1">SUMIF('3.Inc &amp; Exp per Function'!$D44:$D1142,'5.Cons and detailed recon'!AU44,'3.Inc &amp; Exp per Function'!$V44:$V1141)</f>
        <v>0</v>
      </c>
      <c r="BP44" s="751">
        <f ca="1">SUMIF('3.Inc &amp; Exp per Function'!$D43:$D1142,'5.Cons and detailed recon'!AV44,'3.Inc &amp; Exp per Function'!$V43:$V1141)</f>
        <v>6686316</v>
      </c>
      <c r="BQ44" s="751">
        <f ca="1">SUMIF('3.Inc &amp; Exp per Function'!$D44:$D1142,'5.Cons and detailed recon'!AW44,'3.Inc &amp; Exp per Function'!$V44:$V1141)</f>
        <v>0</v>
      </c>
      <c r="BR44" s="413">
        <f t="shared" ca="1" si="6"/>
        <v>6686316</v>
      </c>
      <c r="BS44" s="751">
        <f ca="1">SUMIF('3.Inc &amp; Exp per Function'!$D43:$D1142,'5.Cons and detailed recon'!AX44,'3.Inc &amp; Exp per Function'!$V43:$V1141)</f>
        <v>0</v>
      </c>
      <c r="BT44" s="751">
        <f ca="1">SUMIF('3.Inc &amp; Exp per Function'!$D43:$D1142,'5.Cons and detailed recon'!AY44,'3.Inc &amp; Exp per Function'!$V43:$V1141)</f>
        <v>0</v>
      </c>
      <c r="BU44" s="751">
        <f ca="1">SUMIF('3.Inc &amp; Exp per Function'!$D44:$D1142,'5.Cons and detailed recon'!AZ44,'3.Inc &amp; Exp per Function'!$V44:$V1141)</f>
        <v>0</v>
      </c>
      <c r="BV44" s="751">
        <f ca="1">SUMIF('3.Inc &amp; Exp per Function'!$D44:$D1142,'5.Cons and detailed recon'!BA44,'3.Inc &amp; Exp per Function'!$V44:$V1141)</f>
        <v>0</v>
      </c>
      <c r="BW44" s="751">
        <f ca="1">SUMIF('3.Inc &amp; Exp per Function'!$D44:$D1142,'5.Cons and detailed recon'!BB44,'3.Inc &amp; Exp per Function'!$V44:$V1141)</f>
        <v>0</v>
      </c>
      <c r="BX44" s="751">
        <f ca="1">SUMIF('3.Inc &amp; Exp per Function'!$D44:$D1142,'5.Cons and detailed recon'!BC44,'3.Inc &amp; Exp per Function'!$V44:$V1141)</f>
        <v>0</v>
      </c>
      <c r="BY44" s="751">
        <f ca="1">SUMIF('3.Inc &amp; Exp per Function'!$D44:$D1142,'5.Cons and detailed recon'!BD44,'3.Inc &amp; Exp per Function'!$V44:$V1141)</f>
        <v>4907190</v>
      </c>
      <c r="BZ44" s="751">
        <f ca="1">SUMIF('3.Inc &amp; Exp per Function'!$D44:$D1142,'5.Cons and detailed recon'!BE44,'3.Inc &amp; Exp per Function'!$V44:$V1141)</f>
        <v>0</v>
      </c>
      <c r="CA44" s="751">
        <f ca="1">SUMIF('3.Inc &amp; Exp per Function'!$D44:$D1142,'5.Cons and detailed recon'!BF44,'3.Inc &amp; Exp per Function'!$V44:$V1141)</f>
        <v>0</v>
      </c>
      <c r="CB44" s="413">
        <f t="shared" ca="1" si="7"/>
        <v>4907190</v>
      </c>
      <c r="CC44" s="751">
        <f ca="1">SUMIF('3.Inc &amp; Exp per Function'!$D44:$D1142,'5.Cons and detailed recon'!BG44,'3.Inc &amp; Exp per Function'!$V44:$V1141)</f>
        <v>3888198</v>
      </c>
      <c r="CD44" s="751">
        <f ca="1">SUMIF('3.Inc &amp; Exp per Function'!$D44:$D1142,'5.Cons and detailed recon'!BH44,'3.Inc &amp; Exp per Function'!$V44:$V1141)</f>
        <v>7558703</v>
      </c>
      <c r="CE44" s="751">
        <f ca="1">SUMIF('3.Inc &amp; Exp per Function'!$D44:$D1142,'5.Cons and detailed recon'!BI44,'3.Inc &amp; Exp per Function'!$V44:$V1141)</f>
        <v>9772774</v>
      </c>
      <c r="CF44" s="751">
        <f ca="1">SUMIF('3.Inc &amp; Exp per Function'!$D44:$D1142,'5.Cons and detailed recon'!BJ44,'3.Inc &amp; Exp per Function'!$V44:$V1141)</f>
        <v>9249678</v>
      </c>
      <c r="CG44" s="748">
        <f t="shared" ca="1" si="8"/>
        <v>30469353</v>
      </c>
      <c r="CH44" s="751"/>
      <c r="CI44" s="791">
        <f t="shared" ca="1" si="9"/>
        <v>42062859</v>
      </c>
      <c r="CJ44" s="411">
        <f>SUMIF('4.Inc &amp; Exp Summary'!A:A,'5.Cons and detailed recon'!R44,'4.Inc &amp; Exp Summary'!M:M)</f>
        <v>45911352</v>
      </c>
      <c r="CK44" s="415">
        <f t="shared" ca="1" si="35"/>
        <v>-3848493</v>
      </c>
      <c r="CL44" s="720"/>
      <c r="CM44" s="730"/>
      <c r="CO44" s="398" t="str">
        <f t="shared" si="34"/>
        <v>Executive and Council3600</v>
      </c>
      <c r="CP44" s="398" t="str">
        <f t="shared" si="34"/>
        <v>Finance and administration3600</v>
      </c>
      <c r="CQ44" s="398" t="str">
        <f t="shared" si="34"/>
        <v>Internal audit3600</v>
      </c>
      <c r="CR44" s="398" t="str">
        <f t="shared" si="34"/>
        <v>Community and social services3600</v>
      </c>
      <c r="CS44" s="398" t="str">
        <f t="shared" si="34"/>
        <v>Sport and recreation3600</v>
      </c>
      <c r="CT44" s="398" t="str">
        <f t="shared" si="34"/>
        <v>Public safety3600</v>
      </c>
      <c r="CU44" s="398" t="str">
        <f t="shared" si="34"/>
        <v>Housing3600</v>
      </c>
      <c r="CV44" s="398" t="str">
        <f t="shared" si="34"/>
        <v>Health3600</v>
      </c>
      <c r="CW44" s="398" t="str">
        <f t="shared" si="34"/>
        <v>Planning and development3600</v>
      </c>
      <c r="CX44" s="398" t="str">
        <f t="shared" si="34"/>
        <v>Road transport3600</v>
      </c>
      <c r="CY44" s="398" t="str">
        <f t="shared" si="34"/>
        <v>Environmental protection3600</v>
      </c>
      <c r="CZ44" s="398" t="str">
        <f t="shared" si="34"/>
        <v>Other3600</v>
      </c>
      <c r="DA44" s="398" t="str">
        <f t="shared" si="34"/>
        <v>Energy sources3600</v>
      </c>
      <c r="DB44" s="398" t="str">
        <f t="shared" si="34"/>
        <v>Water management3600</v>
      </c>
      <c r="DC44" s="398" t="str">
        <f t="shared" si="34"/>
        <v>Waste water management3600</v>
      </c>
      <c r="DD44" s="398" t="str">
        <f t="shared" si="34"/>
        <v>Waste management3600</v>
      </c>
      <c r="DE44" s="745" t="s">
        <v>743</v>
      </c>
      <c r="DF44" s="745" t="s">
        <v>743</v>
      </c>
      <c r="DG44" s="735"/>
      <c r="DH44" s="748" t="s">
        <v>745</v>
      </c>
      <c r="DI44" s="751">
        <f ca="1">SUMIF('3.Inc &amp; Exp per Function'!$D43:$D1142,'5.Cons and detailed recon'!CO44,'3.Inc &amp; Exp per Function'!$W43:$W1141)</f>
        <v>0</v>
      </c>
      <c r="DJ44" s="751">
        <f ca="1">SUMIF('3.Inc &amp; Exp per Function'!$D43:$D1141,'5.Cons and detailed recon'!CP44,'3.Inc &amp; Exp per Function'!$W43:$W1140)</f>
        <v>6977835</v>
      </c>
      <c r="DK44" s="751">
        <f ca="1">SUMIF('3.Inc &amp; Exp per Function'!$D43:$D1141,'5.Cons and detailed recon'!CQ44,'3.Inc &amp; Exp per Function'!$W43:$W1140)</f>
        <v>0</v>
      </c>
      <c r="DL44" s="413">
        <f t="shared" ca="1" si="11"/>
        <v>6977835</v>
      </c>
      <c r="DM44" s="751">
        <f ca="1">SUMIF('3.Inc &amp; Exp per Function'!$D43:$D1141,'5.Cons and detailed recon'!CR44,'3.Inc &amp; Exp per Function'!$W43:$W1140)</f>
        <v>0</v>
      </c>
      <c r="DN44" s="751">
        <f ca="1">SUMIF('3.Inc &amp; Exp per Function'!$D43:$D1141,'5.Cons and detailed recon'!CS44,'3.Inc &amp; Exp per Function'!$W43:$W1140)</f>
        <v>0</v>
      </c>
      <c r="DO44" s="751">
        <f ca="1">SUMIF('3.Inc &amp; Exp per Function'!$D43:$D1141,'5.Cons and detailed recon'!CT44,'3.Inc &amp; Exp per Function'!$W43:$W1140)</f>
        <v>0</v>
      </c>
      <c r="DP44" s="751">
        <f ca="1">SUMIF('3.Inc &amp; Exp per Function'!$D43:$D1141,'5.Cons and detailed recon'!CU44,'3.Inc &amp; Exp per Function'!$W43:$W1140)</f>
        <v>0</v>
      </c>
      <c r="DQ44" s="751">
        <f ca="1">SUMIF('3.Inc &amp; Exp per Function'!$D43:$D1141,'5.Cons and detailed recon'!CV44,'3.Inc &amp; Exp per Function'!$W43:$W1140)</f>
        <v>0</v>
      </c>
      <c r="DR44" s="751">
        <f ca="1">SUMIF('3.Inc &amp; Exp per Function'!$D43:$D1141,'5.Cons and detailed recon'!CW44,'3.Inc &amp; Exp per Function'!$W43:$W1140)</f>
        <v>0</v>
      </c>
      <c r="DS44" s="751">
        <f ca="1">SUMIF('3.Inc &amp; Exp per Function'!$D43:$D1141,'5.Cons and detailed recon'!CX44,'3.Inc &amp; Exp per Function'!$W43:$W1140)</f>
        <v>5152549</v>
      </c>
      <c r="DT44" s="751">
        <f ca="1">SUMIF('3.Inc &amp; Exp per Function'!$D43:$D1141,'5.Cons and detailed recon'!CY44,'3.Inc &amp; Exp per Function'!$W43:$W1140)</f>
        <v>0</v>
      </c>
      <c r="DU44" s="751">
        <f ca="1">SUMIF('3.Inc &amp; Exp per Function'!$D43:$D1141,'5.Cons and detailed recon'!CZ44,'3.Inc &amp; Exp per Function'!$W43:$W1140)</f>
        <v>0</v>
      </c>
      <c r="DV44" s="413">
        <f t="shared" ca="1" si="12"/>
        <v>5152549</v>
      </c>
      <c r="DW44" s="751">
        <f ca="1">SUMIF('3.Inc &amp; Exp per Function'!$D43:$D1141,'5.Cons and detailed recon'!DA44,'3.Inc &amp; Exp per Function'!$W43:$W1140)</f>
        <v>4082609</v>
      </c>
      <c r="DX44" s="751">
        <f ca="1">SUMIF('3.Inc &amp; Exp per Function'!$D43:$D1141,'5.Cons and detailed recon'!DB44,'3.Inc &amp; Exp per Function'!$W43:$W1140)</f>
        <v>7936639</v>
      </c>
      <c r="DY44" s="751">
        <f ca="1">SUMIF('3.Inc &amp; Exp per Function'!$D43:$D1141,'5.Cons and detailed recon'!DC44,'3.Inc &amp; Exp per Function'!$W43:$W1140)</f>
        <v>10261413</v>
      </c>
      <c r="DZ44" s="751">
        <f ca="1">SUMIF('3.Inc &amp; Exp per Function'!$D43:$D1141,'5.Cons and detailed recon'!DD44,'3.Inc &amp; Exp per Function'!$W43:$W1140)</f>
        <v>9712162</v>
      </c>
      <c r="EA44" s="748">
        <f t="shared" ca="1" si="13"/>
        <v>31992823</v>
      </c>
      <c r="EB44" s="794"/>
      <c r="EC44" s="791">
        <f t="shared" ca="1" si="14"/>
        <v>44123207</v>
      </c>
      <c r="ED44" s="414">
        <f>SUMIF('4.Inc &amp; Exp Summary'!A:A,'5.Cons and detailed recon'!DF44,'4.Inc &amp; Exp Summary'!N:N)</f>
        <v>47380515.263999999</v>
      </c>
      <c r="EE44" s="415">
        <f t="shared" ca="1" si="15"/>
        <v>-3257308.2639999986</v>
      </c>
      <c r="EF44" s="720"/>
      <c r="EG44" s="980"/>
      <c r="EH44" s="980"/>
      <c r="EI44" s="980"/>
      <c r="EJ44" s="980"/>
      <c r="EK44" s="980"/>
      <c r="EL44" s="980"/>
      <c r="EM44" s="980"/>
      <c r="EN44" s="980"/>
      <c r="EO44" s="980"/>
      <c r="EP44" s="980"/>
      <c r="EQ44" s="980"/>
      <c r="ER44" s="980"/>
      <c r="ES44" s="980"/>
      <c r="ET44" s="980"/>
      <c r="EU44" s="980"/>
      <c r="EV44" s="980"/>
      <c r="EW44" s="980"/>
      <c r="EX44" s="980"/>
      <c r="EY44" s="980"/>
      <c r="EZ44" s="980"/>
      <c r="FA44" s="980"/>
      <c r="FB44" s="980"/>
      <c r="FC44" s="980"/>
      <c r="FD44" s="980"/>
      <c r="FE44" s="980"/>
      <c r="FF44" s="980"/>
      <c r="FG44" s="980"/>
      <c r="FH44" s="980"/>
      <c r="FI44" s="980"/>
      <c r="FJ44" s="980"/>
      <c r="FK44" s="980"/>
      <c r="FL44" s="980"/>
      <c r="FM44" s="980"/>
      <c r="FN44" s="980"/>
      <c r="FO44" s="980"/>
      <c r="FP44" s="980"/>
      <c r="FQ44" s="980"/>
      <c r="FR44" s="980"/>
      <c r="FS44" s="980"/>
      <c r="FT44" s="980"/>
      <c r="FU44" s="980"/>
      <c r="FV44" s="980"/>
      <c r="FW44" s="980"/>
      <c r="FX44" s="980"/>
      <c r="FY44" s="980"/>
      <c r="FZ44" s="980"/>
      <c r="GA44" s="980"/>
      <c r="GB44" s="980"/>
      <c r="GC44" s="980"/>
      <c r="GD44" s="980"/>
      <c r="GE44" s="980"/>
      <c r="GF44" s="980"/>
      <c r="GG44" s="980"/>
      <c r="GH44" s="980"/>
      <c r="GI44" s="980"/>
      <c r="GJ44" s="980"/>
      <c r="GK44" s="980"/>
      <c r="GL44" s="980"/>
      <c r="GM44" s="980"/>
      <c r="GN44" s="980"/>
      <c r="GO44" s="980"/>
      <c r="GP44" s="980"/>
      <c r="GQ44" s="980"/>
      <c r="GR44" s="980"/>
      <c r="GS44" s="980"/>
      <c r="GT44" s="980"/>
      <c r="GU44" s="980"/>
      <c r="GV44" s="980"/>
      <c r="GW44" s="980"/>
      <c r="GX44" s="980"/>
      <c r="GY44" s="980"/>
      <c r="GZ44" s="980"/>
      <c r="HA44" s="980"/>
      <c r="HB44" s="980"/>
      <c r="HC44" s="980"/>
      <c r="HD44" s="980"/>
      <c r="HE44" s="980"/>
      <c r="HF44" s="980"/>
      <c r="HG44" s="980"/>
      <c r="HH44" s="980"/>
      <c r="HI44" s="980"/>
      <c r="HJ44" s="980"/>
      <c r="HK44" s="980"/>
      <c r="HL44" s="980"/>
      <c r="HM44" s="980"/>
      <c r="HN44" s="980"/>
      <c r="HO44" s="980"/>
      <c r="HP44" s="980"/>
      <c r="HQ44" s="980"/>
      <c r="HR44" s="980"/>
      <c r="HS44" s="980"/>
      <c r="HT44" s="980"/>
      <c r="HU44" s="980"/>
      <c r="HV44" s="980"/>
      <c r="HW44" s="980"/>
      <c r="HX44" s="980"/>
      <c r="HY44" s="980"/>
      <c r="HZ44" s="980"/>
      <c r="IA44" s="980"/>
      <c r="IB44" s="980"/>
      <c r="IC44" s="980"/>
      <c r="ID44" s="980"/>
      <c r="IE44" s="980"/>
      <c r="IF44" s="980"/>
      <c r="IG44" s="980"/>
      <c r="IH44" s="980"/>
      <c r="II44" s="980"/>
      <c r="IJ44" s="980"/>
      <c r="IK44" s="980"/>
      <c r="IL44" s="980"/>
      <c r="IM44" s="980"/>
      <c r="IN44" s="980"/>
      <c r="IO44" s="980"/>
      <c r="IP44" s="980"/>
      <c r="IQ44" s="980"/>
      <c r="IR44" s="980"/>
      <c r="IS44" s="980"/>
      <c r="IT44" s="980"/>
      <c r="IU44" s="980"/>
      <c r="IV44" s="980"/>
    </row>
    <row r="45" spans="1:256" s="409" customFormat="1" ht="12" customHeight="1" x14ac:dyDescent="0.55000000000000004">
      <c r="A45" s="398" t="str">
        <f t="shared" si="31"/>
        <v>Executive and Council3700</v>
      </c>
      <c r="B45" s="398" t="str">
        <f t="shared" si="31"/>
        <v>Finance and administration3700</v>
      </c>
      <c r="C45" s="398" t="str">
        <f t="shared" si="31"/>
        <v>Internal audit3700</v>
      </c>
      <c r="D45" s="398" t="str">
        <f t="shared" si="31"/>
        <v>Community and social services3700</v>
      </c>
      <c r="E45" s="398" t="str">
        <f t="shared" si="31"/>
        <v>Sport and recreation3700</v>
      </c>
      <c r="F45" s="398" t="str">
        <f t="shared" si="31"/>
        <v>Public safety3700</v>
      </c>
      <c r="G45" s="398" t="str">
        <f t="shared" si="31"/>
        <v>Housing3700</v>
      </c>
      <c r="H45" s="398" t="str">
        <f t="shared" si="31"/>
        <v>Health3700</v>
      </c>
      <c r="I45" s="398" t="str">
        <f t="shared" si="31"/>
        <v>Planning and development3700</v>
      </c>
      <c r="J45" s="398" t="str">
        <f t="shared" si="31"/>
        <v>Road transport3700</v>
      </c>
      <c r="K45" s="398" t="str">
        <f t="shared" si="31"/>
        <v>Environmental protection3700</v>
      </c>
      <c r="L45" s="398" t="str">
        <f t="shared" si="31"/>
        <v>Other3700</v>
      </c>
      <c r="M45" s="398" t="str">
        <f t="shared" si="31"/>
        <v>Energy sources3700</v>
      </c>
      <c r="N45" s="398" t="str">
        <f t="shared" si="31"/>
        <v>Water management3700</v>
      </c>
      <c r="O45" s="398" t="str">
        <f t="shared" si="31"/>
        <v>Waste water management3700</v>
      </c>
      <c r="P45" s="398" t="str">
        <f t="shared" si="31"/>
        <v>Waste management3700</v>
      </c>
      <c r="Q45" s="745" t="s">
        <v>746</v>
      </c>
      <c r="R45" s="745" t="s">
        <v>746</v>
      </c>
      <c r="S45" s="994"/>
      <c r="T45" s="748" t="s">
        <v>687</v>
      </c>
      <c r="U45" s="804">
        <f ca="1">SUMIF('3.Inc &amp; Exp per Function'!$D44:$D1142,'5.Cons and detailed recon'!A45,'3.Inc &amp; Exp per Function'!$U44:$U1141)</f>
        <v>0</v>
      </c>
      <c r="V45" s="804">
        <f ca="1">SUMIF('3.Inc &amp; Exp per Function'!$D44:$D1142,'5.Cons and detailed recon'!B45,'3.Inc &amp; Exp per Function'!$U44:$U1141)</f>
        <v>10108307</v>
      </c>
      <c r="W45" s="804">
        <f ca="1">SUMIF('3.Inc &amp; Exp per Function'!$D44:$D1142,'5.Cons and detailed recon'!C45,'3.Inc &amp; Exp per Function'!$U44:$U1141)</f>
        <v>0</v>
      </c>
      <c r="X45" s="413">
        <f t="shared" ca="1" si="32"/>
        <v>10108307</v>
      </c>
      <c r="Y45" s="804">
        <f ca="1">SUMIF('3.Inc &amp; Exp per Function'!$D44:$D1142,'5.Cons and detailed recon'!D45,'3.Inc &amp; Exp per Function'!$U44:$U1141)</f>
        <v>0</v>
      </c>
      <c r="Z45" s="804">
        <f ca="1">SUMIF('3.Inc &amp; Exp per Function'!$D44:$D1142,'5.Cons and detailed recon'!E45,'3.Inc &amp; Exp per Function'!$U44:$U1141)</f>
        <v>1179</v>
      </c>
      <c r="AA45" s="804">
        <f ca="1">SUMIF('3.Inc &amp; Exp per Function'!$D44:$D1142,'5.Cons and detailed recon'!F45,'3.Inc &amp; Exp per Function'!$U44:$U1141)</f>
        <v>1452</v>
      </c>
      <c r="AB45" s="804">
        <f ca="1">SUMIF('3.Inc &amp; Exp per Function'!$D44:$D1142,'5.Cons and detailed recon'!G45,'3.Inc &amp; Exp per Function'!$U44:$U1141)</f>
        <v>0</v>
      </c>
      <c r="AC45" s="804">
        <f ca="1">SUMIF('3.Inc &amp; Exp per Function'!$D44:$D1142,'5.Cons and detailed recon'!H45,'3.Inc &amp; Exp per Function'!$U44:$U1141)</f>
        <v>0</v>
      </c>
      <c r="AD45" s="804">
        <f ca="1">SUMIF('3.Inc &amp; Exp per Function'!$D44:$D1142,'5.Cons and detailed recon'!I45,'3.Inc &amp; Exp per Function'!$U44:$U1141)</f>
        <v>0</v>
      </c>
      <c r="AE45" s="804">
        <f ca="1">SUMIF('3.Inc &amp; Exp per Function'!$D44:$D1142,'5.Cons and detailed recon'!J45,'3.Inc &amp; Exp per Function'!$U44:$U1141)</f>
        <v>582031</v>
      </c>
      <c r="AF45" s="804">
        <f ca="1">SUMIF('3.Inc &amp; Exp per Function'!$D44:$D1142,'5.Cons and detailed recon'!K45,'3.Inc &amp; Exp per Function'!$U44:$U1141)</f>
        <v>0</v>
      </c>
      <c r="AG45" s="804">
        <f ca="1">SUMIF('3.Inc &amp; Exp per Function'!$D44:$D1142,'5.Cons and detailed recon'!L45,'3.Inc &amp; Exp per Function'!$U44:$U1141)</f>
        <v>0</v>
      </c>
      <c r="AH45" s="413">
        <f t="shared" ca="1" si="3"/>
        <v>584662</v>
      </c>
      <c r="AI45" s="804">
        <f ca="1">SUMIF('3.Inc &amp; Exp per Function'!$D44:$D1142,'5.Cons and detailed recon'!M45,'3.Inc &amp; Exp per Function'!$U44:$U1141)</f>
        <v>15519187</v>
      </c>
      <c r="AJ45" s="804">
        <f ca="1">SUMIF('3.Inc &amp; Exp per Function'!$D44:$D1142,'5.Cons and detailed recon'!N45,'3.Inc &amp; Exp per Function'!$U44:$U1141)</f>
        <v>1543777</v>
      </c>
      <c r="AK45" s="804">
        <f ca="1">SUMIF('3.Inc &amp; Exp per Function'!$D44:$D1142,'5.Cons and detailed recon'!O45,'3.Inc &amp; Exp per Function'!$U44:$U1141)</f>
        <v>2357463</v>
      </c>
      <c r="AL45" s="804">
        <f ca="1">SUMIF('3.Inc &amp; Exp per Function'!$D44:$D1142,'5.Cons and detailed recon'!P45,'3.Inc &amp; Exp per Function'!$U44:$U1141)</f>
        <v>15564442</v>
      </c>
      <c r="AM45" s="748">
        <f t="shared" ca="1" si="0"/>
        <v>34984869</v>
      </c>
      <c r="AN45" s="794"/>
      <c r="AO45" s="791">
        <f t="shared" ca="1" si="30"/>
        <v>45677838</v>
      </c>
      <c r="AP45" s="414">
        <f>SUMIF('4.Inc &amp; Exp Summary'!A:A,'5.Cons and detailed recon'!R45,'4.Inc &amp; Exp Summary'!L:L)</f>
        <v>107826000</v>
      </c>
      <c r="AQ45" s="415">
        <f t="shared" ca="1" si="23"/>
        <v>-62148162</v>
      </c>
      <c r="AR45" s="720"/>
      <c r="AS45" s="730"/>
      <c r="AT45" s="408"/>
      <c r="AU45" s="398" t="str">
        <f t="shared" si="33"/>
        <v>Executive and Council3700</v>
      </c>
      <c r="AV45" s="398" t="str">
        <f t="shared" si="33"/>
        <v>Finance and administration3700</v>
      </c>
      <c r="AW45" s="398" t="str">
        <f t="shared" si="33"/>
        <v>Internal audit3700</v>
      </c>
      <c r="AX45" s="398" t="str">
        <f t="shared" si="33"/>
        <v>Community and social services3700</v>
      </c>
      <c r="AY45" s="398" t="str">
        <f t="shared" si="33"/>
        <v>Sport and recreation3700</v>
      </c>
      <c r="AZ45" s="398" t="str">
        <f t="shared" si="33"/>
        <v>Public safety3700</v>
      </c>
      <c r="BA45" s="398" t="str">
        <f t="shared" si="33"/>
        <v>Housing3700</v>
      </c>
      <c r="BB45" s="398" t="str">
        <f t="shared" si="33"/>
        <v>Health3700</v>
      </c>
      <c r="BC45" s="398" t="str">
        <f t="shared" si="33"/>
        <v>Planning and development3700</v>
      </c>
      <c r="BD45" s="398" t="str">
        <f t="shared" si="33"/>
        <v>Road transport3700</v>
      </c>
      <c r="BE45" s="398" t="str">
        <f t="shared" si="33"/>
        <v>Environmental protection3700</v>
      </c>
      <c r="BF45" s="398" t="str">
        <f t="shared" si="33"/>
        <v>Other3700</v>
      </c>
      <c r="BG45" s="398" t="str">
        <f t="shared" si="33"/>
        <v>Energy sources3700</v>
      </c>
      <c r="BH45" s="398" t="str">
        <f t="shared" si="33"/>
        <v>Water management3700</v>
      </c>
      <c r="BI45" s="398" t="str">
        <f t="shared" si="33"/>
        <v>Waste water management3700</v>
      </c>
      <c r="BJ45" s="398" t="str">
        <f t="shared" si="33"/>
        <v>Waste management3700</v>
      </c>
      <c r="BK45" s="745" t="s">
        <v>746</v>
      </c>
      <c r="BL45" s="745" t="s">
        <v>746</v>
      </c>
      <c r="BM45" s="735"/>
      <c r="BN45" s="748" t="s">
        <v>687</v>
      </c>
      <c r="BO45" s="751">
        <f ca="1">SUMIF('3.Inc &amp; Exp per Function'!$D45:$D1143,'5.Cons and detailed recon'!AU45,'3.Inc &amp; Exp per Function'!$V45:$V1142)</f>
        <v>0</v>
      </c>
      <c r="BP45" s="751">
        <f ca="1">SUMIF('3.Inc &amp; Exp per Function'!$D44:$D1143,'5.Cons and detailed recon'!AV45,'3.Inc &amp; Exp per Function'!$V44:$V1142)</f>
        <v>10451989</v>
      </c>
      <c r="BQ45" s="751">
        <f ca="1">SUMIF('3.Inc &amp; Exp per Function'!$D45:$D1143,'5.Cons and detailed recon'!AW45,'3.Inc &amp; Exp per Function'!$V45:$V1142)</f>
        <v>0</v>
      </c>
      <c r="BR45" s="413">
        <f t="shared" ca="1" si="6"/>
        <v>10451989</v>
      </c>
      <c r="BS45" s="751">
        <f ca="1">SUMIF('3.Inc &amp; Exp per Function'!$D44:$D1143,'5.Cons and detailed recon'!AX45,'3.Inc &amp; Exp per Function'!$V44:$V1142)</f>
        <v>0</v>
      </c>
      <c r="BT45" s="751">
        <f ca="1">SUMIF('3.Inc &amp; Exp per Function'!$D44:$D1143,'5.Cons and detailed recon'!AY45,'3.Inc &amp; Exp per Function'!$V44:$V1142)</f>
        <v>1219</v>
      </c>
      <c r="BU45" s="751">
        <f ca="1">SUMIF('3.Inc &amp; Exp per Function'!$D45:$D1143,'5.Cons and detailed recon'!AZ45,'3.Inc &amp; Exp per Function'!$V45:$V1142)</f>
        <v>1501</v>
      </c>
      <c r="BV45" s="751">
        <f ca="1">SUMIF('3.Inc &amp; Exp per Function'!$D45:$D1143,'5.Cons and detailed recon'!BA45,'3.Inc &amp; Exp per Function'!$V45:$V1142)</f>
        <v>0</v>
      </c>
      <c r="BW45" s="751">
        <f ca="1">SUMIF('3.Inc &amp; Exp per Function'!$D45:$D1143,'5.Cons and detailed recon'!BB45,'3.Inc &amp; Exp per Function'!$V45:$V1142)</f>
        <v>0</v>
      </c>
      <c r="BX45" s="751">
        <f ca="1">SUMIF('3.Inc &amp; Exp per Function'!$D45:$D1143,'5.Cons and detailed recon'!BC45,'3.Inc &amp; Exp per Function'!$V45:$V1142)</f>
        <v>0</v>
      </c>
      <c r="BY45" s="751">
        <f ca="1">SUMIF('3.Inc &amp; Exp per Function'!$D45:$D1143,'5.Cons and detailed recon'!BD45,'3.Inc &amp; Exp per Function'!$V45:$V1142)</f>
        <v>601820</v>
      </c>
      <c r="BZ45" s="751">
        <f ca="1">SUMIF('3.Inc &amp; Exp per Function'!$D45:$D1143,'5.Cons and detailed recon'!BE45,'3.Inc &amp; Exp per Function'!$V45:$V1142)</f>
        <v>0</v>
      </c>
      <c r="CA45" s="751">
        <f ca="1">SUMIF('3.Inc &amp; Exp per Function'!$D45:$D1143,'5.Cons and detailed recon'!BF45,'3.Inc &amp; Exp per Function'!$V45:$V1142)</f>
        <v>0</v>
      </c>
      <c r="CB45" s="413">
        <f t="shared" ca="1" si="7"/>
        <v>604540</v>
      </c>
      <c r="CC45" s="751">
        <f ca="1">SUMIF('3.Inc &amp; Exp per Function'!$D45:$D1143,'5.Cons and detailed recon'!BG45,'3.Inc &amp; Exp per Function'!$V45:$V1142)</f>
        <v>16046839</v>
      </c>
      <c r="CD45" s="751">
        <f ca="1">SUMIF('3.Inc &amp; Exp per Function'!$D45:$D1143,'5.Cons and detailed recon'!BH45,'3.Inc &amp; Exp per Function'!$V45:$V1142)</f>
        <v>1596265</v>
      </c>
      <c r="CE45" s="751">
        <f ca="1">SUMIF('3.Inc &amp; Exp per Function'!$D45:$D1143,'5.Cons and detailed recon'!BI45,'3.Inc &amp; Exp per Function'!$V45:$V1142)</f>
        <v>2437617</v>
      </c>
      <c r="CF45" s="751">
        <f ca="1">SUMIF('3.Inc &amp; Exp per Function'!$D45:$D1143,'5.Cons and detailed recon'!BJ45,'3.Inc &amp; Exp per Function'!$V45:$V1142)</f>
        <v>16093633</v>
      </c>
      <c r="CG45" s="748">
        <f t="shared" ca="1" si="8"/>
        <v>36174354</v>
      </c>
      <c r="CH45" s="751"/>
      <c r="CI45" s="791">
        <f t="shared" ca="1" si="9"/>
        <v>47230883</v>
      </c>
      <c r="CJ45" s="411">
        <f>SUMIF('4.Inc &amp; Exp Summary'!A:A,'5.Cons and detailed recon'!R45,'4.Inc &amp; Exp Summary'!M:M)</f>
        <v>111492084</v>
      </c>
      <c r="CK45" s="415">
        <f t="shared" ca="1" si="35"/>
        <v>-64261201</v>
      </c>
      <c r="CL45" s="720"/>
      <c r="CM45" s="730"/>
      <c r="CO45" s="398" t="str">
        <f t="shared" si="34"/>
        <v>Executive and Council3700</v>
      </c>
      <c r="CP45" s="398" t="str">
        <f t="shared" si="34"/>
        <v>Finance and administration3700</v>
      </c>
      <c r="CQ45" s="398" t="str">
        <f t="shared" si="34"/>
        <v>Internal audit3700</v>
      </c>
      <c r="CR45" s="398" t="str">
        <f t="shared" si="34"/>
        <v>Community and social services3700</v>
      </c>
      <c r="CS45" s="398" t="str">
        <f t="shared" si="34"/>
        <v>Sport and recreation3700</v>
      </c>
      <c r="CT45" s="398" t="str">
        <f t="shared" si="34"/>
        <v>Public safety3700</v>
      </c>
      <c r="CU45" s="398" t="str">
        <f t="shared" si="34"/>
        <v>Housing3700</v>
      </c>
      <c r="CV45" s="398" t="str">
        <f t="shared" si="34"/>
        <v>Health3700</v>
      </c>
      <c r="CW45" s="398" t="str">
        <f t="shared" si="34"/>
        <v>Planning and development3700</v>
      </c>
      <c r="CX45" s="398" t="str">
        <f t="shared" si="34"/>
        <v>Road transport3700</v>
      </c>
      <c r="CY45" s="398" t="str">
        <f t="shared" si="34"/>
        <v>Environmental protection3700</v>
      </c>
      <c r="CZ45" s="398" t="str">
        <f t="shared" si="34"/>
        <v>Other3700</v>
      </c>
      <c r="DA45" s="398" t="str">
        <f t="shared" si="34"/>
        <v>Energy sources3700</v>
      </c>
      <c r="DB45" s="398" t="str">
        <f t="shared" si="34"/>
        <v>Water management3700</v>
      </c>
      <c r="DC45" s="398" t="str">
        <f t="shared" si="34"/>
        <v>Waste water management3700</v>
      </c>
      <c r="DD45" s="398" t="str">
        <f t="shared" si="34"/>
        <v>Waste management3700</v>
      </c>
      <c r="DE45" s="745" t="s">
        <v>746</v>
      </c>
      <c r="DF45" s="745" t="s">
        <v>746</v>
      </c>
      <c r="DG45" s="735"/>
      <c r="DH45" s="748" t="s">
        <v>687</v>
      </c>
      <c r="DI45" s="751">
        <f ca="1">SUMIF('3.Inc &amp; Exp per Function'!$D44:$D1143,'5.Cons and detailed recon'!CO45,'3.Inc &amp; Exp per Function'!$W44:$W1142)</f>
        <v>0</v>
      </c>
      <c r="DJ45" s="751">
        <f ca="1">SUMIF('3.Inc &amp; Exp per Function'!$D44:$D1142,'5.Cons and detailed recon'!CP45,'3.Inc &amp; Exp per Function'!$W44:$W1141)</f>
        <v>10786452</v>
      </c>
      <c r="DK45" s="751">
        <f ca="1">SUMIF('3.Inc &amp; Exp per Function'!$D44:$D1142,'5.Cons and detailed recon'!CQ45,'3.Inc &amp; Exp per Function'!$W44:$W1141)</f>
        <v>0</v>
      </c>
      <c r="DL45" s="413">
        <f t="shared" ca="1" si="11"/>
        <v>10786452</v>
      </c>
      <c r="DM45" s="751">
        <f ca="1">SUMIF('3.Inc &amp; Exp per Function'!$D44:$D1142,'5.Cons and detailed recon'!CR45,'3.Inc &amp; Exp per Function'!$W44:$W1141)</f>
        <v>0</v>
      </c>
      <c r="DN45" s="751">
        <f ca="1">SUMIF('3.Inc &amp; Exp per Function'!$D44:$D1142,'5.Cons and detailed recon'!CS45,'3.Inc &amp; Exp per Function'!$W44:$W1141)</f>
        <v>1258</v>
      </c>
      <c r="DO45" s="751">
        <f ca="1">SUMIF('3.Inc &amp; Exp per Function'!$D44:$D1142,'5.Cons and detailed recon'!CT45,'3.Inc &amp; Exp per Function'!$W44:$W1141)</f>
        <v>1549</v>
      </c>
      <c r="DP45" s="751">
        <f ca="1">SUMIF('3.Inc &amp; Exp per Function'!$D44:$D1142,'5.Cons and detailed recon'!CU45,'3.Inc &amp; Exp per Function'!$W44:$W1141)</f>
        <v>0</v>
      </c>
      <c r="DQ45" s="751">
        <f ca="1">SUMIF('3.Inc &amp; Exp per Function'!$D44:$D1142,'5.Cons and detailed recon'!CV45,'3.Inc &amp; Exp per Function'!$W44:$W1141)</f>
        <v>0</v>
      </c>
      <c r="DR45" s="751">
        <f ca="1">SUMIF('3.Inc &amp; Exp per Function'!$D44:$D1142,'5.Cons and detailed recon'!CW45,'3.Inc &amp; Exp per Function'!$W44:$W1141)</f>
        <v>0</v>
      </c>
      <c r="DS45" s="751">
        <f ca="1">SUMIF('3.Inc &amp; Exp per Function'!$D44:$D1142,'5.Cons and detailed recon'!CX45,'3.Inc &amp; Exp per Function'!$W44:$W1141)</f>
        <v>621078</v>
      </c>
      <c r="DT45" s="751">
        <f ca="1">SUMIF('3.Inc &amp; Exp per Function'!$D44:$D1142,'5.Cons and detailed recon'!CY45,'3.Inc &amp; Exp per Function'!$W44:$W1141)</f>
        <v>0</v>
      </c>
      <c r="DU45" s="751">
        <f ca="1">SUMIF('3.Inc &amp; Exp per Function'!$D44:$D1142,'5.Cons and detailed recon'!CZ45,'3.Inc &amp; Exp per Function'!$W44:$W1141)</f>
        <v>0</v>
      </c>
      <c r="DV45" s="413">
        <f t="shared" ca="1" si="12"/>
        <v>623885</v>
      </c>
      <c r="DW45" s="751">
        <f ca="1">SUMIF('3.Inc &amp; Exp per Function'!$D44:$D1142,'5.Cons and detailed recon'!DA45,'3.Inc &amp; Exp per Function'!$W44:$W1141)</f>
        <v>16560338</v>
      </c>
      <c r="DX45" s="751">
        <f ca="1">SUMIF('3.Inc &amp; Exp per Function'!$D44:$D1142,'5.Cons and detailed recon'!DB45,'3.Inc &amp; Exp per Function'!$W44:$W1141)</f>
        <v>1647345</v>
      </c>
      <c r="DY45" s="751">
        <f ca="1">SUMIF('3.Inc &amp; Exp per Function'!$D44:$D1142,'5.Cons and detailed recon'!DC45,'3.Inc &amp; Exp per Function'!$W44:$W1141)</f>
        <v>2515621</v>
      </c>
      <c r="DZ45" s="751">
        <f ca="1">SUMIF('3.Inc &amp; Exp per Function'!$D44:$D1142,'5.Cons and detailed recon'!DD45,'3.Inc &amp; Exp per Function'!$W44:$W1141)</f>
        <v>16608629</v>
      </c>
      <c r="EA45" s="748">
        <f t="shared" ca="1" si="13"/>
        <v>37331933</v>
      </c>
      <c r="EB45" s="794"/>
      <c r="EC45" s="791">
        <f t="shared" ca="1" si="14"/>
        <v>48742270</v>
      </c>
      <c r="ED45" s="414">
        <f>SUMIF('4.Inc &amp; Exp Summary'!A:A,'5.Cons and detailed recon'!DF45,'4.Inc &amp; Exp Summary'!N:N)</f>
        <v>115059830.68799999</v>
      </c>
      <c r="EE45" s="415">
        <f t="shared" ca="1" si="15"/>
        <v>-66317560.687999994</v>
      </c>
      <c r="EF45" s="720"/>
      <c r="EG45" s="980"/>
      <c r="EH45" s="980"/>
      <c r="EI45" s="980"/>
      <c r="EJ45" s="980"/>
      <c r="EK45" s="980"/>
      <c r="EL45" s="980"/>
      <c r="EM45" s="980"/>
      <c r="EN45" s="980"/>
      <c r="EO45" s="980"/>
      <c r="EP45" s="980"/>
      <c r="EQ45" s="980"/>
      <c r="ER45" s="980"/>
      <c r="ES45" s="980"/>
      <c r="ET45" s="980"/>
      <c r="EU45" s="980"/>
      <c r="EV45" s="980"/>
      <c r="EW45" s="980"/>
      <c r="EX45" s="980"/>
      <c r="EY45" s="980"/>
      <c r="EZ45" s="980"/>
      <c r="FA45" s="980"/>
      <c r="FB45" s="980"/>
      <c r="FC45" s="980"/>
      <c r="FD45" s="980"/>
      <c r="FE45" s="980"/>
      <c r="FF45" s="980"/>
      <c r="FG45" s="980"/>
      <c r="FH45" s="980"/>
      <c r="FI45" s="980"/>
      <c r="FJ45" s="980"/>
      <c r="FK45" s="980"/>
      <c r="FL45" s="980"/>
      <c r="FM45" s="980"/>
      <c r="FN45" s="980"/>
      <c r="FO45" s="980"/>
      <c r="FP45" s="980"/>
      <c r="FQ45" s="980"/>
      <c r="FR45" s="980"/>
      <c r="FS45" s="980"/>
      <c r="FT45" s="980"/>
      <c r="FU45" s="980"/>
      <c r="FV45" s="980"/>
      <c r="FW45" s="980"/>
      <c r="FX45" s="980"/>
      <c r="FY45" s="980"/>
      <c r="FZ45" s="980"/>
      <c r="GA45" s="980"/>
      <c r="GB45" s="980"/>
      <c r="GC45" s="980"/>
      <c r="GD45" s="980"/>
      <c r="GE45" s="980"/>
      <c r="GF45" s="980"/>
      <c r="GG45" s="980"/>
      <c r="GH45" s="980"/>
      <c r="GI45" s="980"/>
      <c r="GJ45" s="980"/>
      <c r="GK45" s="980"/>
      <c r="GL45" s="980"/>
      <c r="GM45" s="980"/>
      <c r="GN45" s="980"/>
      <c r="GO45" s="980"/>
      <c r="GP45" s="980"/>
      <c r="GQ45" s="980"/>
      <c r="GR45" s="980"/>
      <c r="GS45" s="980"/>
      <c r="GT45" s="980"/>
      <c r="GU45" s="980"/>
      <c r="GV45" s="980"/>
      <c r="GW45" s="980"/>
      <c r="GX45" s="980"/>
      <c r="GY45" s="980"/>
      <c r="GZ45" s="980"/>
      <c r="HA45" s="980"/>
      <c r="HB45" s="980"/>
      <c r="HC45" s="980"/>
      <c r="HD45" s="980"/>
      <c r="HE45" s="980"/>
      <c r="HF45" s="980"/>
      <c r="HG45" s="980"/>
      <c r="HH45" s="980"/>
      <c r="HI45" s="980"/>
      <c r="HJ45" s="980"/>
      <c r="HK45" s="980"/>
      <c r="HL45" s="980"/>
      <c r="HM45" s="980"/>
      <c r="HN45" s="980"/>
      <c r="HO45" s="980"/>
      <c r="HP45" s="980"/>
      <c r="HQ45" s="980"/>
      <c r="HR45" s="980"/>
      <c r="HS45" s="980"/>
      <c r="HT45" s="980"/>
      <c r="HU45" s="980"/>
      <c r="HV45" s="980"/>
      <c r="HW45" s="980"/>
      <c r="HX45" s="980"/>
      <c r="HY45" s="980"/>
      <c r="HZ45" s="980"/>
      <c r="IA45" s="980"/>
      <c r="IB45" s="980"/>
      <c r="IC45" s="980"/>
      <c r="ID45" s="980"/>
      <c r="IE45" s="980"/>
      <c r="IF45" s="980"/>
      <c r="IG45" s="980"/>
      <c r="IH45" s="980"/>
      <c r="II45" s="980"/>
      <c r="IJ45" s="980"/>
      <c r="IK45" s="980"/>
      <c r="IL45" s="980"/>
      <c r="IM45" s="980"/>
      <c r="IN45" s="980"/>
      <c r="IO45" s="980"/>
      <c r="IP45" s="980"/>
      <c r="IQ45" s="980"/>
      <c r="IR45" s="980"/>
      <c r="IS45" s="980"/>
      <c r="IT45" s="980"/>
      <c r="IU45" s="980"/>
      <c r="IV45" s="980"/>
    </row>
    <row r="46" spans="1:256" s="409" customFormat="1" ht="12" customHeight="1" x14ac:dyDescent="0.55000000000000004">
      <c r="A46" s="398" t="str">
        <f t="shared" si="31"/>
        <v>Executive and Council3800</v>
      </c>
      <c r="B46" s="398" t="str">
        <f t="shared" si="31"/>
        <v>Finance and administration3800</v>
      </c>
      <c r="C46" s="398" t="str">
        <f t="shared" si="31"/>
        <v>Internal audit3800</v>
      </c>
      <c r="D46" s="398" t="str">
        <f t="shared" si="31"/>
        <v>Community and social services3800</v>
      </c>
      <c r="E46" s="398" t="str">
        <f t="shared" si="31"/>
        <v>Sport and recreation3800</v>
      </c>
      <c r="F46" s="398" t="str">
        <f t="shared" si="31"/>
        <v>Public safety3800</v>
      </c>
      <c r="G46" s="398" t="str">
        <f t="shared" si="31"/>
        <v>Housing3800</v>
      </c>
      <c r="H46" s="398" t="str">
        <f t="shared" si="31"/>
        <v>Health3800</v>
      </c>
      <c r="I46" s="398" t="str">
        <f t="shared" si="31"/>
        <v>Planning and development3800</v>
      </c>
      <c r="J46" s="398" t="str">
        <f t="shared" si="31"/>
        <v>Road transport3800</v>
      </c>
      <c r="K46" s="398" t="str">
        <f t="shared" si="31"/>
        <v>Environmental protection3800</v>
      </c>
      <c r="L46" s="398" t="str">
        <f t="shared" si="31"/>
        <v>Other3800</v>
      </c>
      <c r="M46" s="398" t="str">
        <f t="shared" si="31"/>
        <v>Energy sources3800</v>
      </c>
      <c r="N46" s="398" t="str">
        <f t="shared" si="31"/>
        <v>Water management3800</v>
      </c>
      <c r="O46" s="398" t="str">
        <f t="shared" si="31"/>
        <v>Waste water management3800</v>
      </c>
      <c r="P46" s="398" t="str">
        <f t="shared" si="31"/>
        <v>Waste management3800</v>
      </c>
      <c r="Q46" s="745" t="s">
        <v>748</v>
      </c>
      <c r="R46" s="745" t="s">
        <v>748</v>
      </c>
      <c r="S46" s="994"/>
      <c r="T46" s="748" t="s">
        <v>12</v>
      </c>
      <c r="U46" s="804">
        <f ca="1">SUMIF('3.Inc &amp; Exp per Function'!$D45:$D1143,'5.Cons and detailed recon'!A46,'3.Inc &amp; Exp per Function'!$U45:$U1142)</f>
        <v>114639</v>
      </c>
      <c r="V46" s="804">
        <f ca="1">SUMIF('3.Inc &amp; Exp per Function'!$D45:$D1143,'5.Cons and detailed recon'!B46,'3.Inc &amp; Exp per Function'!$U45:$U1142)</f>
        <v>18449428</v>
      </c>
      <c r="W46" s="804">
        <f ca="1">SUMIF('3.Inc &amp; Exp per Function'!$D45:$D1143,'5.Cons and detailed recon'!C46,'3.Inc &amp; Exp per Function'!$U45:$U1142)</f>
        <v>150000</v>
      </c>
      <c r="X46" s="413">
        <f t="shared" ca="1" si="32"/>
        <v>18714067</v>
      </c>
      <c r="Y46" s="804">
        <f ca="1">SUMIF('3.Inc &amp; Exp per Function'!$D45:$D1143,'5.Cons and detailed recon'!D46,'3.Inc &amp; Exp per Function'!$U45:$U1142)</f>
        <v>1495602</v>
      </c>
      <c r="Z46" s="804">
        <f ca="1">SUMIF('3.Inc &amp; Exp per Function'!$D45:$D1143,'5.Cons and detailed recon'!E46,'3.Inc &amp; Exp per Function'!$U45:$U1142)</f>
        <v>1695503</v>
      </c>
      <c r="AA46" s="804">
        <f ca="1">SUMIF('3.Inc &amp; Exp per Function'!$D45:$D1143,'5.Cons and detailed recon'!F46,'3.Inc &amp; Exp per Function'!$U45:$U1142)</f>
        <v>5957842</v>
      </c>
      <c r="AB46" s="804">
        <f ca="1">SUMIF('3.Inc &amp; Exp per Function'!$D45:$D1143,'5.Cons and detailed recon'!G46,'3.Inc &amp; Exp per Function'!$U45:$U1142)</f>
        <v>3012192</v>
      </c>
      <c r="AC46" s="804">
        <f ca="1">SUMIF('3.Inc &amp; Exp per Function'!$D45:$D1143,'5.Cons and detailed recon'!H46,'3.Inc &amp; Exp per Function'!$U45:$U1142)</f>
        <v>0</v>
      </c>
      <c r="AD46" s="804">
        <f ca="1">SUMIF('3.Inc &amp; Exp per Function'!$D45:$D1143,'5.Cons and detailed recon'!I46,'3.Inc &amp; Exp per Function'!$U45:$U1142)</f>
        <v>2660474</v>
      </c>
      <c r="AE46" s="804">
        <f ca="1">SUMIF('3.Inc &amp; Exp per Function'!$D45:$D1143,'5.Cons and detailed recon'!J46,'3.Inc &amp; Exp per Function'!$U45:$U1142)</f>
        <v>6846304</v>
      </c>
      <c r="AF46" s="804">
        <f ca="1">SUMIF('3.Inc &amp; Exp per Function'!$D45:$D1143,'5.Cons and detailed recon'!K46,'3.Inc &amp; Exp per Function'!$U45:$U1142)</f>
        <v>1000</v>
      </c>
      <c r="AG46" s="804">
        <f ca="1">SUMIF('3.Inc &amp; Exp per Function'!$D45:$D1143,'5.Cons and detailed recon'!L46,'3.Inc &amp; Exp per Function'!$U45:$U1142)</f>
        <v>280000</v>
      </c>
      <c r="AH46" s="413">
        <f t="shared" ca="1" si="3"/>
        <v>21948917</v>
      </c>
      <c r="AI46" s="804">
        <f ca="1">SUMIF('3.Inc &amp; Exp per Function'!$D45:$D1143,'5.Cons and detailed recon'!M46,'3.Inc &amp; Exp per Function'!$U45:$U1142)</f>
        <v>3170548</v>
      </c>
      <c r="AJ46" s="804">
        <f ca="1">SUMIF('3.Inc &amp; Exp per Function'!$D45:$D1143,'5.Cons and detailed recon'!N46,'3.Inc &amp; Exp per Function'!$U45:$U1142)</f>
        <v>4068585</v>
      </c>
      <c r="AK46" s="804">
        <f ca="1">SUMIF('3.Inc &amp; Exp per Function'!$D45:$D1143,'5.Cons and detailed recon'!O46,'3.Inc &amp; Exp per Function'!$U45:$U1142)</f>
        <v>5607523</v>
      </c>
      <c r="AL46" s="804">
        <f ca="1">SUMIF('3.Inc &amp; Exp per Function'!$D45:$D1143,'5.Cons and detailed recon'!P46,'3.Inc &amp; Exp per Function'!$U45:$U1142)</f>
        <v>13038691</v>
      </c>
      <c r="AM46" s="748">
        <f t="shared" ca="1" si="0"/>
        <v>25885347</v>
      </c>
      <c r="AN46" s="794"/>
      <c r="AO46" s="791">
        <f t="shared" ca="1" si="30"/>
        <v>66548331</v>
      </c>
      <c r="AP46" s="414">
        <f>SUMIF('4.Inc &amp; Exp Summary'!A:A,'5.Cons and detailed recon'!R46,'4.Inc &amp; Exp Summary'!L:L)</f>
        <v>40079353</v>
      </c>
      <c r="AQ46" s="415">
        <f t="shared" ca="1" si="23"/>
        <v>26468978</v>
      </c>
      <c r="AR46" s="720"/>
      <c r="AS46" s="730"/>
      <c r="AT46" s="408"/>
      <c r="AU46" s="398" t="str">
        <f t="shared" si="33"/>
        <v>Executive and Council3800</v>
      </c>
      <c r="AV46" s="398" t="str">
        <f t="shared" si="33"/>
        <v>Finance and administration3800</v>
      </c>
      <c r="AW46" s="398" t="str">
        <f t="shared" si="33"/>
        <v>Internal audit3800</v>
      </c>
      <c r="AX46" s="398" t="str">
        <f t="shared" si="33"/>
        <v>Community and social services3800</v>
      </c>
      <c r="AY46" s="398" t="str">
        <f t="shared" si="33"/>
        <v>Sport and recreation3800</v>
      </c>
      <c r="AZ46" s="398" t="str">
        <f t="shared" si="33"/>
        <v>Public safety3800</v>
      </c>
      <c r="BA46" s="398" t="str">
        <f t="shared" si="33"/>
        <v>Housing3800</v>
      </c>
      <c r="BB46" s="398" t="str">
        <f t="shared" si="33"/>
        <v>Health3800</v>
      </c>
      <c r="BC46" s="398" t="str">
        <f t="shared" si="33"/>
        <v>Planning and development3800</v>
      </c>
      <c r="BD46" s="398" t="str">
        <f t="shared" si="33"/>
        <v>Road transport3800</v>
      </c>
      <c r="BE46" s="398" t="str">
        <f t="shared" si="33"/>
        <v>Environmental protection3800</v>
      </c>
      <c r="BF46" s="398" t="str">
        <f t="shared" si="33"/>
        <v>Other3800</v>
      </c>
      <c r="BG46" s="398" t="str">
        <f t="shared" si="33"/>
        <v>Energy sources3800</v>
      </c>
      <c r="BH46" s="398" t="str">
        <f t="shared" si="33"/>
        <v>Water management3800</v>
      </c>
      <c r="BI46" s="398" t="str">
        <f t="shared" si="33"/>
        <v>Waste water management3800</v>
      </c>
      <c r="BJ46" s="398" t="str">
        <f t="shared" si="33"/>
        <v>Waste management3800</v>
      </c>
      <c r="BK46" s="745" t="s">
        <v>748</v>
      </c>
      <c r="BL46" s="745" t="s">
        <v>748</v>
      </c>
      <c r="BM46" s="735"/>
      <c r="BN46" s="748" t="s">
        <v>12</v>
      </c>
      <c r="BO46" s="751">
        <f ca="1">SUMIF('3.Inc &amp; Exp per Function'!$D46:$D1144,'5.Cons and detailed recon'!AU46,'3.Inc &amp; Exp per Function'!$V46:$V1143)</f>
        <v>118537</v>
      </c>
      <c r="BP46" s="751">
        <f ca="1">SUMIF('3.Inc &amp; Exp per Function'!$D45:$D1144,'5.Cons and detailed recon'!AV46,'3.Inc &amp; Exp per Function'!$V45:$V1143)</f>
        <v>19076713</v>
      </c>
      <c r="BQ46" s="751">
        <f ca="1">SUMIF('3.Inc &amp; Exp per Function'!$D46:$D1144,'5.Cons and detailed recon'!AW46,'3.Inc &amp; Exp per Function'!$V46:$V1143)</f>
        <v>155100</v>
      </c>
      <c r="BR46" s="413">
        <f t="shared" ca="1" si="6"/>
        <v>19350350</v>
      </c>
      <c r="BS46" s="751">
        <f ca="1">SUMIF('3.Inc &amp; Exp per Function'!$D45:$D1144,'5.Cons and detailed recon'!AX46,'3.Inc &amp; Exp per Function'!$V45:$V1143)</f>
        <v>1546452</v>
      </c>
      <c r="BT46" s="751">
        <f ca="1">SUMIF('3.Inc &amp; Exp per Function'!$D45:$D1144,'5.Cons and detailed recon'!AY46,'3.Inc &amp; Exp per Function'!$V45:$V1143)</f>
        <v>1753153</v>
      </c>
      <c r="BU46" s="751">
        <f ca="1">SUMIF('3.Inc &amp; Exp per Function'!$D46:$D1144,'5.Cons and detailed recon'!AZ46,'3.Inc &amp; Exp per Function'!$V46:$V1143)</f>
        <v>6160416</v>
      </c>
      <c r="BV46" s="751">
        <f ca="1">SUMIF('3.Inc &amp; Exp per Function'!$D46:$D1144,'5.Cons and detailed recon'!BA46,'3.Inc &amp; Exp per Function'!$V46:$V1143)</f>
        <v>3114610</v>
      </c>
      <c r="BW46" s="751">
        <f ca="1">SUMIF('3.Inc &amp; Exp per Function'!$D46:$D1144,'5.Cons and detailed recon'!BB46,'3.Inc &amp; Exp per Function'!$V46:$V1143)</f>
        <v>0</v>
      </c>
      <c r="BX46" s="751">
        <f ca="1">SUMIF('3.Inc &amp; Exp per Function'!$D46:$D1144,'5.Cons and detailed recon'!BC46,'3.Inc &amp; Exp per Function'!$V46:$V1143)</f>
        <v>2750929</v>
      </c>
      <c r="BY46" s="751">
        <f ca="1">SUMIF('3.Inc &amp; Exp per Function'!$D46:$D1144,'5.Cons and detailed recon'!BD46,'3.Inc &amp; Exp per Function'!$V46:$V1143)</f>
        <v>7079102</v>
      </c>
      <c r="BZ46" s="751">
        <f ca="1">SUMIF('3.Inc &amp; Exp per Function'!$D46:$D1144,'5.Cons and detailed recon'!BE46,'3.Inc &amp; Exp per Function'!$V46:$V1143)</f>
        <v>1034</v>
      </c>
      <c r="CA46" s="751">
        <f ca="1">SUMIF('3.Inc &amp; Exp per Function'!$D46:$D1144,'5.Cons and detailed recon'!BF46,'3.Inc &amp; Exp per Function'!$V46:$V1143)</f>
        <v>289520</v>
      </c>
      <c r="CB46" s="413">
        <f t="shared" ca="1" si="7"/>
        <v>22695216</v>
      </c>
      <c r="CC46" s="751">
        <f ca="1">SUMIF('3.Inc &amp; Exp per Function'!$D46:$D1144,'5.Cons and detailed recon'!BG46,'3.Inc &amp; Exp per Function'!$V46:$V1143)</f>
        <v>3278353</v>
      </c>
      <c r="CD46" s="751">
        <f ca="1">SUMIF('3.Inc &amp; Exp per Function'!$D46:$D1144,'5.Cons and detailed recon'!BH46,'3.Inc &amp; Exp per Function'!$V46:$V1143)</f>
        <v>4206921</v>
      </c>
      <c r="CE46" s="751">
        <f ca="1">SUMIF('3.Inc &amp; Exp per Function'!$D46:$D1144,'5.Cons and detailed recon'!BI46,'3.Inc &amp; Exp per Function'!$V46:$V1143)</f>
        <v>5798186</v>
      </c>
      <c r="CF46" s="751">
        <f ca="1">SUMIF('3.Inc &amp; Exp per Function'!$D46:$D1144,'5.Cons and detailed recon'!BJ46,'3.Inc &amp; Exp per Function'!$V46:$V1143)</f>
        <v>13482004</v>
      </c>
      <c r="CG46" s="748">
        <f t="shared" ca="1" si="8"/>
        <v>26765464</v>
      </c>
      <c r="CH46" s="751"/>
      <c r="CI46" s="791">
        <f t="shared" ca="1" si="9"/>
        <v>68811030</v>
      </c>
      <c r="CJ46" s="411">
        <f>SUMIF('4.Inc &amp; Exp Summary'!A:A,'5.Cons and detailed recon'!R46,'4.Inc &amp; Exp Summary'!M:M)</f>
        <v>42062858.560000002</v>
      </c>
      <c r="CK46" s="415">
        <f t="shared" ca="1" si="35"/>
        <v>26748171.439999998</v>
      </c>
      <c r="CL46" s="720"/>
      <c r="CM46" s="730"/>
      <c r="CO46" s="398" t="str">
        <f t="shared" si="34"/>
        <v>Executive and Council3800</v>
      </c>
      <c r="CP46" s="398" t="str">
        <f t="shared" si="34"/>
        <v>Finance and administration3800</v>
      </c>
      <c r="CQ46" s="398" t="str">
        <f t="shared" si="34"/>
        <v>Internal audit3800</v>
      </c>
      <c r="CR46" s="398" t="str">
        <f t="shared" si="34"/>
        <v>Community and social services3800</v>
      </c>
      <c r="CS46" s="398" t="str">
        <f t="shared" si="34"/>
        <v>Sport and recreation3800</v>
      </c>
      <c r="CT46" s="398" t="str">
        <f t="shared" si="34"/>
        <v>Public safety3800</v>
      </c>
      <c r="CU46" s="398" t="str">
        <f t="shared" si="34"/>
        <v>Housing3800</v>
      </c>
      <c r="CV46" s="398" t="str">
        <f t="shared" si="34"/>
        <v>Health3800</v>
      </c>
      <c r="CW46" s="398" t="str">
        <f t="shared" si="34"/>
        <v>Planning and development3800</v>
      </c>
      <c r="CX46" s="398" t="str">
        <f t="shared" si="34"/>
        <v>Road transport3800</v>
      </c>
      <c r="CY46" s="398" t="str">
        <f t="shared" si="34"/>
        <v>Environmental protection3800</v>
      </c>
      <c r="CZ46" s="398" t="str">
        <f t="shared" si="34"/>
        <v>Other3800</v>
      </c>
      <c r="DA46" s="398" t="str">
        <f t="shared" si="34"/>
        <v>Energy sources3800</v>
      </c>
      <c r="DB46" s="398" t="str">
        <f t="shared" si="34"/>
        <v>Water management3800</v>
      </c>
      <c r="DC46" s="398" t="str">
        <f t="shared" si="34"/>
        <v>Waste water management3800</v>
      </c>
      <c r="DD46" s="398" t="str">
        <f t="shared" si="34"/>
        <v>Waste management3800</v>
      </c>
      <c r="DE46" s="745" t="s">
        <v>748</v>
      </c>
      <c r="DF46" s="745" t="s">
        <v>748</v>
      </c>
      <c r="DG46" s="735"/>
      <c r="DH46" s="748" t="s">
        <v>12</v>
      </c>
      <c r="DI46" s="751">
        <f ca="1">SUMIF('3.Inc &amp; Exp per Function'!$D45:$D1144,'5.Cons and detailed recon'!CO46,'3.Inc &amp; Exp per Function'!$W45:$W1143)</f>
        <v>122331</v>
      </c>
      <c r="DJ46" s="751">
        <f ca="1">SUMIF('3.Inc &amp; Exp per Function'!$D45:$D1143,'5.Cons and detailed recon'!CP46,'3.Inc &amp; Exp per Function'!$W45:$W1142)</f>
        <v>19687176</v>
      </c>
      <c r="DK46" s="751">
        <f ca="1">SUMIF('3.Inc &amp; Exp per Function'!$D45:$D1143,'5.Cons and detailed recon'!CQ46,'3.Inc &amp; Exp per Function'!$W45:$W1142)</f>
        <v>160063</v>
      </c>
      <c r="DL46" s="413">
        <f t="shared" ca="1" si="11"/>
        <v>19969570</v>
      </c>
      <c r="DM46" s="751">
        <f ca="1">SUMIF('3.Inc &amp; Exp per Function'!$D45:$D1143,'5.Cons and detailed recon'!CR46,'3.Inc &amp; Exp per Function'!$W45:$W1142)</f>
        <v>1595941</v>
      </c>
      <c r="DN46" s="751">
        <f ca="1">SUMIF('3.Inc &amp; Exp per Function'!$D45:$D1143,'5.Cons and detailed recon'!CS46,'3.Inc &amp; Exp per Function'!$W45:$W1142)</f>
        <v>1809256</v>
      </c>
      <c r="DO46" s="751">
        <f ca="1">SUMIF('3.Inc &amp; Exp per Function'!$D45:$D1143,'5.Cons and detailed recon'!CT46,'3.Inc &amp; Exp per Function'!$W45:$W1142)</f>
        <v>6357555</v>
      </c>
      <c r="DP46" s="751">
        <f ca="1">SUMIF('3.Inc &amp; Exp per Function'!$D45:$D1143,'5.Cons and detailed recon'!CU46,'3.Inc &amp; Exp per Function'!$W45:$W1142)</f>
        <v>3214278</v>
      </c>
      <c r="DQ46" s="751">
        <f ca="1">SUMIF('3.Inc &amp; Exp per Function'!$D45:$D1143,'5.Cons and detailed recon'!CV46,'3.Inc &amp; Exp per Function'!$W45:$W1142)</f>
        <v>0</v>
      </c>
      <c r="DR46" s="751">
        <f ca="1">SUMIF('3.Inc &amp; Exp per Function'!$D45:$D1143,'5.Cons and detailed recon'!CW46,'3.Inc &amp; Exp per Function'!$W45:$W1142)</f>
        <v>2838960</v>
      </c>
      <c r="DS46" s="751">
        <f ca="1">SUMIF('3.Inc &amp; Exp per Function'!$D45:$D1143,'5.Cons and detailed recon'!CX46,'3.Inc &amp; Exp per Function'!$W45:$W1142)</f>
        <v>7305659</v>
      </c>
      <c r="DT46" s="751">
        <f ca="1">SUMIF('3.Inc &amp; Exp per Function'!$D45:$D1143,'5.Cons and detailed recon'!CY46,'3.Inc &amp; Exp per Function'!$W45:$W1142)</f>
        <v>1067</v>
      </c>
      <c r="DU46" s="751">
        <f ca="1">SUMIF('3.Inc &amp; Exp per Function'!$D45:$D1143,'5.Cons and detailed recon'!CZ46,'3.Inc &amp; Exp per Function'!$W45:$W1142)</f>
        <v>298785</v>
      </c>
      <c r="DV46" s="413">
        <f t="shared" ca="1" si="12"/>
        <v>23421501</v>
      </c>
      <c r="DW46" s="751">
        <f ca="1">SUMIF('3.Inc &amp; Exp per Function'!$D45:$D1143,'5.Cons and detailed recon'!DA46,'3.Inc &amp; Exp per Function'!$W45:$W1142)</f>
        <v>3383265</v>
      </c>
      <c r="DX46" s="751">
        <f ca="1">SUMIF('3.Inc &amp; Exp per Function'!$D45:$D1143,'5.Cons and detailed recon'!DB46,'3.Inc &amp; Exp per Function'!$W45:$W1142)</f>
        <v>4341546</v>
      </c>
      <c r="DY46" s="751">
        <f ca="1">SUMIF('3.Inc &amp; Exp per Function'!$D45:$D1143,'5.Cons and detailed recon'!DC46,'3.Inc &amp; Exp per Function'!$W45:$W1142)</f>
        <v>5983737</v>
      </c>
      <c r="DZ46" s="751">
        <f ca="1">SUMIF('3.Inc &amp; Exp per Function'!$D45:$D1143,'5.Cons and detailed recon'!DD46,'3.Inc &amp; Exp per Function'!$W45:$W1142)</f>
        <v>13913428</v>
      </c>
      <c r="EA46" s="748">
        <f t="shared" ca="1" si="13"/>
        <v>27621976</v>
      </c>
      <c r="EB46" s="794"/>
      <c r="EC46" s="791">
        <f t="shared" ca="1" si="14"/>
        <v>71013047</v>
      </c>
      <c r="ED46" s="414">
        <f>SUMIF('4.Inc &amp; Exp Summary'!A:A,'5.Cons and detailed recon'!DF46,'4.Inc &amp; Exp Summary'!N:N)</f>
        <v>44123207</v>
      </c>
      <c r="EE46" s="415">
        <f t="shared" ca="1" si="15"/>
        <v>26889840</v>
      </c>
      <c r="EF46" s="720"/>
      <c r="EG46" s="980"/>
      <c r="EH46" s="980"/>
      <c r="EI46" s="980"/>
      <c r="EJ46" s="980"/>
      <c r="EK46" s="980"/>
      <c r="EL46" s="980"/>
      <c r="EM46" s="980"/>
      <c r="EN46" s="980"/>
      <c r="EO46" s="980"/>
      <c r="EP46" s="980"/>
      <c r="EQ46" s="980"/>
      <c r="ER46" s="980"/>
      <c r="ES46" s="980"/>
      <c r="ET46" s="980"/>
      <c r="EU46" s="980"/>
      <c r="EV46" s="980"/>
      <c r="EW46" s="980"/>
      <c r="EX46" s="980"/>
      <c r="EY46" s="980"/>
      <c r="EZ46" s="980"/>
      <c r="FA46" s="980"/>
      <c r="FB46" s="980"/>
      <c r="FC46" s="980"/>
      <c r="FD46" s="980"/>
      <c r="FE46" s="980"/>
      <c r="FF46" s="980"/>
      <c r="FG46" s="980"/>
      <c r="FH46" s="980"/>
      <c r="FI46" s="980"/>
      <c r="FJ46" s="980"/>
      <c r="FK46" s="980"/>
      <c r="FL46" s="980"/>
      <c r="FM46" s="980"/>
      <c r="FN46" s="980"/>
      <c r="FO46" s="980"/>
      <c r="FP46" s="980"/>
      <c r="FQ46" s="980"/>
      <c r="FR46" s="980"/>
      <c r="FS46" s="980"/>
      <c r="FT46" s="980"/>
      <c r="FU46" s="980"/>
      <c r="FV46" s="980"/>
      <c r="FW46" s="980"/>
      <c r="FX46" s="980"/>
      <c r="FY46" s="980"/>
      <c r="FZ46" s="980"/>
      <c r="GA46" s="980"/>
      <c r="GB46" s="980"/>
      <c r="GC46" s="980"/>
      <c r="GD46" s="980"/>
      <c r="GE46" s="980"/>
      <c r="GF46" s="980"/>
      <c r="GG46" s="980"/>
      <c r="GH46" s="980"/>
      <c r="GI46" s="980"/>
      <c r="GJ46" s="980"/>
      <c r="GK46" s="980"/>
      <c r="GL46" s="980"/>
      <c r="GM46" s="980"/>
      <c r="GN46" s="980"/>
      <c r="GO46" s="980"/>
      <c r="GP46" s="980"/>
      <c r="GQ46" s="980"/>
      <c r="GR46" s="980"/>
      <c r="GS46" s="980"/>
      <c r="GT46" s="980"/>
      <c r="GU46" s="980"/>
      <c r="GV46" s="980"/>
      <c r="GW46" s="980"/>
      <c r="GX46" s="980"/>
      <c r="GY46" s="980"/>
      <c r="GZ46" s="980"/>
      <c r="HA46" s="980"/>
      <c r="HB46" s="980"/>
      <c r="HC46" s="980"/>
      <c r="HD46" s="980"/>
      <c r="HE46" s="980"/>
      <c r="HF46" s="980"/>
      <c r="HG46" s="980"/>
      <c r="HH46" s="980"/>
      <c r="HI46" s="980"/>
      <c r="HJ46" s="980"/>
      <c r="HK46" s="980"/>
      <c r="HL46" s="980"/>
      <c r="HM46" s="980"/>
      <c r="HN46" s="980"/>
      <c r="HO46" s="980"/>
      <c r="HP46" s="980"/>
      <c r="HQ46" s="980"/>
      <c r="HR46" s="980"/>
      <c r="HS46" s="980"/>
      <c r="HT46" s="980"/>
      <c r="HU46" s="980"/>
      <c r="HV46" s="980"/>
      <c r="HW46" s="980"/>
      <c r="HX46" s="980"/>
      <c r="HY46" s="980"/>
      <c r="HZ46" s="980"/>
      <c r="IA46" s="980"/>
      <c r="IB46" s="980"/>
      <c r="IC46" s="980"/>
      <c r="ID46" s="980"/>
      <c r="IE46" s="980"/>
      <c r="IF46" s="980"/>
      <c r="IG46" s="980"/>
      <c r="IH46" s="980"/>
      <c r="II46" s="980"/>
      <c r="IJ46" s="980"/>
      <c r="IK46" s="980"/>
      <c r="IL46" s="980"/>
      <c r="IM46" s="980"/>
      <c r="IN46" s="980"/>
      <c r="IO46" s="980"/>
      <c r="IP46" s="980"/>
      <c r="IQ46" s="980"/>
      <c r="IR46" s="980"/>
      <c r="IS46" s="980"/>
      <c r="IT46" s="980"/>
      <c r="IU46" s="980"/>
      <c r="IV46" s="980"/>
    </row>
    <row r="47" spans="1:256" s="409" customFormat="1" ht="12" customHeight="1" x14ac:dyDescent="0.55000000000000004">
      <c r="A47" s="398" t="str">
        <f t="shared" si="31"/>
        <v>Executive and Council3900</v>
      </c>
      <c r="B47" s="398" t="str">
        <f t="shared" si="31"/>
        <v>Finance and administration3900</v>
      </c>
      <c r="C47" s="398" t="str">
        <f t="shared" si="31"/>
        <v>Internal audit3900</v>
      </c>
      <c r="D47" s="398" t="str">
        <f t="shared" si="31"/>
        <v>Community and social services3900</v>
      </c>
      <c r="E47" s="398" t="str">
        <f t="shared" si="31"/>
        <v>Sport and recreation3900</v>
      </c>
      <c r="F47" s="398" t="str">
        <f t="shared" si="31"/>
        <v>Public safety3900</v>
      </c>
      <c r="G47" s="398" t="str">
        <f t="shared" si="31"/>
        <v>Housing3900</v>
      </c>
      <c r="H47" s="398" t="str">
        <f t="shared" si="31"/>
        <v>Health3900</v>
      </c>
      <c r="I47" s="398" t="str">
        <f t="shared" si="31"/>
        <v>Planning and development3900</v>
      </c>
      <c r="J47" s="398" t="str">
        <f t="shared" si="31"/>
        <v>Road transport3900</v>
      </c>
      <c r="K47" s="398" t="str">
        <f t="shared" si="31"/>
        <v>Environmental protection3900</v>
      </c>
      <c r="L47" s="398" t="str">
        <f t="shared" si="31"/>
        <v>Other3900</v>
      </c>
      <c r="M47" s="398" t="str">
        <f t="shared" si="31"/>
        <v>Energy sources3900</v>
      </c>
      <c r="N47" s="398" t="str">
        <f t="shared" si="31"/>
        <v>Water management3900</v>
      </c>
      <c r="O47" s="398" t="str">
        <f t="shared" si="31"/>
        <v>Waste water management3900</v>
      </c>
      <c r="P47" s="398" t="str">
        <f t="shared" si="31"/>
        <v>Waste management3900</v>
      </c>
      <c r="Q47" s="745" t="s">
        <v>750</v>
      </c>
      <c r="R47" s="745" t="s">
        <v>750</v>
      </c>
      <c r="S47" s="994"/>
      <c r="T47" s="748" t="s">
        <v>204</v>
      </c>
      <c r="U47" s="804">
        <f ca="1">SUMIF('3.Inc &amp; Exp per Function'!$D46:$D1144,'5.Cons and detailed recon'!A47,'3.Inc &amp; Exp per Function'!$U46:$U1143)</f>
        <v>0</v>
      </c>
      <c r="V47" s="804">
        <f ca="1">SUMIF('3.Inc &amp; Exp per Function'!$D46:$D1144,'5.Cons and detailed recon'!B47,'3.Inc &amp; Exp per Function'!$U46:$U1143)</f>
        <v>0</v>
      </c>
      <c r="W47" s="804">
        <f ca="1">SUMIF('3.Inc &amp; Exp per Function'!$D46:$D1144,'5.Cons and detailed recon'!C47,'3.Inc &amp; Exp per Function'!$U46:$U1143)</f>
        <v>0</v>
      </c>
      <c r="X47" s="413">
        <f t="shared" ca="1" si="32"/>
        <v>0</v>
      </c>
      <c r="Y47" s="804">
        <f ca="1">SUMIF('3.Inc &amp; Exp per Function'!$D46:$D1144,'5.Cons and detailed recon'!D47,'3.Inc &amp; Exp per Function'!$U46:$U1143)</f>
        <v>0</v>
      </c>
      <c r="Z47" s="804">
        <f ca="1">SUMIF('3.Inc &amp; Exp per Function'!$D46:$D1144,'5.Cons and detailed recon'!E47,'3.Inc &amp; Exp per Function'!$U46:$U1143)</f>
        <v>0</v>
      </c>
      <c r="AA47" s="804">
        <f ca="1">SUMIF('3.Inc &amp; Exp per Function'!$D46:$D1144,'5.Cons and detailed recon'!F47,'3.Inc &amp; Exp per Function'!$U46:$U1143)</f>
        <v>0</v>
      </c>
      <c r="AB47" s="804">
        <f ca="1">SUMIF('3.Inc &amp; Exp per Function'!$D46:$D1144,'5.Cons and detailed recon'!G47,'3.Inc &amp; Exp per Function'!$U46:$U1143)</f>
        <v>11800</v>
      </c>
      <c r="AC47" s="804">
        <f ca="1">SUMIF('3.Inc &amp; Exp per Function'!$D46:$D1144,'5.Cons and detailed recon'!H47,'3.Inc &amp; Exp per Function'!$U46:$U1143)</f>
        <v>0</v>
      </c>
      <c r="AD47" s="804">
        <f ca="1">SUMIF('3.Inc &amp; Exp per Function'!$D46:$D1144,'5.Cons and detailed recon'!I47,'3.Inc &amp; Exp per Function'!$U46:$U1143)</f>
        <v>0</v>
      </c>
      <c r="AE47" s="804">
        <f ca="1">SUMIF('3.Inc &amp; Exp per Function'!$D46:$D1144,'5.Cons and detailed recon'!J47,'3.Inc &amp; Exp per Function'!$U46:$U1143)</f>
        <v>0</v>
      </c>
      <c r="AF47" s="804">
        <f ca="1">SUMIF('3.Inc &amp; Exp per Function'!$D46:$D1144,'5.Cons and detailed recon'!K47,'3.Inc &amp; Exp per Function'!$U46:$U1143)</f>
        <v>0</v>
      </c>
      <c r="AG47" s="804">
        <f ca="1">SUMIF('3.Inc &amp; Exp per Function'!$D46:$D1144,'5.Cons and detailed recon'!L47,'3.Inc &amp; Exp per Function'!$U46:$U1143)</f>
        <v>0</v>
      </c>
      <c r="AH47" s="413">
        <f t="shared" ca="1" si="3"/>
        <v>11800</v>
      </c>
      <c r="AI47" s="804">
        <f ca="1">SUMIF('3.Inc &amp; Exp per Function'!$D46:$D1144,'5.Cons and detailed recon'!M47,'3.Inc &amp; Exp per Function'!$U46:$U1143)</f>
        <v>0</v>
      </c>
      <c r="AJ47" s="804">
        <f ca="1">SUMIF('3.Inc &amp; Exp per Function'!$D46:$D1144,'5.Cons and detailed recon'!N47,'3.Inc &amp; Exp per Function'!$U46:$U1143)</f>
        <v>0</v>
      </c>
      <c r="AK47" s="804">
        <f ca="1">SUMIF('3.Inc &amp; Exp per Function'!$D46:$D1144,'5.Cons and detailed recon'!O47,'3.Inc &amp; Exp per Function'!$U46:$U1143)</f>
        <v>0</v>
      </c>
      <c r="AL47" s="804">
        <f ca="1">SUMIF('3.Inc &amp; Exp per Function'!$D46:$D1144,'5.Cons and detailed recon'!P47,'3.Inc &amp; Exp per Function'!$U46:$U1143)</f>
        <v>0</v>
      </c>
      <c r="AM47" s="748">
        <f t="shared" ca="1" si="0"/>
        <v>0</v>
      </c>
      <c r="AN47" s="794"/>
      <c r="AO47" s="791">
        <f t="shared" ca="1" si="30"/>
        <v>11800</v>
      </c>
      <c r="AP47" s="414">
        <f>SUMIF('4.Inc &amp; Exp Summary'!A:A,'5.Cons and detailed recon'!R47,'4.Inc &amp; Exp Summary'!L:L)</f>
        <v>45677838</v>
      </c>
      <c r="AQ47" s="415">
        <f t="shared" ca="1" si="23"/>
        <v>-45666038</v>
      </c>
      <c r="AR47" s="720"/>
      <c r="AS47" s="730"/>
      <c r="AT47" s="408"/>
      <c r="AU47" s="398" t="str">
        <f t="shared" si="33"/>
        <v>Executive and Council3900</v>
      </c>
      <c r="AV47" s="398" t="str">
        <f t="shared" si="33"/>
        <v>Finance and administration3900</v>
      </c>
      <c r="AW47" s="398" t="str">
        <f t="shared" si="33"/>
        <v>Internal audit3900</v>
      </c>
      <c r="AX47" s="398" t="str">
        <f t="shared" si="33"/>
        <v>Community and social services3900</v>
      </c>
      <c r="AY47" s="398" t="str">
        <f t="shared" si="33"/>
        <v>Sport and recreation3900</v>
      </c>
      <c r="AZ47" s="398" t="str">
        <f t="shared" si="33"/>
        <v>Public safety3900</v>
      </c>
      <c r="BA47" s="398" t="str">
        <f t="shared" si="33"/>
        <v>Housing3900</v>
      </c>
      <c r="BB47" s="398" t="str">
        <f t="shared" si="33"/>
        <v>Health3900</v>
      </c>
      <c r="BC47" s="398" t="str">
        <f t="shared" si="33"/>
        <v>Planning and development3900</v>
      </c>
      <c r="BD47" s="398" t="str">
        <f t="shared" si="33"/>
        <v>Road transport3900</v>
      </c>
      <c r="BE47" s="398" t="str">
        <f t="shared" si="33"/>
        <v>Environmental protection3900</v>
      </c>
      <c r="BF47" s="398" t="str">
        <f t="shared" si="33"/>
        <v>Other3900</v>
      </c>
      <c r="BG47" s="398" t="str">
        <f t="shared" si="33"/>
        <v>Energy sources3900</v>
      </c>
      <c r="BH47" s="398" t="str">
        <f t="shared" si="33"/>
        <v>Water management3900</v>
      </c>
      <c r="BI47" s="398" t="str">
        <f t="shared" si="33"/>
        <v>Waste water management3900</v>
      </c>
      <c r="BJ47" s="398" t="str">
        <f t="shared" si="33"/>
        <v>Waste management3900</v>
      </c>
      <c r="BK47" s="745" t="s">
        <v>750</v>
      </c>
      <c r="BL47" s="745" t="s">
        <v>750</v>
      </c>
      <c r="BM47" s="735"/>
      <c r="BN47" s="748" t="s">
        <v>204</v>
      </c>
      <c r="BO47" s="751">
        <f ca="1">SUMIF('3.Inc &amp; Exp per Function'!$D47:$D1145,'5.Cons and detailed recon'!AU47,'3.Inc &amp; Exp per Function'!$V47:$V1144)</f>
        <v>0</v>
      </c>
      <c r="BP47" s="751">
        <f ca="1">SUMIF('3.Inc &amp; Exp per Function'!$D46:$D1145,'5.Cons and detailed recon'!AV47,'3.Inc &amp; Exp per Function'!$V46:$V1144)</f>
        <v>0</v>
      </c>
      <c r="BQ47" s="751">
        <f ca="1">SUMIF('3.Inc &amp; Exp per Function'!$D47:$D1145,'5.Cons and detailed recon'!AW47,'3.Inc &amp; Exp per Function'!$V47:$V1144)</f>
        <v>0</v>
      </c>
      <c r="BR47" s="413">
        <f t="shared" ca="1" si="6"/>
        <v>0</v>
      </c>
      <c r="BS47" s="751">
        <f ca="1">SUMIF('3.Inc &amp; Exp per Function'!$D46:$D1145,'5.Cons and detailed recon'!AX47,'3.Inc &amp; Exp per Function'!$V46:$V1144)</f>
        <v>0</v>
      </c>
      <c r="BT47" s="751">
        <f ca="1">SUMIF('3.Inc &amp; Exp per Function'!$D46:$D1145,'5.Cons and detailed recon'!AY47,'3.Inc &amp; Exp per Function'!$V46:$V1144)</f>
        <v>0</v>
      </c>
      <c r="BU47" s="751">
        <f ca="1">SUMIF('3.Inc &amp; Exp per Function'!$D47:$D1145,'5.Cons and detailed recon'!AZ47,'3.Inc &amp; Exp per Function'!$V47:$V1144)</f>
        <v>0</v>
      </c>
      <c r="BV47" s="751">
        <f ca="1">SUMIF('3.Inc &amp; Exp per Function'!$D47:$D1145,'5.Cons and detailed recon'!BA47,'3.Inc &amp; Exp per Function'!$V47:$V1144)</f>
        <v>12201</v>
      </c>
      <c r="BW47" s="751">
        <f ca="1">SUMIF('3.Inc &amp; Exp per Function'!$D47:$D1145,'5.Cons and detailed recon'!BB47,'3.Inc &amp; Exp per Function'!$V47:$V1144)</f>
        <v>0</v>
      </c>
      <c r="BX47" s="751">
        <f ca="1">SUMIF('3.Inc &amp; Exp per Function'!$D47:$D1145,'5.Cons and detailed recon'!BC47,'3.Inc &amp; Exp per Function'!$V47:$V1144)</f>
        <v>0</v>
      </c>
      <c r="BY47" s="751">
        <f ca="1">SUMIF('3.Inc &amp; Exp per Function'!$D47:$D1145,'5.Cons and detailed recon'!BD47,'3.Inc &amp; Exp per Function'!$V47:$V1144)</f>
        <v>0</v>
      </c>
      <c r="BZ47" s="751">
        <f ca="1">SUMIF('3.Inc &amp; Exp per Function'!$D47:$D1145,'5.Cons and detailed recon'!BE47,'3.Inc &amp; Exp per Function'!$V47:$V1144)</f>
        <v>0</v>
      </c>
      <c r="CA47" s="751">
        <f ca="1">SUMIF('3.Inc &amp; Exp per Function'!$D47:$D1145,'5.Cons and detailed recon'!BF47,'3.Inc &amp; Exp per Function'!$V47:$V1144)</f>
        <v>0</v>
      </c>
      <c r="CB47" s="413">
        <f t="shared" ca="1" si="7"/>
        <v>12201</v>
      </c>
      <c r="CC47" s="751">
        <f ca="1">SUMIF('3.Inc &amp; Exp per Function'!$D47:$D1145,'5.Cons and detailed recon'!BG47,'3.Inc &amp; Exp per Function'!$V47:$V1144)</f>
        <v>0</v>
      </c>
      <c r="CD47" s="751">
        <f ca="1">SUMIF('3.Inc &amp; Exp per Function'!$D47:$D1145,'5.Cons and detailed recon'!BH47,'3.Inc &amp; Exp per Function'!$V47:$V1144)</f>
        <v>0</v>
      </c>
      <c r="CE47" s="751">
        <f ca="1">SUMIF('3.Inc &amp; Exp per Function'!$D47:$D1145,'5.Cons and detailed recon'!BI47,'3.Inc &amp; Exp per Function'!$V47:$V1144)</f>
        <v>0</v>
      </c>
      <c r="CF47" s="751">
        <f ca="1">SUMIF('3.Inc &amp; Exp per Function'!$D47:$D1145,'5.Cons and detailed recon'!BJ47,'3.Inc &amp; Exp per Function'!$V47:$V1144)</f>
        <v>0</v>
      </c>
      <c r="CG47" s="748">
        <f t="shared" ca="1" si="8"/>
        <v>0</v>
      </c>
      <c r="CH47" s="751"/>
      <c r="CI47" s="791">
        <f t="shared" ca="1" si="9"/>
        <v>12201</v>
      </c>
      <c r="CJ47" s="411">
        <f>SUMIF('4.Inc &amp; Exp Summary'!A:A,'5.Cons and detailed recon'!R47,'4.Inc &amp; Exp Summary'!M:M)</f>
        <v>47230883</v>
      </c>
      <c r="CK47" s="415">
        <f t="shared" ca="1" si="35"/>
        <v>-47218682</v>
      </c>
      <c r="CL47" s="720"/>
      <c r="CM47" s="730"/>
      <c r="CO47" s="398" t="str">
        <f t="shared" si="34"/>
        <v>Executive and Council3900</v>
      </c>
      <c r="CP47" s="398" t="str">
        <f t="shared" si="34"/>
        <v>Finance and administration3900</v>
      </c>
      <c r="CQ47" s="398" t="str">
        <f t="shared" si="34"/>
        <v>Internal audit3900</v>
      </c>
      <c r="CR47" s="398" t="str">
        <f t="shared" si="34"/>
        <v>Community and social services3900</v>
      </c>
      <c r="CS47" s="398" t="str">
        <f t="shared" si="34"/>
        <v>Sport and recreation3900</v>
      </c>
      <c r="CT47" s="398" t="str">
        <f t="shared" si="34"/>
        <v>Public safety3900</v>
      </c>
      <c r="CU47" s="398" t="str">
        <f t="shared" si="34"/>
        <v>Housing3900</v>
      </c>
      <c r="CV47" s="398" t="str">
        <f t="shared" si="34"/>
        <v>Health3900</v>
      </c>
      <c r="CW47" s="398" t="str">
        <f t="shared" si="34"/>
        <v>Planning and development3900</v>
      </c>
      <c r="CX47" s="398" t="str">
        <f t="shared" si="34"/>
        <v>Road transport3900</v>
      </c>
      <c r="CY47" s="398" t="str">
        <f t="shared" si="34"/>
        <v>Environmental protection3900</v>
      </c>
      <c r="CZ47" s="398" t="str">
        <f t="shared" si="34"/>
        <v>Other3900</v>
      </c>
      <c r="DA47" s="398" t="str">
        <f t="shared" si="34"/>
        <v>Energy sources3900</v>
      </c>
      <c r="DB47" s="398" t="str">
        <f t="shared" si="34"/>
        <v>Water management3900</v>
      </c>
      <c r="DC47" s="398" t="str">
        <f t="shared" si="34"/>
        <v>Waste water management3900</v>
      </c>
      <c r="DD47" s="398" t="str">
        <f t="shared" si="34"/>
        <v>Waste management3900</v>
      </c>
      <c r="DE47" s="745" t="s">
        <v>750</v>
      </c>
      <c r="DF47" s="745" t="s">
        <v>750</v>
      </c>
      <c r="DG47" s="735"/>
      <c r="DH47" s="748" t="s">
        <v>204</v>
      </c>
      <c r="DI47" s="751">
        <f ca="1">SUMIF('3.Inc &amp; Exp per Function'!$D46:$D1145,'5.Cons and detailed recon'!CO47,'3.Inc &amp; Exp per Function'!$W46:$W1144)</f>
        <v>0</v>
      </c>
      <c r="DJ47" s="751">
        <f ca="1">SUMIF('3.Inc &amp; Exp per Function'!$D46:$D1144,'5.Cons and detailed recon'!CP47,'3.Inc &amp; Exp per Function'!$W46:$W1143)</f>
        <v>0</v>
      </c>
      <c r="DK47" s="751">
        <f ca="1">SUMIF('3.Inc &amp; Exp per Function'!$D46:$D1144,'5.Cons and detailed recon'!CQ47,'3.Inc &amp; Exp per Function'!$W46:$W1143)</f>
        <v>0</v>
      </c>
      <c r="DL47" s="413">
        <f t="shared" ca="1" si="11"/>
        <v>0</v>
      </c>
      <c r="DM47" s="751">
        <f ca="1">SUMIF('3.Inc &amp; Exp per Function'!$D46:$D1144,'5.Cons and detailed recon'!CR47,'3.Inc &amp; Exp per Function'!$W46:$W1143)</f>
        <v>0</v>
      </c>
      <c r="DN47" s="751">
        <f ca="1">SUMIF('3.Inc &amp; Exp per Function'!$D46:$D1144,'5.Cons and detailed recon'!CS47,'3.Inc &amp; Exp per Function'!$W46:$W1143)</f>
        <v>0</v>
      </c>
      <c r="DO47" s="751">
        <f ca="1">SUMIF('3.Inc &amp; Exp per Function'!$D46:$D1144,'5.Cons and detailed recon'!CT47,'3.Inc &amp; Exp per Function'!$W46:$W1143)</f>
        <v>0</v>
      </c>
      <c r="DP47" s="751">
        <f ca="1">SUMIF('3.Inc &amp; Exp per Function'!$D46:$D1144,'5.Cons and detailed recon'!CU47,'3.Inc &amp; Exp per Function'!$W46:$W1143)</f>
        <v>12591</v>
      </c>
      <c r="DQ47" s="751">
        <f ca="1">SUMIF('3.Inc &amp; Exp per Function'!$D46:$D1144,'5.Cons and detailed recon'!CV47,'3.Inc &amp; Exp per Function'!$W46:$W1143)</f>
        <v>0</v>
      </c>
      <c r="DR47" s="751">
        <f ca="1">SUMIF('3.Inc &amp; Exp per Function'!$D46:$D1144,'5.Cons and detailed recon'!CW47,'3.Inc &amp; Exp per Function'!$W46:$W1143)</f>
        <v>0</v>
      </c>
      <c r="DS47" s="751">
        <f ca="1">SUMIF('3.Inc &amp; Exp per Function'!$D46:$D1144,'5.Cons and detailed recon'!CX47,'3.Inc &amp; Exp per Function'!$W46:$W1143)</f>
        <v>0</v>
      </c>
      <c r="DT47" s="751">
        <f ca="1">SUMIF('3.Inc &amp; Exp per Function'!$D46:$D1144,'5.Cons and detailed recon'!CY47,'3.Inc &amp; Exp per Function'!$W46:$W1143)</f>
        <v>0</v>
      </c>
      <c r="DU47" s="751">
        <f ca="1">SUMIF('3.Inc &amp; Exp per Function'!$D46:$D1144,'5.Cons and detailed recon'!CZ47,'3.Inc &amp; Exp per Function'!$W46:$W1143)</f>
        <v>0</v>
      </c>
      <c r="DV47" s="413">
        <f t="shared" ca="1" si="12"/>
        <v>12591</v>
      </c>
      <c r="DW47" s="751">
        <f ca="1">SUMIF('3.Inc &amp; Exp per Function'!$D46:$D1144,'5.Cons and detailed recon'!DA47,'3.Inc &amp; Exp per Function'!$W46:$W1143)</f>
        <v>0</v>
      </c>
      <c r="DX47" s="751">
        <f ca="1">SUMIF('3.Inc &amp; Exp per Function'!$D46:$D1144,'5.Cons and detailed recon'!DB47,'3.Inc &amp; Exp per Function'!$W46:$W1143)</f>
        <v>0</v>
      </c>
      <c r="DY47" s="751">
        <f ca="1">SUMIF('3.Inc &amp; Exp per Function'!$D46:$D1144,'5.Cons and detailed recon'!DC47,'3.Inc &amp; Exp per Function'!$W46:$W1143)</f>
        <v>0</v>
      </c>
      <c r="DZ47" s="751">
        <f ca="1">SUMIF('3.Inc &amp; Exp per Function'!$D46:$D1144,'5.Cons and detailed recon'!DD47,'3.Inc &amp; Exp per Function'!$W46:$W1143)</f>
        <v>0</v>
      </c>
      <c r="EA47" s="748">
        <f t="shared" ca="1" si="13"/>
        <v>0</v>
      </c>
      <c r="EB47" s="794"/>
      <c r="EC47" s="791">
        <f t="shared" ca="1" si="14"/>
        <v>12591</v>
      </c>
      <c r="ED47" s="414">
        <f>SUMIF('4.Inc &amp; Exp Summary'!A:A,'5.Cons and detailed recon'!DF47,'4.Inc &amp; Exp Summary'!N:N)</f>
        <v>48742271.255999997</v>
      </c>
      <c r="EE47" s="415">
        <f t="shared" ca="1" si="15"/>
        <v>-48729680.255999997</v>
      </c>
      <c r="EF47" s="720"/>
      <c r="EG47" s="980"/>
      <c r="EH47" s="980"/>
      <c r="EI47" s="980"/>
      <c r="EJ47" s="980"/>
      <c r="EK47" s="980"/>
      <c r="EL47" s="980"/>
      <c r="EM47" s="980"/>
      <c r="EN47" s="980"/>
      <c r="EO47" s="980"/>
      <c r="EP47" s="980"/>
      <c r="EQ47" s="980"/>
      <c r="ER47" s="980"/>
      <c r="ES47" s="980"/>
      <c r="ET47" s="980"/>
      <c r="EU47" s="980"/>
      <c r="EV47" s="980"/>
      <c r="EW47" s="980"/>
      <c r="EX47" s="980"/>
      <c r="EY47" s="980"/>
      <c r="EZ47" s="980"/>
      <c r="FA47" s="980"/>
      <c r="FB47" s="980"/>
      <c r="FC47" s="980"/>
      <c r="FD47" s="980"/>
      <c r="FE47" s="980"/>
      <c r="FF47" s="980"/>
      <c r="FG47" s="980"/>
      <c r="FH47" s="980"/>
      <c r="FI47" s="980"/>
      <c r="FJ47" s="980"/>
      <c r="FK47" s="980"/>
      <c r="FL47" s="980"/>
      <c r="FM47" s="980"/>
      <c r="FN47" s="980"/>
      <c r="FO47" s="980"/>
      <c r="FP47" s="980"/>
      <c r="FQ47" s="980"/>
      <c r="FR47" s="980"/>
      <c r="FS47" s="980"/>
      <c r="FT47" s="980"/>
      <c r="FU47" s="980"/>
      <c r="FV47" s="980"/>
      <c r="FW47" s="980"/>
      <c r="FX47" s="980"/>
      <c r="FY47" s="980"/>
      <c r="FZ47" s="980"/>
      <c r="GA47" s="980"/>
      <c r="GB47" s="980"/>
      <c r="GC47" s="980"/>
      <c r="GD47" s="980"/>
      <c r="GE47" s="980"/>
      <c r="GF47" s="980"/>
      <c r="GG47" s="980"/>
      <c r="GH47" s="980"/>
      <c r="GI47" s="980"/>
      <c r="GJ47" s="980"/>
      <c r="GK47" s="980"/>
      <c r="GL47" s="980"/>
      <c r="GM47" s="980"/>
      <c r="GN47" s="980"/>
      <c r="GO47" s="980"/>
      <c r="GP47" s="980"/>
      <c r="GQ47" s="980"/>
      <c r="GR47" s="980"/>
      <c r="GS47" s="980"/>
      <c r="GT47" s="980"/>
      <c r="GU47" s="980"/>
      <c r="GV47" s="980"/>
      <c r="GW47" s="980"/>
      <c r="GX47" s="980"/>
      <c r="GY47" s="980"/>
      <c r="GZ47" s="980"/>
      <c r="HA47" s="980"/>
      <c r="HB47" s="980"/>
      <c r="HC47" s="980"/>
      <c r="HD47" s="980"/>
      <c r="HE47" s="980"/>
      <c r="HF47" s="980"/>
      <c r="HG47" s="980"/>
      <c r="HH47" s="980"/>
      <c r="HI47" s="980"/>
      <c r="HJ47" s="980"/>
      <c r="HK47" s="980"/>
      <c r="HL47" s="980"/>
      <c r="HM47" s="980"/>
      <c r="HN47" s="980"/>
      <c r="HO47" s="980"/>
      <c r="HP47" s="980"/>
      <c r="HQ47" s="980"/>
      <c r="HR47" s="980"/>
      <c r="HS47" s="980"/>
      <c r="HT47" s="980"/>
      <c r="HU47" s="980"/>
      <c r="HV47" s="980"/>
      <c r="HW47" s="980"/>
      <c r="HX47" s="980"/>
      <c r="HY47" s="980"/>
      <c r="HZ47" s="980"/>
      <c r="IA47" s="980"/>
      <c r="IB47" s="980"/>
      <c r="IC47" s="980"/>
      <c r="ID47" s="980"/>
      <c r="IE47" s="980"/>
      <c r="IF47" s="980"/>
      <c r="IG47" s="980"/>
      <c r="IH47" s="980"/>
      <c r="II47" s="980"/>
      <c r="IJ47" s="980"/>
      <c r="IK47" s="980"/>
      <c r="IL47" s="980"/>
      <c r="IM47" s="980"/>
      <c r="IN47" s="980"/>
      <c r="IO47" s="980"/>
      <c r="IP47" s="980"/>
      <c r="IQ47" s="980"/>
      <c r="IR47" s="980"/>
      <c r="IS47" s="980"/>
      <c r="IT47" s="980"/>
      <c r="IU47" s="980"/>
      <c r="IV47" s="980"/>
    </row>
    <row r="48" spans="1:256" s="409" customFormat="1" ht="12" customHeight="1" x14ac:dyDescent="0.55000000000000004">
      <c r="A48" s="398" t="str">
        <f t="shared" si="31"/>
        <v>Executive and Council4000</v>
      </c>
      <c r="B48" s="398" t="str">
        <f t="shared" si="31"/>
        <v>Finance and administration4000</v>
      </c>
      <c r="C48" s="398" t="str">
        <f t="shared" si="31"/>
        <v>Internal audit4000</v>
      </c>
      <c r="D48" s="398" t="str">
        <f t="shared" si="31"/>
        <v>Community and social services4000</v>
      </c>
      <c r="E48" s="398" t="str">
        <f t="shared" si="31"/>
        <v>Sport and recreation4000</v>
      </c>
      <c r="F48" s="398" t="str">
        <f t="shared" si="31"/>
        <v>Public safety4000</v>
      </c>
      <c r="G48" s="398" t="str">
        <f t="shared" si="31"/>
        <v>Housing4000</v>
      </c>
      <c r="H48" s="398" t="str">
        <f t="shared" si="31"/>
        <v>Health4000</v>
      </c>
      <c r="I48" s="398" t="str">
        <f t="shared" si="31"/>
        <v>Planning and development4000</v>
      </c>
      <c r="J48" s="398" t="str">
        <f t="shared" si="31"/>
        <v>Road transport4000</v>
      </c>
      <c r="K48" s="398" t="str">
        <f t="shared" si="31"/>
        <v>Environmental protection4000</v>
      </c>
      <c r="L48" s="398" t="str">
        <f t="shared" si="31"/>
        <v>Other4000</v>
      </c>
      <c r="M48" s="398" t="str">
        <f t="shared" si="31"/>
        <v>Energy sources4000</v>
      </c>
      <c r="N48" s="398" t="str">
        <f t="shared" si="31"/>
        <v>Water management4000</v>
      </c>
      <c r="O48" s="398" t="str">
        <f t="shared" si="31"/>
        <v>Waste water management4000</v>
      </c>
      <c r="P48" s="398" t="str">
        <f t="shared" si="31"/>
        <v>Waste management4000</v>
      </c>
      <c r="Q48" s="745" t="s">
        <v>752</v>
      </c>
      <c r="R48" s="745" t="s">
        <v>752</v>
      </c>
      <c r="S48" s="994"/>
      <c r="T48" s="748" t="s">
        <v>754</v>
      </c>
      <c r="U48" s="804">
        <f ca="1">SUMIF('3.Inc &amp; Exp per Function'!$D47:$D1145,'5.Cons and detailed recon'!A48,'3.Inc &amp; Exp per Function'!$U47:$U1144)</f>
        <v>0</v>
      </c>
      <c r="V48" s="804">
        <f ca="1">SUMIF('3.Inc &amp; Exp per Function'!$D47:$D1145,'5.Cons and detailed recon'!B48,'3.Inc &amp; Exp per Function'!$U47:$U1144)</f>
        <v>996000</v>
      </c>
      <c r="W48" s="804">
        <f ca="1">SUMIF('3.Inc &amp; Exp per Function'!$D47:$D1145,'5.Cons and detailed recon'!C48,'3.Inc &amp; Exp per Function'!$U47:$U1144)</f>
        <v>0</v>
      </c>
      <c r="X48" s="413">
        <f t="shared" ca="1" si="32"/>
        <v>996000</v>
      </c>
      <c r="Y48" s="804">
        <f ca="1">SUMIF('3.Inc &amp; Exp per Function'!$D47:$D1145,'5.Cons and detailed recon'!D48,'3.Inc &amp; Exp per Function'!$U47:$U1144)</f>
        <v>0</v>
      </c>
      <c r="Z48" s="804">
        <f ca="1">SUMIF('3.Inc &amp; Exp per Function'!$D47:$D1145,'5.Cons and detailed recon'!E48,'3.Inc &amp; Exp per Function'!$U47:$U1144)</f>
        <v>0</v>
      </c>
      <c r="AA48" s="804">
        <f ca="1">SUMIF('3.Inc &amp; Exp per Function'!$D47:$D1145,'5.Cons and detailed recon'!F48,'3.Inc &amp; Exp per Function'!$U47:$U1144)</f>
        <v>0</v>
      </c>
      <c r="AB48" s="804">
        <f ca="1">SUMIF('3.Inc &amp; Exp per Function'!$D47:$D1145,'5.Cons and detailed recon'!G48,'3.Inc &amp; Exp per Function'!$U47:$U1144)</f>
        <v>0</v>
      </c>
      <c r="AC48" s="804">
        <f ca="1">SUMIF('3.Inc &amp; Exp per Function'!$D47:$D1145,'5.Cons and detailed recon'!H48,'3.Inc &amp; Exp per Function'!$U47:$U1144)</f>
        <v>0</v>
      </c>
      <c r="AD48" s="804">
        <f ca="1">SUMIF('3.Inc &amp; Exp per Function'!$D47:$D1145,'5.Cons and detailed recon'!I48,'3.Inc &amp; Exp per Function'!$U47:$U1144)</f>
        <v>0</v>
      </c>
      <c r="AE48" s="804">
        <f ca="1">SUMIF('3.Inc &amp; Exp per Function'!$D47:$D1145,'5.Cons and detailed recon'!J48,'3.Inc &amp; Exp per Function'!$U47:$U1144)</f>
        <v>0</v>
      </c>
      <c r="AF48" s="804">
        <f ca="1">SUMIF('3.Inc &amp; Exp per Function'!$D47:$D1145,'5.Cons and detailed recon'!K48,'3.Inc &amp; Exp per Function'!$U47:$U1144)</f>
        <v>0</v>
      </c>
      <c r="AG48" s="804">
        <f ca="1">SUMIF('3.Inc &amp; Exp per Function'!$D47:$D1145,'5.Cons and detailed recon'!L48,'3.Inc &amp; Exp per Function'!$U47:$U1144)</f>
        <v>0</v>
      </c>
      <c r="AH48" s="413">
        <f t="shared" ca="1" si="3"/>
        <v>0</v>
      </c>
      <c r="AI48" s="804">
        <f ca="1">SUMIF('3.Inc &amp; Exp per Function'!$D47:$D1145,'5.Cons and detailed recon'!M48,'3.Inc &amp; Exp per Function'!$U47:$U1144)</f>
        <v>14000</v>
      </c>
      <c r="AJ48" s="804">
        <f ca="1">SUMIF('3.Inc &amp; Exp per Function'!$D47:$D1145,'5.Cons and detailed recon'!N48,'3.Inc &amp; Exp per Function'!$U47:$U1144)</f>
        <v>8548000</v>
      </c>
      <c r="AK48" s="804">
        <f ca="1">SUMIF('3.Inc &amp; Exp per Function'!$D47:$D1145,'5.Cons and detailed recon'!O48,'3.Inc &amp; Exp per Function'!$U47:$U1144)</f>
        <v>0</v>
      </c>
      <c r="AL48" s="804">
        <f ca="1">SUMIF('3.Inc &amp; Exp per Function'!$D47:$D1145,'5.Cons and detailed recon'!P48,'3.Inc &amp; Exp per Function'!$U47:$U1144)</f>
        <v>3452000</v>
      </c>
      <c r="AM48" s="748">
        <f t="shared" ca="1" si="0"/>
        <v>12014000</v>
      </c>
      <c r="AN48" s="794"/>
      <c r="AO48" s="791">
        <f t="shared" ca="1" si="30"/>
        <v>13010000</v>
      </c>
      <c r="AP48" s="414">
        <f>SUMIF('4.Inc &amp; Exp Summary'!A:A,'5.Cons and detailed recon'!R48,'4.Inc &amp; Exp Summary'!L:L)</f>
        <v>66568331</v>
      </c>
      <c r="AQ48" s="415">
        <f t="shared" ca="1" si="23"/>
        <v>-53558331</v>
      </c>
      <c r="AR48" s="720"/>
      <c r="AS48" s="730"/>
      <c r="AT48" s="408"/>
      <c r="AU48" s="398" t="str">
        <f t="shared" si="33"/>
        <v>Executive and Council4000</v>
      </c>
      <c r="AV48" s="398" t="str">
        <f t="shared" si="33"/>
        <v>Finance and administration4000</v>
      </c>
      <c r="AW48" s="398" t="str">
        <f t="shared" si="33"/>
        <v>Internal audit4000</v>
      </c>
      <c r="AX48" s="398" t="str">
        <f t="shared" si="33"/>
        <v>Community and social services4000</v>
      </c>
      <c r="AY48" s="398" t="str">
        <f t="shared" si="33"/>
        <v>Sport and recreation4000</v>
      </c>
      <c r="AZ48" s="398" t="str">
        <f t="shared" si="33"/>
        <v>Public safety4000</v>
      </c>
      <c r="BA48" s="398" t="str">
        <f t="shared" si="33"/>
        <v>Housing4000</v>
      </c>
      <c r="BB48" s="398" t="str">
        <f t="shared" si="33"/>
        <v>Health4000</v>
      </c>
      <c r="BC48" s="398" t="str">
        <f t="shared" si="33"/>
        <v>Planning and development4000</v>
      </c>
      <c r="BD48" s="398" t="str">
        <f t="shared" si="33"/>
        <v>Road transport4000</v>
      </c>
      <c r="BE48" s="398" t="str">
        <f t="shared" si="33"/>
        <v>Environmental protection4000</v>
      </c>
      <c r="BF48" s="398" t="str">
        <f t="shared" si="33"/>
        <v>Other4000</v>
      </c>
      <c r="BG48" s="398" t="str">
        <f t="shared" si="33"/>
        <v>Energy sources4000</v>
      </c>
      <c r="BH48" s="398" t="str">
        <f t="shared" si="33"/>
        <v>Water management4000</v>
      </c>
      <c r="BI48" s="398" t="str">
        <f t="shared" si="33"/>
        <v>Waste water management4000</v>
      </c>
      <c r="BJ48" s="398" t="str">
        <f t="shared" si="33"/>
        <v>Waste management4000</v>
      </c>
      <c r="BK48" s="745" t="s">
        <v>752</v>
      </c>
      <c r="BL48" s="745" t="s">
        <v>752</v>
      </c>
      <c r="BM48" s="735"/>
      <c r="BN48" s="748" t="s">
        <v>754</v>
      </c>
      <c r="BO48" s="751">
        <f ca="1">SUMIF('3.Inc &amp; Exp per Function'!$D48:$D1146,'5.Cons and detailed recon'!AU48,'3.Inc &amp; Exp per Function'!$V48:$V1145)</f>
        <v>0</v>
      </c>
      <c r="BP48" s="751">
        <f ca="1">SUMIF('3.Inc &amp; Exp per Function'!$D47:$D1146,'5.Cons and detailed recon'!AV48,'3.Inc &amp; Exp per Function'!$V47:$V1145)</f>
        <v>1029864</v>
      </c>
      <c r="BQ48" s="751">
        <f ca="1">SUMIF('3.Inc &amp; Exp per Function'!$D48:$D1146,'5.Cons and detailed recon'!AW48,'3.Inc &amp; Exp per Function'!$V48:$V1145)</f>
        <v>0</v>
      </c>
      <c r="BR48" s="413">
        <f t="shared" ca="1" si="6"/>
        <v>1029864</v>
      </c>
      <c r="BS48" s="751">
        <f ca="1">SUMIF('3.Inc &amp; Exp per Function'!$D47:$D1146,'5.Cons and detailed recon'!AX48,'3.Inc &amp; Exp per Function'!$V47:$V1145)</f>
        <v>0</v>
      </c>
      <c r="BT48" s="751">
        <f ca="1">SUMIF('3.Inc &amp; Exp per Function'!$D47:$D1146,'5.Cons and detailed recon'!AY48,'3.Inc &amp; Exp per Function'!$V47:$V1145)</f>
        <v>0</v>
      </c>
      <c r="BU48" s="751">
        <f ca="1">SUMIF('3.Inc &amp; Exp per Function'!$D48:$D1146,'5.Cons and detailed recon'!AZ48,'3.Inc &amp; Exp per Function'!$V48:$V1145)</f>
        <v>0</v>
      </c>
      <c r="BV48" s="751">
        <f ca="1">SUMIF('3.Inc &amp; Exp per Function'!$D48:$D1146,'5.Cons and detailed recon'!BA48,'3.Inc &amp; Exp per Function'!$V48:$V1145)</f>
        <v>0</v>
      </c>
      <c r="BW48" s="751">
        <f ca="1">SUMIF('3.Inc &amp; Exp per Function'!$D48:$D1146,'5.Cons and detailed recon'!BB48,'3.Inc &amp; Exp per Function'!$V48:$V1145)</f>
        <v>0</v>
      </c>
      <c r="BX48" s="751">
        <f ca="1">SUMIF('3.Inc &amp; Exp per Function'!$D48:$D1146,'5.Cons and detailed recon'!BC48,'3.Inc &amp; Exp per Function'!$V48:$V1145)</f>
        <v>0</v>
      </c>
      <c r="BY48" s="751">
        <f ca="1">SUMIF('3.Inc &amp; Exp per Function'!$D48:$D1146,'5.Cons and detailed recon'!BD48,'3.Inc &amp; Exp per Function'!$V48:$V1145)</f>
        <v>0</v>
      </c>
      <c r="BZ48" s="751">
        <f ca="1">SUMIF('3.Inc &amp; Exp per Function'!$D48:$D1146,'5.Cons and detailed recon'!BE48,'3.Inc &amp; Exp per Function'!$V48:$V1145)</f>
        <v>0</v>
      </c>
      <c r="CA48" s="751">
        <f ca="1">SUMIF('3.Inc &amp; Exp per Function'!$D48:$D1146,'5.Cons and detailed recon'!BF48,'3.Inc &amp; Exp per Function'!$V48:$V1145)</f>
        <v>0</v>
      </c>
      <c r="CB48" s="413">
        <f t="shared" ca="1" si="7"/>
        <v>0</v>
      </c>
      <c r="CC48" s="751">
        <f ca="1">SUMIF('3.Inc &amp; Exp per Function'!$D48:$D1146,'5.Cons and detailed recon'!BG48,'3.Inc &amp; Exp per Function'!$V48:$V1145)</f>
        <v>14476</v>
      </c>
      <c r="CD48" s="751">
        <f ca="1">SUMIF('3.Inc &amp; Exp per Function'!$D48:$D1146,'5.Cons and detailed recon'!BH48,'3.Inc &amp; Exp per Function'!$V48:$V1145)</f>
        <v>8838632</v>
      </c>
      <c r="CE48" s="751">
        <f ca="1">SUMIF('3.Inc &amp; Exp per Function'!$D48:$D1146,'5.Cons and detailed recon'!BI48,'3.Inc &amp; Exp per Function'!$V48:$V1145)</f>
        <v>0</v>
      </c>
      <c r="CF48" s="751">
        <f ca="1">SUMIF('3.Inc &amp; Exp per Function'!$D48:$D1146,'5.Cons and detailed recon'!BJ48,'3.Inc &amp; Exp per Function'!$V48:$V1145)</f>
        <v>3569368</v>
      </c>
      <c r="CG48" s="748">
        <f t="shared" ca="1" si="8"/>
        <v>12422476</v>
      </c>
      <c r="CH48" s="751"/>
      <c r="CI48" s="791">
        <f t="shared" ca="1" si="9"/>
        <v>13452340</v>
      </c>
      <c r="CJ48" s="411">
        <f>SUMIF('4.Inc &amp; Exp Summary'!A:A,'5.Cons and detailed recon'!R48,'4.Inc &amp; Exp Summary'!M:M)</f>
        <v>68831710</v>
      </c>
      <c r="CK48" s="415">
        <f t="shared" ca="1" si="35"/>
        <v>-55379370</v>
      </c>
      <c r="CL48" s="720"/>
      <c r="CM48" s="730"/>
      <c r="CO48" s="398" t="str">
        <f t="shared" si="34"/>
        <v>Executive and Council4000</v>
      </c>
      <c r="CP48" s="398" t="str">
        <f t="shared" si="34"/>
        <v>Finance and administration4000</v>
      </c>
      <c r="CQ48" s="398" t="str">
        <f t="shared" si="34"/>
        <v>Internal audit4000</v>
      </c>
      <c r="CR48" s="398" t="str">
        <f t="shared" si="34"/>
        <v>Community and social services4000</v>
      </c>
      <c r="CS48" s="398" t="str">
        <f t="shared" si="34"/>
        <v>Sport and recreation4000</v>
      </c>
      <c r="CT48" s="398" t="str">
        <f t="shared" si="34"/>
        <v>Public safety4000</v>
      </c>
      <c r="CU48" s="398" t="str">
        <f t="shared" si="34"/>
        <v>Housing4000</v>
      </c>
      <c r="CV48" s="398" t="str">
        <f t="shared" si="34"/>
        <v>Health4000</v>
      </c>
      <c r="CW48" s="398" t="str">
        <f t="shared" si="34"/>
        <v>Planning and development4000</v>
      </c>
      <c r="CX48" s="398" t="str">
        <f t="shared" si="34"/>
        <v>Road transport4000</v>
      </c>
      <c r="CY48" s="398" t="str">
        <f t="shared" si="34"/>
        <v>Environmental protection4000</v>
      </c>
      <c r="CZ48" s="398" t="str">
        <f t="shared" si="34"/>
        <v>Other4000</v>
      </c>
      <c r="DA48" s="398" t="str">
        <f t="shared" si="34"/>
        <v>Energy sources4000</v>
      </c>
      <c r="DB48" s="398" t="str">
        <f t="shared" si="34"/>
        <v>Water management4000</v>
      </c>
      <c r="DC48" s="398" t="str">
        <f t="shared" si="34"/>
        <v>Waste water management4000</v>
      </c>
      <c r="DD48" s="398" t="str">
        <f t="shared" si="34"/>
        <v>Waste management4000</v>
      </c>
      <c r="DE48" s="745" t="s">
        <v>752</v>
      </c>
      <c r="DF48" s="745" t="s">
        <v>752</v>
      </c>
      <c r="DG48" s="735"/>
      <c r="DH48" s="748" t="s">
        <v>754</v>
      </c>
      <c r="DI48" s="751">
        <f ca="1">SUMIF('3.Inc &amp; Exp per Function'!$D47:$D1146,'5.Cons and detailed recon'!CO48,'3.Inc &amp; Exp per Function'!$W47:$W1145)</f>
        <v>0</v>
      </c>
      <c r="DJ48" s="751">
        <f ca="1">SUMIF('3.Inc &amp; Exp per Function'!$D47:$D1145,'5.Cons and detailed recon'!CP48,'3.Inc &amp; Exp per Function'!$W47:$W1144)</f>
        <v>1062820</v>
      </c>
      <c r="DK48" s="751">
        <f ca="1">SUMIF('3.Inc &amp; Exp per Function'!$D47:$D1145,'5.Cons and detailed recon'!CQ48,'3.Inc &amp; Exp per Function'!$W47:$W1144)</f>
        <v>0</v>
      </c>
      <c r="DL48" s="413">
        <f t="shared" ca="1" si="11"/>
        <v>1062820</v>
      </c>
      <c r="DM48" s="751">
        <f ca="1">SUMIF('3.Inc &amp; Exp per Function'!$D47:$D1145,'5.Cons and detailed recon'!CR48,'3.Inc &amp; Exp per Function'!$W47:$W1144)</f>
        <v>0</v>
      </c>
      <c r="DN48" s="751">
        <f ca="1">SUMIF('3.Inc &amp; Exp per Function'!$D47:$D1145,'5.Cons and detailed recon'!CS48,'3.Inc &amp; Exp per Function'!$W47:$W1144)</f>
        <v>0</v>
      </c>
      <c r="DO48" s="751">
        <f ca="1">SUMIF('3.Inc &amp; Exp per Function'!$D47:$D1145,'5.Cons and detailed recon'!CT48,'3.Inc &amp; Exp per Function'!$W47:$W1144)</f>
        <v>0</v>
      </c>
      <c r="DP48" s="751">
        <f ca="1">SUMIF('3.Inc &amp; Exp per Function'!$D47:$D1145,'5.Cons and detailed recon'!CU48,'3.Inc &amp; Exp per Function'!$W47:$W1144)</f>
        <v>0</v>
      </c>
      <c r="DQ48" s="751">
        <f ca="1">SUMIF('3.Inc &amp; Exp per Function'!$D47:$D1145,'5.Cons and detailed recon'!CV48,'3.Inc &amp; Exp per Function'!$W47:$W1144)</f>
        <v>0</v>
      </c>
      <c r="DR48" s="751">
        <f ca="1">SUMIF('3.Inc &amp; Exp per Function'!$D47:$D1145,'5.Cons and detailed recon'!CW48,'3.Inc &amp; Exp per Function'!$W47:$W1144)</f>
        <v>0</v>
      </c>
      <c r="DS48" s="751">
        <f ca="1">SUMIF('3.Inc &amp; Exp per Function'!$D47:$D1145,'5.Cons and detailed recon'!CX48,'3.Inc &amp; Exp per Function'!$W47:$W1144)</f>
        <v>0</v>
      </c>
      <c r="DT48" s="751">
        <f ca="1">SUMIF('3.Inc &amp; Exp per Function'!$D47:$D1145,'5.Cons and detailed recon'!CY48,'3.Inc &amp; Exp per Function'!$W47:$W1144)</f>
        <v>0</v>
      </c>
      <c r="DU48" s="751">
        <f ca="1">SUMIF('3.Inc &amp; Exp per Function'!$D47:$D1145,'5.Cons and detailed recon'!CZ48,'3.Inc &amp; Exp per Function'!$W47:$W1144)</f>
        <v>0</v>
      </c>
      <c r="DV48" s="413">
        <f t="shared" ca="1" si="12"/>
        <v>0</v>
      </c>
      <c r="DW48" s="751">
        <f ca="1">SUMIF('3.Inc &amp; Exp per Function'!$D47:$D1145,'5.Cons and detailed recon'!DA48,'3.Inc &amp; Exp per Function'!$W47:$W1144)</f>
        <v>14939</v>
      </c>
      <c r="DX48" s="751">
        <f ca="1">SUMIF('3.Inc &amp; Exp per Function'!$D47:$D1145,'5.Cons and detailed recon'!DB48,'3.Inc &amp; Exp per Function'!$W47:$W1144)</f>
        <v>9121468</v>
      </c>
      <c r="DY48" s="751">
        <f ca="1">SUMIF('3.Inc &amp; Exp per Function'!$D47:$D1145,'5.Cons and detailed recon'!DC48,'3.Inc &amp; Exp per Function'!$W47:$W1144)</f>
        <v>0</v>
      </c>
      <c r="DZ48" s="751">
        <f ca="1">SUMIF('3.Inc &amp; Exp per Function'!$D47:$D1145,'5.Cons and detailed recon'!DD48,'3.Inc &amp; Exp per Function'!$W47:$W1144)</f>
        <v>3683588</v>
      </c>
      <c r="EA48" s="748">
        <f t="shared" ca="1" si="13"/>
        <v>12819995</v>
      </c>
      <c r="EB48" s="794"/>
      <c r="EC48" s="791">
        <f t="shared" ca="1" si="14"/>
        <v>13882815</v>
      </c>
      <c r="ED48" s="414">
        <f>SUMIF('4.Inc &amp; Exp Summary'!A:A,'5.Cons and detailed recon'!DF48,'4.Inc &amp; Exp Summary'!N:N)</f>
        <v>71034324.719999865</v>
      </c>
      <c r="EE48" s="415">
        <f t="shared" ca="1" si="15"/>
        <v>-57151509.719999865</v>
      </c>
      <c r="EF48" s="720"/>
      <c r="EG48" s="980"/>
      <c r="EH48" s="980"/>
      <c r="EI48" s="980"/>
      <c r="EJ48" s="980"/>
      <c r="EK48" s="980"/>
      <c r="EL48" s="980"/>
      <c r="EM48" s="980"/>
      <c r="EN48" s="980"/>
      <c r="EO48" s="980"/>
      <c r="EP48" s="980"/>
      <c r="EQ48" s="980"/>
      <c r="ER48" s="980"/>
      <c r="ES48" s="980"/>
      <c r="ET48" s="980"/>
      <c r="EU48" s="980"/>
      <c r="EV48" s="980"/>
      <c r="EW48" s="980"/>
      <c r="EX48" s="980"/>
      <c r="EY48" s="980"/>
      <c r="EZ48" s="980"/>
      <c r="FA48" s="980"/>
      <c r="FB48" s="980"/>
      <c r="FC48" s="980"/>
      <c r="FD48" s="980"/>
      <c r="FE48" s="980"/>
      <c r="FF48" s="980"/>
      <c r="FG48" s="980"/>
      <c r="FH48" s="980"/>
      <c r="FI48" s="980"/>
      <c r="FJ48" s="980"/>
      <c r="FK48" s="980"/>
      <c r="FL48" s="980"/>
      <c r="FM48" s="980"/>
      <c r="FN48" s="980"/>
      <c r="FO48" s="980"/>
      <c r="FP48" s="980"/>
      <c r="FQ48" s="980"/>
      <c r="FR48" s="980"/>
      <c r="FS48" s="980"/>
      <c r="FT48" s="980"/>
      <c r="FU48" s="980"/>
      <c r="FV48" s="980"/>
      <c r="FW48" s="980"/>
      <c r="FX48" s="980"/>
      <c r="FY48" s="980"/>
      <c r="FZ48" s="980"/>
      <c r="GA48" s="980"/>
      <c r="GB48" s="980"/>
      <c r="GC48" s="980"/>
      <c r="GD48" s="980"/>
      <c r="GE48" s="980"/>
      <c r="GF48" s="980"/>
      <c r="GG48" s="980"/>
      <c r="GH48" s="980"/>
      <c r="GI48" s="980"/>
      <c r="GJ48" s="980"/>
      <c r="GK48" s="980"/>
      <c r="GL48" s="980"/>
      <c r="GM48" s="980"/>
      <c r="GN48" s="980"/>
      <c r="GO48" s="980"/>
      <c r="GP48" s="980"/>
      <c r="GQ48" s="980"/>
      <c r="GR48" s="980"/>
      <c r="GS48" s="980"/>
      <c r="GT48" s="980"/>
      <c r="GU48" s="980"/>
      <c r="GV48" s="980"/>
      <c r="GW48" s="980"/>
      <c r="GX48" s="980"/>
      <c r="GY48" s="980"/>
      <c r="GZ48" s="980"/>
      <c r="HA48" s="980"/>
      <c r="HB48" s="980"/>
      <c r="HC48" s="980"/>
      <c r="HD48" s="980"/>
      <c r="HE48" s="980"/>
      <c r="HF48" s="980"/>
      <c r="HG48" s="980"/>
      <c r="HH48" s="980"/>
      <c r="HI48" s="980"/>
      <c r="HJ48" s="980"/>
      <c r="HK48" s="980"/>
      <c r="HL48" s="980"/>
      <c r="HM48" s="980"/>
      <c r="HN48" s="980"/>
      <c r="HO48" s="980"/>
      <c r="HP48" s="980"/>
      <c r="HQ48" s="980"/>
      <c r="HR48" s="980"/>
      <c r="HS48" s="980"/>
      <c r="HT48" s="980"/>
      <c r="HU48" s="980"/>
      <c r="HV48" s="980"/>
      <c r="HW48" s="980"/>
      <c r="HX48" s="980"/>
      <c r="HY48" s="980"/>
      <c r="HZ48" s="980"/>
      <c r="IA48" s="980"/>
      <c r="IB48" s="980"/>
      <c r="IC48" s="980"/>
      <c r="ID48" s="980"/>
      <c r="IE48" s="980"/>
      <c r="IF48" s="980"/>
      <c r="IG48" s="980"/>
      <c r="IH48" s="980"/>
      <c r="II48" s="980"/>
      <c r="IJ48" s="980"/>
      <c r="IK48" s="980"/>
      <c r="IL48" s="980"/>
      <c r="IM48" s="980"/>
      <c r="IN48" s="980"/>
      <c r="IO48" s="980"/>
      <c r="IP48" s="980"/>
      <c r="IQ48" s="980"/>
      <c r="IR48" s="980"/>
      <c r="IS48" s="980"/>
      <c r="IT48" s="980"/>
      <c r="IU48" s="980"/>
      <c r="IV48" s="980"/>
    </row>
    <row r="49" spans="1:256" s="409" customFormat="1" ht="12" customHeight="1" x14ac:dyDescent="0.55000000000000004">
      <c r="A49" s="398" t="str">
        <f t="shared" si="31"/>
        <v>Executive and Council4100</v>
      </c>
      <c r="B49" s="398" t="str">
        <f t="shared" si="31"/>
        <v>Finance and administration4100</v>
      </c>
      <c r="C49" s="398" t="str">
        <f t="shared" si="31"/>
        <v>Internal audit4100</v>
      </c>
      <c r="D49" s="398" t="str">
        <f t="shared" si="31"/>
        <v>Community and social services4100</v>
      </c>
      <c r="E49" s="398" t="str">
        <f t="shared" si="31"/>
        <v>Sport and recreation4100</v>
      </c>
      <c r="F49" s="398" t="str">
        <f t="shared" si="31"/>
        <v>Public safety4100</v>
      </c>
      <c r="G49" s="398" t="str">
        <f t="shared" si="31"/>
        <v>Housing4100</v>
      </c>
      <c r="H49" s="398" t="str">
        <f t="shared" si="31"/>
        <v>Health4100</v>
      </c>
      <c r="I49" s="398" t="str">
        <f t="shared" si="31"/>
        <v>Planning and development4100</v>
      </c>
      <c r="J49" s="398" t="str">
        <f t="shared" si="31"/>
        <v>Road transport4100</v>
      </c>
      <c r="K49" s="398" t="str">
        <f t="shared" si="31"/>
        <v>Environmental protection4100</v>
      </c>
      <c r="L49" s="398" t="str">
        <f t="shared" si="31"/>
        <v>Other4100</v>
      </c>
      <c r="M49" s="398" t="str">
        <f t="shared" si="31"/>
        <v>Energy sources4100</v>
      </c>
      <c r="N49" s="398" t="str">
        <f t="shared" si="31"/>
        <v>Water management4100</v>
      </c>
      <c r="O49" s="398" t="str">
        <f t="shared" si="31"/>
        <v>Waste water management4100</v>
      </c>
      <c r="P49" s="398" t="str">
        <f t="shared" si="31"/>
        <v>Waste management4100</v>
      </c>
      <c r="Q49" s="745" t="s">
        <v>755</v>
      </c>
      <c r="R49" s="745" t="s">
        <v>755</v>
      </c>
      <c r="S49" s="994"/>
      <c r="T49" s="748" t="s">
        <v>757</v>
      </c>
      <c r="U49" s="804">
        <f ca="1">SUMIF('3.Inc &amp; Exp per Function'!$D48:$D1146,'5.Cons and detailed recon'!A49,'3.Inc &amp; Exp per Function'!$U48:$U1145)</f>
        <v>843930</v>
      </c>
      <c r="V49" s="804">
        <f ca="1">SUMIF('3.Inc &amp; Exp per Function'!$D48:$D1146,'5.Cons and detailed recon'!B49,'3.Inc &amp; Exp per Function'!$U48:$U1145)</f>
        <v>40111148</v>
      </c>
      <c r="W49" s="804">
        <f ca="1">SUMIF('3.Inc &amp; Exp per Function'!$D48:$D1146,'5.Cons and detailed recon'!C49,'3.Inc &amp; Exp per Function'!$U48:$U1145)</f>
        <v>29300</v>
      </c>
      <c r="X49" s="413">
        <f t="shared" ca="1" si="32"/>
        <v>40984378</v>
      </c>
      <c r="Y49" s="804">
        <f ca="1">SUMIF('3.Inc &amp; Exp per Function'!$D48:$D1146,'5.Cons and detailed recon'!D49,'3.Inc &amp; Exp per Function'!$U48:$U1145)</f>
        <v>380794</v>
      </c>
      <c r="Z49" s="804">
        <f ca="1">SUMIF('3.Inc &amp; Exp per Function'!$D48:$D1146,'5.Cons and detailed recon'!E49,'3.Inc &amp; Exp per Function'!$U48:$U1145)</f>
        <v>527636</v>
      </c>
      <c r="AA49" s="804">
        <f ca="1">SUMIF('3.Inc &amp; Exp per Function'!$D48:$D1146,'5.Cons and detailed recon'!F49,'3.Inc &amp; Exp per Function'!$U48:$U1145)</f>
        <v>2001210</v>
      </c>
      <c r="AB49" s="804">
        <f ca="1">SUMIF('3.Inc &amp; Exp per Function'!$D48:$D1146,'5.Cons and detailed recon'!G49,'3.Inc &amp; Exp per Function'!$U48:$U1145)</f>
        <v>1523457</v>
      </c>
      <c r="AC49" s="804">
        <f ca="1">SUMIF('3.Inc &amp; Exp per Function'!$D48:$D1146,'5.Cons and detailed recon'!H49,'3.Inc &amp; Exp per Function'!$U48:$U1145)</f>
        <v>0</v>
      </c>
      <c r="AD49" s="804">
        <f ca="1">SUMIF('3.Inc &amp; Exp per Function'!$D48:$D1146,'5.Cons and detailed recon'!I49,'3.Inc &amp; Exp per Function'!$U48:$U1145)</f>
        <v>1889657</v>
      </c>
      <c r="AE49" s="804">
        <f ca="1">SUMIF('3.Inc &amp; Exp per Function'!$D48:$D1146,'5.Cons and detailed recon'!J49,'3.Inc &amp; Exp per Function'!$U48:$U1145)</f>
        <v>2944832</v>
      </c>
      <c r="AF49" s="804">
        <f ca="1">SUMIF('3.Inc &amp; Exp per Function'!$D48:$D1146,'5.Cons and detailed recon'!K49,'3.Inc &amp; Exp per Function'!$U48:$U1145)</f>
        <v>0</v>
      </c>
      <c r="AG49" s="804">
        <f ca="1">SUMIF('3.Inc &amp; Exp per Function'!$D48:$D1146,'5.Cons and detailed recon'!L49,'3.Inc &amp; Exp per Function'!$U48:$U1145)</f>
        <v>59500</v>
      </c>
      <c r="AH49" s="413">
        <f t="shared" ca="1" si="3"/>
        <v>9327086</v>
      </c>
      <c r="AI49" s="804">
        <f ca="1">SUMIF('3.Inc &amp; Exp per Function'!$D48:$D1146,'5.Cons and detailed recon'!M49,'3.Inc &amp; Exp per Function'!$U48:$U1145)</f>
        <v>10119097</v>
      </c>
      <c r="AJ49" s="804">
        <f ca="1">SUMIF('3.Inc &amp; Exp per Function'!$D48:$D1146,'5.Cons and detailed recon'!N49,'3.Inc &amp; Exp per Function'!$U48:$U1145)</f>
        <v>11008552</v>
      </c>
      <c r="AK49" s="804">
        <f ca="1">SUMIF('3.Inc &amp; Exp per Function'!$D48:$D1146,'5.Cons and detailed recon'!O49,'3.Inc &amp; Exp per Function'!$U48:$U1145)</f>
        <v>12182363</v>
      </c>
      <c r="AL49" s="804">
        <f ca="1">SUMIF('3.Inc &amp; Exp per Function'!$D48:$D1146,'5.Cons and detailed recon'!P49,'3.Inc &amp; Exp per Function'!$U48:$U1145)</f>
        <v>6690268</v>
      </c>
      <c r="AM49" s="748">
        <f t="shared" ca="1" si="0"/>
        <v>40000280</v>
      </c>
      <c r="AN49" s="794"/>
      <c r="AO49" s="791">
        <f t="shared" ca="1" si="30"/>
        <v>90311744</v>
      </c>
      <c r="AP49" s="414">
        <f>SUMIF('4.Inc &amp; Exp Summary'!A:A,'5.Cons and detailed recon'!R49,'4.Inc &amp; Exp Summary'!L:L)</f>
        <v>11800</v>
      </c>
      <c r="AQ49" s="415">
        <f t="shared" ca="1" si="23"/>
        <v>90299944</v>
      </c>
      <c r="AR49" s="720"/>
      <c r="AS49" s="730"/>
      <c r="AT49" s="408"/>
      <c r="AU49" s="398" t="str">
        <f t="shared" si="33"/>
        <v>Executive and Council4100</v>
      </c>
      <c r="AV49" s="398" t="str">
        <f t="shared" si="33"/>
        <v>Finance and administration4100</v>
      </c>
      <c r="AW49" s="398" t="str">
        <f t="shared" si="33"/>
        <v>Internal audit4100</v>
      </c>
      <c r="AX49" s="398" t="str">
        <f t="shared" si="33"/>
        <v>Community and social services4100</v>
      </c>
      <c r="AY49" s="398" t="str">
        <f t="shared" si="33"/>
        <v>Sport and recreation4100</v>
      </c>
      <c r="AZ49" s="398" t="str">
        <f t="shared" si="33"/>
        <v>Public safety4100</v>
      </c>
      <c r="BA49" s="398" t="str">
        <f t="shared" si="33"/>
        <v>Housing4100</v>
      </c>
      <c r="BB49" s="398" t="str">
        <f t="shared" si="33"/>
        <v>Health4100</v>
      </c>
      <c r="BC49" s="398" t="str">
        <f t="shared" si="33"/>
        <v>Planning and development4100</v>
      </c>
      <c r="BD49" s="398" t="str">
        <f t="shared" si="33"/>
        <v>Road transport4100</v>
      </c>
      <c r="BE49" s="398" t="str">
        <f t="shared" si="33"/>
        <v>Environmental protection4100</v>
      </c>
      <c r="BF49" s="398" t="str">
        <f t="shared" si="33"/>
        <v>Other4100</v>
      </c>
      <c r="BG49" s="398" t="str">
        <f t="shared" si="33"/>
        <v>Energy sources4100</v>
      </c>
      <c r="BH49" s="398" t="str">
        <f t="shared" si="33"/>
        <v>Water management4100</v>
      </c>
      <c r="BI49" s="398" t="str">
        <f t="shared" si="33"/>
        <v>Waste water management4100</v>
      </c>
      <c r="BJ49" s="398" t="str">
        <f t="shared" si="33"/>
        <v>Waste management4100</v>
      </c>
      <c r="BK49" s="745" t="s">
        <v>755</v>
      </c>
      <c r="BL49" s="745" t="s">
        <v>755</v>
      </c>
      <c r="BM49" s="735"/>
      <c r="BN49" s="748" t="s">
        <v>757</v>
      </c>
      <c r="BO49" s="751">
        <f ca="1">SUMIF('3.Inc &amp; Exp per Function'!$D49:$D1147,'5.Cons and detailed recon'!AU49,'3.Inc &amp; Exp per Function'!$V49:$V1146)</f>
        <v>872623</v>
      </c>
      <c r="BP49" s="751">
        <f ca="1">SUMIF('3.Inc &amp; Exp per Function'!$D48:$D1147,'5.Cons and detailed recon'!AV49,'3.Inc &amp; Exp per Function'!$V48:$V1146)</f>
        <v>41474928</v>
      </c>
      <c r="BQ49" s="751">
        <f ca="1">SUMIF('3.Inc &amp; Exp per Function'!$D49:$D1147,'5.Cons and detailed recon'!AW49,'3.Inc &amp; Exp per Function'!$V49:$V1146)</f>
        <v>30296</v>
      </c>
      <c r="BR49" s="413">
        <f t="shared" ca="1" si="6"/>
        <v>42377847</v>
      </c>
      <c r="BS49" s="751">
        <f ca="1">SUMIF('3.Inc &amp; Exp per Function'!$D48:$D1147,'5.Cons and detailed recon'!AX49,'3.Inc &amp; Exp per Function'!$V48:$V1146)</f>
        <v>393741</v>
      </c>
      <c r="BT49" s="751">
        <f ca="1">SUMIF('3.Inc &amp; Exp per Function'!$D48:$D1147,'5.Cons and detailed recon'!AY49,'3.Inc &amp; Exp per Function'!$V48:$V1146)</f>
        <v>545577</v>
      </c>
      <c r="BU49" s="751">
        <f ca="1">SUMIF('3.Inc &amp; Exp per Function'!$D49:$D1147,'5.Cons and detailed recon'!AZ49,'3.Inc &amp; Exp per Function'!$V49:$V1146)</f>
        <v>2069251</v>
      </c>
      <c r="BV49" s="751">
        <f ca="1">SUMIF('3.Inc &amp; Exp per Function'!$D49:$D1147,'5.Cons and detailed recon'!BA49,'3.Inc &amp; Exp per Function'!$V49:$V1146)</f>
        <v>1575255</v>
      </c>
      <c r="BW49" s="751">
        <f ca="1">SUMIF('3.Inc &amp; Exp per Function'!$D49:$D1147,'5.Cons and detailed recon'!BB49,'3.Inc &amp; Exp per Function'!$V49:$V1146)</f>
        <v>0</v>
      </c>
      <c r="BX49" s="751">
        <f ca="1">SUMIF('3.Inc &amp; Exp per Function'!$D49:$D1147,'5.Cons and detailed recon'!BC49,'3.Inc &amp; Exp per Function'!$V49:$V1146)</f>
        <v>1953905</v>
      </c>
      <c r="BY49" s="751">
        <f ca="1">SUMIF('3.Inc &amp; Exp per Function'!$D49:$D1147,'5.Cons and detailed recon'!BD49,'3.Inc &amp; Exp per Function'!$V49:$V1146)</f>
        <v>3044955</v>
      </c>
      <c r="BZ49" s="751">
        <f ca="1">SUMIF('3.Inc &amp; Exp per Function'!$D49:$D1147,'5.Cons and detailed recon'!BE49,'3.Inc &amp; Exp per Function'!$V49:$V1146)</f>
        <v>0</v>
      </c>
      <c r="CA49" s="751">
        <f ca="1">SUMIF('3.Inc &amp; Exp per Function'!$D49:$D1147,'5.Cons and detailed recon'!BF49,'3.Inc &amp; Exp per Function'!$V49:$V1146)</f>
        <v>61523</v>
      </c>
      <c r="CB49" s="413">
        <f t="shared" ca="1" si="7"/>
        <v>9644207</v>
      </c>
      <c r="CC49" s="751">
        <f ca="1">SUMIF('3.Inc &amp; Exp per Function'!$D49:$D1147,'5.Cons and detailed recon'!BG49,'3.Inc &amp; Exp per Function'!$V49:$V1146)</f>
        <v>10463147</v>
      </c>
      <c r="CD49" s="751">
        <f ca="1">SUMIF('3.Inc &amp; Exp per Function'!$D49:$D1147,'5.Cons and detailed recon'!BH49,'3.Inc &amp; Exp per Function'!$V49:$V1146)</f>
        <v>11382843</v>
      </c>
      <c r="CE49" s="751">
        <f ca="1">SUMIF('3.Inc &amp; Exp per Function'!$D49:$D1147,'5.Cons and detailed recon'!BI49,'3.Inc &amp; Exp per Function'!$V49:$V1146)</f>
        <v>12596564</v>
      </c>
      <c r="CF49" s="751">
        <f ca="1">SUMIF('3.Inc &amp; Exp per Function'!$D49:$D1147,'5.Cons and detailed recon'!BJ49,'3.Inc &amp; Exp per Function'!$V49:$V1146)</f>
        <v>6917737</v>
      </c>
      <c r="CG49" s="748">
        <f t="shared" ca="1" si="8"/>
        <v>41360291</v>
      </c>
      <c r="CH49" s="751"/>
      <c r="CI49" s="791">
        <f t="shared" ca="1" si="9"/>
        <v>93382345</v>
      </c>
      <c r="CJ49" s="411">
        <f>SUMIF('4.Inc &amp; Exp Summary'!A:A,'5.Cons and detailed recon'!R49,'4.Inc &amp; Exp Summary'!M:M)</f>
        <v>12201</v>
      </c>
      <c r="CK49" s="415">
        <f t="shared" ca="1" si="35"/>
        <v>93370144</v>
      </c>
      <c r="CL49" s="720"/>
      <c r="CM49" s="730"/>
      <c r="CO49" s="398" t="str">
        <f t="shared" si="34"/>
        <v>Executive and Council4100</v>
      </c>
      <c r="CP49" s="398" t="str">
        <f t="shared" si="34"/>
        <v>Finance and administration4100</v>
      </c>
      <c r="CQ49" s="398" t="str">
        <f t="shared" si="34"/>
        <v>Internal audit4100</v>
      </c>
      <c r="CR49" s="398" t="str">
        <f t="shared" si="34"/>
        <v>Community and social services4100</v>
      </c>
      <c r="CS49" s="398" t="str">
        <f t="shared" si="34"/>
        <v>Sport and recreation4100</v>
      </c>
      <c r="CT49" s="398" t="str">
        <f t="shared" si="34"/>
        <v>Public safety4100</v>
      </c>
      <c r="CU49" s="398" t="str">
        <f t="shared" si="34"/>
        <v>Housing4100</v>
      </c>
      <c r="CV49" s="398" t="str">
        <f t="shared" si="34"/>
        <v>Health4100</v>
      </c>
      <c r="CW49" s="398" t="str">
        <f t="shared" si="34"/>
        <v>Planning and development4100</v>
      </c>
      <c r="CX49" s="398" t="str">
        <f t="shared" si="34"/>
        <v>Road transport4100</v>
      </c>
      <c r="CY49" s="398" t="str">
        <f t="shared" si="34"/>
        <v>Environmental protection4100</v>
      </c>
      <c r="CZ49" s="398" t="str">
        <f t="shared" si="34"/>
        <v>Other4100</v>
      </c>
      <c r="DA49" s="398" t="str">
        <f t="shared" si="34"/>
        <v>Energy sources4100</v>
      </c>
      <c r="DB49" s="398" t="str">
        <f t="shared" si="34"/>
        <v>Water management4100</v>
      </c>
      <c r="DC49" s="398" t="str">
        <f t="shared" si="34"/>
        <v>Waste water management4100</v>
      </c>
      <c r="DD49" s="398" t="str">
        <f t="shared" si="34"/>
        <v>Waste management4100</v>
      </c>
      <c r="DE49" s="745" t="s">
        <v>755</v>
      </c>
      <c r="DF49" s="745" t="s">
        <v>755</v>
      </c>
      <c r="DG49" s="735"/>
      <c r="DH49" s="748" t="s">
        <v>757</v>
      </c>
      <c r="DI49" s="751">
        <f ca="1">SUMIF('3.Inc &amp; Exp per Function'!$D48:$D1147,'5.Cons and detailed recon'!CO49,'3.Inc &amp; Exp per Function'!$W48:$W1146)</f>
        <v>900546</v>
      </c>
      <c r="DJ49" s="751">
        <f ca="1">SUMIF('3.Inc &amp; Exp per Function'!$D48:$D1146,'5.Cons and detailed recon'!CP49,'3.Inc &amp; Exp per Function'!$W48:$W1145)</f>
        <v>42802125</v>
      </c>
      <c r="DK49" s="751">
        <f ca="1">SUMIF('3.Inc &amp; Exp per Function'!$D48:$D1146,'5.Cons and detailed recon'!CQ49,'3.Inc &amp; Exp per Function'!$W48:$W1145)</f>
        <v>31265</v>
      </c>
      <c r="DL49" s="413">
        <f t="shared" ca="1" si="11"/>
        <v>43733936</v>
      </c>
      <c r="DM49" s="751">
        <f ca="1">SUMIF('3.Inc &amp; Exp per Function'!$D48:$D1146,'5.Cons and detailed recon'!CR49,'3.Inc &amp; Exp per Function'!$W48:$W1145)</f>
        <v>406341</v>
      </c>
      <c r="DN49" s="751">
        <f ca="1">SUMIF('3.Inc &amp; Exp per Function'!$D48:$D1146,'5.Cons and detailed recon'!CS49,'3.Inc &amp; Exp per Function'!$W48:$W1145)</f>
        <v>563036</v>
      </c>
      <c r="DO49" s="751">
        <f ca="1">SUMIF('3.Inc &amp; Exp per Function'!$D48:$D1146,'5.Cons and detailed recon'!CT49,'3.Inc &amp; Exp per Function'!$W48:$W1145)</f>
        <v>2135459</v>
      </c>
      <c r="DP49" s="751">
        <f ca="1">SUMIF('3.Inc &amp; Exp per Function'!$D48:$D1146,'5.Cons and detailed recon'!CU49,'3.Inc &amp; Exp per Function'!$W48:$W1145)</f>
        <v>1625659</v>
      </c>
      <c r="DQ49" s="751">
        <f ca="1">SUMIF('3.Inc &amp; Exp per Function'!$D48:$D1146,'5.Cons and detailed recon'!CV49,'3.Inc &amp; Exp per Function'!$W48:$W1145)</f>
        <v>0</v>
      </c>
      <c r="DR49" s="751">
        <f ca="1">SUMIF('3.Inc &amp; Exp per Function'!$D48:$D1146,'5.Cons and detailed recon'!CW49,'3.Inc &amp; Exp per Function'!$W48:$W1145)</f>
        <v>2016429</v>
      </c>
      <c r="DS49" s="751">
        <f ca="1">SUMIF('3.Inc &amp; Exp per Function'!$D48:$D1146,'5.Cons and detailed recon'!CX49,'3.Inc &amp; Exp per Function'!$W48:$W1145)</f>
        <v>3142392</v>
      </c>
      <c r="DT49" s="751">
        <f ca="1">SUMIF('3.Inc &amp; Exp per Function'!$D48:$D1146,'5.Cons and detailed recon'!CY49,'3.Inc &amp; Exp per Function'!$W48:$W1145)</f>
        <v>0</v>
      </c>
      <c r="DU49" s="751">
        <f ca="1">SUMIF('3.Inc &amp; Exp per Function'!$D48:$D1146,'5.Cons and detailed recon'!CZ49,'3.Inc &amp; Exp per Function'!$W48:$W1145)</f>
        <v>63491</v>
      </c>
      <c r="DV49" s="413">
        <f t="shared" ca="1" si="12"/>
        <v>9952807</v>
      </c>
      <c r="DW49" s="751">
        <f ca="1">SUMIF('3.Inc &amp; Exp per Function'!$D48:$D1146,'5.Cons and detailed recon'!DA49,'3.Inc &amp; Exp per Function'!$W48:$W1145)</f>
        <v>10797968</v>
      </c>
      <c r="DX49" s="751">
        <f ca="1">SUMIF('3.Inc &amp; Exp per Function'!$D48:$D1146,'5.Cons and detailed recon'!DB49,'3.Inc &amp; Exp per Function'!$W48:$W1145)</f>
        <v>11747096</v>
      </c>
      <c r="DY49" s="751">
        <f ca="1">SUMIF('3.Inc &amp; Exp per Function'!$D48:$D1146,'5.Cons and detailed recon'!DC49,'3.Inc &amp; Exp per Function'!$W48:$W1145)</f>
        <v>12999654</v>
      </c>
      <c r="DZ49" s="751">
        <f ca="1">SUMIF('3.Inc &amp; Exp per Function'!$D48:$D1146,'5.Cons and detailed recon'!DD49,'3.Inc &amp; Exp per Function'!$W48:$W1145)</f>
        <v>7139105</v>
      </c>
      <c r="EA49" s="748">
        <f t="shared" ca="1" si="13"/>
        <v>42683823</v>
      </c>
      <c r="EB49" s="794"/>
      <c r="EC49" s="791">
        <f t="shared" ca="1" si="14"/>
        <v>96370566</v>
      </c>
      <c r="ED49" s="414">
        <f>SUMIF('4.Inc &amp; Exp Summary'!A:A,'5.Cons and detailed recon'!DF49,'4.Inc &amp; Exp Summary'!N:N)</f>
        <v>12591.432000000001</v>
      </c>
      <c r="EE49" s="415">
        <f t="shared" ca="1" si="15"/>
        <v>96357974.568000004</v>
      </c>
      <c r="EF49" s="720"/>
      <c r="EG49" s="980"/>
      <c r="EH49" s="980"/>
      <c r="EI49" s="980"/>
      <c r="EJ49" s="980"/>
      <c r="EK49" s="980"/>
      <c r="EL49" s="980"/>
      <c r="EM49" s="980"/>
      <c r="EN49" s="980"/>
      <c r="EO49" s="980"/>
      <c r="EP49" s="980"/>
      <c r="EQ49" s="980"/>
      <c r="ER49" s="980"/>
      <c r="ES49" s="980"/>
      <c r="ET49" s="980"/>
      <c r="EU49" s="980"/>
      <c r="EV49" s="980"/>
      <c r="EW49" s="980"/>
      <c r="EX49" s="980"/>
      <c r="EY49" s="980"/>
      <c r="EZ49" s="980"/>
      <c r="FA49" s="980"/>
      <c r="FB49" s="980"/>
      <c r="FC49" s="980"/>
      <c r="FD49" s="980"/>
      <c r="FE49" s="980"/>
      <c r="FF49" s="980"/>
      <c r="FG49" s="980"/>
      <c r="FH49" s="980"/>
      <c r="FI49" s="980"/>
      <c r="FJ49" s="980"/>
      <c r="FK49" s="980"/>
      <c r="FL49" s="980"/>
      <c r="FM49" s="980"/>
      <c r="FN49" s="980"/>
      <c r="FO49" s="980"/>
      <c r="FP49" s="980"/>
      <c r="FQ49" s="980"/>
      <c r="FR49" s="980"/>
      <c r="FS49" s="980"/>
      <c r="FT49" s="980"/>
      <c r="FU49" s="980"/>
      <c r="FV49" s="980"/>
      <c r="FW49" s="980"/>
      <c r="FX49" s="980"/>
      <c r="FY49" s="980"/>
      <c r="FZ49" s="980"/>
      <c r="GA49" s="980"/>
      <c r="GB49" s="980"/>
      <c r="GC49" s="980"/>
      <c r="GD49" s="980"/>
      <c r="GE49" s="980"/>
      <c r="GF49" s="980"/>
      <c r="GG49" s="980"/>
      <c r="GH49" s="980"/>
      <c r="GI49" s="980"/>
      <c r="GJ49" s="980"/>
      <c r="GK49" s="980"/>
      <c r="GL49" s="980"/>
      <c r="GM49" s="980"/>
      <c r="GN49" s="980"/>
      <c r="GO49" s="980"/>
      <c r="GP49" s="980"/>
      <c r="GQ49" s="980"/>
      <c r="GR49" s="980"/>
      <c r="GS49" s="980"/>
      <c r="GT49" s="980"/>
      <c r="GU49" s="980"/>
      <c r="GV49" s="980"/>
      <c r="GW49" s="980"/>
      <c r="GX49" s="980"/>
      <c r="GY49" s="980"/>
      <c r="GZ49" s="980"/>
      <c r="HA49" s="980"/>
      <c r="HB49" s="980"/>
      <c r="HC49" s="980"/>
      <c r="HD49" s="980"/>
      <c r="HE49" s="980"/>
      <c r="HF49" s="980"/>
      <c r="HG49" s="980"/>
      <c r="HH49" s="980"/>
      <c r="HI49" s="980"/>
      <c r="HJ49" s="980"/>
      <c r="HK49" s="980"/>
      <c r="HL49" s="980"/>
      <c r="HM49" s="980"/>
      <c r="HN49" s="980"/>
      <c r="HO49" s="980"/>
      <c r="HP49" s="980"/>
      <c r="HQ49" s="980"/>
      <c r="HR49" s="980"/>
      <c r="HS49" s="980"/>
      <c r="HT49" s="980"/>
      <c r="HU49" s="980"/>
      <c r="HV49" s="980"/>
      <c r="HW49" s="980"/>
      <c r="HX49" s="980"/>
      <c r="HY49" s="980"/>
      <c r="HZ49" s="980"/>
      <c r="IA49" s="980"/>
      <c r="IB49" s="980"/>
      <c r="IC49" s="980"/>
      <c r="ID49" s="980"/>
      <c r="IE49" s="980"/>
      <c r="IF49" s="980"/>
      <c r="IG49" s="980"/>
      <c r="IH49" s="980"/>
      <c r="II49" s="980"/>
      <c r="IJ49" s="980"/>
      <c r="IK49" s="980"/>
      <c r="IL49" s="980"/>
      <c r="IM49" s="980"/>
      <c r="IN49" s="980"/>
      <c r="IO49" s="980"/>
      <c r="IP49" s="980"/>
      <c r="IQ49" s="980"/>
      <c r="IR49" s="980"/>
      <c r="IS49" s="980"/>
      <c r="IT49" s="980"/>
      <c r="IU49" s="980"/>
      <c r="IV49" s="980"/>
    </row>
    <row r="50" spans="1:256" s="409" customFormat="1" ht="12" customHeight="1" x14ac:dyDescent="0.55000000000000004">
      <c r="A50" s="398" t="str">
        <f t="shared" si="31"/>
        <v>Executive and Council4200</v>
      </c>
      <c r="B50" s="398" t="str">
        <f t="shared" si="31"/>
        <v>Finance and administration4200</v>
      </c>
      <c r="C50" s="398" t="str">
        <f t="shared" si="31"/>
        <v>Internal audit4200</v>
      </c>
      <c r="D50" s="398" t="str">
        <f t="shared" si="31"/>
        <v>Community and social services4200</v>
      </c>
      <c r="E50" s="398" t="str">
        <f t="shared" si="31"/>
        <v>Sport and recreation4200</v>
      </c>
      <c r="F50" s="398" t="str">
        <f t="shared" si="31"/>
        <v>Public safety4200</v>
      </c>
      <c r="G50" s="398" t="str">
        <f t="shared" si="31"/>
        <v>Housing4200</v>
      </c>
      <c r="H50" s="398" t="str">
        <f t="shared" si="31"/>
        <v>Health4200</v>
      </c>
      <c r="I50" s="398" t="str">
        <f t="shared" si="31"/>
        <v>Planning and development4200</v>
      </c>
      <c r="J50" s="398" t="str">
        <f t="shared" si="31"/>
        <v>Road transport4200</v>
      </c>
      <c r="K50" s="398" t="str">
        <f t="shared" si="31"/>
        <v>Environmental protection4200</v>
      </c>
      <c r="L50" s="398" t="str">
        <f t="shared" si="31"/>
        <v>Other4200</v>
      </c>
      <c r="M50" s="398" t="str">
        <f t="shared" si="31"/>
        <v>Energy sources4200</v>
      </c>
      <c r="N50" s="398" t="str">
        <f t="shared" si="31"/>
        <v>Water management4200</v>
      </c>
      <c r="O50" s="398" t="str">
        <f t="shared" si="31"/>
        <v>Waste water management4200</v>
      </c>
      <c r="P50" s="398" t="str">
        <f t="shared" si="31"/>
        <v>Waste management4200</v>
      </c>
      <c r="Q50" s="745" t="s">
        <v>758</v>
      </c>
      <c r="R50" s="745" t="s">
        <v>758</v>
      </c>
      <c r="S50" s="994"/>
      <c r="T50" s="748" t="s">
        <v>760</v>
      </c>
      <c r="U50" s="804">
        <f ca="1">SUMIF('3.Inc &amp; Exp per Function'!$D49:$D1147,'5.Cons and detailed recon'!A50,'3.Inc &amp; Exp per Function'!$U49:$U1146)</f>
        <v>0</v>
      </c>
      <c r="V50" s="804">
        <f ca="1">SUMIF('3.Inc &amp; Exp per Function'!$D49:$D1147,'5.Cons and detailed recon'!B50,'3.Inc &amp; Exp per Function'!$U49:$U1146)</f>
        <v>10</v>
      </c>
      <c r="W50" s="804">
        <f ca="1">SUMIF('3.Inc &amp; Exp per Function'!$D49:$D1147,'5.Cons and detailed recon'!C50,'3.Inc &amp; Exp per Function'!$U49:$U1146)</f>
        <v>0</v>
      </c>
      <c r="X50" s="413">
        <f t="shared" ca="1" si="32"/>
        <v>10</v>
      </c>
      <c r="Y50" s="804">
        <f ca="1">SUMIF('3.Inc &amp; Exp per Function'!$D49:$D1147,'5.Cons and detailed recon'!D50,'3.Inc &amp; Exp per Function'!$U49:$U1146)</f>
        <v>0</v>
      </c>
      <c r="Z50" s="804">
        <f ca="1">SUMIF('3.Inc &amp; Exp per Function'!$D49:$D1147,'5.Cons and detailed recon'!E50,'3.Inc &amp; Exp per Function'!$U49:$U1146)</f>
        <v>0</v>
      </c>
      <c r="AA50" s="804">
        <f ca="1">SUMIF('3.Inc &amp; Exp per Function'!$D49:$D1147,'5.Cons and detailed recon'!F50,'3.Inc &amp; Exp per Function'!$U49:$U1146)</f>
        <v>0</v>
      </c>
      <c r="AB50" s="804">
        <f ca="1">SUMIF('3.Inc &amp; Exp per Function'!$D49:$D1147,'5.Cons and detailed recon'!G50,'3.Inc &amp; Exp per Function'!$U49:$U1146)</f>
        <v>0</v>
      </c>
      <c r="AC50" s="804">
        <f ca="1">SUMIF('3.Inc &amp; Exp per Function'!$D49:$D1147,'5.Cons and detailed recon'!H50,'3.Inc &amp; Exp per Function'!$U49:$U1146)</f>
        <v>0</v>
      </c>
      <c r="AD50" s="804">
        <f ca="1">SUMIF('3.Inc &amp; Exp per Function'!$D49:$D1147,'5.Cons and detailed recon'!I50,'3.Inc &amp; Exp per Function'!$U49:$U1146)</f>
        <v>0</v>
      </c>
      <c r="AE50" s="804">
        <f ca="1">SUMIF('3.Inc &amp; Exp per Function'!$D49:$D1147,'5.Cons and detailed recon'!J50,'3.Inc &amp; Exp per Function'!$U49:$U1146)</f>
        <v>0</v>
      </c>
      <c r="AF50" s="804">
        <f ca="1">SUMIF('3.Inc &amp; Exp per Function'!$D49:$D1147,'5.Cons and detailed recon'!K50,'3.Inc &amp; Exp per Function'!$U49:$U1146)</f>
        <v>0</v>
      </c>
      <c r="AG50" s="804">
        <f ca="1">SUMIF('3.Inc &amp; Exp per Function'!$D49:$D1147,'5.Cons and detailed recon'!L50,'3.Inc &amp; Exp per Function'!$U49:$U1146)</f>
        <v>0</v>
      </c>
      <c r="AH50" s="413">
        <f t="shared" ca="1" si="3"/>
        <v>0</v>
      </c>
      <c r="AI50" s="804">
        <f ca="1">SUMIF('3.Inc &amp; Exp per Function'!$D49:$D1147,'5.Cons and detailed recon'!M50,'3.Inc &amp; Exp per Function'!$U49:$U1146)</f>
        <v>0</v>
      </c>
      <c r="AJ50" s="804">
        <f ca="1">SUMIF('3.Inc &amp; Exp per Function'!$D49:$D1147,'5.Cons and detailed recon'!N50,'3.Inc &amp; Exp per Function'!$U49:$U1146)</f>
        <v>0</v>
      </c>
      <c r="AK50" s="804">
        <f ca="1">SUMIF('3.Inc &amp; Exp per Function'!$D49:$D1147,'5.Cons and detailed recon'!O50,'3.Inc &amp; Exp per Function'!$U49:$U1146)</f>
        <v>0</v>
      </c>
      <c r="AL50" s="804">
        <f ca="1">SUMIF('3.Inc &amp; Exp per Function'!$D49:$D1147,'5.Cons and detailed recon'!P50,'3.Inc &amp; Exp per Function'!$U49:$U1146)</f>
        <v>0</v>
      </c>
      <c r="AM50" s="748">
        <f t="shared" ca="1" si="0"/>
        <v>0</v>
      </c>
      <c r="AN50" s="794"/>
      <c r="AO50" s="791">
        <f t="shared" ca="1" si="30"/>
        <v>10</v>
      </c>
      <c r="AP50" s="414">
        <f>SUMIF('4.Inc &amp; Exp Summary'!A:A,'5.Cons and detailed recon'!R50,'4.Inc &amp; Exp Summary'!L:L)</f>
        <v>15816000</v>
      </c>
      <c r="AQ50" s="415">
        <f t="shared" ca="1" si="23"/>
        <v>-15815990</v>
      </c>
      <c r="AR50" s="720"/>
      <c r="AS50" s="730"/>
      <c r="AT50" s="408"/>
      <c r="AU50" s="398" t="str">
        <f t="shared" si="33"/>
        <v>Executive and Council4200</v>
      </c>
      <c r="AV50" s="398" t="str">
        <f t="shared" si="33"/>
        <v>Finance and administration4200</v>
      </c>
      <c r="AW50" s="398" t="str">
        <f t="shared" si="33"/>
        <v>Internal audit4200</v>
      </c>
      <c r="AX50" s="398" t="str">
        <f t="shared" si="33"/>
        <v>Community and social services4200</v>
      </c>
      <c r="AY50" s="398" t="str">
        <f t="shared" si="33"/>
        <v>Sport and recreation4200</v>
      </c>
      <c r="AZ50" s="398" t="str">
        <f t="shared" si="33"/>
        <v>Public safety4200</v>
      </c>
      <c r="BA50" s="398" t="str">
        <f t="shared" si="33"/>
        <v>Housing4200</v>
      </c>
      <c r="BB50" s="398" t="str">
        <f t="shared" si="33"/>
        <v>Health4200</v>
      </c>
      <c r="BC50" s="398" t="str">
        <f t="shared" si="33"/>
        <v>Planning and development4200</v>
      </c>
      <c r="BD50" s="398" t="str">
        <f t="shared" si="33"/>
        <v>Road transport4200</v>
      </c>
      <c r="BE50" s="398" t="str">
        <f t="shared" si="33"/>
        <v>Environmental protection4200</v>
      </c>
      <c r="BF50" s="398" t="str">
        <f t="shared" si="33"/>
        <v>Other4200</v>
      </c>
      <c r="BG50" s="398" t="str">
        <f t="shared" si="33"/>
        <v>Energy sources4200</v>
      </c>
      <c r="BH50" s="398" t="str">
        <f t="shared" si="33"/>
        <v>Water management4200</v>
      </c>
      <c r="BI50" s="398" t="str">
        <f t="shared" si="33"/>
        <v>Waste water management4200</v>
      </c>
      <c r="BJ50" s="398" t="str">
        <f t="shared" si="33"/>
        <v>Waste management4200</v>
      </c>
      <c r="BK50" s="745" t="s">
        <v>758</v>
      </c>
      <c r="BL50" s="745" t="s">
        <v>758</v>
      </c>
      <c r="BM50" s="735"/>
      <c r="BN50" s="748" t="s">
        <v>760</v>
      </c>
      <c r="BO50" s="751">
        <f ca="1">SUMIF('3.Inc &amp; Exp per Function'!$D50:$D1148,'5.Cons and detailed recon'!AU50,'3.Inc &amp; Exp per Function'!$V50:$V1147)</f>
        <v>0</v>
      </c>
      <c r="BP50" s="751">
        <f ca="1">SUMIF('3.Inc &amp; Exp per Function'!$D49:$D1148,'5.Cons and detailed recon'!AV50,'3.Inc &amp; Exp per Function'!$V49:$V1147)</f>
        <v>10</v>
      </c>
      <c r="BQ50" s="751">
        <f ca="1">SUMIF('3.Inc &amp; Exp per Function'!$D50:$D1148,'5.Cons and detailed recon'!AW50,'3.Inc &amp; Exp per Function'!$V50:$V1147)</f>
        <v>0</v>
      </c>
      <c r="BR50" s="413">
        <f t="shared" ca="1" si="6"/>
        <v>10</v>
      </c>
      <c r="BS50" s="751">
        <f ca="1">SUMIF('3.Inc &amp; Exp per Function'!$D49:$D1148,'5.Cons and detailed recon'!AX50,'3.Inc &amp; Exp per Function'!$V49:$V1147)</f>
        <v>0</v>
      </c>
      <c r="BT50" s="751">
        <f ca="1">SUMIF('3.Inc &amp; Exp per Function'!$D49:$D1148,'5.Cons and detailed recon'!AY50,'3.Inc &amp; Exp per Function'!$V49:$V1147)</f>
        <v>0</v>
      </c>
      <c r="BU50" s="751">
        <f ca="1">SUMIF('3.Inc &amp; Exp per Function'!$D50:$D1148,'5.Cons and detailed recon'!AZ50,'3.Inc &amp; Exp per Function'!$V50:$V1147)</f>
        <v>0</v>
      </c>
      <c r="BV50" s="751">
        <f ca="1">SUMIF('3.Inc &amp; Exp per Function'!$D50:$D1148,'5.Cons and detailed recon'!BA50,'3.Inc &amp; Exp per Function'!$V50:$V1147)</f>
        <v>0</v>
      </c>
      <c r="BW50" s="751">
        <f ca="1">SUMIF('3.Inc &amp; Exp per Function'!$D50:$D1148,'5.Cons and detailed recon'!BB50,'3.Inc &amp; Exp per Function'!$V50:$V1147)</f>
        <v>0</v>
      </c>
      <c r="BX50" s="751">
        <f ca="1">SUMIF('3.Inc &amp; Exp per Function'!$D50:$D1148,'5.Cons and detailed recon'!BC50,'3.Inc &amp; Exp per Function'!$V50:$V1147)</f>
        <v>0</v>
      </c>
      <c r="BY50" s="751">
        <f ca="1">SUMIF('3.Inc &amp; Exp per Function'!$D50:$D1148,'5.Cons and detailed recon'!BD50,'3.Inc &amp; Exp per Function'!$V50:$V1147)</f>
        <v>0</v>
      </c>
      <c r="BZ50" s="751">
        <f ca="1">SUMIF('3.Inc &amp; Exp per Function'!$D50:$D1148,'5.Cons and detailed recon'!BE50,'3.Inc &amp; Exp per Function'!$V50:$V1147)</f>
        <v>0</v>
      </c>
      <c r="CA50" s="751">
        <f ca="1">SUMIF('3.Inc &amp; Exp per Function'!$D50:$D1148,'5.Cons and detailed recon'!BF50,'3.Inc &amp; Exp per Function'!$V50:$V1147)</f>
        <v>0</v>
      </c>
      <c r="CB50" s="413">
        <f t="shared" ca="1" si="7"/>
        <v>0</v>
      </c>
      <c r="CC50" s="751">
        <f ca="1">SUMIF('3.Inc &amp; Exp per Function'!$D50:$D1148,'5.Cons and detailed recon'!BG50,'3.Inc &amp; Exp per Function'!$V50:$V1147)</f>
        <v>0</v>
      </c>
      <c r="CD50" s="751">
        <f ca="1">SUMIF('3.Inc &amp; Exp per Function'!$D50:$D1148,'5.Cons and detailed recon'!BH50,'3.Inc &amp; Exp per Function'!$V50:$V1147)</f>
        <v>0</v>
      </c>
      <c r="CE50" s="751">
        <f ca="1">SUMIF('3.Inc &amp; Exp per Function'!$D50:$D1148,'5.Cons and detailed recon'!BI50,'3.Inc &amp; Exp per Function'!$V50:$V1147)</f>
        <v>0</v>
      </c>
      <c r="CF50" s="751">
        <f ca="1">SUMIF('3.Inc &amp; Exp per Function'!$D50:$D1148,'5.Cons and detailed recon'!BJ50,'3.Inc &amp; Exp per Function'!$V50:$V1147)</f>
        <v>0</v>
      </c>
      <c r="CG50" s="748">
        <f t="shared" ca="1" si="8"/>
        <v>0</v>
      </c>
      <c r="CH50" s="751"/>
      <c r="CI50" s="791">
        <f t="shared" ca="1" si="9"/>
        <v>10</v>
      </c>
      <c r="CJ50" s="411">
        <f>SUMIF('4.Inc &amp; Exp Summary'!A:A,'5.Cons and detailed recon'!R50,'4.Inc &amp; Exp Summary'!M:M)</f>
        <v>16353744</v>
      </c>
      <c r="CK50" s="415">
        <f t="shared" ca="1" si="35"/>
        <v>-16353734</v>
      </c>
      <c r="CL50" s="720"/>
      <c r="CM50" s="730"/>
      <c r="CO50" s="398" t="str">
        <f t="shared" si="34"/>
        <v>Executive and Council4200</v>
      </c>
      <c r="CP50" s="398" t="str">
        <f t="shared" si="34"/>
        <v>Finance and administration4200</v>
      </c>
      <c r="CQ50" s="398" t="str">
        <f t="shared" si="34"/>
        <v>Internal audit4200</v>
      </c>
      <c r="CR50" s="398" t="str">
        <f t="shared" si="34"/>
        <v>Community and social services4200</v>
      </c>
      <c r="CS50" s="398" t="str">
        <f t="shared" si="34"/>
        <v>Sport and recreation4200</v>
      </c>
      <c r="CT50" s="398" t="str">
        <f t="shared" si="34"/>
        <v>Public safety4200</v>
      </c>
      <c r="CU50" s="398" t="str">
        <f t="shared" si="34"/>
        <v>Housing4200</v>
      </c>
      <c r="CV50" s="398" t="str">
        <f t="shared" si="34"/>
        <v>Health4200</v>
      </c>
      <c r="CW50" s="398" t="str">
        <f t="shared" si="34"/>
        <v>Planning and development4200</v>
      </c>
      <c r="CX50" s="398" t="str">
        <f t="shared" si="34"/>
        <v>Road transport4200</v>
      </c>
      <c r="CY50" s="398" t="str">
        <f t="shared" si="34"/>
        <v>Environmental protection4200</v>
      </c>
      <c r="CZ50" s="398" t="str">
        <f t="shared" si="34"/>
        <v>Other4200</v>
      </c>
      <c r="DA50" s="398" t="str">
        <f t="shared" si="34"/>
        <v>Energy sources4200</v>
      </c>
      <c r="DB50" s="398" t="str">
        <f t="shared" si="34"/>
        <v>Water management4200</v>
      </c>
      <c r="DC50" s="398" t="str">
        <f t="shared" si="34"/>
        <v>Waste water management4200</v>
      </c>
      <c r="DD50" s="398" t="str">
        <f t="shared" si="34"/>
        <v>Waste management4200</v>
      </c>
      <c r="DE50" s="745" t="s">
        <v>758</v>
      </c>
      <c r="DF50" s="745" t="s">
        <v>758</v>
      </c>
      <c r="DG50" s="735"/>
      <c r="DH50" s="748" t="s">
        <v>760</v>
      </c>
      <c r="DI50" s="751">
        <f ca="1">SUMIF('3.Inc &amp; Exp per Function'!$D49:$D1148,'5.Cons and detailed recon'!CO50,'3.Inc &amp; Exp per Function'!$W49:$W1147)</f>
        <v>0</v>
      </c>
      <c r="DJ50" s="751">
        <f ca="1">SUMIF('3.Inc &amp; Exp per Function'!$D49:$D1147,'5.Cons and detailed recon'!CP50,'3.Inc &amp; Exp per Function'!$W49:$W1146)</f>
        <v>10</v>
      </c>
      <c r="DK50" s="751">
        <f ca="1">SUMIF('3.Inc &amp; Exp per Function'!$D49:$D1147,'5.Cons and detailed recon'!CQ50,'3.Inc &amp; Exp per Function'!$W49:$W1146)</f>
        <v>0</v>
      </c>
      <c r="DL50" s="413">
        <f t="shared" ca="1" si="11"/>
        <v>10</v>
      </c>
      <c r="DM50" s="751">
        <f ca="1">SUMIF('3.Inc &amp; Exp per Function'!$D49:$D1147,'5.Cons and detailed recon'!CR50,'3.Inc &amp; Exp per Function'!$W49:$W1146)</f>
        <v>0</v>
      </c>
      <c r="DN50" s="751">
        <f ca="1">SUMIF('3.Inc &amp; Exp per Function'!$D49:$D1147,'5.Cons and detailed recon'!CS50,'3.Inc &amp; Exp per Function'!$W49:$W1146)</f>
        <v>0</v>
      </c>
      <c r="DO50" s="751">
        <f ca="1">SUMIF('3.Inc &amp; Exp per Function'!$D49:$D1147,'5.Cons and detailed recon'!CT50,'3.Inc &amp; Exp per Function'!$W49:$W1146)</f>
        <v>0</v>
      </c>
      <c r="DP50" s="751">
        <f ca="1">SUMIF('3.Inc &amp; Exp per Function'!$D49:$D1147,'5.Cons and detailed recon'!CU50,'3.Inc &amp; Exp per Function'!$W49:$W1146)</f>
        <v>0</v>
      </c>
      <c r="DQ50" s="751">
        <f ca="1">SUMIF('3.Inc &amp; Exp per Function'!$D49:$D1147,'5.Cons and detailed recon'!CV50,'3.Inc &amp; Exp per Function'!$W49:$W1146)</f>
        <v>0</v>
      </c>
      <c r="DR50" s="751">
        <f ca="1">SUMIF('3.Inc &amp; Exp per Function'!$D49:$D1147,'5.Cons and detailed recon'!CW50,'3.Inc &amp; Exp per Function'!$W49:$W1146)</f>
        <v>0</v>
      </c>
      <c r="DS50" s="751">
        <f ca="1">SUMIF('3.Inc &amp; Exp per Function'!$D49:$D1147,'5.Cons and detailed recon'!CX50,'3.Inc &amp; Exp per Function'!$W49:$W1146)</f>
        <v>0</v>
      </c>
      <c r="DT50" s="751">
        <f ca="1">SUMIF('3.Inc &amp; Exp per Function'!$D49:$D1147,'5.Cons and detailed recon'!CY50,'3.Inc &amp; Exp per Function'!$W49:$W1146)</f>
        <v>0</v>
      </c>
      <c r="DU50" s="751">
        <f ca="1">SUMIF('3.Inc &amp; Exp per Function'!$D49:$D1147,'5.Cons and detailed recon'!CZ50,'3.Inc &amp; Exp per Function'!$W49:$W1146)</f>
        <v>0</v>
      </c>
      <c r="DV50" s="413">
        <f t="shared" ca="1" si="12"/>
        <v>0</v>
      </c>
      <c r="DW50" s="751">
        <f ca="1">SUMIF('3.Inc &amp; Exp per Function'!$D49:$D1147,'5.Cons and detailed recon'!DA50,'3.Inc &amp; Exp per Function'!$W49:$W1146)</f>
        <v>0</v>
      </c>
      <c r="DX50" s="751">
        <f ca="1">SUMIF('3.Inc &amp; Exp per Function'!$D49:$D1147,'5.Cons and detailed recon'!DB50,'3.Inc &amp; Exp per Function'!$W49:$W1146)</f>
        <v>0</v>
      </c>
      <c r="DY50" s="751">
        <f ca="1">SUMIF('3.Inc &amp; Exp per Function'!$D49:$D1147,'5.Cons and detailed recon'!DC50,'3.Inc &amp; Exp per Function'!$W49:$W1146)</f>
        <v>0</v>
      </c>
      <c r="DZ50" s="751">
        <f ca="1">SUMIF('3.Inc &amp; Exp per Function'!$D49:$D1147,'5.Cons and detailed recon'!DD50,'3.Inc &amp; Exp per Function'!$W49:$W1146)</f>
        <v>0</v>
      </c>
      <c r="EA50" s="748">
        <f t="shared" ca="1" si="13"/>
        <v>0</v>
      </c>
      <c r="EB50" s="794"/>
      <c r="EC50" s="791">
        <f t="shared" ca="1" si="14"/>
        <v>10</v>
      </c>
      <c r="ED50" s="414">
        <f>SUMIF('4.Inc &amp; Exp Summary'!A:A,'5.Cons and detailed recon'!DF50,'4.Inc &amp; Exp Summary'!N:N)</f>
        <v>16877063.807999998</v>
      </c>
      <c r="EE50" s="415">
        <f t="shared" ca="1" si="15"/>
        <v>-16877053.807999998</v>
      </c>
      <c r="EF50" s="720"/>
      <c r="EG50" s="980"/>
      <c r="EH50" s="980"/>
      <c r="EI50" s="980"/>
      <c r="EJ50" s="980"/>
      <c r="EK50" s="980"/>
      <c r="EL50" s="980"/>
      <c r="EM50" s="980"/>
      <c r="EN50" s="980"/>
      <c r="EO50" s="980"/>
      <c r="EP50" s="980"/>
      <c r="EQ50" s="980"/>
      <c r="ER50" s="980"/>
      <c r="ES50" s="980"/>
      <c r="ET50" s="980"/>
      <c r="EU50" s="980"/>
      <c r="EV50" s="980"/>
      <c r="EW50" s="980"/>
      <c r="EX50" s="980"/>
      <c r="EY50" s="980"/>
      <c r="EZ50" s="980"/>
      <c r="FA50" s="980"/>
      <c r="FB50" s="980"/>
      <c r="FC50" s="980"/>
      <c r="FD50" s="980"/>
      <c r="FE50" s="980"/>
      <c r="FF50" s="980"/>
      <c r="FG50" s="980"/>
      <c r="FH50" s="980"/>
      <c r="FI50" s="980"/>
      <c r="FJ50" s="980"/>
      <c r="FK50" s="980"/>
      <c r="FL50" s="980"/>
      <c r="FM50" s="980"/>
      <c r="FN50" s="980"/>
      <c r="FO50" s="980"/>
      <c r="FP50" s="980"/>
      <c r="FQ50" s="980"/>
      <c r="FR50" s="980"/>
      <c r="FS50" s="980"/>
      <c r="FT50" s="980"/>
      <c r="FU50" s="980"/>
      <c r="FV50" s="980"/>
      <c r="FW50" s="980"/>
      <c r="FX50" s="980"/>
      <c r="FY50" s="980"/>
      <c r="FZ50" s="980"/>
      <c r="GA50" s="980"/>
      <c r="GB50" s="980"/>
      <c r="GC50" s="980"/>
      <c r="GD50" s="980"/>
      <c r="GE50" s="980"/>
      <c r="GF50" s="980"/>
      <c r="GG50" s="980"/>
      <c r="GH50" s="980"/>
      <c r="GI50" s="980"/>
      <c r="GJ50" s="980"/>
      <c r="GK50" s="980"/>
      <c r="GL50" s="980"/>
      <c r="GM50" s="980"/>
      <c r="GN50" s="980"/>
      <c r="GO50" s="980"/>
      <c r="GP50" s="980"/>
      <c r="GQ50" s="980"/>
      <c r="GR50" s="980"/>
      <c r="GS50" s="980"/>
      <c r="GT50" s="980"/>
      <c r="GU50" s="980"/>
      <c r="GV50" s="980"/>
      <c r="GW50" s="980"/>
      <c r="GX50" s="980"/>
      <c r="GY50" s="980"/>
      <c r="GZ50" s="980"/>
      <c r="HA50" s="980"/>
      <c r="HB50" s="980"/>
      <c r="HC50" s="980"/>
      <c r="HD50" s="980"/>
      <c r="HE50" s="980"/>
      <c r="HF50" s="980"/>
      <c r="HG50" s="980"/>
      <c r="HH50" s="980"/>
      <c r="HI50" s="980"/>
      <c r="HJ50" s="980"/>
      <c r="HK50" s="980"/>
      <c r="HL50" s="980"/>
      <c r="HM50" s="980"/>
      <c r="HN50" s="980"/>
      <c r="HO50" s="980"/>
      <c r="HP50" s="980"/>
      <c r="HQ50" s="980"/>
      <c r="HR50" s="980"/>
      <c r="HS50" s="980"/>
      <c r="HT50" s="980"/>
      <c r="HU50" s="980"/>
      <c r="HV50" s="980"/>
      <c r="HW50" s="980"/>
      <c r="HX50" s="980"/>
      <c r="HY50" s="980"/>
      <c r="HZ50" s="980"/>
      <c r="IA50" s="980"/>
      <c r="IB50" s="980"/>
      <c r="IC50" s="980"/>
      <c r="ID50" s="980"/>
      <c r="IE50" s="980"/>
      <c r="IF50" s="980"/>
      <c r="IG50" s="980"/>
      <c r="IH50" s="980"/>
      <c r="II50" s="980"/>
      <c r="IJ50" s="980"/>
      <c r="IK50" s="980"/>
      <c r="IL50" s="980"/>
      <c r="IM50" s="980"/>
      <c r="IN50" s="980"/>
      <c r="IO50" s="980"/>
      <c r="IP50" s="980"/>
      <c r="IQ50" s="980"/>
      <c r="IR50" s="980"/>
      <c r="IS50" s="980"/>
      <c r="IT50" s="980"/>
      <c r="IU50" s="980"/>
      <c r="IV50" s="980"/>
    </row>
    <row r="51" spans="1:256" s="409" customFormat="1" ht="12" customHeight="1" x14ac:dyDescent="0.55000000000000004">
      <c r="A51" s="398" t="str">
        <f t="shared" si="31"/>
        <v>Executive and Council4300</v>
      </c>
      <c r="B51" s="398" t="str">
        <f t="shared" si="31"/>
        <v>Finance and administration4300</v>
      </c>
      <c r="C51" s="398" t="str">
        <f t="shared" si="31"/>
        <v>Internal audit4300</v>
      </c>
      <c r="D51" s="398" t="str">
        <f t="shared" si="31"/>
        <v>Community and social services4300</v>
      </c>
      <c r="E51" s="398" t="str">
        <f t="shared" si="31"/>
        <v>Sport and recreation4300</v>
      </c>
      <c r="F51" s="398" t="str">
        <f t="shared" si="31"/>
        <v>Public safety4300</v>
      </c>
      <c r="G51" s="398" t="str">
        <f t="shared" si="31"/>
        <v>Housing4300</v>
      </c>
      <c r="H51" s="398" t="str">
        <f t="shared" si="31"/>
        <v>Health4300</v>
      </c>
      <c r="I51" s="398" t="str">
        <f t="shared" si="31"/>
        <v>Planning and development4300</v>
      </c>
      <c r="J51" s="398" t="str">
        <f t="shared" si="31"/>
        <v>Road transport4300</v>
      </c>
      <c r="K51" s="398" t="str">
        <f t="shared" si="31"/>
        <v>Environmental protection4300</v>
      </c>
      <c r="L51" s="398" t="str">
        <f t="shared" si="31"/>
        <v>Other4300</v>
      </c>
      <c r="M51" s="398" t="str">
        <f t="shared" si="31"/>
        <v>Energy sources4300</v>
      </c>
      <c r="N51" s="398" t="str">
        <f t="shared" si="31"/>
        <v>Water management4300</v>
      </c>
      <c r="O51" s="398" t="str">
        <f t="shared" si="31"/>
        <v>Waste water management4300</v>
      </c>
      <c r="P51" s="398" t="str">
        <f t="shared" si="31"/>
        <v>Waste management4300</v>
      </c>
      <c r="Q51" s="745" t="s">
        <v>761</v>
      </c>
      <c r="R51" s="745" t="s">
        <v>761</v>
      </c>
      <c r="S51" s="994"/>
      <c r="T51" s="748" t="s">
        <v>763</v>
      </c>
      <c r="U51" s="804">
        <f ca="1">SUMIF('3.Inc &amp; Exp per Function'!$D50:$D1148,'5.Cons and detailed recon'!A51,'3.Inc &amp; Exp per Function'!$U50:$U1147)</f>
        <v>0</v>
      </c>
      <c r="V51" s="804">
        <f ca="1">SUMIF('3.Inc &amp; Exp per Function'!$D50:$D1148,'5.Cons and detailed recon'!B51,'3.Inc &amp; Exp per Function'!$U50:$U1147)</f>
        <v>3680100</v>
      </c>
      <c r="W51" s="804">
        <f ca="1">SUMIF('3.Inc &amp; Exp per Function'!$D50:$D1148,'5.Cons and detailed recon'!C51,'3.Inc &amp; Exp per Function'!$U50:$U1147)</f>
        <v>0</v>
      </c>
      <c r="X51" s="413">
        <f t="shared" ca="1" si="32"/>
        <v>3680100</v>
      </c>
      <c r="Y51" s="804">
        <f ca="1">SUMIF('3.Inc &amp; Exp per Function'!$D50:$D1148,'5.Cons and detailed recon'!D51,'3.Inc &amp; Exp per Function'!$U50:$U1147)</f>
        <v>0</v>
      </c>
      <c r="Z51" s="804">
        <f ca="1">SUMIF('3.Inc &amp; Exp per Function'!$D50:$D1148,'5.Cons and detailed recon'!E51,'3.Inc &amp; Exp per Function'!$U50:$U1147)</f>
        <v>0</v>
      </c>
      <c r="AA51" s="804">
        <f ca="1">SUMIF('3.Inc &amp; Exp per Function'!$D50:$D1148,'5.Cons and detailed recon'!F51,'3.Inc &amp; Exp per Function'!$U50:$U1147)</f>
        <v>0</v>
      </c>
      <c r="AB51" s="804">
        <f ca="1">SUMIF('3.Inc &amp; Exp per Function'!$D50:$D1148,'5.Cons and detailed recon'!G51,'3.Inc &amp; Exp per Function'!$U50:$U1147)</f>
        <v>0</v>
      </c>
      <c r="AC51" s="804">
        <f ca="1">SUMIF('3.Inc &amp; Exp per Function'!$D50:$D1148,'5.Cons and detailed recon'!H51,'3.Inc &amp; Exp per Function'!$U50:$U1147)</f>
        <v>0</v>
      </c>
      <c r="AD51" s="804">
        <f ca="1">SUMIF('3.Inc &amp; Exp per Function'!$D50:$D1148,'5.Cons and detailed recon'!I51,'3.Inc &amp; Exp per Function'!$U50:$U1147)</f>
        <v>0</v>
      </c>
      <c r="AE51" s="804">
        <f ca="1">SUMIF('3.Inc &amp; Exp per Function'!$D50:$D1148,'5.Cons and detailed recon'!J51,'3.Inc &amp; Exp per Function'!$U50:$U1147)</f>
        <v>0</v>
      </c>
      <c r="AF51" s="804">
        <f ca="1">SUMIF('3.Inc &amp; Exp per Function'!$D50:$D1148,'5.Cons and detailed recon'!K51,'3.Inc &amp; Exp per Function'!$U50:$U1147)</f>
        <v>0</v>
      </c>
      <c r="AG51" s="804">
        <f ca="1">SUMIF('3.Inc &amp; Exp per Function'!$D50:$D1148,'5.Cons and detailed recon'!L51,'3.Inc &amp; Exp per Function'!$U50:$U1147)</f>
        <v>0</v>
      </c>
      <c r="AH51" s="413">
        <f t="shared" ca="1" si="3"/>
        <v>0</v>
      </c>
      <c r="AI51" s="804">
        <f ca="1">SUMIF('3.Inc &amp; Exp per Function'!$D50:$D1148,'5.Cons and detailed recon'!M51,'3.Inc &amp; Exp per Function'!$U50:$U1147)</f>
        <v>0</v>
      </c>
      <c r="AJ51" s="804">
        <f ca="1">SUMIF('3.Inc &amp; Exp per Function'!$D50:$D1148,'5.Cons and detailed recon'!N51,'3.Inc &amp; Exp per Function'!$U50:$U1147)</f>
        <v>0</v>
      </c>
      <c r="AK51" s="804">
        <f ca="1">SUMIF('3.Inc &amp; Exp per Function'!$D50:$D1148,'5.Cons and detailed recon'!O51,'3.Inc &amp; Exp per Function'!$U50:$U1147)</f>
        <v>0</v>
      </c>
      <c r="AL51" s="804">
        <f ca="1">SUMIF('3.Inc &amp; Exp per Function'!$D50:$D1148,'5.Cons and detailed recon'!P51,'3.Inc &amp; Exp per Function'!$U50:$U1147)</f>
        <v>0</v>
      </c>
      <c r="AM51" s="748">
        <f t="shared" ca="1" si="0"/>
        <v>0</v>
      </c>
      <c r="AN51" s="794"/>
      <c r="AO51" s="791">
        <f t="shared" ref="AO51:AO64" ca="1" si="36">X51+AH51+AM51</f>
        <v>3680100</v>
      </c>
      <c r="AP51" s="414">
        <f>SUMIF('4.Inc &amp; Exp Summary'!A:A,'5.Cons and detailed recon'!R51,'4.Inc &amp; Exp Summary'!L:L)</f>
        <v>90309744</v>
      </c>
      <c r="AQ51" s="415">
        <f t="shared" ca="1" si="23"/>
        <v>-86629644</v>
      </c>
      <c r="AR51" s="720"/>
      <c r="AS51" s="730"/>
      <c r="AT51" s="408"/>
      <c r="AU51" s="398" t="str">
        <f t="shared" si="33"/>
        <v>Executive and Council4300</v>
      </c>
      <c r="AV51" s="398" t="str">
        <f t="shared" si="33"/>
        <v>Finance and administration4300</v>
      </c>
      <c r="AW51" s="398" t="str">
        <f t="shared" si="33"/>
        <v>Internal audit4300</v>
      </c>
      <c r="AX51" s="398" t="str">
        <f t="shared" si="33"/>
        <v>Community and social services4300</v>
      </c>
      <c r="AY51" s="398" t="str">
        <f t="shared" si="33"/>
        <v>Sport and recreation4300</v>
      </c>
      <c r="AZ51" s="398" t="str">
        <f t="shared" si="33"/>
        <v>Public safety4300</v>
      </c>
      <c r="BA51" s="398" t="str">
        <f t="shared" si="33"/>
        <v>Housing4300</v>
      </c>
      <c r="BB51" s="398" t="str">
        <f t="shared" si="33"/>
        <v>Health4300</v>
      </c>
      <c r="BC51" s="398" t="str">
        <f t="shared" si="33"/>
        <v>Planning and development4300</v>
      </c>
      <c r="BD51" s="398" t="str">
        <f t="shared" si="33"/>
        <v>Road transport4300</v>
      </c>
      <c r="BE51" s="398" t="str">
        <f t="shared" si="33"/>
        <v>Environmental protection4300</v>
      </c>
      <c r="BF51" s="398" t="str">
        <f t="shared" si="33"/>
        <v>Other4300</v>
      </c>
      <c r="BG51" s="398" t="str">
        <f t="shared" si="33"/>
        <v>Energy sources4300</v>
      </c>
      <c r="BH51" s="398" t="str">
        <f t="shared" si="33"/>
        <v>Water management4300</v>
      </c>
      <c r="BI51" s="398" t="str">
        <f t="shared" si="33"/>
        <v>Waste water management4300</v>
      </c>
      <c r="BJ51" s="398" t="str">
        <f t="shared" si="33"/>
        <v>Waste management4300</v>
      </c>
      <c r="BK51" s="745" t="s">
        <v>761</v>
      </c>
      <c r="BL51" s="745" t="s">
        <v>761</v>
      </c>
      <c r="BM51" s="735"/>
      <c r="BN51" s="748" t="s">
        <v>763</v>
      </c>
      <c r="BO51" s="751">
        <f ca="1">SUMIF('3.Inc &amp; Exp per Function'!$D51:$D1149,'5.Cons and detailed recon'!AU51,'3.Inc &amp; Exp per Function'!$V51:$V1148)</f>
        <v>0</v>
      </c>
      <c r="BP51" s="751">
        <f ca="1">SUMIF('3.Inc &amp; Exp per Function'!$D50:$D1149,'5.Cons and detailed recon'!AV51,'3.Inc &amp; Exp per Function'!$V50:$V1148)</f>
        <v>3805223</v>
      </c>
      <c r="BQ51" s="751">
        <f ca="1">SUMIF('3.Inc &amp; Exp per Function'!$D51:$D1149,'5.Cons and detailed recon'!AW51,'3.Inc &amp; Exp per Function'!$V51:$V1148)</f>
        <v>0</v>
      </c>
      <c r="BR51" s="413">
        <f t="shared" ca="1" si="6"/>
        <v>3805223</v>
      </c>
      <c r="BS51" s="751">
        <f ca="1">SUMIF('3.Inc &amp; Exp per Function'!$D50:$D1149,'5.Cons and detailed recon'!AX51,'3.Inc &amp; Exp per Function'!$V50:$V1148)</f>
        <v>0</v>
      </c>
      <c r="BT51" s="751">
        <f ca="1">SUMIF('3.Inc &amp; Exp per Function'!$D50:$D1149,'5.Cons and detailed recon'!AY51,'3.Inc &amp; Exp per Function'!$V50:$V1148)</f>
        <v>0</v>
      </c>
      <c r="BU51" s="751">
        <f ca="1">SUMIF('3.Inc &amp; Exp per Function'!$D51:$D1149,'5.Cons and detailed recon'!AZ51,'3.Inc &amp; Exp per Function'!$V51:$V1148)</f>
        <v>0</v>
      </c>
      <c r="BV51" s="751">
        <f ca="1">SUMIF('3.Inc &amp; Exp per Function'!$D51:$D1149,'5.Cons and detailed recon'!BA51,'3.Inc &amp; Exp per Function'!$V51:$V1148)</f>
        <v>0</v>
      </c>
      <c r="BW51" s="751">
        <f ca="1">SUMIF('3.Inc &amp; Exp per Function'!$D51:$D1149,'5.Cons and detailed recon'!BB51,'3.Inc &amp; Exp per Function'!$V51:$V1148)</f>
        <v>0</v>
      </c>
      <c r="BX51" s="751">
        <f ca="1">SUMIF('3.Inc &amp; Exp per Function'!$D51:$D1149,'5.Cons and detailed recon'!BC51,'3.Inc &amp; Exp per Function'!$V51:$V1148)</f>
        <v>0</v>
      </c>
      <c r="BY51" s="751">
        <f ca="1">SUMIF('3.Inc &amp; Exp per Function'!$D51:$D1149,'5.Cons and detailed recon'!BD51,'3.Inc &amp; Exp per Function'!$V51:$V1148)</f>
        <v>0</v>
      </c>
      <c r="BZ51" s="751">
        <f ca="1">SUMIF('3.Inc &amp; Exp per Function'!$D51:$D1149,'5.Cons and detailed recon'!BE51,'3.Inc &amp; Exp per Function'!$V51:$V1148)</f>
        <v>0</v>
      </c>
      <c r="CA51" s="751">
        <f ca="1">SUMIF('3.Inc &amp; Exp per Function'!$D51:$D1149,'5.Cons and detailed recon'!BF51,'3.Inc &amp; Exp per Function'!$V51:$V1148)</f>
        <v>0</v>
      </c>
      <c r="CB51" s="413">
        <f t="shared" ca="1" si="7"/>
        <v>0</v>
      </c>
      <c r="CC51" s="751">
        <f ca="1">SUMIF('3.Inc &amp; Exp per Function'!$D51:$D1149,'5.Cons and detailed recon'!BG51,'3.Inc &amp; Exp per Function'!$V51:$V1148)</f>
        <v>0</v>
      </c>
      <c r="CD51" s="751">
        <f ca="1">SUMIF('3.Inc &amp; Exp per Function'!$D51:$D1149,'5.Cons and detailed recon'!BH51,'3.Inc &amp; Exp per Function'!$V51:$V1148)</f>
        <v>0</v>
      </c>
      <c r="CE51" s="751">
        <f ca="1">SUMIF('3.Inc &amp; Exp per Function'!$D51:$D1149,'5.Cons and detailed recon'!BI51,'3.Inc &amp; Exp per Function'!$V51:$V1148)</f>
        <v>0</v>
      </c>
      <c r="CF51" s="751">
        <f ca="1">SUMIF('3.Inc &amp; Exp per Function'!$D51:$D1149,'5.Cons and detailed recon'!BJ51,'3.Inc &amp; Exp per Function'!$V51:$V1148)</f>
        <v>0</v>
      </c>
      <c r="CG51" s="748">
        <f t="shared" ca="1" si="8"/>
        <v>0</v>
      </c>
      <c r="CH51" s="1332"/>
      <c r="CI51" s="1333">
        <f t="shared" ca="1" si="9"/>
        <v>3805223</v>
      </c>
      <c r="CJ51" s="414">
        <f>SUMIF('4.Inc &amp; Exp Summary'!A:A,'5.Cons and detailed recon'!R51,'4.Inc &amp; Exp Summary'!M:M)</f>
        <v>93380277</v>
      </c>
      <c r="CK51" s="415">
        <f t="shared" ca="1" si="35"/>
        <v>-89575054</v>
      </c>
      <c r="CL51" s="720"/>
      <c r="CM51" s="730"/>
      <c r="CO51" s="398" t="str">
        <f t="shared" si="34"/>
        <v>Executive and Council4300</v>
      </c>
      <c r="CP51" s="398" t="str">
        <f t="shared" si="34"/>
        <v>Finance and administration4300</v>
      </c>
      <c r="CQ51" s="398" t="str">
        <f t="shared" si="34"/>
        <v>Internal audit4300</v>
      </c>
      <c r="CR51" s="398" t="str">
        <f t="shared" si="34"/>
        <v>Community and social services4300</v>
      </c>
      <c r="CS51" s="398" t="str">
        <f t="shared" si="34"/>
        <v>Sport and recreation4300</v>
      </c>
      <c r="CT51" s="398" t="str">
        <f t="shared" si="34"/>
        <v>Public safety4300</v>
      </c>
      <c r="CU51" s="398" t="str">
        <f t="shared" si="34"/>
        <v>Housing4300</v>
      </c>
      <c r="CV51" s="398" t="str">
        <f t="shared" si="34"/>
        <v>Health4300</v>
      </c>
      <c r="CW51" s="398" t="str">
        <f t="shared" si="34"/>
        <v>Planning and development4300</v>
      </c>
      <c r="CX51" s="398" t="str">
        <f t="shared" si="34"/>
        <v>Road transport4300</v>
      </c>
      <c r="CY51" s="398" t="str">
        <f t="shared" si="34"/>
        <v>Environmental protection4300</v>
      </c>
      <c r="CZ51" s="398" t="str">
        <f t="shared" si="34"/>
        <v>Other4300</v>
      </c>
      <c r="DA51" s="398" t="str">
        <f t="shared" si="34"/>
        <v>Energy sources4300</v>
      </c>
      <c r="DB51" s="398" t="str">
        <f t="shared" si="34"/>
        <v>Water management4300</v>
      </c>
      <c r="DC51" s="398" t="str">
        <f t="shared" si="34"/>
        <v>Waste water management4300</v>
      </c>
      <c r="DD51" s="398" t="str">
        <f t="shared" si="34"/>
        <v>Waste management4300</v>
      </c>
      <c r="DE51" s="745" t="s">
        <v>761</v>
      </c>
      <c r="DF51" s="745" t="s">
        <v>761</v>
      </c>
      <c r="DG51" s="735"/>
      <c r="DH51" s="748" t="s">
        <v>763</v>
      </c>
      <c r="DI51" s="751">
        <f ca="1">SUMIF('3.Inc &amp; Exp per Function'!$D50:$D1149,'5.Cons and detailed recon'!CO51,'3.Inc &amp; Exp per Function'!$W50:$W1148)</f>
        <v>0</v>
      </c>
      <c r="DJ51" s="751">
        <f ca="1">SUMIF('3.Inc &amp; Exp per Function'!$D50:$D1148,'5.Cons and detailed recon'!CP51,'3.Inc &amp; Exp per Function'!$W50:$W1147)</f>
        <v>3926990</v>
      </c>
      <c r="DK51" s="751">
        <f ca="1">SUMIF('3.Inc &amp; Exp per Function'!$D50:$D1148,'5.Cons and detailed recon'!CQ51,'3.Inc &amp; Exp per Function'!$W50:$W1147)</f>
        <v>0</v>
      </c>
      <c r="DL51" s="413">
        <f t="shared" ca="1" si="11"/>
        <v>3926990</v>
      </c>
      <c r="DM51" s="751">
        <f ca="1">SUMIF('3.Inc &amp; Exp per Function'!$D50:$D1148,'5.Cons and detailed recon'!CR51,'3.Inc &amp; Exp per Function'!$W50:$W1147)</f>
        <v>0</v>
      </c>
      <c r="DN51" s="751">
        <f ca="1">SUMIF('3.Inc &amp; Exp per Function'!$D50:$D1148,'5.Cons and detailed recon'!CS51,'3.Inc &amp; Exp per Function'!$W50:$W1147)</f>
        <v>0</v>
      </c>
      <c r="DO51" s="751">
        <f ca="1">SUMIF('3.Inc &amp; Exp per Function'!$D50:$D1148,'5.Cons and detailed recon'!CT51,'3.Inc &amp; Exp per Function'!$W50:$W1147)</f>
        <v>0</v>
      </c>
      <c r="DP51" s="751">
        <f ca="1">SUMIF('3.Inc &amp; Exp per Function'!$D50:$D1148,'5.Cons and detailed recon'!CU51,'3.Inc &amp; Exp per Function'!$W50:$W1147)</f>
        <v>0</v>
      </c>
      <c r="DQ51" s="751">
        <f ca="1">SUMIF('3.Inc &amp; Exp per Function'!$D50:$D1148,'5.Cons and detailed recon'!CV51,'3.Inc &amp; Exp per Function'!$W50:$W1147)</f>
        <v>0</v>
      </c>
      <c r="DR51" s="751">
        <f ca="1">SUMIF('3.Inc &amp; Exp per Function'!$D50:$D1148,'5.Cons and detailed recon'!CW51,'3.Inc &amp; Exp per Function'!$W50:$W1147)</f>
        <v>0</v>
      </c>
      <c r="DS51" s="751">
        <f ca="1">SUMIF('3.Inc &amp; Exp per Function'!$D50:$D1148,'5.Cons and detailed recon'!CX51,'3.Inc &amp; Exp per Function'!$W50:$W1147)</f>
        <v>0</v>
      </c>
      <c r="DT51" s="751">
        <f ca="1">SUMIF('3.Inc &amp; Exp per Function'!$D50:$D1148,'5.Cons and detailed recon'!CY51,'3.Inc &amp; Exp per Function'!$W50:$W1147)</f>
        <v>0</v>
      </c>
      <c r="DU51" s="751">
        <f ca="1">SUMIF('3.Inc &amp; Exp per Function'!$D50:$D1148,'5.Cons and detailed recon'!CZ51,'3.Inc &amp; Exp per Function'!$W50:$W1147)</f>
        <v>0</v>
      </c>
      <c r="DV51" s="413">
        <f t="shared" ca="1" si="12"/>
        <v>0</v>
      </c>
      <c r="DW51" s="751">
        <f ca="1">SUMIF('3.Inc &amp; Exp per Function'!$D50:$D1148,'5.Cons and detailed recon'!DA51,'3.Inc &amp; Exp per Function'!$W50:$W1147)</f>
        <v>0</v>
      </c>
      <c r="DX51" s="751">
        <f ca="1">SUMIF('3.Inc &amp; Exp per Function'!$D50:$D1148,'5.Cons and detailed recon'!DB51,'3.Inc &amp; Exp per Function'!$W50:$W1147)</f>
        <v>0</v>
      </c>
      <c r="DY51" s="751">
        <f ca="1">SUMIF('3.Inc &amp; Exp per Function'!$D50:$D1148,'5.Cons and detailed recon'!DC51,'3.Inc &amp; Exp per Function'!$W50:$W1147)</f>
        <v>0</v>
      </c>
      <c r="DZ51" s="751">
        <f ca="1">SUMIF('3.Inc &amp; Exp per Function'!$D50:$D1148,'5.Cons and detailed recon'!DD51,'3.Inc &amp; Exp per Function'!$W50:$W1147)</f>
        <v>0</v>
      </c>
      <c r="EA51" s="748">
        <f t="shared" ca="1" si="13"/>
        <v>0</v>
      </c>
      <c r="EB51" s="794"/>
      <c r="EC51" s="791">
        <f t="shared" ca="1" si="14"/>
        <v>3926990</v>
      </c>
      <c r="ED51" s="414">
        <f>SUMIF('4.Inc &amp; Exp Summary'!A:A,'5.Cons and detailed recon'!DF51,'4.Inc &amp; Exp Summary'!N:N)</f>
        <v>96368445.864000022</v>
      </c>
      <c r="EE51" s="415">
        <f t="shared" ca="1" si="15"/>
        <v>-92441455.864000022</v>
      </c>
      <c r="EF51" s="720"/>
      <c r="EG51" s="980"/>
      <c r="EH51" s="980"/>
      <c r="EI51" s="980"/>
      <c r="EJ51" s="980"/>
      <c r="EK51" s="980"/>
      <c r="EL51" s="980"/>
      <c r="EM51" s="980"/>
      <c r="EN51" s="980"/>
      <c r="EO51" s="980"/>
      <c r="EP51" s="980"/>
      <c r="EQ51" s="980"/>
      <c r="ER51" s="980"/>
      <c r="ES51" s="980"/>
      <c r="ET51" s="980"/>
      <c r="EU51" s="980"/>
      <c r="EV51" s="980"/>
      <c r="EW51" s="980"/>
      <c r="EX51" s="980"/>
      <c r="EY51" s="980"/>
      <c r="EZ51" s="980"/>
      <c r="FA51" s="980"/>
      <c r="FB51" s="980"/>
      <c r="FC51" s="980"/>
      <c r="FD51" s="980"/>
      <c r="FE51" s="980"/>
      <c r="FF51" s="980"/>
      <c r="FG51" s="980"/>
      <c r="FH51" s="980"/>
      <c r="FI51" s="980"/>
      <c r="FJ51" s="980"/>
      <c r="FK51" s="980"/>
      <c r="FL51" s="980"/>
      <c r="FM51" s="980"/>
      <c r="FN51" s="980"/>
      <c r="FO51" s="980"/>
      <c r="FP51" s="980"/>
      <c r="FQ51" s="980"/>
      <c r="FR51" s="980"/>
      <c r="FS51" s="980"/>
      <c r="FT51" s="980"/>
      <c r="FU51" s="980"/>
      <c r="FV51" s="980"/>
      <c r="FW51" s="980"/>
      <c r="FX51" s="980"/>
      <c r="FY51" s="980"/>
      <c r="FZ51" s="980"/>
      <c r="GA51" s="980"/>
      <c r="GB51" s="980"/>
      <c r="GC51" s="980"/>
      <c r="GD51" s="980"/>
      <c r="GE51" s="980"/>
      <c r="GF51" s="980"/>
      <c r="GG51" s="980"/>
      <c r="GH51" s="980"/>
      <c r="GI51" s="980"/>
      <c r="GJ51" s="980"/>
      <c r="GK51" s="980"/>
      <c r="GL51" s="980"/>
      <c r="GM51" s="980"/>
      <c r="GN51" s="980"/>
      <c r="GO51" s="980"/>
      <c r="GP51" s="980"/>
      <c r="GQ51" s="980"/>
      <c r="GR51" s="980"/>
      <c r="GS51" s="980"/>
      <c r="GT51" s="980"/>
      <c r="GU51" s="980"/>
      <c r="GV51" s="980"/>
      <c r="GW51" s="980"/>
      <c r="GX51" s="980"/>
      <c r="GY51" s="980"/>
      <c r="GZ51" s="980"/>
      <c r="HA51" s="980"/>
      <c r="HB51" s="980"/>
      <c r="HC51" s="980"/>
      <c r="HD51" s="980"/>
      <c r="HE51" s="980"/>
      <c r="HF51" s="980"/>
      <c r="HG51" s="980"/>
      <c r="HH51" s="980"/>
      <c r="HI51" s="980"/>
      <c r="HJ51" s="980"/>
      <c r="HK51" s="980"/>
      <c r="HL51" s="980"/>
      <c r="HM51" s="980"/>
      <c r="HN51" s="980"/>
      <c r="HO51" s="980"/>
      <c r="HP51" s="980"/>
      <c r="HQ51" s="980"/>
      <c r="HR51" s="980"/>
      <c r="HS51" s="980"/>
      <c r="HT51" s="980"/>
      <c r="HU51" s="980"/>
      <c r="HV51" s="980"/>
      <c r="HW51" s="980"/>
      <c r="HX51" s="980"/>
      <c r="HY51" s="980"/>
      <c r="HZ51" s="980"/>
      <c r="IA51" s="980"/>
      <c r="IB51" s="980"/>
      <c r="IC51" s="980"/>
      <c r="ID51" s="980"/>
      <c r="IE51" s="980"/>
      <c r="IF51" s="980"/>
      <c r="IG51" s="980"/>
      <c r="IH51" s="980"/>
      <c r="II51" s="980"/>
      <c r="IJ51" s="980"/>
      <c r="IK51" s="980"/>
      <c r="IL51" s="980"/>
      <c r="IM51" s="980"/>
      <c r="IN51" s="980"/>
      <c r="IO51" s="980"/>
      <c r="IP51" s="980"/>
      <c r="IQ51" s="980"/>
      <c r="IR51" s="980"/>
      <c r="IS51" s="980"/>
      <c r="IT51" s="980"/>
      <c r="IU51" s="980"/>
      <c r="IV51" s="980"/>
    </row>
    <row r="52" spans="1:256" s="409" customFormat="1" ht="12" customHeight="1" x14ac:dyDescent="0.55000000000000004">
      <c r="A52" s="398" t="str">
        <f t="shared" si="31"/>
        <v>Executive and Council4400</v>
      </c>
      <c r="B52" s="398" t="str">
        <f t="shared" si="31"/>
        <v>Finance and administration4400</v>
      </c>
      <c r="C52" s="398" t="str">
        <f t="shared" si="31"/>
        <v>Internal audit4400</v>
      </c>
      <c r="D52" s="398" t="str">
        <f t="shared" si="31"/>
        <v>Community and social services4400</v>
      </c>
      <c r="E52" s="398" t="str">
        <f t="shared" si="31"/>
        <v>Sport and recreation4400</v>
      </c>
      <c r="F52" s="398" t="str">
        <f t="shared" si="31"/>
        <v>Public safety4400</v>
      </c>
      <c r="G52" s="398" t="str">
        <f t="shared" si="31"/>
        <v>Housing4400</v>
      </c>
      <c r="H52" s="398" t="str">
        <f t="shared" si="31"/>
        <v>Health4400</v>
      </c>
      <c r="I52" s="398" t="str">
        <f t="shared" si="31"/>
        <v>Planning and development4400</v>
      </c>
      <c r="J52" s="398" t="str">
        <f t="shared" si="31"/>
        <v>Road transport4400</v>
      </c>
      <c r="K52" s="398" t="str">
        <f t="shared" si="31"/>
        <v>Environmental protection4400</v>
      </c>
      <c r="L52" s="398" t="str">
        <f t="shared" si="31"/>
        <v>Other4400</v>
      </c>
      <c r="M52" s="398" t="str">
        <f t="shared" si="31"/>
        <v>Energy sources4400</v>
      </c>
      <c r="N52" s="398" t="str">
        <f t="shared" si="31"/>
        <v>Water management4400</v>
      </c>
      <c r="O52" s="398" t="str">
        <f t="shared" si="31"/>
        <v>Waste water management4400</v>
      </c>
      <c r="P52" s="398" t="str">
        <f t="shared" si="31"/>
        <v>Waste management4400</v>
      </c>
      <c r="Q52" s="743" t="s">
        <v>764</v>
      </c>
      <c r="R52" s="743" t="s">
        <v>764</v>
      </c>
      <c r="S52" s="994"/>
      <c r="T52" s="778" t="s">
        <v>736</v>
      </c>
      <c r="U52" s="805">
        <f ca="1">SUMIF('3.Inc &amp; Exp per Function'!$D51:$D1149,'5.Cons and detailed recon'!A52,'3.Inc &amp; Exp per Function'!$U51:$U1148)</f>
        <v>21125744</v>
      </c>
      <c r="V52" s="805">
        <f ca="1">SUMIF('3.Inc &amp; Exp per Function'!$D51:$D1149,'5.Cons and detailed recon'!B52,'3.Inc &amp; Exp per Function'!$U51:$U1148)</f>
        <v>224652576</v>
      </c>
      <c r="W52" s="805">
        <f ca="1">SUMIF('3.Inc &amp; Exp per Function'!$D51:$D1149,'5.Cons and detailed recon'!C52,'3.Inc &amp; Exp per Function'!$U51:$U1148)</f>
        <v>3436716</v>
      </c>
      <c r="X52" s="416">
        <f ca="1">SUM(X38:X51)</f>
        <v>249215036</v>
      </c>
      <c r="Y52" s="805">
        <f ca="1">SUMIF('3.Inc &amp; Exp per Function'!$D51:$D1149,'5.Cons and detailed recon'!D52,'3.Inc &amp; Exp per Function'!$U51:$U1148)</f>
        <v>13073057</v>
      </c>
      <c r="Z52" s="805">
        <f ca="1">SUMIF('3.Inc &amp; Exp per Function'!$D51:$D1149,'5.Cons and detailed recon'!E52,'3.Inc &amp; Exp per Function'!$U51:$U1148)</f>
        <v>12292492</v>
      </c>
      <c r="AA52" s="805">
        <f ca="1">SUMIF('3.Inc &amp; Exp per Function'!$D51:$D1149,'5.Cons and detailed recon'!F52,'3.Inc &amp; Exp per Function'!$U51:$U1148)</f>
        <v>69342194</v>
      </c>
      <c r="AB52" s="805">
        <f ca="1">SUMIF('3.Inc &amp; Exp per Function'!$D51:$D1149,'5.Cons and detailed recon'!G52,'3.Inc &amp; Exp per Function'!$U51:$U1148)</f>
        <v>15896634</v>
      </c>
      <c r="AC52" s="805">
        <f ca="1">SUMIF('3.Inc &amp; Exp per Function'!$D51:$D1149,'5.Cons and detailed recon'!H52,'3.Inc &amp; Exp per Function'!$U51:$U1148)</f>
        <v>0</v>
      </c>
      <c r="AD52" s="805">
        <f ca="1">SUMIF('3.Inc &amp; Exp per Function'!$D51:$D1149,'5.Cons and detailed recon'!I52,'3.Inc &amp; Exp per Function'!$U51:$U1148)</f>
        <v>41056524</v>
      </c>
      <c r="AE52" s="805">
        <f ca="1">SUMIF('3.Inc &amp; Exp per Function'!$D51:$D1149,'5.Cons and detailed recon'!J52,'3.Inc &amp; Exp per Function'!$U51:$U1148)</f>
        <v>50883329</v>
      </c>
      <c r="AF52" s="805">
        <f ca="1">SUMIF('3.Inc &amp; Exp per Function'!$D51:$D1149,'5.Cons and detailed recon'!K52,'3.Inc &amp; Exp per Function'!$U51:$U1148)</f>
        <v>1000</v>
      </c>
      <c r="AG52" s="805">
        <f ca="1">SUMIF('3.Inc &amp; Exp per Function'!$D51:$D1149,'5.Cons and detailed recon'!L52,'3.Inc &amp; Exp per Function'!$U51:$U1148)</f>
        <v>339500</v>
      </c>
      <c r="AH52" s="416">
        <f t="shared" ca="1" si="3"/>
        <v>202884730</v>
      </c>
      <c r="AI52" s="805">
        <f ca="1">SUMIF('3.Inc &amp; Exp per Function'!$D51:$D1149,'5.Cons and detailed recon'!M52,'3.Inc &amp; Exp per Function'!$U51:$U1148)</f>
        <v>198754842</v>
      </c>
      <c r="AJ52" s="805">
        <f ca="1">SUMIF('3.Inc &amp; Exp per Function'!$D51:$D1149,'5.Cons and detailed recon'!N52,'3.Inc &amp; Exp per Function'!$U51:$U1148)</f>
        <v>97282699</v>
      </c>
      <c r="AK52" s="805">
        <f ca="1">SUMIF('3.Inc &amp; Exp per Function'!$D51:$D1149,'5.Cons and detailed recon'!O52,'3.Inc &amp; Exp per Function'!$U51:$U1148)</f>
        <v>64870504</v>
      </c>
      <c r="AL52" s="805">
        <f ca="1">SUMIF('3.Inc &amp; Exp per Function'!$D51:$D1149,'5.Cons and detailed recon'!P52,'3.Inc &amp; Exp per Function'!$U51:$U1148)</f>
        <v>82489680</v>
      </c>
      <c r="AM52" s="776">
        <f t="shared" ca="1" si="0"/>
        <v>443397725</v>
      </c>
      <c r="AN52" s="794"/>
      <c r="AO52" s="736">
        <f t="shared" ca="1" si="36"/>
        <v>895497491</v>
      </c>
      <c r="AP52" s="736">
        <f>SUMIF('4.Inc &amp; Exp Summary'!A:A,'5.Cons and detailed recon'!R52,'4.Inc &amp; Exp Summary'!L:L)</f>
        <v>10</v>
      </c>
      <c r="AQ52" s="1331">
        <f t="shared" ca="1" si="23"/>
        <v>895497481</v>
      </c>
      <c r="AR52" s="720"/>
      <c r="AS52" s="730"/>
      <c r="AT52" s="408"/>
      <c r="AU52" s="398" t="str">
        <f t="shared" si="33"/>
        <v>Executive and Council4400</v>
      </c>
      <c r="AV52" s="398" t="str">
        <f t="shared" si="33"/>
        <v>Finance and administration4400</v>
      </c>
      <c r="AW52" s="398" t="str">
        <f t="shared" si="33"/>
        <v>Internal audit4400</v>
      </c>
      <c r="AX52" s="398" t="str">
        <f t="shared" si="33"/>
        <v>Community and social services4400</v>
      </c>
      <c r="AY52" s="398" t="str">
        <f t="shared" si="33"/>
        <v>Sport and recreation4400</v>
      </c>
      <c r="AZ52" s="398" t="str">
        <f t="shared" si="33"/>
        <v>Public safety4400</v>
      </c>
      <c r="BA52" s="398" t="str">
        <f t="shared" si="33"/>
        <v>Housing4400</v>
      </c>
      <c r="BB52" s="398" t="str">
        <f t="shared" si="33"/>
        <v>Health4400</v>
      </c>
      <c r="BC52" s="398" t="str">
        <f t="shared" si="33"/>
        <v>Planning and development4400</v>
      </c>
      <c r="BD52" s="398" t="str">
        <f t="shared" si="33"/>
        <v>Road transport4400</v>
      </c>
      <c r="BE52" s="398" t="str">
        <f t="shared" si="33"/>
        <v>Environmental protection4400</v>
      </c>
      <c r="BF52" s="398" t="str">
        <f t="shared" si="33"/>
        <v>Other4400</v>
      </c>
      <c r="BG52" s="398" t="str">
        <f t="shared" si="33"/>
        <v>Energy sources4400</v>
      </c>
      <c r="BH52" s="398" t="str">
        <f t="shared" si="33"/>
        <v>Water management4400</v>
      </c>
      <c r="BI52" s="398" t="str">
        <f t="shared" si="33"/>
        <v>Waste water management4400</v>
      </c>
      <c r="BJ52" s="398" t="str">
        <f t="shared" si="33"/>
        <v>Waste management4400</v>
      </c>
      <c r="BK52" s="743" t="s">
        <v>764</v>
      </c>
      <c r="BL52" s="743" t="s">
        <v>764</v>
      </c>
      <c r="BM52" s="735"/>
      <c r="BN52" s="778" t="s">
        <v>736</v>
      </c>
      <c r="BO52" s="777">
        <f ca="1">SUMIF('3.Inc &amp; Exp per Function'!$D52:$D1150,'5.Cons and detailed recon'!AU52,'3.Inc &amp; Exp per Function'!$V52:$V1149)</f>
        <v>21844017</v>
      </c>
      <c r="BP52" s="777">
        <f ca="1">SUMIF('3.Inc &amp; Exp per Function'!$D51:$D1150,'5.Cons and detailed recon'!AV52,'3.Inc &amp; Exp per Function'!$V51:$V1149)</f>
        <v>232372629</v>
      </c>
      <c r="BQ52" s="777">
        <f ca="1">SUMIF('3.Inc &amp; Exp per Function'!$D52:$D1150,'5.Cons and detailed recon'!AW52,'3.Inc &amp; Exp per Function'!$V52:$V1149)</f>
        <v>3553563</v>
      </c>
      <c r="BR52" s="416">
        <f t="shared" ca="1" si="6"/>
        <v>257770209</v>
      </c>
      <c r="BS52" s="777">
        <f ca="1">SUMIF('3.Inc &amp; Exp per Function'!$D51:$D1150,'5.Cons and detailed recon'!AX52,'3.Inc &amp; Exp per Function'!$V51:$V1149)</f>
        <v>13517538</v>
      </c>
      <c r="BT52" s="777">
        <f ca="1">SUMIF('3.Inc &amp; Exp per Function'!$D51:$D1150,'5.Cons and detailed recon'!AY52,'3.Inc &amp; Exp per Function'!$V51:$V1149)</f>
        <v>12710923</v>
      </c>
      <c r="BU52" s="777">
        <f ca="1">SUMIF('3.Inc &amp; Exp per Function'!$D52:$D1150,'5.Cons and detailed recon'!AZ52,'3.Inc &amp; Exp per Function'!$V52:$V1149)</f>
        <v>71699841</v>
      </c>
      <c r="BV52" s="777">
        <f ca="1">SUMIF('3.Inc &amp; Exp per Function'!$D52:$D1150,'5.Cons and detailed recon'!BA52,'3.Inc &amp; Exp per Function'!$V52:$V1149)</f>
        <v>16437127</v>
      </c>
      <c r="BW52" s="777">
        <f ca="1">SUMIF('3.Inc &amp; Exp per Function'!$D52:$D1150,'5.Cons and detailed recon'!BB52,'3.Inc &amp; Exp per Function'!$V52:$V1149)</f>
        <v>0</v>
      </c>
      <c r="BX52" s="777">
        <f ca="1">SUMIF('3.Inc &amp; Exp per Function'!$D52:$D1150,'5.Cons and detailed recon'!BC52,'3.Inc &amp; Exp per Function'!$V52:$V1149)</f>
        <v>42453337</v>
      </c>
      <c r="BY52" s="777">
        <f ca="1">SUMIF('3.Inc &amp; Exp per Function'!$D52:$D1150,'5.Cons and detailed recon'!BD52,'3.Inc &amp; Exp per Function'!$V52:$V1149)</f>
        <v>52688165</v>
      </c>
      <c r="BZ52" s="777">
        <f ca="1">SUMIF('3.Inc &amp; Exp per Function'!$D52:$D1150,'5.Cons and detailed recon'!BE52,'3.Inc &amp; Exp per Function'!$V52:$V1149)</f>
        <v>1034</v>
      </c>
      <c r="CA52" s="777">
        <f ca="1">SUMIF('3.Inc &amp; Exp per Function'!$D52:$D1150,'5.Cons and detailed recon'!BF52,'3.Inc &amp; Exp per Function'!$V52:$V1149)</f>
        <v>351043</v>
      </c>
      <c r="CB52" s="416">
        <f t="shared" ca="1" si="7"/>
        <v>209859008</v>
      </c>
      <c r="CC52" s="777">
        <f ca="1">SUMIF('3.Inc &amp; Exp per Function'!$D52:$D1150,'5.Cons and detailed recon'!BG52,'3.Inc &amp; Exp per Function'!$V52:$V1149)</f>
        <v>205571762</v>
      </c>
      <c r="CD52" s="777">
        <f ca="1">SUMIF('3.Inc &amp; Exp per Function'!$D52:$D1150,'5.Cons and detailed recon'!BH52,'3.Inc &amp; Exp per Function'!$V52:$V1149)</f>
        <v>100705851</v>
      </c>
      <c r="CE52" s="777">
        <f ca="1">SUMIF('3.Inc &amp; Exp per Function'!$D52:$D1150,'5.Cons and detailed recon'!BI52,'3.Inc &amp; Exp per Function'!$V52:$V1149)</f>
        <v>67225029</v>
      </c>
      <c r="CF52" s="777">
        <f ca="1">SUMIF('3.Inc &amp; Exp per Function'!$D52:$D1150,'5.Cons and detailed recon'!BJ52,'3.Inc &amp; Exp per Function'!$V52:$V1149)</f>
        <v>85435281</v>
      </c>
      <c r="CG52" s="1330">
        <f t="shared" ca="1" si="8"/>
        <v>458937923</v>
      </c>
      <c r="CH52" s="777"/>
      <c r="CI52" s="736">
        <f t="shared" ca="1" si="9"/>
        <v>926567140</v>
      </c>
      <c r="CJ52" s="736">
        <f>SUMIF('4.Inc &amp; Exp Summary'!A:A,'5.Cons and detailed recon'!R52,'4.Inc &amp; Exp Summary'!M:M)</f>
        <v>10</v>
      </c>
      <c r="CK52" s="1331">
        <f t="shared" ca="1" si="35"/>
        <v>926567130</v>
      </c>
      <c r="CL52" s="1340"/>
      <c r="CM52" s="730"/>
      <c r="CO52" s="398" t="str">
        <f t="shared" si="34"/>
        <v>Executive and Council4400</v>
      </c>
      <c r="CP52" s="398" t="str">
        <f t="shared" si="34"/>
        <v>Finance and administration4400</v>
      </c>
      <c r="CQ52" s="398" t="str">
        <f t="shared" si="34"/>
        <v>Internal audit4400</v>
      </c>
      <c r="CR52" s="398" t="str">
        <f t="shared" si="34"/>
        <v>Community and social services4400</v>
      </c>
      <c r="CS52" s="398" t="str">
        <f t="shared" si="34"/>
        <v>Sport and recreation4400</v>
      </c>
      <c r="CT52" s="398" t="str">
        <f t="shared" si="34"/>
        <v>Public safety4400</v>
      </c>
      <c r="CU52" s="398" t="str">
        <f t="shared" si="34"/>
        <v>Housing4400</v>
      </c>
      <c r="CV52" s="398" t="str">
        <f t="shared" si="34"/>
        <v>Health4400</v>
      </c>
      <c r="CW52" s="398" t="str">
        <f t="shared" si="34"/>
        <v>Planning and development4400</v>
      </c>
      <c r="CX52" s="398" t="str">
        <f t="shared" si="34"/>
        <v>Road transport4400</v>
      </c>
      <c r="CY52" s="398" t="str">
        <f t="shared" si="34"/>
        <v>Environmental protection4400</v>
      </c>
      <c r="CZ52" s="398" t="str">
        <f t="shared" si="34"/>
        <v>Other4400</v>
      </c>
      <c r="DA52" s="398" t="str">
        <f t="shared" si="34"/>
        <v>Energy sources4400</v>
      </c>
      <c r="DB52" s="398" t="str">
        <f t="shared" si="34"/>
        <v>Water management4400</v>
      </c>
      <c r="DC52" s="398" t="str">
        <f t="shared" si="34"/>
        <v>Waste water management4400</v>
      </c>
      <c r="DD52" s="398" t="str">
        <f t="shared" si="34"/>
        <v>Waste management4400</v>
      </c>
      <c r="DE52" s="743" t="s">
        <v>764</v>
      </c>
      <c r="DF52" s="743" t="s">
        <v>764</v>
      </c>
      <c r="DG52" s="735"/>
      <c r="DH52" s="778" t="s">
        <v>736</v>
      </c>
      <c r="DI52" s="777">
        <f ca="1">SUMIF('3.Inc &amp; Exp per Function'!$D51:$D1150,'5.Cons and detailed recon'!CO52,'3.Inc &amp; Exp per Function'!$W51:$W1149)</f>
        <v>22543025</v>
      </c>
      <c r="DJ52" s="777">
        <f ca="1">SUMIF('3.Inc &amp; Exp per Function'!$D51:$D1149,'5.Cons and detailed recon'!CP52,'3.Inc &amp; Exp per Function'!$W51:$W1148)</f>
        <v>239886257</v>
      </c>
      <c r="DK52" s="777">
        <f ca="1">SUMIF('3.Inc &amp; Exp per Function'!$D51:$D1149,'5.Cons and detailed recon'!CQ52,'3.Inc &amp; Exp per Function'!$W51:$W1148)</f>
        <v>3667277</v>
      </c>
      <c r="DL52" s="416">
        <f t="shared" ca="1" si="11"/>
        <v>266096559</v>
      </c>
      <c r="DM52" s="777">
        <f ca="1">SUMIF('3.Inc &amp; Exp per Function'!$D51:$D1149,'5.Cons and detailed recon'!CR52,'3.Inc &amp; Exp per Function'!$W51:$W1148)</f>
        <v>13950102</v>
      </c>
      <c r="DN52" s="777">
        <f ca="1">SUMIF('3.Inc &amp; Exp per Function'!$D51:$D1149,'5.Cons and detailed recon'!CS52,'3.Inc &amp; Exp per Function'!$W51:$W1148)</f>
        <v>13118243</v>
      </c>
      <c r="DO52" s="777">
        <f ca="1">SUMIF('3.Inc &amp; Exp per Function'!$D51:$D1149,'5.Cons and detailed recon'!CT52,'3.Inc &amp; Exp per Function'!$W51:$W1148)</f>
        <v>73994234</v>
      </c>
      <c r="DP52" s="777">
        <f ca="1">SUMIF('3.Inc &amp; Exp per Function'!$D51:$D1149,'5.Cons and detailed recon'!CU52,'3.Inc &amp; Exp per Function'!$W51:$W1148)</f>
        <v>16963108</v>
      </c>
      <c r="DQ52" s="777">
        <f ca="1">SUMIF('3.Inc &amp; Exp per Function'!$D51:$D1149,'5.Cons and detailed recon'!CV52,'3.Inc &amp; Exp per Function'!$W51:$W1148)</f>
        <v>0</v>
      </c>
      <c r="DR52" s="777">
        <f ca="1">SUMIF('3.Inc &amp; Exp per Function'!$D51:$D1149,'5.Cons and detailed recon'!CW52,'3.Inc &amp; Exp per Function'!$W51:$W1148)</f>
        <v>43812900</v>
      </c>
      <c r="DS52" s="777">
        <f ca="1">SUMIF('3.Inc &amp; Exp per Function'!$D51:$D1149,'5.Cons and detailed recon'!CX52,'3.Inc &amp; Exp per Function'!$W51:$W1148)</f>
        <v>54462539</v>
      </c>
      <c r="DT52" s="777">
        <f ca="1">SUMIF('3.Inc &amp; Exp per Function'!$D51:$D1149,'5.Cons and detailed recon'!CY52,'3.Inc &amp; Exp per Function'!$W51:$W1148)</f>
        <v>1067</v>
      </c>
      <c r="DU52" s="777">
        <f ca="1">SUMIF('3.Inc &amp; Exp per Function'!$D51:$D1149,'5.Cons and detailed recon'!CZ52,'3.Inc &amp; Exp per Function'!$W51:$W1148)</f>
        <v>362276</v>
      </c>
      <c r="DV52" s="416">
        <f t="shared" ca="1" si="12"/>
        <v>216664469</v>
      </c>
      <c r="DW52" s="777">
        <f ca="1">SUMIF('3.Inc &amp; Exp per Function'!$D51:$D1149,'5.Cons and detailed recon'!DA52,'3.Inc &amp; Exp per Function'!$W51:$W1148)</f>
        <v>212220048</v>
      </c>
      <c r="DX52" s="777">
        <f ca="1">SUMIF('3.Inc &amp; Exp per Function'!$D51:$D1149,'5.Cons and detailed recon'!DB52,'3.Inc &amp; Exp per Function'!$W51:$W1148)</f>
        <v>104064914</v>
      </c>
      <c r="DY52" s="777">
        <f ca="1">SUMIF('3.Inc &amp; Exp per Function'!$D51:$D1149,'5.Cons and detailed recon'!DC52,'3.Inc &amp; Exp per Function'!$W51:$W1148)</f>
        <v>69552146</v>
      </c>
      <c r="DZ52" s="777">
        <f ca="1">SUMIF('3.Inc &amp; Exp per Function'!$D51:$D1149,'5.Cons and detailed recon'!DD52,'3.Inc &amp; Exp per Function'!$W51:$W1148)</f>
        <v>88335702</v>
      </c>
      <c r="EA52" s="776">
        <f t="shared" ca="1" si="13"/>
        <v>474172810</v>
      </c>
      <c r="EB52" s="794"/>
      <c r="EC52" s="792">
        <f t="shared" ca="1" si="14"/>
        <v>956933838</v>
      </c>
      <c r="ED52" s="736">
        <f>SUMIF('4.Inc &amp; Exp Summary'!A:A,'5.Cons and detailed recon'!DF52,'4.Inc &amp; Exp Summary'!N:N)</f>
        <v>10.32</v>
      </c>
      <c r="EE52" s="415">
        <f t="shared" ca="1" si="15"/>
        <v>956933827.67999995</v>
      </c>
      <c r="EF52" s="720"/>
      <c r="EG52" s="980"/>
      <c r="EH52" s="980"/>
      <c r="EI52" s="980"/>
      <c r="EJ52" s="980"/>
      <c r="EK52" s="980"/>
      <c r="EL52" s="980"/>
      <c r="EM52" s="980"/>
      <c r="EN52" s="980"/>
      <c r="EO52" s="980"/>
      <c r="EP52" s="980"/>
      <c r="EQ52" s="980"/>
      <c r="ER52" s="980"/>
      <c r="ES52" s="980"/>
      <c r="ET52" s="980"/>
      <c r="EU52" s="980"/>
      <c r="EV52" s="980"/>
      <c r="EW52" s="980"/>
      <c r="EX52" s="980"/>
      <c r="EY52" s="980"/>
      <c r="EZ52" s="980"/>
      <c r="FA52" s="980"/>
      <c r="FB52" s="980"/>
      <c r="FC52" s="980"/>
      <c r="FD52" s="980"/>
      <c r="FE52" s="980"/>
      <c r="FF52" s="980"/>
      <c r="FG52" s="980"/>
      <c r="FH52" s="980"/>
      <c r="FI52" s="980"/>
      <c r="FJ52" s="980"/>
      <c r="FK52" s="980"/>
      <c r="FL52" s="980"/>
      <c r="FM52" s="980"/>
      <c r="FN52" s="980"/>
      <c r="FO52" s="980"/>
      <c r="FP52" s="980"/>
      <c r="FQ52" s="980"/>
      <c r="FR52" s="980"/>
      <c r="FS52" s="980"/>
      <c r="FT52" s="980"/>
      <c r="FU52" s="980"/>
      <c r="FV52" s="980"/>
      <c r="FW52" s="980"/>
      <c r="FX52" s="980"/>
      <c r="FY52" s="980"/>
      <c r="FZ52" s="980"/>
      <c r="GA52" s="980"/>
      <c r="GB52" s="980"/>
      <c r="GC52" s="980"/>
      <c r="GD52" s="980"/>
      <c r="GE52" s="980"/>
      <c r="GF52" s="980"/>
      <c r="GG52" s="980"/>
      <c r="GH52" s="980"/>
      <c r="GI52" s="980"/>
      <c r="GJ52" s="980"/>
      <c r="GK52" s="980"/>
      <c r="GL52" s="980"/>
      <c r="GM52" s="980"/>
      <c r="GN52" s="980"/>
      <c r="GO52" s="980"/>
      <c r="GP52" s="980"/>
      <c r="GQ52" s="980"/>
      <c r="GR52" s="980"/>
      <c r="GS52" s="980"/>
      <c r="GT52" s="980"/>
      <c r="GU52" s="980"/>
      <c r="GV52" s="980"/>
      <c r="GW52" s="980"/>
      <c r="GX52" s="980"/>
      <c r="GY52" s="980"/>
      <c r="GZ52" s="980"/>
      <c r="HA52" s="980"/>
      <c r="HB52" s="980"/>
      <c r="HC52" s="980"/>
      <c r="HD52" s="980"/>
      <c r="HE52" s="980"/>
      <c r="HF52" s="980"/>
      <c r="HG52" s="980"/>
      <c r="HH52" s="980"/>
      <c r="HI52" s="980"/>
      <c r="HJ52" s="980"/>
      <c r="HK52" s="980"/>
      <c r="HL52" s="980"/>
      <c r="HM52" s="980"/>
      <c r="HN52" s="980"/>
      <c r="HO52" s="980"/>
      <c r="HP52" s="980"/>
      <c r="HQ52" s="980"/>
      <c r="HR52" s="980"/>
      <c r="HS52" s="980"/>
      <c r="HT52" s="980"/>
      <c r="HU52" s="980"/>
      <c r="HV52" s="980"/>
      <c r="HW52" s="980"/>
      <c r="HX52" s="980"/>
      <c r="HY52" s="980"/>
      <c r="HZ52" s="980"/>
      <c r="IA52" s="980"/>
      <c r="IB52" s="980"/>
      <c r="IC52" s="980"/>
      <c r="ID52" s="980"/>
      <c r="IE52" s="980"/>
      <c r="IF52" s="980"/>
      <c r="IG52" s="980"/>
      <c r="IH52" s="980"/>
      <c r="II52" s="980"/>
      <c r="IJ52" s="980"/>
      <c r="IK52" s="980"/>
      <c r="IL52" s="980"/>
      <c r="IM52" s="980"/>
      <c r="IN52" s="980"/>
      <c r="IO52" s="980"/>
      <c r="IP52" s="980"/>
      <c r="IQ52" s="980"/>
      <c r="IR52" s="980"/>
      <c r="IS52" s="980"/>
      <c r="IT52" s="980"/>
      <c r="IU52" s="980"/>
      <c r="IV52" s="980"/>
    </row>
    <row r="53" spans="1:256" s="409" customFormat="1" ht="12" customHeight="1" x14ac:dyDescent="0.55000000000000004">
      <c r="A53" s="398" t="str">
        <f t="shared" si="31"/>
        <v>Executive and Council4500</v>
      </c>
      <c r="B53" s="398" t="str">
        <f t="shared" si="31"/>
        <v>Finance and administration4500</v>
      </c>
      <c r="C53" s="398" t="str">
        <f t="shared" si="31"/>
        <v>Internal audit4500</v>
      </c>
      <c r="D53" s="398" t="str">
        <f t="shared" si="31"/>
        <v>Community and social services4500</v>
      </c>
      <c r="E53" s="398" t="str">
        <f t="shared" si="31"/>
        <v>Sport and recreation4500</v>
      </c>
      <c r="F53" s="398" t="str">
        <f t="shared" si="31"/>
        <v>Public safety4500</v>
      </c>
      <c r="G53" s="398" t="str">
        <f t="shared" si="31"/>
        <v>Housing4500</v>
      </c>
      <c r="H53" s="398" t="str">
        <f t="shared" si="31"/>
        <v>Health4500</v>
      </c>
      <c r="I53" s="398" t="str">
        <f t="shared" si="31"/>
        <v>Planning and development4500</v>
      </c>
      <c r="J53" s="398" t="str">
        <f t="shared" si="31"/>
        <v>Road transport4500</v>
      </c>
      <c r="K53" s="398" t="str">
        <f t="shared" si="31"/>
        <v>Environmental protection4500</v>
      </c>
      <c r="L53" s="398" t="str">
        <f t="shared" si="31"/>
        <v>Other4500</v>
      </c>
      <c r="M53" s="398" t="str">
        <f t="shared" si="31"/>
        <v>Energy sources4500</v>
      </c>
      <c r="N53" s="398" t="str">
        <f t="shared" si="31"/>
        <v>Water management4500</v>
      </c>
      <c r="O53" s="398" t="str">
        <f t="shared" si="31"/>
        <v>Waste water management4500</v>
      </c>
      <c r="P53" s="398" t="str">
        <f t="shared" si="31"/>
        <v>Waste management4500</v>
      </c>
      <c r="Q53" s="743" t="s">
        <v>766</v>
      </c>
      <c r="R53" s="743" t="s">
        <v>766</v>
      </c>
      <c r="S53" s="994"/>
      <c r="T53" s="748" t="s">
        <v>635</v>
      </c>
      <c r="U53" s="804">
        <f t="shared" ref="U53:AG53" ca="1" si="37">+U37-U52</f>
        <v>-21007744</v>
      </c>
      <c r="V53" s="804">
        <f t="shared" ca="1" si="37"/>
        <v>103831221</v>
      </c>
      <c r="W53" s="804">
        <f t="shared" ca="1" si="37"/>
        <v>-3436716</v>
      </c>
      <c r="X53" s="413">
        <f t="shared" ca="1" si="37"/>
        <v>79386761</v>
      </c>
      <c r="Y53" s="804">
        <f t="shared" ca="1" si="37"/>
        <v>-465557</v>
      </c>
      <c r="Z53" s="804">
        <f t="shared" ca="1" si="37"/>
        <v>-12221492</v>
      </c>
      <c r="AA53" s="804">
        <f t="shared" ca="1" si="37"/>
        <v>-28202194</v>
      </c>
      <c r="AB53" s="804">
        <f t="shared" ca="1" si="37"/>
        <v>-15896634</v>
      </c>
      <c r="AC53" s="804">
        <f t="shared" ca="1" si="37"/>
        <v>0</v>
      </c>
      <c r="AD53" s="804">
        <f t="shared" ca="1" si="37"/>
        <v>-35817024</v>
      </c>
      <c r="AE53" s="804">
        <f t="shared" ca="1" si="37"/>
        <v>-42427329</v>
      </c>
      <c r="AF53" s="804">
        <f t="shared" ca="1" si="37"/>
        <v>-1000</v>
      </c>
      <c r="AG53" s="804">
        <f t="shared" ca="1" si="37"/>
        <v>-339500</v>
      </c>
      <c r="AH53" s="413">
        <f t="shared" ca="1" si="3"/>
        <v>-135370730</v>
      </c>
      <c r="AI53" s="804">
        <f ca="1">+AI37-AI52</f>
        <v>12596926</v>
      </c>
      <c r="AJ53" s="804">
        <f ca="1">+AJ37-AJ52</f>
        <v>47169461</v>
      </c>
      <c r="AK53" s="804">
        <f ca="1">+AK37-AK52</f>
        <v>11810006</v>
      </c>
      <c r="AL53" s="804">
        <f ca="1">+AL37-AL52</f>
        <v>-10811755</v>
      </c>
      <c r="AM53" s="748">
        <f t="shared" ca="1" si="0"/>
        <v>60764638</v>
      </c>
      <c r="AN53" s="794"/>
      <c r="AO53" s="791">
        <f t="shared" ca="1" si="36"/>
        <v>4780669</v>
      </c>
      <c r="AP53" s="414">
        <f>SUMIF('4.Inc &amp; Exp Summary'!A:A,'5.Cons and detailed recon'!R53,'4.Inc &amp; Exp Summary'!L:L)</f>
        <v>3680100</v>
      </c>
      <c r="AQ53" s="415">
        <f t="shared" ca="1" si="23"/>
        <v>1100569</v>
      </c>
      <c r="AR53" s="720"/>
      <c r="AS53" s="730"/>
      <c r="AT53" s="408"/>
      <c r="AU53" s="398" t="str">
        <f t="shared" si="33"/>
        <v>Executive and Council4500</v>
      </c>
      <c r="AV53" s="398" t="str">
        <f t="shared" si="33"/>
        <v>Finance and administration4500</v>
      </c>
      <c r="AW53" s="398" t="str">
        <f t="shared" si="33"/>
        <v>Internal audit4500</v>
      </c>
      <c r="AX53" s="398" t="str">
        <f t="shared" si="33"/>
        <v>Community and social services4500</v>
      </c>
      <c r="AY53" s="398" t="str">
        <f t="shared" si="33"/>
        <v>Sport and recreation4500</v>
      </c>
      <c r="AZ53" s="398" t="str">
        <f t="shared" si="33"/>
        <v>Public safety4500</v>
      </c>
      <c r="BA53" s="398" t="str">
        <f t="shared" si="33"/>
        <v>Housing4500</v>
      </c>
      <c r="BB53" s="398" t="str">
        <f t="shared" si="33"/>
        <v>Health4500</v>
      </c>
      <c r="BC53" s="398" t="str">
        <f t="shared" si="33"/>
        <v>Planning and development4500</v>
      </c>
      <c r="BD53" s="398" t="str">
        <f t="shared" si="33"/>
        <v>Road transport4500</v>
      </c>
      <c r="BE53" s="398" t="str">
        <f t="shared" si="33"/>
        <v>Environmental protection4500</v>
      </c>
      <c r="BF53" s="398" t="str">
        <f t="shared" si="33"/>
        <v>Other4500</v>
      </c>
      <c r="BG53" s="398" t="str">
        <f t="shared" si="33"/>
        <v>Energy sources4500</v>
      </c>
      <c r="BH53" s="398" t="str">
        <f t="shared" si="33"/>
        <v>Water management4500</v>
      </c>
      <c r="BI53" s="398" t="str">
        <f t="shared" si="33"/>
        <v>Waste water management4500</v>
      </c>
      <c r="BJ53" s="398" t="str">
        <f t="shared" si="33"/>
        <v>Waste management4500</v>
      </c>
      <c r="BK53" s="743" t="s">
        <v>766</v>
      </c>
      <c r="BL53" s="743" t="s">
        <v>766</v>
      </c>
      <c r="BM53" s="735"/>
      <c r="BN53" s="748" t="s">
        <v>635</v>
      </c>
      <c r="BO53" s="751">
        <f ca="1">SUMIF('3.Inc &amp; Exp per Function'!$D53:$D1151,'5.Cons and detailed recon'!AU53,'3.Inc &amp; Exp per Function'!$V53:$V1150)</f>
        <v>-21722005</v>
      </c>
      <c r="BP53" s="751">
        <f ca="1">SUMIF('3.Inc &amp; Exp per Function'!$D52:$D1151,'5.Cons and detailed recon'!AV53,'3.Inc &amp; Exp per Function'!$V52:$V1150)</f>
        <v>106951751</v>
      </c>
      <c r="BQ53" s="751">
        <f ca="1">SUMIF('3.Inc &amp; Exp per Function'!$D53:$D1151,'5.Cons and detailed recon'!AW53,'3.Inc &amp; Exp per Function'!$V53:$V1150)</f>
        <v>-3553563</v>
      </c>
      <c r="BR53" s="413">
        <f t="shared" ca="1" si="6"/>
        <v>81676183</v>
      </c>
      <c r="BS53" s="751">
        <f ca="1">SUMIF('3.Inc &amp; Exp per Function'!$D52:$D1151,'5.Cons and detailed recon'!AX53,'3.Inc &amp; Exp per Function'!$V52:$V1150)</f>
        <v>-764087</v>
      </c>
      <c r="BT53" s="751">
        <f ca="1">SUMIF('3.Inc &amp; Exp per Function'!$D52:$D1151,'5.Cons and detailed recon'!AY53,'3.Inc &amp; Exp per Function'!$V52:$V1150)</f>
        <v>-12637509</v>
      </c>
      <c r="BU53" s="751">
        <f ca="1">SUMIF('3.Inc &amp; Exp per Function'!$D53:$D1151,'5.Cons and detailed recon'!AZ53,'3.Inc &amp; Exp per Function'!$V53:$V1150)</f>
        <v>-29161081</v>
      </c>
      <c r="BV53" s="751">
        <f ca="1">SUMIF('3.Inc &amp; Exp per Function'!$D53:$D1151,'5.Cons and detailed recon'!BA53,'3.Inc &amp; Exp per Function'!$V53:$V1150)</f>
        <v>-16437127</v>
      </c>
      <c r="BW53" s="751">
        <f ca="1">SUMIF('3.Inc &amp; Exp per Function'!$D53:$D1151,'5.Cons and detailed recon'!BB53,'3.Inc &amp; Exp per Function'!$V53:$V1150)</f>
        <v>0</v>
      </c>
      <c r="BX53" s="751">
        <f ca="1">SUMIF('3.Inc &amp; Exp per Function'!$D53:$D1151,'5.Cons and detailed recon'!BC53,'3.Inc &amp; Exp per Function'!$V53:$V1150)</f>
        <v>-39012702</v>
      </c>
      <c r="BY53" s="751">
        <f ca="1">SUMIF('3.Inc &amp; Exp per Function'!$D53:$D1151,'5.Cons and detailed recon'!BD53,'3.Inc &amp; Exp per Function'!$V53:$V1150)</f>
        <v>-43930271</v>
      </c>
      <c r="BZ53" s="751">
        <f ca="1">SUMIF('3.Inc &amp; Exp per Function'!$D53:$D1151,'5.Cons and detailed recon'!BE53,'3.Inc &amp; Exp per Function'!$V53:$V1150)</f>
        <v>-1034</v>
      </c>
      <c r="CA53" s="751">
        <f ca="1">SUMIF('3.Inc &amp; Exp per Function'!$D53:$D1151,'5.Cons and detailed recon'!BF53,'3.Inc &amp; Exp per Function'!$V53:$V1150)</f>
        <v>-351043</v>
      </c>
      <c r="CB53" s="413">
        <f t="shared" ca="1" si="7"/>
        <v>-142294854</v>
      </c>
      <c r="CC53" s="751">
        <f ca="1">SUMIF('3.Inc &amp; Exp per Function'!$D53:$D1151,'5.Cons and detailed recon'!BG53,'3.Inc &amp; Exp per Function'!$V53:$V1150)</f>
        <v>13940095</v>
      </c>
      <c r="CD53" s="751">
        <f ca="1">SUMIF('3.Inc &amp; Exp per Function'!$D53:$D1151,'5.Cons and detailed recon'!BH53,'3.Inc &amp; Exp per Function'!$V53:$V1150)</f>
        <v>48944117</v>
      </c>
      <c r="CE53" s="751">
        <f ca="1">SUMIF('3.Inc &amp; Exp per Function'!$D53:$D1151,'5.Cons and detailed recon'!BI53,'3.Inc &amp; Exp per Function'!$V53:$V1150)</f>
        <v>12327634</v>
      </c>
      <c r="CF53" s="751">
        <f ca="1">SUMIF('3.Inc &amp; Exp per Function'!$D53:$D1151,'5.Cons and detailed recon'!BJ53,'3.Inc &amp; Exp per Function'!$V53:$V1150)</f>
        <v>-11001715</v>
      </c>
      <c r="CG53" s="748">
        <f t="shared" ca="1" si="8"/>
        <v>64210131</v>
      </c>
      <c r="CH53" s="751"/>
      <c r="CI53" s="791">
        <f t="shared" ca="1" si="9"/>
        <v>3591460</v>
      </c>
      <c r="CJ53" s="414">
        <f>SUMIF('4.Inc &amp; Exp Summary'!A:A,'5.Cons and detailed recon'!R53,'4.Inc &amp; Exp Summary'!M:M)</f>
        <v>3805223</v>
      </c>
      <c r="CK53" s="415">
        <f t="shared" ca="1" si="35"/>
        <v>-213763</v>
      </c>
      <c r="CL53" s="720"/>
      <c r="CM53" s="730"/>
      <c r="CO53" s="398" t="str">
        <f t="shared" si="34"/>
        <v>Executive and Council4500</v>
      </c>
      <c r="CP53" s="398" t="str">
        <f t="shared" si="34"/>
        <v>Finance and administration4500</v>
      </c>
      <c r="CQ53" s="398" t="str">
        <f t="shared" si="34"/>
        <v>Internal audit4500</v>
      </c>
      <c r="CR53" s="398" t="str">
        <f t="shared" si="34"/>
        <v>Community and social services4500</v>
      </c>
      <c r="CS53" s="398" t="str">
        <f t="shared" si="34"/>
        <v>Sport and recreation4500</v>
      </c>
      <c r="CT53" s="398" t="str">
        <f t="shared" si="34"/>
        <v>Public safety4500</v>
      </c>
      <c r="CU53" s="398" t="str">
        <f t="shared" si="34"/>
        <v>Housing4500</v>
      </c>
      <c r="CV53" s="398" t="str">
        <f t="shared" si="34"/>
        <v>Health4500</v>
      </c>
      <c r="CW53" s="398" t="str">
        <f t="shared" si="34"/>
        <v>Planning and development4500</v>
      </c>
      <c r="CX53" s="398" t="str">
        <f t="shared" si="34"/>
        <v>Road transport4500</v>
      </c>
      <c r="CY53" s="398" t="str">
        <f t="shared" si="34"/>
        <v>Environmental protection4500</v>
      </c>
      <c r="CZ53" s="398" t="str">
        <f t="shared" si="34"/>
        <v>Other4500</v>
      </c>
      <c r="DA53" s="398" t="str">
        <f t="shared" si="34"/>
        <v>Energy sources4500</v>
      </c>
      <c r="DB53" s="398" t="str">
        <f t="shared" si="34"/>
        <v>Water management4500</v>
      </c>
      <c r="DC53" s="398" t="str">
        <f t="shared" si="34"/>
        <v>Waste water management4500</v>
      </c>
      <c r="DD53" s="398" t="str">
        <f t="shared" si="34"/>
        <v>Waste management4500</v>
      </c>
      <c r="DE53" s="743" t="s">
        <v>766</v>
      </c>
      <c r="DF53" s="743" t="s">
        <v>766</v>
      </c>
      <c r="DG53" s="735"/>
      <c r="DH53" s="748" t="s">
        <v>635</v>
      </c>
      <c r="DI53" s="751">
        <f ca="1">SUMIF('3.Inc &amp; Exp per Function'!$D52:$D1151,'5.Cons and detailed recon'!CO53,'3.Inc &amp; Exp per Function'!$W52:$W1150)</f>
        <v>-22417109</v>
      </c>
      <c r="DJ53" s="751">
        <f ca="1">SUMIF('3.Inc &amp; Exp per Function'!$D52:$D1150,'5.Cons and detailed recon'!CP53,'3.Inc &amp; Exp per Function'!$W52:$W1149)</f>
        <v>109202618</v>
      </c>
      <c r="DK53" s="751">
        <f ca="1">SUMIF('3.Inc &amp; Exp per Function'!$D52:$D1150,'5.Cons and detailed recon'!CQ53,'3.Inc &amp; Exp per Function'!$W52:$W1149)</f>
        <v>-3667277</v>
      </c>
      <c r="DL53" s="413">
        <f t="shared" ca="1" si="11"/>
        <v>83118232</v>
      </c>
      <c r="DM53" s="751">
        <f ca="1">SUMIF('3.Inc &amp; Exp per Function'!$D52:$D1150,'5.Cons and detailed recon'!CR53,'3.Inc &amp; Exp per Function'!$W52:$W1149)</f>
        <v>-1049476</v>
      </c>
      <c r="DN53" s="751">
        <f ca="1">SUMIF('3.Inc &amp; Exp per Function'!$D52:$D1150,'5.Cons and detailed recon'!CS53,'3.Inc &amp; Exp per Function'!$W52:$W1149)</f>
        <v>-13042480</v>
      </c>
      <c r="DO53" s="751">
        <f ca="1">SUMIF('3.Inc &amp; Exp per Function'!$D52:$D1150,'5.Cons and detailed recon'!CT53,'3.Inc &amp; Exp per Function'!$W52:$W1149)</f>
        <v>-30094234</v>
      </c>
      <c r="DP53" s="751">
        <f ca="1">SUMIF('3.Inc &amp; Exp per Function'!$D52:$D1150,'5.Cons and detailed recon'!CU53,'3.Inc &amp; Exp per Function'!$W52:$W1149)</f>
        <v>-16963108</v>
      </c>
      <c r="DQ53" s="751">
        <f ca="1">SUMIF('3.Inc &amp; Exp per Function'!$D52:$D1150,'5.Cons and detailed recon'!CV53,'3.Inc &amp; Exp per Function'!$W52:$W1149)</f>
        <v>0</v>
      </c>
      <c r="DR53" s="751">
        <f ca="1">SUMIF('3.Inc &amp; Exp per Function'!$D52:$D1150,'5.Cons and detailed recon'!CW53,'3.Inc &amp; Exp per Function'!$W52:$W1149)</f>
        <v>-40262165</v>
      </c>
      <c r="DS53" s="751">
        <f ca="1">SUMIF('3.Inc &amp; Exp per Function'!$D52:$D1150,'5.Cons and detailed recon'!CX53,'3.Inc &amp; Exp per Function'!$W52:$W1149)</f>
        <v>-45430311</v>
      </c>
      <c r="DT53" s="751">
        <f ca="1">SUMIF('3.Inc &amp; Exp per Function'!$D52:$D1150,'5.Cons and detailed recon'!CY53,'3.Inc &amp; Exp per Function'!$W52:$W1149)</f>
        <v>-1067</v>
      </c>
      <c r="DU53" s="751">
        <f ca="1">SUMIF('3.Inc &amp; Exp per Function'!$D52:$D1150,'5.Cons and detailed recon'!CZ53,'3.Inc &amp; Exp per Function'!$W52:$W1149)</f>
        <v>-362276</v>
      </c>
      <c r="DV53" s="413">
        <f t="shared" ca="1" si="12"/>
        <v>-147205117</v>
      </c>
      <c r="DW53" s="751">
        <f ca="1">SUMIF('3.Inc &amp; Exp per Function'!$D52:$D1150,'5.Cons and detailed recon'!DA53,'3.Inc &amp; Exp per Function'!$W52:$W1149)</f>
        <v>14151118</v>
      </c>
      <c r="DX53" s="751">
        <f ca="1">SUMIF('3.Inc &amp; Exp per Function'!$D52:$D1150,'5.Cons and detailed recon'!DB53,'3.Inc &amp; Exp per Function'!$W52:$W1149)</f>
        <v>50172889</v>
      </c>
      <c r="DY53" s="751">
        <f ca="1">SUMIF('3.Inc &amp; Exp per Function'!$D52:$D1150,'5.Cons and detailed recon'!DC53,'3.Inc &amp; Exp per Function'!$W52:$W1149)</f>
        <v>12360265</v>
      </c>
      <c r="DZ53" s="751">
        <f ca="1">SUMIF('3.Inc &amp; Exp per Function'!$D52:$D1150,'5.Cons and detailed recon'!DD53,'3.Inc &amp; Exp per Function'!$W52:$W1149)</f>
        <v>-11743788</v>
      </c>
      <c r="EA53" s="748">
        <f t="shared" ca="1" si="13"/>
        <v>64940484</v>
      </c>
      <c r="EB53" s="794"/>
      <c r="EC53" s="791">
        <f t="shared" ca="1" si="14"/>
        <v>853599</v>
      </c>
      <c r="ED53" s="414">
        <f>SUMIF('4.Inc &amp; Exp Summary'!A:A,'5.Cons and detailed recon'!DF53,'4.Inc &amp; Exp Summary'!N:N)</f>
        <v>3926990.1359999999</v>
      </c>
      <c r="EE53" s="415">
        <f t="shared" ca="1" si="15"/>
        <v>-3073391.1359999999</v>
      </c>
      <c r="EF53" s="720"/>
      <c r="EG53" s="980"/>
      <c r="EH53" s="980"/>
      <c r="EI53" s="980"/>
      <c r="EJ53" s="980"/>
      <c r="EK53" s="980"/>
      <c r="EL53" s="980"/>
      <c r="EM53" s="980"/>
      <c r="EN53" s="980"/>
      <c r="EO53" s="980"/>
      <c r="EP53" s="980"/>
      <c r="EQ53" s="980"/>
      <c r="ER53" s="980"/>
      <c r="ES53" s="980"/>
      <c r="ET53" s="980"/>
      <c r="EU53" s="980"/>
      <c r="EV53" s="980"/>
      <c r="EW53" s="980"/>
      <c r="EX53" s="980"/>
      <c r="EY53" s="980"/>
      <c r="EZ53" s="980"/>
      <c r="FA53" s="980"/>
      <c r="FB53" s="980"/>
      <c r="FC53" s="980"/>
      <c r="FD53" s="980"/>
      <c r="FE53" s="980"/>
      <c r="FF53" s="980"/>
      <c r="FG53" s="980"/>
      <c r="FH53" s="980"/>
      <c r="FI53" s="980"/>
      <c r="FJ53" s="980"/>
      <c r="FK53" s="980"/>
      <c r="FL53" s="980"/>
      <c r="FM53" s="980"/>
      <c r="FN53" s="980"/>
      <c r="FO53" s="980"/>
      <c r="FP53" s="980"/>
      <c r="FQ53" s="980"/>
      <c r="FR53" s="980"/>
      <c r="FS53" s="980"/>
      <c r="FT53" s="980"/>
      <c r="FU53" s="980"/>
      <c r="FV53" s="980"/>
      <c r="FW53" s="980"/>
      <c r="FX53" s="980"/>
      <c r="FY53" s="980"/>
      <c r="FZ53" s="980"/>
      <c r="GA53" s="980"/>
      <c r="GB53" s="980"/>
      <c r="GC53" s="980"/>
      <c r="GD53" s="980"/>
      <c r="GE53" s="980"/>
      <c r="GF53" s="980"/>
      <c r="GG53" s="980"/>
      <c r="GH53" s="980"/>
      <c r="GI53" s="980"/>
      <c r="GJ53" s="980"/>
      <c r="GK53" s="980"/>
      <c r="GL53" s="980"/>
      <c r="GM53" s="980"/>
      <c r="GN53" s="980"/>
      <c r="GO53" s="980"/>
      <c r="GP53" s="980"/>
      <c r="GQ53" s="980"/>
      <c r="GR53" s="980"/>
      <c r="GS53" s="980"/>
      <c r="GT53" s="980"/>
      <c r="GU53" s="980"/>
      <c r="GV53" s="980"/>
      <c r="GW53" s="980"/>
      <c r="GX53" s="980"/>
      <c r="GY53" s="980"/>
      <c r="GZ53" s="980"/>
      <c r="HA53" s="980"/>
      <c r="HB53" s="980"/>
      <c r="HC53" s="980"/>
      <c r="HD53" s="980"/>
      <c r="HE53" s="980"/>
      <c r="HF53" s="980"/>
      <c r="HG53" s="980"/>
      <c r="HH53" s="980"/>
      <c r="HI53" s="980"/>
      <c r="HJ53" s="980"/>
      <c r="HK53" s="980"/>
      <c r="HL53" s="980"/>
      <c r="HM53" s="980"/>
      <c r="HN53" s="980"/>
      <c r="HO53" s="980"/>
      <c r="HP53" s="980"/>
      <c r="HQ53" s="980"/>
      <c r="HR53" s="980"/>
      <c r="HS53" s="980"/>
      <c r="HT53" s="980"/>
      <c r="HU53" s="980"/>
      <c r="HV53" s="980"/>
      <c r="HW53" s="980"/>
      <c r="HX53" s="980"/>
      <c r="HY53" s="980"/>
      <c r="HZ53" s="980"/>
      <c r="IA53" s="980"/>
      <c r="IB53" s="980"/>
      <c r="IC53" s="980"/>
      <c r="ID53" s="980"/>
      <c r="IE53" s="980"/>
      <c r="IF53" s="980"/>
      <c r="IG53" s="980"/>
      <c r="IH53" s="980"/>
      <c r="II53" s="980"/>
      <c r="IJ53" s="980"/>
      <c r="IK53" s="980"/>
      <c r="IL53" s="980"/>
      <c r="IM53" s="980"/>
      <c r="IN53" s="980"/>
      <c r="IO53" s="980"/>
      <c r="IP53" s="980"/>
      <c r="IQ53" s="980"/>
      <c r="IR53" s="980"/>
      <c r="IS53" s="980"/>
      <c r="IT53" s="980"/>
      <c r="IU53" s="980"/>
      <c r="IV53" s="980"/>
    </row>
    <row r="54" spans="1:256" s="409" customFormat="1" ht="12" customHeight="1" x14ac:dyDescent="0.55000000000000004">
      <c r="A54" s="398" t="str">
        <f t="shared" si="31"/>
        <v>Executive and Council4600</v>
      </c>
      <c r="B54" s="398" t="str">
        <f t="shared" si="31"/>
        <v>Finance and administration4600</v>
      </c>
      <c r="C54" s="398" t="str">
        <f t="shared" si="31"/>
        <v>Internal audit4600</v>
      </c>
      <c r="D54" s="398" t="str">
        <f t="shared" si="31"/>
        <v>Community and social services4600</v>
      </c>
      <c r="E54" s="398" t="str">
        <f t="shared" si="31"/>
        <v>Sport and recreation4600</v>
      </c>
      <c r="F54" s="398" t="str">
        <f t="shared" si="31"/>
        <v>Public safety4600</v>
      </c>
      <c r="G54" s="398" t="str">
        <f t="shared" si="31"/>
        <v>Housing4600</v>
      </c>
      <c r="H54" s="398" t="str">
        <f t="shared" si="31"/>
        <v>Health4600</v>
      </c>
      <c r="I54" s="398" t="str">
        <f t="shared" si="31"/>
        <v>Planning and development4600</v>
      </c>
      <c r="J54" s="398" t="str">
        <f t="shared" si="31"/>
        <v>Road transport4600</v>
      </c>
      <c r="K54" s="398" t="str">
        <f t="shared" si="31"/>
        <v>Environmental protection4600</v>
      </c>
      <c r="L54" s="398" t="str">
        <f t="shared" si="31"/>
        <v>Other4600</v>
      </c>
      <c r="M54" s="398" t="str">
        <f t="shared" si="31"/>
        <v>Energy sources4600</v>
      </c>
      <c r="N54" s="398" t="str">
        <f t="shared" si="31"/>
        <v>Water management4600</v>
      </c>
      <c r="O54" s="398" t="str">
        <f t="shared" si="31"/>
        <v>Waste water management4600</v>
      </c>
      <c r="P54" s="398" t="str">
        <f t="shared" si="31"/>
        <v>Waste management4600</v>
      </c>
      <c r="Q54" s="745" t="s">
        <v>768</v>
      </c>
      <c r="R54" s="745" t="s">
        <v>768</v>
      </c>
      <c r="S54" s="994"/>
      <c r="T54" s="748" t="s">
        <v>770</v>
      </c>
      <c r="U54" s="804">
        <f ca="1">SUMIF('3.Inc &amp; Exp per Function'!$D53:$D1151,'5.Cons and detailed recon'!A54,'3.Inc &amp; Exp per Function'!$U53:$U1150)</f>
        <v>0</v>
      </c>
      <c r="V54" s="804">
        <f ca="1">SUMIF('3.Inc &amp; Exp per Function'!$D53:$D1151,'5.Cons and detailed recon'!B54,'3.Inc &amp; Exp per Function'!$U53:$U1150)</f>
        <v>0</v>
      </c>
      <c r="W54" s="804">
        <f ca="1">SUMIF('3.Inc &amp; Exp per Function'!$D53:$D1151,'5.Cons and detailed recon'!C54,'3.Inc &amp; Exp per Function'!$U53:$U1150)</f>
        <v>0</v>
      </c>
      <c r="X54" s="413">
        <f t="shared" ref="X54:X64" ca="1" si="38">SUM(U54:W54)</f>
        <v>0</v>
      </c>
      <c r="Y54" s="804">
        <f ca="1">SUMIF('3.Inc &amp; Exp per Function'!$D53:$D1151,'5.Cons and detailed recon'!D54,'3.Inc &amp; Exp per Function'!$U53:$U1150)</f>
        <v>0</v>
      </c>
      <c r="Z54" s="804">
        <f ca="1">SUMIF('3.Inc &amp; Exp per Function'!$D53:$D1151,'5.Cons and detailed recon'!E54,'3.Inc &amp; Exp per Function'!$U53:$U1150)</f>
        <v>0</v>
      </c>
      <c r="AA54" s="804">
        <f ca="1">SUMIF('3.Inc &amp; Exp per Function'!$D53:$D1151,'5.Cons and detailed recon'!F54,'3.Inc &amp; Exp per Function'!$U53:$U1150)</f>
        <v>0</v>
      </c>
      <c r="AB54" s="804">
        <f ca="1">SUMIF('3.Inc &amp; Exp per Function'!$D53:$D1151,'5.Cons and detailed recon'!G54,'3.Inc &amp; Exp per Function'!$U53:$U1150)</f>
        <v>0</v>
      </c>
      <c r="AC54" s="804">
        <f ca="1">SUMIF('3.Inc &amp; Exp per Function'!$D53:$D1151,'5.Cons and detailed recon'!H54,'3.Inc &amp; Exp per Function'!$U53:$U1150)</f>
        <v>0</v>
      </c>
      <c r="AD54" s="804">
        <f ca="1">SUMIF('3.Inc &amp; Exp per Function'!$D53:$D1151,'5.Cons and detailed recon'!I54,'3.Inc &amp; Exp per Function'!$U53:$U1150)</f>
        <v>32600870</v>
      </c>
      <c r="AE54" s="804">
        <f ca="1">SUMIF('3.Inc &amp; Exp per Function'!$D53:$D1151,'5.Cons and detailed recon'!J54,'3.Inc &amp; Exp per Function'!$U53:$U1150)</f>
        <v>0</v>
      </c>
      <c r="AF54" s="804">
        <f ca="1">SUMIF('3.Inc &amp; Exp per Function'!$D53:$D1151,'5.Cons and detailed recon'!K54,'3.Inc &amp; Exp per Function'!$U53:$U1150)</f>
        <v>0</v>
      </c>
      <c r="AG54" s="804">
        <f ca="1">SUMIF('3.Inc &amp; Exp per Function'!$D53:$D1151,'5.Cons and detailed recon'!L54,'3.Inc &amp; Exp per Function'!$U53:$U1150)</f>
        <v>0</v>
      </c>
      <c r="AH54" s="413">
        <f t="shared" ca="1" si="3"/>
        <v>32600870</v>
      </c>
      <c r="AI54" s="804">
        <f ca="1">SUMIF('3.Inc &amp; Exp per Function'!$D53:$D1151,'5.Cons and detailed recon'!M54,'3.Inc &amp; Exp per Function'!$U53:$U1150)</f>
        <v>608696</v>
      </c>
      <c r="AJ54" s="804">
        <f ca="1">SUMIF('3.Inc &amp; Exp per Function'!$D53:$D1151,'5.Cons and detailed recon'!N54,'3.Inc &amp; Exp per Function'!$U53:$U1150)</f>
        <v>0</v>
      </c>
      <c r="AK54" s="804">
        <f ca="1">SUMIF('3.Inc &amp; Exp per Function'!$D53:$D1151,'5.Cons and detailed recon'!O54,'3.Inc &amp; Exp per Function'!$U53:$U1150)</f>
        <v>0</v>
      </c>
      <c r="AL54" s="804">
        <f ca="1">SUMIF('3.Inc &amp; Exp per Function'!$D53:$D1151,'5.Cons and detailed recon'!P54,'3.Inc &amp; Exp per Function'!$U53:$U1150)</f>
        <v>0</v>
      </c>
      <c r="AM54" s="748">
        <f t="shared" ca="1" si="0"/>
        <v>608696</v>
      </c>
      <c r="AN54" s="794"/>
      <c r="AO54" s="791">
        <f t="shared" ca="1" si="36"/>
        <v>33209566</v>
      </c>
      <c r="AP54" s="414">
        <f>SUMIF('4.Inc &amp; Exp Summary'!A:A,'5.Cons and detailed recon'!R54,'4.Inc &amp; Exp Summary'!L:L)</f>
        <v>895497491</v>
      </c>
      <c r="AQ54" s="415">
        <f t="shared" ca="1" si="23"/>
        <v>-862287925</v>
      </c>
      <c r="AR54" s="720"/>
      <c r="AS54" s="730"/>
      <c r="AT54" s="408"/>
      <c r="AU54" s="398" t="str">
        <f t="shared" si="33"/>
        <v>Executive and Council4600</v>
      </c>
      <c r="AV54" s="398" t="str">
        <f t="shared" si="33"/>
        <v>Finance and administration4600</v>
      </c>
      <c r="AW54" s="398" t="str">
        <f t="shared" si="33"/>
        <v>Internal audit4600</v>
      </c>
      <c r="AX54" s="398" t="str">
        <f t="shared" si="33"/>
        <v>Community and social services4600</v>
      </c>
      <c r="AY54" s="398" t="str">
        <f t="shared" si="33"/>
        <v>Sport and recreation4600</v>
      </c>
      <c r="AZ54" s="398" t="str">
        <f t="shared" si="33"/>
        <v>Public safety4600</v>
      </c>
      <c r="BA54" s="398" t="str">
        <f t="shared" si="33"/>
        <v>Housing4600</v>
      </c>
      <c r="BB54" s="398" t="str">
        <f t="shared" si="33"/>
        <v>Health4600</v>
      </c>
      <c r="BC54" s="398" t="str">
        <f t="shared" si="33"/>
        <v>Planning and development4600</v>
      </c>
      <c r="BD54" s="398" t="str">
        <f t="shared" si="33"/>
        <v>Road transport4600</v>
      </c>
      <c r="BE54" s="398" t="str">
        <f t="shared" si="33"/>
        <v>Environmental protection4600</v>
      </c>
      <c r="BF54" s="398" t="str">
        <f t="shared" si="33"/>
        <v>Other4600</v>
      </c>
      <c r="BG54" s="398" t="str">
        <f t="shared" si="33"/>
        <v>Energy sources4600</v>
      </c>
      <c r="BH54" s="398" t="str">
        <f t="shared" si="33"/>
        <v>Water management4600</v>
      </c>
      <c r="BI54" s="398" t="str">
        <f t="shared" si="33"/>
        <v>Waste water management4600</v>
      </c>
      <c r="BJ54" s="398" t="str">
        <f t="shared" si="33"/>
        <v>Waste management4600</v>
      </c>
      <c r="BK54" s="745" t="s">
        <v>768</v>
      </c>
      <c r="BL54" s="745" t="s">
        <v>768</v>
      </c>
      <c r="BM54" s="735"/>
      <c r="BN54" s="748" t="s">
        <v>770</v>
      </c>
      <c r="BO54" s="751">
        <f ca="1">SUMIF('3.Inc &amp; Exp per Function'!$D54:$D1152,'5.Cons and detailed recon'!AU54,'3.Inc &amp; Exp per Function'!$V54:$V1151)</f>
        <v>0</v>
      </c>
      <c r="BP54" s="751">
        <f ca="1">SUMIF('3.Inc &amp; Exp per Function'!$D53:$D1152,'5.Cons and detailed recon'!AV54,'3.Inc &amp; Exp per Function'!$V53:$V1151)</f>
        <v>0</v>
      </c>
      <c r="BQ54" s="751">
        <f ca="1">SUMIF('3.Inc &amp; Exp per Function'!$D54:$D1152,'5.Cons and detailed recon'!AW54,'3.Inc &amp; Exp per Function'!$V54:$V1151)</f>
        <v>0</v>
      </c>
      <c r="BR54" s="413">
        <f t="shared" ca="1" si="6"/>
        <v>0</v>
      </c>
      <c r="BS54" s="751">
        <f ca="1">SUMIF('3.Inc &amp; Exp per Function'!$D53:$D1152,'5.Cons and detailed recon'!AX54,'3.Inc &amp; Exp per Function'!$V53:$V1151)</f>
        <v>0</v>
      </c>
      <c r="BT54" s="751">
        <f ca="1">SUMIF('3.Inc &amp; Exp per Function'!$D53:$D1152,'5.Cons and detailed recon'!AY54,'3.Inc &amp; Exp per Function'!$V53:$V1151)</f>
        <v>0</v>
      </c>
      <c r="BU54" s="751">
        <f ca="1">SUMIF('3.Inc &amp; Exp per Function'!$D54:$D1152,'5.Cons and detailed recon'!AZ54,'3.Inc &amp; Exp per Function'!$V54:$V1151)</f>
        <v>0</v>
      </c>
      <c r="BV54" s="751">
        <f ca="1">SUMIF('3.Inc &amp; Exp per Function'!$D54:$D1152,'5.Cons and detailed recon'!BA54,'3.Inc &amp; Exp per Function'!$V54:$V1151)</f>
        <v>0</v>
      </c>
      <c r="BW54" s="751">
        <f ca="1">SUMIF('3.Inc &amp; Exp per Function'!$D54:$D1152,'5.Cons and detailed recon'!BB54,'3.Inc &amp; Exp per Function'!$V54:$V1151)</f>
        <v>0</v>
      </c>
      <c r="BX54" s="751">
        <f ca="1">SUMIF('3.Inc &amp; Exp per Function'!$D54:$D1152,'5.Cons and detailed recon'!BC54,'3.Inc &amp; Exp per Function'!$V54:$V1151)</f>
        <v>30633043</v>
      </c>
      <c r="BY54" s="751">
        <f ca="1">SUMIF('3.Inc &amp; Exp per Function'!$D54:$D1152,'5.Cons and detailed recon'!BD54,'3.Inc &amp; Exp per Function'!$V54:$V1151)</f>
        <v>0</v>
      </c>
      <c r="BZ54" s="751">
        <f ca="1">SUMIF('3.Inc &amp; Exp per Function'!$D54:$D1152,'5.Cons and detailed recon'!BE54,'3.Inc &amp; Exp per Function'!$V54:$V1151)</f>
        <v>0</v>
      </c>
      <c r="CA54" s="751">
        <f ca="1">SUMIF('3.Inc &amp; Exp per Function'!$D54:$D1152,'5.Cons and detailed recon'!BF54,'3.Inc &amp; Exp per Function'!$V54:$V1151)</f>
        <v>0</v>
      </c>
      <c r="CB54" s="413">
        <f t="shared" ca="1" si="7"/>
        <v>30633043</v>
      </c>
      <c r="CC54" s="751">
        <f ca="1">SUMIF('3.Inc &amp; Exp per Function'!$D54:$D1152,'5.Cons and detailed recon'!BG54,'3.Inc &amp; Exp per Function'!$V54:$V1151)</f>
        <v>5453043</v>
      </c>
      <c r="CD54" s="751">
        <f ca="1">SUMIF('3.Inc &amp; Exp per Function'!$D54:$D1152,'5.Cons and detailed recon'!BH54,'3.Inc &amp; Exp per Function'!$V54:$V1151)</f>
        <v>0</v>
      </c>
      <c r="CE54" s="751">
        <f ca="1">SUMIF('3.Inc &amp; Exp per Function'!$D54:$D1152,'5.Cons and detailed recon'!BI54,'3.Inc &amp; Exp per Function'!$V54:$V1151)</f>
        <v>0</v>
      </c>
      <c r="CF54" s="751">
        <f ca="1">SUMIF('3.Inc &amp; Exp per Function'!$D54:$D1152,'5.Cons and detailed recon'!BJ54,'3.Inc &amp; Exp per Function'!$V54:$V1151)</f>
        <v>0</v>
      </c>
      <c r="CG54" s="748">
        <f t="shared" ca="1" si="8"/>
        <v>5453043</v>
      </c>
      <c r="CH54" s="751"/>
      <c r="CI54" s="791">
        <f t="shared" ca="1" si="9"/>
        <v>36086086</v>
      </c>
      <c r="CJ54" s="411">
        <f>SUMIF('4.Inc &amp; Exp Summary'!A:A,'5.Cons and detailed recon'!R54,'4.Inc &amp; Exp Summary'!M:M)</f>
        <v>926567139.55999994</v>
      </c>
      <c r="CK54" s="415">
        <f t="shared" ca="1" si="35"/>
        <v>-890481053.55999994</v>
      </c>
      <c r="CL54" s="720"/>
      <c r="CM54" s="730"/>
      <c r="CO54" s="398" t="str">
        <f t="shared" si="34"/>
        <v>Executive and Council4600</v>
      </c>
      <c r="CP54" s="398" t="str">
        <f t="shared" si="34"/>
        <v>Finance and administration4600</v>
      </c>
      <c r="CQ54" s="398" t="str">
        <f t="shared" si="34"/>
        <v>Internal audit4600</v>
      </c>
      <c r="CR54" s="398" t="str">
        <f t="shared" si="34"/>
        <v>Community and social services4600</v>
      </c>
      <c r="CS54" s="398" t="str">
        <f t="shared" si="34"/>
        <v>Sport and recreation4600</v>
      </c>
      <c r="CT54" s="398" t="str">
        <f t="shared" si="34"/>
        <v>Public safety4600</v>
      </c>
      <c r="CU54" s="398" t="str">
        <f t="shared" si="34"/>
        <v>Housing4600</v>
      </c>
      <c r="CV54" s="398" t="str">
        <f t="shared" si="34"/>
        <v>Health4600</v>
      </c>
      <c r="CW54" s="398" t="str">
        <f t="shared" si="34"/>
        <v>Planning and development4600</v>
      </c>
      <c r="CX54" s="398" t="str">
        <f t="shared" si="34"/>
        <v>Road transport4600</v>
      </c>
      <c r="CY54" s="398" t="str">
        <f t="shared" si="34"/>
        <v>Environmental protection4600</v>
      </c>
      <c r="CZ54" s="398" t="str">
        <f t="shared" si="34"/>
        <v>Other4600</v>
      </c>
      <c r="DA54" s="398" t="str">
        <f t="shared" si="34"/>
        <v>Energy sources4600</v>
      </c>
      <c r="DB54" s="398" t="str">
        <f t="shared" si="34"/>
        <v>Water management4600</v>
      </c>
      <c r="DC54" s="398" t="str">
        <f t="shared" si="34"/>
        <v>Waste water management4600</v>
      </c>
      <c r="DD54" s="398" t="str">
        <f t="shared" si="34"/>
        <v>Waste management4600</v>
      </c>
      <c r="DE54" s="745" t="s">
        <v>768</v>
      </c>
      <c r="DF54" s="745" t="s">
        <v>768</v>
      </c>
      <c r="DG54" s="735"/>
      <c r="DH54" s="748" t="s">
        <v>770</v>
      </c>
      <c r="DI54" s="751">
        <f ca="1">SUMIF('3.Inc &amp; Exp per Function'!$D53:$D1152,'5.Cons and detailed recon'!CO54,'3.Inc &amp; Exp per Function'!$W53:$W1151)</f>
        <v>0</v>
      </c>
      <c r="DJ54" s="751">
        <f ca="1">SUMIF('3.Inc &amp; Exp per Function'!$D53:$D1151,'5.Cons and detailed recon'!CP54,'3.Inc &amp; Exp per Function'!$W53:$W1150)</f>
        <v>0</v>
      </c>
      <c r="DK54" s="751">
        <f ca="1">SUMIF('3.Inc &amp; Exp per Function'!$D53:$D1151,'5.Cons and detailed recon'!CQ54,'3.Inc &amp; Exp per Function'!$W53:$W1150)</f>
        <v>0</v>
      </c>
      <c r="DL54" s="413">
        <f t="shared" ca="1" si="11"/>
        <v>0</v>
      </c>
      <c r="DM54" s="751">
        <f ca="1">SUMIF('3.Inc &amp; Exp per Function'!$D53:$D1151,'5.Cons and detailed recon'!CR54,'3.Inc &amp; Exp per Function'!$W53:$W1150)</f>
        <v>0</v>
      </c>
      <c r="DN54" s="751">
        <f ca="1">SUMIF('3.Inc &amp; Exp per Function'!$D53:$D1151,'5.Cons and detailed recon'!CS54,'3.Inc &amp; Exp per Function'!$W53:$W1150)</f>
        <v>0</v>
      </c>
      <c r="DO54" s="751">
        <f ca="1">SUMIF('3.Inc &amp; Exp per Function'!$D53:$D1151,'5.Cons and detailed recon'!CT54,'3.Inc &amp; Exp per Function'!$W53:$W1150)</f>
        <v>0</v>
      </c>
      <c r="DP54" s="751">
        <f ca="1">SUMIF('3.Inc &amp; Exp per Function'!$D53:$D1151,'5.Cons and detailed recon'!CU54,'3.Inc &amp; Exp per Function'!$W53:$W1150)</f>
        <v>0</v>
      </c>
      <c r="DQ54" s="751">
        <f ca="1">SUMIF('3.Inc &amp; Exp per Function'!$D53:$D1151,'5.Cons and detailed recon'!CV54,'3.Inc &amp; Exp per Function'!$W53:$W1150)</f>
        <v>0</v>
      </c>
      <c r="DR54" s="751">
        <f ca="1">SUMIF('3.Inc &amp; Exp per Function'!$D53:$D1151,'5.Cons and detailed recon'!CW54,'3.Inc &amp; Exp per Function'!$W53:$W1150)</f>
        <v>31517391</v>
      </c>
      <c r="DS54" s="751">
        <f ca="1">SUMIF('3.Inc &amp; Exp per Function'!$D53:$D1151,'5.Cons and detailed recon'!CX54,'3.Inc &amp; Exp per Function'!$W53:$W1150)</f>
        <v>0</v>
      </c>
      <c r="DT54" s="751">
        <f ca="1">SUMIF('3.Inc &amp; Exp per Function'!$D53:$D1151,'5.Cons and detailed recon'!CY54,'3.Inc &amp; Exp per Function'!$W53:$W1150)</f>
        <v>0</v>
      </c>
      <c r="DU54" s="751">
        <f ca="1">SUMIF('3.Inc &amp; Exp per Function'!$D53:$D1151,'5.Cons and detailed recon'!CZ54,'3.Inc &amp; Exp per Function'!$W53:$W1150)</f>
        <v>0</v>
      </c>
      <c r="DV54" s="413">
        <f t="shared" ca="1" si="12"/>
        <v>31517391</v>
      </c>
      <c r="DW54" s="751">
        <f ca="1">SUMIF('3.Inc &amp; Exp per Function'!$D53:$D1151,'5.Cons and detailed recon'!DA54,'3.Inc &amp; Exp per Function'!$W53:$W1150)</f>
        <v>5699130</v>
      </c>
      <c r="DX54" s="751">
        <f ca="1">SUMIF('3.Inc &amp; Exp per Function'!$D53:$D1151,'5.Cons and detailed recon'!DB54,'3.Inc &amp; Exp per Function'!$W53:$W1150)</f>
        <v>0</v>
      </c>
      <c r="DY54" s="751">
        <f ca="1">SUMIF('3.Inc &amp; Exp per Function'!$D53:$D1151,'5.Cons and detailed recon'!DC54,'3.Inc &amp; Exp per Function'!$W53:$W1150)</f>
        <v>0</v>
      </c>
      <c r="DZ54" s="751">
        <f ca="1">SUMIF('3.Inc &amp; Exp per Function'!$D53:$D1151,'5.Cons and detailed recon'!DD54,'3.Inc &amp; Exp per Function'!$W53:$W1150)</f>
        <v>0</v>
      </c>
      <c r="EA54" s="748">
        <f t="shared" ca="1" si="13"/>
        <v>5699130</v>
      </c>
      <c r="EB54" s="794"/>
      <c r="EC54" s="791">
        <f t="shared" ca="1" si="14"/>
        <v>37216521</v>
      </c>
      <c r="ED54" s="414">
        <f>SUMIF('4.Inc &amp; Exp Summary'!A:A,'5.Cons and detailed recon'!DF54,'4.Inc &amp; Exp Summary'!N:N)</f>
        <v>956933808.89599991</v>
      </c>
      <c r="EE54" s="415">
        <f t="shared" ca="1" si="15"/>
        <v>-919717287.89599991</v>
      </c>
      <c r="EF54" s="720"/>
      <c r="EG54" s="980"/>
      <c r="EH54" s="980"/>
      <c r="EI54" s="980"/>
      <c r="EJ54" s="980"/>
      <c r="EK54" s="980"/>
      <c r="EL54" s="980"/>
      <c r="EM54" s="980"/>
      <c r="EN54" s="980"/>
      <c r="EO54" s="980"/>
      <c r="EP54" s="980"/>
      <c r="EQ54" s="980"/>
      <c r="ER54" s="980"/>
      <c r="ES54" s="980"/>
      <c r="ET54" s="980"/>
      <c r="EU54" s="980"/>
      <c r="EV54" s="980"/>
      <c r="EW54" s="980"/>
      <c r="EX54" s="980"/>
      <c r="EY54" s="980"/>
      <c r="EZ54" s="980"/>
      <c r="FA54" s="980"/>
      <c r="FB54" s="980"/>
      <c r="FC54" s="980"/>
      <c r="FD54" s="980"/>
      <c r="FE54" s="980"/>
      <c r="FF54" s="980"/>
      <c r="FG54" s="980"/>
      <c r="FH54" s="980"/>
      <c r="FI54" s="980"/>
      <c r="FJ54" s="980"/>
      <c r="FK54" s="980"/>
      <c r="FL54" s="980"/>
      <c r="FM54" s="980"/>
      <c r="FN54" s="980"/>
      <c r="FO54" s="980"/>
      <c r="FP54" s="980"/>
      <c r="FQ54" s="980"/>
      <c r="FR54" s="980"/>
      <c r="FS54" s="980"/>
      <c r="FT54" s="980"/>
      <c r="FU54" s="980"/>
      <c r="FV54" s="980"/>
      <c r="FW54" s="980"/>
      <c r="FX54" s="980"/>
      <c r="FY54" s="980"/>
      <c r="FZ54" s="980"/>
      <c r="GA54" s="980"/>
      <c r="GB54" s="980"/>
      <c r="GC54" s="980"/>
      <c r="GD54" s="980"/>
      <c r="GE54" s="980"/>
      <c r="GF54" s="980"/>
      <c r="GG54" s="980"/>
      <c r="GH54" s="980"/>
      <c r="GI54" s="980"/>
      <c r="GJ54" s="980"/>
      <c r="GK54" s="980"/>
      <c r="GL54" s="980"/>
      <c r="GM54" s="980"/>
      <c r="GN54" s="980"/>
      <c r="GO54" s="980"/>
      <c r="GP54" s="980"/>
      <c r="GQ54" s="980"/>
      <c r="GR54" s="980"/>
      <c r="GS54" s="980"/>
      <c r="GT54" s="980"/>
      <c r="GU54" s="980"/>
      <c r="GV54" s="980"/>
      <c r="GW54" s="980"/>
      <c r="GX54" s="980"/>
      <c r="GY54" s="980"/>
      <c r="GZ54" s="980"/>
      <c r="HA54" s="980"/>
      <c r="HB54" s="980"/>
      <c r="HC54" s="980"/>
      <c r="HD54" s="980"/>
      <c r="HE54" s="980"/>
      <c r="HF54" s="980"/>
      <c r="HG54" s="980"/>
      <c r="HH54" s="980"/>
      <c r="HI54" s="980"/>
      <c r="HJ54" s="980"/>
      <c r="HK54" s="980"/>
      <c r="HL54" s="980"/>
      <c r="HM54" s="980"/>
      <c r="HN54" s="980"/>
      <c r="HO54" s="980"/>
      <c r="HP54" s="980"/>
      <c r="HQ54" s="980"/>
      <c r="HR54" s="980"/>
      <c r="HS54" s="980"/>
      <c r="HT54" s="980"/>
      <c r="HU54" s="980"/>
      <c r="HV54" s="980"/>
      <c r="HW54" s="980"/>
      <c r="HX54" s="980"/>
      <c r="HY54" s="980"/>
      <c r="HZ54" s="980"/>
      <c r="IA54" s="980"/>
      <c r="IB54" s="980"/>
      <c r="IC54" s="980"/>
      <c r="ID54" s="980"/>
      <c r="IE54" s="980"/>
      <c r="IF54" s="980"/>
      <c r="IG54" s="980"/>
      <c r="IH54" s="980"/>
      <c r="II54" s="980"/>
      <c r="IJ54" s="980"/>
      <c r="IK54" s="980"/>
      <c r="IL54" s="980"/>
      <c r="IM54" s="980"/>
      <c r="IN54" s="980"/>
      <c r="IO54" s="980"/>
      <c r="IP54" s="980"/>
      <c r="IQ54" s="980"/>
      <c r="IR54" s="980"/>
      <c r="IS54" s="980"/>
      <c r="IT54" s="980"/>
      <c r="IU54" s="980"/>
      <c r="IV54" s="980"/>
    </row>
    <row r="55" spans="1:256" s="409" customFormat="1" ht="12" customHeight="1" x14ac:dyDescent="0.55000000000000004">
      <c r="A55" s="398" t="str">
        <f t="shared" si="31"/>
        <v>Executive and Council4700</v>
      </c>
      <c r="B55" s="398" t="str">
        <f t="shared" si="31"/>
        <v>Finance and administration4700</v>
      </c>
      <c r="C55" s="398" t="str">
        <f t="shared" si="31"/>
        <v>Internal audit4700</v>
      </c>
      <c r="D55" s="398" t="str">
        <f t="shared" si="31"/>
        <v>Community and social services4700</v>
      </c>
      <c r="E55" s="398" t="str">
        <f t="shared" si="31"/>
        <v>Sport and recreation4700</v>
      </c>
      <c r="F55" s="398" t="str">
        <f t="shared" si="31"/>
        <v>Public safety4700</v>
      </c>
      <c r="G55" s="398" t="str">
        <f t="shared" si="31"/>
        <v>Housing4700</v>
      </c>
      <c r="H55" s="398" t="str">
        <f t="shared" si="31"/>
        <v>Health4700</v>
      </c>
      <c r="I55" s="398" t="str">
        <f t="shared" si="31"/>
        <v>Planning and development4700</v>
      </c>
      <c r="J55" s="398" t="str">
        <f t="shared" si="31"/>
        <v>Road transport4700</v>
      </c>
      <c r="K55" s="398" t="str">
        <f t="shared" si="31"/>
        <v>Environmental protection4700</v>
      </c>
      <c r="L55" s="398" t="str">
        <f t="shared" si="31"/>
        <v>Other4700</v>
      </c>
      <c r="M55" s="398" t="str">
        <f t="shared" si="31"/>
        <v>Energy sources4700</v>
      </c>
      <c r="N55" s="398" t="str">
        <f t="shared" si="31"/>
        <v>Water management4700</v>
      </c>
      <c r="O55" s="398" t="str">
        <f t="shared" si="31"/>
        <v>Waste water management4700</v>
      </c>
      <c r="P55" s="398" t="str">
        <f t="shared" si="31"/>
        <v>Waste management4700</v>
      </c>
      <c r="Q55" s="745" t="s">
        <v>771</v>
      </c>
      <c r="R55" s="745" t="s">
        <v>771</v>
      </c>
      <c r="S55" s="994"/>
      <c r="T55" s="748" t="s">
        <v>773</v>
      </c>
      <c r="U55" s="804">
        <f ca="1">SUMIF('3.Inc &amp; Exp per Function'!$D54:$D1152,'5.Cons and detailed recon'!A55,'3.Inc &amp; Exp per Function'!$U54:$U1151)</f>
        <v>0</v>
      </c>
      <c r="V55" s="804">
        <f ca="1">SUMIF('3.Inc &amp; Exp per Function'!$D54:$D1152,'5.Cons and detailed recon'!B55,'3.Inc &amp; Exp per Function'!$U54:$U1151)</f>
        <v>0</v>
      </c>
      <c r="W55" s="804">
        <f ca="1">SUMIF('3.Inc &amp; Exp per Function'!$D54:$D1152,'5.Cons and detailed recon'!C55,'3.Inc &amp; Exp per Function'!$U54:$U1151)</f>
        <v>0</v>
      </c>
      <c r="X55" s="413">
        <f t="shared" ca="1" si="38"/>
        <v>0</v>
      </c>
      <c r="Y55" s="804">
        <f ca="1">SUMIF('3.Inc &amp; Exp per Function'!$D54:$D1152,'5.Cons and detailed recon'!D55,'3.Inc &amp; Exp per Function'!$U54:$U1151)</f>
        <v>0</v>
      </c>
      <c r="Z55" s="804">
        <f ca="1">SUMIF('3.Inc &amp; Exp per Function'!$D54:$D1152,'5.Cons and detailed recon'!E55,'3.Inc &amp; Exp per Function'!$U54:$U1151)</f>
        <v>0</v>
      </c>
      <c r="AA55" s="804">
        <f ca="1">SUMIF('3.Inc &amp; Exp per Function'!$D54:$D1152,'5.Cons and detailed recon'!F55,'3.Inc &amp; Exp per Function'!$U54:$U1151)</f>
        <v>0</v>
      </c>
      <c r="AB55" s="804">
        <f ca="1">SUMIF('3.Inc &amp; Exp per Function'!$D54:$D1152,'5.Cons and detailed recon'!G55,'3.Inc &amp; Exp per Function'!$U54:$U1151)</f>
        <v>0</v>
      </c>
      <c r="AC55" s="804">
        <f ca="1">SUMIF('3.Inc &amp; Exp per Function'!$D54:$D1152,'5.Cons and detailed recon'!H55,'3.Inc &amp; Exp per Function'!$U54:$U1151)</f>
        <v>0</v>
      </c>
      <c r="AD55" s="804">
        <f ca="1">SUMIF('3.Inc &amp; Exp per Function'!$D54:$D1152,'5.Cons and detailed recon'!I55,'3.Inc &amp; Exp per Function'!$U54:$U1151)</f>
        <v>0</v>
      </c>
      <c r="AE55" s="804">
        <f ca="1">SUMIF('3.Inc &amp; Exp per Function'!$D54:$D1152,'5.Cons and detailed recon'!J55,'3.Inc &amp; Exp per Function'!$U54:$U1151)</f>
        <v>0</v>
      </c>
      <c r="AF55" s="804">
        <f ca="1">SUMIF('3.Inc &amp; Exp per Function'!$D54:$D1152,'5.Cons and detailed recon'!K55,'3.Inc &amp; Exp per Function'!$U54:$U1151)</f>
        <v>0</v>
      </c>
      <c r="AG55" s="804">
        <f ca="1">SUMIF('3.Inc &amp; Exp per Function'!$D54:$D1152,'5.Cons and detailed recon'!L55,'3.Inc &amp; Exp per Function'!$U54:$U1151)</f>
        <v>0</v>
      </c>
      <c r="AH55" s="413">
        <f t="shared" ca="1" si="3"/>
        <v>0</v>
      </c>
      <c r="AI55" s="804">
        <f ca="1">SUMIF('3.Inc &amp; Exp per Function'!$D54:$D1152,'5.Cons and detailed recon'!M55,'3.Inc &amp; Exp per Function'!$U54:$U1151)</f>
        <v>0</v>
      </c>
      <c r="AJ55" s="804">
        <f ca="1">SUMIF('3.Inc &amp; Exp per Function'!$D54:$D1152,'5.Cons and detailed recon'!N55,'3.Inc &amp; Exp per Function'!$U54:$U1151)</f>
        <v>0</v>
      </c>
      <c r="AK55" s="804">
        <f ca="1">SUMIF('3.Inc &amp; Exp per Function'!$D54:$D1152,'5.Cons and detailed recon'!O55,'3.Inc &amp; Exp per Function'!$U54:$U1151)</f>
        <v>0</v>
      </c>
      <c r="AL55" s="804">
        <f ca="1">SUMIF('3.Inc &amp; Exp per Function'!$D54:$D1152,'5.Cons and detailed recon'!P55,'3.Inc &amp; Exp per Function'!$U54:$U1151)</f>
        <v>0</v>
      </c>
      <c r="AM55" s="748">
        <f t="shared" ca="1" si="0"/>
        <v>0</v>
      </c>
      <c r="AN55" s="794"/>
      <c r="AO55" s="791">
        <f t="shared" ca="1" si="36"/>
        <v>0</v>
      </c>
      <c r="AP55" s="414">
        <f>SUMIF('4.Inc &amp; Exp Summary'!A:A,'5.Cons and detailed recon'!R55,'4.Inc &amp; Exp Summary'!L:L)</f>
        <v>4740669</v>
      </c>
      <c r="AQ55" s="415">
        <f t="shared" ca="1" si="23"/>
        <v>-4740669</v>
      </c>
      <c r="AR55" s="720"/>
      <c r="AS55" s="730"/>
      <c r="AT55" s="408"/>
      <c r="AU55" s="398" t="str">
        <f t="shared" si="33"/>
        <v>Executive and Council4700</v>
      </c>
      <c r="AV55" s="398" t="str">
        <f t="shared" si="33"/>
        <v>Finance and administration4700</v>
      </c>
      <c r="AW55" s="398" t="str">
        <f t="shared" si="33"/>
        <v>Internal audit4700</v>
      </c>
      <c r="AX55" s="398" t="str">
        <f t="shared" si="33"/>
        <v>Community and social services4700</v>
      </c>
      <c r="AY55" s="398" t="str">
        <f t="shared" si="33"/>
        <v>Sport and recreation4700</v>
      </c>
      <c r="AZ55" s="398" t="str">
        <f t="shared" si="33"/>
        <v>Public safety4700</v>
      </c>
      <c r="BA55" s="398" t="str">
        <f t="shared" si="33"/>
        <v>Housing4700</v>
      </c>
      <c r="BB55" s="398" t="str">
        <f t="shared" si="33"/>
        <v>Health4700</v>
      </c>
      <c r="BC55" s="398" t="str">
        <f t="shared" si="33"/>
        <v>Planning and development4700</v>
      </c>
      <c r="BD55" s="398" t="str">
        <f t="shared" si="33"/>
        <v>Road transport4700</v>
      </c>
      <c r="BE55" s="398" t="str">
        <f t="shared" si="33"/>
        <v>Environmental protection4700</v>
      </c>
      <c r="BF55" s="398" t="str">
        <f t="shared" si="33"/>
        <v>Other4700</v>
      </c>
      <c r="BG55" s="398" t="str">
        <f t="shared" si="33"/>
        <v>Energy sources4700</v>
      </c>
      <c r="BH55" s="398" t="str">
        <f t="shared" si="33"/>
        <v>Water management4700</v>
      </c>
      <c r="BI55" s="398" t="str">
        <f t="shared" si="33"/>
        <v>Waste water management4700</v>
      </c>
      <c r="BJ55" s="398" t="str">
        <f t="shared" si="33"/>
        <v>Waste management4700</v>
      </c>
      <c r="BK55" s="745" t="s">
        <v>771</v>
      </c>
      <c r="BL55" s="745" t="s">
        <v>771</v>
      </c>
      <c r="BM55" s="735"/>
      <c r="BN55" s="748" t="s">
        <v>773</v>
      </c>
      <c r="BO55" s="751">
        <f ca="1">SUMIF('3.Inc &amp; Exp per Function'!$D55:$D1153,'5.Cons and detailed recon'!AU55,'3.Inc &amp; Exp per Function'!$V55:$V1152)</f>
        <v>0</v>
      </c>
      <c r="BP55" s="751">
        <f ca="1">SUMIF('3.Inc &amp; Exp per Function'!$D54:$D1153,'5.Cons and detailed recon'!AV55,'3.Inc &amp; Exp per Function'!$V54:$V1152)</f>
        <v>0</v>
      </c>
      <c r="BQ55" s="751">
        <f ca="1">SUMIF('3.Inc &amp; Exp per Function'!$D55:$D1153,'5.Cons and detailed recon'!AW55,'3.Inc &amp; Exp per Function'!$V55:$V1152)</f>
        <v>0</v>
      </c>
      <c r="BR55" s="413">
        <f t="shared" ca="1" si="6"/>
        <v>0</v>
      </c>
      <c r="BS55" s="751">
        <f ca="1">SUMIF('3.Inc &amp; Exp per Function'!$D54:$D1153,'5.Cons and detailed recon'!AX55,'3.Inc &amp; Exp per Function'!$V54:$V1152)</f>
        <v>0</v>
      </c>
      <c r="BT55" s="751">
        <f ca="1">SUMIF('3.Inc &amp; Exp per Function'!$D54:$D1153,'5.Cons and detailed recon'!AY55,'3.Inc &amp; Exp per Function'!$V54:$V1152)</f>
        <v>0</v>
      </c>
      <c r="BU55" s="751">
        <f ca="1">SUMIF('3.Inc &amp; Exp per Function'!$D55:$D1153,'5.Cons and detailed recon'!AZ55,'3.Inc &amp; Exp per Function'!$V55:$V1152)</f>
        <v>0</v>
      </c>
      <c r="BV55" s="751">
        <f ca="1">SUMIF('3.Inc &amp; Exp per Function'!$D55:$D1153,'5.Cons and detailed recon'!BA55,'3.Inc &amp; Exp per Function'!$V55:$V1152)</f>
        <v>0</v>
      </c>
      <c r="BW55" s="751">
        <f ca="1">SUMIF('3.Inc &amp; Exp per Function'!$D55:$D1153,'5.Cons and detailed recon'!BB55,'3.Inc &amp; Exp per Function'!$V55:$V1152)</f>
        <v>0</v>
      </c>
      <c r="BX55" s="751">
        <f ca="1">SUMIF('3.Inc &amp; Exp per Function'!$D55:$D1153,'5.Cons and detailed recon'!BC55,'3.Inc &amp; Exp per Function'!$V55:$V1152)</f>
        <v>0</v>
      </c>
      <c r="BY55" s="751">
        <f ca="1">SUMIF('3.Inc &amp; Exp per Function'!$D55:$D1153,'5.Cons and detailed recon'!BD55,'3.Inc &amp; Exp per Function'!$V55:$V1152)</f>
        <v>0</v>
      </c>
      <c r="BZ55" s="751">
        <f ca="1">SUMIF('3.Inc &amp; Exp per Function'!$D55:$D1153,'5.Cons and detailed recon'!BE55,'3.Inc &amp; Exp per Function'!$V55:$V1152)</f>
        <v>0</v>
      </c>
      <c r="CA55" s="751">
        <f ca="1">SUMIF('3.Inc &amp; Exp per Function'!$D55:$D1153,'5.Cons and detailed recon'!BF55,'3.Inc &amp; Exp per Function'!$V55:$V1152)</f>
        <v>0</v>
      </c>
      <c r="CB55" s="413">
        <f t="shared" ca="1" si="7"/>
        <v>0</v>
      </c>
      <c r="CC55" s="751">
        <f ca="1">SUMIF('3.Inc &amp; Exp per Function'!$D55:$D1153,'5.Cons and detailed recon'!BG55,'3.Inc &amp; Exp per Function'!$V55:$V1152)</f>
        <v>0</v>
      </c>
      <c r="CD55" s="751">
        <f ca="1">SUMIF('3.Inc &amp; Exp per Function'!$D55:$D1153,'5.Cons and detailed recon'!BH55,'3.Inc &amp; Exp per Function'!$V55:$V1152)</f>
        <v>0</v>
      </c>
      <c r="CE55" s="751">
        <f ca="1">SUMIF('3.Inc &amp; Exp per Function'!$D55:$D1153,'5.Cons and detailed recon'!BI55,'3.Inc &amp; Exp per Function'!$V55:$V1152)</f>
        <v>0</v>
      </c>
      <c r="CF55" s="751">
        <f ca="1">SUMIF('3.Inc &amp; Exp per Function'!$D55:$D1153,'5.Cons and detailed recon'!BJ55,'3.Inc &amp; Exp per Function'!$V55:$V1152)</f>
        <v>0</v>
      </c>
      <c r="CG55" s="748">
        <f t="shared" ca="1" si="8"/>
        <v>0</v>
      </c>
      <c r="CH55" s="751"/>
      <c r="CI55" s="791">
        <f t="shared" ca="1" si="9"/>
        <v>0</v>
      </c>
      <c r="CJ55" s="411">
        <f>SUMIF('4.Inc &amp; Exp Summary'!A:A,'5.Cons and detailed recon'!R55,'4.Inc &amp; Exp Summary'!M:M)</f>
        <v>3591460.4400000572</v>
      </c>
      <c r="CK55" s="415">
        <f t="shared" ca="1" si="35"/>
        <v>-3591460.4400000572</v>
      </c>
      <c r="CL55" s="720"/>
      <c r="CM55" s="730"/>
      <c r="CO55" s="398" t="str">
        <f t="shared" si="34"/>
        <v>Executive and Council4700</v>
      </c>
      <c r="CP55" s="398" t="str">
        <f t="shared" si="34"/>
        <v>Finance and administration4700</v>
      </c>
      <c r="CQ55" s="398" t="str">
        <f t="shared" si="34"/>
        <v>Internal audit4700</v>
      </c>
      <c r="CR55" s="398" t="str">
        <f t="shared" si="34"/>
        <v>Community and social services4700</v>
      </c>
      <c r="CS55" s="398" t="str">
        <f t="shared" si="34"/>
        <v>Sport and recreation4700</v>
      </c>
      <c r="CT55" s="398" t="str">
        <f t="shared" si="34"/>
        <v>Public safety4700</v>
      </c>
      <c r="CU55" s="398" t="str">
        <f t="shared" si="34"/>
        <v>Housing4700</v>
      </c>
      <c r="CV55" s="398" t="str">
        <f t="shared" si="34"/>
        <v>Health4700</v>
      </c>
      <c r="CW55" s="398" t="str">
        <f t="shared" si="34"/>
        <v>Planning and development4700</v>
      </c>
      <c r="CX55" s="398" t="str">
        <f t="shared" si="34"/>
        <v>Road transport4700</v>
      </c>
      <c r="CY55" s="398" t="str">
        <f t="shared" si="34"/>
        <v>Environmental protection4700</v>
      </c>
      <c r="CZ55" s="398" t="str">
        <f t="shared" si="34"/>
        <v>Other4700</v>
      </c>
      <c r="DA55" s="398" t="str">
        <f t="shared" si="34"/>
        <v>Energy sources4700</v>
      </c>
      <c r="DB55" s="398" t="str">
        <f t="shared" si="34"/>
        <v>Water management4700</v>
      </c>
      <c r="DC55" s="398" t="str">
        <f t="shared" si="34"/>
        <v>Waste water management4700</v>
      </c>
      <c r="DD55" s="398" t="str">
        <f t="shared" si="34"/>
        <v>Waste management4700</v>
      </c>
      <c r="DE55" s="745" t="s">
        <v>771</v>
      </c>
      <c r="DF55" s="745" t="s">
        <v>771</v>
      </c>
      <c r="DG55" s="735"/>
      <c r="DH55" s="748" t="s">
        <v>773</v>
      </c>
      <c r="DI55" s="751">
        <f ca="1">SUMIF('3.Inc &amp; Exp per Function'!$D54:$D1153,'5.Cons and detailed recon'!CO55,'3.Inc &amp; Exp per Function'!$W54:$W1152)</f>
        <v>0</v>
      </c>
      <c r="DJ55" s="751">
        <f ca="1">SUMIF('3.Inc &amp; Exp per Function'!$D54:$D1152,'5.Cons and detailed recon'!CP55,'3.Inc &amp; Exp per Function'!$W54:$W1151)</f>
        <v>0</v>
      </c>
      <c r="DK55" s="751">
        <f ca="1">SUMIF('3.Inc &amp; Exp per Function'!$D54:$D1152,'5.Cons and detailed recon'!CQ55,'3.Inc &amp; Exp per Function'!$W54:$W1151)</f>
        <v>0</v>
      </c>
      <c r="DL55" s="413">
        <f t="shared" ca="1" si="11"/>
        <v>0</v>
      </c>
      <c r="DM55" s="751">
        <f ca="1">SUMIF('3.Inc &amp; Exp per Function'!$D54:$D1152,'5.Cons and detailed recon'!CR55,'3.Inc &amp; Exp per Function'!$W54:$W1151)</f>
        <v>0</v>
      </c>
      <c r="DN55" s="751">
        <f ca="1">SUMIF('3.Inc &amp; Exp per Function'!$D54:$D1152,'5.Cons and detailed recon'!CS55,'3.Inc &amp; Exp per Function'!$W54:$W1151)</f>
        <v>0</v>
      </c>
      <c r="DO55" s="751">
        <f ca="1">SUMIF('3.Inc &amp; Exp per Function'!$D54:$D1152,'5.Cons and detailed recon'!CT55,'3.Inc &amp; Exp per Function'!$W54:$W1151)</f>
        <v>0</v>
      </c>
      <c r="DP55" s="751">
        <f ca="1">SUMIF('3.Inc &amp; Exp per Function'!$D54:$D1152,'5.Cons and detailed recon'!CU55,'3.Inc &amp; Exp per Function'!$W54:$W1151)</f>
        <v>0</v>
      </c>
      <c r="DQ55" s="751">
        <f ca="1">SUMIF('3.Inc &amp; Exp per Function'!$D54:$D1152,'5.Cons and detailed recon'!CV55,'3.Inc &amp; Exp per Function'!$W54:$W1151)</f>
        <v>0</v>
      </c>
      <c r="DR55" s="751">
        <f ca="1">SUMIF('3.Inc &amp; Exp per Function'!$D54:$D1152,'5.Cons and detailed recon'!CW55,'3.Inc &amp; Exp per Function'!$W54:$W1151)</f>
        <v>0</v>
      </c>
      <c r="DS55" s="751">
        <f ca="1">SUMIF('3.Inc &amp; Exp per Function'!$D54:$D1152,'5.Cons and detailed recon'!CX55,'3.Inc &amp; Exp per Function'!$W54:$W1151)</f>
        <v>0</v>
      </c>
      <c r="DT55" s="751">
        <f ca="1">SUMIF('3.Inc &amp; Exp per Function'!$D54:$D1152,'5.Cons and detailed recon'!CY55,'3.Inc &amp; Exp per Function'!$W54:$W1151)</f>
        <v>0</v>
      </c>
      <c r="DU55" s="751">
        <f ca="1">SUMIF('3.Inc &amp; Exp per Function'!$D54:$D1152,'5.Cons and detailed recon'!CZ55,'3.Inc &amp; Exp per Function'!$W54:$W1151)</f>
        <v>0</v>
      </c>
      <c r="DV55" s="413">
        <f t="shared" ca="1" si="12"/>
        <v>0</v>
      </c>
      <c r="DW55" s="751">
        <f ca="1">SUMIF('3.Inc &amp; Exp per Function'!$D54:$D1152,'5.Cons and detailed recon'!DA55,'3.Inc &amp; Exp per Function'!$W54:$W1151)</f>
        <v>0</v>
      </c>
      <c r="DX55" s="751">
        <f ca="1">SUMIF('3.Inc &amp; Exp per Function'!$D54:$D1152,'5.Cons and detailed recon'!DB55,'3.Inc &amp; Exp per Function'!$W54:$W1151)</f>
        <v>0</v>
      </c>
      <c r="DY55" s="751">
        <f ca="1">SUMIF('3.Inc &amp; Exp per Function'!$D54:$D1152,'5.Cons and detailed recon'!DC55,'3.Inc &amp; Exp per Function'!$W54:$W1151)</f>
        <v>0</v>
      </c>
      <c r="DZ55" s="751">
        <f ca="1">SUMIF('3.Inc &amp; Exp per Function'!$D54:$D1152,'5.Cons and detailed recon'!DD55,'3.Inc &amp; Exp per Function'!$W54:$W1151)</f>
        <v>0</v>
      </c>
      <c r="EA55" s="748">
        <f t="shared" ca="1" si="13"/>
        <v>0</v>
      </c>
      <c r="EB55" s="794"/>
      <c r="EC55" s="791">
        <f t="shared" ca="1" si="14"/>
        <v>0</v>
      </c>
      <c r="ED55" s="414">
        <f>SUMIF('4.Inc &amp; Exp Summary'!A:A,'5.Cons and detailed recon'!DF55,'4.Inc &amp; Exp Summary'!N:N)</f>
        <v>853626.05599999428</v>
      </c>
      <c r="EE55" s="415">
        <f t="shared" ca="1" si="15"/>
        <v>-853626.05599999428</v>
      </c>
      <c r="EF55" s="720"/>
      <c r="EG55" s="980"/>
      <c r="EH55" s="980"/>
      <c r="EI55" s="980"/>
      <c r="EJ55" s="980"/>
      <c r="EK55" s="980"/>
      <c r="EL55" s="980"/>
      <c r="EM55" s="980"/>
      <c r="EN55" s="980"/>
      <c r="EO55" s="980"/>
      <c r="EP55" s="980"/>
      <c r="EQ55" s="980"/>
      <c r="ER55" s="980"/>
      <c r="ES55" s="980"/>
      <c r="ET55" s="980"/>
      <c r="EU55" s="980"/>
      <c r="EV55" s="980"/>
      <c r="EW55" s="980"/>
      <c r="EX55" s="980"/>
      <c r="EY55" s="980"/>
      <c r="EZ55" s="980"/>
      <c r="FA55" s="980"/>
      <c r="FB55" s="980"/>
      <c r="FC55" s="980"/>
      <c r="FD55" s="980"/>
      <c r="FE55" s="980"/>
      <c r="FF55" s="980"/>
      <c r="FG55" s="980"/>
      <c r="FH55" s="980"/>
      <c r="FI55" s="980"/>
      <c r="FJ55" s="980"/>
      <c r="FK55" s="980"/>
      <c r="FL55" s="980"/>
      <c r="FM55" s="980"/>
      <c r="FN55" s="980"/>
      <c r="FO55" s="980"/>
      <c r="FP55" s="980"/>
      <c r="FQ55" s="980"/>
      <c r="FR55" s="980"/>
      <c r="FS55" s="980"/>
      <c r="FT55" s="980"/>
      <c r="FU55" s="980"/>
      <c r="FV55" s="980"/>
      <c r="FW55" s="980"/>
      <c r="FX55" s="980"/>
      <c r="FY55" s="980"/>
      <c r="FZ55" s="980"/>
      <c r="GA55" s="980"/>
      <c r="GB55" s="980"/>
      <c r="GC55" s="980"/>
      <c r="GD55" s="980"/>
      <c r="GE55" s="980"/>
      <c r="GF55" s="980"/>
      <c r="GG55" s="980"/>
      <c r="GH55" s="980"/>
      <c r="GI55" s="980"/>
      <c r="GJ55" s="980"/>
      <c r="GK55" s="980"/>
      <c r="GL55" s="980"/>
      <c r="GM55" s="980"/>
      <c r="GN55" s="980"/>
      <c r="GO55" s="980"/>
      <c r="GP55" s="980"/>
      <c r="GQ55" s="980"/>
      <c r="GR55" s="980"/>
      <c r="GS55" s="980"/>
      <c r="GT55" s="980"/>
      <c r="GU55" s="980"/>
      <c r="GV55" s="980"/>
      <c r="GW55" s="980"/>
      <c r="GX55" s="980"/>
      <c r="GY55" s="980"/>
      <c r="GZ55" s="980"/>
      <c r="HA55" s="980"/>
      <c r="HB55" s="980"/>
      <c r="HC55" s="980"/>
      <c r="HD55" s="980"/>
      <c r="HE55" s="980"/>
      <c r="HF55" s="980"/>
      <c r="HG55" s="980"/>
      <c r="HH55" s="980"/>
      <c r="HI55" s="980"/>
      <c r="HJ55" s="980"/>
      <c r="HK55" s="980"/>
      <c r="HL55" s="980"/>
      <c r="HM55" s="980"/>
      <c r="HN55" s="980"/>
      <c r="HO55" s="980"/>
      <c r="HP55" s="980"/>
      <c r="HQ55" s="980"/>
      <c r="HR55" s="980"/>
      <c r="HS55" s="980"/>
      <c r="HT55" s="980"/>
      <c r="HU55" s="980"/>
      <c r="HV55" s="980"/>
      <c r="HW55" s="980"/>
      <c r="HX55" s="980"/>
      <c r="HY55" s="980"/>
      <c r="HZ55" s="980"/>
      <c r="IA55" s="980"/>
      <c r="IB55" s="980"/>
      <c r="IC55" s="980"/>
      <c r="ID55" s="980"/>
      <c r="IE55" s="980"/>
      <c r="IF55" s="980"/>
      <c r="IG55" s="980"/>
      <c r="IH55" s="980"/>
      <c r="II55" s="980"/>
      <c r="IJ55" s="980"/>
      <c r="IK55" s="980"/>
      <c r="IL55" s="980"/>
      <c r="IM55" s="980"/>
      <c r="IN55" s="980"/>
      <c r="IO55" s="980"/>
      <c r="IP55" s="980"/>
      <c r="IQ55" s="980"/>
      <c r="IR55" s="980"/>
      <c r="IS55" s="980"/>
      <c r="IT55" s="980"/>
      <c r="IU55" s="980"/>
      <c r="IV55" s="980"/>
    </row>
    <row r="56" spans="1:256" s="409" customFormat="1" ht="12" customHeight="1" x14ac:dyDescent="0.55000000000000004">
      <c r="A56" s="398" t="str">
        <f t="shared" si="31"/>
        <v>Executive and Council4800</v>
      </c>
      <c r="B56" s="398" t="str">
        <f t="shared" si="31"/>
        <v>Finance and administration4800</v>
      </c>
      <c r="C56" s="398" t="str">
        <f t="shared" si="31"/>
        <v>Internal audit4800</v>
      </c>
      <c r="D56" s="398" t="str">
        <f t="shared" si="31"/>
        <v>Community and social services4800</v>
      </c>
      <c r="E56" s="398" t="str">
        <f t="shared" si="31"/>
        <v>Sport and recreation4800</v>
      </c>
      <c r="F56" s="398" t="str">
        <f t="shared" si="31"/>
        <v>Public safety4800</v>
      </c>
      <c r="G56" s="398" t="str">
        <f t="shared" si="31"/>
        <v>Housing4800</v>
      </c>
      <c r="H56" s="398" t="str">
        <f t="shared" si="31"/>
        <v>Health4800</v>
      </c>
      <c r="I56" s="398" t="str">
        <f t="shared" si="31"/>
        <v>Planning and development4800</v>
      </c>
      <c r="J56" s="398" t="str">
        <f t="shared" si="31"/>
        <v>Road transport4800</v>
      </c>
      <c r="K56" s="398" t="str">
        <f t="shared" si="31"/>
        <v>Environmental protection4800</v>
      </c>
      <c r="L56" s="398" t="str">
        <f t="shared" si="31"/>
        <v>Other4800</v>
      </c>
      <c r="M56" s="398" t="str">
        <f t="shared" si="31"/>
        <v>Energy sources4800</v>
      </c>
      <c r="N56" s="398" t="str">
        <f t="shared" si="31"/>
        <v>Water management4800</v>
      </c>
      <c r="O56" s="398" t="str">
        <f t="shared" si="31"/>
        <v>Waste water management4800</v>
      </c>
      <c r="P56" s="398" t="str">
        <f t="shared" ref="B56:P71" si="39">P$7&amp;$Q56</f>
        <v>Waste management4800</v>
      </c>
      <c r="Q56" s="743" t="s">
        <v>774</v>
      </c>
      <c r="R56" s="743" t="s">
        <v>774</v>
      </c>
      <c r="S56" s="994"/>
      <c r="T56" s="748" t="s">
        <v>747</v>
      </c>
      <c r="U56" s="804">
        <f ca="1">SUMIF('3.Inc &amp; Exp per Function'!$D55:$D1153,'5.Cons and detailed recon'!A56,'3.Inc &amp; Exp per Function'!$U55:$U1152)</f>
        <v>-21007744</v>
      </c>
      <c r="V56" s="804">
        <f ca="1">SUMIF('3.Inc &amp; Exp per Function'!$D55:$D1153,'5.Cons and detailed recon'!B56,'3.Inc &amp; Exp per Function'!$U55:$U1152)</f>
        <v>103831221</v>
      </c>
      <c r="W56" s="804">
        <f ca="1">SUMIF('3.Inc &amp; Exp per Function'!$D55:$D1153,'5.Cons and detailed recon'!C56,'3.Inc &amp; Exp per Function'!$U55:$U1152)</f>
        <v>-3436716</v>
      </c>
      <c r="X56" s="413">
        <f t="shared" ca="1" si="38"/>
        <v>79386761</v>
      </c>
      <c r="Y56" s="804">
        <f ca="1">SUMIF('3.Inc &amp; Exp per Function'!$D55:$D1153,'5.Cons and detailed recon'!D56,'3.Inc &amp; Exp per Function'!$U55:$U1152)</f>
        <v>-465557</v>
      </c>
      <c r="Z56" s="804">
        <f ca="1">SUMIF('3.Inc &amp; Exp per Function'!$D55:$D1153,'5.Cons and detailed recon'!E56,'3.Inc &amp; Exp per Function'!$U55:$U1152)</f>
        <v>-12221492</v>
      </c>
      <c r="AA56" s="804">
        <f ca="1">SUMIF('3.Inc &amp; Exp per Function'!$D55:$D1153,'5.Cons and detailed recon'!F56,'3.Inc &amp; Exp per Function'!$U55:$U1152)</f>
        <v>-28202194</v>
      </c>
      <c r="AB56" s="804">
        <f ca="1">SUMIF('3.Inc &amp; Exp per Function'!$D55:$D1153,'5.Cons and detailed recon'!G56,'3.Inc &amp; Exp per Function'!$U55:$U1152)</f>
        <v>-15896634</v>
      </c>
      <c r="AC56" s="804">
        <f ca="1">SUMIF('3.Inc &amp; Exp per Function'!$D55:$D1153,'5.Cons and detailed recon'!H56,'3.Inc &amp; Exp per Function'!$U55:$U1152)</f>
        <v>0</v>
      </c>
      <c r="AD56" s="804">
        <f ca="1">SUMIF('3.Inc &amp; Exp per Function'!$D55:$D1153,'5.Cons and detailed recon'!I56,'3.Inc &amp; Exp per Function'!$U55:$U1152)</f>
        <v>-3216154</v>
      </c>
      <c r="AE56" s="804">
        <f ca="1">SUMIF('3.Inc &amp; Exp per Function'!$D55:$D1153,'5.Cons and detailed recon'!J56,'3.Inc &amp; Exp per Function'!$U55:$U1152)</f>
        <v>-42427329</v>
      </c>
      <c r="AF56" s="804">
        <f ca="1">SUMIF('3.Inc &amp; Exp per Function'!$D55:$D1153,'5.Cons and detailed recon'!K56,'3.Inc &amp; Exp per Function'!$U55:$U1152)</f>
        <v>-1000</v>
      </c>
      <c r="AG56" s="804">
        <f ca="1">SUMIF('3.Inc &amp; Exp per Function'!$D55:$D1153,'5.Cons and detailed recon'!L56,'3.Inc &amp; Exp per Function'!$U55:$U1152)</f>
        <v>-339500</v>
      </c>
      <c r="AH56" s="413">
        <f t="shared" ca="1" si="3"/>
        <v>-102769860</v>
      </c>
      <c r="AI56" s="804">
        <f ca="1">SUMIF('3.Inc &amp; Exp per Function'!$D55:$D1153,'5.Cons and detailed recon'!M56,'3.Inc &amp; Exp per Function'!$U55:$U1152)</f>
        <v>13205622</v>
      </c>
      <c r="AJ56" s="804">
        <f ca="1">SUMIF('3.Inc &amp; Exp per Function'!$D55:$D1153,'5.Cons and detailed recon'!N56,'3.Inc &amp; Exp per Function'!$U55:$U1152)</f>
        <v>47169461</v>
      </c>
      <c r="AK56" s="804">
        <f ca="1">SUMIF('3.Inc &amp; Exp per Function'!$D55:$D1153,'5.Cons and detailed recon'!O56,'3.Inc &amp; Exp per Function'!$U55:$U1152)</f>
        <v>11810006</v>
      </c>
      <c r="AL56" s="804">
        <f ca="1">SUMIF('3.Inc &amp; Exp per Function'!$D55:$D1153,'5.Cons and detailed recon'!P56,'3.Inc &amp; Exp per Function'!$U55:$U1152)</f>
        <v>-10811755</v>
      </c>
      <c r="AM56" s="748">
        <f t="shared" ca="1" si="0"/>
        <v>61373334</v>
      </c>
      <c r="AN56" s="794"/>
      <c r="AO56" s="791">
        <f t="shared" ca="1" si="36"/>
        <v>37990235</v>
      </c>
      <c r="AP56" s="414">
        <f>SUMIF('4.Inc &amp; Exp Summary'!A:A,'5.Cons and detailed recon'!R56,'4.Inc &amp; Exp Summary'!L:L)</f>
        <v>33209566</v>
      </c>
      <c r="AQ56" s="415">
        <f t="shared" ca="1" si="23"/>
        <v>4780669</v>
      </c>
      <c r="AR56" s="720"/>
      <c r="AS56" s="730"/>
      <c r="AT56" s="408"/>
      <c r="AU56" s="398" t="str">
        <f t="shared" si="33"/>
        <v>Executive and Council4800</v>
      </c>
      <c r="AV56" s="398" t="str">
        <f t="shared" si="33"/>
        <v>Finance and administration4800</v>
      </c>
      <c r="AW56" s="398" t="str">
        <f t="shared" si="33"/>
        <v>Internal audit4800</v>
      </c>
      <c r="AX56" s="398" t="str">
        <f t="shared" si="33"/>
        <v>Community and social services4800</v>
      </c>
      <c r="AY56" s="398" t="str">
        <f t="shared" si="33"/>
        <v>Sport and recreation4800</v>
      </c>
      <c r="AZ56" s="398" t="str">
        <f t="shared" si="33"/>
        <v>Public safety4800</v>
      </c>
      <c r="BA56" s="398" t="str">
        <f t="shared" si="33"/>
        <v>Housing4800</v>
      </c>
      <c r="BB56" s="398" t="str">
        <f t="shared" si="33"/>
        <v>Health4800</v>
      </c>
      <c r="BC56" s="398" t="str">
        <f t="shared" si="33"/>
        <v>Planning and development4800</v>
      </c>
      <c r="BD56" s="398" t="str">
        <f t="shared" si="33"/>
        <v>Road transport4800</v>
      </c>
      <c r="BE56" s="398" t="str">
        <f t="shared" si="33"/>
        <v>Environmental protection4800</v>
      </c>
      <c r="BF56" s="398" t="str">
        <f t="shared" si="33"/>
        <v>Other4800</v>
      </c>
      <c r="BG56" s="398" t="str">
        <f t="shared" si="33"/>
        <v>Energy sources4800</v>
      </c>
      <c r="BH56" s="398" t="str">
        <f t="shared" si="33"/>
        <v>Water management4800</v>
      </c>
      <c r="BI56" s="398" t="str">
        <f t="shared" si="33"/>
        <v>Waste water management4800</v>
      </c>
      <c r="BJ56" s="398" t="str">
        <f t="shared" si="33"/>
        <v>Waste management4800</v>
      </c>
      <c r="BK56" s="743" t="s">
        <v>774</v>
      </c>
      <c r="BL56" s="743" t="s">
        <v>774</v>
      </c>
      <c r="BM56" s="735"/>
      <c r="BN56" s="748" t="s">
        <v>747</v>
      </c>
      <c r="BO56" s="751">
        <f ca="1">SUMIF('3.Inc &amp; Exp per Function'!$D56:$D1154,'5.Cons and detailed recon'!AU56,'3.Inc &amp; Exp per Function'!$V56:$V1153)</f>
        <v>-21722005</v>
      </c>
      <c r="BP56" s="751">
        <f ca="1">SUMIF('3.Inc &amp; Exp per Function'!$D55:$D1154,'5.Cons and detailed recon'!AV56,'3.Inc &amp; Exp per Function'!$V55:$V1153)</f>
        <v>106951751</v>
      </c>
      <c r="BQ56" s="751">
        <f ca="1">SUMIF('3.Inc &amp; Exp per Function'!$D56:$D1154,'5.Cons and detailed recon'!AW56,'3.Inc &amp; Exp per Function'!$V56:$V1153)</f>
        <v>-3553563</v>
      </c>
      <c r="BR56" s="413">
        <f t="shared" ca="1" si="6"/>
        <v>81676183</v>
      </c>
      <c r="BS56" s="751">
        <f ca="1">SUMIF('3.Inc &amp; Exp per Function'!$D55:$D1154,'5.Cons and detailed recon'!AX56,'3.Inc &amp; Exp per Function'!$V55:$V1153)</f>
        <v>-764087</v>
      </c>
      <c r="BT56" s="751">
        <f ca="1">SUMIF('3.Inc &amp; Exp per Function'!$D55:$D1154,'5.Cons and detailed recon'!AY56,'3.Inc &amp; Exp per Function'!$V55:$V1153)</f>
        <v>-12637509</v>
      </c>
      <c r="BU56" s="751">
        <f ca="1">SUMIF('3.Inc &amp; Exp per Function'!$D56:$D1154,'5.Cons and detailed recon'!AZ56,'3.Inc &amp; Exp per Function'!$V56:$V1153)</f>
        <v>-29161081</v>
      </c>
      <c r="BV56" s="751">
        <f ca="1">SUMIF('3.Inc &amp; Exp per Function'!$D56:$D1154,'5.Cons and detailed recon'!BA56,'3.Inc &amp; Exp per Function'!$V56:$V1153)</f>
        <v>-16437127</v>
      </c>
      <c r="BW56" s="751">
        <f ca="1">SUMIF('3.Inc &amp; Exp per Function'!$D56:$D1154,'5.Cons and detailed recon'!BB56,'3.Inc &amp; Exp per Function'!$V56:$V1153)</f>
        <v>0</v>
      </c>
      <c r="BX56" s="751">
        <f ca="1">SUMIF('3.Inc &amp; Exp per Function'!$D56:$D1154,'5.Cons and detailed recon'!BC56,'3.Inc &amp; Exp per Function'!$V56:$V1153)</f>
        <v>-8379659</v>
      </c>
      <c r="BY56" s="751">
        <f ca="1">SUMIF('3.Inc &amp; Exp per Function'!$D56:$D1154,'5.Cons and detailed recon'!BD56,'3.Inc &amp; Exp per Function'!$V56:$V1153)</f>
        <v>-43930271</v>
      </c>
      <c r="BZ56" s="751">
        <f ca="1">SUMIF('3.Inc &amp; Exp per Function'!$D56:$D1154,'5.Cons and detailed recon'!BE56,'3.Inc &amp; Exp per Function'!$V56:$V1153)</f>
        <v>-1034</v>
      </c>
      <c r="CA56" s="751">
        <f ca="1">SUMIF('3.Inc &amp; Exp per Function'!$D56:$D1154,'5.Cons and detailed recon'!BF56,'3.Inc &amp; Exp per Function'!$V56:$V1153)</f>
        <v>-351043</v>
      </c>
      <c r="CB56" s="413">
        <f t="shared" ca="1" si="7"/>
        <v>-111661811</v>
      </c>
      <c r="CC56" s="751">
        <f ca="1">SUMIF('3.Inc &amp; Exp per Function'!$D56:$D1154,'5.Cons and detailed recon'!BG56,'3.Inc &amp; Exp per Function'!$V56:$V1153)</f>
        <v>19393138</v>
      </c>
      <c r="CD56" s="751">
        <f ca="1">SUMIF('3.Inc &amp; Exp per Function'!$D56:$D1154,'5.Cons and detailed recon'!BH56,'3.Inc &amp; Exp per Function'!$V56:$V1153)</f>
        <v>48944117</v>
      </c>
      <c r="CE56" s="751">
        <f ca="1">SUMIF('3.Inc &amp; Exp per Function'!$D56:$D1154,'5.Cons and detailed recon'!BI56,'3.Inc &amp; Exp per Function'!$V56:$V1153)</f>
        <v>12327634</v>
      </c>
      <c r="CF56" s="751">
        <f ca="1">SUMIF('3.Inc &amp; Exp per Function'!$D56:$D1154,'5.Cons and detailed recon'!BJ56,'3.Inc &amp; Exp per Function'!$V56:$V1153)</f>
        <v>-11001715</v>
      </c>
      <c r="CG56" s="748">
        <f t="shared" ca="1" si="8"/>
        <v>69663174</v>
      </c>
      <c r="CH56" s="751"/>
      <c r="CI56" s="791">
        <f t="shared" ca="1" si="9"/>
        <v>39677546</v>
      </c>
      <c r="CJ56" s="411">
        <f>SUMIF('4.Inc &amp; Exp Summary'!A:A,'5.Cons and detailed recon'!R56,'4.Inc &amp; Exp Summary'!M:M)</f>
        <v>36086086</v>
      </c>
      <c r="CK56" s="415">
        <f t="shared" ca="1" si="35"/>
        <v>3591460</v>
      </c>
      <c r="CL56" s="720"/>
      <c r="CM56" s="730"/>
      <c r="CO56" s="398" t="str">
        <f t="shared" si="34"/>
        <v>Executive and Council4800</v>
      </c>
      <c r="CP56" s="398" t="str">
        <f t="shared" si="34"/>
        <v>Finance and administration4800</v>
      </c>
      <c r="CQ56" s="398" t="str">
        <f t="shared" si="34"/>
        <v>Internal audit4800</v>
      </c>
      <c r="CR56" s="398" t="str">
        <f t="shared" si="34"/>
        <v>Community and social services4800</v>
      </c>
      <c r="CS56" s="398" t="str">
        <f t="shared" si="34"/>
        <v>Sport and recreation4800</v>
      </c>
      <c r="CT56" s="398" t="str">
        <f t="shared" si="34"/>
        <v>Public safety4800</v>
      </c>
      <c r="CU56" s="398" t="str">
        <f t="shared" si="34"/>
        <v>Housing4800</v>
      </c>
      <c r="CV56" s="398" t="str">
        <f t="shared" si="34"/>
        <v>Health4800</v>
      </c>
      <c r="CW56" s="398" t="str">
        <f t="shared" si="34"/>
        <v>Planning and development4800</v>
      </c>
      <c r="CX56" s="398" t="str">
        <f t="shared" si="34"/>
        <v>Road transport4800</v>
      </c>
      <c r="CY56" s="398" t="str">
        <f t="shared" si="34"/>
        <v>Environmental protection4800</v>
      </c>
      <c r="CZ56" s="398" t="str">
        <f t="shared" si="34"/>
        <v>Other4800</v>
      </c>
      <c r="DA56" s="398" t="str">
        <f t="shared" si="34"/>
        <v>Energy sources4800</v>
      </c>
      <c r="DB56" s="398" t="str">
        <f t="shared" si="34"/>
        <v>Water management4800</v>
      </c>
      <c r="DC56" s="398" t="str">
        <f t="shared" si="34"/>
        <v>Waste water management4800</v>
      </c>
      <c r="DD56" s="398" t="str">
        <f t="shared" si="34"/>
        <v>Waste management4800</v>
      </c>
      <c r="DE56" s="743" t="s">
        <v>774</v>
      </c>
      <c r="DF56" s="743" t="s">
        <v>774</v>
      </c>
      <c r="DG56" s="735"/>
      <c r="DH56" s="748" t="s">
        <v>747</v>
      </c>
      <c r="DI56" s="751">
        <f ca="1">SUMIF('3.Inc &amp; Exp per Function'!$D55:$D1154,'5.Cons and detailed recon'!CO56,'3.Inc &amp; Exp per Function'!$W55:$W1153)</f>
        <v>-22417109</v>
      </c>
      <c r="DJ56" s="751">
        <f ca="1">SUMIF('3.Inc &amp; Exp per Function'!$D55:$D1153,'5.Cons and detailed recon'!CP56,'3.Inc &amp; Exp per Function'!$W55:$W1152)</f>
        <v>109202618</v>
      </c>
      <c r="DK56" s="751">
        <f ca="1">SUMIF('3.Inc &amp; Exp per Function'!$D55:$D1153,'5.Cons and detailed recon'!CQ56,'3.Inc &amp; Exp per Function'!$W55:$W1152)</f>
        <v>-3667277</v>
      </c>
      <c r="DL56" s="413">
        <f t="shared" ca="1" si="11"/>
        <v>83118232</v>
      </c>
      <c r="DM56" s="751">
        <f ca="1">SUMIF('3.Inc &amp; Exp per Function'!$D55:$D1153,'5.Cons and detailed recon'!CR56,'3.Inc &amp; Exp per Function'!$W55:$W1152)</f>
        <v>-1049476</v>
      </c>
      <c r="DN56" s="751">
        <f ca="1">SUMIF('3.Inc &amp; Exp per Function'!$D55:$D1153,'5.Cons and detailed recon'!CS56,'3.Inc &amp; Exp per Function'!$W55:$W1152)</f>
        <v>-13042480</v>
      </c>
      <c r="DO56" s="751">
        <f ca="1">SUMIF('3.Inc &amp; Exp per Function'!$D55:$D1153,'5.Cons and detailed recon'!CT56,'3.Inc &amp; Exp per Function'!$W55:$W1152)</f>
        <v>-30094234</v>
      </c>
      <c r="DP56" s="751">
        <f ca="1">SUMIF('3.Inc &amp; Exp per Function'!$D55:$D1153,'5.Cons and detailed recon'!CU56,'3.Inc &amp; Exp per Function'!$W55:$W1152)</f>
        <v>-16963108</v>
      </c>
      <c r="DQ56" s="751">
        <f ca="1">SUMIF('3.Inc &amp; Exp per Function'!$D55:$D1153,'5.Cons and detailed recon'!CV56,'3.Inc &amp; Exp per Function'!$W55:$W1152)</f>
        <v>0</v>
      </c>
      <c r="DR56" s="751">
        <f ca="1">SUMIF('3.Inc &amp; Exp per Function'!$D55:$D1153,'5.Cons and detailed recon'!CW56,'3.Inc &amp; Exp per Function'!$W55:$W1152)</f>
        <v>-8744774</v>
      </c>
      <c r="DS56" s="751">
        <f ca="1">SUMIF('3.Inc &amp; Exp per Function'!$D55:$D1153,'5.Cons and detailed recon'!CX56,'3.Inc &amp; Exp per Function'!$W55:$W1152)</f>
        <v>-45430311</v>
      </c>
      <c r="DT56" s="751">
        <f ca="1">SUMIF('3.Inc &amp; Exp per Function'!$D55:$D1153,'5.Cons and detailed recon'!CY56,'3.Inc &amp; Exp per Function'!$W55:$W1152)</f>
        <v>-1067</v>
      </c>
      <c r="DU56" s="751">
        <f ca="1">SUMIF('3.Inc &amp; Exp per Function'!$D55:$D1153,'5.Cons and detailed recon'!CZ56,'3.Inc &amp; Exp per Function'!$W55:$W1152)</f>
        <v>-362276</v>
      </c>
      <c r="DV56" s="413">
        <f t="shared" ca="1" si="12"/>
        <v>-115687726</v>
      </c>
      <c r="DW56" s="751">
        <f ca="1">SUMIF('3.Inc &amp; Exp per Function'!$D55:$D1153,'5.Cons and detailed recon'!DA56,'3.Inc &amp; Exp per Function'!$W55:$W1152)</f>
        <v>19850248</v>
      </c>
      <c r="DX56" s="751">
        <f ca="1">SUMIF('3.Inc &amp; Exp per Function'!$D55:$D1153,'5.Cons and detailed recon'!DB56,'3.Inc &amp; Exp per Function'!$W55:$W1152)</f>
        <v>50172889</v>
      </c>
      <c r="DY56" s="751">
        <f ca="1">SUMIF('3.Inc &amp; Exp per Function'!$D55:$D1153,'5.Cons and detailed recon'!DC56,'3.Inc &amp; Exp per Function'!$W55:$W1152)</f>
        <v>12360265</v>
      </c>
      <c r="DZ56" s="751">
        <f ca="1">SUMIF('3.Inc &amp; Exp per Function'!$D55:$D1153,'5.Cons and detailed recon'!DD56,'3.Inc &amp; Exp per Function'!$W55:$W1152)</f>
        <v>-11743788</v>
      </c>
      <c r="EA56" s="748">
        <f t="shared" ca="1" si="13"/>
        <v>70639614</v>
      </c>
      <c r="EB56" s="794"/>
      <c r="EC56" s="791">
        <f t="shared" ca="1" si="14"/>
        <v>38070120</v>
      </c>
      <c r="ED56" s="414">
        <f>SUMIF('4.Inc &amp; Exp Summary'!A:A,'5.Cons and detailed recon'!DF56,'4.Inc &amp; Exp Summary'!N:N)</f>
        <v>37216521</v>
      </c>
      <c r="EE56" s="415">
        <f t="shared" ca="1" si="15"/>
        <v>853599</v>
      </c>
      <c r="EF56" s="720"/>
      <c r="EG56" s="980"/>
      <c r="EH56" s="980"/>
      <c r="EI56" s="980"/>
      <c r="EJ56" s="980"/>
      <c r="EK56" s="980"/>
      <c r="EL56" s="980"/>
      <c r="EM56" s="980"/>
      <c r="EN56" s="980"/>
      <c r="EO56" s="980"/>
      <c r="EP56" s="980"/>
      <c r="EQ56" s="980"/>
      <c r="ER56" s="980"/>
      <c r="ES56" s="980"/>
      <c r="ET56" s="980"/>
      <c r="EU56" s="980"/>
      <c r="EV56" s="980"/>
      <c r="EW56" s="980"/>
      <c r="EX56" s="980"/>
      <c r="EY56" s="980"/>
      <c r="EZ56" s="980"/>
      <c r="FA56" s="980"/>
      <c r="FB56" s="980"/>
      <c r="FC56" s="980"/>
      <c r="FD56" s="980"/>
      <c r="FE56" s="980"/>
      <c r="FF56" s="980"/>
      <c r="FG56" s="980"/>
      <c r="FH56" s="980"/>
      <c r="FI56" s="980"/>
      <c r="FJ56" s="980"/>
      <c r="FK56" s="980"/>
      <c r="FL56" s="980"/>
      <c r="FM56" s="980"/>
      <c r="FN56" s="980"/>
      <c r="FO56" s="980"/>
      <c r="FP56" s="980"/>
      <c r="FQ56" s="980"/>
      <c r="FR56" s="980"/>
      <c r="FS56" s="980"/>
      <c r="FT56" s="980"/>
      <c r="FU56" s="980"/>
      <c r="FV56" s="980"/>
      <c r="FW56" s="980"/>
      <c r="FX56" s="980"/>
      <c r="FY56" s="980"/>
      <c r="FZ56" s="980"/>
      <c r="GA56" s="980"/>
      <c r="GB56" s="980"/>
      <c r="GC56" s="980"/>
      <c r="GD56" s="980"/>
      <c r="GE56" s="980"/>
      <c r="GF56" s="980"/>
      <c r="GG56" s="980"/>
      <c r="GH56" s="980"/>
      <c r="GI56" s="980"/>
      <c r="GJ56" s="980"/>
      <c r="GK56" s="980"/>
      <c r="GL56" s="980"/>
      <c r="GM56" s="980"/>
      <c r="GN56" s="980"/>
      <c r="GO56" s="980"/>
      <c r="GP56" s="980"/>
      <c r="GQ56" s="980"/>
      <c r="GR56" s="980"/>
      <c r="GS56" s="980"/>
      <c r="GT56" s="980"/>
      <c r="GU56" s="980"/>
      <c r="GV56" s="980"/>
      <c r="GW56" s="980"/>
      <c r="GX56" s="980"/>
      <c r="GY56" s="980"/>
      <c r="GZ56" s="980"/>
      <c r="HA56" s="980"/>
      <c r="HB56" s="980"/>
      <c r="HC56" s="980"/>
      <c r="HD56" s="980"/>
      <c r="HE56" s="980"/>
      <c r="HF56" s="980"/>
      <c r="HG56" s="980"/>
      <c r="HH56" s="980"/>
      <c r="HI56" s="980"/>
      <c r="HJ56" s="980"/>
      <c r="HK56" s="980"/>
      <c r="HL56" s="980"/>
      <c r="HM56" s="980"/>
      <c r="HN56" s="980"/>
      <c r="HO56" s="980"/>
      <c r="HP56" s="980"/>
      <c r="HQ56" s="980"/>
      <c r="HR56" s="980"/>
      <c r="HS56" s="980"/>
      <c r="HT56" s="980"/>
      <c r="HU56" s="980"/>
      <c r="HV56" s="980"/>
      <c r="HW56" s="980"/>
      <c r="HX56" s="980"/>
      <c r="HY56" s="980"/>
      <c r="HZ56" s="980"/>
      <c r="IA56" s="980"/>
      <c r="IB56" s="980"/>
      <c r="IC56" s="980"/>
      <c r="ID56" s="980"/>
      <c r="IE56" s="980"/>
      <c r="IF56" s="980"/>
      <c r="IG56" s="980"/>
      <c r="IH56" s="980"/>
      <c r="II56" s="980"/>
      <c r="IJ56" s="980"/>
      <c r="IK56" s="980"/>
      <c r="IL56" s="980"/>
      <c r="IM56" s="980"/>
      <c r="IN56" s="980"/>
      <c r="IO56" s="980"/>
      <c r="IP56" s="980"/>
      <c r="IQ56" s="980"/>
      <c r="IR56" s="980"/>
      <c r="IS56" s="980"/>
      <c r="IT56" s="980"/>
      <c r="IU56" s="980"/>
      <c r="IV56" s="980"/>
    </row>
    <row r="57" spans="1:256" s="409" customFormat="1" ht="12" customHeight="1" x14ac:dyDescent="0.55000000000000004">
      <c r="A57" s="398" t="str">
        <f t="shared" ref="A57:A72" si="40">A$7&amp;$Q57</f>
        <v>Executive and Council4900</v>
      </c>
      <c r="B57" s="398" t="str">
        <f t="shared" si="39"/>
        <v>Finance and administration4900</v>
      </c>
      <c r="C57" s="398" t="str">
        <f t="shared" si="39"/>
        <v>Internal audit4900</v>
      </c>
      <c r="D57" s="398" t="str">
        <f t="shared" si="39"/>
        <v>Community and social services4900</v>
      </c>
      <c r="E57" s="398" t="str">
        <f t="shared" si="39"/>
        <v>Sport and recreation4900</v>
      </c>
      <c r="F57" s="398" t="str">
        <f t="shared" si="39"/>
        <v>Public safety4900</v>
      </c>
      <c r="G57" s="398" t="str">
        <f t="shared" si="39"/>
        <v>Housing4900</v>
      </c>
      <c r="H57" s="398" t="str">
        <f t="shared" si="39"/>
        <v>Health4900</v>
      </c>
      <c r="I57" s="398" t="str">
        <f t="shared" si="39"/>
        <v>Planning and development4900</v>
      </c>
      <c r="J57" s="398" t="str">
        <f t="shared" si="39"/>
        <v>Road transport4900</v>
      </c>
      <c r="K57" s="398" t="str">
        <f t="shared" si="39"/>
        <v>Environmental protection4900</v>
      </c>
      <c r="L57" s="398" t="str">
        <f t="shared" si="39"/>
        <v>Other4900</v>
      </c>
      <c r="M57" s="398" t="str">
        <f t="shared" si="39"/>
        <v>Energy sources4900</v>
      </c>
      <c r="N57" s="398" t="str">
        <f t="shared" si="39"/>
        <v>Water management4900</v>
      </c>
      <c r="O57" s="398" t="str">
        <f t="shared" si="39"/>
        <v>Waste water management4900</v>
      </c>
      <c r="P57" s="398" t="str">
        <f t="shared" si="39"/>
        <v>Waste management4900</v>
      </c>
      <c r="Q57" s="745" t="s">
        <v>776</v>
      </c>
      <c r="R57" s="745" t="s">
        <v>776</v>
      </c>
      <c r="S57" s="994"/>
      <c r="T57" s="748" t="s">
        <v>778</v>
      </c>
      <c r="U57" s="804">
        <f ca="1">SUMIF('3.Inc &amp; Exp per Function'!$D56:$D1154,'5.Cons and detailed recon'!A57,'3.Inc &amp; Exp per Function'!$U56:$U1153)</f>
        <v>0</v>
      </c>
      <c r="V57" s="804">
        <f ca="1">SUMIF('3.Inc &amp; Exp per Function'!$D56:$D1154,'5.Cons and detailed recon'!B57,'3.Inc &amp; Exp per Function'!$U56:$U1153)</f>
        <v>0</v>
      </c>
      <c r="W57" s="804">
        <f ca="1">SUMIF('3.Inc &amp; Exp per Function'!$D56:$D1154,'5.Cons and detailed recon'!C57,'3.Inc &amp; Exp per Function'!$U56:$U1153)</f>
        <v>0</v>
      </c>
      <c r="X57" s="413">
        <f t="shared" ca="1" si="38"/>
        <v>0</v>
      </c>
      <c r="Y57" s="804">
        <f ca="1">SUMIF('3.Inc &amp; Exp per Function'!$D56:$D1154,'5.Cons and detailed recon'!D57,'3.Inc &amp; Exp per Function'!$U56:$U1153)</f>
        <v>0</v>
      </c>
      <c r="Z57" s="804">
        <f ca="1">SUMIF('3.Inc &amp; Exp per Function'!$D56:$D1154,'5.Cons and detailed recon'!E57,'3.Inc &amp; Exp per Function'!$U56:$U1153)</f>
        <v>0</v>
      </c>
      <c r="AA57" s="804">
        <f ca="1">SUMIF('3.Inc &amp; Exp per Function'!$D56:$D1154,'5.Cons and detailed recon'!F57,'3.Inc &amp; Exp per Function'!$U56:$U1153)</f>
        <v>0</v>
      </c>
      <c r="AB57" s="804">
        <f ca="1">SUMIF('3.Inc &amp; Exp per Function'!$D56:$D1154,'5.Cons and detailed recon'!G57,'3.Inc &amp; Exp per Function'!$U56:$U1153)</f>
        <v>0</v>
      </c>
      <c r="AC57" s="804">
        <f ca="1">SUMIF('3.Inc &amp; Exp per Function'!$D56:$D1154,'5.Cons and detailed recon'!H57,'3.Inc &amp; Exp per Function'!$U56:$U1153)</f>
        <v>0</v>
      </c>
      <c r="AD57" s="804">
        <f ca="1">SUMIF('3.Inc &amp; Exp per Function'!$D56:$D1154,'5.Cons and detailed recon'!I57,'3.Inc &amp; Exp per Function'!$U56:$U1153)</f>
        <v>0</v>
      </c>
      <c r="AE57" s="804">
        <f ca="1">SUMIF('3.Inc &amp; Exp per Function'!$D56:$D1154,'5.Cons and detailed recon'!J57,'3.Inc &amp; Exp per Function'!$U56:$U1153)</f>
        <v>0</v>
      </c>
      <c r="AF57" s="804">
        <f ca="1">SUMIF('3.Inc &amp; Exp per Function'!$D56:$D1154,'5.Cons and detailed recon'!K57,'3.Inc &amp; Exp per Function'!$U56:$U1153)</f>
        <v>0</v>
      </c>
      <c r="AG57" s="804">
        <f ca="1">SUMIF('3.Inc &amp; Exp per Function'!$D56:$D1154,'5.Cons and detailed recon'!L57,'3.Inc &amp; Exp per Function'!$U56:$U1153)</f>
        <v>0</v>
      </c>
      <c r="AH57" s="413">
        <f t="shared" ca="1" si="3"/>
        <v>0</v>
      </c>
      <c r="AI57" s="804">
        <f ca="1">SUMIF('3.Inc &amp; Exp per Function'!$D56:$D1154,'5.Cons and detailed recon'!M57,'3.Inc &amp; Exp per Function'!$U56:$U1153)</f>
        <v>0</v>
      </c>
      <c r="AJ57" s="804">
        <f ca="1">SUMIF('3.Inc &amp; Exp per Function'!$D56:$D1154,'5.Cons and detailed recon'!N57,'3.Inc &amp; Exp per Function'!$U56:$U1153)</f>
        <v>0</v>
      </c>
      <c r="AK57" s="804">
        <f ca="1">SUMIF('3.Inc &amp; Exp per Function'!$D56:$D1154,'5.Cons and detailed recon'!O57,'3.Inc &amp; Exp per Function'!$U56:$U1153)</f>
        <v>0</v>
      </c>
      <c r="AL57" s="804">
        <f ca="1">SUMIF('3.Inc &amp; Exp per Function'!$D56:$D1154,'5.Cons and detailed recon'!P57,'3.Inc &amp; Exp per Function'!$U56:$U1153)</f>
        <v>0</v>
      </c>
      <c r="AM57" s="748">
        <f t="shared" ca="1" si="0"/>
        <v>0</v>
      </c>
      <c r="AN57" s="794"/>
      <c r="AO57" s="791">
        <f t="shared" ca="1" si="36"/>
        <v>0</v>
      </c>
      <c r="AP57" s="414">
        <f>SUMIF('4.Inc &amp; Exp Summary'!A:A,'5.Cons and detailed recon'!R57,'4.Inc &amp; Exp Summary'!L:L)</f>
        <v>40000</v>
      </c>
      <c r="AQ57" s="415">
        <f t="shared" ca="1" si="23"/>
        <v>-40000</v>
      </c>
      <c r="AR57" s="720"/>
      <c r="AS57" s="730"/>
      <c r="AT57" s="408"/>
      <c r="AU57" s="398" t="str">
        <f t="shared" si="33"/>
        <v>Executive and Council4900</v>
      </c>
      <c r="AV57" s="398" t="str">
        <f t="shared" si="33"/>
        <v>Finance and administration4900</v>
      </c>
      <c r="AW57" s="398" t="str">
        <f t="shared" si="33"/>
        <v>Internal audit4900</v>
      </c>
      <c r="AX57" s="398" t="str">
        <f t="shared" si="33"/>
        <v>Community and social services4900</v>
      </c>
      <c r="AY57" s="398" t="str">
        <f t="shared" si="33"/>
        <v>Sport and recreation4900</v>
      </c>
      <c r="AZ57" s="398" t="str">
        <f t="shared" si="33"/>
        <v>Public safety4900</v>
      </c>
      <c r="BA57" s="398" t="str">
        <f t="shared" si="33"/>
        <v>Housing4900</v>
      </c>
      <c r="BB57" s="398" t="str">
        <f t="shared" si="33"/>
        <v>Health4900</v>
      </c>
      <c r="BC57" s="398" t="str">
        <f t="shared" si="33"/>
        <v>Planning and development4900</v>
      </c>
      <c r="BD57" s="398" t="str">
        <f t="shared" si="33"/>
        <v>Road transport4900</v>
      </c>
      <c r="BE57" s="398" t="str">
        <f t="shared" si="33"/>
        <v>Environmental protection4900</v>
      </c>
      <c r="BF57" s="398" t="str">
        <f t="shared" si="33"/>
        <v>Other4900</v>
      </c>
      <c r="BG57" s="398" t="str">
        <f t="shared" si="33"/>
        <v>Energy sources4900</v>
      </c>
      <c r="BH57" s="398" t="str">
        <f t="shared" si="33"/>
        <v>Water management4900</v>
      </c>
      <c r="BI57" s="398" t="str">
        <f t="shared" si="33"/>
        <v>Waste water management4900</v>
      </c>
      <c r="BJ57" s="398" t="str">
        <f>BJ$7&amp;$Q57</f>
        <v>Waste management4900</v>
      </c>
      <c r="BK57" s="745" t="s">
        <v>776</v>
      </c>
      <c r="BL57" s="745" t="s">
        <v>776</v>
      </c>
      <c r="BM57" s="735"/>
      <c r="BN57" s="748" t="s">
        <v>778</v>
      </c>
      <c r="BO57" s="751">
        <f ca="1">SUMIF('3.Inc &amp; Exp per Function'!$D57:$D1155,'5.Cons and detailed recon'!AU57,'3.Inc &amp; Exp per Function'!$V57:$V1154)</f>
        <v>0</v>
      </c>
      <c r="BP57" s="751">
        <f ca="1">SUMIF('3.Inc &amp; Exp per Function'!$D56:$D1155,'5.Cons and detailed recon'!AV57,'3.Inc &amp; Exp per Function'!$V56:$V1154)</f>
        <v>0</v>
      </c>
      <c r="BQ57" s="751">
        <f ca="1">SUMIF('3.Inc &amp; Exp per Function'!$D57:$D1155,'5.Cons and detailed recon'!AW57,'3.Inc &amp; Exp per Function'!$V57:$V1154)</f>
        <v>0</v>
      </c>
      <c r="BR57" s="413">
        <f t="shared" ca="1" si="6"/>
        <v>0</v>
      </c>
      <c r="BS57" s="751">
        <f ca="1">SUMIF('3.Inc &amp; Exp per Function'!$D56:$D1155,'5.Cons and detailed recon'!AX57,'3.Inc &amp; Exp per Function'!$V56:$V1154)</f>
        <v>0</v>
      </c>
      <c r="BT57" s="751">
        <f ca="1">SUMIF('3.Inc &amp; Exp per Function'!$D56:$D1155,'5.Cons and detailed recon'!AY57,'3.Inc &amp; Exp per Function'!$V56:$V1154)</f>
        <v>0</v>
      </c>
      <c r="BU57" s="751">
        <f ca="1">SUMIF('3.Inc &amp; Exp per Function'!$D57:$D1155,'5.Cons and detailed recon'!AZ57,'3.Inc &amp; Exp per Function'!$V57:$V1154)</f>
        <v>0</v>
      </c>
      <c r="BV57" s="751">
        <f ca="1">SUMIF('3.Inc &amp; Exp per Function'!$D57:$D1155,'5.Cons and detailed recon'!BA57,'3.Inc &amp; Exp per Function'!$V57:$V1154)</f>
        <v>0</v>
      </c>
      <c r="BW57" s="751">
        <f ca="1">SUMIF('3.Inc &amp; Exp per Function'!$D57:$D1155,'5.Cons and detailed recon'!BB57,'3.Inc &amp; Exp per Function'!$V57:$V1154)</f>
        <v>0</v>
      </c>
      <c r="BX57" s="751">
        <f ca="1">SUMIF('3.Inc &amp; Exp per Function'!$D57:$D1155,'5.Cons and detailed recon'!BC57,'3.Inc &amp; Exp per Function'!$V57:$V1154)</f>
        <v>0</v>
      </c>
      <c r="BY57" s="751">
        <f ca="1">SUMIF('3.Inc &amp; Exp per Function'!$D57:$D1155,'5.Cons and detailed recon'!BD57,'3.Inc &amp; Exp per Function'!$V57:$V1154)</f>
        <v>0</v>
      </c>
      <c r="BZ57" s="751">
        <f ca="1">SUMIF('3.Inc &amp; Exp per Function'!$D57:$D1155,'5.Cons and detailed recon'!BE57,'3.Inc &amp; Exp per Function'!$V57:$V1154)</f>
        <v>0</v>
      </c>
      <c r="CA57" s="751">
        <f ca="1">SUMIF('3.Inc &amp; Exp per Function'!$D57:$D1155,'5.Cons and detailed recon'!BF57,'3.Inc &amp; Exp per Function'!$V57:$V1154)</f>
        <v>0</v>
      </c>
      <c r="CB57" s="413">
        <f t="shared" ca="1" si="7"/>
        <v>0</v>
      </c>
      <c r="CC57" s="751">
        <f ca="1">SUMIF('3.Inc &amp; Exp per Function'!$D57:$D1155,'5.Cons and detailed recon'!BG57,'3.Inc &amp; Exp per Function'!$V57:$V1154)</f>
        <v>0</v>
      </c>
      <c r="CD57" s="751">
        <f ca="1">SUMIF('3.Inc &amp; Exp per Function'!$D57:$D1155,'5.Cons and detailed recon'!BH57,'3.Inc &amp; Exp per Function'!$V57:$V1154)</f>
        <v>0</v>
      </c>
      <c r="CE57" s="751">
        <f ca="1">SUMIF('3.Inc &amp; Exp per Function'!$D57:$D1155,'5.Cons and detailed recon'!BI57,'3.Inc &amp; Exp per Function'!$V57:$V1154)</f>
        <v>0</v>
      </c>
      <c r="CF57" s="751">
        <f ca="1">SUMIF('3.Inc &amp; Exp per Function'!$D57:$D1155,'5.Cons and detailed recon'!BJ57,'3.Inc &amp; Exp per Function'!$V57:$V1154)</f>
        <v>0</v>
      </c>
      <c r="CG57" s="748">
        <f t="shared" ca="1" si="8"/>
        <v>0</v>
      </c>
      <c r="CH57" s="751"/>
      <c r="CI57" s="791">
        <f t="shared" ca="1" si="9"/>
        <v>0</v>
      </c>
      <c r="CJ57" s="411">
        <f>SUMIF('4.Inc &amp; Exp Summary'!A:A,'5.Cons and detailed recon'!R57,'4.Inc &amp; Exp Summary'!M:M)</f>
        <v>0</v>
      </c>
      <c r="CK57" s="415">
        <f t="shared" ca="1" si="35"/>
        <v>0</v>
      </c>
      <c r="CL57" s="720"/>
      <c r="CM57" s="730"/>
      <c r="CO57" s="398" t="str">
        <f t="shared" si="34"/>
        <v>Executive and Council4900</v>
      </c>
      <c r="CP57" s="398" t="str">
        <f t="shared" si="34"/>
        <v>Finance and administration4900</v>
      </c>
      <c r="CQ57" s="398" t="str">
        <f t="shared" si="34"/>
        <v>Internal audit4900</v>
      </c>
      <c r="CR57" s="398" t="str">
        <f t="shared" si="34"/>
        <v>Community and social services4900</v>
      </c>
      <c r="CS57" s="398" t="str">
        <f t="shared" si="34"/>
        <v>Sport and recreation4900</v>
      </c>
      <c r="CT57" s="398" t="str">
        <f t="shared" si="34"/>
        <v>Public safety4900</v>
      </c>
      <c r="CU57" s="398" t="str">
        <f t="shared" si="34"/>
        <v>Housing4900</v>
      </c>
      <c r="CV57" s="398" t="str">
        <f t="shared" si="34"/>
        <v>Health4900</v>
      </c>
      <c r="CW57" s="398" t="str">
        <f t="shared" si="34"/>
        <v>Planning and development4900</v>
      </c>
      <c r="CX57" s="398" t="str">
        <f t="shared" si="34"/>
        <v>Road transport4900</v>
      </c>
      <c r="CY57" s="398" t="str">
        <f t="shared" si="34"/>
        <v>Environmental protection4900</v>
      </c>
      <c r="CZ57" s="398" t="str">
        <f t="shared" si="34"/>
        <v>Other4900</v>
      </c>
      <c r="DA57" s="398" t="str">
        <f t="shared" si="34"/>
        <v>Energy sources4900</v>
      </c>
      <c r="DB57" s="398" t="str">
        <f t="shared" si="34"/>
        <v>Water management4900</v>
      </c>
      <c r="DC57" s="398" t="str">
        <f t="shared" si="34"/>
        <v>Waste water management4900</v>
      </c>
      <c r="DD57" s="398" t="str">
        <f>DD$7&amp;$Q57</f>
        <v>Waste management4900</v>
      </c>
      <c r="DE57" s="745" t="s">
        <v>776</v>
      </c>
      <c r="DF57" s="745" t="s">
        <v>776</v>
      </c>
      <c r="DG57" s="735"/>
      <c r="DH57" s="748" t="s">
        <v>778</v>
      </c>
      <c r="DI57" s="751">
        <f ca="1">SUMIF('3.Inc &amp; Exp per Function'!$D56:$D1155,'5.Cons and detailed recon'!CO57,'3.Inc &amp; Exp per Function'!$W56:$W1154)</f>
        <v>0</v>
      </c>
      <c r="DJ57" s="751">
        <f ca="1">SUMIF('3.Inc &amp; Exp per Function'!$D56:$D1154,'5.Cons and detailed recon'!CP57,'3.Inc &amp; Exp per Function'!$W56:$W1153)</f>
        <v>0</v>
      </c>
      <c r="DK57" s="751">
        <f ca="1">SUMIF('3.Inc &amp; Exp per Function'!$D56:$D1154,'5.Cons and detailed recon'!CQ57,'3.Inc &amp; Exp per Function'!$W56:$W1153)</f>
        <v>0</v>
      </c>
      <c r="DL57" s="413">
        <f t="shared" ca="1" si="11"/>
        <v>0</v>
      </c>
      <c r="DM57" s="751">
        <f ca="1">SUMIF('3.Inc &amp; Exp per Function'!$D56:$D1154,'5.Cons and detailed recon'!CR57,'3.Inc &amp; Exp per Function'!$W56:$W1153)</f>
        <v>0</v>
      </c>
      <c r="DN57" s="751">
        <f ca="1">SUMIF('3.Inc &amp; Exp per Function'!$D56:$D1154,'5.Cons and detailed recon'!CS57,'3.Inc &amp; Exp per Function'!$W56:$W1153)</f>
        <v>0</v>
      </c>
      <c r="DO57" s="751">
        <f ca="1">SUMIF('3.Inc &amp; Exp per Function'!$D56:$D1154,'5.Cons and detailed recon'!CT57,'3.Inc &amp; Exp per Function'!$W56:$W1153)</f>
        <v>0</v>
      </c>
      <c r="DP57" s="751">
        <f ca="1">SUMIF('3.Inc &amp; Exp per Function'!$D56:$D1154,'5.Cons and detailed recon'!CU57,'3.Inc &amp; Exp per Function'!$W56:$W1153)</f>
        <v>0</v>
      </c>
      <c r="DQ57" s="751">
        <f ca="1">SUMIF('3.Inc &amp; Exp per Function'!$D56:$D1154,'5.Cons and detailed recon'!CV57,'3.Inc &amp; Exp per Function'!$W56:$W1153)</f>
        <v>0</v>
      </c>
      <c r="DR57" s="751">
        <f ca="1">SUMIF('3.Inc &amp; Exp per Function'!$D56:$D1154,'5.Cons and detailed recon'!CW57,'3.Inc &amp; Exp per Function'!$W56:$W1153)</f>
        <v>0</v>
      </c>
      <c r="DS57" s="751">
        <f ca="1">SUMIF('3.Inc &amp; Exp per Function'!$D56:$D1154,'5.Cons and detailed recon'!CX57,'3.Inc &amp; Exp per Function'!$W56:$W1153)</f>
        <v>0</v>
      </c>
      <c r="DT57" s="751">
        <f ca="1">SUMIF('3.Inc &amp; Exp per Function'!$D56:$D1154,'5.Cons and detailed recon'!CY57,'3.Inc &amp; Exp per Function'!$W56:$W1153)</f>
        <v>0</v>
      </c>
      <c r="DU57" s="751">
        <f ca="1">SUMIF('3.Inc &amp; Exp per Function'!$D56:$D1154,'5.Cons and detailed recon'!CZ57,'3.Inc &amp; Exp per Function'!$W56:$W1153)</f>
        <v>0</v>
      </c>
      <c r="DV57" s="413">
        <f t="shared" ca="1" si="12"/>
        <v>0</v>
      </c>
      <c r="DW57" s="751">
        <f ca="1">SUMIF('3.Inc &amp; Exp per Function'!$D56:$D1154,'5.Cons and detailed recon'!DA57,'3.Inc &amp; Exp per Function'!$W56:$W1153)</f>
        <v>0</v>
      </c>
      <c r="DX57" s="751">
        <f ca="1">SUMIF('3.Inc &amp; Exp per Function'!$D56:$D1154,'5.Cons and detailed recon'!DB57,'3.Inc &amp; Exp per Function'!$W56:$W1153)</f>
        <v>0</v>
      </c>
      <c r="DY57" s="751">
        <f ca="1">SUMIF('3.Inc &amp; Exp per Function'!$D56:$D1154,'5.Cons and detailed recon'!DC57,'3.Inc &amp; Exp per Function'!$W56:$W1153)</f>
        <v>0</v>
      </c>
      <c r="DZ57" s="751">
        <f ca="1">SUMIF('3.Inc &amp; Exp per Function'!$D56:$D1154,'5.Cons and detailed recon'!DD57,'3.Inc &amp; Exp per Function'!$W56:$W1153)</f>
        <v>0</v>
      </c>
      <c r="EA57" s="748">
        <f t="shared" ca="1" si="13"/>
        <v>0</v>
      </c>
      <c r="EB57" s="794"/>
      <c r="EC57" s="791">
        <f t="shared" ca="1" si="14"/>
        <v>0</v>
      </c>
      <c r="ED57" s="414">
        <f>SUMIF('4.Inc &amp; Exp Summary'!A:A,'5.Cons and detailed recon'!DF57,'4.Inc &amp; Exp Summary'!N:N)</f>
        <v>0</v>
      </c>
      <c r="EE57" s="415">
        <f t="shared" ca="1" si="15"/>
        <v>0</v>
      </c>
      <c r="EF57" s="720"/>
      <c r="EG57" s="980"/>
      <c r="EH57" s="980"/>
      <c r="EI57" s="980"/>
      <c r="EJ57" s="980"/>
      <c r="EK57" s="980"/>
      <c r="EL57" s="980"/>
      <c r="EM57" s="980"/>
      <c r="EN57" s="980"/>
      <c r="EO57" s="980"/>
      <c r="EP57" s="980"/>
      <c r="EQ57" s="980"/>
      <c r="ER57" s="980"/>
      <c r="ES57" s="980"/>
      <c r="ET57" s="980"/>
      <c r="EU57" s="980"/>
      <c r="EV57" s="980"/>
      <c r="EW57" s="980"/>
      <c r="EX57" s="980"/>
      <c r="EY57" s="980"/>
      <c r="EZ57" s="980"/>
      <c r="FA57" s="980"/>
      <c r="FB57" s="980"/>
      <c r="FC57" s="980"/>
      <c r="FD57" s="980"/>
      <c r="FE57" s="980"/>
      <c r="FF57" s="980"/>
      <c r="FG57" s="980"/>
      <c r="FH57" s="980"/>
      <c r="FI57" s="980"/>
      <c r="FJ57" s="980"/>
      <c r="FK57" s="980"/>
      <c r="FL57" s="980"/>
      <c r="FM57" s="980"/>
      <c r="FN57" s="980"/>
      <c r="FO57" s="980"/>
      <c r="FP57" s="980"/>
      <c r="FQ57" s="980"/>
      <c r="FR57" s="980"/>
      <c r="FS57" s="980"/>
      <c r="FT57" s="980"/>
      <c r="FU57" s="980"/>
      <c r="FV57" s="980"/>
      <c r="FW57" s="980"/>
      <c r="FX57" s="980"/>
      <c r="FY57" s="980"/>
      <c r="FZ57" s="980"/>
      <c r="GA57" s="980"/>
      <c r="GB57" s="980"/>
      <c r="GC57" s="980"/>
      <c r="GD57" s="980"/>
      <c r="GE57" s="980"/>
      <c r="GF57" s="980"/>
      <c r="GG57" s="980"/>
      <c r="GH57" s="980"/>
      <c r="GI57" s="980"/>
      <c r="GJ57" s="980"/>
      <c r="GK57" s="980"/>
      <c r="GL57" s="980"/>
      <c r="GM57" s="980"/>
      <c r="GN57" s="980"/>
      <c r="GO57" s="980"/>
      <c r="GP57" s="980"/>
      <c r="GQ57" s="980"/>
      <c r="GR57" s="980"/>
      <c r="GS57" s="980"/>
      <c r="GT57" s="980"/>
      <c r="GU57" s="980"/>
      <c r="GV57" s="980"/>
      <c r="GW57" s="980"/>
      <c r="GX57" s="980"/>
      <c r="GY57" s="980"/>
      <c r="GZ57" s="980"/>
      <c r="HA57" s="980"/>
      <c r="HB57" s="980"/>
      <c r="HC57" s="980"/>
      <c r="HD57" s="980"/>
      <c r="HE57" s="980"/>
      <c r="HF57" s="980"/>
      <c r="HG57" s="980"/>
      <c r="HH57" s="980"/>
      <c r="HI57" s="980"/>
      <c r="HJ57" s="980"/>
      <c r="HK57" s="980"/>
      <c r="HL57" s="980"/>
      <c r="HM57" s="980"/>
      <c r="HN57" s="980"/>
      <c r="HO57" s="980"/>
      <c r="HP57" s="980"/>
      <c r="HQ57" s="980"/>
      <c r="HR57" s="980"/>
      <c r="HS57" s="980"/>
      <c r="HT57" s="980"/>
      <c r="HU57" s="980"/>
      <c r="HV57" s="980"/>
      <c r="HW57" s="980"/>
      <c r="HX57" s="980"/>
      <c r="HY57" s="980"/>
      <c r="HZ57" s="980"/>
      <c r="IA57" s="980"/>
      <c r="IB57" s="980"/>
      <c r="IC57" s="980"/>
      <c r="ID57" s="980"/>
      <c r="IE57" s="980"/>
      <c r="IF57" s="980"/>
      <c r="IG57" s="980"/>
      <c r="IH57" s="980"/>
      <c r="II57" s="980"/>
      <c r="IJ57" s="980"/>
      <c r="IK57" s="980"/>
      <c r="IL57" s="980"/>
      <c r="IM57" s="980"/>
      <c r="IN57" s="980"/>
      <c r="IO57" s="980"/>
      <c r="IP57" s="980"/>
      <c r="IQ57" s="980"/>
      <c r="IR57" s="980"/>
      <c r="IS57" s="980"/>
      <c r="IT57" s="980"/>
      <c r="IU57" s="980"/>
      <c r="IV57" s="980"/>
    </row>
    <row r="58" spans="1:256" s="409" customFormat="1" ht="12" customHeight="1" x14ac:dyDescent="0.55000000000000004">
      <c r="A58" s="398" t="str">
        <f t="shared" si="40"/>
        <v>Executive and Council5000</v>
      </c>
      <c r="B58" s="398" t="str">
        <f t="shared" si="39"/>
        <v>Finance and administration5000</v>
      </c>
      <c r="C58" s="398" t="str">
        <f t="shared" si="39"/>
        <v>Internal audit5000</v>
      </c>
      <c r="D58" s="398" t="str">
        <f t="shared" si="39"/>
        <v>Community and social services5000</v>
      </c>
      <c r="E58" s="398" t="str">
        <f t="shared" si="39"/>
        <v>Sport and recreation5000</v>
      </c>
      <c r="F58" s="398" t="str">
        <f t="shared" si="39"/>
        <v>Public safety5000</v>
      </c>
      <c r="G58" s="398" t="str">
        <f t="shared" si="39"/>
        <v>Housing5000</v>
      </c>
      <c r="H58" s="398" t="str">
        <f t="shared" si="39"/>
        <v>Health5000</v>
      </c>
      <c r="I58" s="398" t="str">
        <f t="shared" si="39"/>
        <v>Planning and development5000</v>
      </c>
      <c r="J58" s="398" t="str">
        <f t="shared" si="39"/>
        <v>Road transport5000</v>
      </c>
      <c r="K58" s="398" t="str">
        <f t="shared" si="39"/>
        <v>Environmental protection5000</v>
      </c>
      <c r="L58" s="398" t="str">
        <f t="shared" si="39"/>
        <v>Other5000</v>
      </c>
      <c r="M58" s="398" t="str">
        <f t="shared" si="39"/>
        <v>Energy sources5000</v>
      </c>
      <c r="N58" s="398" t="str">
        <f t="shared" si="39"/>
        <v>Water management5000</v>
      </c>
      <c r="O58" s="398" t="str">
        <f t="shared" si="39"/>
        <v>Waste water management5000</v>
      </c>
      <c r="P58" s="398" t="str">
        <f t="shared" si="39"/>
        <v>Waste management5000</v>
      </c>
      <c r="Q58" s="743" t="s">
        <v>779</v>
      </c>
      <c r="R58" s="743" t="s">
        <v>779</v>
      </c>
      <c r="S58" s="994"/>
      <c r="T58" s="748" t="s">
        <v>781</v>
      </c>
      <c r="U58" s="804">
        <f ca="1">SUMIF('3.Inc &amp; Exp per Function'!$D57:$D1155,'5.Cons and detailed recon'!A58,'3.Inc &amp; Exp per Function'!$U57:$U1154)</f>
        <v>-21007744</v>
      </c>
      <c r="V58" s="804">
        <f ca="1">SUMIF('3.Inc &amp; Exp per Function'!$D57:$D1155,'5.Cons and detailed recon'!B58,'3.Inc &amp; Exp per Function'!$U57:$U1154)</f>
        <v>103831221</v>
      </c>
      <c r="W58" s="804">
        <f ca="1">SUMIF('3.Inc &amp; Exp per Function'!$D57:$D1155,'5.Cons and detailed recon'!C58,'3.Inc &amp; Exp per Function'!$U57:$U1154)</f>
        <v>-3436716</v>
      </c>
      <c r="X58" s="413">
        <f t="shared" ca="1" si="38"/>
        <v>79386761</v>
      </c>
      <c r="Y58" s="804">
        <f ca="1">SUMIF('3.Inc &amp; Exp per Function'!$D57:$D1155,'5.Cons and detailed recon'!D58,'3.Inc &amp; Exp per Function'!$U57:$U1154)</f>
        <v>-465557</v>
      </c>
      <c r="Z58" s="804">
        <f ca="1">SUMIF('3.Inc &amp; Exp per Function'!$D57:$D1155,'5.Cons and detailed recon'!E58,'3.Inc &amp; Exp per Function'!$U57:$U1154)</f>
        <v>-12221492</v>
      </c>
      <c r="AA58" s="804">
        <f ca="1">SUMIF('3.Inc &amp; Exp per Function'!$D57:$D1155,'5.Cons and detailed recon'!F58,'3.Inc &amp; Exp per Function'!$U57:$U1154)</f>
        <v>-28202194</v>
      </c>
      <c r="AB58" s="804">
        <f ca="1">SUMIF('3.Inc &amp; Exp per Function'!$D57:$D1155,'5.Cons and detailed recon'!G58,'3.Inc &amp; Exp per Function'!$U57:$U1154)</f>
        <v>-15896634</v>
      </c>
      <c r="AC58" s="804">
        <f ca="1">SUMIF('3.Inc &amp; Exp per Function'!$D57:$D1155,'5.Cons and detailed recon'!H58,'3.Inc &amp; Exp per Function'!$U57:$U1154)</f>
        <v>0</v>
      </c>
      <c r="AD58" s="804">
        <f ca="1">SUMIF('3.Inc &amp; Exp per Function'!$D57:$D1155,'5.Cons and detailed recon'!I58,'3.Inc &amp; Exp per Function'!$U57:$U1154)</f>
        <v>-3216154</v>
      </c>
      <c r="AE58" s="804">
        <f ca="1">SUMIF('3.Inc &amp; Exp per Function'!$D57:$D1155,'5.Cons and detailed recon'!J58,'3.Inc &amp; Exp per Function'!$U57:$U1154)</f>
        <v>-42427329</v>
      </c>
      <c r="AF58" s="804">
        <f ca="1">SUMIF('3.Inc &amp; Exp per Function'!$D57:$D1155,'5.Cons and detailed recon'!K58,'3.Inc &amp; Exp per Function'!$U57:$U1154)</f>
        <v>-1000</v>
      </c>
      <c r="AG58" s="804">
        <f ca="1">SUMIF('3.Inc &amp; Exp per Function'!$D57:$D1155,'5.Cons and detailed recon'!L58,'3.Inc &amp; Exp per Function'!$U57:$U1154)</f>
        <v>-339500</v>
      </c>
      <c r="AH58" s="413">
        <f t="shared" ca="1" si="3"/>
        <v>-102769860</v>
      </c>
      <c r="AI58" s="804">
        <f ca="1">SUMIF('3.Inc &amp; Exp per Function'!$D57:$D1155,'5.Cons and detailed recon'!M58,'3.Inc &amp; Exp per Function'!$U57:$U1154)</f>
        <v>13205622</v>
      </c>
      <c r="AJ58" s="804">
        <f ca="1">SUMIF('3.Inc &amp; Exp per Function'!$D57:$D1155,'5.Cons and detailed recon'!N58,'3.Inc &amp; Exp per Function'!$U57:$U1154)</f>
        <v>47169461</v>
      </c>
      <c r="AK58" s="804">
        <f ca="1">SUMIF('3.Inc &amp; Exp per Function'!$D57:$D1155,'5.Cons and detailed recon'!O58,'3.Inc &amp; Exp per Function'!$U57:$U1154)</f>
        <v>11810006</v>
      </c>
      <c r="AL58" s="804">
        <f ca="1">SUMIF('3.Inc &amp; Exp per Function'!$D57:$D1155,'5.Cons and detailed recon'!P58,'3.Inc &amp; Exp per Function'!$U57:$U1154)</f>
        <v>-10811755</v>
      </c>
      <c r="AM58" s="748">
        <f t="shared" ca="1" si="0"/>
        <v>61373334</v>
      </c>
      <c r="AN58" s="794"/>
      <c r="AO58" s="791">
        <f t="shared" ca="1" si="36"/>
        <v>37990235</v>
      </c>
      <c r="AP58" s="414">
        <f>SUMIF('4.Inc &amp; Exp Summary'!A:A,'5.Cons and detailed recon'!R58,'4.Inc &amp; Exp Summary'!L:L)</f>
        <v>37990235</v>
      </c>
      <c r="AQ58" s="415">
        <f t="shared" ca="1" si="23"/>
        <v>0</v>
      </c>
      <c r="AR58" s="720"/>
      <c r="AS58" s="730"/>
      <c r="AT58" s="408"/>
      <c r="AU58" s="398" t="str">
        <f t="shared" ref="AU58:BJ72" si="41">AU$7&amp;$Q58</f>
        <v>Executive and Council5000</v>
      </c>
      <c r="AV58" s="398" t="str">
        <f t="shared" si="41"/>
        <v>Finance and administration5000</v>
      </c>
      <c r="AW58" s="398" t="str">
        <f t="shared" si="41"/>
        <v>Internal audit5000</v>
      </c>
      <c r="AX58" s="398" t="str">
        <f t="shared" si="41"/>
        <v>Community and social services5000</v>
      </c>
      <c r="AY58" s="398" t="str">
        <f t="shared" si="41"/>
        <v>Sport and recreation5000</v>
      </c>
      <c r="AZ58" s="398" t="str">
        <f t="shared" si="41"/>
        <v>Public safety5000</v>
      </c>
      <c r="BA58" s="398" t="str">
        <f t="shared" si="41"/>
        <v>Housing5000</v>
      </c>
      <c r="BB58" s="398" t="str">
        <f t="shared" si="41"/>
        <v>Health5000</v>
      </c>
      <c r="BC58" s="398" t="str">
        <f t="shared" si="41"/>
        <v>Planning and development5000</v>
      </c>
      <c r="BD58" s="398" t="str">
        <f t="shared" si="41"/>
        <v>Road transport5000</v>
      </c>
      <c r="BE58" s="398" t="str">
        <f t="shared" si="41"/>
        <v>Environmental protection5000</v>
      </c>
      <c r="BF58" s="398" t="str">
        <f t="shared" si="41"/>
        <v>Other5000</v>
      </c>
      <c r="BG58" s="398" t="str">
        <f t="shared" si="41"/>
        <v>Energy sources5000</v>
      </c>
      <c r="BH58" s="398" t="str">
        <f t="shared" si="41"/>
        <v>Water management5000</v>
      </c>
      <c r="BI58" s="398" t="str">
        <f t="shared" si="41"/>
        <v>Waste water management5000</v>
      </c>
      <c r="BJ58" s="398" t="str">
        <f t="shared" si="41"/>
        <v>Waste management5000</v>
      </c>
      <c r="BK58" s="743" t="s">
        <v>779</v>
      </c>
      <c r="BL58" s="743" t="s">
        <v>779</v>
      </c>
      <c r="BM58" s="735"/>
      <c r="BN58" s="748" t="s">
        <v>781</v>
      </c>
      <c r="BO58" s="751">
        <f ca="1">SUMIF('3.Inc &amp; Exp per Function'!$D58:$D1156,'5.Cons and detailed recon'!AU58,'3.Inc &amp; Exp per Function'!$V58:$V1155)</f>
        <v>-21722005</v>
      </c>
      <c r="BP58" s="751">
        <f ca="1">SUMIF('3.Inc &amp; Exp per Function'!$D57:$D1156,'5.Cons and detailed recon'!AV58,'3.Inc &amp; Exp per Function'!$V57:$V1155)</f>
        <v>106951751</v>
      </c>
      <c r="BQ58" s="751">
        <f ca="1">SUMIF('3.Inc &amp; Exp per Function'!$D58:$D1156,'5.Cons and detailed recon'!AW58,'3.Inc &amp; Exp per Function'!$V58:$V1155)</f>
        <v>-3553563</v>
      </c>
      <c r="BR58" s="413">
        <f t="shared" ca="1" si="6"/>
        <v>81676183</v>
      </c>
      <c r="BS58" s="751">
        <f ca="1">SUMIF('3.Inc &amp; Exp per Function'!$D57:$D1156,'5.Cons and detailed recon'!AX58,'3.Inc &amp; Exp per Function'!$V57:$V1155)</f>
        <v>-764087</v>
      </c>
      <c r="BT58" s="751">
        <f ca="1">SUMIF('3.Inc &amp; Exp per Function'!$D57:$D1156,'5.Cons and detailed recon'!AY58,'3.Inc &amp; Exp per Function'!$V57:$V1155)</f>
        <v>-12637509</v>
      </c>
      <c r="BU58" s="751">
        <f ca="1">SUMIF('3.Inc &amp; Exp per Function'!$D58:$D1156,'5.Cons and detailed recon'!AZ58,'3.Inc &amp; Exp per Function'!$V58:$V1155)</f>
        <v>-29161081</v>
      </c>
      <c r="BV58" s="751">
        <f ca="1">SUMIF('3.Inc &amp; Exp per Function'!$D58:$D1156,'5.Cons and detailed recon'!BA58,'3.Inc &amp; Exp per Function'!$V58:$V1155)</f>
        <v>-16437127</v>
      </c>
      <c r="BW58" s="751">
        <f ca="1">SUMIF('3.Inc &amp; Exp per Function'!$D58:$D1156,'5.Cons and detailed recon'!BB58,'3.Inc &amp; Exp per Function'!$V58:$V1155)</f>
        <v>0</v>
      </c>
      <c r="BX58" s="751">
        <f ca="1">SUMIF('3.Inc &amp; Exp per Function'!$D58:$D1156,'5.Cons and detailed recon'!BC58,'3.Inc &amp; Exp per Function'!$V58:$V1155)</f>
        <v>-8379659</v>
      </c>
      <c r="BY58" s="751">
        <f ca="1">SUMIF('3.Inc &amp; Exp per Function'!$D58:$D1156,'5.Cons and detailed recon'!BD58,'3.Inc &amp; Exp per Function'!$V58:$V1155)</f>
        <v>-43930271</v>
      </c>
      <c r="BZ58" s="751">
        <f ca="1">SUMIF('3.Inc &amp; Exp per Function'!$D58:$D1156,'5.Cons and detailed recon'!BE58,'3.Inc &amp; Exp per Function'!$V58:$V1155)</f>
        <v>-1034</v>
      </c>
      <c r="CA58" s="751">
        <f ca="1">SUMIF('3.Inc &amp; Exp per Function'!$D58:$D1156,'5.Cons and detailed recon'!BF58,'3.Inc &amp; Exp per Function'!$V58:$V1155)</f>
        <v>-351043</v>
      </c>
      <c r="CB58" s="413">
        <f t="shared" ca="1" si="7"/>
        <v>-111661811</v>
      </c>
      <c r="CC58" s="751">
        <f ca="1">SUMIF('3.Inc &amp; Exp per Function'!$D58:$D1156,'5.Cons and detailed recon'!BG58,'3.Inc &amp; Exp per Function'!$V58:$V1155)</f>
        <v>19393138</v>
      </c>
      <c r="CD58" s="751">
        <f ca="1">SUMIF('3.Inc &amp; Exp per Function'!$D58:$D1156,'5.Cons and detailed recon'!BH58,'3.Inc &amp; Exp per Function'!$V58:$V1155)</f>
        <v>48944117</v>
      </c>
      <c r="CE58" s="751">
        <f ca="1">SUMIF('3.Inc &amp; Exp per Function'!$D58:$D1156,'5.Cons and detailed recon'!BI58,'3.Inc &amp; Exp per Function'!$V58:$V1155)</f>
        <v>12327634</v>
      </c>
      <c r="CF58" s="751">
        <f ca="1">SUMIF('3.Inc &amp; Exp per Function'!$D58:$D1156,'5.Cons and detailed recon'!BJ58,'3.Inc &amp; Exp per Function'!$V58:$V1155)</f>
        <v>-11001715</v>
      </c>
      <c r="CG58" s="748">
        <f t="shared" ca="1" si="8"/>
        <v>69663174</v>
      </c>
      <c r="CH58" s="751"/>
      <c r="CI58" s="791">
        <f t="shared" ca="1" si="9"/>
        <v>39677546</v>
      </c>
      <c r="CJ58" s="411">
        <f>SUMIF('4.Inc &amp; Exp Summary'!A:A,'5.Cons and detailed recon'!R58,'4.Inc &amp; Exp Summary'!M:M)</f>
        <v>39677546.440000057</v>
      </c>
      <c r="CK58" s="415">
        <f t="shared" ca="1" si="35"/>
        <v>-0.44000005722045898</v>
      </c>
      <c r="CL58" s="720"/>
      <c r="CM58" s="730"/>
      <c r="CO58" s="398" t="str">
        <f t="shared" ref="CO58:DD72" si="42">CO$7&amp;$Q58</f>
        <v>Executive and Council5000</v>
      </c>
      <c r="CP58" s="398" t="str">
        <f t="shared" si="42"/>
        <v>Finance and administration5000</v>
      </c>
      <c r="CQ58" s="398" t="str">
        <f t="shared" si="42"/>
        <v>Internal audit5000</v>
      </c>
      <c r="CR58" s="398" t="str">
        <f t="shared" si="42"/>
        <v>Community and social services5000</v>
      </c>
      <c r="CS58" s="398" t="str">
        <f t="shared" si="42"/>
        <v>Sport and recreation5000</v>
      </c>
      <c r="CT58" s="398" t="str">
        <f t="shared" si="42"/>
        <v>Public safety5000</v>
      </c>
      <c r="CU58" s="398" t="str">
        <f t="shared" si="42"/>
        <v>Housing5000</v>
      </c>
      <c r="CV58" s="398" t="str">
        <f t="shared" si="42"/>
        <v>Health5000</v>
      </c>
      <c r="CW58" s="398" t="str">
        <f t="shared" si="42"/>
        <v>Planning and development5000</v>
      </c>
      <c r="CX58" s="398" t="str">
        <f t="shared" si="42"/>
        <v>Road transport5000</v>
      </c>
      <c r="CY58" s="398" t="str">
        <f t="shared" si="42"/>
        <v>Environmental protection5000</v>
      </c>
      <c r="CZ58" s="398" t="str">
        <f t="shared" si="42"/>
        <v>Other5000</v>
      </c>
      <c r="DA58" s="398" t="str">
        <f t="shared" si="42"/>
        <v>Energy sources5000</v>
      </c>
      <c r="DB58" s="398" t="str">
        <f t="shared" si="42"/>
        <v>Water management5000</v>
      </c>
      <c r="DC58" s="398" t="str">
        <f t="shared" si="42"/>
        <v>Waste water management5000</v>
      </c>
      <c r="DD58" s="398" t="str">
        <f t="shared" si="42"/>
        <v>Waste management5000</v>
      </c>
      <c r="DE58" s="743" t="s">
        <v>779</v>
      </c>
      <c r="DF58" s="743" t="s">
        <v>779</v>
      </c>
      <c r="DG58" s="735"/>
      <c r="DH58" s="748" t="s">
        <v>781</v>
      </c>
      <c r="DI58" s="751">
        <f ca="1">SUMIF('3.Inc &amp; Exp per Function'!$D57:$D1156,'5.Cons and detailed recon'!CO58,'3.Inc &amp; Exp per Function'!$W57:$W1155)</f>
        <v>-22417109</v>
      </c>
      <c r="DJ58" s="751">
        <f ca="1">SUMIF('3.Inc &amp; Exp per Function'!$D57:$D1155,'5.Cons and detailed recon'!CP58,'3.Inc &amp; Exp per Function'!$W57:$W1154)</f>
        <v>109202618</v>
      </c>
      <c r="DK58" s="751">
        <f ca="1">SUMIF('3.Inc &amp; Exp per Function'!$D57:$D1155,'5.Cons and detailed recon'!CQ58,'3.Inc &amp; Exp per Function'!$W57:$W1154)</f>
        <v>-3667277</v>
      </c>
      <c r="DL58" s="413">
        <f t="shared" ca="1" si="11"/>
        <v>83118232</v>
      </c>
      <c r="DM58" s="751">
        <f ca="1">SUMIF('3.Inc &amp; Exp per Function'!$D57:$D1155,'5.Cons and detailed recon'!CR58,'3.Inc &amp; Exp per Function'!$W57:$W1154)</f>
        <v>-1049476</v>
      </c>
      <c r="DN58" s="751">
        <f ca="1">SUMIF('3.Inc &amp; Exp per Function'!$D57:$D1155,'5.Cons and detailed recon'!CS58,'3.Inc &amp; Exp per Function'!$W57:$W1154)</f>
        <v>-13042480</v>
      </c>
      <c r="DO58" s="751">
        <f ca="1">SUMIF('3.Inc &amp; Exp per Function'!$D57:$D1155,'5.Cons and detailed recon'!CT58,'3.Inc &amp; Exp per Function'!$W57:$W1154)</f>
        <v>-30094234</v>
      </c>
      <c r="DP58" s="751">
        <f ca="1">SUMIF('3.Inc &amp; Exp per Function'!$D57:$D1155,'5.Cons and detailed recon'!CU58,'3.Inc &amp; Exp per Function'!$W57:$W1154)</f>
        <v>-16963108</v>
      </c>
      <c r="DQ58" s="751">
        <f ca="1">SUMIF('3.Inc &amp; Exp per Function'!$D57:$D1155,'5.Cons and detailed recon'!CV58,'3.Inc &amp; Exp per Function'!$W57:$W1154)</f>
        <v>0</v>
      </c>
      <c r="DR58" s="751">
        <f ca="1">SUMIF('3.Inc &amp; Exp per Function'!$D57:$D1155,'5.Cons and detailed recon'!CW58,'3.Inc &amp; Exp per Function'!$W57:$W1154)</f>
        <v>-8744774</v>
      </c>
      <c r="DS58" s="751">
        <f ca="1">SUMIF('3.Inc &amp; Exp per Function'!$D57:$D1155,'5.Cons and detailed recon'!CX58,'3.Inc &amp; Exp per Function'!$W57:$W1154)</f>
        <v>-45430311</v>
      </c>
      <c r="DT58" s="751">
        <f ca="1">SUMIF('3.Inc &amp; Exp per Function'!$D57:$D1155,'5.Cons and detailed recon'!CY58,'3.Inc &amp; Exp per Function'!$W57:$W1154)</f>
        <v>-1067</v>
      </c>
      <c r="DU58" s="751">
        <f ca="1">SUMIF('3.Inc &amp; Exp per Function'!$D57:$D1155,'5.Cons and detailed recon'!CZ58,'3.Inc &amp; Exp per Function'!$W57:$W1154)</f>
        <v>-362276</v>
      </c>
      <c r="DV58" s="413">
        <f t="shared" ca="1" si="12"/>
        <v>-115687726</v>
      </c>
      <c r="DW58" s="751">
        <f ca="1">SUMIF('3.Inc &amp; Exp per Function'!$D57:$D1155,'5.Cons and detailed recon'!DA58,'3.Inc &amp; Exp per Function'!$W57:$W1154)</f>
        <v>19850248</v>
      </c>
      <c r="DX58" s="751">
        <f ca="1">SUMIF('3.Inc &amp; Exp per Function'!$D57:$D1155,'5.Cons and detailed recon'!DB58,'3.Inc &amp; Exp per Function'!$W57:$W1154)</f>
        <v>50172889</v>
      </c>
      <c r="DY58" s="751">
        <f ca="1">SUMIF('3.Inc &amp; Exp per Function'!$D57:$D1155,'5.Cons and detailed recon'!DC58,'3.Inc &amp; Exp per Function'!$W57:$W1154)</f>
        <v>12360265</v>
      </c>
      <c r="DZ58" s="751">
        <f ca="1">SUMIF('3.Inc &amp; Exp per Function'!$D57:$D1155,'5.Cons and detailed recon'!DD58,'3.Inc &amp; Exp per Function'!$W57:$W1154)</f>
        <v>-11743788</v>
      </c>
      <c r="EA58" s="748">
        <f t="shared" ca="1" si="13"/>
        <v>70639614</v>
      </c>
      <c r="EB58" s="794"/>
      <c r="EC58" s="791">
        <f t="shared" ca="1" si="14"/>
        <v>38070120</v>
      </c>
      <c r="ED58" s="414">
        <f>SUMIF('4.Inc &amp; Exp Summary'!A:A,'5.Cons and detailed recon'!DF58,'4.Inc &amp; Exp Summary'!N:N)</f>
        <v>38070147.055999994</v>
      </c>
      <c r="EE58" s="415">
        <f t="shared" ca="1" si="15"/>
        <v>-27.055999994277954</v>
      </c>
      <c r="EF58" s="720"/>
      <c r="EG58" s="980"/>
      <c r="EH58" s="980"/>
      <c r="EI58" s="980"/>
      <c r="EJ58" s="980"/>
      <c r="EK58" s="980"/>
      <c r="EL58" s="980"/>
      <c r="EM58" s="980"/>
      <c r="EN58" s="980"/>
      <c r="EO58" s="980"/>
      <c r="EP58" s="980"/>
      <c r="EQ58" s="980"/>
      <c r="ER58" s="980"/>
      <c r="ES58" s="980"/>
      <c r="ET58" s="980"/>
      <c r="EU58" s="980"/>
      <c r="EV58" s="980"/>
      <c r="EW58" s="980"/>
      <c r="EX58" s="980"/>
      <c r="EY58" s="980"/>
      <c r="EZ58" s="980"/>
      <c r="FA58" s="980"/>
      <c r="FB58" s="980"/>
      <c r="FC58" s="980"/>
      <c r="FD58" s="980"/>
      <c r="FE58" s="980"/>
      <c r="FF58" s="980"/>
      <c r="FG58" s="980"/>
      <c r="FH58" s="980"/>
      <c r="FI58" s="980"/>
      <c r="FJ58" s="980"/>
      <c r="FK58" s="980"/>
      <c r="FL58" s="980"/>
      <c r="FM58" s="980"/>
      <c r="FN58" s="980"/>
      <c r="FO58" s="980"/>
      <c r="FP58" s="980"/>
      <c r="FQ58" s="980"/>
      <c r="FR58" s="980"/>
      <c r="FS58" s="980"/>
      <c r="FT58" s="980"/>
      <c r="FU58" s="980"/>
      <c r="FV58" s="980"/>
      <c r="FW58" s="980"/>
      <c r="FX58" s="980"/>
      <c r="FY58" s="980"/>
      <c r="FZ58" s="980"/>
      <c r="GA58" s="980"/>
      <c r="GB58" s="980"/>
      <c r="GC58" s="980"/>
      <c r="GD58" s="980"/>
      <c r="GE58" s="980"/>
      <c r="GF58" s="980"/>
      <c r="GG58" s="980"/>
      <c r="GH58" s="980"/>
      <c r="GI58" s="980"/>
      <c r="GJ58" s="980"/>
      <c r="GK58" s="980"/>
      <c r="GL58" s="980"/>
      <c r="GM58" s="980"/>
      <c r="GN58" s="980"/>
      <c r="GO58" s="980"/>
      <c r="GP58" s="980"/>
      <c r="GQ58" s="980"/>
      <c r="GR58" s="980"/>
      <c r="GS58" s="980"/>
      <c r="GT58" s="980"/>
      <c r="GU58" s="980"/>
      <c r="GV58" s="980"/>
      <c r="GW58" s="980"/>
      <c r="GX58" s="980"/>
      <c r="GY58" s="980"/>
      <c r="GZ58" s="980"/>
      <c r="HA58" s="980"/>
      <c r="HB58" s="980"/>
      <c r="HC58" s="980"/>
      <c r="HD58" s="980"/>
      <c r="HE58" s="980"/>
      <c r="HF58" s="980"/>
      <c r="HG58" s="980"/>
      <c r="HH58" s="980"/>
      <c r="HI58" s="980"/>
      <c r="HJ58" s="980"/>
      <c r="HK58" s="980"/>
      <c r="HL58" s="980"/>
      <c r="HM58" s="980"/>
      <c r="HN58" s="980"/>
      <c r="HO58" s="980"/>
      <c r="HP58" s="980"/>
      <c r="HQ58" s="980"/>
      <c r="HR58" s="980"/>
      <c r="HS58" s="980"/>
      <c r="HT58" s="980"/>
      <c r="HU58" s="980"/>
      <c r="HV58" s="980"/>
      <c r="HW58" s="980"/>
      <c r="HX58" s="980"/>
      <c r="HY58" s="980"/>
      <c r="HZ58" s="980"/>
      <c r="IA58" s="980"/>
      <c r="IB58" s="980"/>
      <c r="IC58" s="980"/>
      <c r="ID58" s="980"/>
      <c r="IE58" s="980"/>
      <c r="IF58" s="980"/>
      <c r="IG58" s="980"/>
      <c r="IH58" s="980"/>
      <c r="II58" s="980"/>
      <c r="IJ58" s="980"/>
      <c r="IK58" s="980"/>
      <c r="IL58" s="980"/>
      <c r="IM58" s="980"/>
      <c r="IN58" s="980"/>
      <c r="IO58" s="980"/>
      <c r="IP58" s="980"/>
      <c r="IQ58" s="980"/>
      <c r="IR58" s="980"/>
      <c r="IS58" s="980"/>
      <c r="IT58" s="980"/>
      <c r="IU58" s="980"/>
      <c r="IV58" s="980"/>
    </row>
    <row r="59" spans="1:256" s="409" customFormat="1" ht="12" customHeight="1" x14ac:dyDescent="0.55000000000000004">
      <c r="A59" s="398" t="str">
        <f t="shared" si="40"/>
        <v>Executive and Council5100</v>
      </c>
      <c r="B59" s="398" t="str">
        <f t="shared" si="39"/>
        <v>Finance and administration5100</v>
      </c>
      <c r="C59" s="398" t="str">
        <f t="shared" si="39"/>
        <v>Internal audit5100</v>
      </c>
      <c r="D59" s="398" t="str">
        <f t="shared" si="39"/>
        <v>Community and social services5100</v>
      </c>
      <c r="E59" s="398" t="str">
        <f t="shared" si="39"/>
        <v>Sport and recreation5100</v>
      </c>
      <c r="F59" s="398" t="str">
        <f t="shared" si="39"/>
        <v>Public safety5100</v>
      </c>
      <c r="G59" s="398" t="str">
        <f t="shared" si="39"/>
        <v>Housing5100</v>
      </c>
      <c r="H59" s="398" t="str">
        <f t="shared" si="39"/>
        <v>Health5100</v>
      </c>
      <c r="I59" s="398" t="str">
        <f t="shared" si="39"/>
        <v>Planning and development5100</v>
      </c>
      <c r="J59" s="398" t="str">
        <f t="shared" si="39"/>
        <v>Road transport5100</v>
      </c>
      <c r="K59" s="398" t="str">
        <f t="shared" si="39"/>
        <v>Environmental protection5100</v>
      </c>
      <c r="L59" s="398" t="str">
        <f t="shared" si="39"/>
        <v>Other5100</v>
      </c>
      <c r="M59" s="398" t="str">
        <f t="shared" si="39"/>
        <v>Energy sources5100</v>
      </c>
      <c r="N59" s="398" t="str">
        <f t="shared" si="39"/>
        <v>Water management5100</v>
      </c>
      <c r="O59" s="398" t="str">
        <f t="shared" si="39"/>
        <v>Waste water management5100</v>
      </c>
      <c r="P59" s="398" t="str">
        <f t="shared" si="39"/>
        <v>Waste management5100</v>
      </c>
      <c r="Q59" s="745" t="s">
        <v>782</v>
      </c>
      <c r="R59" s="745" t="s">
        <v>782</v>
      </c>
      <c r="S59" s="994"/>
      <c r="T59" s="748" t="s">
        <v>783</v>
      </c>
      <c r="U59" s="804">
        <f ca="1">SUMIF('3.Inc &amp; Exp per Function'!$D58:$D1156,'5.Cons and detailed recon'!A59,'3.Inc &amp; Exp per Function'!$U58:$U1155)</f>
        <v>0</v>
      </c>
      <c r="V59" s="804">
        <f ca="1">SUMIF('3.Inc &amp; Exp per Function'!$D58:$D1156,'5.Cons and detailed recon'!B59,'3.Inc &amp; Exp per Function'!$U58:$U1155)</f>
        <v>0</v>
      </c>
      <c r="W59" s="804">
        <f ca="1">SUMIF('3.Inc &amp; Exp per Function'!$D58:$D1156,'5.Cons and detailed recon'!C59,'3.Inc &amp; Exp per Function'!$U58:$U1155)</f>
        <v>0</v>
      </c>
      <c r="X59" s="413">
        <f t="shared" ca="1" si="38"/>
        <v>0</v>
      </c>
      <c r="Y59" s="804">
        <f ca="1">SUMIF('3.Inc &amp; Exp per Function'!$D58:$D1156,'5.Cons and detailed recon'!D59,'3.Inc &amp; Exp per Function'!$U58:$U1155)</f>
        <v>0</v>
      </c>
      <c r="Z59" s="804">
        <f ca="1">SUMIF('3.Inc &amp; Exp per Function'!$D58:$D1156,'5.Cons and detailed recon'!E59,'3.Inc &amp; Exp per Function'!$U58:$U1155)</f>
        <v>0</v>
      </c>
      <c r="AA59" s="804">
        <f ca="1">SUMIF('3.Inc &amp; Exp per Function'!$D58:$D1156,'5.Cons and detailed recon'!F59,'3.Inc &amp; Exp per Function'!$U58:$U1155)</f>
        <v>0</v>
      </c>
      <c r="AB59" s="804">
        <f ca="1">SUMIF('3.Inc &amp; Exp per Function'!$D58:$D1156,'5.Cons and detailed recon'!G59,'3.Inc &amp; Exp per Function'!$U58:$U1155)</f>
        <v>0</v>
      </c>
      <c r="AC59" s="804">
        <f ca="1">SUMIF('3.Inc &amp; Exp per Function'!$D58:$D1156,'5.Cons and detailed recon'!H59,'3.Inc &amp; Exp per Function'!$U58:$U1155)</f>
        <v>0</v>
      </c>
      <c r="AD59" s="804">
        <f ca="1">SUMIF('3.Inc &amp; Exp per Function'!$D58:$D1156,'5.Cons and detailed recon'!I59,'3.Inc &amp; Exp per Function'!$U58:$U1155)</f>
        <v>0</v>
      </c>
      <c r="AE59" s="804">
        <f ca="1">SUMIF('3.Inc &amp; Exp per Function'!$D58:$D1156,'5.Cons and detailed recon'!J59,'3.Inc &amp; Exp per Function'!$U58:$U1155)</f>
        <v>0</v>
      </c>
      <c r="AF59" s="804">
        <f ca="1">SUMIF('3.Inc &amp; Exp per Function'!$D58:$D1156,'5.Cons and detailed recon'!K59,'3.Inc &amp; Exp per Function'!$U58:$U1155)</f>
        <v>0</v>
      </c>
      <c r="AG59" s="804">
        <f ca="1">SUMIF('3.Inc &amp; Exp per Function'!$D58:$D1156,'5.Cons and detailed recon'!L59,'3.Inc &amp; Exp per Function'!$U58:$U1155)</f>
        <v>0</v>
      </c>
      <c r="AH59" s="413">
        <f t="shared" ca="1" si="3"/>
        <v>0</v>
      </c>
      <c r="AI59" s="804">
        <f ca="1">SUMIF('3.Inc &amp; Exp per Function'!$D58:$D1156,'5.Cons and detailed recon'!M59,'3.Inc &amp; Exp per Function'!$U58:$U1155)</f>
        <v>0</v>
      </c>
      <c r="AJ59" s="804">
        <f ca="1">SUMIF('3.Inc &amp; Exp per Function'!$D58:$D1156,'5.Cons and detailed recon'!N59,'3.Inc &amp; Exp per Function'!$U58:$U1155)</f>
        <v>0</v>
      </c>
      <c r="AK59" s="804">
        <f ca="1">SUMIF('3.Inc &amp; Exp per Function'!$D58:$D1156,'5.Cons and detailed recon'!O59,'3.Inc &amp; Exp per Function'!$U58:$U1155)</f>
        <v>0</v>
      </c>
      <c r="AL59" s="804">
        <f ca="1">SUMIF('3.Inc &amp; Exp per Function'!$D58:$D1156,'5.Cons and detailed recon'!P59,'3.Inc &amp; Exp per Function'!$U58:$U1155)</f>
        <v>0</v>
      </c>
      <c r="AM59" s="748">
        <f t="shared" ca="1" si="0"/>
        <v>0</v>
      </c>
      <c r="AN59" s="794"/>
      <c r="AO59" s="791">
        <f t="shared" ca="1" si="36"/>
        <v>0</v>
      </c>
      <c r="AP59" s="414">
        <f>SUMIF('4.Inc &amp; Exp Summary'!A:A,'5.Cons and detailed recon'!R59,'4.Inc &amp; Exp Summary'!L:L)</f>
        <v>0</v>
      </c>
      <c r="AQ59" s="415">
        <f t="shared" ca="1" si="23"/>
        <v>0</v>
      </c>
      <c r="AR59" s="720"/>
      <c r="AS59" s="730"/>
      <c r="AT59" s="408"/>
      <c r="AU59" s="398" t="str">
        <f t="shared" si="41"/>
        <v>Executive and Council5100</v>
      </c>
      <c r="AV59" s="398" t="str">
        <f t="shared" si="41"/>
        <v>Finance and administration5100</v>
      </c>
      <c r="AW59" s="398" t="str">
        <f t="shared" si="41"/>
        <v>Internal audit5100</v>
      </c>
      <c r="AX59" s="398" t="str">
        <f t="shared" si="41"/>
        <v>Community and social services5100</v>
      </c>
      <c r="AY59" s="398" t="str">
        <f t="shared" si="41"/>
        <v>Sport and recreation5100</v>
      </c>
      <c r="AZ59" s="398" t="str">
        <f t="shared" si="41"/>
        <v>Public safety5100</v>
      </c>
      <c r="BA59" s="398" t="str">
        <f t="shared" si="41"/>
        <v>Housing5100</v>
      </c>
      <c r="BB59" s="398" t="str">
        <f t="shared" si="41"/>
        <v>Health5100</v>
      </c>
      <c r="BC59" s="398" t="str">
        <f t="shared" si="41"/>
        <v>Planning and development5100</v>
      </c>
      <c r="BD59" s="398" t="str">
        <f t="shared" si="41"/>
        <v>Road transport5100</v>
      </c>
      <c r="BE59" s="398" t="str">
        <f t="shared" si="41"/>
        <v>Environmental protection5100</v>
      </c>
      <c r="BF59" s="398" t="str">
        <f t="shared" si="41"/>
        <v>Other5100</v>
      </c>
      <c r="BG59" s="398" t="str">
        <f t="shared" si="41"/>
        <v>Energy sources5100</v>
      </c>
      <c r="BH59" s="398" t="str">
        <f t="shared" si="41"/>
        <v>Water management5100</v>
      </c>
      <c r="BI59" s="398" t="str">
        <f t="shared" si="41"/>
        <v>Waste water management5100</v>
      </c>
      <c r="BJ59" s="398" t="str">
        <f t="shared" si="41"/>
        <v>Waste management5100</v>
      </c>
      <c r="BK59" s="745" t="s">
        <v>782</v>
      </c>
      <c r="BL59" s="745" t="s">
        <v>782</v>
      </c>
      <c r="BM59" s="735"/>
      <c r="BN59" s="748" t="s">
        <v>783</v>
      </c>
      <c r="BO59" s="751">
        <f ca="1">SUMIF('3.Inc &amp; Exp per Function'!$D59:$D1157,'5.Cons and detailed recon'!AU59,'3.Inc &amp; Exp per Function'!$V59:$V1156)</f>
        <v>0</v>
      </c>
      <c r="BP59" s="751">
        <f ca="1">SUMIF('3.Inc &amp; Exp per Function'!$D58:$D1157,'5.Cons and detailed recon'!AV59,'3.Inc &amp; Exp per Function'!$V58:$V1156)</f>
        <v>0</v>
      </c>
      <c r="BQ59" s="751">
        <f ca="1">SUMIF('3.Inc &amp; Exp per Function'!$D59:$D1157,'5.Cons and detailed recon'!AW59,'3.Inc &amp; Exp per Function'!$V59:$V1156)</f>
        <v>0</v>
      </c>
      <c r="BR59" s="413">
        <f t="shared" ca="1" si="6"/>
        <v>0</v>
      </c>
      <c r="BS59" s="751">
        <f ca="1">SUMIF('3.Inc &amp; Exp per Function'!$D58:$D1157,'5.Cons and detailed recon'!AX59,'3.Inc &amp; Exp per Function'!$V58:$V1156)</f>
        <v>0</v>
      </c>
      <c r="BT59" s="751">
        <f ca="1">SUMIF('3.Inc &amp; Exp per Function'!$D58:$D1157,'5.Cons and detailed recon'!AY59,'3.Inc &amp; Exp per Function'!$V58:$V1156)</f>
        <v>0</v>
      </c>
      <c r="BU59" s="751">
        <f ca="1">SUMIF('3.Inc &amp; Exp per Function'!$D59:$D1157,'5.Cons and detailed recon'!AZ59,'3.Inc &amp; Exp per Function'!$V59:$V1156)</f>
        <v>0</v>
      </c>
      <c r="BV59" s="751">
        <f ca="1">SUMIF('3.Inc &amp; Exp per Function'!$D59:$D1157,'5.Cons and detailed recon'!BA59,'3.Inc &amp; Exp per Function'!$V59:$V1156)</f>
        <v>0</v>
      </c>
      <c r="BW59" s="751">
        <f ca="1">SUMIF('3.Inc &amp; Exp per Function'!$D59:$D1157,'5.Cons and detailed recon'!BB59,'3.Inc &amp; Exp per Function'!$V59:$V1156)</f>
        <v>0</v>
      </c>
      <c r="BX59" s="751">
        <f ca="1">SUMIF('3.Inc &amp; Exp per Function'!$D59:$D1157,'5.Cons and detailed recon'!BC59,'3.Inc &amp; Exp per Function'!$V59:$V1156)</f>
        <v>0</v>
      </c>
      <c r="BY59" s="751">
        <f ca="1">SUMIF('3.Inc &amp; Exp per Function'!$D59:$D1157,'5.Cons and detailed recon'!BD59,'3.Inc &amp; Exp per Function'!$V59:$V1156)</f>
        <v>0</v>
      </c>
      <c r="BZ59" s="751">
        <f ca="1">SUMIF('3.Inc &amp; Exp per Function'!$D59:$D1157,'5.Cons and detailed recon'!BE59,'3.Inc &amp; Exp per Function'!$V59:$V1156)</f>
        <v>0</v>
      </c>
      <c r="CA59" s="751">
        <f ca="1">SUMIF('3.Inc &amp; Exp per Function'!$D59:$D1157,'5.Cons and detailed recon'!BF59,'3.Inc &amp; Exp per Function'!$V59:$V1156)</f>
        <v>0</v>
      </c>
      <c r="CB59" s="413">
        <f t="shared" ca="1" si="7"/>
        <v>0</v>
      </c>
      <c r="CC59" s="751">
        <f ca="1">SUMIF('3.Inc &amp; Exp per Function'!$D59:$D1157,'5.Cons and detailed recon'!BG59,'3.Inc &amp; Exp per Function'!$V59:$V1156)</f>
        <v>0</v>
      </c>
      <c r="CD59" s="751">
        <f ca="1">SUMIF('3.Inc &amp; Exp per Function'!$D59:$D1157,'5.Cons and detailed recon'!BH59,'3.Inc &amp; Exp per Function'!$V59:$V1156)</f>
        <v>0</v>
      </c>
      <c r="CE59" s="751">
        <f ca="1">SUMIF('3.Inc &amp; Exp per Function'!$D59:$D1157,'5.Cons and detailed recon'!BI59,'3.Inc &amp; Exp per Function'!$V59:$V1156)</f>
        <v>0</v>
      </c>
      <c r="CF59" s="751">
        <f ca="1">SUMIF('3.Inc &amp; Exp per Function'!$D59:$D1157,'5.Cons and detailed recon'!BJ59,'3.Inc &amp; Exp per Function'!$V59:$V1156)</f>
        <v>0</v>
      </c>
      <c r="CG59" s="748">
        <f t="shared" ca="1" si="8"/>
        <v>0</v>
      </c>
      <c r="CH59" s="751"/>
      <c r="CI59" s="791">
        <f t="shared" ca="1" si="9"/>
        <v>0</v>
      </c>
      <c r="CJ59" s="411">
        <f>SUMIF('4.Inc &amp; Exp Summary'!A:A,'5.Cons and detailed recon'!R59,'4.Inc &amp; Exp Summary'!M:M)</f>
        <v>0</v>
      </c>
      <c r="CK59" s="415">
        <f t="shared" ca="1" si="35"/>
        <v>0</v>
      </c>
      <c r="CL59" s="720"/>
      <c r="CM59" s="730"/>
      <c r="CO59" s="398" t="str">
        <f t="shared" si="42"/>
        <v>Executive and Council5100</v>
      </c>
      <c r="CP59" s="398" t="str">
        <f t="shared" si="42"/>
        <v>Finance and administration5100</v>
      </c>
      <c r="CQ59" s="398" t="str">
        <f t="shared" si="42"/>
        <v>Internal audit5100</v>
      </c>
      <c r="CR59" s="398" t="str">
        <f t="shared" si="42"/>
        <v>Community and social services5100</v>
      </c>
      <c r="CS59" s="398" t="str">
        <f t="shared" si="42"/>
        <v>Sport and recreation5100</v>
      </c>
      <c r="CT59" s="398" t="str">
        <f t="shared" si="42"/>
        <v>Public safety5100</v>
      </c>
      <c r="CU59" s="398" t="str">
        <f t="shared" si="42"/>
        <v>Housing5100</v>
      </c>
      <c r="CV59" s="398" t="str">
        <f t="shared" si="42"/>
        <v>Health5100</v>
      </c>
      <c r="CW59" s="398" t="str">
        <f t="shared" si="42"/>
        <v>Planning and development5100</v>
      </c>
      <c r="CX59" s="398" t="str">
        <f t="shared" si="42"/>
        <v>Road transport5100</v>
      </c>
      <c r="CY59" s="398" t="str">
        <f t="shared" si="42"/>
        <v>Environmental protection5100</v>
      </c>
      <c r="CZ59" s="398" t="str">
        <f t="shared" si="42"/>
        <v>Other5100</v>
      </c>
      <c r="DA59" s="398" t="str">
        <f t="shared" si="42"/>
        <v>Energy sources5100</v>
      </c>
      <c r="DB59" s="398" t="str">
        <f t="shared" si="42"/>
        <v>Water management5100</v>
      </c>
      <c r="DC59" s="398" t="str">
        <f t="shared" si="42"/>
        <v>Waste water management5100</v>
      </c>
      <c r="DD59" s="398" t="str">
        <f t="shared" si="42"/>
        <v>Waste management5100</v>
      </c>
      <c r="DE59" s="745" t="s">
        <v>782</v>
      </c>
      <c r="DF59" s="745" t="s">
        <v>782</v>
      </c>
      <c r="DG59" s="735"/>
      <c r="DH59" s="748" t="s">
        <v>783</v>
      </c>
      <c r="DI59" s="751">
        <f ca="1">SUMIF('3.Inc &amp; Exp per Function'!$D58:$D1157,'5.Cons and detailed recon'!CO59,'3.Inc &amp; Exp per Function'!$W58:$W1156)</f>
        <v>0</v>
      </c>
      <c r="DJ59" s="751">
        <f ca="1">SUMIF('3.Inc &amp; Exp per Function'!$D58:$D1156,'5.Cons and detailed recon'!CP59,'3.Inc &amp; Exp per Function'!$W58:$W1155)</f>
        <v>0</v>
      </c>
      <c r="DK59" s="751">
        <f ca="1">SUMIF('3.Inc &amp; Exp per Function'!$D58:$D1156,'5.Cons and detailed recon'!CQ59,'3.Inc &amp; Exp per Function'!$W58:$W1155)</f>
        <v>0</v>
      </c>
      <c r="DL59" s="413">
        <f t="shared" ca="1" si="11"/>
        <v>0</v>
      </c>
      <c r="DM59" s="751">
        <f ca="1">SUMIF('3.Inc &amp; Exp per Function'!$D58:$D1156,'5.Cons and detailed recon'!CR59,'3.Inc &amp; Exp per Function'!$W58:$W1155)</f>
        <v>0</v>
      </c>
      <c r="DN59" s="751">
        <f ca="1">SUMIF('3.Inc &amp; Exp per Function'!$D58:$D1156,'5.Cons and detailed recon'!CS59,'3.Inc &amp; Exp per Function'!$W58:$W1155)</f>
        <v>0</v>
      </c>
      <c r="DO59" s="751">
        <f ca="1">SUMIF('3.Inc &amp; Exp per Function'!$D58:$D1156,'5.Cons and detailed recon'!CT59,'3.Inc &amp; Exp per Function'!$W58:$W1155)</f>
        <v>0</v>
      </c>
      <c r="DP59" s="751">
        <f ca="1">SUMIF('3.Inc &amp; Exp per Function'!$D58:$D1156,'5.Cons and detailed recon'!CU59,'3.Inc &amp; Exp per Function'!$W58:$W1155)</f>
        <v>0</v>
      </c>
      <c r="DQ59" s="751">
        <f ca="1">SUMIF('3.Inc &amp; Exp per Function'!$D58:$D1156,'5.Cons and detailed recon'!CV59,'3.Inc &amp; Exp per Function'!$W58:$W1155)</f>
        <v>0</v>
      </c>
      <c r="DR59" s="751">
        <f ca="1">SUMIF('3.Inc &amp; Exp per Function'!$D58:$D1156,'5.Cons and detailed recon'!CW59,'3.Inc &amp; Exp per Function'!$W58:$W1155)</f>
        <v>0</v>
      </c>
      <c r="DS59" s="751">
        <f ca="1">SUMIF('3.Inc &amp; Exp per Function'!$D58:$D1156,'5.Cons and detailed recon'!CX59,'3.Inc &amp; Exp per Function'!$W58:$W1155)</f>
        <v>0</v>
      </c>
      <c r="DT59" s="751">
        <f ca="1">SUMIF('3.Inc &amp; Exp per Function'!$D58:$D1156,'5.Cons and detailed recon'!CY59,'3.Inc &amp; Exp per Function'!$W58:$W1155)</f>
        <v>0</v>
      </c>
      <c r="DU59" s="751">
        <f ca="1">SUMIF('3.Inc &amp; Exp per Function'!$D58:$D1156,'5.Cons and detailed recon'!CZ59,'3.Inc &amp; Exp per Function'!$W58:$W1155)</f>
        <v>0</v>
      </c>
      <c r="DV59" s="413">
        <f t="shared" ca="1" si="12"/>
        <v>0</v>
      </c>
      <c r="DW59" s="751">
        <f ca="1">SUMIF('3.Inc &amp; Exp per Function'!$D58:$D1156,'5.Cons and detailed recon'!DA59,'3.Inc &amp; Exp per Function'!$W58:$W1155)</f>
        <v>0</v>
      </c>
      <c r="DX59" s="751">
        <f ca="1">SUMIF('3.Inc &amp; Exp per Function'!$D58:$D1156,'5.Cons and detailed recon'!DB59,'3.Inc &amp; Exp per Function'!$W58:$W1155)</f>
        <v>0</v>
      </c>
      <c r="DY59" s="751">
        <f ca="1">SUMIF('3.Inc &amp; Exp per Function'!$D58:$D1156,'5.Cons and detailed recon'!DC59,'3.Inc &amp; Exp per Function'!$W58:$W1155)</f>
        <v>0</v>
      </c>
      <c r="DZ59" s="751">
        <f ca="1">SUMIF('3.Inc &amp; Exp per Function'!$D58:$D1156,'5.Cons and detailed recon'!DD59,'3.Inc &amp; Exp per Function'!$W58:$W1155)</f>
        <v>0</v>
      </c>
      <c r="EA59" s="748">
        <f t="shared" ca="1" si="13"/>
        <v>0</v>
      </c>
      <c r="EB59" s="794"/>
      <c r="EC59" s="791">
        <f t="shared" ca="1" si="14"/>
        <v>0</v>
      </c>
      <c r="ED59" s="414">
        <f>SUMIF('4.Inc &amp; Exp Summary'!A:A,'5.Cons and detailed recon'!DF59,'4.Inc &amp; Exp Summary'!N:N)</f>
        <v>0</v>
      </c>
      <c r="EE59" s="415">
        <f t="shared" ca="1" si="15"/>
        <v>0</v>
      </c>
      <c r="EF59" s="720"/>
      <c r="EG59" s="980"/>
      <c r="EH59" s="980"/>
      <c r="EI59" s="980"/>
      <c r="EJ59" s="980"/>
      <c r="EK59" s="980"/>
      <c r="EL59" s="980"/>
      <c r="EM59" s="980"/>
      <c r="EN59" s="980"/>
      <c r="EO59" s="980"/>
      <c r="EP59" s="980"/>
      <c r="EQ59" s="980"/>
      <c r="ER59" s="980"/>
      <c r="ES59" s="980"/>
      <c r="ET59" s="980"/>
      <c r="EU59" s="980"/>
      <c r="EV59" s="980"/>
      <c r="EW59" s="980"/>
      <c r="EX59" s="980"/>
      <c r="EY59" s="980"/>
      <c r="EZ59" s="980"/>
      <c r="FA59" s="980"/>
      <c r="FB59" s="980"/>
      <c r="FC59" s="980"/>
      <c r="FD59" s="980"/>
      <c r="FE59" s="980"/>
      <c r="FF59" s="980"/>
      <c r="FG59" s="980"/>
      <c r="FH59" s="980"/>
      <c r="FI59" s="980"/>
      <c r="FJ59" s="980"/>
      <c r="FK59" s="980"/>
      <c r="FL59" s="980"/>
      <c r="FM59" s="980"/>
      <c r="FN59" s="980"/>
      <c r="FO59" s="980"/>
      <c r="FP59" s="980"/>
      <c r="FQ59" s="980"/>
      <c r="FR59" s="980"/>
      <c r="FS59" s="980"/>
      <c r="FT59" s="980"/>
      <c r="FU59" s="980"/>
      <c r="FV59" s="980"/>
      <c r="FW59" s="980"/>
      <c r="FX59" s="980"/>
      <c r="FY59" s="980"/>
      <c r="FZ59" s="980"/>
      <c r="GA59" s="980"/>
      <c r="GB59" s="980"/>
      <c r="GC59" s="980"/>
      <c r="GD59" s="980"/>
      <c r="GE59" s="980"/>
      <c r="GF59" s="980"/>
      <c r="GG59" s="980"/>
      <c r="GH59" s="980"/>
      <c r="GI59" s="980"/>
      <c r="GJ59" s="980"/>
      <c r="GK59" s="980"/>
      <c r="GL59" s="980"/>
      <c r="GM59" s="980"/>
      <c r="GN59" s="980"/>
      <c r="GO59" s="980"/>
      <c r="GP59" s="980"/>
      <c r="GQ59" s="980"/>
      <c r="GR59" s="980"/>
      <c r="GS59" s="980"/>
      <c r="GT59" s="980"/>
      <c r="GU59" s="980"/>
      <c r="GV59" s="980"/>
      <c r="GW59" s="980"/>
      <c r="GX59" s="980"/>
      <c r="GY59" s="980"/>
      <c r="GZ59" s="980"/>
      <c r="HA59" s="980"/>
      <c r="HB59" s="980"/>
      <c r="HC59" s="980"/>
      <c r="HD59" s="980"/>
      <c r="HE59" s="980"/>
      <c r="HF59" s="980"/>
      <c r="HG59" s="980"/>
      <c r="HH59" s="980"/>
      <c r="HI59" s="980"/>
      <c r="HJ59" s="980"/>
      <c r="HK59" s="980"/>
      <c r="HL59" s="980"/>
      <c r="HM59" s="980"/>
      <c r="HN59" s="980"/>
      <c r="HO59" s="980"/>
      <c r="HP59" s="980"/>
      <c r="HQ59" s="980"/>
      <c r="HR59" s="980"/>
      <c r="HS59" s="980"/>
      <c r="HT59" s="980"/>
      <c r="HU59" s="980"/>
      <c r="HV59" s="980"/>
      <c r="HW59" s="980"/>
      <c r="HX59" s="980"/>
      <c r="HY59" s="980"/>
      <c r="HZ59" s="980"/>
      <c r="IA59" s="980"/>
      <c r="IB59" s="980"/>
      <c r="IC59" s="980"/>
      <c r="ID59" s="980"/>
      <c r="IE59" s="980"/>
      <c r="IF59" s="980"/>
      <c r="IG59" s="980"/>
      <c r="IH59" s="980"/>
      <c r="II59" s="980"/>
      <c r="IJ59" s="980"/>
      <c r="IK59" s="980"/>
      <c r="IL59" s="980"/>
      <c r="IM59" s="980"/>
      <c r="IN59" s="980"/>
      <c r="IO59" s="980"/>
      <c r="IP59" s="980"/>
      <c r="IQ59" s="980"/>
      <c r="IR59" s="980"/>
      <c r="IS59" s="980"/>
      <c r="IT59" s="980"/>
      <c r="IU59" s="980"/>
      <c r="IV59" s="980"/>
    </row>
    <row r="60" spans="1:256" s="409" customFormat="1" ht="12" customHeight="1" x14ac:dyDescent="0.55000000000000004">
      <c r="A60" s="398" t="str">
        <f t="shared" si="40"/>
        <v>Executive and Council5200</v>
      </c>
      <c r="B60" s="398" t="str">
        <f t="shared" si="39"/>
        <v>Finance and administration5200</v>
      </c>
      <c r="C60" s="398" t="str">
        <f t="shared" si="39"/>
        <v>Internal audit5200</v>
      </c>
      <c r="D60" s="398" t="str">
        <f t="shared" si="39"/>
        <v>Community and social services5200</v>
      </c>
      <c r="E60" s="398" t="str">
        <f t="shared" si="39"/>
        <v>Sport and recreation5200</v>
      </c>
      <c r="F60" s="398" t="str">
        <f t="shared" si="39"/>
        <v>Public safety5200</v>
      </c>
      <c r="G60" s="398" t="str">
        <f t="shared" si="39"/>
        <v>Housing5200</v>
      </c>
      <c r="H60" s="398" t="str">
        <f t="shared" si="39"/>
        <v>Health5200</v>
      </c>
      <c r="I60" s="398" t="str">
        <f t="shared" si="39"/>
        <v>Planning and development5200</v>
      </c>
      <c r="J60" s="398" t="str">
        <f t="shared" si="39"/>
        <v>Road transport5200</v>
      </c>
      <c r="K60" s="398" t="str">
        <f t="shared" si="39"/>
        <v>Environmental protection5200</v>
      </c>
      <c r="L60" s="398" t="str">
        <f t="shared" si="39"/>
        <v>Other5200</v>
      </c>
      <c r="M60" s="398" t="str">
        <f t="shared" si="39"/>
        <v>Energy sources5200</v>
      </c>
      <c r="N60" s="398" t="str">
        <f t="shared" si="39"/>
        <v>Water management5200</v>
      </c>
      <c r="O60" s="398" t="str">
        <f t="shared" si="39"/>
        <v>Waste water management5200</v>
      </c>
      <c r="P60" s="398" t="str">
        <f t="shared" si="39"/>
        <v>Waste management5200</v>
      </c>
      <c r="Q60" s="745" t="s">
        <v>785</v>
      </c>
      <c r="R60" s="745" t="s">
        <v>785</v>
      </c>
      <c r="S60" s="994"/>
      <c r="T60" s="748" t="s">
        <v>787</v>
      </c>
      <c r="U60" s="804">
        <f ca="1">SUMIF('3.Inc &amp; Exp per Function'!$D59:$D1157,'5.Cons and detailed recon'!A60,'3.Inc &amp; Exp per Function'!$U59:$U1156)</f>
        <v>0</v>
      </c>
      <c r="V60" s="804">
        <f ca="1">SUMIF('3.Inc &amp; Exp per Function'!$D59:$D1157,'5.Cons and detailed recon'!B60,'3.Inc &amp; Exp per Function'!$U59:$U1156)</f>
        <v>0</v>
      </c>
      <c r="W60" s="804">
        <f ca="1">SUMIF('3.Inc &amp; Exp per Function'!$D59:$D1157,'5.Cons and detailed recon'!C60,'3.Inc &amp; Exp per Function'!$U59:$U1156)</f>
        <v>0</v>
      </c>
      <c r="X60" s="413">
        <f t="shared" ca="1" si="38"/>
        <v>0</v>
      </c>
      <c r="Y60" s="804">
        <f ca="1">SUMIF('3.Inc &amp; Exp per Function'!$D59:$D1157,'5.Cons and detailed recon'!D60,'3.Inc &amp; Exp per Function'!$U59:$U1156)</f>
        <v>0</v>
      </c>
      <c r="Z60" s="804">
        <f ca="1">SUMIF('3.Inc &amp; Exp per Function'!$D59:$D1157,'5.Cons and detailed recon'!E60,'3.Inc &amp; Exp per Function'!$U59:$U1156)</f>
        <v>0</v>
      </c>
      <c r="AA60" s="804">
        <f ca="1">SUMIF('3.Inc &amp; Exp per Function'!$D59:$D1157,'5.Cons and detailed recon'!F60,'3.Inc &amp; Exp per Function'!$U59:$U1156)</f>
        <v>0</v>
      </c>
      <c r="AB60" s="804">
        <f ca="1">SUMIF('3.Inc &amp; Exp per Function'!$D59:$D1157,'5.Cons and detailed recon'!G60,'3.Inc &amp; Exp per Function'!$U59:$U1156)</f>
        <v>0</v>
      </c>
      <c r="AC60" s="804">
        <f ca="1">SUMIF('3.Inc &amp; Exp per Function'!$D59:$D1157,'5.Cons and detailed recon'!H60,'3.Inc &amp; Exp per Function'!$U59:$U1156)</f>
        <v>0</v>
      </c>
      <c r="AD60" s="804">
        <f ca="1">SUMIF('3.Inc &amp; Exp per Function'!$D59:$D1157,'5.Cons and detailed recon'!I60,'3.Inc &amp; Exp per Function'!$U59:$U1156)</f>
        <v>0</v>
      </c>
      <c r="AE60" s="804">
        <f ca="1">SUMIF('3.Inc &amp; Exp per Function'!$D59:$D1157,'5.Cons and detailed recon'!J60,'3.Inc &amp; Exp per Function'!$U59:$U1156)</f>
        <v>0</v>
      </c>
      <c r="AF60" s="804">
        <f ca="1">SUMIF('3.Inc &amp; Exp per Function'!$D59:$D1157,'5.Cons and detailed recon'!K60,'3.Inc &amp; Exp per Function'!$U59:$U1156)</f>
        <v>0</v>
      </c>
      <c r="AG60" s="804">
        <f ca="1">SUMIF('3.Inc &amp; Exp per Function'!$D59:$D1157,'5.Cons and detailed recon'!L60,'3.Inc &amp; Exp per Function'!$U59:$U1156)</f>
        <v>0</v>
      </c>
      <c r="AH60" s="413">
        <f t="shared" ca="1" si="3"/>
        <v>0</v>
      </c>
      <c r="AI60" s="804">
        <f ca="1">SUMIF('3.Inc &amp; Exp per Function'!$D59:$D1157,'5.Cons and detailed recon'!M60,'3.Inc &amp; Exp per Function'!$U59:$U1156)</f>
        <v>0</v>
      </c>
      <c r="AJ60" s="804">
        <f ca="1">SUMIF('3.Inc &amp; Exp per Function'!$D59:$D1157,'5.Cons and detailed recon'!N60,'3.Inc &amp; Exp per Function'!$U59:$U1156)</f>
        <v>0</v>
      </c>
      <c r="AK60" s="804">
        <f ca="1">SUMIF('3.Inc &amp; Exp per Function'!$D59:$D1157,'5.Cons and detailed recon'!O60,'3.Inc &amp; Exp per Function'!$U59:$U1156)</f>
        <v>0</v>
      </c>
      <c r="AL60" s="804">
        <f ca="1">SUMIF('3.Inc &amp; Exp per Function'!$D59:$D1157,'5.Cons and detailed recon'!P60,'3.Inc &amp; Exp per Function'!$U59:$U1156)</f>
        <v>0</v>
      </c>
      <c r="AM60" s="748">
        <f t="shared" ca="1" si="0"/>
        <v>0</v>
      </c>
      <c r="AN60" s="794"/>
      <c r="AO60" s="791">
        <f t="shared" ca="1" si="36"/>
        <v>0</v>
      </c>
      <c r="AP60" s="414">
        <f>SUMIF('4.Inc &amp; Exp Summary'!A:A,'5.Cons and detailed recon'!R60,'4.Inc &amp; Exp Summary'!L:L)</f>
        <v>37990235</v>
      </c>
      <c r="AQ60" s="415">
        <f t="shared" ca="1" si="23"/>
        <v>-37990235</v>
      </c>
      <c r="AR60" s="720"/>
      <c r="AS60" s="730" t="str">
        <f>$T$4&amp;T62</f>
        <v>Share of Surplus/Deficit attributable to Associate</v>
      </c>
      <c r="AT60" s="408"/>
      <c r="AU60" s="398" t="str">
        <f t="shared" si="41"/>
        <v>Executive and Council5200</v>
      </c>
      <c r="AV60" s="398" t="str">
        <f t="shared" si="41"/>
        <v>Finance and administration5200</v>
      </c>
      <c r="AW60" s="398" t="str">
        <f t="shared" si="41"/>
        <v>Internal audit5200</v>
      </c>
      <c r="AX60" s="398" t="str">
        <f t="shared" si="41"/>
        <v>Community and social services5200</v>
      </c>
      <c r="AY60" s="398" t="str">
        <f t="shared" si="41"/>
        <v>Sport and recreation5200</v>
      </c>
      <c r="AZ60" s="398" t="str">
        <f t="shared" si="41"/>
        <v>Public safety5200</v>
      </c>
      <c r="BA60" s="398" t="str">
        <f t="shared" si="41"/>
        <v>Housing5200</v>
      </c>
      <c r="BB60" s="398" t="str">
        <f t="shared" si="41"/>
        <v>Health5200</v>
      </c>
      <c r="BC60" s="398" t="str">
        <f t="shared" si="41"/>
        <v>Planning and development5200</v>
      </c>
      <c r="BD60" s="398" t="str">
        <f t="shared" si="41"/>
        <v>Road transport5200</v>
      </c>
      <c r="BE60" s="398" t="str">
        <f t="shared" si="41"/>
        <v>Environmental protection5200</v>
      </c>
      <c r="BF60" s="398" t="str">
        <f t="shared" si="41"/>
        <v>Other5200</v>
      </c>
      <c r="BG60" s="398" t="str">
        <f t="shared" si="41"/>
        <v>Energy sources5200</v>
      </c>
      <c r="BH60" s="398" t="str">
        <f t="shared" si="41"/>
        <v>Water management5200</v>
      </c>
      <c r="BI60" s="398" t="str">
        <f t="shared" si="41"/>
        <v>Waste water management5200</v>
      </c>
      <c r="BJ60" s="398" t="str">
        <f t="shared" si="41"/>
        <v>Waste management5200</v>
      </c>
      <c r="BK60" s="745" t="s">
        <v>785</v>
      </c>
      <c r="BL60" s="745" t="s">
        <v>785</v>
      </c>
      <c r="BM60" s="735"/>
      <c r="BN60" s="748" t="s">
        <v>787</v>
      </c>
      <c r="BO60" s="751">
        <f ca="1">SUMIF('3.Inc &amp; Exp per Function'!$D60:$D1158,'5.Cons and detailed recon'!AU60,'3.Inc &amp; Exp per Function'!$V60:$V1157)</f>
        <v>0</v>
      </c>
      <c r="BP60" s="751">
        <f ca="1">SUMIF('3.Inc &amp; Exp per Function'!$D59:$D1158,'5.Cons and detailed recon'!AV60,'3.Inc &amp; Exp per Function'!$V59:$V1157)</f>
        <v>0</v>
      </c>
      <c r="BQ60" s="751">
        <f ca="1">SUMIF('3.Inc &amp; Exp per Function'!$D60:$D1158,'5.Cons and detailed recon'!AW60,'3.Inc &amp; Exp per Function'!$V60:$V1157)</f>
        <v>0</v>
      </c>
      <c r="BR60" s="413">
        <f t="shared" ca="1" si="6"/>
        <v>0</v>
      </c>
      <c r="BS60" s="751">
        <f ca="1">SUMIF('3.Inc &amp; Exp per Function'!$D59:$D1158,'5.Cons and detailed recon'!AX60,'3.Inc &amp; Exp per Function'!$V59:$V1157)</f>
        <v>0</v>
      </c>
      <c r="BT60" s="751">
        <f ca="1">SUMIF('3.Inc &amp; Exp per Function'!$D59:$D1158,'5.Cons and detailed recon'!AY60,'3.Inc &amp; Exp per Function'!$V59:$V1157)</f>
        <v>0</v>
      </c>
      <c r="BU60" s="751">
        <f ca="1">SUMIF('3.Inc &amp; Exp per Function'!$D60:$D1158,'5.Cons and detailed recon'!AZ60,'3.Inc &amp; Exp per Function'!$V60:$V1157)</f>
        <v>0</v>
      </c>
      <c r="BV60" s="751">
        <f ca="1">SUMIF('3.Inc &amp; Exp per Function'!$D60:$D1158,'5.Cons and detailed recon'!BA60,'3.Inc &amp; Exp per Function'!$V60:$V1157)</f>
        <v>0</v>
      </c>
      <c r="BW60" s="751">
        <f ca="1">SUMIF('3.Inc &amp; Exp per Function'!$D60:$D1158,'5.Cons and detailed recon'!BB60,'3.Inc &amp; Exp per Function'!$V60:$V1157)</f>
        <v>0</v>
      </c>
      <c r="BX60" s="751">
        <f ca="1">SUMIF('3.Inc &amp; Exp per Function'!$D60:$D1158,'5.Cons and detailed recon'!BC60,'3.Inc &amp; Exp per Function'!$V60:$V1157)</f>
        <v>0</v>
      </c>
      <c r="BY60" s="751">
        <f ca="1">SUMIF('3.Inc &amp; Exp per Function'!$D60:$D1158,'5.Cons and detailed recon'!BD60,'3.Inc &amp; Exp per Function'!$V60:$V1157)</f>
        <v>0</v>
      </c>
      <c r="BZ60" s="751">
        <f ca="1">SUMIF('3.Inc &amp; Exp per Function'!$D60:$D1158,'5.Cons and detailed recon'!BE60,'3.Inc &amp; Exp per Function'!$V60:$V1157)</f>
        <v>0</v>
      </c>
      <c r="CA60" s="751">
        <f ca="1">SUMIF('3.Inc &amp; Exp per Function'!$D60:$D1158,'5.Cons and detailed recon'!BF60,'3.Inc &amp; Exp per Function'!$V60:$V1157)</f>
        <v>0</v>
      </c>
      <c r="CB60" s="413">
        <f t="shared" ca="1" si="7"/>
        <v>0</v>
      </c>
      <c r="CC60" s="751">
        <f ca="1">SUMIF('3.Inc &amp; Exp per Function'!$D60:$D1158,'5.Cons and detailed recon'!BG60,'3.Inc &amp; Exp per Function'!$V60:$V1157)</f>
        <v>0</v>
      </c>
      <c r="CD60" s="751">
        <f ca="1">SUMIF('3.Inc &amp; Exp per Function'!$D60:$D1158,'5.Cons and detailed recon'!BH60,'3.Inc &amp; Exp per Function'!$V60:$V1157)</f>
        <v>0</v>
      </c>
      <c r="CE60" s="751">
        <f ca="1">SUMIF('3.Inc &amp; Exp per Function'!$D60:$D1158,'5.Cons and detailed recon'!BI60,'3.Inc &amp; Exp per Function'!$V60:$V1157)</f>
        <v>0</v>
      </c>
      <c r="CF60" s="751">
        <f ca="1">SUMIF('3.Inc &amp; Exp per Function'!$D60:$D1158,'5.Cons and detailed recon'!BJ60,'3.Inc &amp; Exp per Function'!$V60:$V1157)</f>
        <v>0</v>
      </c>
      <c r="CG60" s="748">
        <f t="shared" ca="1" si="8"/>
        <v>0</v>
      </c>
      <c r="CH60" s="751"/>
      <c r="CI60" s="791">
        <f t="shared" ca="1" si="9"/>
        <v>0</v>
      </c>
      <c r="CJ60" s="411">
        <f>SUMIF('4.Inc &amp; Exp Summary'!A:A,'5.Cons and detailed recon'!R60,'4.Inc &amp; Exp Summary'!M:M)</f>
        <v>39677546.440000057</v>
      </c>
      <c r="CK60" s="415">
        <f t="shared" ca="1" si="35"/>
        <v>-39677546.440000057</v>
      </c>
      <c r="CL60" s="720"/>
      <c r="CM60" s="730"/>
      <c r="CO60" s="398" t="str">
        <f t="shared" si="42"/>
        <v>Executive and Council5200</v>
      </c>
      <c r="CP60" s="398" t="str">
        <f t="shared" si="42"/>
        <v>Finance and administration5200</v>
      </c>
      <c r="CQ60" s="398" t="str">
        <f t="shared" si="42"/>
        <v>Internal audit5200</v>
      </c>
      <c r="CR60" s="398" t="str">
        <f t="shared" si="42"/>
        <v>Community and social services5200</v>
      </c>
      <c r="CS60" s="398" t="str">
        <f t="shared" si="42"/>
        <v>Sport and recreation5200</v>
      </c>
      <c r="CT60" s="398" t="str">
        <f t="shared" si="42"/>
        <v>Public safety5200</v>
      </c>
      <c r="CU60" s="398" t="str">
        <f t="shared" si="42"/>
        <v>Housing5200</v>
      </c>
      <c r="CV60" s="398" t="str">
        <f t="shared" si="42"/>
        <v>Health5200</v>
      </c>
      <c r="CW60" s="398" t="str">
        <f t="shared" si="42"/>
        <v>Planning and development5200</v>
      </c>
      <c r="CX60" s="398" t="str">
        <f t="shared" si="42"/>
        <v>Road transport5200</v>
      </c>
      <c r="CY60" s="398" t="str">
        <f t="shared" si="42"/>
        <v>Environmental protection5200</v>
      </c>
      <c r="CZ60" s="398" t="str">
        <f t="shared" si="42"/>
        <v>Other5200</v>
      </c>
      <c r="DA60" s="398" t="str">
        <f t="shared" si="42"/>
        <v>Energy sources5200</v>
      </c>
      <c r="DB60" s="398" t="str">
        <f t="shared" si="42"/>
        <v>Water management5200</v>
      </c>
      <c r="DC60" s="398" t="str">
        <f t="shared" si="42"/>
        <v>Waste water management5200</v>
      </c>
      <c r="DD60" s="398" t="str">
        <f t="shared" si="42"/>
        <v>Waste management5200</v>
      </c>
      <c r="DE60" s="745" t="s">
        <v>785</v>
      </c>
      <c r="DF60" s="745" t="s">
        <v>785</v>
      </c>
      <c r="DG60" s="735"/>
      <c r="DH60" s="748" t="s">
        <v>787</v>
      </c>
      <c r="DI60" s="751">
        <f ca="1">SUMIF('3.Inc &amp; Exp per Function'!$D59:$D1158,'5.Cons and detailed recon'!CO60,'3.Inc &amp; Exp per Function'!$W59:$W1157)</f>
        <v>0</v>
      </c>
      <c r="DJ60" s="751">
        <f ca="1">SUMIF('3.Inc &amp; Exp per Function'!$D59:$D1157,'5.Cons and detailed recon'!CP60,'3.Inc &amp; Exp per Function'!$W59:$W1156)</f>
        <v>0</v>
      </c>
      <c r="DK60" s="751">
        <f ca="1">SUMIF('3.Inc &amp; Exp per Function'!$D59:$D1157,'5.Cons and detailed recon'!CQ60,'3.Inc &amp; Exp per Function'!$W59:$W1156)</f>
        <v>0</v>
      </c>
      <c r="DL60" s="413">
        <f t="shared" ca="1" si="11"/>
        <v>0</v>
      </c>
      <c r="DM60" s="751">
        <f ca="1">SUMIF('3.Inc &amp; Exp per Function'!$D59:$D1157,'5.Cons and detailed recon'!CR60,'3.Inc &amp; Exp per Function'!$W59:$W1156)</f>
        <v>0</v>
      </c>
      <c r="DN60" s="751">
        <f ca="1">SUMIF('3.Inc &amp; Exp per Function'!$D59:$D1157,'5.Cons and detailed recon'!CS60,'3.Inc &amp; Exp per Function'!$W59:$W1156)</f>
        <v>0</v>
      </c>
      <c r="DO60" s="751">
        <f ca="1">SUMIF('3.Inc &amp; Exp per Function'!$D59:$D1157,'5.Cons and detailed recon'!CT60,'3.Inc &amp; Exp per Function'!$W59:$W1156)</f>
        <v>0</v>
      </c>
      <c r="DP60" s="751">
        <f ca="1">SUMIF('3.Inc &amp; Exp per Function'!$D59:$D1157,'5.Cons and detailed recon'!CU60,'3.Inc &amp; Exp per Function'!$W59:$W1156)</f>
        <v>0</v>
      </c>
      <c r="DQ60" s="751">
        <f ca="1">SUMIF('3.Inc &amp; Exp per Function'!$D59:$D1157,'5.Cons and detailed recon'!CV60,'3.Inc &amp; Exp per Function'!$W59:$W1156)</f>
        <v>0</v>
      </c>
      <c r="DR60" s="751">
        <f ca="1">SUMIF('3.Inc &amp; Exp per Function'!$D59:$D1157,'5.Cons and detailed recon'!CW60,'3.Inc &amp; Exp per Function'!$W59:$W1156)</f>
        <v>0</v>
      </c>
      <c r="DS60" s="751">
        <f ca="1">SUMIF('3.Inc &amp; Exp per Function'!$D59:$D1157,'5.Cons and detailed recon'!CX60,'3.Inc &amp; Exp per Function'!$W59:$W1156)</f>
        <v>0</v>
      </c>
      <c r="DT60" s="751">
        <f ca="1">SUMIF('3.Inc &amp; Exp per Function'!$D59:$D1157,'5.Cons and detailed recon'!CY60,'3.Inc &amp; Exp per Function'!$W59:$W1156)</f>
        <v>0</v>
      </c>
      <c r="DU60" s="751">
        <f ca="1">SUMIF('3.Inc &amp; Exp per Function'!$D59:$D1157,'5.Cons and detailed recon'!CZ60,'3.Inc &amp; Exp per Function'!$W59:$W1156)</f>
        <v>0</v>
      </c>
      <c r="DV60" s="413">
        <f t="shared" ca="1" si="12"/>
        <v>0</v>
      </c>
      <c r="DW60" s="751">
        <f ca="1">SUMIF('3.Inc &amp; Exp per Function'!$D59:$D1157,'5.Cons and detailed recon'!DA60,'3.Inc &amp; Exp per Function'!$W59:$W1156)</f>
        <v>0</v>
      </c>
      <c r="DX60" s="751">
        <f ca="1">SUMIF('3.Inc &amp; Exp per Function'!$D59:$D1157,'5.Cons and detailed recon'!DB60,'3.Inc &amp; Exp per Function'!$W59:$W1156)</f>
        <v>0</v>
      </c>
      <c r="DY60" s="751">
        <f ca="1">SUMIF('3.Inc &amp; Exp per Function'!$D59:$D1157,'5.Cons and detailed recon'!DC60,'3.Inc &amp; Exp per Function'!$W59:$W1156)</f>
        <v>0</v>
      </c>
      <c r="DZ60" s="751">
        <f ca="1">SUMIF('3.Inc &amp; Exp per Function'!$D59:$D1157,'5.Cons and detailed recon'!DD60,'3.Inc &amp; Exp per Function'!$W59:$W1156)</f>
        <v>0</v>
      </c>
      <c r="EA60" s="748">
        <f t="shared" ca="1" si="13"/>
        <v>0</v>
      </c>
      <c r="EB60" s="794"/>
      <c r="EC60" s="791">
        <f t="shared" ca="1" si="14"/>
        <v>0</v>
      </c>
      <c r="ED60" s="414">
        <f>SUMIF('4.Inc &amp; Exp Summary'!A:A,'5.Cons and detailed recon'!DF60,'4.Inc &amp; Exp Summary'!N:N)</f>
        <v>38070147.055999994</v>
      </c>
      <c r="EE60" s="415">
        <f t="shared" ca="1" si="15"/>
        <v>-38070147.055999994</v>
      </c>
      <c r="EF60" s="720"/>
      <c r="EG60" s="980"/>
      <c r="EH60" s="980"/>
      <c r="EI60" s="980"/>
      <c r="EJ60" s="980"/>
      <c r="EK60" s="980"/>
      <c r="EL60" s="980"/>
      <c r="EM60" s="980"/>
      <c r="EN60" s="980"/>
      <c r="EO60" s="980"/>
      <c r="EP60" s="980"/>
      <c r="EQ60" s="980"/>
      <c r="ER60" s="980"/>
      <c r="ES60" s="980"/>
      <c r="ET60" s="980"/>
      <c r="EU60" s="980"/>
      <c r="EV60" s="980"/>
      <c r="EW60" s="980"/>
      <c r="EX60" s="980"/>
      <c r="EY60" s="980"/>
      <c r="EZ60" s="980"/>
      <c r="FA60" s="980"/>
      <c r="FB60" s="980"/>
      <c r="FC60" s="980"/>
      <c r="FD60" s="980"/>
      <c r="FE60" s="980"/>
      <c r="FF60" s="980"/>
      <c r="FG60" s="980"/>
      <c r="FH60" s="980"/>
      <c r="FI60" s="980"/>
      <c r="FJ60" s="980"/>
      <c r="FK60" s="980"/>
      <c r="FL60" s="980"/>
      <c r="FM60" s="980"/>
      <c r="FN60" s="980"/>
      <c r="FO60" s="980"/>
      <c r="FP60" s="980"/>
      <c r="FQ60" s="980"/>
      <c r="FR60" s="980"/>
      <c r="FS60" s="980"/>
      <c r="FT60" s="980"/>
      <c r="FU60" s="980"/>
      <c r="FV60" s="980"/>
      <c r="FW60" s="980"/>
      <c r="FX60" s="980"/>
      <c r="FY60" s="980"/>
      <c r="FZ60" s="980"/>
      <c r="GA60" s="980"/>
      <c r="GB60" s="980"/>
      <c r="GC60" s="980"/>
      <c r="GD60" s="980"/>
      <c r="GE60" s="980"/>
      <c r="GF60" s="980"/>
      <c r="GG60" s="980"/>
      <c r="GH60" s="980"/>
      <c r="GI60" s="980"/>
      <c r="GJ60" s="980"/>
      <c r="GK60" s="980"/>
      <c r="GL60" s="980"/>
      <c r="GM60" s="980"/>
      <c r="GN60" s="980"/>
      <c r="GO60" s="980"/>
      <c r="GP60" s="980"/>
      <c r="GQ60" s="980"/>
      <c r="GR60" s="980"/>
      <c r="GS60" s="980"/>
      <c r="GT60" s="980"/>
      <c r="GU60" s="980"/>
      <c r="GV60" s="980"/>
      <c r="GW60" s="980"/>
      <c r="GX60" s="980"/>
      <c r="GY60" s="980"/>
      <c r="GZ60" s="980"/>
      <c r="HA60" s="980"/>
      <c r="HB60" s="980"/>
      <c r="HC60" s="980"/>
      <c r="HD60" s="980"/>
      <c r="HE60" s="980"/>
      <c r="HF60" s="980"/>
      <c r="HG60" s="980"/>
      <c r="HH60" s="980"/>
      <c r="HI60" s="980"/>
      <c r="HJ60" s="980"/>
      <c r="HK60" s="980"/>
      <c r="HL60" s="980"/>
      <c r="HM60" s="980"/>
      <c r="HN60" s="980"/>
      <c r="HO60" s="980"/>
      <c r="HP60" s="980"/>
      <c r="HQ60" s="980"/>
      <c r="HR60" s="980"/>
      <c r="HS60" s="980"/>
      <c r="HT60" s="980"/>
      <c r="HU60" s="980"/>
      <c r="HV60" s="980"/>
      <c r="HW60" s="980"/>
      <c r="HX60" s="980"/>
      <c r="HY60" s="980"/>
      <c r="HZ60" s="980"/>
      <c r="IA60" s="980"/>
      <c r="IB60" s="980"/>
      <c r="IC60" s="980"/>
      <c r="ID60" s="980"/>
      <c r="IE60" s="980"/>
      <c r="IF60" s="980"/>
      <c r="IG60" s="980"/>
      <c r="IH60" s="980"/>
      <c r="II60" s="980"/>
      <c r="IJ60" s="980"/>
      <c r="IK60" s="980"/>
      <c r="IL60" s="980"/>
      <c r="IM60" s="980"/>
      <c r="IN60" s="980"/>
      <c r="IO60" s="980"/>
      <c r="IP60" s="980"/>
      <c r="IQ60" s="980"/>
      <c r="IR60" s="980"/>
      <c r="IS60" s="980"/>
      <c r="IT60" s="980"/>
      <c r="IU60" s="980"/>
      <c r="IV60" s="980"/>
    </row>
    <row r="61" spans="1:256" s="409" customFormat="1" ht="12" customHeight="1" x14ac:dyDescent="0.55000000000000004">
      <c r="A61" s="398" t="str">
        <f t="shared" si="40"/>
        <v>Executive and Council5300</v>
      </c>
      <c r="B61" s="398" t="str">
        <f t="shared" si="39"/>
        <v>Finance and administration5300</v>
      </c>
      <c r="C61" s="398" t="str">
        <f t="shared" si="39"/>
        <v>Internal audit5300</v>
      </c>
      <c r="D61" s="398" t="str">
        <f t="shared" si="39"/>
        <v>Community and social services5300</v>
      </c>
      <c r="E61" s="398" t="str">
        <f t="shared" si="39"/>
        <v>Sport and recreation5300</v>
      </c>
      <c r="F61" s="398" t="str">
        <f t="shared" si="39"/>
        <v>Public safety5300</v>
      </c>
      <c r="G61" s="398" t="str">
        <f t="shared" si="39"/>
        <v>Housing5300</v>
      </c>
      <c r="H61" s="398" t="str">
        <f t="shared" si="39"/>
        <v>Health5300</v>
      </c>
      <c r="I61" s="398" t="str">
        <f t="shared" si="39"/>
        <v>Planning and development5300</v>
      </c>
      <c r="J61" s="398" t="str">
        <f t="shared" si="39"/>
        <v>Road transport5300</v>
      </c>
      <c r="K61" s="398" t="str">
        <f t="shared" si="39"/>
        <v>Environmental protection5300</v>
      </c>
      <c r="L61" s="398" t="str">
        <f t="shared" si="39"/>
        <v>Other5300</v>
      </c>
      <c r="M61" s="398" t="str">
        <f t="shared" si="39"/>
        <v>Energy sources5300</v>
      </c>
      <c r="N61" s="398" t="str">
        <f t="shared" si="39"/>
        <v>Water management5300</v>
      </c>
      <c r="O61" s="398" t="str">
        <f t="shared" si="39"/>
        <v>Waste water management5300</v>
      </c>
      <c r="P61" s="398" t="str">
        <f t="shared" si="39"/>
        <v>Waste management5300</v>
      </c>
      <c r="Q61" s="743" t="s">
        <v>788</v>
      </c>
      <c r="R61" s="743" t="s">
        <v>788</v>
      </c>
      <c r="S61" s="994"/>
      <c r="T61" s="748" t="s">
        <v>756</v>
      </c>
      <c r="U61" s="804">
        <f ca="1">SUMIF('3.Inc &amp; Exp per Function'!$D60:$D1158,'5.Cons and detailed recon'!A61,'3.Inc &amp; Exp per Function'!$U60:$U1157)</f>
        <v>-21007744</v>
      </c>
      <c r="V61" s="804">
        <f ca="1">SUMIF('3.Inc &amp; Exp per Function'!$D60:$D1158,'5.Cons and detailed recon'!B61,'3.Inc &amp; Exp per Function'!$U60:$U1157)</f>
        <v>103831221</v>
      </c>
      <c r="W61" s="804">
        <f ca="1">SUMIF('3.Inc &amp; Exp per Function'!$D60:$D1158,'5.Cons and detailed recon'!C61,'3.Inc &amp; Exp per Function'!$U60:$U1157)</f>
        <v>-3436716</v>
      </c>
      <c r="X61" s="413">
        <f t="shared" ca="1" si="38"/>
        <v>79386761</v>
      </c>
      <c r="Y61" s="804">
        <f ca="1">SUMIF('3.Inc &amp; Exp per Function'!$D60:$D1158,'5.Cons and detailed recon'!D61,'3.Inc &amp; Exp per Function'!$U60:$U1157)</f>
        <v>-465557</v>
      </c>
      <c r="Z61" s="804">
        <f ca="1">SUMIF('3.Inc &amp; Exp per Function'!$D60:$D1158,'5.Cons and detailed recon'!E61,'3.Inc &amp; Exp per Function'!$U60:$U1157)</f>
        <v>-12221492</v>
      </c>
      <c r="AA61" s="804">
        <f ca="1">SUMIF('3.Inc &amp; Exp per Function'!$D60:$D1158,'5.Cons and detailed recon'!F61,'3.Inc &amp; Exp per Function'!$U60:$U1157)</f>
        <v>-28202194</v>
      </c>
      <c r="AB61" s="804">
        <f ca="1">SUMIF('3.Inc &amp; Exp per Function'!$D60:$D1158,'5.Cons and detailed recon'!G61,'3.Inc &amp; Exp per Function'!$U60:$U1157)</f>
        <v>-15896634</v>
      </c>
      <c r="AC61" s="804">
        <f ca="1">SUMIF('3.Inc &amp; Exp per Function'!$D60:$D1158,'5.Cons and detailed recon'!H61,'3.Inc &amp; Exp per Function'!$U60:$U1157)</f>
        <v>0</v>
      </c>
      <c r="AD61" s="804">
        <f ca="1">SUMIF('3.Inc &amp; Exp per Function'!$D60:$D1158,'5.Cons and detailed recon'!I61,'3.Inc &amp; Exp per Function'!$U60:$U1157)</f>
        <v>-3216154</v>
      </c>
      <c r="AE61" s="804">
        <f ca="1">SUMIF('3.Inc &amp; Exp per Function'!$D60:$D1158,'5.Cons and detailed recon'!J61,'3.Inc &amp; Exp per Function'!$U60:$U1157)</f>
        <v>-42427329</v>
      </c>
      <c r="AF61" s="804">
        <f ca="1">SUMIF('3.Inc &amp; Exp per Function'!$D60:$D1158,'5.Cons and detailed recon'!K61,'3.Inc &amp; Exp per Function'!$U60:$U1157)</f>
        <v>-1000</v>
      </c>
      <c r="AG61" s="804">
        <f ca="1">SUMIF('3.Inc &amp; Exp per Function'!$D60:$D1158,'5.Cons and detailed recon'!L61,'3.Inc &amp; Exp per Function'!$U60:$U1157)</f>
        <v>-339500</v>
      </c>
      <c r="AH61" s="413">
        <f t="shared" ca="1" si="3"/>
        <v>-102769860</v>
      </c>
      <c r="AI61" s="804">
        <f ca="1">SUMIF('3.Inc &amp; Exp per Function'!$D60:$D1158,'5.Cons and detailed recon'!M61,'3.Inc &amp; Exp per Function'!$U60:$U1157)</f>
        <v>13205622</v>
      </c>
      <c r="AJ61" s="804">
        <f ca="1">SUMIF('3.Inc &amp; Exp per Function'!$D60:$D1158,'5.Cons and detailed recon'!N61,'3.Inc &amp; Exp per Function'!$U60:$U1157)</f>
        <v>47169461</v>
      </c>
      <c r="AK61" s="804">
        <f ca="1">SUMIF('3.Inc &amp; Exp per Function'!$D60:$D1158,'5.Cons and detailed recon'!O61,'3.Inc &amp; Exp per Function'!$U60:$U1157)</f>
        <v>11810006</v>
      </c>
      <c r="AL61" s="804">
        <f ca="1">SUMIF('3.Inc &amp; Exp per Function'!$D60:$D1158,'5.Cons and detailed recon'!P61,'3.Inc &amp; Exp per Function'!$U60:$U1157)</f>
        <v>-10811755</v>
      </c>
      <c r="AM61" s="748">
        <f t="shared" ca="1" si="0"/>
        <v>61373334</v>
      </c>
      <c r="AN61" s="794"/>
      <c r="AO61" s="791">
        <f t="shared" ca="1" si="36"/>
        <v>37990235</v>
      </c>
      <c r="AP61" s="414">
        <f>SUMIF('4.Inc &amp; Exp Summary'!A:A,'5.Cons and detailed recon'!R61,'4.Inc &amp; Exp Summary'!L:L)</f>
        <v>0</v>
      </c>
      <c r="AQ61" s="415">
        <f t="shared" ca="1" si="23"/>
        <v>37990235</v>
      </c>
      <c r="AR61" s="720"/>
      <c r="AS61" s="730"/>
      <c r="AT61" s="408"/>
      <c r="AU61" s="398" t="str">
        <f t="shared" si="41"/>
        <v>Executive and Council5300</v>
      </c>
      <c r="AV61" s="398" t="str">
        <f t="shared" si="41"/>
        <v>Finance and administration5300</v>
      </c>
      <c r="AW61" s="398" t="str">
        <f t="shared" si="41"/>
        <v>Internal audit5300</v>
      </c>
      <c r="AX61" s="398" t="str">
        <f t="shared" si="41"/>
        <v>Community and social services5300</v>
      </c>
      <c r="AY61" s="398" t="str">
        <f t="shared" si="41"/>
        <v>Sport and recreation5300</v>
      </c>
      <c r="AZ61" s="398" t="str">
        <f t="shared" si="41"/>
        <v>Public safety5300</v>
      </c>
      <c r="BA61" s="398" t="str">
        <f t="shared" si="41"/>
        <v>Housing5300</v>
      </c>
      <c r="BB61" s="398" t="str">
        <f t="shared" si="41"/>
        <v>Health5300</v>
      </c>
      <c r="BC61" s="398" t="str">
        <f t="shared" si="41"/>
        <v>Planning and development5300</v>
      </c>
      <c r="BD61" s="398" t="str">
        <f t="shared" si="41"/>
        <v>Road transport5300</v>
      </c>
      <c r="BE61" s="398" t="str">
        <f t="shared" si="41"/>
        <v>Environmental protection5300</v>
      </c>
      <c r="BF61" s="398" t="str">
        <f t="shared" si="41"/>
        <v>Other5300</v>
      </c>
      <c r="BG61" s="398" t="str">
        <f t="shared" si="41"/>
        <v>Energy sources5300</v>
      </c>
      <c r="BH61" s="398" t="str">
        <f t="shared" si="41"/>
        <v>Water management5300</v>
      </c>
      <c r="BI61" s="398" t="str">
        <f t="shared" si="41"/>
        <v>Waste water management5300</v>
      </c>
      <c r="BJ61" s="398" t="str">
        <f t="shared" si="41"/>
        <v>Waste management5300</v>
      </c>
      <c r="BK61" s="743" t="s">
        <v>788</v>
      </c>
      <c r="BL61" s="743" t="s">
        <v>788</v>
      </c>
      <c r="BM61" s="735"/>
      <c r="BN61" s="748" t="s">
        <v>756</v>
      </c>
      <c r="BO61" s="751">
        <f ca="1">SUMIF('3.Inc &amp; Exp per Function'!$D61:$D1159,'5.Cons and detailed recon'!AU61,'3.Inc &amp; Exp per Function'!$V61:$V1158)</f>
        <v>-21722005</v>
      </c>
      <c r="BP61" s="751">
        <f ca="1">SUMIF('3.Inc &amp; Exp per Function'!$D60:$D1159,'5.Cons and detailed recon'!AV61,'3.Inc &amp; Exp per Function'!$V60:$V1158)</f>
        <v>106951751</v>
      </c>
      <c r="BQ61" s="751">
        <f ca="1">SUMIF('3.Inc &amp; Exp per Function'!$D61:$D1159,'5.Cons and detailed recon'!AW61,'3.Inc &amp; Exp per Function'!$V61:$V1158)</f>
        <v>-3553563</v>
      </c>
      <c r="BR61" s="413">
        <f t="shared" ca="1" si="6"/>
        <v>81676183</v>
      </c>
      <c r="BS61" s="751">
        <f ca="1">SUMIF('3.Inc &amp; Exp per Function'!$D60:$D1159,'5.Cons and detailed recon'!AX61,'3.Inc &amp; Exp per Function'!$V60:$V1158)</f>
        <v>-764087</v>
      </c>
      <c r="BT61" s="751">
        <f ca="1">SUMIF('3.Inc &amp; Exp per Function'!$D60:$D1159,'5.Cons and detailed recon'!AY61,'3.Inc &amp; Exp per Function'!$V60:$V1158)</f>
        <v>-12637509</v>
      </c>
      <c r="BU61" s="751">
        <f ca="1">SUMIF('3.Inc &amp; Exp per Function'!$D61:$D1159,'5.Cons and detailed recon'!AZ61,'3.Inc &amp; Exp per Function'!$V61:$V1158)</f>
        <v>-29161081</v>
      </c>
      <c r="BV61" s="751">
        <f ca="1">SUMIF('3.Inc &amp; Exp per Function'!$D61:$D1159,'5.Cons and detailed recon'!BA61,'3.Inc &amp; Exp per Function'!$V61:$V1158)</f>
        <v>-16437127</v>
      </c>
      <c r="BW61" s="751">
        <f ca="1">SUMIF('3.Inc &amp; Exp per Function'!$D61:$D1159,'5.Cons and detailed recon'!BB61,'3.Inc &amp; Exp per Function'!$V61:$V1158)</f>
        <v>0</v>
      </c>
      <c r="BX61" s="751">
        <f ca="1">SUMIF('3.Inc &amp; Exp per Function'!$D61:$D1159,'5.Cons and detailed recon'!BC61,'3.Inc &amp; Exp per Function'!$V61:$V1158)</f>
        <v>-8379659</v>
      </c>
      <c r="BY61" s="751">
        <f ca="1">SUMIF('3.Inc &amp; Exp per Function'!$D61:$D1159,'5.Cons and detailed recon'!BD61,'3.Inc &amp; Exp per Function'!$V61:$V1158)</f>
        <v>-43930271</v>
      </c>
      <c r="BZ61" s="751">
        <f ca="1">SUMIF('3.Inc &amp; Exp per Function'!$D61:$D1159,'5.Cons and detailed recon'!BE61,'3.Inc &amp; Exp per Function'!$V61:$V1158)</f>
        <v>-1034</v>
      </c>
      <c r="CA61" s="751">
        <f ca="1">SUMIF('3.Inc &amp; Exp per Function'!$D61:$D1159,'5.Cons and detailed recon'!BF61,'3.Inc &amp; Exp per Function'!$V61:$V1158)</f>
        <v>-351043</v>
      </c>
      <c r="CB61" s="413">
        <f t="shared" ca="1" si="7"/>
        <v>-111661811</v>
      </c>
      <c r="CC61" s="751">
        <f ca="1">SUMIF('3.Inc &amp; Exp per Function'!$D61:$D1159,'5.Cons and detailed recon'!BG61,'3.Inc &amp; Exp per Function'!$V61:$V1158)</f>
        <v>19393138</v>
      </c>
      <c r="CD61" s="751">
        <f ca="1">SUMIF('3.Inc &amp; Exp per Function'!$D61:$D1159,'5.Cons and detailed recon'!BH61,'3.Inc &amp; Exp per Function'!$V61:$V1158)</f>
        <v>48944117</v>
      </c>
      <c r="CE61" s="751">
        <f ca="1">SUMIF('3.Inc &amp; Exp per Function'!$D61:$D1159,'5.Cons and detailed recon'!BI61,'3.Inc &amp; Exp per Function'!$V61:$V1158)</f>
        <v>12327634</v>
      </c>
      <c r="CF61" s="751">
        <f ca="1">SUMIF('3.Inc &amp; Exp per Function'!$D61:$D1159,'5.Cons and detailed recon'!BJ61,'3.Inc &amp; Exp per Function'!$V61:$V1158)</f>
        <v>-11001715</v>
      </c>
      <c r="CG61" s="748">
        <f t="shared" ca="1" si="8"/>
        <v>69663174</v>
      </c>
      <c r="CH61" s="751"/>
      <c r="CI61" s="791">
        <f t="shared" ca="1" si="9"/>
        <v>39677546</v>
      </c>
      <c r="CJ61" s="411">
        <f>SUMIF('4.Inc &amp; Exp Summary'!A:A,'5.Cons and detailed recon'!R61,'4.Inc &amp; Exp Summary'!M:M)</f>
        <v>0</v>
      </c>
      <c r="CK61" s="415">
        <f t="shared" ca="1" si="35"/>
        <v>39677546</v>
      </c>
      <c r="CL61" s="720"/>
      <c r="CM61" s="730"/>
      <c r="CO61" s="398" t="str">
        <f t="shared" si="42"/>
        <v>Executive and Council5300</v>
      </c>
      <c r="CP61" s="398" t="str">
        <f t="shared" si="42"/>
        <v>Finance and administration5300</v>
      </c>
      <c r="CQ61" s="398" t="str">
        <f t="shared" si="42"/>
        <v>Internal audit5300</v>
      </c>
      <c r="CR61" s="398" t="str">
        <f t="shared" si="42"/>
        <v>Community and social services5300</v>
      </c>
      <c r="CS61" s="398" t="str">
        <f t="shared" si="42"/>
        <v>Sport and recreation5300</v>
      </c>
      <c r="CT61" s="398" t="str">
        <f t="shared" si="42"/>
        <v>Public safety5300</v>
      </c>
      <c r="CU61" s="398" t="str">
        <f t="shared" si="42"/>
        <v>Housing5300</v>
      </c>
      <c r="CV61" s="398" t="str">
        <f t="shared" si="42"/>
        <v>Health5300</v>
      </c>
      <c r="CW61" s="398" t="str">
        <f t="shared" si="42"/>
        <v>Planning and development5300</v>
      </c>
      <c r="CX61" s="398" t="str">
        <f t="shared" si="42"/>
        <v>Road transport5300</v>
      </c>
      <c r="CY61" s="398" t="str">
        <f t="shared" si="42"/>
        <v>Environmental protection5300</v>
      </c>
      <c r="CZ61" s="398" t="str">
        <f t="shared" si="42"/>
        <v>Other5300</v>
      </c>
      <c r="DA61" s="398" t="str">
        <f t="shared" si="42"/>
        <v>Energy sources5300</v>
      </c>
      <c r="DB61" s="398" t="str">
        <f t="shared" si="42"/>
        <v>Water management5300</v>
      </c>
      <c r="DC61" s="398" t="str">
        <f t="shared" si="42"/>
        <v>Waste water management5300</v>
      </c>
      <c r="DD61" s="398" t="str">
        <f t="shared" si="42"/>
        <v>Waste management5300</v>
      </c>
      <c r="DE61" s="743" t="s">
        <v>788</v>
      </c>
      <c r="DF61" s="743" t="s">
        <v>788</v>
      </c>
      <c r="DG61" s="735"/>
      <c r="DH61" s="748" t="s">
        <v>756</v>
      </c>
      <c r="DI61" s="751">
        <f ca="1">SUMIF('3.Inc &amp; Exp per Function'!$D60:$D1159,'5.Cons and detailed recon'!CO61,'3.Inc &amp; Exp per Function'!$W60:$W1158)</f>
        <v>-22417109</v>
      </c>
      <c r="DJ61" s="751">
        <f ca="1">SUMIF('3.Inc &amp; Exp per Function'!$D60:$D1158,'5.Cons and detailed recon'!CP61,'3.Inc &amp; Exp per Function'!$W60:$W1157)</f>
        <v>109202618</v>
      </c>
      <c r="DK61" s="751">
        <f ca="1">SUMIF('3.Inc &amp; Exp per Function'!$D60:$D1158,'5.Cons and detailed recon'!CQ61,'3.Inc &amp; Exp per Function'!$W60:$W1157)</f>
        <v>-3667277</v>
      </c>
      <c r="DL61" s="413">
        <f t="shared" ca="1" si="11"/>
        <v>83118232</v>
      </c>
      <c r="DM61" s="751">
        <f ca="1">SUMIF('3.Inc &amp; Exp per Function'!$D60:$D1158,'5.Cons and detailed recon'!CR61,'3.Inc &amp; Exp per Function'!$W60:$W1157)</f>
        <v>-1049476</v>
      </c>
      <c r="DN61" s="751">
        <f ca="1">SUMIF('3.Inc &amp; Exp per Function'!$D60:$D1158,'5.Cons and detailed recon'!CS61,'3.Inc &amp; Exp per Function'!$W60:$W1157)</f>
        <v>-13042480</v>
      </c>
      <c r="DO61" s="751">
        <f ca="1">SUMIF('3.Inc &amp; Exp per Function'!$D60:$D1158,'5.Cons and detailed recon'!CT61,'3.Inc &amp; Exp per Function'!$W60:$W1157)</f>
        <v>-30094234</v>
      </c>
      <c r="DP61" s="751">
        <f ca="1">SUMIF('3.Inc &amp; Exp per Function'!$D60:$D1158,'5.Cons and detailed recon'!CU61,'3.Inc &amp; Exp per Function'!$W60:$W1157)</f>
        <v>-16963108</v>
      </c>
      <c r="DQ61" s="751">
        <f ca="1">SUMIF('3.Inc &amp; Exp per Function'!$D60:$D1158,'5.Cons and detailed recon'!CV61,'3.Inc &amp; Exp per Function'!$W60:$W1157)</f>
        <v>0</v>
      </c>
      <c r="DR61" s="751">
        <f ca="1">SUMIF('3.Inc &amp; Exp per Function'!$D60:$D1158,'5.Cons and detailed recon'!CW61,'3.Inc &amp; Exp per Function'!$W60:$W1157)</f>
        <v>-8744774</v>
      </c>
      <c r="DS61" s="751">
        <f ca="1">SUMIF('3.Inc &amp; Exp per Function'!$D60:$D1158,'5.Cons and detailed recon'!CX61,'3.Inc &amp; Exp per Function'!$W60:$W1157)</f>
        <v>-45430311</v>
      </c>
      <c r="DT61" s="751">
        <f ca="1">SUMIF('3.Inc &amp; Exp per Function'!$D60:$D1158,'5.Cons and detailed recon'!CY61,'3.Inc &amp; Exp per Function'!$W60:$W1157)</f>
        <v>-1067</v>
      </c>
      <c r="DU61" s="751">
        <f ca="1">SUMIF('3.Inc &amp; Exp per Function'!$D60:$D1158,'5.Cons and detailed recon'!CZ61,'3.Inc &amp; Exp per Function'!$W60:$W1157)</f>
        <v>-362276</v>
      </c>
      <c r="DV61" s="413">
        <f t="shared" ca="1" si="12"/>
        <v>-115687726</v>
      </c>
      <c r="DW61" s="751">
        <f ca="1">SUMIF('3.Inc &amp; Exp per Function'!$D60:$D1158,'5.Cons and detailed recon'!DA61,'3.Inc &amp; Exp per Function'!$W60:$W1157)</f>
        <v>19850248</v>
      </c>
      <c r="DX61" s="751">
        <f ca="1">SUMIF('3.Inc &amp; Exp per Function'!$D60:$D1158,'5.Cons and detailed recon'!DB61,'3.Inc &amp; Exp per Function'!$W60:$W1157)</f>
        <v>50172889</v>
      </c>
      <c r="DY61" s="751">
        <f ca="1">SUMIF('3.Inc &amp; Exp per Function'!$D60:$D1158,'5.Cons and detailed recon'!DC61,'3.Inc &amp; Exp per Function'!$W60:$W1157)</f>
        <v>12360265</v>
      </c>
      <c r="DZ61" s="751">
        <f ca="1">SUMIF('3.Inc &amp; Exp per Function'!$D60:$D1158,'5.Cons and detailed recon'!DD61,'3.Inc &amp; Exp per Function'!$W60:$W1157)</f>
        <v>-11743788</v>
      </c>
      <c r="EA61" s="748">
        <f t="shared" ca="1" si="13"/>
        <v>70639614</v>
      </c>
      <c r="EB61" s="794"/>
      <c r="EC61" s="791">
        <f t="shared" ca="1" si="14"/>
        <v>38070120</v>
      </c>
      <c r="ED61" s="414">
        <f>SUMIF('4.Inc &amp; Exp Summary'!A:A,'5.Cons and detailed recon'!DF61,'4.Inc &amp; Exp Summary'!N:N)</f>
        <v>0</v>
      </c>
      <c r="EE61" s="415">
        <f t="shared" ca="1" si="15"/>
        <v>38070120</v>
      </c>
      <c r="EF61" s="720"/>
      <c r="EG61" s="980"/>
      <c r="EH61" s="980"/>
      <c r="EI61" s="980"/>
      <c r="EJ61" s="980"/>
      <c r="EK61" s="980"/>
      <c r="EL61" s="980"/>
      <c r="EM61" s="980"/>
      <c r="EN61" s="980"/>
      <c r="EO61" s="980"/>
      <c r="EP61" s="980"/>
      <c r="EQ61" s="980"/>
      <c r="ER61" s="980"/>
      <c r="ES61" s="980"/>
      <c r="ET61" s="980"/>
      <c r="EU61" s="980"/>
      <c r="EV61" s="980"/>
      <c r="EW61" s="980"/>
      <c r="EX61" s="980"/>
      <c r="EY61" s="980"/>
      <c r="EZ61" s="980"/>
      <c r="FA61" s="980"/>
      <c r="FB61" s="980"/>
      <c r="FC61" s="980"/>
      <c r="FD61" s="980"/>
      <c r="FE61" s="980"/>
      <c r="FF61" s="980"/>
      <c r="FG61" s="980"/>
      <c r="FH61" s="980"/>
      <c r="FI61" s="980"/>
      <c r="FJ61" s="980"/>
      <c r="FK61" s="980"/>
      <c r="FL61" s="980"/>
      <c r="FM61" s="980"/>
      <c r="FN61" s="980"/>
      <c r="FO61" s="980"/>
      <c r="FP61" s="980"/>
      <c r="FQ61" s="980"/>
      <c r="FR61" s="980"/>
      <c r="FS61" s="980"/>
      <c r="FT61" s="980"/>
      <c r="FU61" s="980"/>
      <c r="FV61" s="980"/>
      <c r="FW61" s="980"/>
      <c r="FX61" s="980"/>
      <c r="FY61" s="980"/>
      <c r="FZ61" s="980"/>
      <c r="GA61" s="980"/>
      <c r="GB61" s="980"/>
      <c r="GC61" s="980"/>
      <c r="GD61" s="980"/>
      <c r="GE61" s="980"/>
      <c r="GF61" s="980"/>
      <c r="GG61" s="980"/>
      <c r="GH61" s="980"/>
      <c r="GI61" s="980"/>
      <c r="GJ61" s="980"/>
      <c r="GK61" s="980"/>
      <c r="GL61" s="980"/>
      <c r="GM61" s="980"/>
      <c r="GN61" s="980"/>
      <c r="GO61" s="980"/>
      <c r="GP61" s="980"/>
      <c r="GQ61" s="980"/>
      <c r="GR61" s="980"/>
      <c r="GS61" s="980"/>
      <c r="GT61" s="980"/>
      <c r="GU61" s="980"/>
      <c r="GV61" s="980"/>
      <c r="GW61" s="980"/>
      <c r="GX61" s="980"/>
      <c r="GY61" s="980"/>
      <c r="GZ61" s="980"/>
      <c r="HA61" s="980"/>
      <c r="HB61" s="980"/>
      <c r="HC61" s="980"/>
      <c r="HD61" s="980"/>
      <c r="HE61" s="980"/>
      <c r="HF61" s="980"/>
      <c r="HG61" s="980"/>
      <c r="HH61" s="980"/>
      <c r="HI61" s="980"/>
      <c r="HJ61" s="980"/>
      <c r="HK61" s="980"/>
      <c r="HL61" s="980"/>
      <c r="HM61" s="980"/>
      <c r="HN61" s="980"/>
      <c r="HO61" s="980"/>
      <c r="HP61" s="980"/>
      <c r="HQ61" s="980"/>
      <c r="HR61" s="980"/>
      <c r="HS61" s="980"/>
      <c r="HT61" s="980"/>
      <c r="HU61" s="980"/>
      <c r="HV61" s="980"/>
      <c r="HW61" s="980"/>
      <c r="HX61" s="980"/>
      <c r="HY61" s="980"/>
      <c r="HZ61" s="980"/>
      <c r="IA61" s="980"/>
      <c r="IB61" s="980"/>
      <c r="IC61" s="980"/>
      <c r="ID61" s="980"/>
      <c r="IE61" s="980"/>
      <c r="IF61" s="980"/>
      <c r="IG61" s="980"/>
      <c r="IH61" s="980"/>
      <c r="II61" s="980"/>
      <c r="IJ61" s="980"/>
      <c r="IK61" s="980"/>
      <c r="IL61" s="980"/>
      <c r="IM61" s="980"/>
      <c r="IN61" s="980"/>
      <c r="IO61" s="980"/>
      <c r="IP61" s="980"/>
      <c r="IQ61" s="980"/>
      <c r="IR61" s="980"/>
      <c r="IS61" s="980"/>
      <c r="IT61" s="980"/>
      <c r="IU61" s="980"/>
      <c r="IV61" s="980"/>
    </row>
    <row r="62" spans="1:256" s="409" customFormat="1" ht="12" customHeight="1" x14ac:dyDescent="0.55000000000000004">
      <c r="A62" s="398" t="str">
        <f t="shared" si="40"/>
        <v>Executive and Council5400</v>
      </c>
      <c r="B62" s="398" t="str">
        <f t="shared" si="39"/>
        <v>Finance and administration5400</v>
      </c>
      <c r="C62" s="398" t="str">
        <f t="shared" si="39"/>
        <v>Internal audit5400</v>
      </c>
      <c r="D62" s="398" t="str">
        <f t="shared" si="39"/>
        <v>Community and social services5400</v>
      </c>
      <c r="E62" s="398" t="str">
        <f t="shared" si="39"/>
        <v>Sport and recreation5400</v>
      </c>
      <c r="F62" s="398" t="str">
        <f t="shared" si="39"/>
        <v>Public safety5400</v>
      </c>
      <c r="G62" s="398" t="str">
        <f t="shared" si="39"/>
        <v>Housing5400</v>
      </c>
      <c r="H62" s="398" t="str">
        <f t="shared" si="39"/>
        <v>Health5400</v>
      </c>
      <c r="I62" s="398" t="str">
        <f t="shared" si="39"/>
        <v>Planning and development5400</v>
      </c>
      <c r="J62" s="398" t="str">
        <f t="shared" si="39"/>
        <v>Road transport5400</v>
      </c>
      <c r="K62" s="398" t="str">
        <f t="shared" si="39"/>
        <v>Environmental protection5400</v>
      </c>
      <c r="L62" s="398" t="str">
        <f t="shared" si="39"/>
        <v>Other5400</v>
      </c>
      <c r="M62" s="398" t="str">
        <f t="shared" si="39"/>
        <v>Energy sources5400</v>
      </c>
      <c r="N62" s="398" t="str">
        <f t="shared" si="39"/>
        <v>Water management5400</v>
      </c>
      <c r="O62" s="398" t="str">
        <f t="shared" si="39"/>
        <v>Waste water management5400</v>
      </c>
      <c r="P62" s="398" t="str">
        <f t="shared" si="39"/>
        <v>Waste management5400</v>
      </c>
      <c r="Q62" s="745" t="s">
        <v>790</v>
      </c>
      <c r="R62" s="745" t="s">
        <v>790</v>
      </c>
      <c r="S62" s="994"/>
      <c r="T62" s="748" t="s">
        <v>791</v>
      </c>
      <c r="U62" s="804">
        <f ca="1">SUMIF('3.Inc &amp; Exp per Function'!$D61:$D1159,'5.Cons and detailed recon'!A62,'3.Inc &amp; Exp per Function'!$U61:$U1158)</f>
        <v>0</v>
      </c>
      <c r="V62" s="804">
        <f ca="1">SUMIF('3.Inc &amp; Exp per Function'!$D61:$D1159,'5.Cons and detailed recon'!B62,'3.Inc &amp; Exp per Function'!$U61:$U1158)</f>
        <v>0</v>
      </c>
      <c r="W62" s="804">
        <f ca="1">SUMIF('3.Inc &amp; Exp per Function'!$D61:$D1159,'5.Cons and detailed recon'!C62,'3.Inc &amp; Exp per Function'!$U61:$U1158)</f>
        <v>0</v>
      </c>
      <c r="X62" s="413">
        <f t="shared" ca="1" si="38"/>
        <v>0</v>
      </c>
      <c r="Y62" s="804">
        <f ca="1">SUMIF('3.Inc &amp; Exp per Function'!$D61:$D1159,'5.Cons and detailed recon'!D62,'3.Inc &amp; Exp per Function'!$U61:$U1158)</f>
        <v>0</v>
      </c>
      <c r="Z62" s="804">
        <f ca="1">SUMIF('3.Inc &amp; Exp per Function'!$D61:$D1159,'5.Cons and detailed recon'!E62,'3.Inc &amp; Exp per Function'!$U61:$U1158)</f>
        <v>0</v>
      </c>
      <c r="AA62" s="804">
        <f ca="1">SUMIF('3.Inc &amp; Exp per Function'!$D61:$D1159,'5.Cons and detailed recon'!F62,'3.Inc &amp; Exp per Function'!$U61:$U1158)</f>
        <v>0</v>
      </c>
      <c r="AB62" s="804">
        <f ca="1">SUMIF('3.Inc &amp; Exp per Function'!$D61:$D1159,'5.Cons and detailed recon'!G62,'3.Inc &amp; Exp per Function'!$U61:$U1158)</f>
        <v>0</v>
      </c>
      <c r="AC62" s="804">
        <f ca="1">SUMIF('3.Inc &amp; Exp per Function'!$D61:$D1159,'5.Cons and detailed recon'!H62,'3.Inc &amp; Exp per Function'!$U61:$U1158)</f>
        <v>0</v>
      </c>
      <c r="AD62" s="804">
        <f ca="1">SUMIF('3.Inc &amp; Exp per Function'!$D61:$D1159,'5.Cons and detailed recon'!I62,'3.Inc &amp; Exp per Function'!$U61:$U1158)</f>
        <v>0</v>
      </c>
      <c r="AE62" s="804">
        <f ca="1">SUMIF('3.Inc &amp; Exp per Function'!$D61:$D1159,'5.Cons and detailed recon'!J62,'3.Inc &amp; Exp per Function'!$U61:$U1158)</f>
        <v>0</v>
      </c>
      <c r="AF62" s="804">
        <f ca="1">SUMIF('3.Inc &amp; Exp per Function'!$D61:$D1159,'5.Cons and detailed recon'!K62,'3.Inc &amp; Exp per Function'!$U61:$U1158)</f>
        <v>0</v>
      </c>
      <c r="AG62" s="804">
        <f ca="1">SUMIF('3.Inc &amp; Exp per Function'!$D61:$D1159,'5.Cons and detailed recon'!L62,'3.Inc &amp; Exp per Function'!$U61:$U1158)</f>
        <v>0</v>
      </c>
      <c r="AH62" s="413">
        <f t="shared" ca="1" si="3"/>
        <v>0</v>
      </c>
      <c r="AI62" s="804">
        <f ca="1">SUMIF('3.Inc &amp; Exp per Function'!$D61:$D1159,'5.Cons and detailed recon'!M62,'3.Inc &amp; Exp per Function'!$U61:$U1158)</f>
        <v>0</v>
      </c>
      <c r="AJ62" s="804">
        <f ca="1">SUMIF('3.Inc &amp; Exp per Function'!$D61:$D1159,'5.Cons and detailed recon'!N62,'3.Inc &amp; Exp per Function'!$U61:$U1158)</f>
        <v>0</v>
      </c>
      <c r="AK62" s="804">
        <f ca="1">SUMIF('3.Inc &amp; Exp per Function'!$D61:$D1159,'5.Cons and detailed recon'!O62,'3.Inc &amp; Exp per Function'!$U61:$U1158)</f>
        <v>0</v>
      </c>
      <c r="AL62" s="804">
        <f ca="1">SUMIF('3.Inc &amp; Exp per Function'!$D61:$D1159,'5.Cons and detailed recon'!P62,'3.Inc &amp; Exp per Function'!$U61:$U1158)</f>
        <v>0</v>
      </c>
      <c r="AM62" s="748">
        <f t="shared" ca="1" si="0"/>
        <v>0</v>
      </c>
      <c r="AN62" s="794"/>
      <c r="AO62" s="791">
        <f t="shared" ca="1" si="36"/>
        <v>0</v>
      </c>
      <c r="AP62" s="414">
        <f>SUMIF('4.Inc &amp; Exp Summary'!A:A,'5.Cons and detailed recon'!R62,'4.Inc &amp; Exp Summary'!L:L)</f>
        <v>0</v>
      </c>
      <c r="AQ62" s="415">
        <f t="shared" ca="1" si="23"/>
        <v>0</v>
      </c>
      <c r="AR62" s="720"/>
      <c r="AS62" s="734"/>
      <c r="AT62" s="418"/>
      <c r="AU62" s="398" t="str">
        <f t="shared" si="41"/>
        <v>Executive and Council5400</v>
      </c>
      <c r="AV62" s="398" t="str">
        <f t="shared" si="41"/>
        <v>Finance and administration5400</v>
      </c>
      <c r="AW62" s="398" t="str">
        <f t="shared" si="41"/>
        <v>Internal audit5400</v>
      </c>
      <c r="AX62" s="398" t="str">
        <f t="shared" si="41"/>
        <v>Community and social services5400</v>
      </c>
      <c r="AY62" s="398" t="str">
        <f t="shared" si="41"/>
        <v>Sport and recreation5400</v>
      </c>
      <c r="AZ62" s="398" t="str">
        <f t="shared" si="41"/>
        <v>Public safety5400</v>
      </c>
      <c r="BA62" s="398" t="str">
        <f t="shared" si="41"/>
        <v>Housing5400</v>
      </c>
      <c r="BB62" s="398" t="str">
        <f t="shared" si="41"/>
        <v>Health5400</v>
      </c>
      <c r="BC62" s="398" t="str">
        <f t="shared" si="41"/>
        <v>Planning and development5400</v>
      </c>
      <c r="BD62" s="398" t="str">
        <f t="shared" si="41"/>
        <v>Road transport5400</v>
      </c>
      <c r="BE62" s="398" t="str">
        <f t="shared" si="41"/>
        <v>Environmental protection5400</v>
      </c>
      <c r="BF62" s="398" t="str">
        <f t="shared" si="41"/>
        <v>Other5400</v>
      </c>
      <c r="BG62" s="398" t="str">
        <f t="shared" si="41"/>
        <v>Energy sources5400</v>
      </c>
      <c r="BH62" s="398" t="str">
        <f t="shared" si="41"/>
        <v>Water management5400</v>
      </c>
      <c r="BI62" s="398" t="str">
        <f t="shared" si="41"/>
        <v>Waste water management5400</v>
      </c>
      <c r="BJ62" s="398" t="str">
        <f t="shared" si="41"/>
        <v>Waste management5400</v>
      </c>
      <c r="BK62" s="745" t="s">
        <v>790</v>
      </c>
      <c r="BL62" s="745" t="s">
        <v>790</v>
      </c>
      <c r="BM62" s="735"/>
      <c r="BN62" s="748" t="s">
        <v>791</v>
      </c>
      <c r="BO62" s="751">
        <f ca="1">SUMIF('3.Inc &amp; Exp per Function'!$D62:$D1160,'5.Cons and detailed recon'!AU62,'3.Inc &amp; Exp per Function'!$V62:$V1159)</f>
        <v>0</v>
      </c>
      <c r="BP62" s="751">
        <f ca="1">SUMIF('3.Inc &amp; Exp per Function'!$D61:$D1160,'5.Cons and detailed recon'!AV62,'3.Inc &amp; Exp per Function'!$V61:$V1159)</f>
        <v>0</v>
      </c>
      <c r="BQ62" s="751">
        <f ca="1">SUMIF('3.Inc &amp; Exp per Function'!$D62:$D1160,'5.Cons and detailed recon'!AW62,'3.Inc &amp; Exp per Function'!$V62:$V1159)</f>
        <v>0</v>
      </c>
      <c r="BR62" s="413">
        <f t="shared" ca="1" si="6"/>
        <v>0</v>
      </c>
      <c r="BS62" s="751">
        <f ca="1">SUMIF('3.Inc &amp; Exp per Function'!$D61:$D1160,'5.Cons and detailed recon'!AX62,'3.Inc &amp; Exp per Function'!$V61:$V1159)</f>
        <v>0</v>
      </c>
      <c r="BT62" s="751">
        <f ca="1">SUMIF('3.Inc &amp; Exp per Function'!$D61:$D1160,'5.Cons and detailed recon'!AY62,'3.Inc &amp; Exp per Function'!$V61:$V1159)</f>
        <v>0</v>
      </c>
      <c r="BU62" s="751">
        <f ca="1">SUMIF('3.Inc &amp; Exp per Function'!$D62:$D1160,'5.Cons and detailed recon'!AZ62,'3.Inc &amp; Exp per Function'!$V62:$V1159)</f>
        <v>0</v>
      </c>
      <c r="BV62" s="751">
        <f ca="1">SUMIF('3.Inc &amp; Exp per Function'!$D62:$D1160,'5.Cons and detailed recon'!BA62,'3.Inc &amp; Exp per Function'!$V62:$V1159)</f>
        <v>0</v>
      </c>
      <c r="BW62" s="751">
        <f ca="1">SUMIF('3.Inc &amp; Exp per Function'!$D62:$D1160,'5.Cons and detailed recon'!BB62,'3.Inc &amp; Exp per Function'!$V62:$V1159)</f>
        <v>0</v>
      </c>
      <c r="BX62" s="751">
        <f ca="1">SUMIF('3.Inc &amp; Exp per Function'!$D62:$D1160,'5.Cons and detailed recon'!BC62,'3.Inc &amp; Exp per Function'!$V62:$V1159)</f>
        <v>0</v>
      </c>
      <c r="BY62" s="751">
        <f ca="1">SUMIF('3.Inc &amp; Exp per Function'!$D62:$D1160,'5.Cons and detailed recon'!BD62,'3.Inc &amp; Exp per Function'!$V62:$V1159)</f>
        <v>0</v>
      </c>
      <c r="BZ62" s="751">
        <f ca="1">SUMIF('3.Inc &amp; Exp per Function'!$D62:$D1160,'5.Cons and detailed recon'!BE62,'3.Inc &amp; Exp per Function'!$V62:$V1159)</f>
        <v>0</v>
      </c>
      <c r="CA62" s="751">
        <f ca="1">SUMIF('3.Inc &amp; Exp per Function'!$D62:$D1160,'5.Cons and detailed recon'!BF62,'3.Inc &amp; Exp per Function'!$V62:$V1159)</f>
        <v>0</v>
      </c>
      <c r="CB62" s="413">
        <f t="shared" ca="1" si="7"/>
        <v>0</v>
      </c>
      <c r="CC62" s="751">
        <f ca="1">SUMIF('3.Inc &amp; Exp per Function'!$D62:$D1160,'5.Cons and detailed recon'!BG62,'3.Inc &amp; Exp per Function'!$V62:$V1159)</f>
        <v>0</v>
      </c>
      <c r="CD62" s="751">
        <f ca="1">SUMIF('3.Inc &amp; Exp per Function'!$D62:$D1160,'5.Cons and detailed recon'!BH62,'3.Inc &amp; Exp per Function'!$V62:$V1159)</f>
        <v>0</v>
      </c>
      <c r="CE62" s="751">
        <f ca="1">SUMIF('3.Inc &amp; Exp per Function'!$D62:$D1160,'5.Cons and detailed recon'!BI62,'3.Inc &amp; Exp per Function'!$V62:$V1159)</f>
        <v>0</v>
      </c>
      <c r="CF62" s="751">
        <f ca="1">SUMIF('3.Inc &amp; Exp per Function'!$D62:$D1160,'5.Cons and detailed recon'!BJ62,'3.Inc &amp; Exp per Function'!$V62:$V1159)</f>
        <v>0</v>
      </c>
      <c r="CG62" s="748">
        <f t="shared" ca="1" si="8"/>
        <v>0</v>
      </c>
      <c r="CH62" s="751"/>
      <c r="CI62" s="791">
        <f t="shared" ca="1" si="9"/>
        <v>0</v>
      </c>
      <c r="CJ62" s="411">
        <f>SUMIF('4.Inc &amp; Exp Summary'!A:A,'5.Cons and detailed recon'!R62,'4.Inc &amp; Exp Summary'!M:M)</f>
        <v>0</v>
      </c>
      <c r="CK62" s="415">
        <f t="shared" ca="1" si="35"/>
        <v>0</v>
      </c>
      <c r="CL62" s="720"/>
      <c r="CM62" s="730"/>
      <c r="CO62" s="398" t="str">
        <f t="shared" si="42"/>
        <v>Executive and Council5400</v>
      </c>
      <c r="CP62" s="398" t="str">
        <f t="shared" si="42"/>
        <v>Finance and administration5400</v>
      </c>
      <c r="CQ62" s="398" t="str">
        <f t="shared" si="42"/>
        <v>Internal audit5400</v>
      </c>
      <c r="CR62" s="398" t="str">
        <f t="shared" si="42"/>
        <v>Community and social services5400</v>
      </c>
      <c r="CS62" s="398" t="str">
        <f t="shared" si="42"/>
        <v>Sport and recreation5400</v>
      </c>
      <c r="CT62" s="398" t="str">
        <f t="shared" si="42"/>
        <v>Public safety5400</v>
      </c>
      <c r="CU62" s="398" t="str">
        <f t="shared" si="42"/>
        <v>Housing5400</v>
      </c>
      <c r="CV62" s="398" t="str">
        <f t="shared" si="42"/>
        <v>Health5400</v>
      </c>
      <c r="CW62" s="398" t="str">
        <f t="shared" si="42"/>
        <v>Planning and development5400</v>
      </c>
      <c r="CX62" s="398" t="str">
        <f t="shared" si="42"/>
        <v>Road transport5400</v>
      </c>
      <c r="CY62" s="398" t="str">
        <f t="shared" si="42"/>
        <v>Environmental protection5400</v>
      </c>
      <c r="CZ62" s="398" t="str">
        <f t="shared" si="42"/>
        <v>Other5400</v>
      </c>
      <c r="DA62" s="398" t="str">
        <f t="shared" si="42"/>
        <v>Energy sources5400</v>
      </c>
      <c r="DB62" s="398" t="str">
        <f t="shared" si="42"/>
        <v>Water management5400</v>
      </c>
      <c r="DC62" s="398" t="str">
        <f t="shared" si="42"/>
        <v>Waste water management5400</v>
      </c>
      <c r="DD62" s="398" t="str">
        <f t="shared" si="42"/>
        <v>Waste management5400</v>
      </c>
      <c r="DE62" s="745" t="s">
        <v>790</v>
      </c>
      <c r="DF62" s="745" t="s">
        <v>790</v>
      </c>
      <c r="DG62" s="735"/>
      <c r="DH62" s="748" t="s">
        <v>791</v>
      </c>
      <c r="DI62" s="751">
        <f ca="1">SUMIF('3.Inc &amp; Exp per Function'!$D61:$D1160,'5.Cons and detailed recon'!CO62,'3.Inc &amp; Exp per Function'!$W61:$W1159)</f>
        <v>0</v>
      </c>
      <c r="DJ62" s="751">
        <f ca="1">SUMIF('3.Inc &amp; Exp per Function'!$D61:$D1159,'5.Cons and detailed recon'!CP62,'3.Inc &amp; Exp per Function'!$W61:$W1158)</f>
        <v>0</v>
      </c>
      <c r="DK62" s="751">
        <f ca="1">SUMIF('3.Inc &amp; Exp per Function'!$D61:$D1159,'5.Cons and detailed recon'!CQ62,'3.Inc &amp; Exp per Function'!$W61:$W1158)</f>
        <v>0</v>
      </c>
      <c r="DL62" s="413">
        <f t="shared" ca="1" si="11"/>
        <v>0</v>
      </c>
      <c r="DM62" s="751">
        <f ca="1">SUMIF('3.Inc &amp; Exp per Function'!$D61:$D1159,'5.Cons and detailed recon'!CR62,'3.Inc &amp; Exp per Function'!$W61:$W1158)</f>
        <v>0</v>
      </c>
      <c r="DN62" s="751">
        <f ca="1">SUMIF('3.Inc &amp; Exp per Function'!$D61:$D1159,'5.Cons and detailed recon'!CS62,'3.Inc &amp; Exp per Function'!$W61:$W1158)</f>
        <v>0</v>
      </c>
      <c r="DO62" s="751">
        <f ca="1">SUMIF('3.Inc &amp; Exp per Function'!$D61:$D1159,'5.Cons and detailed recon'!CT62,'3.Inc &amp; Exp per Function'!$W61:$W1158)</f>
        <v>0</v>
      </c>
      <c r="DP62" s="751">
        <f ca="1">SUMIF('3.Inc &amp; Exp per Function'!$D61:$D1159,'5.Cons and detailed recon'!CU62,'3.Inc &amp; Exp per Function'!$W61:$W1158)</f>
        <v>0</v>
      </c>
      <c r="DQ62" s="751">
        <f ca="1">SUMIF('3.Inc &amp; Exp per Function'!$D61:$D1159,'5.Cons and detailed recon'!CV62,'3.Inc &amp; Exp per Function'!$W61:$W1158)</f>
        <v>0</v>
      </c>
      <c r="DR62" s="751">
        <f ca="1">SUMIF('3.Inc &amp; Exp per Function'!$D61:$D1159,'5.Cons and detailed recon'!CW62,'3.Inc &amp; Exp per Function'!$W61:$W1158)</f>
        <v>0</v>
      </c>
      <c r="DS62" s="751">
        <f ca="1">SUMIF('3.Inc &amp; Exp per Function'!$D61:$D1159,'5.Cons and detailed recon'!CX62,'3.Inc &amp; Exp per Function'!$W61:$W1158)</f>
        <v>0</v>
      </c>
      <c r="DT62" s="751">
        <f ca="1">SUMIF('3.Inc &amp; Exp per Function'!$D61:$D1159,'5.Cons and detailed recon'!CY62,'3.Inc &amp; Exp per Function'!$W61:$W1158)</f>
        <v>0</v>
      </c>
      <c r="DU62" s="751">
        <f ca="1">SUMIF('3.Inc &amp; Exp per Function'!$D61:$D1159,'5.Cons and detailed recon'!CZ62,'3.Inc &amp; Exp per Function'!$W61:$W1158)</f>
        <v>0</v>
      </c>
      <c r="DV62" s="413">
        <f t="shared" ca="1" si="12"/>
        <v>0</v>
      </c>
      <c r="DW62" s="751">
        <f ca="1">SUMIF('3.Inc &amp; Exp per Function'!$D61:$D1159,'5.Cons and detailed recon'!DA62,'3.Inc &amp; Exp per Function'!$W61:$W1158)</f>
        <v>0</v>
      </c>
      <c r="DX62" s="751">
        <f ca="1">SUMIF('3.Inc &amp; Exp per Function'!$D61:$D1159,'5.Cons and detailed recon'!DB62,'3.Inc &amp; Exp per Function'!$W61:$W1158)</f>
        <v>0</v>
      </c>
      <c r="DY62" s="751">
        <f ca="1">SUMIF('3.Inc &amp; Exp per Function'!$D61:$D1159,'5.Cons and detailed recon'!DC62,'3.Inc &amp; Exp per Function'!$W61:$W1158)</f>
        <v>0</v>
      </c>
      <c r="DZ62" s="751">
        <f ca="1">SUMIF('3.Inc &amp; Exp per Function'!$D61:$D1159,'5.Cons and detailed recon'!DD62,'3.Inc &amp; Exp per Function'!$W61:$W1158)</f>
        <v>0</v>
      </c>
      <c r="EA62" s="748">
        <f t="shared" ca="1" si="13"/>
        <v>0</v>
      </c>
      <c r="EB62" s="794"/>
      <c r="EC62" s="791">
        <f t="shared" ca="1" si="14"/>
        <v>0</v>
      </c>
      <c r="ED62" s="414">
        <f>SUMIF('4.Inc &amp; Exp Summary'!A:A,'5.Cons and detailed recon'!DF62,'4.Inc &amp; Exp Summary'!N:N)</f>
        <v>0</v>
      </c>
      <c r="EE62" s="415">
        <f t="shared" ca="1" si="15"/>
        <v>0</v>
      </c>
      <c r="EF62" s="720"/>
      <c r="EG62" s="980"/>
      <c r="EH62" s="980"/>
      <c r="EI62" s="980"/>
      <c r="EJ62" s="980"/>
      <c r="EK62" s="980"/>
      <c r="EL62" s="980"/>
      <c r="EM62" s="980"/>
      <c r="EN62" s="980"/>
      <c r="EO62" s="980"/>
      <c r="EP62" s="980"/>
      <c r="EQ62" s="980"/>
      <c r="ER62" s="980"/>
      <c r="ES62" s="980"/>
      <c r="ET62" s="980"/>
      <c r="EU62" s="980"/>
      <c r="EV62" s="980"/>
      <c r="EW62" s="980"/>
      <c r="EX62" s="980"/>
      <c r="EY62" s="980"/>
      <c r="EZ62" s="980"/>
      <c r="FA62" s="980"/>
      <c r="FB62" s="980"/>
      <c r="FC62" s="980"/>
      <c r="FD62" s="980"/>
      <c r="FE62" s="980"/>
      <c r="FF62" s="980"/>
      <c r="FG62" s="980"/>
      <c r="FH62" s="980"/>
      <c r="FI62" s="980"/>
      <c r="FJ62" s="980"/>
      <c r="FK62" s="980"/>
      <c r="FL62" s="980"/>
      <c r="FM62" s="980"/>
      <c r="FN62" s="980"/>
      <c r="FO62" s="980"/>
      <c r="FP62" s="980"/>
      <c r="FQ62" s="980"/>
      <c r="FR62" s="980"/>
      <c r="FS62" s="980"/>
      <c r="FT62" s="980"/>
      <c r="FU62" s="980"/>
      <c r="FV62" s="980"/>
      <c r="FW62" s="980"/>
      <c r="FX62" s="980"/>
      <c r="FY62" s="980"/>
      <c r="FZ62" s="980"/>
      <c r="GA62" s="980"/>
      <c r="GB62" s="980"/>
      <c r="GC62" s="980"/>
      <c r="GD62" s="980"/>
      <c r="GE62" s="980"/>
      <c r="GF62" s="980"/>
      <c r="GG62" s="980"/>
      <c r="GH62" s="980"/>
      <c r="GI62" s="980"/>
      <c r="GJ62" s="980"/>
      <c r="GK62" s="980"/>
      <c r="GL62" s="980"/>
      <c r="GM62" s="980"/>
      <c r="GN62" s="980"/>
      <c r="GO62" s="980"/>
      <c r="GP62" s="980"/>
      <c r="GQ62" s="980"/>
      <c r="GR62" s="980"/>
      <c r="GS62" s="980"/>
      <c r="GT62" s="980"/>
      <c r="GU62" s="980"/>
      <c r="GV62" s="980"/>
      <c r="GW62" s="980"/>
      <c r="GX62" s="980"/>
      <c r="GY62" s="980"/>
      <c r="GZ62" s="980"/>
      <c r="HA62" s="980"/>
      <c r="HB62" s="980"/>
      <c r="HC62" s="980"/>
      <c r="HD62" s="980"/>
      <c r="HE62" s="980"/>
      <c r="HF62" s="980"/>
      <c r="HG62" s="980"/>
      <c r="HH62" s="980"/>
      <c r="HI62" s="980"/>
      <c r="HJ62" s="980"/>
      <c r="HK62" s="980"/>
      <c r="HL62" s="980"/>
      <c r="HM62" s="980"/>
      <c r="HN62" s="980"/>
      <c r="HO62" s="980"/>
      <c r="HP62" s="980"/>
      <c r="HQ62" s="980"/>
      <c r="HR62" s="980"/>
      <c r="HS62" s="980"/>
      <c r="HT62" s="980"/>
      <c r="HU62" s="980"/>
      <c r="HV62" s="980"/>
      <c r="HW62" s="980"/>
      <c r="HX62" s="980"/>
      <c r="HY62" s="980"/>
      <c r="HZ62" s="980"/>
      <c r="IA62" s="980"/>
      <c r="IB62" s="980"/>
      <c r="IC62" s="980"/>
      <c r="ID62" s="980"/>
      <c r="IE62" s="980"/>
      <c r="IF62" s="980"/>
      <c r="IG62" s="980"/>
      <c r="IH62" s="980"/>
      <c r="II62" s="980"/>
      <c r="IJ62" s="980"/>
      <c r="IK62" s="980"/>
      <c r="IL62" s="980"/>
      <c r="IM62" s="980"/>
      <c r="IN62" s="980"/>
      <c r="IO62" s="980"/>
      <c r="IP62" s="980"/>
      <c r="IQ62" s="980"/>
      <c r="IR62" s="980"/>
      <c r="IS62" s="980"/>
      <c r="IT62" s="980"/>
      <c r="IU62" s="980"/>
      <c r="IV62" s="980"/>
    </row>
    <row r="63" spans="1:256" s="402" customFormat="1" ht="12" customHeight="1" x14ac:dyDescent="0.35">
      <c r="A63" s="398" t="str">
        <f t="shared" si="40"/>
        <v>Executive and Council5500</v>
      </c>
      <c r="B63" s="398" t="str">
        <f t="shared" si="39"/>
        <v>Finance and administration5500</v>
      </c>
      <c r="C63" s="398" t="str">
        <f t="shared" si="39"/>
        <v>Internal audit5500</v>
      </c>
      <c r="D63" s="398" t="str">
        <f t="shared" si="39"/>
        <v>Community and social services5500</v>
      </c>
      <c r="E63" s="398" t="str">
        <f t="shared" si="39"/>
        <v>Sport and recreation5500</v>
      </c>
      <c r="F63" s="398" t="str">
        <f t="shared" si="39"/>
        <v>Public safety5500</v>
      </c>
      <c r="G63" s="398" t="str">
        <f t="shared" si="39"/>
        <v>Housing5500</v>
      </c>
      <c r="H63" s="398" t="str">
        <f t="shared" si="39"/>
        <v>Health5500</v>
      </c>
      <c r="I63" s="398" t="str">
        <f t="shared" si="39"/>
        <v>Planning and development5500</v>
      </c>
      <c r="J63" s="398" t="str">
        <f t="shared" si="39"/>
        <v>Road transport5500</v>
      </c>
      <c r="K63" s="398" t="str">
        <f t="shared" si="39"/>
        <v>Environmental protection5500</v>
      </c>
      <c r="L63" s="398" t="str">
        <f t="shared" si="39"/>
        <v>Other5500</v>
      </c>
      <c r="M63" s="398" t="str">
        <f t="shared" si="39"/>
        <v>Energy sources5500</v>
      </c>
      <c r="N63" s="398" t="str">
        <f t="shared" si="39"/>
        <v>Water management5500</v>
      </c>
      <c r="O63" s="398" t="str">
        <f t="shared" si="39"/>
        <v>Waste water management5500</v>
      </c>
      <c r="P63" s="398" t="str">
        <f t="shared" si="39"/>
        <v>Waste management5500</v>
      </c>
      <c r="Q63" s="745" t="s">
        <v>792</v>
      </c>
      <c r="R63" s="745" t="s">
        <v>792</v>
      </c>
      <c r="S63" s="962"/>
      <c r="T63" s="748" t="s">
        <v>793</v>
      </c>
      <c r="U63" s="804">
        <f ca="1">SUMIF('3.Inc &amp; Exp per Function'!$D62:$D1160,'5.Cons and detailed recon'!A63,'3.Inc &amp; Exp per Function'!$U62:$U1159)</f>
        <v>0</v>
      </c>
      <c r="V63" s="804">
        <f ca="1">SUMIF('3.Inc &amp; Exp per Function'!$D62:$D1160,'5.Cons and detailed recon'!B63,'3.Inc &amp; Exp per Function'!$U62:$U1159)</f>
        <v>0</v>
      </c>
      <c r="W63" s="804">
        <f ca="1">SUMIF('3.Inc &amp; Exp per Function'!$D62:$D1160,'5.Cons and detailed recon'!C63,'3.Inc &amp; Exp per Function'!$U62:$U1159)</f>
        <v>0</v>
      </c>
      <c r="X63" s="413">
        <f t="shared" ca="1" si="38"/>
        <v>0</v>
      </c>
      <c r="Y63" s="804">
        <f ca="1">SUMIF('3.Inc &amp; Exp per Function'!$D62:$D1160,'5.Cons and detailed recon'!D63,'3.Inc &amp; Exp per Function'!$U62:$U1159)</f>
        <v>0</v>
      </c>
      <c r="Z63" s="804">
        <f ca="1">SUMIF('3.Inc &amp; Exp per Function'!$D62:$D1160,'5.Cons and detailed recon'!E63,'3.Inc &amp; Exp per Function'!$U62:$U1159)</f>
        <v>0</v>
      </c>
      <c r="AA63" s="804">
        <f ca="1">SUMIF('3.Inc &amp; Exp per Function'!$D62:$D1160,'5.Cons and detailed recon'!F63,'3.Inc &amp; Exp per Function'!$U62:$U1159)</f>
        <v>0</v>
      </c>
      <c r="AB63" s="804">
        <f ca="1">SUMIF('3.Inc &amp; Exp per Function'!$D62:$D1160,'5.Cons and detailed recon'!G63,'3.Inc &amp; Exp per Function'!$U62:$U1159)</f>
        <v>0</v>
      </c>
      <c r="AC63" s="804">
        <f ca="1">SUMIF('3.Inc &amp; Exp per Function'!$D62:$D1160,'5.Cons and detailed recon'!H63,'3.Inc &amp; Exp per Function'!$U62:$U1159)</f>
        <v>0</v>
      </c>
      <c r="AD63" s="804">
        <f ca="1">SUMIF('3.Inc &amp; Exp per Function'!$D62:$D1160,'5.Cons and detailed recon'!I63,'3.Inc &amp; Exp per Function'!$U62:$U1159)</f>
        <v>0</v>
      </c>
      <c r="AE63" s="804">
        <f ca="1">SUMIF('3.Inc &amp; Exp per Function'!$D62:$D1160,'5.Cons and detailed recon'!J63,'3.Inc &amp; Exp per Function'!$U62:$U1159)</f>
        <v>0</v>
      </c>
      <c r="AF63" s="804">
        <f ca="1">SUMIF('3.Inc &amp; Exp per Function'!$D62:$D1160,'5.Cons and detailed recon'!K63,'3.Inc &amp; Exp per Function'!$U62:$U1159)</f>
        <v>0</v>
      </c>
      <c r="AG63" s="804">
        <f ca="1">SUMIF('3.Inc &amp; Exp per Function'!$D62:$D1160,'5.Cons and detailed recon'!L63,'3.Inc &amp; Exp per Function'!$U62:$U1159)</f>
        <v>0</v>
      </c>
      <c r="AH63" s="413">
        <f t="shared" ca="1" si="3"/>
        <v>0</v>
      </c>
      <c r="AI63" s="804">
        <f ca="1">SUMIF('3.Inc &amp; Exp per Function'!$D62:$D1160,'5.Cons and detailed recon'!M63,'3.Inc &amp; Exp per Function'!$U62:$U1159)</f>
        <v>0</v>
      </c>
      <c r="AJ63" s="804">
        <f ca="1">SUMIF('3.Inc &amp; Exp per Function'!$D62:$D1160,'5.Cons and detailed recon'!N63,'3.Inc &amp; Exp per Function'!$U62:$U1159)</f>
        <v>0</v>
      </c>
      <c r="AK63" s="804">
        <f ca="1">SUMIF('3.Inc &amp; Exp per Function'!$D62:$D1160,'5.Cons and detailed recon'!O63,'3.Inc &amp; Exp per Function'!$U62:$U1159)</f>
        <v>0</v>
      </c>
      <c r="AL63" s="804">
        <f ca="1">SUMIF('3.Inc &amp; Exp per Function'!$D62:$D1160,'5.Cons and detailed recon'!P63,'3.Inc &amp; Exp per Function'!$U62:$U1159)</f>
        <v>0</v>
      </c>
      <c r="AM63" s="748">
        <f t="shared" ca="1" si="0"/>
        <v>0</v>
      </c>
      <c r="AN63" s="794"/>
      <c r="AO63" s="791">
        <f t="shared" ca="1" si="36"/>
        <v>0</v>
      </c>
      <c r="AP63" s="414">
        <f>SUMIF('4.Inc &amp; Exp Summary'!A:A,'5.Cons and detailed recon'!R63,'4.Inc &amp; Exp Summary'!L:L)</f>
        <v>37990235</v>
      </c>
      <c r="AQ63" s="415">
        <f t="shared" ca="1" si="23"/>
        <v>-37990235</v>
      </c>
      <c r="AR63" s="720"/>
      <c r="AS63" s="734"/>
      <c r="AT63" s="418"/>
      <c r="AU63" s="398" t="str">
        <f t="shared" si="41"/>
        <v>Executive and Council5500</v>
      </c>
      <c r="AV63" s="398" t="str">
        <f t="shared" si="41"/>
        <v>Finance and administration5500</v>
      </c>
      <c r="AW63" s="398" t="str">
        <f t="shared" si="41"/>
        <v>Internal audit5500</v>
      </c>
      <c r="AX63" s="398" t="str">
        <f t="shared" si="41"/>
        <v>Community and social services5500</v>
      </c>
      <c r="AY63" s="398" t="str">
        <f t="shared" si="41"/>
        <v>Sport and recreation5500</v>
      </c>
      <c r="AZ63" s="398" t="str">
        <f t="shared" si="41"/>
        <v>Public safety5500</v>
      </c>
      <c r="BA63" s="398" t="str">
        <f t="shared" si="41"/>
        <v>Housing5500</v>
      </c>
      <c r="BB63" s="398" t="str">
        <f t="shared" si="41"/>
        <v>Health5500</v>
      </c>
      <c r="BC63" s="398" t="str">
        <f t="shared" si="41"/>
        <v>Planning and development5500</v>
      </c>
      <c r="BD63" s="398" t="str">
        <f t="shared" si="41"/>
        <v>Road transport5500</v>
      </c>
      <c r="BE63" s="398" t="str">
        <f t="shared" si="41"/>
        <v>Environmental protection5500</v>
      </c>
      <c r="BF63" s="398" t="str">
        <f t="shared" si="41"/>
        <v>Other5500</v>
      </c>
      <c r="BG63" s="398" t="str">
        <f t="shared" si="41"/>
        <v>Energy sources5500</v>
      </c>
      <c r="BH63" s="398" t="str">
        <f t="shared" si="41"/>
        <v>Water management5500</v>
      </c>
      <c r="BI63" s="398" t="str">
        <f t="shared" si="41"/>
        <v>Waste water management5500</v>
      </c>
      <c r="BJ63" s="398" t="str">
        <f t="shared" si="41"/>
        <v>Waste management5500</v>
      </c>
      <c r="BK63" s="745" t="s">
        <v>792</v>
      </c>
      <c r="BL63" s="745" t="s">
        <v>792</v>
      </c>
      <c r="BM63" s="401"/>
      <c r="BN63" s="748" t="s">
        <v>793</v>
      </c>
      <c r="BO63" s="751">
        <f ca="1">SUMIF('3.Inc &amp; Exp per Function'!$D63:$D1161,'5.Cons and detailed recon'!AU63,'3.Inc &amp; Exp per Function'!$V63:$V1160)</f>
        <v>0</v>
      </c>
      <c r="BP63" s="751">
        <f ca="1">SUMIF('3.Inc &amp; Exp per Function'!$D62:$D1161,'5.Cons and detailed recon'!AV63,'3.Inc &amp; Exp per Function'!$V62:$V1160)</f>
        <v>0</v>
      </c>
      <c r="BQ63" s="751">
        <f ca="1">SUMIF('3.Inc &amp; Exp per Function'!$D63:$D1161,'5.Cons and detailed recon'!AW63,'3.Inc &amp; Exp per Function'!$V63:$V1160)</f>
        <v>0</v>
      </c>
      <c r="BR63" s="1328">
        <f t="shared" ca="1" si="6"/>
        <v>0</v>
      </c>
      <c r="BS63" s="751">
        <f ca="1">SUMIF('3.Inc &amp; Exp per Function'!$D62:$D1161,'5.Cons and detailed recon'!AX63,'3.Inc &amp; Exp per Function'!$V62:$V1160)</f>
        <v>0</v>
      </c>
      <c r="BT63" s="751">
        <f ca="1">SUMIF('3.Inc &amp; Exp per Function'!$D63:$D1161,'5.Cons and detailed recon'!AY63,'3.Inc &amp; Exp per Function'!$V63:$V1160)</f>
        <v>0</v>
      </c>
      <c r="BU63" s="751">
        <f ca="1">SUMIF('3.Inc &amp; Exp per Function'!$D63:$D1161,'5.Cons and detailed recon'!AZ63,'3.Inc &amp; Exp per Function'!$V63:$V1160)</f>
        <v>0</v>
      </c>
      <c r="BV63" s="751">
        <f ca="1">SUMIF('3.Inc &amp; Exp per Function'!$D63:$D1161,'5.Cons and detailed recon'!BA63,'3.Inc &amp; Exp per Function'!$V63:$V1160)</f>
        <v>0</v>
      </c>
      <c r="BW63" s="751">
        <f ca="1">SUMIF('3.Inc &amp; Exp per Function'!$D63:$D1161,'5.Cons and detailed recon'!BB63,'3.Inc &amp; Exp per Function'!$V63:$V1160)</f>
        <v>0</v>
      </c>
      <c r="BX63" s="751">
        <f ca="1">SUMIF('3.Inc &amp; Exp per Function'!$D63:$D1161,'5.Cons and detailed recon'!BC63,'3.Inc &amp; Exp per Function'!$V63:$V1160)</f>
        <v>0</v>
      </c>
      <c r="BY63" s="751">
        <f ca="1">SUMIF('3.Inc &amp; Exp per Function'!$D63:$D1161,'5.Cons and detailed recon'!BD63,'3.Inc &amp; Exp per Function'!$V63:$V1160)</f>
        <v>0</v>
      </c>
      <c r="BZ63" s="751">
        <f ca="1">SUMIF('3.Inc &amp; Exp per Function'!$D63:$D1161,'5.Cons and detailed recon'!BE63,'3.Inc &amp; Exp per Function'!$V63:$V1160)</f>
        <v>0</v>
      </c>
      <c r="CA63" s="751">
        <f ca="1">SUMIF('3.Inc &amp; Exp per Function'!$D63:$D1161,'5.Cons and detailed recon'!BF63,'3.Inc &amp; Exp per Function'!$V63:$V1160)</f>
        <v>0</v>
      </c>
      <c r="CB63" s="413">
        <f t="shared" ca="1" si="7"/>
        <v>0</v>
      </c>
      <c r="CC63" s="751">
        <f ca="1">SUMIF('3.Inc &amp; Exp per Function'!$D63:$D1161,'5.Cons and detailed recon'!BG63,'3.Inc &amp; Exp per Function'!$V63:$V1160)</f>
        <v>0</v>
      </c>
      <c r="CD63" s="751">
        <f ca="1">SUMIF('3.Inc &amp; Exp per Function'!$D63:$D1161,'5.Cons and detailed recon'!BH63,'3.Inc &amp; Exp per Function'!$V63:$V1160)</f>
        <v>0</v>
      </c>
      <c r="CE63" s="751">
        <f ca="1">SUMIF('3.Inc &amp; Exp per Function'!$D63:$D1161,'5.Cons and detailed recon'!BI63,'3.Inc &amp; Exp per Function'!$V63:$V1160)</f>
        <v>0</v>
      </c>
      <c r="CF63" s="751">
        <f ca="1">SUMIF('3.Inc &amp; Exp per Function'!$D63:$D1161,'5.Cons and detailed recon'!BJ63,'3.Inc &amp; Exp per Function'!$V63:$V1160)</f>
        <v>0</v>
      </c>
      <c r="CG63" s="748">
        <f t="shared" ca="1" si="8"/>
        <v>0</v>
      </c>
      <c r="CH63" s="751"/>
      <c r="CI63" s="791">
        <f t="shared" ca="1" si="9"/>
        <v>0</v>
      </c>
      <c r="CJ63" s="411">
        <f>SUMIF('4.Inc &amp; Exp Summary'!A:A,'5.Cons and detailed recon'!R63,'4.Inc &amp; Exp Summary'!M:M)</f>
        <v>39677546.440000057</v>
      </c>
      <c r="CK63" s="415">
        <f t="shared" ca="1" si="35"/>
        <v>-39677546.440000057</v>
      </c>
      <c r="CL63" s="720"/>
      <c r="CM63" s="734"/>
      <c r="CO63" s="398" t="str">
        <f t="shared" si="42"/>
        <v>Executive and Council5500</v>
      </c>
      <c r="CP63" s="398" t="str">
        <f t="shared" si="42"/>
        <v>Finance and administration5500</v>
      </c>
      <c r="CQ63" s="398" t="str">
        <f t="shared" si="42"/>
        <v>Internal audit5500</v>
      </c>
      <c r="CR63" s="398" t="str">
        <f t="shared" si="42"/>
        <v>Community and social services5500</v>
      </c>
      <c r="CS63" s="398" t="str">
        <f t="shared" si="42"/>
        <v>Sport and recreation5500</v>
      </c>
      <c r="CT63" s="398" t="str">
        <f t="shared" si="42"/>
        <v>Public safety5500</v>
      </c>
      <c r="CU63" s="398" t="str">
        <f t="shared" si="42"/>
        <v>Housing5500</v>
      </c>
      <c r="CV63" s="398" t="str">
        <f t="shared" si="42"/>
        <v>Health5500</v>
      </c>
      <c r="CW63" s="398" t="str">
        <f t="shared" si="42"/>
        <v>Planning and development5500</v>
      </c>
      <c r="CX63" s="398" t="str">
        <f t="shared" si="42"/>
        <v>Road transport5500</v>
      </c>
      <c r="CY63" s="398" t="str">
        <f t="shared" si="42"/>
        <v>Environmental protection5500</v>
      </c>
      <c r="CZ63" s="398" t="str">
        <f t="shared" si="42"/>
        <v>Other5500</v>
      </c>
      <c r="DA63" s="398" t="str">
        <f t="shared" si="42"/>
        <v>Energy sources5500</v>
      </c>
      <c r="DB63" s="398" t="str">
        <f t="shared" si="42"/>
        <v>Water management5500</v>
      </c>
      <c r="DC63" s="398" t="str">
        <f t="shared" si="42"/>
        <v>Waste water management5500</v>
      </c>
      <c r="DD63" s="398" t="str">
        <f t="shared" si="42"/>
        <v>Waste management5500</v>
      </c>
      <c r="DE63" s="745" t="s">
        <v>792</v>
      </c>
      <c r="DF63" s="745" t="s">
        <v>792</v>
      </c>
      <c r="DG63" s="401"/>
      <c r="DH63" s="748" t="s">
        <v>793</v>
      </c>
      <c r="DI63" s="751">
        <f ca="1">SUMIF('3.Inc &amp; Exp per Function'!$D62:$D1160,'5.Cons and detailed recon'!CO63,'3.Inc &amp; Exp per Function'!$W62:$W1159)</f>
        <v>0</v>
      </c>
      <c r="DJ63" s="751">
        <f ca="1">SUMIF('3.Inc &amp; Exp per Function'!$D62:$D1160,'5.Cons and detailed recon'!CP63,'3.Inc &amp; Exp per Function'!$W62:$W1159)</f>
        <v>0</v>
      </c>
      <c r="DK63" s="751">
        <f ca="1">SUMIF('3.Inc &amp; Exp per Function'!$D62:$D1160,'5.Cons and detailed recon'!CQ63,'3.Inc &amp; Exp per Function'!$W62:$W1159)</f>
        <v>0</v>
      </c>
      <c r="DL63" s="413">
        <f t="shared" ca="1" si="11"/>
        <v>0</v>
      </c>
      <c r="DM63" s="751">
        <f ca="1">SUMIF('3.Inc &amp; Exp per Function'!$D62:$D1160,'5.Cons and detailed recon'!CR63,'3.Inc &amp; Exp per Function'!$W62:$W1159)</f>
        <v>0</v>
      </c>
      <c r="DN63" s="751">
        <f ca="1">SUMIF('3.Inc &amp; Exp per Function'!$D62:$D1160,'5.Cons and detailed recon'!CS63,'3.Inc &amp; Exp per Function'!$W62:$W1159)</f>
        <v>0</v>
      </c>
      <c r="DO63" s="751">
        <f ca="1">SUMIF('3.Inc &amp; Exp per Function'!$D62:$D1160,'5.Cons and detailed recon'!CT63,'3.Inc &amp; Exp per Function'!$W62:$W1159)</f>
        <v>0</v>
      </c>
      <c r="DP63" s="751">
        <f ca="1">SUMIF('3.Inc &amp; Exp per Function'!$D62:$D1160,'5.Cons and detailed recon'!CU63,'3.Inc &amp; Exp per Function'!$W62:$W1159)</f>
        <v>0</v>
      </c>
      <c r="DQ63" s="751">
        <f ca="1">SUMIF('3.Inc &amp; Exp per Function'!$D62:$D1160,'5.Cons and detailed recon'!CV63,'3.Inc &amp; Exp per Function'!$W62:$W1159)</f>
        <v>0</v>
      </c>
      <c r="DR63" s="751">
        <f ca="1">SUMIF('3.Inc &amp; Exp per Function'!$D62:$D1160,'5.Cons and detailed recon'!CW63,'3.Inc &amp; Exp per Function'!$W62:$W1159)</f>
        <v>0</v>
      </c>
      <c r="DS63" s="751">
        <f ca="1">SUMIF('3.Inc &amp; Exp per Function'!$D62:$D1160,'5.Cons and detailed recon'!CX63,'3.Inc &amp; Exp per Function'!$W62:$W1159)</f>
        <v>0</v>
      </c>
      <c r="DT63" s="751">
        <f ca="1">SUMIF('3.Inc &amp; Exp per Function'!$D62:$D1160,'5.Cons and detailed recon'!CY63,'3.Inc &amp; Exp per Function'!$W62:$W1159)</f>
        <v>0</v>
      </c>
      <c r="DU63" s="751">
        <f ca="1">SUMIF('3.Inc &amp; Exp per Function'!$D62:$D1160,'5.Cons and detailed recon'!CZ63,'3.Inc &amp; Exp per Function'!$W62:$W1159)</f>
        <v>0</v>
      </c>
      <c r="DV63" s="413">
        <f t="shared" ca="1" si="12"/>
        <v>0</v>
      </c>
      <c r="DW63" s="751">
        <f ca="1">SUMIF('3.Inc &amp; Exp per Function'!$D62:$D1160,'5.Cons and detailed recon'!DA63,'3.Inc &amp; Exp per Function'!$W62:$W1159)</f>
        <v>0</v>
      </c>
      <c r="DX63" s="751">
        <f ca="1">SUMIF('3.Inc &amp; Exp per Function'!$D62:$D1160,'5.Cons and detailed recon'!DB63,'3.Inc &amp; Exp per Function'!$W62:$W1159)</f>
        <v>0</v>
      </c>
      <c r="DY63" s="751">
        <f ca="1">SUMIF('3.Inc &amp; Exp per Function'!$D62:$D1160,'5.Cons and detailed recon'!DC63,'3.Inc &amp; Exp per Function'!$W62:$W1159)</f>
        <v>0</v>
      </c>
      <c r="DZ63" s="751">
        <f ca="1">SUMIF('3.Inc &amp; Exp per Function'!$D62:$D1160,'5.Cons and detailed recon'!DD63,'3.Inc &amp; Exp per Function'!$W62:$W1159)</f>
        <v>0</v>
      </c>
      <c r="EA63" s="748">
        <f t="shared" ca="1" si="13"/>
        <v>0</v>
      </c>
      <c r="EB63" s="794"/>
      <c r="EC63" s="791">
        <f t="shared" ca="1" si="14"/>
        <v>0</v>
      </c>
      <c r="ED63" s="414">
        <f>SUMIF('4.Inc &amp; Exp Summary'!A:A,'5.Cons and detailed recon'!DF63,'4.Inc &amp; Exp Summary'!N:N)</f>
        <v>38070147.055999994</v>
      </c>
      <c r="EE63" s="415">
        <f t="shared" ca="1" si="15"/>
        <v>-38070147.055999994</v>
      </c>
      <c r="EF63" s="720"/>
      <c r="EG63" s="978"/>
      <c r="EH63" s="978"/>
      <c r="EI63" s="978"/>
      <c r="EJ63" s="978"/>
      <c r="EK63" s="978"/>
      <c r="EL63" s="978"/>
      <c r="EM63" s="978"/>
      <c r="EN63" s="978"/>
      <c r="EO63" s="978"/>
      <c r="EP63" s="978"/>
      <c r="EQ63" s="978"/>
      <c r="ER63" s="978"/>
      <c r="ES63" s="978"/>
      <c r="ET63" s="978"/>
      <c r="EU63" s="978"/>
      <c r="EV63" s="978"/>
      <c r="EW63" s="978"/>
      <c r="EX63" s="978"/>
      <c r="EY63" s="978"/>
      <c r="EZ63" s="978"/>
      <c r="FA63" s="978"/>
      <c r="FB63" s="978"/>
      <c r="FC63" s="978"/>
      <c r="FD63" s="978"/>
      <c r="FE63" s="978"/>
      <c r="FF63" s="978"/>
      <c r="FG63" s="978"/>
      <c r="FH63" s="978"/>
      <c r="FI63" s="978"/>
      <c r="FJ63" s="978"/>
      <c r="FK63" s="978"/>
      <c r="FL63" s="978"/>
      <c r="FM63" s="978"/>
      <c r="FN63" s="978"/>
      <c r="FO63" s="978"/>
      <c r="FP63" s="978"/>
      <c r="FQ63" s="978"/>
      <c r="FR63" s="978"/>
      <c r="FS63" s="978"/>
      <c r="FT63" s="978"/>
      <c r="FU63" s="978"/>
      <c r="FV63" s="978"/>
      <c r="FW63" s="978"/>
      <c r="FX63" s="978"/>
      <c r="FY63" s="978"/>
      <c r="FZ63" s="978"/>
      <c r="GA63" s="978"/>
      <c r="GB63" s="978"/>
      <c r="GC63" s="978"/>
      <c r="GD63" s="978"/>
      <c r="GE63" s="978"/>
      <c r="GF63" s="978"/>
      <c r="GG63" s="978"/>
      <c r="GH63" s="978"/>
      <c r="GI63" s="978"/>
      <c r="GJ63" s="978"/>
      <c r="GK63" s="978"/>
      <c r="GL63" s="978"/>
      <c r="GM63" s="978"/>
      <c r="GN63" s="978"/>
      <c r="GO63" s="978"/>
      <c r="GP63" s="978"/>
      <c r="GQ63" s="978"/>
      <c r="GR63" s="978"/>
      <c r="GS63" s="978"/>
      <c r="GT63" s="978"/>
      <c r="GU63" s="978"/>
      <c r="GV63" s="978"/>
      <c r="GW63" s="978"/>
      <c r="GX63" s="978"/>
      <c r="GY63" s="978"/>
      <c r="GZ63" s="978"/>
      <c r="HA63" s="978"/>
      <c r="HB63" s="978"/>
      <c r="HC63" s="978"/>
      <c r="HD63" s="978"/>
      <c r="HE63" s="978"/>
      <c r="HF63" s="978"/>
      <c r="HG63" s="978"/>
      <c r="HH63" s="978"/>
      <c r="HI63" s="978"/>
      <c r="HJ63" s="978"/>
      <c r="HK63" s="978"/>
      <c r="HL63" s="978"/>
      <c r="HM63" s="978"/>
      <c r="HN63" s="978"/>
      <c r="HO63" s="978"/>
      <c r="HP63" s="978"/>
      <c r="HQ63" s="978"/>
      <c r="HR63" s="978"/>
      <c r="HS63" s="978"/>
      <c r="HT63" s="978"/>
      <c r="HU63" s="978"/>
      <c r="HV63" s="978"/>
      <c r="HW63" s="978"/>
      <c r="HX63" s="978"/>
      <c r="HY63" s="978"/>
      <c r="HZ63" s="978"/>
      <c r="IA63" s="978"/>
      <c r="IB63" s="978"/>
      <c r="IC63" s="978"/>
      <c r="ID63" s="978"/>
      <c r="IE63" s="978"/>
      <c r="IF63" s="978"/>
      <c r="IG63" s="978"/>
      <c r="IH63" s="978"/>
      <c r="II63" s="978"/>
      <c r="IJ63" s="978"/>
      <c r="IK63" s="978"/>
      <c r="IL63" s="978"/>
      <c r="IM63" s="978"/>
      <c r="IN63" s="978"/>
      <c r="IO63" s="978"/>
      <c r="IP63" s="978"/>
      <c r="IQ63" s="978"/>
      <c r="IR63" s="978"/>
      <c r="IS63" s="978"/>
      <c r="IT63" s="978"/>
      <c r="IU63" s="978"/>
      <c r="IV63" s="978"/>
    </row>
    <row r="64" spans="1:256" s="402" customFormat="1" ht="12" customHeight="1" x14ac:dyDescent="0.35">
      <c r="A64" s="398" t="str">
        <f t="shared" si="40"/>
        <v>Executive and Council5600</v>
      </c>
      <c r="B64" s="398" t="str">
        <f t="shared" si="39"/>
        <v>Finance and administration5600</v>
      </c>
      <c r="C64" s="398" t="str">
        <f t="shared" si="39"/>
        <v>Internal audit5600</v>
      </c>
      <c r="D64" s="398" t="str">
        <f t="shared" si="39"/>
        <v>Community and social services5600</v>
      </c>
      <c r="E64" s="398" t="str">
        <f t="shared" si="39"/>
        <v>Sport and recreation5600</v>
      </c>
      <c r="F64" s="398" t="str">
        <f t="shared" si="39"/>
        <v>Public safety5600</v>
      </c>
      <c r="G64" s="398" t="str">
        <f t="shared" si="39"/>
        <v>Housing5600</v>
      </c>
      <c r="H64" s="398" t="str">
        <f t="shared" si="39"/>
        <v>Health5600</v>
      </c>
      <c r="I64" s="398" t="str">
        <f t="shared" si="39"/>
        <v>Planning and development5600</v>
      </c>
      <c r="J64" s="398" t="str">
        <f t="shared" si="39"/>
        <v>Road transport5600</v>
      </c>
      <c r="K64" s="398" t="str">
        <f t="shared" si="39"/>
        <v>Environmental protection5600</v>
      </c>
      <c r="L64" s="398" t="str">
        <f t="shared" si="39"/>
        <v>Other5600</v>
      </c>
      <c r="M64" s="398" t="str">
        <f t="shared" si="39"/>
        <v>Energy sources5600</v>
      </c>
      <c r="N64" s="398" t="str">
        <f t="shared" si="39"/>
        <v>Water management5600</v>
      </c>
      <c r="O64" s="398" t="str">
        <f t="shared" si="39"/>
        <v>Waste water management5600</v>
      </c>
      <c r="P64" s="398" t="str">
        <f t="shared" si="39"/>
        <v>Waste management5600</v>
      </c>
      <c r="Q64" s="743" t="s">
        <v>794</v>
      </c>
      <c r="R64" s="743" t="s">
        <v>794</v>
      </c>
      <c r="S64" s="962"/>
      <c r="T64" s="778" t="s">
        <v>762</v>
      </c>
      <c r="U64" s="805">
        <f ca="1">SUMIF('3.Inc &amp; Exp per Function'!$D63:$D1161,'5.Cons and detailed recon'!A64,'3.Inc &amp; Exp per Function'!$U63:$U1160)</f>
        <v>0</v>
      </c>
      <c r="V64" s="805">
        <f ca="1">SUMIF('3.Inc &amp; Exp per Function'!$D63:$D1161,'5.Cons and detailed recon'!B64,'3.Inc &amp; Exp per Function'!$U63:$U1160)</f>
        <v>0</v>
      </c>
      <c r="W64" s="805">
        <f ca="1">SUMIF('3.Inc &amp; Exp per Function'!$D63:$D1161,'5.Cons and detailed recon'!C64,'3.Inc &amp; Exp per Function'!$U63:$U1160)</f>
        <v>0</v>
      </c>
      <c r="X64" s="416">
        <f t="shared" ca="1" si="38"/>
        <v>0</v>
      </c>
      <c r="Y64" s="805">
        <f ca="1">SUMIF('3.Inc &amp; Exp per Function'!$D63:$D1161,'5.Cons and detailed recon'!D64,'3.Inc &amp; Exp per Function'!$U63:$U1160)</f>
        <v>0</v>
      </c>
      <c r="Z64" s="805">
        <f ca="1">SUMIF('3.Inc &amp; Exp per Function'!$D63:$D1161,'5.Cons and detailed recon'!E64,'3.Inc &amp; Exp per Function'!$U63:$U1160)</f>
        <v>0</v>
      </c>
      <c r="AA64" s="805">
        <f ca="1">SUMIF('3.Inc &amp; Exp per Function'!$D63:$D1161,'5.Cons and detailed recon'!F64,'3.Inc &amp; Exp per Function'!$U63:$U1160)</f>
        <v>0</v>
      </c>
      <c r="AB64" s="805">
        <f ca="1">SUMIF('3.Inc &amp; Exp per Function'!$D63:$D1161,'5.Cons and detailed recon'!G64,'3.Inc &amp; Exp per Function'!$U63:$U1160)</f>
        <v>0</v>
      </c>
      <c r="AC64" s="805">
        <f ca="1">SUMIF('3.Inc &amp; Exp per Function'!$D63:$D1161,'5.Cons and detailed recon'!H64,'3.Inc &amp; Exp per Function'!$U63:$U1160)</f>
        <v>0</v>
      </c>
      <c r="AD64" s="805">
        <f ca="1">SUMIF('3.Inc &amp; Exp per Function'!$D63:$D1161,'5.Cons and detailed recon'!I64,'3.Inc &amp; Exp per Function'!$U63:$U1160)</f>
        <v>0</v>
      </c>
      <c r="AE64" s="805">
        <f ca="1">SUMIF('3.Inc &amp; Exp per Function'!$D63:$D1161,'5.Cons and detailed recon'!J64,'3.Inc &amp; Exp per Function'!$U63:$U1160)</f>
        <v>0</v>
      </c>
      <c r="AF64" s="805">
        <f ca="1">SUMIF('3.Inc &amp; Exp per Function'!$D63:$D1161,'5.Cons and detailed recon'!K64,'3.Inc &amp; Exp per Function'!$U63:$U1160)</f>
        <v>0</v>
      </c>
      <c r="AG64" s="805">
        <f ca="1">SUMIF('3.Inc &amp; Exp per Function'!$D63:$D1161,'5.Cons and detailed recon'!L64,'3.Inc &amp; Exp per Function'!$U63:$U1160)</f>
        <v>0</v>
      </c>
      <c r="AH64" s="416">
        <f t="shared" ca="1" si="3"/>
        <v>0</v>
      </c>
      <c r="AI64" s="805">
        <f ca="1">SUMIF('3.Inc &amp; Exp per Function'!$D63:$D1161,'5.Cons and detailed recon'!M64,'3.Inc &amp; Exp per Function'!$U63:$U1160)</f>
        <v>0</v>
      </c>
      <c r="AJ64" s="805">
        <f ca="1">SUMIF('3.Inc &amp; Exp per Function'!$D63:$D1161,'5.Cons and detailed recon'!N64,'3.Inc &amp; Exp per Function'!$U63:$U1160)</f>
        <v>0</v>
      </c>
      <c r="AK64" s="805">
        <f ca="1">SUMIF('3.Inc &amp; Exp per Function'!$D63:$D1161,'5.Cons and detailed recon'!O64,'3.Inc &amp; Exp per Function'!$U63:$U1160)</f>
        <v>0</v>
      </c>
      <c r="AL64" s="805">
        <f ca="1">SUMIF('3.Inc &amp; Exp per Function'!$D63:$D1161,'5.Cons and detailed recon'!P64,'3.Inc &amp; Exp per Function'!$U63:$U1160)</f>
        <v>0</v>
      </c>
      <c r="AM64" s="776">
        <f t="shared" ca="1" si="0"/>
        <v>0</v>
      </c>
      <c r="AN64" s="795"/>
      <c r="AO64" s="779">
        <f t="shared" ca="1" si="36"/>
        <v>0</v>
      </c>
      <c r="AP64" s="736">
        <f>SUMIF('4.Inc &amp; Exp Summary'!A:A,'5.Cons and detailed recon'!R64,'4.Inc &amp; Exp Summary'!M:M)</f>
        <v>0</v>
      </c>
      <c r="AQ64" s="1335"/>
      <c r="AR64" s="720"/>
      <c r="AS64" s="734"/>
      <c r="AT64" s="418"/>
      <c r="AU64" s="398" t="str">
        <f t="shared" si="41"/>
        <v>Executive and Council5600</v>
      </c>
      <c r="AV64" s="398" t="str">
        <f t="shared" si="41"/>
        <v>Finance and administration5600</v>
      </c>
      <c r="AW64" s="398" t="str">
        <f t="shared" si="41"/>
        <v>Internal audit5600</v>
      </c>
      <c r="AX64" s="398" t="str">
        <f t="shared" si="41"/>
        <v>Community and social services5600</v>
      </c>
      <c r="AY64" s="398" t="str">
        <f t="shared" si="41"/>
        <v>Sport and recreation5600</v>
      </c>
      <c r="AZ64" s="398" t="str">
        <f t="shared" si="41"/>
        <v>Public safety5600</v>
      </c>
      <c r="BA64" s="398" t="str">
        <f t="shared" si="41"/>
        <v>Housing5600</v>
      </c>
      <c r="BB64" s="398" t="str">
        <f t="shared" si="41"/>
        <v>Health5600</v>
      </c>
      <c r="BC64" s="398" t="str">
        <f t="shared" si="41"/>
        <v>Planning and development5600</v>
      </c>
      <c r="BD64" s="398" t="str">
        <f t="shared" si="41"/>
        <v>Road transport5600</v>
      </c>
      <c r="BE64" s="398" t="str">
        <f t="shared" si="41"/>
        <v>Environmental protection5600</v>
      </c>
      <c r="BF64" s="398" t="str">
        <f t="shared" si="41"/>
        <v>Other5600</v>
      </c>
      <c r="BG64" s="398" t="str">
        <f t="shared" si="41"/>
        <v>Energy sources5600</v>
      </c>
      <c r="BH64" s="398" t="str">
        <f t="shared" si="41"/>
        <v>Water management5600</v>
      </c>
      <c r="BI64" s="398" t="str">
        <f t="shared" si="41"/>
        <v>Waste water management5600</v>
      </c>
      <c r="BJ64" s="398" t="str">
        <f t="shared" si="41"/>
        <v>Waste management5600</v>
      </c>
      <c r="BK64" s="743" t="s">
        <v>794</v>
      </c>
      <c r="BL64" s="743" t="s">
        <v>794</v>
      </c>
      <c r="BM64" s="401"/>
      <c r="BN64" s="778" t="s">
        <v>762</v>
      </c>
      <c r="BO64" s="777">
        <f ca="1">SUMIF('3.Inc &amp; Exp per Function'!$D64:$D1162,'5.Cons and detailed recon'!AU64,'3.Inc &amp; Exp per Function'!$V64:$V1161)</f>
        <v>0</v>
      </c>
      <c r="BP64" s="777">
        <f ca="1">SUMIF('3.Inc &amp; Exp per Function'!$D64:$D1162,'5.Cons and detailed recon'!AV64,'3.Inc &amp; Exp per Function'!$V64:$V1161)</f>
        <v>0</v>
      </c>
      <c r="BQ64" s="777">
        <f ca="1">SUMIF('3.Inc &amp; Exp per Function'!$D64:$D1162,'5.Cons and detailed recon'!AW64,'3.Inc &amp; Exp per Function'!$V64:$V1161)</f>
        <v>0</v>
      </c>
      <c r="BR64" s="416">
        <f t="shared" ca="1" si="6"/>
        <v>0</v>
      </c>
      <c r="BS64" s="777">
        <f ca="1">SUMIF('3.Inc &amp; Exp per Function'!$D64:$D1162,'5.Cons and detailed recon'!AX64,'3.Inc &amp; Exp per Function'!$V64:$V1161)</f>
        <v>0</v>
      </c>
      <c r="BT64" s="777">
        <f ca="1">SUMIF('3.Inc &amp; Exp per Function'!$D64:$D1162,'5.Cons and detailed recon'!AY64,'3.Inc &amp; Exp per Function'!$V64:$V1161)</f>
        <v>0</v>
      </c>
      <c r="BU64" s="777">
        <f ca="1">SUMIF('3.Inc &amp; Exp per Function'!$D64:$D1162,'5.Cons and detailed recon'!BA64,'3.Inc &amp; Exp per Function'!$V64:$V1161)</f>
        <v>0</v>
      </c>
      <c r="BV64" s="777">
        <f ca="1">SUMIF('3.Inc &amp; Exp per Function'!$D64:$D1162,'5.Cons and detailed recon'!BA64,'3.Inc &amp; Exp per Function'!$V64:$V1161)</f>
        <v>0</v>
      </c>
      <c r="BW64" s="777">
        <f ca="1">SUMIF('3.Inc &amp; Exp per Function'!$D64:$D1162,'5.Cons and detailed recon'!BB64,'3.Inc &amp; Exp per Function'!$V64:$V1161)</f>
        <v>0</v>
      </c>
      <c r="BX64" s="777">
        <f ca="1">SUMIF('3.Inc &amp; Exp per Function'!$D64:$D1162,'5.Cons and detailed recon'!BC64,'3.Inc &amp; Exp per Function'!$V64:$V1161)</f>
        <v>0</v>
      </c>
      <c r="BY64" s="777">
        <f ca="1">SUMIF('3.Inc &amp; Exp per Function'!$D64:$D1162,'5.Cons and detailed recon'!BD64,'3.Inc &amp; Exp per Function'!$V64:$V1161)</f>
        <v>0</v>
      </c>
      <c r="BZ64" s="777">
        <f ca="1">SUMIF('3.Inc &amp; Exp per Function'!$D64:$D1162,'5.Cons and detailed recon'!BE64,'3.Inc &amp; Exp per Function'!$V64:$V1161)</f>
        <v>0</v>
      </c>
      <c r="CA64" s="777">
        <f ca="1">SUMIF('3.Inc &amp; Exp per Function'!$D64:$D1162,'5.Cons and detailed recon'!BF64,'3.Inc &amp; Exp per Function'!$V64:$V1161)</f>
        <v>0</v>
      </c>
      <c r="CB64" s="416">
        <f t="shared" ca="1" si="7"/>
        <v>0</v>
      </c>
      <c r="CC64" s="777">
        <f ca="1">SUMIF('3.Inc &amp; Exp per Function'!$D64:$D1162,'5.Cons and detailed recon'!BI64,'3.Inc &amp; Exp per Function'!$V64:$V1161)</f>
        <v>0</v>
      </c>
      <c r="CD64" s="777">
        <f ca="1">SUMIF('3.Inc &amp; Exp per Function'!$D64:$D1162,'5.Cons and detailed recon'!BJ64,'3.Inc &amp; Exp per Function'!$V64:$V1161)</f>
        <v>0</v>
      </c>
      <c r="CE64" s="777">
        <f ca="1">SUMIF('3.Inc &amp; Exp per Function'!$D64:$D1162,'5.Cons and detailed recon'!BK64,'3.Inc &amp; Exp per Function'!$V64:$V1161)</f>
        <v>0</v>
      </c>
      <c r="CF64" s="777">
        <f ca="1">SUMIF('3.Inc &amp; Exp per Function'!$D64:$D1162,'5.Cons and detailed recon'!BL64,'3.Inc &amp; Exp per Function'!$V64:$V1161)</f>
        <v>0</v>
      </c>
      <c r="CG64" s="1330">
        <f t="shared" ca="1" si="8"/>
        <v>0</v>
      </c>
      <c r="CH64" s="777"/>
      <c r="CI64" s="1334">
        <f t="shared" ca="1" si="9"/>
        <v>0</v>
      </c>
      <c r="CJ64" s="411">
        <f>SUMIF('4.Inc &amp; Exp Summary'!A:A,'5.Cons and detailed recon'!R64,'4.Inc &amp; Exp Summary'!M:M)</f>
        <v>0</v>
      </c>
      <c r="CK64" s="1335"/>
      <c r="CL64" s="720"/>
      <c r="CM64" s="734"/>
      <c r="CO64" s="398" t="str">
        <f t="shared" si="42"/>
        <v>Executive and Council5600</v>
      </c>
      <c r="CP64" s="398" t="str">
        <f t="shared" si="42"/>
        <v>Finance and administration5600</v>
      </c>
      <c r="CQ64" s="398" t="str">
        <f t="shared" si="42"/>
        <v>Internal audit5600</v>
      </c>
      <c r="CR64" s="398" t="str">
        <f t="shared" si="42"/>
        <v>Community and social services5600</v>
      </c>
      <c r="CS64" s="398" t="str">
        <f t="shared" si="42"/>
        <v>Sport and recreation5600</v>
      </c>
      <c r="CT64" s="398" t="str">
        <f t="shared" si="42"/>
        <v>Public safety5600</v>
      </c>
      <c r="CU64" s="398" t="str">
        <f t="shared" si="42"/>
        <v>Housing5600</v>
      </c>
      <c r="CV64" s="398" t="str">
        <f t="shared" si="42"/>
        <v>Health5600</v>
      </c>
      <c r="CW64" s="398" t="str">
        <f t="shared" si="42"/>
        <v>Planning and development5600</v>
      </c>
      <c r="CX64" s="398" t="str">
        <f t="shared" si="42"/>
        <v>Road transport5600</v>
      </c>
      <c r="CY64" s="398" t="str">
        <f t="shared" si="42"/>
        <v>Environmental protection5600</v>
      </c>
      <c r="CZ64" s="398" t="str">
        <f t="shared" si="42"/>
        <v>Other5600</v>
      </c>
      <c r="DA64" s="398" t="str">
        <f t="shared" si="42"/>
        <v>Energy sources5600</v>
      </c>
      <c r="DB64" s="398" t="str">
        <f t="shared" si="42"/>
        <v>Water management5600</v>
      </c>
      <c r="DC64" s="398" t="str">
        <f t="shared" si="42"/>
        <v>Waste water management5600</v>
      </c>
      <c r="DD64" s="398" t="str">
        <f t="shared" si="42"/>
        <v>Waste management5600</v>
      </c>
      <c r="DE64" s="743" t="s">
        <v>794</v>
      </c>
      <c r="DF64" s="743" t="s">
        <v>794</v>
      </c>
      <c r="DG64" s="401"/>
      <c r="DH64" s="778" t="s">
        <v>762</v>
      </c>
      <c r="DI64" s="777">
        <f ca="1">SUMIF('3.Inc &amp; Exp per Function'!$D63:$D1161,'5.Cons and detailed recon'!CO64,'3.Inc &amp; Exp per Function'!$W63:$W1160)</f>
        <v>0</v>
      </c>
      <c r="DJ64" s="777">
        <f ca="1">SUMIF('3.Inc &amp; Exp per Function'!$D63:$D1161,'5.Cons and detailed recon'!CP64,'3.Inc &amp; Exp per Function'!$W63:$W1160)</f>
        <v>0</v>
      </c>
      <c r="DK64" s="777">
        <f ca="1">SUMIF('3.Inc &amp; Exp per Function'!$D63:$D1161,'5.Cons and detailed recon'!CQ64,'3.Inc &amp; Exp per Function'!$W63:$W1160)</f>
        <v>0</v>
      </c>
      <c r="DL64" s="416">
        <f t="shared" ca="1" si="11"/>
        <v>0</v>
      </c>
      <c r="DM64" s="777">
        <f ca="1">SUMIF('3.Inc &amp; Exp per Function'!$D63:$D1161,'5.Cons and detailed recon'!CR64,'3.Inc &amp; Exp per Function'!$W63:$W1160)</f>
        <v>0</v>
      </c>
      <c r="DN64" s="777">
        <f ca="1">SUMIF('3.Inc &amp; Exp per Function'!$D63:$D1161,'5.Cons and detailed recon'!CS64,'3.Inc &amp; Exp per Function'!$W63:$W1160)</f>
        <v>0</v>
      </c>
      <c r="DO64" s="777">
        <f ca="1">SUMIF('3.Inc &amp; Exp per Function'!$D63:$D1161,'5.Cons and detailed recon'!CT64,'3.Inc &amp; Exp per Function'!$W63:$W1160)</f>
        <v>0</v>
      </c>
      <c r="DP64" s="777">
        <f ca="1">SUMIF('3.Inc &amp; Exp per Function'!$D63:$D1161,'5.Cons and detailed recon'!CU64,'3.Inc &amp; Exp per Function'!$W63:$W1160)</f>
        <v>0</v>
      </c>
      <c r="DQ64" s="777">
        <f ca="1">SUMIF('3.Inc &amp; Exp per Function'!$D63:$D1161,'5.Cons and detailed recon'!CV64,'3.Inc &amp; Exp per Function'!$W63:$W1160)</f>
        <v>0</v>
      </c>
      <c r="DR64" s="777">
        <f ca="1">SUMIF('3.Inc &amp; Exp per Function'!$D63:$D1161,'5.Cons and detailed recon'!CW64,'3.Inc &amp; Exp per Function'!$W63:$W1160)</f>
        <v>0</v>
      </c>
      <c r="DS64" s="777">
        <f ca="1">SUMIF('3.Inc &amp; Exp per Function'!$D63:$D1161,'5.Cons and detailed recon'!CX64,'3.Inc &amp; Exp per Function'!$W63:$W1160)</f>
        <v>0</v>
      </c>
      <c r="DT64" s="777">
        <f ca="1">SUMIF('3.Inc &amp; Exp per Function'!$D63:$D1161,'5.Cons and detailed recon'!CY64,'3.Inc &amp; Exp per Function'!$W63:$W1160)</f>
        <v>0</v>
      </c>
      <c r="DU64" s="777">
        <f ca="1">SUMIF('3.Inc &amp; Exp per Function'!$D63:$D1161,'5.Cons and detailed recon'!CZ64,'3.Inc &amp; Exp per Function'!$W63:$W1160)</f>
        <v>0</v>
      </c>
      <c r="DV64" s="416">
        <f t="shared" ca="1" si="12"/>
        <v>0</v>
      </c>
      <c r="DW64" s="777">
        <f ca="1">SUMIF('3.Inc &amp; Exp per Function'!$D63:$D1161,'5.Cons and detailed recon'!DA64,'3.Inc &amp; Exp per Function'!$W63:$W1160)</f>
        <v>0</v>
      </c>
      <c r="DX64" s="777">
        <f ca="1">SUMIF('3.Inc &amp; Exp per Function'!$D63:$D1161,'5.Cons and detailed recon'!DB64,'3.Inc &amp; Exp per Function'!$W63:$W1160)</f>
        <v>0</v>
      </c>
      <c r="DY64" s="777">
        <f ca="1">SUMIF('3.Inc &amp; Exp per Function'!$D63:$D1161,'5.Cons and detailed recon'!DC64,'3.Inc &amp; Exp per Function'!$W63:$W1160)</f>
        <v>0</v>
      </c>
      <c r="DZ64" s="777">
        <f ca="1">SUMIF('3.Inc &amp; Exp per Function'!$D63:$D1161,'5.Cons and detailed recon'!DD64,'3.Inc &amp; Exp per Function'!$W63:$W1160)</f>
        <v>0</v>
      </c>
      <c r="EA64" s="776">
        <f t="shared" ca="1" si="13"/>
        <v>0</v>
      </c>
      <c r="EB64" s="795"/>
      <c r="EC64" s="791">
        <f t="shared" ca="1" si="14"/>
        <v>0</v>
      </c>
      <c r="ED64" s="414">
        <f>SUMIF('4.Inc &amp; Exp Summary'!A:A,'5.Cons and detailed recon'!DF64,'4.Inc &amp; Exp Summary'!N:N)</f>
        <v>0</v>
      </c>
      <c r="EE64" s="415"/>
      <c r="EF64" s="720"/>
      <c r="EG64" s="978"/>
      <c r="EH64" s="978"/>
      <c r="EI64" s="978"/>
      <c r="EJ64" s="978"/>
      <c r="EK64" s="978"/>
      <c r="EL64" s="978"/>
      <c r="EM64" s="978"/>
      <c r="EN64" s="978"/>
      <c r="EO64" s="978"/>
      <c r="EP64" s="978"/>
      <c r="EQ64" s="978"/>
      <c r="ER64" s="978"/>
      <c r="ES64" s="978"/>
      <c r="ET64" s="978"/>
      <c r="EU64" s="978"/>
      <c r="EV64" s="978"/>
      <c r="EW64" s="978"/>
      <c r="EX64" s="978"/>
      <c r="EY64" s="978"/>
      <c r="EZ64" s="978"/>
      <c r="FA64" s="978"/>
      <c r="FB64" s="978"/>
      <c r="FC64" s="978"/>
      <c r="FD64" s="978"/>
      <c r="FE64" s="978"/>
      <c r="FF64" s="978"/>
      <c r="FG64" s="978"/>
      <c r="FH64" s="978"/>
      <c r="FI64" s="978"/>
      <c r="FJ64" s="978"/>
      <c r="FK64" s="978"/>
      <c r="FL64" s="978"/>
      <c r="FM64" s="978"/>
      <c r="FN64" s="978"/>
      <c r="FO64" s="978"/>
      <c r="FP64" s="978"/>
      <c r="FQ64" s="978"/>
      <c r="FR64" s="978"/>
      <c r="FS64" s="978"/>
      <c r="FT64" s="978"/>
      <c r="FU64" s="978"/>
      <c r="FV64" s="978"/>
      <c r="FW64" s="978"/>
      <c r="FX64" s="978"/>
      <c r="FY64" s="978"/>
      <c r="FZ64" s="978"/>
      <c r="GA64" s="978"/>
      <c r="GB64" s="978"/>
      <c r="GC64" s="978"/>
      <c r="GD64" s="978"/>
      <c r="GE64" s="978"/>
      <c r="GF64" s="978"/>
      <c r="GG64" s="978"/>
      <c r="GH64" s="978"/>
      <c r="GI64" s="978"/>
      <c r="GJ64" s="978"/>
      <c r="GK64" s="978"/>
      <c r="GL64" s="978"/>
      <c r="GM64" s="978"/>
      <c r="GN64" s="978"/>
      <c r="GO64" s="978"/>
      <c r="GP64" s="978"/>
      <c r="GQ64" s="978"/>
      <c r="GR64" s="978"/>
      <c r="GS64" s="978"/>
      <c r="GT64" s="978"/>
      <c r="GU64" s="978"/>
      <c r="GV64" s="978"/>
      <c r="GW64" s="978"/>
      <c r="GX64" s="978"/>
      <c r="GY64" s="978"/>
      <c r="GZ64" s="978"/>
      <c r="HA64" s="978"/>
      <c r="HB64" s="978"/>
      <c r="HC64" s="978"/>
      <c r="HD64" s="978"/>
      <c r="HE64" s="978"/>
      <c r="HF64" s="978"/>
      <c r="HG64" s="978"/>
      <c r="HH64" s="978"/>
      <c r="HI64" s="978"/>
      <c r="HJ64" s="978"/>
      <c r="HK64" s="978"/>
      <c r="HL64" s="978"/>
      <c r="HM64" s="978"/>
      <c r="HN64" s="978"/>
      <c r="HO64" s="978"/>
      <c r="HP64" s="978"/>
      <c r="HQ64" s="978"/>
      <c r="HR64" s="978"/>
      <c r="HS64" s="978"/>
      <c r="HT64" s="978"/>
      <c r="HU64" s="978"/>
      <c r="HV64" s="978"/>
      <c r="HW64" s="978"/>
      <c r="HX64" s="978"/>
      <c r="HY64" s="978"/>
      <c r="HZ64" s="978"/>
      <c r="IA64" s="978"/>
      <c r="IB64" s="978"/>
      <c r="IC64" s="978"/>
      <c r="ID64" s="978"/>
      <c r="IE64" s="978"/>
      <c r="IF64" s="978"/>
      <c r="IG64" s="978"/>
      <c r="IH64" s="978"/>
      <c r="II64" s="978"/>
      <c r="IJ64" s="978"/>
      <c r="IK64" s="978"/>
      <c r="IL64" s="978"/>
      <c r="IM64" s="978"/>
      <c r="IN64" s="978"/>
      <c r="IO64" s="978"/>
      <c r="IP64" s="978"/>
      <c r="IQ64" s="978"/>
      <c r="IR64" s="978"/>
      <c r="IS64" s="978"/>
      <c r="IT64" s="978"/>
      <c r="IU64" s="978"/>
      <c r="IV64" s="978"/>
    </row>
    <row r="65" spans="1:256" s="402" customFormat="1" ht="12" customHeight="1" x14ac:dyDescent="0.45">
      <c r="A65" s="398" t="str">
        <f t="shared" si="40"/>
        <v>Executive and Council55555</v>
      </c>
      <c r="B65" s="398" t="str">
        <f t="shared" si="39"/>
        <v>Finance and administration55555</v>
      </c>
      <c r="C65" s="398" t="str">
        <f t="shared" si="39"/>
        <v>Internal audit55555</v>
      </c>
      <c r="D65" s="398" t="str">
        <f t="shared" si="39"/>
        <v>Community and social services55555</v>
      </c>
      <c r="E65" s="398" t="str">
        <f t="shared" si="39"/>
        <v>Sport and recreation55555</v>
      </c>
      <c r="F65" s="398" t="str">
        <f t="shared" si="39"/>
        <v>Public safety55555</v>
      </c>
      <c r="G65" s="398" t="str">
        <f t="shared" si="39"/>
        <v>Housing55555</v>
      </c>
      <c r="H65" s="398" t="str">
        <f t="shared" si="39"/>
        <v>Health55555</v>
      </c>
      <c r="I65" s="398" t="str">
        <f t="shared" si="39"/>
        <v>Planning and development55555</v>
      </c>
      <c r="J65" s="398" t="str">
        <f t="shared" si="39"/>
        <v>Road transport55555</v>
      </c>
      <c r="K65" s="398" t="str">
        <f t="shared" si="39"/>
        <v>Environmental protection55555</v>
      </c>
      <c r="L65" s="398" t="str">
        <f t="shared" si="39"/>
        <v>Other55555</v>
      </c>
      <c r="M65" s="398" t="str">
        <f t="shared" si="39"/>
        <v>Energy sources55555</v>
      </c>
      <c r="N65" s="398" t="str">
        <f t="shared" si="39"/>
        <v>Water management55555</v>
      </c>
      <c r="O65" s="398" t="str">
        <f t="shared" si="39"/>
        <v>Waste water management55555</v>
      </c>
      <c r="P65" s="398" t="str">
        <f t="shared" si="39"/>
        <v>Waste management55555</v>
      </c>
      <c r="Q65" s="745">
        <v>55555</v>
      </c>
      <c r="R65" s="745">
        <v>55555</v>
      </c>
      <c r="S65" s="962"/>
      <c r="T65" s="737" t="s">
        <v>765</v>
      </c>
      <c r="U65" s="1372" t="s">
        <v>1570</v>
      </c>
      <c r="V65" s="1373" t="s">
        <v>1571</v>
      </c>
      <c r="W65" s="1373" t="s">
        <v>1572</v>
      </c>
      <c r="X65" s="1374"/>
      <c r="Y65" s="1374" t="s">
        <v>1576</v>
      </c>
      <c r="Z65" s="1374" t="s">
        <v>1577</v>
      </c>
      <c r="AA65" s="1374" t="s">
        <v>1578</v>
      </c>
      <c r="AB65" s="1374" t="s">
        <v>1579</v>
      </c>
      <c r="AC65" s="1374" t="s">
        <v>1585</v>
      </c>
      <c r="AD65" s="1374" t="s">
        <v>1573</v>
      </c>
      <c r="AE65" s="1374" t="s">
        <v>1580</v>
      </c>
      <c r="AF65" s="1374" t="s">
        <v>1581</v>
      </c>
      <c r="AG65" s="1374" t="s">
        <v>1582</v>
      </c>
      <c r="AH65" s="1374"/>
      <c r="AI65" s="1374" t="s">
        <v>1575</v>
      </c>
      <c r="AJ65" s="1374" t="s">
        <v>1574</v>
      </c>
      <c r="AK65" s="1374" t="s">
        <v>1583</v>
      </c>
      <c r="AL65" s="1374" t="s">
        <v>1584</v>
      </c>
      <c r="AM65" s="536"/>
      <c r="AN65" s="533"/>
      <c r="AO65" s="534"/>
      <c r="AP65" s="533"/>
      <c r="AQ65" s="536"/>
      <c r="AR65" s="720"/>
      <c r="AS65" s="734"/>
      <c r="AT65" s="418"/>
      <c r="AU65" s="398" t="str">
        <f t="shared" si="41"/>
        <v>Executive and Council55555</v>
      </c>
      <c r="AV65" s="398" t="str">
        <f t="shared" si="41"/>
        <v>Finance and administration55555</v>
      </c>
      <c r="AW65" s="398" t="str">
        <f t="shared" si="41"/>
        <v>Internal audit55555</v>
      </c>
      <c r="AX65" s="398" t="str">
        <f t="shared" si="41"/>
        <v>Community and social services55555</v>
      </c>
      <c r="AY65" s="398" t="str">
        <f t="shared" si="41"/>
        <v>Sport and recreation55555</v>
      </c>
      <c r="AZ65" s="398" t="str">
        <f t="shared" si="41"/>
        <v>Public safety55555</v>
      </c>
      <c r="BA65" s="398" t="str">
        <f t="shared" si="41"/>
        <v>Housing55555</v>
      </c>
      <c r="BB65" s="398" t="str">
        <f t="shared" si="41"/>
        <v>Health55555</v>
      </c>
      <c r="BC65" s="398" t="str">
        <f t="shared" si="41"/>
        <v>Planning and development55555</v>
      </c>
      <c r="BD65" s="398" t="str">
        <f t="shared" si="41"/>
        <v>Road transport55555</v>
      </c>
      <c r="BE65" s="398" t="str">
        <f t="shared" si="41"/>
        <v>Environmental protection55555</v>
      </c>
      <c r="BF65" s="398" t="str">
        <f t="shared" si="41"/>
        <v>Other55555</v>
      </c>
      <c r="BG65" s="398" t="str">
        <f t="shared" si="41"/>
        <v>Energy sources55555</v>
      </c>
      <c r="BH65" s="398" t="str">
        <f t="shared" si="41"/>
        <v>Water management55555</v>
      </c>
      <c r="BI65" s="398" t="str">
        <f t="shared" si="41"/>
        <v>Waste water management55555</v>
      </c>
      <c r="BJ65" s="398" t="str">
        <f t="shared" si="41"/>
        <v>Waste management55555</v>
      </c>
      <c r="BK65" s="745">
        <v>55555</v>
      </c>
      <c r="BL65" s="745">
        <v>55555</v>
      </c>
      <c r="BM65" s="401"/>
      <c r="BN65" s="737" t="s">
        <v>765</v>
      </c>
      <c r="BO65" s="1337" t="s">
        <v>1586</v>
      </c>
      <c r="BP65" s="1338" t="s">
        <v>1587</v>
      </c>
      <c r="BQ65" s="1338" t="s">
        <v>1588</v>
      </c>
      <c r="BR65" s="767"/>
      <c r="BS65" s="1336" t="s">
        <v>1589</v>
      </c>
      <c r="BT65" s="1336" t="s">
        <v>1590</v>
      </c>
      <c r="BU65" s="1336" t="s">
        <v>1591</v>
      </c>
      <c r="BV65" s="1336" t="s">
        <v>1592</v>
      </c>
      <c r="BW65" s="1336" t="s">
        <v>1593</v>
      </c>
      <c r="BX65" s="1336" t="s">
        <v>1594</v>
      </c>
      <c r="BY65" s="1336" t="s">
        <v>1595</v>
      </c>
      <c r="BZ65" s="1336" t="s">
        <v>1596</v>
      </c>
      <c r="CA65" s="1336" t="s">
        <v>1597</v>
      </c>
      <c r="CB65" s="533"/>
      <c r="CC65" s="1339" t="s">
        <v>1598</v>
      </c>
      <c r="CD65" s="1339" t="s">
        <v>1599</v>
      </c>
      <c r="CE65" s="1339" t="s">
        <v>1600</v>
      </c>
      <c r="CF65" s="1339" t="s">
        <v>1601</v>
      </c>
      <c r="CG65" s="537"/>
      <c r="CH65" s="533"/>
      <c r="CI65" s="533"/>
      <c r="CJ65" s="533"/>
      <c r="CK65" s="537"/>
      <c r="CL65" s="720"/>
      <c r="CM65" s="734"/>
      <c r="CO65" s="398" t="str">
        <f t="shared" si="42"/>
        <v>Executive and Council55555</v>
      </c>
      <c r="CP65" s="398" t="str">
        <f t="shared" si="42"/>
        <v>Finance and administration55555</v>
      </c>
      <c r="CQ65" s="398" t="str">
        <f t="shared" si="42"/>
        <v>Internal audit55555</v>
      </c>
      <c r="CR65" s="398" t="str">
        <f t="shared" si="42"/>
        <v>Community and social services55555</v>
      </c>
      <c r="CS65" s="398" t="str">
        <f t="shared" si="42"/>
        <v>Sport and recreation55555</v>
      </c>
      <c r="CT65" s="398" t="str">
        <f t="shared" si="42"/>
        <v>Public safety55555</v>
      </c>
      <c r="CU65" s="398" t="str">
        <f t="shared" si="42"/>
        <v>Housing55555</v>
      </c>
      <c r="CV65" s="398" t="str">
        <f t="shared" si="42"/>
        <v>Health55555</v>
      </c>
      <c r="CW65" s="398" t="str">
        <f t="shared" si="42"/>
        <v>Planning and development55555</v>
      </c>
      <c r="CX65" s="398" t="str">
        <f t="shared" si="42"/>
        <v>Road transport55555</v>
      </c>
      <c r="CY65" s="398" t="str">
        <f t="shared" si="42"/>
        <v>Environmental protection55555</v>
      </c>
      <c r="CZ65" s="398" t="str">
        <f t="shared" si="42"/>
        <v>Other55555</v>
      </c>
      <c r="DA65" s="398" t="str">
        <f t="shared" si="42"/>
        <v>Energy sources55555</v>
      </c>
      <c r="DB65" s="398" t="str">
        <f t="shared" si="42"/>
        <v>Water management55555</v>
      </c>
      <c r="DC65" s="398" t="str">
        <f t="shared" si="42"/>
        <v>Waste water management55555</v>
      </c>
      <c r="DD65" s="398" t="str">
        <f t="shared" si="42"/>
        <v>Waste management55555</v>
      </c>
      <c r="DE65" s="745">
        <v>55555</v>
      </c>
      <c r="DF65" s="745">
        <v>55555</v>
      </c>
      <c r="DG65" s="401"/>
      <c r="DH65" s="737" t="s">
        <v>765</v>
      </c>
      <c r="DI65" s="540" t="s">
        <v>1602</v>
      </c>
      <c r="DJ65" s="541" t="s">
        <v>1603</v>
      </c>
      <c r="DK65" s="541" t="s">
        <v>1604</v>
      </c>
      <c r="DL65" s="766"/>
      <c r="DM65" s="534" t="s">
        <v>1605</v>
      </c>
      <c r="DN65" s="534" t="s">
        <v>1606</v>
      </c>
      <c r="DO65" s="534" t="s">
        <v>1607</v>
      </c>
      <c r="DP65" s="534" t="s">
        <v>1608</v>
      </c>
      <c r="DQ65" s="534" t="s">
        <v>1609</v>
      </c>
      <c r="DR65" s="534" t="s">
        <v>1610</v>
      </c>
      <c r="DS65" s="534" t="s">
        <v>1611</v>
      </c>
      <c r="DT65" s="534" t="s">
        <v>1612</v>
      </c>
      <c r="DU65" s="534" t="s">
        <v>1613</v>
      </c>
      <c r="DV65" s="534"/>
      <c r="DW65" s="534" t="s">
        <v>1614</v>
      </c>
      <c r="DX65" s="534" t="s">
        <v>1615</v>
      </c>
      <c r="DY65" s="534" t="s">
        <v>1616</v>
      </c>
      <c r="DZ65" s="534" t="s">
        <v>1617</v>
      </c>
      <c r="EA65" s="536"/>
      <c r="EB65" s="533"/>
      <c r="EC65" s="534"/>
      <c r="ED65" s="534"/>
      <c r="EE65" s="536"/>
      <c r="EF65" s="720"/>
      <c r="EG65" s="978"/>
      <c r="EH65" s="978"/>
      <c r="EI65" s="978"/>
      <c r="EJ65" s="978"/>
      <c r="EK65" s="978"/>
      <c r="EL65" s="978"/>
      <c r="EM65" s="978"/>
      <c r="EN65" s="978"/>
      <c r="EO65" s="978"/>
      <c r="EP65" s="978"/>
      <c r="EQ65" s="978"/>
      <c r="ER65" s="978"/>
      <c r="ES65" s="978"/>
      <c r="ET65" s="978"/>
      <c r="EU65" s="978"/>
      <c r="EV65" s="978"/>
      <c r="EW65" s="978"/>
      <c r="EX65" s="978"/>
      <c r="EY65" s="978"/>
      <c r="EZ65" s="978"/>
      <c r="FA65" s="978"/>
      <c r="FB65" s="978"/>
      <c r="FC65" s="978"/>
      <c r="FD65" s="978"/>
      <c r="FE65" s="978"/>
      <c r="FF65" s="978"/>
      <c r="FG65" s="978"/>
      <c r="FH65" s="978"/>
      <c r="FI65" s="978"/>
      <c r="FJ65" s="978"/>
      <c r="FK65" s="978"/>
      <c r="FL65" s="978"/>
      <c r="FM65" s="978"/>
      <c r="FN65" s="978"/>
      <c r="FO65" s="978"/>
      <c r="FP65" s="978"/>
      <c r="FQ65" s="978"/>
      <c r="FR65" s="978"/>
      <c r="FS65" s="978"/>
      <c r="FT65" s="978"/>
      <c r="FU65" s="978"/>
      <c r="FV65" s="978"/>
      <c r="FW65" s="978"/>
      <c r="FX65" s="978"/>
      <c r="FY65" s="978"/>
      <c r="FZ65" s="978"/>
      <c r="GA65" s="978"/>
      <c r="GB65" s="978"/>
      <c r="GC65" s="978"/>
      <c r="GD65" s="978"/>
      <c r="GE65" s="978"/>
      <c r="GF65" s="978"/>
      <c r="GG65" s="978"/>
      <c r="GH65" s="978"/>
      <c r="GI65" s="978"/>
      <c r="GJ65" s="978"/>
      <c r="GK65" s="978"/>
      <c r="GL65" s="978"/>
      <c r="GM65" s="978"/>
      <c r="GN65" s="978"/>
      <c r="GO65" s="978"/>
      <c r="GP65" s="978"/>
      <c r="GQ65" s="978"/>
      <c r="GR65" s="978"/>
      <c r="GS65" s="978"/>
      <c r="GT65" s="978"/>
      <c r="GU65" s="978"/>
      <c r="GV65" s="978"/>
      <c r="GW65" s="978"/>
      <c r="GX65" s="978"/>
      <c r="GY65" s="978"/>
      <c r="GZ65" s="978"/>
      <c r="HA65" s="978"/>
      <c r="HB65" s="978"/>
      <c r="HC65" s="978"/>
      <c r="HD65" s="978"/>
      <c r="HE65" s="978"/>
      <c r="HF65" s="978"/>
      <c r="HG65" s="978"/>
      <c r="HH65" s="978"/>
      <c r="HI65" s="978"/>
      <c r="HJ65" s="978"/>
      <c r="HK65" s="978"/>
      <c r="HL65" s="978"/>
      <c r="HM65" s="978"/>
      <c r="HN65" s="978"/>
      <c r="HO65" s="978"/>
      <c r="HP65" s="978"/>
      <c r="HQ65" s="978"/>
      <c r="HR65" s="978"/>
      <c r="HS65" s="978"/>
      <c r="HT65" s="978"/>
      <c r="HU65" s="978"/>
      <c r="HV65" s="978"/>
      <c r="HW65" s="978"/>
      <c r="HX65" s="978"/>
      <c r="HY65" s="978"/>
      <c r="HZ65" s="978"/>
      <c r="IA65" s="978"/>
      <c r="IB65" s="978"/>
      <c r="IC65" s="978"/>
      <c r="ID65" s="978"/>
      <c r="IE65" s="978"/>
      <c r="IF65" s="978"/>
      <c r="IG65" s="978"/>
      <c r="IH65" s="978"/>
      <c r="II65" s="978"/>
      <c r="IJ65" s="978"/>
      <c r="IK65" s="978"/>
      <c r="IL65" s="978"/>
      <c r="IM65" s="978"/>
      <c r="IN65" s="978"/>
      <c r="IO65" s="978"/>
      <c r="IP65" s="978"/>
      <c r="IQ65" s="978"/>
      <c r="IR65" s="978"/>
      <c r="IS65" s="978"/>
      <c r="IT65" s="978"/>
      <c r="IU65" s="978"/>
      <c r="IV65" s="978"/>
    </row>
    <row r="66" spans="1:256" s="402" customFormat="1" ht="12" customHeight="1" x14ac:dyDescent="0.35">
      <c r="A66" s="398" t="str">
        <f t="shared" si="40"/>
        <v>Executive and Council55555</v>
      </c>
      <c r="B66" s="398" t="str">
        <f t="shared" si="39"/>
        <v>Finance and administration55555</v>
      </c>
      <c r="C66" s="398" t="str">
        <f t="shared" si="39"/>
        <v>Internal audit55555</v>
      </c>
      <c r="D66" s="398" t="str">
        <f t="shared" si="39"/>
        <v>Community and social services55555</v>
      </c>
      <c r="E66" s="398" t="str">
        <f t="shared" si="39"/>
        <v>Sport and recreation55555</v>
      </c>
      <c r="F66" s="398" t="str">
        <f t="shared" si="39"/>
        <v>Public safety55555</v>
      </c>
      <c r="G66" s="398" t="str">
        <f t="shared" si="39"/>
        <v>Housing55555</v>
      </c>
      <c r="H66" s="398" t="str">
        <f t="shared" si="39"/>
        <v>Health55555</v>
      </c>
      <c r="I66" s="398" t="str">
        <f t="shared" si="39"/>
        <v>Planning and development55555</v>
      </c>
      <c r="J66" s="398" t="str">
        <f t="shared" si="39"/>
        <v>Road transport55555</v>
      </c>
      <c r="K66" s="398" t="str">
        <f t="shared" si="39"/>
        <v>Environmental protection55555</v>
      </c>
      <c r="L66" s="398" t="str">
        <f t="shared" si="39"/>
        <v>Other55555</v>
      </c>
      <c r="M66" s="398" t="str">
        <f t="shared" si="39"/>
        <v>Energy sources55555</v>
      </c>
      <c r="N66" s="398" t="str">
        <f t="shared" si="39"/>
        <v>Water management55555</v>
      </c>
      <c r="O66" s="398" t="str">
        <f t="shared" si="39"/>
        <v>Waste water management55555</v>
      </c>
      <c r="P66" s="398" t="str">
        <f t="shared" si="39"/>
        <v>Waste management55555</v>
      </c>
      <c r="Q66" s="745">
        <v>55555</v>
      </c>
      <c r="R66" s="745">
        <v>55555</v>
      </c>
      <c r="S66" s="962"/>
      <c r="T66" s="738" t="s">
        <v>767</v>
      </c>
      <c r="U66" s="542"/>
      <c r="V66" s="543"/>
      <c r="W66" s="543"/>
      <c r="X66" s="767"/>
      <c r="Y66" s="533"/>
      <c r="Z66" s="533"/>
      <c r="AA66" s="533"/>
      <c r="AB66" s="533"/>
      <c r="AC66" s="533"/>
      <c r="AD66" s="533"/>
      <c r="AE66" s="533"/>
      <c r="AF66" s="533"/>
      <c r="AG66" s="533"/>
      <c r="AH66" s="533"/>
      <c r="AI66" s="533"/>
      <c r="AJ66" s="533"/>
      <c r="AK66" s="533"/>
      <c r="AL66" s="533"/>
      <c r="AM66" s="537"/>
      <c r="AN66" s="533"/>
      <c r="AO66" s="533"/>
      <c r="AP66" s="533"/>
      <c r="AQ66" s="537"/>
      <c r="AR66" s="720"/>
      <c r="AS66" s="734"/>
      <c r="AT66" s="418"/>
      <c r="AU66" s="398" t="str">
        <f t="shared" si="41"/>
        <v>Executive and Council55555</v>
      </c>
      <c r="AV66" s="398" t="str">
        <f t="shared" si="41"/>
        <v>Finance and administration55555</v>
      </c>
      <c r="AW66" s="398" t="str">
        <f t="shared" si="41"/>
        <v>Internal audit55555</v>
      </c>
      <c r="AX66" s="398" t="str">
        <f t="shared" si="41"/>
        <v>Community and social services55555</v>
      </c>
      <c r="AY66" s="398" t="str">
        <f t="shared" si="41"/>
        <v>Sport and recreation55555</v>
      </c>
      <c r="AZ66" s="398" t="str">
        <f t="shared" si="41"/>
        <v>Public safety55555</v>
      </c>
      <c r="BA66" s="398" t="str">
        <f t="shared" si="41"/>
        <v>Housing55555</v>
      </c>
      <c r="BB66" s="398" t="str">
        <f t="shared" si="41"/>
        <v>Health55555</v>
      </c>
      <c r="BC66" s="398" t="str">
        <f t="shared" si="41"/>
        <v>Planning and development55555</v>
      </c>
      <c r="BD66" s="398" t="str">
        <f t="shared" si="41"/>
        <v>Road transport55555</v>
      </c>
      <c r="BE66" s="398" t="str">
        <f t="shared" si="41"/>
        <v>Environmental protection55555</v>
      </c>
      <c r="BF66" s="398" t="str">
        <f t="shared" si="41"/>
        <v>Other55555</v>
      </c>
      <c r="BG66" s="398" t="str">
        <f t="shared" si="41"/>
        <v>Energy sources55555</v>
      </c>
      <c r="BH66" s="398" t="str">
        <f t="shared" si="41"/>
        <v>Water management55555</v>
      </c>
      <c r="BI66" s="398" t="str">
        <f t="shared" si="41"/>
        <v>Waste water management55555</v>
      </c>
      <c r="BJ66" s="398" t="str">
        <f t="shared" si="41"/>
        <v>Waste management55555</v>
      </c>
      <c r="BK66" s="745">
        <v>55555</v>
      </c>
      <c r="BL66" s="745">
        <v>55555</v>
      </c>
      <c r="BM66" s="401"/>
      <c r="BN66" s="738" t="s">
        <v>767</v>
      </c>
      <c r="BO66" s="542"/>
      <c r="BP66" s="543"/>
      <c r="BQ66" s="543"/>
      <c r="BR66" s="767"/>
      <c r="BS66" s="533"/>
      <c r="BT66" s="533"/>
      <c r="BU66" s="533"/>
      <c r="BV66" s="533"/>
      <c r="BW66" s="533"/>
      <c r="BX66" s="533"/>
      <c r="BY66" s="533"/>
      <c r="BZ66" s="533"/>
      <c r="CA66" s="533"/>
      <c r="CB66" s="533"/>
      <c r="CC66" s="533"/>
      <c r="CD66" s="533"/>
      <c r="CE66" s="533"/>
      <c r="CF66" s="533"/>
      <c r="CG66" s="537"/>
      <c r="CH66" s="533"/>
      <c r="CI66" s="533"/>
      <c r="CJ66" s="533"/>
      <c r="CK66" s="537"/>
      <c r="CL66" s="720"/>
      <c r="CM66" s="734"/>
      <c r="CO66" s="398" t="str">
        <f t="shared" si="42"/>
        <v>Executive and Council55555</v>
      </c>
      <c r="CP66" s="398" t="str">
        <f t="shared" si="42"/>
        <v>Finance and administration55555</v>
      </c>
      <c r="CQ66" s="398" t="str">
        <f t="shared" si="42"/>
        <v>Internal audit55555</v>
      </c>
      <c r="CR66" s="398" t="str">
        <f t="shared" si="42"/>
        <v>Community and social services55555</v>
      </c>
      <c r="CS66" s="398" t="str">
        <f t="shared" si="42"/>
        <v>Sport and recreation55555</v>
      </c>
      <c r="CT66" s="398" t="str">
        <f t="shared" si="42"/>
        <v>Public safety55555</v>
      </c>
      <c r="CU66" s="398" t="str">
        <f t="shared" si="42"/>
        <v>Housing55555</v>
      </c>
      <c r="CV66" s="398" t="str">
        <f t="shared" si="42"/>
        <v>Health55555</v>
      </c>
      <c r="CW66" s="398" t="str">
        <f t="shared" si="42"/>
        <v>Planning and development55555</v>
      </c>
      <c r="CX66" s="398" t="str">
        <f t="shared" si="42"/>
        <v>Road transport55555</v>
      </c>
      <c r="CY66" s="398" t="str">
        <f t="shared" si="42"/>
        <v>Environmental protection55555</v>
      </c>
      <c r="CZ66" s="398" t="str">
        <f t="shared" si="42"/>
        <v>Other55555</v>
      </c>
      <c r="DA66" s="398" t="str">
        <f t="shared" si="42"/>
        <v>Energy sources55555</v>
      </c>
      <c r="DB66" s="398" t="str">
        <f t="shared" si="42"/>
        <v>Water management55555</v>
      </c>
      <c r="DC66" s="398" t="str">
        <f t="shared" si="42"/>
        <v>Waste water management55555</v>
      </c>
      <c r="DD66" s="398" t="str">
        <f t="shared" si="42"/>
        <v>Waste management55555</v>
      </c>
      <c r="DE66" s="745">
        <v>55555</v>
      </c>
      <c r="DF66" s="745">
        <v>55555</v>
      </c>
      <c r="DG66" s="401"/>
      <c r="DH66" s="738" t="s">
        <v>767</v>
      </c>
      <c r="DI66" s="542"/>
      <c r="DJ66" s="543"/>
      <c r="DK66" s="543"/>
      <c r="DL66" s="767"/>
      <c r="DM66" s="533"/>
      <c r="DN66" s="533"/>
      <c r="DO66" s="533"/>
      <c r="DP66" s="533"/>
      <c r="DQ66" s="533"/>
      <c r="DR66" s="533"/>
      <c r="DS66" s="533"/>
      <c r="DT66" s="533"/>
      <c r="DU66" s="533"/>
      <c r="DV66" s="533"/>
      <c r="DW66" s="533"/>
      <c r="DX66" s="533"/>
      <c r="DY66" s="533"/>
      <c r="DZ66" s="533"/>
      <c r="EA66" s="537"/>
      <c r="EB66" s="533"/>
      <c r="EC66" s="533"/>
      <c r="ED66" s="533"/>
      <c r="EE66" s="537"/>
      <c r="EF66" s="720"/>
      <c r="EG66" s="978"/>
      <c r="EH66" s="978"/>
      <c r="EI66" s="978"/>
      <c r="EJ66" s="978"/>
      <c r="EK66" s="978"/>
      <c r="EL66" s="978"/>
      <c r="EM66" s="978"/>
      <c r="EN66" s="978"/>
      <c r="EO66" s="978"/>
      <c r="EP66" s="978"/>
      <c r="EQ66" s="978"/>
      <c r="ER66" s="978"/>
      <c r="ES66" s="978"/>
      <c r="ET66" s="978"/>
      <c r="EU66" s="978"/>
      <c r="EV66" s="978"/>
      <c r="EW66" s="978"/>
      <c r="EX66" s="978"/>
      <c r="EY66" s="978"/>
      <c r="EZ66" s="978"/>
      <c r="FA66" s="978"/>
      <c r="FB66" s="978"/>
      <c r="FC66" s="978"/>
      <c r="FD66" s="978"/>
      <c r="FE66" s="978"/>
      <c r="FF66" s="978"/>
      <c r="FG66" s="978"/>
      <c r="FH66" s="978"/>
      <c r="FI66" s="978"/>
      <c r="FJ66" s="978"/>
      <c r="FK66" s="978"/>
      <c r="FL66" s="978"/>
      <c r="FM66" s="978"/>
      <c r="FN66" s="978"/>
      <c r="FO66" s="978"/>
      <c r="FP66" s="978"/>
      <c r="FQ66" s="978"/>
      <c r="FR66" s="978"/>
      <c r="FS66" s="978"/>
      <c r="FT66" s="978"/>
      <c r="FU66" s="978"/>
      <c r="FV66" s="978"/>
      <c r="FW66" s="978"/>
      <c r="FX66" s="978"/>
      <c r="FY66" s="978"/>
      <c r="FZ66" s="978"/>
      <c r="GA66" s="978"/>
      <c r="GB66" s="978"/>
      <c r="GC66" s="978"/>
      <c r="GD66" s="978"/>
      <c r="GE66" s="978"/>
      <c r="GF66" s="978"/>
      <c r="GG66" s="978"/>
      <c r="GH66" s="978"/>
      <c r="GI66" s="978"/>
      <c r="GJ66" s="978"/>
      <c r="GK66" s="978"/>
      <c r="GL66" s="978"/>
      <c r="GM66" s="978"/>
      <c r="GN66" s="978"/>
      <c r="GO66" s="978"/>
      <c r="GP66" s="978"/>
      <c r="GQ66" s="978"/>
      <c r="GR66" s="978"/>
      <c r="GS66" s="978"/>
      <c r="GT66" s="978"/>
      <c r="GU66" s="978"/>
      <c r="GV66" s="978"/>
      <c r="GW66" s="978"/>
      <c r="GX66" s="978"/>
      <c r="GY66" s="978"/>
      <c r="GZ66" s="978"/>
      <c r="HA66" s="978"/>
      <c r="HB66" s="978"/>
      <c r="HC66" s="978"/>
      <c r="HD66" s="978"/>
      <c r="HE66" s="978"/>
      <c r="HF66" s="978"/>
      <c r="HG66" s="978"/>
      <c r="HH66" s="978"/>
      <c r="HI66" s="978"/>
      <c r="HJ66" s="978"/>
      <c r="HK66" s="978"/>
      <c r="HL66" s="978"/>
      <c r="HM66" s="978"/>
      <c r="HN66" s="978"/>
      <c r="HO66" s="978"/>
      <c r="HP66" s="978"/>
      <c r="HQ66" s="978"/>
      <c r="HR66" s="978"/>
      <c r="HS66" s="978"/>
      <c r="HT66" s="978"/>
      <c r="HU66" s="978"/>
      <c r="HV66" s="978"/>
      <c r="HW66" s="978"/>
      <c r="HX66" s="978"/>
      <c r="HY66" s="978"/>
      <c r="HZ66" s="978"/>
      <c r="IA66" s="978"/>
      <c r="IB66" s="978"/>
      <c r="IC66" s="978"/>
      <c r="ID66" s="978"/>
      <c r="IE66" s="978"/>
      <c r="IF66" s="978"/>
      <c r="IG66" s="978"/>
      <c r="IH66" s="978"/>
      <c r="II66" s="978"/>
      <c r="IJ66" s="978"/>
      <c r="IK66" s="978"/>
      <c r="IL66" s="978"/>
      <c r="IM66" s="978"/>
      <c r="IN66" s="978"/>
      <c r="IO66" s="978"/>
      <c r="IP66" s="978"/>
      <c r="IQ66" s="978"/>
      <c r="IR66" s="978"/>
      <c r="IS66" s="978"/>
      <c r="IT66" s="978"/>
      <c r="IU66" s="978"/>
      <c r="IV66" s="978"/>
    </row>
    <row r="67" spans="1:256" s="402" customFormat="1" ht="12" customHeight="1" x14ac:dyDescent="0.35">
      <c r="A67" s="398" t="str">
        <f t="shared" si="40"/>
        <v>Executive and Council55555</v>
      </c>
      <c r="B67" s="398" t="str">
        <f t="shared" si="39"/>
        <v>Finance and administration55555</v>
      </c>
      <c r="C67" s="398" t="str">
        <f t="shared" si="39"/>
        <v>Internal audit55555</v>
      </c>
      <c r="D67" s="398" t="str">
        <f t="shared" si="39"/>
        <v>Community and social services55555</v>
      </c>
      <c r="E67" s="398" t="str">
        <f t="shared" si="39"/>
        <v>Sport and recreation55555</v>
      </c>
      <c r="F67" s="398" t="str">
        <f t="shared" si="39"/>
        <v>Public safety55555</v>
      </c>
      <c r="G67" s="398" t="str">
        <f t="shared" si="39"/>
        <v>Housing55555</v>
      </c>
      <c r="H67" s="398" t="str">
        <f t="shared" si="39"/>
        <v>Health55555</v>
      </c>
      <c r="I67" s="398" t="str">
        <f t="shared" si="39"/>
        <v>Planning and development55555</v>
      </c>
      <c r="J67" s="398" t="str">
        <f t="shared" si="39"/>
        <v>Road transport55555</v>
      </c>
      <c r="K67" s="398" t="str">
        <f t="shared" si="39"/>
        <v>Environmental protection55555</v>
      </c>
      <c r="L67" s="398" t="str">
        <f t="shared" si="39"/>
        <v>Other55555</v>
      </c>
      <c r="M67" s="398" t="str">
        <f t="shared" si="39"/>
        <v>Energy sources55555</v>
      </c>
      <c r="N67" s="398" t="str">
        <f t="shared" si="39"/>
        <v>Water management55555</v>
      </c>
      <c r="O67" s="398" t="str">
        <f t="shared" si="39"/>
        <v>Waste water management55555</v>
      </c>
      <c r="P67" s="398" t="str">
        <f t="shared" si="39"/>
        <v>Waste management55555</v>
      </c>
      <c r="Q67" s="745">
        <v>55555</v>
      </c>
      <c r="R67" s="745">
        <v>55555</v>
      </c>
      <c r="S67" s="962"/>
      <c r="T67" s="738" t="s">
        <v>769</v>
      </c>
      <c r="U67" s="542"/>
      <c r="V67" s="543"/>
      <c r="W67" s="543"/>
      <c r="X67" s="767"/>
      <c r="Y67" s="533"/>
      <c r="Z67" s="533"/>
      <c r="AA67" s="533"/>
      <c r="AB67" s="533"/>
      <c r="AC67" s="533"/>
      <c r="AD67" s="533"/>
      <c r="AE67" s="533"/>
      <c r="AF67" s="533"/>
      <c r="AG67" s="533"/>
      <c r="AH67" s="533"/>
      <c r="AI67" s="533"/>
      <c r="AJ67" s="533"/>
      <c r="AK67" s="533"/>
      <c r="AL67" s="533"/>
      <c r="AM67" s="537"/>
      <c r="AN67" s="533"/>
      <c r="AO67" s="533"/>
      <c r="AP67" s="533"/>
      <c r="AQ67" s="537"/>
      <c r="AR67" s="720"/>
      <c r="AS67" s="734"/>
      <c r="AT67" s="418"/>
      <c r="AU67" s="398" t="str">
        <f t="shared" si="41"/>
        <v>Executive and Council55555</v>
      </c>
      <c r="AV67" s="398" t="str">
        <f t="shared" si="41"/>
        <v>Finance and administration55555</v>
      </c>
      <c r="AW67" s="398" t="str">
        <f t="shared" si="41"/>
        <v>Internal audit55555</v>
      </c>
      <c r="AX67" s="398" t="str">
        <f t="shared" si="41"/>
        <v>Community and social services55555</v>
      </c>
      <c r="AY67" s="398" t="str">
        <f t="shared" si="41"/>
        <v>Sport and recreation55555</v>
      </c>
      <c r="AZ67" s="398" t="str">
        <f t="shared" si="41"/>
        <v>Public safety55555</v>
      </c>
      <c r="BA67" s="398" t="str">
        <f t="shared" si="41"/>
        <v>Housing55555</v>
      </c>
      <c r="BB67" s="398" t="str">
        <f t="shared" si="41"/>
        <v>Health55555</v>
      </c>
      <c r="BC67" s="398" t="str">
        <f t="shared" si="41"/>
        <v>Planning and development55555</v>
      </c>
      <c r="BD67" s="398" t="str">
        <f t="shared" si="41"/>
        <v>Road transport55555</v>
      </c>
      <c r="BE67" s="398" t="str">
        <f t="shared" si="41"/>
        <v>Environmental protection55555</v>
      </c>
      <c r="BF67" s="398" t="str">
        <f t="shared" si="41"/>
        <v>Other55555</v>
      </c>
      <c r="BG67" s="398" t="str">
        <f t="shared" si="41"/>
        <v>Energy sources55555</v>
      </c>
      <c r="BH67" s="398" t="str">
        <f t="shared" si="41"/>
        <v>Water management55555</v>
      </c>
      <c r="BI67" s="398" t="str">
        <f t="shared" si="41"/>
        <v>Waste water management55555</v>
      </c>
      <c r="BJ67" s="398" t="str">
        <f t="shared" si="41"/>
        <v>Waste management55555</v>
      </c>
      <c r="BK67" s="745">
        <v>55555</v>
      </c>
      <c r="BL67" s="745">
        <v>55555</v>
      </c>
      <c r="BM67" s="401"/>
      <c r="BN67" s="738" t="s">
        <v>769</v>
      </c>
      <c r="BO67" s="542"/>
      <c r="BP67" s="543"/>
      <c r="BQ67" s="543"/>
      <c r="BR67" s="767"/>
      <c r="BS67" s="533"/>
      <c r="BT67" s="533"/>
      <c r="BU67" s="533"/>
      <c r="BV67" s="533"/>
      <c r="BW67" s="533"/>
      <c r="BX67" s="533"/>
      <c r="BY67" s="533"/>
      <c r="BZ67" s="533"/>
      <c r="CA67" s="533"/>
      <c r="CB67" s="533"/>
      <c r="CC67" s="533"/>
      <c r="CD67" s="533"/>
      <c r="CE67" s="533"/>
      <c r="CF67" s="533"/>
      <c r="CG67" s="537"/>
      <c r="CH67" s="533"/>
      <c r="CI67" s="533"/>
      <c r="CJ67" s="533"/>
      <c r="CK67" s="537"/>
      <c r="CL67" s="720"/>
      <c r="CM67" s="734"/>
      <c r="CO67" s="398" t="str">
        <f t="shared" si="42"/>
        <v>Executive and Council55555</v>
      </c>
      <c r="CP67" s="398" t="str">
        <f t="shared" si="42"/>
        <v>Finance and administration55555</v>
      </c>
      <c r="CQ67" s="398" t="str">
        <f t="shared" si="42"/>
        <v>Internal audit55555</v>
      </c>
      <c r="CR67" s="398" t="str">
        <f t="shared" si="42"/>
        <v>Community and social services55555</v>
      </c>
      <c r="CS67" s="398" t="str">
        <f t="shared" si="42"/>
        <v>Sport and recreation55555</v>
      </c>
      <c r="CT67" s="398" t="str">
        <f t="shared" si="42"/>
        <v>Public safety55555</v>
      </c>
      <c r="CU67" s="398" t="str">
        <f t="shared" si="42"/>
        <v>Housing55555</v>
      </c>
      <c r="CV67" s="398" t="str">
        <f t="shared" si="42"/>
        <v>Health55555</v>
      </c>
      <c r="CW67" s="398" t="str">
        <f t="shared" si="42"/>
        <v>Planning and development55555</v>
      </c>
      <c r="CX67" s="398" t="str">
        <f t="shared" si="42"/>
        <v>Road transport55555</v>
      </c>
      <c r="CY67" s="398" t="str">
        <f t="shared" si="42"/>
        <v>Environmental protection55555</v>
      </c>
      <c r="CZ67" s="398" t="str">
        <f t="shared" si="42"/>
        <v>Other55555</v>
      </c>
      <c r="DA67" s="398" t="str">
        <f t="shared" si="42"/>
        <v>Energy sources55555</v>
      </c>
      <c r="DB67" s="398" t="str">
        <f t="shared" si="42"/>
        <v>Water management55555</v>
      </c>
      <c r="DC67" s="398" t="str">
        <f t="shared" si="42"/>
        <v>Waste water management55555</v>
      </c>
      <c r="DD67" s="398" t="str">
        <f t="shared" si="42"/>
        <v>Waste management55555</v>
      </c>
      <c r="DE67" s="745">
        <v>55555</v>
      </c>
      <c r="DF67" s="745">
        <v>55555</v>
      </c>
      <c r="DG67" s="401"/>
      <c r="DH67" s="738" t="s">
        <v>769</v>
      </c>
      <c r="DI67" s="542"/>
      <c r="DJ67" s="543"/>
      <c r="DK67" s="543"/>
      <c r="DL67" s="767"/>
      <c r="DM67" s="533"/>
      <c r="DN67" s="533"/>
      <c r="DO67" s="533"/>
      <c r="DP67" s="533"/>
      <c r="DQ67" s="533"/>
      <c r="DR67" s="533"/>
      <c r="DS67" s="533"/>
      <c r="DT67" s="533"/>
      <c r="DU67" s="533"/>
      <c r="DV67" s="533"/>
      <c r="DW67" s="533"/>
      <c r="DX67" s="533"/>
      <c r="DY67" s="533"/>
      <c r="DZ67" s="533"/>
      <c r="EA67" s="537"/>
      <c r="EB67" s="533"/>
      <c r="EC67" s="533"/>
      <c r="ED67" s="533"/>
      <c r="EE67" s="537"/>
      <c r="EF67" s="720"/>
      <c r="EG67" s="978"/>
      <c r="EH67" s="978"/>
      <c r="EI67" s="978"/>
      <c r="EJ67" s="978"/>
      <c r="EK67" s="978"/>
      <c r="EL67" s="978"/>
      <c r="EM67" s="978"/>
      <c r="EN67" s="978"/>
      <c r="EO67" s="978"/>
      <c r="EP67" s="978"/>
      <c r="EQ67" s="978"/>
      <c r="ER67" s="978"/>
      <c r="ES67" s="978"/>
      <c r="ET67" s="978"/>
      <c r="EU67" s="978"/>
      <c r="EV67" s="978"/>
      <c r="EW67" s="978"/>
      <c r="EX67" s="978"/>
      <c r="EY67" s="978"/>
      <c r="EZ67" s="978"/>
      <c r="FA67" s="978"/>
      <c r="FB67" s="978"/>
      <c r="FC67" s="978"/>
      <c r="FD67" s="978"/>
      <c r="FE67" s="978"/>
      <c r="FF67" s="978"/>
      <c r="FG67" s="978"/>
      <c r="FH67" s="978"/>
      <c r="FI67" s="978"/>
      <c r="FJ67" s="978"/>
      <c r="FK67" s="978"/>
      <c r="FL67" s="978"/>
      <c r="FM67" s="978"/>
      <c r="FN67" s="978"/>
      <c r="FO67" s="978"/>
      <c r="FP67" s="978"/>
      <c r="FQ67" s="978"/>
      <c r="FR67" s="978"/>
      <c r="FS67" s="978"/>
      <c r="FT67" s="978"/>
      <c r="FU67" s="978"/>
      <c r="FV67" s="978"/>
      <c r="FW67" s="978"/>
      <c r="FX67" s="978"/>
      <c r="FY67" s="978"/>
      <c r="FZ67" s="978"/>
      <c r="GA67" s="978"/>
      <c r="GB67" s="978"/>
      <c r="GC67" s="978"/>
      <c r="GD67" s="978"/>
      <c r="GE67" s="978"/>
      <c r="GF67" s="978"/>
      <c r="GG67" s="978"/>
      <c r="GH67" s="978"/>
      <c r="GI67" s="978"/>
      <c r="GJ67" s="978"/>
      <c r="GK67" s="978"/>
      <c r="GL67" s="978"/>
      <c r="GM67" s="978"/>
      <c r="GN67" s="978"/>
      <c r="GO67" s="978"/>
      <c r="GP67" s="978"/>
      <c r="GQ67" s="978"/>
      <c r="GR67" s="978"/>
      <c r="GS67" s="978"/>
      <c r="GT67" s="978"/>
      <c r="GU67" s="978"/>
      <c r="GV67" s="978"/>
      <c r="GW67" s="978"/>
      <c r="GX67" s="978"/>
      <c r="GY67" s="978"/>
      <c r="GZ67" s="978"/>
      <c r="HA67" s="978"/>
      <c r="HB67" s="978"/>
      <c r="HC67" s="978"/>
      <c r="HD67" s="978"/>
      <c r="HE67" s="978"/>
      <c r="HF67" s="978"/>
      <c r="HG67" s="978"/>
      <c r="HH67" s="978"/>
      <c r="HI67" s="978"/>
      <c r="HJ67" s="978"/>
      <c r="HK67" s="978"/>
      <c r="HL67" s="978"/>
      <c r="HM67" s="978"/>
      <c r="HN67" s="978"/>
      <c r="HO67" s="978"/>
      <c r="HP67" s="978"/>
      <c r="HQ67" s="978"/>
      <c r="HR67" s="978"/>
      <c r="HS67" s="978"/>
      <c r="HT67" s="978"/>
      <c r="HU67" s="978"/>
      <c r="HV67" s="978"/>
      <c r="HW67" s="978"/>
      <c r="HX67" s="978"/>
      <c r="HY67" s="978"/>
      <c r="HZ67" s="978"/>
      <c r="IA67" s="978"/>
      <c r="IB67" s="978"/>
      <c r="IC67" s="978"/>
      <c r="ID67" s="978"/>
      <c r="IE67" s="978"/>
      <c r="IF67" s="978"/>
      <c r="IG67" s="978"/>
      <c r="IH67" s="978"/>
      <c r="II67" s="978"/>
      <c r="IJ67" s="978"/>
      <c r="IK67" s="978"/>
      <c r="IL67" s="978"/>
      <c r="IM67" s="978"/>
      <c r="IN67" s="978"/>
      <c r="IO67" s="978"/>
      <c r="IP67" s="978"/>
      <c r="IQ67" s="978"/>
      <c r="IR67" s="978"/>
      <c r="IS67" s="978"/>
      <c r="IT67" s="978"/>
      <c r="IU67" s="978"/>
      <c r="IV67" s="978"/>
    </row>
    <row r="68" spans="1:256" s="402" customFormat="1" ht="12" customHeight="1" x14ac:dyDescent="0.35">
      <c r="A68" s="398" t="str">
        <f t="shared" si="40"/>
        <v>Executive and Council55555</v>
      </c>
      <c r="B68" s="398" t="str">
        <f t="shared" si="39"/>
        <v>Finance and administration55555</v>
      </c>
      <c r="C68" s="398" t="str">
        <f t="shared" si="39"/>
        <v>Internal audit55555</v>
      </c>
      <c r="D68" s="398" t="str">
        <f t="shared" si="39"/>
        <v>Community and social services55555</v>
      </c>
      <c r="E68" s="398" t="str">
        <f t="shared" si="39"/>
        <v>Sport and recreation55555</v>
      </c>
      <c r="F68" s="398" t="str">
        <f t="shared" si="39"/>
        <v>Public safety55555</v>
      </c>
      <c r="G68" s="398" t="str">
        <f t="shared" si="39"/>
        <v>Housing55555</v>
      </c>
      <c r="H68" s="398" t="str">
        <f t="shared" si="39"/>
        <v>Health55555</v>
      </c>
      <c r="I68" s="398" t="str">
        <f t="shared" si="39"/>
        <v>Planning and development55555</v>
      </c>
      <c r="J68" s="398" t="str">
        <f t="shared" si="39"/>
        <v>Road transport55555</v>
      </c>
      <c r="K68" s="398" t="str">
        <f t="shared" si="39"/>
        <v>Environmental protection55555</v>
      </c>
      <c r="L68" s="398" t="str">
        <f t="shared" si="39"/>
        <v>Other55555</v>
      </c>
      <c r="M68" s="398" t="str">
        <f t="shared" si="39"/>
        <v>Energy sources55555</v>
      </c>
      <c r="N68" s="398" t="str">
        <f t="shared" si="39"/>
        <v>Water management55555</v>
      </c>
      <c r="O68" s="398" t="str">
        <f t="shared" si="39"/>
        <v>Waste water management55555</v>
      </c>
      <c r="P68" s="398" t="str">
        <f t="shared" si="39"/>
        <v>Waste management55555</v>
      </c>
      <c r="Q68" s="745">
        <v>55555</v>
      </c>
      <c r="R68" s="745">
        <v>55555</v>
      </c>
      <c r="S68" s="962"/>
      <c r="T68" s="738" t="s">
        <v>795</v>
      </c>
      <c r="U68" s="542"/>
      <c r="V68" s="543"/>
      <c r="W68" s="543"/>
      <c r="X68" s="767"/>
      <c r="Y68" s="533"/>
      <c r="Z68" s="533"/>
      <c r="AA68" s="533"/>
      <c r="AB68" s="533"/>
      <c r="AC68" s="533"/>
      <c r="AD68" s="533"/>
      <c r="AE68" s="533"/>
      <c r="AF68" s="533"/>
      <c r="AG68" s="533"/>
      <c r="AH68" s="533"/>
      <c r="AI68" s="533"/>
      <c r="AJ68" s="533"/>
      <c r="AK68" s="533"/>
      <c r="AL68" s="533"/>
      <c r="AM68" s="537"/>
      <c r="AN68" s="533"/>
      <c r="AO68" s="533"/>
      <c r="AP68" s="533"/>
      <c r="AQ68" s="537"/>
      <c r="AR68" s="720"/>
      <c r="AS68" s="734"/>
      <c r="AT68" s="418"/>
      <c r="AU68" s="398" t="str">
        <f t="shared" si="41"/>
        <v>Executive and Council55555</v>
      </c>
      <c r="AV68" s="398" t="str">
        <f t="shared" si="41"/>
        <v>Finance and administration55555</v>
      </c>
      <c r="AW68" s="398" t="str">
        <f t="shared" si="41"/>
        <v>Internal audit55555</v>
      </c>
      <c r="AX68" s="398" t="str">
        <f t="shared" si="41"/>
        <v>Community and social services55555</v>
      </c>
      <c r="AY68" s="398" t="str">
        <f t="shared" si="41"/>
        <v>Sport and recreation55555</v>
      </c>
      <c r="AZ68" s="398" t="str">
        <f t="shared" si="41"/>
        <v>Public safety55555</v>
      </c>
      <c r="BA68" s="398" t="str">
        <f t="shared" si="41"/>
        <v>Housing55555</v>
      </c>
      <c r="BB68" s="398" t="str">
        <f t="shared" si="41"/>
        <v>Health55555</v>
      </c>
      <c r="BC68" s="398" t="str">
        <f t="shared" si="41"/>
        <v>Planning and development55555</v>
      </c>
      <c r="BD68" s="398" t="str">
        <f t="shared" si="41"/>
        <v>Road transport55555</v>
      </c>
      <c r="BE68" s="398" t="str">
        <f t="shared" si="41"/>
        <v>Environmental protection55555</v>
      </c>
      <c r="BF68" s="398" t="str">
        <f t="shared" si="41"/>
        <v>Other55555</v>
      </c>
      <c r="BG68" s="398" t="str">
        <f t="shared" si="41"/>
        <v>Energy sources55555</v>
      </c>
      <c r="BH68" s="398" t="str">
        <f t="shared" si="41"/>
        <v>Water management55555</v>
      </c>
      <c r="BI68" s="398" t="str">
        <f t="shared" si="41"/>
        <v>Waste water management55555</v>
      </c>
      <c r="BJ68" s="398" t="str">
        <f t="shared" si="41"/>
        <v>Waste management55555</v>
      </c>
      <c r="BK68" s="745">
        <v>55555</v>
      </c>
      <c r="BL68" s="745">
        <v>55555</v>
      </c>
      <c r="BM68" s="401"/>
      <c r="BN68" s="738" t="s">
        <v>795</v>
      </c>
      <c r="BO68" s="542"/>
      <c r="BP68" s="543"/>
      <c r="BQ68" s="543"/>
      <c r="BR68" s="767"/>
      <c r="BS68" s="533"/>
      <c r="BT68" s="533"/>
      <c r="BU68" s="533"/>
      <c r="BV68" s="533"/>
      <c r="BW68" s="533"/>
      <c r="BX68" s="533"/>
      <c r="BY68" s="533"/>
      <c r="BZ68" s="533"/>
      <c r="CA68" s="533"/>
      <c r="CB68" s="533"/>
      <c r="CC68" s="533"/>
      <c r="CD68" s="533"/>
      <c r="CE68" s="533"/>
      <c r="CF68" s="533"/>
      <c r="CG68" s="537"/>
      <c r="CH68" s="533"/>
      <c r="CI68" s="533"/>
      <c r="CJ68" s="533"/>
      <c r="CK68" s="537"/>
      <c r="CL68" s="720"/>
      <c r="CM68" s="734"/>
      <c r="CO68" s="398" t="str">
        <f t="shared" si="42"/>
        <v>Executive and Council55555</v>
      </c>
      <c r="CP68" s="398" t="str">
        <f t="shared" si="42"/>
        <v>Finance and administration55555</v>
      </c>
      <c r="CQ68" s="398" t="str">
        <f t="shared" si="42"/>
        <v>Internal audit55555</v>
      </c>
      <c r="CR68" s="398" t="str">
        <f t="shared" si="42"/>
        <v>Community and social services55555</v>
      </c>
      <c r="CS68" s="398" t="str">
        <f t="shared" si="42"/>
        <v>Sport and recreation55555</v>
      </c>
      <c r="CT68" s="398" t="str">
        <f t="shared" si="42"/>
        <v>Public safety55555</v>
      </c>
      <c r="CU68" s="398" t="str">
        <f t="shared" si="42"/>
        <v>Housing55555</v>
      </c>
      <c r="CV68" s="398" t="str">
        <f t="shared" si="42"/>
        <v>Health55555</v>
      </c>
      <c r="CW68" s="398" t="str">
        <f t="shared" si="42"/>
        <v>Planning and development55555</v>
      </c>
      <c r="CX68" s="398" t="str">
        <f t="shared" si="42"/>
        <v>Road transport55555</v>
      </c>
      <c r="CY68" s="398" t="str">
        <f t="shared" si="42"/>
        <v>Environmental protection55555</v>
      </c>
      <c r="CZ68" s="398" t="str">
        <f t="shared" si="42"/>
        <v>Other55555</v>
      </c>
      <c r="DA68" s="398" t="str">
        <f t="shared" si="42"/>
        <v>Energy sources55555</v>
      </c>
      <c r="DB68" s="398" t="str">
        <f t="shared" si="42"/>
        <v>Water management55555</v>
      </c>
      <c r="DC68" s="398" t="str">
        <f t="shared" si="42"/>
        <v>Waste water management55555</v>
      </c>
      <c r="DD68" s="398" t="str">
        <f t="shared" si="42"/>
        <v>Waste management55555</v>
      </c>
      <c r="DE68" s="745">
        <v>55555</v>
      </c>
      <c r="DF68" s="745">
        <v>55555</v>
      </c>
      <c r="DG68" s="401"/>
      <c r="DH68" s="738" t="s">
        <v>795</v>
      </c>
      <c r="DI68" s="542"/>
      <c r="DJ68" s="543"/>
      <c r="DK68" s="543"/>
      <c r="DL68" s="767"/>
      <c r="DM68" s="533"/>
      <c r="DN68" s="533"/>
      <c r="DO68" s="533"/>
      <c r="DP68" s="533"/>
      <c r="DQ68" s="533"/>
      <c r="DR68" s="533"/>
      <c r="DS68" s="533"/>
      <c r="DT68" s="533"/>
      <c r="DU68" s="533"/>
      <c r="DV68" s="533"/>
      <c r="DW68" s="533"/>
      <c r="DX68" s="533"/>
      <c r="DY68" s="533"/>
      <c r="DZ68" s="533"/>
      <c r="EA68" s="537"/>
      <c r="EB68" s="533"/>
      <c r="EC68" s="533"/>
      <c r="ED68" s="533"/>
      <c r="EE68" s="537"/>
      <c r="EF68" s="720"/>
      <c r="EG68" s="978"/>
      <c r="EH68" s="978"/>
      <c r="EI68" s="978"/>
      <c r="EJ68" s="978"/>
      <c r="EK68" s="978"/>
      <c r="EL68" s="978"/>
      <c r="EM68" s="978"/>
      <c r="EN68" s="978"/>
      <c r="EO68" s="978"/>
      <c r="EP68" s="978"/>
      <c r="EQ68" s="978"/>
      <c r="ER68" s="978"/>
      <c r="ES68" s="978"/>
      <c r="ET68" s="978"/>
      <c r="EU68" s="978"/>
      <c r="EV68" s="978"/>
      <c r="EW68" s="978"/>
      <c r="EX68" s="978"/>
      <c r="EY68" s="978"/>
      <c r="EZ68" s="978"/>
      <c r="FA68" s="978"/>
      <c r="FB68" s="978"/>
      <c r="FC68" s="978"/>
      <c r="FD68" s="978"/>
      <c r="FE68" s="978"/>
      <c r="FF68" s="978"/>
      <c r="FG68" s="978"/>
      <c r="FH68" s="978"/>
      <c r="FI68" s="978"/>
      <c r="FJ68" s="978"/>
      <c r="FK68" s="978"/>
      <c r="FL68" s="978"/>
      <c r="FM68" s="978"/>
      <c r="FN68" s="978"/>
      <c r="FO68" s="978"/>
      <c r="FP68" s="978"/>
      <c r="FQ68" s="978"/>
      <c r="FR68" s="978"/>
      <c r="FS68" s="978"/>
      <c r="FT68" s="978"/>
      <c r="FU68" s="978"/>
      <c r="FV68" s="978"/>
      <c r="FW68" s="978"/>
      <c r="FX68" s="978"/>
      <c r="FY68" s="978"/>
      <c r="FZ68" s="978"/>
      <c r="GA68" s="978"/>
      <c r="GB68" s="978"/>
      <c r="GC68" s="978"/>
      <c r="GD68" s="978"/>
      <c r="GE68" s="978"/>
      <c r="GF68" s="978"/>
      <c r="GG68" s="978"/>
      <c r="GH68" s="978"/>
      <c r="GI68" s="978"/>
      <c r="GJ68" s="978"/>
      <c r="GK68" s="978"/>
      <c r="GL68" s="978"/>
      <c r="GM68" s="978"/>
      <c r="GN68" s="978"/>
      <c r="GO68" s="978"/>
      <c r="GP68" s="978"/>
      <c r="GQ68" s="978"/>
      <c r="GR68" s="978"/>
      <c r="GS68" s="978"/>
      <c r="GT68" s="978"/>
      <c r="GU68" s="978"/>
      <c r="GV68" s="978"/>
      <c r="GW68" s="978"/>
      <c r="GX68" s="978"/>
      <c r="GY68" s="978"/>
      <c r="GZ68" s="978"/>
      <c r="HA68" s="978"/>
      <c r="HB68" s="978"/>
      <c r="HC68" s="978"/>
      <c r="HD68" s="978"/>
      <c r="HE68" s="978"/>
      <c r="HF68" s="978"/>
      <c r="HG68" s="978"/>
      <c r="HH68" s="978"/>
      <c r="HI68" s="978"/>
      <c r="HJ68" s="978"/>
      <c r="HK68" s="978"/>
      <c r="HL68" s="978"/>
      <c r="HM68" s="978"/>
      <c r="HN68" s="978"/>
      <c r="HO68" s="978"/>
      <c r="HP68" s="978"/>
      <c r="HQ68" s="978"/>
      <c r="HR68" s="978"/>
      <c r="HS68" s="978"/>
      <c r="HT68" s="978"/>
      <c r="HU68" s="978"/>
      <c r="HV68" s="978"/>
      <c r="HW68" s="978"/>
      <c r="HX68" s="978"/>
      <c r="HY68" s="978"/>
      <c r="HZ68" s="978"/>
      <c r="IA68" s="978"/>
      <c r="IB68" s="978"/>
      <c r="IC68" s="978"/>
      <c r="ID68" s="978"/>
      <c r="IE68" s="978"/>
      <c r="IF68" s="978"/>
      <c r="IG68" s="978"/>
      <c r="IH68" s="978"/>
      <c r="II68" s="978"/>
      <c r="IJ68" s="978"/>
      <c r="IK68" s="978"/>
      <c r="IL68" s="978"/>
      <c r="IM68" s="978"/>
      <c r="IN68" s="978"/>
      <c r="IO68" s="978"/>
      <c r="IP68" s="978"/>
      <c r="IQ68" s="978"/>
      <c r="IR68" s="978"/>
      <c r="IS68" s="978"/>
      <c r="IT68" s="978"/>
      <c r="IU68" s="978"/>
      <c r="IV68" s="978"/>
    </row>
    <row r="69" spans="1:256" s="402" customFormat="1" ht="12" customHeight="1" x14ac:dyDescent="0.35">
      <c r="A69" s="398" t="str">
        <f t="shared" si="40"/>
        <v>Executive and Council55555</v>
      </c>
      <c r="B69" s="398" t="str">
        <f t="shared" si="39"/>
        <v>Finance and administration55555</v>
      </c>
      <c r="C69" s="398" t="str">
        <f t="shared" si="39"/>
        <v>Internal audit55555</v>
      </c>
      <c r="D69" s="398" t="str">
        <f t="shared" si="39"/>
        <v>Community and social services55555</v>
      </c>
      <c r="E69" s="398" t="str">
        <f t="shared" si="39"/>
        <v>Sport and recreation55555</v>
      </c>
      <c r="F69" s="398" t="str">
        <f t="shared" si="39"/>
        <v>Public safety55555</v>
      </c>
      <c r="G69" s="398" t="str">
        <f t="shared" si="39"/>
        <v>Housing55555</v>
      </c>
      <c r="H69" s="398" t="str">
        <f t="shared" si="39"/>
        <v>Health55555</v>
      </c>
      <c r="I69" s="398" t="str">
        <f t="shared" si="39"/>
        <v>Planning and development55555</v>
      </c>
      <c r="J69" s="398" t="str">
        <f t="shared" si="39"/>
        <v>Road transport55555</v>
      </c>
      <c r="K69" s="398" t="str">
        <f t="shared" si="39"/>
        <v>Environmental protection55555</v>
      </c>
      <c r="L69" s="398" t="str">
        <f t="shared" si="39"/>
        <v>Other55555</v>
      </c>
      <c r="M69" s="398" t="str">
        <f t="shared" si="39"/>
        <v>Energy sources55555</v>
      </c>
      <c r="N69" s="398" t="str">
        <f t="shared" si="39"/>
        <v>Water management55555</v>
      </c>
      <c r="O69" s="398" t="str">
        <f t="shared" si="39"/>
        <v>Waste water management55555</v>
      </c>
      <c r="P69" s="398" t="str">
        <f t="shared" si="39"/>
        <v>Waste management55555</v>
      </c>
      <c r="Q69" s="745">
        <v>55555</v>
      </c>
      <c r="R69" s="745">
        <v>55555</v>
      </c>
      <c r="S69" s="962"/>
      <c r="T69" s="738" t="s">
        <v>775</v>
      </c>
      <c r="U69" s="542"/>
      <c r="V69" s="543"/>
      <c r="W69" s="543"/>
      <c r="X69" s="767"/>
      <c r="Y69" s="533"/>
      <c r="Z69" s="533"/>
      <c r="AA69" s="533"/>
      <c r="AB69" s="533"/>
      <c r="AC69" s="533"/>
      <c r="AD69" s="533"/>
      <c r="AE69" s="533"/>
      <c r="AF69" s="533"/>
      <c r="AG69" s="533"/>
      <c r="AH69" s="533"/>
      <c r="AI69" s="533"/>
      <c r="AJ69" s="533"/>
      <c r="AK69" s="533"/>
      <c r="AL69" s="533"/>
      <c r="AM69" s="537"/>
      <c r="AN69" s="533"/>
      <c r="AO69" s="533"/>
      <c r="AP69" s="533"/>
      <c r="AQ69" s="537"/>
      <c r="AR69" s="720"/>
      <c r="AS69" s="734"/>
      <c r="AT69" s="418"/>
      <c r="AU69" s="398" t="str">
        <f t="shared" si="41"/>
        <v>Executive and Council55555</v>
      </c>
      <c r="AV69" s="398" t="str">
        <f t="shared" si="41"/>
        <v>Finance and administration55555</v>
      </c>
      <c r="AW69" s="398" t="str">
        <f t="shared" si="41"/>
        <v>Internal audit55555</v>
      </c>
      <c r="AX69" s="398" t="str">
        <f t="shared" si="41"/>
        <v>Community and social services55555</v>
      </c>
      <c r="AY69" s="398" t="str">
        <f t="shared" si="41"/>
        <v>Sport and recreation55555</v>
      </c>
      <c r="AZ69" s="398" t="str">
        <f t="shared" si="41"/>
        <v>Public safety55555</v>
      </c>
      <c r="BA69" s="398" t="str">
        <f t="shared" si="41"/>
        <v>Housing55555</v>
      </c>
      <c r="BB69" s="398" t="str">
        <f t="shared" si="41"/>
        <v>Health55555</v>
      </c>
      <c r="BC69" s="398" t="str">
        <f t="shared" si="41"/>
        <v>Planning and development55555</v>
      </c>
      <c r="BD69" s="398" t="str">
        <f t="shared" si="41"/>
        <v>Road transport55555</v>
      </c>
      <c r="BE69" s="398" t="str">
        <f t="shared" si="41"/>
        <v>Environmental protection55555</v>
      </c>
      <c r="BF69" s="398" t="str">
        <f t="shared" si="41"/>
        <v>Other55555</v>
      </c>
      <c r="BG69" s="398" t="str">
        <f t="shared" si="41"/>
        <v>Energy sources55555</v>
      </c>
      <c r="BH69" s="398" t="str">
        <f t="shared" si="41"/>
        <v>Water management55555</v>
      </c>
      <c r="BI69" s="398" t="str">
        <f t="shared" si="41"/>
        <v>Waste water management55555</v>
      </c>
      <c r="BJ69" s="398" t="str">
        <f t="shared" si="41"/>
        <v>Waste management55555</v>
      </c>
      <c r="BK69" s="745">
        <v>55555</v>
      </c>
      <c r="BL69" s="745">
        <v>55555</v>
      </c>
      <c r="BM69" s="401"/>
      <c r="BN69" s="738" t="s">
        <v>775</v>
      </c>
      <c r="BO69" s="542"/>
      <c r="BP69" s="543"/>
      <c r="BQ69" s="543"/>
      <c r="BR69" s="767"/>
      <c r="BS69" s="533"/>
      <c r="BT69" s="533"/>
      <c r="BU69" s="533"/>
      <c r="BV69" s="533"/>
      <c r="BW69" s="533"/>
      <c r="BX69" s="533"/>
      <c r="BY69" s="533"/>
      <c r="BZ69" s="533"/>
      <c r="CA69" s="533"/>
      <c r="CB69" s="533"/>
      <c r="CC69" s="533"/>
      <c r="CD69" s="533"/>
      <c r="CE69" s="533"/>
      <c r="CF69" s="533"/>
      <c r="CG69" s="537"/>
      <c r="CH69" s="533"/>
      <c r="CI69" s="533"/>
      <c r="CJ69" s="533"/>
      <c r="CK69" s="537"/>
      <c r="CL69" s="720"/>
      <c r="CM69" s="734"/>
      <c r="CO69" s="398" t="str">
        <f t="shared" si="42"/>
        <v>Executive and Council55555</v>
      </c>
      <c r="CP69" s="398" t="str">
        <f t="shared" si="42"/>
        <v>Finance and administration55555</v>
      </c>
      <c r="CQ69" s="398" t="str">
        <f t="shared" si="42"/>
        <v>Internal audit55555</v>
      </c>
      <c r="CR69" s="398" t="str">
        <f t="shared" si="42"/>
        <v>Community and social services55555</v>
      </c>
      <c r="CS69" s="398" t="str">
        <f t="shared" si="42"/>
        <v>Sport and recreation55555</v>
      </c>
      <c r="CT69" s="398" t="str">
        <f t="shared" si="42"/>
        <v>Public safety55555</v>
      </c>
      <c r="CU69" s="398" t="str">
        <f t="shared" si="42"/>
        <v>Housing55555</v>
      </c>
      <c r="CV69" s="398" t="str">
        <f t="shared" si="42"/>
        <v>Health55555</v>
      </c>
      <c r="CW69" s="398" t="str">
        <f t="shared" si="42"/>
        <v>Planning and development55555</v>
      </c>
      <c r="CX69" s="398" t="str">
        <f t="shared" si="42"/>
        <v>Road transport55555</v>
      </c>
      <c r="CY69" s="398" t="str">
        <f t="shared" si="42"/>
        <v>Environmental protection55555</v>
      </c>
      <c r="CZ69" s="398" t="str">
        <f t="shared" si="42"/>
        <v>Other55555</v>
      </c>
      <c r="DA69" s="398" t="str">
        <f t="shared" si="42"/>
        <v>Energy sources55555</v>
      </c>
      <c r="DB69" s="398" t="str">
        <f t="shared" si="42"/>
        <v>Water management55555</v>
      </c>
      <c r="DC69" s="398" t="str">
        <f t="shared" si="42"/>
        <v>Waste water management55555</v>
      </c>
      <c r="DD69" s="398" t="str">
        <f t="shared" si="42"/>
        <v>Waste management55555</v>
      </c>
      <c r="DE69" s="745">
        <v>55555</v>
      </c>
      <c r="DF69" s="745">
        <v>55555</v>
      </c>
      <c r="DG69" s="401"/>
      <c r="DH69" s="738" t="s">
        <v>775</v>
      </c>
      <c r="DI69" s="542"/>
      <c r="DJ69" s="543"/>
      <c r="DK69" s="543"/>
      <c r="DL69" s="767"/>
      <c r="DM69" s="533"/>
      <c r="DN69" s="533"/>
      <c r="DO69" s="533"/>
      <c r="DP69" s="533"/>
      <c r="DQ69" s="533"/>
      <c r="DR69" s="533"/>
      <c r="DS69" s="533"/>
      <c r="DT69" s="533"/>
      <c r="DU69" s="533"/>
      <c r="DV69" s="533"/>
      <c r="DW69" s="533"/>
      <c r="DX69" s="533"/>
      <c r="DY69" s="533"/>
      <c r="DZ69" s="533"/>
      <c r="EA69" s="537"/>
      <c r="EB69" s="533"/>
      <c r="EC69" s="533"/>
      <c r="ED69" s="533"/>
      <c r="EE69" s="537"/>
      <c r="EF69" s="720"/>
      <c r="EG69" s="978"/>
      <c r="EH69" s="978"/>
      <c r="EI69" s="978"/>
      <c r="EJ69" s="978"/>
      <c r="EK69" s="978"/>
      <c r="EL69" s="978"/>
      <c r="EM69" s="978"/>
      <c r="EN69" s="978"/>
      <c r="EO69" s="978"/>
      <c r="EP69" s="978"/>
      <c r="EQ69" s="978"/>
      <c r="ER69" s="978"/>
      <c r="ES69" s="978"/>
      <c r="ET69" s="978"/>
      <c r="EU69" s="978"/>
      <c r="EV69" s="978"/>
      <c r="EW69" s="978"/>
      <c r="EX69" s="978"/>
      <c r="EY69" s="978"/>
      <c r="EZ69" s="978"/>
      <c r="FA69" s="978"/>
      <c r="FB69" s="978"/>
      <c r="FC69" s="978"/>
      <c r="FD69" s="978"/>
      <c r="FE69" s="978"/>
      <c r="FF69" s="978"/>
      <c r="FG69" s="978"/>
      <c r="FH69" s="978"/>
      <c r="FI69" s="978"/>
      <c r="FJ69" s="978"/>
      <c r="FK69" s="978"/>
      <c r="FL69" s="978"/>
      <c r="FM69" s="978"/>
      <c r="FN69" s="978"/>
      <c r="FO69" s="978"/>
      <c r="FP69" s="978"/>
      <c r="FQ69" s="978"/>
      <c r="FR69" s="978"/>
      <c r="FS69" s="978"/>
      <c r="FT69" s="978"/>
      <c r="FU69" s="978"/>
      <c r="FV69" s="978"/>
      <c r="FW69" s="978"/>
      <c r="FX69" s="978"/>
      <c r="FY69" s="978"/>
      <c r="FZ69" s="978"/>
      <c r="GA69" s="978"/>
      <c r="GB69" s="978"/>
      <c r="GC69" s="978"/>
      <c r="GD69" s="978"/>
      <c r="GE69" s="978"/>
      <c r="GF69" s="978"/>
      <c r="GG69" s="978"/>
      <c r="GH69" s="978"/>
      <c r="GI69" s="978"/>
      <c r="GJ69" s="978"/>
      <c r="GK69" s="978"/>
      <c r="GL69" s="978"/>
      <c r="GM69" s="978"/>
      <c r="GN69" s="978"/>
      <c r="GO69" s="978"/>
      <c r="GP69" s="978"/>
      <c r="GQ69" s="978"/>
      <c r="GR69" s="978"/>
      <c r="GS69" s="978"/>
      <c r="GT69" s="978"/>
      <c r="GU69" s="978"/>
      <c r="GV69" s="978"/>
      <c r="GW69" s="978"/>
      <c r="GX69" s="978"/>
      <c r="GY69" s="978"/>
      <c r="GZ69" s="978"/>
      <c r="HA69" s="978"/>
      <c r="HB69" s="978"/>
      <c r="HC69" s="978"/>
      <c r="HD69" s="978"/>
      <c r="HE69" s="978"/>
      <c r="HF69" s="978"/>
      <c r="HG69" s="978"/>
      <c r="HH69" s="978"/>
      <c r="HI69" s="978"/>
      <c r="HJ69" s="978"/>
      <c r="HK69" s="978"/>
      <c r="HL69" s="978"/>
      <c r="HM69" s="978"/>
      <c r="HN69" s="978"/>
      <c r="HO69" s="978"/>
      <c r="HP69" s="978"/>
      <c r="HQ69" s="978"/>
      <c r="HR69" s="978"/>
      <c r="HS69" s="978"/>
      <c r="HT69" s="978"/>
      <c r="HU69" s="978"/>
      <c r="HV69" s="978"/>
      <c r="HW69" s="978"/>
      <c r="HX69" s="978"/>
      <c r="HY69" s="978"/>
      <c r="HZ69" s="978"/>
      <c r="IA69" s="978"/>
      <c r="IB69" s="978"/>
      <c r="IC69" s="978"/>
      <c r="ID69" s="978"/>
      <c r="IE69" s="978"/>
      <c r="IF69" s="978"/>
      <c r="IG69" s="978"/>
      <c r="IH69" s="978"/>
      <c r="II69" s="978"/>
      <c r="IJ69" s="978"/>
      <c r="IK69" s="978"/>
      <c r="IL69" s="978"/>
      <c r="IM69" s="978"/>
      <c r="IN69" s="978"/>
      <c r="IO69" s="978"/>
      <c r="IP69" s="978"/>
      <c r="IQ69" s="978"/>
      <c r="IR69" s="978"/>
      <c r="IS69" s="978"/>
      <c r="IT69" s="978"/>
      <c r="IU69" s="978"/>
      <c r="IV69" s="978"/>
    </row>
    <row r="70" spans="1:256" s="402" customFormat="1" ht="12" customHeight="1" x14ac:dyDescent="0.35">
      <c r="A70" s="398" t="str">
        <f t="shared" si="40"/>
        <v>Executive and Council55555</v>
      </c>
      <c r="B70" s="398" t="str">
        <f t="shared" si="39"/>
        <v>Finance and administration55555</v>
      </c>
      <c r="C70" s="398" t="str">
        <f t="shared" si="39"/>
        <v>Internal audit55555</v>
      </c>
      <c r="D70" s="398" t="str">
        <f t="shared" si="39"/>
        <v>Community and social services55555</v>
      </c>
      <c r="E70" s="398" t="str">
        <f t="shared" si="39"/>
        <v>Sport and recreation55555</v>
      </c>
      <c r="F70" s="398" t="str">
        <f t="shared" si="39"/>
        <v>Public safety55555</v>
      </c>
      <c r="G70" s="398" t="str">
        <f t="shared" si="39"/>
        <v>Housing55555</v>
      </c>
      <c r="H70" s="398" t="str">
        <f t="shared" si="39"/>
        <v>Health55555</v>
      </c>
      <c r="I70" s="398" t="str">
        <f t="shared" si="39"/>
        <v>Planning and development55555</v>
      </c>
      <c r="J70" s="398" t="str">
        <f t="shared" si="39"/>
        <v>Road transport55555</v>
      </c>
      <c r="K70" s="398" t="str">
        <f t="shared" si="39"/>
        <v>Environmental protection55555</v>
      </c>
      <c r="L70" s="398" t="str">
        <f t="shared" si="39"/>
        <v>Other55555</v>
      </c>
      <c r="M70" s="398" t="str">
        <f t="shared" si="39"/>
        <v>Energy sources55555</v>
      </c>
      <c r="N70" s="398" t="str">
        <f t="shared" si="39"/>
        <v>Water management55555</v>
      </c>
      <c r="O70" s="398" t="str">
        <f t="shared" si="39"/>
        <v>Waste water management55555</v>
      </c>
      <c r="P70" s="398" t="str">
        <f t="shared" si="39"/>
        <v>Waste management55555</v>
      </c>
      <c r="Q70" s="745">
        <v>55555</v>
      </c>
      <c r="R70" s="745">
        <v>55555</v>
      </c>
      <c r="S70" s="962"/>
      <c r="T70" s="738" t="s">
        <v>777</v>
      </c>
      <c r="U70" s="542"/>
      <c r="V70" s="543"/>
      <c r="W70" s="543"/>
      <c r="X70" s="767"/>
      <c r="Y70" s="533"/>
      <c r="Z70" s="533"/>
      <c r="AA70" s="533"/>
      <c r="AB70" s="533"/>
      <c r="AC70" s="533"/>
      <c r="AD70" s="533"/>
      <c r="AE70" s="533"/>
      <c r="AF70" s="533"/>
      <c r="AG70" s="533"/>
      <c r="AH70" s="533"/>
      <c r="AI70" s="533"/>
      <c r="AJ70" s="533"/>
      <c r="AK70" s="533"/>
      <c r="AL70" s="533"/>
      <c r="AM70" s="537"/>
      <c r="AN70" s="533"/>
      <c r="AO70" s="533"/>
      <c r="AP70" s="533"/>
      <c r="AQ70" s="537"/>
      <c r="AR70" s="720"/>
      <c r="AS70" s="734"/>
      <c r="AT70" s="418"/>
      <c r="AU70" s="398" t="str">
        <f t="shared" si="41"/>
        <v>Executive and Council55555</v>
      </c>
      <c r="AV70" s="398" t="str">
        <f t="shared" si="41"/>
        <v>Finance and administration55555</v>
      </c>
      <c r="AW70" s="398" t="str">
        <f t="shared" si="41"/>
        <v>Internal audit55555</v>
      </c>
      <c r="AX70" s="398" t="str">
        <f t="shared" si="41"/>
        <v>Community and social services55555</v>
      </c>
      <c r="AY70" s="398" t="str">
        <f t="shared" si="41"/>
        <v>Sport and recreation55555</v>
      </c>
      <c r="AZ70" s="398" t="str">
        <f t="shared" si="41"/>
        <v>Public safety55555</v>
      </c>
      <c r="BA70" s="398" t="str">
        <f t="shared" si="41"/>
        <v>Housing55555</v>
      </c>
      <c r="BB70" s="398" t="str">
        <f t="shared" si="41"/>
        <v>Health55555</v>
      </c>
      <c r="BC70" s="398" t="str">
        <f t="shared" si="41"/>
        <v>Planning and development55555</v>
      </c>
      <c r="BD70" s="398" t="str">
        <f t="shared" si="41"/>
        <v>Road transport55555</v>
      </c>
      <c r="BE70" s="398" t="str">
        <f t="shared" si="41"/>
        <v>Environmental protection55555</v>
      </c>
      <c r="BF70" s="398" t="str">
        <f t="shared" si="41"/>
        <v>Other55555</v>
      </c>
      <c r="BG70" s="398" t="str">
        <f t="shared" si="41"/>
        <v>Energy sources55555</v>
      </c>
      <c r="BH70" s="398" t="str">
        <f t="shared" si="41"/>
        <v>Water management55555</v>
      </c>
      <c r="BI70" s="398" t="str">
        <f t="shared" si="41"/>
        <v>Waste water management55555</v>
      </c>
      <c r="BJ70" s="398" t="str">
        <f t="shared" si="41"/>
        <v>Waste management55555</v>
      </c>
      <c r="BK70" s="745">
        <v>55555</v>
      </c>
      <c r="BL70" s="745">
        <v>55555</v>
      </c>
      <c r="BM70" s="401"/>
      <c r="BN70" s="738" t="s">
        <v>777</v>
      </c>
      <c r="BO70" s="542"/>
      <c r="BP70" s="543"/>
      <c r="BQ70" s="543"/>
      <c r="BR70" s="767"/>
      <c r="BS70" s="533"/>
      <c r="BT70" s="533"/>
      <c r="BU70" s="533"/>
      <c r="BV70" s="533"/>
      <c r="BW70" s="533"/>
      <c r="BX70" s="533"/>
      <c r="BY70" s="533"/>
      <c r="BZ70" s="533"/>
      <c r="CA70" s="533"/>
      <c r="CB70" s="533"/>
      <c r="CC70" s="533"/>
      <c r="CD70" s="533"/>
      <c r="CE70" s="533"/>
      <c r="CF70" s="533"/>
      <c r="CG70" s="537"/>
      <c r="CH70" s="533"/>
      <c r="CI70" s="533"/>
      <c r="CJ70" s="533"/>
      <c r="CK70" s="537"/>
      <c r="CL70" s="720"/>
      <c r="CM70" s="734"/>
      <c r="CO70" s="398" t="str">
        <f t="shared" si="42"/>
        <v>Executive and Council55555</v>
      </c>
      <c r="CP70" s="398" t="str">
        <f t="shared" si="42"/>
        <v>Finance and administration55555</v>
      </c>
      <c r="CQ70" s="398" t="str">
        <f t="shared" si="42"/>
        <v>Internal audit55555</v>
      </c>
      <c r="CR70" s="398" t="str">
        <f t="shared" si="42"/>
        <v>Community and social services55555</v>
      </c>
      <c r="CS70" s="398" t="str">
        <f t="shared" si="42"/>
        <v>Sport and recreation55555</v>
      </c>
      <c r="CT70" s="398" t="str">
        <f t="shared" si="42"/>
        <v>Public safety55555</v>
      </c>
      <c r="CU70" s="398" t="str">
        <f t="shared" si="42"/>
        <v>Housing55555</v>
      </c>
      <c r="CV70" s="398" t="str">
        <f t="shared" si="42"/>
        <v>Health55555</v>
      </c>
      <c r="CW70" s="398" t="str">
        <f t="shared" si="42"/>
        <v>Planning and development55555</v>
      </c>
      <c r="CX70" s="398" t="str">
        <f t="shared" si="42"/>
        <v>Road transport55555</v>
      </c>
      <c r="CY70" s="398" t="str">
        <f t="shared" si="42"/>
        <v>Environmental protection55555</v>
      </c>
      <c r="CZ70" s="398" t="str">
        <f t="shared" si="42"/>
        <v>Other55555</v>
      </c>
      <c r="DA70" s="398" t="str">
        <f t="shared" si="42"/>
        <v>Energy sources55555</v>
      </c>
      <c r="DB70" s="398" t="str">
        <f t="shared" si="42"/>
        <v>Water management55555</v>
      </c>
      <c r="DC70" s="398" t="str">
        <f t="shared" si="42"/>
        <v>Waste water management55555</v>
      </c>
      <c r="DD70" s="398" t="str">
        <f t="shared" si="42"/>
        <v>Waste management55555</v>
      </c>
      <c r="DE70" s="745">
        <v>55555</v>
      </c>
      <c r="DF70" s="745">
        <v>55555</v>
      </c>
      <c r="DG70" s="401"/>
      <c r="DH70" s="738" t="s">
        <v>777</v>
      </c>
      <c r="DI70" s="542"/>
      <c r="DJ70" s="543"/>
      <c r="DK70" s="543"/>
      <c r="DL70" s="767"/>
      <c r="DM70" s="533"/>
      <c r="DN70" s="533"/>
      <c r="DO70" s="533"/>
      <c r="DP70" s="533"/>
      <c r="DQ70" s="533"/>
      <c r="DR70" s="533"/>
      <c r="DS70" s="533"/>
      <c r="DT70" s="533"/>
      <c r="DU70" s="533"/>
      <c r="DV70" s="533"/>
      <c r="DW70" s="533"/>
      <c r="DX70" s="533"/>
      <c r="DY70" s="533"/>
      <c r="DZ70" s="533"/>
      <c r="EA70" s="537"/>
      <c r="EB70" s="533"/>
      <c r="EC70" s="533"/>
      <c r="ED70" s="533"/>
      <c r="EE70" s="537"/>
      <c r="EF70" s="720"/>
      <c r="EG70" s="978"/>
      <c r="EH70" s="978"/>
      <c r="EI70" s="978"/>
      <c r="EJ70" s="978"/>
      <c r="EK70" s="978"/>
      <c r="EL70" s="978"/>
      <c r="EM70" s="978"/>
      <c r="EN70" s="978"/>
      <c r="EO70" s="978"/>
      <c r="EP70" s="978"/>
      <c r="EQ70" s="978"/>
      <c r="ER70" s="978"/>
      <c r="ES70" s="978"/>
      <c r="ET70" s="978"/>
      <c r="EU70" s="978"/>
      <c r="EV70" s="978"/>
      <c r="EW70" s="978"/>
      <c r="EX70" s="978"/>
      <c r="EY70" s="978"/>
      <c r="EZ70" s="978"/>
      <c r="FA70" s="978"/>
      <c r="FB70" s="978"/>
      <c r="FC70" s="978"/>
      <c r="FD70" s="978"/>
      <c r="FE70" s="978"/>
      <c r="FF70" s="978"/>
      <c r="FG70" s="978"/>
      <c r="FH70" s="978"/>
      <c r="FI70" s="978"/>
      <c r="FJ70" s="978"/>
      <c r="FK70" s="978"/>
      <c r="FL70" s="978"/>
      <c r="FM70" s="978"/>
      <c r="FN70" s="978"/>
      <c r="FO70" s="978"/>
      <c r="FP70" s="978"/>
      <c r="FQ70" s="978"/>
      <c r="FR70" s="978"/>
      <c r="FS70" s="978"/>
      <c r="FT70" s="978"/>
      <c r="FU70" s="978"/>
      <c r="FV70" s="978"/>
      <c r="FW70" s="978"/>
      <c r="FX70" s="978"/>
      <c r="FY70" s="978"/>
      <c r="FZ70" s="978"/>
      <c r="GA70" s="978"/>
      <c r="GB70" s="978"/>
      <c r="GC70" s="978"/>
      <c r="GD70" s="978"/>
      <c r="GE70" s="978"/>
      <c r="GF70" s="978"/>
      <c r="GG70" s="978"/>
      <c r="GH70" s="978"/>
      <c r="GI70" s="978"/>
      <c r="GJ70" s="978"/>
      <c r="GK70" s="978"/>
      <c r="GL70" s="978"/>
      <c r="GM70" s="978"/>
      <c r="GN70" s="978"/>
      <c r="GO70" s="978"/>
      <c r="GP70" s="978"/>
      <c r="GQ70" s="978"/>
      <c r="GR70" s="978"/>
      <c r="GS70" s="978"/>
      <c r="GT70" s="978"/>
      <c r="GU70" s="978"/>
      <c r="GV70" s="978"/>
      <c r="GW70" s="978"/>
      <c r="GX70" s="978"/>
      <c r="GY70" s="978"/>
      <c r="GZ70" s="978"/>
      <c r="HA70" s="978"/>
      <c r="HB70" s="978"/>
      <c r="HC70" s="978"/>
      <c r="HD70" s="978"/>
      <c r="HE70" s="978"/>
      <c r="HF70" s="978"/>
      <c r="HG70" s="978"/>
      <c r="HH70" s="978"/>
      <c r="HI70" s="978"/>
      <c r="HJ70" s="978"/>
      <c r="HK70" s="978"/>
      <c r="HL70" s="978"/>
      <c r="HM70" s="978"/>
      <c r="HN70" s="978"/>
      <c r="HO70" s="978"/>
      <c r="HP70" s="978"/>
      <c r="HQ70" s="978"/>
      <c r="HR70" s="978"/>
      <c r="HS70" s="978"/>
      <c r="HT70" s="978"/>
      <c r="HU70" s="978"/>
      <c r="HV70" s="978"/>
      <c r="HW70" s="978"/>
      <c r="HX70" s="978"/>
      <c r="HY70" s="978"/>
      <c r="HZ70" s="978"/>
      <c r="IA70" s="978"/>
      <c r="IB70" s="978"/>
      <c r="IC70" s="978"/>
      <c r="ID70" s="978"/>
      <c r="IE70" s="978"/>
      <c r="IF70" s="978"/>
      <c r="IG70" s="978"/>
      <c r="IH70" s="978"/>
      <c r="II70" s="978"/>
      <c r="IJ70" s="978"/>
      <c r="IK70" s="978"/>
      <c r="IL70" s="978"/>
      <c r="IM70" s="978"/>
      <c r="IN70" s="978"/>
      <c r="IO70" s="978"/>
      <c r="IP70" s="978"/>
      <c r="IQ70" s="978"/>
      <c r="IR70" s="978"/>
      <c r="IS70" s="978"/>
      <c r="IT70" s="978"/>
      <c r="IU70" s="978"/>
      <c r="IV70" s="978"/>
    </row>
    <row r="71" spans="1:256" s="402" customFormat="1" ht="12" customHeight="1" x14ac:dyDescent="0.35">
      <c r="A71" s="398" t="str">
        <f t="shared" si="40"/>
        <v>Executive and Council55555</v>
      </c>
      <c r="B71" s="398" t="str">
        <f t="shared" si="39"/>
        <v>Finance and administration55555</v>
      </c>
      <c r="C71" s="398" t="str">
        <f t="shared" si="39"/>
        <v>Internal audit55555</v>
      </c>
      <c r="D71" s="398" t="str">
        <f t="shared" si="39"/>
        <v>Community and social services55555</v>
      </c>
      <c r="E71" s="398" t="str">
        <f t="shared" si="39"/>
        <v>Sport and recreation55555</v>
      </c>
      <c r="F71" s="398" t="str">
        <f t="shared" si="39"/>
        <v>Public safety55555</v>
      </c>
      <c r="G71" s="398" t="str">
        <f t="shared" si="39"/>
        <v>Housing55555</v>
      </c>
      <c r="H71" s="398" t="str">
        <f t="shared" si="39"/>
        <v>Health55555</v>
      </c>
      <c r="I71" s="398" t="str">
        <f t="shared" si="39"/>
        <v>Planning and development55555</v>
      </c>
      <c r="J71" s="398" t="str">
        <f t="shared" si="39"/>
        <v>Road transport55555</v>
      </c>
      <c r="K71" s="398" t="str">
        <f t="shared" si="39"/>
        <v>Environmental protection55555</v>
      </c>
      <c r="L71" s="398" t="str">
        <f t="shared" si="39"/>
        <v>Other55555</v>
      </c>
      <c r="M71" s="398" t="str">
        <f t="shared" si="39"/>
        <v>Energy sources55555</v>
      </c>
      <c r="N71" s="398" t="str">
        <f t="shared" si="39"/>
        <v>Water management55555</v>
      </c>
      <c r="O71" s="398" t="str">
        <f t="shared" si="39"/>
        <v>Waste water management55555</v>
      </c>
      <c r="P71" s="398" t="str">
        <f t="shared" si="39"/>
        <v>Waste management55555</v>
      </c>
      <c r="Q71" s="745">
        <v>55555</v>
      </c>
      <c r="R71" s="745">
        <v>55555</v>
      </c>
      <c r="S71" s="962"/>
      <c r="T71" s="738" t="s">
        <v>780</v>
      </c>
      <c r="U71" s="542"/>
      <c r="V71" s="543"/>
      <c r="W71" s="543"/>
      <c r="X71" s="767"/>
      <c r="Y71" s="533"/>
      <c r="Z71" s="533"/>
      <c r="AA71" s="533"/>
      <c r="AB71" s="533"/>
      <c r="AC71" s="533"/>
      <c r="AD71" s="533"/>
      <c r="AE71" s="533"/>
      <c r="AF71" s="533"/>
      <c r="AG71" s="533"/>
      <c r="AH71" s="533"/>
      <c r="AI71" s="533"/>
      <c r="AJ71" s="533"/>
      <c r="AK71" s="533"/>
      <c r="AL71" s="533"/>
      <c r="AM71" s="537"/>
      <c r="AN71" s="533"/>
      <c r="AO71" s="533"/>
      <c r="AP71" s="533"/>
      <c r="AQ71" s="537"/>
      <c r="AR71" s="720"/>
      <c r="AS71" s="734"/>
      <c r="AT71" s="418"/>
      <c r="AU71" s="398" t="str">
        <f t="shared" si="41"/>
        <v>Executive and Council55555</v>
      </c>
      <c r="AV71" s="398" t="str">
        <f t="shared" si="41"/>
        <v>Finance and administration55555</v>
      </c>
      <c r="AW71" s="398" t="str">
        <f t="shared" si="41"/>
        <v>Internal audit55555</v>
      </c>
      <c r="AX71" s="398" t="str">
        <f t="shared" si="41"/>
        <v>Community and social services55555</v>
      </c>
      <c r="AY71" s="398" t="str">
        <f t="shared" si="41"/>
        <v>Sport and recreation55555</v>
      </c>
      <c r="AZ71" s="398" t="str">
        <f t="shared" si="41"/>
        <v>Public safety55555</v>
      </c>
      <c r="BA71" s="398" t="str">
        <f t="shared" si="41"/>
        <v>Housing55555</v>
      </c>
      <c r="BB71" s="398" t="str">
        <f t="shared" si="41"/>
        <v>Health55555</v>
      </c>
      <c r="BC71" s="398" t="str">
        <f t="shared" si="41"/>
        <v>Planning and development55555</v>
      </c>
      <c r="BD71" s="398" t="str">
        <f t="shared" si="41"/>
        <v>Road transport55555</v>
      </c>
      <c r="BE71" s="398" t="str">
        <f t="shared" si="41"/>
        <v>Environmental protection55555</v>
      </c>
      <c r="BF71" s="398" t="str">
        <f t="shared" si="41"/>
        <v>Other55555</v>
      </c>
      <c r="BG71" s="398" t="str">
        <f t="shared" si="41"/>
        <v>Energy sources55555</v>
      </c>
      <c r="BH71" s="398" t="str">
        <f t="shared" si="41"/>
        <v>Water management55555</v>
      </c>
      <c r="BI71" s="398" t="str">
        <f t="shared" si="41"/>
        <v>Waste water management55555</v>
      </c>
      <c r="BJ71" s="398" t="str">
        <f t="shared" si="41"/>
        <v>Waste management55555</v>
      </c>
      <c r="BK71" s="745">
        <v>55555</v>
      </c>
      <c r="BL71" s="745">
        <v>55555</v>
      </c>
      <c r="BM71" s="401"/>
      <c r="BN71" s="738" t="s">
        <v>780</v>
      </c>
      <c r="BO71" s="544"/>
      <c r="BP71" s="545"/>
      <c r="BQ71" s="545"/>
      <c r="BR71" s="768"/>
      <c r="BS71" s="535"/>
      <c r="BT71" s="535"/>
      <c r="BU71" s="535"/>
      <c r="BV71" s="535"/>
      <c r="BW71" s="535"/>
      <c r="BX71" s="535"/>
      <c r="BY71" s="535"/>
      <c r="BZ71" s="535"/>
      <c r="CA71" s="535"/>
      <c r="CB71" s="535"/>
      <c r="CC71" s="535"/>
      <c r="CD71" s="535"/>
      <c r="CE71" s="535"/>
      <c r="CF71" s="535"/>
      <c r="CG71" s="538"/>
      <c r="CH71" s="535"/>
      <c r="CI71" s="535"/>
      <c r="CJ71" s="535"/>
      <c r="CK71" s="538"/>
      <c r="CL71" s="720"/>
      <c r="CM71" s="734"/>
      <c r="CO71" s="398" t="str">
        <f t="shared" si="42"/>
        <v>Executive and Council55555</v>
      </c>
      <c r="CP71" s="398" t="str">
        <f t="shared" si="42"/>
        <v>Finance and administration55555</v>
      </c>
      <c r="CQ71" s="398" t="str">
        <f t="shared" si="42"/>
        <v>Internal audit55555</v>
      </c>
      <c r="CR71" s="398" t="str">
        <f t="shared" si="42"/>
        <v>Community and social services55555</v>
      </c>
      <c r="CS71" s="398" t="str">
        <f t="shared" si="42"/>
        <v>Sport and recreation55555</v>
      </c>
      <c r="CT71" s="398" t="str">
        <f t="shared" si="42"/>
        <v>Public safety55555</v>
      </c>
      <c r="CU71" s="398" t="str">
        <f t="shared" si="42"/>
        <v>Housing55555</v>
      </c>
      <c r="CV71" s="398" t="str">
        <f t="shared" si="42"/>
        <v>Health55555</v>
      </c>
      <c r="CW71" s="398" t="str">
        <f t="shared" si="42"/>
        <v>Planning and development55555</v>
      </c>
      <c r="CX71" s="398" t="str">
        <f t="shared" si="42"/>
        <v>Road transport55555</v>
      </c>
      <c r="CY71" s="398" t="str">
        <f t="shared" si="42"/>
        <v>Environmental protection55555</v>
      </c>
      <c r="CZ71" s="398" t="str">
        <f t="shared" si="42"/>
        <v>Other55555</v>
      </c>
      <c r="DA71" s="398" t="str">
        <f t="shared" si="42"/>
        <v>Energy sources55555</v>
      </c>
      <c r="DB71" s="398" t="str">
        <f t="shared" si="42"/>
        <v>Water management55555</v>
      </c>
      <c r="DC71" s="398" t="str">
        <f t="shared" si="42"/>
        <v>Waste water management55555</v>
      </c>
      <c r="DD71" s="398" t="str">
        <f t="shared" si="42"/>
        <v>Waste management55555</v>
      </c>
      <c r="DE71" s="745">
        <v>55555</v>
      </c>
      <c r="DF71" s="745">
        <v>55555</v>
      </c>
      <c r="DG71" s="401"/>
      <c r="DH71" s="738" t="s">
        <v>780</v>
      </c>
      <c r="DI71" s="544"/>
      <c r="DJ71" s="543"/>
      <c r="DK71" s="543"/>
      <c r="DL71" s="767"/>
      <c r="DM71" s="533"/>
      <c r="DN71" s="533"/>
      <c r="DO71" s="533"/>
      <c r="DP71" s="533"/>
      <c r="DQ71" s="533"/>
      <c r="DR71" s="533"/>
      <c r="DS71" s="533"/>
      <c r="DT71" s="533"/>
      <c r="DU71" s="533"/>
      <c r="DV71" s="533"/>
      <c r="DW71" s="533"/>
      <c r="DX71" s="533"/>
      <c r="DY71" s="533"/>
      <c r="DZ71" s="533"/>
      <c r="EA71" s="537"/>
      <c r="EB71" s="533"/>
      <c r="EC71" s="533"/>
      <c r="ED71" s="533"/>
      <c r="EE71" s="537"/>
      <c r="EF71" s="720"/>
      <c r="EG71" s="978"/>
      <c r="EH71" s="978"/>
      <c r="EI71" s="978"/>
      <c r="EJ71" s="978"/>
      <c r="EK71" s="978"/>
      <c r="EL71" s="978"/>
      <c r="EM71" s="978"/>
      <c r="EN71" s="978"/>
      <c r="EO71" s="978"/>
      <c r="EP71" s="978"/>
      <c r="EQ71" s="978"/>
      <c r="ER71" s="978"/>
      <c r="ES71" s="978"/>
      <c r="ET71" s="978"/>
      <c r="EU71" s="978"/>
      <c r="EV71" s="978"/>
      <c r="EW71" s="978"/>
      <c r="EX71" s="978"/>
      <c r="EY71" s="978"/>
      <c r="EZ71" s="978"/>
      <c r="FA71" s="978"/>
      <c r="FB71" s="978"/>
      <c r="FC71" s="978"/>
      <c r="FD71" s="978"/>
      <c r="FE71" s="978"/>
      <c r="FF71" s="978"/>
      <c r="FG71" s="978"/>
      <c r="FH71" s="978"/>
      <c r="FI71" s="978"/>
      <c r="FJ71" s="978"/>
      <c r="FK71" s="978"/>
      <c r="FL71" s="978"/>
      <c r="FM71" s="978"/>
      <c r="FN71" s="978"/>
      <c r="FO71" s="978"/>
      <c r="FP71" s="978"/>
      <c r="FQ71" s="978"/>
      <c r="FR71" s="978"/>
      <c r="FS71" s="978"/>
      <c r="FT71" s="978"/>
      <c r="FU71" s="978"/>
      <c r="FV71" s="978"/>
      <c r="FW71" s="978"/>
      <c r="FX71" s="978"/>
      <c r="FY71" s="978"/>
      <c r="FZ71" s="978"/>
      <c r="GA71" s="978"/>
      <c r="GB71" s="978"/>
      <c r="GC71" s="978"/>
      <c r="GD71" s="978"/>
      <c r="GE71" s="978"/>
      <c r="GF71" s="978"/>
      <c r="GG71" s="978"/>
      <c r="GH71" s="978"/>
      <c r="GI71" s="978"/>
      <c r="GJ71" s="978"/>
      <c r="GK71" s="978"/>
      <c r="GL71" s="978"/>
      <c r="GM71" s="978"/>
      <c r="GN71" s="978"/>
      <c r="GO71" s="978"/>
      <c r="GP71" s="978"/>
      <c r="GQ71" s="978"/>
      <c r="GR71" s="978"/>
      <c r="GS71" s="978"/>
      <c r="GT71" s="978"/>
      <c r="GU71" s="978"/>
      <c r="GV71" s="978"/>
      <c r="GW71" s="978"/>
      <c r="GX71" s="978"/>
      <c r="GY71" s="978"/>
      <c r="GZ71" s="978"/>
      <c r="HA71" s="978"/>
      <c r="HB71" s="978"/>
      <c r="HC71" s="978"/>
      <c r="HD71" s="978"/>
      <c r="HE71" s="978"/>
      <c r="HF71" s="978"/>
      <c r="HG71" s="978"/>
      <c r="HH71" s="978"/>
      <c r="HI71" s="978"/>
      <c r="HJ71" s="978"/>
      <c r="HK71" s="978"/>
      <c r="HL71" s="978"/>
      <c r="HM71" s="978"/>
      <c r="HN71" s="978"/>
      <c r="HO71" s="978"/>
      <c r="HP71" s="978"/>
      <c r="HQ71" s="978"/>
      <c r="HR71" s="978"/>
      <c r="HS71" s="978"/>
      <c r="HT71" s="978"/>
      <c r="HU71" s="978"/>
      <c r="HV71" s="978"/>
      <c r="HW71" s="978"/>
      <c r="HX71" s="978"/>
      <c r="HY71" s="978"/>
      <c r="HZ71" s="978"/>
      <c r="IA71" s="978"/>
      <c r="IB71" s="978"/>
      <c r="IC71" s="978"/>
      <c r="ID71" s="978"/>
      <c r="IE71" s="978"/>
      <c r="IF71" s="978"/>
      <c r="IG71" s="978"/>
      <c r="IH71" s="978"/>
      <c r="II71" s="978"/>
      <c r="IJ71" s="978"/>
      <c r="IK71" s="978"/>
      <c r="IL71" s="978"/>
      <c r="IM71" s="978"/>
      <c r="IN71" s="978"/>
      <c r="IO71" s="978"/>
      <c r="IP71" s="978"/>
      <c r="IQ71" s="978"/>
      <c r="IR71" s="978"/>
      <c r="IS71" s="978"/>
      <c r="IT71" s="978"/>
      <c r="IU71" s="978"/>
      <c r="IV71" s="978"/>
    </row>
    <row r="72" spans="1:256" s="402" customFormat="1" ht="12" customHeight="1" x14ac:dyDescent="0.35">
      <c r="A72" s="398" t="str">
        <f t="shared" si="40"/>
        <v>Executive and Council55555</v>
      </c>
      <c r="B72" s="398" t="str">
        <f t="shared" ref="B72:P72" si="43">B$7&amp;$Q72</f>
        <v>Finance and administration55555</v>
      </c>
      <c r="C72" s="398" t="str">
        <f t="shared" si="43"/>
        <v>Internal audit55555</v>
      </c>
      <c r="D72" s="398" t="str">
        <f t="shared" si="43"/>
        <v>Community and social services55555</v>
      </c>
      <c r="E72" s="398" t="str">
        <f t="shared" si="43"/>
        <v>Sport and recreation55555</v>
      </c>
      <c r="F72" s="398" t="str">
        <f t="shared" si="43"/>
        <v>Public safety55555</v>
      </c>
      <c r="G72" s="398" t="str">
        <f t="shared" si="43"/>
        <v>Housing55555</v>
      </c>
      <c r="H72" s="398" t="str">
        <f t="shared" si="43"/>
        <v>Health55555</v>
      </c>
      <c r="I72" s="398" t="str">
        <f t="shared" si="43"/>
        <v>Planning and development55555</v>
      </c>
      <c r="J72" s="398" t="str">
        <f t="shared" si="43"/>
        <v>Road transport55555</v>
      </c>
      <c r="K72" s="398" t="str">
        <f t="shared" si="43"/>
        <v>Environmental protection55555</v>
      </c>
      <c r="L72" s="398" t="str">
        <f t="shared" si="43"/>
        <v>Other55555</v>
      </c>
      <c r="M72" s="398" t="str">
        <f t="shared" si="43"/>
        <v>Energy sources55555</v>
      </c>
      <c r="N72" s="398" t="str">
        <f t="shared" si="43"/>
        <v>Water management55555</v>
      </c>
      <c r="O72" s="398" t="str">
        <f t="shared" si="43"/>
        <v>Waste water management55555</v>
      </c>
      <c r="P72" s="398" t="str">
        <f t="shared" si="43"/>
        <v>Waste management55555</v>
      </c>
      <c r="Q72" s="745">
        <v>55555</v>
      </c>
      <c r="R72" s="745">
        <v>55555</v>
      </c>
      <c r="S72" s="962"/>
      <c r="T72" s="739" t="s">
        <v>796</v>
      </c>
      <c r="U72" s="544"/>
      <c r="V72" s="545"/>
      <c r="W72" s="545"/>
      <c r="X72" s="768"/>
      <c r="Y72" s="535"/>
      <c r="Z72" s="535"/>
      <c r="AA72" s="535"/>
      <c r="AB72" s="535"/>
      <c r="AC72" s="535"/>
      <c r="AD72" s="535"/>
      <c r="AE72" s="535"/>
      <c r="AF72" s="535"/>
      <c r="AG72" s="535"/>
      <c r="AH72" s="535"/>
      <c r="AI72" s="535"/>
      <c r="AJ72" s="535"/>
      <c r="AK72" s="535"/>
      <c r="AL72" s="535"/>
      <c r="AM72" s="538"/>
      <c r="AN72" s="535"/>
      <c r="AO72" s="535"/>
      <c r="AP72" s="535"/>
      <c r="AQ72" s="538"/>
      <c r="AR72" s="720"/>
      <c r="AS72" s="998"/>
      <c r="AT72" s="1002"/>
      <c r="AU72" s="398" t="str">
        <f t="shared" si="41"/>
        <v>Executive and Council55555</v>
      </c>
      <c r="AV72" s="398" t="str">
        <f t="shared" si="41"/>
        <v>Finance and administration55555</v>
      </c>
      <c r="AW72" s="398" t="str">
        <f t="shared" si="41"/>
        <v>Internal audit55555</v>
      </c>
      <c r="AX72" s="398" t="str">
        <f t="shared" si="41"/>
        <v>Community and social services55555</v>
      </c>
      <c r="AY72" s="398" t="str">
        <f t="shared" si="41"/>
        <v>Sport and recreation55555</v>
      </c>
      <c r="AZ72" s="398" t="str">
        <f t="shared" si="41"/>
        <v>Public safety55555</v>
      </c>
      <c r="BA72" s="398" t="str">
        <f t="shared" si="41"/>
        <v>Housing55555</v>
      </c>
      <c r="BB72" s="398" t="str">
        <f t="shared" si="41"/>
        <v>Health55555</v>
      </c>
      <c r="BC72" s="398" t="str">
        <f t="shared" si="41"/>
        <v>Planning and development55555</v>
      </c>
      <c r="BD72" s="398" t="str">
        <f t="shared" si="41"/>
        <v>Road transport55555</v>
      </c>
      <c r="BE72" s="398" t="str">
        <f t="shared" si="41"/>
        <v>Environmental protection55555</v>
      </c>
      <c r="BF72" s="398" t="str">
        <f t="shared" si="41"/>
        <v>Other55555</v>
      </c>
      <c r="BG72" s="398" t="str">
        <f t="shared" si="41"/>
        <v>Energy sources55555</v>
      </c>
      <c r="BH72" s="398" t="str">
        <f t="shared" si="41"/>
        <v>Water management55555</v>
      </c>
      <c r="BI72" s="398" t="str">
        <f t="shared" si="41"/>
        <v>Waste water management55555</v>
      </c>
      <c r="BJ72" s="398" t="str">
        <f t="shared" si="41"/>
        <v>Waste management55555</v>
      </c>
      <c r="BK72" s="745">
        <v>55555</v>
      </c>
      <c r="BL72" s="745">
        <v>55555</v>
      </c>
      <c r="BM72" s="401"/>
      <c r="BN72" s="739" t="s">
        <v>796</v>
      </c>
      <c r="BO72" s="999"/>
      <c r="BP72" s="999"/>
      <c r="BQ72" s="999"/>
      <c r="BR72" s="996"/>
      <c r="BS72" s="996"/>
      <c r="BT72" s="996"/>
      <c r="BU72" s="996"/>
      <c r="BV72" s="996"/>
      <c r="BW72" s="996"/>
      <c r="BX72" s="996"/>
      <c r="BY72" s="996"/>
      <c r="BZ72" s="996"/>
      <c r="CA72" s="996"/>
      <c r="CB72" s="996"/>
      <c r="CC72" s="996"/>
      <c r="CD72" s="996"/>
      <c r="CE72" s="996"/>
      <c r="CF72" s="996"/>
      <c r="CG72" s="996"/>
      <c r="CH72" s="996"/>
      <c r="CI72" s="996"/>
      <c r="CJ72" s="996"/>
      <c r="CK72" s="996"/>
      <c r="CL72" s="720"/>
      <c r="CM72" s="734"/>
      <c r="CO72" s="398" t="str">
        <f t="shared" si="42"/>
        <v>Executive and Council55555</v>
      </c>
      <c r="CP72" s="398" t="str">
        <f t="shared" si="42"/>
        <v>Finance and administration55555</v>
      </c>
      <c r="CQ72" s="398" t="str">
        <f t="shared" si="42"/>
        <v>Internal audit55555</v>
      </c>
      <c r="CR72" s="398" t="str">
        <f t="shared" si="42"/>
        <v>Community and social services55555</v>
      </c>
      <c r="CS72" s="398" t="str">
        <f t="shared" si="42"/>
        <v>Sport and recreation55555</v>
      </c>
      <c r="CT72" s="398" t="str">
        <f t="shared" si="42"/>
        <v>Public safety55555</v>
      </c>
      <c r="CU72" s="398" t="str">
        <f t="shared" si="42"/>
        <v>Housing55555</v>
      </c>
      <c r="CV72" s="398" t="str">
        <f t="shared" si="42"/>
        <v>Health55555</v>
      </c>
      <c r="CW72" s="398" t="str">
        <f t="shared" si="42"/>
        <v>Planning and development55555</v>
      </c>
      <c r="CX72" s="398" t="str">
        <f t="shared" si="42"/>
        <v>Road transport55555</v>
      </c>
      <c r="CY72" s="398" t="str">
        <f t="shared" si="42"/>
        <v>Environmental protection55555</v>
      </c>
      <c r="CZ72" s="398" t="str">
        <f t="shared" si="42"/>
        <v>Other55555</v>
      </c>
      <c r="DA72" s="398" t="str">
        <f t="shared" si="42"/>
        <v>Energy sources55555</v>
      </c>
      <c r="DB72" s="398" t="str">
        <f t="shared" si="42"/>
        <v>Water management55555</v>
      </c>
      <c r="DC72" s="398" t="str">
        <f t="shared" si="42"/>
        <v>Waste water management55555</v>
      </c>
      <c r="DD72" s="398" t="str">
        <f t="shared" si="42"/>
        <v>Waste management55555</v>
      </c>
      <c r="DE72" s="745">
        <v>55555</v>
      </c>
      <c r="DF72" s="745">
        <v>55555</v>
      </c>
      <c r="DG72" s="401"/>
      <c r="DH72" s="739" t="s">
        <v>796</v>
      </c>
      <c r="DI72" s="999"/>
      <c r="DJ72" s="545"/>
      <c r="DK72" s="545"/>
      <c r="DL72" s="768"/>
      <c r="DM72" s="535"/>
      <c r="DN72" s="535"/>
      <c r="DO72" s="535"/>
      <c r="DP72" s="535"/>
      <c r="DQ72" s="535"/>
      <c r="DR72" s="535"/>
      <c r="DS72" s="535"/>
      <c r="DT72" s="535"/>
      <c r="DU72" s="535"/>
      <c r="DV72" s="535"/>
      <c r="DW72" s="535"/>
      <c r="DX72" s="535"/>
      <c r="DY72" s="535"/>
      <c r="DZ72" s="535"/>
      <c r="EA72" s="538"/>
      <c r="EB72" s="535"/>
      <c r="EC72" s="535"/>
      <c r="ED72" s="535"/>
      <c r="EE72" s="538"/>
      <c r="EF72" s="720"/>
      <c r="EG72" s="978"/>
      <c r="EH72" s="978"/>
      <c r="EI72" s="978"/>
      <c r="EJ72" s="978"/>
      <c r="EK72" s="978"/>
      <c r="EL72" s="978"/>
      <c r="EM72" s="978"/>
      <c r="EN72" s="978"/>
      <c r="EO72" s="978"/>
      <c r="EP72" s="978"/>
      <c r="EQ72" s="978"/>
      <c r="ER72" s="978"/>
      <c r="ES72" s="978"/>
      <c r="ET72" s="978"/>
      <c r="EU72" s="978"/>
      <c r="EV72" s="978"/>
      <c r="EW72" s="978"/>
      <c r="EX72" s="978"/>
      <c r="EY72" s="978"/>
      <c r="EZ72" s="978"/>
      <c r="FA72" s="978"/>
      <c r="FB72" s="978"/>
      <c r="FC72" s="978"/>
      <c r="FD72" s="978"/>
      <c r="FE72" s="978"/>
      <c r="FF72" s="978"/>
      <c r="FG72" s="978"/>
      <c r="FH72" s="978"/>
      <c r="FI72" s="978"/>
      <c r="FJ72" s="978"/>
      <c r="FK72" s="978"/>
      <c r="FL72" s="978"/>
      <c r="FM72" s="978"/>
      <c r="FN72" s="978"/>
      <c r="FO72" s="978"/>
      <c r="FP72" s="978"/>
      <c r="FQ72" s="978"/>
      <c r="FR72" s="978"/>
      <c r="FS72" s="978"/>
      <c r="FT72" s="978"/>
      <c r="FU72" s="978"/>
      <c r="FV72" s="978"/>
      <c r="FW72" s="978"/>
      <c r="FX72" s="978"/>
      <c r="FY72" s="978"/>
      <c r="FZ72" s="978"/>
      <c r="GA72" s="978"/>
      <c r="GB72" s="978"/>
      <c r="GC72" s="978"/>
      <c r="GD72" s="978"/>
      <c r="GE72" s="978"/>
      <c r="GF72" s="978"/>
      <c r="GG72" s="978"/>
      <c r="GH72" s="978"/>
      <c r="GI72" s="978"/>
      <c r="GJ72" s="978"/>
      <c r="GK72" s="978"/>
      <c r="GL72" s="978"/>
      <c r="GM72" s="978"/>
      <c r="GN72" s="978"/>
      <c r="GO72" s="978"/>
      <c r="GP72" s="978"/>
      <c r="GQ72" s="978"/>
      <c r="GR72" s="978"/>
      <c r="GS72" s="978"/>
      <c r="GT72" s="978"/>
      <c r="GU72" s="978"/>
      <c r="GV72" s="978"/>
      <c r="GW72" s="978"/>
      <c r="GX72" s="978"/>
      <c r="GY72" s="978"/>
      <c r="GZ72" s="978"/>
      <c r="HA72" s="978"/>
      <c r="HB72" s="978"/>
      <c r="HC72" s="978"/>
      <c r="HD72" s="978"/>
      <c r="HE72" s="978"/>
      <c r="HF72" s="978"/>
      <c r="HG72" s="978"/>
      <c r="HH72" s="978"/>
      <c r="HI72" s="978"/>
      <c r="HJ72" s="978"/>
      <c r="HK72" s="978"/>
      <c r="HL72" s="978"/>
      <c r="HM72" s="978"/>
      <c r="HN72" s="978"/>
      <c r="HO72" s="978"/>
      <c r="HP72" s="978"/>
      <c r="HQ72" s="978"/>
      <c r="HR72" s="978"/>
      <c r="HS72" s="978"/>
      <c r="HT72" s="978"/>
      <c r="HU72" s="978"/>
      <c r="HV72" s="978"/>
      <c r="HW72" s="978"/>
      <c r="HX72" s="978"/>
      <c r="HY72" s="978"/>
      <c r="HZ72" s="978"/>
      <c r="IA72" s="978"/>
      <c r="IB72" s="978"/>
      <c r="IC72" s="978"/>
      <c r="ID72" s="978"/>
      <c r="IE72" s="978"/>
      <c r="IF72" s="978"/>
      <c r="IG72" s="978"/>
      <c r="IH72" s="978"/>
      <c r="II72" s="978"/>
      <c r="IJ72" s="978"/>
      <c r="IK72" s="978"/>
      <c r="IL72" s="978"/>
      <c r="IM72" s="978"/>
      <c r="IN72" s="978"/>
      <c r="IO72" s="978"/>
      <c r="IP72" s="978"/>
      <c r="IQ72" s="978"/>
      <c r="IR72" s="978"/>
      <c r="IS72" s="978"/>
      <c r="IT72" s="978"/>
      <c r="IU72" s="978"/>
      <c r="IV72" s="978"/>
    </row>
    <row r="73" spans="1:256" ht="12" customHeight="1" x14ac:dyDescent="0.35">
      <c r="T73" s="996" t="s">
        <v>797</v>
      </c>
      <c r="U73" s="999"/>
      <c r="V73" s="999"/>
      <c r="W73" s="999"/>
      <c r="X73" s="1000"/>
      <c r="Y73" s="996"/>
      <c r="Z73" s="996"/>
      <c r="AA73" s="996"/>
      <c r="AB73" s="996"/>
      <c r="AC73" s="996"/>
      <c r="AD73" s="996"/>
      <c r="AE73" s="996"/>
      <c r="AF73" s="996"/>
      <c r="AG73" s="996"/>
      <c r="AH73" s="996"/>
      <c r="AI73" s="996"/>
      <c r="AJ73" s="996"/>
      <c r="AK73" s="996"/>
      <c r="AL73" s="996"/>
      <c r="AM73" s="996"/>
      <c r="AN73" s="996"/>
      <c r="AO73" s="996"/>
      <c r="AP73" s="996"/>
      <c r="AQ73" s="996"/>
      <c r="AR73" s="1001"/>
      <c r="BN73" s="996"/>
      <c r="CL73" s="1001"/>
      <c r="DH73" s="996"/>
      <c r="DJ73" s="999"/>
      <c r="DK73" s="999"/>
      <c r="DL73" s="996"/>
      <c r="DM73" s="996"/>
      <c r="DN73" s="996"/>
      <c r="DO73" s="996"/>
      <c r="DP73" s="996"/>
      <c r="DQ73" s="996"/>
      <c r="DR73" s="996"/>
      <c r="DS73" s="996"/>
      <c r="DT73" s="996"/>
      <c r="DU73" s="996"/>
      <c r="DV73" s="996"/>
      <c r="DW73" s="996"/>
      <c r="DX73" s="996"/>
      <c r="DY73" s="996"/>
      <c r="DZ73" s="996"/>
      <c r="EA73" s="996"/>
      <c r="EB73" s="996"/>
      <c r="EC73" s="996"/>
      <c r="ED73" s="996"/>
      <c r="EE73" s="996"/>
      <c r="EF73" s="1001"/>
    </row>
  </sheetData>
  <mergeCells count="18">
    <mergeCell ref="U6:X6"/>
    <mergeCell ref="EC5:EE5"/>
    <mergeCell ref="DI6:DL6"/>
    <mergeCell ref="DW6:EA6"/>
    <mergeCell ref="BN3:CK3"/>
    <mergeCell ref="DH3:EF3"/>
    <mergeCell ref="Y6:AH6"/>
    <mergeCell ref="AO6:AQ6"/>
    <mergeCell ref="BS6:CB6"/>
    <mergeCell ref="CI6:CK6"/>
    <mergeCell ref="DM6:DV6"/>
    <mergeCell ref="T3:AQ3"/>
    <mergeCell ref="AI6:AM6"/>
    <mergeCell ref="AO5:AQ5"/>
    <mergeCell ref="CI5:CK5"/>
    <mergeCell ref="BO6:BR6"/>
    <mergeCell ref="CC6:CG6"/>
    <mergeCell ref="EC6:EE6"/>
  </mergeCells>
  <pageMargins left="0.7" right="0.7" top="0.75" bottom="0.75" header="0.3" footer="0.3"/>
  <pageSetup paperSize="9"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271DBD-F1DD-42CB-9D5E-D8D596FE58F9}">
  <sheetPr codeName="Sheet43">
    <tabColor theme="2" tint="-0.249977111117893"/>
  </sheetPr>
  <dimension ref="A1:AR234"/>
  <sheetViews>
    <sheetView tabSelected="1" topLeftCell="A17" zoomScale="116" zoomScaleNormal="116" workbookViewId="0">
      <selection activeCell="E10" sqref="E10"/>
    </sheetView>
  </sheetViews>
  <sheetFormatPr defaultColWidth="9.20703125" defaultRowHeight="9" x14ac:dyDescent="0.35"/>
  <cols>
    <col min="1" max="1" width="3.7890625" style="410" customWidth="1"/>
    <col min="2" max="2" width="5.20703125" style="1017" customWidth="1"/>
    <col min="3" max="3" width="13.5234375" style="410" customWidth="1"/>
    <col min="4" max="4" width="21.3125" style="410" customWidth="1"/>
    <col min="5" max="12" width="13" style="410" customWidth="1"/>
    <col min="13" max="14" width="7.89453125" style="726" customWidth="1"/>
    <col min="15" max="15" width="7.89453125" style="409" customWidth="1"/>
    <col min="16" max="16" width="7.89453125" style="410" customWidth="1"/>
    <col min="17" max="17" width="17.20703125" style="1380" customWidth="1"/>
    <col min="18" max="18" width="12.41796875" style="410" customWidth="1"/>
    <col min="19" max="19" width="17.5234375" style="410" customWidth="1"/>
    <col min="20" max="20" width="15" style="410" customWidth="1"/>
    <col min="21" max="21" width="13.7890625" style="410" customWidth="1"/>
    <col min="22" max="22" width="9.7890625" style="410" bestFit="1" customWidth="1"/>
    <col min="23" max="23" width="10.7890625" style="410" customWidth="1"/>
    <col min="24" max="24" width="7.5234375" style="410" bestFit="1" customWidth="1"/>
    <col min="25" max="25" width="9.41796875" style="410" bestFit="1" customWidth="1"/>
    <col min="26" max="26" width="15.20703125" style="410" bestFit="1" customWidth="1"/>
    <col min="27" max="27" width="7.20703125" style="410" bestFit="1" customWidth="1"/>
    <col min="28" max="28" width="4.20703125" style="726" customWidth="1"/>
    <col min="29" max="29" width="1.20703125" style="726" customWidth="1"/>
    <col min="30" max="30" width="9.20703125" style="408"/>
    <col min="31" max="31" width="3.7890625" style="410" customWidth="1"/>
    <col min="32" max="33" width="5.20703125" style="410" customWidth="1"/>
    <col min="34" max="34" width="19.7890625" style="410" customWidth="1"/>
    <col min="35" max="35" width="11.7890625" style="410" bestFit="1" customWidth="1"/>
    <col min="36" max="36" width="9.7890625" style="410" customWidth="1"/>
    <col min="37" max="37" width="9.5234375" style="410" customWidth="1"/>
    <col min="38" max="38" width="10.5234375" style="410" customWidth="1"/>
    <col min="39" max="39" width="7.20703125" style="410" bestFit="1" customWidth="1"/>
    <col min="40" max="40" width="12.20703125" style="410" bestFit="1" customWidth="1"/>
    <col min="41" max="41" width="10" style="410" customWidth="1"/>
    <col min="42" max="42" width="7.20703125" style="410" bestFit="1" customWidth="1"/>
    <col min="43" max="43" width="3.20703125" style="726" customWidth="1"/>
    <col min="44" max="44" width="0.20703125" style="726" customWidth="1"/>
    <col min="45" max="16384" width="9.20703125" style="408"/>
  </cols>
  <sheetData>
    <row r="1" spans="1:44" x14ac:dyDescent="0.35">
      <c r="A1" s="419"/>
      <c r="C1" s="419"/>
      <c r="D1" s="419"/>
      <c r="E1" s="419"/>
      <c r="F1" s="419"/>
      <c r="G1" s="419"/>
      <c r="H1" s="419"/>
      <c r="I1" s="419"/>
      <c r="J1" s="419"/>
      <c r="K1" s="419"/>
      <c r="L1" s="419"/>
      <c r="M1" s="719"/>
      <c r="N1" s="719"/>
      <c r="P1" s="419"/>
      <c r="Q1" s="1375"/>
      <c r="R1" s="419"/>
      <c r="S1" s="419"/>
      <c r="T1" s="419"/>
      <c r="U1" s="419"/>
      <c r="V1" s="419"/>
      <c r="W1" s="419"/>
      <c r="X1" s="419"/>
      <c r="Y1" s="419"/>
      <c r="Z1" s="419"/>
      <c r="AA1" s="419"/>
      <c r="AB1" s="719"/>
      <c r="AC1" s="719"/>
      <c r="AE1" s="419"/>
      <c r="AF1" s="419"/>
      <c r="AG1" s="419"/>
      <c r="AH1" s="419"/>
      <c r="AI1" s="419"/>
      <c r="AJ1" s="419"/>
      <c r="AK1" s="419"/>
      <c r="AL1" s="419"/>
      <c r="AM1" s="419"/>
      <c r="AN1" s="419"/>
      <c r="AO1" s="419"/>
      <c r="AP1" s="419"/>
      <c r="AQ1" s="719"/>
      <c r="AR1" s="719"/>
    </row>
    <row r="2" spans="1:44" ht="12.9" thickBot="1" x14ac:dyDescent="0.5">
      <c r="A2" s="419"/>
      <c r="C2" s="592"/>
      <c r="D2" s="1474" t="s">
        <v>863</v>
      </c>
      <c r="E2" s="1474"/>
      <c r="F2" s="1474"/>
      <c r="G2" s="1474"/>
      <c r="H2" s="1474"/>
      <c r="I2" s="1474"/>
      <c r="J2" s="1474"/>
      <c r="K2" s="1474"/>
      <c r="L2" s="1474"/>
      <c r="M2" s="720"/>
      <c r="N2" s="720"/>
      <c r="P2" s="419"/>
      <c r="Q2" s="1376"/>
      <c r="R2" s="592"/>
      <c r="S2" s="1474" t="s">
        <v>864</v>
      </c>
      <c r="T2" s="1474"/>
      <c r="U2" s="1474"/>
      <c r="V2" s="1474"/>
      <c r="W2" s="1474"/>
      <c r="X2" s="1474"/>
      <c r="Y2" s="1474"/>
      <c r="Z2" s="1474"/>
      <c r="AA2" s="1474"/>
      <c r="AB2" s="720"/>
      <c r="AC2" s="720"/>
      <c r="AE2" s="419"/>
      <c r="AF2" s="417"/>
      <c r="AG2" s="592">
        <v>0</v>
      </c>
      <c r="AH2" s="1474" t="s">
        <v>865</v>
      </c>
      <c r="AI2" s="1474"/>
      <c r="AJ2" s="1474"/>
      <c r="AK2" s="1474"/>
      <c r="AL2" s="1474"/>
      <c r="AM2" s="1474"/>
      <c r="AN2" s="1474"/>
      <c r="AO2" s="1474"/>
      <c r="AP2" s="1474"/>
      <c r="AQ2" s="720"/>
      <c r="AR2" s="720"/>
    </row>
    <row r="3" spans="1:44" ht="23.55" customHeight="1" thickTop="1" thickBot="1" x14ac:dyDescent="0.4">
      <c r="A3" s="421"/>
      <c r="B3" s="1018"/>
      <c r="C3" s="1451" t="s">
        <v>829</v>
      </c>
      <c r="D3" s="423" t="s">
        <v>109</v>
      </c>
      <c r="E3" s="424" t="s">
        <v>230</v>
      </c>
      <c r="F3" s="424" t="s">
        <v>242</v>
      </c>
      <c r="G3" s="424" t="s">
        <v>289</v>
      </c>
      <c r="H3" s="424" t="s">
        <v>244</v>
      </c>
      <c r="I3" s="424" t="s">
        <v>286</v>
      </c>
      <c r="J3" s="424" t="s">
        <v>287</v>
      </c>
      <c r="K3" s="425" t="s">
        <v>245</v>
      </c>
      <c r="L3" s="426" t="s">
        <v>830</v>
      </c>
      <c r="M3" s="721"/>
      <c r="N3" s="721"/>
      <c r="O3" s="729"/>
      <c r="P3" s="421"/>
      <c r="Q3" s="1377"/>
      <c r="R3" s="1451" t="s">
        <v>829</v>
      </c>
      <c r="S3" s="423" t="s">
        <v>109</v>
      </c>
      <c r="T3" s="424" t="s">
        <v>230</v>
      </c>
      <c r="U3" s="424" t="s">
        <v>242</v>
      </c>
      <c r="V3" s="424" t="s">
        <v>289</v>
      </c>
      <c r="W3" s="424" t="s">
        <v>244</v>
      </c>
      <c r="X3" s="424" t="s">
        <v>286</v>
      </c>
      <c r="Y3" s="424" t="s">
        <v>287</v>
      </c>
      <c r="Z3" s="425" t="s">
        <v>245</v>
      </c>
      <c r="AA3" s="426" t="s">
        <v>830</v>
      </c>
      <c r="AB3" s="721"/>
      <c r="AC3" s="721"/>
      <c r="AE3" s="421"/>
      <c r="AF3" s="422"/>
      <c r="AG3" s="1451" t="s">
        <v>829</v>
      </c>
      <c r="AH3" s="423" t="s">
        <v>109</v>
      </c>
      <c r="AI3" s="424" t="s">
        <v>230</v>
      </c>
      <c r="AJ3" s="424" t="s">
        <v>242</v>
      </c>
      <c r="AK3" s="424" t="s">
        <v>289</v>
      </c>
      <c r="AL3" s="424" t="s">
        <v>244</v>
      </c>
      <c r="AM3" s="424" t="s">
        <v>286</v>
      </c>
      <c r="AN3" s="424" t="s">
        <v>287</v>
      </c>
      <c r="AO3" s="425" t="s">
        <v>245</v>
      </c>
      <c r="AP3" s="426" t="s">
        <v>830</v>
      </c>
      <c r="AQ3" s="721"/>
      <c r="AR3" s="721"/>
    </row>
    <row r="4" spans="1:44" ht="27" customHeight="1" thickTop="1" x14ac:dyDescent="0.35">
      <c r="A4" s="421"/>
      <c r="B4" s="1019" t="s">
        <v>717</v>
      </c>
      <c r="C4" s="1452"/>
      <c r="D4" s="427" t="s">
        <v>831</v>
      </c>
      <c r="E4" s="715">
        <f ca="1">SUMIF('5.Cons and detailed recon'!$R:$R,'6.Summary'!$B4,'5.Cons and detailed recon'!AO:AO)</f>
        <v>180298435</v>
      </c>
      <c r="F4" s="715">
        <f ca="1">SUMIF('5.Cons and detailed recon'!$R:$R,'6.Summary'!$B4,'5.Cons and detailed recon'!AJ:AJ)</f>
        <v>16721640</v>
      </c>
      <c r="G4" s="715">
        <f ca="1">SUMIF('5.Cons and detailed recon'!$R:$R,'6.Summary'!$B4,'5.Cons and detailed recon'!AK:AK)</f>
        <v>15471225</v>
      </c>
      <c r="H4" s="715">
        <f ca="1">SUMIF('5.Cons and detailed recon'!$R:$R,'6.Summary'!$B4,'5.Cons and detailed recon'!AI:AI)</f>
        <v>14719848</v>
      </c>
      <c r="I4" s="715">
        <f ca="1">SUMIF('5.Cons and detailed recon'!$R:$R,'6.Summary'!$B4,'5.Cons and detailed recon'!AL:AL)</f>
        <v>18598866</v>
      </c>
      <c r="J4" s="715">
        <f ca="1">SUMIF('5.Cons and detailed recon'!$R:$R,'6.Summary'!$B4,'5.Cons and detailed recon'!AH:AH)</f>
        <v>13833000</v>
      </c>
      <c r="K4" s="715">
        <f ca="1">SUMIF('5.Cons and detailed recon'!$R:$R,'6.Summary'!$B4,'5.Cons and detailed recon'!X:X)</f>
        <v>100953856</v>
      </c>
      <c r="L4" s="430">
        <f ca="1">SUM(F4:K4)-E4</f>
        <v>0</v>
      </c>
      <c r="M4" s="720"/>
      <c r="N4" s="720"/>
      <c r="O4" s="729"/>
      <c r="P4" s="421"/>
      <c r="Q4" s="1378" t="s">
        <v>717</v>
      </c>
      <c r="R4" s="1452"/>
      <c r="S4" s="427" t="s">
        <v>831</v>
      </c>
      <c r="T4" s="715">
        <f ca="1">SUMIF('5.Cons and detailed recon'!$BK:$BK,'6.Summary'!$Q4,'5.Cons and detailed recon'!CI:CI)</f>
        <v>185740926</v>
      </c>
      <c r="U4" s="715">
        <f ca="1">SUMIF('5.Cons and detailed recon'!$BK:$BK,'6.Summary'!$Q4,'5.Cons and detailed recon'!CD:CD)</f>
        <v>17576611</v>
      </c>
      <c r="V4" s="715">
        <f ca="1">SUMIF('5.Cons and detailed recon'!$BK:$BK,'6.Summary'!$Q4,'5.Cons and detailed recon'!CE:CE)</f>
        <v>16262263</v>
      </c>
      <c r="W4" s="715">
        <f ca="1">SUMIF('5.Cons and detailed recon'!$BK:$BK,'6.Summary'!$Q4,'5.Cons and detailed recon'!CC:CC)</f>
        <v>16194453</v>
      </c>
      <c r="X4" s="715">
        <f ca="1">SUMIF('5.Cons and detailed recon'!$BK:$BK,'6.Summary'!$Q4,'5.Cons and detailed recon'!CF:CF)</f>
        <v>19549819</v>
      </c>
      <c r="Y4" s="715">
        <f ca="1">SUMIF('5.Cons and detailed recon'!$BK:$BK,'6.Summary'!$Q4,'5.Cons and detailed recon'!CB:CB)</f>
        <v>12058000</v>
      </c>
      <c r="Z4" s="715">
        <f ca="1">SUMIF('5.Cons and detailed recon'!$BK:$BK,'6.Summary'!$Q4,'5.Cons and detailed recon'!BR:BR)</f>
        <v>104099780</v>
      </c>
      <c r="AA4" s="430">
        <f ca="1">SUM(U4:Z4)-T4</f>
        <v>0</v>
      </c>
      <c r="AB4" s="720"/>
      <c r="AC4" s="720"/>
      <c r="AE4" s="421"/>
      <c r="AF4" s="745" t="s">
        <v>717</v>
      </c>
      <c r="AG4" s="1452"/>
      <c r="AH4" s="427" t="s">
        <v>831</v>
      </c>
      <c r="AI4" s="715">
        <f ca="1">SUMIF('5.Cons and detailed recon'!$DF:$DF,'6.Summary'!$AF4,'5.Cons and detailed recon'!EC:EC)</f>
        <v>189548394</v>
      </c>
      <c r="AJ4" s="715">
        <f ca="1">SUMIF('5.Cons and detailed recon'!$DF:$DF,'6.Summary'!$AF4,'5.Cons and detailed recon'!DX:DX)</f>
        <v>17938098</v>
      </c>
      <c r="AK4" s="715">
        <f ca="1">SUMIF('5.Cons and detailed recon'!$DF:$DF,'6.Summary'!$AF4,'5.Cons and detailed recon'!DY:DY)</f>
        <v>16596718</v>
      </c>
      <c r="AL4" s="715">
        <f ca="1">SUMIF('5.Cons and detailed recon'!$DF:$DF,'6.Summary'!$AF4,'5.Cons and detailed recon'!DW:DW)</f>
        <v>16547604</v>
      </c>
      <c r="AM4" s="715">
        <f ca="1">SUMIF('5.Cons and detailed recon'!$DF:$DF,'6.Summary'!$AF4,'5.Cons and detailed recon'!DZ:DZ)</f>
        <v>19951887</v>
      </c>
      <c r="AN4" s="715">
        <f ca="1">SUMIF('5.Cons and detailed recon'!$DF:$DF,'6.Summary'!$AF4,'5.Cons and detailed recon'!DV:DV)</f>
        <v>12177000</v>
      </c>
      <c r="AO4" s="715">
        <f ca="1">SUMIF('5.Cons and detailed recon'!$DF:$DF,'6.Summary'!$AF4,'5.Cons and detailed recon'!DL:DL)</f>
        <v>106337087</v>
      </c>
      <c r="AP4" s="430">
        <f ca="1">SUM(AJ4:AO4)-AI4</f>
        <v>0</v>
      </c>
      <c r="AQ4" s="720"/>
      <c r="AR4" s="720"/>
    </row>
    <row r="5" spans="1:44" ht="18.75" customHeight="1" thickBot="1" x14ac:dyDescent="0.4">
      <c r="A5" s="421"/>
      <c r="B5" s="1019"/>
      <c r="C5" s="1452"/>
      <c r="D5" s="427"/>
      <c r="E5" s="428"/>
      <c r="F5" s="428"/>
      <c r="G5" s="428"/>
      <c r="H5" s="428"/>
      <c r="I5" s="428"/>
      <c r="J5" s="428"/>
      <c r="K5" s="429"/>
      <c r="L5" s="431">
        <f>SUM(F5:K5)-E5</f>
        <v>0</v>
      </c>
      <c r="M5" s="720"/>
      <c r="N5" s="720"/>
      <c r="O5" s="729"/>
      <c r="P5" s="421"/>
      <c r="Q5" s="1377"/>
      <c r="R5" s="1452"/>
      <c r="S5" s="427"/>
      <c r="T5" s="428"/>
      <c r="U5" s="428"/>
      <c r="V5" s="428"/>
      <c r="W5" s="428"/>
      <c r="X5" s="428"/>
      <c r="Y5" s="428"/>
      <c r="Z5" s="429"/>
      <c r="AA5" s="431">
        <f>SUM(U5:Z5)-T5</f>
        <v>0</v>
      </c>
      <c r="AB5" s="720"/>
      <c r="AC5" s="720"/>
      <c r="AE5" s="421"/>
      <c r="AF5" s="422"/>
      <c r="AG5" s="1452"/>
      <c r="AH5" s="427"/>
      <c r="AI5" s="428"/>
      <c r="AJ5" s="428"/>
      <c r="AK5" s="428"/>
      <c r="AL5" s="428"/>
      <c r="AM5" s="428"/>
      <c r="AN5" s="428"/>
      <c r="AO5" s="429"/>
      <c r="AP5" s="431">
        <f>SUM(AJ5:AO5)-AI5</f>
        <v>0</v>
      </c>
      <c r="AQ5" s="720"/>
      <c r="AR5" s="720"/>
    </row>
    <row r="6" spans="1:44" ht="13.95" customHeight="1" thickTop="1" thickBot="1" x14ac:dyDescent="0.4">
      <c r="A6" s="419"/>
      <c r="C6" s="1453"/>
      <c r="D6" s="432" t="s">
        <v>21</v>
      </c>
      <c r="E6" s="433">
        <f t="array" ref="E6:E7" ca="1">E4:E5</f>
        <v>180298435</v>
      </c>
      <c r="F6" s="433">
        <f t="array" ref="F6:F7" ca="1">F4:F5</f>
        <v>16721640</v>
      </c>
      <c r="G6" s="433">
        <f t="array" ref="G6:G7" ca="1">G4:G5</f>
        <v>15471225</v>
      </c>
      <c r="H6" s="433">
        <f t="array" ref="H6:H7" ca="1">H4:H5</f>
        <v>14719848</v>
      </c>
      <c r="I6" s="433">
        <f t="array" ref="I6:I7" ca="1">I4:I5</f>
        <v>18598866</v>
      </c>
      <c r="J6" s="433">
        <f t="array" ref="J6:J7" ca="1">J4:J5</f>
        <v>13833000</v>
      </c>
      <c r="K6" s="433">
        <f t="array" ref="K6:K7" ca="1">K4:K5</f>
        <v>100953856</v>
      </c>
      <c r="L6" s="434"/>
      <c r="M6" s="720"/>
      <c r="N6" s="720"/>
      <c r="P6" s="419"/>
      <c r="Q6" s="1376"/>
      <c r="R6" s="1453"/>
      <c r="S6" s="432" t="s">
        <v>21</v>
      </c>
      <c r="T6" s="433">
        <f t="array" ref="T6:T7" ca="1">T4:T5</f>
        <v>185740926</v>
      </c>
      <c r="U6" s="433">
        <f t="array" ref="U6:U7" ca="1">U4:U5</f>
        <v>17576611</v>
      </c>
      <c r="V6" s="433">
        <f t="array" ref="V6:V7" ca="1">V4:V5</f>
        <v>16262263</v>
      </c>
      <c r="W6" s="433">
        <f t="array" ref="W6:W7" ca="1">W4:W5</f>
        <v>16194453</v>
      </c>
      <c r="X6" s="433">
        <f t="array" ref="X6:X7" ca="1">X4:X5</f>
        <v>19549819</v>
      </c>
      <c r="Y6" s="433">
        <f t="array" ref="Y6:Y7" ca="1">Y4:Y5</f>
        <v>12058000</v>
      </c>
      <c r="Z6" s="433">
        <f t="array" ref="Z6:Z7" ca="1">Z4:Z5</f>
        <v>104099780</v>
      </c>
      <c r="AA6" s="434"/>
      <c r="AB6" s="720"/>
      <c r="AC6" s="720"/>
      <c r="AE6" s="419"/>
      <c r="AF6" s="417"/>
      <c r="AG6" s="1453"/>
      <c r="AH6" s="432" t="s">
        <v>21</v>
      </c>
      <c r="AI6" s="433">
        <f t="array" ref="AI6:AI7" ca="1">AI4:AI5</f>
        <v>189548394</v>
      </c>
      <c r="AJ6" s="433">
        <f t="array" ref="AJ6:AJ7" ca="1">AJ4:AJ5</f>
        <v>17938098</v>
      </c>
      <c r="AK6" s="433">
        <f t="array" ref="AK6:AK7" ca="1">AK4:AK5</f>
        <v>16596718</v>
      </c>
      <c r="AL6" s="433">
        <f t="array" ref="AL6:AL7" ca="1">AL4:AL5</f>
        <v>16547604</v>
      </c>
      <c r="AM6" s="433">
        <f t="array" ref="AM6:AM7" ca="1">AM4:AM5</f>
        <v>19951887</v>
      </c>
      <c r="AN6" s="433">
        <f t="array" ref="AN6:AN7" ca="1">AN4:AN5</f>
        <v>12177000</v>
      </c>
      <c r="AO6" s="433">
        <f t="array" ref="AO6:AO7" ca="1">AO4:AO5</f>
        <v>106337087</v>
      </c>
      <c r="AP6" s="434"/>
      <c r="AQ6" s="720"/>
      <c r="AR6" s="720"/>
    </row>
    <row r="7" spans="1:44" ht="9.3000000000000007" thickTop="1" x14ac:dyDescent="0.35">
      <c r="A7" s="435"/>
      <c r="B7" s="1020"/>
      <c r="C7" s="420"/>
      <c r="D7" s="420"/>
      <c r="E7" s="420">
        <v>0</v>
      </c>
      <c r="F7" s="420">
        <v>0</v>
      </c>
      <c r="G7" s="420">
        <v>0</v>
      </c>
      <c r="H7" s="420">
        <v>0</v>
      </c>
      <c r="I7" s="420">
        <v>0</v>
      </c>
      <c r="J7" s="420">
        <v>0</v>
      </c>
      <c r="K7" s="420">
        <v>0</v>
      </c>
      <c r="L7" s="420"/>
      <c r="M7" s="720"/>
      <c r="N7" s="720"/>
      <c r="P7" s="435"/>
      <c r="Q7" s="1376"/>
      <c r="R7" s="420"/>
      <c r="S7" s="420"/>
      <c r="T7" s="420">
        <v>0</v>
      </c>
      <c r="U7" s="420">
        <v>0</v>
      </c>
      <c r="V7" s="420">
        <v>0</v>
      </c>
      <c r="W7" s="420">
        <v>0</v>
      </c>
      <c r="X7" s="420">
        <v>0</v>
      </c>
      <c r="Y7" s="420">
        <v>0</v>
      </c>
      <c r="Z7" s="420">
        <v>0</v>
      </c>
      <c r="AA7" s="420"/>
      <c r="AB7" s="720"/>
      <c r="AC7" s="720"/>
      <c r="AE7" s="435"/>
      <c r="AF7" s="420"/>
      <c r="AG7" s="420"/>
      <c r="AH7" s="420"/>
      <c r="AI7" s="420">
        <v>0</v>
      </c>
      <c r="AJ7" s="420">
        <v>0</v>
      </c>
      <c r="AK7" s="420">
        <v>0</v>
      </c>
      <c r="AL7" s="420">
        <v>0</v>
      </c>
      <c r="AM7" s="420">
        <v>0</v>
      </c>
      <c r="AN7" s="420">
        <v>0</v>
      </c>
      <c r="AO7" s="420">
        <v>0</v>
      </c>
      <c r="AP7" s="420"/>
      <c r="AQ7" s="720"/>
      <c r="AR7" s="720"/>
    </row>
    <row r="8" spans="1:44" ht="9.3000000000000007" thickBot="1" x14ac:dyDescent="0.4">
      <c r="A8" s="419"/>
      <c r="C8" s="417"/>
      <c r="D8" s="417"/>
      <c r="E8" s="417"/>
      <c r="F8" s="417"/>
      <c r="G8" s="417"/>
      <c r="H8" s="417"/>
      <c r="I8" s="417"/>
      <c r="J8" s="417"/>
      <c r="K8" s="417"/>
      <c r="L8" s="417"/>
      <c r="M8" s="720"/>
      <c r="N8" s="720"/>
      <c r="P8" s="419"/>
      <c r="Q8" s="1376"/>
      <c r="R8" s="417"/>
      <c r="S8" s="417"/>
      <c r="T8" s="417"/>
      <c r="U8" s="417"/>
      <c r="V8" s="417"/>
      <c r="W8" s="417"/>
      <c r="X8" s="417"/>
      <c r="Y8" s="417"/>
      <c r="Z8" s="417"/>
      <c r="AA8" s="417"/>
      <c r="AB8" s="720"/>
      <c r="AC8" s="720"/>
      <c r="AE8" s="419"/>
      <c r="AF8" s="417"/>
      <c r="AG8" s="417"/>
      <c r="AH8" s="417"/>
      <c r="AI8" s="417"/>
      <c r="AJ8" s="417"/>
      <c r="AK8" s="417"/>
      <c r="AL8" s="417"/>
      <c r="AM8" s="417"/>
      <c r="AN8" s="417"/>
      <c r="AO8" s="417"/>
      <c r="AP8" s="417"/>
      <c r="AQ8" s="720"/>
      <c r="AR8" s="720"/>
    </row>
    <row r="9" spans="1:44" ht="18.600000000000001" thickTop="1" thickBot="1" x14ac:dyDescent="0.4">
      <c r="A9" s="419"/>
      <c r="C9" s="1451" t="s">
        <v>832</v>
      </c>
      <c r="D9" s="423"/>
      <c r="E9" s="424" t="s">
        <v>230</v>
      </c>
      <c r="F9" s="424" t="s">
        <v>242</v>
      </c>
      <c r="G9" s="424" t="s">
        <v>289</v>
      </c>
      <c r="H9" s="424" t="s">
        <v>244</v>
      </c>
      <c r="I9" s="424" t="s">
        <v>286</v>
      </c>
      <c r="J9" s="424" t="s">
        <v>290</v>
      </c>
      <c r="K9" s="1454" t="s">
        <v>830</v>
      </c>
      <c r="L9" s="1455"/>
      <c r="M9" s="720"/>
      <c r="N9" s="720"/>
      <c r="P9" s="419"/>
      <c r="Q9" s="1376"/>
      <c r="R9" s="1451" t="s">
        <v>832</v>
      </c>
      <c r="S9" s="423"/>
      <c r="T9" s="424" t="s">
        <v>230</v>
      </c>
      <c r="U9" s="424" t="s">
        <v>242</v>
      </c>
      <c r="V9" s="424" t="s">
        <v>289</v>
      </c>
      <c r="W9" s="424" t="s">
        <v>244</v>
      </c>
      <c r="X9" s="424" t="s">
        <v>286</v>
      </c>
      <c r="Y9" s="424" t="s">
        <v>290</v>
      </c>
      <c r="Z9" s="1454" t="s">
        <v>830</v>
      </c>
      <c r="AA9" s="1455"/>
      <c r="AB9" s="720"/>
      <c r="AC9" s="720"/>
      <c r="AE9" s="419"/>
      <c r="AF9" s="417"/>
      <c r="AG9" s="1451" t="s">
        <v>832</v>
      </c>
      <c r="AH9" s="423"/>
      <c r="AI9" s="424" t="s">
        <v>230</v>
      </c>
      <c r="AJ9" s="424" t="s">
        <v>242</v>
      </c>
      <c r="AK9" s="424" t="s">
        <v>289</v>
      </c>
      <c r="AL9" s="424" t="s">
        <v>244</v>
      </c>
      <c r="AM9" s="424" t="s">
        <v>286</v>
      </c>
      <c r="AN9" s="424" t="s">
        <v>290</v>
      </c>
      <c r="AO9" s="1454" t="s">
        <v>830</v>
      </c>
      <c r="AP9" s="1455"/>
      <c r="AQ9" s="720"/>
      <c r="AR9" s="720"/>
    </row>
    <row r="10" spans="1:44" ht="27" customHeight="1" thickTop="1" thickBot="1" x14ac:dyDescent="0.4">
      <c r="A10" s="419"/>
      <c r="B10" s="1021">
        <v>1800</v>
      </c>
      <c r="C10" s="1452"/>
      <c r="D10" s="422" t="s">
        <v>23</v>
      </c>
      <c r="E10" s="715">
        <f ca="1">SUMIF('5.Cons and detailed recon'!$R:$R,'6.Summary'!$B10,'5.Cons and detailed recon'!AO:AO)</f>
        <v>179290650</v>
      </c>
      <c r="F10" s="715">
        <f ca="1">SUMIF('5.Cons and detailed recon'!$R:$R,'6.Summary'!$B10,'5.Cons and detailed recon'!AJ:AJ)</f>
        <v>0</v>
      </c>
      <c r="G10" s="715">
        <f ca="1">SUMIF('5.Cons and detailed recon'!$R:$R,'6.Summary'!$B10,'5.Cons and detailed recon'!AK:AK)</f>
        <v>0</v>
      </c>
      <c r="H10" s="715">
        <f ca="1">SUMIF('5.Cons and detailed recon'!$R:$R,'6.Summary'!$B10,'5.Cons and detailed recon'!AI:AI)</f>
        <v>0</v>
      </c>
      <c r="I10" s="715">
        <f ca="1">SUMIF('5.Cons and detailed recon'!$R:$R,'6.Summary'!$B10,'5.Cons and detailed recon'!AL:AL)</f>
        <v>0</v>
      </c>
      <c r="J10" s="428">
        <f ca="1">E10-SUM(F10:I10)</f>
        <v>179290650</v>
      </c>
      <c r="K10" s="436"/>
      <c r="L10" s="437">
        <f ca="1">E10-SUM(F10:J10)</f>
        <v>0</v>
      </c>
      <c r="M10" s="720"/>
      <c r="N10" s="720"/>
      <c r="P10" s="419"/>
      <c r="Q10" s="1379">
        <v>1800</v>
      </c>
      <c r="R10" s="1452"/>
      <c r="S10" s="422" t="s">
        <v>23</v>
      </c>
      <c r="T10" s="715">
        <f ca="1">SUMIF('5.Cons and detailed recon'!$BK:$BK,'6.Summary'!$Q10,'5.Cons and detailed recon'!CI:CI)</f>
        <v>185386533</v>
      </c>
      <c r="U10" s="715">
        <f ca="1">SUMIF('5.Cons and detailed recon'!$BK:$BK,'6.Summary'!$Q10,'5.Cons and detailed recon'!CD:CD)</f>
        <v>0</v>
      </c>
      <c r="V10" s="715">
        <f ca="1">SUMIF('5.Cons and detailed recon'!$BK:$BK,'6.Summary'!$Q10,'5.Cons and detailed recon'!CE:CE)</f>
        <v>0</v>
      </c>
      <c r="W10" s="715">
        <f ca="1">SUMIF('5.Cons and detailed recon'!$BK:$BK,'6.Summary'!$Q10,'5.Cons and detailed recon'!CC:CC)</f>
        <v>0</v>
      </c>
      <c r="X10" s="715">
        <f ca="1">SUMIF('5.Cons and detailed recon'!$BK:$BK,'6.Summary'!$Q10,'5.Cons and detailed recon'!CF:CF)</f>
        <v>0</v>
      </c>
      <c r="Y10" s="428">
        <f ca="1">T10-SUM(U10:X10)</f>
        <v>185386533</v>
      </c>
      <c r="Z10" s="436"/>
      <c r="AA10" s="437">
        <f ca="1">T10-SUM(U10:Y10)</f>
        <v>0</v>
      </c>
      <c r="AB10" s="720"/>
      <c r="AC10" s="720"/>
      <c r="AE10" s="419"/>
      <c r="AF10" s="818">
        <v>1800</v>
      </c>
      <c r="AG10" s="1452"/>
      <c r="AH10" s="422" t="s">
        <v>23</v>
      </c>
      <c r="AI10" s="715">
        <f ca="1">SUMIF('5.Cons and detailed recon'!$DF:$DF,'6.Summary'!$AF10,'5.Cons and detailed recon'!EC:EC)</f>
        <v>191318902</v>
      </c>
      <c r="AJ10" s="715">
        <f ca="1">SUMIF('5.Cons and detailed recon'!$DF:$DF,'6.Summary'!$AF10,'5.Cons and detailed recon'!DX:DX)</f>
        <v>0</v>
      </c>
      <c r="AK10" s="715">
        <f ca="1">SUMIF('5.Cons and detailed recon'!$DF:$DF,'6.Summary'!$AF10,'5.Cons and detailed recon'!DY:DY)</f>
        <v>0</v>
      </c>
      <c r="AL10" s="715">
        <f ca="1">SUMIF('5.Cons and detailed recon'!$DF:$DF,'6.Summary'!$AF10,'5.Cons and detailed recon'!DW:DW)</f>
        <v>0</v>
      </c>
      <c r="AM10" s="715">
        <f ca="1">SUMIF('5.Cons and detailed recon'!$DF:$DF,'6.Summary'!$AF10,'5.Cons and detailed recon'!DZ:DZ)</f>
        <v>0</v>
      </c>
      <c r="AN10" s="428">
        <f ca="1">AI10-SUM(AJ10:AM10)</f>
        <v>191318902</v>
      </c>
      <c r="AO10" s="436"/>
      <c r="AP10" s="437">
        <f ca="1">AI10-SUM(AJ10:AN10)</f>
        <v>0</v>
      </c>
      <c r="AQ10" s="720"/>
      <c r="AR10" s="720"/>
    </row>
    <row r="11" spans="1:44" ht="9.6" thickTop="1" thickBot="1" x14ac:dyDescent="0.4">
      <c r="A11" s="419"/>
      <c r="C11" s="1453"/>
      <c r="D11" s="432" t="s">
        <v>24</v>
      </c>
      <c r="E11" s="438">
        <f ca="1">SUM(F11:J11)</f>
        <v>179290650</v>
      </c>
      <c r="F11" s="433">
        <f ca="1">F10</f>
        <v>0</v>
      </c>
      <c r="G11" s="433">
        <f ca="1">G10</f>
        <v>0</v>
      </c>
      <c r="H11" s="433">
        <f ca="1">H10</f>
        <v>0</v>
      </c>
      <c r="I11" s="433">
        <f ca="1">I10</f>
        <v>0</v>
      </c>
      <c r="J11" s="439">
        <f ca="1">J10</f>
        <v>179290650</v>
      </c>
      <c r="K11" s="440"/>
      <c r="L11" s="441"/>
      <c r="M11" s="720"/>
      <c r="N11" s="720"/>
      <c r="P11" s="419"/>
      <c r="Q11" s="1376"/>
      <c r="R11" s="1453"/>
      <c r="S11" s="432" t="s">
        <v>24</v>
      </c>
      <c r="T11" s="438">
        <f ca="1">SUM(U11:Y11)</f>
        <v>185386533</v>
      </c>
      <c r="U11" s="433">
        <f ca="1">U10</f>
        <v>0</v>
      </c>
      <c r="V11" s="433">
        <f ca="1">V10</f>
        <v>0</v>
      </c>
      <c r="W11" s="433">
        <f ca="1">W10</f>
        <v>0</v>
      </c>
      <c r="X11" s="433">
        <f ca="1">X10</f>
        <v>0</v>
      </c>
      <c r="Y11" s="439">
        <f ca="1">Y10</f>
        <v>185386533</v>
      </c>
      <c r="Z11" s="440"/>
      <c r="AA11" s="441"/>
      <c r="AB11" s="720"/>
      <c r="AC11" s="720"/>
      <c r="AE11" s="419"/>
      <c r="AF11" s="417"/>
      <c r="AG11" s="1453"/>
      <c r="AH11" s="432" t="s">
        <v>24</v>
      </c>
      <c r="AI11" s="438">
        <f ca="1">SUM(AJ11:AN11)</f>
        <v>191318902</v>
      </c>
      <c r="AJ11" s="433">
        <f ca="1">AJ10</f>
        <v>0</v>
      </c>
      <c r="AK11" s="433">
        <f ca="1">AK10</f>
        <v>0</v>
      </c>
      <c r="AL11" s="433">
        <f ca="1">AL10</f>
        <v>0</v>
      </c>
      <c r="AM11" s="433">
        <f ca="1">AM10</f>
        <v>0</v>
      </c>
      <c r="AN11" s="439">
        <f ca="1">AN10</f>
        <v>191318902</v>
      </c>
      <c r="AO11" s="440"/>
      <c r="AP11" s="441"/>
      <c r="AQ11" s="720"/>
      <c r="AR11" s="720"/>
    </row>
    <row r="12" spans="1:44" ht="9.3000000000000007" thickTop="1" x14ac:dyDescent="0.35">
      <c r="A12" s="419"/>
      <c r="C12" s="417"/>
      <c r="D12" s="417"/>
      <c r="E12" s="417"/>
      <c r="F12" s="417"/>
      <c r="G12" s="417"/>
      <c r="H12" s="417"/>
      <c r="I12" s="417"/>
      <c r="J12" s="417"/>
      <c r="K12" s="417"/>
      <c r="L12" s="417"/>
      <c r="M12" s="720"/>
      <c r="N12" s="720"/>
      <c r="P12" s="419"/>
      <c r="Q12" s="1376"/>
      <c r="R12" s="417"/>
      <c r="S12" s="417"/>
      <c r="T12" s="417"/>
      <c r="U12" s="417"/>
      <c r="V12" s="417"/>
      <c r="W12" s="417"/>
      <c r="X12" s="417"/>
      <c r="Y12" s="417"/>
      <c r="Z12" s="417"/>
      <c r="AA12" s="417"/>
      <c r="AB12" s="720"/>
      <c r="AC12" s="720"/>
      <c r="AE12" s="419"/>
      <c r="AF12" s="417"/>
      <c r="AG12" s="417"/>
      <c r="AH12" s="417"/>
      <c r="AI12" s="417"/>
      <c r="AJ12" s="417"/>
      <c r="AK12" s="417"/>
      <c r="AL12" s="417"/>
      <c r="AM12" s="417"/>
      <c r="AN12" s="417"/>
      <c r="AO12" s="417"/>
      <c r="AP12" s="417"/>
      <c r="AQ12" s="720"/>
      <c r="AR12" s="720"/>
    </row>
    <row r="13" spans="1:44" x14ac:dyDescent="0.35">
      <c r="A13" s="419"/>
      <c r="C13" s="417"/>
      <c r="D13" s="417"/>
      <c r="E13" s="417"/>
      <c r="F13" s="417"/>
      <c r="G13" s="417"/>
      <c r="H13" s="417"/>
      <c r="I13" s="417"/>
      <c r="J13" s="417"/>
      <c r="K13" s="417"/>
      <c r="L13" s="417"/>
      <c r="M13" s="720"/>
      <c r="N13" s="720"/>
      <c r="P13" s="419"/>
      <c r="Q13" s="1376"/>
      <c r="R13" s="417"/>
      <c r="S13" s="417"/>
      <c r="T13" s="417"/>
      <c r="U13" s="417"/>
      <c r="V13" s="417"/>
      <c r="W13" s="417"/>
      <c r="X13" s="417"/>
      <c r="Y13" s="417"/>
      <c r="Z13" s="417"/>
      <c r="AA13" s="417"/>
      <c r="AB13" s="720"/>
      <c r="AC13" s="720"/>
      <c r="AE13" s="419"/>
      <c r="AF13" s="417"/>
      <c r="AG13" s="417"/>
      <c r="AH13" s="417"/>
      <c r="AI13" s="417"/>
      <c r="AJ13" s="417"/>
      <c r="AK13" s="417"/>
      <c r="AL13" s="417"/>
      <c r="AM13" s="417"/>
      <c r="AN13" s="417"/>
      <c r="AO13" s="417"/>
      <c r="AP13" s="417"/>
      <c r="AQ13" s="720"/>
      <c r="AR13" s="720"/>
    </row>
    <row r="14" spans="1:44" ht="49.2" customHeight="1" thickBot="1" x14ac:dyDescent="0.4">
      <c r="A14" s="419"/>
      <c r="C14" s="1456" t="s">
        <v>833</v>
      </c>
      <c r="D14" s="718" t="s">
        <v>670</v>
      </c>
      <c r="E14" s="716" t="s">
        <v>230</v>
      </c>
      <c r="F14" s="716" t="s">
        <v>231</v>
      </c>
      <c r="G14" s="716" t="s">
        <v>232</v>
      </c>
      <c r="H14" s="716" t="s">
        <v>233</v>
      </c>
      <c r="I14" s="716" t="s">
        <v>286</v>
      </c>
      <c r="J14" s="716" t="s">
        <v>234</v>
      </c>
      <c r="K14" s="716" t="s">
        <v>288</v>
      </c>
      <c r="L14" s="714" t="s">
        <v>834</v>
      </c>
      <c r="M14" s="720"/>
      <c r="N14" s="720"/>
      <c r="P14" s="419"/>
      <c r="Q14" s="1376"/>
      <c r="R14" s="1456" t="s">
        <v>833</v>
      </c>
      <c r="S14" s="718" t="s">
        <v>670</v>
      </c>
      <c r="T14" s="716" t="s">
        <v>230</v>
      </c>
      <c r="U14" s="716" t="s">
        <v>231</v>
      </c>
      <c r="V14" s="716" t="s">
        <v>232</v>
      </c>
      <c r="W14" s="716" t="s">
        <v>233</v>
      </c>
      <c r="X14" s="716" t="s">
        <v>286</v>
      </c>
      <c r="Y14" s="716" t="s">
        <v>234</v>
      </c>
      <c r="Z14" s="716" t="s">
        <v>288</v>
      </c>
      <c r="AA14" s="714" t="s">
        <v>834</v>
      </c>
      <c r="AB14" s="720"/>
      <c r="AC14" s="720"/>
      <c r="AE14" s="419"/>
      <c r="AF14" s="417"/>
      <c r="AG14" s="1456" t="s">
        <v>833</v>
      </c>
      <c r="AH14" s="718" t="s">
        <v>670</v>
      </c>
      <c r="AI14" s="716" t="s">
        <v>230</v>
      </c>
      <c r="AJ14" s="716" t="s">
        <v>231</v>
      </c>
      <c r="AK14" s="716" t="s">
        <v>232</v>
      </c>
      <c r="AL14" s="716" t="s">
        <v>233</v>
      </c>
      <c r="AM14" s="716" t="s">
        <v>286</v>
      </c>
      <c r="AN14" s="716" t="s">
        <v>234</v>
      </c>
      <c r="AO14" s="716" t="s">
        <v>288</v>
      </c>
      <c r="AP14" s="714" t="s">
        <v>834</v>
      </c>
      <c r="AQ14" s="720"/>
      <c r="AR14" s="720"/>
    </row>
    <row r="15" spans="1:44" ht="10.95" customHeight="1" thickTop="1" x14ac:dyDescent="0.35">
      <c r="A15" s="419"/>
      <c r="B15" s="1017" t="s">
        <v>683</v>
      </c>
      <c r="C15" s="1457"/>
      <c r="D15" s="614" t="s">
        <v>684</v>
      </c>
      <c r="E15" s="715">
        <f ca="1">SUMIF('5.Cons and detailed recon'!$R:$R,'6.Summary'!$B15,'5.Cons and detailed recon'!AO:AO)</f>
        <v>12218940</v>
      </c>
      <c r="F15" s="715">
        <f ca="1">SUMIF('5.Cons and detailed recon'!$R:$R,'6.Summary'!$B15,'5.Cons and detailed recon'!AJ:AJ)</f>
        <v>0</v>
      </c>
      <c r="G15" s="715">
        <f ca="1">SUMIF('5.Cons and detailed recon'!$R:$R,'6.Summary'!$B15,'5.Cons and detailed recon'!AK:AK)</f>
        <v>0</v>
      </c>
      <c r="H15" s="715">
        <f ca="1">SUMIF('5.Cons and detailed recon'!$R:$R,'6.Summary'!$B15,'5.Cons and detailed recon'!AI:AI)</f>
        <v>0</v>
      </c>
      <c r="I15" s="715">
        <f ca="1">SUMIF('5.Cons and detailed recon'!$R:$R,'6.Summary'!$B15,'5.Cons and detailed recon'!AL:AL)</f>
        <v>0</v>
      </c>
      <c r="J15" s="715">
        <f ca="1">SUMIF('5.Cons and detailed recon'!$R:$R,'6.Summary'!$B15,'5.Cons and detailed recon'!AH:AH)</f>
        <v>3402000</v>
      </c>
      <c r="K15" s="715">
        <f ca="1">SUMIF('5.Cons and detailed recon'!$R:$R,'6.Summary'!$B15,'5.Cons and detailed recon'!X:X)</f>
        <v>8816940</v>
      </c>
      <c r="L15" s="708">
        <f ca="1">SUM(F15:K15)-E15</f>
        <v>0</v>
      </c>
      <c r="M15" s="720"/>
      <c r="N15" s="720"/>
      <c r="P15" s="419"/>
      <c r="Q15" s="1380" t="s">
        <v>683</v>
      </c>
      <c r="R15" s="1457"/>
      <c r="S15" s="614" t="s">
        <v>684</v>
      </c>
      <c r="T15" s="715">
        <f ca="1">SUMIF('5.Cons and detailed recon'!$BK:$BK,'6.Summary'!$Q15,'5.Cons and detailed recon'!CI:CI)</f>
        <v>12634384</v>
      </c>
      <c r="U15" s="715">
        <f ca="1">SUMIF('5.Cons and detailed recon'!$BK:$BK,'6.Summary'!$Q15,'5.Cons and detailed recon'!CD:CD)</f>
        <v>0</v>
      </c>
      <c r="V15" s="715">
        <f ca="1">SUMIF('5.Cons and detailed recon'!$BK:$BK,'6.Summary'!$Q15,'5.Cons and detailed recon'!CE:CE)</f>
        <v>0</v>
      </c>
      <c r="W15" s="715">
        <f ca="1">SUMIF('5.Cons and detailed recon'!$BK:$BK,'6.Summary'!$Q15,'5.Cons and detailed recon'!CC:CC)</f>
        <v>0</v>
      </c>
      <c r="X15" s="715">
        <f ca="1">SUMIF('5.Cons and detailed recon'!$BK:$BK,'6.Summary'!$Q15,'5.Cons and detailed recon'!CF:CF)</f>
        <v>0</v>
      </c>
      <c r="Y15" s="715">
        <f ca="1">SUMIF('5.Cons and detailed recon'!$BK:$BK,'6.Summary'!$Q15,'5.Cons and detailed recon'!CB:CB)</f>
        <v>3517668</v>
      </c>
      <c r="Z15" s="715">
        <f ca="1">SUMIF('5.Cons and detailed recon'!$BK:$BK,'6.Summary'!$Q15,'5.Cons and detailed recon'!BR:BR)</f>
        <v>9116716</v>
      </c>
      <c r="AA15" s="708">
        <f ca="1">SUM(U15:Z15)-T15</f>
        <v>0</v>
      </c>
      <c r="AB15" s="720"/>
      <c r="AC15" s="720"/>
      <c r="AE15" s="419"/>
      <c r="AF15" s="410" t="s">
        <v>683</v>
      </c>
      <c r="AG15" s="1457"/>
      <c r="AH15" s="614" t="s">
        <v>684</v>
      </c>
      <c r="AI15" s="715">
        <f ca="1">SUMIF('5.Cons and detailed recon'!$DF:$DF,'6.Summary'!$AF15,'5.Cons and detailed recon'!EC:EC)</f>
        <v>13038685</v>
      </c>
      <c r="AJ15" s="715">
        <f ca="1">SUMIF('5.Cons and detailed recon'!$DF:$DF,'6.Summary'!$AF15,'5.Cons and detailed recon'!DX:DX)</f>
        <v>0</v>
      </c>
      <c r="AK15" s="715">
        <f ca="1">SUMIF('5.Cons and detailed recon'!$DF:$DF,'6.Summary'!$AF15,'5.Cons and detailed recon'!DY:DY)</f>
        <v>0</v>
      </c>
      <c r="AL15" s="715">
        <f ca="1">SUMIF('5.Cons and detailed recon'!$DF:$DF,'6.Summary'!$AF15,'5.Cons and detailed recon'!DW:DW)</f>
        <v>0</v>
      </c>
      <c r="AM15" s="715">
        <f ca="1">SUMIF('5.Cons and detailed recon'!$DF:$DF,'6.Summary'!$AF15,'5.Cons and detailed recon'!DZ:DZ)</f>
        <v>0</v>
      </c>
      <c r="AN15" s="715">
        <f ca="1">SUMIF('5.Cons and detailed recon'!$DF:$DF,'6.Summary'!$AF15,'5.Cons and detailed recon'!DV:DV)</f>
        <v>3630233</v>
      </c>
      <c r="AO15" s="715">
        <f ca="1">SUMIF('5.Cons and detailed recon'!$DF:$DF,'6.Summary'!$AF15,'5.Cons and detailed recon'!DL:DL)</f>
        <v>9408452</v>
      </c>
      <c r="AP15" s="708">
        <f ca="1">SUM(AJ15:AO15)-AI15</f>
        <v>0</v>
      </c>
      <c r="AQ15" s="720"/>
      <c r="AR15" s="720"/>
    </row>
    <row r="16" spans="1:44" ht="10.95" customHeight="1" x14ac:dyDescent="0.35">
      <c r="A16" s="419"/>
      <c r="B16" s="1017" t="s">
        <v>685</v>
      </c>
      <c r="C16" s="1457"/>
      <c r="D16" s="712" t="s">
        <v>6</v>
      </c>
      <c r="E16" s="715">
        <f ca="1">SUMIF('5.Cons and detailed recon'!$R:$R,'6.Summary'!$B16,'5.Cons and detailed recon'!AO:AO)</f>
        <v>8291000</v>
      </c>
      <c r="F16" s="715">
        <f ca="1">SUMIF('5.Cons and detailed recon'!$R:$R,'6.Summary'!$B16,'5.Cons and detailed recon'!AJ:AJ)</f>
        <v>0</v>
      </c>
      <c r="G16" s="715">
        <f ca="1">SUMIF('5.Cons and detailed recon'!$R:$R,'6.Summary'!$B16,'5.Cons and detailed recon'!AK:AK)</f>
        <v>0</v>
      </c>
      <c r="H16" s="715">
        <f ca="1">SUMIF('5.Cons and detailed recon'!$R:$R,'6.Summary'!$B16,'5.Cons and detailed recon'!AI:AI)</f>
        <v>0</v>
      </c>
      <c r="I16" s="715">
        <f ca="1">SUMIF('5.Cons and detailed recon'!$R:$R,'6.Summary'!$B16,'5.Cons and detailed recon'!AL:AL)</f>
        <v>0</v>
      </c>
      <c r="J16" s="715">
        <f ca="1">SUMIF('5.Cons and detailed recon'!$R:$R,'6.Summary'!$B16,'5.Cons and detailed recon'!AH:AH)</f>
        <v>8291000</v>
      </c>
      <c r="K16" s="715">
        <f ca="1">SUMIF('5.Cons and detailed recon'!$R:$R,'6.Summary'!$B16,'5.Cons and detailed recon'!X:X)</f>
        <v>0</v>
      </c>
      <c r="L16" s="708">
        <f t="shared" ref="L16:L34" ca="1" si="0">SUM(F16:K16)-E16</f>
        <v>0</v>
      </c>
      <c r="M16" s="720"/>
      <c r="N16" s="720"/>
      <c r="P16" s="419"/>
      <c r="Q16" s="1376" t="s">
        <v>685</v>
      </c>
      <c r="R16" s="1457"/>
      <c r="S16" s="712" t="s">
        <v>6</v>
      </c>
      <c r="T16" s="715">
        <f ca="1">SUMIF('5.Cons and detailed recon'!$BK:$BK,'6.Summary'!$Q16,'5.Cons and detailed recon'!CI:CI)</f>
        <v>8572894</v>
      </c>
      <c r="U16" s="715">
        <f ca="1">SUMIF('5.Cons and detailed recon'!$BK:$BK,'6.Summary'!$Q16,'5.Cons and detailed recon'!CD:CD)</f>
        <v>0</v>
      </c>
      <c r="V16" s="715">
        <f ca="1">SUMIF('5.Cons and detailed recon'!$BK:$BK,'6.Summary'!$Q16,'5.Cons and detailed recon'!CE:CE)</f>
        <v>0</v>
      </c>
      <c r="W16" s="715">
        <f ca="1">SUMIF('5.Cons and detailed recon'!$BK:$BK,'6.Summary'!$Q16,'5.Cons and detailed recon'!CC:CC)</f>
        <v>0</v>
      </c>
      <c r="X16" s="715">
        <f ca="1">SUMIF('5.Cons and detailed recon'!$BK:$BK,'6.Summary'!$Q16,'5.Cons and detailed recon'!CF:CF)</f>
        <v>0</v>
      </c>
      <c r="Y16" s="715">
        <f ca="1">SUMIF('5.Cons and detailed recon'!$BK:$BK,'6.Summary'!$Q16,'5.Cons and detailed recon'!CB:CB)</f>
        <v>8572894</v>
      </c>
      <c r="Z16" s="715">
        <f ca="1">SUMIF('5.Cons and detailed recon'!$BK:$BK,'6.Summary'!$Q16,'5.Cons and detailed recon'!BR:BR)</f>
        <v>0</v>
      </c>
      <c r="AA16" s="708">
        <f t="shared" ref="AA16:AA34" ca="1" si="1">SUM(U16:Z16)-T16</f>
        <v>0</v>
      </c>
      <c r="AB16" s="720"/>
      <c r="AC16" s="720"/>
      <c r="AE16" s="419"/>
      <c r="AF16" s="417" t="s">
        <v>685</v>
      </c>
      <c r="AG16" s="1457"/>
      <c r="AH16" s="712" t="s">
        <v>6</v>
      </c>
      <c r="AI16" s="715">
        <f ca="1">SUMIF('5.Cons and detailed recon'!$DF:$DF,'6.Summary'!$AF16,'5.Cons and detailed recon'!EC:EC)</f>
        <v>8847228</v>
      </c>
      <c r="AJ16" s="715">
        <f ca="1">SUMIF('5.Cons and detailed recon'!$DF:$DF,'6.Summary'!$AF16,'5.Cons and detailed recon'!DX:DX)</f>
        <v>0</v>
      </c>
      <c r="AK16" s="715">
        <f ca="1">SUMIF('5.Cons and detailed recon'!$DF:$DF,'6.Summary'!$AF16,'5.Cons and detailed recon'!DY:DY)</f>
        <v>0</v>
      </c>
      <c r="AL16" s="715">
        <f ca="1">SUMIF('5.Cons and detailed recon'!$DF:$DF,'6.Summary'!$AF16,'5.Cons and detailed recon'!DW:DW)</f>
        <v>0</v>
      </c>
      <c r="AM16" s="715">
        <f ca="1">SUMIF('5.Cons and detailed recon'!$DF:$DF,'6.Summary'!$AF16,'5.Cons and detailed recon'!DZ:DZ)</f>
        <v>0</v>
      </c>
      <c r="AN16" s="715">
        <f ca="1">SUMIF('5.Cons and detailed recon'!$DF:$DF,'6.Summary'!$AF16,'5.Cons and detailed recon'!DV:DV)</f>
        <v>8847228</v>
      </c>
      <c r="AO16" s="715">
        <f ca="1">SUMIF('5.Cons and detailed recon'!$DF:$DF,'6.Summary'!$AF16,'5.Cons and detailed recon'!DL:DL)</f>
        <v>0</v>
      </c>
      <c r="AP16" s="708">
        <f t="shared" ref="AP16:AP34" ca="1" si="2">SUM(AJ16:AO16)-AI16</f>
        <v>0</v>
      </c>
      <c r="AQ16" s="720"/>
      <c r="AR16" s="720"/>
    </row>
    <row r="17" spans="1:44" ht="10.95" customHeight="1" x14ac:dyDescent="0.35">
      <c r="A17" s="419"/>
      <c r="B17" s="1017" t="s">
        <v>686</v>
      </c>
      <c r="C17" s="1457"/>
      <c r="D17" s="712" t="s">
        <v>687</v>
      </c>
      <c r="E17" s="715">
        <f ca="1">SUMIF('5.Cons and detailed recon'!$R:$R,'6.Summary'!$B17,'5.Cons and detailed recon'!AO:AO)</f>
        <v>0</v>
      </c>
      <c r="F17" s="715">
        <f ca="1">SUMIF('5.Cons and detailed recon'!$R:$R,'6.Summary'!$B17,'5.Cons and detailed recon'!AJ:AJ)</f>
        <v>0</v>
      </c>
      <c r="G17" s="715">
        <f ca="1">SUMIF('5.Cons and detailed recon'!$R:$R,'6.Summary'!$B17,'5.Cons and detailed recon'!AK:AK)</f>
        <v>0</v>
      </c>
      <c r="H17" s="715">
        <f ca="1">SUMIF('5.Cons and detailed recon'!$R:$R,'6.Summary'!$B17,'5.Cons and detailed recon'!AI:AI)</f>
        <v>0</v>
      </c>
      <c r="I17" s="715">
        <f ca="1">SUMIF('5.Cons and detailed recon'!$R:$R,'6.Summary'!$B17,'5.Cons and detailed recon'!AL:AL)</f>
        <v>0</v>
      </c>
      <c r="J17" s="715">
        <f ca="1">SUMIF('5.Cons and detailed recon'!$R:$R,'6.Summary'!$B17,'5.Cons and detailed recon'!AH:AH)</f>
        <v>0</v>
      </c>
      <c r="K17" s="715">
        <f ca="1">SUMIF('5.Cons and detailed recon'!$R:$R,'6.Summary'!$B17,'5.Cons and detailed recon'!X:X)</f>
        <v>0</v>
      </c>
      <c r="L17" s="708">
        <f t="shared" ca="1" si="0"/>
        <v>0</v>
      </c>
      <c r="M17" s="720"/>
      <c r="N17" s="720"/>
      <c r="P17" s="419"/>
      <c r="Q17" s="1376" t="s">
        <v>686</v>
      </c>
      <c r="R17" s="1457"/>
      <c r="S17" s="712" t="s">
        <v>687</v>
      </c>
      <c r="T17" s="715">
        <f ca="1">SUMIF('5.Cons and detailed recon'!$BK:$BK,'6.Summary'!$Q17,'5.Cons and detailed recon'!CI:CI)</f>
        <v>0</v>
      </c>
      <c r="U17" s="715">
        <f ca="1">SUMIF('5.Cons and detailed recon'!$BK:$BK,'6.Summary'!$Q17,'5.Cons and detailed recon'!CD:CD)</f>
        <v>0</v>
      </c>
      <c r="V17" s="715">
        <f ca="1">SUMIF('5.Cons and detailed recon'!$BK:$BK,'6.Summary'!$Q17,'5.Cons and detailed recon'!CE:CE)</f>
        <v>0</v>
      </c>
      <c r="W17" s="715">
        <f ca="1">SUMIF('5.Cons and detailed recon'!$BK:$BK,'6.Summary'!$Q17,'5.Cons and detailed recon'!CC:CC)</f>
        <v>0</v>
      </c>
      <c r="X17" s="715">
        <f ca="1">SUMIF('5.Cons and detailed recon'!$BK:$BK,'6.Summary'!$Q17,'5.Cons and detailed recon'!CF:CF)</f>
        <v>0</v>
      </c>
      <c r="Y17" s="715">
        <f ca="1">SUMIF('5.Cons and detailed recon'!$BK:$BK,'6.Summary'!$Q17,'5.Cons and detailed recon'!CB:CB)</f>
        <v>0</v>
      </c>
      <c r="Z17" s="715">
        <f ca="1">SUMIF('5.Cons and detailed recon'!$BK:$BK,'6.Summary'!$Q17,'5.Cons and detailed recon'!BR:BR)</f>
        <v>0</v>
      </c>
      <c r="AA17" s="708">
        <f t="shared" ca="1" si="1"/>
        <v>0</v>
      </c>
      <c r="AB17" s="720"/>
      <c r="AC17" s="720"/>
      <c r="AE17" s="419"/>
      <c r="AF17" s="417" t="s">
        <v>686</v>
      </c>
      <c r="AG17" s="1457"/>
      <c r="AH17" s="712" t="s">
        <v>687</v>
      </c>
      <c r="AI17" s="715">
        <f ca="1">SUMIF('5.Cons and detailed recon'!$DF:$DF,'6.Summary'!$AF17,'5.Cons and detailed recon'!EC:EC)</f>
        <v>0</v>
      </c>
      <c r="AJ17" s="715">
        <f ca="1">SUMIF('5.Cons and detailed recon'!$DF:$DF,'6.Summary'!$AF17,'5.Cons and detailed recon'!DX:DX)</f>
        <v>0</v>
      </c>
      <c r="AK17" s="715">
        <f ca="1">SUMIF('5.Cons and detailed recon'!$DF:$DF,'6.Summary'!$AF17,'5.Cons and detailed recon'!DY:DY)</f>
        <v>0</v>
      </c>
      <c r="AL17" s="715">
        <f ca="1">SUMIF('5.Cons and detailed recon'!$DF:$DF,'6.Summary'!$AF17,'5.Cons and detailed recon'!DW:DW)</f>
        <v>0</v>
      </c>
      <c r="AM17" s="715">
        <f ca="1">SUMIF('5.Cons and detailed recon'!$DF:$DF,'6.Summary'!$AF17,'5.Cons and detailed recon'!DZ:DZ)</f>
        <v>0</v>
      </c>
      <c r="AN17" s="715">
        <f ca="1">SUMIF('5.Cons and detailed recon'!$DF:$DF,'6.Summary'!$AF17,'5.Cons and detailed recon'!DV:DV)</f>
        <v>0</v>
      </c>
      <c r="AO17" s="715">
        <f ca="1">SUMIF('5.Cons and detailed recon'!$DF:$DF,'6.Summary'!$AF17,'5.Cons and detailed recon'!DL:DL)</f>
        <v>0</v>
      </c>
      <c r="AP17" s="708">
        <f t="shared" ca="1" si="2"/>
        <v>0</v>
      </c>
      <c r="AQ17" s="720"/>
      <c r="AR17" s="720"/>
    </row>
    <row r="18" spans="1:44" ht="10.95" customHeight="1" x14ac:dyDescent="0.35">
      <c r="A18" s="419"/>
      <c r="B18" s="1017" t="s">
        <v>688</v>
      </c>
      <c r="C18" s="1457"/>
      <c r="D18" s="712" t="s">
        <v>689</v>
      </c>
      <c r="E18" s="715">
        <f ca="1">SUMIF('5.Cons and detailed recon'!$R:$R,'6.Summary'!$B18,'5.Cons and detailed recon'!AO:AO)</f>
        <v>28560533</v>
      </c>
      <c r="F18" s="715">
        <f ca="1">SUMIF('5.Cons and detailed recon'!$R:$R,'6.Summary'!$B18,'5.Cons and detailed recon'!AJ:AJ)</f>
        <v>0</v>
      </c>
      <c r="G18" s="715">
        <f ca="1">SUMIF('5.Cons and detailed recon'!$R:$R,'6.Summary'!$B18,'5.Cons and detailed recon'!AK:AK)</f>
        <v>7966035</v>
      </c>
      <c r="H18" s="715">
        <f ca="1">SUMIF('5.Cons and detailed recon'!$R:$R,'6.Summary'!$B18,'5.Cons and detailed recon'!AI:AI)</f>
        <v>0</v>
      </c>
      <c r="I18" s="715">
        <f ca="1">SUMIF('5.Cons and detailed recon'!$R:$R,'6.Summary'!$B18,'5.Cons and detailed recon'!AL:AL)</f>
        <v>0</v>
      </c>
      <c r="J18" s="715">
        <f ca="1">SUMIF('5.Cons and detailed recon'!$R:$R,'6.Summary'!$B18,'5.Cons and detailed recon'!AH:AH)</f>
        <v>0</v>
      </c>
      <c r="K18" s="715">
        <f ca="1">SUMIF('5.Cons and detailed recon'!$R:$R,'6.Summary'!$B18,'5.Cons and detailed recon'!X:X)</f>
        <v>20594498</v>
      </c>
      <c r="L18" s="708">
        <f t="shared" ca="1" si="0"/>
        <v>0</v>
      </c>
      <c r="M18" s="720"/>
      <c r="N18" s="720"/>
      <c r="P18" s="419"/>
      <c r="Q18" s="1376" t="s">
        <v>688</v>
      </c>
      <c r="R18" s="1457"/>
      <c r="S18" s="712" t="s">
        <v>689</v>
      </c>
      <c r="T18" s="715">
        <f ca="1">SUMIF('5.Cons and detailed recon'!$BK:$BK,'6.Summary'!$Q18,'5.Cons and detailed recon'!CI:CI)</f>
        <v>29531591</v>
      </c>
      <c r="U18" s="715">
        <f ca="1">SUMIF('5.Cons and detailed recon'!$BK:$BK,'6.Summary'!$Q18,'5.Cons and detailed recon'!CD:CD)</f>
        <v>0</v>
      </c>
      <c r="V18" s="715">
        <f ca="1">SUMIF('5.Cons and detailed recon'!$BK:$BK,'6.Summary'!$Q18,'5.Cons and detailed recon'!CE:CE)</f>
        <v>8236880</v>
      </c>
      <c r="W18" s="715">
        <f ca="1">SUMIF('5.Cons and detailed recon'!$BK:$BK,'6.Summary'!$Q18,'5.Cons and detailed recon'!CC:CC)</f>
        <v>0</v>
      </c>
      <c r="X18" s="715">
        <f ca="1">SUMIF('5.Cons and detailed recon'!$BK:$BK,'6.Summary'!$Q18,'5.Cons and detailed recon'!CF:CF)</f>
        <v>0</v>
      </c>
      <c r="Y18" s="715">
        <f ca="1">SUMIF('5.Cons and detailed recon'!$BK:$BK,'6.Summary'!$Q18,'5.Cons and detailed recon'!CB:CB)</f>
        <v>0</v>
      </c>
      <c r="Z18" s="715">
        <f ca="1">SUMIF('5.Cons and detailed recon'!$BK:$BK,'6.Summary'!$Q18,'5.Cons and detailed recon'!BR:BR)</f>
        <v>21294711</v>
      </c>
      <c r="AA18" s="708">
        <f t="shared" ca="1" si="1"/>
        <v>0</v>
      </c>
      <c r="AB18" s="720"/>
      <c r="AC18" s="720"/>
      <c r="AE18" s="419"/>
      <c r="AF18" s="417" t="s">
        <v>688</v>
      </c>
      <c r="AG18" s="1457"/>
      <c r="AH18" s="712" t="s">
        <v>689</v>
      </c>
      <c r="AI18" s="715">
        <f ca="1">SUMIF('5.Cons and detailed recon'!$DF:$DF,'6.Summary'!$AF18,'5.Cons and detailed recon'!EC:EC)</f>
        <v>30476601</v>
      </c>
      <c r="AJ18" s="715">
        <f ca="1">SUMIF('5.Cons and detailed recon'!$DF:$DF,'6.Summary'!$AF18,'5.Cons and detailed recon'!DX:DX)</f>
        <v>0</v>
      </c>
      <c r="AK18" s="715">
        <f ca="1">SUMIF('5.Cons and detailed recon'!$DF:$DF,'6.Summary'!$AF18,'5.Cons and detailed recon'!DY:DY)</f>
        <v>8500460</v>
      </c>
      <c r="AL18" s="715">
        <f ca="1">SUMIF('5.Cons and detailed recon'!$DF:$DF,'6.Summary'!$AF18,'5.Cons and detailed recon'!DW:DW)</f>
        <v>0</v>
      </c>
      <c r="AM18" s="715">
        <f ca="1">SUMIF('5.Cons and detailed recon'!$DF:$DF,'6.Summary'!$AF18,'5.Cons and detailed recon'!DZ:DZ)</f>
        <v>0</v>
      </c>
      <c r="AN18" s="715">
        <f ca="1">SUMIF('5.Cons and detailed recon'!$DF:$DF,'6.Summary'!$AF18,'5.Cons and detailed recon'!DV:DV)</f>
        <v>0</v>
      </c>
      <c r="AO18" s="715">
        <f ca="1">SUMIF('5.Cons and detailed recon'!$DF:$DF,'6.Summary'!$AF18,'5.Cons and detailed recon'!DL:DL)</f>
        <v>21976141</v>
      </c>
      <c r="AP18" s="708">
        <f t="shared" ca="1" si="2"/>
        <v>0</v>
      </c>
      <c r="AQ18" s="720"/>
      <c r="AR18" s="720"/>
    </row>
    <row r="19" spans="1:44" ht="10.95" customHeight="1" x14ac:dyDescent="0.35">
      <c r="A19" s="419"/>
      <c r="B19" s="1017" t="s">
        <v>690</v>
      </c>
      <c r="C19" s="1457"/>
      <c r="D19" s="712" t="s">
        <v>692</v>
      </c>
      <c r="E19" s="715">
        <f ca="1">SUMIF('5.Cons and detailed recon'!$R:$R,'6.Summary'!$B19,'5.Cons and detailed recon'!AO:AO)</f>
        <v>2768552</v>
      </c>
      <c r="F19" s="715">
        <f ca="1">SUMIF('5.Cons and detailed recon'!$R:$R,'6.Summary'!$B19,'5.Cons and detailed recon'!AJ:AJ)</f>
        <v>0</v>
      </c>
      <c r="G19" s="715">
        <f ca="1">SUMIF('5.Cons and detailed recon'!$R:$R,'6.Summary'!$B19,'5.Cons and detailed recon'!AK:AK)</f>
        <v>0</v>
      </c>
      <c r="H19" s="715">
        <f ca="1">SUMIF('5.Cons and detailed recon'!$R:$R,'6.Summary'!$B19,'5.Cons and detailed recon'!AI:AI)</f>
        <v>220000</v>
      </c>
      <c r="I19" s="715">
        <f ca="1">SUMIF('5.Cons and detailed recon'!$R:$R,'6.Summary'!$B19,'5.Cons and detailed recon'!AL:AL)</f>
        <v>0</v>
      </c>
      <c r="J19" s="715">
        <f ca="1">SUMIF('5.Cons and detailed recon'!$R:$R,'6.Summary'!$B19,'5.Cons and detailed recon'!AH:AH)</f>
        <v>0</v>
      </c>
      <c r="K19" s="715">
        <f ca="1">SUMIF('5.Cons and detailed recon'!$R:$R,'6.Summary'!$B19,'5.Cons and detailed recon'!X:X)</f>
        <v>2548552</v>
      </c>
      <c r="L19" s="708">
        <f t="shared" ca="1" si="0"/>
        <v>0</v>
      </c>
      <c r="M19" s="720"/>
      <c r="N19" s="720"/>
      <c r="P19" s="419"/>
      <c r="Q19" s="1376" t="s">
        <v>690</v>
      </c>
      <c r="R19" s="1457"/>
      <c r="S19" s="712" t="s">
        <v>692</v>
      </c>
      <c r="T19" s="715">
        <f ca="1">SUMIF('5.Cons and detailed recon'!$BK:$BK,'6.Summary'!$Q19,'5.Cons and detailed recon'!CI:CI)</f>
        <v>2862683</v>
      </c>
      <c r="U19" s="715">
        <f ca="1">SUMIF('5.Cons and detailed recon'!$BK:$BK,'6.Summary'!$Q19,'5.Cons and detailed recon'!CD:CD)</f>
        <v>0</v>
      </c>
      <c r="V19" s="715">
        <f ca="1">SUMIF('5.Cons and detailed recon'!$BK:$BK,'6.Summary'!$Q19,'5.Cons and detailed recon'!CE:CE)</f>
        <v>0</v>
      </c>
      <c r="W19" s="715">
        <f ca="1">SUMIF('5.Cons and detailed recon'!$BK:$BK,'6.Summary'!$Q19,'5.Cons and detailed recon'!CC:CC)</f>
        <v>227480</v>
      </c>
      <c r="X19" s="715">
        <f ca="1">SUMIF('5.Cons and detailed recon'!$BK:$BK,'6.Summary'!$Q19,'5.Cons and detailed recon'!CF:CF)</f>
        <v>0</v>
      </c>
      <c r="Y19" s="715">
        <f ca="1">SUMIF('5.Cons and detailed recon'!$BK:$BK,'6.Summary'!$Q19,'5.Cons and detailed recon'!CB:CB)</f>
        <v>0</v>
      </c>
      <c r="Z19" s="715">
        <f ca="1">SUMIF('5.Cons and detailed recon'!$BK:$BK,'6.Summary'!$Q19,'5.Cons and detailed recon'!BR:BR)</f>
        <v>2635203</v>
      </c>
      <c r="AA19" s="708">
        <f t="shared" ca="1" si="1"/>
        <v>0</v>
      </c>
      <c r="AB19" s="720"/>
      <c r="AC19" s="720"/>
      <c r="AE19" s="419"/>
      <c r="AF19" s="417" t="s">
        <v>690</v>
      </c>
      <c r="AG19" s="1457"/>
      <c r="AH19" s="712" t="s">
        <v>692</v>
      </c>
      <c r="AI19" s="715">
        <f ca="1">SUMIF('5.Cons and detailed recon'!$DF:$DF,'6.Summary'!$AF19,'5.Cons and detailed recon'!EC:EC)</f>
        <v>2954288</v>
      </c>
      <c r="AJ19" s="715">
        <f ca="1">SUMIF('5.Cons and detailed recon'!$DF:$DF,'6.Summary'!$AF19,'5.Cons and detailed recon'!DX:DX)</f>
        <v>0</v>
      </c>
      <c r="AK19" s="715">
        <f ca="1">SUMIF('5.Cons and detailed recon'!$DF:$DF,'6.Summary'!$AF19,'5.Cons and detailed recon'!DY:DY)</f>
        <v>0</v>
      </c>
      <c r="AL19" s="715">
        <f ca="1">SUMIF('5.Cons and detailed recon'!$DF:$DF,'6.Summary'!$AF19,'5.Cons and detailed recon'!DW:DW)</f>
        <v>234759</v>
      </c>
      <c r="AM19" s="715">
        <f ca="1">SUMIF('5.Cons and detailed recon'!$DF:$DF,'6.Summary'!$AF19,'5.Cons and detailed recon'!DZ:DZ)</f>
        <v>0</v>
      </c>
      <c r="AN19" s="715">
        <f ca="1">SUMIF('5.Cons and detailed recon'!$DF:$DF,'6.Summary'!$AF19,'5.Cons and detailed recon'!DV:DV)</f>
        <v>0</v>
      </c>
      <c r="AO19" s="715">
        <f ca="1">SUMIF('5.Cons and detailed recon'!$DF:$DF,'6.Summary'!$AF19,'5.Cons and detailed recon'!DL:DL)</f>
        <v>2719529</v>
      </c>
      <c r="AP19" s="708">
        <f t="shared" ca="1" si="2"/>
        <v>0</v>
      </c>
      <c r="AQ19" s="720"/>
      <c r="AR19" s="720"/>
    </row>
    <row r="20" spans="1:44" ht="10.95" customHeight="1" x14ac:dyDescent="0.35">
      <c r="A20" s="419"/>
      <c r="B20" s="1017" t="s">
        <v>693</v>
      </c>
      <c r="C20" s="1457"/>
      <c r="D20" s="712" t="s">
        <v>694</v>
      </c>
      <c r="E20" s="715">
        <f ca="1">SUMIF('5.Cons and detailed recon'!$R:$R,'6.Summary'!$B20,'5.Cons and detailed recon'!AO:AO)</f>
        <v>0</v>
      </c>
      <c r="F20" s="715">
        <f ca="1">SUMIF('5.Cons and detailed recon'!$R:$R,'6.Summary'!$B20,'5.Cons and detailed recon'!AJ:AJ)</f>
        <v>0</v>
      </c>
      <c r="G20" s="715">
        <f ca="1">SUMIF('5.Cons and detailed recon'!$R:$R,'6.Summary'!$B20,'5.Cons and detailed recon'!AK:AK)</f>
        <v>0</v>
      </c>
      <c r="H20" s="715">
        <f ca="1">SUMIF('5.Cons and detailed recon'!$R:$R,'6.Summary'!$B20,'5.Cons and detailed recon'!AI:AI)</f>
        <v>0</v>
      </c>
      <c r="I20" s="715">
        <f ca="1">SUMIF('5.Cons and detailed recon'!$R:$R,'6.Summary'!$B20,'5.Cons and detailed recon'!AL:AL)</f>
        <v>0</v>
      </c>
      <c r="J20" s="715">
        <f ca="1">SUMIF('5.Cons and detailed recon'!$R:$R,'6.Summary'!$B20,'5.Cons and detailed recon'!AH:AH)</f>
        <v>0</v>
      </c>
      <c r="K20" s="715">
        <f ca="1">SUMIF('5.Cons and detailed recon'!$R:$R,'6.Summary'!$B20,'5.Cons and detailed recon'!X:X)</f>
        <v>0</v>
      </c>
      <c r="L20" s="708">
        <f t="shared" ca="1" si="0"/>
        <v>0</v>
      </c>
      <c r="M20" s="720"/>
      <c r="N20" s="720"/>
      <c r="P20" s="419"/>
      <c r="Q20" s="1376" t="s">
        <v>693</v>
      </c>
      <c r="R20" s="1457"/>
      <c r="S20" s="712" t="s">
        <v>694</v>
      </c>
      <c r="T20" s="715">
        <f ca="1">SUMIF('5.Cons and detailed recon'!$BK:$BK,'6.Summary'!$Q20,'5.Cons and detailed recon'!CI:CI)</f>
        <v>0</v>
      </c>
      <c r="U20" s="715">
        <f ca="1">SUMIF('5.Cons and detailed recon'!$BK:$BK,'6.Summary'!$Q20,'5.Cons and detailed recon'!CD:CD)</f>
        <v>0</v>
      </c>
      <c r="V20" s="715">
        <f ca="1">SUMIF('5.Cons and detailed recon'!$BK:$BK,'6.Summary'!$Q20,'5.Cons and detailed recon'!CE:CE)</f>
        <v>0</v>
      </c>
      <c r="W20" s="715">
        <f ca="1">SUMIF('5.Cons and detailed recon'!$BK:$BK,'6.Summary'!$Q20,'5.Cons and detailed recon'!CC:CC)</f>
        <v>0</v>
      </c>
      <c r="X20" s="715">
        <f ca="1">SUMIF('5.Cons and detailed recon'!$BK:$BK,'6.Summary'!$Q20,'5.Cons and detailed recon'!CF:CF)</f>
        <v>0</v>
      </c>
      <c r="Y20" s="715">
        <f ca="1">SUMIF('5.Cons and detailed recon'!$BK:$BK,'6.Summary'!$Q20,'5.Cons and detailed recon'!CB:CB)</f>
        <v>0</v>
      </c>
      <c r="Z20" s="715">
        <f ca="1">SUMIF('5.Cons and detailed recon'!$BK:$BK,'6.Summary'!$Q20,'5.Cons and detailed recon'!BR:BR)</f>
        <v>0</v>
      </c>
      <c r="AA20" s="708">
        <f t="shared" ca="1" si="1"/>
        <v>0</v>
      </c>
      <c r="AB20" s="720"/>
      <c r="AC20" s="720"/>
      <c r="AE20" s="419"/>
      <c r="AF20" s="417" t="s">
        <v>693</v>
      </c>
      <c r="AG20" s="1457"/>
      <c r="AH20" s="712" t="s">
        <v>694</v>
      </c>
      <c r="AI20" s="715">
        <f ca="1">SUMIF('5.Cons and detailed recon'!$DF:$DF,'6.Summary'!$AF20,'5.Cons and detailed recon'!EC:EC)</f>
        <v>0</v>
      </c>
      <c r="AJ20" s="715">
        <f ca="1">SUMIF('5.Cons and detailed recon'!$DF:$DF,'6.Summary'!$AF20,'5.Cons and detailed recon'!DX:DX)</f>
        <v>0</v>
      </c>
      <c r="AK20" s="715">
        <f ca="1">SUMIF('5.Cons and detailed recon'!$DF:$DF,'6.Summary'!$AF20,'5.Cons and detailed recon'!DY:DY)</f>
        <v>0</v>
      </c>
      <c r="AL20" s="715">
        <f ca="1">SUMIF('5.Cons and detailed recon'!$DF:$DF,'6.Summary'!$AF20,'5.Cons and detailed recon'!DW:DW)</f>
        <v>0</v>
      </c>
      <c r="AM20" s="715">
        <f ca="1">SUMIF('5.Cons and detailed recon'!$DF:$DF,'6.Summary'!$AF20,'5.Cons and detailed recon'!DZ:DZ)</f>
        <v>0</v>
      </c>
      <c r="AN20" s="715">
        <f ca="1">SUMIF('5.Cons and detailed recon'!$DF:$DF,'6.Summary'!$AF20,'5.Cons and detailed recon'!DV:DV)</f>
        <v>0</v>
      </c>
      <c r="AO20" s="715">
        <f ca="1">SUMIF('5.Cons and detailed recon'!$DF:$DF,'6.Summary'!$AF20,'5.Cons and detailed recon'!DL:DL)</f>
        <v>0</v>
      </c>
      <c r="AP20" s="708">
        <f t="shared" ca="1" si="2"/>
        <v>0</v>
      </c>
      <c r="AQ20" s="720"/>
      <c r="AR20" s="720"/>
    </row>
    <row r="21" spans="1:44" ht="10.95" customHeight="1" x14ac:dyDescent="0.35">
      <c r="A21" s="419"/>
      <c r="B21" s="1017" t="s">
        <v>695</v>
      </c>
      <c r="C21" s="1457"/>
      <c r="D21" s="712" t="s">
        <v>696</v>
      </c>
      <c r="E21" s="715">
        <f ca="1">SUMIF('5.Cons and detailed recon'!$R:$R,'6.Summary'!$B21,'5.Cons and detailed recon'!AO:AO)</f>
        <v>0</v>
      </c>
      <c r="F21" s="715">
        <f ca="1">SUMIF('5.Cons and detailed recon'!$R:$R,'6.Summary'!$B21,'5.Cons and detailed recon'!AJ:AJ)</f>
        <v>0</v>
      </c>
      <c r="G21" s="715">
        <f ca="1">SUMIF('5.Cons and detailed recon'!$R:$R,'6.Summary'!$B21,'5.Cons and detailed recon'!AK:AK)</f>
        <v>0</v>
      </c>
      <c r="H21" s="715">
        <f ca="1">SUMIF('5.Cons and detailed recon'!$R:$R,'6.Summary'!$B21,'5.Cons and detailed recon'!AI:AI)</f>
        <v>0</v>
      </c>
      <c r="I21" s="715">
        <f ca="1">SUMIF('5.Cons and detailed recon'!$R:$R,'6.Summary'!$B21,'5.Cons and detailed recon'!AL:AL)</f>
        <v>0</v>
      </c>
      <c r="J21" s="715">
        <f ca="1">SUMIF('5.Cons and detailed recon'!$R:$R,'6.Summary'!$B21,'5.Cons and detailed recon'!AH:AH)</f>
        <v>0</v>
      </c>
      <c r="K21" s="715">
        <f ca="1">SUMIF('5.Cons and detailed recon'!$R:$R,'6.Summary'!$B21,'5.Cons and detailed recon'!X:X)</f>
        <v>0</v>
      </c>
      <c r="L21" s="708">
        <f t="shared" ca="1" si="0"/>
        <v>0</v>
      </c>
      <c r="M21" s="720"/>
      <c r="N21" s="720"/>
      <c r="P21" s="419"/>
      <c r="Q21" s="1376" t="s">
        <v>695</v>
      </c>
      <c r="R21" s="1457"/>
      <c r="S21" s="712" t="s">
        <v>696</v>
      </c>
      <c r="T21" s="715">
        <f ca="1">SUMIF('5.Cons and detailed recon'!$BK:$BK,'6.Summary'!$Q21,'5.Cons and detailed recon'!CI:CI)</f>
        <v>0</v>
      </c>
      <c r="U21" s="715">
        <f ca="1">SUMIF('5.Cons and detailed recon'!$BK:$BK,'6.Summary'!$Q21,'5.Cons and detailed recon'!CD:CD)</f>
        <v>0</v>
      </c>
      <c r="V21" s="715">
        <f ca="1">SUMIF('5.Cons and detailed recon'!$BK:$BK,'6.Summary'!$Q21,'5.Cons and detailed recon'!CE:CE)</f>
        <v>0</v>
      </c>
      <c r="W21" s="715">
        <f ca="1">SUMIF('5.Cons and detailed recon'!$BK:$BK,'6.Summary'!$Q21,'5.Cons and detailed recon'!CC:CC)</f>
        <v>0</v>
      </c>
      <c r="X21" s="715">
        <f ca="1">SUMIF('5.Cons and detailed recon'!$BK:$BK,'6.Summary'!$Q21,'5.Cons and detailed recon'!CF:CF)</f>
        <v>0</v>
      </c>
      <c r="Y21" s="715">
        <f ca="1">SUMIF('5.Cons and detailed recon'!$BK:$BK,'6.Summary'!$Q21,'5.Cons and detailed recon'!CB:CB)</f>
        <v>0</v>
      </c>
      <c r="Z21" s="715">
        <f ca="1">SUMIF('5.Cons and detailed recon'!$BK:$BK,'6.Summary'!$Q21,'5.Cons and detailed recon'!BR:BR)</f>
        <v>0</v>
      </c>
      <c r="AA21" s="708">
        <f t="shared" ca="1" si="1"/>
        <v>0</v>
      </c>
      <c r="AB21" s="720"/>
      <c r="AC21" s="720"/>
      <c r="AE21" s="419"/>
      <c r="AF21" s="417" t="s">
        <v>695</v>
      </c>
      <c r="AG21" s="1457"/>
      <c r="AH21" s="712" t="s">
        <v>696</v>
      </c>
      <c r="AI21" s="715">
        <f ca="1">SUMIF('5.Cons and detailed recon'!$DF:$DF,'6.Summary'!$AF21,'5.Cons and detailed recon'!EC:EC)</f>
        <v>0</v>
      </c>
      <c r="AJ21" s="715">
        <f ca="1">SUMIF('5.Cons and detailed recon'!$DF:$DF,'6.Summary'!$AF21,'5.Cons and detailed recon'!DX:DX)</f>
        <v>0</v>
      </c>
      <c r="AK21" s="715">
        <f ca="1">SUMIF('5.Cons and detailed recon'!$DF:$DF,'6.Summary'!$AF21,'5.Cons and detailed recon'!DY:DY)</f>
        <v>0</v>
      </c>
      <c r="AL21" s="715">
        <f ca="1">SUMIF('5.Cons and detailed recon'!$DF:$DF,'6.Summary'!$AF21,'5.Cons and detailed recon'!DW:DW)</f>
        <v>0</v>
      </c>
      <c r="AM21" s="715">
        <f ca="1">SUMIF('5.Cons and detailed recon'!$DF:$DF,'6.Summary'!$AF21,'5.Cons and detailed recon'!DZ:DZ)</f>
        <v>0</v>
      </c>
      <c r="AN21" s="715">
        <f ca="1">SUMIF('5.Cons and detailed recon'!$DF:$DF,'6.Summary'!$AF21,'5.Cons and detailed recon'!DV:DV)</f>
        <v>0</v>
      </c>
      <c r="AO21" s="715">
        <f ca="1">SUMIF('5.Cons and detailed recon'!$DF:$DF,'6.Summary'!$AF21,'5.Cons and detailed recon'!DL:DL)</f>
        <v>0</v>
      </c>
      <c r="AP21" s="708">
        <f t="shared" ca="1" si="2"/>
        <v>0</v>
      </c>
      <c r="AQ21" s="720"/>
      <c r="AR21" s="720"/>
    </row>
    <row r="22" spans="1:44" ht="10.95" customHeight="1" x14ac:dyDescent="0.35">
      <c r="A22" s="419"/>
      <c r="B22" s="1017" t="s">
        <v>697</v>
      </c>
      <c r="C22" s="1457"/>
      <c r="D22" s="712" t="s">
        <v>699</v>
      </c>
      <c r="E22" s="715">
        <f ca="1">SUMIF('5.Cons and detailed recon'!$R:$R,'6.Summary'!$B22,'5.Cons and detailed recon'!AO:AO)</f>
        <v>1300000</v>
      </c>
      <c r="F22" s="715">
        <f ca="1">SUMIF('5.Cons and detailed recon'!$R:$R,'6.Summary'!$B22,'5.Cons and detailed recon'!AJ:AJ)</f>
        <v>0</v>
      </c>
      <c r="G22" s="715">
        <f ca="1">SUMIF('5.Cons and detailed recon'!$R:$R,'6.Summary'!$B22,'5.Cons and detailed recon'!AK:AK)</f>
        <v>0</v>
      </c>
      <c r="H22" s="715">
        <f ca="1">SUMIF('5.Cons and detailed recon'!$R:$R,'6.Summary'!$B22,'5.Cons and detailed recon'!AI:AI)</f>
        <v>0</v>
      </c>
      <c r="I22" s="715">
        <f ca="1">SUMIF('5.Cons and detailed recon'!$R:$R,'6.Summary'!$B22,'5.Cons and detailed recon'!AL:AL)</f>
        <v>0</v>
      </c>
      <c r="J22" s="715">
        <f ca="1">SUMIF('5.Cons and detailed recon'!$R:$R,'6.Summary'!$B22,'5.Cons and detailed recon'!AH:AH)</f>
        <v>70000</v>
      </c>
      <c r="K22" s="715">
        <f ca="1">SUMIF('5.Cons and detailed recon'!$R:$R,'6.Summary'!$B22,'5.Cons and detailed recon'!X:X)</f>
        <v>1230000</v>
      </c>
      <c r="L22" s="708">
        <f t="shared" ca="1" si="0"/>
        <v>0</v>
      </c>
      <c r="M22" s="720"/>
      <c r="N22" s="720"/>
      <c r="P22" s="419"/>
      <c r="Q22" s="1376" t="s">
        <v>697</v>
      </c>
      <c r="R22" s="1457"/>
      <c r="S22" s="712" t="s">
        <v>699</v>
      </c>
      <c r="T22" s="715">
        <f ca="1">SUMIF('5.Cons and detailed recon'!$BK:$BK,'6.Summary'!$Q22,'5.Cons and detailed recon'!CI:CI)</f>
        <v>1344200</v>
      </c>
      <c r="U22" s="715">
        <f ca="1">SUMIF('5.Cons and detailed recon'!$BK:$BK,'6.Summary'!$Q22,'5.Cons and detailed recon'!CD:CD)</f>
        <v>0</v>
      </c>
      <c r="V22" s="715">
        <f ca="1">SUMIF('5.Cons and detailed recon'!$BK:$BK,'6.Summary'!$Q22,'5.Cons and detailed recon'!CE:CE)</f>
        <v>0</v>
      </c>
      <c r="W22" s="715">
        <f ca="1">SUMIF('5.Cons and detailed recon'!$BK:$BK,'6.Summary'!$Q22,'5.Cons and detailed recon'!CC:CC)</f>
        <v>0</v>
      </c>
      <c r="X22" s="715">
        <f ca="1">SUMIF('5.Cons and detailed recon'!$BK:$BK,'6.Summary'!$Q22,'5.Cons and detailed recon'!CF:CF)</f>
        <v>0</v>
      </c>
      <c r="Y22" s="715">
        <f ca="1">SUMIF('5.Cons and detailed recon'!$BK:$BK,'6.Summary'!$Q22,'5.Cons and detailed recon'!CB:CB)</f>
        <v>72380</v>
      </c>
      <c r="Z22" s="715">
        <f ca="1">SUMIF('5.Cons and detailed recon'!$BK:$BK,'6.Summary'!$Q22,'5.Cons and detailed recon'!BR:BR)</f>
        <v>1271820</v>
      </c>
      <c r="AA22" s="708">
        <f t="shared" ca="1" si="1"/>
        <v>0</v>
      </c>
      <c r="AB22" s="720"/>
      <c r="AC22" s="720"/>
      <c r="AE22" s="419"/>
      <c r="AF22" s="417" t="s">
        <v>697</v>
      </c>
      <c r="AG22" s="1457"/>
      <c r="AH22" s="712" t="s">
        <v>699</v>
      </c>
      <c r="AI22" s="715">
        <f ca="1">SUMIF('5.Cons and detailed recon'!$DF:$DF,'6.Summary'!$AF22,'5.Cons and detailed recon'!EC:EC)</f>
        <v>1387214</v>
      </c>
      <c r="AJ22" s="715">
        <f ca="1">SUMIF('5.Cons and detailed recon'!$DF:$DF,'6.Summary'!$AF22,'5.Cons and detailed recon'!DX:DX)</f>
        <v>0</v>
      </c>
      <c r="AK22" s="715">
        <f ca="1">SUMIF('5.Cons and detailed recon'!$DF:$DF,'6.Summary'!$AF22,'5.Cons and detailed recon'!DY:DY)</f>
        <v>0</v>
      </c>
      <c r="AL22" s="715">
        <f ca="1">SUMIF('5.Cons and detailed recon'!$DF:$DF,'6.Summary'!$AF22,'5.Cons and detailed recon'!DW:DW)</f>
        <v>0</v>
      </c>
      <c r="AM22" s="715">
        <f ca="1">SUMIF('5.Cons and detailed recon'!$DF:$DF,'6.Summary'!$AF22,'5.Cons and detailed recon'!DZ:DZ)</f>
        <v>0</v>
      </c>
      <c r="AN22" s="715">
        <f ca="1">SUMIF('5.Cons and detailed recon'!$DF:$DF,'6.Summary'!$AF22,'5.Cons and detailed recon'!DV:DV)</f>
        <v>74696</v>
      </c>
      <c r="AO22" s="715">
        <f ca="1">SUMIF('5.Cons and detailed recon'!$DF:$DF,'6.Summary'!$AF22,'5.Cons and detailed recon'!DL:DL)</f>
        <v>1312518</v>
      </c>
      <c r="AP22" s="708">
        <f t="shared" ca="1" si="2"/>
        <v>0</v>
      </c>
      <c r="AQ22" s="720"/>
      <c r="AR22" s="720"/>
    </row>
    <row r="23" spans="1:44" ht="10.95" customHeight="1" x14ac:dyDescent="0.35">
      <c r="A23" s="419"/>
      <c r="B23" s="1017" t="s">
        <v>700</v>
      </c>
      <c r="C23" s="1457"/>
      <c r="D23" s="712" t="s">
        <v>701</v>
      </c>
      <c r="E23" s="715">
        <f ca="1">SUMIF('5.Cons and detailed recon'!$R:$R,'6.Summary'!$B23,'5.Cons and detailed recon'!AO:AO)</f>
        <v>76000</v>
      </c>
      <c r="F23" s="715">
        <f ca="1">SUMIF('5.Cons and detailed recon'!$R:$R,'6.Summary'!$B23,'5.Cons and detailed recon'!AJ:AJ)</f>
        <v>0</v>
      </c>
      <c r="G23" s="715">
        <f ca="1">SUMIF('5.Cons and detailed recon'!$R:$R,'6.Summary'!$B23,'5.Cons and detailed recon'!AK:AK)</f>
        <v>0</v>
      </c>
      <c r="H23" s="715">
        <f ca="1">SUMIF('5.Cons and detailed recon'!$R:$R,'6.Summary'!$B23,'5.Cons and detailed recon'!AI:AI)</f>
        <v>0</v>
      </c>
      <c r="I23" s="715">
        <f ca="1">SUMIF('5.Cons and detailed recon'!$R:$R,'6.Summary'!$B23,'5.Cons and detailed recon'!AL:AL)</f>
        <v>0</v>
      </c>
      <c r="J23" s="715">
        <f ca="1">SUMIF('5.Cons and detailed recon'!$R:$R,'6.Summary'!$B23,'5.Cons and detailed recon'!AH:AH)</f>
        <v>76000</v>
      </c>
      <c r="K23" s="715">
        <f ca="1">SUMIF('5.Cons and detailed recon'!$R:$R,'6.Summary'!$B23,'5.Cons and detailed recon'!X:X)</f>
        <v>0</v>
      </c>
      <c r="L23" s="708">
        <f t="shared" ca="1" si="0"/>
        <v>0</v>
      </c>
      <c r="M23" s="720"/>
      <c r="N23" s="720"/>
      <c r="P23" s="419"/>
      <c r="Q23" s="1376" t="s">
        <v>700</v>
      </c>
      <c r="R23" s="1457"/>
      <c r="S23" s="712" t="s">
        <v>701</v>
      </c>
      <c r="T23" s="715">
        <f ca="1">SUMIF('5.Cons and detailed recon'!$BK:$BK,'6.Summary'!$Q23,'5.Cons and detailed recon'!CI:CI)</f>
        <v>78584</v>
      </c>
      <c r="U23" s="715">
        <f ca="1">SUMIF('5.Cons and detailed recon'!$BK:$BK,'6.Summary'!$Q23,'5.Cons and detailed recon'!CD:CD)</f>
        <v>0</v>
      </c>
      <c r="V23" s="715">
        <f ca="1">SUMIF('5.Cons and detailed recon'!$BK:$BK,'6.Summary'!$Q23,'5.Cons and detailed recon'!CE:CE)</f>
        <v>0</v>
      </c>
      <c r="W23" s="715">
        <f ca="1">SUMIF('5.Cons and detailed recon'!$BK:$BK,'6.Summary'!$Q23,'5.Cons and detailed recon'!CC:CC)</f>
        <v>0</v>
      </c>
      <c r="X23" s="715">
        <f ca="1">SUMIF('5.Cons and detailed recon'!$BK:$BK,'6.Summary'!$Q23,'5.Cons and detailed recon'!CF:CF)</f>
        <v>0</v>
      </c>
      <c r="Y23" s="715">
        <f ca="1">SUMIF('5.Cons and detailed recon'!$BK:$BK,'6.Summary'!$Q23,'5.Cons and detailed recon'!CB:CB)</f>
        <v>78584</v>
      </c>
      <c r="Z23" s="715">
        <f ca="1">SUMIF('5.Cons and detailed recon'!$BK:$BK,'6.Summary'!$Q23,'5.Cons and detailed recon'!BR:BR)</f>
        <v>0</v>
      </c>
      <c r="AA23" s="708">
        <f t="shared" ca="1" si="1"/>
        <v>0</v>
      </c>
      <c r="AB23" s="720"/>
      <c r="AC23" s="720"/>
      <c r="AE23" s="419"/>
      <c r="AF23" s="417" t="s">
        <v>700</v>
      </c>
      <c r="AG23" s="1457"/>
      <c r="AH23" s="712" t="s">
        <v>701</v>
      </c>
      <c r="AI23" s="715">
        <f ca="1">SUMIF('5.Cons and detailed recon'!$DF:$DF,'6.Summary'!$AF23,'5.Cons and detailed recon'!EC:EC)</f>
        <v>81099</v>
      </c>
      <c r="AJ23" s="715">
        <f ca="1">SUMIF('5.Cons and detailed recon'!$DF:$DF,'6.Summary'!$AF23,'5.Cons and detailed recon'!DX:DX)</f>
        <v>0</v>
      </c>
      <c r="AK23" s="715">
        <f ca="1">SUMIF('5.Cons and detailed recon'!$DF:$DF,'6.Summary'!$AF23,'5.Cons and detailed recon'!DY:DY)</f>
        <v>0</v>
      </c>
      <c r="AL23" s="715">
        <f ca="1">SUMIF('5.Cons and detailed recon'!$DF:$DF,'6.Summary'!$AF23,'5.Cons and detailed recon'!DW:DW)</f>
        <v>0</v>
      </c>
      <c r="AM23" s="715">
        <f ca="1">SUMIF('5.Cons and detailed recon'!$DF:$DF,'6.Summary'!$AF23,'5.Cons and detailed recon'!DZ:DZ)</f>
        <v>0</v>
      </c>
      <c r="AN23" s="715">
        <f ca="1">SUMIF('5.Cons and detailed recon'!$DF:$DF,'6.Summary'!$AF23,'5.Cons and detailed recon'!DV:DV)</f>
        <v>81099</v>
      </c>
      <c r="AO23" s="715">
        <f ca="1">SUMIF('5.Cons and detailed recon'!$DF:$DF,'6.Summary'!$AF23,'5.Cons and detailed recon'!DL:DL)</f>
        <v>0</v>
      </c>
      <c r="AP23" s="708">
        <f t="shared" ca="1" si="2"/>
        <v>0</v>
      </c>
      <c r="AQ23" s="720"/>
      <c r="AR23" s="720"/>
    </row>
    <row r="24" spans="1:44" ht="10.95" customHeight="1" x14ac:dyDescent="0.35">
      <c r="A24" s="419"/>
      <c r="B24" s="1021">
        <v>1550</v>
      </c>
      <c r="C24" s="1457"/>
      <c r="D24" s="712" t="s">
        <v>1565</v>
      </c>
      <c r="E24" s="715">
        <f ca="1">SUMIF('5.Cons and detailed recon'!$R:$R,'6.Summary'!$B24,'5.Cons and detailed recon'!AO:AO)</f>
        <v>0</v>
      </c>
      <c r="F24" s="715">
        <f ca="1">SUMIF('5.Cons and detailed recon'!$R:$R,'6.Summary'!$B24,'5.Cons and detailed recon'!AJ:AJ)</f>
        <v>0</v>
      </c>
      <c r="G24" s="715">
        <f ca="1">SUMIF('5.Cons and detailed recon'!$R:$R,'6.Summary'!$B24,'5.Cons and detailed recon'!AK:AK)</f>
        <v>0</v>
      </c>
      <c r="H24" s="715">
        <f ca="1">SUMIF('5.Cons and detailed recon'!$R:$R,'6.Summary'!$B24,'5.Cons and detailed recon'!AI:AI)</f>
        <v>0</v>
      </c>
      <c r="I24" s="715">
        <f ca="1">SUMIF('5.Cons and detailed recon'!$R:$R,'6.Summary'!$B24,'5.Cons and detailed recon'!AL:AL)</f>
        <v>0</v>
      </c>
      <c r="J24" s="715">
        <f>SUMIF('5.Cons and detailed recon'!$R:$R,'6.Summary'!$B24,'5.Cons and detailed recon'!AH:AH)</f>
        <v>0</v>
      </c>
      <c r="K24" s="715">
        <f ca="1">SUMIF('5.Cons and detailed recon'!$R:$R,'6.Summary'!$B24,'5.Cons and detailed recon'!X:X)</f>
        <v>0</v>
      </c>
      <c r="L24" s="708"/>
      <c r="M24" s="720"/>
      <c r="N24" s="720"/>
      <c r="P24" s="419"/>
      <c r="Q24" s="1376">
        <v>1550</v>
      </c>
      <c r="R24" s="1457"/>
      <c r="S24" s="712" t="s">
        <v>1565</v>
      </c>
      <c r="T24" s="715">
        <f ca="1">SUMIF('5.Cons and detailed recon'!$BK:$BK,'6.Summary'!$Q24,'5.Cons and detailed recon'!CI:CI)</f>
        <v>0</v>
      </c>
      <c r="U24" s="715">
        <f ca="1">SUMIF('5.Cons and detailed recon'!$BK:$BK,'6.Summary'!$Q24,'5.Cons and detailed recon'!CD:CD)</f>
        <v>0</v>
      </c>
      <c r="V24" s="715">
        <f ca="1">SUMIF('5.Cons and detailed recon'!$BK:$BK,'6.Summary'!$Q24,'5.Cons and detailed recon'!CE:CE)</f>
        <v>0</v>
      </c>
      <c r="W24" s="715">
        <f ca="1">SUMIF('5.Cons and detailed recon'!$BK:$BK,'6.Summary'!$Q24,'5.Cons and detailed recon'!CC:CC)</f>
        <v>0</v>
      </c>
      <c r="X24" s="715">
        <f ca="1">SUMIF('5.Cons and detailed recon'!$BK:$BK,'6.Summary'!$Q24,'5.Cons and detailed recon'!CF:CF)</f>
        <v>0</v>
      </c>
      <c r="Y24" s="715">
        <f ca="1">SUMIF('5.Cons and detailed recon'!$BK:$BK,'6.Summary'!$Q24,'5.Cons and detailed recon'!CB:CB)</f>
        <v>0</v>
      </c>
      <c r="Z24" s="715">
        <f ca="1">SUMIF('5.Cons and detailed recon'!$BK:$BK,'6.Summary'!$Q24,'5.Cons and detailed recon'!BR:BR)</f>
        <v>0</v>
      </c>
      <c r="AA24" s="708"/>
      <c r="AB24" s="720"/>
      <c r="AC24" s="720"/>
      <c r="AE24" s="419"/>
      <c r="AF24" s="818">
        <v>1550</v>
      </c>
      <c r="AG24" s="1457"/>
      <c r="AH24" s="712" t="s">
        <v>1565</v>
      </c>
      <c r="AI24" s="715">
        <f ca="1">SUMIF('5.Cons and detailed recon'!$DF:$DF,'6.Summary'!$AF24,'5.Cons and detailed recon'!EC:EC)</f>
        <v>0</v>
      </c>
      <c r="AJ24" s="715">
        <f ca="1">SUMIF('5.Cons and detailed recon'!$DF:$DF,'6.Summary'!$AF24,'5.Cons and detailed recon'!DX:DX)</f>
        <v>0</v>
      </c>
      <c r="AK24" s="715">
        <f ca="1">SUMIF('5.Cons and detailed recon'!$DF:$DF,'6.Summary'!$AF24,'5.Cons and detailed recon'!DY:DY)</f>
        <v>0</v>
      </c>
      <c r="AL24" s="715">
        <f ca="1">SUMIF('5.Cons and detailed recon'!$DF:$DF,'6.Summary'!$AF24,'5.Cons and detailed recon'!DW:DW)</f>
        <v>0</v>
      </c>
      <c r="AM24" s="715">
        <f ca="1">SUMIF('5.Cons and detailed recon'!$DF:$DF,'6.Summary'!$AF24,'5.Cons and detailed recon'!DZ:DZ)</f>
        <v>0</v>
      </c>
      <c r="AN24" s="715">
        <v>7777777</v>
      </c>
      <c r="AO24" s="715">
        <f ca="1">SUMIF('5.Cons and detailed recon'!$DF:$DF,'6.Summary'!$AF24,'5.Cons and detailed recon'!DL:DL)</f>
        <v>0</v>
      </c>
      <c r="AP24" s="708"/>
      <c r="AQ24" s="720"/>
      <c r="AR24" s="720"/>
    </row>
    <row r="25" spans="1:44" ht="10.95" customHeight="1" x14ac:dyDescent="0.35">
      <c r="A25" s="419"/>
      <c r="B25" s="1017" t="s">
        <v>702</v>
      </c>
      <c r="C25" s="1457"/>
      <c r="D25" s="712" t="s">
        <v>704</v>
      </c>
      <c r="E25" s="715">
        <f ca="1">SUMIF('5.Cons and detailed recon'!$R:$R,'6.Summary'!$B25,'5.Cons and detailed recon'!AO:AO)</f>
        <v>3764961</v>
      </c>
      <c r="F25" s="715">
        <f ca="1">SUMIF('5.Cons and detailed recon'!$R:$R,'6.Summary'!$B25,'5.Cons and detailed recon'!AJ:AJ)</f>
        <v>0</v>
      </c>
      <c r="G25" s="715">
        <f ca="1">SUMIF('5.Cons and detailed recon'!$R:$R,'6.Summary'!$B25,'5.Cons and detailed recon'!AK:AK)</f>
        <v>500</v>
      </c>
      <c r="H25" s="715">
        <f ca="1">SUMIF('5.Cons and detailed recon'!$R:$R,'6.Summary'!$B25,'5.Cons and detailed recon'!AI:AI)</f>
        <v>0</v>
      </c>
      <c r="I25" s="715">
        <f ca="1">SUMIF('5.Cons and detailed recon'!$R:$R,'6.Summary'!$B25,'5.Cons and detailed recon'!AL:AL)</f>
        <v>1000</v>
      </c>
      <c r="J25" s="715">
        <f ca="1">SUMIF('5.Cons and detailed recon'!$R:$R,'6.Summary'!$B25,'5.Cons and detailed recon'!AH:AH)</f>
        <v>21000</v>
      </c>
      <c r="K25" s="715">
        <f ca="1">SUMIF('5.Cons and detailed recon'!$R:$R,'6.Summary'!$B25,'5.Cons and detailed recon'!X:X)</f>
        <v>3742461</v>
      </c>
      <c r="L25" s="708">
        <f t="shared" ca="1" si="0"/>
        <v>0</v>
      </c>
      <c r="M25" s="720"/>
      <c r="N25" s="720"/>
      <c r="P25" s="419"/>
      <c r="Q25" s="1376" t="s">
        <v>702</v>
      </c>
      <c r="R25" s="1457"/>
      <c r="S25" s="712" t="s">
        <v>704</v>
      </c>
      <c r="T25" s="715">
        <f ca="1">SUMIF('5.Cons and detailed recon'!$BK:$BK,'6.Summary'!$Q25,'5.Cons and detailed recon'!CI:CI)</f>
        <v>3851610</v>
      </c>
      <c r="U25" s="715">
        <f ca="1">SUMIF('5.Cons and detailed recon'!$BK:$BK,'6.Summary'!$Q25,'5.Cons and detailed recon'!CD:CD)</f>
        <v>0</v>
      </c>
      <c r="V25" s="715">
        <f ca="1">SUMIF('5.Cons and detailed recon'!$BK:$BK,'6.Summary'!$Q25,'5.Cons and detailed recon'!CE:CE)</f>
        <v>517</v>
      </c>
      <c r="W25" s="715">
        <f ca="1">SUMIF('5.Cons and detailed recon'!$BK:$BK,'6.Summary'!$Q25,'5.Cons and detailed recon'!CC:CC)</f>
        <v>0</v>
      </c>
      <c r="X25" s="715">
        <f ca="1">SUMIF('5.Cons and detailed recon'!$BK:$BK,'6.Summary'!$Q25,'5.Cons and detailed recon'!CF:CF)</f>
        <v>1034</v>
      </c>
      <c r="Y25" s="715">
        <f ca="1">SUMIF('5.Cons and detailed recon'!$BK:$BK,'6.Summary'!$Q25,'5.Cons and detailed recon'!CB:CB)</f>
        <v>21714</v>
      </c>
      <c r="Z25" s="715">
        <f ca="1">SUMIF('5.Cons and detailed recon'!$BK:$BK,'6.Summary'!$Q25,'5.Cons and detailed recon'!BR:BR)</f>
        <v>3828345</v>
      </c>
      <c r="AA25" s="708">
        <f t="shared" ca="1" si="1"/>
        <v>0</v>
      </c>
      <c r="AB25" s="720"/>
      <c r="AC25" s="720"/>
      <c r="AE25" s="419"/>
      <c r="AF25" s="417" t="s">
        <v>702</v>
      </c>
      <c r="AG25" s="1457"/>
      <c r="AH25" s="712" t="s">
        <v>704</v>
      </c>
      <c r="AI25" s="715">
        <f ca="1">SUMIF('5.Cons and detailed recon'!$DF:$DF,'6.Summary'!$AF25,'5.Cons and detailed recon'!EC:EC)</f>
        <v>3974863</v>
      </c>
      <c r="AJ25" s="715">
        <f ca="1">SUMIF('5.Cons and detailed recon'!$DF:$DF,'6.Summary'!$AF25,'5.Cons and detailed recon'!DX:DX)</f>
        <v>0</v>
      </c>
      <c r="AK25" s="715">
        <f ca="1">SUMIF('5.Cons and detailed recon'!$DF:$DF,'6.Summary'!$AF25,'5.Cons and detailed recon'!DY:DY)</f>
        <v>534</v>
      </c>
      <c r="AL25" s="715">
        <f ca="1">SUMIF('5.Cons and detailed recon'!$DF:$DF,'6.Summary'!$AF25,'5.Cons and detailed recon'!DW:DW)</f>
        <v>0</v>
      </c>
      <c r="AM25" s="715">
        <f ca="1">SUMIF('5.Cons and detailed recon'!$DF:$DF,'6.Summary'!$AF25,'5.Cons and detailed recon'!DZ:DZ)</f>
        <v>1067</v>
      </c>
      <c r="AN25" s="715">
        <f ca="1">SUMIF('5.Cons and detailed recon'!$DF:$DF,'6.Summary'!$AF25,'5.Cons and detailed recon'!DV:DV)</f>
        <v>22409</v>
      </c>
      <c r="AO25" s="715">
        <f ca="1">SUMIF('5.Cons and detailed recon'!$DF:$DF,'6.Summary'!$AF25,'5.Cons and detailed recon'!DL:DL)</f>
        <v>3950853</v>
      </c>
      <c r="AP25" s="708">
        <f t="shared" ca="1" si="2"/>
        <v>0</v>
      </c>
      <c r="AQ25" s="720"/>
      <c r="AR25" s="720"/>
    </row>
    <row r="26" spans="1:44" ht="10.95" customHeight="1" x14ac:dyDescent="0.35">
      <c r="A26" s="419"/>
      <c r="B26" s="1017" t="s">
        <v>705</v>
      </c>
      <c r="C26" s="1457"/>
      <c r="D26" s="717" t="s">
        <v>708</v>
      </c>
      <c r="E26" s="715">
        <f ca="1">SUMIF('5.Cons and detailed recon'!$R:$R,'6.Summary'!$B26,'5.Cons and detailed recon'!AO:AO)</f>
        <v>0</v>
      </c>
      <c r="F26" s="715">
        <f ca="1">SUMIF('5.Cons and detailed recon'!$R:$R,'6.Summary'!$B26,'5.Cons and detailed recon'!AJ:AJ)</f>
        <v>0</v>
      </c>
      <c r="G26" s="715">
        <f ca="1">SUMIF('5.Cons and detailed recon'!$R:$R,'6.Summary'!$B26,'5.Cons and detailed recon'!AK:AK)</f>
        <v>0</v>
      </c>
      <c r="H26" s="715">
        <f ca="1">SUMIF('5.Cons and detailed recon'!$R:$R,'6.Summary'!$B26,'5.Cons and detailed recon'!AI:AI)</f>
        <v>0</v>
      </c>
      <c r="I26" s="715">
        <f ca="1">SUMIF('5.Cons and detailed recon'!$R:$R,'6.Summary'!$B26,'5.Cons and detailed recon'!AL:AL)</f>
        <v>0</v>
      </c>
      <c r="J26" s="715">
        <f ca="1">SUMIF('5.Cons and detailed recon'!$R:$R,'6.Summary'!$B26,'5.Cons and detailed recon'!AH:AH)</f>
        <v>0</v>
      </c>
      <c r="K26" s="715">
        <f ca="1">SUMIF('5.Cons and detailed recon'!$R:$R,'6.Summary'!$B26,'5.Cons and detailed recon'!X:X)</f>
        <v>0</v>
      </c>
      <c r="L26" s="708">
        <f t="shared" ca="1" si="0"/>
        <v>0</v>
      </c>
      <c r="M26" s="720"/>
      <c r="N26" s="720"/>
      <c r="P26" s="419"/>
      <c r="Q26" s="1376" t="s">
        <v>705</v>
      </c>
      <c r="R26" s="1457"/>
      <c r="S26" s="717" t="s">
        <v>708</v>
      </c>
      <c r="T26" s="715">
        <f ca="1">SUMIF('5.Cons and detailed recon'!$BK:$BK,'6.Summary'!$Q26,'5.Cons and detailed recon'!CI:CI)</f>
        <v>0</v>
      </c>
      <c r="U26" s="715">
        <f ca="1">SUMIF('5.Cons and detailed recon'!$BK:$BK,'6.Summary'!$Q26,'5.Cons and detailed recon'!CD:CD)</f>
        <v>0</v>
      </c>
      <c r="V26" s="715">
        <f ca="1">SUMIF('5.Cons and detailed recon'!$BK:$BK,'6.Summary'!$Q26,'5.Cons and detailed recon'!CE:CE)</f>
        <v>0</v>
      </c>
      <c r="W26" s="715">
        <f ca="1">SUMIF('5.Cons and detailed recon'!$BK:$BK,'6.Summary'!$Q26,'5.Cons and detailed recon'!CC:CC)</f>
        <v>0</v>
      </c>
      <c r="X26" s="715">
        <f ca="1">SUMIF('5.Cons and detailed recon'!$BK:$BK,'6.Summary'!$Q26,'5.Cons and detailed recon'!CF:CF)</f>
        <v>0</v>
      </c>
      <c r="Y26" s="715">
        <f ca="1">SUMIF('5.Cons and detailed recon'!$BK:$BK,'6.Summary'!$Q26,'5.Cons and detailed recon'!CB:CB)</f>
        <v>0</v>
      </c>
      <c r="Z26" s="715">
        <f ca="1">SUMIF('5.Cons and detailed recon'!$BK:$BK,'6.Summary'!$Q26,'5.Cons and detailed recon'!BR:BR)</f>
        <v>0</v>
      </c>
      <c r="AA26" s="708">
        <f t="shared" ca="1" si="1"/>
        <v>0</v>
      </c>
      <c r="AB26" s="720"/>
      <c r="AC26" s="720"/>
      <c r="AE26" s="419"/>
      <c r="AF26" s="417" t="s">
        <v>705</v>
      </c>
      <c r="AG26" s="1457"/>
      <c r="AH26" s="717" t="s">
        <v>708</v>
      </c>
      <c r="AI26" s="715">
        <f ca="1">SUMIF('5.Cons and detailed recon'!$DF:$DF,'6.Summary'!$AF26,'5.Cons and detailed recon'!EC:EC)</f>
        <v>0</v>
      </c>
      <c r="AJ26" s="715">
        <f ca="1">SUMIF('5.Cons and detailed recon'!$DF:$DF,'6.Summary'!$AF26,'5.Cons and detailed recon'!DX:DX)</f>
        <v>0</v>
      </c>
      <c r="AK26" s="715">
        <f ca="1">SUMIF('5.Cons and detailed recon'!$DF:$DF,'6.Summary'!$AF26,'5.Cons and detailed recon'!DY:DY)</f>
        <v>0</v>
      </c>
      <c r="AL26" s="715">
        <f ca="1">SUMIF('5.Cons and detailed recon'!$DF:$DF,'6.Summary'!$AF26,'5.Cons and detailed recon'!DW:DW)</f>
        <v>0</v>
      </c>
      <c r="AM26" s="715">
        <f ca="1">SUMIF('5.Cons and detailed recon'!$DF:$DF,'6.Summary'!$AF26,'5.Cons and detailed recon'!DZ:DZ)</f>
        <v>0</v>
      </c>
      <c r="AN26" s="715">
        <f ca="1">SUMIF('5.Cons and detailed recon'!$DF:$DF,'6.Summary'!$AF26,'5.Cons and detailed recon'!DV:DV)</f>
        <v>0</v>
      </c>
      <c r="AO26" s="715">
        <f ca="1">SUMIF('5.Cons and detailed recon'!$DF:$DF,'6.Summary'!$AF26,'5.Cons and detailed recon'!DL:DL)</f>
        <v>0</v>
      </c>
      <c r="AP26" s="708">
        <f t="shared" ca="1" si="2"/>
        <v>0</v>
      </c>
      <c r="AQ26" s="720"/>
      <c r="AR26" s="720"/>
    </row>
    <row r="27" spans="1:44" ht="10.95" customHeight="1" x14ac:dyDescent="0.35">
      <c r="A27" s="419"/>
      <c r="B27" s="1017" t="s">
        <v>711</v>
      </c>
      <c r="C27" s="1457"/>
      <c r="D27" s="712" t="s">
        <v>713</v>
      </c>
      <c r="E27" s="715">
        <f ca="1">SUMIF('5.Cons and detailed recon'!$R:$R,'6.Summary'!$B27,'5.Cons and detailed recon'!AO:AO)</f>
        <v>0</v>
      </c>
      <c r="F27" s="715">
        <f ca="1">SUMIF('5.Cons and detailed recon'!$R:$R,'6.Summary'!$B27,'5.Cons and detailed recon'!AJ:AJ)</f>
        <v>0</v>
      </c>
      <c r="G27" s="715">
        <f ca="1">SUMIF('5.Cons and detailed recon'!$R:$R,'6.Summary'!$B27,'5.Cons and detailed recon'!AK:AK)</f>
        <v>0</v>
      </c>
      <c r="H27" s="715">
        <f ca="1">SUMIF('5.Cons and detailed recon'!$R:$R,'6.Summary'!$B27,'5.Cons and detailed recon'!AI:AI)</f>
        <v>0</v>
      </c>
      <c r="I27" s="715">
        <f ca="1">SUMIF('5.Cons and detailed recon'!$R:$R,'6.Summary'!$B27,'5.Cons and detailed recon'!AL:AL)</f>
        <v>0</v>
      </c>
      <c r="J27" s="715">
        <f ca="1">SUMIF('5.Cons and detailed recon'!$R:$R,'6.Summary'!$B27,'5.Cons and detailed recon'!AH:AH)</f>
        <v>0</v>
      </c>
      <c r="K27" s="715">
        <f ca="1">SUMIF('5.Cons and detailed recon'!$R:$R,'6.Summary'!$B27,'5.Cons and detailed recon'!X:X)</f>
        <v>0</v>
      </c>
      <c r="L27" s="708">
        <f t="shared" ca="1" si="0"/>
        <v>0</v>
      </c>
      <c r="M27" s="720"/>
      <c r="N27" s="720"/>
      <c r="P27" s="419"/>
      <c r="Q27" s="1376" t="s">
        <v>711</v>
      </c>
      <c r="R27" s="1457"/>
      <c r="S27" s="712" t="s">
        <v>713</v>
      </c>
      <c r="T27" s="715">
        <f ca="1">SUMIF('5.Cons and detailed recon'!$BK:$BK,'6.Summary'!$Q27,'5.Cons and detailed recon'!CI:CI)</f>
        <v>0</v>
      </c>
      <c r="U27" s="715">
        <f ca="1">SUMIF('5.Cons and detailed recon'!$BK:$BK,'6.Summary'!$Q27,'5.Cons and detailed recon'!CD:CD)</f>
        <v>0</v>
      </c>
      <c r="V27" s="715">
        <f ca="1">SUMIF('5.Cons and detailed recon'!$BK:$BK,'6.Summary'!$Q27,'5.Cons and detailed recon'!CE:CE)</f>
        <v>0</v>
      </c>
      <c r="W27" s="715">
        <f ca="1">SUMIF('5.Cons and detailed recon'!$BK:$BK,'6.Summary'!$Q27,'5.Cons and detailed recon'!CC:CC)</f>
        <v>0</v>
      </c>
      <c r="X27" s="715">
        <f ca="1">SUMIF('5.Cons and detailed recon'!$BK:$BK,'6.Summary'!$Q27,'5.Cons and detailed recon'!CF:CF)</f>
        <v>0</v>
      </c>
      <c r="Y27" s="715">
        <f ca="1">SUMIF('5.Cons and detailed recon'!$BK:$BK,'6.Summary'!$Q27,'5.Cons and detailed recon'!CB:CB)</f>
        <v>0</v>
      </c>
      <c r="Z27" s="715">
        <f ca="1">SUMIF('5.Cons and detailed recon'!$BK:$BK,'6.Summary'!$Q27,'5.Cons and detailed recon'!BR:BR)</f>
        <v>0</v>
      </c>
      <c r="AA27" s="708">
        <f t="shared" ca="1" si="1"/>
        <v>0</v>
      </c>
      <c r="AB27" s="720"/>
      <c r="AC27" s="720"/>
      <c r="AE27" s="419"/>
      <c r="AF27" s="417" t="s">
        <v>711</v>
      </c>
      <c r="AG27" s="1457"/>
      <c r="AH27" s="712" t="s">
        <v>713</v>
      </c>
      <c r="AI27" s="715">
        <f ca="1">SUMIF('5.Cons and detailed recon'!$DF:$DF,'6.Summary'!$AF27,'5.Cons and detailed recon'!EC:EC)</f>
        <v>0</v>
      </c>
      <c r="AJ27" s="715">
        <f ca="1">SUMIF('5.Cons and detailed recon'!$DF:$DF,'6.Summary'!$AF27,'5.Cons and detailed recon'!DX:DX)</f>
        <v>0</v>
      </c>
      <c r="AK27" s="715">
        <f ca="1">SUMIF('5.Cons and detailed recon'!$DF:$DF,'6.Summary'!$AF27,'5.Cons and detailed recon'!DY:DY)</f>
        <v>0</v>
      </c>
      <c r="AL27" s="715">
        <f ca="1">SUMIF('5.Cons and detailed recon'!$DF:$DF,'6.Summary'!$AF27,'5.Cons and detailed recon'!DW:DW)</f>
        <v>0</v>
      </c>
      <c r="AM27" s="715">
        <f ca="1">SUMIF('5.Cons and detailed recon'!$DF:$DF,'6.Summary'!$AF27,'5.Cons and detailed recon'!DZ:DZ)</f>
        <v>0</v>
      </c>
      <c r="AN27" s="715">
        <f ca="1">SUMIF('5.Cons and detailed recon'!$DF:$DF,'6.Summary'!$AF27,'5.Cons and detailed recon'!DV:DV)</f>
        <v>0</v>
      </c>
      <c r="AO27" s="715">
        <f ca="1">SUMIF('5.Cons and detailed recon'!$DF:$DF,'6.Summary'!$AF27,'5.Cons and detailed recon'!DL:DL)</f>
        <v>0</v>
      </c>
      <c r="AP27" s="708">
        <f t="shared" ca="1" si="2"/>
        <v>0</v>
      </c>
      <c r="AQ27" s="720"/>
      <c r="AR27" s="720"/>
    </row>
    <row r="28" spans="1:44" ht="10.95" customHeight="1" x14ac:dyDescent="0.35">
      <c r="A28" s="419"/>
      <c r="B28" s="1017" t="s">
        <v>714</v>
      </c>
      <c r="C28" s="1457"/>
      <c r="D28" s="712" t="s">
        <v>691</v>
      </c>
      <c r="E28" s="715">
        <f ca="1">SUMIF('5.Cons and detailed recon'!$R:$R,'6.Summary'!$B28,'5.Cons and detailed recon'!AO:AO)</f>
        <v>43671100</v>
      </c>
      <c r="F28" s="715">
        <f ca="1">SUMIF('5.Cons and detailed recon'!$R:$R,'6.Summary'!$B28,'5.Cons and detailed recon'!AJ:AJ)</f>
        <v>0</v>
      </c>
      <c r="G28" s="715">
        <f ca="1">SUMIF('5.Cons and detailed recon'!$R:$R,'6.Summary'!$B28,'5.Cons and detailed recon'!AK:AK)</f>
        <v>0</v>
      </c>
      <c r="H28" s="715">
        <f ca="1">SUMIF('5.Cons and detailed recon'!$R:$R,'6.Summary'!$B28,'5.Cons and detailed recon'!AI:AI)</f>
        <v>0</v>
      </c>
      <c r="I28" s="715">
        <f ca="1">SUMIF('5.Cons and detailed recon'!$R:$R,'6.Summary'!$B28,'5.Cons and detailed recon'!AL:AL)</f>
        <v>0</v>
      </c>
      <c r="J28" s="715">
        <f ca="1">SUMIF('5.Cons and detailed recon'!$R:$R,'6.Summary'!$B28,'5.Cons and detailed recon'!AH:AH)</f>
        <v>40821000</v>
      </c>
      <c r="K28" s="715">
        <f ca="1">SUMIF('5.Cons and detailed recon'!$R:$R,'6.Summary'!$B28,'5.Cons and detailed recon'!X:X)</f>
        <v>2850100</v>
      </c>
      <c r="L28" s="708">
        <f t="shared" ca="1" si="0"/>
        <v>0</v>
      </c>
      <c r="M28" s="720"/>
      <c r="N28" s="720"/>
      <c r="P28" s="419"/>
      <c r="Q28" s="1376" t="s">
        <v>714</v>
      </c>
      <c r="R28" s="1457"/>
      <c r="S28" s="712" t="s">
        <v>691</v>
      </c>
      <c r="T28" s="715">
        <f ca="1">SUMIF('5.Cons and detailed recon'!$BK:$BK,'6.Summary'!$Q28,'5.Cons and detailed recon'!CI:CI)</f>
        <v>45155917</v>
      </c>
      <c r="U28" s="715">
        <f ca="1">SUMIF('5.Cons and detailed recon'!$BK:$BK,'6.Summary'!$Q28,'5.Cons and detailed recon'!CD:CD)</f>
        <v>0</v>
      </c>
      <c r="V28" s="715">
        <f ca="1">SUMIF('5.Cons and detailed recon'!$BK:$BK,'6.Summary'!$Q28,'5.Cons and detailed recon'!CE:CE)</f>
        <v>0</v>
      </c>
      <c r="W28" s="715">
        <f ca="1">SUMIF('5.Cons and detailed recon'!$BK:$BK,'6.Summary'!$Q28,'5.Cons and detailed recon'!CC:CC)</f>
        <v>0</v>
      </c>
      <c r="X28" s="715">
        <f ca="1">SUMIF('5.Cons and detailed recon'!$BK:$BK,'6.Summary'!$Q28,'5.Cons and detailed recon'!CF:CF)</f>
        <v>0</v>
      </c>
      <c r="Y28" s="715">
        <f ca="1">SUMIF('5.Cons and detailed recon'!$BK:$BK,'6.Summary'!$Q28,'5.Cons and detailed recon'!CB:CB)</f>
        <v>42208914</v>
      </c>
      <c r="Z28" s="715">
        <f ca="1">SUMIF('5.Cons and detailed recon'!$BK:$BK,'6.Summary'!$Q28,'5.Cons and detailed recon'!BR:BR)</f>
        <v>2947003</v>
      </c>
      <c r="AA28" s="708">
        <f t="shared" ca="1" si="1"/>
        <v>0</v>
      </c>
      <c r="AB28" s="720"/>
      <c r="AC28" s="720"/>
      <c r="AE28" s="419"/>
      <c r="AF28" s="417" t="s">
        <v>714</v>
      </c>
      <c r="AG28" s="1457"/>
      <c r="AH28" s="712" t="s">
        <v>691</v>
      </c>
      <c r="AI28" s="715">
        <f ca="1">SUMIF('5.Cons and detailed recon'!$DF:$DF,'6.Summary'!$AF28,'5.Cons and detailed recon'!EC:EC)</f>
        <v>46600906</v>
      </c>
      <c r="AJ28" s="715">
        <f ca="1">SUMIF('5.Cons and detailed recon'!$DF:$DF,'6.Summary'!$AF28,'5.Cons and detailed recon'!DX:DX)</f>
        <v>0</v>
      </c>
      <c r="AK28" s="715">
        <f ca="1">SUMIF('5.Cons and detailed recon'!$DF:$DF,'6.Summary'!$AF28,'5.Cons and detailed recon'!DY:DY)</f>
        <v>0</v>
      </c>
      <c r="AL28" s="715">
        <f ca="1">SUMIF('5.Cons and detailed recon'!$DF:$DF,'6.Summary'!$AF28,'5.Cons and detailed recon'!DW:DW)</f>
        <v>0</v>
      </c>
      <c r="AM28" s="715">
        <f ca="1">SUMIF('5.Cons and detailed recon'!$DF:$DF,'6.Summary'!$AF28,'5.Cons and detailed recon'!DZ:DZ)</f>
        <v>0</v>
      </c>
      <c r="AN28" s="715">
        <f ca="1">SUMIF('5.Cons and detailed recon'!$DF:$DF,'6.Summary'!$AF28,'5.Cons and detailed recon'!DV:DV)</f>
        <v>43559599</v>
      </c>
      <c r="AO28" s="715">
        <f ca="1">SUMIF('5.Cons and detailed recon'!$DF:$DF,'6.Summary'!$AF28,'5.Cons and detailed recon'!DL:DL)</f>
        <v>3041307</v>
      </c>
      <c r="AP28" s="708">
        <f t="shared" ca="1" si="2"/>
        <v>0</v>
      </c>
      <c r="AQ28" s="720"/>
      <c r="AR28" s="720"/>
    </row>
    <row r="29" spans="1:44" ht="10.95" customHeight="1" x14ac:dyDescent="0.35">
      <c r="A29" s="419"/>
      <c r="B29" s="1017" t="s">
        <v>715</v>
      </c>
      <c r="C29" s="1457"/>
      <c r="D29" s="712" t="s">
        <v>716</v>
      </c>
      <c r="E29" s="715">
        <f ca="1">SUMIF('5.Cons and detailed recon'!$R:$R,'6.Summary'!$B29,'5.Cons and detailed recon'!AO:AO)</f>
        <v>0</v>
      </c>
      <c r="F29" s="715">
        <f ca="1">SUMIF('5.Cons and detailed recon'!$R:$R,'6.Summary'!$B29,'5.Cons and detailed recon'!AJ:AJ)</f>
        <v>0</v>
      </c>
      <c r="G29" s="715">
        <f ca="1">SUMIF('5.Cons and detailed recon'!$R:$R,'6.Summary'!$B29,'5.Cons and detailed recon'!AK:AK)</f>
        <v>0</v>
      </c>
      <c r="H29" s="715">
        <f ca="1">SUMIF('5.Cons and detailed recon'!$R:$R,'6.Summary'!$B29,'5.Cons and detailed recon'!AI:AI)</f>
        <v>0</v>
      </c>
      <c r="I29" s="715">
        <f ca="1">SUMIF('5.Cons and detailed recon'!$R:$R,'6.Summary'!$B29,'5.Cons and detailed recon'!AL:AL)</f>
        <v>0</v>
      </c>
      <c r="J29" s="715">
        <f ca="1">SUMIF('5.Cons and detailed recon'!$R:$R,'6.Summary'!$B29,'5.Cons and detailed recon'!AH:AH)</f>
        <v>0</v>
      </c>
      <c r="K29" s="715">
        <f ca="1">SUMIF('5.Cons and detailed recon'!$R:$R,'6.Summary'!$B29,'5.Cons and detailed recon'!X:X)</f>
        <v>0</v>
      </c>
      <c r="L29" s="708">
        <f t="shared" ca="1" si="0"/>
        <v>0</v>
      </c>
      <c r="M29" s="720"/>
      <c r="N29" s="720"/>
      <c r="P29" s="419"/>
      <c r="Q29" s="1376" t="s">
        <v>715</v>
      </c>
      <c r="R29" s="1457"/>
      <c r="S29" s="712" t="s">
        <v>716</v>
      </c>
      <c r="T29" s="715">
        <f ca="1">SUMIF('5.Cons and detailed recon'!$BK:$BK,'6.Summary'!$Q29,'5.Cons and detailed recon'!CI:CI)</f>
        <v>0</v>
      </c>
      <c r="U29" s="715">
        <f ca="1">SUMIF('5.Cons and detailed recon'!$BK:$BK,'6.Summary'!$Q29,'5.Cons and detailed recon'!CD:CD)</f>
        <v>0</v>
      </c>
      <c r="V29" s="715">
        <f ca="1">SUMIF('5.Cons and detailed recon'!$BK:$BK,'6.Summary'!$Q29,'5.Cons and detailed recon'!CE:CE)</f>
        <v>0</v>
      </c>
      <c r="W29" s="715">
        <f ca="1">SUMIF('5.Cons and detailed recon'!$BK:$BK,'6.Summary'!$Q29,'5.Cons and detailed recon'!CC:CC)</f>
        <v>0</v>
      </c>
      <c r="X29" s="715">
        <f ca="1">SUMIF('5.Cons and detailed recon'!$BK:$BK,'6.Summary'!$Q29,'5.Cons and detailed recon'!CF:CF)</f>
        <v>0</v>
      </c>
      <c r="Y29" s="715">
        <f ca="1">SUMIF('5.Cons and detailed recon'!$BK:$BK,'6.Summary'!$Q29,'5.Cons and detailed recon'!CB:CB)</f>
        <v>0</v>
      </c>
      <c r="Z29" s="715">
        <f ca="1">SUMIF('5.Cons and detailed recon'!$BK:$BK,'6.Summary'!$Q29,'5.Cons and detailed recon'!BR:BR)</f>
        <v>0</v>
      </c>
      <c r="AA29" s="708">
        <f t="shared" ca="1" si="1"/>
        <v>0</v>
      </c>
      <c r="AB29" s="720"/>
      <c r="AC29" s="720"/>
      <c r="AE29" s="419"/>
      <c r="AF29" s="417" t="s">
        <v>715</v>
      </c>
      <c r="AG29" s="1457"/>
      <c r="AH29" s="712" t="s">
        <v>716</v>
      </c>
      <c r="AI29" s="715">
        <f ca="1">SUMIF('5.Cons and detailed recon'!$DF:$DF,'6.Summary'!$AF29,'5.Cons and detailed recon'!EC:EC)</f>
        <v>0</v>
      </c>
      <c r="AJ29" s="715">
        <f ca="1">SUMIF('5.Cons and detailed recon'!$DF:$DF,'6.Summary'!$AF29,'5.Cons and detailed recon'!DX:DX)</f>
        <v>0</v>
      </c>
      <c r="AK29" s="715">
        <f ca="1">SUMIF('5.Cons and detailed recon'!$DF:$DF,'6.Summary'!$AF29,'5.Cons and detailed recon'!DY:DY)</f>
        <v>0</v>
      </c>
      <c r="AL29" s="715">
        <f ca="1">SUMIF('5.Cons and detailed recon'!$DF:$DF,'6.Summary'!$AF29,'5.Cons and detailed recon'!DW:DW)</f>
        <v>0</v>
      </c>
      <c r="AM29" s="715">
        <f ca="1">SUMIF('5.Cons and detailed recon'!$DF:$DF,'6.Summary'!$AF29,'5.Cons and detailed recon'!DZ:DZ)</f>
        <v>0</v>
      </c>
      <c r="AN29" s="715">
        <f ca="1">SUMIF('5.Cons and detailed recon'!$DF:$DF,'6.Summary'!$AF29,'5.Cons and detailed recon'!DV:DV)</f>
        <v>0</v>
      </c>
      <c r="AO29" s="715">
        <f ca="1">SUMIF('5.Cons and detailed recon'!$DF:$DF,'6.Summary'!$AF29,'5.Cons and detailed recon'!DL:DL)</f>
        <v>0</v>
      </c>
      <c r="AP29" s="708">
        <f t="shared" ca="1" si="2"/>
        <v>0</v>
      </c>
      <c r="AQ29" s="720"/>
      <c r="AR29" s="720"/>
    </row>
    <row r="30" spans="1:44" ht="10.95" customHeight="1" x14ac:dyDescent="0.35">
      <c r="A30" s="419"/>
      <c r="B30" s="1017" t="s">
        <v>719</v>
      </c>
      <c r="C30" s="1457"/>
      <c r="D30" s="712" t="s">
        <v>687</v>
      </c>
      <c r="E30" s="715">
        <f ca="1">SUMIF('5.Cons and detailed recon'!$R:$R,'6.Summary'!$B30,'5.Cons and detailed recon'!AO:AO)</f>
        <v>3862950</v>
      </c>
      <c r="F30" s="715">
        <f ca="1">SUMIF('5.Cons and detailed recon'!$R:$R,'6.Summary'!$B30,'5.Cons and detailed recon'!AJ:AJ)</f>
        <v>0</v>
      </c>
      <c r="G30" s="715">
        <f ca="1">SUMIF('5.Cons and detailed recon'!$R:$R,'6.Summary'!$B30,'5.Cons and detailed recon'!AK:AK)</f>
        <v>0</v>
      </c>
      <c r="H30" s="715">
        <f ca="1">SUMIF('5.Cons and detailed recon'!$R:$R,'6.Summary'!$B30,'5.Cons and detailed recon'!AI:AI)</f>
        <v>0</v>
      </c>
      <c r="I30" s="715">
        <f ca="1">SUMIF('5.Cons and detailed recon'!$R:$R,'6.Summary'!$B30,'5.Cons and detailed recon'!AL:AL)</f>
        <v>0</v>
      </c>
      <c r="J30" s="715">
        <f ca="1">SUMIF('5.Cons and detailed recon'!$R:$R,'6.Summary'!$B30,'5.Cons and detailed recon'!AH:AH)</f>
        <v>0</v>
      </c>
      <c r="K30" s="715">
        <f ca="1">SUMIF('5.Cons and detailed recon'!$R:$R,'6.Summary'!$B30,'5.Cons and detailed recon'!X:X)</f>
        <v>3862950</v>
      </c>
      <c r="L30" s="708">
        <f t="shared" ca="1" si="0"/>
        <v>0</v>
      </c>
      <c r="M30" s="720"/>
      <c r="N30" s="720"/>
      <c r="P30" s="419"/>
      <c r="Q30" s="1376" t="s">
        <v>719</v>
      </c>
      <c r="R30" s="1457"/>
      <c r="S30" s="712" t="s">
        <v>687</v>
      </c>
      <c r="T30" s="715">
        <f ca="1">SUMIF('5.Cons and detailed recon'!$BK:$BK,'6.Summary'!$Q30,'5.Cons and detailed recon'!CI:CI)</f>
        <v>3994290</v>
      </c>
      <c r="U30" s="715">
        <f ca="1">SUMIF('5.Cons and detailed recon'!$BK:$BK,'6.Summary'!$Q30,'5.Cons and detailed recon'!CD:CD)</f>
        <v>0</v>
      </c>
      <c r="V30" s="715">
        <f ca="1">SUMIF('5.Cons and detailed recon'!$BK:$BK,'6.Summary'!$Q30,'5.Cons and detailed recon'!CE:CE)</f>
        <v>0</v>
      </c>
      <c r="W30" s="715">
        <f ca="1">SUMIF('5.Cons and detailed recon'!$BK:$BK,'6.Summary'!$Q30,'5.Cons and detailed recon'!CC:CC)</f>
        <v>0</v>
      </c>
      <c r="X30" s="715">
        <f ca="1">SUMIF('5.Cons and detailed recon'!$BK:$BK,'6.Summary'!$Q30,'5.Cons and detailed recon'!CF:CF)</f>
        <v>0</v>
      </c>
      <c r="Y30" s="715">
        <f ca="1">SUMIF('5.Cons and detailed recon'!$BK:$BK,'6.Summary'!$Q30,'5.Cons and detailed recon'!CB:CB)</f>
        <v>0</v>
      </c>
      <c r="Z30" s="715">
        <f ca="1">SUMIF('5.Cons and detailed recon'!$BK:$BK,'6.Summary'!$Q30,'5.Cons and detailed recon'!BR:BR)</f>
        <v>3994290</v>
      </c>
      <c r="AA30" s="708">
        <f t="shared" ca="1" si="1"/>
        <v>0</v>
      </c>
      <c r="AB30" s="720"/>
      <c r="AC30" s="720"/>
      <c r="AE30" s="419"/>
      <c r="AF30" s="417" t="s">
        <v>719</v>
      </c>
      <c r="AG30" s="1457"/>
      <c r="AH30" s="712" t="s">
        <v>687</v>
      </c>
      <c r="AI30" s="715">
        <f ca="1">SUMIF('5.Cons and detailed recon'!$DF:$DF,'6.Summary'!$AF30,'5.Cons and detailed recon'!EC:EC)</f>
        <v>4122107</v>
      </c>
      <c r="AJ30" s="715">
        <f ca="1">SUMIF('5.Cons and detailed recon'!$DF:$DF,'6.Summary'!$AF30,'5.Cons and detailed recon'!DX:DX)</f>
        <v>0</v>
      </c>
      <c r="AK30" s="715">
        <f ca="1">SUMIF('5.Cons and detailed recon'!$DF:$DF,'6.Summary'!$AF30,'5.Cons and detailed recon'!DY:DY)</f>
        <v>0</v>
      </c>
      <c r="AL30" s="715">
        <f ca="1">SUMIF('5.Cons and detailed recon'!$DF:$DF,'6.Summary'!$AF30,'5.Cons and detailed recon'!DW:DW)</f>
        <v>0</v>
      </c>
      <c r="AM30" s="715">
        <f ca="1">SUMIF('5.Cons and detailed recon'!$DF:$DF,'6.Summary'!$AF30,'5.Cons and detailed recon'!DZ:DZ)</f>
        <v>0</v>
      </c>
      <c r="AN30" s="715">
        <f ca="1">SUMIF('5.Cons and detailed recon'!$DF:$DF,'6.Summary'!$AF30,'5.Cons and detailed recon'!DV:DV)</f>
        <v>0</v>
      </c>
      <c r="AO30" s="715">
        <f ca="1">SUMIF('5.Cons and detailed recon'!$DF:$DF,'6.Summary'!$AF30,'5.Cons and detailed recon'!DL:DL)</f>
        <v>4122107</v>
      </c>
      <c r="AP30" s="708">
        <f t="shared" ca="1" si="2"/>
        <v>0</v>
      </c>
      <c r="AQ30" s="720"/>
      <c r="AR30" s="720"/>
    </row>
    <row r="31" spans="1:44" ht="10.95" customHeight="1" x14ac:dyDescent="0.35">
      <c r="A31" s="419"/>
      <c r="B31" s="1017" t="s">
        <v>721</v>
      </c>
      <c r="C31" s="1457"/>
      <c r="D31" s="712" t="s">
        <v>722</v>
      </c>
      <c r="E31" s="715">
        <f ca="1">SUMIF('5.Cons and detailed recon'!$R:$R,'6.Summary'!$B31,'5.Cons and detailed recon'!AO:AO)</f>
        <v>0</v>
      </c>
      <c r="F31" s="715">
        <f ca="1">SUMIF('5.Cons and detailed recon'!$R:$R,'6.Summary'!$B31,'5.Cons and detailed recon'!AJ:AJ)</f>
        <v>0</v>
      </c>
      <c r="G31" s="715">
        <f ca="1">SUMIF('5.Cons and detailed recon'!$R:$R,'6.Summary'!$B31,'5.Cons and detailed recon'!AK:AK)</f>
        <v>0</v>
      </c>
      <c r="H31" s="715">
        <f ca="1">SUMIF('5.Cons and detailed recon'!$R:$R,'6.Summary'!$B31,'5.Cons and detailed recon'!AI:AI)</f>
        <v>0</v>
      </c>
      <c r="I31" s="715">
        <f ca="1">SUMIF('5.Cons and detailed recon'!$R:$R,'6.Summary'!$B31,'5.Cons and detailed recon'!AL:AL)</f>
        <v>0</v>
      </c>
      <c r="J31" s="715">
        <f ca="1">SUMIF('5.Cons and detailed recon'!$R:$R,'6.Summary'!$B31,'5.Cons and detailed recon'!AH:AH)</f>
        <v>0</v>
      </c>
      <c r="K31" s="715">
        <f ca="1">SUMIF('5.Cons and detailed recon'!$R:$R,'6.Summary'!$B31,'5.Cons and detailed recon'!X:X)</f>
        <v>0</v>
      </c>
      <c r="L31" s="708">
        <f t="shared" ca="1" si="0"/>
        <v>0</v>
      </c>
      <c r="M31" s="720"/>
      <c r="N31" s="720"/>
      <c r="P31" s="419"/>
      <c r="Q31" s="1376" t="s">
        <v>721</v>
      </c>
      <c r="R31" s="1457"/>
      <c r="S31" s="712" t="s">
        <v>722</v>
      </c>
      <c r="T31" s="715">
        <f ca="1">SUMIF('5.Cons and detailed recon'!$BK:$BK,'6.Summary'!$Q31,'5.Cons and detailed recon'!CI:CI)</f>
        <v>0</v>
      </c>
      <c r="U31" s="715">
        <f ca="1">SUMIF('5.Cons and detailed recon'!$BK:$BK,'6.Summary'!$Q31,'5.Cons and detailed recon'!CD:CD)</f>
        <v>0</v>
      </c>
      <c r="V31" s="715">
        <f ca="1">SUMIF('5.Cons and detailed recon'!$BK:$BK,'6.Summary'!$Q31,'5.Cons and detailed recon'!CE:CE)</f>
        <v>0</v>
      </c>
      <c r="W31" s="715">
        <f ca="1">SUMIF('5.Cons and detailed recon'!$BK:$BK,'6.Summary'!$Q31,'5.Cons and detailed recon'!CC:CC)</f>
        <v>0</v>
      </c>
      <c r="X31" s="715">
        <f ca="1">SUMIF('5.Cons and detailed recon'!$BK:$BK,'6.Summary'!$Q31,'5.Cons and detailed recon'!CF:CF)</f>
        <v>0</v>
      </c>
      <c r="Y31" s="715">
        <f ca="1">SUMIF('5.Cons and detailed recon'!$BK:$BK,'6.Summary'!$Q31,'5.Cons and detailed recon'!CB:CB)</f>
        <v>0</v>
      </c>
      <c r="Z31" s="715">
        <f ca="1">SUMIF('5.Cons and detailed recon'!$BK:$BK,'6.Summary'!$Q31,'5.Cons and detailed recon'!BR:BR)</f>
        <v>0</v>
      </c>
      <c r="AA31" s="708">
        <f t="shared" ca="1" si="1"/>
        <v>0</v>
      </c>
      <c r="AB31" s="720"/>
      <c r="AC31" s="720"/>
      <c r="AE31" s="419"/>
      <c r="AF31" s="417" t="s">
        <v>721</v>
      </c>
      <c r="AG31" s="1457"/>
      <c r="AH31" s="712" t="s">
        <v>722</v>
      </c>
      <c r="AI31" s="715">
        <f ca="1">SUMIF('5.Cons and detailed recon'!$DF:$DF,'6.Summary'!$AF31,'5.Cons and detailed recon'!EC:EC)</f>
        <v>0</v>
      </c>
      <c r="AJ31" s="715">
        <f ca="1">SUMIF('5.Cons and detailed recon'!$DF:$DF,'6.Summary'!$AF31,'5.Cons and detailed recon'!DX:DX)</f>
        <v>0</v>
      </c>
      <c r="AK31" s="715">
        <f ca="1">SUMIF('5.Cons and detailed recon'!$DF:$DF,'6.Summary'!$AF31,'5.Cons and detailed recon'!DY:DY)</f>
        <v>0</v>
      </c>
      <c r="AL31" s="715">
        <f ca="1">SUMIF('5.Cons and detailed recon'!$DF:$DF,'6.Summary'!$AF31,'5.Cons and detailed recon'!DW:DW)</f>
        <v>0</v>
      </c>
      <c r="AM31" s="715">
        <f ca="1">SUMIF('5.Cons and detailed recon'!$DF:$DF,'6.Summary'!$AF31,'5.Cons and detailed recon'!DZ:DZ)</f>
        <v>0</v>
      </c>
      <c r="AN31" s="715">
        <f ca="1">SUMIF('5.Cons and detailed recon'!$DF:$DF,'6.Summary'!$AF31,'5.Cons and detailed recon'!DV:DV)</f>
        <v>0</v>
      </c>
      <c r="AO31" s="715">
        <f ca="1">SUMIF('5.Cons and detailed recon'!$DF:$DF,'6.Summary'!$AF31,'5.Cons and detailed recon'!DL:DL)</f>
        <v>0</v>
      </c>
      <c r="AP31" s="708">
        <f t="shared" ca="1" si="2"/>
        <v>0</v>
      </c>
      <c r="AQ31" s="720"/>
      <c r="AR31" s="720"/>
    </row>
    <row r="32" spans="1:44" ht="10.95" customHeight="1" x14ac:dyDescent="0.35">
      <c r="A32" s="419"/>
      <c r="B32" s="1017" t="s">
        <v>723</v>
      </c>
      <c r="C32" s="1457"/>
      <c r="D32" s="712" t="s">
        <v>704</v>
      </c>
      <c r="E32" s="715">
        <f ca="1">SUMIF('5.Cons and detailed recon'!$R:$R,'6.Summary'!$B32,'5.Cons and detailed recon'!AO:AO)</f>
        <v>6529312</v>
      </c>
      <c r="F32" s="715">
        <f ca="1">SUMIF('5.Cons and detailed recon'!$R:$R,'6.Summary'!$B32,'5.Cons and detailed recon'!AJ:AJ)</f>
        <v>2451600</v>
      </c>
      <c r="G32" s="715">
        <f ca="1">SUMIF('5.Cons and detailed recon'!$R:$R,'6.Summary'!$B32,'5.Cons and detailed recon'!AK:AK)</f>
        <v>1005290</v>
      </c>
      <c r="H32" s="715">
        <f ca="1">SUMIF('5.Cons and detailed recon'!$R:$R,'6.Summary'!$B32,'5.Cons and detailed recon'!AI:AI)</f>
        <v>2152440</v>
      </c>
      <c r="I32" s="715">
        <f ca="1">SUMIF('5.Cons and detailed recon'!$R:$R,'6.Summary'!$B32,'5.Cons and detailed recon'!AL:AL)</f>
        <v>919982</v>
      </c>
      <c r="J32" s="715">
        <f ca="1">SUMIF('5.Cons and detailed recon'!$R:$R,'6.Summary'!$B32,'5.Cons and detailed recon'!AH:AH)</f>
        <v>0</v>
      </c>
      <c r="K32" s="715">
        <f ca="1">SUMIF('5.Cons and detailed recon'!$R:$R,'6.Summary'!$B32,'5.Cons and detailed recon'!X:X)</f>
        <v>0</v>
      </c>
      <c r="L32" s="708">
        <f t="shared" ca="1" si="0"/>
        <v>0</v>
      </c>
      <c r="M32" s="720"/>
      <c r="N32" s="720"/>
      <c r="P32" s="419"/>
      <c r="Q32" s="1376" t="s">
        <v>723</v>
      </c>
      <c r="R32" s="1457"/>
      <c r="S32" s="712" t="s">
        <v>704</v>
      </c>
      <c r="T32" s="715">
        <f ca="1">SUMIF('5.Cons and detailed recon'!$BK:$BK,'6.Summary'!$Q32,'5.Cons and detailed recon'!CI:CI)</f>
        <v>6751308</v>
      </c>
      <c r="U32" s="715">
        <f ca="1">SUMIF('5.Cons and detailed recon'!$BK:$BK,'6.Summary'!$Q32,'5.Cons and detailed recon'!CD:CD)</f>
        <v>2534954</v>
      </c>
      <c r="V32" s="715">
        <f ca="1">SUMIF('5.Cons and detailed recon'!$BK:$BK,'6.Summary'!$Q32,'5.Cons and detailed recon'!CE:CE)</f>
        <v>1039470</v>
      </c>
      <c r="W32" s="715">
        <f ca="1">SUMIF('5.Cons and detailed recon'!$BK:$BK,'6.Summary'!$Q32,'5.Cons and detailed recon'!CC:CC)</f>
        <v>2225623</v>
      </c>
      <c r="X32" s="715">
        <f ca="1">SUMIF('5.Cons and detailed recon'!$BK:$BK,'6.Summary'!$Q32,'5.Cons and detailed recon'!CF:CF)</f>
        <v>951261</v>
      </c>
      <c r="Y32" s="715">
        <f ca="1">SUMIF('5.Cons and detailed recon'!$BK:$BK,'6.Summary'!$Q32,'5.Cons and detailed recon'!CB:CB)</f>
        <v>0</v>
      </c>
      <c r="Z32" s="715">
        <f ca="1">SUMIF('5.Cons and detailed recon'!$BK:$BK,'6.Summary'!$Q32,'5.Cons and detailed recon'!BR:BR)</f>
        <v>0</v>
      </c>
      <c r="AA32" s="708">
        <f t="shared" ca="1" si="1"/>
        <v>0</v>
      </c>
      <c r="AB32" s="720"/>
      <c r="AC32" s="720"/>
      <c r="AE32" s="419"/>
      <c r="AF32" s="417" t="s">
        <v>723</v>
      </c>
      <c r="AG32" s="1457"/>
      <c r="AH32" s="712" t="s">
        <v>704</v>
      </c>
      <c r="AI32" s="715">
        <f ca="1">SUMIF('5.Cons and detailed recon'!$DF:$DF,'6.Summary'!$AF32,'5.Cons and detailed recon'!EC:EC)</f>
        <v>6967350</v>
      </c>
      <c r="AJ32" s="715">
        <f ca="1">SUMIF('5.Cons and detailed recon'!$DF:$DF,'6.Summary'!$AF32,'5.Cons and detailed recon'!DX:DX)</f>
        <v>2616073</v>
      </c>
      <c r="AK32" s="715">
        <f ca="1">SUMIF('5.Cons and detailed recon'!$DF:$DF,'6.Summary'!$AF32,'5.Cons and detailed recon'!DY:DY)</f>
        <v>1072733</v>
      </c>
      <c r="AL32" s="715">
        <f ca="1">SUMIF('5.Cons and detailed recon'!$DF:$DF,'6.Summary'!$AF32,'5.Cons and detailed recon'!DW:DW)</f>
        <v>2296843</v>
      </c>
      <c r="AM32" s="715">
        <f ca="1">SUMIF('5.Cons and detailed recon'!$DF:$DF,'6.Summary'!$AF32,'5.Cons and detailed recon'!DZ:DZ)</f>
        <v>981701</v>
      </c>
      <c r="AN32" s="715">
        <f ca="1">SUMIF('5.Cons and detailed recon'!$DF:$DF,'6.Summary'!$AF32,'5.Cons and detailed recon'!DV:DV)</f>
        <v>0</v>
      </c>
      <c r="AO32" s="715">
        <f ca="1">SUMIF('5.Cons and detailed recon'!$DF:$DF,'6.Summary'!$AF32,'5.Cons and detailed recon'!DL:DL)</f>
        <v>0</v>
      </c>
      <c r="AP32" s="708">
        <f t="shared" ca="1" si="2"/>
        <v>0</v>
      </c>
      <c r="AQ32" s="720"/>
      <c r="AR32" s="720"/>
    </row>
    <row r="33" spans="1:44" ht="10.95" customHeight="1" x14ac:dyDescent="0.35">
      <c r="A33" s="419"/>
      <c r="B33" s="1017" t="s">
        <v>725</v>
      </c>
      <c r="C33" s="1457"/>
      <c r="D33" s="712" t="s">
        <v>727</v>
      </c>
      <c r="E33" s="715">
        <f ca="1">SUMIF('5.Cons and detailed recon'!$R:$R,'6.Summary'!$B33,'5.Cons and detailed recon'!AO:AO)</f>
        <v>871790</v>
      </c>
      <c r="F33" s="715">
        <f ca="1">SUMIF('5.Cons and detailed recon'!$R:$R,'6.Summary'!$B33,'5.Cons and detailed recon'!AJ:AJ)</f>
        <v>0</v>
      </c>
      <c r="G33" s="715">
        <f ca="1">SUMIF('5.Cons and detailed recon'!$R:$R,'6.Summary'!$B33,'5.Cons and detailed recon'!AK:AK)</f>
        <v>0</v>
      </c>
      <c r="H33" s="715">
        <f ca="1">SUMIF('5.Cons and detailed recon'!$R:$R,'6.Summary'!$B33,'5.Cons and detailed recon'!AI:AI)</f>
        <v>0</v>
      </c>
      <c r="I33" s="715">
        <f ca="1">SUMIF('5.Cons and detailed recon'!$R:$R,'6.Summary'!$B33,'5.Cons and detailed recon'!AL:AL)</f>
        <v>0</v>
      </c>
      <c r="J33" s="715">
        <f ca="1">SUMIF('5.Cons and detailed recon'!$R:$R,'6.Summary'!$B33,'5.Cons and detailed recon'!AH:AH)</f>
        <v>0</v>
      </c>
      <c r="K33" s="715">
        <f ca="1">SUMIF('5.Cons and detailed recon'!$R:$R,'6.Summary'!$B33,'5.Cons and detailed recon'!X:X)</f>
        <v>871790</v>
      </c>
      <c r="L33" s="708">
        <f t="shared" ca="1" si="0"/>
        <v>0</v>
      </c>
      <c r="M33" s="720"/>
      <c r="N33" s="720"/>
      <c r="P33" s="419"/>
      <c r="Q33" s="1376" t="s">
        <v>725</v>
      </c>
      <c r="R33" s="1457"/>
      <c r="S33" s="712" t="s">
        <v>727</v>
      </c>
      <c r="T33" s="715">
        <f ca="1">SUMIF('5.Cons and detailed recon'!$BK:$BK,'6.Summary'!$Q33,'5.Cons and detailed recon'!CI:CI)</f>
        <v>901431</v>
      </c>
      <c r="U33" s="715">
        <f ca="1">SUMIF('5.Cons and detailed recon'!$BK:$BK,'6.Summary'!$Q33,'5.Cons and detailed recon'!CD:CD)</f>
        <v>0</v>
      </c>
      <c r="V33" s="715">
        <f ca="1">SUMIF('5.Cons and detailed recon'!$BK:$BK,'6.Summary'!$Q33,'5.Cons and detailed recon'!CE:CE)</f>
        <v>0</v>
      </c>
      <c r="W33" s="715">
        <f ca="1">SUMIF('5.Cons and detailed recon'!$BK:$BK,'6.Summary'!$Q33,'5.Cons and detailed recon'!CC:CC)</f>
        <v>0</v>
      </c>
      <c r="X33" s="715">
        <f ca="1">SUMIF('5.Cons and detailed recon'!$BK:$BK,'6.Summary'!$Q33,'5.Cons and detailed recon'!CF:CF)</f>
        <v>0</v>
      </c>
      <c r="Y33" s="715">
        <f ca="1">SUMIF('5.Cons and detailed recon'!$BK:$BK,'6.Summary'!$Q33,'5.Cons and detailed recon'!CB:CB)</f>
        <v>0</v>
      </c>
      <c r="Z33" s="715">
        <f ca="1">SUMIF('5.Cons and detailed recon'!$BK:$BK,'6.Summary'!$Q33,'5.Cons and detailed recon'!BR:BR)</f>
        <v>901431</v>
      </c>
      <c r="AA33" s="708">
        <f t="shared" ca="1" si="1"/>
        <v>0</v>
      </c>
      <c r="AB33" s="720"/>
      <c r="AC33" s="720"/>
      <c r="AE33" s="419"/>
      <c r="AF33" s="417" t="s">
        <v>725</v>
      </c>
      <c r="AG33" s="1457"/>
      <c r="AH33" s="712" t="s">
        <v>727</v>
      </c>
      <c r="AI33" s="715">
        <f ca="1">SUMIF('5.Cons and detailed recon'!$DF:$DF,'6.Summary'!$AF33,'5.Cons and detailed recon'!EC:EC)</f>
        <v>930277</v>
      </c>
      <c r="AJ33" s="715">
        <f ca="1">SUMIF('5.Cons and detailed recon'!$DF:$DF,'6.Summary'!$AF33,'5.Cons and detailed recon'!DX:DX)</f>
        <v>0</v>
      </c>
      <c r="AK33" s="715">
        <f ca="1">SUMIF('5.Cons and detailed recon'!$DF:$DF,'6.Summary'!$AF33,'5.Cons and detailed recon'!DY:DY)</f>
        <v>0</v>
      </c>
      <c r="AL33" s="715">
        <f ca="1">SUMIF('5.Cons and detailed recon'!$DF:$DF,'6.Summary'!$AF33,'5.Cons and detailed recon'!DW:DW)</f>
        <v>0</v>
      </c>
      <c r="AM33" s="715">
        <f ca="1">SUMIF('5.Cons and detailed recon'!$DF:$DF,'6.Summary'!$AF33,'5.Cons and detailed recon'!DZ:DZ)</f>
        <v>0</v>
      </c>
      <c r="AN33" s="715">
        <f ca="1">SUMIF('5.Cons and detailed recon'!$DF:$DF,'6.Summary'!$AF33,'5.Cons and detailed recon'!DV:DV)</f>
        <v>0</v>
      </c>
      <c r="AO33" s="715">
        <f ca="1">SUMIF('5.Cons and detailed recon'!$DF:$DF,'6.Summary'!$AF33,'5.Cons and detailed recon'!DL:DL)</f>
        <v>930277</v>
      </c>
      <c r="AP33" s="708">
        <f t="shared" ca="1" si="2"/>
        <v>0</v>
      </c>
      <c r="AQ33" s="720"/>
      <c r="AR33" s="720"/>
    </row>
    <row r="34" spans="1:44" ht="10.95" customHeight="1" x14ac:dyDescent="0.35">
      <c r="A34" s="419"/>
      <c r="B34" s="1017" t="s">
        <v>728</v>
      </c>
      <c r="C34" s="1457"/>
      <c r="D34" s="417" t="s">
        <v>729</v>
      </c>
      <c r="E34" s="715">
        <f ca="1">SUMIF('5.Cons and detailed recon'!$R:$R,'6.Summary'!$B34,'5.Cons and detailed recon'!AO:AO)</f>
        <v>18840000</v>
      </c>
      <c r="F34" s="715">
        <f ca="1">SUMIF('5.Cons and detailed recon'!$R:$R,'6.Summary'!$B34,'5.Cons and detailed recon'!AJ:AJ)</f>
        <v>0</v>
      </c>
      <c r="G34" s="715">
        <f ca="1">SUMIF('5.Cons and detailed recon'!$R:$R,'6.Summary'!$B34,'5.Cons and detailed recon'!AK:AK)</f>
        <v>0</v>
      </c>
      <c r="H34" s="715">
        <f ca="1">SUMIF('5.Cons and detailed recon'!$R:$R,'6.Summary'!$B34,'5.Cons and detailed recon'!AI:AI)</f>
        <v>15000000</v>
      </c>
      <c r="I34" s="715">
        <f ca="1">SUMIF('5.Cons and detailed recon'!$R:$R,'6.Summary'!$B34,'5.Cons and detailed recon'!AL:AL)</f>
        <v>0</v>
      </c>
      <c r="J34" s="715">
        <f ca="1">SUMIF('5.Cons and detailed recon'!$R:$R,'6.Summary'!$B34,'5.Cons and detailed recon'!AH:AH)</f>
        <v>0</v>
      </c>
      <c r="K34" s="715">
        <f ca="1">SUMIF('5.Cons and detailed recon'!$R:$R,'6.Summary'!$B34,'5.Cons and detailed recon'!X:X)</f>
        <v>3840000</v>
      </c>
      <c r="L34" s="708">
        <f t="shared" ca="1" si="0"/>
        <v>0</v>
      </c>
      <c r="M34" s="720"/>
      <c r="N34" s="720"/>
      <c r="P34" s="419"/>
      <c r="Q34" s="1376" t="s">
        <v>728</v>
      </c>
      <c r="R34" s="1457"/>
      <c r="S34" s="417" t="s">
        <v>729</v>
      </c>
      <c r="T34" s="715">
        <f ca="1">SUMIF('5.Cons and detailed recon'!$BK:$BK,'6.Summary'!$Q34,'5.Cons and detailed recon'!CI:CI)</f>
        <v>19480560</v>
      </c>
      <c r="U34" s="715">
        <f ca="1">SUMIF('5.Cons and detailed recon'!$BK:$BK,'6.Summary'!$Q34,'5.Cons and detailed recon'!CD:CD)</f>
        <v>0</v>
      </c>
      <c r="V34" s="715">
        <f ca="1">SUMIF('5.Cons and detailed recon'!$BK:$BK,'6.Summary'!$Q34,'5.Cons and detailed recon'!CE:CE)</f>
        <v>0</v>
      </c>
      <c r="W34" s="715">
        <f ca="1">SUMIF('5.Cons and detailed recon'!$BK:$BK,'6.Summary'!$Q34,'5.Cons and detailed recon'!CC:CC)</f>
        <v>15510000</v>
      </c>
      <c r="X34" s="715">
        <f ca="1">SUMIF('5.Cons and detailed recon'!$BK:$BK,'6.Summary'!$Q34,'5.Cons and detailed recon'!CF:CF)</f>
        <v>0</v>
      </c>
      <c r="Y34" s="715">
        <f ca="1">SUMIF('5.Cons and detailed recon'!$BK:$BK,'6.Summary'!$Q34,'5.Cons and detailed recon'!CB:CB)</f>
        <v>0</v>
      </c>
      <c r="Z34" s="715">
        <f ca="1">SUMIF('5.Cons and detailed recon'!$BK:$BK,'6.Summary'!$Q34,'5.Cons and detailed recon'!BR:BR)</f>
        <v>3970560</v>
      </c>
      <c r="AA34" s="708">
        <f t="shared" ca="1" si="1"/>
        <v>0</v>
      </c>
      <c r="AB34" s="720"/>
      <c r="AC34" s="720"/>
      <c r="AE34" s="419"/>
      <c r="AF34" s="417" t="s">
        <v>728</v>
      </c>
      <c r="AG34" s="1457"/>
      <c r="AH34" s="417" t="s">
        <v>729</v>
      </c>
      <c r="AI34" s="715">
        <f ca="1">SUMIF('5.Cons and detailed recon'!$DF:$DF,'6.Summary'!$AF34,'5.Cons and detailed recon'!EC:EC)</f>
        <v>20103938</v>
      </c>
      <c r="AJ34" s="715">
        <f ca="1">SUMIF('5.Cons and detailed recon'!$DF:$DF,'6.Summary'!$AF34,'5.Cons and detailed recon'!DX:DX)</f>
        <v>0</v>
      </c>
      <c r="AK34" s="715">
        <f ca="1">SUMIF('5.Cons and detailed recon'!$DF:$DF,'6.Summary'!$AF34,'5.Cons and detailed recon'!DY:DY)</f>
        <v>0</v>
      </c>
      <c r="AL34" s="715">
        <f ca="1">SUMIF('5.Cons and detailed recon'!$DF:$DF,'6.Summary'!$AF34,'5.Cons and detailed recon'!DW:DW)</f>
        <v>16006320</v>
      </c>
      <c r="AM34" s="715">
        <f ca="1">SUMIF('5.Cons and detailed recon'!$DF:$DF,'6.Summary'!$AF34,'5.Cons and detailed recon'!DZ:DZ)</f>
        <v>0</v>
      </c>
      <c r="AN34" s="715">
        <f ca="1">SUMIF('5.Cons and detailed recon'!$DF:$DF,'6.Summary'!$AF34,'5.Cons and detailed recon'!DV:DV)</f>
        <v>0</v>
      </c>
      <c r="AO34" s="715">
        <f ca="1">SUMIF('5.Cons and detailed recon'!$DF:$DF,'6.Summary'!$AF34,'5.Cons and detailed recon'!DL:DL)</f>
        <v>4097618</v>
      </c>
      <c r="AP34" s="708">
        <f t="shared" ca="1" si="2"/>
        <v>0</v>
      </c>
      <c r="AQ34" s="720"/>
      <c r="AR34" s="720"/>
    </row>
    <row r="35" spans="1:44" ht="10.95" customHeight="1" x14ac:dyDescent="0.35">
      <c r="A35" s="419"/>
      <c r="B35" s="1017" t="s">
        <v>730</v>
      </c>
      <c r="C35" s="1457"/>
      <c r="D35" s="417" t="s">
        <v>731</v>
      </c>
      <c r="E35" s="715">
        <f ca="1">SUMIF('5.Cons and detailed recon'!$R:$R,'6.Summary'!$B35,'5.Cons and detailed recon'!AO:AO)</f>
        <v>0</v>
      </c>
      <c r="F35" s="715">
        <f ca="1">SUMIF('5.Cons and detailed recon'!$R:$R,'6.Summary'!$B35,'5.Cons and detailed recon'!AJ:AJ)</f>
        <v>0</v>
      </c>
      <c r="G35" s="715">
        <f ca="1">SUMIF('5.Cons and detailed recon'!$R:$R,'6.Summary'!$B35,'5.Cons and detailed recon'!AK:AK)</f>
        <v>0</v>
      </c>
      <c r="H35" s="715">
        <f ca="1">SUMIF('5.Cons and detailed recon'!$R:$R,'6.Summary'!$B35,'5.Cons and detailed recon'!AI:AI)</f>
        <v>0</v>
      </c>
      <c r="I35" s="715">
        <f ca="1">SUMIF('5.Cons and detailed recon'!$R:$R,'6.Summary'!$B35,'5.Cons and detailed recon'!AL:AL)</f>
        <v>0</v>
      </c>
      <c r="J35" s="715">
        <f ca="1">SUMIF('5.Cons and detailed recon'!$R:$R,'6.Summary'!$B35,'5.Cons and detailed recon'!AH:AH)</f>
        <v>0</v>
      </c>
      <c r="K35" s="715">
        <f ca="1">SUMIF('5.Cons and detailed recon'!$R:$R,'6.Summary'!$B35,'5.Cons and detailed recon'!X:X)</f>
        <v>0</v>
      </c>
      <c r="L35" s="709">
        <f ca="1">SUM(F35:K35)-E35</f>
        <v>0</v>
      </c>
      <c r="M35" s="720"/>
      <c r="N35" s="720"/>
      <c r="P35" s="419"/>
      <c r="Q35" s="1376" t="s">
        <v>730</v>
      </c>
      <c r="R35" s="1457"/>
      <c r="S35" s="417" t="s">
        <v>731</v>
      </c>
      <c r="T35" s="715">
        <f ca="1">SUMIF('5.Cons and detailed recon'!$BK:$BK,'6.Summary'!$Q35,'5.Cons and detailed recon'!CI:CI)</f>
        <v>0</v>
      </c>
      <c r="U35" s="715">
        <f ca="1">SUMIF('5.Cons and detailed recon'!$BK:$BK,'6.Summary'!$Q35,'5.Cons and detailed recon'!CD:CD)</f>
        <v>0</v>
      </c>
      <c r="V35" s="715">
        <f ca="1">SUMIF('5.Cons and detailed recon'!$BK:$BK,'6.Summary'!$Q35,'5.Cons and detailed recon'!CE:CE)</f>
        <v>0</v>
      </c>
      <c r="W35" s="715">
        <f ca="1">SUMIF('5.Cons and detailed recon'!$BK:$BK,'6.Summary'!$Q35,'5.Cons and detailed recon'!CC:CC)</f>
        <v>0</v>
      </c>
      <c r="X35" s="715">
        <f ca="1">SUMIF('5.Cons and detailed recon'!$BK:$BK,'6.Summary'!$Q35,'5.Cons and detailed recon'!CF:CF)</f>
        <v>0</v>
      </c>
      <c r="Y35" s="715">
        <f ca="1">SUMIF('5.Cons and detailed recon'!$BK:$BK,'6.Summary'!$Q35,'5.Cons and detailed recon'!CB:CB)</f>
        <v>0</v>
      </c>
      <c r="Z35" s="715">
        <f ca="1">SUMIF('5.Cons and detailed recon'!$BK:$BK,'6.Summary'!$Q35,'5.Cons and detailed recon'!BR:BR)</f>
        <v>0</v>
      </c>
      <c r="AA35" s="709">
        <f ca="1">SUM(U35:Z35)-T35</f>
        <v>0</v>
      </c>
      <c r="AB35" s="720"/>
      <c r="AC35" s="720"/>
      <c r="AE35" s="419"/>
      <c r="AF35" s="417" t="s">
        <v>730</v>
      </c>
      <c r="AG35" s="1457"/>
      <c r="AH35" s="417" t="s">
        <v>731</v>
      </c>
      <c r="AI35" s="715">
        <f ca="1">SUMIF('5.Cons and detailed recon'!$DF:$DF,'6.Summary'!$AF35,'5.Cons and detailed recon'!EC:EC)</f>
        <v>0</v>
      </c>
      <c r="AJ35" s="715">
        <f ca="1">SUMIF('5.Cons and detailed recon'!$DF:$DF,'6.Summary'!$AF35,'5.Cons and detailed recon'!DX:DX)</f>
        <v>0</v>
      </c>
      <c r="AK35" s="715">
        <f ca="1">SUMIF('5.Cons and detailed recon'!$DF:$DF,'6.Summary'!$AF35,'5.Cons and detailed recon'!DY:DY)</f>
        <v>0</v>
      </c>
      <c r="AL35" s="715">
        <f ca="1">SUMIF('5.Cons and detailed recon'!$DF:$DF,'6.Summary'!$AF35,'5.Cons and detailed recon'!DW:DW)</f>
        <v>0</v>
      </c>
      <c r="AM35" s="715">
        <f ca="1">SUMIF('5.Cons and detailed recon'!$DF:$DF,'6.Summary'!$AF35,'5.Cons and detailed recon'!DZ:DZ)</f>
        <v>0</v>
      </c>
      <c r="AN35" s="715">
        <f ca="1">SUMIF('5.Cons and detailed recon'!$DF:$DF,'6.Summary'!$AF35,'5.Cons and detailed recon'!DV:DV)</f>
        <v>0</v>
      </c>
      <c r="AO35" s="715">
        <f ca="1">SUMIF('5.Cons and detailed recon'!$DF:$DF,'6.Summary'!$AF35,'5.Cons and detailed recon'!DL:DL)</f>
        <v>0</v>
      </c>
      <c r="AP35" s="709">
        <f ca="1">SUM(AJ35:AO35)-AI35</f>
        <v>0</v>
      </c>
      <c r="AQ35" s="720"/>
      <c r="AR35" s="720"/>
    </row>
    <row r="36" spans="1:44" ht="10.95" customHeight="1" thickBot="1" x14ac:dyDescent="0.4">
      <c r="A36" s="419"/>
      <c r="C36" s="1457"/>
      <c r="D36" s="417"/>
      <c r="E36" s="443"/>
      <c r="F36" s="715">
        <f>SUMIF('5.Cons and detailed recon'!$R:$R,'6.Summary'!$B36,'5.Cons and detailed recon'!AJ:AJ)</f>
        <v>0</v>
      </c>
      <c r="G36" s="715">
        <f>SUMIF('5.Cons and detailed recon'!$R:$R,'6.Summary'!$B36,'5.Cons and detailed recon'!AK:AK)</f>
        <v>0</v>
      </c>
      <c r="H36" s="715">
        <f>SUMIF('5.Cons and detailed recon'!$R:$R,'6.Summary'!$B36,'5.Cons and detailed recon'!AI:AI)</f>
        <v>0</v>
      </c>
      <c r="I36" s="715">
        <f>SUMIF('5.Cons and detailed recon'!$R:$R,'6.Summary'!$B36,'5.Cons and detailed recon'!AL:AL)</f>
        <v>0</v>
      </c>
      <c r="J36" s="715">
        <f>SUMIF('5.Cons and detailed recon'!$R:$R,'6.Summary'!$B36,'5.Cons and detailed recon'!AH:AH)</f>
        <v>0</v>
      </c>
      <c r="K36" s="715">
        <f>SUMIF('5.Cons and detailed recon'!$R:$R,'6.Summary'!$B36,'5.Cons and detailed recon'!X:X)</f>
        <v>0</v>
      </c>
      <c r="L36" s="709">
        <f>SUM(F36:K36)-E36</f>
        <v>0</v>
      </c>
      <c r="M36" s="720"/>
      <c r="N36" s="720"/>
      <c r="P36" s="419"/>
      <c r="Q36" s="1376"/>
      <c r="R36" s="1457"/>
      <c r="S36" s="417"/>
      <c r="T36" s="443"/>
      <c r="U36" s="443"/>
      <c r="V36" s="715">
        <f>SUMIF('5.Cons and detailed recon'!$BK:$BK,'6.Summary'!$Q36,'5.Cons and detailed recon'!CE:CE)</f>
        <v>0</v>
      </c>
      <c r="W36" s="715">
        <f>SUMIF('5.Cons and detailed recon'!$BK:$BK,'6.Summary'!$Q36,'5.Cons and detailed recon'!CC:CC)</f>
        <v>0</v>
      </c>
      <c r="X36" s="715">
        <f>SUMIF('5.Cons and detailed recon'!$BK:$BK,'6.Summary'!$Q36,'5.Cons and detailed recon'!CF:CF)</f>
        <v>0</v>
      </c>
      <c r="Y36" s="715">
        <f>SUMIF('5.Cons and detailed recon'!$BK:$BK,'6.Summary'!$Q36,'5.Cons and detailed recon'!CB:CB)</f>
        <v>0</v>
      </c>
      <c r="Z36" s="715">
        <f>SUMIF('5.Cons and detailed recon'!$BK:$BK,'6.Summary'!$Q36,'5.Cons and detailed recon'!BR:BR)</f>
        <v>0</v>
      </c>
      <c r="AA36" s="709">
        <f>SUM(U36:Z36)-T36</f>
        <v>0</v>
      </c>
      <c r="AB36" s="720"/>
      <c r="AC36" s="720"/>
      <c r="AE36" s="419"/>
      <c r="AF36" s="417"/>
      <c r="AG36" s="1457"/>
      <c r="AH36" s="417"/>
      <c r="AI36" s="715">
        <f>SUMIF('5.Cons and detailed recon'!$DF:$DF,'6.Summary'!$AF36,'5.Cons and detailed recon'!EC:EC)</f>
        <v>0</v>
      </c>
      <c r="AJ36" s="715">
        <f>SUMIF('5.Cons and detailed recon'!$DF:$DF,'6.Summary'!$AF36,'5.Cons and detailed recon'!DX:DX)</f>
        <v>0</v>
      </c>
      <c r="AK36" s="715">
        <f>SUMIF('5.Cons and detailed recon'!$DF:$DF,'6.Summary'!$AF36,'5.Cons and detailed recon'!DY:DY)</f>
        <v>0</v>
      </c>
      <c r="AL36" s="715">
        <f>SUMIF('5.Cons and detailed recon'!$DF:$DF,'6.Summary'!$AF36,'5.Cons and detailed recon'!DW:DW)</f>
        <v>0</v>
      </c>
      <c r="AM36" s="715">
        <f>SUMIF('5.Cons and detailed recon'!$DF:$DF,'6.Summary'!$AF36,'5.Cons and detailed recon'!DZ:DZ)</f>
        <v>0</v>
      </c>
      <c r="AN36" s="715">
        <f>SUMIF('5.Cons and detailed recon'!$DF:$DF,'6.Summary'!$AF36,'5.Cons and detailed recon'!DV:DV)</f>
        <v>0</v>
      </c>
      <c r="AO36" s="715">
        <f>SUMIF('5.Cons and detailed recon'!$DF:$DF,'6.Summary'!$AF36,'5.Cons and detailed recon'!DL:DL)</f>
        <v>0</v>
      </c>
      <c r="AP36" s="709">
        <f>SUM(AJ36:AO36)-AI36</f>
        <v>0</v>
      </c>
      <c r="AQ36" s="720"/>
      <c r="AR36" s="720"/>
    </row>
    <row r="37" spans="1:44" ht="10.95" customHeight="1" thickTop="1" x14ac:dyDescent="0.35">
      <c r="A37" s="419"/>
      <c r="C37" s="1458"/>
      <c r="D37" s="713" t="s">
        <v>15</v>
      </c>
      <c r="E37" s="710">
        <f t="shared" ref="E37:K37" ca="1" si="3">SUM(E15:E36)</f>
        <v>130755138</v>
      </c>
      <c r="F37" s="710">
        <f t="shared" ca="1" si="3"/>
        <v>2451600</v>
      </c>
      <c r="G37" s="710">
        <f t="shared" ca="1" si="3"/>
        <v>8971825</v>
      </c>
      <c r="H37" s="710">
        <f t="shared" ca="1" si="3"/>
        <v>17372440</v>
      </c>
      <c r="I37" s="710">
        <f t="shared" ca="1" si="3"/>
        <v>920982</v>
      </c>
      <c r="J37" s="710">
        <f t="shared" ca="1" si="3"/>
        <v>52681000</v>
      </c>
      <c r="K37" s="710">
        <f t="shared" ca="1" si="3"/>
        <v>48357291</v>
      </c>
      <c r="L37" s="711"/>
      <c r="M37" s="720"/>
      <c r="N37" s="720"/>
      <c r="P37" s="419"/>
      <c r="Q37" s="1376"/>
      <c r="R37" s="1458"/>
      <c r="S37" s="713" t="s">
        <v>15</v>
      </c>
      <c r="T37" s="710">
        <f t="shared" ref="T37:Z37" ca="1" si="4">SUM(T15:T36)</f>
        <v>135159452</v>
      </c>
      <c r="U37" s="710">
        <f t="shared" ca="1" si="4"/>
        <v>2534954</v>
      </c>
      <c r="V37" s="710">
        <f t="shared" ca="1" si="4"/>
        <v>9276867</v>
      </c>
      <c r="W37" s="710">
        <f t="shared" ca="1" si="4"/>
        <v>17963103</v>
      </c>
      <c r="X37" s="710">
        <f t="shared" ca="1" si="4"/>
        <v>952295</v>
      </c>
      <c r="Y37" s="710">
        <f t="shared" ca="1" si="4"/>
        <v>54472154</v>
      </c>
      <c r="Z37" s="710">
        <f t="shared" ca="1" si="4"/>
        <v>49960079</v>
      </c>
      <c r="AA37" s="711"/>
      <c r="AB37" s="720"/>
      <c r="AC37" s="720"/>
      <c r="AE37" s="419"/>
      <c r="AF37" s="417"/>
      <c r="AG37" s="1458"/>
      <c r="AH37" s="713" t="s">
        <v>15</v>
      </c>
      <c r="AI37" s="710">
        <f t="shared" ref="AI37:AO37" ca="1" si="5">SUM(AI15:AI36)</f>
        <v>139484556</v>
      </c>
      <c r="AJ37" s="710">
        <f t="shared" ca="1" si="5"/>
        <v>2616073</v>
      </c>
      <c r="AK37" s="710">
        <f t="shared" ca="1" si="5"/>
        <v>9573727</v>
      </c>
      <c r="AL37" s="710">
        <f t="shared" ca="1" si="5"/>
        <v>18537922</v>
      </c>
      <c r="AM37" s="710">
        <f t="shared" ca="1" si="5"/>
        <v>982768</v>
      </c>
      <c r="AN37" s="710">
        <f t="shared" ca="1" si="5"/>
        <v>63993041</v>
      </c>
      <c r="AO37" s="710">
        <f t="shared" ca="1" si="5"/>
        <v>51558802</v>
      </c>
      <c r="AP37" s="711"/>
      <c r="AQ37" s="720"/>
      <c r="AR37" s="720"/>
    </row>
    <row r="38" spans="1:44" x14ac:dyDescent="0.35">
      <c r="A38" s="419"/>
      <c r="C38" s="417"/>
      <c r="D38" s="417"/>
      <c r="E38" s="417"/>
      <c r="F38" s="417"/>
      <c r="G38" s="417"/>
      <c r="H38" s="417"/>
      <c r="I38" s="417"/>
      <c r="J38" s="417"/>
      <c r="K38" s="417"/>
      <c r="L38" s="417"/>
      <c r="M38" s="720"/>
      <c r="N38" s="720"/>
      <c r="P38" s="419"/>
      <c r="Q38" s="1376"/>
      <c r="R38" s="417"/>
      <c r="S38" s="417"/>
      <c r="T38" s="417"/>
      <c r="U38" s="417"/>
      <c r="V38" s="417"/>
      <c r="W38" s="417"/>
      <c r="X38" s="417"/>
      <c r="Y38" s="417"/>
      <c r="Z38" s="417"/>
      <c r="AA38" s="417"/>
      <c r="AB38" s="720"/>
      <c r="AC38" s="720"/>
      <c r="AE38" s="419"/>
      <c r="AF38" s="417"/>
      <c r="AG38" s="417"/>
      <c r="AH38" s="417"/>
      <c r="AI38" s="417"/>
      <c r="AJ38" s="417"/>
      <c r="AK38" s="417"/>
      <c r="AL38" s="417"/>
      <c r="AM38" s="417"/>
      <c r="AN38" s="417"/>
      <c r="AO38" s="417"/>
      <c r="AP38" s="417"/>
      <c r="AQ38" s="720"/>
      <c r="AR38" s="720"/>
    </row>
    <row r="39" spans="1:44" ht="9.3000000000000007" thickBot="1" x14ac:dyDescent="0.4">
      <c r="A39" s="419"/>
      <c r="C39" s="417"/>
      <c r="D39" s="417"/>
      <c r="E39" s="447"/>
      <c r="F39" s="417"/>
      <c r="G39" s="417"/>
      <c r="H39" s="417"/>
      <c r="I39" s="417"/>
      <c r="J39" s="417"/>
      <c r="K39" s="417"/>
      <c r="L39" s="417"/>
      <c r="M39" s="720"/>
      <c r="N39" s="720"/>
      <c r="P39" s="419"/>
      <c r="Q39" s="1376"/>
      <c r="R39" s="417"/>
      <c r="S39" s="417"/>
      <c r="T39" s="447"/>
      <c r="U39" s="417"/>
      <c r="V39" s="417"/>
      <c r="W39" s="417"/>
      <c r="X39" s="417"/>
      <c r="Y39" s="417"/>
      <c r="Z39" s="417"/>
      <c r="AA39" s="417"/>
      <c r="AB39" s="720"/>
      <c r="AC39" s="720"/>
      <c r="AE39" s="419"/>
      <c r="AF39" s="417"/>
      <c r="AG39" s="417"/>
      <c r="AH39" s="417"/>
      <c r="AI39" s="447"/>
      <c r="AJ39" s="417"/>
      <c r="AK39" s="417"/>
      <c r="AL39" s="417"/>
      <c r="AM39" s="417"/>
      <c r="AN39" s="417"/>
      <c r="AO39" s="417"/>
      <c r="AP39" s="417"/>
      <c r="AQ39" s="720"/>
      <c r="AR39" s="720"/>
    </row>
    <row r="40" spans="1:44" ht="27.6" thickTop="1" thickBot="1" x14ac:dyDescent="0.4">
      <c r="A40" s="419"/>
      <c r="C40" s="1471" t="s">
        <v>835</v>
      </c>
      <c r="D40" s="667" t="s">
        <v>14</v>
      </c>
      <c r="E40" s="716" t="s">
        <v>240</v>
      </c>
      <c r="F40" s="817" t="s">
        <v>242</v>
      </c>
      <c r="G40" s="716" t="s">
        <v>243</v>
      </c>
      <c r="H40" s="817" t="s">
        <v>244</v>
      </c>
      <c r="I40" s="716" t="s">
        <v>238</v>
      </c>
      <c r="J40" s="817" t="s">
        <v>239</v>
      </c>
      <c r="K40" s="716" t="s">
        <v>245</v>
      </c>
      <c r="L40" s="811" t="s">
        <v>108</v>
      </c>
      <c r="M40" s="720"/>
      <c r="N40" s="720"/>
      <c r="P40" s="419"/>
      <c r="Q40" s="1376"/>
      <c r="R40" s="1459" t="s">
        <v>835</v>
      </c>
      <c r="S40" s="423" t="s">
        <v>14</v>
      </c>
      <c r="T40" s="424" t="s">
        <v>240</v>
      </c>
      <c r="U40" s="423" t="s">
        <v>242</v>
      </c>
      <c r="V40" s="424" t="s">
        <v>243</v>
      </c>
      <c r="W40" s="423" t="s">
        <v>244</v>
      </c>
      <c r="X40" s="424" t="s">
        <v>238</v>
      </c>
      <c r="Y40" s="423" t="s">
        <v>239</v>
      </c>
      <c r="Z40" s="442" t="s">
        <v>245</v>
      </c>
      <c r="AA40" s="444" t="s">
        <v>108</v>
      </c>
      <c r="AB40" s="720"/>
      <c r="AC40" s="720"/>
      <c r="AE40" s="419"/>
      <c r="AF40" s="417"/>
      <c r="AG40" s="1459" t="s">
        <v>835</v>
      </c>
      <c r="AH40" s="423" t="s">
        <v>14</v>
      </c>
      <c r="AI40" s="424" t="s">
        <v>240</v>
      </c>
      <c r="AJ40" s="423" t="s">
        <v>242</v>
      </c>
      <c r="AK40" s="424" t="s">
        <v>243</v>
      </c>
      <c r="AL40" s="423" t="s">
        <v>244</v>
      </c>
      <c r="AM40" s="424" t="s">
        <v>238</v>
      </c>
      <c r="AN40" s="423" t="s">
        <v>239</v>
      </c>
      <c r="AO40" s="442" t="s">
        <v>245</v>
      </c>
      <c r="AP40" s="444" t="s">
        <v>108</v>
      </c>
      <c r="AQ40" s="720"/>
      <c r="AR40" s="720"/>
    </row>
    <row r="41" spans="1:44" ht="9.3000000000000007" thickTop="1" x14ac:dyDescent="0.35">
      <c r="A41" s="419"/>
      <c r="B41" s="1017" t="s">
        <v>735</v>
      </c>
      <c r="C41" s="1472"/>
      <c r="D41" s="539" t="s">
        <v>8</v>
      </c>
      <c r="E41" s="715">
        <f ca="1">'5.Cons and detailed recon'!AO39</f>
        <v>314715240</v>
      </c>
      <c r="F41" s="715">
        <f ca="1">'5.Cons and detailed recon'!AJ39</f>
        <v>12061071</v>
      </c>
      <c r="G41" s="715">
        <f ca="1">'5.Cons and detailed recon'!AK39</f>
        <v>20471408</v>
      </c>
      <c r="H41" s="715">
        <f ca="1">'5.Cons and detailed recon'!AI39</f>
        <v>10857592</v>
      </c>
      <c r="I41" s="715">
        <f ca="1">'5.Cons and detailed recon'!AL39</f>
        <v>22275152</v>
      </c>
      <c r="J41" s="715">
        <f ca="1">'5.Cons and detailed recon'!AH39</f>
        <v>126890746</v>
      </c>
      <c r="K41" s="816">
        <f ca="1">'5.Cons and detailed recon'!X39</f>
        <v>122159271</v>
      </c>
      <c r="L41" s="812">
        <f ca="1">SUM(F41:K41)-E41</f>
        <v>0</v>
      </c>
      <c r="M41" s="720"/>
      <c r="N41" s="720"/>
      <c r="P41" s="409" t="s">
        <v>735</v>
      </c>
      <c r="Q41" s="1376" t="s">
        <v>735</v>
      </c>
      <c r="R41" s="1460"/>
      <c r="S41" s="539" t="s">
        <v>8</v>
      </c>
      <c r="T41" s="715">
        <f ca="1">SUMIF('5.Cons and detailed recon'!$BK:$BK,'6.Summary'!$Q41,'5.Cons and detailed recon'!CI:CI)</f>
        <v>325417414</v>
      </c>
      <c r="U41" s="715">
        <f ca="1">SUMIF('5.Cons and detailed recon'!$BK:$BK,'6.Summary'!$Q41,'5.Cons and detailed recon'!CD:CD)</f>
        <v>12471500</v>
      </c>
      <c r="V41" s="715">
        <f ca="1">SUMIF('5.Cons and detailed recon'!$BK:$BK,'6.Summary'!$Q41,'5.Cons and detailed recon'!CE:CE)</f>
        <v>21167435</v>
      </c>
      <c r="W41" s="715">
        <f ca="1">SUMIF('5.Cons and detailed recon'!$BK:$BK,'6.Summary'!$Q41,'5.Cons and detailed recon'!CC:CC)</f>
        <v>11226748</v>
      </c>
      <c r="X41" s="715">
        <f ca="1">SUMIF('5.Cons and detailed recon'!$BK:$BK,'6.Summary'!$Q41,'5.Cons and detailed recon'!CF:CF)</f>
        <v>23032512</v>
      </c>
      <c r="Y41" s="715">
        <f ca="1">SUMIF('5.Cons and detailed recon'!$BK:$BK,'6.Summary'!$Q41,'5.Cons and detailed recon'!CB:CB)</f>
        <v>131206412</v>
      </c>
      <c r="Z41" s="715">
        <f ca="1">SUMIF('5.Cons and detailed recon'!$BK:$BK,'6.Summary'!$Q41,'5.Cons and detailed recon'!BR:BR)</f>
        <v>126312807</v>
      </c>
      <c r="AA41" s="445">
        <f ca="1">SUM(U41:Z41)-T41</f>
        <v>0</v>
      </c>
      <c r="AB41" s="720"/>
      <c r="AC41" s="720"/>
      <c r="AE41" s="419"/>
      <c r="AF41" s="417" t="s">
        <v>735</v>
      </c>
      <c r="AG41" s="1460"/>
      <c r="AH41" s="539" t="s">
        <v>8</v>
      </c>
      <c r="AI41" s="715">
        <f ca="1">SUMIF('5.Cons and detailed recon'!$DF:$DF,'6.Summary'!$AF41,'5.Cons and detailed recon'!EC:EC)</f>
        <v>335832938</v>
      </c>
      <c r="AJ41" s="715">
        <f ca="1">SUMIF('5.Cons and detailed recon'!$DF:$DF,'6.Summary'!$AF41,'5.Cons and detailed recon'!DX:DX)</f>
        <v>12871002</v>
      </c>
      <c r="AK41" s="715">
        <f ca="1">SUMIF('5.Cons and detailed recon'!$DF:$DF,'6.Summary'!$AF41,'5.Cons and detailed recon'!DY:DY)</f>
        <v>21844789</v>
      </c>
      <c r="AL41" s="715">
        <f ca="1">SUMIF('5.Cons and detailed recon'!$DF:$DF,'6.Summary'!$AF41,'5.Cons and detailed recon'!DW:DW)</f>
        <v>11586002</v>
      </c>
      <c r="AM41" s="715">
        <f ca="1">SUMIF('5.Cons and detailed recon'!$DF:$DF,'6.Summary'!$AF41,'5.Cons and detailed recon'!DZ:DZ)</f>
        <v>23769552</v>
      </c>
      <c r="AN41" s="715">
        <f ca="1">SUMIF('5.Cons and detailed recon'!$DF:$DF,'6.Summary'!$AF41,'5.Cons and detailed recon'!DV:DV)</f>
        <v>135406639</v>
      </c>
      <c r="AO41" s="715">
        <f ca="1">SUMIF('5.Cons and detailed recon'!$DF:$DF,'6.Summary'!$AF41,'5.Cons and detailed recon'!DL:DL)</f>
        <v>130354954</v>
      </c>
      <c r="AP41" s="445">
        <f ca="1">SUM(AJ41:AO41)-AI41</f>
        <v>0</v>
      </c>
      <c r="AQ41" s="720"/>
      <c r="AR41" s="720"/>
    </row>
    <row r="42" spans="1:44" x14ac:dyDescent="0.35">
      <c r="A42" s="419"/>
      <c r="B42" s="1017" t="s">
        <v>737</v>
      </c>
      <c r="C42" s="1472"/>
      <c r="D42" s="539" t="s">
        <v>9</v>
      </c>
      <c r="E42" s="715">
        <f ca="1">'5.Cons and detailed recon'!AO40</f>
        <v>14271314</v>
      </c>
      <c r="F42" s="715">
        <f ca="1">'5.Cons and detailed recon'!AJ40</f>
        <v>0</v>
      </c>
      <c r="G42" s="715">
        <f ca="1">'5.Cons and detailed recon'!AK40</f>
        <v>0</v>
      </c>
      <c r="H42" s="715">
        <f ca="1">'5.Cons and detailed recon'!AI40</f>
        <v>0</v>
      </c>
      <c r="I42" s="715">
        <f ca="1">'5.Cons and detailed recon'!AL40</f>
        <v>0</v>
      </c>
      <c r="J42" s="715">
        <f ca="1">'5.Cons and detailed recon'!AH40</f>
        <v>0</v>
      </c>
      <c r="K42" s="816">
        <f ca="1">'5.Cons and detailed recon'!X40</f>
        <v>14271314</v>
      </c>
      <c r="L42" s="812">
        <f t="shared" ref="L42:L54" ca="1" si="6">SUM(F42:K42)-E42</f>
        <v>0</v>
      </c>
      <c r="M42" s="720"/>
      <c r="N42" s="720"/>
      <c r="P42" s="409" t="s">
        <v>737</v>
      </c>
      <c r="Q42" s="1376" t="s">
        <v>737</v>
      </c>
      <c r="R42" s="1460"/>
      <c r="S42" s="539" t="s">
        <v>9</v>
      </c>
      <c r="T42" s="715">
        <f ca="1">SUMIF('5.Cons and detailed recon'!$BK:$BK,'6.Summary'!$Q42,'5.Cons and detailed recon'!CI:CI)</f>
        <v>14756538</v>
      </c>
      <c r="U42" s="715">
        <f ca="1">SUMIF('5.Cons and detailed recon'!$BK:$BK,'6.Summary'!$Q42,'5.Cons and detailed recon'!CD:CD)</f>
        <v>0</v>
      </c>
      <c r="V42" s="715">
        <f ca="1">SUMIF('5.Cons and detailed recon'!$BK:$BK,'6.Summary'!$Q42,'5.Cons and detailed recon'!CE:CE)</f>
        <v>0</v>
      </c>
      <c r="W42" s="715">
        <f ca="1">SUMIF('5.Cons and detailed recon'!$BK:$BK,'6.Summary'!$Q42,'5.Cons and detailed recon'!CC:CC)</f>
        <v>0</v>
      </c>
      <c r="X42" s="715">
        <f ca="1">SUMIF('5.Cons and detailed recon'!$BK:$BK,'6.Summary'!$Q42,'5.Cons and detailed recon'!CF:CF)</f>
        <v>0</v>
      </c>
      <c r="Y42" s="715">
        <f ca="1">SUMIF('5.Cons and detailed recon'!$BK:$BK,'6.Summary'!$Q42,'5.Cons and detailed recon'!CB:CB)</f>
        <v>0</v>
      </c>
      <c r="Z42" s="715">
        <f ca="1">SUMIF('5.Cons and detailed recon'!$BK:$BK,'6.Summary'!$Q42,'5.Cons and detailed recon'!BR:BR)</f>
        <v>14756538</v>
      </c>
      <c r="AA42" s="445">
        <f t="shared" ref="AA42:AA54" ca="1" si="7">SUM(U42:Z42)-T42</f>
        <v>0</v>
      </c>
      <c r="AB42" s="720"/>
      <c r="AC42" s="720"/>
      <c r="AE42" s="419"/>
      <c r="AF42" s="417" t="s">
        <v>737</v>
      </c>
      <c r="AG42" s="1460"/>
      <c r="AH42" s="539" t="s">
        <v>9</v>
      </c>
      <c r="AI42" s="715">
        <f ca="1">SUMIF('5.Cons and detailed recon'!$DF:$DF,'6.Summary'!$AF42,'5.Cons and detailed recon'!EC:EC)</f>
        <v>15228750</v>
      </c>
      <c r="AJ42" s="715">
        <f ca="1">SUMIF('5.Cons and detailed recon'!$DF:$DF,'6.Summary'!$AF42,'5.Cons and detailed recon'!DX:DX)</f>
        <v>0</v>
      </c>
      <c r="AK42" s="715">
        <f ca="1">SUMIF('5.Cons and detailed recon'!$DF:$DF,'6.Summary'!$AF42,'5.Cons and detailed recon'!DY:DY)</f>
        <v>0</v>
      </c>
      <c r="AL42" s="715">
        <f ca="1">SUMIF('5.Cons and detailed recon'!$DF:$DF,'6.Summary'!$AF42,'5.Cons and detailed recon'!DW:DW)</f>
        <v>0</v>
      </c>
      <c r="AM42" s="715">
        <f ca="1">SUMIF('5.Cons and detailed recon'!$DF:$DF,'6.Summary'!$AF42,'5.Cons and detailed recon'!DZ:DZ)</f>
        <v>0</v>
      </c>
      <c r="AN42" s="715">
        <f ca="1">SUMIF('5.Cons and detailed recon'!$DF:$DF,'6.Summary'!$AF42,'5.Cons and detailed recon'!DV:DV)</f>
        <v>0</v>
      </c>
      <c r="AO42" s="715">
        <f ca="1">SUMIF('5.Cons and detailed recon'!$DF:$DF,'6.Summary'!$AF42,'5.Cons and detailed recon'!DL:DL)</f>
        <v>15228750</v>
      </c>
      <c r="AP42" s="445">
        <f t="shared" ref="AP42:AP54" ca="1" si="8">SUM(AJ42:AO42)-AI42</f>
        <v>0</v>
      </c>
      <c r="AQ42" s="720"/>
      <c r="AR42" s="720"/>
    </row>
    <row r="43" spans="1:44" x14ac:dyDescent="0.35">
      <c r="A43" s="419"/>
      <c r="B43" s="1017" t="s">
        <v>738</v>
      </c>
      <c r="C43" s="1472"/>
      <c r="D43" s="539" t="s">
        <v>724</v>
      </c>
      <c r="E43" s="715">
        <f ca="1">'5.Cons and detailed recon'!AO41</f>
        <v>152140082</v>
      </c>
      <c r="F43" s="715">
        <f ca="1">'5.Cons and detailed recon'!AJ41</f>
        <v>0</v>
      </c>
      <c r="G43" s="715">
        <f ca="1">'5.Cons and detailed recon'!AK41</f>
        <v>0</v>
      </c>
      <c r="H43" s="715">
        <f ca="1">'5.Cons and detailed recon'!AI41</f>
        <v>152140082</v>
      </c>
      <c r="I43" s="715">
        <f ca="1">'5.Cons and detailed recon'!AL41</f>
        <v>0</v>
      </c>
      <c r="J43" s="715">
        <f ca="1">'5.Cons and detailed recon'!AH41</f>
        <v>0</v>
      </c>
      <c r="K43" s="816">
        <f ca="1">'5.Cons and detailed recon'!X41</f>
        <v>0</v>
      </c>
      <c r="L43" s="812">
        <f t="shared" ca="1" si="6"/>
        <v>0</v>
      </c>
      <c r="M43" s="720"/>
      <c r="N43" s="720"/>
      <c r="P43" s="409" t="s">
        <v>738</v>
      </c>
      <c r="Q43" s="1376" t="s">
        <v>738</v>
      </c>
      <c r="R43" s="1460"/>
      <c r="S43" s="539" t="s">
        <v>724</v>
      </c>
      <c r="T43" s="715">
        <f ca="1">SUMIF('5.Cons and detailed recon'!$BK:$BK,'6.Summary'!$Q43,'5.Cons and detailed recon'!CI:CI)</f>
        <v>157312845</v>
      </c>
      <c r="U43" s="715">
        <f ca="1">SUMIF('5.Cons and detailed recon'!$BK:$BK,'6.Summary'!$Q43,'5.Cons and detailed recon'!CD:CD)</f>
        <v>0</v>
      </c>
      <c r="V43" s="715">
        <f ca="1">SUMIF('5.Cons and detailed recon'!$BK:$BK,'6.Summary'!$Q43,'5.Cons and detailed recon'!CE:CE)</f>
        <v>0</v>
      </c>
      <c r="W43" s="715">
        <f ca="1">SUMIF('5.Cons and detailed recon'!$BK:$BK,'6.Summary'!$Q43,'5.Cons and detailed recon'!CC:CC)</f>
        <v>157312845</v>
      </c>
      <c r="X43" s="715">
        <f ca="1">SUMIF('5.Cons and detailed recon'!$BK:$BK,'6.Summary'!$Q43,'5.Cons and detailed recon'!CF:CF)</f>
        <v>0</v>
      </c>
      <c r="Y43" s="715">
        <f ca="1">SUMIF('5.Cons and detailed recon'!$BK:$BK,'6.Summary'!$Q43,'5.Cons and detailed recon'!CB:CB)</f>
        <v>0</v>
      </c>
      <c r="Z43" s="715">
        <f ca="1">SUMIF('5.Cons and detailed recon'!$BK:$BK,'6.Summary'!$Q43,'5.Cons and detailed recon'!BR:BR)</f>
        <v>0</v>
      </c>
      <c r="AA43" s="445">
        <f t="shared" ca="1" si="7"/>
        <v>0</v>
      </c>
      <c r="AB43" s="720"/>
      <c r="AC43" s="720"/>
      <c r="AE43" s="419"/>
      <c r="AF43" s="417" t="s">
        <v>738</v>
      </c>
      <c r="AG43" s="1460"/>
      <c r="AH43" s="539" t="s">
        <v>724</v>
      </c>
      <c r="AI43" s="715">
        <f ca="1">SUMIF('5.Cons and detailed recon'!$DF:$DF,'6.Summary'!$AF43,'5.Cons and detailed recon'!EC:EC)</f>
        <v>162346856</v>
      </c>
      <c r="AJ43" s="715">
        <f ca="1">SUMIF('5.Cons and detailed recon'!$DF:$DF,'6.Summary'!$AF43,'5.Cons and detailed recon'!DX:DX)</f>
        <v>0</v>
      </c>
      <c r="AK43" s="715">
        <f ca="1">SUMIF('5.Cons and detailed recon'!$DF:$DF,'6.Summary'!$AF43,'5.Cons and detailed recon'!DY:DY)</f>
        <v>0</v>
      </c>
      <c r="AL43" s="715">
        <f ca="1">SUMIF('5.Cons and detailed recon'!$DF:$DF,'6.Summary'!$AF43,'5.Cons and detailed recon'!DW:DW)</f>
        <v>162346856</v>
      </c>
      <c r="AM43" s="715">
        <f ca="1">SUMIF('5.Cons and detailed recon'!$DF:$DF,'6.Summary'!$AF43,'5.Cons and detailed recon'!DZ:DZ)</f>
        <v>0</v>
      </c>
      <c r="AN43" s="715">
        <f ca="1">SUMIF('5.Cons and detailed recon'!$DF:$DF,'6.Summary'!$AF43,'5.Cons and detailed recon'!DV:DV)</f>
        <v>0</v>
      </c>
      <c r="AO43" s="715">
        <f ca="1">SUMIF('5.Cons and detailed recon'!$DF:$DF,'6.Summary'!$AF43,'5.Cons and detailed recon'!DL:DL)</f>
        <v>0</v>
      </c>
      <c r="AP43" s="445">
        <f t="shared" ca="1" si="8"/>
        <v>0</v>
      </c>
      <c r="AQ43" s="720"/>
      <c r="AR43" s="720"/>
    </row>
    <row r="44" spans="1:44" x14ac:dyDescent="0.35">
      <c r="A44" s="419"/>
      <c r="B44" s="1017" t="s">
        <v>739</v>
      </c>
      <c r="C44" s="1472"/>
      <c r="D44" s="539" t="s">
        <v>726</v>
      </c>
      <c r="E44" s="715">
        <f ca="1">'5.Cons and detailed recon'!AO42</f>
        <v>44419679</v>
      </c>
      <c r="F44" s="715">
        <f ca="1">'5.Cons and detailed recon'!AJ42</f>
        <v>34332949</v>
      </c>
      <c r="G44" s="715">
        <f ca="1">'5.Cons and detailed recon'!AK42</f>
        <v>1606343</v>
      </c>
      <c r="H44" s="715">
        <f ca="1">'5.Cons and detailed recon'!AI42</f>
        <v>1423290</v>
      </c>
      <c r="I44" s="715">
        <f ca="1">'5.Cons and detailed recon'!AL42</f>
        <v>1399910</v>
      </c>
      <c r="J44" s="715">
        <f ca="1">'5.Cons and detailed recon'!AH42</f>
        <v>3860005</v>
      </c>
      <c r="K44" s="816">
        <f ca="1">'5.Cons and detailed recon'!X42</f>
        <v>1797182</v>
      </c>
      <c r="L44" s="812">
        <f t="shared" ca="1" si="6"/>
        <v>0</v>
      </c>
      <c r="M44" s="720"/>
      <c r="N44" s="720"/>
      <c r="P44" s="409" t="s">
        <v>739</v>
      </c>
      <c r="Q44" s="1376" t="s">
        <v>739</v>
      </c>
      <c r="R44" s="1460"/>
      <c r="S44" s="539" t="s">
        <v>726</v>
      </c>
      <c r="T44" s="715">
        <f ca="1">SUMIF('5.Cons and detailed recon'!$BK:$BK,'6.Summary'!$Q44,'5.Cons and detailed recon'!CI:CI)</f>
        <v>45929964</v>
      </c>
      <c r="U44" s="715">
        <f ca="1">SUMIF('5.Cons and detailed recon'!$BK:$BK,'6.Summary'!$Q44,'5.Cons and detailed recon'!CD:CD)</f>
        <v>35500273</v>
      </c>
      <c r="V44" s="715">
        <f ca="1">SUMIF('5.Cons and detailed recon'!$BK:$BK,'6.Summary'!$Q44,'5.Cons and detailed recon'!CE:CE)</f>
        <v>1660961</v>
      </c>
      <c r="W44" s="715">
        <f ca="1">SUMIF('5.Cons and detailed recon'!$BK:$BK,'6.Summary'!$Q44,'5.Cons and detailed recon'!CC:CC)</f>
        <v>1471684</v>
      </c>
      <c r="X44" s="715">
        <f ca="1">SUMIF('5.Cons and detailed recon'!$BK:$BK,'6.Summary'!$Q44,'5.Cons and detailed recon'!CF:CF)</f>
        <v>1447509</v>
      </c>
      <c r="Y44" s="715">
        <f ca="1">SUMIF('5.Cons and detailed recon'!$BK:$BK,'6.Summary'!$Q44,'5.Cons and detailed recon'!CB:CB)</f>
        <v>3991250</v>
      </c>
      <c r="Z44" s="715">
        <f ca="1">SUMIF('5.Cons and detailed recon'!$BK:$BK,'6.Summary'!$Q44,'5.Cons and detailed recon'!BR:BR)</f>
        <v>1858287</v>
      </c>
      <c r="AA44" s="445">
        <f t="shared" ca="1" si="7"/>
        <v>0</v>
      </c>
      <c r="AB44" s="720"/>
      <c r="AC44" s="720"/>
      <c r="AE44" s="419"/>
      <c r="AF44" s="417" t="s">
        <v>739</v>
      </c>
      <c r="AG44" s="1460"/>
      <c r="AH44" s="539" t="s">
        <v>726</v>
      </c>
      <c r="AI44" s="715">
        <f ca="1">SUMIF('5.Cons and detailed recon'!$DF:$DF,'6.Summary'!$AF44,'5.Cons and detailed recon'!EC:EC)</f>
        <v>47399718</v>
      </c>
      <c r="AJ44" s="715">
        <f ca="1">SUMIF('5.Cons and detailed recon'!$DF:$DF,'6.Summary'!$AF44,'5.Cons and detailed recon'!DX:DX)</f>
        <v>36636281</v>
      </c>
      <c r="AK44" s="715">
        <f ca="1">SUMIF('5.Cons and detailed recon'!$DF:$DF,'6.Summary'!$AF44,'5.Cons and detailed recon'!DY:DY)</f>
        <v>1714112</v>
      </c>
      <c r="AL44" s="715">
        <f ca="1">SUMIF('5.Cons and detailed recon'!$DF:$DF,'6.Summary'!$AF44,'5.Cons and detailed recon'!DW:DW)</f>
        <v>1518776</v>
      </c>
      <c r="AM44" s="715">
        <f ca="1">SUMIF('5.Cons and detailed recon'!$DF:$DF,'6.Summary'!$AF44,'5.Cons and detailed recon'!DZ:DZ)</f>
        <v>1493827</v>
      </c>
      <c r="AN44" s="715">
        <f ca="1">SUMIF('5.Cons and detailed recon'!$DF:$DF,'6.Summary'!$AF44,'5.Cons and detailed recon'!DV:DV)</f>
        <v>4118969</v>
      </c>
      <c r="AO44" s="715">
        <f ca="1">SUMIF('5.Cons and detailed recon'!$DF:$DF,'6.Summary'!$AF44,'5.Cons and detailed recon'!DL:DL)</f>
        <v>1917753</v>
      </c>
      <c r="AP44" s="445">
        <f t="shared" ca="1" si="8"/>
        <v>0</v>
      </c>
      <c r="AQ44" s="720"/>
      <c r="AR44" s="720"/>
    </row>
    <row r="45" spans="1:44" x14ac:dyDescent="0.35">
      <c r="A45" s="419"/>
      <c r="B45" s="1017" t="s">
        <v>741</v>
      </c>
      <c r="C45" s="1472"/>
      <c r="D45" s="539" t="s">
        <v>10</v>
      </c>
      <c r="E45" s="715">
        <f ca="1">'5.Cons and detailed recon'!AO43</f>
        <v>110632000</v>
      </c>
      <c r="F45" s="715">
        <f ca="1">'5.Cons and detailed recon'!AJ43</f>
        <v>18521000</v>
      </c>
      <c r="G45" s="715">
        <f ca="1">'5.Cons and detailed recon'!AK43</f>
        <v>13338000</v>
      </c>
      <c r="H45" s="715">
        <f ca="1">'5.Cons and detailed recon'!AI43</f>
        <v>1808000</v>
      </c>
      <c r="I45" s="715">
        <f ca="1">'5.Cons and detailed recon'!AL43</f>
        <v>11260000</v>
      </c>
      <c r="J45" s="715">
        <f ca="1">'5.Cons and detailed recon'!AH43</f>
        <v>35588000</v>
      </c>
      <c r="K45" s="816">
        <f ca="1">'5.Cons and detailed recon'!X43</f>
        <v>30117000</v>
      </c>
      <c r="L45" s="812">
        <f t="shared" ca="1" si="6"/>
        <v>0</v>
      </c>
      <c r="M45" s="720"/>
      <c r="N45" s="720"/>
      <c r="P45" s="409" t="s">
        <v>741</v>
      </c>
      <c r="Q45" s="1376" t="s">
        <v>741</v>
      </c>
      <c r="R45" s="1460"/>
      <c r="S45" s="539" t="s">
        <v>10</v>
      </c>
      <c r="T45" s="715">
        <f ca="1">SUMIF('5.Cons and detailed recon'!$BK:$BK,'6.Summary'!$Q45,'5.Cons and detailed recon'!CI:CI)</f>
        <v>114393488</v>
      </c>
      <c r="U45" s="715">
        <f ca="1">SUMIF('5.Cons and detailed recon'!$BK:$BK,'6.Summary'!$Q45,'5.Cons and detailed recon'!CD:CD)</f>
        <v>19150714</v>
      </c>
      <c r="V45" s="715">
        <f ca="1">SUMIF('5.Cons and detailed recon'!$BK:$BK,'6.Summary'!$Q45,'5.Cons and detailed recon'!CE:CE)</f>
        <v>13791492</v>
      </c>
      <c r="W45" s="715">
        <f ca="1">SUMIF('5.Cons and detailed recon'!$BK:$BK,'6.Summary'!$Q45,'5.Cons and detailed recon'!CC:CC)</f>
        <v>1869472</v>
      </c>
      <c r="X45" s="715">
        <f ca="1">SUMIF('5.Cons and detailed recon'!$BK:$BK,'6.Summary'!$Q45,'5.Cons and detailed recon'!CF:CF)</f>
        <v>11642840</v>
      </c>
      <c r="Y45" s="715">
        <f ca="1">SUMIF('5.Cons and detailed recon'!$BK:$BK,'6.Summary'!$Q45,'5.Cons and detailed recon'!CB:CB)</f>
        <v>36797992</v>
      </c>
      <c r="Z45" s="715">
        <f ca="1">SUMIF('5.Cons and detailed recon'!$BK:$BK,'6.Summary'!$Q45,'5.Cons and detailed recon'!BR:BR)</f>
        <v>31140978</v>
      </c>
      <c r="AA45" s="445">
        <f t="shared" ca="1" si="7"/>
        <v>0</v>
      </c>
      <c r="AB45" s="720"/>
      <c r="AC45" s="720"/>
      <c r="AE45" s="419"/>
      <c r="AF45" s="417" t="s">
        <v>741</v>
      </c>
      <c r="AG45" s="1460"/>
      <c r="AH45" s="539" t="s">
        <v>10</v>
      </c>
      <c r="AI45" s="715">
        <f ca="1">SUMIF('5.Cons and detailed recon'!$DF:$DF,'6.Summary'!$AF45,'5.Cons and detailed recon'!EC:EC)</f>
        <v>118054080</v>
      </c>
      <c r="AJ45" s="715">
        <f ca="1">SUMIF('5.Cons and detailed recon'!$DF:$DF,'6.Summary'!$AF45,'5.Cons and detailed recon'!DX:DX)</f>
        <v>19763537</v>
      </c>
      <c r="AK45" s="715">
        <f ca="1">SUMIF('5.Cons and detailed recon'!$DF:$DF,'6.Summary'!$AF45,'5.Cons and detailed recon'!DY:DY)</f>
        <v>14232820</v>
      </c>
      <c r="AL45" s="715">
        <f ca="1">SUMIF('5.Cons and detailed recon'!$DF:$DF,'6.Summary'!$AF45,'5.Cons and detailed recon'!DW:DW)</f>
        <v>1929295</v>
      </c>
      <c r="AM45" s="715">
        <f ca="1">SUMIF('5.Cons and detailed recon'!$DF:$DF,'6.Summary'!$AF45,'5.Cons and detailed recon'!DZ:DZ)</f>
        <v>12015411</v>
      </c>
      <c r="AN45" s="715">
        <f ca="1">SUMIF('5.Cons and detailed recon'!$DF:$DF,'6.Summary'!$AF45,'5.Cons and detailed recon'!DV:DV)</f>
        <v>37975528</v>
      </c>
      <c r="AO45" s="715">
        <f ca="1">SUMIF('5.Cons and detailed recon'!$DF:$DF,'6.Summary'!$AF45,'5.Cons and detailed recon'!DL:DL)</f>
        <v>32137489</v>
      </c>
      <c r="AP45" s="445">
        <f t="shared" ca="1" si="8"/>
        <v>0</v>
      </c>
      <c r="AQ45" s="720"/>
      <c r="AR45" s="720"/>
    </row>
    <row r="46" spans="1:44" x14ac:dyDescent="0.35">
      <c r="A46" s="419"/>
      <c r="B46" s="1017" t="s">
        <v>743</v>
      </c>
      <c r="C46" s="1472"/>
      <c r="D46" s="539" t="s">
        <v>745</v>
      </c>
      <c r="E46" s="715">
        <f ca="1">'5.Cons and detailed recon'!AO44</f>
        <v>40079353</v>
      </c>
      <c r="F46" s="715">
        <f ca="1">'5.Cons and detailed recon'!AJ44</f>
        <v>7198765</v>
      </c>
      <c r="G46" s="715">
        <f ca="1">'5.Cons and detailed recon'!AK44</f>
        <v>9307404</v>
      </c>
      <c r="H46" s="715">
        <f ca="1">'5.Cons and detailed recon'!AI44</f>
        <v>3703046</v>
      </c>
      <c r="I46" s="715">
        <f ca="1">'5.Cons and detailed recon'!AL44</f>
        <v>8809217</v>
      </c>
      <c r="J46" s="715">
        <f ca="1">'5.Cons and detailed recon'!AH44</f>
        <v>4673514</v>
      </c>
      <c r="K46" s="816">
        <f ca="1">'5.Cons and detailed recon'!X44</f>
        <v>6387407</v>
      </c>
      <c r="L46" s="812">
        <f t="shared" ca="1" si="6"/>
        <v>0</v>
      </c>
      <c r="M46" s="720"/>
      <c r="N46" s="720"/>
      <c r="P46" s="409" t="s">
        <v>743</v>
      </c>
      <c r="Q46" s="1376" t="s">
        <v>743</v>
      </c>
      <c r="R46" s="1460"/>
      <c r="S46" s="539" t="s">
        <v>745</v>
      </c>
      <c r="T46" s="715">
        <f ca="1">SUMIF('5.Cons and detailed recon'!$BK:$BK,'6.Summary'!$Q46,'5.Cons and detailed recon'!CI:CI)</f>
        <v>42062859</v>
      </c>
      <c r="U46" s="715">
        <f ca="1">SUMIF('5.Cons and detailed recon'!$BK:$BK,'6.Summary'!$Q46,'5.Cons and detailed recon'!CD:CD)</f>
        <v>7558703</v>
      </c>
      <c r="V46" s="715">
        <f ca="1">SUMIF('5.Cons and detailed recon'!$BK:$BK,'6.Summary'!$Q46,'5.Cons and detailed recon'!CE:CE)</f>
        <v>9772774</v>
      </c>
      <c r="W46" s="715">
        <f ca="1">SUMIF('5.Cons and detailed recon'!$BK:$BK,'6.Summary'!$Q46,'5.Cons and detailed recon'!CC:CC)</f>
        <v>3888198</v>
      </c>
      <c r="X46" s="715">
        <f ca="1">SUMIF('5.Cons and detailed recon'!$BK:$BK,'6.Summary'!$Q46,'5.Cons and detailed recon'!CF:CF)</f>
        <v>9249678</v>
      </c>
      <c r="Y46" s="715">
        <f ca="1">SUMIF('5.Cons and detailed recon'!$BK:$BK,'6.Summary'!$Q46,'5.Cons and detailed recon'!CB:CB)</f>
        <v>4907190</v>
      </c>
      <c r="Z46" s="715">
        <f ca="1">SUMIF('5.Cons and detailed recon'!$BK:$BK,'6.Summary'!$Q46,'5.Cons and detailed recon'!BR:BR)</f>
        <v>6686316</v>
      </c>
      <c r="AA46" s="445">
        <f t="shared" ca="1" si="7"/>
        <v>0</v>
      </c>
      <c r="AB46" s="720"/>
      <c r="AC46" s="720"/>
      <c r="AE46" s="419"/>
      <c r="AF46" s="417" t="s">
        <v>743</v>
      </c>
      <c r="AG46" s="1460"/>
      <c r="AH46" s="539" t="s">
        <v>745</v>
      </c>
      <c r="AI46" s="715">
        <f ca="1">SUMIF('5.Cons and detailed recon'!$DF:$DF,'6.Summary'!$AF46,'5.Cons and detailed recon'!EC:EC)</f>
        <v>44123207</v>
      </c>
      <c r="AJ46" s="715">
        <f ca="1">SUMIF('5.Cons and detailed recon'!$DF:$DF,'6.Summary'!$AF46,'5.Cons and detailed recon'!DX:DX)</f>
        <v>7936639</v>
      </c>
      <c r="AK46" s="715">
        <f ca="1">SUMIF('5.Cons and detailed recon'!$DF:$DF,'6.Summary'!$AF46,'5.Cons and detailed recon'!DY:DY)</f>
        <v>10261413</v>
      </c>
      <c r="AL46" s="715">
        <f ca="1">SUMIF('5.Cons and detailed recon'!$DF:$DF,'6.Summary'!$AF46,'5.Cons and detailed recon'!DW:DW)</f>
        <v>4082609</v>
      </c>
      <c r="AM46" s="715">
        <f ca="1">SUMIF('5.Cons and detailed recon'!$DF:$DF,'6.Summary'!$AF46,'5.Cons and detailed recon'!DZ:DZ)</f>
        <v>9712162</v>
      </c>
      <c r="AN46" s="715">
        <f ca="1">SUMIF('5.Cons and detailed recon'!$DF:$DF,'6.Summary'!$AF46,'5.Cons and detailed recon'!DV:DV)</f>
        <v>5152549</v>
      </c>
      <c r="AO46" s="715">
        <f ca="1">SUMIF('5.Cons and detailed recon'!$DF:$DF,'6.Summary'!$AF46,'5.Cons and detailed recon'!DL:DL)</f>
        <v>6977835</v>
      </c>
      <c r="AP46" s="445">
        <f t="shared" ca="1" si="8"/>
        <v>0</v>
      </c>
      <c r="AQ46" s="720"/>
      <c r="AR46" s="720"/>
    </row>
    <row r="47" spans="1:44" x14ac:dyDescent="0.35">
      <c r="A47" s="419"/>
      <c r="B47" s="1017" t="s">
        <v>746</v>
      </c>
      <c r="C47" s="1472"/>
      <c r="D47" s="539" t="s">
        <v>687</v>
      </c>
      <c r="E47" s="715">
        <f ca="1">'5.Cons and detailed recon'!AO45</f>
        <v>45677838</v>
      </c>
      <c r="F47" s="715">
        <f ca="1">'5.Cons and detailed recon'!AJ45</f>
        <v>1543777</v>
      </c>
      <c r="G47" s="715">
        <f ca="1">'5.Cons and detailed recon'!AK45</f>
        <v>2357463</v>
      </c>
      <c r="H47" s="715">
        <f ca="1">'5.Cons and detailed recon'!AI45</f>
        <v>15519187</v>
      </c>
      <c r="I47" s="715">
        <f ca="1">'5.Cons and detailed recon'!AL45</f>
        <v>15564442</v>
      </c>
      <c r="J47" s="715">
        <f ca="1">'5.Cons and detailed recon'!AH45</f>
        <v>584662</v>
      </c>
      <c r="K47" s="816">
        <f ca="1">'5.Cons and detailed recon'!X45</f>
        <v>10108307</v>
      </c>
      <c r="L47" s="812">
        <f t="shared" ca="1" si="6"/>
        <v>0</v>
      </c>
      <c r="M47" s="720"/>
      <c r="N47" s="720"/>
      <c r="P47" s="409" t="s">
        <v>746</v>
      </c>
      <c r="Q47" s="1376" t="s">
        <v>746</v>
      </c>
      <c r="R47" s="1460"/>
      <c r="S47" s="539" t="s">
        <v>687</v>
      </c>
      <c r="T47" s="715">
        <f ca="1">SUMIF('5.Cons and detailed recon'!$BK:$BK,'6.Summary'!$Q47,'5.Cons and detailed recon'!CI:CI)</f>
        <v>47230883</v>
      </c>
      <c r="U47" s="715">
        <f ca="1">SUMIF('5.Cons and detailed recon'!$BK:$BK,'6.Summary'!$Q47,'5.Cons and detailed recon'!CD:CD)</f>
        <v>1596265</v>
      </c>
      <c r="V47" s="715">
        <f ca="1">SUMIF('5.Cons and detailed recon'!$BK:$BK,'6.Summary'!$Q47,'5.Cons and detailed recon'!CE:CE)</f>
        <v>2437617</v>
      </c>
      <c r="W47" s="715">
        <f ca="1">SUMIF('5.Cons and detailed recon'!$BK:$BK,'6.Summary'!$Q47,'5.Cons and detailed recon'!CC:CC)</f>
        <v>16046839</v>
      </c>
      <c r="X47" s="715">
        <f ca="1">SUMIF('5.Cons and detailed recon'!$BK:$BK,'6.Summary'!$Q47,'5.Cons and detailed recon'!CF:CF)</f>
        <v>16093633</v>
      </c>
      <c r="Y47" s="715">
        <f ca="1">SUMIF('5.Cons and detailed recon'!$BK:$BK,'6.Summary'!$Q47,'5.Cons and detailed recon'!CB:CB)</f>
        <v>604540</v>
      </c>
      <c r="Z47" s="715">
        <f ca="1">SUMIF('5.Cons and detailed recon'!$BK:$BK,'6.Summary'!$Q47,'5.Cons and detailed recon'!BR:BR)</f>
        <v>10451989</v>
      </c>
      <c r="AA47" s="445">
        <f t="shared" ca="1" si="7"/>
        <v>0</v>
      </c>
      <c r="AB47" s="720"/>
      <c r="AC47" s="720"/>
      <c r="AE47" s="419"/>
      <c r="AF47" s="417" t="s">
        <v>746</v>
      </c>
      <c r="AG47" s="1460"/>
      <c r="AH47" s="539" t="s">
        <v>687</v>
      </c>
      <c r="AI47" s="715">
        <f ca="1">SUMIF('5.Cons and detailed recon'!$DF:$DF,'6.Summary'!$AF47,'5.Cons and detailed recon'!EC:EC)</f>
        <v>48742270</v>
      </c>
      <c r="AJ47" s="715">
        <f ca="1">SUMIF('5.Cons and detailed recon'!$DF:$DF,'6.Summary'!$AF47,'5.Cons and detailed recon'!DX:DX)</f>
        <v>1647345</v>
      </c>
      <c r="AK47" s="715">
        <f ca="1">SUMIF('5.Cons and detailed recon'!$DF:$DF,'6.Summary'!$AF47,'5.Cons and detailed recon'!DY:DY)</f>
        <v>2515621</v>
      </c>
      <c r="AL47" s="715">
        <f ca="1">SUMIF('5.Cons and detailed recon'!$DF:$DF,'6.Summary'!$AF47,'5.Cons and detailed recon'!DW:DW)</f>
        <v>16560338</v>
      </c>
      <c r="AM47" s="715">
        <f ca="1">SUMIF('5.Cons and detailed recon'!$DF:$DF,'6.Summary'!$AF47,'5.Cons and detailed recon'!DZ:DZ)</f>
        <v>16608629</v>
      </c>
      <c r="AN47" s="715">
        <f ca="1">SUMIF('5.Cons and detailed recon'!$DF:$DF,'6.Summary'!$AF47,'5.Cons and detailed recon'!DV:DV)</f>
        <v>623885</v>
      </c>
      <c r="AO47" s="715">
        <f ca="1">SUMIF('5.Cons and detailed recon'!$DF:$DF,'6.Summary'!$AF47,'5.Cons and detailed recon'!DL:DL)</f>
        <v>10786452</v>
      </c>
      <c r="AP47" s="445">
        <f t="shared" ca="1" si="8"/>
        <v>0</v>
      </c>
      <c r="AQ47" s="720"/>
      <c r="AR47" s="720"/>
    </row>
    <row r="48" spans="1:44" x14ac:dyDescent="0.35">
      <c r="A48" s="419"/>
      <c r="B48" s="1017" t="s">
        <v>748</v>
      </c>
      <c r="C48" s="1472"/>
      <c r="D48" s="539" t="s">
        <v>12</v>
      </c>
      <c r="E48" s="715">
        <f ca="1">'5.Cons and detailed recon'!AO46</f>
        <v>66548331</v>
      </c>
      <c r="F48" s="715">
        <f ca="1">'5.Cons and detailed recon'!AJ46</f>
        <v>4068585</v>
      </c>
      <c r="G48" s="715">
        <f ca="1">'5.Cons and detailed recon'!AK46</f>
        <v>5607523</v>
      </c>
      <c r="H48" s="715">
        <f ca="1">'5.Cons and detailed recon'!AI46</f>
        <v>3170548</v>
      </c>
      <c r="I48" s="715">
        <f ca="1">'5.Cons and detailed recon'!AL46</f>
        <v>13038691</v>
      </c>
      <c r="J48" s="715">
        <f ca="1">'5.Cons and detailed recon'!AH46</f>
        <v>21948917</v>
      </c>
      <c r="K48" s="816">
        <f ca="1">'5.Cons and detailed recon'!X46</f>
        <v>18714067</v>
      </c>
      <c r="L48" s="812">
        <f t="shared" ca="1" si="6"/>
        <v>0</v>
      </c>
      <c r="M48" s="720"/>
      <c r="N48" s="720"/>
      <c r="P48" s="409" t="s">
        <v>748</v>
      </c>
      <c r="Q48" s="1376" t="s">
        <v>748</v>
      </c>
      <c r="R48" s="1460"/>
      <c r="S48" s="539" t="s">
        <v>12</v>
      </c>
      <c r="T48" s="715">
        <f ca="1">SUMIF('5.Cons and detailed recon'!$BK:$BK,'6.Summary'!$Q48,'5.Cons and detailed recon'!CI:CI)</f>
        <v>68811030</v>
      </c>
      <c r="U48" s="715">
        <f ca="1">SUMIF('5.Cons and detailed recon'!$BK:$BK,'6.Summary'!$Q48,'5.Cons and detailed recon'!CD:CD)</f>
        <v>4206921</v>
      </c>
      <c r="V48" s="715">
        <f ca="1">SUMIF('5.Cons and detailed recon'!$BK:$BK,'6.Summary'!$Q48,'5.Cons and detailed recon'!CE:CE)</f>
        <v>5798186</v>
      </c>
      <c r="W48" s="715">
        <f ca="1">SUMIF('5.Cons and detailed recon'!$BK:$BK,'6.Summary'!$Q48,'5.Cons and detailed recon'!CC:CC)</f>
        <v>3278353</v>
      </c>
      <c r="X48" s="715">
        <f ca="1">SUMIF('5.Cons and detailed recon'!$BK:$BK,'6.Summary'!$Q48,'5.Cons and detailed recon'!CF:CF)</f>
        <v>13482004</v>
      </c>
      <c r="Y48" s="715">
        <f ca="1">SUMIF('5.Cons and detailed recon'!$BK:$BK,'6.Summary'!$Q48,'5.Cons and detailed recon'!CB:CB)</f>
        <v>22695216</v>
      </c>
      <c r="Z48" s="715">
        <f ca="1">SUMIF('5.Cons and detailed recon'!$BK:$BK,'6.Summary'!$Q48,'5.Cons and detailed recon'!BR:BR)</f>
        <v>19350350</v>
      </c>
      <c r="AA48" s="445">
        <f t="shared" ca="1" si="7"/>
        <v>0</v>
      </c>
      <c r="AB48" s="720"/>
      <c r="AC48" s="720"/>
      <c r="AE48" s="419"/>
      <c r="AF48" s="417" t="s">
        <v>748</v>
      </c>
      <c r="AG48" s="1460"/>
      <c r="AH48" s="539" t="s">
        <v>12</v>
      </c>
      <c r="AI48" s="715">
        <f ca="1">SUMIF('5.Cons and detailed recon'!$DF:$DF,'6.Summary'!$AF48,'5.Cons and detailed recon'!EC:EC)</f>
        <v>71013047</v>
      </c>
      <c r="AJ48" s="715">
        <f ca="1">SUMIF('5.Cons and detailed recon'!$DF:$DF,'6.Summary'!$AF48,'5.Cons and detailed recon'!DX:DX)</f>
        <v>4341546</v>
      </c>
      <c r="AK48" s="715">
        <f ca="1">SUMIF('5.Cons and detailed recon'!$DF:$DF,'6.Summary'!$AF48,'5.Cons and detailed recon'!DY:DY)</f>
        <v>5983737</v>
      </c>
      <c r="AL48" s="715">
        <f ca="1">SUMIF('5.Cons and detailed recon'!$DF:$DF,'6.Summary'!$AF48,'5.Cons and detailed recon'!DW:DW)</f>
        <v>3383265</v>
      </c>
      <c r="AM48" s="715">
        <f ca="1">SUMIF('5.Cons and detailed recon'!$DF:$DF,'6.Summary'!$AF48,'5.Cons and detailed recon'!DZ:DZ)</f>
        <v>13913428</v>
      </c>
      <c r="AN48" s="715">
        <f ca="1">SUMIF('5.Cons and detailed recon'!$DF:$DF,'6.Summary'!$AF48,'5.Cons and detailed recon'!DV:DV)</f>
        <v>23421501</v>
      </c>
      <c r="AO48" s="715">
        <f ca="1">SUMIF('5.Cons and detailed recon'!$DF:$DF,'6.Summary'!$AF48,'5.Cons and detailed recon'!DL:DL)</f>
        <v>19969570</v>
      </c>
      <c r="AP48" s="445">
        <f t="shared" ca="1" si="8"/>
        <v>0</v>
      </c>
      <c r="AQ48" s="720"/>
      <c r="AR48" s="720"/>
    </row>
    <row r="49" spans="1:44" x14ac:dyDescent="0.35">
      <c r="A49" s="419"/>
      <c r="B49" s="1017" t="s">
        <v>750</v>
      </c>
      <c r="C49" s="1472"/>
      <c r="D49" s="539" t="s">
        <v>204</v>
      </c>
      <c r="E49" s="715">
        <f ca="1">'5.Cons and detailed recon'!AO47</f>
        <v>11800</v>
      </c>
      <c r="F49" s="715">
        <f ca="1">'5.Cons and detailed recon'!AJ47</f>
        <v>0</v>
      </c>
      <c r="G49" s="715">
        <f ca="1">'5.Cons and detailed recon'!AK47</f>
        <v>0</v>
      </c>
      <c r="H49" s="715">
        <f ca="1">'5.Cons and detailed recon'!AI47</f>
        <v>0</v>
      </c>
      <c r="I49" s="715">
        <f ca="1">'5.Cons and detailed recon'!AL47</f>
        <v>0</v>
      </c>
      <c r="J49" s="715">
        <f ca="1">'5.Cons and detailed recon'!AH47</f>
        <v>11800</v>
      </c>
      <c r="K49" s="816">
        <f ca="1">'5.Cons and detailed recon'!X47</f>
        <v>0</v>
      </c>
      <c r="L49" s="812">
        <f t="shared" ca="1" si="6"/>
        <v>0</v>
      </c>
      <c r="M49" s="720"/>
      <c r="N49" s="720"/>
      <c r="P49" s="409" t="s">
        <v>750</v>
      </c>
      <c r="Q49" s="1376" t="s">
        <v>750</v>
      </c>
      <c r="R49" s="1460"/>
      <c r="S49" s="539" t="s">
        <v>204</v>
      </c>
      <c r="T49" s="715">
        <f ca="1">SUMIF('5.Cons and detailed recon'!$BK:$BK,'6.Summary'!$Q49,'5.Cons and detailed recon'!CI:CI)</f>
        <v>12201</v>
      </c>
      <c r="U49" s="715">
        <f ca="1">SUMIF('5.Cons and detailed recon'!$BK:$BK,'6.Summary'!$Q49,'5.Cons and detailed recon'!CD:CD)</f>
        <v>0</v>
      </c>
      <c r="V49" s="715">
        <f ca="1">SUMIF('5.Cons and detailed recon'!$BK:$BK,'6.Summary'!$Q49,'5.Cons and detailed recon'!CE:CE)</f>
        <v>0</v>
      </c>
      <c r="W49" s="715">
        <f ca="1">SUMIF('5.Cons and detailed recon'!$BK:$BK,'6.Summary'!$Q49,'5.Cons and detailed recon'!CC:CC)</f>
        <v>0</v>
      </c>
      <c r="X49" s="715">
        <f ca="1">SUMIF('5.Cons and detailed recon'!$BK:$BK,'6.Summary'!$Q49,'5.Cons and detailed recon'!CF:CF)</f>
        <v>0</v>
      </c>
      <c r="Y49" s="715">
        <f ca="1">SUMIF('5.Cons and detailed recon'!$BK:$BK,'6.Summary'!$Q49,'5.Cons and detailed recon'!CB:CB)</f>
        <v>12201</v>
      </c>
      <c r="Z49" s="715">
        <f ca="1">SUMIF('5.Cons and detailed recon'!$BK:$BK,'6.Summary'!$Q49,'5.Cons and detailed recon'!BR:BR)</f>
        <v>0</v>
      </c>
      <c r="AA49" s="445">
        <f t="shared" ca="1" si="7"/>
        <v>0</v>
      </c>
      <c r="AB49" s="720"/>
      <c r="AC49" s="720"/>
      <c r="AE49" s="419"/>
      <c r="AF49" s="417" t="s">
        <v>750</v>
      </c>
      <c r="AG49" s="1460"/>
      <c r="AH49" s="539" t="s">
        <v>204</v>
      </c>
      <c r="AI49" s="715">
        <f ca="1">SUMIF('5.Cons and detailed recon'!$DF:$DF,'6.Summary'!$AF49,'5.Cons and detailed recon'!EC:EC)</f>
        <v>12591</v>
      </c>
      <c r="AJ49" s="715">
        <f ca="1">SUMIF('5.Cons and detailed recon'!$DF:$DF,'6.Summary'!$AF49,'5.Cons and detailed recon'!DX:DX)</f>
        <v>0</v>
      </c>
      <c r="AK49" s="715">
        <f ca="1">SUMIF('5.Cons and detailed recon'!$DF:$DF,'6.Summary'!$AF49,'5.Cons and detailed recon'!DY:DY)</f>
        <v>0</v>
      </c>
      <c r="AL49" s="715">
        <f ca="1">SUMIF('5.Cons and detailed recon'!$DF:$DF,'6.Summary'!$AF49,'5.Cons and detailed recon'!DW:DW)</f>
        <v>0</v>
      </c>
      <c r="AM49" s="715">
        <f ca="1">SUMIF('5.Cons and detailed recon'!$DF:$DF,'6.Summary'!$AF49,'5.Cons and detailed recon'!DZ:DZ)</f>
        <v>0</v>
      </c>
      <c r="AN49" s="715">
        <f ca="1">SUMIF('5.Cons and detailed recon'!$DF:$DF,'6.Summary'!$AF49,'5.Cons and detailed recon'!DV:DV)</f>
        <v>12591</v>
      </c>
      <c r="AO49" s="715">
        <f ca="1">SUMIF('5.Cons and detailed recon'!$DF:$DF,'6.Summary'!$AF49,'5.Cons and detailed recon'!DL:DL)</f>
        <v>0</v>
      </c>
      <c r="AP49" s="445">
        <f t="shared" ca="1" si="8"/>
        <v>0</v>
      </c>
      <c r="AQ49" s="720"/>
      <c r="AR49" s="720"/>
    </row>
    <row r="50" spans="1:44" x14ac:dyDescent="0.35">
      <c r="A50" s="419"/>
      <c r="B50" s="1017" t="s">
        <v>752</v>
      </c>
      <c r="C50" s="1472"/>
      <c r="D50" s="539" t="s">
        <v>754</v>
      </c>
      <c r="E50" s="715">
        <f ca="1">'5.Cons and detailed recon'!AO48</f>
        <v>13010000</v>
      </c>
      <c r="F50" s="715">
        <f ca="1">'5.Cons and detailed recon'!AJ48</f>
        <v>8548000</v>
      </c>
      <c r="G50" s="715">
        <f ca="1">'5.Cons and detailed recon'!AK48</f>
        <v>0</v>
      </c>
      <c r="H50" s="715">
        <f ca="1">'5.Cons and detailed recon'!AI48</f>
        <v>14000</v>
      </c>
      <c r="I50" s="715">
        <f ca="1">'5.Cons and detailed recon'!AL48</f>
        <v>3452000</v>
      </c>
      <c r="J50" s="715">
        <f ca="1">'5.Cons and detailed recon'!AH48</f>
        <v>0</v>
      </c>
      <c r="K50" s="816">
        <f ca="1">'5.Cons and detailed recon'!X48</f>
        <v>996000</v>
      </c>
      <c r="L50" s="812">
        <f t="shared" ca="1" si="6"/>
        <v>0</v>
      </c>
      <c r="M50" s="720"/>
      <c r="N50" s="720"/>
      <c r="P50" s="409" t="s">
        <v>752</v>
      </c>
      <c r="Q50" s="1376" t="s">
        <v>752</v>
      </c>
      <c r="R50" s="1460"/>
      <c r="S50" s="539" t="s">
        <v>754</v>
      </c>
      <c r="T50" s="715">
        <f ca="1">SUMIF('5.Cons and detailed recon'!$BK:$BK,'6.Summary'!$Q50,'5.Cons and detailed recon'!CI:CI)</f>
        <v>13452340</v>
      </c>
      <c r="U50" s="715">
        <f ca="1">SUMIF('5.Cons and detailed recon'!$BK:$BK,'6.Summary'!$Q50,'5.Cons and detailed recon'!CD:CD)</f>
        <v>8838632</v>
      </c>
      <c r="V50" s="715">
        <f ca="1">SUMIF('5.Cons and detailed recon'!$BK:$BK,'6.Summary'!$Q50,'5.Cons and detailed recon'!CE:CE)</f>
        <v>0</v>
      </c>
      <c r="W50" s="715">
        <f ca="1">SUMIF('5.Cons and detailed recon'!$BK:$BK,'6.Summary'!$Q50,'5.Cons and detailed recon'!CC:CC)</f>
        <v>14476</v>
      </c>
      <c r="X50" s="715">
        <f ca="1">SUMIF('5.Cons and detailed recon'!$BK:$BK,'6.Summary'!$Q50,'5.Cons and detailed recon'!CF:CF)</f>
        <v>3569368</v>
      </c>
      <c r="Y50" s="715">
        <f ca="1">SUMIF('5.Cons and detailed recon'!$BK:$BK,'6.Summary'!$Q50,'5.Cons and detailed recon'!CB:CB)</f>
        <v>0</v>
      </c>
      <c r="Z50" s="715">
        <f ca="1">SUMIF('5.Cons and detailed recon'!$BK:$BK,'6.Summary'!$Q50,'5.Cons and detailed recon'!BR:BR)</f>
        <v>1029864</v>
      </c>
      <c r="AA50" s="445">
        <f t="shared" ca="1" si="7"/>
        <v>0</v>
      </c>
      <c r="AB50" s="720"/>
      <c r="AC50" s="720"/>
      <c r="AE50" s="419"/>
      <c r="AF50" s="417" t="s">
        <v>752</v>
      </c>
      <c r="AG50" s="1460"/>
      <c r="AH50" s="539" t="s">
        <v>754</v>
      </c>
      <c r="AI50" s="715">
        <f ca="1">SUMIF('5.Cons and detailed recon'!$DF:$DF,'6.Summary'!$AF50,'5.Cons and detailed recon'!EC:EC)</f>
        <v>13882815</v>
      </c>
      <c r="AJ50" s="715">
        <f ca="1">SUMIF('5.Cons and detailed recon'!$DF:$DF,'6.Summary'!$AF50,'5.Cons and detailed recon'!DX:DX)</f>
        <v>9121468</v>
      </c>
      <c r="AK50" s="715">
        <f ca="1">SUMIF('5.Cons and detailed recon'!$DF:$DF,'6.Summary'!$AF50,'5.Cons and detailed recon'!DY:DY)</f>
        <v>0</v>
      </c>
      <c r="AL50" s="715">
        <f ca="1">SUMIF('5.Cons and detailed recon'!$DF:$DF,'6.Summary'!$AF50,'5.Cons and detailed recon'!DW:DW)</f>
        <v>14939</v>
      </c>
      <c r="AM50" s="715">
        <f ca="1">SUMIF('5.Cons and detailed recon'!$DF:$DF,'6.Summary'!$AF50,'5.Cons and detailed recon'!DZ:DZ)</f>
        <v>3683588</v>
      </c>
      <c r="AN50" s="715">
        <f ca="1">SUMIF('5.Cons and detailed recon'!$DF:$DF,'6.Summary'!$AF50,'5.Cons and detailed recon'!DV:DV)</f>
        <v>0</v>
      </c>
      <c r="AO50" s="715">
        <f ca="1">SUMIF('5.Cons and detailed recon'!$DF:$DF,'6.Summary'!$AF50,'5.Cons and detailed recon'!DL:DL)</f>
        <v>1062820</v>
      </c>
      <c r="AP50" s="445">
        <f t="shared" ca="1" si="8"/>
        <v>0</v>
      </c>
      <c r="AQ50" s="720"/>
      <c r="AR50" s="720"/>
    </row>
    <row r="51" spans="1:44" x14ac:dyDescent="0.35">
      <c r="A51" s="419"/>
      <c r="B51" s="1017" t="s">
        <v>755</v>
      </c>
      <c r="C51" s="1472"/>
      <c r="D51" s="539" t="s">
        <v>757</v>
      </c>
      <c r="E51" s="715">
        <f ca="1">'5.Cons and detailed recon'!AO49</f>
        <v>90311744</v>
      </c>
      <c r="F51" s="715">
        <f ca="1">'5.Cons and detailed recon'!AJ49</f>
        <v>11008552</v>
      </c>
      <c r="G51" s="715">
        <f ca="1">'5.Cons and detailed recon'!AK49</f>
        <v>12182363</v>
      </c>
      <c r="H51" s="715">
        <f ca="1">'5.Cons and detailed recon'!AI49</f>
        <v>10119097</v>
      </c>
      <c r="I51" s="715">
        <f ca="1">'5.Cons and detailed recon'!AL49</f>
        <v>6690268</v>
      </c>
      <c r="J51" s="715">
        <f ca="1">'5.Cons and detailed recon'!AH49</f>
        <v>9327086</v>
      </c>
      <c r="K51" s="816">
        <f ca="1">'5.Cons and detailed recon'!X49</f>
        <v>40984378</v>
      </c>
      <c r="L51" s="812">
        <f t="shared" ca="1" si="6"/>
        <v>0</v>
      </c>
      <c r="M51" s="720"/>
      <c r="N51" s="720"/>
      <c r="P51" s="409" t="s">
        <v>755</v>
      </c>
      <c r="Q51" s="1376" t="s">
        <v>755</v>
      </c>
      <c r="R51" s="1460"/>
      <c r="S51" s="539" t="s">
        <v>757</v>
      </c>
      <c r="T51" s="715">
        <f ca="1">SUMIF('5.Cons and detailed recon'!$BK:$BK,'6.Summary'!$Q51,'5.Cons and detailed recon'!CI:CI)</f>
        <v>93382345</v>
      </c>
      <c r="U51" s="715">
        <f ca="1">SUMIF('5.Cons and detailed recon'!$BK:$BK,'6.Summary'!$Q51,'5.Cons and detailed recon'!CD:CD)</f>
        <v>11382843</v>
      </c>
      <c r="V51" s="715">
        <f ca="1">SUMIF('5.Cons and detailed recon'!$BK:$BK,'6.Summary'!$Q51,'5.Cons and detailed recon'!CE:CE)</f>
        <v>12596564</v>
      </c>
      <c r="W51" s="715">
        <f ca="1">SUMIF('5.Cons and detailed recon'!$BK:$BK,'6.Summary'!$Q51,'5.Cons and detailed recon'!CC:CC)</f>
        <v>10463147</v>
      </c>
      <c r="X51" s="715">
        <f ca="1">SUMIF('5.Cons and detailed recon'!$BK:$BK,'6.Summary'!$Q51,'5.Cons and detailed recon'!CF:CF)</f>
        <v>6917737</v>
      </c>
      <c r="Y51" s="715">
        <f ca="1">SUMIF('5.Cons and detailed recon'!$BK:$BK,'6.Summary'!$Q51,'5.Cons and detailed recon'!CB:CB)</f>
        <v>9644207</v>
      </c>
      <c r="Z51" s="715">
        <f ca="1">SUMIF('5.Cons and detailed recon'!$BK:$BK,'6.Summary'!$Q51,'5.Cons and detailed recon'!BR:BR)</f>
        <v>42377847</v>
      </c>
      <c r="AA51" s="445">
        <f t="shared" ca="1" si="7"/>
        <v>0</v>
      </c>
      <c r="AB51" s="720"/>
      <c r="AC51" s="720"/>
      <c r="AE51" s="419"/>
      <c r="AF51" s="417" t="s">
        <v>755</v>
      </c>
      <c r="AG51" s="1460"/>
      <c r="AH51" s="539" t="s">
        <v>757</v>
      </c>
      <c r="AI51" s="715">
        <f ca="1">SUMIF('5.Cons and detailed recon'!$DF:$DF,'6.Summary'!$AF51,'5.Cons and detailed recon'!EC:EC)</f>
        <v>96370566</v>
      </c>
      <c r="AJ51" s="715">
        <f ca="1">SUMIF('5.Cons and detailed recon'!$DF:$DF,'6.Summary'!$AF51,'5.Cons and detailed recon'!DX:DX)</f>
        <v>11747096</v>
      </c>
      <c r="AK51" s="715">
        <f ca="1">SUMIF('5.Cons and detailed recon'!$DF:$DF,'6.Summary'!$AF51,'5.Cons and detailed recon'!DY:DY)</f>
        <v>12999654</v>
      </c>
      <c r="AL51" s="715">
        <f ca="1">SUMIF('5.Cons and detailed recon'!$DF:$DF,'6.Summary'!$AF51,'5.Cons and detailed recon'!DW:DW)</f>
        <v>10797968</v>
      </c>
      <c r="AM51" s="715">
        <f ca="1">SUMIF('5.Cons and detailed recon'!$DF:$DF,'6.Summary'!$AF51,'5.Cons and detailed recon'!DZ:DZ)</f>
        <v>7139105</v>
      </c>
      <c r="AN51" s="715">
        <f ca="1">SUMIF('5.Cons and detailed recon'!$DF:$DF,'6.Summary'!$AF51,'5.Cons and detailed recon'!DV:DV)</f>
        <v>9952807</v>
      </c>
      <c r="AO51" s="715">
        <f ca="1">SUMIF('5.Cons and detailed recon'!$DF:$DF,'6.Summary'!$AF51,'5.Cons and detailed recon'!DL:DL)</f>
        <v>43733936</v>
      </c>
      <c r="AP51" s="445">
        <f t="shared" ca="1" si="8"/>
        <v>0</v>
      </c>
      <c r="AQ51" s="720"/>
      <c r="AR51" s="720"/>
    </row>
    <row r="52" spans="1:44" x14ac:dyDescent="0.35">
      <c r="A52" s="419"/>
      <c r="B52" s="1017" t="s">
        <v>758</v>
      </c>
      <c r="C52" s="1472"/>
      <c r="D52" s="539" t="s">
        <v>760</v>
      </c>
      <c r="E52" s="715">
        <f ca="1">'5.Cons and detailed recon'!AO50</f>
        <v>10</v>
      </c>
      <c r="F52" s="715">
        <f ca="1">'5.Cons and detailed recon'!AJ50</f>
        <v>0</v>
      </c>
      <c r="G52" s="715">
        <f ca="1">'5.Cons and detailed recon'!AK50</f>
        <v>0</v>
      </c>
      <c r="H52" s="715">
        <f ca="1">'5.Cons and detailed recon'!AI50</f>
        <v>0</v>
      </c>
      <c r="I52" s="715">
        <f ca="1">'5.Cons and detailed recon'!AL50</f>
        <v>0</v>
      </c>
      <c r="J52" s="715">
        <f ca="1">'5.Cons and detailed recon'!AH50</f>
        <v>0</v>
      </c>
      <c r="K52" s="816">
        <f ca="1">'5.Cons and detailed recon'!X50</f>
        <v>10</v>
      </c>
      <c r="L52" s="812">
        <f t="shared" ca="1" si="6"/>
        <v>0</v>
      </c>
      <c r="M52" s="720"/>
      <c r="N52" s="720"/>
      <c r="P52" s="409" t="s">
        <v>758</v>
      </c>
      <c r="Q52" s="1376" t="s">
        <v>758</v>
      </c>
      <c r="R52" s="1460"/>
      <c r="S52" s="539" t="s">
        <v>760</v>
      </c>
      <c r="T52" s="715">
        <f ca="1">SUMIF('5.Cons and detailed recon'!$BK:$BK,'6.Summary'!$Q52,'5.Cons and detailed recon'!CI:CI)</f>
        <v>10</v>
      </c>
      <c r="U52" s="715">
        <f ca="1">SUMIF('5.Cons and detailed recon'!$BK:$BK,'6.Summary'!$Q52,'5.Cons and detailed recon'!CD:CD)</f>
        <v>0</v>
      </c>
      <c r="V52" s="715">
        <f ca="1">SUMIF('5.Cons and detailed recon'!$BK:$BK,'6.Summary'!$Q52,'5.Cons and detailed recon'!CE:CE)</f>
        <v>0</v>
      </c>
      <c r="W52" s="715">
        <f ca="1">SUMIF('5.Cons and detailed recon'!$BK:$BK,'6.Summary'!$Q52,'5.Cons and detailed recon'!CC:CC)</f>
        <v>0</v>
      </c>
      <c r="X52" s="715">
        <f ca="1">SUMIF('5.Cons and detailed recon'!$BK:$BK,'6.Summary'!$Q52,'5.Cons and detailed recon'!CF:CF)</f>
        <v>0</v>
      </c>
      <c r="Y52" s="715">
        <f ca="1">SUMIF('5.Cons and detailed recon'!$BK:$BK,'6.Summary'!$Q52,'5.Cons and detailed recon'!CB:CB)</f>
        <v>0</v>
      </c>
      <c r="Z52" s="715">
        <f ca="1">SUMIF('5.Cons and detailed recon'!$BK:$BK,'6.Summary'!$Q52,'5.Cons and detailed recon'!BR:BR)</f>
        <v>10</v>
      </c>
      <c r="AA52" s="445">
        <f t="shared" ca="1" si="7"/>
        <v>0</v>
      </c>
      <c r="AB52" s="720"/>
      <c r="AC52" s="720"/>
      <c r="AE52" s="419"/>
      <c r="AF52" s="417" t="s">
        <v>758</v>
      </c>
      <c r="AG52" s="1460"/>
      <c r="AH52" s="539" t="s">
        <v>760</v>
      </c>
      <c r="AI52" s="715">
        <f ca="1">SUMIF('5.Cons and detailed recon'!$DF:$DF,'6.Summary'!$AF52,'5.Cons and detailed recon'!EC:EC)</f>
        <v>10</v>
      </c>
      <c r="AJ52" s="715">
        <f ca="1">SUMIF('5.Cons and detailed recon'!$DF:$DF,'6.Summary'!$AF52,'5.Cons and detailed recon'!DX:DX)</f>
        <v>0</v>
      </c>
      <c r="AK52" s="715">
        <f ca="1">SUMIF('5.Cons and detailed recon'!$DF:$DF,'6.Summary'!$AF52,'5.Cons and detailed recon'!DY:DY)</f>
        <v>0</v>
      </c>
      <c r="AL52" s="715">
        <f ca="1">SUMIF('5.Cons and detailed recon'!$DF:$DF,'6.Summary'!$AF52,'5.Cons and detailed recon'!DW:DW)</f>
        <v>0</v>
      </c>
      <c r="AM52" s="715">
        <f ca="1">SUMIF('5.Cons and detailed recon'!$DF:$DF,'6.Summary'!$AF52,'5.Cons and detailed recon'!DZ:DZ)</f>
        <v>0</v>
      </c>
      <c r="AN52" s="715">
        <f ca="1">SUMIF('5.Cons and detailed recon'!$DF:$DF,'6.Summary'!$AF52,'5.Cons and detailed recon'!DV:DV)</f>
        <v>0</v>
      </c>
      <c r="AO52" s="715">
        <f ca="1">SUMIF('5.Cons and detailed recon'!$DF:$DF,'6.Summary'!$AF52,'5.Cons and detailed recon'!DL:DL)</f>
        <v>10</v>
      </c>
      <c r="AP52" s="445">
        <f t="shared" ca="1" si="8"/>
        <v>0</v>
      </c>
      <c r="AQ52" s="720"/>
      <c r="AR52" s="720"/>
    </row>
    <row r="53" spans="1:44" ht="9.3000000000000007" thickBot="1" x14ac:dyDescent="0.4">
      <c r="A53" s="419"/>
      <c r="B53" s="1017" t="s">
        <v>761</v>
      </c>
      <c r="C53" s="1472"/>
      <c r="D53" s="539" t="s">
        <v>763</v>
      </c>
      <c r="E53" s="715">
        <f ca="1">'5.Cons and detailed recon'!AO51</f>
        <v>3680100</v>
      </c>
      <c r="F53" s="715">
        <f ca="1">'5.Cons and detailed recon'!AJ51</f>
        <v>0</v>
      </c>
      <c r="G53" s="715">
        <f ca="1">'5.Cons and detailed recon'!AK51</f>
        <v>0</v>
      </c>
      <c r="H53" s="715">
        <f ca="1">'5.Cons and detailed recon'!AI51</f>
        <v>0</v>
      </c>
      <c r="I53" s="715">
        <f ca="1">'5.Cons and detailed recon'!AL51</f>
        <v>0</v>
      </c>
      <c r="J53" s="715">
        <f ca="1">'5.Cons and detailed recon'!AH51</f>
        <v>0</v>
      </c>
      <c r="K53" s="816">
        <f ca="1">'5.Cons and detailed recon'!X51</f>
        <v>3680100</v>
      </c>
      <c r="L53" s="812">
        <f t="shared" ca="1" si="6"/>
        <v>0</v>
      </c>
      <c r="M53" s="720"/>
      <c r="N53" s="720"/>
      <c r="P53" s="409" t="s">
        <v>761</v>
      </c>
      <c r="Q53" s="1376" t="s">
        <v>761</v>
      </c>
      <c r="R53" s="1460"/>
      <c r="S53" s="539" t="s">
        <v>763</v>
      </c>
      <c r="T53" s="715">
        <f ca="1">SUMIF('5.Cons and detailed recon'!$BK:$BK,'6.Summary'!$Q53,'5.Cons and detailed recon'!CI:CI)</f>
        <v>3805223</v>
      </c>
      <c r="U53" s="715">
        <f ca="1">SUMIF('5.Cons and detailed recon'!$BK:$BK,'6.Summary'!$Q53,'5.Cons and detailed recon'!CD:CD)</f>
        <v>0</v>
      </c>
      <c r="V53" s="715">
        <f ca="1">SUMIF('5.Cons and detailed recon'!$BK:$BK,'6.Summary'!$Q53,'5.Cons and detailed recon'!CE:CE)</f>
        <v>0</v>
      </c>
      <c r="W53" s="715">
        <f ca="1">SUMIF('5.Cons and detailed recon'!$BK:$BK,'6.Summary'!$Q53,'5.Cons and detailed recon'!CC:CC)</f>
        <v>0</v>
      </c>
      <c r="X53" s="715">
        <f ca="1">SUMIF('5.Cons and detailed recon'!$BK:$BK,'6.Summary'!$Q53,'5.Cons and detailed recon'!CF:CF)</f>
        <v>0</v>
      </c>
      <c r="Y53" s="715">
        <f ca="1">SUMIF('5.Cons and detailed recon'!$BK:$BK,'6.Summary'!$Q53,'5.Cons and detailed recon'!CB:CB)</f>
        <v>0</v>
      </c>
      <c r="Z53" s="715">
        <f ca="1">SUMIF('5.Cons and detailed recon'!$BK:$BK,'6.Summary'!$Q53,'5.Cons and detailed recon'!BR:BR)</f>
        <v>3805223</v>
      </c>
      <c r="AA53" s="445">
        <f t="shared" ca="1" si="7"/>
        <v>0</v>
      </c>
      <c r="AB53" s="720"/>
      <c r="AC53" s="720"/>
      <c r="AE53" s="419"/>
      <c r="AF53" s="417" t="s">
        <v>761</v>
      </c>
      <c r="AG53" s="1460"/>
      <c r="AH53" s="539" t="s">
        <v>763</v>
      </c>
      <c r="AI53" s="715">
        <f ca="1">SUMIF('5.Cons and detailed recon'!$DF:$DF,'6.Summary'!$AF53,'5.Cons and detailed recon'!EC:EC)</f>
        <v>3926990</v>
      </c>
      <c r="AJ53" s="715">
        <f ca="1">SUMIF('5.Cons and detailed recon'!$DF:$DF,'6.Summary'!$AF53,'5.Cons and detailed recon'!DX:DX)</f>
        <v>0</v>
      </c>
      <c r="AK53" s="715">
        <f ca="1">SUMIF('5.Cons and detailed recon'!$DF:$DF,'6.Summary'!$AF53,'5.Cons and detailed recon'!DY:DY)</f>
        <v>0</v>
      </c>
      <c r="AL53" s="715">
        <f ca="1">SUMIF('5.Cons and detailed recon'!$DF:$DF,'6.Summary'!$AF53,'5.Cons and detailed recon'!DW:DW)</f>
        <v>0</v>
      </c>
      <c r="AM53" s="715">
        <f ca="1">SUMIF('5.Cons and detailed recon'!$DF:$DF,'6.Summary'!$AF53,'5.Cons and detailed recon'!DZ:DZ)</f>
        <v>0</v>
      </c>
      <c r="AN53" s="715">
        <f ca="1">SUMIF('5.Cons and detailed recon'!$DF:$DF,'6.Summary'!$AF53,'5.Cons and detailed recon'!DV:DV)</f>
        <v>0</v>
      </c>
      <c r="AO53" s="715">
        <f ca="1">SUMIF('5.Cons and detailed recon'!$DF:$DF,'6.Summary'!$AF53,'5.Cons and detailed recon'!DL:DL)</f>
        <v>3926990</v>
      </c>
      <c r="AP53" s="445">
        <f t="shared" ca="1" si="8"/>
        <v>0</v>
      </c>
      <c r="AQ53" s="720"/>
      <c r="AR53" s="720"/>
    </row>
    <row r="54" spans="1:44" ht="9.6" thickTop="1" thickBot="1" x14ac:dyDescent="0.4">
      <c r="A54" s="419"/>
      <c r="C54" s="1473"/>
      <c r="D54" s="814" t="s">
        <v>20</v>
      </c>
      <c r="E54" s="810">
        <f t="shared" ref="E54:K54" ca="1" si="9">SUM(E41:E53)</f>
        <v>895497491</v>
      </c>
      <c r="F54" s="810">
        <f t="shared" ca="1" si="9"/>
        <v>97282699</v>
      </c>
      <c r="G54" s="810">
        <f t="shared" ca="1" si="9"/>
        <v>64870504</v>
      </c>
      <c r="H54" s="810">
        <f t="shared" ca="1" si="9"/>
        <v>198754842</v>
      </c>
      <c r="I54" s="810">
        <f t="shared" ca="1" si="9"/>
        <v>82489680</v>
      </c>
      <c r="J54" s="810">
        <f t="shared" ca="1" si="9"/>
        <v>202884730</v>
      </c>
      <c r="K54" s="815">
        <f t="shared" ca="1" si="9"/>
        <v>249215036</v>
      </c>
      <c r="L54" s="813">
        <f t="shared" ca="1" si="6"/>
        <v>0</v>
      </c>
      <c r="M54" s="720"/>
      <c r="N54" s="720"/>
      <c r="P54" s="419"/>
      <c r="Q54" s="1376"/>
      <c r="R54" s="1461"/>
      <c r="S54" s="432" t="s">
        <v>20</v>
      </c>
      <c r="T54" s="433">
        <f t="shared" ref="T54:Z54" ca="1" si="10">SUM(T41:T53)</f>
        <v>926567140</v>
      </c>
      <c r="U54" s="433">
        <f t="shared" ca="1" si="10"/>
        <v>100705851</v>
      </c>
      <c r="V54" s="433">
        <f t="shared" ca="1" si="10"/>
        <v>67225029</v>
      </c>
      <c r="W54" s="433">
        <f t="shared" ca="1" si="10"/>
        <v>205571762</v>
      </c>
      <c r="X54" s="433">
        <f t="shared" ca="1" si="10"/>
        <v>85435281</v>
      </c>
      <c r="Y54" s="433">
        <f t="shared" ca="1" si="10"/>
        <v>209859008</v>
      </c>
      <c r="Z54" s="433">
        <f t="shared" ca="1" si="10"/>
        <v>257770209</v>
      </c>
      <c r="AA54" s="446">
        <f t="shared" ca="1" si="7"/>
        <v>0</v>
      </c>
      <c r="AB54" s="720"/>
      <c r="AC54" s="720"/>
      <c r="AE54" s="419"/>
      <c r="AF54" s="417"/>
      <c r="AG54" s="1461"/>
      <c r="AH54" s="432" t="s">
        <v>20</v>
      </c>
      <c r="AI54" s="433">
        <f t="shared" ref="AI54:AO54" ca="1" si="11">SUM(AI41:AI53)</f>
        <v>956933838</v>
      </c>
      <c r="AJ54" s="433">
        <f t="shared" ca="1" si="11"/>
        <v>104064914</v>
      </c>
      <c r="AK54" s="433">
        <f t="shared" ca="1" si="11"/>
        <v>69552146</v>
      </c>
      <c r="AL54" s="433">
        <f t="shared" ca="1" si="11"/>
        <v>212220048</v>
      </c>
      <c r="AM54" s="433">
        <f t="shared" ca="1" si="11"/>
        <v>88335702</v>
      </c>
      <c r="AN54" s="433">
        <f t="shared" ca="1" si="11"/>
        <v>216664469</v>
      </c>
      <c r="AO54" s="433">
        <f t="shared" ca="1" si="11"/>
        <v>266096559</v>
      </c>
      <c r="AP54" s="446">
        <f t="shared" ca="1" si="8"/>
        <v>0</v>
      </c>
      <c r="AQ54" s="720"/>
      <c r="AR54" s="720"/>
    </row>
    <row r="55" spans="1:44" ht="9.6" thickTop="1" thickBot="1" x14ac:dyDescent="0.4">
      <c r="A55" s="419"/>
      <c r="C55" s="417"/>
      <c r="M55" s="720"/>
      <c r="N55" s="720"/>
      <c r="P55" s="419"/>
      <c r="Q55" s="1376"/>
      <c r="R55" s="417"/>
      <c r="AB55" s="720"/>
      <c r="AC55" s="720"/>
      <c r="AE55" s="419"/>
      <c r="AF55" s="417"/>
      <c r="AG55" s="417"/>
      <c r="AQ55" s="720"/>
      <c r="AR55" s="720"/>
    </row>
    <row r="56" spans="1:44" ht="9.3000000000000007" thickTop="1" x14ac:dyDescent="0.35">
      <c r="A56" s="419"/>
      <c r="C56" s="1462" t="s">
        <v>836</v>
      </c>
      <c r="D56" s="1463"/>
      <c r="E56" s="448">
        <f ca="1">E54-K54</f>
        <v>646282455</v>
      </c>
      <c r="F56" s="1389">
        <f>+'PART C- Municipal Details'!G32</f>
        <v>0.15</v>
      </c>
      <c r="G56" s="1389">
        <f>+'PART C- Municipal Details'!H32</f>
        <v>0.05</v>
      </c>
      <c r="H56" s="1389">
        <f>+'PART C- Municipal Details'!I32</f>
        <v>0.05</v>
      </c>
      <c r="I56" s="1389">
        <f>+'PART C- Municipal Details'!J32</f>
        <v>0.05</v>
      </c>
      <c r="J56" s="1389">
        <f>+'PART C- Municipal Details'!K32</f>
        <v>0.7</v>
      </c>
      <c r="K56" s="450">
        <f>SUM(F56:J56)</f>
        <v>1</v>
      </c>
      <c r="L56" s="451">
        <f>K56-SUM(F56:J56)</f>
        <v>0</v>
      </c>
      <c r="M56" s="720"/>
      <c r="N56" s="720"/>
      <c r="P56" s="419"/>
      <c r="Q56" s="1376"/>
      <c r="R56" s="1462" t="s">
        <v>836</v>
      </c>
      <c r="S56" s="1463"/>
      <c r="T56" s="448">
        <f ca="1">T54-Z54</f>
        <v>668796931</v>
      </c>
      <c r="U56" s="449">
        <f>+'PART C- Municipal Details'!AT32</f>
        <v>0.15</v>
      </c>
      <c r="V56" s="449">
        <f>+'PART C- Municipal Details'!AU32</f>
        <v>0.05</v>
      </c>
      <c r="W56" s="449">
        <f>+'PART C- Municipal Details'!AV32</f>
        <v>0.05</v>
      </c>
      <c r="X56" s="449">
        <f>+'PART C- Municipal Details'!AW32</f>
        <v>0.05</v>
      </c>
      <c r="Y56" s="449">
        <f>+'PART C- Municipal Details'!AX32</f>
        <v>0.7</v>
      </c>
      <c r="Z56" s="449">
        <f>+'PART C- Municipal Details'!AY32</f>
        <v>1</v>
      </c>
      <c r="AA56" s="451">
        <f>Z56-SUM(U56:Y56)</f>
        <v>0</v>
      </c>
      <c r="AB56" s="720"/>
      <c r="AC56" s="720"/>
      <c r="AE56" s="419"/>
      <c r="AF56" s="417"/>
      <c r="AG56" s="1462" t="s">
        <v>836</v>
      </c>
      <c r="AH56" s="1463"/>
      <c r="AI56" s="448">
        <f ca="1">AI54-AO54</f>
        <v>690837279</v>
      </c>
      <c r="AJ56" s="449">
        <f>+'PART C- Municipal Details'!CG32</f>
        <v>0.15</v>
      </c>
      <c r="AK56" s="449">
        <f>+'PART C- Municipal Details'!CH32</f>
        <v>0.05</v>
      </c>
      <c r="AL56" s="449">
        <f>+'PART C- Municipal Details'!CI32</f>
        <v>0.05</v>
      </c>
      <c r="AM56" s="449">
        <f>+'PART C- Municipal Details'!CJ32</f>
        <v>0.05</v>
      </c>
      <c r="AN56" s="449">
        <f>+'PART C- Municipal Details'!CK32</f>
        <v>0.7</v>
      </c>
      <c r="AO56" s="449">
        <f>+'PART C- Municipal Details'!CL32</f>
        <v>1</v>
      </c>
      <c r="AP56" s="451">
        <f>AO56-SUM(AJ56:AN56)</f>
        <v>0</v>
      </c>
      <c r="AQ56" s="720"/>
      <c r="AR56" s="720"/>
    </row>
    <row r="57" spans="1:44" ht="9.3000000000000007" thickBot="1" x14ac:dyDescent="0.4">
      <c r="A57" s="419"/>
      <c r="C57" s="1464"/>
      <c r="D57" s="1465"/>
      <c r="E57" s="452">
        <f ca="1">K54</f>
        <v>249215036</v>
      </c>
      <c r="F57" s="453">
        <f ca="1">F56*$E$57</f>
        <v>37382255.399999999</v>
      </c>
      <c r="G57" s="453">
        <f ca="1">G56*$E$57</f>
        <v>12460751.800000001</v>
      </c>
      <c r="H57" s="453">
        <f ca="1">H56*$E$57</f>
        <v>12460751.800000001</v>
      </c>
      <c r="I57" s="453">
        <f ca="1">I56*$E$57</f>
        <v>12460751.800000001</v>
      </c>
      <c r="J57" s="453">
        <f ca="1">J56*$E$57</f>
        <v>174450525.19999999</v>
      </c>
      <c r="K57" s="454">
        <f ca="1">SUM(F57:J57)</f>
        <v>249215036</v>
      </c>
      <c r="L57" s="455">
        <f ca="1">K57-SUM(F57:J57)</f>
        <v>0</v>
      </c>
      <c r="M57" s="720"/>
      <c r="N57" s="720"/>
      <c r="P57" s="419"/>
      <c r="Q57" s="1376"/>
      <c r="R57" s="1464"/>
      <c r="S57" s="1465"/>
      <c r="T57" s="452">
        <f ca="1">Z54</f>
        <v>257770209</v>
      </c>
      <c r="U57" s="453">
        <f ca="1">U56*$T$57</f>
        <v>38665531.350000001</v>
      </c>
      <c r="V57" s="453">
        <f ca="1">V56*$T$57</f>
        <v>12888510.450000001</v>
      </c>
      <c r="W57" s="453">
        <f ca="1">W56*$T$57</f>
        <v>12888510.450000001</v>
      </c>
      <c r="X57" s="453">
        <f ca="1">X56*$T$57</f>
        <v>12888510.450000001</v>
      </c>
      <c r="Y57" s="453">
        <f ca="1">Y56*$T$57</f>
        <v>180439146.29999998</v>
      </c>
      <c r="Z57" s="454">
        <f ca="1">SUM(U57:Y57)</f>
        <v>257770209</v>
      </c>
      <c r="AA57" s="455">
        <f ca="1">Z57-SUM(U57:Y57)</f>
        <v>0</v>
      </c>
      <c r="AB57" s="720"/>
      <c r="AC57" s="720"/>
      <c r="AE57" s="419"/>
      <c r="AF57" s="417"/>
      <c r="AG57" s="1464"/>
      <c r="AH57" s="1465"/>
      <c r="AI57" s="452">
        <f ca="1">AO54</f>
        <v>266096559</v>
      </c>
      <c r="AJ57" s="453">
        <f ca="1">AJ56*$AI$57</f>
        <v>39914483.850000001</v>
      </c>
      <c r="AK57" s="453">
        <f ca="1">AK56*$AI$57</f>
        <v>13304827.950000001</v>
      </c>
      <c r="AL57" s="453">
        <f ca="1">AL56*$AI$57</f>
        <v>13304827.950000001</v>
      </c>
      <c r="AM57" s="453">
        <f ca="1">AM56*$AI$57</f>
        <v>13304827.950000001</v>
      </c>
      <c r="AN57" s="453">
        <f ca="1">AN56*$AI$57</f>
        <v>186267591.29999998</v>
      </c>
      <c r="AO57" s="454">
        <f ca="1">SUM(AJ57:AN57)</f>
        <v>266096559</v>
      </c>
      <c r="AP57" s="455">
        <f ca="1">AO57-SUM(AJ57:AN57)</f>
        <v>0</v>
      </c>
      <c r="AQ57" s="720"/>
      <c r="AR57" s="720"/>
    </row>
    <row r="58" spans="1:44" ht="9.6" thickTop="1" thickBot="1" x14ac:dyDescent="0.4">
      <c r="A58" s="419"/>
      <c r="C58" s="417"/>
      <c r="K58" s="417"/>
      <c r="L58" s="417"/>
      <c r="M58" s="720"/>
      <c r="N58" s="720"/>
      <c r="P58" s="419"/>
      <c r="Q58" s="1376"/>
      <c r="R58" s="417"/>
      <c r="Z58" s="417"/>
      <c r="AA58" s="417"/>
      <c r="AB58" s="720"/>
      <c r="AC58" s="720"/>
      <c r="AE58" s="419"/>
      <c r="AF58" s="417"/>
      <c r="AG58" s="417"/>
      <c r="AO58" s="417"/>
      <c r="AP58" s="417"/>
      <c r="AQ58" s="720"/>
      <c r="AR58" s="720"/>
    </row>
    <row r="59" spans="1:44" ht="9.6" thickTop="1" thickBot="1" x14ac:dyDescent="0.4">
      <c r="A59" s="419"/>
      <c r="C59" s="1439" t="s">
        <v>837</v>
      </c>
      <c r="D59" s="1440"/>
      <c r="E59" s="1466"/>
      <c r="F59" s="1466"/>
      <c r="G59" s="1466"/>
      <c r="H59" s="1466"/>
      <c r="I59" s="1466"/>
      <c r="J59" s="1467"/>
      <c r="K59" s="417"/>
      <c r="L59" s="417"/>
      <c r="M59" s="720"/>
      <c r="N59" s="720"/>
      <c r="P59" s="419"/>
      <c r="Q59" s="1376"/>
      <c r="R59" s="1439" t="s">
        <v>837</v>
      </c>
      <c r="S59" s="1440"/>
      <c r="T59" s="1466"/>
      <c r="U59" s="1466"/>
      <c r="V59" s="1466"/>
      <c r="W59" s="1466"/>
      <c r="X59" s="1466"/>
      <c r="Y59" s="1467"/>
      <c r="Z59" s="417"/>
      <c r="AA59" s="417"/>
      <c r="AB59" s="720"/>
      <c r="AC59" s="720"/>
      <c r="AE59" s="419"/>
      <c r="AF59" s="417"/>
      <c r="AG59" s="1439" t="s">
        <v>837</v>
      </c>
      <c r="AH59" s="1440"/>
      <c r="AI59" s="1466"/>
      <c r="AJ59" s="1466"/>
      <c r="AK59" s="1466"/>
      <c r="AL59" s="1466"/>
      <c r="AM59" s="1466"/>
      <c r="AN59" s="1467"/>
      <c r="AO59" s="417"/>
      <c r="AP59" s="417"/>
      <c r="AQ59" s="720"/>
      <c r="AR59" s="720"/>
    </row>
    <row r="60" spans="1:44" ht="9.3000000000000007" thickTop="1" x14ac:dyDescent="0.35">
      <c r="A60" s="419"/>
      <c r="C60" s="1441"/>
      <c r="D60" s="1442"/>
      <c r="E60" s="594" t="str">
        <f>'PART C- Municipal Details'!G7</f>
        <v>Theewaterskloof</v>
      </c>
      <c r="F60" s="595" t="s">
        <v>16</v>
      </c>
      <c r="G60" s="595" t="s">
        <v>629</v>
      </c>
      <c r="H60" s="595" t="s">
        <v>17</v>
      </c>
      <c r="I60" s="595" t="s">
        <v>630</v>
      </c>
      <c r="J60" s="595" t="s">
        <v>631</v>
      </c>
      <c r="K60" s="417"/>
      <c r="L60" s="417"/>
      <c r="M60" s="720"/>
      <c r="N60" s="720"/>
      <c r="P60" s="419"/>
      <c r="Q60" s="1376"/>
      <c r="R60" s="1441"/>
      <c r="S60" s="1442"/>
      <c r="T60" s="594"/>
      <c r="U60" s="595" t="s">
        <v>16</v>
      </c>
      <c r="V60" s="595" t="s">
        <v>629</v>
      </c>
      <c r="W60" s="595" t="s">
        <v>17</v>
      </c>
      <c r="X60" s="595" t="s">
        <v>630</v>
      </c>
      <c r="Y60" s="595" t="s">
        <v>631</v>
      </c>
      <c r="Z60" s="417"/>
      <c r="AA60" s="417"/>
      <c r="AB60" s="720"/>
      <c r="AC60" s="720"/>
      <c r="AE60" s="419"/>
      <c r="AF60" s="417"/>
      <c r="AG60" s="1441"/>
      <c r="AH60" s="1442"/>
      <c r="AI60" s="594"/>
      <c r="AJ60" s="595" t="s">
        <v>16</v>
      </c>
      <c r="AK60" s="595" t="s">
        <v>629</v>
      </c>
      <c r="AL60" s="595" t="s">
        <v>17</v>
      </c>
      <c r="AM60" s="595" t="s">
        <v>630</v>
      </c>
      <c r="AN60" s="595" t="s">
        <v>631</v>
      </c>
      <c r="AO60" s="417"/>
      <c r="AP60" s="417"/>
      <c r="AQ60" s="720"/>
      <c r="AR60" s="720"/>
    </row>
    <row r="61" spans="1:44" ht="22.95" customHeight="1" x14ac:dyDescent="0.35">
      <c r="A61" s="419"/>
      <c r="C61" s="1441"/>
      <c r="D61" s="1442"/>
      <c r="E61" s="596" t="s">
        <v>838</v>
      </c>
      <c r="F61" s="597">
        <f ca="1">IFERROR('Revenue required'!F26,"0")</f>
        <v>108238120.75</v>
      </c>
      <c r="G61" s="597">
        <f ca="1">IFERROR('Revenue required'!G26,"0")</f>
        <v>50470341.25</v>
      </c>
      <c r="H61" s="597">
        <f ca="1">IFERROR('Revenue required'!H26,"0")</f>
        <v>176705441.25</v>
      </c>
      <c r="I61" s="597">
        <f ca="1">IFERROR('Revenue required'!I26,"0")</f>
        <v>73012719.25</v>
      </c>
      <c r="J61" s="597">
        <f>IFERROR('Revenue required'!J26,"0")</f>
        <v>0</v>
      </c>
      <c r="K61" s="456" t="s">
        <v>839</v>
      </c>
      <c r="L61" s="417"/>
      <c r="M61" s="720"/>
      <c r="N61" s="720"/>
      <c r="P61" s="419"/>
      <c r="Q61" s="1376"/>
      <c r="R61" s="1441"/>
      <c r="S61" s="1442"/>
      <c r="T61" s="596" t="s">
        <v>838</v>
      </c>
      <c r="U61" s="597">
        <f ca="1">'Revenue required'!R26</f>
        <v>111765805.5</v>
      </c>
      <c r="V61" s="597">
        <f ca="1">'Revenue required'!S26</f>
        <v>52076405.5</v>
      </c>
      <c r="W61" s="597">
        <f ca="1">'Revenue required'!T26</f>
        <v>181804712.5</v>
      </c>
      <c r="X61" s="597">
        <f ca="1">'Revenue required'!U26</f>
        <v>75323673.5</v>
      </c>
      <c r="Y61" s="954">
        <f ca="1">SUM(U61:X61)</f>
        <v>420970597</v>
      </c>
      <c r="Z61" s="456" t="s">
        <v>839</v>
      </c>
      <c r="AA61" s="417"/>
      <c r="AB61" s="720"/>
      <c r="AC61" s="720"/>
      <c r="AE61" s="419"/>
      <c r="AF61" s="417"/>
      <c r="AG61" s="1441"/>
      <c r="AH61" s="1442"/>
      <c r="AI61" s="596" t="s">
        <v>838</v>
      </c>
      <c r="AJ61" s="597">
        <f ca="1">'Revenue required'!AB26</f>
        <v>115931215</v>
      </c>
      <c r="AK61" s="597">
        <f ca="1">'Revenue required'!AC26</f>
        <v>54188525</v>
      </c>
      <c r="AL61" s="597">
        <f ca="1">'Revenue required'!AD26</f>
        <v>187941346</v>
      </c>
      <c r="AM61" s="597">
        <f ca="1">'Revenue required'!AE26</f>
        <v>78207871</v>
      </c>
      <c r="AN61" s="954">
        <f ca="1">SUM(AJ61:AM61)</f>
        <v>436268957</v>
      </c>
      <c r="AO61" s="456" t="s">
        <v>839</v>
      </c>
      <c r="AP61" s="417"/>
      <c r="AQ61" s="720"/>
      <c r="AR61" s="720"/>
    </row>
    <row r="62" spans="1:44" ht="22.95" customHeight="1" x14ac:dyDescent="0.35">
      <c r="A62" s="419"/>
      <c r="C62" s="1441"/>
      <c r="D62" s="1442"/>
      <c r="E62" s="598" t="s">
        <v>633</v>
      </c>
      <c r="F62" s="599">
        <f>'4.Inc &amp; Exp Summary'!L8</f>
        <v>125278920</v>
      </c>
      <c r="G62" s="599">
        <f>'4.Inc &amp; Exp Summary'!L9</f>
        <v>52237460</v>
      </c>
      <c r="H62" s="599">
        <f>'4.Inc &amp; Exp Summary'!L7</f>
        <v>179259480</v>
      </c>
      <c r="I62" s="599">
        <f>'4.Inc &amp; Exp Summary'!L10</f>
        <v>52158077</v>
      </c>
      <c r="J62" s="600">
        <f>SUM(F62:I62)</f>
        <v>408933937</v>
      </c>
      <c r="K62" s="456" t="s">
        <v>840</v>
      </c>
      <c r="L62" s="417"/>
      <c r="M62" s="720"/>
      <c r="N62" s="720"/>
      <c r="P62" s="419"/>
      <c r="Q62" s="1376"/>
      <c r="R62" s="1441"/>
      <c r="S62" s="1442"/>
      <c r="T62" s="598" t="s">
        <v>633</v>
      </c>
      <c r="U62" s="599">
        <f>'4.Inc &amp; Exp Summary'!M8</f>
        <v>129538403</v>
      </c>
      <c r="V62" s="599">
        <f>'4.Inc &amp; Exp Summary'!M9</f>
        <v>54013533</v>
      </c>
      <c r="W62" s="599">
        <f>'4.Inc &amp; Exp Summary'!M7</f>
        <v>185354301</v>
      </c>
      <c r="X62" s="599">
        <f>'4.Inc &amp; Exp Summary'!M10</f>
        <v>53931452</v>
      </c>
      <c r="Y62" s="954">
        <f>SUM(U62:X62)</f>
        <v>422837689</v>
      </c>
      <c r="Z62" s="456" t="s">
        <v>840</v>
      </c>
      <c r="AA62" s="417"/>
      <c r="AB62" s="720"/>
      <c r="AC62" s="720"/>
      <c r="AE62" s="419"/>
      <c r="AF62" s="417"/>
      <c r="AG62" s="1441"/>
      <c r="AH62" s="1442"/>
      <c r="AI62" s="598" t="s">
        <v>633</v>
      </c>
      <c r="AJ62" s="599">
        <f>'4.Inc &amp; Exp Summary'!N8</f>
        <v>133683631.896</v>
      </c>
      <c r="AK62" s="599">
        <f>'4.Inc &amp; Exp Summary'!N9</f>
        <v>55741966.055999994</v>
      </c>
      <c r="AL62" s="599">
        <f>'4.Inc &amp; Exp Summary'!N7</f>
        <v>191285638.632</v>
      </c>
      <c r="AM62" s="599">
        <f>'4.Inc &amp; Exp Summary'!N10</f>
        <v>55657258.464000002</v>
      </c>
      <c r="AN62" s="954">
        <f>SUM(AJ62:AM62)</f>
        <v>436368495.04799998</v>
      </c>
      <c r="AO62" s="456" t="s">
        <v>840</v>
      </c>
      <c r="AP62" s="417"/>
      <c r="AQ62" s="720"/>
      <c r="AR62" s="720"/>
    </row>
    <row r="63" spans="1:44" ht="20.55" customHeight="1" thickBot="1" x14ac:dyDescent="0.4">
      <c r="A63" s="419"/>
      <c r="C63" s="1441"/>
      <c r="D63" s="1442"/>
      <c r="E63" s="601" t="s">
        <v>635</v>
      </c>
      <c r="F63" s="602">
        <f ca="1">F62-F61</f>
        <v>17040799.25</v>
      </c>
      <c r="G63" s="602">
        <f ca="1">G62-G61</f>
        <v>1767118.75</v>
      </c>
      <c r="H63" s="602">
        <f ca="1">H62-H61</f>
        <v>2554038.75</v>
      </c>
      <c r="I63" s="602">
        <f ca="1">I62-I61</f>
        <v>-20854642.25</v>
      </c>
      <c r="J63" s="602">
        <f ca="1">SUM(F63:I63)</f>
        <v>507314.5</v>
      </c>
      <c r="K63" s="417"/>
      <c r="L63" s="447"/>
      <c r="M63" s="720"/>
      <c r="N63" s="720"/>
      <c r="P63" s="419"/>
      <c r="Q63" s="1376"/>
      <c r="R63" s="1441"/>
      <c r="S63" s="1442"/>
      <c r="T63" s="601" t="s">
        <v>635</v>
      </c>
      <c r="U63" s="602">
        <f ca="1">U62-U61</f>
        <v>17772597.5</v>
      </c>
      <c r="V63" s="602">
        <f ca="1">V62-V61</f>
        <v>1937127.5</v>
      </c>
      <c r="W63" s="602">
        <f ca="1">W62-W61</f>
        <v>3549588.5</v>
      </c>
      <c r="X63" s="602">
        <f ca="1">X62-X61</f>
        <v>-21392221.5</v>
      </c>
      <c r="Y63" s="602">
        <f ca="1">SUM(U63:X63)</f>
        <v>1867092</v>
      </c>
      <c r="Z63" s="417"/>
      <c r="AA63" s="447"/>
      <c r="AB63" s="720"/>
      <c r="AC63" s="720"/>
      <c r="AE63" s="419"/>
      <c r="AF63" s="417"/>
      <c r="AG63" s="1441"/>
      <c r="AH63" s="1442"/>
      <c r="AI63" s="601" t="s">
        <v>635</v>
      </c>
      <c r="AJ63" s="602">
        <f ca="1">AJ62-AJ61</f>
        <v>17752416.895999998</v>
      </c>
      <c r="AK63" s="602">
        <f ca="1">AK62-AK61</f>
        <v>1553441.0559999943</v>
      </c>
      <c r="AL63" s="602">
        <f ca="1">AL62-AL61</f>
        <v>3344292.6319999993</v>
      </c>
      <c r="AM63" s="602">
        <f ca="1">AM62-AM61</f>
        <v>-22550612.535999998</v>
      </c>
      <c r="AN63" s="602">
        <f ca="1">SUM(AJ63:AM63)</f>
        <v>99538.047999992967</v>
      </c>
      <c r="AO63" s="417"/>
      <c r="AP63" s="447"/>
      <c r="AQ63" s="720"/>
      <c r="AR63" s="720"/>
    </row>
    <row r="64" spans="1:44" ht="40.5" customHeight="1" thickTop="1" thickBot="1" x14ac:dyDescent="0.4">
      <c r="A64" s="419"/>
      <c r="C64" s="1443"/>
      <c r="D64" s="1444"/>
      <c r="E64" s="1468" t="s">
        <v>1692</v>
      </c>
      <c r="F64" s="1469"/>
      <c r="G64" s="1469"/>
      <c r="H64" s="1469"/>
      <c r="I64" s="1469"/>
      <c r="J64" s="1470"/>
      <c r="K64" s="417"/>
      <c r="L64" s="417"/>
      <c r="M64" s="720"/>
      <c r="N64" s="720"/>
      <c r="P64" s="419"/>
      <c r="Q64" s="1376"/>
      <c r="R64" s="1443"/>
      <c r="S64" s="1444"/>
      <c r="T64" s="1468" t="s">
        <v>1692</v>
      </c>
      <c r="U64" s="1469"/>
      <c r="V64" s="1469"/>
      <c r="W64" s="1469"/>
      <c r="X64" s="1469"/>
      <c r="Y64" s="1470"/>
      <c r="Z64" s="417"/>
      <c r="AA64" s="417"/>
      <c r="AB64" s="720"/>
      <c r="AC64" s="720"/>
      <c r="AE64" s="419"/>
      <c r="AF64" s="417"/>
      <c r="AG64" s="1443"/>
      <c r="AH64" s="1444"/>
      <c r="AI64" s="1468" t="s">
        <v>1692</v>
      </c>
      <c r="AJ64" s="1469"/>
      <c r="AK64" s="1469"/>
      <c r="AL64" s="1469"/>
      <c r="AM64" s="1469"/>
      <c r="AN64" s="1470"/>
      <c r="AO64" s="417"/>
      <c r="AP64" s="417"/>
      <c r="AQ64" s="720"/>
      <c r="AR64" s="720"/>
    </row>
    <row r="65" spans="1:44" ht="9.3000000000000007" thickTop="1" x14ac:dyDescent="0.35">
      <c r="A65" s="419"/>
      <c r="C65" s="417"/>
      <c r="D65" s="417"/>
      <c r="E65" s="417"/>
      <c r="F65" s="417"/>
      <c r="G65" s="417"/>
      <c r="H65" s="417"/>
      <c r="I65" s="417"/>
      <c r="J65" s="417"/>
      <c r="K65" s="417"/>
      <c r="L65" s="417"/>
      <c r="M65" s="720"/>
      <c r="N65" s="720"/>
      <c r="P65" s="419"/>
      <c r="Q65" s="1376"/>
      <c r="R65" s="417"/>
      <c r="S65" s="417"/>
      <c r="T65" s="417"/>
      <c r="U65" s="417"/>
      <c r="V65" s="417"/>
      <c r="W65" s="417"/>
      <c r="X65" s="417"/>
      <c r="Y65" s="417"/>
      <c r="Z65" s="417"/>
      <c r="AA65" s="417"/>
      <c r="AB65" s="720"/>
      <c r="AC65" s="720"/>
      <c r="AE65" s="419"/>
      <c r="AF65" s="417"/>
      <c r="AG65" s="417"/>
      <c r="AH65" s="417"/>
      <c r="AI65" s="417"/>
      <c r="AJ65" s="417"/>
      <c r="AK65" s="417"/>
      <c r="AL65" s="417"/>
      <c r="AM65" s="417"/>
      <c r="AN65" s="417"/>
      <c r="AO65" s="417"/>
      <c r="AP65" s="417"/>
      <c r="AQ65" s="720"/>
      <c r="AR65" s="720"/>
    </row>
    <row r="66" spans="1:44" hidden="1" x14ac:dyDescent="0.35">
      <c r="A66" s="419"/>
      <c r="C66" s="603"/>
      <c r="D66" s="604"/>
      <c r="E66" s="604"/>
      <c r="F66" s="604"/>
      <c r="G66" s="604"/>
      <c r="H66" s="604"/>
      <c r="I66" s="604"/>
      <c r="J66" s="604"/>
      <c r="K66" s="604"/>
      <c r="L66" s="604"/>
      <c r="M66" s="722"/>
      <c r="N66" s="720"/>
      <c r="P66" s="419"/>
      <c r="Q66" s="1375"/>
      <c r="R66" s="603"/>
      <c r="S66" s="604"/>
      <c r="T66" s="604"/>
      <c r="U66" s="604"/>
      <c r="V66" s="604"/>
      <c r="W66" s="604"/>
      <c r="X66" s="604"/>
      <c r="Y66" s="604"/>
      <c r="Z66" s="604"/>
      <c r="AA66" s="604"/>
      <c r="AB66" s="722"/>
      <c r="AC66" s="720"/>
      <c r="AE66" s="419"/>
      <c r="AF66" s="419"/>
      <c r="AG66" s="603"/>
      <c r="AH66" s="604"/>
      <c r="AI66" s="604"/>
      <c r="AJ66" s="604"/>
      <c r="AK66" s="604"/>
      <c r="AL66" s="604"/>
      <c r="AM66" s="604"/>
      <c r="AN66" s="604"/>
      <c r="AO66" s="604"/>
      <c r="AP66" s="604"/>
      <c r="AQ66" s="722"/>
      <c r="AR66" s="720"/>
    </row>
    <row r="67" spans="1:44" hidden="1" x14ac:dyDescent="0.35">
      <c r="A67" s="419"/>
      <c r="C67" s="605"/>
      <c r="D67" s="457" t="s">
        <v>480</v>
      </c>
      <c r="E67" s="417"/>
      <c r="F67" s="417"/>
      <c r="G67" s="417"/>
      <c r="H67" s="417"/>
      <c r="I67" s="417"/>
      <c r="J67" s="417"/>
      <c r="K67" s="417"/>
      <c r="L67" s="417"/>
      <c r="M67" s="723"/>
      <c r="N67" s="720"/>
      <c r="P67" s="419"/>
      <c r="Q67" s="1375"/>
      <c r="R67" s="605"/>
      <c r="S67" s="457" t="s">
        <v>480</v>
      </c>
      <c r="T67" s="417"/>
      <c r="U67" s="417"/>
      <c r="V67" s="417"/>
      <c r="W67" s="417"/>
      <c r="X67" s="417"/>
      <c r="Y67" s="417"/>
      <c r="Z67" s="417"/>
      <c r="AA67" s="417"/>
      <c r="AB67" s="723"/>
      <c r="AC67" s="720"/>
      <c r="AE67" s="419"/>
      <c r="AF67" s="419"/>
      <c r="AG67" s="605"/>
      <c r="AH67" s="457" t="s">
        <v>480</v>
      </c>
      <c r="AI67" s="417"/>
      <c r="AJ67" s="417"/>
      <c r="AK67" s="417"/>
      <c r="AL67" s="417"/>
      <c r="AM67" s="417"/>
      <c r="AN67" s="417"/>
      <c r="AO67" s="417"/>
      <c r="AP67" s="417"/>
      <c r="AQ67" s="723"/>
      <c r="AR67" s="720"/>
    </row>
    <row r="68" spans="1:44" hidden="1" x14ac:dyDescent="0.35">
      <c r="A68" s="419"/>
      <c r="C68" s="605"/>
      <c r="D68" s="417"/>
      <c r="E68" s="417"/>
      <c r="F68" s="417"/>
      <c r="G68" s="417"/>
      <c r="H68" s="417"/>
      <c r="I68" s="417"/>
      <c r="J68" s="417"/>
      <c r="K68" s="417"/>
      <c r="L68" s="417"/>
      <c r="M68" s="723"/>
      <c r="N68" s="720"/>
      <c r="P68" s="419"/>
      <c r="Q68" s="1375"/>
      <c r="R68" s="605"/>
      <c r="S68" s="417"/>
      <c r="T68" s="417"/>
      <c r="U68" s="417"/>
      <c r="V68" s="417"/>
      <c r="W68" s="417"/>
      <c r="X68" s="417"/>
      <c r="Y68" s="417"/>
      <c r="Z68" s="417"/>
      <c r="AA68" s="417"/>
      <c r="AB68" s="723"/>
      <c r="AC68" s="720"/>
      <c r="AE68" s="419"/>
      <c r="AF68" s="419"/>
      <c r="AG68" s="605"/>
      <c r="AH68" s="417"/>
      <c r="AI68" s="417"/>
      <c r="AJ68" s="417"/>
      <c r="AK68" s="417"/>
      <c r="AL68" s="417"/>
      <c r="AM68" s="417"/>
      <c r="AN68" s="417"/>
      <c r="AO68" s="417"/>
      <c r="AP68" s="417"/>
      <c r="AQ68" s="723"/>
      <c r="AR68" s="720"/>
    </row>
    <row r="69" spans="1:44" ht="27" hidden="1" x14ac:dyDescent="0.35">
      <c r="A69" s="419"/>
      <c r="C69" s="605"/>
      <c r="D69" s="417"/>
      <c r="E69" s="606" t="s">
        <v>230</v>
      </c>
      <c r="F69" s="606" t="s">
        <v>291</v>
      </c>
      <c r="G69" s="606" t="s">
        <v>243</v>
      </c>
      <c r="H69" s="606" t="s">
        <v>244</v>
      </c>
      <c r="I69" s="606" t="s">
        <v>286</v>
      </c>
      <c r="J69" s="606" t="s">
        <v>290</v>
      </c>
      <c r="K69" s="606" t="s">
        <v>245</v>
      </c>
      <c r="L69" s="607" t="s">
        <v>108</v>
      </c>
      <c r="M69" s="723"/>
      <c r="N69" s="720"/>
      <c r="P69" s="419"/>
      <c r="Q69" s="1375"/>
      <c r="R69" s="605"/>
      <c r="S69" s="417"/>
      <c r="T69" s="606" t="s">
        <v>230</v>
      </c>
      <c r="U69" s="606" t="s">
        <v>291</v>
      </c>
      <c r="V69" s="606" t="s">
        <v>243</v>
      </c>
      <c r="W69" s="606" t="s">
        <v>244</v>
      </c>
      <c r="X69" s="606" t="s">
        <v>286</v>
      </c>
      <c r="Y69" s="606" t="s">
        <v>290</v>
      </c>
      <c r="Z69" s="606" t="s">
        <v>245</v>
      </c>
      <c r="AA69" s="607" t="s">
        <v>108</v>
      </c>
      <c r="AB69" s="723"/>
      <c r="AC69" s="720"/>
      <c r="AE69" s="419"/>
      <c r="AF69" s="419"/>
      <c r="AG69" s="605"/>
      <c r="AH69" s="417"/>
      <c r="AI69" s="606" t="s">
        <v>230</v>
      </c>
      <c r="AJ69" s="606" t="s">
        <v>291</v>
      </c>
      <c r="AK69" s="606" t="s">
        <v>243</v>
      </c>
      <c r="AL69" s="606" t="s">
        <v>244</v>
      </c>
      <c r="AM69" s="606" t="s">
        <v>286</v>
      </c>
      <c r="AN69" s="606" t="s">
        <v>290</v>
      </c>
      <c r="AO69" s="606" t="s">
        <v>245</v>
      </c>
      <c r="AP69" s="607" t="s">
        <v>108</v>
      </c>
      <c r="AQ69" s="723"/>
      <c r="AR69" s="720"/>
    </row>
    <row r="70" spans="1:44" hidden="1" x14ac:dyDescent="0.35">
      <c r="A70" s="419"/>
      <c r="C70" s="605"/>
      <c r="D70" s="417" t="s">
        <v>161</v>
      </c>
      <c r="E70" s="608">
        <f ca="1">SUM(F70:K70)</f>
        <v>180298435</v>
      </c>
      <c r="F70" s="608">
        <f t="shared" ref="F70:K70" ca="1" si="12">F6</f>
        <v>16721640</v>
      </c>
      <c r="G70" s="608">
        <f t="shared" ca="1" si="12"/>
        <v>15471225</v>
      </c>
      <c r="H70" s="608">
        <f t="shared" ca="1" si="12"/>
        <v>14719848</v>
      </c>
      <c r="I70" s="608">
        <f t="shared" ca="1" si="12"/>
        <v>18598866</v>
      </c>
      <c r="J70" s="608">
        <f t="shared" ca="1" si="12"/>
        <v>13833000</v>
      </c>
      <c r="K70" s="608">
        <f t="shared" ca="1" si="12"/>
        <v>100953856</v>
      </c>
      <c r="L70" s="609">
        <f ca="1">E70-SUM(F70:K70)</f>
        <v>0</v>
      </c>
      <c r="M70" s="723"/>
      <c r="N70" s="720"/>
      <c r="P70" s="419"/>
      <c r="Q70" s="1375"/>
      <c r="R70" s="605"/>
      <c r="S70" s="417" t="s">
        <v>161</v>
      </c>
      <c r="T70" s="608">
        <f ca="1">SUM(U70:Z70)</f>
        <v>185740926</v>
      </c>
      <c r="U70" s="608">
        <f t="shared" ref="U70:Z70" ca="1" si="13">U6</f>
        <v>17576611</v>
      </c>
      <c r="V70" s="608">
        <f t="shared" ca="1" si="13"/>
        <v>16262263</v>
      </c>
      <c r="W70" s="608">
        <f t="shared" ca="1" si="13"/>
        <v>16194453</v>
      </c>
      <c r="X70" s="608">
        <f t="shared" ca="1" si="13"/>
        <v>19549819</v>
      </c>
      <c r="Y70" s="608">
        <f t="shared" ca="1" si="13"/>
        <v>12058000</v>
      </c>
      <c r="Z70" s="608">
        <f t="shared" ca="1" si="13"/>
        <v>104099780</v>
      </c>
      <c r="AA70" s="609">
        <f ca="1">T70-SUM(U70:Z70)</f>
        <v>0</v>
      </c>
      <c r="AB70" s="723"/>
      <c r="AC70" s="720"/>
      <c r="AE70" s="419"/>
      <c r="AF70" s="419"/>
      <c r="AG70" s="605"/>
      <c r="AH70" s="417" t="s">
        <v>161</v>
      </c>
      <c r="AI70" s="608">
        <f ca="1">SUM(AJ70:AO70)</f>
        <v>189548394</v>
      </c>
      <c r="AJ70" s="608">
        <f t="shared" ref="AJ70:AO70" ca="1" si="14">AJ6</f>
        <v>17938098</v>
      </c>
      <c r="AK70" s="608">
        <f t="shared" ca="1" si="14"/>
        <v>16596718</v>
      </c>
      <c r="AL70" s="608">
        <f t="shared" ca="1" si="14"/>
        <v>16547604</v>
      </c>
      <c r="AM70" s="608">
        <f t="shared" ca="1" si="14"/>
        <v>19951887</v>
      </c>
      <c r="AN70" s="608">
        <f t="shared" ca="1" si="14"/>
        <v>12177000</v>
      </c>
      <c r="AO70" s="608">
        <f t="shared" ca="1" si="14"/>
        <v>106337087</v>
      </c>
      <c r="AP70" s="609">
        <f ca="1">AI70-SUM(AJ70:AO70)</f>
        <v>0</v>
      </c>
      <c r="AQ70" s="723"/>
      <c r="AR70" s="720"/>
    </row>
    <row r="71" spans="1:44" hidden="1" x14ac:dyDescent="0.35">
      <c r="A71" s="419"/>
      <c r="C71" s="605"/>
      <c r="D71" s="417" t="s">
        <v>0</v>
      </c>
      <c r="E71" s="608">
        <f ca="1">SUM(F71:K71)</f>
        <v>179290650</v>
      </c>
      <c r="F71" s="608">
        <f t="shared" ref="F71:K71" ca="1" si="15">F11</f>
        <v>0</v>
      </c>
      <c r="G71" s="608">
        <f t="shared" ca="1" si="15"/>
        <v>0</v>
      </c>
      <c r="H71" s="608">
        <f t="shared" ca="1" si="15"/>
        <v>0</v>
      </c>
      <c r="I71" s="608">
        <f t="shared" ca="1" si="15"/>
        <v>0</v>
      </c>
      <c r="J71" s="608">
        <f t="shared" ca="1" si="15"/>
        <v>179290650</v>
      </c>
      <c r="K71" s="608">
        <f t="shared" si="15"/>
        <v>0</v>
      </c>
      <c r="L71" s="609">
        <f ca="1">E71-SUM(F71:K71)</f>
        <v>0</v>
      </c>
      <c r="M71" s="723"/>
      <c r="N71" s="720"/>
      <c r="P71" s="419"/>
      <c r="Q71" s="1375"/>
      <c r="R71" s="605"/>
      <c r="S71" s="417" t="s">
        <v>0</v>
      </c>
      <c r="T71" s="608">
        <f ca="1">SUM(U71:Z71)</f>
        <v>185386533</v>
      </c>
      <c r="U71" s="608">
        <f t="shared" ref="U71:Z71" ca="1" si="16">U11</f>
        <v>0</v>
      </c>
      <c r="V71" s="608">
        <f t="shared" ca="1" si="16"/>
        <v>0</v>
      </c>
      <c r="W71" s="608">
        <f t="shared" ca="1" si="16"/>
        <v>0</v>
      </c>
      <c r="X71" s="608">
        <f t="shared" ca="1" si="16"/>
        <v>0</v>
      </c>
      <c r="Y71" s="608">
        <f t="shared" ca="1" si="16"/>
        <v>185386533</v>
      </c>
      <c r="Z71" s="608">
        <f t="shared" si="16"/>
        <v>0</v>
      </c>
      <c r="AA71" s="609">
        <f ca="1">T71-SUM(U71:Z71)</f>
        <v>0</v>
      </c>
      <c r="AB71" s="723"/>
      <c r="AC71" s="720"/>
      <c r="AE71" s="419"/>
      <c r="AF71" s="419"/>
      <c r="AG71" s="605"/>
      <c r="AH71" s="417" t="s">
        <v>0</v>
      </c>
      <c r="AI71" s="608">
        <f ca="1">SUM(AJ71:AO71)</f>
        <v>191318902</v>
      </c>
      <c r="AJ71" s="608">
        <f t="shared" ref="AJ71:AO71" ca="1" si="17">AJ11</f>
        <v>0</v>
      </c>
      <c r="AK71" s="608">
        <f t="shared" ca="1" si="17"/>
        <v>0</v>
      </c>
      <c r="AL71" s="608">
        <f t="shared" ca="1" si="17"/>
        <v>0</v>
      </c>
      <c r="AM71" s="608">
        <f t="shared" ca="1" si="17"/>
        <v>0</v>
      </c>
      <c r="AN71" s="608">
        <f t="shared" ca="1" si="17"/>
        <v>191318902</v>
      </c>
      <c r="AO71" s="608">
        <f t="shared" si="17"/>
        <v>0</v>
      </c>
      <c r="AP71" s="609">
        <f ca="1">AI71-SUM(AJ71:AO71)</f>
        <v>0</v>
      </c>
      <c r="AQ71" s="723"/>
      <c r="AR71" s="720"/>
    </row>
    <row r="72" spans="1:44" hidden="1" x14ac:dyDescent="0.35">
      <c r="A72" s="419"/>
      <c r="C72" s="605"/>
      <c r="D72" s="417" t="s">
        <v>26</v>
      </c>
      <c r="E72" s="608">
        <f ca="1">SUM(F72:K72)</f>
        <v>130755138</v>
      </c>
      <c r="F72" s="608">
        <f t="shared" ref="F72:K72" ca="1" si="18">F37</f>
        <v>2451600</v>
      </c>
      <c r="G72" s="608">
        <f t="shared" ca="1" si="18"/>
        <v>8971825</v>
      </c>
      <c r="H72" s="608">
        <f t="shared" ca="1" si="18"/>
        <v>17372440</v>
      </c>
      <c r="I72" s="608">
        <f t="shared" ca="1" si="18"/>
        <v>920982</v>
      </c>
      <c r="J72" s="608">
        <f t="shared" ca="1" si="18"/>
        <v>52681000</v>
      </c>
      <c r="K72" s="608">
        <f t="shared" ca="1" si="18"/>
        <v>48357291</v>
      </c>
      <c r="L72" s="609">
        <f ca="1">E72-SUM(F72:K72)</f>
        <v>0</v>
      </c>
      <c r="M72" s="723"/>
      <c r="N72" s="720"/>
      <c r="P72" s="419"/>
      <c r="Q72" s="1375"/>
      <c r="R72" s="605"/>
      <c r="S72" s="417" t="s">
        <v>26</v>
      </c>
      <c r="T72" s="608">
        <f ca="1">SUM(U72:Z72)</f>
        <v>135159452</v>
      </c>
      <c r="U72" s="608">
        <f t="shared" ref="U72:Z72" ca="1" si="19">U37</f>
        <v>2534954</v>
      </c>
      <c r="V72" s="608">
        <f t="shared" ca="1" si="19"/>
        <v>9276867</v>
      </c>
      <c r="W72" s="608">
        <f t="shared" ca="1" si="19"/>
        <v>17963103</v>
      </c>
      <c r="X72" s="608">
        <f t="shared" ca="1" si="19"/>
        <v>952295</v>
      </c>
      <c r="Y72" s="608">
        <f t="shared" ca="1" si="19"/>
        <v>54472154</v>
      </c>
      <c r="Z72" s="608">
        <f t="shared" ca="1" si="19"/>
        <v>49960079</v>
      </c>
      <c r="AA72" s="609">
        <f ca="1">T72-SUM(U72:Z72)</f>
        <v>0</v>
      </c>
      <c r="AB72" s="723"/>
      <c r="AC72" s="720"/>
      <c r="AE72" s="419"/>
      <c r="AF72" s="419"/>
      <c r="AG72" s="605"/>
      <c r="AH72" s="417" t="s">
        <v>26</v>
      </c>
      <c r="AI72" s="608">
        <f ca="1">SUM(AJ72:AO72)</f>
        <v>147262333</v>
      </c>
      <c r="AJ72" s="608">
        <f t="shared" ref="AJ72:AO72" ca="1" si="20">AJ37</f>
        <v>2616073</v>
      </c>
      <c r="AK72" s="608">
        <f t="shared" ca="1" si="20"/>
        <v>9573727</v>
      </c>
      <c r="AL72" s="608">
        <f t="shared" ca="1" si="20"/>
        <v>18537922</v>
      </c>
      <c r="AM72" s="608">
        <f t="shared" ca="1" si="20"/>
        <v>982768</v>
      </c>
      <c r="AN72" s="608">
        <f t="shared" ca="1" si="20"/>
        <v>63993041</v>
      </c>
      <c r="AO72" s="608">
        <f t="shared" ca="1" si="20"/>
        <v>51558802</v>
      </c>
      <c r="AP72" s="609">
        <f ca="1">AI72-SUM(AJ72:AO72)</f>
        <v>0</v>
      </c>
      <c r="AQ72" s="723"/>
      <c r="AR72" s="720"/>
    </row>
    <row r="73" spans="1:44" hidden="1" x14ac:dyDescent="0.35">
      <c r="A73" s="419"/>
      <c r="C73" s="605"/>
      <c r="D73" s="417" t="s">
        <v>479</v>
      </c>
      <c r="E73" s="608">
        <f>SUM(F73:K73)</f>
        <v>0</v>
      </c>
      <c r="F73" s="608">
        <f t="shared" ref="F73:K73" si="21">E227</f>
        <v>0</v>
      </c>
      <c r="G73" s="608">
        <f t="shared" si="21"/>
        <v>0</v>
      </c>
      <c r="H73" s="608">
        <f t="shared" si="21"/>
        <v>0</v>
      </c>
      <c r="I73" s="608">
        <f t="shared" si="21"/>
        <v>0</v>
      </c>
      <c r="J73" s="608">
        <f t="shared" si="21"/>
        <v>0</v>
      </c>
      <c r="K73" s="608">
        <f t="shared" si="21"/>
        <v>0</v>
      </c>
      <c r="L73" s="609">
        <f>E73-SUM(F73:K73)</f>
        <v>0</v>
      </c>
      <c r="M73" s="723"/>
      <c r="N73" s="720"/>
      <c r="P73" s="419"/>
      <c r="Q73" s="1375"/>
      <c r="R73" s="605"/>
      <c r="S73" s="417" t="s">
        <v>479</v>
      </c>
      <c r="T73" s="608">
        <f>SUM(U73:Z73)</f>
        <v>0</v>
      </c>
      <c r="U73" s="608">
        <f t="shared" ref="U73:Z73" si="22">T227</f>
        <v>0</v>
      </c>
      <c r="V73" s="608">
        <f t="shared" si="22"/>
        <v>0</v>
      </c>
      <c r="W73" s="608">
        <f t="shared" si="22"/>
        <v>0</v>
      </c>
      <c r="X73" s="608">
        <f t="shared" si="22"/>
        <v>0</v>
      </c>
      <c r="Y73" s="608">
        <f t="shared" si="22"/>
        <v>0</v>
      </c>
      <c r="Z73" s="608">
        <f t="shared" si="22"/>
        <v>0</v>
      </c>
      <c r="AA73" s="609">
        <f>T73-SUM(U73:Z73)</f>
        <v>0</v>
      </c>
      <c r="AB73" s="723"/>
      <c r="AC73" s="720"/>
      <c r="AE73" s="419"/>
      <c r="AF73" s="419"/>
      <c r="AG73" s="605"/>
      <c r="AH73" s="417" t="s">
        <v>479</v>
      </c>
      <c r="AI73" s="608">
        <f>SUM(AJ73:AO73)</f>
        <v>0</v>
      </c>
      <c r="AJ73" s="608">
        <f t="shared" ref="AJ73:AO73" si="23">AI227</f>
        <v>0</v>
      </c>
      <c r="AK73" s="608">
        <f t="shared" si="23"/>
        <v>0</v>
      </c>
      <c r="AL73" s="608">
        <f t="shared" si="23"/>
        <v>0</v>
      </c>
      <c r="AM73" s="608">
        <f t="shared" si="23"/>
        <v>0</v>
      </c>
      <c r="AN73" s="608">
        <f t="shared" si="23"/>
        <v>0</v>
      </c>
      <c r="AO73" s="608">
        <f t="shared" si="23"/>
        <v>0</v>
      </c>
      <c r="AP73" s="609">
        <f>AI73-SUM(AJ73:AO73)</f>
        <v>0</v>
      </c>
      <c r="AQ73" s="723"/>
      <c r="AR73" s="720"/>
    </row>
    <row r="74" spans="1:44" hidden="1" x14ac:dyDescent="0.35">
      <c r="A74" s="419"/>
      <c r="C74" s="605"/>
      <c r="D74" s="457" t="s">
        <v>15</v>
      </c>
      <c r="E74" s="610">
        <f ca="1">SUM(E70:E73)</f>
        <v>490344223</v>
      </c>
      <c r="F74" s="610">
        <f t="shared" ref="F74:K74" ca="1" si="24">SUM(F70:F73)</f>
        <v>19173240</v>
      </c>
      <c r="G74" s="610">
        <f t="shared" ca="1" si="24"/>
        <v>24443050</v>
      </c>
      <c r="H74" s="610">
        <f t="shared" ca="1" si="24"/>
        <v>32092288</v>
      </c>
      <c r="I74" s="610">
        <f t="shared" ca="1" si="24"/>
        <v>19519848</v>
      </c>
      <c r="J74" s="610">
        <f t="shared" ca="1" si="24"/>
        <v>245804650</v>
      </c>
      <c r="K74" s="610">
        <f t="shared" ca="1" si="24"/>
        <v>149311147</v>
      </c>
      <c r="L74" s="609">
        <f ca="1">E74-SUM(F74:K74)</f>
        <v>0</v>
      </c>
      <c r="M74" s="723"/>
      <c r="N74" s="720"/>
      <c r="P74" s="419"/>
      <c r="Q74" s="1375"/>
      <c r="R74" s="605"/>
      <c r="S74" s="457" t="s">
        <v>15</v>
      </c>
      <c r="T74" s="610">
        <f ca="1">SUM(T70:T73)</f>
        <v>506286911</v>
      </c>
      <c r="U74" s="610">
        <f t="shared" ref="U74:Z74" ca="1" si="25">SUM(U70:U73)</f>
        <v>20111565</v>
      </c>
      <c r="V74" s="610">
        <f t="shared" ca="1" si="25"/>
        <v>25539130</v>
      </c>
      <c r="W74" s="610">
        <f t="shared" ca="1" si="25"/>
        <v>34157556</v>
      </c>
      <c r="X74" s="610">
        <f t="shared" ca="1" si="25"/>
        <v>20502114</v>
      </c>
      <c r="Y74" s="610">
        <f t="shared" ca="1" si="25"/>
        <v>251916687</v>
      </c>
      <c r="Z74" s="610">
        <f t="shared" ca="1" si="25"/>
        <v>154059859</v>
      </c>
      <c r="AA74" s="609">
        <f ca="1">T74-SUM(U74:Z74)</f>
        <v>0</v>
      </c>
      <c r="AB74" s="723"/>
      <c r="AC74" s="720"/>
      <c r="AE74" s="419"/>
      <c r="AF74" s="419"/>
      <c r="AG74" s="605"/>
      <c r="AH74" s="457" t="s">
        <v>15</v>
      </c>
      <c r="AI74" s="610">
        <f ca="1">SUM(AI70:AI73)</f>
        <v>528129629</v>
      </c>
      <c r="AJ74" s="610">
        <f t="shared" ref="AJ74:AO74" ca="1" si="26">SUM(AJ70:AJ73)</f>
        <v>20554171</v>
      </c>
      <c r="AK74" s="610">
        <f t="shared" ca="1" si="26"/>
        <v>26170445</v>
      </c>
      <c r="AL74" s="610">
        <f t="shared" ca="1" si="26"/>
        <v>35085526</v>
      </c>
      <c r="AM74" s="610">
        <f t="shared" ca="1" si="26"/>
        <v>20934655</v>
      </c>
      <c r="AN74" s="610">
        <f t="shared" ca="1" si="26"/>
        <v>267488943</v>
      </c>
      <c r="AO74" s="610">
        <f t="shared" ca="1" si="26"/>
        <v>157895889</v>
      </c>
      <c r="AP74" s="609">
        <f ca="1">AI74-SUM(AJ74:AO74)</f>
        <v>0</v>
      </c>
      <c r="AQ74" s="723"/>
      <c r="AR74" s="720"/>
    </row>
    <row r="75" spans="1:44" hidden="1" x14ac:dyDescent="0.35">
      <c r="A75" s="419"/>
      <c r="C75" s="611"/>
      <c r="D75" s="612"/>
      <c r="E75" s="613">
        <f ca="1">E74</f>
        <v>490344223</v>
      </c>
      <c r="F75" s="613">
        <f ca="1">E75-K74</f>
        <v>341033076</v>
      </c>
      <c r="G75" s="612"/>
      <c r="H75" s="612"/>
      <c r="I75" s="612"/>
      <c r="J75" s="612"/>
      <c r="K75" s="612"/>
      <c r="L75" s="612"/>
      <c r="M75" s="724"/>
      <c r="N75" s="720"/>
      <c r="P75" s="419"/>
      <c r="Q75" s="1375"/>
      <c r="R75" s="611"/>
      <c r="S75" s="612"/>
      <c r="T75" s="613">
        <f ca="1">T74</f>
        <v>506286911</v>
      </c>
      <c r="U75" s="613">
        <f ca="1">T75-Z74</f>
        <v>352227052</v>
      </c>
      <c r="V75" s="612"/>
      <c r="W75" s="612"/>
      <c r="X75" s="612"/>
      <c r="Y75" s="612"/>
      <c r="Z75" s="612"/>
      <c r="AA75" s="612"/>
      <c r="AB75" s="724"/>
      <c r="AC75" s="720"/>
      <c r="AE75" s="419"/>
      <c r="AF75" s="419"/>
      <c r="AG75" s="611"/>
      <c r="AH75" s="612"/>
      <c r="AI75" s="613">
        <f ca="1">AI74</f>
        <v>528129629</v>
      </c>
      <c r="AJ75" s="613">
        <f ca="1">AI75-AO74</f>
        <v>370233740</v>
      </c>
      <c r="AK75" s="612"/>
      <c r="AL75" s="612"/>
      <c r="AM75" s="612"/>
      <c r="AN75" s="612"/>
      <c r="AO75" s="612"/>
      <c r="AP75" s="612"/>
      <c r="AQ75" s="724"/>
      <c r="AR75" s="720"/>
    </row>
    <row r="76" spans="1:44" hidden="1" x14ac:dyDescent="0.35">
      <c r="A76" s="419"/>
      <c r="C76" s="419"/>
      <c r="D76" s="419"/>
      <c r="E76" s="419"/>
      <c r="F76" s="419"/>
      <c r="G76" s="419"/>
      <c r="H76" s="419"/>
      <c r="I76" s="419"/>
      <c r="J76" s="419"/>
      <c r="K76" s="419"/>
      <c r="L76" s="419"/>
      <c r="M76" s="719"/>
      <c r="N76" s="719"/>
      <c r="P76" s="419"/>
      <c r="Q76" s="1375"/>
      <c r="R76" s="419"/>
      <c r="S76" s="419"/>
      <c r="T76" s="419"/>
      <c r="U76" s="419"/>
      <c r="V76" s="419"/>
      <c r="W76" s="419"/>
      <c r="X76" s="419"/>
      <c r="Y76" s="419"/>
      <c r="Z76" s="419"/>
      <c r="AA76" s="419"/>
      <c r="AB76" s="719"/>
      <c r="AC76" s="719"/>
      <c r="AE76" s="419"/>
      <c r="AF76" s="419"/>
      <c r="AG76" s="419"/>
      <c r="AH76" s="419"/>
      <c r="AI76" s="419"/>
      <c r="AJ76" s="419"/>
      <c r="AK76" s="419"/>
      <c r="AL76" s="419"/>
      <c r="AM76" s="419"/>
      <c r="AN76" s="419"/>
      <c r="AO76" s="419"/>
      <c r="AP76" s="419"/>
      <c r="AQ76" s="719"/>
      <c r="AR76" s="719"/>
    </row>
    <row r="77" spans="1:44" hidden="1" x14ac:dyDescent="0.35">
      <c r="A77" s="419"/>
      <c r="B77" s="1022" t="s">
        <v>841</v>
      </c>
      <c r="C77" s="417"/>
      <c r="D77" s="417"/>
      <c r="E77" s="417"/>
      <c r="F77" s="417"/>
      <c r="G77" s="417"/>
      <c r="H77" s="417"/>
      <c r="I77" s="417"/>
      <c r="J77" s="417"/>
      <c r="K77" s="417"/>
      <c r="L77" s="417"/>
      <c r="M77" s="720"/>
      <c r="N77" s="720"/>
      <c r="P77" s="419"/>
      <c r="Q77" s="1381" t="s">
        <v>841</v>
      </c>
      <c r="R77" s="417"/>
      <c r="S77" s="417"/>
      <c r="T77" s="417"/>
      <c r="U77" s="417"/>
      <c r="V77" s="417"/>
      <c r="W77" s="417"/>
      <c r="X77" s="417"/>
      <c r="Y77" s="417"/>
      <c r="Z77" s="417"/>
      <c r="AA77" s="417"/>
      <c r="AB77" s="720"/>
      <c r="AC77" s="720"/>
      <c r="AE77" s="419"/>
      <c r="AF77" s="457" t="s">
        <v>841</v>
      </c>
      <c r="AG77" s="417"/>
      <c r="AH77" s="417"/>
      <c r="AI77" s="417"/>
      <c r="AJ77" s="417"/>
      <c r="AK77" s="417"/>
      <c r="AL77" s="417"/>
      <c r="AM77" s="417"/>
      <c r="AN77" s="417"/>
      <c r="AO77" s="417"/>
      <c r="AP77" s="417"/>
      <c r="AQ77" s="720"/>
      <c r="AR77" s="720"/>
    </row>
    <row r="78" spans="1:44" hidden="1" x14ac:dyDescent="0.35">
      <c r="A78" s="419"/>
      <c r="C78" s="417" t="s">
        <v>137</v>
      </c>
      <c r="D78" s="417"/>
      <c r="E78" s="417"/>
      <c r="H78" s="458">
        <f ca="1">+H84-H74</f>
        <v>179123305.80000001</v>
      </c>
      <c r="J78" s="417"/>
      <c r="K78" s="417"/>
      <c r="L78" s="417"/>
      <c r="M78" s="720"/>
      <c r="N78" s="720"/>
      <c r="P78" s="419"/>
      <c r="Q78" s="1376"/>
      <c r="R78" s="417" t="s">
        <v>137</v>
      </c>
      <c r="S78" s="417"/>
      <c r="T78" s="417"/>
      <c r="Y78" s="417"/>
      <c r="Z78" s="417"/>
      <c r="AA78" s="417"/>
      <c r="AB78" s="720"/>
      <c r="AC78" s="720"/>
      <c r="AE78" s="419"/>
      <c r="AF78" s="417"/>
      <c r="AG78" s="417" t="s">
        <v>137</v>
      </c>
      <c r="AH78" s="417"/>
      <c r="AI78" s="417"/>
      <c r="AN78" s="417"/>
      <c r="AO78" s="417"/>
      <c r="AP78" s="417"/>
      <c r="AQ78" s="720"/>
      <c r="AR78" s="720"/>
    </row>
    <row r="79" spans="1:44" ht="9.3000000000000007" hidden="1" thickBot="1" x14ac:dyDescent="0.4">
      <c r="A79" s="419"/>
      <c r="C79" s="417"/>
      <c r="D79" s="417"/>
      <c r="E79" s="417"/>
      <c r="J79" s="417"/>
      <c r="K79" s="417"/>
      <c r="L79" s="417"/>
      <c r="M79" s="720"/>
      <c r="N79" s="720"/>
      <c r="P79" s="419"/>
      <c r="Q79" s="1376"/>
      <c r="R79" s="417"/>
      <c r="S79" s="417"/>
      <c r="T79" s="417"/>
      <c r="Y79" s="417"/>
      <c r="Z79" s="417"/>
      <c r="AA79" s="417"/>
      <c r="AB79" s="720"/>
      <c r="AC79" s="720"/>
      <c r="AE79" s="419"/>
      <c r="AF79" s="417"/>
      <c r="AG79" s="417"/>
      <c r="AH79" s="417"/>
      <c r="AI79" s="417"/>
      <c r="AN79" s="417"/>
      <c r="AO79" s="417"/>
      <c r="AP79" s="417"/>
      <c r="AQ79" s="720"/>
      <c r="AR79" s="720"/>
    </row>
    <row r="80" spans="1:44" ht="9.6" hidden="1" thickTop="1" thickBot="1" x14ac:dyDescent="0.4">
      <c r="A80" s="419"/>
      <c r="C80" s="417"/>
      <c r="D80" s="603"/>
      <c r="E80" s="442" t="s">
        <v>15</v>
      </c>
      <c r="F80" s="442" t="s">
        <v>16</v>
      </c>
      <c r="G80" s="442" t="s">
        <v>484</v>
      </c>
      <c r="H80" s="442" t="s">
        <v>17</v>
      </c>
      <c r="I80" s="442" t="s">
        <v>19</v>
      </c>
      <c r="J80" s="442" t="s">
        <v>483</v>
      </c>
      <c r="L80" s="417"/>
      <c r="M80" s="720"/>
      <c r="N80" s="720"/>
      <c r="P80" s="419"/>
      <c r="Q80" s="1376"/>
      <c r="R80" s="417"/>
      <c r="S80" s="603"/>
      <c r="T80" s="442" t="s">
        <v>15</v>
      </c>
      <c r="U80" s="442" t="s">
        <v>16</v>
      </c>
      <c r="V80" s="442" t="s">
        <v>484</v>
      </c>
      <c r="W80" s="442" t="s">
        <v>17</v>
      </c>
      <c r="X80" s="442" t="s">
        <v>19</v>
      </c>
      <c r="Y80" s="442" t="s">
        <v>483</v>
      </c>
      <c r="AA80" s="417"/>
      <c r="AB80" s="720"/>
      <c r="AC80" s="720"/>
      <c r="AE80" s="419"/>
      <c r="AF80" s="417"/>
      <c r="AG80" s="417"/>
      <c r="AH80" s="603"/>
      <c r="AI80" s="442" t="s">
        <v>15</v>
      </c>
      <c r="AJ80" s="442" t="s">
        <v>16</v>
      </c>
      <c r="AK80" s="442" t="s">
        <v>484</v>
      </c>
      <c r="AL80" s="442" t="s">
        <v>17</v>
      </c>
      <c r="AM80" s="442" t="s">
        <v>19</v>
      </c>
      <c r="AN80" s="442" t="s">
        <v>483</v>
      </c>
      <c r="AP80" s="417"/>
      <c r="AQ80" s="720"/>
      <c r="AR80" s="720"/>
    </row>
    <row r="81" spans="1:44" ht="9.6" hidden="1" thickTop="1" thickBot="1" x14ac:dyDescent="0.4">
      <c r="A81" s="419"/>
      <c r="C81" s="417"/>
      <c r="D81" s="605"/>
      <c r="E81" s="442" t="s">
        <v>250</v>
      </c>
      <c r="F81" s="442" t="s">
        <v>250</v>
      </c>
      <c r="G81" s="442" t="s">
        <v>250</v>
      </c>
      <c r="H81" s="442" t="s">
        <v>250</v>
      </c>
      <c r="I81" s="442" t="s">
        <v>250</v>
      </c>
      <c r="J81" s="442" t="s">
        <v>250</v>
      </c>
      <c r="L81" s="417"/>
      <c r="M81" s="720"/>
      <c r="N81" s="720"/>
      <c r="P81" s="419"/>
      <c r="Q81" s="1376"/>
      <c r="R81" s="417"/>
      <c r="S81" s="605"/>
      <c r="T81" s="442" t="s">
        <v>250</v>
      </c>
      <c r="U81" s="442" t="s">
        <v>250</v>
      </c>
      <c r="V81" s="442" t="s">
        <v>250</v>
      </c>
      <c r="W81" s="442" t="s">
        <v>250</v>
      </c>
      <c r="X81" s="442" t="s">
        <v>250</v>
      </c>
      <c r="Y81" s="442" t="s">
        <v>250</v>
      </c>
      <c r="AA81" s="417"/>
      <c r="AB81" s="720"/>
      <c r="AC81" s="720"/>
      <c r="AE81" s="419"/>
      <c r="AF81" s="417"/>
      <c r="AG81" s="417"/>
      <c r="AH81" s="605"/>
      <c r="AI81" s="442" t="s">
        <v>250</v>
      </c>
      <c r="AJ81" s="442" t="s">
        <v>250</v>
      </c>
      <c r="AK81" s="442" t="s">
        <v>250</v>
      </c>
      <c r="AL81" s="442" t="s">
        <v>250</v>
      </c>
      <c r="AM81" s="442" t="s">
        <v>250</v>
      </c>
      <c r="AN81" s="442" t="s">
        <v>250</v>
      </c>
      <c r="AP81" s="417"/>
      <c r="AQ81" s="720"/>
      <c r="AR81" s="720"/>
    </row>
    <row r="82" spans="1:44" ht="9.3000000000000007" hidden="1" thickTop="1" x14ac:dyDescent="0.35">
      <c r="A82" s="419"/>
      <c r="C82" s="417"/>
      <c r="D82" s="605" t="s">
        <v>138</v>
      </c>
      <c r="E82" s="615">
        <f ca="1">SUM(F82:J82)</f>
        <v>646282455</v>
      </c>
      <c r="F82" s="616">
        <f ca="1">F54</f>
        <v>97282699</v>
      </c>
      <c r="G82" s="616">
        <f ca="1">G54</f>
        <v>64870504</v>
      </c>
      <c r="H82" s="616">
        <f ca="1">H54</f>
        <v>198754842</v>
      </c>
      <c r="I82" s="616">
        <f ca="1">I54</f>
        <v>82489680</v>
      </c>
      <c r="J82" s="616">
        <f ca="1">J54</f>
        <v>202884730</v>
      </c>
      <c r="L82" s="417"/>
      <c r="M82" s="720"/>
      <c r="N82" s="720"/>
      <c r="P82" s="419"/>
      <c r="Q82" s="1376"/>
      <c r="R82" s="417"/>
      <c r="S82" s="605" t="s">
        <v>138</v>
      </c>
      <c r="T82" s="615">
        <f ca="1">SUM(U82:Y82)</f>
        <v>668796931</v>
      </c>
      <c r="U82" s="616">
        <f ca="1">U54</f>
        <v>100705851</v>
      </c>
      <c r="V82" s="616">
        <f ca="1">V54</f>
        <v>67225029</v>
      </c>
      <c r="W82" s="616">
        <f ca="1">W54</f>
        <v>205571762</v>
      </c>
      <c r="X82" s="616">
        <f ca="1">X54</f>
        <v>85435281</v>
      </c>
      <c r="Y82" s="616">
        <f ca="1">Y54</f>
        <v>209859008</v>
      </c>
      <c r="AA82" s="417"/>
      <c r="AB82" s="720"/>
      <c r="AC82" s="720"/>
      <c r="AE82" s="419"/>
      <c r="AF82" s="417"/>
      <c r="AG82" s="417"/>
      <c r="AH82" s="605" t="s">
        <v>138</v>
      </c>
      <c r="AI82" s="615">
        <f ca="1">SUM(AJ82:AN82)</f>
        <v>690837279</v>
      </c>
      <c r="AJ82" s="616">
        <f ca="1">AJ54</f>
        <v>104064914</v>
      </c>
      <c r="AK82" s="616">
        <f ca="1">AK54</f>
        <v>69552146</v>
      </c>
      <c r="AL82" s="616">
        <f ca="1">AL54</f>
        <v>212220048</v>
      </c>
      <c r="AM82" s="616">
        <f ca="1">AM54</f>
        <v>88335702</v>
      </c>
      <c r="AN82" s="616">
        <f ca="1">AN54</f>
        <v>216664469</v>
      </c>
      <c r="AP82" s="417"/>
      <c r="AQ82" s="720"/>
      <c r="AR82" s="720"/>
    </row>
    <row r="83" spans="1:44" hidden="1" x14ac:dyDescent="0.35">
      <c r="A83" s="419"/>
      <c r="C83" s="417"/>
      <c r="D83" s="605" t="s">
        <v>139</v>
      </c>
      <c r="E83" s="617">
        <f ca="1">SUM(F83:J83)</f>
        <v>249215036</v>
      </c>
      <c r="F83" s="616">
        <f ca="1">F57</f>
        <v>37382255.399999999</v>
      </c>
      <c r="G83" s="616">
        <f ca="1">G57</f>
        <v>12460751.800000001</v>
      </c>
      <c r="H83" s="616">
        <f ca="1">H57</f>
        <v>12460751.800000001</v>
      </c>
      <c r="I83" s="616">
        <f ca="1">I57</f>
        <v>12460751.800000001</v>
      </c>
      <c r="J83" s="616">
        <f ca="1">J57</f>
        <v>174450525.19999999</v>
      </c>
      <c r="L83" s="417"/>
      <c r="M83" s="720"/>
      <c r="N83" s="720"/>
      <c r="P83" s="419"/>
      <c r="Q83" s="1376"/>
      <c r="R83" s="417"/>
      <c r="S83" s="605" t="s">
        <v>139</v>
      </c>
      <c r="T83" s="617">
        <f ca="1">SUM(U83:Y83)</f>
        <v>257770209</v>
      </c>
      <c r="U83" s="616">
        <f ca="1">U57</f>
        <v>38665531.350000001</v>
      </c>
      <c r="V83" s="616">
        <f ca="1">V57</f>
        <v>12888510.450000001</v>
      </c>
      <c r="W83" s="616">
        <f ca="1">W57</f>
        <v>12888510.450000001</v>
      </c>
      <c r="X83" s="616">
        <f ca="1">X57</f>
        <v>12888510.450000001</v>
      </c>
      <c r="Y83" s="616">
        <f ca="1">Y57</f>
        <v>180439146.29999998</v>
      </c>
      <c r="AA83" s="417"/>
      <c r="AB83" s="720"/>
      <c r="AC83" s="720"/>
      <c r="AE83" s="419"/>
      <c r="AF83" s="417"/>
      <c r="AG83" s="417"/>
      <c r="AH83" s="605" t="s">
        <v>139</v>
      </c>
      <c r="AI83" s="617">
        <f ca="1">SUM(AJ83:AN83)</f>
        <v>266096559</v>
      </c>
      <c r="AJ83" s="616">
        <f ca="1">AJ57</f>
        <v>39914483.850000001</v>
      </c>
      <c r="AK83" s="616">
        <f ca="1">AK57</f>
        <v>13304827.950000001</v>
      </c>
      <c r="AL83" s="616">
        <f ca="1">AL57</f>
        <v>13304827.950000001</v>
      </c>
      <c r="AM83" s="616">
        <f ca="1">AM57</f>
        <v>13304827.950000001</v>
      </c>
      <c r="AN83" s="616">
        <f ca="1">AN57</f>
        <v>186267591.29999998</v>
      </c>
      <c r="AP83" s="417"/>
      <c r="AQ83" s="720"/>
      <c r="AR83" s="720"/>
    </row>
    <row r="84" spans="1:44" hidden="1" x14ac:dyDescent="0.35">
      <c r="A84" s="419"/>
      <c r="C84" s="417"/>
      <c r="D84" s="605" t="s">
        <v>140</v>
      </c>
      <c r="E84" s="617">
        <f ca="1">SUM(F84:J84)</f>
        <v>895497491</v>
      </c>
      <c r="F84" s="617">
        <f ca="1">SUM(F82:F83)</f>
        <v>134664954.40000001</v>
      </c>
      <c r="G84" s="617">
        <f ca="1">SUM(G82:G83)</f>
        <v>77331255.799999997</v>
      </c>
      <c r="H84" s="617">
        <f ca="1">SUM(H82:H83)</f>
        <v>211215593.80000001</v>
      </c>
      <c r="I84" s="617">
        <f ca="1">SUM(I82:I83)</f>
        <v>94950431.799999997</v>
      </c>
      <c r="J84" s="617">
        <f ca="1">SUM(J82:J83)</f>
        <v>377335255.19999999</v>
      </c>
      <c r="L84" s="417"/>
      <c r="M84" s="720"/>
      <c r="N84" s="720"/>
      <c r="P84" s="419"/>
      <c r="Q84" s="1376"/>
      <c r="R84" s="417"/>
      <c r="S84" s="605" t="s">
        <v>140</v>
      </c>
      <c r="T84" s="617">
        <f ca="1">SUM(U84:Y84)</f>
        <v>926567140</v>
      </c>
      <c r="U84" s="617">
        <f ca="1">SUM(U82:U83)</f>
        <v>139371382.34999999</v>
      </c>
      <c r="V84" s="617">
        <f ca="1">SUM(V82:V83)</f>
        <v>80113539.450000003</v>
      </c>
      <c r="W84" s="617">
        <f ca="1">SUM(W82:W83)</f>
        <v>218460272.44999999</v>
      </c>
      <c r="X84" s="617">
        <f ca="1">SUM(X82:X83)</f>
        <v>98323791.450000003</v>
      </c>
      <c r="Y84" s="617">
        <f ca="1">SUM(Y82:Y83)</f>
        <v>390298154.29999995</v>
      </c>
      <c r="AA84" s="417"/>
      <c r="AB84" s="720"/>
      <c r="AC84" s="720"/>
      <c r="AE84" s="419"/>
      <c r="AF84" s="417"/>
      <c r="AG84" s="417"/>
      <c r="AH84" s="605" t="s">
        <v>140</v>
      </c>
      <c r="AI84" s="617">
        <f ca="1">SUM(AJ84:AN84)</f>
        <v>956933838</v>
      </c>
      <c r="AJ84" s="617">
        <f ca="1">SUM(AJ82:AJ83)</f>
        <v>143979397.84999999</v>
      </c>
      <c r="AK84" s="617">
        <f ca="1">SUM(AK82:AK83)</f>
        <v>82856973.950000003</v>
      </c>
      <c r="AL84" s="617">
        <f ca="1">SUM(AL82:AL83)</f>
        <v>225524875.94999999</v>
      </c>
      <c r="AM84" s="617">
        <f ca="1">SUM(AM82:AM83)</f>
        <v>101640529.95</v>
      </c>
      <c r="AN84" s="617">
        <f ca="1">SUM(AN82:AN83)</f>
        <v>402932060.29999995</v>
      </c>
      <c r="AP84" s="417"/>
      <c r="AQ84" s="720"/>
      <c r="AR84" s="720"/>
    </row>
    <row r="85" spans="1:44" hidden="1" x14ac:dyDescent="0.35">
      <c r="A85" s="419"/>
      <c r="C85" s="417"/>
      <c r="D85" s="605"/>
      <c r="J85" s="618"/>
      <c r="L85" s="417"/>
      <c r="M85" s="720"/>
      <c r="N85" s="720"/>
      <c r="P85" s="419"/>
      <c r="Q85" s="1376"/>
      <c r="R85" s="417"/>
      <c r="S85" s="605"/>
      <c r="Y85" s="618"/>
      <c r="AA85" s="417"/>
      <c r="AB85" s="720"/>
      <c r="AC85" s="720"/>
      <c r="AE85" s="419"/>
      <c r="AF85" s="417"/>
      <c r="AG85" s="417"/>
      <c r="AH85" s="605"/>
      <c r="AN85" s="618"/>
      <c r="AP85" s="417"/>
      <c r="AQ85" s="720"/>
      <c r="AR85" s="720"/>
    </row>
    <row r="86" spans="1:44" hidden="1" x14ac:dyDescent="0.35">
      <c r="A86" s="419"/>
      <c r="C86" s="417"/>
      <c r="D86" s="605" t="s">
        <v>141</v>
      </c>
      <c r="E86" s="619"/>
      <c r="F86" s="620">
        <f ca="1">F82/F84</f>
        <v>0.72240546498116953</v>
      </c>
      <c r="G86" s="620">
        <f ca="1">G82/G84</f>
        <v>0.83886525996387606</v>
      </c>
      <c r="H86" s="620">
        <f ca="1">H82/H84</f>
        <v>0.94100458410377075</v>
      </c>
      <c r="I86" s="620">
        <f ca="1">I82/I84</f>
        <v>0.8687657173982436</v>
      </c>
      <c r="J86" s="620">
        <f ca="1">J82/J84</f>
        <v>0.53767764131253648</v>
      </c>
      <c r="L86" s="417"/>
      <c r="M86" s="720"/>
      <c r="N86" s="720"/>
      <c r="P86" s="419"/>
      <c r="Q86" s="1376"/>
      <c r="R86" s="417"/>
      <c r="S86" s="605" t="s">
        <v>141</v>
      </c>
      <c r="T86" s="619"/>
      <c r="U86" s="620">
        <f ca="1">U82/U84</f>
        <v>0.7225719462773198</v>
      </c>
      <c r="V86" s="620">
        <f ca="1">V82/V84</f>
        <v>0.83912194444930366</v>
      </c>
      <c r="W86" s="620">
        <f ca="1">W82/W84</f>
        <v>0.94100295534077094</v>
      </c>
      <c r="X86" s="620">
        <f ca="1">X82/X84</f>
        <v>0.86891768248629719</v>
      </c>
      <c r="Y86" s="620">
        <f ca="1">Y82/Y84</f>
        <v>0.53768895826930641</v>
      </c>
      <c r="AA86" s="417"/>
      <c r="AB86" s="720"/>
      <c r="AC86" s="720"/>
      <c r="AE86" s="419"/>
      <c r="AF86" s="417"/>
      <c r="AG86" s="417"/>
      <c r="AH86" s="605" t="s">
        <v>141</v>
      </c>
      <c r="AI86" s="619"/>
      <c r="AJ86" s="620">
        <f ca="1">AJ82/AJ84</f>
        <v>0.72277642186291446</v>
      </c>
      <c r="AK86" s="620">
        <f ca="1">AK82/AK84</f>
        <v>0.83942416291923971</v>
      </c>
      <c r="AL86" s="620">
        <f ca="1">AL82/AL84</f>
        <v>0.94100505368219456</v>
      </c>
      <c r="AM86" s="620">
        <f ca="1">AM82/AM84</f>
        <v>0.86909918753330939</v>
      </c>
      <c r="AN86" s="620">
        <f ca="1">AN82/AN84</f>
        <v>0.53771960672150076</v>
      </c>
      <c r="AP86" s="417"/>
      <c r="AQ86" s="720"/>
      <c r="AR86" s="720"/>
    </row>
    <row r="87" spans="1:44" hidden="1" x14ac:dyDescent="0.35">
      <c r="A87" s="419"/>
      <c r="C87" s="417"/>
      <c r="D87" s="611" t="s">
        <v>142</v>
      </c>
      <c r="E87" s="619"/>
      <c r="F87" s="620">
        <f ca="1">F83/F84</f>
        <v>0.27759453501883036</v>
      </c>
      <c r="G87" s="620">
        <f ca="1">G83/G84</f>
        <v>0.16113474003612394</v>
      </c>
      <c r="H87" s="620">
        <f ca="1">H83/H84</f>
        <v>5.8995415896229156E-2</v>
      </c>
      <c r="I87" s="620">
        <f ca="1">I83/I84</f>
        <v>0.13123428260175643</v>
      </c>
      <c r="J87" s="620">
        <f ca="1">J83/J84</f>
        <v>0.46232235868746352</v>
      </c>
      <c r="L87" s="417"/>
      <c r="M87" s="720"/>
      <c r="N87" s="720"/>
      <c r="P87" s="419"/>
      <c r="Q87" s="1376"/>
      <c r="R87" s="417"/>
      <c r="S87" s="611" t="s">
        <v>142</v>
      </c>
      <c r="T87" s="619"/>
      <c r="U87" s="620">
        <f ca="1">U83/U84</f>
        <v>0.2774280537226802</v>
      </c>
      <c r="V87" s="620">
        <f ca="1">V83/V84</f>
        <v>0.16087805555069631</v>
      </c>
      <c r="W87" s="620">
        <f ca="1">W83/W84</f>
        <v>5.899704465922908E-2</v>
      </c>
      <c r="X87" s="620">
        <f ca="1">X83/X84</f>
        <v>0.13108231751370283</v>
      </c>
      <c r="Y87" s="620">
        <f ca="1">Y83/Y84</f>
        <v>0.46231104173069365</v>
      </c>
      <c r="AA87" s="417"/>
      <c r="AB87" s="720"/>
      <c r="AC87" s="720"/>
      <c r="AE87" s="419"/>
      <c r="AF87" s="417"/>
      <c r="AG87" s="417"/>
      <c r="AH87" s="611" t="s">
        <v>142</v>
      </c>
      <c r="AI87" s="619"/>
      <c r="AJ87" s="620">
        <f ca="1">AJ83/AJ84</f>
        <v>0.27722357813708554</v>
      </c>
      <c r="AK87" s="620">
        <f ca="1">AK83/AK84</f>
        <v>0.16057583708076031</v>
      </c>
      <c r="AL87" s="620">
        <f ca="1">AL83/AL84</f>
        <v>5.8994946317805531E-2</v>
      </c>
      <c r="AM87" s="620">
        <f ca="1">AM83/AM84</f>
        <v>0.13090081246669061</v>
      </c>
      <c r="AN87" s="620">
        <f ca="1">AN83/AN84</f>
        <v>0.46228039327849935</v>
      </c>
      <c r="AP87" s="417"/>
      <c r="AQ87" s="720"/>
      <c r="AR87" s="720"/>
    </row>
    <row r="88" spans="1:44" hidden="1" x14ac:dyDescent="0.35">
      <c r="A88" s="419"/>
      <c r="C88" s="417"/>
      <c r="D88" s="417"/>
      <c r="E88" s="417"/>
      <c r="F88" s="417"/>
      <c r="G88" s="417"/>
      <c r="H88" s="417"/>
      <c r="I88" s="417"/>
      <c r="J88" s="417"/>
      <c r="K88" s="417"/>
      <c r="L88" s="417"/>
      <c r="M88" s="720"/>
      <c r="N88" s="720"/>
      <c r="P88" s="419"/>
      <c r="Q88" s="1376"/>
      <c r="R88" s="417"/>
      <c r="S88" s="417"/>
      <c r="T88" s="417"/>
      <c r="U88" s="417"/>
      <c r="V88" s="417"/>
      <c r="W88" s="417"/>
      <c r="X88" s="417"/>
      <c r="Y88" s="417"/>
      <c r="Z88" s="417"/>
      <c r="AA88" s="417"/>
      <c r="AB88" s="720"/>
      <c r="AC88" s="720"/>
      <c r="AE88" s="419"/>
      <c r="AF88" s="417"/>
      <c r="AG88" s="417"/>
      <c r="AH88" s="417"/>
      <c r="AI88" s="417"/>
      <c r="AJ88" s="417"/>
      <c r="AK88" s="417"/>
      <c r="AL88" s="417"/>
      <c r="AM88" s="417"/>
      <c r="AN88" s="417"/>
      <c r="AO88" s="417"/>
      <c r="AP88" s="417"/>
      <c r="AQ88" s="720"/>
      <c r="AR88" s="720"/>
    </row>
    <row r="89" spans="1:44" hidden="1" x14ac:dyDescent="0.35">
      <c r="A89" s="419"/>
      <c r="C89" s="417"/>
      <c r="D89" s="417"/>
      <c r="E89" s="417"/>
      <c r="F89" s="417"/>
      <c r="G89" s="417"/>
      <c r="H89" s="417"/>
      <c r="I89" s="417"/>
      <c r="J89" s="417"/>
      <c r="K89" s="417"/>
      <c r="L89" s="417"/>
      <c r="M89" s="720"/>
      <c r="N89" s="720"/>
      <c r="P89" s="419"/>
      <c r="Q89" s="1376"/>
      <c r="R89" s="417"/>
      <c r="S89" s="417"/>
      <c r="T89" s="417"/>
      <c r="U89" s="417"/>
      <c r="V89" s="417"/>
      <c r="W89" s="417"/>
      <c r="X89" s="417"/>
      <c r="Y89" s="417"/>
      <c r="Z89" s="417"/>
      <c r="AA89" s="417"/>
      <c r="AB89" s="720"/>
      <c r="AC89" s="720"/>
      <c r="AE89" s="419"/>
      <c r="AF89" s="417"/>
      <c r="AG89" s="417"/>
      <c r="AH89" s="417"/>
      <c r="AI89" s="417"/>
      <c r="AJ89" s="417"/>
      <c r="AK89" s="417"/>
      <c r="AL89" s="417"/>
      <c r="AM89" s="417"/>
      <c r="AN89" s="417"/>
      <c r="AO89" s="417"/>
      <c r="AP89" s="417"/>
      <c r="AQ89" s="720"/>
      <c r="AR89" s="720"/>
    </row>
    <row r="90" spans="1:44" hidden="1" x14ac:dyDescent="0.35">
      <c r="A90" s="419"/>
      <c r="C90" s="417"/>
      <c r="D90" s="417"/>
      <c r="E90" s="417"/>
      <c r="F90" s="417"/>
      <c r="G90" s="417"/>
      <c r="H90" s="417"/>
      <c r="I90" s="417"/>
      <c r="J90" s="417"/>
      <c r="K90" s="417"/>
      <c r="L90" s="417"/>
      <c r="M90" s="720"/>
      <c r="N90" s="720"/>
      <c r="P90" s="419"/>
      <c r="Q90" s="1376"/>
      <c r="R90" s="417"/>
      <c r="S90" s="417"/>
      <c r="T90" s="417"/>
      <c r="U90" s="417"/>
      <c r="V90" s="417"/>
      <c r="W90" s="417"/>
      <c r="X90" s="417"/>
      <c r="Y90" s="417"/>
      <c r="Z90" s="417"/>
      <c r="AA90" s="417"/>
      <c r="AB90" s="720"/>
      <c r="AC90" s="720"/>
      <c r="AE90" s="419"/>
      <c r="AF90" s="417"/>
      <c r="AG90" s="417"/>
      <c r="AH90" s="417"/>
      <c r="AI90" s="417"/>
      <c r="AJ90" s="417"/>
      <c r="AK90" s="417"/>
      <c r="AL90" s="417"/>
      <c r="AM90" s="417"/>
      <c r="AN90" s="417"/>
      <c r="AO90" s="417"/>
      <c r="AP90" s="417"/>
      <c r="AQ90" s="720"/>
      <c r="AR90" s="720"/>
    </row>
    <row r="91" spans="1:44" hidden="1" x14ac:dyDescent="0.35">
      <c r="A91" s="419"/>
      <c r="C91" s="419"/>
      <c r="D91" s="419"/>
      <c r="E91" s="419"/>
      <c r="F91" s="419"/>
      <c r="G91" s="419"/>
      <c r="H91" s="419"/>
      <c r="I91" s="419"/>
      <c r="J91" s="419"/>
      <c r="K91" s="419"/>
      <c r="L91" s="419"/>
      <c r="M91" s="719"/>
      <c r="N91" s="719"/>
      <c r="P91" s="419"/>
      <c r="Q91" s="1375"/>
      <c r="R91" s="419"/>
      <c r="S91" s="419"/>
      <c r="T91" s="419"/>
      <c r="U91" s="419"/>
      <c r="V91" s="419"/>
      <c r="W91" s="419"/>
      <c r="X91" s="419"/>
      <c r="Y91" s="419"/>
      <c r="Z91" s="419"/>
      <c r="AA91" s="419"/>
      <c r="AB91" s="719"/>
      <c r="AC91" s="719"/>
      <c r="AE91" s="419"/>
      <c r="AF91" s="419"/>
      <c r="AG91" s="419"/>
      <c r="AH91" s="419"/>
      <c r="AI91" s="419"/>
      <c r="AJ91" s="419"/>
      <c r="AK91" s="419"/>
      <c r="AL91" s="419"/>
      <c r="AM91" s="419"/>
      <c r="AN91" s="419"/>
      <c r="AO91" s="419"/>
      <c r="AP91" s="419"/>
      <c r="AQ91" s="719"/>
      <c r="AR91" s="719"/>
    </row>
    <row r="92" spans="1:44" ht="9.3000000000000007" hidden="1" thickBot="1" x14ac:dyDescent="0.4">
      <c r="A92" s="419"/>
      <c r="C92" s="419"/>
      <c r="D92" s="419"/>
      <c r="E92" s="419"/>
      <c r="F92" s="419"/>
      <c r="G92" s="419"/>
      <c r="H92" s="419"/>
      <c r="I92" s="419"/>
      <c r="J92" s="419"/>
      <c r="K92" s="419"/>
      <c r="L92" s="419"/>
      <c r="M92" s="719"/>
      <c r="N92" s="719"/>
      <c r="P92" s="419"/>
      <c r="Q92" s="1375"/>
      <c r="R92" s="419"/>
      <c r="S92" s="419"/>
      <c r="T92" s="419"/>
      <c r="U92" s="419"/>
      <c r="V92" s="419"/>
      <c r="W92" s="419"/>
      <c r="X92" s="419"/>
      <c r="Y92" s="419"/>
      <c r="Z92" s="419"/>
      <c r="AA92" s="419"/>
      <c r="AB92" s="719"/>
      <c r="AC92" s="719"/>
      <c r="AE92" s="419"/>
      <c r="AF92" s="419"/>
      <c r="AG92" s="419"/>
      <c r="AH92" s="419"/>
      <c r="AI92" s="419"/>
      <c r="AJ92" s="419"/>
      <c r="AK92" s="419"/>
      <c r="AL92" s="419"/>
      <c r="AM92" s="419"/>
      <c r="AN92" s="419"/>
      <c r="AO92" s="419"/>
      <c r="AP92" s="419"/>
      <c r="AQ92" s="719"/>
      <c r="AR92" s="719"/>
    </row>
    <row r="93" spans="1:44" hidden="1" x14ac:dyDescent="0.35">
      <c r="A93" s="419"/>
      <c r="C93" s="621"/>
      <c r="D93" s="622"/>
      <c r="E93" s="622"/>
      <c r="F93" s="622"/>
      <c r="G93" s="622"/>
      <c r="H93" s="622"/>
      <c r="I93" s="622"/>
      <c r="J93" s="622"/>
      <c r="K93" s="623"/>
      <c r="L93" s="419"/>
      <c r="M93" s="719"/>
      <c r="N93" s="719"/>
      <c r="P93" s="419"/>
      <c r="Q93" s="1375"/>
      <c r="R93" s="621"/>
      <c r="S93" s="622"/>
      <c r="T93" s="622"/>
      <c r="U93" s="622"/>
      <c r="V93" s="622"/>
      <c r="W93" s="622"/>
      <c r="X93" s="622"/>
      <c r="Y93" s="622"/>
      <c r="Z93" s="623"/>
      <c r="AA93" s="419"/>
      <c r="AB93" s="719"/>
      <c r="AC93" s="719"/>
      <c r="AE93" s="419"/>
      <c r="AF93" s="419"/>
      <c r="AG93" s="621"/>
      <c r="AH93" s="622"/>
      <c r="AI93" s="622"/>
      <c r="AJ93" s="622"/>
      <c r="AK93" s="622"/>
      <c r="AL93" s="622"/>
      <c r="AM93" s="622"/>
      <c r="AN93" s="622"/>
      <c r="AO93" s="623"/>
      <c r="AP93" s="419"/>
      <c r="AQ93" s="719"/>
      <c r="AR93" s="719"/>
    </row>
    <row r="94" spans="1:44" hidden="1" x14ac:dyDescent="0.35">
      <c r="A94" s="419"/>
      <c r="C94" s="624"/>
      <c r="D94" s="625" t="s">
        <v>177</v>
      </c>
      <c r="E94" s="626"/>
      <c r="F94" s="626"/>
      <c r="G94" s="626"/>
      <c r="H94" s="626"/>
      <c r="I94" s="626"/>
      <c r="J94" s="626"/>
      <c r="K94" s="627"/>
      <c r="L94" s="419"/>
      <c r="M94" s="719"/>
      <c r="N94" s="719"/>
      <c r="P94" s="419"/>
      <c r="Q94" s="1375"/>
      <c r="R94" s="624"/>
      <c r="S94" s="625" t="s">
        <v>177</v>
      </c>
      <c r="T94" s="626"/>
      <c r="U94" s="626"/>
      <c r="V94" s="626"/>
      <c r="W94" s="626"/>
      <c r="X94" s="626"/>
      <c r="Y94" s="626"/>
      <c r="Z94" s="627"/>
      <c r="AA94" s="419"/>
      <c r="AB94" s="719"/>
      <c r="AC94" s="719"/>
      <c r="AE94" s="419"/>
      <c r="AF94" s="419"/>
      <c r="AG94" s="624"/>
      <c r="AH94" s="625" t="s">
        <v>177</v>
      </c>
      <c r="AI94" s="626"/>
      <c r="AJ94" s="626"/>
      <c r="AK94" s="626"/>
      <c r="AL94" s="626"/>
      <c r="AM94" s="626"/>
      <c r="AN94" s="626"/>
      <c r="AO94" s="627"/>
      <c r="AP94" s="419"/>
      <c r="AQ94" s="719"/>
      <c r="AR94" s="719"/>
    </row>
    <row r="95" spans="1:44" hidden="1" x14ac:dyDescent="0.35">
      <c r="A95" s="419"/>
      <c r="C95" s="624"/>
      <c r="D95" s="1438" t="s">
        <v>489</v>
      </c>
      <c r="E95" s="1438"/>
      <c r="F95" s="1438"/>
      <c r="G95" s="1438"/>
      <c r="H95" s="1438"/>
      <c r="I95" s="1438"/>
      <c r="J95" s="1438"/>
      <c r="K95" s="627"/>
      <c r="L95" s="419"/>
      <c r="M95" s="719"/>
      <c r="N95" s="719"/>
      <c r="P95" s="419"/>
      <c r="Q95" s="1375"/>
      <c r="R95" s="624"/>
      <c r="S95" s="1438" t="s">
        <v>489</v>
      </c>
      <c r="T95" s="1438"/>
      <c r="U95" s="1438"/>
      <c r="V95" s="1438"/>
      <c r="W95" s="1438"/>
      <c r="X95" s="1438"/>
      <c r="Y95" s="1438"/>
      <c r="Z95" s="627"/>
      <c r="AA95" s="419"/>
      <c r="AB95" s="719"/>
      <c r="AC95" s="719"/>
      <c r="AE95" s="419"/>
      <c r="AF95" s="419"/>
      <c r="AG95" s="624"/>
      <c r="AH95" s="1438" t="s">
        <v>489</v>
      </c>
      <c r="AI95" s="1438"/>
      <c r="AJ95" s="1438"/>
      <c r="AK95" s="1438"/>
      <c r="AL95" s="1438"/>
      <c r="AM95" s="1438"/>
      <c r="AN95" s="1438"/>
      <c r="AO95" s="627"/>
      <c r="AP95" s="419"/>
      <c r="AQ95" s="719"/>
      <c r="AR95" s="719"/>
    </row>
    <row r="96" spans="1:44" hidden="1" x14ac:dyDescent="0.35">
      <c r="A96" s="419"/>
      <c r="C96" s="624"/>
      <c r="D96" s="1438"/>
      <c r="E96" s="1438"/>
      <c r="F96" s="1438"/>
      <c r="G96" s="1438"/>
      <c r="H96" s="1438"/>
      <c r="I96" s="1438"/>
      <c r="J96" s="1438"/>
      <c r="K96" s="627"/>
      <c r="L96" s="419"/>
      <c r="M96" s="719"/>
      <c r="N96" s="719"/>
      <c r="P96" s="419"/>
      <c r="Q96" s="1375"/>
      <c r="R96" s="624"/>
      <c r="S96" s="1438"/>
      <c r="T96" s="1438"/>
      <c r="U96" s="1438"/>
      <c r="V96" s="1438"/>
      <c r="W96" s="1438"/>
      <c r="X96" s="1438"/>
      <c r="Y96" s="1438"/>
      <c r="Z96" s="627"/>
      <c r="AA96" s="419"/>
      <c r="AB96" s="719"/>
      <c r="AC96" s="719"/>
      <c r="AE96" s="419"/>
      <c r="AF96" s="419"/>
      <c r="AG96" s="624"/>
      <c r="AH96" s="1438"/>
      <c r="AI96" s="1438"/>
      <c r="AJ96" s="1438"/>
      <c r="AK96" s="1438"/>
      <c r="AL96" s="1438"/>
      <c r="AM96" s="1438"/>
      <c r="AN96" s="1438"/>
      <c r="AO96" s="627"/>
      <c r="AP96" s="419"/>
      <c r="AQ96" s="719"/>
      <c r="AR96" s="719"/>
    </row>
    <row r="97" spans="1:44" hidden="1" x14ac:dyDescent="0.35">
      <c r="A97" s="419"/>
      <c r="C97" s="624"/>
      <c r="D97" s="1438"/>
      <c r="E97" s="1438"/>
      <c r="F97" s="1438"/>
      <c r="G97" s="1438"/>
      <c r="H97" s="1438"/>
      <c r="I97" s="1438"/>
      <c r="J97" s="1438"/>
      <c r="K97" s="627"/>
      <c r="L97" s="419"/>
      <c r="M97" s="719"/>
      <c r="N97" s="719"/>
      <c r="P97" s="419"/>
      <c r="Q97" s="1375"/>
      <c r="R97" s="624"/>
      <c r="S97" s="1438"/>
      <c r="T97" s="1438"/>
      <c r="U97" s="1438"/>
      <c r="V97" s="1438"/>
      <c r="W97" s="1438"/>
      <c r="X97" s="1438"/>
      <c r="Y97" s="1438"/>
      <c r="Z97" s="627"/>
      <c r="AA97" s="419"/>
      <c r="AB97" s="719"/>
      <c r="AC97" s="719"/>
      <c r="AE97" s="419"/>
      <c r="AF97" s="419"/>
      <c r="AG97" s="624"/>
      <c r="AH97" s="1438"/>
      <c r="AI97" s="1438"/>
      <c r="AJ97" s="1438"/>
      <c r="AK97" s="1438"/>
      <c r="AL97" s="1438"/>
      <c r="AM97" s="1438"/>
      <c r="AN97" s="1438"/>
      <c r="AO97" s="627"/>
      <c r="AP97" s="419"/>
      <c r="AQ97" s="719"/>
      <c r="AR97" s="719"/>
    </row>
    <row r="98" spans="1:44" hidden="1" x14ac:dyDescent="0.35">
      <c r="A98" s="419"/>
      <c r="C98" s="624"/>
      <c r="D98" s="626"/>
      <c r="E98" s="626"/>
      <c r="F98" s="626"/>
      <c r="G98" s="626"/>
      <c r="H98" s="626"/>
      <c r="I98" s="626"/>
      <c r="J98" s="626"/>
      <c r="K98" s="627"/>
      <c r="L98" s="419"/>
      <c r="M98" s="719"/>
      <c r="N98" s="719"/>
      <c r="P98" s="419"/>
      <c r="Q98" s="1375"/>
      <c r="R98" s="624"/>
      <c r="S98" s="626"/>
      <c r="T98" s="626"/>
      <c r="U98" s="626"/>
      <c r="V98" s="626"/>
      <c r="W98" s="626"/>
      <c r="X98" s="626"/>
      <c r="Y98" s="626"/>
      <c r="Z98" s="627"/>
      <c r="AA98" s="419"/>
      <c r="AB98" s="719"/>
      <c r="AC98" s="719"/>
      <c r="AE98" s="419"/>
      <c r="AF98" s="419"/>
      <c r="AG98" s="624"/>
      <c r="AH98" s="626"/>
      <c r="AI98" s="626"/>
      <c r="AJ98" s="626"/>
      <c r="AK98" s="626"/>
      <c r="AL98" s="626"/>
      <c r="AM98" s="626"/>
      <c r="AN98" s="626"/>
      <c r="AO98" s="627"/>
      <c r="AP98" s="419"/>
      <c r="AQ98" s="719"/>
      <c r="AR98" s="719"/>
    </row>
    <row r="99" spans="1:44" ht="18" hidden="1" x14ac:dyDescent="0.35">
      <c r="A99" s="419"/>
      <c r="C99" s="624"/>
      <c r="D99" s="628"/>
      <c r="E99" s="629" t="s">
        <v>240</v>
      </c>
      <c r="F99" s="629" t="s">
        <v>242</v>
      </c>
      <c r="G99" s="629" t="s">
        <v>243</v>
      </c>
      <c r="H99" s="629" t="s">
        <v>244</v>
      </c>
      <c r="I99" s="629" t="s">
        <v>238</v>
      </c>
      <c r="J99" s="629" t="s">
        <v>239</v>
      </c>
      <c r="K99" s="627"/>
      <c r="L99" s="419"/>
      <c r="M99" s="719"/>
      <c r="N99" s="719"/>
      <c r="P99" s="419"/>
      <c r="Q99" s="1375"/>
      <c r="R99" s="624"/>
      <c r="S99" s="628"/>
      <c r="T99" s="629" t="s">
        <v>240</v>
      </c>
      <c r="U99" s="629" t="s">
        <v>242</v>
      </c>
      <c r="V99" s="629" t="s">
        <v>243</v>
      </c>
      <c r="W99" s="629" t="s">
        <v>244</v>
      </c>
      <c r="X99" s="629" t="s">
        <v>238</v>
      </c>
      <c r="Y99" s="629" t="s">
        <v>239</v>
      </c>
      <c r="Z99" s="627"/>
      <c r="AA99" s="419"/>
      <c r="AB99" s="719"/>
      <c r="AC99" s="719"/>
      <c r="AE99" s="419"/>
      <c r="AF99" s="419"/>
      <c r="AG99" s="624"/>
      <c r="AH99" s="628"/>
      <c r="AI99" s="629" t="s">
        <v>240</v>
      </c>
      <c r="AJ99" s="629" t="s">
        <v>242</v>
      </c>
      <c r="AK99" s="629" t="s">
        <v>243</v>
      </c>
      <c r="AL99" s="629" t="s">
        <v>244</v>
      </c>
      <c r="AM99" s="629" t="s">
        <v>238</v>
      </c>
      <c r="AN99" s="629" t="s">
        <v>239</v>
      </c>
      <c r="AO99" s="627"/>
      <c r="AP99" s="419"/>
      <c r="AQ99" s="719"/>
      <c r="AR99" s="719"/>
    </row>
    <row r="100" spans="1:44" hidden="1" x14ac:dyDescent="0.35">
      <c r="A100" s="419"/>
      <c r="C100" s="624"/>
      <c r="D100" s="628" t="s">
        <v>178</v>
      </c>
      <c r="E100" s="617">
        <f ca="1">SUM(F100:J100)</f>
        <v>646282455</v>
      </c>
      <c r="F100" s="616">
        <f t="shared" ref="F100:J101" ca="1" si="27">F82</f>
        <v>97282699</v>
      </c>
      <c r="G100" s="616">
        <f t="shared" ca="1" si="27"/>
        <v>64870504</v>
      </c>
      <c r="H100" s="616">
        <f t="shared" ca="1" si="27"/>
        <v>198754842</v>
      </c>
      <c r="I100" s="616">
        <f t="shared" ca="1" si="27"/>
        <v>82489680</v>
      </c>
      <c r="J100" s="616">
        <f t="shared" ca="1" si="27"/>
        <v>202884730</v>
      </c>
      <c r="K100" s="627"/>
      <c r="L100" s="419"/>
      <c r="M100" s="719"/>
      <c r="N100" s="719"/>
      <c r="P100" s="419"/>
      <c r="Q100" s="1375"/>
      <c r="R100" s="624"/>
      <c r="S100" s="628" t="s">
        <v>178</v>
      </c>
      <c r="T100" s="617">
        <f ca="1">SUM(U100:Y100)</f>
        <v>668796931</v>
      </c>
      <c r="U100" s="616">
        <f t="shared" ref="U100:Y101" ca="1" si="28">U82</f>
        <v>100705851</v>
      </c>
      <c r="V100" s="616">
        <f t="shared" ca="1" si="28"/>
        <v>67225029</v>
      </c>
      <c r="W100" s="616">
        <f t="shared" ca="1" si="28"/>
        <v>205571762</v>
      </c>
      <c r="X100" s="616">
        <f t="shared" ca="1" si="28"/>
        <v>85435281</v>
      </c>
      <c r="Y100" s="616">
        <f t="shared" ca="1" si="28"/>
        <v>209859008</v>
      </c>
      <c r="Z100" s="627"/>
      <c r="AA100" s="419"/>
      <c r="AB100" s="719"/>
      <c r="AC100" s="719"/>
      <c r="AE100" s="419"/>
      <c r="AF100" s="419"/>
      <c r="AG100" s="624"/>
      <c r="AH100" s="628" t="s">
        <v>178</v>
      </c>
      <c r="AI100" s="617">
        <f ca="1">SUM(AJ100:AN100)</f>
        <v>690837279</v>
      </c>
      <c r="AJ100" s="616">
        <f t="shared" ref="AJ100:AN101" ca="1" si="29">AJ82</f>
        <v>104064914</v>
      </c>
      <c r="AK100" s="616">
        <f t="shared" ca="1" si="29"/>
        <v>69552146</v>
      </c>
      <c r="AL100" s="616">
        <f t="shared" ca="1" si="29"/>
        <v>212220048</v>
      </c>
      <c r="AM100" s="616">
        <f t="shared" ca="1" si="29"/>
        <v>88335702</v>
      </c>
      <c r="AN100" s="616">
        <f t="shared" ca="1" si="29"/>
        <v>216664469</v>
      </c>
      <c r="AO100" s="627"/>
      <c r="AP100" s="419"/>
      <c r="AQ100" s="719"/>
      <c r="AR100" s="719"/>
    </row>
    <row r="101" spans="1:44" hidden="1" x14ac:dyDescent="0.35">
      <c r="A101" s="419"/>
      <c r="C101" s="624"/>
      <c r="D101" s="628" t="s">
        <v>179</v>
      </c>
      <c r="E101" s="617">
        <f ca="1">SUM(F101:J101)</f>
        <v>249215036</v>
      </c>
      <c r="F101" s="616">
        <f t="shared" ca="1" si="27"/>
        <v>37382255.399999999</v>
      </c>
      <c r="G101" s="616">
        <f t="shared" ca="1" si="27"/>
        <v>12460751.800000001</v>
      </c>
      <c r="H101" s="616">
        <f t="shared" ca="1" si="27"/>
        <v>12460751.800000001</v>
      </c>
      <c r="I101" s="616">
        <f t="shared" ca="1" si="27"/>
        <v>12460751.800000001</v>
      </c>
      <c r="J101" s="616">
        <f t="shared" ca="1" si="27"/>
        <v>174450525.19999999</v>
      </c>
      <c r="K101" s="627"/>
      <c r="L101" s="419"/>
      <c r="M101" s="719"/>
      <c r="N101" s="719"/>
      <c r="P101" s="419"/>
      <c r="Q101" s="1375"/>
      <c r="R101" s="624"/>
      <c r="S101" s="628" t="s">
        <v>179</v>
      </c>
      <c r="T101" s="617">
        <f ca="1">SUM(U101:Y101)</f>
        <v>257770209</v>
      </c>
      <c r="U101" s="616">
        <f t="shared" ca="1" si="28"/>
        <v>38665531.350000001</v>
      </c>
      <c r="V101" s="616">
        <f t="shared" ca="1" si="28"/>
        <v>12888510.450000001</v>
      </c>
      <c r="W101" s="616">
        <f t="shared" ca="1" si="28"/>
        <v>12888510.450000001</v>
      </c>
      <c r="X101" s="616">
        <f t="shared" ca="1" si="28"/>
        <v>12888510.450000001</v>
      </c>
      <c r="Y101" s="616">
        <f t="shared" ca="1" si="28"/>
        <v>180439146.29999998</v>
      </c>
      <c r="Z101" s="627"/>
      <c r="AA101" s="419"/>
      <c r="AB101" s="719"/>
      <c r="AC101" s="719"/>
      <c r="AE101" s="419"/>
      <c r="AF101" s="419"/>
      <c r="AG101" s="624"/>
      <c r="AH101" s="628" t="s">
        <v>179</v>
      </c>
      <c r="AI101" s="617">
        <f ca="1">SUM(AJ101:AN101)</f>
        <v>266096559</v>
      </c>
      <c r="AJ101" s="616">
        <f t="shared" ca="1" si="29"/>
        <v>39914483.850000001</v>
      </c>
      <c r="AK101" s="616">
        <f t="shared" ca="1" si="29"/>
        <v>13304827.950000001</v>
      </c>
      <c r="AL101" s="616">
        <f t="shared" ca="1" si="29"/>
        <v>13304827.950000001</v>
      </c>
      <c r="AM101" s="616">
        <f t="shared" ca="1" si="29"/>
        <v>13304827.950000001</v>
      </c>
      <c r="AN101" s="616">
        <f t="shared" ca="1" si="29"/>
        <v>186267591.29999998</v>
      </c>
      <c r="AO101" s="627"/>
      <c r="AP101" s="419"/>
      <c r="AQ101" s="719"/>
      <c r="AR101" s="719"/>
    </row>
    <row r="102" spans="1:44" hidden="1" x14ac:dyDescent="0.35">
      <c r="A102" s="419"/>
      <c r="C102" s="624"/>
      <c r="D102" s="630" t="s">
        <v>149</v>
      </c>
      <c r="E102" s="631">
        <f t="shared" ref="E102:J102" ca="1" si="30">SUM(E100:E101)</f>
        <v>895497491</v>
      </c>
      <c r="F102" s="631">
        <f t="shared" ca="1" si="30"/>
        <v>134664954.40000001</v>
      </c>
      <c r="G102" s="631">
        <f t="shared" ca="1" si="30"/>
        <v>77331255.799999997</v>
      </c>
      <c r="H102" s="631">
        <f t="shared" ca="1" si="30"/>
        <v>211215593.80000001</v>
      </c>
      <c r="I102" s="631">
        <f t="shared" ca="1" si="30"/>
        <v>94950431.799999997</v>
      </c>
      <c r="J102" s="631">
        <f t="shared" ca="1" si="30"/>
        <v>377335255.19999999</v>
      </c>
      <c r="K102" s="627"/>
      <c r="L102" s="419"/>
      <c r="M102" s="719"/>
      <c r="N102" s="719"/>
      <c r="P102" s="419"/>
      <c r="Q102" s="1375"/>
      <c r="R102" s="624"/>
      <c r="S102" s="630" t="s">
        <v>149</v>
      </c>
      <c r="T102" s="631">
        <f t="shared" ref="T102:Y102" ca="1" si="31">SUM(T100:T101)</f>
        <v>926567140</v>
      </c>
      <c r="U102" s="631">
        <f t="shared" ca="1" si="31"/>
        <v>139371382.34999999</v>
      </c>
      <c r="V102" s="631">
        <f t="shared" ca="1" si="31"/>
        <v>80113539.450000003</v>
      </c>
      <c r="W102" s="631">
        <f t="shared" ca="1" si="31"/>
        <v>218460272.44999999</v>
      </c>
      <c r="X102" s="631">
        <f t="shared" ca="1" si="31"/>
        <v>98323791.450000003</v>
      </c>
      <c r="Y102" s="631">
        <f t="shared" ca="1" si="31"/>
        <v>390298154.29999995</v>
      </c>
      <c r="Z102" s="627"/>
      <c r="AA102" s="419"/>
      <c r="AB102" s="719"/>
      <c r="AC102" s="719"/>
      <c r="AE102" s="419"/>
      <c r="AF102" s="419"/>
      <c r="AG102" s="624"/>
      <c r="AH102" s="630" t="s">
        <v>149</v>
      </c>
      <c r="AI102" s="631">
        <f t="shared" ref="AI102:AN102" ca="1" si="32">SUM(AI100:AI101)</f>
        <v>956933838</v>
      </c>
      <c r="AJ102" s="631">
        <f t="shared" ca="1" si="32"/>
        <v>143979397.84999999</v>
      </c>
      <c r="AK102" s="631">
        <f t="shared" ca="1" si="32"/>
        <v>82856973.950000003</v>
      </c>
      <c r="AL102" s="631">
        <f t="shared" ca="1" si="32"/>
        <v>225524875.94999999</v>
      </c>
      <c r="AM102" s="631">
        <f t="shared" ca="1" si="32"/>
        <v>101640529.95</v>
      </c>
      <c r="AN102" s="631">
        <f t="shared" ca="1" si="32"/>
        <v>402932060.29999995</v>
      </c>
      <c r="AO102" s="627"/>
      <c r="AP102" s="419"/>
      <c r="AQ102" s="719"/>
      <c r="AR102" s="719"/>
    </row>
    <row r="103" spans="1:44" hidden="1" x14ac:dyDescent="0.35">
      <c r="A103" s="419"/>
      <c r="C103" s="624"/>
      <c r="D103" s="628"/>
      <c r="E103" s="632"/>
      <c r="F103" s="626"/>
      <c r="G103" s="626"/>
      <c r="H103" s="626"/>
      <c r="I103" s="626"/>
      <c r="J103" s="626"/>
      <c r="K103" s="627"/>
      <c r="L103" s="419"/>
      <c r="M103" s="719"/>
      <c r="N103" s="719"/>
      <c r="P103" s="419"/>
      <c r="Q103" s="1375"/>
      <c r="R103" s="624"/>
      <c r="S103" s="628"/>
      <c r="T103" s="632"/>
      <c r="U103" s="626"/>
      <c r="V103" s="626"/>
      <c r="W103" s="626"/>
      <c r="X103" s="626"/>
      <c r="Y103" s="626"/>
      <c r="Z103" s="627"/>
      <c r="AA103" s="419"/>
      <c r="AB103" s="719"/>
      <c r="AC103" s="719"/>
      <c r="AE103" s="419"/>
      <c r="AF103" s="419"/>
      <c r="AG103" s="624"/>
      <c r="AH103" s="628"/>
      <c r="AI103" s="632"/>
      <c r="AJ103" s="626"/>
      <c r="AK103" s="626"/>
      <c r="AL103" s="626"/>
      <c r="AM103" s="626"/>
      <c r="AN103" s="626"/>
      <c r="AO103" s="627"/>
      <c r="AP103" s="419"/>
      <c r="AQ103" s="719"/>
      <c r="AR103" s="719"/>
    </row>
    <row r="104" spans="1:44" hidden="1" x14ac:dyDescent="0.35">
      <c r="A104" s="419"/>
      <c r="C104" s="633"/>
      <c r="D104" s="634" t="s">
        <v>180</v>
      </c>
      <c r="E104" s="617">
        <f ca="1">SUM(F104:J104)</f>
        <v>341033076</v>
      </c>
      <c r="F104" s="616">
        <f ca="1">F74</f>
        <v>19173240</v>
      </c>
      <c r="G104" s="616">
        <f ca="1">G74</f>
        <v>24443050</v>
      </c>
      <c r="H104" s="616">
        <f ca="1">H74</f>
        <v>32092288</v>
      </c>
      <c r="I104" s="616">
        <f ca="1">I74</f>
        <v>19519848</v>
      </c>
      <c r="J104" s="616">
        <f ca="1">J74</f>
        <v>245804650</v>
      </c>
      <c r="K104" s="635"/>
      <c r="L104" s="419"/>
      <c r="M104" s="719"/>
      <c r="N104" s="719"/>
      <c r="P104" s="419"/>
      <c r="Q104" s="1375"/>
      <c r="R104" s="633"/>
      <c r="S104" s="634" t="s">
        <v>180</v>
      </c>
      <c r="T104" s="617">
        <f ca="1">SUM(U104:Y104)</f>
        <v>352227052</v>
      </c>
      <c r="U104" s="616">
        <f ca="1">U74</f>
        <v>20111565</v>
      </c>
      <c r="V104" s="616">
        <f ca="1">V74</f>
        <v>25539130</v>
      </c>
      <c r="W104" s="616">
        <f ca="1">W74</f>
        <v>34157556</v>
      </c>
      <c r="X104" s="616">
        <f ca="1">X74</f>
        <v>20502114</v>
      </c>
      <c r="Y104" s="616">
        <f ca="1">Y74</f>
        <v>251916687</v>
      </c>
      <c r="Z104" s="635"/>
      <c r="AA104" s="419"/>
      <c r="AB104" s="719"/>
      <c r="AC104" s="719"/>
      <c r="AE104" s="419"/>
      <c r="AF104" s="419"/>
      <c r="AG104" s="633"/>
      <c r="AH104" s="634" t="s">
        <v>180</v>
      </c>
      <c r="AI104" s="617">
        <f ca="1">SUM(AJ104:AN104)</f>
        <v>370233740</v>
      </c>
      <c r="AJ104" s="616">
        <f ca="1">AJ74</f>
        <v>20554171</v>
      </c>
      <c r="AK104" s="616">
        <f ca="1">AK74</f>
        <v>26170445</v>
      </c>
      <c r="AL104" s="616">
        <f ca="1">AL74</f>
        <v>35085526</v>
      </c>
      <c r="AM104" s="616">
        <f ca="1">AM74</f>
        <v>20934655</v>
      </c>
      <c r="AN104" s="616">
        <f ca="1">AN74</f>
        <v>267488943</v>
      </c>
      <c r="AO104" s="635"/>
      <c r="AP104" s="419"/>
      <c r="AQ104" s="719"/>
      <c r="AR104" s="719"/>
    </row>
    <row r="105" spans="1:44" hidden="1" x14ac:dyDescent="0.35">
      <c r="A105" s="419"/>
      <c r="C105" s="633"/>
      <c r="D105" s="634" t="s">
        <v>184</v>
      </c>
      <c r="E105" s="617">
        <f ca="1">K74</f>
        <v>149311147</v>
      </c>
      <c r="F105" s="616">
        <f ca="1">$K$74*F57/$E$57</f>
        <v>22396672.050000001</v>
      </c>
      <c r="G105" s="616">
        <f ca="1">$K$74*G57/$E$57</f>
        <v>7465557.3500000006</v>
      </c>
      <c r="H105" s="616">
        <f ca="1">$K$74*H57/$E$57</f>
        <v>7465557.3500000006</v>
      </c>
      <c r="I105" s="616">
        <f ca="1">$K$74*I57/$E$57</f>
        <v>7465557.3500000006</v>
      </c>
      <c r="J105" s="616">
        <f ca="1">$K$74*J57/$E$57</f>
        <v>104517802.89999999</v>
      </c>
      <c r="K105" s="635"/>
      <c r="L105" s="419"/>
      <c r="M105" s="719"/>
      <c r="N105" s="719"/>
      <c r="P105" s="419"/>
      <c r="Q105" s="1375"/>
      <c r="R105" s="633"/>
      <c r="S105" s="634" t="s">
        <v>184</v>
      </c>
      <c r="T105" s="617">
        <f ca="1">Z74</f>
        <v>154059859</v>
      </c>
      <c r="U105" s="616">
        <f ca="1">$K$74*U57/$E$57</f>
        <v>23165515.724472415</v>
      </c>
      <c r="V105" s="616">
        <f ca="1">$K$74*V57/$E$57</f>
        <v>7721838.5748241376</v>
      </c>
      <c r="W105" s="616">
        <f ca="1">$K$74*W57/$E$57</f>
        <v>7721838.5748241376</v>
      </c>
      <c r="X105" s="616">
        <f ca="1">$K$74*X57/$E$57</f>
        <v>7721838.5748241376</v>
      </c>
      <c r="Y105" s="616">
        <f ca="1">$K$74*Y57/$E$57</f>
        <v>108105740.04753792</v>
      </c>
      <c r="Z105" s="635"/>
      <c r="AA105" s="419"/>
      <c r="AB105" s="719"/>
      <c r="AC105" s="719"/>
      <c r="AE105" s="419"/>
      <c r="AF105" s="419"/>
      <c r="AG105" s="633"/>
      <c r="AH105" s="634" t="s">
        <v>184</v>
      </c>
      <c r="AI105" s="617">
        <f ca="1">AO74</f>
        <v>157895889</v>
      </c>
      <c r="AJ105" s="616">
        <f ca="1">$K$74*AJ57/$E$57</f>
        <v>23913795.335994396</v>
      </c>
      <c r="AK105" s="616">
        <f ca="1">$K$74*AK57/$E$57</f>
        <v>7971265.1119981334</v>
      </c>
      <c r="AL105" s="616">
        <f ca="1">$K$74*AL57/$E$57</f>
        <v>7971265.1119981334</v>
      </c>
      <c r="AM105" s="616">
        <f ca="1">$K$74*AM57/$E$57</f>
        <v>7971265.1119981334</v>
      </c>
      <c r="AN105" s="616">
        <f ca="1">$K$74*AN57/$E$57</f>
        <v>111597711.56797385</v>
      </c>
      <c r="AO105" s="635"/>
      <c r="AP105" s="419"/>
      <c r="AQ105" s="719"/>
      <c r="AR105" s="719"/>
    </row>
    <row r="106" spans="1:44" hidden="1" x14ac:dyDescent="0.35">
      <c r="A106" s="419"/>
      <c r="C106" s="633"/>
      <c r="D106" s="625" t="s">
        <v>181</v>
      </c>
      <c r="E106" s="631">
        <f t="shared" ref="E106:J106" ca="1" si="33">SUM(E104:E105)</f>
        <v>490344223</v>
      </c>
      <c r="F106" s="631">
        <f t="shared" ca="1" si="33"/>
        <v>41569912.049999997</v>
      </c>
      <c r="G106" s="631">
        <f t="shared" ca="1" si="33"/>
        <v>31908607.350000001</v>
      </c>
      <c r="H106" s="631">
        <f t="shared" ca="1" si="33"/>
        <v>39557845.350000001</v>
      </c>
      <c r="I106" s="631">
        <f t="shared" ca="1" si="33"/>
        <v>26985405.350000001</v>
      </c>
      <c r="J106" s="631">
        <f t="shared" ca="1" si="33"/>
        <v>350322452.89999998</v>
      </c>
      <c r="K106" s="635"/>
      <c r="L106" s="419"/>
      <c r="M106" s="719"/>
      <c r="N106" s="719"/>
      <c r="P106" s="419"/>
      <c r="Q106" s="1375"/>
      <c r="R106" s="633"/>
      <c r="S106" s="625" t="s">
        <v>181</v>
      </c>
      <c r="T106" s="631">
        <f t="shared" ref="T106:Y106" ca="1" si="34">SUM(T104:T105)</f>
        <v>506286911</v>
      </c>
      <c r="U106" s="631">
        <f t="shared" ca="1" si="34"/>
        <v>43277080.724472418</v>
      </c>
      <c r="V106" s="631">
        <f t="shared" ca="1" si="34"/>
        <v>33260968.574824139</v>
      </c>
      <c r="W106" s="631">
        <f t="shared" ca="1" si="34"/>
        <v>41879394.574824139</v>
      </c>
      <c r="X106" s="631">
        <f t="shared" ca="1" si="34"/>
        <v>28223952.574824139</v>
      </c>
      <c r="Y106" s="631">
        <f t="shared" ca="1" si="34"/>
        <v>360022427.04753792</v>
      </c>
      <c r="Z106" s="635"/>
      <c r="AA106" s="419"/>
      <c r="AB106" s="719"/>
      <c r="AC106" s="719"/>
      <c r="AE106" s="419"/>
      <c r="AF106" s="419"/>
      <c r="AG106" s="633"/>
      <c r="AH106" s="625" t="s">
        <v>181</v>
      </c>
      <c r="AI106" s="631">
        <f t="shared" ref="AI106:AN106" ca="1" si="35">SUM(AI104:AI105)</f>
        <v>528129629</v>
      </c>
      <c r="AJ106" s="631">
        <f t="shared" ca="1" si="35"/>
        <v>44467966.335994393</v>
      </c>
      <c r="AK106" s="631">
        <f t="shared" ca="1" si="35"/>
        <v>34141710.111998133</v>
      </c>
      <c r="AL106" s="631">
        <f t="shared" ca="1" si="35"/>
        <v>43056791.111998133</v>
      </c>
      <c r="AM106" s="631">
        <f t="shared" ca="1" si="35"/>
        <v>28905920.111998133</v>
      </c>
      <c r="AN106" s="631">
        <f t="shared" ca="1" si="35"/>
        <v>379086654.56797385</v>
      </c>
      <c r="AO106" s="635"/>
      <c r="AP106" s="419"/>
      <c r="AQ106" s="719"/>
      <c r="AR106" s="719"/>
    </row>
    <row r="107" spans="1:44" hidden="1" x14ac:dyDescent="0.35">
      <c r="A107" s="419"/>
      <c r="C107" s="633"/>
      <c r="D107" s="634"/>
      <c r="E107" s="636"/>
      <c r="F107" s="636"/>
      <c r="G107" s="636"/>
      <c r="H107" s="636"/>
      <c r="I107" s="636"/>
      <c r="J107" s="636"/>
      <c r="K107" s="635"/>
      <c r="L107" s="419"/>
      <c r="M107" s="719"/>
      <c r="N107" s="719"/>
      <c r="P107" s="419"/>
      <c r="Q107" s="1375"/>
      <c r="R107" s="633"/>
      <c r="S107" s="634"/>
      <c r="T107" s="636"/>
      <c r="U107" s="636"/>
      <c r="V107" s="636"/>
      <c r="W107" s="636"/>
      <c r="X107" s="636"/>
      <c r="Y107" s="636"/>
      <c r="Z107" s="635"/>
      <c r="AA107" s="419"/>
      <c r="AB107" s="719"/>
      <c r="AC107" s="719"/>
      <c r="AE107" s="419"/>
      <c r="AF107" s="419"/>
      <c r="AG107" s="633"/>
      <c r="AH107" s="634"/>
      <c r="AI107" s="636"/>
      <c r="AJ107" s="636"/>
      <c r="AK107" s="636"/>
      <c r="AL107" s="636"/>
      <c r="AM107" s="636"/>
      <c r="AN107" s="636"/>
      <c r="AO107" s="635"/>
      <c r="AP107" s="419"/>
      <c r="AQ107" s="719"/>
      <c r="AR107" s="719"/>
    </row>
    <row r="108" spans="1:44" hidden="1" x14ac:dyDescent="0.35">
      <c r="A108" s="419"/>
      <c r="C108" s="633"/>
      <c r="D108" s="625" t="s">
        <v>197</v>
      </c>
      <c r="E108" s="617">
        <f t="shared" ref="E108:J108" ca="1" si="36">E102-E106</f>
        <v>405153268</v>
      </c>
      <c r="F108" s="617">
        <f t="shared" ca="1" si="36"/>
        <v>93095042.350000009</v>
      </c>
      <c r="G108" s="617">
        <f t="shared" ca="1" si="36"/>
        <v>45422648.449999996</v>
      </c>
      <c r="H108" s="617">
        <f t="shared" ca="1" si="36"/>
        <v>171657748.45000002</v>
      </c>
      <c r="I108" s="617">
        <f t="shared" ca="1" si="36"/>
        <v>67965026.449999988</v>
      </c>
      <c r="J108" s="617">
        <f t="shared" ca="1" si="36"/>
        <v>27012802.300000012</v>
      </c>
      <c r="K108" s="635"/>
      <c r="L108" s="419"/>
      <c r="M108" s="719"/>
      <c r="N108" s="719"/>
      <c r="P108" s="419"/>
      <c r="Q108" s="1375"/>
      <c r="R108" s="633"/>
      <c r="S108" s="625" t="s">
        <v>197</v>
      </c>
      <c r="T108" s="617">
        <f t="shared" ref="T108:Y108" ca="1" si="37">T102-T106</f>
        <v>420280229</v>
      </c>
      <c r="U108" s="617">
        <f t="shared" ca="1" si="37"/>
        <v>96094301.625527576</v>
      </c>
      <c r="V108" s="617">
        <f t="shared" ca="1" si="37"/>
        <v>46852570.875175864</v>
      </c>
      <c r="W108" s="617">
        <f t="shared" ca="1" si="37"/>
        <v>176580877.87517583</v>
      </c>
      <c r="X108" s="617">
        <f t="shared" ca="1" si="37"/>
        <v>70099838.875175864</v>
      </c>
      <c r="Y108" s="617">
        <f t="shared" ca="1" si="37"/>
        <v>30275727.252462029</v>
      </c>
      <c r="Z108" s="635"/>
      <c r="AA108" s="419"/>
      <c r="AB108" s="719"/>
      <c r="AC108" s="719"/>
      <c r="AE108" s="419"/>
      <c r="AF108" s="419"/>
      <c r="AG108" s="633"/>
      <c r="AH108" s="625" t="s">
        <v>197</v>
      </c>
      <c r="AI108" s="617">
        <f t="shared" ref="AI108:AN108" ca="1" si="38">AI102-AI106</f>
        <v>428804209</v>
      </c>
      <c r="AJ108" s="617">
        <f t="shared" ca="1" si="38"/>
        <v>99511431.514005601</v>
      </c>
      <c r="AK108" s="617">
        <f t="shared" ca="1" si="38"/>
        <v>48715263.83800187</v>
      </c>
      <c r="AL108" s="617">
        <f t="shared" ca="1" si="38"/>
        <v>182468084.83800185</v>
      </c>
      <c r="AM108" s="617">
        <f t="shared" ca="1" si="38"/>
        <v>72734609.838001877</v>
      </c>
      <c r="AN108" s="617">
        <f t="shared" ca="1" si="38"/>
        <v>23845405.7320261</v>
      </c>
      <c r="AO108" s="635"/>
      <c r="AP108" s="419"/>
      <c r="AQ108" s="719"/>
      <c r="AR108" s="719"/>
    </row>
    <row r="109" spans="1:44" ht="9.3000000000000007" hidden="1" thickBot="1" x14ac:dyDescent="0.4">
      <c r="A109" s="419"/>
      <c r="C109" s="637"/>
      <c r="D109" s="638"/>
      <c r="E109" s="639"/>
      <c r="F109" s="639"/>
      <c r="G109" s="639"/>
      <c r="H109" s="639"/>
      <c r="I109" s="639"/>
      <c r="J109" s="639"/>
      <c r="K109" s="640"/>
      <c r="L109" s="419"/>
      <c r="M109" s="719"/>
      <c r="N109" s="719"/>
      <c r="P109" s="419"/>
      <c r="Q109" s="1375"/>
      <c r="R109" s="637"/>
      <c r="S109" s="638"/>
      <c r="T109" s="639"/>
      <c r="U109" s="639"/>
      <c r="V109" s="639"/>
      <c r="W109" s="639"/>
      <c r="X109" s="639"/>
      <c r="Y109" s="639"/>
      <c r="Z109" s="640"/>
      <c r="AA109" s="419"/>
      <c r="AB109" s="719"/>
      <c r="AC109" s="719"/>
      <c r="AE109" s="419"/>
      <c r="AF109" s="419"/>
      <c r="AG109" s="637"/>
      <c r="AH109" s="638"/>
      <c r="AI109" s="639"/>
      <c r="AJ109" s="639"/>
      <c r="AK109" s="639"/>
      <c r="AL109" s="639"/>
      <c r="AM109" s="639"/>
      <c r="AN109" s="639"/>
      <c r="AO109" s="640"/>
      <c r="AP109" s="419"/>
      <c r="AQ109" s="719"/>
      <c r="AR109" s="719"/>
    </row>
    <row r="110" spans="1:44" ht="9.3000000000000007" hidden="1" thickBot="1" x14ac:dyDescent="0.4">
      <c r="A110" s="419"/>
      <c r="C110" s="419"/>
      <c r="D110" s="419"/>
      <c r="E110" s="419"/>
      <c r="F110" s="419"/>
      <c r="G110" s="419"/>
      <c r="H110" s="419"/>
      <c r="I110" s="419"/>
      <c r="J110" s="419"/>
      <c r="K110" s="419"/>
      <c r="L110" s="419"/>
      <c r="M110" s="719"/>
      <c r="N110" s="719"/>
      <c r="P110" s="419"/>
      <c r="Q110" s="1375"/>
      <c r="R110" s="419"/>
      <c r="S110" s="419"/>
      <c r="T110" s="419"/>
      <c r="U110" s="419"/>
      <c r="V110" s="419"/>
      <c r="W110" s="419"/>
      <c r="X110" s="419"/>
      <c r="Y110" s="419"/>
      <c r="Z110" s="419"/>
      <c r="AA110" s="419"/>
      <c r="AB110" s="719"/>
      <c r="AC110" s="719"/>
      <c r="AE110" s="419"/>
      <c r="AF110" s="419"/>
      <c r="AG110" s="419"/>
      <c r="AH110" s="419"/>
      <c r="AI110" s="419"/>
      <c r="AJ110" s="419"/>
      <c r="AK110" s="419"/>
      <c r="AL110" s="419"/>
      <c r="AM110" s="419"/>
      <c r="AN110" s="419"/>
      <c r="AO110" s="419"/>
      <c r="AP110" s="419"/>
      <c r="AQ110" s="719"/>
      <c r="AR110" s="719"/>
    </row>
    <row r="111" spans="1:44" hidden="1" x14ac:dyDescent="0.35">
      <c r="A111" s="419"/>
      <c r="C111" s="621"/>
      <c r="D111" s="641"/>
      <c r="E111" s="622"/>
      <c r="F111" s="622"/>
      <c r="G111" s="622"/>
      <c r="H111" s="622"/>
      <c r="I111" s="622"/>
      <c r="J111" s="622"/>
      <c r="K111" s="623"/>
      <c r="L111" s="419"/>
      <c r="M111" s="719"/>
      <c r="N111" s="719"/>
      <c r="P111" s="419"/>
      <c r="Q111" s="1375"/>
      <c r="R111" s="621"/>
      <c r="S111" s="641"/>
      <c r="T111" s="622"/>
      <c r="U111" s="622"/>
      <c r="V111" s="622"/>
      <c r="W111" s="622"/>
      <c r="X111" s="622"/>
      <c r="Y111" s="622"/>
      <c r="Z111" s="623"/>
      <c r="AA111" s="419"/>
      <c r="AB111" s="719"/>
      <c r="AC111" s="719"/>
      <c r="AE111" s="419"/>
      <c r="AF111" s="419"/>
      <c r="AG111" s="621"/>
      <c r="AH111" s="641"/>
      <c r="AI111" s="622"/>
      <c r="AJ111" s="622"/>
      <c r="AK111" s="622"/>
      <c r="AL111" s="622"/>
      <c r="AM111" s="622"/>
      <c r="AN111" s="622"/>
      <c r="AO111" s="623"/>
      <c r="AP111" s="419"/>
      <c r="AQ111" s="719"/>
      <c r="AR111" s="719"/>
    </row>
    <row r="112" spans="1:44" ht="18" hidden="1" x14ac:dyDescent="0.35">
      <c r="A112" s="419"/>
      <c r="C112" s="624"/>
      <c r="D112" s="630" t="s">
        <v>183</v>
      </c>
      <c r="E112" s="626"/>
      <c r="F112" s="626"/>
      <c r="G112" s="626"/>
      <c r="H112" s="626"/>
      <c r="I112" s="626"/>
      <c r="J112" s="626"/>
      <c r="K112" s="627"/>
      <c r="L112" s="419"/>
      <c r="M112" s="719"/>
      <c r="N112" s="719"/>
      <c r="P112" s="419"/>
      <c r="Q112" s="1375"/>
      <c r="R112" s="624"/>
      <c r="S112" s="630" t="s">
        <v>183</v>
      </c>
      <c r="T112" s="626"/>
      <c r="U112" s="626"/>
      <c r="V112" s="626"/>
      <c r="W112" s="626"/>
      <c r="X112" s="626"/>
      <c r="Y112" s="626"/>
      <c r="Z112" s="627"/>
      <c r="AA112" s="419"/>
      <c r="AB112" s="719"/>
      <c r="AC112" s="719"/>
      <c r="AE112" s="419"/>
      <c r="AF112" s="419"/>
      <c r="AG112" s="624"/>
      <c r="AH112" s="630" t="s">
        <v>183</v>
      </c>
      <c r="AI112" s="626"/>
      <c r="AJ112" s="626"/>
      <c r="AK112" s="626"/>
      <c r="AL112" s="626"/>
      <c r="AM112" s="626"/>
      <c r="AN112" s="626"/>
      <c r="AO112" s="627"/>
      <c r="AP112" s="419"/>
      <c r="AQ112" s="719"/>
      <c r="AR112" s="719"/>
    </row>
    <row r="113" spans="1:44" hidden="1" x14ac:dyDescent="0.35">
      <c r="A113" s="419"/>
      <c r="C113" s="624"/>
      <c r="D113" s="1438" t="s">
        <v>487</v>
      </c>
      <c r="E113" s="1438"/>
      <c r="F113" s="1438"/>
      <c r="G113" s="1438"/>
      <c r="H113" s="1438"/>
      <c r="I113" s="1438"/>
      <c r="J113" s="1438"/>
      <c r="K113" s="642"/>
      <c r="L113" s="419"/>
      <c r="M113" s="719"/>
      <c r="N113" s="719"/>
      <c r="P113" s="419"/>
      <c r="Q113" s="1375"/>
      <c r="R113" s="624"/>
      <c r="S113" s="1438" t="s">
        <v>487</v>
      </c>
      <c r="T113" s="1438"/>
      <c r="U113" s="1438"/>
      <c r="V113" s="1438"/>
      <c r="W113" s="1438"/>
      <c r="X113" s="1438"/>
      <c r="Y113" s="1438"/>
      <c r="Z113" s="642"/>
      <c r="AA113" s="419"/>
      <c r="AB113" s="719"/>
      <c r="AC113" s="719"/>
      <c r="AE113" s="419"/>
      <c r="AF113" s="419"/>
      <c r="AG113" s="624"/>
      <c r="AH113" s="1438" t="s">
        <v>487</v>
      </c>
      <c r="AI113" s="1438"/>
      <c r="AJ113" s="1438"/>
      <c r="AK113" s="1438"/>
      <c r="AL113" s="1438"/>
      <c r="AM113" s="1438"/>
      <c r="AN113" s="1438"/>
      <c r="AO113" s="642"/>
      <c r="AP113" s="419"/>
      <c r="AQ113" s="719"/>
      <c r="AR113" s="719"/>
    </row>
    <row r="114" spans="1:44" hidden="1" x14ac:dyDescent="0.35">
      <c r="A114" s="419"/>
      <c r="C114" s="624"/>
      <c r="D114" s="1438"/>
      <c r="E114" s="1438"/>
      <c r="F114" s="1438"/>
      <c r="G114" s="1438"/>
      <c r="H114" s="1438"/>
      <c r="I114" s="1438"/>
      <c r="J114" s="1438"/>
      <c r="K114" s="642"/>
      <c r="L114" s="419"/>
      <c r="M114" s="719"/>
      <c r="N114" s="719"/>
      <c r="P114" s="419"/>
      <c r="Q114" s="1375"/>
      <c r="R114" s="624"/>
      <c r="S114" s="1438"/>
      <c r="T114" s="1438"/>
      <c r="U114" s="1438"/>
      <c r="V114" s="1438"/>
      <c r="W114" s="1438"/>
      <c r="X114" s="1438"/>
      <c r="Y114" s="1438"/>
      <c r="Z114" s="642"/>
      <c r="AA114" s="419"/>
      <c r="AB114" s="719"/>
      <c r="AC114" s="719"/>
      <c r="AE114" s="419"/>
      <c r="AF114" s="419"/>
      <c r="AG114" s="624"/>
      <c r="AH114" s="1438"/>
      <c r="AI114" s="1438"/>
      <c r="AJ114" s="1438"/>
      <c r="AK114" s="1438"/>
      <c r="AL114" s="1438"/>
      <c r="AM114" s="1438"/>
      <c r="AN114" s="1438"/>
      <c r="AO114" s="642"/>
      <c r="AP114" s="419"/>
      <c r="AQ114" s="719"/>
      <c r="AR114" s="719"/>
    </row>
    <row r="115" spans="1:44" hidden="1" x14ac:dyDescent="0.35">
      <c r="A115" s="419"/>
      <c r="C115" s="624"/>
      <c r="D115" s="626"/>
      <c r="E115" s="626"/>
      <c r="F115" s="626"/>
      <c r="G115" s="626"/>
      <c r="H115" s="626"/>
      <c r="I115" s="626"/>
      <c r="J115" s="626"/>
      <c r="K115" s="627"/>
      <c r="L115" s="419"/>
      <c r="M115" s="719"/>
      <c r="N115" s="719"/>
      <c r="P115" s="419"/>
      <c r="Q115" s="1375"/>
      <c r="R115" s="624"/>
      <c r="S115" s="626"/>
      <c r="T115" s="626"/>
      <c r="U115" s="626"/>
      <c r="V115" s="626"/>
      <c r="W115" s="626"/>
      <c r="X115" s="626"/>
      <c r="Y115" s="626"/>
      <c r="Z115" s="627"/>
      <c r="AA115" s="419"/>
      <c r="AB115" s="719"/>
      <c r="AC115" s="719"/>
      <c r="AE115" s="419"/>
      <c r="AF115" s="419"/>
      <c r="AG115" s="624"/>
      <c r="AH115" s="626"/>
      <c r="AI115" s="626"/>
      <c r="AJ115" s="626"/>
      <c r="AK115" s="626"/>
      <c r="AL115" s="626"/>
      <c r="AM115" s="626"/>
      <c r="AN115" s="626"/>
      <c r="AO115" s="627"/>
      <c r="AP115" s="419"/>
      <c r="AQ115" s="719"/>
      <c r="AR115" s="719"/>
    </row>
    <row r="116" spans="1:44" ht="18" hidden="1" x14ac:dyDescent="0.35">
      <c r="A116" s="419"/>
      <c r="C116" s="624"/>
      <c r="D116" s="626"/>
      <c r="E116" s="629" t="s">
        <v>240</v>
      </c>
      <c r="F116" s="629" t="s">
        <v>242</v>
      </c>
      <c r="G116" s="629" t="s">
        <v>243</v>
      </c>
      <c r="H116" s="629" t="s">
        <v>244</v>
      </c>
      <c r="I116" s="629" t="s">
        <v>238</v>
      </c>
      <c r="J116" s="629" t="s">
        <v>239</v>
      </c>
      <c r="K116" s="627"/>
      <c r="L116" s="419"/>
      <c r="M116" s="719"/>
      <c r="N116" s="719"/>
      <c r="P116" s="419"/>
      <c r="Q116" s="1375"/>
      <c r="R116" s="624"/>
      <c r="S116" s="626"/>
      <c r="T116" s="629" t="s">
        <v>240</v>
      </c>
      <c r="U116" s="629" t="s">
        <v>242</v>
      </c>
      <c r="V116" s="629" t="s">
        <v>243</v>
      </c>
      <c r="W116" s="629" t="s">
        <v>244</v>
      </c>
      <c r="X116" s="629" t="s">
        <v>238</v>
      </c>
      <c r="Y116" s="629" t="s">
        <v>239</v>
      </c>
      <c r="Z116" s="627"/>
      <c r="AA116" s="419"/>
      <c r="AB116" s="719"/>
      <c r="AC116" s="719"/>
      <c r="AE116" s="419"/>
      <c r="AF116" s="419"/>
      <c r="AG116" s="624"/>
      <c r="AH116" s="626"/>
      <c r="AI116" s="629" t="s">
        <v>240</v>
      </c>
      <c r="AJ116" s="629" t="s">
        <v>242</v>
      </c>
      <c r="AK116" s="629" t="s">
        <v>243</v>
      </c>
      <c r="AL116" s="629" t="s">
        <v>244</v>
      </c>
      <c r="AM116" s="629" t="s">
        <v>238</v>
      </c>
      <c r="AN116" s="629" t="s">
        <v>239</v>
      </c>
      <c r="AO116" s="627"/>
      <c r="AP116" s="419"/>
      <c r="AQ116" s="719"/>
      <c r="AR116" s="719"/>
    </row>
    <row r="117" spans="1:44" hidden="1" x14ac:dyDescent="0.35">
      <c r="A117" s="419"/>
      <c r="C117" s="624"/>
      <c r="D117" s="410" t="s">
        <v>143</v>
      </c>
      <c r="E117" s="617">
        <f ca="1">SUM(F117:J117)</f>
        <v>895497491</v>
      </c>
      <c r="F117" s="616">
        <f ca="1">F102</f>
        <v>134664954.40000001</v>
      </c>
      <c r="G117" s="616">
        <f ca="1">G102</f>
        <v>77331255.799999997</v>
      </c>
      <c r="H117" s="616">
        <f ca="1">H102</f>
        <v>211215593.80000001</v>
      </c>
      <c r="I117" s="616">
        <f ca="1">I102</f>
        <v>94950431.799999997</v>
      </c>
      <c r="J117" s="616">
        <f ca="1">J102</f>
        <v>377335255.19999999</v>
      </c>
      <c r="K117" s="627"/>
      <c r="L117" s="419"/>
      <c r="M117" s="719"/>
      <c r="N117" s="719"/>
      <c r="P117" s="419"/>
      <c r="Q117" s="1375"/>
      <c r="R117" s="624"/>
      <c r="S117" s="410" t="s">
        <v>143</v>
      </c>
      <c r="T117" s="617">
        <f ca="1">SUM(U117:Y117)</f>
        <v>926567140</v>
      </c>
      <c r="U117" s="616">
        <f ca="1">U102</f>
        <v>139371382.34999999</v>
      </c>
      <c r="V117" s="616">
        <f ca="1">V102</f>
        <v>80113539.450000003</v>
      </c>
      <c r="W117" s="616">
        <f ca="1">W102</f>
        <v>218460272.44999999</v>
      </c>
      <c r="X117" s="616">
        <f ca="1">X102</f>
        <v>98323791.450000003</v>
      </c>
      <c r="Y117" s="616">
        <f ca="1">Y102</f>
        <v>390298154.29999995</v>
      </c>
      <c r="Z117" s="627"/>
      <c r="AA117" s="419"/>
      <c r="AB117" s="719"/>
      <c r="AC117" s="719"/>
      <c r="AE117" s="419"/>
      <c r="AF117" s="419"/>
      <c r="AG117" s="624"/>
      <c r="AH117" s="410" t="s">
        <v>143</v>
      </c>
      <c r="AI117" s="617">
        <f ca="1">SUM(AJ117:AN117)</f>
        <v>956933838</v>
      </c>
      <c r="AJ117" s="616">
        <f ca="1">AJ102</f>
        <v>143979397.84999999</v>
      </c>
      <c r="AK117" s="616">
        <f ca="1">AK102</f>
        <v>82856973.950000003</v>
      </c>
      <c r="AL117" s="616">
        <f ca="1">AL102</f>
        <v>225524875.94999999</v>
      </c>
      <c r="AM117" s="616">
        <f ca="1">AM102</f>
        <v>101640529.95</v>
      </c>
      <c r="AN117" s="616">
        <f ca="1">AN102</f>
        <v>402932060.29999995</v>
      </c>
      <c r="AO117" s="627"/>
      <c r="AP117" s="419"/>
      <c r="AQ117" s="719"/>
      <c r="AR117" s="719"/>
    </row>
    <row r="118" spans="1:44" ht="18" hidden="1" x14ac:dyDescent="0.35">
      <c r="A118" s="419"/>
      <c r="C118" s="624"/>
      <c r="D118" s="628" t="s">
        <v>488</v>
      </c>
      <c r="E118" s="643"/>
      <c r="F118" s="644"/>
      <c r="G118" s="644"/>
      <c r="H118" s="644"/>
      <c r="I118" s="644"/>
      <c r="J118" s="619"/>
      <c r="K118" s="627"/>
      <c r="L118" s="419"/>
      <c r="M118" s="719"/>
      <c r="N118" s="719"/>
      <c r="P118" s="419"/>
      <c r="Q118" s="1375"/>
      <c r="R118" s="624"/>
      <c r="S118" s="628" t="s">
        <v>488</v>
      </c>
      <c r="T118" s="643"/>
      <c r="U118" s="644"/>
      <c r="V118" s="644"/>
      <c r="W118" s="644"/>
      <c r="X118" s="644"/>
      <c r="Y118" s="619"/>
      <c r="Z118" s="627"/>
      <c r="AA118" s="419"/>
      <c r="AB118" s="719"/>
      <c r="AC118" s="719"/>
      <c r="AE118" s="419"/>
      <c r="AF118" s="419"/>
      <c r="AG118" s="624"/>
      <c r="AH118" s="628" t="s">
        <v>488</v>
      </c>
      <c r="AI118" s="643"/>
      <c r="AJ118" s="644"/>
      <c r="AK118" s="644"/>
      <c r="AL118" s="644"/>
      <c r="AM118" s="644"/>
      <c r="AN118" s="619"/>
      <c r="AO118" s="627"/>
      <c r="AP118" s="419"/>
      <c r="AQ118" s="719"/>
      <c r="AR118" s="719"/>
    </row>
    <row r="119" spans="1:44" hidden="1" x14ac:dyDescent="0.35">
      <c r="A119" s="419"/>
      <c r="C119" s="624"/>
      <c r="D119" s="628" t="s">
        <v>176</v>
      </c>
      <c r="E119" s="617">
        <f ca="1">SUM(F119:J119)</f>
        <v>27012802.300000012</v>
      </c>
      <c r="F119" s="616">
        <f ca="1">F117*F118</f>
        <v>0</v>
      </c>
      <c r="G119" s="616">
        <f ca="1">G117*G118</f>
        <v>0</v>
      </c>
      <c r="H119" s="616">
        <f ca="1">H117*H118</f>
        <v>0</v>
      </c>
      <c r="I119" s="616">
        <f ca="1">I117*I118</f>
        <v>0</v>
      </c>
      <c r="J119" s="616">
        <f ca="1">J108</f>
        <v>27012802.300000012</v>
      </c>
      <c r="K119" s="627"/>
      <c r="L119" s="419"/>
      <c r="M119" s="719"/>
      <c r="N119" s="719"/>
      <c r="P119" s="419"/>
      <c r="Q119" s="1375"/>
      <c r="R119" s="624"/>
      <c r="S119" s="628" t="s">
        <v>176</v>
      </c>
      <c r="T119" s="617">
        <f ca="1">SUM(U119:Y119)</f>
        <v>30275727.252462029</v>
      </c>
      <c r="U119" s="616">
        <f ca="1">U117*U118</f>
        <v>0</v>
      </c>
      <c r="V119" s="616">
        <f ca="1">V117*V118</f>
        <v>0</v>
      </c>
      <c r="W119" s="616">
        <f ca="1">W117*W118</f>
        <v>0</v>
      </c>
      <c r="X119" s="616">
        <f ca="1">X117*X118</f>
        <v>0</v>
      </c>
      <c r="Y119" s="616">
        <f ca="1">Y108</f>
        <v>30275727.252462029</v>
      </c>
      <c r="Z119" s="627"/>
      <c r="AA119" s="419"/>
      <c r="AB119" s="719"/>
      <c r="AC119" s="719"/>
      <c r="AE119" s="419"/>
      <c r="AF119" s="419"/>
      <c r="AG119" s="624"/>
      <c r="AH119" s="628" t="s">
        <v>176</v>
      </c>
      <c r="AI119" s="617">
        <f ca="1">SUM(AJ119:AN119)</f>
        <v>23845405.7320261</v>
      </c>
      <c r="AJ119" s="616">
        <f ca="1">AJ117*AJ118</f>
        <v>0</v>
      </c>
      <c r="AK119" s="616">
        <f ca="1">AK117*AK118</f>
        <v>0</v>
      </c>
      <c r="AL119" s="616">
        <f ca="1">AL117*AL118</f>
        <v>0</v>
      </c>
      <c r="AM119" s="616">
        <f ca="1">AM117*AM118</f>
        <v>0</v>
      </c>
      <c r="AN119" s="616">
        <f ca="1">AN108</f>
        <v>23845405.7320261</v>
      </c>
      <c r="AO119" s="627"/>
      <c r="AP119" s="419"/>
      <c r="AQ119" s="719"/>
      <c r="AR119" s="719"/>
    </row>
    <row r="120" spans="1:44" ht="9.3000000000000007" hidden="1" thickBot="1" x14ac:dyDescent="0.4">
      <c r="A120" s="419"/>
      <c r="C120" s="637"/>
      <c r="D120" s="638"/>
      <c r="E120" s="645"/>
      <c r="F120" s="645"/>
      <c r="G120" s="645"/>
      <c r="H120" s="645"/>
      <c r="I120" s="645"/>
      <c r="J120" s="645"/>
      <c r="K120" s="640"/>
      <c r="L120" s="419"/>
      <c r="M120" s="719"/>
      <c r="N120" s="719"/>
      <c r="P120" s="419"/>
      <c r="Q120" s="1375"/>
      <c r="R120" s="637"/>
      <c r="S120" s="638"/>
      <c r="T120" s="645"/>
      <c r="U120" s="645"/>
      <c r="V120" s="645"/>
      <c r="W120" s="645"/>
      <c r="X120" s="645"/>
      <c r="Y120" s="645"/>
      <c r="Z120" s="640"/>
      <c r="AA120" s="419"/>
      <c r="AB120" s="719"/>
      <c r="AC120" s="719"/>
      <c r="AE120" s="419"/>
      <c r="AF120" s="419"/>
      <c r="AG120" s="637"/>
      <c r="AH120" s="638"/>
      <c r="AI120" s="645"/>
      <c r="AJ120" s="645"/>
      <c r="AK120" s="645"/>
      <c r="AL120" s="645"/>
      <c r="AM120" s="645"/>
      <c r="AN120" s="645"/>
      <c r="AO120" s="640"/>
      <c r="AP120" s="419"/>
      <c r="AQ120" s="719"/>
      <c r="AR120" s="719"/>
    </row>
    <row r="121" spans="1:44" hidden="1" x14ac:dyDescent="0.35">
      <c r="A121" s="419"/>
      <c r="C121" s="646"/>
      <c r="D121" s="647"/>
      <c r="E121" s="647"/>
      <c r="F121" s="647"/>
      <c r="G121" s="647"/>
      <c r="H121" s="647"/>
      <c r="I121" s="647"/>
      <c r="J121" s="647"/>
      <c r="K121" s="648"/>
      <c r="L121" s="419"/>
      <c r="M121" s="719"/>
      <c r="N121" s="719"/>
      <c r="P121" s="419"/>
      <c r="Q121" s="1375"/>
      <c r="R121" s="646"/>
      <c r="S121" s="647"/>
      <c r="T121" s="647"/>
      <c r="U121" s="647"/>
      <c r="V121" s="647"/>
      <c r="W121" s="647"/>
      <c r="X121" s="647"/>
      <c r="Y121" s="647"/>
      <c r="Z121" s="648"/>
      <c r="AA121" s="419"/>
      <c r="AB121" s="719"/>
      <c r="AC121" s="719"/>
      <c r="AE121" s="419"/>
      <c r="AF121" s="419"/>
      <c r="AG121" s="646"/>
      <c r="AH121" s="647"/>
      <c r="AI121" s="647"/>
      <c r="AJ121" s="647"/>
      <c r="AK121" s="647"/>
      <c r="AL121" s="647"/>
      <c r="AM121" s="647"/>
      <c r="AN121" s="647"/>
      <c r="AO121" s="648"/>
      <c r="AP121" s="419"/>
      <c r="AQ121" s="719"/>
      <c r="AR121" s="719"/>
    </row>
    <row r="122" spans="1:44" hidden="1" x14ac:dyDescent="0.35">
      <c r="A122" s="419"/>
      <c r="C122" s="649"/>
      <c r="D122" s="593" t="s">
        <v>187</v>
      </c>
      <c r="K122" s="650"/>
      <c r="L122" s="419"/>
      <c r="M122" s="719"/>
      <c r="N122" s="719"/>
      <c r="P122" s="419"/>
      <c r="Q122" s="1375"/>
      <c r="R122" s="649"/>
      <c r="S122" s="593" t="s">
        <v>187</v>
      </c>
      <c r="Z122" s="650"/>
      <c r="AA122" s="419"/>
      <c r="AB122" s="719"/>
      <c r="AC122" s="719"/>
      <c r="AE122" s="419"/>
      <c r="AF122" s="419"/>
      <c r="AG122" s="649"/>
      <c r="AH122" s="593" t="s">
        <v>187</v>
      </c>
      <c r="AO122" s="650"/>
      <c r="AP122" s="419"/>
      <c r="AQ122" s="719"/>
      <c r="AR122" s="719"/>
    </row>
    <row r="123" spans="1:44" hidden="1" x14ac:dyDescent="0.35">
      <c r="A123" s="419"/>
      <c r="C123" s="649"/>
      <c r="D123" s="1438" t="s">
        <v>188</v>
      </c>
      <c r="E123" s="1438"/>
      <c r="F123" s="1438"/>
      <c r="G123" s="1438"/>
      <c r="H123" s="1438"/>
      <c r="I123" s="1438"/>
      <c r="J123" s="1438"/>
      <c r="K123" s="650"/>
      <c r="L123" s="419"/>
      <c r="M123" s="719"/>
      <c r="N123" s="719"/>
      <c r="P123" s="419"/>
      <c r="Q123" s="1375"/>
      <c r="R123" s="649"/>
      <c r="S123" s="1438" t="s">
        <v>188</v>
      </c>
      <c r="T123" s="1438"/>
      <c r="U123" s="1438"/>
      <c r="V123" s="1438"/>
      <c r="W123" s="1438"/>
      <c r="X123" s="1438"/>
      <c r="Y123" s="1438"/>
      <c r="Z123" s="650"/>
      <c r="AA123" s="419"/>
      <c r="AB123" s="719"/>
      <c r="AC123" s="719"/>
      <c r="AE123" s="419"/>
      <c r="AF123" s="419"/>
      <c r="AG123" s="649"/>
      <c r="AH123" s="1438" t="s">
        <v>188</v>
      </c>
      <c r="AI123" s="1438"/>
      <c r="AJ123" s="1438"/>
      <c r="AK123" s="1438"/>
      <c r="AL123" s="1438"/>
      <c r="AM123" s="1438"/>
      <c r="AN123" s="1438"/>
      <c r="AO123" s="650"/>
      <c r="AP123" s="419"/>
      <c r="AQ123" s="719"/>
      <c r="AR123" s="719"/>
    </row>
    <row r="124" spans="1:44" hidden="1" x14ac:dyDescent="0.35">
      <c r="A124" s="419"/>
      <c r="C124" s="649"/>
      <c r="D124" s="1438"/>
      <c r="E124" s="1438"/>
      <c r="F124" s="1438"/>
      <c r="G124" s="1438"/>
      <c r="H124" s="1438"/>
      <c r="I124" s="1438"/>
      <c r="J124" s="1438"/>
      <c r="K124" s="650"/>
      <c r="L124" s="419"/>
      <c r="M124" s="719"/>
      <c r="N124" s="719"/>
      <c r="P124" s="419"/>
      <c r="Q124" s="1375"/>
      <c r="R124" s="649"/>
      <c r="S124" s="1438"/>
      <c r="T124" s="1438"/>
      <c r="U124" s="1438"/>
      <c r="V124" s="1438"/>
      <c r="W124" s="1438"/>
      <c r="X124" s="1438"/>
      <c r="Y124" s="1438"/>
      <c r="Z124" s="650"/>
      <c r="AA124" s="419"/>
      <c r="AB124" s="719"/>
      <c r="AC124" s="719"/>
      <c r="AE124" s="419"/>
      <c r="AF124" s="419"/>
      <c r="AG124" s="649"/>
      <c r="AH124" s="1438"/>
      <c r="AI124" s="1438"/>
      <c r="AJ124" s="1438"/>
      <c r="AK124" s="1438"/>
      <c r="AL124" s="1438"/>
      <c r="AM124" s="1438"/>
      <c r="AN124" s="1438"/>
      <c r="AO124" s="650"/>
      <c r="AP124" s="419"/>
      <c r="AQ124" s="719"/>
      <c r="AR124" s="719"/>
    </row>
    <row r="125" spans="1:44" hidden="1" x14ac:dyDescent="0.35">
      <c r="A125" s="419"/>
      <c r="C125" s="649"/>
      <c r="K125" s="650"/>
      <c r="L125" s="419"/>
      <c r="M125" s="719"/>
      <c r="N125" s="719"/>
      <c r="P125" s="419"/>
      <c r="Q125" s="1375"/>
      <c r="R125" s="649"/>
      <c r="Z125" s="650"/>
      <c r="AA125" s="419"/>
      <c r="AB125" s="719"/>
      <c r="AC125" s="719"/>
      <c r="AE125" s="419"/>
      <c r="AF125" s="419"/>
      <c r="AG125" s="649"/>
      <c r="AO125" s="650"/>
      <c r="AP125" s="419"/>
      <c r="AQ125" s="719"/>
      <c r="AR125" s="719"/>
    </row>
    <row r="126" spans="1:44" ht="18" hidden="1" x14ac:dyDescent="0.35">
      <c r="A126" s="419"/>
      <c r="C126" s="649"/>
      <c r="E126" s="629" t="s">
        <v>240</v>
      </c>
      <c r="F126" s="629" t="s">
        <v>242</v>
      </c>
      <c r="G126" s="629" t="s">
        <v>243</v>
      </c>
      <c r="H126" s="629" t="s">
        <v>244</v>
      </c>
      <c r="I126" s="629" t="s">
        <v>238</v>
      </c>
      <c r="J126" s="629" t="s">
        <v>239</v>
      </c>
      <c r="K126" s="650"/>
      <c r="L126" s="419"/>
      <c r="M126" s="719"/>
      <c r="N126" s="719"/>
      <c r="P126" s="419"/>
      <c r="Q126" s="1375"/>
      <c r="R126" s="649"/>
      <c r="T126" s="629" t="s">
        <v>240</v>
      </c>
      <c r="U126" s="629" t="s">
        <v>242</v>
      </c>
      <c r="V126" s="629" t="s">
        <v>243</v>
      </c>
      <c r="W126" s="629" t="s">
        <v>244</v>
      </c>
      <c r="X126" s="629" t="s">
        <v>238</v>
      </c>
      <c r="Y126" s="629" t="s">
        <v>239</v>
      </c>
      <c r="Z126" s="650"/>
      <c r="AA126" s="419"/>
      <c r="AB126" s="719"/>
      <c r="AC126" s="719"/>
      <c r="AE126" s="419"/>
      <c r="AF126" s="419"/>
      <c r="AG126" s="649"/>
      <c r="AI126" s="629" t="s">
        <v>240</v>
      </c>
      <c r="AJ126" s="629" t="s">
        <v>242</v>
      </c>
      <c r="AK126" s="629" t="s">
        <v>243</v>
      </c>
      <c r="AL126" s="629" t="s">
        <v>244</v>
      </c>
      <c r="AM126" s="629" t="s">
        <v>238</v>
      </c>
      <c r="AN126" s="629" t="s">
        <v>239</v>
      </c>
      <c r="AO126" s="650"/>
      <c r="AP126" s="419"/>
      <c r="AQ126" s="719"/>
      <c r="AR126" s="719"/>
    </row>
    <row r="127" spans="1:44" hidden="1" x14ac:dyDescent="0.35">
      <c r="A127" s="419"/>
      <c r="C127" s="649"/>
      <c r="D127" s="410" t="s">
        <v>143</v>
      </c>
      <c r="E127" s="617">
        <f ca="1">SUM(F127:J127)</f>
        <v>895497491</v>
      </c>
      <c r="F127" s="651">
        <f ca="1">F117</f>
        <v>134664954.40000001</v>
      </c>
      <c r="G127" s="651">
        <f ca="1">G117</f>
        <v>77331255.799999997</v>
      </c>
      <c r="H127" s="651">
        <f ca="1">H117</f>
        <v>211215593.80000001</v>
      </c>
      <c r="I127" s="651">
        <f ca="1">I117</f>
        <v>94950431.799999997</v>
      </c>
      <c r="J127" s="651">
        <f ca="1">J117</f>
        <v>377335255.19999999</v>
      </c>
      <c r="K127" s="650"/>
      <c r="L127" s="419"/>
      <c r="M127" s="719"/>
      <c r="N127" s="719"/>
      <c r="P127" s="419"/>
      <c r="Q127" s="1375"/>
      <c r="R127" s="649"/>
      <c r="S127" s="410" t="s">
        <v>143</v>
      </c>
      <c r="T127" s="617">
        <f ca="1">SUM(U127:Y127)</f>
        <v>926567140</v>
      </c>
      <c r="U127" s="651">
        <f ca="1">U117</f>
        <v>139371382.34999999</v>
      </c>
      <c r="V127" s="651">
        <f ca="1">V117</f>
        <v>80113539.450000003</v>
      </c>
      <c r="W127" s="651">
        <f ca="1">W117</f>
        <v>218460272.44999999</v>
      </c>
      <c r="X127" s="651">
        <f ca="1">X117</f>
        <v>98323791.450000003</v>
      </c>
      <c r="Y127" s="651">
        <f ca="1">Y117</f>
        <v>390298154.29999995</v>
      </c>
      <c r="Z127" s="650"/>
      <c r="AA127" s="419"/>
      <c r="AB127" s="719"/>
      <c r="AC127" s="719"/>
      <c r="AE127" s="419"/>
      <c r="AF127" s="419"/>
      <c r="AG127" s="649"/>
      <c r="AH127" s="410" t="s">
        <v>143</v>
      </c>
      <c r="AI127" s="617">
        <f ca="1">SUM(AJ127:AN127)</f>
        <v>956933838</v>
      </c>
      <c r="AJ127" s="651">
        <f ca="1">AJ117</f>
        <v>143979397.84999999</v>
      </c>
      <c r="AK127" s="651">
        <f ca="1">AK117</f>
        <v>82856973.950000003</v>
      </c>
      <c r="AL127" s="651">
        <f ca="1">AL117</f>
        <v>225524875.94999999</v>
      </c>
      <c r="AM127" s="651">
        <f ca="1">AM117</f>
        <v>101640529.95</v>
      </c>
      <c r="AN127" s="651">
        <f ca="1">AN117</f>
        <v>402932060.29999995</v>
      </c>
      <c r="AO127" s="650"/>
      <c r="AP127" s="419"/>
      <c r="AQ127" s="719"/>
      <c r="AR127" s="719"/>
    </row>
    <row r="128" spans="1:44" hidden="1" x14ac:dyDescent="0.35">
      <c r="A128" s="419"/>
      <c r="C128" s="649"/>
      <c r="D128" s="410" t="s">
        <v>490</v>
      </c>
      <c r="E128" s="643"/>
      <c r="F128" s="644"/>
      <c r="G128" s="644"/>
      <c r="H128" s="644"/>
      <c r="I128" s="644"/>
      <c r="J128" s="619"/>
      <c r="K128" s="650"/>
      <c r="L128" s="419"/>
      <c r="M128" s="719"/>
      <c r="N128" s="719"/>
      <c r="P128" s="419"/>
      <c r="Q128" s="1375"/>
      <c r="R128" s="649"/>
      <c r="S128" s="410" t="s">
        <v>490</v>
      </c>
      <c r="T128" s="643"/>
      <c r="U128" s="644"/>
      <c r="V128" s="644"/>
      <c r="W128" s="644"/>
      <c r="X128" s="644"/>
      <c r="Y128" s="619"/>
      <c r="Z128" s="650"/>
      <c r="AA128" s="419"/>
      <c r="AB128" s="719"/>
      <c r="AC128" s="719"/>
      <c r="AE128" s="419"/>
      <c r="AF128" s="419"/>
      <c r="AG128" s="649"/>
      <c r="AH128" s="410" t="s">
        <v>490</v>
      </c>
      <c r="AI128" s="643"/>
      <c r="AJ128" s="644"/>
      <c r="AK128" s="644"/>
      <c r="AL128" s="644"/>
      <c r="AM128" s="644"/>
      <c r="AN128" s="619"/>
      <c r="AO128" s="650"/>
      <c r="AP128" s="419"/>
      <c r="AQ128" s="719"/>
      <c r="AR128" s="719"/>
    </row>
    <row r="129" spans="1:44" hidden="1" x14ac:dyDescent="0.35">
      <c r="A129" s="419"/>
      <c r="C129" s="649"/>
      <c r="D129" s="410" t="s">
        <v>144</v>
      </c>
      <c r="E129" s="617">
        <f ca="1">SUM(F129:J129)</f>
        <v>0</v>
      </c>
      <c r="F129" s="616">
        <f ca="1">IF(F117&gt;0,0,F128)*F127</f>
        <v>0</v>
      </c>
      <c r="G129" s="616">
        <f ca="1">IF(G117&gt;0,0,G128)*G127</f>
        <v>0</v>
      </c>
      <c r="H129" s="616">
        <f ca="1">IF(H117&gt;0,0,H128)*H127</f>
        <v>0</v>
      </c>
      <c r="I129" s="616">
        <f ca="1">IF(I117&gt;0,0,I128)*I127</f>
        <v>0</v>
      </c>
      <c r="J129" s="616">
        <f ca="1">IF(J117&gt;0,0,J128)*J127</f>
        <v>0</v>
      </c>
      <c r="K129" s="650"/>
      <c r="L129" s="419"/>
      <c r="M129" s="719"/>
      <c r="N129" s="719"/>
      <c r="P129" s="419"/>
      <c r="Q129" s="1375"/>
      <c r="R129" s="649"/>
      <c r="S129" s="410" t="s">
        <v>144</v>
      </c>
      <c r="T129" s="617">
        <f ca="1">SUM(U129:Y129)</f>
        <v>0</v>
      </c>
      <c r="U129" s="616">
        <f ca="1">IF(U117&gt;0,0,U128)*U127</f>
        <v>0</v>
      </c>
      <c r="V129" s="616">
        <f ca="1">IF(V117&gt;0,0,V128)*V127</f>
        <v>0</v>
      </c>
      <c r="W129" s="616">
        <f ca="1">IF(W117&gt;0,0,W128)*W127</f>
        <v>0</v>
      </c>
      <c r="X129" s="616">
        <f ca="1">IF(X117&gt;0,0,X128)*X127</f>
        <v>0</v>
      </c>
      <c r="Y129" s="616">
        <f ca="1">IF(Y117&gt;0,0,Y128)*Y127</f>
        <v>0</v>
      </c>
      <c r="Z129" s="650"/>
      <c r="AA129" s="419"/>
      <c r="AB129" s="719"/>
      <c r="AC129" s="719"/>
      <c r="AE129" s="419"/>
      <c r="AF129" s="419"/>
      <c r="AG129" s="649"/>
      <c r="AH129" s="410" t="s">
        <v>144</v>
      </c>
      <c r="AI129" s="617">
        <f ca="1">SUM(AJ129:AN129)</f>
        <v>0</v>
      </c>
      <c r="AJ129" s="616">
        <f ca="1">IF(AJ117&gt;0,0,AJ128)*AJ127</f>
        <v>0</v>
      </c>
      <c r="AK129" s="616">
        <f ca="1">IF(AK117&gt;0,0,AK128)*AK127</f>
        <v>0</v>
      </c>
      <c r="AL129" s="616">
        <f ca="1">IF(AL117&gt;0,0,AL128)*AL127</f>
        <v>0</v>
      </c>
      <c r="AM129" s="616">
        <f ca="1">IF(AM117&gt;0,0,AM128)*AM127</f>
        <v>0</v>
      </c>
      <c r="AN129" s="616">
        <f ca="1">IF(AN117&gt;0,0,AN128)*AN127</f>
        <v>0</v>
      </c>
      <c r="AO129" s="650"/>
      <c r="AP129" s="419"/>
      <c r="AQ129" s="719"/>
      <c r="AR129" s="719"/>
    </row>
    <row r="130" spans="1:44" hidden="1" x14ac:dyDescent="0.35">
      <c r="A130" s="419"/>
      <c r="C130" s="649"/>
      <c r="E130" s="631"/>
      <c r="F130" s="458"/>
      <c r="G130" s="458"/>
      <c r="H130" s="458"/>
      <c r="I130" s="458"/>
      <c r="J130" s="458"/>
      <c r="K130" s="650"/>
      <c r="L130" s="419"/>
      <c r="M130" s="719"/>
      <c r="N130" s="719"/>
      <c r="P130" s="419"/>
      <c r="Q130" s="1375"/>
      <c r="R130" s="649"/>
      <c r="T130" s="631"/>
      <c r="U130" s="458"/>
      <c r="V130" s="458"/>
      <c r="W130" s="458"/>
      <c r="X130" s="458"/>
      <c r="Y130" s="458"/>
      <c r="Z130" s="650"/>
      <c r="AA130" s="419"/>
      <c r="AB130" s="719"/>
      <c r="AC130" s="719"/>
      <c r="AE130" s="419"/>
      <c r="AF130" s="419"/>
      <c r="AG130" s="649"/>
      <c r="AI130" s="631"/>
      <c r="AJ130" s="458"/>
      <c r="AK130" s="458"/>
      <c r="AL130" s="458"/>
      <c r="AM130" s="458"/>
      <c r="AN130" s="458"/>
      <c r="AO130" s="650"/>
      <c r="AP130" s="419"/>
      <c r="AQ130" s="719"/>
      <c r="AR130" s="719"/>
    </row>
    <row r="131" spans="1:44" hidden="1" x14ac:dyDescent="0.35">
      <c r="A131" s="419"/>
      <c r="C131" s="649"/>
      <c r="D131" s="1438" t="s">
        <v>195</v>
      </c>
      <c r="E131" s="1438"/>
      <c r="F131" s="1438"/>
      <c r="G131" s="1438"/>
      <c r="H131" s="1438"/>
      <c r="I131" s="1438"/>
      <c r="J131" s="1438"/>
      <c r="K131" s="650"/>
      <c r="L131" s="419"/>
      <c r="M131" s="719"/>
      <c r="N131" s="719"/>
      <c r="P131" s="419"/>
      <c r="Q131" s="1375"/>
      <c r="R131" s="649"/>
      <c r="S131" s="1438" t="s">
        <v>195</v>
      </c>
      <c r="T131" s="1438"/>
      <c r="U131" s="1438"/>
      <c r="V131" s="1438"/>
      <c r="W131" s="1438"/>
      <c r="X131" s="1438"/>
      <c r="Y131" s="1438"/>
      <c r="Z131" s="650"/>
      <c r="AA131" s="419"/>
      <c r="AB131" s="719"/>
      <c r="AC131" s="719"/>
      <c r="AE131" s="419"/>
      <c r="AF131" s="419"/>
      <c r="AG131" s="649"/>
      <c r="AH131" s="1438" t="s">
        <v>195</v>
      </c>
      <c r="AI131" s="1438"/>
      <c r="AJ131" s="1438"/>
      <c r="AK131" s="1438"/>
      <c r="AL131" s="1438"/>
      <c r="AM131" s="1438"/>
      <c r="AN131" s="1438"/>
      <c r="AO131" s="650"/>
      <c r="AP131" s="419"/>
      <c r="AQ131" s="719"/>
      <c r="AR131" s="719"/>
    </row>
    <row r="132" spans="1:44" hidden="1" x14ac:dyDescent="0.35">
      <c r="A132" s="419"/>
      <c r="C132" s="649"/>
      <c r="D132" s="1438"/>
      <c r="E132" s="1438"/>
      <c r="F132" s="1438"/>
      <c r="G132" s="1438"/>
      <c r="H132" s="1438"/>
      <c r="I132" s="1438"/>
      <c r="J132" s="1438"/>
      <c r="K132" s="650"/>
      <c r="L132" s="419"/>
      <c r="M132" s="719"/>
      <c r="N132" s="719"/>
      <c r="P132" s="419"/>
      <c r="Q132" s="1375"/>
      <c r="R132" s="649"/>
      <c r="S132" s="1438"/>
      <c r="T132" s="1438"/>
      <c r="U132" s="1438"/>
      <c r="V132" s="1438"/>
      <c r="W132" s="1438"/>
      <c r="X132" s="1438"/>
      <c r="Y132" s="1438"/>
      <c r="Z132" s="650"/>
      <c r="AA132" s="419"/>
      <c r="AB132" s="719"/>
      <c r="AC132" s="719"/>
      <c r="AE132" s="419"/>
      <c r="AF132" s="419"/>
      <c r="AG132" s="649"/>
      <c r="AH132" s="1438"/>
      <c r="AI132" s="1438"/>
      <c r="AJ132" s="1438"/>
      <c r="AK132" s="1438"/>
      <c r="AL132" s="1438"/>
      <c r="AM132" s="1438"/>
      <c r="AN132" s="1438"/>
      <c r="AO132" s="650"/>
      <c r="AP132" s="419"/>
      <c r="AQ132" s="719"/>
      <c r="AR132" s="719"/>
    </row>
    <row r="133" spans="1:44" hidden="1" x14ac:dyDescent="0.35">
      <c r="A133" s="419"/>
      <c r="C133" s="649"/>
      <c r="D133" s="1438"/>
      <c r="E133" s="1438"/>
      <c r="F133" s="1438"/>
      <c r="G133" s="1438"/>
      <c r="H133" s="1438"/>
      <c r="I133" s="1438"/>
      <c r="J133" s="1438"/>
      <c r="K133" s="650"/>
      <c r="L133" s="419"/>
      <c r="M133" s="719"/>
      <c r="N133" s="719"/>
      <c r="P133" s="419"/>
      <c r="Q133" s="1375"/>
      <c r="R133" s="649"/>
      <c r="S133" s="1438"/>
      <c r="T133" s="1438"/>
      <c r="U133" s="1438"/>
      <c r="V133" s="1438"/>
      <c r="W133" s="1438"/>
      <c r="X133" s="1438"/>
      <c r="Y133" s="1438"/>
      <c r="Z133" s="650"/>
      <c r="AA133" s="419"/>
      <c r="AB133" s="719"/>
      <c r="AC133" s="719"/>
      <c r="AE133" s="419"/>
      <c r="AF133" s="419"/>
      <c r="AG133" s="649"/>
      <c r="AH133" s="1438"/>
      <c r="AI133" s="1438"/>
      <c r="AJ133" s="1438"/>
      <c r="AK133" s="1438"/>
      <c r="AL133" s="1438"/>
      <c r="AM133" s="1438"/>
      <c r="AN133" s="1438"/>
      <c r="AO133" s="650"/>
      <c r="AP133" s="419"/>
      <c r="AQ133" s="719"/>
      <c r="AR133" s="719"/>
    </row>
    <row r="134" spans="1:44" hidden="1" x14ac:dyDescent="0.35">
      <c r="A134" s="419"/>
      <c r="C134" s="649"/>
      <c r="E134" s="631"/>
      <c r="F134" s="458"/>
      <c r="G134" s="458"/>
      <c r="H134" s="458"/>
      <c r="I134" s="458"/>
      <c r="J134" s="458"/>
      <c r="K134" s="591">
        <f ca="1">E129-E118</f>
        <v>0</v>
      </c>
      <c r="L134" s="419"/>
      <c r="M134" s="719"/>
      <c r="N134" s="719"/>
      <c r="P134" s="419"/>
      <c r="Q134" s="1375"/>
      <c r="R134" s="649"/>
      <c r="T134" s="631"/>
      <c r="U134" s="458"/>
      <c r="V134" s="458"/>
      <c r="W134" s="458"/>
      <c r="X134" s="458"/>
      <c r="Y134" s="458"/>
      <c r="Z134" s="591">
        <f ca="1">T129-T118</f>
        <v>0</v>
      </c>
      <c r="AA134" s="419"/>
      <c r="AB134" s="719"/>
      <c r="AC134" s="719"/>
      <c r="AE134" s="419"/>
      <c r="AF134" s="419"/>
      <c r="AG134" s="649"/>
      <c r="AI134" s="631"/>
      <c r="AJ134" s="458"/>
      <c r="AK134" s="458"/>
      <c r="AL134" s="458"/>
      <c r="AM134" s="458"/>
      <c r="AN134" s="458"/>
      <c r="AO134" s="591">
        <f ca="1">AI129-AI118</f>
        <v>0</v>
      </c>
      <c r="AP134" s="419"/>
      <c r="AQ134" s="719"/>
      <c r="AR134" s="719"/>
    </row>
    <row r="135" spans="1:44" hidden="1" x14ac:dyDescent="0.35">
      <c r="A135" s="419"/>
      <c r="C135" s="649"/>
      <c r="D135" s="410" t="s">
        <v>193</v>
      </c>
      <c r="E135" s="617">
        <f ca="1">E129-E119</f>
        <v>-27012802.300000012</v>
      </c>
      <c r="F135" s="652" t="str">
        <f ca="1">IF(E135&gt;0,"Net surplus is positive. No further adjustment is required.", "Net surplus is negative. Adjust deficits to be accepted or surpluses to be generated until a positive figure is obtained.")</f>
        <v>Net surplus is negative. Adjust deficits to be accepted or surpluses to be generated until a positive figure is obtained.</v>
      </c>
      <c r="G135" s="458"/>
      <c r="H135" s="458"/>
      <c r="I135" s="458"/>
      <c r="J135" s="458"/>
      <c r="K135" s="650"/>
      <c r="L135" s="419"/>
      <c r="M135" s="719"/>
      <c r="N135" s="719"/>
      <c r="P135" s="419"/>
      <c r="Q135" s="1375"/>
      <c r="R135" s="649"/>
      <c r="S135" s="410" t="s">
        <v>193</v>
      </c>
      <c r="T135" s="617">
        <f ca="1">T129-T119</f>
        <v>-30275727.252462029</v>
      </c>
      <c r="U135" s="652" t="str">
        <f ca="1">IF(T135&gt;0,"Net surplus is positive. No further adjustment is required.", "Net surplus is negative. Adjust deficits to be accepted or surpluses to be generated until a positive figure is obtained.")</f>
        <v>Net surplus is negative. Adjust deficits to be accepted or surpluses to be generated until a positive figure is obtained.</v>
      </c>
      <c r="V135" s="458"/>
      <c r="W135" s="458"/>
      <c r="X135" s="458"/>
      <c r="Y135" s="458"/>
      <c r="Z135" s="650"/>
      <c r="AA135" s="419"/>
      <c r="AB135" s="719"/>
      <c r="AC135" s="719"/>
      <c r="AE135" s="419"/>
      <c r="AF135" s="419"/>
      <c r="AG135" s="649"/>
      <c r="AH135" s="410" t="s">
        <v>193</v>
      </c>
      <c r="AI135" s="617">
        <f ca="1">AI129-AI119</f>
        <v>-23845405.7320261</v>
      </c>
      <c r="AJ135" s="652" t="str">
        <f ca="1">IF(AI135&gt;0,"Net surplus is positive. No further adjustment is required.", "Net surplus is negative. Adjust deficits to be accepted or surpluses to be generated until a positive figure is obtained.")</f>
        <v>Net surplus is negative. Adjust deficits to be accepted or surpluses to be generated until a positive figure is obtained.</v>
      </c>
      <c r="AK135" s="458"/>
      <c r="AL135" s="458"/>
      <c r="AM135" s="458"/>
      <c r="AN135" s="458"/>
      <c r="AO135" s="650"/>
      <c r="AP135" s="419"/>
      <c r="AQ135" s="719"/>
      <c r="AR135" s="719"/>
    </row>
    <row r="136" spans="1:44" hidden="1" x14ac:dyDescent="0.35">
      <c r="A136" s="419"/>
      <c r="C136" s="649"/>
      <c r="D136" s="410" t="s">
        <v>194</v>
      </c>
      <c r="E136" s="653">
        <f ca="1">E135/E102</f>
        <v>-3.0165134544190491E-2</v>
      </c>
      <c r="F136" s="458"/>
      <c r="G136" s="458"/>
      <c r="H136" s="458"/>
      <c r="I136" s="458"/>
      <c r="J136" s="458"/>
      <c r="K136" s="650"/>
      <c r="L136" s="419"/>
      <c r="M136" s="719"/>
      <c r="N136" s="719"/>
      <c r="P136" s="419"/>
      <c r="Q136" s="1375"/>
      <c r="R136" s="649"/>
      <c r="S136" s="410" t="s">
        <v>194</v>
      </c>
      <c r="T136" s="653">
        <f ca="1">T135/T102</f>
        <v>-3.2675157520114545E-2</v>
      </c>
      <c r="U136" s="458"/>
      <c r="V136" s="458"/>
      <c r="W136" s="458"/>
      <c r="X136" s="458"/>
      <c r="Y136" s="458"/>
      <c r="Z136" s="650"/>
      <c r="AA136" s="419"/>
      <c r="AB136" s="719"/>
      <c r="AC136" s="719"/>
      <c r="AE136" s="419"/>
      <c r="AF136" s="419"/>
      <c r="AG136" s="649"/>
      <c r="AH136" s="410" t="s">
        <v>194</v>
      </c>
      <c r="AI136" s="653">
        <f ca="1">AI135/AI102</f>
        <v>-2.4918552135080943E-2</v>
      </c>
      <c r="AJ136" s="458"/>
      <c r="AK136" s="458"/>
      <c r="AL136" s="458"/>
      <c r="AM136" s="458"/>
      <c r="AN136" s="458"/>
      <c r="AO136" s="650"/>
      <c r="AP136" s="419"/>
      <c r="AQ136" s="719"/>
      <c r="AR136" s="719"/>
    </row>
    <row r="137" spans="1:44" ht="9.3000000000000007" hidden="1" thickBot="1" x14ac:dyDescent="0.4">
      <c r="A137" s="419"/>
      <c r="C137" s="654"/>
      <c r="D137" s="655"/>
      <c r="E137" s="655"/>
      <c r="F137" s="655"/>
      <c r="G137" s="655"/>
      <c r="H137" s="655"/>
      <c r="I137" s="655"/>
      <c r="J137" s="655"/>
      <c r="K137" s="656"/>
      <c r="L137" s="419"/>
      <c r="M137" s="719"/>
      <c r="N137" s="719"/>
      <c r="P137" s="419"/>
      <c r="Q137" s="1375"/>
      <c r="R137" s="654"/>
      <c r="S137" s="655"/>
      <c r="T137" s="655"/>
      <c r="U137" s="655"/>
      <c r="V137" s="655"/>
      <c r="W137" s="655"/>
      <c r="X137" s="655"/>
      <c r="Y137" s="655"/>
      <c r="Z137" s="656"/>
      <c r="AA137" s="419"/>
      <c r="AB137" s="719"/>
      <c r="AC137" s="719"/>
      <c r="AE137" s="419"/>
      <c r="AF137" s="419"/>
      <c r="AG137" s="654"/>
      <c r="AH137" s="655"/>
      <c r="AI137" s="655"/>
      <c r="AJ137" s="655"/>
      <c r="AK137" s="655"/>
      <c r="AL137" s="655"/>
      <c r="AM137" s="655"/>
      <c r="AN137" s="655"/>
      <c r="AO137" s="656"/>
      <c r="AP137" s="419"/>
      <c r="AQ137" s="719"/>
      <c r="AR137" s="719"/>
    </row>
    <row r="138" spans="1:44" hidden="1" x14ac:dyDescent="0.35">
      <c r="A138" s="419"/>
      <c r="C138" s="419"/>
      <c r="D138" s="419"/>
      <c r="E138" s="419"/>
      <c r="F138" s="419"/>
      <c r="G138" s="419"/>
      <c r="H138" s="419"/>
      <c r="I138" s="419"/>
      <c r="J138" s="419"/>
      <c r="K138" s="419"/>
      <c r="L138" s="419"/>
      <c r="M138" s="719"/>
      <c r="N138" s="719"/>
      <c r="P138" s="419"/>
      <c r="Q138" s="1375"/>
      <c r="R138" s="419"/>
      <c r="S138" s="419"/>
      <c r="T138" s="419"/>
      <c r="U138" s="419"/>
      <c r="V138" s="419"/>
      <c r="W138" s="419"/>
      <c r="X138" s="419"/>
      <c r="Y138" s="419"/>
      <c r="Z138" s="419"/>
      <c r="AA138" s="419"/>
      <c r="AB138" s="719"/>
      <c r="AC138" s="719"/>
      <c r="AE138" s="419"/>
      <c r="AF138" s="419"/>
      <c r="AG138" s="419"/>
      <c r="AH138" s="419"/>
      <c r="AI138" s="419"/>
      <c r="AJ138" s="419"/>
      <c r="AK138" s="419"/>
      <c r="AL138" s="419"/>
      <c r="AM138" s="419"/>
      <c r="AN138" s="419"/>
      <c r="AO138" s="419"/>
      <c r="AP138" s="419"/>
      <c r="AQ138" s="719"/>
      <c r="AR138" s="719"/>
    </row>
    <row r="139" spans="1:44" ht="9.3000000000000007" hidden="1" thickBot="1" x14ac:dyDescent="0.4">
      <c r="A139" s="419"/>
      <c r="C139" s="419"/>
      <c r="D139" s="419"/>
      <c r="E139" s="419"/>
      <c r="F139" s="419"/>
      <c r="G139" s="419"/>
      <c r="H139" s="419"/>
      <c r="I139" s="419"/>
      <c r="J139" s="419"/>
      <c r="K139" s="419"/>
      <c r="L139" s="419"/>
      <c r="M139" s="719"/>
      <c r="N139" s="719"/>
      <c r="P139" s="419"/>
      <c r="Q139" s="1375"/>
      <c r="R139" s="419"/>
      <c r="S139" s="419"/>
      <c r="T139" s="419"/>
      <c r="U139" s="419"/>
      <c r="V139" s="419"/>
      <c r="W139" s="419"/>
      <c r="X139" s="419"/>
      <c r="Y139" s="419"/>
      <c r="Z139" s="419"/>
      <c r="AA139" s="419"/>
      <c r="AB139" s="719"/>
      <c r="AC139" s="719"/>
      <c r="AE139" s="419"/>
      <c r="AF139" s="419"/>
      <c r="AG139" s="419"/>
      <c r="AH139" s="419"/>
      <c r="AI139" s="419"/>
      <c r="AJ139" s="419"/>
      <c r="AK139" s="419"/>
      <c r="AL139" s="419"/>
      <c r="AM139" s="419"/>
      <c r="AN139" s="419"/>
      <c r="AO139" s="419"/>
      <c r="AP139" s="419"/>
      <c r="AQ139" s="719"/>
      <c r="AR139" s="719"/>
    </row>
    <row r="140" spans="1:44" hidden="1" x14ac:dyDescent="0.35">
      <c r="A140" s="419"/>
      <c r="C140" s="646"/>
      <c r="D140" s="647"/>
      <c r="E140" s="647"/>
      <c r="F140" s="647"/>
      <c r="G140" s="647"/>
      <c r="H140" s="647"/>
      <c r="I140" s="647"/>
      <c r="J140" s="647"/>
      <c r="K140" s="648"/>
      <c r="L140" s="419"/>
      <c r="M140" s="719"/>
      <c r="N140" s="719"/>
      <c r="P140" s="419"/>
      <c r="Q140" s="1375"/>
      <c r="R140" s="646"/>
      <c r="S140" s="647"/>
      <c r="T140" s="647"/>
      <c r="U140" s="647"/>
      <c r="V140" s="647"/>
      <c r="W140" s="647"/>
      <c r="X140" s="647"/>
      <c r="Y140" s="647"/>
      <c r="Z140" s="648"/>
      <c r="AA140" s="419"/>
      <c r="AB140" s="719"/>
      <c r="AC140" s="719"/>
      <c r="AE140" s="419"/>
      <c r="AF140" s="419"/>
      <c r="AG140" s="646"/>
      <c r="AH140" s="647"/>
      <c r="AI140" s="647"/>
      <c r="AJ140" s="647"/>
      <c r="AK140" s="647"/>
      <c r="AL140" s="647"/>
      <c r="AM140" s="647"/>
      <c r="AN140" s="647"/>
      <c r="AO140" s="648"/>
      <c r="AP140" s="419"/>
      <c r="AQ140" s="719"/>
      <c r="AR140" s="719"/>
    </row>
    <row r="141" spans="1:44" hidden="1" x14ac:dyDescent="0.35">
      <c r="A141" s="419"/>
      <c r="C141" s="649"/>
      <c r="D141" s="593" t="s">
        <v>186</v>
      </c>
      <c r="K141" s="650"/>
      <c r="L141" s="419"/>
      <c r="M141" s="719"/>
      <c r="N141" s="719"/>
      <c r="P141" s="419"/>
      <c r="Q141" s="1375"/>
      <c r="R141" s="649"/>
      <c r="S141" s="593" t="s">
        <v>186</v>
      </c>
      <c r="Z141" s="650"/>
      <c r="AA141" s="419"/>
      <c r="AB141" s="719"/>
      <c r="AC141" s="719"/>
      <c r="AE141" s="419"/>
      <c r="AF141" s="419"/>
      <c r="AG141" s="649"/>
      <c r="AH141" s="593" t="s">
        <v>186</v>
      </c>
      <c r="AO141" s="650"/>
      <c r="AP141" s="419"/>
      <c r="AQ141" s="719"/>
      <c r="AR141" s="719"/>
    </row>
    <row r="142" spans="1:44" hidden="1" x14ac:dyDescent="0.35">
      <c r="A142" s="419"/>
      <c r="C142" s="649"/>
      <c r="D142" s="1438" t="s">
        <v>491</v>
      </c>
      <c r="E142" s="1438"/>
      <c r="F142" s="1438"/>
      <c r="G142" s="1438"/>
      <c r="H142" s="1438"/>
      <c r="I142" s="1438"/>
      <c r="J142" s="1438"/>
      <c r="K142" s="650"/>
      <c r="L142" s="419"/>
      <c r="M142" s="719"/>
      <c r="N142" s="719"/>
      <c r="P142" s="419"/>
      <c r="Q142" s="1375"/>
      <c r="R142" s="649"/>
      <c r="S142" s="1438" t="s">
        <v>491</v>
      </c>
      <c r="T142" s="1438"/>
      <c r="U142" s="1438"/>
      <c r="V142" s="1438"/>
      <c r="W142" s="1438"/>
      <c r="X142" s="1438"/>
      <c r="Y142" s="1438"/>
      <c r="Z142" s="650"/>
      <c r="AA142" s="419"/>
      <c r="AB142" s="719"/>
      <c r="AC142" s="719"/>
      <c r="AE142" s="419"/>
      <c r="AF142" s="419"/>
      <c r="AG142" s="649"/>
      <c r="AH142" s="1438" t="s">
        <v>491</v>
      </c>
      <c r="AI142" s="1438"/>
      <c r="AJ142" s="1438"/>
      <c r="AK142" s="1438"/>
      <c r="AL142" s="1438"/>
      <c r="AM142" s="1438"/>
      <c r="AN142" s="1438"/>
      <c r="AO142" s="650"/>
      <c r="AP142" s="419"/>
      <c r="AQ142" s="719"/>
      <c r="AR142" s="719"/>
    </row>
    <row r="143" spans="1:44" hidden="1" x14ac:dyDescent="0.35">
      <c r="A143" s="419"/>
      <c r="C143" s="649"/>
      <c r="D143" s="1438"/>
      <c r="E143" s="1438"/>
      <c r="F143" s="1438"/>
      <c r="G143" s="1438"/>
      <c r="H143" s="1438"/>
      <c r="I143" s="1438"/>
      <c r="J143" s="1438"/>
      <c r="K143" s="650"/>
      <c r="L143" s="419"/>
      <c r="M143" s="719"/>
      <c r="N143" s="719"/>
      <c r="P143" s="419"/>
      <c r="Q143" s="1375"/>
      <c r="R143" s="649"/>
      <c r="S143" s="1438"/>
      <c r="T143" s="1438"/>
      <c r="U143" s="1438"/>
      <c r="V143" s="1438"/>
      <c r="W143" s="1438"/>
      <c r="X143" s="1438"/>
      <c r="Y143" s="1438"/>
      <c r="Z143" s="650"/>
      <c r="AA143" s="419"/>
      <c r="AB143" s="719"/>
      <c r="AC143" s="719"/>
      <c r="AE143" s="419"/>
      <c r="AF143" s="419"/>
      <c r="AG143" s="649"/>
      <c r="AH143" s="1438"/>
      <c r="AI143" s="1438"/>
      <c r="AJ143" s="1438"/>
      <c r="AK143" s="1438"/>
      <c r="AL143" s="1438"/>
      <c r="AM143" s="1438"/>
      <c r="AN143" s="1438"/>
      <c r="AO143" s="650"/>
      <c r="AP143" s="419"/>
      <c r="AQ143" s="719"/>
      <c r="AR143" s="719"/>
    </row>
    <row r="144" spans="1:44" hidden="1" x14ac:dyDescent="0.35">
      <c r="A144" s="419"/>
      <c r="C144" s="649"/>
      <c r="D144" s="1438"/>
      <c r="E144" s="1438"/>
      <c r="F144" s="1438"/>
      <c r="G144" s="1438"/>
      <c r="H144" s="1438"/>
      <c r="I144" s="1438"/>
      <c r="J144" s="1438"/>
      <c r="K144" s="650"/>
      <c r="L144" s="419"/>
      <c r="M144" s="719"/>
      <c r="N144" s="719"/>
      <c r="P144" s="419"/>
      <c r="Q144" s="1375"/>
      <c r="R144" s="649"/>
      <c r="S144" s="1438"/>
      <c r="T144" s="1438"/>
      <c r="U144" s="1438"/>
      <c r="V144" s="1438"/>
      <c r="W144" s="1438"/>
      <c r="X144" s="1438"/>
      <c r="Y144" s="1438"/>
      <c r="Z144" s="650"/>
      <c r="AA144" s="419"/>
      <c r="AB144" s="719"/>
      <c r="AC144" s="719"/>
      <c r="AE144" s="419"/>
      <c r="AF144" s="419"/>
      <c r="AG144" s="649"/>
      <c r="AH144" s="1438"/>
      <c r="AI144" s="1438"/>
      <c r="AJ144" s="1438"/>
      <c r="AK144" s="1438"/>
      <c r="AL144" s="1438"/>
      <c r="AM144" s="1438"/>
      <c r="AN144" s="1438"/>
      <c r="AO144" s="650"/>
      <c r="AP144" s="419"/>
      <c r="AQ144" s="719"/>
      <c r="AR144" s="719"/>
    </row>
    <row r="145" spans="1:44" hidden="1" x14ac:dyDescent="0.35">
      <c r="A145" s="419"/>
      <c r="C145" s="649"/>
      <c r="K145" s="650"/>
      <c r="L145" s="419"/>
      <c r="M145" s="719"/>
      <c r="N145" s="719"/>
      <c r="P145" s="419"/>
      <c r="Q145" s="1375"/>
      <c r="R145" s="649"/>
      <c r="Z145" s="650"/>
      <c r="AA145" s="419"/>
      <c r="AB145" s="719"/>
      <c r="AC145" s="719"/>
      <c r="AE145" s="419"/>
      <c r="AF145" s="419"/>
      <c r="AG145" s="649"/>
      <c r="AO145" s="650"/>
      <c r="AP145" s="419"/>
      <c r="AQ145" s="719"/>
      <c r="AR145" s="719"/>
    </row>
    <row r="146" spans="1:44" ht="18" hidden="1" x14ac:dyDescent="0.35">
      <c r="A146" s="419"/>
      <c r="C146" s="649"/>
      <c r="E146" s="629" t="s">
        <v>240</v>
      </c>
      <c r="F146" s="629" t="s">
        <v>242</v>
      </c>
      <c r="G146" s="629" t="s">
        <v>243</v>
      </c>
      <c r="H146" s="629" t="s">
        <v>244</v>
      </c>
      <c r="I146" s="629" t="s">
        <v>238</v>
      </c>
      <c r="J146" s="629" t="s">
        <v>239</v>
      </c>
      <c r="K146" s="650"/>
      <c r="L146" s="419"/>
      <c r="M146" s="719"/>
      <c r="N146" s="719"/>
      <c r="P146" s="419"/>
      <c r="Q146" s="1375"/>
      <c r="R146" s="649"/>
      <c r="T146" s="629" t="s">
        <v>240</v>
      </c>
      <c r="U146" s="629" t="s">
        <v>242</v>
      </c>
      <c r="V146" s="629" t="s">
        <v>243</v>
      </c>
      <c r="W146" s="629" t="s">
        <v>244</v>
      </c>
      <c r="X146" s="629" t="s">
        <v>238</v>
      </c>
      <c r="Y146" s="629" t="s">
        <v>239</v>
      </c>
      <c r="Z146" s="650"/>
      <c r="AA146" s="419"/>
      <c r="AB146" s="719"/>
      <c r="AC146" s="719"/>
      <c r="AE146" s="419"/>
      <c r="AF146" s="419"/>
      <c r="AG146" s="649"/>
      <c r="AI146" s="629" t="s">
        <v>240</v>
      </c>
      <c r="AJ146" s="629" t="s">
        <v>242</v>
      </c>
      <c r="AK146" s="629" t="s">
        <v>243</v>
      </c>
      <c r="AL146" s="629" t="s">
        <v>244</v>
      </c>
      <c r="AM146" s="629" t="s">
        <v>238</v>
      </c>
      <c r="AN146" s="629" t="s">
        <v>239</v>
      </c>
      <c r="AO146" s="650"/>
      <c r="AP146" s="419"/>
      <c r="AQ146" s="719"/>
      <c r="AR146" s="719"/>
    </row>
    <row r="147" spans="1:44" hidden="1" x14ac:dyDescent="0.35">
      <c r="A147" s="419"/>
      <c r="C147" s="649"/>
      <c r="D147" s="410" t="s">
        <v>176</v>
      </c>
      <c r="E147" s="617">
        <f ca="1">SUM(F147:J147)</f>
        <v>27012802.300000012</v>
      </c>
      <c r="F147" s="651">
        <f ca="1">F119</f>
        <v>0</v>
      </c>
      <c r="G147" s="651">
        <f ca="1">G119</f>
        <v>0</v>
      </c>
      <c r="H147" s="651">
        <f ca="1">H119</f>
        <v>0</v>
      </c>
      <c r="I147" s="651">
        <f ca="1">I119</f>
        <v>0</v>
      </c>
      <c r="J147" s="651">
        <f ca="1">J119</f>
        <v>27012802.300000012</v>
      </c>
      <c r="K147" s="650"/>
      <c r="L147" s="419"/>
      <c r="M147" s="719"/>
      <c r="N147" s="719"/>
      <c r="P147" s="419"/>
      <c r="Q147" s="1375"/>
      <c r="R147" s="649"/>
      <c r="S147" s="410" t="s">
        <v>176</v>
      </c>
      <c r="T147" s="617">
        <f ca="1">SUM(U147:Y147)</f>
        <v>30275727.252462029</v>
      </c>
      <c r="U147" s="651">
        <f ca="1">U119</f>
        <v>0</v>
      </c>
      <c r="V147" s="651">
        <f ca="1">V119</f>
        <v>0</v>
      </c>
      <c r="W147" s="651">
        <f ca="1">W119</f>
        <v>0</v>
      </c>
      <c r="X147" s="651">
        <f ca="1">X119</f>
        <v>0</v>
      </c>
      <c r="Y147" s="651">
        <f ca="1">Y119</f>
        <v>30275727.252462029</v>
      </c>
      <c r="Z147" s="650"/>
      <c r="AA147" s="419"/>
      <c r="AB147" s="719"/>
      <c r="AC147" s="719"/>
      <c r="AE147" s="419"/>
      <c r="AF147" s="419"/>
      <c r="AG147" s="649"/>
      <c r="AH147" s="410" t="s">
        <v>176</v>
      </c>
      <c r="AI147" s="617">
        <f ca="1">SUM(AJ147:AN147)</f>
        <v>23845405.7320261</v>
      </c>
      <c r="AJ147" s="651">
        <f ca="1">AJ119</f>
        <v>0</v>
      </c>
      <c r="AK147" s="651">
        <f ca="1">AK119</f>
        <v>0</v>
      </c>
      <c r="AL147" s="651">
        <f ca="1">AL119</f>
        <v>0</v>
      </c>
      <c r="AM147" s="651">
        <f ca="1">AM119</f>
        <v>0</v>
      </c>
      <c r="AN147" s="651">
        <f ca="1">AN119</f>
        <v>23845405.7320261</v>
      </c>
      <c r="AO147" s="650"/>
      <c r="AP147" s="419"/>
      <c r="AQ147" s="719"/>
      <c r="AR147" s="719"/>
    </row>
    <row r="148" spans="1:44" hidden="1" x14ac:dyDescent="0.35">
      <c r="A148" s="419"/>
      <c r="C148" s="649"/>
      <c r="D148" s="410" t="s">
        <v>189</v>
      </c>
      <c r="E148" s="617">
        <f ca="1">SUM(F148:J148)</f>
        <v>0</v>
      </c>
      <c r="F148" s="651">
        <f ca="1">F129</f>
        <v>0</v>
      </c>
      <c r="G148" s="651">
        <f ca="1">G129</f>
        <v>0</v>
      </c>
      <c r="H148" s="651">
        <f ca="1">H129</f>
        <v>0</v>
      </c>
      <c r="I148" s="651">
        <f ca="1">I129</f>
        <v>0</v>
      </c>
      <c r="J148" s="651">
        <f ca="1">J129</f>
        <v>0</v>
      </c>
      <c r="K148" s="650"/>
      <c r="L148" s="419"/>
      <c r="M148" s="719"/>
      <c r="N148" s="719"/>
      <c r="P148" s="419"/>
      <c r="Q148" s="1375"/>
      <c r="R148" s="649"/>
      <c r="S148" s="410" t="s">
        <v>189</v>
      </c>
      <c r="T148" s="617">
        <f ca="1">SUM(U148:Y148)</f>
        <v>0</v>
      </c>
      <c r="U148" s="651">
        <f ca="1">U129</f>
        <v>0</v>
      </c>
      <c r="V148" s="651">
        <f ca="1">V129</f>
        <v>0</v>
      </c>
      <c r="W148" s="651">
        <f ca="1">W129</f>
        <v>0</v>
      </c>
      <c r="X148" s="651">
        <f ca="1">X129</f>
        <v>0</v>
      </c>
      <c r="Y148" s="651">
        <f ca="1">Y129</f>
        <v>0</v>
      </c>
      <c r="Z148" s="650"/>
      <c r="AA148" s="419"/>
      <c r="AB148" s="719"/>
      <c r="AC148" s="719"/>
      <c r="AE148" s="419"/>
      <c r="AF148" s="419"/>
      <c r="AG148" s="649"/>
      <c r="AH148" s="410" t="s">
        <v>189</v>
      </c>
      <c r="AI148" s="617">
        <f ca="1">SUM(AJ148:AN148)</f>
        <v>0</v>
      </c>
      <c r="AJ148" s="651">
        <f ca="1">AJ129</f>
        <v>0</v>
      </c>
      <c r="AK148" s="651">
        <f ca="1">AK129</f>
        <v>0</v>
      </c>
      <c r="AL148" s="651">
        <f ca="1">AL129</f>
        <v>0</v>
      </c>
      <c r="AM148" s="651">
        <f ca="1">AM129</f>
        <v>0</v>
      </c>
      <c r="AN148" s="651">
        <f ca="1">AN129</f>
        <v>0</v>
      </c>
      <c r="AO148" s="650"/>
      <c r="AP148" s="419"/>
      <c r="AQ148" s="719"/>
      <c r="AR148" s="719"/>
    </row>
    <row r="149" spans="1:44" hidden="1" x14ac:dyDescent="0.35">
      <c r="A149" s="419"/>
      <c r="C149" s="649"/>
      <c r="K149" s="650"/>
      <c r="L149" s="419"/>
      <c r="M149" s="719"/>
      <c r="N149" s="719"/>
      <c r="P149" s="419"/>
      <c r="Q149" s="1375"/>
      <c r="R149" s="649"/>
      <c r="Z149" s="650"/>
      <c r="AA149" s="419"/>
      <c r="AB149" s="719"/>
      <c r="AC149" s="719"/>
      <c r="AE149" s="419"/>
      <c r="AF149" s="419"/>
      <c r="AG149" s="649"/>
      <c r="AO149" s="650"/>
      <c r="AP149" s="419"/>
      <c r="AQ149" s="719"/>
      <c r="AR149" s="719"/>
    </row>
    <row r="150" spans="1:44" hidden="1" x14ac:dyDescent="0.35">
      <c r="A150" s="419"/>
      <c r="C150" s="649"/>
      <c r="D150" s="410" t="s">
        <v>492</v>
      </c>
      <c r="E150" s="617">
        <f ca="1">SUM(F150:J150)</f>
        <v>0</v>
      </c>
      <c r="F150" s="651">
        <f ca="1">IF($E$148&gt;=$E$147,F147,$E$148*F147/$E$147)</f>
        <v>0</v>
      </c>
      <c r="G150" s="651">
        <f ca="1">IF($E$148&gt;=$E$147,G147,$E$148*G147/$E$147)</f>
        <v>0</v>
      </c>
      <c r="H150" s="651">
        <f ca="1">IF($E$148&gt;=$E$147,H147,$E$148*H147/$E$147)</f>
        <v>0</v>
      </c>
      <c r="I150" s="651">
        <f ca="1">IF($E$148&gt;=$E$147,I147,$E$148*I147/$E$147)</f>
        <v>0</v>
      </c>
      <c r="J150" s="651">
        <f ca="1">IF($E$148&gt;=$E$147,J147,$E$148*J147/$E$147)</f>
        <v>0</v>
      </c>
      <c r="K150" s="650"/>
      <c r="L150" s="419"/>
      <c r="M150" s="719"/>
      <c r="N150" s="719"/>
      <c r="P150" s="419"/>
      <c r="Q150" s="1375"/>
      <c r="R150" s="649"/>
      <c r="S150" s="410" t="s">
        <v>492</v>
      </c>
      <c r="T150" s="617">
        <f ca="1">SUM(U150:Y150)</f>
        <v>0</v>
      </c>
      <c r="U150" s="651">
        <f ca="1">IF($E$148&gt;=$E$147,U147,$E$148*U147/$E$147)</f>
        <v>0</v>
      </c>
      <c r="V150" s="651">
        <f ca="1">IF($E$148&gt;=$E$147,V147,$E$148*V147/$E$147)</f>
        <v>0</v>
      </c>
      <c r="W150" s="651">
        <f ca="1">IF($E$148&gt;=$E$147,W147,$E$148*W147/$E$147)</f>
        <v>0</v>
      </c>
      <c r="X150" s="651">
        <f ca="1">IF($E$148&gt;=$E$147,X147,$E$148*X147/$E$147)</f>
        <v>0</v>
      </c>
      <c r="Y150" s="651">
        <f ca="1">IF($E$148&gt;=$E$147,Y147,$E$148*Y147/$E$147)</f>
        <v>0</v>
      </c>
      <c r="Z150" s="650"/>
      <c r="AA150" s="419"/>
      <c r="AB150" s="719"/>
      <c r="AC150" s="719"/>
      <c r="AE150" s="419"/>
      <c r="AF150" s="419"/>
      <c r="AG150" s="649"/>
      <c r="AH150" s="410" t="s">
        <v>492</v>
      </c>
      <c r="AI150" s="617">
        <f ca="1">SUM(AJ150:AN150)</f>
        <v>0</v>
      </c>
      <c r="AJ150" s="651">
        <f ca="1">IF($E$148&gt;=$E$147,AJ147,$E$148*AJ147/$E$147)</f>
        <v>0</v>
      </c>
      <c r="AK150" s="651">
        <f ca="1">IF($E$148&gt;=$E$147,AK147,$E$148*AK147/$E$147)</f>
        <v>0</v>
      </c>
      <c r="AL150" s="651">
        <f ca="1">IF($E$148&gt;=$E$147,AL147,$E$148*AL147/$E$147)</f>
        <v>0</v>
      </c>
      <c r="AM150" s="651">
        <f ca="1">IF($E$148&gt;=$E$147,AM147,$E$148*AM147/$E$147)</f>
        <v>0</v>
      </c>
      <c r="AN150" s="651">
        <f ca="1">IF($E$148&gt;=$E$147,AN147,$E$148*AN147/$E$147)</f>
        <v>0</v>
      </c>
      <c r="AO150" s="650"/>
      <c r="AP150" s="419"/>
      <c r="AQ150" s="719"/>
      <c r="AR150" s="719"/>
    </row>
    <row r="151" spans="1:44" hidden="1" x14ac:dyDescent="0.35">
      <c r="A151" s="419"/>
      <c r="C151" s="649"/>
      <c r="D151" s="410" t="s">
        <v>190</v>
      </c>
      <c r="F151" s="620" t="e">
        <f ca="1">F150/$E$150</f>
        <v>#DIV/0!</v>
      </c>
      <c r="G151" s="620" t="e">
        <f ca="1">G150/$E$150</f>
        <v>#DIV/0!</v>
      </c>
      <c r="H151" s="620" t="e">
        <f ca="1">H150/$E$150</f>
        <v>#DIV/0!</v>
      </c>
      <c r="I151" s="620" t="e">
        <f ca="1">I150/$E$150</f>
        <v>#DIV/0!</v>
      </c>
      <c r="J151" s="620" t="e">
        <f ca="1">J150/$E$150</f>
        <v>#DIV/0!</v>
      </c>
      <c r="K151" s="650"/>
      <c r="L151" s="419"/>
      <c r="M151" s="719"/>
      <c r="N151" s="719"/>
      <c r="P151" s="419"/>
      <c r="Q151" s="1375"/>
      <c r="R151" s="649"/>
      <c r="S151" s="410" t="s">
        <v>190</v>
      </c>
      <c r="U151" s="620" t="e">
        <f ca="1">U150/$E$150</f>
        <v>#DIV/0!</v>
      </c>
      <c r="V151" s="620" t="e">
        <f ca="1">V150/$E$150</f>
        <v>#DIV/0!</v>
      </c>
      <c r="W151" s="620" t="e">
        <f ca="1">W150/$E$150</f>
        <v>#DIV/0!</v>
      </c>
      <c r="X151" s="620" t="e">
        <f ca="1">X150/$E$150</f>
        <v>#DIV/0!</v>
      </c>
      <c r="Y151" s="620" t="e">
        <f ca="1">Y150/$E$150</f>
        <v>#DIV/0!</v>
      </c>
      <c r="Z151" s="650"/>
      <c r="AA151" s="419"/>
      <c r="AB151" s="719"/>
      <c r="AC151" s="719"/>
      <c r="AE151" s="419"/>
      <c r="AF151" s="419"/>
      <c r="AG151" s="649"/>
      <c r="AH151" s="410" t="s">
        <v>190</v>
      </c>
      <c r="AJ151" s="620" t="e">
        <f ca="1">AJ150/$E$150</f>
        <v>#DIV/0!</v>
      </c>
      <c r="AK151" s="620" t="e">
        <f ca="1">AK150/$E$150</f>
        <v>#DIV/0!</v>
      </c>
      <c r="AL151" s="620" t="e">
        <f ca="1">AL150/$E$150</f>
        <v>#DIV/0!</v>
      </c>
      <c r="AM151" s="620" t="e">
        <f ca="1">AM150/$E$150</f>
        <v>#DIV/0!</v>
      </c>
      <c r="AN151" s="620" t="e">
        <f ca="1">AN150/$E$150</f>
        <v>#DIV/0!</v>
      </c>
      <c r="AO151" s="650"/>
      <c r="AP151" s="419"/>
      <c r="AQ151" s="719"/>
      <c r="AR151" s="719"/>
    </row>
    <row r="152" spans="1:44" hidden="1" x14ac:dyDescent="0.35">
      <c r="A152" s="419"/>
      <c r="C152" s="649"/>
      <c r="D152" s="410" t="s">
        <v>192</v>
      </c>
      <c r="E152" s="657" t="s">
        <v>613</v>
      </c>
      <c r="K152" s="650"/>
      <c r="L152" s="419"/>
      <c r="M152" s="719"/>
      <c r="N152" s="719"/>
      <c r="P152" s="419"/>
      <c r="Q152" s="1375"/>
      <c r="R152" s="649"/>
      <c r="S152" s="410" t="s">
        <v>192</v>
      </c>
      <c r="T152" s="657" t="s">
        <v>613</v>
      </c>
      <c r="Z152" s="650"/>
      <c r="AA152" s="419"/>
      <c r="AB152" s="719"/>
      <c r="AC152" s="719"/>
      <c r="AE152" s="419"/>
      <c r="AF152" s="419"/>
      <c r="AG152" s="649"/>
      <c r="AH152" s="410" t="s">
        <v>192</v>
      </c>
      <c r="AI152" s="657" t="s">
        <v>613</v>
      </c>
      <c r="AO152" s="650"/>
      <c r="AP152" s="419"/>
      <c r="AQ152" s="719"/>
      <c r="AR152" s="719"/>
    </row>
    <row r="153" spans="1:44" hidden="1" x14ac:dyDescent="0.35">
      <c r="A153" s="419"/>
      <c r="C153" s="649"/>
      <c r="K153" s="650"/>
      <c r="L153" s="419"/>
      <c r="M153" s="719"/>
      <c r="N153" s="719"/>
      <c r="P153" s="419"/>
      <c r="Q153" s="1375"/>
      <c r="R153" s="649"/>
      <c r="Z153" s="650"/>
      <c r="AA153" s="419"/>
      <c r="AB153" s="719"/>
      <c r="AC153" s="719"/>
      <c r="AE153" s="419"/>
      <c r="AF153" s="419"/>
      <c r="AG153" s="649"/>
      <c r="AO153" s="650"/>
      <c r="AP153" s="419"/>
      <c r="AQ153" s="719"/>
      <c r="AR153" s="719"/>
    </row>
    <row r="154" spans="1:44" hidden="1" x14ac:dyDescent="0.35">
      <c r="A154" s="419"/>
      <c r="C154" s="649"/>
      <c r="D154" s="410" t="s">
        <v>493</v>
      </c>
      <c r="E154" s="617">
        <f>SUM(F154:J154)</f>
        <v>0</v>
      </c>
      <c r="F154" s="658"/>
      <c r="G154" s="658"/>
      <c r="H154" s="658"/>
      <c r="I154" s="659"/>
      <c r="J154" s="659"/>
      <c r="K154" s="650"/>
      <c r="L154" s="419"/>
      <c r="M154" s="719"/>
      <c r="N154" s="719"/>
      <c r="P154" s="419"/>
      <c r="Q154" s="1375"/>
      <c r="R154" s="649"/>
      <c r="S154" s="410" t="s">
        <v>493</v>
      </c>
      <c r="T154" s="617">
        <f>SUM(U154:Y154)</f>
        <v>0</v>
      </c>
      <c r="U154" s="658"/>
      <c r="V154" s="658"/>
      <c r="W154" s="658"/>
      <c r="X154" s="659"/>
      <c r="Y154" s="659"/>
      <c r="Z154" s="650"/>
      <c r="AA154" s="419"/>
      <c r="AB154" s="719"/>
      <c r="AC154" s="719"/>
      <c r="AE154" s="419"/>
      <c r="AF154" s="419"/>
      <c r="AG154" s="649"/>
      <c r="AH154" s="410" t="s">
        <v>493</v>
      </c>
      <c r="AI154" s="617">
        <f>SUM(AJ154:AN154)</f>
        <v>0</v>
      </c>
      <c r="AJ154" s="658"/>
      <c r="AK154" s="658"/>
      <c r="AL154" s="658"/>
      <c r="AM154" s="659"/>
      <c r="AN154" s="659"/>
      <c r="AO154" s="650"/>
      <c r="AP154" s="419"/>
      <c r="AQ154" s="719"/>
      <c r="AR154" s="719"/>
    </row>
    <row r="155" spans="1:44" hidden="1" x14ac:dyDescent="0.35">
      <c r="A155" s="419"/>
      <c r="C155" s="649"/>
      <c r="D155" s="410" t="s">
        <v>191</v>
      </c>
      <c r="F155" s="620" t="str">
        <f>IFERROR(F154/$E$66,"")</f>
        <v/>
      </c>
      <c r="G155" s="620" t="str">
        <f>IFERROR(G154/$E$66,"")</f>
        <v/>
      </c>
      <c r="H155" s="620" t="str">
        <f>IFERROR(H154/$E$66,"")</f>
        <v/>
      </c>
      <c r="I155" s="620" t="str">
        <f>IFERROR(I154/$E$66,"")</f>
        <v/>
      </c>
      <c r="J155" s="620" t="str">
        <f>IFERROR(J154/$E$66,"")</f>
        <v/>
      </c>
      <c r="K155" s="650"/>
      <c r="L155" s="419"/>
      <c r="M155" s="719"/>
      <c r="N155" s="719"/>
      <c r="P155" s="419"/>
      <c r="Q155" s="1375"/>
      <c r="R155" s="649"/>
      <c r="S155" s="410" t="s">
        <v>191</v>
      </c>
      <c r="U155" s="620" t="str">
        <f>IFERROR(U154/$E$66,"")</f>
        <v/>
      </c>
      <c r="V155" s="620" t="str">
        <f>IFERROR(V154/$E$66,"")</f>
        <v/>
      </c>
      <c r="W155" s="620" t="str">
        <f>IFERROR(W154/$E$66,"")</f>
        <v/>
      </c>
      <c r="X155" s="620" t="str">
        <f>IFERROR(X154/$E$66,"")</f>
        <v/>
      </c>
      <c r="Y155" s="620" t="str">
        <f>IFERROR(Y154/$E$66,"")</f>
        <v/>
      </c>
      <c r="Z155" s="650"/>
      <c r="AA155" s="419"/>
      <c r="AB155" s="719"/>
      <c r="AC155" s="719"/>
      <c r="AE155" s="419"/>
      <c r="AF155" s="419"/>
      <c r="AG155" s="649"/>
      <c r="AH155" s="410" t="s">
        <v>191</v>
      </c>
      <c r="AJ155" s="620" t="str">
        <f>IFERROR(AJ154/$E$66,"")</f>
        <v/>
      </c>
      <c r="AK155" s="620" t="str">
        <f>IFERROR(AK154/$E$66,"")</f>
        <v/>
      </c>
      <c r="AL155" s="620" t="str">
        <f>IFERROR(AL154/$E$66,"")</f>
        <v/>
      </c>
      <c r="AM155" s="620" t="str">
        <f>IFERROR(AM154/$E$66,"")</f>
        <v/>
      </c>
      <c r="AN155" s="620" t="str">
        <f>IFERROR(AN154/$E$66,"")</f>
        <v/>
      </c>
      <c r="AO155" s="650"/>
      <c r="AP155" s="419"/>
      <c r="AQ155" s="719"/>
      <c r="AR155" s="719"/>
    </row>
    <row r="156" spans="1:44" ht="9.3000000000000007" hidden="1" thickBot="1" x14ac:dyDescent="0.4">
      <c r="A156" s="419"/>
      <c r="C156" s="654"/>
      <c r="D156" s="655"/>
      <c r="E156" s="655"/>
      <c r="F156" s="655"/>
      <c r="G156" s="655"/>
      <c r="H156" s="655"/>
      <c r="I156" s="655"/>
      <c r="J156" s="655"/>
      <c r="K156" s="656"/>
      <c r="L156" s="419"/>
      <c r="M156" s="719"/>
      <c r="N156" s="719"/>
      <c r="P156" s="419"/>
      <c r="Q156" s="1375"/>
      <c r="R156" s="654"/>
      <c r="S156" s="655"/>
      <c r="T156" s="655"/>
      <c r="U156" s="655"/>
      <c r="V156" s="655"/>
      <c r="W156" s="655"/>
      <c r="X156" s="655"/>
      <c r="Y156" s="655"/>
      <c r="Z156" s="656"/>
      <c r="AA156" s="419"/>
      <c r="AB156" s="719"/>
      <c r="AC156" s="719"/>
      <c r="AE156" s="419"/>
      <c r="AF156" s="419"/>
      <c r="AG156" s="654"/>
      <c r="AH156" s="655"/>
      <c r="AI156" s="655"/>
      <c r="AJ156" s="655"/>
      <c r="AK156" s="655"/>
      <c r="AL156" s="655"/>
      <c r="AM156" s="655"/>
      <c r="AN156" s="655"/>
      <c r="AO156" s="656"/>
      <c r="AP156" s="419"/>
      <c r="AQ156" s="719"/>
      <c r="AR156" s="719"/>
    </row>
    <row r="157" spans="1:44" hidden="1" x14ac:dyDescent="0.35">
      <c r="A157" s="419"/>
      <c r="C157" s="419"/>
      <c r="D157" s="419"/>
      <c r="E157" s="419"/>
      <c r="F157" s="419"/>
      <c r="G157" s="419"/>
      <c r="H157" s="419"/>
      <c r="I157" s="419"/>
      <c r="J157" s="419"/>
      <c r="K157" s="419"/>
      <c r="L157" s="419"/>
      <c r="M157" s="719"/>
      <c r="N157" s="719"/>
      <c r="P157" s="419"/>
      <c r="Q157" s="1375"/>
      <c r="R157" s="419"/>
      <c r="S157" s="419"/>
      <c r="T157" s="419"/>
      <c r="U157" s="419"/>
      <c r="V157" s="419"/>
      <c r="W157" s="419"/>
      <c r="X157" s="419"/>
      <c r="Y157" s="419"/>
      <c r="Z157" s="419"/>
      <c r="AA157" s="419"/>
      <c r="AB157" s="719"/>
      <c r="AC157" s="719"/>
      <c r="AE157" s="419"/>
      <c r="AF157" s="419"/>
      <c r="AG157" s="419"/>
      <c r="AH157" s="419"/>
      <c r="AI157" s="419"/>
      <c r="AJ157" s="419"/>
      <c r="AK157" s="419"/>
      <c r="AL157" s="419"/>
      <c r="AM157" s="419"/>
      <c r="AN157" s="419"/>
      <c r="AO157" s="419"/>
      <c r="AP157" s="419"/>
      <c r="AQ157" s="719"/>
      <c r="AR157" s="719"/>
    </row>
    <row r="158" spans="1:44" ht="9.3000000000000007" hidden="1" thickBot="1" x14ac:dyDescent="0.4">
      <c r="A158" s="419"/>
      <c r="C158" s="419"/>
      <c r="D158" s="419"/>
      <c r="E158" s="419"/>
      <c r="F158" s="419"/>
      <c r="G158" s="419"/>
      <c r="H158" s="419"/>
      <c r="I158" s="419"/>
      <c r="J158" s="419"/>
      <c r="K158" s="419"/>
      <c r="L158" s="419"/>
      <c r="M158" s="719"/>
      <c r="N158" s="719"/>
      <c r="P158" s="419"/>
      <c r="Q158" s="1375"/>
      <c r="R158" s="419"/>
      <c r="S158" s="419"/>
      <c r="T158" s="419"/>
      <c r="U158" s="419"/>
      <c r="V158" s="419"/>
      <c r="W158" s="419"/>
      <c r="X158" s="419"/>
      <c r="Y158" s="419"/>
      <c r="Z158" s="419"/>
      <c r="AA158" s="419"/>
      <c r="AB158" s="719"/>
      <c r="AC158" s="719"/>
      <c r="AE158" s="419"/>
      <c r="AF158" s="419"/>
      <c r="AG158" s="419"/>
      <c r="AH158" s="419"/>
      <c r="AI158" s="419"/>
      <c r="AJ158" s="419"/>
      <c r="AK158" s="419"/>
      <c r="AL158" s="419"/>
      <c r="AM158" s="419"/>
      <c r="AN158" s="419"/>
      <c r="AO158" s="419"/>
      <c r="AP158" s="419"/>
      <c r="AQ158" s="719"/>
      <c r="AR158" s="719"/>
    </row>
    <row r="159" spans="1:44" hidden="1" x14ac:dyDescent="0.35">
      <c r="A159" s="419"/>
      <c r="C159" s="660"/>
      <c r="D159" s="661"/>
      <c r="E159" s="661"/>
      <c r="F159" s="661"/>
      <c r="G159" s="661"/>
      <c r="H159" s="661"/>
      <c r="I159" s="661"/>
      <c r="J159" s="661"/>
      <c r="K159" s="662"/>
      <c r="M159" s="720"/>
      <c r="N159" s="720"/>
      <c r="P159" s="419"/>
      <c r="R159" s="660"/>
      <c r="S159" s="661"/>
      <c r="T159" s="661"/>
      <c r="U159" s="661"/>
      <c r="V159" s="661"/>
      <c r="W159" s="661"/>
      <c r="X159" s="661"/>
      <c r="Y159" s="661"/>
      <c r="Z159" s="662"/>
      <c r="AB159" s="720"/>
      <c r="AC159" s="720"/>
      <c r="AE159" s="419"/>
      <c r="AG159" s="660"/>
      <c r="AH159" s="661"/>
      <c r="AI159" s="661"/>
      <c r="AJ159" s="661"/>
      <c r="AK159" s="661"/>
      <c r="AL159" s="661"/>
      <c r="AM159" s="661"/>
      <c r="AN159" s="661"/>
      <c r="AO159" s="662"/>
      <c r="AQ159" s="720"/>
      <c r="AR159" s="720"/>
    </row>
    <row r="160" spans="1:44" hidden="1" x14ac:dyDescent="0.35">
      <c r="A160" s="419"/>
      <c r="C160" s="663"/>
      <c r="D160" s="664" t="s">
        <v>146</v>
      </c>
      <c r="E160" s="665"/>
      <c r="F160" s="665"/>
      <c r="G160" s="665"/>
      <c r="H160" s="665"/>
      <c r="I160" s="665"/>
      <c r="J160" s="665"/>
      <c r="K160" s="666"/>
      <c r="M160" s="720"/>
      <c r="N160" s="720"/>
      <c r="P160" s="419"/>
      <c r="R160" s="663"/>
      <c r="S160" s="664" t="s">
        <v>146</v>
      </c>
      <c r="T160" s="665"/>
      <c r="U160" s="665"/>
      <c r="V160" s="665"/>
      <c r="W160" s="665"/>
      <c r="X160" s="665"/>
      <c r="Y160" s="665"/>
      <c r="Z160" s="666"/>
      <c r="AB160" s="720"/>
      <c r="AC160" s="720"/>
      <c r="AE160" s="419"/>
      <c r="AG160" s="663"/>
      <c r="AH160" s="664" t="s">
        <v>146</v>
      </c>
      <c r="AI160" s="665"/>
      <c r="AJ160" s="665"/>
      <c r="AK160" s="665"/>
      <c r="AL160" s="665"/>
      <c r="AM160" s="665"/>
      <c r="AN160" s="665"/>
      <c r="AO160" s="666"/>
      <c r="AQ160" s="720"/>
      <c r="AR160" s="720"/>
    </row>
    <row r="161" spans="1:44" hidden="1" x14ac:dyDescent="0.35">
      <c r="A161" s="419"/>
      <c r="C161" s="663"/>
      <c r="D161" s="665"/>
      <c r="E161" s="665"/>
      <c r="F161" s="665"/>
      <c r="G161" s="665"/>
      <c r="H161" s="665"/>
      <c r="I161" s="665"/>
      <c r="J161" s="665"/>
      <c r="K161" s="666"/>
      <c r="M161" s="720"/>
      <c r="N161" s="720"/>
      <c r="P161" s="419"/>
      <c r="R161" s="663"/>
      <c r="S161" s="665"/>
      <c r="T161" s="665"/>
      <c r="U161" s="665"/>
      <c r="V161" s="665"/>
      <c r="W161" s="665"/>
      <c r="X161" s="665"/>
      <c r="Y161" s="665"/>
      <c r="Z161" s="666"/>
      <c r="AB161" s="720"/>
      <c r="AC161" s="720"/>
      <c r="AE161" s="419"/>
      <c r="AG161" s="663"/>
      <c r="AH161" s="665"/>
      <c r="AI161" s="665"/>
      <c r="AJ161" s="665"/>
      <c r="AK161" s="665"/>
      <c r="AL161" s="665"/>
      <c r="AM161" s="665"/>
      <c r="AN161" s="665"/>
      <c r="AO161" s="666"/>
      <c r="AQ161" s="720"/>
      <c r="AR161" s="720"/>
    </row>
    <row r="162" spans="1:44" ht="18" hidden="1" x14ac:dyDescent="0.35">
      <c r="A162" s="419"/>
      <c r="C162" s="663"/>
      <c r="D162" s="665"/>
      <c r="E162" s="667" t="s">
        <v>240</v>
      </c>
      <c r="F162" s="667" t="s">
        <v>242</v>
      </c>
      <c r="G162" s="667" t="s">
        <v>243</v>
      </c>
      <c r="H162" s="667" t="s">
        <v>244</v>
      </c>
      <c r="I162" s="667" t="s">
        <v>238</v>
      </c>
      <c r="J162" s="667" t="s">
        <v>239</v>
      </c>
      <c r="K162" s="666"/>
      <c r="M162" s="720"/>
      <c r="N162" s="720"/>
      <c r="P162" s="419"/>
      <c r="R162" s="663"/>
      <c r="S162" s="665"/>
      <c r="T162" s="667" t="s">
        <v>240</v>
      </c>
      <c r="U162" s="667" t="s">
        <v>242</v>
      </c>
      <c r="V162" s="667" t="s">
        <v>243</v>
      </c>
      <c r="W162" s="667" t="s">
        <v>244</v>
      </c>
      <c r="X162" s="667" t="s">
        <v>238</v>
      </c>
      <c r="Y162" s="667" t="s">
        <v>239</v>
      </c>
      <c r="Z162" s="666"/>
      <c r="AB162" s="720"/>
      <c r="AC162" s="720"/>
      <c r="AE162" s="419"/>
      <c r="AG162" s="663"/>
      <c r="AH162" s="665"/>
      <c r="AI162" s="667" t="s">
        <v>240</v>
      </c>
      <c r="AJ162" s="667" t="s">
        <v>242</v>
      </c>
      <c r="AK162" s="667" t="s">
        <v>243</v>
      </c>
      <c r="AL162" s="667" t="s">
        <v>244</v>
      </c>
      <c r="AM162" s="667" t="s">
        <v>238</v>
      </c>
      <c r="AN162" s="667" t="s">
        <v>239</v>
      </c>
      <c r="AO162" s="666"/>
      <c r="AQ162" s="720"/>
      <c r="AR162" s="720"/>
    </row>
    <row r="163" spans="1:44" hidden="1" x14ac:dyDescent="0.35">
      <c r="A163" s="419"/>
      <c r="C163" s="663"/>
      <c r="D163" s="665" t="s">
        <v>147</v>
      </c>
      <c r="E163" s="668">
        <f ca="1">E100</f>
        <v>646282455</v>
      </c>
      <c r="F163" s="668">
        <f t="shared" ref="F163:J164" ca="1" si="39">F100</f>
        <v>97282699</v>
      </c>
      <c r="G163" s="668">
        <f t="shared" ca="1" si="39"/>
        <v>64870504</v>
      </c>
      <c r="H163" s="668">
        <f t="shared" ca="1" si="39"/>
        <v>198754842</v>
      </c>
      <c r="I163" s="668">
        <f t="shared" ca="1" si="39"/>
        <v>82489680</v>
      </c>
      <c r="J163" s="668">
        <f t="shared" ca="1" si="39"/>
        <v>202884730</v>
      </c>
      <c r="K163" s="666"/>
      <c r="M163" s="720"/>
      <c r="N163" s="720"/>
      <c r="P163" s="419"/>
      <c r="R163" s="663"/>
      <c r="S163" s="665" t="s">
        <v>147</v>
      </c>
      <c r="T163" s="668">
        <f t="shared" ref="T163:Y164" ca="1" si="40">T100</f>
        <v>668796931</v>
      </c>
      <c r="U163" s="668">
        <f t="shared" ca="1" si="40"/>
        <v>100705851</v>
      </c>
      <c r="V163" s="668">
        <f t="shared" ca="1" si="40"/>
        <v>67225029</v>
      </c>
      <c r="W163" s="668">
        <f t="shared" ca="1" si="40"/>
        <v>205571762</v>
      </c>
      <c r="X163" s="668">
        <f t="shared" ca="1" si="40"/>
        <v>85435281</v>
      </c>
      <c r="Y163" s="668">
        <f t="shared" ca="1" si="40"/>
        <v>209859008</v>
      </c>
      <c r="Z163" s="666"/>
      <c r="AB163" s="720"/>
      <c r="AC163" s="720"/>
      <c r="AE163" s="419"/>
      <c r="AG163" s="663"/>
      <c r="AH163" s="665" t="s">
        <v>147</v>
      </c>
      <c r="AI163" s="668">
        <f t="shared" ref="AI163:AN164" ca="1" si="41">AI100</f>
        <v>690837279</v>
      </c>
      <c r="AJ163" s="668">
        <f t="shared" ca="1" si="41"/>
        <v>104064914</v>
      </c>
      <c r="AK163" s="668">
        <f t="shared" ca="1" si="41"/>
        <v>69552146</v>
      </c>
      <c r="AL163" s="668">
        <f t="shared" ca="1" si="41"/>
        <v>212220048</v>
      </c>
      <c r="AM163" s="668">
        <f t="shared" ca="1" si="41"/>
        <v>88335702</v>
      </c>
      <c r="AN163" s="668">
        <f t="shared" ca="1" si="41"/>
        <v>216664469</v>
      </c>
      <c r="AO163" s="666"/>
      <c r="AQ163" s="720"/>
      <c r="AR163" s="720"/>
    </row>
    <row r="164" spans="1:44" hidden="1" x14ac:dyDescent="0.35">
      <c r="A164" s="419"/>
      <c r="C164" s="663"/>
      <c r="D164" s="665" t="s">
        <v>148</v>
      </c>
      <c r="E164" s="668">
        <f ca="1">E101</f>
        <v>249215036</v>
      </c>
      <c r="F164" s="668">
        <f t="shared" ca="1" si="39"/>
        <v>37382255.399999999</v>
      </c>
      <c r="G164" s="668">
        <f t="shared" ca="1" si="39"/>
        <v>12460751.800000001</v>
      </c>
      <c r="H164" s="668">
        <f t="shared" ca="1" si="39"/>
        <v>12460751.800000001</v>
      </c>
      <c r="I164" s="668">
        <f t="shared" ca="1" si="39"/>
        <v>12460751.800000001</v>
      </c>
      <c r="J164" s="668">
        <f t="shared" ca="1" si="39"/>
        <v>174450525.19999999</v>
      </c>
      <c r="K164" s="666"/>
      <c r="M164" s="720"/>
      <c r="N164" s="720"/>
      <c r="P164" s="419"/>
      <c r="R164" s="663"/>
      <c r="S164" s="665" t="s">
        <v>148</v>
      </c>
      <c r="T164" s="668">
        <f t="shared" ca="1" si="40"/>
        <v>257770209</v>
      </c>
      <c r="U164" s="668">
        <f t="shared" ca="1" si="40"/>
        <v>38665531.350000001</v>
      </c>
      <c r="V164" s="668">
        <f t="shared" ca="1" si="40"/>
        <v>12888510.450000001</v>
      </c>
      <c r="W164" s="668">
        <f t="shared" ca="1" si="40"/>
        <v>12888510.450000001</v>
      </c>
      <c r="X164" s="668">
        <f t="shared" ca="1" si="40"/>
        <v>12888510.450000001</v>
      </c>
      <c r="Y164" s="668">
        <f t="shared" ca="1" si="40"/>
        <v>180439146.29999998</v>
      </c>
      <c r="Z164" s="666"/>
      <c r="AB164" s="720"/>
      <c r="AC164" s="720"/>
      <c r="AE164" s="419"/>
      <c r="AG164" s="663"/>
      <c r="AH164" s="665" t="s">
        <v>148</v>
      </c>
      <c r="AI164" s="668">
        <f t="shared" ca="1" si="41"/>
        <v>266096559</v>
      </c>
      <c r="AJ164" s="668">
        <f t="shared" ca="1" si="41"/>
        <v>39914483.850000001</v>
      </c>
      <c r="AK164" s="668">
        <f t="shared" ca="1" si="41"/>
        <v>13304827.950000001</v>
      </c>
      <c r="AL164" s="668">
        <f t="shared" ca="1" si="41"/>
        <v>13304827.950000001</v>
      </c>
      <c r="AM164" s="668">
        <f t="shared" ca="1" si="41"/>
        <v>13304827.950000001</v>
      </c>
      <c r="AN164" s="668">
        <f t="shared" ca="1" si="41"/>
        <v>186267591.29999998</v>
      </c>
      <c r="AO164" s="666"/>
      <c r="AQ164" s="720"/>
      <c r="AR164" s="720"/>
    </row>
    <row r="165" spans="1:44" hidden="1" x14ac:dyDescent="0.35">
      <c r="A165" s="419"/>
      <c r="C165" s="663"/>
      <c r="D165" s="664" t="s">
        <v>149</v>
      </c>
      <c r="E165" s="669">
        <f t="shared" ref="E165:J165" ca="1" si="42">SUM(E163:E164)</f>
        <v>895497491</v>
      </c>
      <c r="F165" s="669">
        <f t="shared" ca="1" si="42"/>
        <v>134664954.40000001</v>
      </c>
      <c r="G165" s="669">
        <f t="shared" ca="1" si="42"/>
        <v>77331255.799999997</v>
      </c>
      <c r="H165" s="669">
        <f t="shared" ca="1" si="42"/>
        <v>211215593.80000001</v>
      </c>
      <c r="I165" s="669">
        <f t="shared" ca="1" si="42"/>
        <v>94950431.799999997</v>
      </c>
      <c r="J165" s="669">
        <f t="shared" ca="1" si="42"/>
        <v>377335255.19999999</v>
      </c>
      <c r="K165" s="666"/>
      <c r="M165" s="720"/>
      <c r="N165" s="720"/>
      <c r="P165" s="419"/>
      <c r="R165" s="663"/>
      <c r="S165" s="664" t="s">
        <v>149</v>
      </c>
      <c r="T165" s="669">
        <f t="shared" ref="T165:Y165" ca="1" si="43">SUM(T163:T164)</f>
        <v>926567140</v>
      </c>
      <c r="U165" s="669">
        <f t="shared" ca="1" si="43"/>
        <v>139371382.34999999</v>
      </c>
      <c r="V165" s="669">
        <f t="shared" ca="1" si="43"/>
        <v>80113539.450000003</v>
      </c>
      <c r="W165" s="669">
        <f t="shared" ca="1" si="43"/>
        <v>218460272.44999999</v>
      </c>
      <c r="X165" s="669">
        <f t="shared" ca="1" si="43"/>
        <v>98323791.450000003</v>
      </c>
      <c r="Y165" s="669">
        <f t="shared" ca="1" si="43"/>
        <v>390298154.29999995</v>
      </c>
      <c r="Z165" s="666"/>
      <c r="AB165" s="720"/>
      <c r="AC165" s="720"/>
      <c r="AE165" s="419"/>
      <c r="AG165" s="663"/>
      <c r="AH165" s="664" t="s">
        <v>149</v>
      </c>
      <c r="AI165" s="669">
        <f t="shared" ref="AI165:AN165" ca="1" si="44">SUM(AI163:AI164)</f>
        <v>956933838</v>
      </c>
      <c r="AJ165" s="669">
        <f t="shared" ca="1" si="44"/>
        <v>143979397.84999999</v>
      </c>
      <c r="AK165" s="669">
        <f t="shared" ca="1" si="44"/>
        <v>82856973.950000003</v>
      </c>
      <c r="AL165" s="669">
        <f t="shared" ca="1" si="44"/>
        <v>225524875.94999999</v>
      </c>
      <c r="AM165" s="669">
        <f t="shared" ca="1" si="44"/>
        <v>101640529.95</v>
      </c>
      <c r="AN165" s="669">
        <f t="shared" ca="1" si="44"/>
        <v>402932060.29999995</v>
      </c>
      <c r="AO165" s="666"/>
      <c r="AQ165" s="720"/>
      <c r="AR165" s="720"/>
    </row>
    <row r="166" spans="1:44" hidden="1" x14ac:dyDescent="0.35">
      <c r="A166" s="419"/>
      <c r="C166" s="663"/>
      <c r="D166" s="664"/>
      <c r="E166" s="665"/>
      <c r="F166" s="665"/>
      <c r="G166" s="665"/>
      <c r="H166" s="665"/>
      <c r="I166" s="665"/>
      <c r="J166" s="665"/>
      <c r="K166" s="666"/>
      <c r="M166" s="720"/>
      <c r="N166" s="720"/>
      <c r="P166" s="419"/>
      <c r="R166" s="663"/>
      <c r="S166" s="664"/>
      <c r="T166" s="665"/>
      <c r="U166" s="665"/>
      <c r="V166" s="665"/>
      <c r="W166" s="665"/>
      <c r="X166" s="665"/>
      <c r="Y166" s="665"/>
      <c r="Z166" s="666"/>
      <c r="AB166" s="720"/>
      <c r="AC166" s="720"/>
      <c r="AE166" s="419"/>
      <c r="AG166" s="663"/>
      <c r="AH166" s="664"/>
      <c r="AI166" s="665"/>
      <c r="AJ166" s="665"/>
      <c r="AK166" s="665"/>
      <c r="AL166" s="665"/>
      <c r="AM166" s="665"/>
      <c r="AN166" s="665"/>
      <c r="AO166" s="666"/>
      <c r="AQ166" s="720"/>
      <c r="AR166" s="720"/>
    </row>
    <row r="167" spans="1:44" hidden="1" x14ac:dyDescent="0.35">
      <c r="A167" s="419"/>
      <c r="C167" s="663"/>
      <c r="D167" s="665" t="s">
        <v>196</v>
      </c>
      <c r="E167" s="670">
        <f ca="1">SUM(F167:J167)</f>
        <v>-27012802.300000012</v>
      </c>
      <c r="F167" s="670">
        <f ca="1">F129-F147</f>
        <v>0</v>
      </c>
      <c r="G167" s="670">
        <f ca="1">G129-G147</f>
        <v>0</v>
      </c>
      <c r="H167" s="670">
        <f ca="1">H129-H147</f>
        <v>0</v>
      </c>
      <c r="I167" s="670">
        <f ca="1">I129-I147</f>
        <v>0</v>
      </c>
      <c r="J167" s="670">
        <f ca="1">J129-J147</f>
        <v>-27012802.300000012</v>
      </c>
      <c r="K167" s="666"/>
      <c r="M167" s="720"/>
      <c r="N167" s="720"/>
      <c r="P167" s="419"/>
      <c r="R167" s="663"/>
      <c r="S167" s="665" t="s">
        <v>196</v>
      </c>
      <c r="T167" s="670">
        <f ca="1">SUM(U167:Y167)</f>
        <v>-30275727.252462029</v>
      </c>
      <c r="U167" s="670">
        <f ca="1">U129-U147</f>
        <v>0</v>
      </c>
      <c r="V167" s="670">
        <f ca="1">V129-V147</f>
        <v>0</v>
      </c>
      <c r="W167" s="670">
        <f ca="1">W129-W147</f>
        <v>0</v>
      </c>
      <c r="X167" s="670">
        <f ca="1">X129-X147</f>
        <v>0</v>
      </c>
      <c r="Y167" s="670">
        <f ca="1">Y129-Y147</f>
        <v>-30275727.252462029</v>
      </c>
      <c r="Z167" s="666"/>
      <c r="AB167" s="720"/>
      <c r="AC167" s="720"/>
      <c r="AE167" s="419"/>
      <c r="AG167" s="663"/>
      <c r="AH167" s="665" t="s">
        <v>196</v>
      </c>
      <c r="AI167" s="670">
        <f ca="1">SUM(AJ167:AN167)</f>
        <v>-23845405.7320261</v>
      </c>
      <c r="AJ167" s="670">
        <f ca="1">AJ129-AJ147</f>
        <v>0</v>
      </c>
      <c r="AK167" s="670">
        <f ca="1">AK129-AK147</f>
        <v>0</v>
      </c>
      <c r="AL167" s="670">
        <f ca="1">AL129-AL147</f>
        <v>0</v>
      </c>
      <c r="AM167" s="670">
        <f ca="1">AM129-AM147</f>
        <v>0</v>
      </c>
      <c r="AN167" s="670">
        <f ca="1">AN129-AN147</f>
        <v>-23845405.7320261</v>
      </c>
      <c r="AO167" s="666"/>
      <c r="AQ167" s="720"/>
      <c r="AR167" s="720"/>
    </row>
    <row r="168" spans="1:44" hidden="1" x14ac:dyDescent="0.35">
      <c r="A168" s="419"/>
      <c r="C168" s="663"/>
      <c r="D168" s="664" t="s">
        <v>203</v>
      </c>
      <c r="E168" s="669">
        <f t="shared" ref="E168:J168" ca="1" si="45">E165+E167</f>
        <v>868484688.70000005</v>
      </c>
      <c r="F168" s="669">
        <f t="shared" ca="1" si="45"/>
        <v>134664954.40000001</v>
      </c>
      <c r="G168" s="669">
        <f t="shared" ca="1" si="45"/>
        <v>77331255.799999997</v>
      </c>
      <c r="H168" s="669">
        <f t="shared" ca="1" si="45"/>
        <v>211215593.80000001</v>
      </c>
      <c r="I168" s="669">
        <f t="shared" ca="1" si="45"/>
        <v>94950431.799999997</v>
      </c>
      <c r="J168" s="669">
        <f t="shared" ca="1" si="45"/>
        <v>350322452.89999998</v>
      </c>
      <c r="K168" s="666"/>
      <c r="M168" s="720"/>
      <c r="N168" s="720"/>
      <c r="P168" s="419"/>
      <c r="R168" s="663"/>
      <c r="S168" s="664" t="s">
        <v>203</v>
      </c>
      <c r="T168" s="669">
        <f t="shared" ref="T168:Y168" ca="1" si="46">T165+T167</f>
        <v>896291412.74753797</v>
      </c>
      <c r="U168" s="669">
        <f t="shared" ca="1" si="46"/>
        <v>139371382.34999999</v>
      </c>
      <c r="V168" s="669">
        <f t="shared" ca="1" si="46"/>
        <v>80113539.450000003</v>
      </c>
      <c r="W168" s="669">
        <f t="shared" ca="1" si="46"/>
        <v>218460272.44999999</v>
      </c>
      <c r="X168" s="669">
        <f t="shared" ca="1" si="46"/>
        <v>98323791.450000003</v>
      </c>
      <c r="Y168" s="669">
        <f t="shared" ca="1" si="46"/>
        <v>360022427.04753792</v>
      </c>
      <c r="Z168" s="666"/>
      <c r="AB168" s="720"/>
      <c r="AC168" s="720"/>
      <c r="AE168" s="419"/>
      <c r="AG168" s="663"/>
      <c r="AH168" s="664" t="s">
        <v>203</v>
      </c>
      <c r="AI168" s="669">
        <f t="shared" ref="AI168:AN168" ca="1" si="47">AI165+AI167</f>
        <v>933088432.2679739</v>
      </c>
      <c r="AJ168" s="669">
        <f t="shared" ca="1" si="47"/>
        <v>143979397.84999999</v>
      </c>
      <c r="AK168" s="669">
        <f t="shared" ca="1" si="47"/>
        <v>82856973.950000003</v>
      </c>
      <c r="AL168" s="669">
        <f t="shared" ca="1" si="47"/>
        <v>225524875.94999999</v>
      </c>
      <c r="AM168" s="669">
        <f t="shared" ca="1" si="47"/>
        <v>101640529.95</v>
      </c>
      <c r="AN168" s="669">
        <f t="shared" ca="1" si="47"/>
        <v>379086654.56797385</v>
      </c>
      <c r="AO168" s="666"/>
      <c r="AQ168" s="720"/>
      <c r="AR168" s="720"/>
    </row>
    <row r="169" spans="1:44" hidden="1" x14ac:dyDescent="0.35">
      <c r="A169" s="419"/>
      <c r="C169" s="663"/>
      <c r="D169" s="664"/>
      <c r="E169" s="665"/>
      <c r="F169" s="665"/>
      <c r="G169" s="665"/>
      <c r="H169" s="665"/>
      <c r="I169" s="665"/>
      <c r="J169" s="665"/>
      <c r="K169" s="666"/>
      <c r="M169" s="720"/>
      <c r="N169" s="720"/>
      <c r="P169" s="419"/>
      <c r="R169" s="663"/>
      <c r="S169" s="664"/>
      <c r="T169" s="665"/>
      <c r="U169" s="665"/>
      <c r="V169" s="665"/>
      <c r="W169" s="665"/>
      <c r="X169" s="665"/>
      <c r="Y169" s="665"/>
      <c r="Z169" s="666"/>
      <c r="AB169" s="720"/>
      <c r="AC169" s="720"/>
      <c r="AE169" s="419"/>
      <c r="AG169" s="663"/>
      <c r="AH169" s="664"/>
      <c r="AI169" s="665"/>
      <c r="AJ169" s="665"/>
      <c r="AK169" s="665"/>
      <c r="AL169" s="665"/>
      <c r="AM169" s="665"/>
      <c r="AN169" s="665"/>
      <c r="AO169" s="666"/>
      <c r="AQ169" s="720"/>
      <c r="AR169" s="720"/>
    </row>
    <row r="170" spans="1:44" hidden="1" x14ac:dyDescent="0.35">
      <c r="A170" s="419"/>
      <c r="C170" s="663"/>
      <c r="D170" s="665" t="s">
        <v>150</v>
      </c>
      <c r="E170" s="668">
        <f ca="1">SUM(F170:J170)</f>
        <v>79344579</v>
      </c>
      <c r="F170" s="670">
        <f ca="1">+Revenue!F26</f>
        <v>16721640</v>
      </c>
      <c r="G170" s="670">
        <f ca="1">+Revenue!G26</f>
        <v>15471225</v>
      </c>
      <c r="H170" s="670">
        <f ca="1">+Revenue!H26</f>
        <v>14719848</v>
      </c>
      <c r="I170" s="670">
        <f ca="1">+Revenue!I26</f>
        <v>18598866</v>
      </c>
      <c r="J170" s="670">
        <f ca="1">+Revenue!J26</f>
        <v>13833000</v>
      </c>
      <c r="K170" s="666"/>
      <c r="M170" s="720"/>
      <c r="N170" s="720"/>
      <c r="P170" s="419"/>
      <c r="R170" s="663"/>
      <c r="S170" s="665" t="s">
        <v>150</v>
      </c>
      <c r="T170" s="668">
        <f ca="1">SUM(U170:Y170)</f>
        <v>135707599</v>
      </c>
      <c r="U170" s="670">
        <f ca="1">+Revenue!U26</f>
        <v>19549819</v>
      </c>
      <c r="V170" s="670">
        <f ca="1">+Revenue!V26</f>
        <v>12058000</v>
      </c>
      <c r="W170" s="670">
        <f ca="1">+Revenue!W26</f>
        <v>104099780</v>
      </c>
      <c r="X170" s="670">
        <f ca="1">+Revenue!X26</f>
        <v>0</v>
      </c>
      <c r="Y170" s="670">
        <f>+Revenue!Y26</f>
        <v>0</v>
      </c>
      <c r="Z170" s="666"/>
      <c r="AB170" s="720"/>
      <c r="AC170" s="720"/>
      <c r="AE170" s="419"/>
      <c r="AG170" s="663"/>
      <c r="AH170" s="665" t="s">
        <v>150</v>
      </c>
      <c r="AI170" s="668">
        <f>SUM(AJ170:AN170)</f>
        <v>0</v>
      </c>
      <c r="AJ170" s="670">
        <f>+Revenue!AJ26</f>
        <v>0</v>
      </c>
      <c r="AK170" s="670">
        <f>+Revenue!AK26</f>
        <v>0</v>
      </c>
      <c r="AL170" s="670">
        <f>+Revenue!AL26</f>
        <v>0</v>
      </c>
      <c r="AM170" s="670">
        <f>+Revenue!AM26</f>
        <v>0</v>
      </c>
      <c r="AN170" s="670">
        <f>+Revenue!AN26</f>
        <v>0</v>
      </c>
      <c r="AO170" s="666"/>
      <c r="AQ170" s="720"/>
      <c r="AR170" s="720"/>
    </row>
    <row r="171" spans="1:44" hidden="1" x14ac:dyDescent="0.35">
      <c r="A171" s="419"/>
      <c r="C171" s="663"/>
      <c r="D171" s="665" t="s">
        <v>151</v>
      </c>
      <c r="E171" s="668">
        <f ca="1">SUM(F171:J171)</f>
        <v>179290650</v>
      </c>
      <c r="F171" s="670">
        <f ca="1">F11+$K$11*F57/$E$57</f>
        <v>0</v>
      </c>
      <c r="G171" s="670">
        <f ca="1">G11+$K$11*G57/$E$57</f>
        <v>0</v>
      </c>
      <c r="H171" s="670">
        <f ca="1">H11+$K$11*H57/$E$57</f>
        <v>0</v>
      </c>
      <c r="I171" s="670">
        <f ca="1">I11+$K$11*I57/$E$57</f>
        <v>0</v>
      </c>
      <c r="J171" s="670">
        <f ca="1">J11+$K$11*J57/$E$57</f>
        <v>179290650</v>
      </c>
      <c r="K171" s="666"/>
      <c r="M171" s="720"/>
      <c r="N171" s="720"/>
      <c r="P171" s="419"/>
      <c r="R171" s="663"/>
      <c r="S171" s="665" t="s">
        <v>151</v>
      </c>
      <c r="T171" s="668">
        <f ca="1">SUM(U171:Y171)</f>
        <v>185386533</v>
      </c>
      <c r="U171" s="670">
        <f ca="1">U11+$K$11*U57/$E$57</f>
        <v>0</v>
      </c>
      <c r="V171" s="670">
        <f ca="1">V11+$K$11*V57/$E$57</f>
        <v>0</v>
      </c>
      <c r="W171" s="670">
        <f ca="1">W11+$K$11*W57/$E$57</f>
        <v>0</v>
      </c>
      <c r="X171" s="670">
        <f ca="1">X11+$K$11*X57/$E$57</f>
        <v>0</v>
      </c>
      <c r="Y171" s="670">
        <f ca="1">Y11+$K$11*Y57/$E$57</f>
        <v>185386533</v>
      </c>
      <c r="Z171" s="666"/>
      <c r="AB171" s="720"/>
      <c r="AC171" s="720"/>
      <c r="AE171" s="419"/>
      <c r="AG171" s="663"/>
      <c r="AH171" s="665" t="s">
        <v>151</v>
      </c>
      <c r="AI171" s="668">
        <f ca="1">SUM(AJ171:AN171)</f>
        <v>191318902</v>
      </c>
      <c r="AJ171" s="670">
        <f ca="1">AJ11+$K$11*AJ57/$E$57</f>
        <v>0</v>
      </c>
      <c r="AK171" s="670">
        <f ca="1">AK11+$K$11*AK57/$E$57</f>
        <v>0</v>
      </c>
      <c r="AL171" s="670">
        <f ca="1">AL11+$K$11*AL57/$E$57</f>
        <v>0</v>
      </c>
      <c r="AM171" s="670">
        <f ca="1">AM11+$K$11*AM57/$E$57</f>
        <v>0</v>
      </c>
      <c r="AN171" s="670">
        <f ca="1">AN11+$K$11*AN57/$E$57</f>
        <v>191318902</v>
      </c>
      <c r="AO171" s="666"/>
      <c r="AQ171" s="720"/>
      <c r="AR171" s="720"/>
    </row>
    <row r="172" spans="1:44" hidden="1" x14ac:dyDescent="0.35">
      <c r="A172" s="419"/>
      <c r="C172" s="663"/>
      <c r="D172" s="665" t="s">
        <v>26</v>
      </c>
      <c r="E172" s="668">
        <f ca="1">SUM(F172:J172)</f>
        <v>130755137.99999999</v>
      </c>
      <c r="F172" s="670">
        <f ca="1">F37+$K$37*F57/$E$57</f>
        <v>9705193.6499999985</v>
      </c>
      <c r="G172" s="670">
        <f ca="1">G37+$K$37*G57/$E$57</f>
        <v>11389689.550000001</v>
      </c>
      <c r="H172" s="670">
        <f ca="1">H37+$K$37*H57/$E$57</f>
        <v>19790304.550000001</v>
      </c>
      <c r="I172" s="670">
        <f ca="1">I37+$K$37*I57/$E$57</f>
        <v>3338846.5500000003</v>
      </c>
      <c r="J172" s="670">
        <f ca="1">J37+$K$37*J57/$E$57</f>
        <v>86531103.699999988</v>
      </c>
      <c r="K172" s="666"/>
      <c r="M172" s="720"/>
      <c r="N172" s="720"/>
      <c r="P172" s="419"/>
      <c r="R172" s="663"/>
      <c r="S172" s="665" t="s">
        <v>26</v>
      </c>
      <c r="T172" s="668">
        <f ca="1">SUM(U172:Y172)</f>
        <v>135216696.2234022</v>
      </c>
      <c r="U172" s="670">
        <f ca="1">U37+$K$37*U57/$E$57</f>
        <v>10037552.483510334</v>
      </c>
      <c r="V172" s="670">
        <f ca="1">V37+$K$37*V57/$E$57</f>
        <v>11777733.16117011</v>
      </c>
      <c r="W172" s="670">
        <f ca="1">W37+$K$37*W57/$E$57</f>
        <v>20463969.16117011</v>
      </c>
      <c r="X172" s="670">
        <f ca="1">X37+$K$37*X57/$E$57</f>
        <v>3453161.161170111</v>
      </c>
      <c r="Y172" s="670">
        <f ca="1">Y37+$K$37*Y57/$E$57</f>
        <v>89484280.256381541</v>
      </c>
      <c r="Z172" s="666"/>
      <c r="AB172" s="720"/>
      <c r="AC172" s="720"/>
      <c r="AE172" s="419"/>
      <c r="AG172" s="663"/>
      <c r="AH172" s="665" t="s">
        <v>26</v>
      </c>
      <c r="AI172" s="668">
        <f ca="1">SUM(AJ172:AN172)</f>
        <v>147336485.99418288</v>
      </c>
      <c r="AJ172" s="670">
        <f ca="1">AJ37+$K$37*AJ57/$E$57</f>
        <v>10361016.249127435</v>
      </c>
      <c r="AK172" s="670">
        <f ca="1">AK37+$K$37*AK57/$E$57</f>
        <v>12155374.749709144</v>
      </c>
      <c r="AL172" s="670">
        <f ca="1">AL37+$K$37*AL57/$E$57</f>
        <v>21119569.749709144</v>
      </c>
      <c r="AM172" s="670">
        <f ca="1">AM37+$K$37*AM57/$E$57</f>
        <v>3564415.7497091447</v>
      </c>
      <c r="AN172" s="670">
        <f ca="1">AN37+$K$37*AN57/$E$57</f>
        <v>100136109.49592802</v>
      </c>
      <c r="AO172" s="666"/>
      <c r="AQ172" s="720"/>
      <c r="AR172" s="720"/>
    </row>
    <row r="173" spans="1:44" hidden="1" x14ac:dyDescent="0.35">
      <c r="A173" s="419"/>
      <c r="C173" s="663"/>
      <c r="D173" s="665" t="s">
        <v>495</v>
      </c>
      <c r="E173" s="671">
        <f>SUM(F173:I173)</f>
        <v>0</v>
      </c>
      <c r="F173" s="671">
        <f>F227</f>
        <v>0</v>
      </c>
      <c r="G173" s="671">
        <f>G227</f>
        <v>0</v>
      </c>
      <c r="H173" s="671">
        <f>H227</f>
        <v>0</v>
      </c>
      <c r="I173" s="671">
        <f>I227</f>
        <v>0</v>
      </c>
      <c r="J173" s="671">
        <f>J227</f>
        <v>0</v>
      </c>
      <c r="K173" s="666"/>
      <c r="M173" s="720"/>
      <c r="N173" s="720"/>
      <c r="P173" s="419"/>
      <c r="R173" s="663"/>
      <c r="S173" s="665" t="s">
        <v>495</v>
      </c>
      <c r="T173" s="671">
        <f>SUM(U173:X173)</f>
        <v>0</v>
      </c>
      <c r="U173" s="671">
        <f>U227</f>
        <v>0</v>
      </c>
      <c r="V173" s="671">
        <f>V227</f>
        <v>0</v>
      </c>
      <c r="W173" s="671">
        <f>W227</f>
        <v>0</v>
      </c>
      <c r="X173" s="671">
        <f>X227</f>
        <v>0</v>
      </c>
      <c r="Y173" s="671">
        <f>Y227</f>
        <v>0</v>
      </c>
      <c r="Z173" s="666"/>
      <c r="AB173" s="720"/>
      <c r="AC173" s="720"/>
      <c r="AE173" s="419"/>
      <c r="AG173" s="663"/>
      <c r="AH173" s="665" t="s">
        <v>495</v>
      </c>
      <c r="AI173" s="671">
        <f>SUM(AJ173:AM173)</f>
        <v>0</v>
      </c>
      <c r="AJ173" s="671">
        <f>AJ227</f>
        <v>0</v>
      </c>
      <c r="AK173" s="671">
        <f>AK227</f>
        <v>0</v>
      </c>
      <c r="AL173" s="671">
        <f>AL227</f>
        <v>0</v>
      </c>
      <c r="AM173" s="671">
        <f>AM227</f>
        <v>0</v>
      </c>
      <c r="AN173" s="671">
        <f>AN227</f>
        <v>0</v>
      </c>
      <c r="AO173" s="666"/>
      <c r="AQ173" s="720"/>
      <c r="AR173" s="720"/>
    </row>
    <row r="174" spans="1:44" hidden="1" x14ac:dyDescent="0.35">
      <c r="A174" s="419"/>
      <c r="C174" s="663"/>
      <c r="D174" s="664" t="s">
        <v>153</v>
      </c>
      <c r="E174" s="669">
        <f ca="1">SUM(F174:J174)</f>
        <v>389390367</v>
      </c>
      <c r="F174" s="669">
        <f ca="1">SUM(F170:F173)</f>
        <v>26426833.649999999</v>
      </c>
      <c r="G174" s="669">
        <f ca="1">SUM(G170:G173)</f>
        <v>26860914.550000001</v>
      </c>
      <c r="H174" s="669">
        <f ca="1">SUM(H170:H173)</f>
        <v>34510152.549999997</v>
      </c>
      <c r="I174" s="669">
        <f ca="1">SUM(I170:I173)</f>
        <v>21937712.550000001</v>
      </c>
      <c r="J174" s="669">
        <f ca="1">SUM(J170:J173)</f>
        <v>279654753.69999999</v>
      </c>
      <c r="K174" s="666"/>
      <c r="M174" s="720"/>
      <c r="N174" s="720"/>
      <c r="P174" s="419"/>
      <c r="R174" s="663"/>
      <c r="S174" s="664" t="s">
        <v>153</v>
      </c>
      <c r="T174" s="669">
        <f ca="1">SUM(U174:Y174)</f>
        <v>456310828.2234022</v>
      </c>
      <c r="U174" s="669">
        <f ca="1">SUM(U170:U173)</f>
        <v>29587371.483510334</v>
      </c>
      <c r="V174" s="669">
        <f ca="1">SUM(V170:V173)</f>
        <v>23835733.16117011</v>
      </c>
      <c r="W174" s="669">
        <f ca="1">SUM(W170:W173)</f>
        <v>124563749.16117011</v>
      </c>
      <c r="X174" s="669">
        <f ca="1">SUM(X170:X173)</f>
        <v>3453161.161170111</v>
      </c>
      <c r="Y174" s="669">
        <f ca="1">SUM(Y170:Y173)</f>
        <v>274870813.25638151</v>
      </c>
      <c r="Z174" s="666"/>
      <c r="AB174" s="720"/>
      <c r="AC174" s="720"/>
      <c r="AE174" s="419"/>
      <c r="AG174" s="663"/>
      <c r="AH174" s="664" t="s">
        <v>153</v>
      </c>
      <c r="AI174" s="669">
        <f ca="1">SUM(AJ174:AN174)</f>
        <v>338655387.99418294</v>
      </c>
      <c r="AJ174" s="669">
        <f ca="1">SUM(AJ170:AJ173)</f>
        <v>10361016.249127435</v>
      </c>
      <c r="AK174" s="669">
        <f ca="1">SUM(AK170:AK173)</f>
        <v>12155374.749709144</v>
      </c>
      <c r="AL174" s="669">
        <f ca="1">SUM(AL170:AL173)</f>
        <v>21119569.749709144</v>
      </c>
      <c r="AM174" s="669">
        <f ca="1">SUM(AM170:AM173)</f>
        <v>3564415.7497091447</v>
      </c>
      <c r="AN174" s="669">
        <f ca="1">SUM(AN170:AN173)</f>
        <v>291455011.49592805</v>
      </c>
      <c r="AO174" s="666"/>
      <c r="AQ174" s="720"/>
      <c r="AR174" s="720"/>
    </row>
    <row r="175" spans="1:44" hidden="1" x14ac:dyDescent="0.35">
      <c r="A175" s="419"/>
      <c r="C175" s="663"/>
      <c r="D175" s="665"/>
      <c r="E175" s="665"/>
      <c r="F175" s="665"/>
      <c r="G175" s="665"/>
      <c r="H175" s="665"/>
      <c r="I175" s="665"/>
      <c r="J175" s="665"/>
      <c r="K175" s="666"/>
      <c r="M175" s="720"/>
      <c r="N175" s="720"/>
      <c r="P175" s="419"/>
      <c r="R175" s="663"/>
      <c r="S175" s="665"/>
      <c r="T175" s="665"/>
      <c r="U175" s="665"/>
      <c r="V175" s="665"/>
      <c r="W175" s="665"/>
      <c r="X175" s="665"/>
      <c r="Y175" s="665"/>
      <c r="Z175" s="666"/>
      <c r="AB175" s="720"/>
      <c r="AC175" s="720"/>
      <c r="AE175" s="419"/>
      <c r="AG175" s="663"/>
      <c r="AH175" s="665"/>
      <c r="AI175" s="665"/>
      <c r="AJ175" s="665"/>
      <c r="AK175" s="665"/>
      <c r="AL175" s="665"/>
      <c r="AM175" s="665"/>
      <c r="AN175" s="665"/>
      <c r="AO175" s="666"/>
      <c r="AQ175" s="720"/>
      <c r="AR175" s="720"/>
    </row>
    <row r="176" spans="1:44" hidden="1" x14ac:dyDescent="0.35">
      <c r="A176" s="419"/>
      <c r="C176" s="663"/>
      <c r="D176" s="664" t="s">
        <v>154</v>
      </c>
      <c r="E176" s="672">
        <f ca="1">SUM(F176:J176)</f>
        <v>408426622.5</v>
      </c>
      <c r="F176" s="672">
        <f ca="1">F168-F174</f>
        <v>108238120.75</v>
      </c>
      <c r="G176" s="672">
        <f ca="1">G168-G174</f>
        <v>50470341.25</v>
      </c>
      <c r="H176" s="672">
        <f ca="1">H168-H174</f>
        <v>176705441.25</v>
      </c>
      <c r="I176" s="672">
        <f ca="1">I168-I174</f>
        <v>73012719.25</v>
      </c>
      <c r="J176" s="672"/>
      <c r="K176" s="666"/>
      <c r="M176" s="720"/>
      <c r="N176" s="720"/>
      <c r="P176" s="419"/>
      <c r="R176" s="663"/>
      <c r="S176" s="664" t="s">
        <v>154</v>
      </c>
      <c r="T176" s="672">
        <f ca="1">SUM(U176:Y176)</f>
        <v>354828970.7329793</v>
      </c>
      <c r="U176" s="672">
        <f ca="1">U168-U174</f>
        <v>109784010.86648966</v>
      </c>
      <c r="V176" s="672">
        <f ca="1">V168-V174</f>
        <v>56277806.288829893</v>
      </c>
      <c r="W176" s="672">
        <f ca="1">W168-W174</f>
        <v>93896523.288829878</v>
      </c>
      <c r="X176" s="672">
        <f ca="1">X168-X174</f>
        <v>94870630.288829893</v>
      </c>
      <c r="Y176" s="672"/>
      <c r="Z176" s="666"/>
      <c r="AB176" s="720"/>
      <c r="AC176" s="720"/>
      <c r="AE176" s="419"/>
      <c r="AG176" s="663"/>
      <c r="AH176" s="664" t="s">
        <v>154</v>
      </c>
      <c r="AI176" s="672">
        <f ca="1">SUM(AJ176:AN176)</f>
        <v>506801401.20174515</v>
      </c>
      <c r="AJ176" s="672">
        <f ca="1">AJ168-AJ174</f>
        <v>133618381.60087256</v>
      </c>
      <c r="AK176" s="672">
        <f ca="1">AK168-AK174</f>
        <v>70701599.200290859</v>
      </c>
      <c r="AL176" s="672">
        <f ca="1">AL168-AL174</f>
        <v>204405306.20029086</v>
      </c>
      <c r="AM176" s="672">
        <f ca="1">AM168-AM174</f>
        <v>98076114.200290859</v>
      </c>
      <c r="AN176" s="672"/>
      <c r="AO176" s="666"/>
      <c r="AQ176" s="720"/>
      <c r="AR176" s="720"/>
    </row>
    <row r="177" spans="1:44" hidden="1" x14ac:dyDescent="0.35">
      <c r="A177" s="419"/>
      <c r="C177" s="663"/>
      <c r="D177" s="664" t="s">
        <v>202</v>
      </c>
      <c r="E177" s="669">
        <f ca="1">SUM(F177:J177)</f>
        <v>797816989.5</v>
      </c>
      <c r="F177" s="669">
        <f ca="1">F174+F176</f>
        <v>134664954.40000001</v>
      </c>
      <c r="G177" s="669">
        <f ca="1">G174+G176</f>
        <v>77331255.799999997</v>
      </c>
      <c r="H177" s="669">
        <f ca="1">H174+H176</f>
        <v>211215593.80000001</v>
      </c>
      <c r="I177" s="669">
        <f ca="1">I174+I176</f>
        <v>94950431.799999997</v>
      </c>
      <c r="J177" s="669">
        <f ca="1">J174+J176</f>
        <v>279654753.69999999</v>
      </c>
      <c r="K177" s="666"/>
      <c r="M177" s="720"/>
      <c r="N177" s="720"/>
      <c r="P177" s="419"/>
      <c r="R177" s="663"/>
      <c r="S177" s="664" t="s">
        <v>202</v>
      </c>
      <c r="T177" s="669">
        <f ca="1">SUM(U177:Y177)</f>
        <v>811139798.95638156</v>
      </c>
      <c r="U177" s="669">
        <f ca="1">U174+U176</f>
        <v>139371382.34999999</v>
      </c>
      <c r="V177" s="669">
        <f ca="1">V174+V176</f>
        <v>80113539.450000003</v>
      </c>
      <c r="W177" s="669">
        <f ca="1">W174+W176</f>
        <v>218460272.44999999</v>
      </c>
      <c r="X177" s="669">
        <f ca="1">X174+X176</f>
        <v>98323791.450000003</v>
      </c>
      <c r="Y177" s="669">
        <f ca="1">Y174+Y176</f>
        <v>274870813.25638151</v>
      </c>
      <c r="Z177" s="666"/>
      <c r="AB177" s="720"/>
      <c r="AC177" s="720"/>
      <c r="AE177" s="419"/>
      <c r="AG177" s="663"/>
      <c r="AH177" s="664" t="s">
        <v>202</v>
      </c>
      <c r="AI177" s="669">
        <f ca="1">SUM(AJ177:AN177)</f>
        <v>845456789.1959281</v>
      </c>
      <c r="AJ177" s="669">
        <f ca="1">AJ174+AJ176</f>
        <v>143979397.84999999</v>
      </c>
      <c r="AK177" s="669">
        <f ca="1">AK174+AK176</f>
        <v>82856973.950000003</v>
      </c>
      <c r="AL177" s="669">
        <f ca="1">AL174+AL176</f>
        <v>225524875.94999999</v>
      </c>
      <c r="AM177" s="669">
        <f ca="1">AM174+AM176</f>
        <v>101640529.95</v>
      </c>
      <c r="AN177" s="669">
        <f ca="1">AN174+AN176</f>
        <v>291455011.49592805</v>
      </c>
      <c r="AO177" s="666"/>
      <c r="AQ177" s="720"/>
      <c r="AR177" s="720"/>
    </row>
    <row r="178" spans="1:44" ht="9.3000000000000007" hidden="1" thickBot="1" x14ac:dyDescent="0.4">
      <c r="A178" s="419"/>
      <c r="C178" s="673"/>
      <c r="D178" s="674"/>
      <c r="E178" s="674"/>
      <c r="F178" s="674"/>
      <c r="G178" s="674"/>
      <c r="H178" s="674"/>
      <c r="I178" s="674"/>
      <c r="J178" s="674"/>
      <c r="K178" s="675"/>
      <c r="M178" s="720"/>
      <c r="N178" s="720"/>
      <c r="P178" s="419"/>
      <c r="R178" s="673"/>
      <c r="S178" s="674"/>
      <c r="T178" s="674"/>
      <c r="U178" s="674"/>
      <c r="V178" s="674"/>
      <c r="W178" s="674"/>
      <c r="X178" s="674"/>
      <c r="Y178" s="674"/>
      <c r="Z178" s="675"/>
      <c r="AB178" s="720"/>
      <c r="AC178" s="720"/>
      <c r="AE178" s="419"/>
      <c r="AG178" s="673"/>
      <c r="AH178" s="674"/>
      <c r="AI178" s="674"/>
      <c r="AJ178" s="674"/>
      <c r="AK178" s="674"/>
      <c r="AL178" s="674"/>
      <c r="AM178" s="674"/>
      <c r="AN178" s="674"/>
      <c r="AO178" s="675"/>
      <c r="AQ178" s="720"/>
      <c r="AR178" s="720"/>
    </row>
    <row r="179" spans="1:44" hidden="1" x14ac:dyDescent="0.35">
      <c r="A179" s="419"/>
      <c r="M179" s="720"/>
      <c r="N179" s="720"/>
      <c r="P179" s="419"/>
      <c r="AB179" s="720"/>
      <c r="AC179" s="720"/>
      <c r="AE179" s="419"/>
      <c r="AQ179" s="720"/>
      <c r="AR179" s="720"/>
    </row>
    <row r="180" spans="1:44" hidden="1" x14ac:dyDescent="0.35">
      <c r="A180" s="419"/>
      <c r="M180" s="720"/>
      <c r="N180" s="720"/>
      <c r="P180" s="419"/>
      <c r="AB180" s="720"/>
      <c r="AC180" s="720"/>
      <c r="AE180" s="419"/>
      <c r="AQ180" s="720"/>
      <c r="AR180" s="720"/>
    </row>
    <row r="181" spans="1:44" ht="9.3000000000000007" hidden="1" thickBot="1" x14ac:dyDescent="0.4">
      <c r="A181" s="419"/>
      <c r="M181" s="720"/>
      <c r="N181" s="720"/>
      <c r="P181" s="419"/>
      <c r="AB181" s="720"/>
      <c r="AC181" s="720"/>
      <c r="AE181" s="419"/>
      <c r="AQ181" s="720"/>
      <c r="AR181" s="720"/>
    </row>
    <row r="182" spans="1:44" ht="9.6" hidden="1" thickTop="1" thickBot="1" x14ac:dyDescent="0.4">
      <c r="A182" s="419"/>
      <c r="C182" s="1439" t="s">
        <v>837</v>
      </c>
      <c r="D182" s="1440"/>
      <c r="E182" s="1445"/>
      <c r="F182" s="1446"/>
      <c r="G182" s="1446"/>
      <c r="H182" s="1446"/>
      <c r="I182" s="1446"/>
      <c r="J182" s="1447"/>
      <c r="M182" s="720"/>
      <c r="N182" s="720"/>
      <c r="P182" s="419"/>
      <c r="R182" s="1439" t="s">
        <v>837</v>
      </c>
      <c r="S182" s="1440"/>
      <c r="T182" s="1445"/>
      <c r="U182" s="1446"/>
      <c r="V182" s="1446"/>
      <c r="W182" s="1446"/>
      <c r="X182" s="1446"/>
      <c r="Y182" s="1447"/>
      <c r="AB182" s="720"/>
      <c r="AC182" s="720"/>
      <c r="AE182" s="419"/>
      <c r="AG182" s="1439" t="s">
        <v>837</v>
      </c>
      <c r="AH182" s="1440"/>
      <c r="AI182" s="1445"/>
      <c r="AJ182" s="1446"/>
      <c r="AK182" s="1446"/>
      <c r="AL182" s="1446"/>
      <c r="AM182" s="1446"/>
      <c r="AN182" s="1447"/>
      <c r="AQ182" s="720"/>
      <c r="AR182" s="720"/>
    </row>
    <row r="183" spans="1:44" ht="18.3" hidden="1" thickTop="1" x14ac:dyDescent="0.35">
      <c r="A183" s="419"/>
      <c r="C183" s="1441"/>
      <c r="D183" s="1442"/>
      <c r="E183" s="676" t="s">
        <v>842</v>
      </c>
      <c r="F183" s="677" t="s">
        <v>16</v>
      </c>
      <c r="G183" s="677" t="s">
        <v>629</v>
      </c>
      <c r="H183" s="677" t="s">
        <v>17</v>
      </c>
      <c r="I183" s="677" t="s">
        <v>630</v>
      </c>
      <c r="J183" s="677" t="s">
        <v>843</v>
      </c>
      <c r="M183" s="720"/>
      <c r="N183" s="720"/>
      <c r="P183" s="419"/>
      <c r="R183" s="1441"/>
      <c r="S183" s="1442"/>
      <c r="T183" s="676" t="s">
        <v>842</v>
      </c>
      <c r="U183" s="677" t="s">
        <v>16</v>
      </c>
      <c r="V183" s="677" t="s">
        <v>629</v>
      </c>
      <c r="W183" s="677" t="s">
        <v>17</v>
      </c>
      <c r="X183" s="677" t="s">
        <v>630</v>
      </c>
      <c r="Y183" s="677" t="s">
        <v>843</v>
      </c>
      <c r="AB183" s="720"/>
      <c r="AC183" s="720"/>
      <c r="AE183" s="419"/>
      <c r="AG183" s="1441"/>
      <c r="AH183" s="1442"/>
      <c r="AI183" s="676" t="s">
        <v>842</v>
      </c>
      <c r="AJ183" s="677" t="s">
        <v>16</v>
      </c>
      <c r="AK183" s="677" t="s">
        <v>629</v>
      </c>
      <c r="AL183" s="677" t="s">
        <v>17</v>
      </c>
      <c r="AM183" s="677" t="s">
        <v>630</v>
      </c>
      <c r="AN183" s="677" t="s">
        <v>843</v>
      </c>
      <c r="AQ183" s="720"/>
      <c r="AR183" s="720"/>
    </row>
    <row r="184" spans="1:44" ht="18" hidden="1" x14ac:dyDescent="0.35">
      <c r="A184" s="419"/>
      <c r="C184" s="1441"/>
      <c r="D184" s="1442"/>
      <c r="E184" s="596" t="s">
        <v>838</v>
      </c>
      <c r="F184" s="597">
        <f ca="1">F176</f>
        <v>108238120.75</v>
      </c>
      <c r="G184" s="597">
        <f ca="1">G176</f>
        <v>50470341.25</v>
      </c>
      <c r="H184" s="597">
        <f ca="1">H176</f>
        <v>176705441.25</v>
      </c>
      <c r="I184" s="597">
        <f ca="1">I176</f>
        <v>73012719.25</v>
      </c>
      <c r="J184" s="597">
        <f ca="1">SUM(F184:I184)</f>
        <v>408426622.5</v>
      </c>
      <c r="K184" s="410">
        <v>0</v>
      </c>
      <c r="L184" s="458">
        <f ca="1">K184-I184</f>
        <v>-73012719.25</v>
      </c>
      <c r="M184" s="720"/>
      <c r="N184" s="720"/>
      <c r="P184" s="419"/>
      <c r="R184" s="1441"/>
      <c r="S184" s="1442"/>
      <c r="T184" s="596" t="s">
        <v>838</v>
      </c>
      <c r="U184" s="597">
        <f ca="1">U176</f>
        <v>109784010.86648966</v>
      </c>
      <c r="V184" s="597">
        <f ca="1">V176</f>
        <v>56277806.288829893</v>
      </c>
      <c r="W184" s="597">
        <f ca="1">W176</f>
        <v>93896523.288829878</v>
      </c>
      <c r="X184" s="597">
        <f ca="1">X176</f>
        <v>94870630.288829893</v>
      </c>
      <c r="Y184" s="597">
        <f ca="1">SUM(U184:X184)</f>
        <v>354828970.7329793</v>
      </c>
      <c r="Z184" s="410">
        <v>0</v>
      </c>
      <c r="AA184" s="458">
        <f ca="1">Z184-X184</f>
        <v>-94870630.288829893</v>
      </c>
      <c r="AB184" s="720"/>
      <c r="AC184" s="720"/>
      <c r="AE184" s="419"/>
      <c r="AG184" s="1441"/>
      <c r="AH184" s="1442"/>
      <c r="AI184" s="596" t="s">
        <v>838</v>
      </c>
      <c r="AJ184" s="597">
        <f ca="1">AJ176</f>
        <v>133618381.60087256</v>
      </c>
      <c r="AK184" s="597">
        <f ca="1">AK176</f>
        <v>70701599.200290859</v>
      </c>
      <c r="AL184" s="597">
        <f ca="1">AL176</f>
        <v>204405306.20029086</v>
      </c>
      <c r="AM184" s="597">
        <f ca="1">AM176</f>
        <v>98076114.200290859</v>
      </c>
      <c r="AN184" s="597">
        <f ca="1">SUM(AJ184:AM184)</f>
        <v>506801401.20174515</v>
      </c>
      <c r="AO184" s="410">
        <v>0</v>
      </c>
      <c r="AP184" s="458">
        <f ca="1">AO184-AM184</f>
        <v>-98076114.200290859</v>
      </c>
      <c r="AQ184" s="720"/>
      <c r="AR184" s="720"/>
    </row>
    <row r="185" spans="1:44" hidden="1" x14ac:dyDescent="0.35">
      <c r="A185" s="419"/>
      <c r="C185" s="1441"/>
      <c r="D185" s="1442"/>
      <c r="E185" s="678" t="s">
        <v>633</v>
      </c>
      <c r="F185" s="679">
        <f>+F62</f>
        <v>125278920</v>
      </c>
      <c r="G185" s="679">
        <f t="shared" ref="G185:J185" si="48">+G62</f>
        <v>52237460</v>
      </c>
      <c r="H185" s="679">
        <f t="shared" si="48"/>
        <v>179259480</v>
      </c>
      <c r="I185" s="679">
        <f t="shared" si="48"/>
        <v>52158077</v>
      </c>
      <c r="J185" s="679">
        <f t="shared" si="48"/>
        <v>408933937</v>
      </c>
      <c r="M185" s="720"/>
      <c r="N185" s="720"/>
      <c r="P185" s="419"/>
      <c r="R185" s="1441"/>
      <c r="S185" s="1442"/>
      <c r="T185" s="678" t="s">
        <v>633</v>
      </c>
      <c r="U185" s="679">
        <f>+U62</f>
        <v>129538403</v>
      </c>
      <c r="V185" s="679">
        <f t="shared" ref="V185:Y185" si="49">+V62</f>
        <v>54013533</v>
      </c>
      <c r="W185" s="679">
        <f t="shared" si="49"/>
        <v>185354301</v>
      </c>
      <c r="X185" s="679">
        <f t="shared" si="49"/>
        <v>53931452</v>
      </c>
      <c r="Y185" s="679">
        <f t="shared" si="49"/>
        <v>422837689</v>
      </c>
      <c r="AB185" s="720"/>
      <c r="AC185" s="720"/>
      <c r="AE185" s="419"/>
      <c r="AG185" s="1441"/>
      <c r="AH185" s="1442"/>
      <c r="AI185" s="678" t="s">
        <v>633</v>
      </c>
      <c r="AJ185" s="679">
        <f>+AJ62</f>
        <v>133683631.896</v>
      </c>
      <c r="AK185" s="679">
        <f t="shared" ref="AK185:AN185" si="50">+AK62</f>
        <v>55741966.055999994</v>
      </c>
      <c r="AL185" s="679">
        <f t="shared" si="50"/>
        <v>191285638.632</v>
      </c>
      <c r="AM185" s="679">
        <f t="shared" si="50"/>
        <v>55657258.464000002</v>
      </c>
      <c r="AN185" s="679">
        <f t="shared" si="50"/>
        <v>436368495.04799998</v>
      </c>
      <c r="AQ185" s="720"/>
      <c r="AR185" s="720"/>
    </row>
    <row r="186" spans="1:44" ht="9.3000000000000007" hidden="1" thickBot="1" x14ac:dyDescent="0.4">
      <c r="A186" s="419"/>
      <c r="C186" s="1441"/>
      <c r="D186" s="1442"/>
      <c r="E186" s="680" t="s">
        <v>635</v>
      </c>
      <c r="F186" s="681">
        <f ca="1">F185-F184</f>
        <v>17040799.25</v>
      </c>
      <c r="G186" s="681">
        <f ca="1">G185-G184</f>
        <v>1767118.75</v>
      </c>
      <c r="H186" s="681">
        <f ca="1">H185-H184</f>
        <v>2554038.75</v>
      </c>
      <c r="I186" s="681">
        <f ca="1">I185-I184</f>
        <v>-20854642.25</v>
      </c>
      <c r="J186" s="681">
        <f ca="1">SUM(F186:I186)</f>
        <v>507314.5</v>
      </c>
      <c r="M186" s="720"/>
      <c r="N186" s="720"/>
      <c r="P186" s="419"/>
      <c r="R186" s="1441"/>
      <c r="S186" s="1442"/>
      <c r="T186" s="680" t="s">
        <v>635</v>
      </c>
      <c r="U186" s="681">
        <f ca="1">U185-U184</f>
        <v>19754392.133510336</v>
      </c>
      <c r="V186" s="681">
        <f ca="1">V185-V184</f>
        <v>-2264273.2888298929</v>
      </c>
      <c r="W186" s="681">
        <f ca="1">W185-W184</f>
        <v>91457777.711170122</v>
      </c>
      <c r="X186" s="681">
        <f ca="1">X185-X184</f>
        <v>-40939178.288829893</v>
      </c>
      <c r="Y186" s="681">
        <f ca="1">SUM(U186:X186)</f>
        <v>68008718.267020673</v>
      </c>
      <c r="AB186" s="720"/>
      <c r="AC186" s="720"/>
      <c r="AE186" s="419"/>
      <c r="AG186" s="1441"/>
      <c r="AH186" s="1442"/>
      <c r="AI186" s="680" t="s">
        <v>635</v>
      </c>
      <c r="AJ186" s="681">
        <f ca="1">AJ185-AJ184</f>
        <v>65250.295127436519</v>
      </c>
      <c r="AK186" s="681">
        <f ca="1">AK185-AK184</f>
        <v>-14959633.144290864</v>
      </c>
      <c r="AL186" s="681">
        <f ca="1">AL185-AL184</f>
        <v>-13119667.568290859</v>
      </c>
      <c r="AM186" s="681">
        <f ca="1">AM185-AM184</f>
        <v>-42418855.736290857</v>
      </c>
      <c r="AN186" s="681">
        <f ca="1">SUM(AJ186:AM186)</f>
        <v>-70432906.153745145</v>
      </c>
      <c r="AQ186" s="720"/>
      <c r="AR186" s="720"/>
    </row>
    <row r="187" spans="1:44" ht="9.6" hidden="1" thickTop="1" thickBot="1" x14ac:dyDescent="0.4">
      <c r="A187" s="419"/>
      <c r="C187" s="1443"/>
      <c r="D187" s="1444"/>
      <c r="E187" s="1448" t="s">
        <v>636</v>
      </c>
      <c r="F187" s="1449"/>
      <c r="G187" s="1449"/>
      <c r="H187" s="1449"/>
      <c r="I187" s="1449"/>
      <c r="J187" s="1450"/>
      <c r="M187" s="720"/>
      <c r="N187" s="720"/>
      <c r="P187" s="419"/>
      <c r="R187" s="1443"/>
      <c r="S187" s="1444"/>
      <c r="T187" s="1448" t="s">
        <v>636</v>
      </c>
      <c r="U187" s="1449"/>
      <c r="V187" s="1449"/>
      <c r="W187" s="1449"/>
      <c r="X187" s="1449"/>
      <c r="Y187" s="1450"/>
      <c r="AB187" s="720"/>
      <c r="AC187" s="720"/>
      <c r="AE187" s="419"/>
      <c r="AG187" s="1443"/>
      <c r="AH187" s="1444"/>
      <c r="AI187" s="1448" t="s">
        <v>636</v>
      </c>
      <c r="AJ187" s="1449"/>
      <c r="AK187" s="1449"/>
      <c r="AL187" s="1449"/>
      <c r="AM187" s="1449"/>
      <c r="AN187" s="1450"/>
      <c r="AQ187" s="720"/>
      <c r="AR187" s="720"/>
    </row>
    <row r="188" spans="1:44" ht="9.3000000000000007" hidden="1" thickTop="1" x14ac:dyDescent="0.35">
      <c r="A188" s="419"/>
      <c r="M188" s="720"/>
      <c r="N188" s="720"/>
      <c r="P188" s="419"/>
      <c r="AB188" s="720"/>
      <c r="AC188" s="720"/>
      <c r="AE188" s="419"/>
      <c r="AQ188" s="720"/>
      <c r="AR188" s="720"/>
    </row>
    <row r="189" spans="1:44" ht="9.3000000000000007" hidden="1" thickBot="1" x14ac:dyDescent="0.4">
      <c r="A189" s="419"/>
      <c r="M189" s="720"/>
      <c r="N189" s="720"/>
      <c r="P189" s="419"/>
      <c r="AB189" s="720"/>
      <c r="AC189" s="720"/>
      <c r="AE189" s="419"/>
      <c r="AQ189" s="720"/>
      <c r="AR189" s="720"/>
    </row>
    <row r="190" spans="1:44" hidden="1" x14ac:dyDescent="0.35">
      <c r="A190" s="419"/>
      <c r="C190" s="646"/>
      <c r="D190" s="682"/>
      <c r="E190" s="683"/>
      <c r="F190" s="684"/>
      <c r="G190" s="684"/>
      <c r="H190" s="684"/>
      <c r="I190" s="684"/>
      <c r="J190" s="684"/>
      <c r="K190" s="684"/>
      <c r="L190" s="684"/>
      <c r="M190" s="725"/>
      <c r="P190" s="419"/>
      <c r="R190" s="646"/>
      <c r="S190" s="682"/>
      <c r="T190" s="683"/>
      <c r="U190" s="684"/>
      <c r="V190" s="684"/>
      <c r="W190" s="684"/>
      <c r="X190" s="684"/>
      <c r="Y190" s="684"/>
      <c r="Z190" s="684"/>
      <c r="AA190" s="684"/>
      <c r="AB190" s="725"/>
      <c r="AE190" s="419"/>
      <c r="AG190" s="646"/>
      <c r="AH190" s="682"/>
      <c r="AI190" s="683"/>
      <c r="AJ190" s="684"/>
      <c r="AK190" s="684"/>
      <c r="AL190" s="684"/>
      <c r="AM190" s="684"/>
      <c r="AN190" s="684"/>
      <c r="AO190" s="684"/>
      <c r="AP190" s="684"/>
      <c r="AQ190" s="725"/>
    </row>
    <row r="191" spans="1:44" hidden="1" x14ac:dyDescent="0.35">
      <c r="A191" s="419"/>
      <c r="C191" s="649"/>
      <c r="D191" s="593" t="s">
        <v>113</v>
      </c>
      <c r="E191" s="685"/>
      <c r="F191" s="686"/>
      <c r="G191" s="686"/>
      <c r="H191" s="686"/>
      <c r="I191" s="686"/>
      <c r="J191" s="686"/>
      <c r="K191" s="686"/>
      <c r="L191" s="686"/>
      <c r="M191" s="727"/>
      <c r="P191" s="419"/>
      <c r="R191" s="649"/>
      <c r="S191" s="593" t="s">
        <v>113</v>
      </c>
      <c r="T191" s="685"/>
      <c r="U191" s="686"/>
      <c r="V191" s="686"/>
      <c r="W191" s="686"/>
      <c r="X191" s="686"/>
      <c r="Y191" s="686"/>
      <c r="Z191" s="686"/>
      <c r="AA191" s="686"/>
      <c r="AB191" s="727"/>
      <c r="AE191" s="419"/>
      <c r="AG191" s="649"/>
      <c r="AH191" s="593" t="s">
        <v>113</v>
      </c>
      <c r="AI191" s="685"/>
      <c r="AJ191" s="686"/>
      <c r="AK191" s="686"/>
      <c r="AL191" s="686"/>
      <c r="AM191" s="686"/>
      <c r="AN191" s="686"/>
      <c r="AO191" s="686"/>
      <c r="AP191" s="686"/>
      <c r="AQ191" s="727"/>
    </row>
    <row r="192" spans="1:44" hidden="1" x14ac:dyDescent="0.35">
      <c r="A192" s="419"/>
      <c r="C192" s="649"/>
      <c r="D192" s="1437" t="s">
        <v>851</v>
      </c>
      <c r="E192" s="1437"/>
      <c r="F192" s="1437"/>
      <c r="G192" s="1437"/>
      <c r="H192" s="1437"/>
      <c r="I192" s="1437"/>
      <c r="J192" s="686"/>
      <c r="K192" s="686"/>
      <c r="L192" s="686"/>
      <c r="M192" s="727"/>
      <c r="P192" s="419"/>
      <c r="R192" s="649"/>
      <c r="S192" s="1437" t="s">
        <v>851</v>
      </c>
      <c r="T192" s="1437"/>
      <c r="U192" s="1437"/>
      <c r="V192" s="1437"/>
      <c r="W192" s="1437"/>
      <c r="X192" s="1437"/>
      <c r="Y192" s="686"/>
      <c r="Z192" s="686"/>
      <c r="AA192" s="686"/>
      <c r="AB192" s="727"/>
      <c r="AE192" s="419"/>
      <c r="AG192" s="649"/>
      <c r="AH192" s="1437" t="s">
        <v>851</v>
      </c>
      <c r="AI192" s="1437"/>
      <c r="AJ192" s="1437"/>
      <c r="AK192" s="1437"/>
      <c r="AL192" s="1437"/>
      <c r="AM192" s="1437"/>
      <c r="AN192" s="686"/>
      <c r="AO192" s="686"/>
      <c r="AP192" s="686"/>
      <c r="AQ192" s="727"/>
    </row>
    <row r="193" spans="1:43" hidden="1" x14ac:dyDescent="0.35">
      <c r="A193" s="419"/>
      <c r="C193" s="649"/>
      <c r="D193" s="1437"/>
      <c r="E193" s="1437"/>
      <c r="F193" s="1437"/>
      <c r="G193" s="1437"/>
      <c r="H193" s="1437"/>
      <c r="I193" s="1437"/>
      <c r="J193" s="686"/>
      <c r="K193" s="686"/>
      <c r="L193" s="686"/>
      <c r="M193" s="727"/>
      <c r="P193" s="419"/>
      <c r="R193" s="649"/>
      <c r="S193" s="1437"/>
      <c r="T193" s="1437"/>
      <c r="U193" s="1437"/>
      <c r="V193" s="1437"/>
      <c r="W193" s="1437"/>
      <c r="X193" s="1437"/>
      <c r="Y193" s="686"/>
      <c r="Z193" s="686"/>
      <c r="AA193" s="686"/>
      <c r="AB193" s="727"/>
      <c r="AE193" s="419"/>
      <c r="AG193" s="649"/>
      <c r="AH193" s="1437"/>
      <c r="AI193" s="1437"/>
      <c r="AJ193" s="1437"/>
      <c r="AK193" s="1437"/>
      <c r="AL193" s="1437"/>
      <c r="AM193" s="1437"/>
      <c r="AN193" s="686"/>
      <c r="AO193" s="686"/>
      <c r="AP193" s="686"/>
      <c r="AQ193" s="727"/>
    </row>
    <row r="194" spans="1:43" hidden="1" x14ac:dyDescent="0.35">
      <c r="A194" s="419"/>
      <c r="C194" s="649"/>
      <c r="D194" s="687"/>
      <c r="E194" s="687"/>
      <c r="F194" s="687"/>
      <c r="G194" s="687"/>
      <c r="H194" s="687"/>
      <c r="I194" s="687"/>
      <c r="J194" s="686"/>
      <c r="K194" s="686"/>
      <c r="L194" s="686"/>
      <c r="M194" s="727"/>
      <c r="P194" s="419"/>
      <c r="R194" s="649"/>
      <c r="S194" s="687"/>
      <c r="T194" s="687"/>
      <c r="U194" s="687"/>
      <c r="V194" s="687"/>
      <c r="W194" s="687"/>
      <c r="X194" s="687"/>
      <c r="Y194" s="686"/>
      <c r="Z194" s="686"/>
      <c r="AA194" s="686"/>
      <c r="AB194" s="727"/>
      <c r="AE194" s="419"/>
      <c r="AG194" s="649"/>
      <c r="AH194" s="687"/>
      <c r="AI194" s="687"/>
      <c r="AJ194" s="687"/>
      <c r="AK194" s="687"/>
      <c r="AL194" s="687"/>
      <c r="AM194" s="687"/>
      <c r="AN194" s="686"/>
      <c r="AO194" s="686"/>
      <c r="AP194" s="686"/>
      <c r="AQ194" s="727"/>
    </row>
    <row r="195" spans="1:43" ht="18" hidden="1" x14ac:dyDescent="0.35">
      <c r="A195" s="419"/>
      <c r="C195" s="649"/>
      <c r="D195" s="688" t="s">
        <v>114</v>
      </c>
      <c r="E195" s="689" t="s">
        <v>230</v>
      </c>
      <c r="F195" s="629" t="s">
        <v>291</v>
      </c>
      <c r="G195" s="629" t="s">
        <v>243</v>
      </c>
      <c r="H195" s="629" t="s">
        <v>244</v>
      </c>
      <c r="I195" s="629" t="s">
        <v>286</v>
      </c>
      <c r="J195" s="690"/>
      <c r="K195" s="686"/>
      <c r="L195" s="686"/>
      <c r="M195" s="727"/>
      <c r="P195" s="419"/>
      <c r="R195" s="649"/>
      <c r="S195" s="688" t="s">
        <v>114</v>
      </c>
      <c r="T195" s="689" t="s">
        <v>230</v>
      </c>
      <c r="U195" s="629" t="s">
        <v>291</v>
      </c>
      <c r="V195" s="629" t="s">
        <v>243</v>
      </c>
      <c r="W195" s="629" t="s">
        <v>244</v>
      </c>
      <c r="X195" s="629" t="s">
        <v>286</v>
      </c>
      <c r="Y195" s="690"/>
      <c r="Z195" s="686"/>
      <c r="AA195" s="686"/>
      <c r="AB195" s="727"/>
      <c r="AE195" s="419"/>
      <c r="AG195" s="649"/>
      <c r="AH195" s="688" t="s">
        <v>114</v>
      </c>
      <c r="AI195" s="689" t="s">
        <v>230</v>
      </c>
      <c r="AJ195" s="629" t="s">
        <v>291</v>
      </c>
      <c r="AK195" s="629" t="s">
        <v>243</v>
      </c>
      <c r="AL195" s="629" t="s">
        <v>244</v>
      </c>
      <c r="AM195" s="629" t="s">
        <v>286</v>
      </c>
      <c r="AN195" s="690"/>
      <c r="AO195" s="686"/>
      <c r="AP195" s="686"/>
      <c r="AQ195" s="727"/>
    </row>
    <row r="196" spans="1:43" hidden="1" x14ac:dyDescent="0.35">
      <c r="A196" s="419"/>
      <c r="C196" s="649"/>
      <c r="D196" s="691" t="s">
        <v>46</v>
      </c>
      <c r="E196" s="692">
        <f>SUM(E197:E200)</f>
        <v>0</v>
      </c>
      <c r="F196" s="692">
        <f>SUM(F197:F200)</f>
        <v>0</v>
      </c>
      <c r="G196" s="688"/>
      <c r="H196" s="688"/>
      <c r="I196" s="688"/>
      <c r="J196" s="686"/>
      <c r="K196" s="686"/>
      <c r="L196" s="686"/>
      <c r="M196" s="727"/>
      <c r="P196" s="419"/>
      <c r="R196" s="649"/>
      <c r="S196" s="691" t="s">
        <v>46</v>
      </c>
      <c r="T196" s="692">
        <f>SUM(T197:T200)</f>
        <v>0</v>
      </c>
      <c r="U196" s="692">
        <f>SUM(U197:U200)</f>
        <v>0</v>
      </c>
      <c r="V196" s="688"/>
      <c r="W196" s="688"/>
      <c r="X196" s="688"/>
      <c r="Y196" s="686"/>
      <c r="Z196" s="686"/>
      <c r="AA196" s="686"/>
      <c r="AB196" s="727"/>
      <c r="AE196" s="419"/>
      <c r="AG196" s="649"/>
      <c r="AH196" s="691" t="s">
        <v>46</v>
      </c>
      <c r="AI196" s="692">
        <f>SUM(AI197:AI200)</f>
        <v>0</v>
      </c>
      <c r="AJ196" s="692">
        <f>SUM(AJ197:AJ200)</f>
        <v>0</v>
      </c>
      <c r="AK196" s="688"/>
      <c r="AL196" s="688"/>
      <c r="AM196" s="688"/>
      <c r="AN196" s="686"/>
      <c r="AO196" s="686"/>
      <c r="AP196" s="686"/>
      <c r="AQ196" s="727"/>
    </row>
    <row r="197" spans="1:43" hidden="1" x14ac:dyDescent="0.35">
      <c r="A197" s="419"/>
      <c r="C197" s="649"/>
      <c r="D197" s="693" t="s">
        <v>124</v>
      </c>
      <c r="E197" s="694"/>
      <c r="F197" s="695"/>
      <c r="G197" s="696"/>
      <c r="H197" s="696"/>
      <c r="I197" s="696"/>
      <c r="J197" s="686"/>
      <c r="K197" s="686"/>
      <c r="L197" s="686"/>
      <c r="M197" s="727"/>
      <c r="P197" s="419"/>
      <c r="R197" s="649"/>
      <c r="S197" s="693" t="s">
        <v>124</v>
      </c>
      <c r="T197" s="694"/>
      <c r="U197" s="695"/>
      <c r="V197" s="696"/>
      <c r="W197" s="696"/>
      <c r="X197" s="696"/>
      <c r="Y197" s="686"/>
      <c r="Z197" s="686"/>
      <c r="AA197" s="686"/>
      <c r="AB197" s="727"/>
      <c r="AE197" s="419"/>
      <c r="AG197" s="649"/>
      <c r="AH197" s="693" t="s">
        <v>124</v>
      </c>
      <c r="AI197" s="694"/>
      <c r="AJ197" s="695"/>
      <c r="AK197" s="696"/>
      <c r="AL197" s="696"/>
      <c r="AM197" s="696"/>
      <c r="AN197" s="686"/>
      <c r="AO197" s="686"/>
      <c r="AP197" s="686"/>
      <c r="AQ197" s="727"/>
    </row>
    <row r="198" spans="1:43" hidden="1" x14ac:dyDescent="0.35">
      <c r="A198" s="419"/>
      <c r="C198" s="649"/>
      <c r="D198" s="697" t="s">
        <v>119</v>
      </c>
      <c r="E198" s="694"/>
      <c r="F198" s="695"/>
      <c r="G198" s="696"/>
      <c r="H198" s="696"/>
      <c r="I198" s="696"/>
      <c r="J198" s="686"/>
      <c r="K198" s="686"/>
      <c r="L198" s="686"/>
      <c r="M198" s="727"/>
      <c r="P198" s="419"/>
      <c r="R198" s="649"/>
      <c r="S198" s="697" t="s">
        <v>119</v>
      </c>
      <c r="T198" s="694"/>
      <c r="U198" s="695"/>
      <c r="V198" s="696"/>
      <c r="W198" s="696"/>
      <c r="X198" s="696"/>
      <c r="Y198" s="686"/>
      <c r="Z198" s="686"/>
      <c r="AA198" s="686"/>
      <c r="AB198" s="727"/>
      <c r="AE198" s="419"/>
      <c r="AG198" s="649"/>
      <c r="AH198" s="697" t="s">
        <v>119</v>
      </c>
      <c r="AI198" s="694"/>
      <c r="AJ198" s="695"/>
      <c r="AK198" s="696"/>
      <c r="AL198" s="696"/>
      <c r="AM198" s="696"/>
      <c r="AN198" s="686"/>
      <c r="AO198" s="686"/>
      <c r="AP198" s="686"/>
      <c r="AQ198" s="727"/>
    </row>
    <row r="199" spans="1:43" hidden="1" x14ac:dyDescent="0.35">
      <c r="A199" s="419"/>
      <c r="C199" s="649"/>
      <c r="D199" s="693" t="s">
        <v>125</v>
      </c>
      <c r="E199" s="694"/>
      <c r="F199" s="695"/>
      <c r="G199" s="696"/>
      <c r="H199" s="696"/>
      <c r="I199" s="696"/>
      <c r="J199" s="686"/>
      <c r="K199" s="686"/>
      <c r="L199" s="686"/>
      <c r="M199" s="727"/>
      <c r="P199" s="419"/>
      <c r="R199" s="649"/>
      <c r="S199" s="693" t="s">
        <v>125</v>
      </c>
      <c r="T199" s="694"/>
      <c r="U199" s="695"/>
      <c r="V199" s="696"/>
      <c r="W199" s="696"/>
      <c r="X199" s="696"/>
      <c r="Y199" s="686"/>
      <c r="Z199" s="686"/>
      <c r="AA199" s="686"/>
      <c r="AB199" s="727"/>
      <c r="AE199" s="419"/>
      <c r="AG199" s="649"/>
      <c r="AH199" s="693" t="s">
        <v>125</v>
      </c>
      <c r="AI199" s="694"/>
      <c r="AJ199" s="695"/>
      <c r="AK199" s="696"/>
      <c r="AL199" s="696"/>
      <c r="AM199" s="696"/>
      <c r="AN199" s="686"/>
      <c r="AO199" s="686"/>
      <c r="AP199" s="686"/>
      <c r="AQ199" s="727"/>
    </row>
    <row r="200" spans="1:43" hidden="1" x14ac:dyDescent="0.35">
      <c r="A200" s="419"/>
      <c r="C200" s="649"/>
      <c r="D200" s="693" t="s">
        <v>123</v>
      </c>
      <c r="E200" s="694"/>
      <c r="F200" s="695"/>
      <c r="G200" s="696"/>
      <c r="H200" s="696"/>
      <c r="I200" s="696"/>
      <c r="J200" s="686"/>
      <c r="K200" s="686"/>
      <c r="L200" s="686"/>
      <c r="M200" s="727"/>
      <c r="P200" s="419"/>
      <c r="R200" s="649"/>
      <c r="S200" s="693" t="s">
        <v>123</v>
      </c>
      <c r="T200" s="694"/>
      <c r="U200" s="695"/>
      <c r="V200" s="696"/>
      <c r="W200" s="696"/>
      <c r="X200" s="696"/>
      <c r="Y200" s="686"/>
      <c r="Z200" s="686"/>
      <c r="AA200" s="686"/>
      <c r="AB200" s="727"/>
      <c r="AE200" s="419"/>
      <c r="AG200" s="649"/>
      <c r="AH200" s="693" t="s">
        <v>123</v>
      </c>
      <c r="AI200" s="694"/>
      <c r="AJ200" s="695"/>
      <c r="AK200" s="696"/>
      <c r="AL200" s="696"/>
      <c r="AM200" s="696"/>
      <c r="AN200" s="686"/>
      <c r="AO200" s="686"/>
      <c r="AP200" s="686"/>
      <c r="AQ200" s="727"/>
    </row>
    <row r="201" spans="1:43" hidden="1" x14ac:dyDescent="0.35">
      <c r="A201" s="419"/>
      <c r="C201" s="649"/>
      <c r="D201" s="619"/>
      <c r="E201" s="694"/>
      <c r="F201" s="696"/>
      <c r="G201" s="696"/>
      <c r="H201" s="696"/>
      <c r="I201" s="696"/>
      <c r="J201" s="686"/>
      <c r="K201" s="686"/>
      <c r="L201" s="686"/>
      <c r="M201" s="727"/>
      <c r="P201" s="419"/>
      <c r="R201" s="649"/>
      <c r="S201" s="619"/>
      <c r="T201" s="694"/>
      <c r="U201" s="696"/>
      <c r="V201" s="696"/>
      <c r="W201" s="696"/>
      <c r="X201" s="696"/>
      <c r="Y201" s="686"/>
      <c r="Z201" s="686"/>
      <c r="AA201" s="686"/>
      <c r="AB201" s="727"/>
      <c r="AE201" s="419"/>
      <c r="AG201" s="649"/>
      <c r="AH201" s="619"/>
      <c r="AI201" s="694"/>
      <c r="AJ201" s="696"/>
      <c r="AK201" s="696"/>
      <c r="AL201" s="696"/>
      <c r="AM201" s="696"/>
      <c r="AN201" s="686"/>
      <c r="AO201" s="686"/>
      <c r="AP201" s="686"/>
      <c r="AQ201" s="727"/>
    </row>
    <row r="202" spans="1:43" hidden="1" x14ac:dyDescent="0.35">
      <c r="A202" s="419"/>
      <c r="C202" s="649"/>
      <c r="D202" s="698" t="s">
        <v>126</v>
      </c>
      <c r="E202" s="694">
        <f>SUM(E203:E207)</f>
        <v>0</v>
      </c>
      <c r="F202" s="694"/>
      <c r="G202" s="694">
        <f>SUM(G203:G207)</f>
        <v>0</v>
      </c>
      <c r="H202" s="696"/>
      <c r="I202" s="696"/>
      <c r="J202" s="686"/>
      <c r="K202" s="686"/>
      <c r="L202" s="686"/>
      <c r="M202" s="727"/>
      <c r="P202" s="419"/>
      <c r="R202" s="649"/>
      <c r="S202" s="698" t="s">
        <v>126</v>
      </c>
      <c r="T202" s="694">
        <f>SUM(T203:T207)</f>
        <v>0</v>
      </c>
      <c r="U202" s="694"/>
      <c r="V202" s="694">
        <f>SUM(V203:V207)</f>
        <v>0</v>
      </c>
      <c r="W202" s="696"/>
      <c r="X202" s="696"/>
      <c r="Y202" s="686"/>
      <c r="Z202" s="686"/>
      <c r="AA202" s="686"/>
      <c r="AB202" s="727"/>
      <c r="AE202" s="419"/>
      <c r="AG202" s="649"/>
      <c r="AH202" s="698" t="s">
        <v>126</v>
      </c>
      <c r="AI202" s="694">
        <f>SUM(AI203:AI207)</f>
        <v>0</v>
      </c>
      <c r="AJ202" s="694"/>
      <c r="AK202" s="694">
        <f>SUM(AK203:AK207)</f>
        <v>0</v>
      </c>
      <c r="AL202" s="696"/>
      <c r="AM202" s="696"/>
      <c r="AN202" s="686"/>
      <c r="AO202" s="686"/>
      <c r="AP202" s="686"/>
      <c r="AQ202" s="727"/>
    </row>
    <row r="203" spans="1:43" hidden="1" x14ac:dyDescent="0.35">
      <c r="A203" s="419"/>
      <c r="C203" s="649"/>
      <c r="D203" s="693" t="s">
        <v>127</v>
      </c>
      <c r="E203" s="694"/>
      <c r="F203" s="696"/>
      <c r="G203" s="695"/>
      <c r="H203" s="696"/>
      <c r="I203" s="696"/>
      <c r="J203" s="686"/>
      <c r="K203" s="686"/>
      <c r="L203" s="686"/>
      <c r="M203" s="727"/>
      <c r="P203" s="419"/>
      <c r="R203" s="649"/>
      <c r="S203" s="693" t="s">
        <v>127</v>
      </c>
      <c r="T203" s="694"/>
      <c r="U203" s="696"/>
      <c r="V203" s="695"/>
      <c r="W203" s="696"/>
      <c r="X203" s="696"/>
      <c r="Y203" s="686"/>
      <c r="Z203" s="686"/>
      <c r="AA203" s="686"/>
      <c r="AB203" s="727"/>
      <c r="AE203" s="419"/>
      <c r="AG203" s="649"/>
      <c r="AH203" s="693" t="s">
        <v>127</v>
      </c>
      <c r="AI203" s="694"/>
      <c r="AJ203" s="696"/>
      <c r="AK203" s="695"/>
      <c r="AL203" s="696"/>
      <c r="AM203" s="696"/>
      <c r="AN203" s="686"/>
      <c r="AO203" s="686"/>
      <c r="AP203" s="686"/>
      <c r="AQ203" s="727"/>
    </row>
    <row r="204" spans="1:43" hidden="1" x14ac:dyDescent="0.35">
      <c r="A204" s="419"/>
      <c r="C204" s="649"/>
      <c r="D204" s="697" t="s">
        <v>128</v>
      </c>
      <c r="E204" s="694"/>
      <c r="F204" s="696"/>
      <c r="G204" s="695"/>
      <c r="H204" s="696"/>
      <c r="I204" s="696"/>
      <c r="J204" s="686"/>
      <c r="K204" s="686"/>
      <c r="L204" s="686"/>
      <c r="M204" s="727"/>
      <c r="P204" s="419"/>
      <c r="R204" s="649"/>
      <c r="S204" s="697" t="s">
        <v>128</v>
      </c>
      <c r="T204" s="694"/>
      <c r="U204" s="696"/>
      <c r="V204" s="695"/>
      <c r="W204" s="696"/>
      <c r="X204" s="696"/>
      <c r="Y204" s="686"/>
      <c r="Z204" s="686"/>
      <c r="AA204" s="686"/>
      <c r="AB204" s="727"/>
      <c r="AE204" s="419"/>
      <c r="AG204" s="649"/>
      <c r="AH204" s="697" t="s">
        <v>128</v>
      </c>
      <c r="AI204" s="694"/>
      <c r="AJ204" s="696"/>
      <c r="AK204" s="695"/>
      <c r="AL204" s="696"/>
      <c r="AM204" s="696"/>
      <c r="AN204" s="686"/>
      <c r="AO204" s="686"/>
      <c r="AP204" s="686"/>
      <c r="AQ204" s="727"/>
    </row>
    <row r="205" spans="1:43" hidden="1" x14ac:dyDescent="0.35">
      <c r="A205" s="419"/>
      <c r="C205" s="649"/>
      <c r="D205" s="693" t="s">
        <v>123</v>
      </c>
      <c r="E205" s="694"/>
      <c r="F205" s="696"/>
      <c r="G205" s="695"/>
      <c r="H205" s="696"/>
      <c r="I205" s="696"/>
      <c r="J205" s="686"/>
      <c r="K205" s="686"/>
      <c r="L205" s="686"/>
      <c r="M205" s="727"/>
      <c r="P205" s="419"/>
      <c r="R205" s="649"/>
      <c r="S205" s="693" t="s">
        <v>123</v>
      </c>
      <c r="T205" s="694"/>
      <c r="U205" s="696"/>
      <c r="V205" s="695"/>
      <c r="W205" s="696"/>
      <c r="X205" s="696"/>
      <c r="Y205" s="686"/>
      <c r="Z205" s="686"/>
      <c r="AA205" s="686"/>
      <c r="AB205" s="727"/>
      <c r="AE205" s="419"/>
      <c r="AG205" s="649"/>
      <c r="AH205" s="693" t="s">
        <v>123</v>
      </c>
      <c r="AI205" s="694"/>
      <c r="AJ205" s="696"/>
      <c r="AK205" s="695"/>
      <c r="AL205" s="696"/>
      <c r="AM205" s="696"/>
      <c r="AN205" s="686"/>
      <c r="AO205" s="686"/>
      <c r="AP205" s="686"/>
      <c r="AQ205" s="727"/>
    </row>
    <row r="206" spans="1:43" hidden="1" x14ac:dyDescent="0.35">
      <c r="A206" s="419"/>
      <c r="C206" s="649"/>
      <c r="D206" s="693" t="s">
        <v>129</v>
      </c>
      <c r="E206" s="694"/>
      <c r="F206" s="696"/>
      <c r="G206" s="695"/>
      <c r="H206" s="696"/>
      <c r="I206" s="696"/>
      <c r="J206" s="686"/>
      <c r="K206" s="686"/>
      <c r="L206" s="686"/>
      <c r="M206" s="727"/>
      <c r="P206" s="419"/>
      <c r="R206" s="649"/>
      <c r="S206" s="693" t="s">
        <v>129</v>
      </c>
      <c r="T206" s="694"/>
      <c r="U206" s="696"/>
      <c r="V206" s="695"/>
      <c r="W206" s="696"/>
      <c r="X206" s="696"/>
      <c r="Y206" s="686"/>
      <c r="Z206" s="686"/>
      <c r="AA206" s="686"/>
      <c r="AB206" s="727"/>
      <c r="AE206" s="419"/>
      <c r="AG206" s="649"/>
      <c r="AH206" s="693" t="s">
        <v>129</v>
      </c>
      <c r="AI206" s="694"/>
      <c r="AJ206" s="696"/>
      <c r="AK206" s="695"/>
      <c r="AL206" s="696"/>
      <c r="AM206" s="696"/>
      <c r="AN206" s="686"/>
      <c r="AO206" s="686"/>
      <c r="AP206" s="686"/>
      <c r="AQ206" s="727"/>
    </row>
    <row r="207" spans="1:43" ht="18" hidden="1" x14ac:dyDescent="0.35">
      <c r="A207" s="419"/>
      <c r="C207" s="649"/>
      <c r="D207" s="693" t="s">
        <v>130</v>
      </c>
      <c r="E207" s="694"/>
      <c r="F207" s="696"/>
      <c r="G207" s="695"/>
      <c r="H207" s="696"/>
      <c r="I207" s="696"/>
      <c r="J207" s="686"/>
      <c r="K207" s="686"/>
      <c r="L207" s="686"/>
      <c r="M207" s="727"/>
      <c r="P207" s="419"/>
      <c r="R207" s="649"/>
      <c r="S207" s="693" t="s">
        <v>130</v>
      </c>
      <c r="T207" s="694"/>
      <c r="U207" s="696"/>
      <c r="V207" s="695"/>
      <c r="W207" s="696"/>
      <c r="X207" s="696"/>
      <c r="Y207" s="686"/>
      <c r="Z207" s="686"/>
      <c r="AA207" s="686"/>
      <c r="AB207" s="727"/>
      <c r="AE207" s="419"/>
      <c r="AG207" s="649"/>
      <c r="AH207" s="693" t="s">
        <v>130</v>
      </c>
      <c r="AI207" s="694"/>
      <c r="AJ207" s="696"/>
      <c r="AK207" s="695"/>
      <c r="AL207" s="696"/>
      <c r="AM207" s="696"/>
      <c r="AN207" s="686"/>
      <c r="AO207" s="686"/>
      <c r="AP207" s="686"/>
      <c r="AQ207" s="727"/>
    </row>
    <row r="208" spans="1:43" hidden="1" x14ac:dyDescent="0.35">
      <c r="A208" s="419"/>
      <c r="C208" s="649"/>
      <c r="D208" s="699"/>
      <c r="E208" s="694"/>
      <c r="F208" s="696"/>
      <c r="G208" s="696"/>
      <c r="H208" s="696"/>
      <c r="I208" s="696"/>
      <c r="J208" s="686"/>
      <c r="K208" s="686"/>
      <c r="L208" s="686"/>
      <c r="M208" s="727"/>
      <c r="P208" s="419"/>
      <c r="R208" s="649"/>
      <c r="S208" s="699"/>
      <c r="T208" s="694"/>
      <c r="U208" s="696"/>
      <c r="V208" s="696"/>
      <c r="W208" s="696"/>
      <c r="X208" s="696"/>
      <c r="Y208" s="686"/>
      <c r="Z208" s="686"/>
      <c r="AA208" s="686"/>
      <c r="AB208" s="727"/>
      <c r="AE208" s="419"/>
      <c r="AG208" s="649"/>
      <c r="AH208" s="699"/>
      <c r="AI208" s="694"/>
      <c r="AJ208" s="696"/>
      <c r="AK208" s="696"/>
      <c r="AL208" s="696"/>
      <c r="AM208" s="696"/>
      <c r="AN208" s="686"/>
      <c r="AO208" s="686"/>
      <c r="AP208" s="686"/>
      <c r="AQ208" s="727"/>
    </row>
    <row r="209" spans="1:43" hidden="1" x14ac:dyDescent="0.35">
      <c r="A209" s="419"/>
      <c r="C209" s="649"/>
      <c r="D209" s="700" t="s">
        <v>47</v>
      </c>
      <c r="E209" s="694">
        <f>SUM(E210:E218)</f>
        <v>0</v>
      </c>
      <c r="F209" s="694"/>
      <c r="G209" s="694"/>
      <c r="H209" s="694">
        <f>SUM(H210:H218)</f>
        <v>0</v>
      </c>
      <c r="I209" s="694"/>
      <c r="J209" s="686"/>
      <c r="K209" s="686"/>
      <c r="L209" s="686"/>
      <c r="M209" s="727"/>
      <c r="P209" s="419"/>
      <c r="R209" s="649"/>
      <c r="S209" s="700" t="s">
        <v>47</v>
      </c>
      <c r="T209" s="694">
        <f>SUM(T210:T218)</f>
        <v>0</v>
      </c>
      <c r="U209" s="694"/>
      <c r="V209" s="694"/>
      <c r="W209" s="694">
        <f>SUM(W210:W218)</f>
        <v>0</v>
      </c>
      <c r="X209" s="694"/>
      <c r="Y209" s="686"/>
      <c r="Z209" s="686"/>
      <c r="AA209" s="686"/>
      <c r="AB209" s="727"/>
      <c r="AE209" s="419"/>
      <c r="AG209" s="649"/>
      <c r="AH209" s="700" t="s">
        <v>47</v>
      </c>
      <c r="AI209" s="694">
        <f>SUM(AI210:AI218)</f>
        <v>0</v>
      </c>
      <c r="AJ209" s="694"/>
      <c r="AK209" s="694"/>
      <c r="AL209" s="694">
        <f>SUM(AL210:AL218)</f>
        <v>0</v>
      </c>
      <c r="AM209" s="694"/>
      <c r="AN209" s="686"/>
      <c r="AO209" s="686"/>
      <c r="AP209" s="686"/>
      <c r="AQ209" s="727"/>
    </row>
    <row r="210" spans="1:43" hidden="1" x14ac:dyDescent="0.35">
      <c r="A210" s="419"/>
      <c r="C210" s="649"/>
      <c r="D210" s="701" t="s">
        <v>115</v>
      </c>
      <c r="E210" s="694"/>
      <c r="F210" s="696"/>
      <c r="G210" s="696"/>
      <c r="H210" s="695"/>
      <c r="I210" s="696"/>
      <c r="J210" s="686"/>
      <c r="K210" s="686"/>
      <c r="L210" s="686"/>
      <c r="M210" s="727"/>
      <c r="P210" s="419"/>
      <c r="R210" s="649"/>
      <c r="S210" s="701" t="s">
        <v>115</v>
      </c>
      <c r="T210" s="694"/>
      <c r="U210" s="696"/>
      <c r="V210" s="696"/>
      <c r="W210" s="695"/>
      <c r="X210" s="696"/>
      <c r="Y210" s="686"/>
      <c r="Z210" s="686"/>
      <c r="AA210" s="686"/>
      <c r="AB210" s="727"/>
      <c r="AE210" s="419"/>
      <c r="AG210" s="649"/>
      <c r="AH210" s="701" t="s">
        <v>115</v>
      </c>
      <c r="AI210" s="694"/>
      <c r="AJ210" s="696"/>
      <c r="AK210" s="696"/>
      <c r="AL210" s="695"/>
      <c r="AM210" s="696"/>
      <c r="AN210" s="686"/>
      <c r="AO210" s="686"/>
      <c r="AP210" s="686"/>
      <c r="AQ210" s="727"/>
    </row>
    <row r="211" spans="1:43" hidden="1" x14ac:dyDescent="0.35">
      <c r="A211" s="419"/>
      <c r="C211" s="649"/>
      <c r="D211" s="702" t="s">
        <v>116</v>
      </c>
      <c r="E211" s="694"/>
      <c r="F211" s="696"/>
      <c r="G211" s="696"/>
      <c r="H211" s="695"/>
      <c r="I211" s="696"/>
      <c r="J211" s="686"/>
      <c r="K211" s="686"/>
      <c r="L211" s="686"/>
      <c r="M211" s="727"/>
      <c r="P211" s="419"/>
      <c r="R211" s="649"/>
      <c r="S211" s="702" t="s">
        <v>116</v>
      </c>
      <c r="T211" s="694"/>
      <c r="U211" s="696"/>
      <c r="V211" s="696"/>
      <c r="W211" s="695"/>
      <c r="X211" s="696"/>
      <c r="Y211" s="686"/>
      <c r="Z211" s="686"/>
      <c r="AA211" s="686"/>
      <c r="AB211" s="727"/>
      <c r="AE211" s="419"/>
      <c r="AG211" s="649"/>
      <c r="AH211" s="702" t="s">
        <v>116</v>
      </c>
      <c r="AI211" s="694"/>
      <c r="AJ211" s="696"/>
      <c r="AK211" s="696"/>
      <c r="AL211" s="695"/>
      <c r="AM211" s="696"/>
      <c r="AN211" s="686"/>
      <c r="AO211" s="686"/>
      <c r="AP211" s="686"/>
      <c r="AQ211" s="727"/>
    </row>
    <row r="212" spans="1:43" hidden="1" x14ac:dyDescent="0.35">
      <c r="A212" s="419"/>
      <c r="C212" s="649"/>
      <c r="D212" s="693" t="s">
        <v>117</v>
      </c>
      <c r="E212" s="694"/>
      <c r="F212" s="696"/>
      <c r="G212" s="696"/>
      <c r="H212" s="695"/>
      <c r="I212" s="696"/>
      <c r="J212" s="686"/>
      <c r="K212" s="686"/>
      <c r="L212" s="686"/>
      <c r="M212" s="727"/>
      <c r="P212" s="419"/>
      <c r="R212" s="649"/>
      <c r="S212" s="693" t="s">
        <v>117</v>
      </c>
      <c r="T212" s="694"/>
      <c r="U212" s="696"/>
      <c r="V212" s="696"/>
      <c r="W212" s="695"/>
      <c r="X212" s="696"/>
      <c r="Y212" s="686"/>
      <c r="Z212" s="686"/>
      <c r="AA212" s="686"/>
      <c r="AB212" s="727"/>
      <c r="AE212" s="419"/>
      <c r="AG212" s="649"/>
      <c r="AH212" s="693" t="s">
        <v>117</v>
      </c>
      <c r="AI212" s="694"/>
      <c r="AJ212" s="696"/>
      <c r="AK212" s="696"/>
      <c r="AL212" s="695"/>
      <c r="AM212" s="696"/>
      <c r="AN212" s="686"/>
      <c r="AO212" s="686"/>
      <c r="AP212" s="686"/>
      <c r="AQ212" s="727"/>
    </row>
    <row r="213" spans="1:43" hidden="1" x14ac:dyDescent="0.35">
      <c r="A213" s="419"/>
      <c r="C213" s="649"/>
      <c r="D213" s="693" t="s">
        <v>118</v>
      </c>
      <c r="E213" s="694"/>
      <c r="F213" s="696"/>
      <c r="G213" s="696"/>
      <c r="H213" s="695"/>
      <c r="I213" s="696"/>
      <c r="J213" s="686"/>
      <c r="K213" s="686"/>
      <c r="L213" s="686"/>
      <c r="M213" s="727"/>
      <c r="P213" s="419"/>
      <c r="R213" s="649"/>
      <c r="S213" s="693" t="s">
        <v>118</v>
      </c>
      <c r="T213" s="694"/>
      <c r="U213" s="696"/>
      <c r="V213" s="696"/>
      <c r="W213" s="695"/>
      <c r="X213" s="696"/>
      <c r="Y213" s="686"/>
      <c r="Z213" s="686"/>
      <c r="AA213" s="686"/>
      <c r="AB213" s="727"/>
      <c r="AE213" s="419"/>
      <c r="AG213" s="649"/>
      <c r="AH213" s="693" t="s">
        <v>118</v>
      </c>
      <c r="AI213" s="694"/>
      <c r="AJ213" s="696"/>
      <c r="AK213" s="696"/>
      <c r="AL213" s="695"/>
      <c r="AM213" s="696"/>
      <c r="AN213" s="686"/>
      <c r="AO213" s="686"/>
      <c r="AP213" s="686"/>
      <c r="AQ213" s="727"/>
    </row>
    <row r="214" spans="1:43" hidden="1" x14ac:dyDescent="0.35">
      <c r="A214" s="419"/>
      <c r="C214" s="649"/>
      <c r="D214" s="693" t="s">
        <v>119</v>
      </c>
      <c r="E214" s="694"/>
      <c r="F214" s="696"/>
      <c r="G214" s="696"/>
      <c r="H214" s="695"/>
      <c r="I214" s="696"/>
      <c r="J214" s="686"/>
      <c r="K214" s="686"/>
      <c r="L214" s="686"/>
      <c r="M214" s="727"/>
      <c r="P214" s="419"/>
      <c r="R214" s="649"/>
      <c r="S214" s="693" t="s">
        <v>119</v>
      </c>
      <c r="T214" s="694"/>
      <c r="U214" s="696"/>
      <c r="V214" s="696"/>
      <c r="W214" s="695"/>
      <c r="X214" s="696"/>
      <c r="Y214" s="686"/>
      <c r="Z214" s="686"/>
      <c r="AA214" s="686"/>
      <c r="AB214" s="727"/>
      <c r="AE214" s="419"/>
      <c r="AG214" s="649"/>
      <c r="AH214" s="693" t="s">
        <v>119</v>
      </c>
      <c r="AI214" s="694"/>
      <c r="AJ214" s="696"/>
      <c r="AK214" s="696"/>
      <c r="AL214" s="695"/>
      <c r="AM214" s="696"/>
      <c r="AN214" s="686"/>
      <c r="AO214" s="686"/>
      <c r="AP214" s="686"/>
      <c r="AQ214" s="727"/>
    </row>
    <row r="215" spans="1:43" hidden="1" x14ac:dyDescent="0.35">
      <c r="A215" s="419"/>
      <c r="C215" s="649"/>
      <c r="D215" s="693" t="s">
        <v>120</v>
      </c>
      <c r="E215" s="694"/>
      <c r="F215" s="696"/>
      <c r="G215" s="696"/>
      <c r="H215" s="695"/>
      <c r="I215" s="696"/>
      <c r="J215" s="686"/>
      <c r="K215" s="686"/>
      <c r="L215" s="686"/>
      <c r="M215" s="727"/>
      <c r="P215" s="419"/>
      <c r="R215" s="649"/>
      <c r="S215" s="693" t="s">
        <v>120</v>
      </c>
      <c r="T215" s="694"/>
      <c r="U215" s="696"/>
      <c r="V215" s="696"/>
      <c r="W215" s="695"/>
      <c r="X215" s="696"/>
      <c r="Y215" s="686"/>
      <c r="Z215" s="686"/>
      <c r="AA215" s="686"/>
      <c r="AB215" s="727"/>
      <c r="AE215" s="419"/>
      <c r="AG215" s="649"/>
      <c r="AH215" s="693" t="s">
        <v>120</v>
      </c>
      <c r="AI215" s="694"/>
      <c r="AJ215" s="696"/>
      <c r="AK215" s="696"/>
      <c r="AL215" s="695"/>
      <c r="AM215" s="696"/>
      <c r="AN215" s="686"/>
      <c r="AO215" s="686"/>
      <c r="AP215" s="686"/>
      <c r="AQ215" s="727"/>
    </row>
    <row r="216" spans="1:43" hidden="1" x14ac:dyDescent="0.35">
      <c r="A216" s="419"/>
      <c r="C216" s="649"/>
      <c r="D216" s="693" t="s">
        <v>121</v>
      </c>
      <c r="E216" s="694"/>
      <c r="F216" s="696"/>
      <c r="G216" s="696"/>
      <c r="H216" s="695"/>
      <c r="I216" s="696"/>
      <c r="J216" s="686"/>
      <c r="K216" s="686"/>
      <c r="L216" s="686"/>
      <c r="M216" s="727"/>
      <c r="P216" s="419"/>
      <c r="R216" s="649"/>
      <c r="S216" s="693" t="s">
        <v>121</v>
      </c>
      <c r="T216" s="694"/>
      <c r="U216" s="696"/>
      <c r="V216" s="696"/>
      <c r="W216" s="695"/>
      <c r="X216" s="696"/>
      <c r="Y216" s="686"/>
      <c r="Z216" s="686"/>
      <c r="AA216" s="686"/>
      <c r="AB216" s="727"/>
      <c r="AE216" s="419"/>
      <c r="AG216" s="649"/>
      <c r="AH216" s="693" t="s">
        <v>121</v>
      </c>
      <c r="AI216" s="694"/>
      <c r="AJ216" s="696"/>
      <c r="AK216" s="696"/>
      <c r="AL216" s="695"/>
      <c r="AM216" s="696"/>
      <c r="AN216" s="686"/>
      <c r="AO216" s="686"/>
      <c r="AP216" s="686"/>
      <c r="AQ216" s="727"/>
    </row>
    <row r="217" spans="1:43" hidden="1" x14ac:dyDescent="0.35">
      <c r="A217" s="419"/>
      <c r="C217" s="649"/>
      <c r="D217" s="703" t="s">
        <v>122</v>
      </c>
      <c r="E217" s="694"/>
      <c r="F217" s="696"/>
      <c r="G217" s="696"/>
      <c r="H217" s="695"/>
      <c r="I217" s="696"/>
      <c r="J217" s="686"/>
      <c r="K217" s="686"/>
      <c r="L217" s="686"/>
      <c r="M217" s="727"/>
      <c r="P217" s="419"/>
      <c r="R217" s="649"/>
      <c r="S217" s="703" t="s">
        <v>122</v>
      </c>
      <c r="T217" s="694"/>
      <c r="U217" s="696"/>
      <c r="V217" s="696"/>
      <c r="W217" s="695"/>
      <c r="X217" s="696"/>
      <c r="Y217" s="686"/>
      <c r="Z217" s="686"/>
      <c r="AA217" s="686"/>
      <c r="AB217" s="727"/>
      <c r="AE217" s="419"/>
      <c r="AG217" s="649"/>
      <c r="AH217" s="703" t="s">
        <v>122</v>
      </c>
      <c r="AI217" s="694"/>
      <c r="AJ217" s="696"/>
      <c r="AK217" s="696"/>
      <c r="AL217" s="695"/>
      <c r="AM217" s="696"/>
      <c r="AN217" s="686"/>
      <c r="AO217" s="686"/>
      <c r="AP217" s="686"/>
      <c r="AQ217" s="727"/>
    </row>
    <row r="218" spans="1:43" hidden="1" x14ac:dyDescent="0.35">
      <c r="A218" s="419"/>
      <c r="C218" s="649"/>
      <c r="D218" s="703" t="s">
        <v>123</v>
      </c>
      <c r="E218" s="694"/>
      <c r="F218" s="696"/>
      <c r="G218" s="696"/>
      <c r="H218" s="695"/>
      <c r="I218" s="696"/>
      <c r="J218" s="686"/>
      <c r="K218" s="686"/>
      <c r="L218" s="686"/>
      <c r="M218" s="727"/>
      <c r="P218" s="419"/>
      <c r="R218" s="649"/>
      <c r="S218" s="703" t="s">
        <v>123</v>
      </c>
      <c r="T218" s="694"/>
      <c r="U218" s="696"/>
      <c r="V218" s="696"/>
      <c r="W218" s="695"/>
      <c r="X218" s="696"/>
      <c r="Y218" s="686"/>
      <c r="Z218" s="686"/>
      <c r="AA218" s="686"/>
      <c r="AB218" s="727"/>
      <c r="AE218" s="419"/>
      <c r="AG218" s="649"/>
      <c r="AH218" s="703" t="s">
        <v>123</v>
      </c>
      <c r="AI218" s="694"/>
      <c r="AJ218" s="696"/>
      <c r="AK218" s="696"/>
      <c r="AL218" s="695"/>
      <c r="AM218" s="696"/>
      <c r="AN218" s="686"/>
      <c r="AO218" s="686"/>
      <c r="AP218" s="686"/>
      <c r="AQ218" s="727"/>
    </row>
    <row r="219" spans="1:43" hidden="1" x14ac:dyDescent="0.35">
      <c r="A219" s="419"/>
      <c r="C219" s="649"/>
      <c r="D219" s="703"/>
      <c r="E219" s="694"/>
      <c r="F219" s="696"/>
      <c r="G219" s="696"/>
      <c r="H219" s="696"/>
      <c r="I219" s="696"/>
      <c r="J219" s="686"/>
      <c r="K219" s="686"/>
      <c r="L219" s="686"/>
      <c r="M219" s="727"/>
      <c r="P219" s="419"/>
      <c r="R219" s="649"/>
      <c r="S219" s="703"/>
      <c r="T219" s="694"/>
      <c r="U219" s="696"/>
      <c r="V219" s="696"/>
      <c r="W219" s="696"/>
      <c r="X219" s="696"/>
      <c r="Y219" s="686"/>
      <c r="Z219" s="686"/>
      <c r="AA219" s="686"/>
      <c r="AB219" s="727"/>
      <c r="AE219" s="419"/>
      <c r="AG219" s="649"/>
      <c r="AH219" s="703"/>
      <c r="AI219" s="694"/>
      <c r="AJ219" s="696"/>
      <c r="AK219" s="696"/>
      <c r="AL219" s="696"/>
      <c r="AM219" s="696"/>
      <c r="AN219" s="686"/>
      <c r="AO219" s="686"/>
      <c r="AP219" s="686"/>
      <c r="AQ219" s="727"/>
    </row>
    <row r="220" spans="1:43" hidden="1" x14ac:dyDescent="0.35">
      <c r="A220" s="419"/>
      <c r="C220" s="649"/>
      <c r="D220" s="704" t="s">
        <v>131</v>
      </c>
      <c r="E220" s="694">
        <f>SUM(E221:E226)</f>
        <v>0</v>
      </c>
      <c r="F220" s="694"/>
      <c r="G220" s="694"/>
      <c r="H220" s="694"/>
      <c r="I220" s="694">
        <f>SUM(I221:I226)</f>
        <v>0</v>
      </c>
      <c r="J220" s="686"/>
      <c r="K220" s="686"/>
      <c r="L220" s="686"/>
      <c r="M220" s="727"/>
      <c r="P220" s="419"/>
      <c r="R220" s="649"/>
      <c r="S220" s="704" t="s">
        <v>131</v>
      </c>
      <c r="T220" s="694">
        <f>SUM(T221:T226)</f>
        <v>0</v>
      </c>
      <c r="U220" s="694"/>
      <c r="V220" s="694"/>
      <c r="W220" s="694"/>
      <c r="X220" s="694">
        <f>SUM(X221:X226)</f>
        <v>0</v>
      </c>
      <c r="Y220" s="686"/>
      <c r="Z220" s="686"/>
      <c r="AA220" s="686"/>
      <c r="AB220" s="727"/>
      <c r="AE220" s="419"/>
      <c r="AG220" s="649"/>
      <c r="AH220" s="704" t="s">
        <v>131</v>
      </c>
      <c r="AI220" s="694">
        <f>SUM(AI221:AI226)</f>
        <v>0</v>
      </c>
      <c r="AJ220" s="694"/>
      <c r="AK220" s="694"/>
      <c r="AL220" s="694"/>
      <c r="AM220" s="694">
        <f>SUM(AM221:AM226)</f>
        <v>0</v>
      </c>
      <c r="AN220" s="686"/>
      <c r="AO220" s="686"/>
      <c r="AP220" s="686"/>
      <c r="AQ220" s="727"/>
    </row>
    <row r="221" spans="1:43" hidden="1" x14ac:dyDescent="0.35">
      <c r="A221" s="419"/>
      <c r="C221" s="649"/>
      <c r="D221" s="693" t="s">
        <v>132</v>
      </c>
      <c r="E221" s="694"/>
      <c r="F221" s="696"/>
      <c r="G221" s="696"/>
      <c r="H221" s="696"/>
      <c r="I221" s="695"/>
      <c r="J221" s="686"/>
      <c r="K221" s="686"/>
      <c r="L221" s="686"/>
      <c r="M221" s="727"/>
      <c r="P221" s="419"/>
      <c r="R221" s="649"/>
      <c r="S221" s="693" t="s">
        <v>132</v>
      </c>
      <c r="T221" s="694"/>
      <c r="U221" s="696"/>
      <c r="V221" s="696"/>
      <c r="W221" s="696"/>
      <c r="X221" s="695"/>
      <c r="Y221" s="686"/>
      <c r="Z221" s="686"/>
      <c r="AA221" s="686"/>
      <c r="AB221" s="727"/>
      <c r="AE221" s="419"/>
      <c r="AG221" s="649"/>
      <c r="AH221" s="693" t="s">
        <v>132</v>
      </c>
      <c r="AI221" s="694"/>
      <c r="AJ221" s="696"/>
      <c r="AK221" s="696"/>
      <c r="AL221" s="696"/>
      <c r="AM221" s="695"/>
      <c r="AN221" s="686"/>
      <c r="AO221" s="686"/>
      <c r="AP221" s="686"/>
      <c r="AQ221" s="727"/>
    </row>
    <row r="222" spans="1:43" hidden="1" x14ac:dyDescent="0.35">
      <c r="A222" s="419"/>
      <c r="C222" s="649"/>
      <c r="D222" s="693" t="s">
        <v>133</v>
      </c>
      <c r="E222" s="694"/>
      <c r="F222" s="696"/>
      <c r="G222" s="696"/>
      <c r="H222" s="696"/>
      <c r="I222" s="695"/>
      <c r="J222" s="686"/>
      <c r="K222" s="686"/>
      <c r="L222" s="686"/>
      <c r="M222" s="727"/>
      <c r="P222" s="419"/>
      <c r="R222" s="649"/>
      <c r="S222" s="693" t="s">
        <v>133</v>
      </c>
      <c r="T222" s="694"/>
      <c r="U222" s="696"/>
      <c r="V222" s="696"/>
      <c r="W222" s="696"/>
      <c r="X222" s="695"/>
      <c r="Y222" s="686"/>
      <c r="Z222" s="686"/>
      <c r="AA222" s="686"/>
      <c r="AB222" s="727"/>
      <c r="AE222" s="419"/>
      <c r="AG222" s="649"/>
      <c r="AH222" s="693" t="s">
        <v>133</v>
      </c>
      <c r="AI222" s="694"/>
      <c r="AJ222" s="696"/>
      <c r="AK222" s="696"/>
      <c r="AL222" s="696"/>
      <c r="AM222" s="695"/>
      <c r="AN222" s="686"/>
      <c r="AO222" s="686"/>
      <c r="AP222" s="686"/>
      <c r="AQ222" s="727"/>
    </row>
    <row r="223" spans="1:43" hidden="1" x14ac:dyDescent="0.35">
      <c r="A223" s="419"/>
      <c r="C223" s="649"/>
      <c r="D223" s="697" t="s">
        <v>134</v>
      </c>
      <c r="E223" s="694"/>
      <c r="F223" s="696"/>
      <c r="G223" s="696"/>
      <c r="H223" s="696"/>
      <c r="I223" s="695"/>
      <c r="J223" s="686"/>
      <c r="K223" s="686"/>
      <c r="L223" s="686"/>
      <c r="M223" s="727"/>
      <c r="P223" s="419"/>
      <c r="R223" s="649"/>
      <c r="S223" s="697" t="s">
        <v>134</v>
      </c>
      <c r="T223" s="694"/>
      <c r="U223" s="696"/>
      <c r="V223" s="696"/>
      <c r="W223" s="696"/>
      <c r="X223" s="695"/>
      <c r="Y223" s="686"/>
      <c r="Z223" s="686"/>
      <c r="AA223" s="686"/>
      <c r="AB223" s="727"/>
      <c r="AE223" s="419"/>
      <c r="AG223" s="649"/>
      <c r="AH223" s="697" t="s">
        <v>134</v>
      </c>
      <c r="AI223" s="694"/>
      <c r="AJ223" s="696"/>
      <c r="AK223" s="696"/>
      <c r="AL223" s="696"/>
      <c r="AM223" s="695"/>
      <c r="AN223" s="686"/>
      <c r="AO223" s="686"/>
      <c r="AP223" s="686"/>
      <c r="AQ223" s="727"/>
    </row>
    <row r="224" spans="1:43" hidden="1" x14ac:dyDescent="0.35">
      <c r="A224" s="419"/>
      <c r="C224" s="649"/>
      <c r="D224" s="693" t="s">
        <v>135</v>
      </c>
      <c r="E224" s="694"/>
      <c r="F224" s="696"/>
      <c r="G224" s="696"/>
      <c r="H224" s="696"/>
      <c r="I224" s="695"/>
      <c r="J224" s="686"/>
      <c r="K224" s="686"/>
      <c r="L224" s="686"/>
      <c r="M224" s="727"/>
      <c r="P224" s="419"/>
      <c r="R224" s="649"/>
      <c r="S224" s="693" t="s">
        <v>135</v>
      </c>
      <c r="T224" s="694"/>
      <c r="U224" s="696"/>
      <c r="V224" s="696"/>
      <c r="W224" s="696"/>
      <c r="X224" s="695"/>
      <c r="Y224" s="686"/>
      <c r="Z224" s="686"/>
      <c r="AA224" s="686"/>
      <c r="AB224" s="727"/>
      <c r="AE224" s="419"/>
      <c r="AG224" s="649"/>
      <c r="AH224" s="693" t="s">
        <v>135</v>
      </c>
      <c r="AI224" s="694"/>
      <c r="AJ224" s="696"/>
      <c r="AK224" s="696"/>
      <c r="AL224" s="696"/>
      <c r="AM224" s="695"/>
      <c r="AN224" s="686"/>
      <c r="AO224" s="686"/>
      <c r="AP224" s="686"/>
      <c r="AQ224" s="727"/>
    </row>
    <row r="225" spans="1:44" hidden="1" x14ac:dyDescent="0.35">
      <c r="A225" s="419"/>
      <c r="C225" s="649"/>
      <c r="D225" s="693" t="s">
        <v>123</v>
      </c>
      <c r="E225" s="694"/>
      <c r="F225" s="696"/>
      <c r="G225" s="696"/>
      <c r="H225" s="696"/>
      <c r="I225" s="695"/>
      <c r="J225" s="686"/>
      <c r="K225" s="686"/>
      <c r="L225" s="686"/>
      <c r="M225" s="727"/>
      <c r="P225" s="419"/>
      <c r="R225" s="649"/>
      <c r="S225" s="693" t="s">
        <v>123</v>
      </c>
      <c r="T225" s="694"/>
      <c r="U225" s="696"/>
      <c r="V225" s="696"/>
      <c r="W225" s="696"/>
      <c r="X225" s="695"/>
      <c r="Y225" s="686"/>
      <c r="Z225" s="686"/>
      <c r="AA225" s="686"/>
      <c r="AB225" s="727"/>
      <c r="AE225" s="419"/>
      <c r="AG225" s="649"/>
      <c r="AH225" s="693" t="s">
        <v>123</v>
      </c>
      <c r="AI225" s="694"/>
      <c r="AJ225" s="696"/>
      <c r="AK225" s="696"/>
      <c r="AL225" s="696"/>
      <c r="AM225" s="695"/>
      <c r="AN225" s="686"/>
      <c r="AO225" s="686"/>
      <c r="AP225" s="686"/>
      <c r="AQ225" s="727"/>
    </row>
    <row r="226" spans="1:44" hidden="1" x14ac:dyDescent="0.35">
      <c r="A226" s="419"/>
      <c r="C226" s="649"/>
      <c r="D226" s="693" t="s">
        <v>136</v>
      </c>
      <c r="E226" s="694"/>
      <c r="F226" s="696"/>
      <c r="G226" s="696"/>
      <c r="H226" s="696"/>
      <c r="I226" s="695"/>
      <c r="J226" s="686"/>
      <c r="K226" s="686"/>
      <c r="L226" s="686"/>
      <c r="M226" s="727"/>
      <c r="P226" s="419"/>
      <c r="R226" s="649"/>
      <c r="S226" s="693" t="s">
        <v>136</v>
      </c>
      <c r="T226" s="694"/>
      <c r="U226" s="696"/>
      <c r="V226" s="696"/>
      <c r="W226" s="696"/>
      <c r="X226" s="695"/>
      <c r="Y226" s="686"/>
      <c r="Z226" s="686"/>
      <c r="AA226" s="686"/>
      <c r="AB226" s="727"/>
      <c r="AE226" s="419"/>
      <c r="AG226" s="649"/>
      <c r="AH226" s="693" t="s">
        <v>136</v>
      </c>
      <c r="AI226" s="694"/>
      <c r="AJ226" s="696"/>
      <c r="AK226" s="696"/>
      <c r="AL226" s="696"/>
      <c r="AM226" s="695"/>
      <c r="AN226" s="686"/>
      <c r="AO226" s="686"/>
      <c r="AP226" s="686"/>
      <c r="AQ226" s="727"/>
    </row>
    <row r="227" spans="1:44" hidden="1" x14ac:dyDescent="0.35">
      <c r="A227" s="419"/>
      <c r="C227" s="649"/>
      <c r="D227" s="593" t="s">
        <v>478</v>
      </c>
      <c r="E227" s="685">
        <f>SUM(E196,E202,E209,E220)</f>
        <v>0</v>
      </c>
      <c r="F227" s="685">
        <f>SUM(F196,F202,F209,F220)</f>
        <v>0</v>
      </c>
      <c r="G227" s="685">
        <f>SUM(G196,G202,G209,G220)</f>
        <v>0</v>
      </c>
      <c r="H227" s="685">
        <f>SUM(H196,H202,H209,H220)</f>
        <v>0</v>
      </c>
      <c r="I227" s="685">
        <f>SUM(I196,I202,I209,I220)</f>
        <v>0</v>
      </c>
      <c r="J227" s="686"/>
      <c r="K227" s="686"/>
      <c r="L227" s="686"/>
      <c r="M227" s="727"/>
      <c r="P227" s="419"/>
      <c r="R227" s="649"/>
      <c r="S227" s="593" t="s">
        <v>478</v>
      </c>
      <c r="T227" s="685">
        <f>SUM(T196,T202,T209,T220)</f>
        <v>0</v>
      </c>
      <c r="U227" s="685">
        <f>SUM(U196,U202,U209,U220)</f>
        <v>0</v>
      </c>
      <c r="V227" s="685">
        <f>SUM(V196,V202,V209,V220)</f>
        <v>0</v>
      </c>
      <c r="W227" s="685">
        <f>SUM(W196,W202,W209,W220)</f>
        <v>0</v>
      </c>
      <c r="X227" s="685">
        <f>SUM(X196,X202,X209,X220)</f>
        <v>0</v>
      </c>
      <c r="Y227" s="686"/>
      <c r="Z227" s="686"/>
      <c r="AA227" s="686"/>
      <c r="AB227" s="727"/>
      <c r="AE227" s="419"/>
      <c r="AG227" s="649"/>
      <c r="AH227" s="593" t="s">
        <v>478</v>
      </c>
      <c r="AI227" s="685">
        <f>SUM(AI196,AI202,AI209,AI220)</f>
        <v>0</v>
      </c>
      <c r="AJ227" s="685">
        <f>SUM(AJ196,AJ202,AJ209,AJ220)</f>
        <v>0</v>
      </c>
      <c r="AK227" s="685">
        <f>SUM(AK196,AK202,AK209,AK220)</f>
        <v>0</v>
      </c>
      <c r="AL227" s="685">
        <f>SUM(AL196,AL202,AL209,AL220)</f>
        <v>0</v>
      </c>
      <c r="AM227" s="685">
        <f>SUM(AM196,AM202,AM209,AM220)</f>
        <v>0</v>
      </c>
      <c r="AN227" s="686"/>
      <c r="AO227" s="686"/>
      <c r="AP227" s="686"/>
      <c r="AQ227" s="727"/>
    </row>
    <row r="228" spans="1:44" ht="9.3000000000000007" hidden="1" thickBot="1" x14ac:dyDescent="0.4">
      <c r="A228" s="419"/>
      <c r="C228" s="654"/>
      <c r="D228" s="705"/>
      <c r="E228" s="706"/>
      <c r="F228" s="707"/>
      <c r="G228" s="707"/>
      <c r="H228" s="707"/>
      <c r="I228" s="707"/>
      <c r="J228" s="707"/>
      <c r="K228" s="707"/>
      <c r="L228" s="707"/>
      <c r="M228" s="728"/>
      <c r="P228" s="419"/>
      <c r="R228" s="654"/>
      <c r="S228" s="705"/>
      <c r="T228" s="706"/>
      <c r="U228" s="707"/>
      <c r="V228" s="707"/>
      <c r="W228" s="707"/>
      <c r="X228" s="707"/>
      <c r="Y228" s="707"/>
      <c r="Z228" s="707"/>
      <c r="AA228" s="707"/>
      <c r="AB228" s="728"/>
      <c r="AE228" s="419"/>
      <c r="AG228" s="654"/>
      <c r="AH228" s="705"/>
      <c r="AI228" s="706"/>
      <c r="AJ228" s="707"/>
      <c r="AK228" s="707"/>
      <c r="AL228" s="707"/>
      <c r="AM228" s="707"/>
      <c r="AN228" s="707"/>
      <c r="AO228" s="707"/>
      <c r="AP228" s="707"/>
      <c r="AQ228" s="728"/>
    </row>
    <row r="229" spans="1:44" x14ac:dyDescent="0.35">
      <c r="A229" s="419"/>
      <c r="M229" s="720"/>
      <c r="N229" s="720"/>
      <c r="P229" s="419"/>
      <c r="AB229" s="720"/>
      <c r="AC229" s="720"/>
      <c r="AE229" s="419"/>
      <c r="AQ229" s="720"/>
      <c r="AR229" s="720"/>
    </row>
    <row r="230" spans="1:44" x14ac:dyDescent="0.35">
      <c r="A230" s="419"/>
      <c r="M230" s="720"/>
      <c r="N230" s="720"/>
      <c r="P230" s="419"/>
      <c r="AB230" s="720"/>
      <c r="AC230" s="720"/>
      <c r="AE230" s="419"/>
      <c r="AQ230" s="720"/>
      <c r="AR230" s="720"/>
    </row>
    <row r="231" spans="1:44" x14ac:dyDescent="0.35">
      <c r="A231" s="419"/>
      <c r="M231" s="720"/>
      <c r="N231" s="720"/>
      <c r="P231" s="419"/>
      <c r="AB231" s="720"/>
      <c r="AC231" s="720"/>
      <c r="AE231" s="419"/>
      <c r="AQ231" s="720"/>
      <c r="AR231" s="720"/>
    </row>
    <row r="232" spans="1:44" x14ac:dyDescent="0.35">
      <c r="A232" s="419"/>
      <c r="M232" s="720"/>
      <c r="N232" s="720"/>
      <c r="P232" s="419"/>
      <c r="AB232" s="720"/>
      <c r="AC232" s="720"/>
      <c r="AE232" s="419"/>
      <c r="AQ232" s="720"/>
      <c r="AR232" s="720"/>
    </row>
    <row r="233" spans="1:44" x14ac:dyDescent="0.35">
      <c r="A233" s="419"/>
      <c r="M233" s="720"/>
      <c r="N233" s="720"/>
      <c r="P233" s="419"/>
      <c r="AB233" s="720"/>
      <c r="AC233" s="720"/>
      <c r="AE233" s="419"/>
      <c r="AQ233" s="720"/>
      <c r="AR233" s="720"/>
    </row>
    <row r="234" spans="1:44" x14ac:dyDescent="0.35">
      <c r="A234" s="419"/>
      <c r="M234" s="720"/>
      <c r="N234" s="720"/>
      <c r="P234" s="419"/>
      <c r="AB234" s="720"/>
      <c r="AC234" s="720"/>
      <c r="AE234" s="419"/>
      <c r="AQ234" s="720"/>
      <c r="AR234" s="720"/>
    </row>
  </sheetData>
  <mergeCells count="57">
    <mergeCell ref="AH2:AP2"/>
    <mergeCell ref="C3:C6"/>
    <mergeCell ref="C9:C11"/>
    <mergeCell ref="K9:L9"/>
    <mergeCell ref="C59:D64"/>
    <mergeCell ref="E59:J59"/>
    <mergeCell ref="E64:J64"/>
    <mergeCell ref="D2:L2"/>
    <mergeCell ref="S2:AA2"/>
    <mergeCell ref="Z9:AA9"/>
    <mergeCell ref="R14:R37"/>
    <mergeCell ref="R40:R54"/>
    <mergeCell ref="R56:S57"/>
    <mergeCell ref="R59:S64"/>
    <mergeCell ref="T59:Y59"/>
    <mergeCell ref="T64:Y64"/>
    <mergeCell ref="T182:Y182"/>
    <mergeCell ref="T187:Y187"/>
    <mergeCell ref="D192:I193"/>
    <mergeCell ref="R3:R6"/>
    <mergeCell ref="R9:R11"/>
    <mergeCell ref="D95:J97"/>
    <mergeCell ref="D113:J114"/>
    <mergeCell ref="D123:J124"/>
    <mergeCell ref="D131:J133"/>
    <mergeCell ref="D142:J144"/>
    <mergeCell ref="C182:D187"/>
    <mergeCell ref="E182:J182"/>
    <mergeCell ref="E187:J187"/>
    <mergeCell ref="C14:C37"/>
    <mergeCell ref="C40:C54"/>
    <mergeCell ref="C56:D57"/>
    <mergeCell ref="S192:X193"/>
    <mergeCell ref="AG3:AG6"/>
    <mergeCell ref="AG9:AG11"/>
    <mergeCell ref="AO9:AP9"/>
    <mergeCell ref="AG14:AG37"/>
    <mergeCell ref="AG40:AG54"/>
    <mergeCell ref="AG56:AH57"/>
    <mergeCell ref="AG59:AH64"/>
    <mergeCell ref="AI59:AN59"/>
    <mergeCell ref="AI64:AN64"/>
    <mergeCell ref="S95:Y97"/>
    <mergeCell ref="S113:Y114"/>
    <mergeCell ref="S123:Y124"/>
    <mergeCell ref="S131:Y133"/>
    <mergeCell ref="S142:Y144"/>
    <mergeCell ref="R182:S187"/>
    <mergeCell ref="AH192:AM193"/>
    <mergeCell ref="AH95:AN97"/>
    <mergeCell ref="AH113:AN114"/>
    <mergeCell ref="AH123:AN124"/>
    <mergeCell ref="AH131:AN133"/>
    <mergeCell ref="AH142:AN144"/>
    <mergeCell ref="AG182:AH187"/>
    <mergeCell ref="AI182:AN182"/>
    <mergeCell ref="AI187:AN187"/>
  </mergeCells>
  <conditionalFormatting sqref="I128">
    <cfRule type="expression" dxfId="98" priority="21">
      <formula>I117&gt;0</formula>
    </cfRule>
  </conditionalFormatting>
  <conditionalFormatting sqref="F128:H128">
    <cfRule type="expression" dxfId="97" priority="20">
      <formula>F117&gt;0</formula>
    </cfRule>
  </conditionalFormatting>
  <conditionalFormatting sqref="F135">
    <cfRule type="expression" dxfId="96" priority="19">
      <formula>$E$63&lt;0</formula>
    </cfRule>
  </conditionalFormatting>
  <conditionalFormatting sqref="F154">
    <cfRule type="expression" dxfId="95" priority="17">
      <formula>$E$89="Yes"</formula>
    </cfRule>
    <cfRule type="expression" dxfId="94" priority="18">
      <formula>F147=0</formula>
    </cfRule>
  </conditionalFormatting>
  <conditionalFormatting sqref="G154:J154">
    <cfRule type="expression" dxfId="93" priority="15">
      <formula>$E$89="Yes"</formula>
    </cfRule>
    <cfRule type="expression" dxfId="92" priority="16">
      <formula>G147=0</formula>
    </cfRule>
  </conditionalFormatting>
  <conditionalFormatting sqref="X128">
    <cfRule type="expression" dxfId="91" priority="14">
      <formula>X117&gt;0</formula>
    </cfRule>
  </conditionalFormatting>
  <conditionalFormatting sqref="U128:W128">
    <cfRule type="expression" dxfId="90" priority="13">
      <formula>U117&gt;0</formula>
    </cfRule>
  </conditionalFormatting>
  <conditionalFormatting sqref="U135">
    <cfRule type="expression" dxfId="89" priority="12">
      <formula>$E$63&lt;0</formula>
    </cfRule>
  </conditionalFormatting>
  <conditionalFormatting sqref="U154">
    <cfRule type="expression" dxfId="88" priority="10">
      <formula>$E$89="Yes"</formula>
    </cfRule>
    <cfRule type="expression" dxfId="87" priority="11">
      <formula>U147=0</formula>
    </cfRule>
  </conditionalFormatting>
  <conditionalFormatting sqref="V154:Y154">
    <cfRule type="expression" dxfId="86" priority="8">
      <formula>$E$89="Yes"</formula>
    </cfRule>
    <cfRule type="expression" dxfId="85" priority="9">
      <formula>V147=0</formula>
    </cfRule>
  </conditionalFormatting>
  <conditionalFormatting sqref="AM128">
    <cfRule type="expression" dxfId="84" priority="7">
      <formula>AM117&gt;0</formula>
    </cfRule>
  </conditionalFormatting>
  <conditionalFormatting sqref="AJ128:AL128">
    <cfRule type="expression" dxfId="83" priority="6">
      <formula>AJ117&gt;0</formula>
    </cfRule>
  </conditionalFormatting>
  <conditionalFormatting sqref="AJ135">
    <cfRule type="expression" dxfId="82" priority="5">
      <formula>$E$63&lt;0</formula>
    </cfRule>
  </conditionalFormatting>
  <conditionalFormatting sqref="AJ154">
    <cfRule type="expression" dxfId="81" priority="3">
      <formula>$E$89="Yes"</formula>
    </cfRule>
    <cfRule type="expression" dxfId="80" priority="4">
      <formula>AJ147=0</formula>
    </cfRule>
  </conditionalFormatting>
  <conditionalFormatting sqref="AK154:AN154">
    <cfRule type="expression" dxfId="79" priority="1">
      <formula>$E$89="Yes"</formula>
    </cfRule>
    <cfRule type="expression" dxfId="78" priority="2">
      <formula>AK147=0</formula>
    </cfRule>
  </conditionalFormatting>
  <dataValidations disablePrompts="1" count="1">
    <dataValidation type="list" allowBlank="1" showInputMessage="1" showErrorMessage="1" sqref="E152 T152 AI152" xr:uid="{D8A7BDD6-C1D3-49BD-8639-CED8C6566D58}">
      <formula1>"Yes, No"</formula1>
    </dataValidation>
  </dataValidations>
  <pageMargins left="0.7" right="0.7" top="0.75" bottom="0.75" header="0.3" footer="0.3"/>
  <pageSetup paperSize="9" orientation="portrait" r:id="rId1"/>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E591474-1779-4094-9E71-5CB5E6674E89}">
  <sheetPr codeName="Sheet5">
    <tabColor theme="6" tint="-0.499984740745262"/>
  </sheetPr>
  <dimension ref="A1:AI124"/>
  <sheetViews>
    <sheetView showGridLines="0" zoomScale="130" zoomScaleNormal="130" workbookViewId="0">
      <pane ySplit="4" topLeftCell="A5" activePane="bottomLeft" state="frozen"/>
      <selection pane="bottomLeft" activeCell="F37" sqref="F37"/>
    </sheetView>
  </sheetViews>
  <sheetFormatPr defaultColWidth="8.7890625" defaultRowHeight="10.199999999999999" customHeight="1" x14ac:dyDescent="0.35"/>
  <cols>
    <col min="1" max="1" width="8.7890625" style="880" customWidth="1"/>
    <col min="2" max="2" width="2" style="398" customWidth="1"/>
    <col min="3" max="3" width="4.7890625" style="398" customWidth="1"/>
    <col min="4" max="4" width="34.7890625" style="398" bestFit="1" customWidth="1"/>
    <col min="5" max="5" width="10.20703125" style="398" bestFit="1" customWidth="1"/>
    <col min="6" max="9" width="8.7890625" style="398" customWidth="1"/>
    <col min="10" max="10" width="10.20703125" style="398" bestFit="1" customWidth="1"/>
    <col min="11" max="11" width="8.7890625" style="398" customWidth="1"/>
    <col min="12" max="12" width="6" style="398" customWidth="1"/>
    <col min="13" max="13" width="4.20703125" style="398" customWidth="1"/>
    <col min="14" max="14" width="8.7890625" style="880" customWidth="1"/>
    <col min="15" max="34" width="8.7890625" style="398" customWidth="1"/>
    <col min="35" max="35" width="2" style="398" customWidth="1"/>
    <col min="36" max="254" width="8.7890625" style="398" customWidth="1"/>
    <col min="255" max="16384" width="8.7890625" style="398"/>
  </cols>
  <sheetData>
    <row r="1" spans="1:35" ht="10.199999999999999" customHeight="1" x14ac:dyDescent="0.35">
      <c r="A1" s="398"/>
      <c r="E1" s="1795" t="s">
        <v>206</v>
      </c>
      <c r="F1" s="876"/>
      <c r="G1" s="876"/>
      <c r="N1" s="398"/>
      <c r="Q1" s="1795" t="s">
        <v>206</v>
      </c>
      <c r="R1" s="876"/>
      <c r="S1" s="876"/>
      <c r="AA1" s="1795" t="s">
        <v>206</v>
      </c>
      <c r="AB1" s="876"/>
      <c r="AC1" s="876"/>
    </row>
    <row r="2" spans="1:35" ht="10.199999999999999" customHeight="1" x14ac:dyDescent="0.35">
      <c r="A2" s="398"/>
      <c r="D2" s="877"/>
      <c r="E2" s="1795"/>
      <c r="N2" s="398"/>
      <c r="P2" s="877"/>
      <c r="Q2" s="1795"/>
      <c r="Z2" s="877"/>
      <c r="AA2" s="1795"/>
    </row>
    <row r="3" spans="1:35" ht="10.199999999999999" customHeight="1" x14ac:dyDescent="0.35">
      <c r="A3" s="398"/>
      <c r="D3" s="877"/>
      <c r="N3" s="398"/>
      <c r="P3" s="877"/>
      <c r="Z3" s="877"/>
    </row>
    <row r="4" spans="1:35" s="878" customFormat="1" ht="10.199999999999999" customHeight="1" thickBot="1" x14ac:dyDescent="0.4">
      <c r="D4" s="879"/>
      <c r="P4" s="879"/>
      <c r="Z4" s="879"/>
    </row>
    <row r="5" spans="1:35" s="880" customFormat="1" ht="10.199999999999999" customHeight="1" x14ac:dyDescent="0.35"/>
    <row r="7" spans="1:35" ht="10.199999999999999" customHeight="1" x14ac:dyDescent="0.35">
      <c r="C7" s="1794" t="s">
        <v>475</v>
      </c>
      <c r="D7" s="1794"/>
      <c r="E7" s="1794"/>
      <c r="F7" s="1794"/>
      <c r="G7" s="1794"/>
      <c r="H7" s="1794"/>
      <c r="I7" s="1794"/>
      <c r="J7" s="1794"/>
      <c r="K7" s="1794"/>
      <c r="L7" s="1794"/>
      <c r="M7" s="1794"/>
      <c r="Y7" s="1794" t="s">
        <v>475</v>
      </c>
      <c r="Z7" s="1794"/>
      <c r="AA7" s="1794"/>
      <c r="AB7" s="1794"/>
      <c r="AC7" s="1794"/>
      <c r="AD7" s="1794"/>
      <c r="AE7" s="1794"/>
      <c r="AF7" s="1794"/>
      <c r="AG7" s="1794"/>
      <c r="AH7" s="1794"/>
      <c r="AI7" s="1794"/>
    </row>
    <row r="8" spans="1:35" ht="10.199999999999999" customHeight="1" thickBot="1" x14ac:dyDescent="0.4">
      <c r="D8" s="881"/>
      <c r="P8" s="881"/>
      <c r="Z8" s="881"/>
    </row>
    <row r="9" spans="1:35" ht="10.199999999999999" customHeight="1" x14ac:dyDescent="0.35">
      <c r="C9" s="882"/>
      <c r="D9" s="883"/>
      <c r="E9" s="883"/>
      <c r="F9" s="883"/>
      <c r="G9" s="883"/>
      <c r="H9" s="883"/>
      <c r="I9" s="883"/>
      <c r="J9" s="883"/>
      <c r="K9" s="883"/>
      <c r="L9" s="883"/>
      <c r="M9" s="884"/>
      <c r="O9" s="882"/>
      <c r="P9" s="883"/>
      <c r="Q9" s="883"/>
      <c r="R9" s="883"/>
      <c r="S9" s="883"/>
      <c r="T9" s="883"/>
      <c r="U9" s="883"/>
      <c r="V9" s="883"/>
      <c r="W9" s="883"/>
      <c r="X9" s="883"/>
      <c r="Y9" s="882"/>
      <c r="Z9" s="883"/>
      <c r="AA9" s="883"/>
      <c r="AB9" s="883"/>
      <c r="AC9" s="883"/>
      <c r="AD9" s="883"/>
      <c r="AE9" s="883"/>
      <c r="AF9" s="883"/>
      <c r="AG9" s="883"/>
      <c r="AH9" s="883"/>
      <c r="AI9" s="884"/>
    </row>
    <row r="10" spans="1:35" ht="10.199999999999999" customHeight="1" x14ac:dyDescent="0.35">
      <c r="C10" s="885"/>
      <c r="D10" s="886" t="s">
        <v>107</v>
      </c>
      <c r="M10" s="887"/>
      <c r="O10" s="885"/>
      <c r="P10" s="886" t="s">
        <v>107</v>
      </c>
      <c r="Y10" s="885"/>
      <c r="Z10" s="886" t="s">
        <v>107</v>
      </c>
      <c r="AI10" s="887"/>
    </row>
    <row r="11" spans="1:35" ht="10.199999999999999" customHeight="1" x14ac:dyDescent="0.35">
      <c r="C11" s="885"/>
      <c r="D11" s="1796" t="s">
        <v>875</v>
      </c>
      <c r="E11" s="1796"/>
      <c r="F11" s="1796"/>
      <c r="G11" s="1796"/>
      <c r="H11" s="1796"/>
      <c r="I11" s="1796"/>
      <c r="J11" s="1796"/>
      <c r="K11" s="1796"/>
      <c r="M11" s="887"/>
      <c r="O11" s="885"/>
      <c r="P11" s="1796" t="s">
        <v>875</v>
      </c>
      <c r="Q11" s="1796"/>
      <c r="R11" s="1796"/>
      <c r="S11" s="1796"/>
      <c r="T11" s="1796"/>
      <c r="U11" s="1796"/>
      <c r="V11" s="1796"/>
      <c r="W11" s="1796"/>
      <c r="Y11" s="885"/>
      <c r="Z11" s="1796" t="s">
        <v>875</v>
      </c>
      <c r="AA11" s="1796"/>
      <c r="AB11" s="1796"/>
      <c r="AC11" s="1796"/>
      <c r="AD11" s="1796"/>
      <c r="AE11" s="1796"/>
      <c r="AF11" s="1796"/>
      <c r="AG11" s="1796"/>
      <c r="AI11" s="887"/>
    </row>
    <row r="12" spans="1:35" ht="10.199999999999999" customHeight="1" x14ac:dyDescent="0.35">
      <c r="C12" s="885"/>
      <c r="D12" s="1796"/>
      <c r="E12" s="1796"/>
      <c r="F12" s="1796"/>
      <c r="G12" s="1796"/>
      <c r="H12" s="1796"/>
      <c r="I12" s="1796"/>
      <c r="J12" s="1796"/>
      <c r="K12" s="1796"/>
      <c r="M12" s="887"/>
      <c r="O12" s="885"/>
      <c r="P12" s="1796"/>
      <c r="Q12" s="1796"/>
      <c r="R12" s="1796"/>
      <c r="S12" s="1796"/>
      <c r="T12" s="1796"/>
      <c r="U12" s="1796"/>
      <c r="V12" s="1796"/>
      <c r="W12" s="1796"/>
      <c r="Y12" s="885"/>
      <c r="Z12" s="1796"/>
      <c r="AA12" s="1796"/>
      <c r="AB12" s="1796"/>
      <c r="AC12" s="1796"/>
      <c r="AD12" s="1796"/>
      <c r="AE12" s="1796"/>
      <c r="AF12" s="1796"/>
      <c r="AG12" s="1796"/>
      <c r="AI12" s="887"/>
    </row>
    <row r="13" spans="1:35" ht="10.199999999999999" customHeight="1" x14ac:dyDescent="0.35">
      <c r="C13" s="885"/>
      <c r="D13" s="886"/>
      <c r="M13" s="887"/>
      <c r="O13" s="885"/>
      <c r="P13" s="886"/>
      <c r="Y13" s="885"/>
      <c r="Z13" s="886"/>
      <c r="AI13" s="887"/>
    </row>
    <row r="14" spans="1:35" ht="10.199999999999999" customHeight="1" x14ac:dyDescent="0.35">
      <c r="C14" s="885"/>
      <c r="D14" s="889" t="s">
        <v>109</v>
      </c>
      <c r="E14" s="889" t="s">
        <v>230</v>
      </c>
      <c r="F14" s="889" t="s">
        <v>242</v>
      </c>
      <c r="G14" s="889" t="s">
        <v>289</v>
      </c>
      <c r="H14" s="889" t="s">
        <v>244</v>
      </c>
      <c r="I14" s="889" t="s">
        <v>286</v>
      </c>
      <c r="J14" s="889" t="s">
        <v>287</v>
      </c>
      <c r="K14" s="889" t="s">
        <v>245</v>
      </c>
      <c r="L14" s="890" t="s">
        <v>108</v>
      </c>
      <c r="M14" s="887"/>
      <c r="O14" s="885"/>
      <c r="P14" s="888" t="s">
        <v>109</v>
      </c>
      <c r="Q14" s="889" t="s">
        <v>230</v>
      </c>
      <c r="R14" s="889" t="s">
        <v>242</v>
      </c>
      <c r="S14" s="889" t="s">
        <v>289</v>
      </c>
      <c r="T14" s="889" t="s">
        <v>244</v>
      </c>
      <c r="U14" s="889" t="s">
        <v>286</v>
      </c>
      <c r="V14" s="889" t="s">
        <v>287</v>
      </c>
      <c r="W14" s="889" t="s">
        <v>245</v>
      </c>
      <c r="X14" s="890" t="s">
        <v>108</v>
      </c>
      <c r="Y14" s="885"/>
      <c r="Z14" s="888" t="s">
        <v>109</v>
      </c>
      <c r="AA14" s="889" t="s">
        <v>230</v>
      </c>
      <c r="AB14" s="889" t="s">
        <v>242</v>
      </c>
      <c r="AC14" s="889" t="s">
        <v>289</v>
      </c>
      <c r="AD14" s="889" t="s">
        <v>244</v>
      </c>
      <c r="AE14" s="889" t="s">
        <v>286</v>
      </c>
      <c r="AF14" s="889" t="s">
        <v>287</v>
      </c>
      <c r="AG14" s="889" t="s">
        <v>245</v>
      </c>
      <c r="AH14" s="890" t="s">
        <v>108</v>
      </c>
      <c r="AI14" s="887"/>
    </row>
    <row r="15" spans="1:35" ht="10.199999999999999" customHeight="1" x14ac:dyDescent="0.35">
      <c r="C15" s="885"/>
      <c r="D15" s="891" t="s">
        <v>476</v>
      </c>
      <c r="E15" s="892">
        <f ca="1">'6.Summary'!E4</f>
        <v>180298435</v>
      </c>
      <c r="F15" s="892">
        <f ca="1">'6.Summary'!F4</f>
        <v>16721640</v>
      </c>
      <c r="G15" s="892">
        <f ca="1">'6.Summary'!G4</f>
        <v>15471225</v>
      </c>
      <c r="H15" s="892">
        <f ca="1">'6.Summary'!H4</f>
        <v>14719848</v>
      </c>
      <c r="I15" s="892">
        <f ca="1">'6.Summary'!I4</f>
        <v>18598866</v>
      </c>
      <c r="J15" s="892">
        <f ca="1">'6.Summary'!J4</f>
        <v>13833000</v>
      </c>
      <c r="K15" s="892">
        <f ca="1">'6.Summary'!K4</f>
        <v>100953856</v>
      </c>
      <c r="L15" s="893">
        <f ca="1">SUM(F15:K15)-E15</f>
        <v>0</v>
      </c>
      <c r="M15" s="887"/>
      <c r="O15" s="885"/>
      <c r="P15" s="891" t="s">
        <v>476</v>
      </c>
      <c r="Q15" s="892">
        <f ca="1">'6.Summary'!T4</f>
        <v>185740926</v>
      </c>
      <c r="R15" s="892">
        <f ca="1">'6.Summary'!U4</f>
        <v>17576611</v>
      </c>
      <c r="S15" s="892">
        <f ca="1">'6.Summary'!V4</f>
        <v>16262263</v>
      </c>
      <c r="T15" s="892">
        <f ca="1">'6.Summary'!W4</f>
        <v>16194453</v>
      </c>
      <c r="U15" s="892">
        <f ca="1">'6.Summary'!X4</f>
        <v>19549819</v>
      </c>
      <c r="V15" s="892">
        <f ca="1">'6.Summary'!Y4</f>
        <v>12058000</v>
      </c>
      <c r="W15" s="892">
        <f ca="1">'6.Summary'!Z4</f>
        <v>104099780</v>
      </c>
      <c r="X15" s="893">
        <f ca="1">SUM(R15:W15)-Q15</f>
        <v>0</v>
      </c>
      <c r="Y15" s="885"/>
      <c r="Z15" s="891" t="s">
        <v>476</v>
      </c>
      <c r="AA15" s="892">
        <f ca="1">'6.Summary'!AI4</f>
        <v>189548394</v>
      </c>
      <c r="AB15" s="892">
        <f ca="1">'6.Summary'!AJ4</f>
        <v>17938098</v>
      </c>
      <c r="AC15" s="892">
        <f ca="1">'6.Summary'!AK4</f>
        <v>16596718</v>
      </c>
      <c r="AD15" s="892">
        <f ca="1">'6.Summary'!AL4</f>
        <v>16547604</v>
      </c>
      <c r="AE15" s="892">
        <f ca="1">'6.Summary'!AM4</f>
        <v>19951887</v>
      </c>
      <c r="AF15" s="892">
        <f ca="1">'6.Summary'!AN4</f>
        <v>12177000</v>
      </c>
      <c r="AG15" s="892">
        <f ca="1">'6.Summary'!AO4</f>
        <v>106337087</v>
      </c>
      <c r="AH15" s="893">
        <f ca="1">SUM(AB15:AG15)-AA15</f>
        <v>0</v>
      </c>
      <c r="AI15" s="887"/>
    </row>
    <row r="16" spans="1:35" ht="10.199999999999999" customHeight="1" x14ac:dyDescent="0.35">
      <c r="C16" s="885"/>
      <c r="D16" s="894"/>
      <c r="E16" s="892"/>
      <c r="F16" s="892"/>
      <c r="G16" s="892"/>
      <c r="H16" s="892"/>
      <c r="I16" s="892"/>
      <c r="J16" s="892"/>
      <c r="K16" s="892"/>
      <c r="L16" s="893">
        <f t="shared" ref="L16:L25" si="0">SUM(F16:K16)-E16</f>
        <v>0</v>
      </c>
      <c r="M16" s="887"/>
      <c r="O16" s="885"/>
      <c r="P16" s="894"/>
      <c r="Q16" s="892"/>
      <c r="R16" s="892"/>
      <c r="S16" s="892"/>
      <c r="T16" s="892"/>
      <c r="U16" s="892"/>
      <c r="V16" s="892"/>
      <c r="W16" s="892"/>
      <c r="X16" s="893">
        <f t="shared" ref="X16:X25" si="1">SUM(R16:W16)-Q16</f>
        <v>0</v>
      </c>
      <c r="Y16" s="885"/>
      <c r="Z16" s="894"/>
      <c r="AA16" s="892"/>
      <c r="AB16" s="892"/>
      <c r="AC16" s="892"/>
      <c r="AD16" s="892"/>
      <c r="AE16" s="892"/>
      <c r="AF16" s="892"/>
      <c r="AG16" s="892"/>
      <c r="AH16" s="893">
        <f t="shared" ref="AH16:AH22" si="2">SUM(AB16:AG16)-AA16</f>
        <v>0</v>
      </c>
      <c r="AI16" s="887"/>
    </row>
    <row r="17" spans="3:35" ht="10.199999999999999" customHeight="1" x14ac:dyDescent="0.35">
      <c r="C17" s="885"/>
      <c r="D17" s="894"/>
      <c r="E17" s="892"/>
      <c r="F17" s="892"/>
      <c r="G17" s="892"/>
      <c r="H17" s="892"/>
      <c r="I17" s="892"/>
      <c r="J17" s="892"/>
      <c r="K17" s="892"/>
      <c r="L17" s="893">
        <f t="shared" si="0"/>
        <v>0</v>
      </c>
      <c r="M17" s="887"/>
      <c r="O17" s="885"/>
      <c r="P17" s="894"/>
      <c r="Q17" s="892"/>
      <c r="R17" s="892"/>
      <c r="S17" s="892"/>
      <c r="T17" s="892"/>
      <c r="U17" s="892"/>
      <c r="V17" s="892"/>
      <c r="W17" s="892"/>
      <c r="X17" s="893">
        <f t="shared" si="1"/>
        <v>0</v>
      </c>
      <c r="Y17" s="885"/>
      <c r="Z17" s="894"/>
      <c r="AA17" s="892"/>
      <c r="AB17" s="892"/>
      <c r="AC17" s="892"/>
      <c r="AD17" s="892"/>
      <c r="AE17" s="892"/>
      <c r="AF17" s="892"/>
      <c r="AG17" s="892"/>
      <c r="AH17" s="893">
        <f t="shared" si="2"/>
        <v>0</v>
      </c>
      <c r="AI17" s="887"/>
    </row>
    <row r="18" spans="3:35" ht="10.199999999999999" customHeight="1" x14ac:dyDescent="0.35">
      <c r="C18" s="885"/>
      <c r="D18" s="894"/>
      <c r="E18" s="892"/>
      <c r="F18" s="892"/>
      <c r="G18" s="892"/>
      <c r="H18" s="892"/>
      <c r="I18" s="892"/>
      <c r="J18" s="892"/>
      <c r="K18" s="892"/>
      <c r="L18" s="893">
        <f t="shared" si="0"/>
        <v>0</v>
      </c>
      <c r="M18" s="887"/>
      <c r="O18" s="885"/>
      <c r="P18" s="894"/>
      <c r="Q18" s="892"/>
      <c r="R18" s="892"/>
      <c r="S18" s="892"/>
      <c r="T18" s="892"/>
      <c r="U18" s="892"/>
      <c r="V18" s="892"/>
      <c r="W18" s="892"/>
      <c r="X18" s="893">
        <f t="shared" si="1"/>
        <v>0</v>
      </c>
      <c r="Y18" s="885"/>
      <c r="Z18" s="894"/>
      <c r="AA18" s="892"/>
      <c r="AB18" s="892"/>
      <c r="AC18" s="892"/>
      <c r="AD18" s="892"/>
      <c r="AE18" s="892"/>
      <c r="AF18" s="892"/>
      <c r="AG18" s="892"/>
      <c r="AH18" s="893">
        <f t="shared" si="2"/>
        <v>0</v>
      </c>
      <c r="AI18" s="887"/>
    </row>
    <row r="19" spans="3:35" ht="10.199999999999999" customHeight="1" x14ac:dyDescent="0.35">
      <c r="C19" s="885"/>
      <c r="D19" s="894"/>
      <c r="E19" s="892"/>
      <c r="F19" s="892"/>
      <c r="G19" s="892"/>
      <c r="H19" s="892"/>
      <c r="I19" s="892"/>
      <c r="J19" s="892"/>
      <c r="K19" s="892"/>
      <c r="L19" s="893">
        <f t="shared" si="0"/>
        <v>0</v>
      </c>
      <c r="M19" s="887"/>
      <c r="O19" s="885"/>
      <c r="P19" s="894"/>
      <c r="Q19" s="892"/>
      <c r="R19" s="892"/>
      <c r="S19" s="892"/>
      <c r="T19" s="892"/>
      <c r="U19" s="892"/>
      <c r="V19" s="892"/>
      <c r="W19" s="892"/>
      <c r="X19" s="893">
        <f t="shared" si="1"/>
        <v>0</v>
      </c>
      <c r="Y19" s="885"/>
      <c r="Z19" s="894"/>
      <c r="AA19" s="892"/>
      <c r="AB19" s="892"/>
      <c r="AC19" s="892"/>
      <c r="AD19" s="892"/>
      <c r="AE19" s="892"/>
      <c r="AF19" s="892"/>
      <c r="AG19" s="892"/>
      <c r="AH19" s="893">
        <f t="shared" si="2"/>
        <v>0</v>
      </c>
      <c r="AI19" s="887"/>
    </row>
    <row r="20" spans="3:35" ht="10.199999999999999" customHeight="1" x14ac:dyDescent="0.35">
      <c r="C20" s="885"/>
      <c r="D20" s="894"/>
      <c r="E20" s="892"/>
      <c r="F20" s="892"/>
      <c r="G20" s="892"/>
      <c r="H20" s="892"/>
      <c r="I20" s="892"/>
      <c r="J20" s="892"/>
      <c r="K20" s="892"/>
      <c r="L20" s="893">
        <f t="shared" si="0"/>
        <v>0</v>
      </c>
      <c r="M20" s="887"/>
      <c r="O20" s="885"/>
      <c r="P20" s="894"/>
      <c r="Q20" s="892"/>
      <c r="R20" s="892"/>
      <c r="S20" s="892"/>
      <c r="T20" s="892"/>
      <c r="U20" s="892"/>
      <c r="V20" s="892"/>
      <c r="W20" s="892"/>
      <c r="X20" s="893">
        <f t="shared" si="1"/>
        <v>0</v>
      </c>
      <c r="Y20" s="885"/>
      <c r="Z20" s="894"/>
      <c r="AA20" s="892"/>
      <c r="AB20" s="892"/>
      <c r="AC20" s="892"/>
      <c r="AD20" s="892"/>
      <c r="AE20" s="892"/>
      <c r="AF20" s="892"/>
      <c r="AG20" s="892"/>
      <c r="AH20" s="893">
        <f t="shared" si="2"/>
        <v>0</v>
      </c>
      <c r="AI20" s="887"/>
    </row>
    <row r="21" spans="3:35" ht="10.199999999999999" customHeight="1" x14ac:dyDescent="0.35">
      <c r="C21" s="885"/>
      <c r="D21" s="894"/>
      <c r="E21" s="892"/>
      <c r="F21" s="892"/>
      <c r="G21" s="892"/>
      <c r="H21" s="892"/>
      <c r="I21" s="892"/>
      <c r="J21" s="892"/>
      <c r="K21" s="892"/>
      <c r="L21" s="893">
        <f t="shared" si="0"/>
        <v>0</v>
      </c>
      <c r="M21" s="887"/>
      <c r="O21" s="885"/>
      <c r="P21" s="894"/>
      <c r="Q21" s="892"/>
      <c r="R21" s="892"/>
      <c r="S21" s="892"/>
      <c r="T21" s="892"/>
      <c r="U21" s="892"/>
      <c r="V21" s="892"/>
      <c r="W21" s="892"/>
      <c r="X21" s="893">
        <f t="shared" si="1"/>
        <v>0</v>
      </c>
      <c r="Y21" s="885"/>
      <c r="Z21" s="894"/>
      <c r="AA21" s="892"/>
      <c r="AB21" s="892"/>
      <c r="AC21" s="892"/>
      <c r="AD21" s="892"/>
      <c r="AE21" s="892"/>
      <c r="AF21" s="892"/>
      <c r="AG21" s="892"/>
      <c r="AH21" s="893">
        <f t="shared" si="2"/>
        <v>0</v>
      </c>
      <c r="AI21" s="887"/>
    </row>
    <row r="22" spans="3:35" ht="10.199999999999999" customHeight="1" x14ac:dyDescent="0.35">
      <c r="C22" s="885"/>
      <c r="D22" s="894"/>
      <c r="E22" s="892"/>
      <c r="F22" s="892"/>
      <c r="G22" s="892"/>
      <c r="H22" s="892"/>
      <c r="I22" s="892"/>
      <c r="J22" s="892"/>
      <c r="K22" s="892"/>
      <c r="L22" s="893">
        <f t="shared" si="0"/>
        <v>0</v>
      </c>
      <c r="M22" s="887"/>
      <c r="O22" s="885"/>
      <c r="P22" s="894"/>
      <c r="Q22" s="892"/>
      <c r="R22" s="892"/>
      <c r="S22" s="892"/>
      <c r="T22" s="892"/>
      <c r="U22" s="892"/>
      <c r="V22" s="892"/>
      <c r="W22" s="892"/>
      <c r="X22" s="893">
        <f t="shared" si="1"/>
        <v>0</v>
      </c>
      <c r="Y22" s="885"/>
      <c r="Z22" s="894"/>
      <c r="AA22" s="892"/>
      <c r="AB22" s="892"/>
      <c r="AC22" s="892"/>
      <c r="AD22" s="892"/>
      <c r="AE22" s="892"/>
      <c r="AF22" s="892"/>
      <c r="AG22" s="892"/>
      <c r="AH22" s="893">
        <f t="shared" si="2"/>
        <v>0</v>
      </c>
      <c r="AI22" s="887"/>
    </row>
    <row r="23" spans="3:35" ht="10.199999999999999" customHeight="1" x14ac:dyDescent="0.35">
      <c r="C23" s="885"/>
      <c r="D23" s="894"/>
      <c r="E23" s="894"/>
      <c r="F23" s="894"/>
      <c r="G23" s="894"/>
      <c r="H23" s="894"/>
      <c r="I23" s="894"/>
      <c r="J23" s="894"/>
      <c r="K23" s="894"/>
      <c r="L23" s="893">
        <f>SUM(F22:K22)-E22</f>
        <v>0</v>
      </c>
      <c r="M23" s="887"/>
      <c r="O23" s="885"/>
      <c r="P23" s="894"/>
      <c r="Q23" s="894"/>
      <c r="R23" s="894"/>
      <c r="S23" s="894"/>
      <c r="T23" s="894"/>
      <c r="U23" s="894"/>
      <c r="V23" s="894"/>
      <c r="W23" s="894"/>
      <c r="X23" s="893">
        <f>SUM(R22:W22)-Q22</f>
        <v>0</v>
      </c>
      <c r="Y23" s="885"/>
      <c r="Z23" s="894"/>
      <c r="AA23" s="894"/>
      <c r="AB23" s="894"/>
      <c r="AC23" s="894"/>
      <c r="AD23" s="894"/>
      <c r="AE23" s="894"/>
      <c r="AF23" s="894"/>
      <c r="AG23" s="894"/>
      <c r="AH23" s="893">
        <f>SUM(AB22:AG22)-AA22</f>
        <v>0</v>
      </c>
      <c r="AI23" s="887"/>
    </row>
    <row r="24" spans="3:35" ht="10.199999999999999" customHeight="1" x14ac:dyDescent="0.35">
      <c r="C24" s="885"/>
      <c r="D24" s="894"/>
      <c r="E24" s="894"/>
      <c r="F24" s="894"/>
      <c r="G24" s="894"/>
      <c r="H24" s="894"/>
      <c r="I24" s="894"/>
      <c r="J24" s="894"/>
      <c r="K24" s="894"/>
      <c r="L24" s="893">
        <f t="shared" si="0"/>
        <v>0</v>
      </c>
      <c r="M24" s="887"/>
      <c r="O24" s="885"/>
      <c r="P24" s="894"/>
      <c r="Q24" s="894"/>
      <c r="R24" s="894"/>
      <c r="S24" s="894"/>
      <c r="T24" s="894"/>
      <c r="U24" s="894"/>
      <c r="V24" s="894"/>
      <c r="W24" s="894"/>
      <c r="X24" s="893">
        <f t="shared" si="1"/>
        <v>0</v>
      </c>
      <c r="Y24" s="885"/>
      <c r="Z24" s="894"/>
      <c r="AA24" s="894"/>
      <c r="AB24" s="894"/>
      <c r="AC24" s="894"/>
      <c r="AD24" s="894"/>
      <c r="AE24" s="894"/>
      <c r="AF24" s="894"/>
      <c r="AG24" s="894"/>
      <c r="AH24" s="893">
        <f>SUM(AB24:AG24)-AA24</f>
        <v>0</v>
      </c>
      <c r="AI24" s="887"/>
    </row>
    <row r="25" spans="3:35" ht="10.199999999999999" customHeight="1" x14ac:dyDescent="0.35">
      <c r="C25" s="885"/>
      <c r="D25" s="894"/>
      <c r="E25" s="894"/>
      <c r="F25" s="894"/>
      <c r="G25" s="894"/>
      <c r="H25" s="894"/>
      <c r="I25" s="894"/>
      <c r="J25" s="894"/>
      <c r="K25" s="894"/>
      <c r="L25" s="893">
        <f t="shared" si="0"/>
        <v>0</v>
      </c>
      <c r="M25" s="887"/>
      <c r="O25" s="885"/>
      <c r="P25" s="894"/>
      <c r="Q25" s="894"/>
      <c r="R25" s="894"/>
      <c r="S25" s="894"/>
      <c r="T25" s="894"/>
      <c r="U25" s="894"/>
      <c r="V25" s="894"/>
      <c r="W25" s="894"/>
      <c r="X25" s="893">
        <f t="shared" si="1"/>
        <v>0</v>
      </c>
      <c r="Y25" s="885"/>
      <c r="Z25" s="894"/>
      <c r="AA25" s="894"/>
      <c r="AB25" s="894"/>
      <c r="AC25" s="894"/>
      <c r="AD25" s="894"/>
      <c r="AE25" s="894"/>
      <c r="AF25" s="894"/>
      <c r="AG25" s="894"/>
      <c r="AH25" s="893">
        <f>SUM(AB25:AG25)-AA25</f>
        <v>0</v>
      </c>
      <c r="AI25" s="887"/>
    </row>
    <row r="26" spans="3:35" ht="10.199999999999999" customHeight="1" x14ac:dyDescent="0.35">
      <c r="C26" s="885"/>
      <c r="D26" s="886" t="s">
        <v>21</v>
      </c>
      <c r="E26" s="895">
        <f t="shared" ref="E26:K26" ca="1" si="3">SUM(E15:E25)</f>
        <v>180298435</v>
      </c>
      <c r="F26" s="895">
        <f t="shared" ca="1" si="3"/>
        <v>16721640</v>
      </c>
      <c r="G26" s="895">
        <f t="shared" ca="1" si="3"/>
        <v>15471225</v>
      </c>
      <c r="H26" s="895">
        <f t="shared" ca="1" si="3"/>
        <v>14719848</v>
      </c>
      <c r="I26" s="895">
        <f t="shared" ca="1" si="3"/>
        <v>18598866</v>
      </c>
      <c r="J26" s="895">
        <f t="shared" ca="1" si="3"/>
        <v>13833000</v>
      </c>
      <c r="K26" s="895">
        <f t="shared" ca="1" si="3"/>
        <v>100953856</v>
      </c>
      <c r="L26" s="893">
        <f ca="1">SUM(F26:K26)-E26</f>
        <v>0</v>
      </c>
      <c r="M26" s="887"/>
      <c r="O26" s="885"/>
      <c r="P26" s="886" t="s">
        <v>21</v>
      </c>
      <c r="Q26" s="895">
        <f t="shared" ref="Q26:W26" ca="1" si="4">SUM(Q15:Q25)</f>
        <v>185740926</v>
      </c>
      <c r="R26" s="895">
        <f t="shared" ca="1" si="4"/>
        <v>17576611</v>
      </c>
      <c r="S26" s="895">
        <f t="shared" ca="1" si="4"/>
        <v>16262263</v>
      </c>
      <c r="T26" s="895">
        <f t="shared" ca="1" si="4"/>
        <v>16194453</v>
      </c>
      <c r="U26" s="895">
        <f t="shared" ca="1" si="4"/>
        <v>19549819</v>
      </c>
      <c r="V26" s="895">
        <f t="shared" ca="1" si="4"/>
        <v>12058000</v>
      </c>
      <c r="W26" s="895">
        <f t="shared" ca="1" si="4"/>
        <v>104099780</v>
      </c>
      <c r="X26" s="893">
        <f ca="1">SUM(R26:W26)-Q26</f>
        <v>0</v>
      </c>
      <c r="Y26" s="885"/>
      <c r="Z26" s="886" t="s">
        <v>21</v>
      </c>
      <c r="AA26" s="895">
        <f t="shared" ref="AA26:AG26" ca="1" si="5">SUM(AA15:AA25)</f>
        <v>189548394</v>
      </c>
      <c r="AB26" s="895">
        <f t="shared" ca="1" si="5"/>
        <v>17938098</v>
      </c>
      <c r="AC26" s="895">
        <f t="shared" ca="1" si="5"/>
        <v>16596718</v>
      </c>
      <c r="AD26" s="895">
        <f t="shared" ca="1" si="5"/>
        <v>16547604</v>
      </c>
      <c r="AE26" s="895">
        <f t="shared" ca="1" si="5"/>
        <v>19951887</v>
      </c>
      <c r="AF26" s="895">
        <f t="shared" ca="1" si="5"/>
        <v>12177000</v>
      </c>
      <c r="AG26" s="895">
        <f t="shared" ca="1" si="5"/>
        <v>106337087</v>
      </c>
      <c r="AH26" s="893">
        <f ca="1">SUM(AB26:AG26)-AA26</f>
        <v>0</v>
      </c>
      <c r="AI26" s="887"/>
    </row>
    <row r="27" spans="3:35" ht="10.199999999999999" customHeight="1" thickBot="1" x14ac:dyDescent="0.4">
      <c r="C27" s="896"/>
      <c r="D27" s="897"/>
      <c r="E27" s="898"/>
      <c r="F27" s="898"/>
      <c r="G27" s="898"/>
      <c r="H27" s="898"/>
      <c r="I27" s="898"/>
      <c r="J27" s="898"/>
      <c r="K27" s="898"/>
      <c r="L27" s="898"/>
      <c r="M27" s="899"/>
      <c r="O27" s="896"/>
      <c r="P27" s="897"/>
      <c r="Q27" s="898"/>
      <c r="R27" s="898"/>
      <c r="S27" s="898"/>
      <c r="T27" s="898"/>
      <c r="U27" s="898"/>
      <c r="V27" s="898"/>
      <c r="W27" s="898"/>
      <c r="X27" s="898"/>
      <c r="Y27" s="896"/>
      <c r="Z27" s="897"/>
      <c r="AA27" s="898"/>
      <c r="AB27" s="898"/>
      <c r="AC27" s="898"/>
      <c r="AD27" s="898"/>
      <c r="AE27" s="898"/>
      <c r="AF27" s="898"/>
      <c r="AG27" s="898"/>
      <c r="AH27" s="898"/>
      <c r="AI27" s="899"/>
    </row>
    <row r="28" spans="3:35" ht="10.199999999999999" customHeight="1" thickBot="1" x14ac:dyDescent="0.4">
      <c r="D28" s="886"/>
      <c r="E28" s="895"/>
      <c r="F28" s="895"/>
      <c r="G28" s="895"/>
      <c r="H28" s="895"/>
      <c r="I28" s="895"/>
      <c r="J28" s="895"/>
      <c r="K28" s="895"/>
      <c r="L28" s="895"/>
      <c r="P28" s="886"/>
      <c r="Q28" s="895"/>
      <c r="R28" s="895"/>
      <c r="S28" s="895"/>
      <c r="T28" s="895"/>
      <c r="U28" s="895"/>
      <c r="V28" s="895"/>
      <c r="W28" s="895"/>
      <c r="X28" s="895"/>
      <c r="Z28" s="886"/>
      <c r="AA28" s="895"/>
      <c r="AB28" s="895"/>
      <c r="AC28" s="895"/>
      <c r="AD28" s="895"/>
      <c r="AE28" s="895"/>
      <c r="AF28" s="895"/>
      <c r="AG28" s="895"/>
      <c r="AH28" s="895"/>
    </row>
    <row r="29" spans="3:35" ht="10.199999999999999" customHeight="1" x14ac:dyDescent="0.35">
      <c r="C29" s="882"/>
      <c r="D29" s="900"/>
      <c r="E29" s="901"/>
      <c r="F29" s="901"/>
      <c r="G29" s="901"/>
      <c r="H29" s="901"/>
      <c r="I29" s="901"/>
      <c r="J29" s="901"/>
      <c r="K29" s="901"/>
      <c r="L29" s="901"/>
      <c r="M29" s="884"/>
      <c r="O29" s="882"/>
      <c r="P29" s="900"/>
      <c r="Q29" s="901"/>
      <c r="R29" s="901"/>
      <c r="S29" s="901"/>
      <c r="T29" s="901"/>
      <c r="U29" s="901"/>
      <c r="V29" s="901"/>
      <c r="W29" s="901"/>
      <c r="X29" s="901"/>
      <c r="Y29" s="882"/>
      <c r="Z29" s="900"/>
      <c r="AA29" s="901"/>
      <c r="AB29" s="901"/>
      <c r="AC29" s="901"/>
      <c r="AD29" s="901"/>
      <c r="AE29" s="901"/>
      <c r="AF29" s="901"/>
      <c r="AG29" s="901"/>
      <c r="AH29" s="901"/>
      <c r="AI29" s="884"/>
    </row>
    <row r="30" spans="3:35" ht="10.199999999999999" customHeight="1" x14ac:dyDescent="0.35">
      <c r="C30" s="885"/>
      <c r="D30" s="886" t="s">
        <v>110</v>
      </c>
      <c r="M30" s="887"/>
      <c r="O30" s="885"/>
      <c r="P30" s="886" t="s">
        <v>110</v>
      </c>
      <c r="Y30" s="885"/>
      <c r="Z30" s="886" t="s">
        <v>110</v>
      </c>
      <c r="AI30" s="887"/>
    </row>
    <row r="31" spans="3:35" ht="10.199999999999999" customHeight="1" x14ac:dyDescent="0.35">
      <c r="C31" s="885"/>
      <c r="D31" s="1796" t="s">
        <v>876</v>
      </c>
      <c r="E31" s="1796"/>
      <c r="F31" s="1796"/>
      <c r="G31" s="1796"/>
      <c r="H31" s="1796"/>
      <c r="I31" s="1796"/>
      <c r="J31" s="1796"/>
      <c r="K31" s="1796"/>
      <c r="L31" s="902"/>
      <c r="M31" s="887"/>
      <c r="O31" s="885"/>
      <c r="P31" s="1796" t="s">
        <v>876</v>
      </c>
      <c r="Q31" s="1796"/>
      <c r="R31" s="1796"/>
      <c r="S31" s="1796"/>
      <c r="T31" s="1796"/>
      <c r="U31" s="1796"/>
      <c r="V31" s="1796"/>
      <c r="W31" s="1796"/>
      <c r="X31" s="902"/>
      <c r="Y31" s="885"/>
      <c r="Z31" s="1796" t="s">
        <v>876</v>
      </c>
      <c r="AA31" s="1796"/>
      <c r="AB31" s="1796"/>
      <c r="AC31" s="1796"/>
      <c r="AD31" s="1796"/>
      <c r="AE31" s="1796"/>
      <c r="AF31" s="1796"/>
      <c r="AG31" s="1796"/>
      <c r="AH31" s="902"/>
      <c r="AI31" s="887"/>
    </row>
    <row r="32" spans="3:35" ht="10.199999999999999" customHeight="1" x14ac:dyDescent="0.35">
      <c r="C32" s="885"/>
      <c r="D32" s="1796"/>
      <c r="E32" s="1796"/>
      <c r="F32" s="1796"/>
      <c r="G32" s="1796"/>
      <c r="H32" s="1796"/>
      <c r="I32" s="1796"/>
      <c r="J32" s="1796"/>
      <c r="K32" s="1796"/>
      <c r="L32" s="902"/>
      <c r="M32" s="887"/>
      <c r="O32" s="885"/>
      <c r="P32" s="1796"/>
      <c r="Q32" s="1796"/>
      <c r="R32" s="1796"/>
      <c r="S32" s="1796"/>
      <c r="T32" s="1796"/>
      <c r="U32" s="1796"/>
      <c r="V32" s="1796"/>
      <c r="W32" s="1796"/>
      <c r="X32" s="902"/>
      <c r="Y32" s="885"/>
      <c r="Z32" s="1796"/>
      <c r="AA32" s="1796"/>
      <c r="AB32" s="1796"/>
      <c r="AC32" s="1796"/>
      <c r="AD32" s="1796"/>
      <c r="AE32" s="1796"/>
      <c r="AF32" s="1796"/>
      <c r="AG32" s="1796"/>
      <c r="AH32" s="902"/>
      <c r="AI32" s="887"/>
    </row>
    <row r="33" spans="3:35" ht="10.199999999999999" customHeight="1" x14ac:dyDescent="0.35">
      <c r="C33" s="885"/>
      <c r="D33" s="1796"/>
      <c r="E33" s="1796"/>
      <c r="F33" s="1796"/>
      <c r="G33" s="1796"/>
      <c r="H33" s="1796"/>
      <c r="I33" s="1796"/>
      <c r="J33" s="1796"/>
      <c r="K33" s="1796"/>
      <c r="L33" s="902"/>
      <c r="M33" s="887"/>
      <c r="O33" s="885"/>
      <c r="P33" s="1796"/>
      <c r="Q33" s="1796"/>
      <c r="R33" s="1796"/>
      <c r="S33" s="1796"/>
      <c r="T33" s="1796"/>
      <c r="U33" s="1796"/>
      <c r="V33" s="1796"/>
      <c r="W33" s="1796"/>
      <c r="X33" s="902"/>
      <c r="Y33" s="885"/>
      <c r="Z33" s="1796"/>
      <c r="AA33" s="1796"/>
      <c r="AB33" s="1796"/>
      <c r="AC33" s="1796"/>
      <c r="AD33" s="1796"/>
      <c r="AE33" s="1796"/>
      <c r="AF33" s="1796"/>
      <c r="AG33" s="1796"/>
      <c r="AH33" s="902"/>
      <c r="AI33" s="887"/>
    </row>
    <row r="34" spans="3:35" ht="10.199999999999999" customHeight="1" x14ac:dyDescent="0.35">
      <c r="C34" s="885"/>
      <c r="D34" s="1796"/>
      <c r="E34" s="1796"/>
      <c r="F34" s="1796"/>
      <c r="G34" s="1796"/>
      <c r="H34" s="1796"/>
      <c r="I34" s="1796"/>
      <c r="J34" s="1796"/>
      <c r="K34" s="1796"/>
      <c r="L34" s="902"/>
      <c r="M34" s="887"/>
      <c r="O34" s="885"/>
      <c r="P34" s="1796"/>
      <c r="Q34" s="1796"/>
      <c r="R34" s="1796"/>
      <c r="S34" s="1796"/>
      <c r="T34" s="1796"/>
      <c r="U34" s="1796"/>
      <c r="V34" s="1796"/>
      <c r="W34" s="1796"/>
      <c r="X34" s="902"/>
      <c r="Y34" s="885"/>
      <c r="Z34" s="1796"/>
      <c r="AA34" s="1796"/>
      <c r="AB34" s="1796"/>
      <c r="AC34" s="1796"/>
      <c r="AD34" s="1796"/>
      <c r="AE34" s="1796"/>
      <c r="AF34" s="1796"/>
      <c r="AG34" s="1796"/>
      <c r="AH34" s="902"/>
      <c r="AI34" s="887"/>
    </row>
    <row r="35" spans="3:35" ht="10.199999999999999" customHeight="1" x14ac:dyDescent="0.35">
      <c r="C35" s="885"/>
      <c r="D35" s="886"/>
      <c r="M35" s="887"/>
      <c r="O35" s="885"/>
      <c r="P35" s="886"/>
      <c r="Y35" s="885"/>
      <c r="Z35" s="886"/>
      <c r="AI35" s="887"/>
    </row>
    <row r="36" spans="3:35" ht="10.199999999999999" customHeight="1" x14ac:dyDescent="0.35">
      <c r="C36" s="885"/>
      <c r="E36" s="903" t="s">
        <v>230</v>
      </c>
      <c r="F36" s="903" t="s">
        <v>242</v>
      </c>
      <c r="G36" s="903" t="s">
        <v>289</v>
      </c>
      <c r="H36" s="903" t="s">
        <v>244</v>
      </c>
      <c r="I36" s="903" t="s">
        <v>286</v>
      </c>
      <c r="J36" s="903" t="s">
        <v>290</v>
      </c>
      <c r="K36" s="904" t="s">
        <v>111</v>
      </c>
      <c r="M36" s="887"/>
      <c r="O36" s="885"/>
      <c r="Q36" s="903" t="s">
        <v>230</v>
      </c>
      <c r="R36" s="903" t="s">
        <v>242</v>
      </c>
      <c r="S36" s="903" t="s">
        <v>289</v>
      </c>
      <c r="T36" s="903" t="s">
        <v>244</v>
      </c>
      <c r="U36" s="903" t="s">
        <v>286</v>
      </c>
      <c r="V36" s="903" t="s">
        <v>290</v>
      </c>
      <c r="W36" s="904" t="s">
        <v>111</v>
      </c>
      <c r="Y36" s="885"/>
      <c r="AA36" s="903" t="s">
        <v>230</v>
      </c>
      <c r="AB36" s="903" t="s">
        <v>242</v>
      </c>
      <c r="AC36" s="903" t="s">
        <v>289</v>
      </c>
      <c r="AD36" s="903" t="s">
        <v>244</v>
      </c>
      <c r="AE36" s="903" t="s">
        <v>286</v>
      </c>
      <c r="AF36" s="903" t="s">
        <v>290</v>
      </c>
      <c r="AG36" s="904" t="s">
        <v>111</v>
      </c>
      <c r="AI36" s="887"/>
    </row>
    <row r="37" spans="3:35" ht="10.199999999999999" customHeight="1" x14ac:dyDescent="0.35">
      <c r="C37" s="885"/>
      <c r="D37" s="398" t="s">
        <v>23</v>
      </c>
      <c r="E37" s="892">
        <f ca="1">'6.Summary'!E10</f>
        <v>179290650</v>
      </c>
      <c r="F37" s="892">
        <f ca="1">'6.Summary'!F10</f>
        <v>0</v>
      </c>
      <c r="G37" s="892">
        <f ca="1">'6.Summary'!G10</f>
        <v>0</v>
      </c>
      <c r="H37" s="892">
        <f ca="1">'6.Summary'!H10</f>
        <v>0</v>
      </c>
      <c r="I37" s="892">
        <f ca="1">'6.Summary'!I10</f>
        <v>0</v>
      </c>
      <c r="J37" s="892">
        <f ca="1">'6.Summary'!J10</f>
        <v>179290650</v>
      </c>
      <c r="K37" s="905">
        <f ca="1">SUM(F37:J37)-E37</f>
        <v>0</v>
      </c>
      <c r="M37" s="887"/>
      <c r="O37" s="885"/>
      <c r="P37" s="398" t="s">
        <v>23</v>
      </c>
      <c r="Q37" s="892">
        <f ca="1">'6.Summary'!T10</f>
        <v>185386533</v>
      </c>
      <c r="R37" s="892">
        <f ca="1">'6.Summary'!U10</f>
        <v>0</v>
      </c>
      <c r="S37" s="892">
        <f ca="1">'6.Summary'!V10</f>
        <v>0</v>
      </c>
      <c r="T37" s="892">
        <f ca="1">'6.Summary'!W10</f>
        <v>0</v>
      </c>
      <c r="U37" s="892">
        <f ca="1">'6.Summary'!X10</f>
        <v>0</v>
      </c>
      <c r="V37" s="892">
        <f ca="1">'6.Summary'!Y10</f>
        <v>185386533</v>
      </c>
      <c r="W37" s="905">
        <f ca="1">SUM(R37:V37)-Q37</f>
        <v>0</v>
      </c>
      <c r="Y37" s="885"/>
      <c r="Z37" s="398" t="s">
        <v>23</v>
      </c>
      <c r="AA37" s="892">
        <f ca="1">'6.Summary'!AI10</f>
        <v>191318902</v>
      </c>
      <c r="AB37" s="892">
        <f ca="1">'6.Summary'!AJ10</f>
        <v>0</v>
      </c>
      <c r="AC37" s="892">
        <f ca="1">'6.Summary'!AK10</f>
        <v>0</v>
      </c>
      <c r="AD37" s="892">
        <f ca="1">'6.Summary'!AL10</f>
        <v>0</v>
      </c>
      <c r="AE37" s="892">
        <f ca="1">'6.Summary'!AM10</f>
        <v>0</v>
      </c>
      <c r="AF37" s="892">
        <f ca="1">'6.Summary'!AN10</f>
        <v>191318902</v>
      </c>
      <c r="AG37" s="905">
        <f ca="1">SUM(AB37:AF37)-AA37</f>
        <v>0</v>
      </c>
      <c r="AI37" s="887"/>
    </row>
    <row r="38" spans="3:35" ht="10.199999999999999" customHeight="1" x14ac:dyDescent="0.35">
      <c r="C38" s="885"/>
      <c r="D38" s="886" t="s">
        <v>24</v>
      </c>
      <c r="E38" s="906">
        <f ca="1">SUM(F38:J38)</f>
        <v>179290650</v>
      </c>
      <c r="F38" s="895">
        <f ca="1">F37</f>
        <v>0</v>
      </c>
      <c r="G38" s="895">
        <f ca="1">G37</f>
        <v>0</v>
      </c>
      <c r="H38" s="895">
        <f ca="1">H37</f>
        <v>0</v>
      </c>
      <c r="I38" s="895">
        <f ca="1">I37</f>
        <v>0</v>
      </c>
      <c r="J38" s="895">
        <f ca="1">J37</f>
        <v>179290650</v>
      </c>
      <c r="M38" s="887"/>
      <c r="O38" s="885"/>
      <c r="P38" s="886" t="s">
        <v>24</v>
      </c>
      <c r="Q38" s="906">
        <f ca="1">SUM(R38:V38)</f>
        <v>185386533</v>
      </c>
      <c r="R38" s="895">
        <f ca="1">R37</f>
        <v>0</v>
      </c>
      <c r="S38" s="895">
        <f ca="1">S37</f>
        <v>0</v>
      </c>
      <c r="T38" s="895">
        <f ca="1">T37</f>
        <v>0</v>
      </c>
      <c r="U38" s="895">
        <f ca="1">U37</f>
        <v>0</v>
      </c>
      <c r="V38" s="895">
        <f ca="1">V37</f>
        <v>185386533</v>
      </c>
      <c r="Y38" s="885"/>
      <c r="Z38" s="886" t="s">
        <v>24</v>
      </c>
      <c r="AA38" s="906">
        <f ca="1">SUM(AB38:AF38)</f>
        <v>191318902</v>
      </c>
      <c r="AB38" s="895">
        <f ca="1">AB37</f>
        <v>0</v>
      </c>
      <c r="AC38" s="895">
        <f ca="1">AC37</f>
        <v>0</v>
      </c>
      <c r="AD38" s="895">
        <f ca="1">AD37</f>
        <v>0</v>
      </c>
      <c r="AE38" s="895">
        <f ca="1">AE37</f>
        <v>0</v>
      </c>
      <c r="AF38" s="895">
        <f ca="1">AF37</f>
        <v>191318902</v>
      </c>
      <c r="AI38" s="887"/>
    </row>
    <row r="39" spans="3:35" ht="10.199999999999999" customHeight="1" thickBot="1" x14ac:dyDescent="0.4">
      <c r="C39" s="896"/>
      <c r="D39" s="897"/>
      <c r="E39" s="898"/>
      <c r="F39" s="898"/>
      <c r="G39" s="898"/>
      <c r="H39" s="898"/>
      <c r="I39" s="898"/>
      <c r="J39" s="898"/>
      <c r="K39" s="907"/>
      <c r="L39" s="907"/>
      <c r="M39" s="899"/>
      <c r="O39" s="896"/>
      <c r="P39" s="897"/>
      <c r="Q39" s="898"/>
      <c r="R39" s="898"/>
      <c r="S39" s="898"/>
      <c r="T39" s="898"/>
      <c r="U39" s="898"/>
      <c r="V39" s="898"/>
      <c r="W39" s="907"/>
      <c r="X39" s="907"/>
      <c r="Y39" s="896"/>
      <c r="Z39" s="897"/>
      <c r="AA39" s="898"/>
      <c r="AB39" s="898"/>
      <c r="AC39" s="898"/>
      <c r="AD39" s="898"/>
      <c r="AE39" s="898"/>
      <c r="AF39" s="898"/>
      <c r="AG39" s="907"/>
      <c r="AH39" s="907"/>
      <c r="AI39" s="899"/>
    </row>
    <row r="40" spans="3:35" ht="10.199999999999999" customHeight="1" thickBot="1" x14ac:dyDescent="0.4">
      <c r="D40" s="886"/>
      <c r="E40" s="895"/>
      <c r="F40" s="895"/>
      <c r="G40" s="895"/>
      <c r="H40" s="895"/>
      <c r="I40" s="895"/>
      <c r="J40" s="895"/>
      <c r="K40" s="895"/>
      <c r="L40" s="895"/>
      <c r="P40" s="886"/>
      <c r="Q40" s="895"/>
      <c r="R40" s="895"/>
      <c r="S40" s="895"/>
      <c r="T40" s="895"/>
      <c r="U40" s="895"/>
      <c r="V40" s="895"/>
      <c r="W40" s="895"/>
      <c r="X40" s="895"/>
      <c r="Z40" s="886"/>
      <c r="AA40" s="895"/>
      <c r="AB40" s="895"/>
      <c r="AC40" s="895"/>
      <c r="AD40" s="895"/>
      <c r="AE40" s="895"/>
      <c r="AF40" s="895"/>
      <c r="AG40" s="895"/>
      <c r="AH40" s="895"/>
    </row>
    <row r="41" spans="3:35" ht="10.199999999999999" customHeight="1" x14ac:dyDescent="0.35">
      <c r="C41" s="882"/>
      <c r="D41" s="883"/>
      <c r="E41" s="883"/>
      <c r="F41" s="883"/>
      <c r="G41" s="883"/>
      <c r="H41" s="883"/>
      <c r="I41" s="883"/>
      <c r="J41" s="883"/>
      <c r="K41" s="883"/>
      <c r="L41" s="883"/>
      <c r="M41" s="884"/>
      <c r="O41" s="882"/>
      <c r="P41" s="883"/>
      <c r="Q41" s="883"/>
      <c r="R41" s="883"/>
      <c r="S41" s="883"/>
      <c r="T41" s="883"/>
      <c r="U41" s="883"/>
      <c r="V41" s="883"/>
      <c r="W41" s="883"/>
      <c r="X41" s="883"/>
      <c r="Y41" s="882"/>
      <c r="Z41" s="883"/>
      <c r="AA41" s="883"/>
      <c r="AB41" s="883"/>
      <c r="AC41" s="883"/>
      <c r="AD41" s="883"/>
      <c r="AE41" s="883"/>
      <c r="AF41" s="883"/>
      <c r="AG41" s="883"/>
      <c r="AH41" s="883"/>
      <c r="AI41" s="884"/>
    </row>
    <row r="42" spans="3:35" ht="10.199999999999999" customHeight="1" x14ac:dyDescent="0.35">
      <c r="C42" s="885"/>
      <c r="D42" s="886" t="s">
        <v>112</v>
      </c>
      <c r="M42" s="887"/>
      <c r="O42" s="885"/>
      <c r="P42" s="886" t="s">
        <v>112</v>
      </c>
      <c r="Y42" s="885"/>
      <c r="Z42" s="886" t="s">
        <v>112</v>
      </c>
      <c r="AI42" s="887"/>
    </row>
    <row r="43" spans="3:35" ht="10.199999999999999" customHeight="1" x14ac:dyDescent="0.35">
      <c r="C43" s="885"/>
      <c r="D43" s="1796" t="s">
        <v>877</v>
      </c>
      <c r="E43" s="1796"/>
      <c r="F43" s="1796"/>
      <c r="G43" s="1796"/>
      <c r="H43" s="1796"/>
      <c r="I43" s="1796"/>
      <c r="J43" s="1796"/>
      <c r="K43" s="1796"/>
      <c r="L43" s="908"/>
      <c r="M43" s="887"/>
      <c r="O43" s="885"/>
      <c r="P43" s="1796" t="s">
        <v>877</v>
      </c>
      <c r="Q43" s="1796"/>
      <c r="R43" s="1796"/>
      <c r="S43" s="1796"/>
      <c r="T43" s="1796"/>
      <c r="U43" s="1796"/>
      <c r="V43" s="1796"/>
      <c r="W43" s="1796"/>
      <c r="X43" s="908"/>
      <c r="Y43" s="885"/>
      <c r="Z43" s="1796" t="s">
        <v>877</v>
      </c>
      <c r="AA43" s="1796"/>
      <c r="AB43" s="1796"/>
      <c r="AC43" s="1796"/>
      <c r="AD43" s="1796"/>
      <c r="AE43" s="1796"/>
      <c r="AF43" s="1796"/>
      <c r="AG43" s="1796"/>
      <c r="AH43" s="908"/>
      <c r="AI43" s="887"/>
    </row>
    <row r="44" spans="3:35" ht="10.199999999999999" customHeight="1" x14ac:dyDescent="0.35">
      <c r="C44" s="885"/>
      <c r="D44" s="1796"/>
      <c r="E44" s="1796"/>
      <c r="F44" s="1796"/>
      <c r="G44" s="1796"/>
      <c r="H44" s="1796"/>
      <c r="I44" s="1796"/>
      <c r="J44" s="1796"/>
      <c r="K44" s="1796"/>
      <c r="L44" s="908"/>
      <c r="M44" s="887"/>
      <c r="O44" s="885"/>
      <c r="P44" s="1796"/>
      <c r="Q44" s="1796"/>
      <c r="R44" s="1796"/>
      <c r="S44" s="1796"/>
      <c r="T44" s="1796"/>
      <c r="U44" s="1796"/>
      <c r="V44" s="1796"/>
      <c r="W44" s="1796"/>
      <c r="X44" s="908"/>
      <c r="Y44" s="885"/>
      <c r="Z44" s="1796"/>
      <c r="AA44" s="1796"/>
      <c r="AB44" s="1796"/>
      <c r="AC44" s="1796"/>
      <c r="AD44" s="1796"/>
      <c r="AE44" s="1796"/>
      <c r="AF44" s="1796"/>
      <c r="AG44" s="1796"/>
      <c r="AH44" s="908"/>
      <c r="AI44" s="887"/>
    </row>
    <row r="45" spans="3:35" ht="10.199999999999999" customHeight="1" x14ac:dyDescent="0.35">
      <c r="C45" s="885"/>
      <c r="D45" s="886"/>
      <c r="M45" s="887"/>
      <c r="O45" s="885"/>
      <c r="P45" s="886"/>
      <c r="Y45" s="885"/>
      <c r="Z45" s="886"/>
      <c r="AI45" s="887"/>
    </row>
    <row r="46" spans="3:35" ht="10.199999999999999" customHeight="1" x14ac:dyDescent="0.35">
      <c r="C46" s="885"/>
      <c r="D46" s="886"/>
      <c r="E46" s="889" t="s">
        <v>230</v>
      </c>
      <c r="F46" s="889" t="s">
        <v>231</v>
      </c>
      <c r="G46" s="889" t="s">
        <v>232</v>
      </c>
      <c r="H46" s="889" t="s">
        <v>233</v>
      </c>
      <c r="I46" s="889" t="s">
        <v>286</v>
      </c>
      <c r="J46" s="889" t="s">
        <v>234</v>
      </c>
      <c r="K46" s="889" t="s">
        <v>288</v>
      </c>
      <c r="L46" s="890" t="s">
        <v>108</v>
      </c>
      <c r="M46" s="887"/>
      <c r="O46" s="885"/>
      <c r="P46" s="886"/>
      <c r="Q46" s="889" t="s">
        <v>230</v>
      </c>
      <c r="R46" s="889" t="s">
        <v>231</v>
      </c>
      <c r="S46" s="889" t="s">
        <v>232</v>
      </c>
      <c r="T46" s="889" t="s">
        <v>233</v>
      </c>
      <c r="U46" s="889" t="s">
        <v>286</v>
      </c>
      <c r="V46" s="889" t="s">
        <v>234</v>
      </c>
      <c r="W46" s="889" t="s">
        <v>288</v>
      </c>
      <c r="X46" s="890" t="s">
        <v>108</v>
      </c>
      <c r="Y46" s="885"/>
      <c r="Z46" s="886"/>
      <c r="AA46" s="889" t="s">
        <v>230</v>
      </c>
      <c r="AB46" s="889" t="s">
        <v>231</v>
      </c>
      <c r="AC46" s="889" t="s">
        <v>232</v>
      </c>
      <c r="AD46" s="889" t="s">
        <v>233</v>
      </c>
      <c r="AE46" s="889" t="s">
        <v>286</v>
      </c>
      <c r="AF46" s="889" t="s">
        <v>234</v>
      </c>
      <c r="AG46" s="889" t="s">
        <v>288</v>
      </c>
      <c r="AH46" s="890" t="s">
        <v>108</v>
      </c>
      <c r="AI46" s="887"/>
    </row>
    <row r="47" spans="3:35" ht="10.199999999999999" customHeight="1" x14ac:dyDescent="0.35">
      <c r="C47" s="885"/>
      <c r="D47" s="886" t="s">
        <v>670</v>
      </c>
      <c r="E47" s="892"/>
      <c r="F47" s="892"/>
      <c r="G47" s="892"/>
      <c r="H47" s="892"/>
      <c r="I47" s="892"/>
      <c r="J47" s="892"/>
      <c r="K47" s="892"/>
      <c r="L47" s="905">
        <f t="shared" ref="L47:L56" si="6">SUM(F47:K47)-E47</f>
        <v>0</v>
      </c>
      <c r="M47" s="887"/>
      <c r="O47" s="885"/>
      <c r="P47" s="886" t="s">
        <v>670</v>
      </c>
      <c r="Q47" s="892"/>
      <c r="R47" s="892"/>
      <c r="S47" s="892"/>
      <c r="T47" s="892"/>
      <c r="U47" s="892"/>
      <c r="V47" s="892"/>
      <c r="W47" s="892"/>
      <c r="X47" s="905">
        <f t="shared" ref="X47:X56" si="7">SUM(R47:W47)-Q47</f>
        <v>0</v>
      </c>
      <c r="Y47" s="885"/>
      <c r="Z47" s="886" t="s">
        <v>670</v>
      </c>
      <c r="AA47" s="892"/>
      <c r="AB47" s="892"/>
      <c r="AC47" s="892"/>
      <c r="AD47" s="892"/>
      <c r="AE47" s="892"/>
      <c r="AF47" s="892"/>
      <c r="AG47" s="892"/>
      <c r="AH47" s="905">
        <f t="shared" ref="AH47:AH56" si="8">SUM(AB47:AG47)-AA47</f>
        <v>0</v>
      </c>
      <c r="AI47" s="887"/>
    </row>
    <row r="48" spans="3:35" ht="10.199999999999999" customHeight="1" x14ac:dyDescent="0.35">
      <c r="C48" s="885"/>
      <c r="D48" s="891" t="s">
        <v>684</v>
      </c>
      <c r="E48" s="892">
        <f ca="1">'6.Summary'!E15</f>
        <v>12218940</v>
      </c>
      <c r="F48" s="892">
        <f ca="1">'6.Summary'!F15</f>
        <v>0</v>
      </c>
      <c r="G48" s="892">
        <f ca="1">'6.Summary'!G15</f>
        <v>0</v>
      </c>
      <c r="H48" s="892">
        <f ca="1">'6.Summary'!H15</f>
        <v>0</v>
      </c>
      <c r="I48" s="892">
        <f ca="1">'6.Summary'!I15</f>
        <v>0</v>
      </c>
      <c r="J48" s="892">
        <f ca="1">'6.Summary'!J15</f>
        <v>3402000</v>
      </c>
      <c r="K48" s="892">
        <f ca="1">'6.Summary'!K15</f>
        <v>8816940</v>
      </c>
      <c r="L48" s="905">
        <f t="shared" ca="1" si="6"/>
        <v>0</v>
      </c>
      <c r="M48" s="887"/>
      <c r="O48" s="885"/>
      <c r="P48" s="891" t="s">
        <v>684</v>
      </c>
      <c r="Q48" s="892">
        <f ca="1">'6.Summary'!T15</f>
        <v>12634384</v>
      </c>
      <c r="R48" s="892">
        <f ca="1">'6.Summary'!U15</f>
        <v>0</v>
      </c>
      <c r="S48" s="892">
        <f ca="1">'6.Summary'!V15</f>
        <v>0</v>
      </c>
      <c r="T48" s="892">
        <f ca="1">'6.Summary'!W15</f>
        <v>0</v>
      </c>
      <c r="U48" s="892">
        <f ca="1">'6.Summary'!X15</f>
        <v>0</v>
      </c>
      <c r="V48" s="892">
        <f ca="1">'6.Summary'!Y15</f>
        <v>3517668</v>
      </c>
      <c r="W48" s="892">
        <f ca="1">'6.Summary'!Z15</f>
        <v>9116716</v>
      </c>
      <c r="X48" s="905">
        <f t="shared" ca="1" si="7"/>
        <v>0</v>
      </c>
      <c r="Y48" s="885"/>
      <c r="Z48" s="891" t="s">
        <v>684</v>
      </c>
      <c r="AA48" s="892">
        <f ca="1">'6.Summary'!AI15</f>
        <v>13038685</v>
      </c>
      <c r="AB48" s="892">
        <f ca="1">'6.Summary'!AJ15</f>
        <v>0</v>
      </c>
      <c r="AC48" s="892">
        <f ca="1">'6.Summary'!AK15</f>
        <v>0</v>
      </c>
      <c r="AD48" s="892">
        <f ca="1">'6.Summary'!AL15</f>
        <v>0</v>
      </c>
      <c r="AE48" s="892">
        <f ca="1">'6.Summary'!AM15</f>
        <v>0</v>
      </c>
      <c r="AF48" s="892">
        <f ca="1">'6.Summary'!AN15</f>
        <v>3630233</v>
      </c>
      <c r="AG48" s="892">
        <f ca="1">'6.Summary'!AO15</f>
        <v>9408452</v>
      </c>
      <c r="AH48" s="905">
        <f t="shared" ca="1" si="8"/>
        <v>0</v>
      </c>
      <c r="AI48" s="887"/>
    </row>
    <row r="49" spans="3:35" ht="10.199999999999999" customHeight="1" x14ac:dyDescent="0.35">
      <c r="C49" s="885"/>
      <c r="D49" s="891" t="s">
        <v>6</v>
      </c>
      <c r="E49" s="892">
        <f ca="1">'6.Summary'!E16</f>
        <v>8291000</v>
      </c>
      <c r="F49" s="892">
        <f ca="1">'6.Summary'!F16</f>
        <v>0</v>
      </c>
      <c r="G49" s="892">
        <f ca="1">'6.Summary'!G16</f>
        <v>0</v>
      </c>
      <c r="H49" s="892">
        <f ca="1">'6.Summary'!H16</f>
        <v>0</v>
      </c>
      <c r="I49" s="892">
        <f ca="1">'6.Summary'!I16</f>
        <v>0</v>
      </c>
      <c r="J49" s="892">
        <f ca="1">'6.Summary'!J16</f>
        <v>8291000</v>
      </c>
      <c r="K49" s="892">
        <f ca="1">'6.Summary'!K16</f>
        <v>0</v>
      </c>
      <c r="L49" s="905">
        <f t="shared" ca="1" si="6"/>
        <v>0</v>
      </c>
      <c r="M49" s="887"/>
      <c r="O49" s="885"/>
      <c r="P49" s="891" t="s">
        <v>6</v>
      </c>
      <c r="Q49" s="892">
        <f ca="1">'6.Summary'!T16</f>
        <v>8572894</v>
      </c>
      <c r="R49" s="892">
        <f ca="1">'6.Summary'!U16</f>
        <v>0</v>
      </c>
      <c r="S49" s="892">
        <f ca="1">'6.Summary'!V16</f>
        <v>0</v>
      </c>
      <c r="T49" s="892">
        <f ca="1">'6.Summary'!W16</f>
        <v>0</v>
      </c>
      <c r="U49" s="892">
        <f ca="1">'6.Summary'!X16</f>
        <v>0</v>
      </c>
      <c r="V49" s="892">
        <f ca="1">'6.Summary'!Y16</f>
        <v>8572894</v>
      </c>
      <c r="W49" s="892">
        <f ca="1">'6.Summary'!Z16</f>
        <v>0</v>
      </c>
      <c r="X49" s="905">
        <f t="shared" ca="1" si="7"/>
        <v>0</v>
      </c>
      <c r="Y49" s="885"/>
      <c r="Z49" s="891" t="s">
        <v>6</v>
      </c>
      <c r="AA49" s="892">
        <f ca="1">'6.Summary'!AI16</f>
        <v>8847228</v>
      </c>
      <c r="AB49" s="892">
        <f ca="1">'6.Summary'!AJ16</f>
        <v>0</v>
      </c>
      <c r="AC49" s="892">
        <f ca="1">'6.Summary'!AK16</f>
        <v>0</v>
      </c>
      <c r="AD49" s="892">
        <f ca="1">'6.Summary'!AL16</f>
        <v>0</v>
      </c>
      <c r="AE49" s="892">
        <f ca="1">'6.Summary'!AM16</f>
        <v>0</v>
      </c>
      <c r="AF49" s="892">
        <f ca="1">'6.Summary'!AN16</f>
        <v>8847228</v>
      </c>
      <c r="AG49" s="892">
        <f ca="1">'6.Summary'!AO16</f>
        <v>0</v>
      </c>
      <c r="AH49" s="905">
        <f t="shared" ca="1" si="8"/>
        <v>0</v>
      </c>
      <c r="AI49" s="887"/>
    </row>
    <row r="50" spans="3:35" ht="10.199999999999999" customHeight="1" x14ac:dyDescent="0.35">
      <c r="C50" s="885"/>
      <c r="D50" s="891" t="s">
        <v>687</v>
      </c>
      <c r="E50" s="892">
        <f ca="1">'6.Summary'!E17</f>
        <v>0</v>
      </c>
      <c r="F50" s="892">
        <f ca="1">'6.Summary'!F17</f>
        <v>0</v>
      </c>
      <c r="G50" s="892">
        <f ca="1">'6.Summary'!G17</f>
        <v>0</v>
      </c>
      <c r="H50" s="892">
        <f ca="1">'6.Summary'!H17</f>
        <v>0</v>
      </c>
      <c r="I50" s="892">
        <f ca="1">'6.Summary'!I17</f>
        <v>0</v>
      </c>
      <c r="J50" s="892">
        <f ca="1">'6.Summary'!J17</f>
        <v>0</v>
      </c>
      <c r="K50" s="892">
        <f ca="1">'6.Summary'!K17</f>
        <v>0</v>
      </c>
      <c r="L50" s="905">
        <f t="shared" ca="1" si="6"/>
        <v>0</v>
      </c>
      <c r="M50" s="887"/>
      <c r="O50" s="885"/>
      <c r="P50" s="891" t="s">
        <v>687</v>
      </c>
      <c r="Q50" s="892">
        <f ca="1">'6.Summary'!T17</f>
        <v>0</v>
      </c>
      <c r="R50" s="892">
        <f ca="1">'6.Summary'!U17</f>
        <v>0</v>
      </c>
      <c r="S50" s="892">
        <f ca="1">'6.Summary'!V17</f>
        <v>0</v>
      </c>
      <c r="T50" s="892">
        <f ca="1">'6.Summary'!W17</f>
        <v>0</v>
      </c>
      <c r="U50" s="892">
        <f ca="1">'6.Summary'!X17</f>
        <v>0</v>
      </c>
      <c r="V50" s="892">
        <f ca="1">'6.Summary'!Y17</f>
        <v>0</v>
      </c>
      <c r="W50" s="892">
        <f ca="1">'6.Summary'!Z17</f>
        <v>0</v>
      </c>
      <c r="X50" s="905">
        <f t="shared" ca="1" si="7"/>
        <v>0</v>
      </c>
      <c r="Y50" s="885"/>
      <c r="Z50" s="891" t="s">
        <v>687</v>
      </c>
      <c r="AA50" s="892">
        <f ca="1">'6.Summary'!AI17</f>
        <v>0</v>
      </c>
      <c r="AB50" s="892">
        <f ca="1">'6.Summary'!AJ17</f>
        <v>0</v>
      </c>
      <c r="AC50" s="892">
        <f ca="1">'6.Summary'!AK17</f>
        <v>0</v>
      </c>
      <c r="AD50" s="892">
        <f ca="1">'6.Summary'!AL17</f>
        <v>0</v>
      </c>
      <c r="AE50" s="892">
        <f ca="1">'6.Summary'!AM17</f>
        <v>0</v>
      </c>
      <c r="AF50" s="892">
        <f ca="1">'6.Summary'!AN17</f>
        <v>0</v>
      </c>
      <c r="AG50" s="892">
        <f ca="1">'6.Summary'!AO17</f>
        <v>0</v>
      </c>
      <c r="AH50" s="905">
        <f t="shared" ca="1" si="8"/>
        <v>0</v>
      </c>
      <c r="AI50" s="887"/>
    </row>
    <row r="51" spans="3:35" ht="10.199999999999999" customHeight="1" x14ac:dyDescent="0.35">
      <c r="C51" s="885"/>
      <c r="D51" s="891" t="s">
        <v>689</v>
      </c>
      <c r="E51" s="892">
        <f ca="1">'6.Summary'!E18</f>
        <v>28560533</v>
      </c>
      <c r="F51" s="892">
        <f ca="1">'6.Summary'!F18</f>
        <v>0</v>
      </c>
      <c r="G51" s="892">
        <f ca="1">'6.Summary'!G18</f>
        <v>7966035</v>
      </c>
      <c r="H51" s="892">
        <f ca="1">'6.Summary'!H18</f>
        <v>0</v>
      </c>
      <c r="I51" s="892">
        <f ca="1">'6.Summary'!I18</f>
        <v>0</v>
      </c>
      <c r="J51" s="892">
        <f ca="1">'6.Summary'!J18</f>
        <v>0</v>
      </c>
      <c r="K51" s="892">
        <f ca="1">'6.Summary'!K18</f>
        <v>20594498</v>
      </c>
      <c r="L51" s="905">
        <f t="shared" ca="1" si="6"/>
        <v>0</v>
      </c>
      <c r="M51" s="887"/>
      <c r="O51" s="885"/>
      <c r="P51" s="891" t="s">
        <v>689</v>
      </c>
      <c r="Q51" s="892">
        <f ca="1">'6.Summary'!T18</f>
        <v>29531591</v>
      </c>
      <c r="R51" s="892">
        <f ca="1">'6.Summary'!U18</f>
        <v>0</v>
      </c>
      <c r="S51" s="892">
        <f ca="1">'6.Summary'!V18</f>
        <v>8236880</v>
      </c>
      <c r="T51" s="892">
        <f ca="1">'6.Summary'!W18</f>
        <v>0</v>
      </c>
      <c r="U51" s="892">
        <f ca="1">'6.Summary'!X18</f>
        <v>0</v>
      </c>
      <c r="V51" s="892">
        <f ca="1">'6.Summary'!Y18</f>
        <v>0</v>
      </c>
      <c r="W51" s="892">
        <f ca="1">'6.Summary'!Z18</f>
        <v>21294711</v>
      </c>
      <c r="X51" s="905">
        <f t="shared" ca="1" si="7"/>
        <v>0</v>
      </c>
      <c r="Y51" s="885"/>
      <c r="Z51" s="891" t="s">
        <v>689</v>
      </c>
      <c r="AA51" s="892">
        <f ca="1">'6.Summary'!AI18</f>
        <v>30476601</v>
      </c>
      <c r="AB51" s="892">
        <f ca="1">'6.Summary'!AJ18</f>
        <v>0</v>
      </c>
      <c r="AC51" s="892">
        <f ca="1">'6.Summary'!AK18</f>
        <v>8500460</v>
      </c>
      <c r="AD51" s="892">
        <f ca="1">'6.Summary'!AL18</f>
        <v>0</v>
      </c>
      <c r="AE51" s="892">
        <f ca="1">'6.Summary'!AM18</f>
        <v>0</v>
      </c>
      <c r="AF51" s="892">
        <f ca="1">'6.Summary'!AN18</f>
        <v>0</v>
      </c>
      <c r="AG51" s="892">
        <f ca="1">'6.Summary'!AO18</f>
        <v>21976141</v>
      </c>
      <c r="AH51" s="905">
        <f t="shared" ca="1" si="8"/>
        <v>0</v>
      </c>
      <c r="AI51" s="887"/>
    </row>
    <row r="52" spans="3:35" ht="10.199999999999999" customHeight="1" x14ac:dyDescent="0.35">
      <c r="C52" s="885"/>
      <c r="D52" s="891" t="s">
        <v>692</v>
      </c>
      <c r="E52" s="892">
        <f ca="1">'6.Summary'!E19</f>
        <v>2768552</v>
      </c>
      <c r="F52" s="892">
        <f ca="1">'6.Summary'!F19</f>
        <v>0</v>
      </c>
      <c r="G52" s="892">
        <f ca="1">'6.Summary'!G19</f>
        <v>0</v>
      </c>
      <c r="H52" s="892">
        <f ca="1">'6.Summary'!H19</f>
        <v>220000</v>
      </c>
      <c r="I52" s="892">
        <f ca="1">'6.Summary'!I19</f>
        <v>0</v>
      </c>
      <c r="J52" s="892">
        <f ca="1">'6.Summary'!J19</f>
        <v>0</v>
      </c>
      <c r="K52" s="892">
        <f ca="1">'6.Summary'!K19</f>
        <v>2548552</v>
      </c>
      <c r="L52" s="905">
        <f t="shared" ca="1" si="6"/>
        <v>0</v>
      </c>
      <c r="M52" s="887"/>
      <c r="O52" s="885"/>
      <c r="P52" s="891" t="s">
        <v>692</v>
      </c>
      <c r="Q52" s="892">
        <f ca="1">'6.Summary'!T19</f>
        <v>2862683</v>
      </c>
      <c r="R52" s="892">
        <f ca="1">'6.Summary'!U19</f>
        <v>0</v>
      </c>
      <c r="S52" s="892">
        <f ca="1">'6.Summary'!V19</f>
        <v>0</v>
      </c>
      <c r="T52" s="892">
        <f ca="1">'6.Summary'!W19</f>
        <v>227480</v>
      </c>
      <c r="U52" s="892">
        <f ca="1">'6.Summary'!X19</f>
        <v>0</v>
      </c>
      <c r="V52" s="892">
        <f ca="1">'6.Summary'!Y19</f>
        <v>0</v>
      </c>
      <c r="W52" s="892">
        <f ca="1">'6.Summary'!Z19</f>
        <v>2635203</v>
      </c>
      <c r="X52" s="905">
        <f t="shared" ca="1" si="7"/>
        <v>0</v>
      </c>
      <c r="Y52" s="885"/>
      <c r="Z52" s="891" t="s">
        <v>692</v>
      </c>
      <c r="AA52" s="892">
        <f ca="1">'6.Summary'!AI19</f>
        <v>2954288</v>
      </c>
      <c r="AB52" s="892">
        <f ca="1">'6.Summary'!AJ19</f>
        <v>0</v>
      </c>
      <c r="AC52" s="892">
        <f ca="1">'6.Summary'!AK19</f>
        <v>0</v>
      </c>
      <c r="AD52" s="892">
        <f ca="1">'6.Summary'!AL19</f>
        <v>234759</v>
      </c>
      <c r="AE52" s="892">
        <f ca="1">'6.Summary'!AM19</f>
        <v>0</v>
      </c>
      <c r="AF52" s="892">
        <f ca="1">'6.Summary'!AN19</f>
        <v>0</v>
      </c>
      <c r="AG52" s="892">
        <f ca="1">'6.Summary'!AO19</f>
        <v>2719529</v>
      </c>
      <c r="AH52" s="905">
        <f t="shared" ca="1" si="8"/>
        <v>0</v>
      </c>
      <c r="AI52" s="887"/>
    </row>
    <row r="53" spans="3:35" ht="10.199999999999999" customHeight="1" x14ac:dyDescent="0.35">
      <c r="C53" s="885"/>
      <c r="D53" s="891" t="s">
        <v>694</v>
      </c>
      <c r="E53" s="892">
        <f ca="1">'6.Summary'!E20</f>
        <v>0</v>
      </c>
      <c r="F53" s="892">
        <f ca="1">'6.Summary'!F20</f>
        <v>0</v>
      </c>
      <c r="G53" s="892">
        <f ca="1">'6.Summary'!G20</f>
        <v>0</v>
      </c>
      <c r="H53" s="892">
        <f ca="1">'6.Summary'!H20</f>
        <v>0</v>
      </c>
      <c r="I53" s="892">
        <f ca="1">'6.Summary'!I20</f>
        <v>0</v>
      </c>
      <c r="J53" s="892">
        <f ca="1">'6.Summary'!J20</f>
        <v>0</v>
      </c>
      <c r="K53" s="892">
        <f ca="1">'6.Summary'!K20</f>
        <v>0</v>
      </c>
      <c r="L53" s="905">
        <f t="shared" ca="1" si="6"/>
        <v>0</v>
      </c>
      <c r="M53" s="887"/>
      <c r="O53" s="885"/>
      <c r="P53" s="891" t="s">
        <v>694</v>
      </c>
      <c r="Q53" s="892">
        <f ca="1">'6.Summary'!T20</f>
        <v>0</v>
      </c>
      <c r="R53" s="892">
        <f ca="1">'6.Summary'!U20</f>
        <v>0</v>
      </c>
      <c r="S53" s="892">
        <f ca="1">'6.Summary'!V20</f>
        <v>0</v>
      </c>
      <c r="T53" s="892">
        <f ca="1">'6.Summary'!W20</f>
        <v>0</v>
      </c>
      <c r="U53" s="892">
        <f ca="1">'6.Summary'!X20</f>
        <v>0</v>
      </c>
      <c r="V53" s="892">
        <f ca="1">'6.Summary'!Y20</f>
        <v>0</v>
      </c>
      <c r="W53" s="892">
        <f ca="1">'6.Summary'!Z20</f>
        <v>0</v>
      </c>
      <c r="X53" s="905">
        <f t="shared" ca="1" si="7"/>
        <v>0</v>
      </c>
      <c r="Y53" s="885"/>
      <c r="Z53" s="891" t="s">
        <v>694</v>
      </c>
      <c r="AA53" s="892">
        <f ca="1">'6.Summary'!AI20</f>
        <v>0</v>
      </c>
      <c r="AB53" s="892">
        <f ca="1">'6.Summary'!AJ20</f>
        <v>0</v>
      </c>
      <c r="AC53" s="892">
        <f ca="1">'6.Summary'!AK20</f>
        <v>0</v>
      </c>
      <c r="AD53" s="892">
        <f ca="1">'6.Summary'!AL20</f>
        <v>0</v>
      </c>
      <c r="AE53" s="892">
        <f ca="1">'6.Summary'!AM20</f>
        <v>0</v>
      </c>
      <c r="AF53" s="892">
        <f ca="1">'6.Summary'!AN20</f>
        <v>0</v>
      </c>
      <c r="AG53" s="892">
        <f ca="1">'6.Summary'!AO20</f>
        <v>0</v>
      </c>
      <c r="AH53" s="905">
        <f t="shared" ca="1" si="8"/>
        <v>0</v>
      </c>
      <c r="AI53" s="887"/>
    </row>
    <row r="54" spans="3:35" ht="10.199999999999999" customHeight="1" x14ac:dyDescent="0.35">
      <c r="C54" s="885"/>
      <c r="D54" s="891" t="s">
        <v>696</v>
      </c>
      <c r="E54" s="892">
        <f ca="1">'6.Summary'!E21</f>
        <v>0</v>
      </c>
      <c r="F54" s="892">
        <f ca="1">'6.Summary'!F21</f>
        <v>0</v>
      </c>
      <c r="G54" s="892">
        <f ca="1">'6.Summary'!G21</f>
        <v>0</v>
      </c>
      <c r="H54" s="892">
        <f ca="1">'6.Summary'!H21</f>
        <v>0</v>
      </c>
      <c r="I54" s="892">
        <f ca="1">'6.Summary'!I21</f>
        <v>0</v>
      </c>
      <c r="J54" s="892">
        <f ca="1">'6.Summary'!J21</f>
        <v>0</v>
      </c>
      <c r="K54" s="892">
        <f ca="1">'6.Summary'!K21</f>
        <v>0</v>
      </c>
      <c r="L54" s="905">
        <f t="shared" ca="1" si="6"/>
        <v>0</v>
      </c>
      <c r="M54" s="887"/>
      <c r="O54" s="885"/>
      <c r="P54" s="891" t="s">
        <v>696</v>
      </c>
      <c r="Q54" s="892">
        <f ca="1">'6.Summary'!T21</f>
        <v>0</v>
      </c>
      <c r="R54" s="892">
        <f ca="1">'6.Summary'!U21</f>
        <v>0</v>
      </c>
      <c r="S54" s="892">
        <f ca="1">'6.Summary'!V21</f>
        <v>0</v>
      </c>
      <c r="T54" s="892">
        <f ca="1">'6.Summary'!W21</f>
        <v>0</v>
      </c>
      <c r="U54" s="892">
        <f ca="1">'6.Summary'!X21</f>
        <v>0</v>
      </c>
      <c r="V54" s="892">
        <f ca="1">'6.Summary'!Y21</f>
        <v>0</v>
      </c>
      <c r="W54" s="892">
        <f ca="1">'6.Summary'!Z21</f>
        <v>0</v>
      </c>
      <c r="X54" s="905">
        <f t="shared" ca="1" si="7"/>
        <v>0</v>
      </c>
      <c r="Y54" s="885"/>
      <c r="Z54" s="891" t="s">
        <v>696</v>
      </c>
      <c r="AA54" s="892">
        <f ca="1">'6.Summary'!AI21</f>
        <v>0</v>
      </c>
      <c r="AB54" s="892">
        <f ca="1">'6.Summary'!AJ21</f>
        <v>0</v>
      </c>
      <c r="AC54" s="892">
        <f ca="1">'6.Summary'!AK21</f>
        <v>0</v>
      </c>
      <c r="AD54" s="892">
        <f ca="1">'6.Summary'!AL21</f>
        <v>0</v>
      </c>
      <c r="AE54" s="892">
        <f ca="1">'6.Summary'!AM21</f>
        <v>0</v>
      </c>
      <c r="AF54" s="892">
        <f ca="1">'6.Summary'!AN21</f>
        <v>0</v>
      </c>
      <c r="AG54" s="892">
        <f ca="1">'6.Summary'!AO21</f>
        <v>0</v>
      </c>
      <c r="AH54" s="905">
        <f t="shared" ca="1" si="8"/>
        <v>0</v>
      </c>
      <c r="AI54" s="887"/>
    </row>
    <row r="55" spans="3:35" ht="10.199999999999999" customHeight="1" x14ac:dyDescent="0.35">
      <c r="C55" s="885"/>
      <c r="D55" s="891" t="s">
        <v>699</v>
      </c>
      <c r="E55" s="892">
        <f ca="1">'6.Summary'!E22</f>
        <v>1300000</v>
      </c>
      <c r="F55" s="892">
        <f ca="1">'6.Summary'!F22</f>
        <v>0</v>
      </c>
      <c r="G55" s="892">
        <f ca="1">'6.Summary'!G22</f>
        <v>0</v>
      </c>
      <c r="H55" s="892">
        <f ca="1">'6.Summary'!H22</f>
        <v>0</v>
      </c>
      <c r="I55" s="892">
        <f ca="1">'6.Summary'!I22</f>
        <v>0</v>
      </c>
      <c r="J55" s="892">
        <f ca="1">'6.Summary'!J22</f>
        <v>70000</v>
      </c>
      <c r="K55" s="892">
        <f ca="1">'6.Summary'!K22</f>
        <v>1230000</v>
      </c>
      <c r="L55" s="905">
        <f t="shared" ca="1" si="6"/>
        <v>0</v>
      </c>
      <c r="M55" s="887"/>
      <c r="O55" s="885"/>
      <c r="P55" s="891" t="s">
        <v>699</v>
      </c>
      <c r="Q55" s="892">
        <f ca="1">'6.Summary'!T22</f>
        <v>1344200</v>
      </c>
      <c r="R55" s="892">
        <f ca="1">'6.Summary'!U22</f>
        <v>0</v>
      </c>
      <c r="S55" s="892">
        <f ca="1">'6.Summary'!V22</f>
        <v>0</v>
      </c>
      <c r="T55" s="892">
        <f ca="1">'6.Summary'!W22</f>
        <v>0</v>
      </c>
      <c r="U55" s="892">
        <f ca="1">'6.Summary'!X22</f>
        <v>0</v>
      </c>
      <c r="V55" s="892">
        <f ca="1">'6.Summary'!Y22</f>
        <v>72380</v>
      </c>
      <c r="W55" s="892">
        <f ca="1">'6.Summary'!Z22</f>
        <v>1271820</v>
      </c>
      <c r="X55" s="905">
        <f t="shared" ca="1" si="7"/>
        <v>0</v>
      </c>
      <c r="Y55" s="885"/>
      <c r="Z55" s="891" t="s">
        <v>699</v>
      </c>
      <c r="AA55" s="892">
        <f ca="1">'6.Summary'!AI22</f>
        <v>1387214</v>
      </c>
      <c r="AB55" s="892">
        <f ca="1">'6.Summary'!AJ22</f>
        <v>0</v>
      </c>
      <c r="AC55" s="892">
        <f ca="1">'6.Summary'!AK22</f>
        <v>0</v>
      </c>
      <c r="AD55" s="892">
        <f ca="1">'6.Summary'!AL22</f>
        <v>0</v>
      </c>
      <c r="AE55" s="892">
        <f ca="1">'6.Summary'!AM22</f>
        <v>0</v>
      </c>
      <c r="AF55" s="892">
        <f ca="1">'6.Summary'!AN22</f>
        <v>74696</v>
      </c>
      <c r="AG55" s="892">
        <f ca="1">'6.Summary'!AO22</f>
        <v>1312518</v>
      </c>
      <c r="AH55" s="905">
        <f t="shared" ca="1" si="8"/>
        <v>0</v>
      </c>
      <c r="AI55" s="887"/>
    </row>
    <row r="56" spans="3:35" ht="10.199999999999999" customHeight="1" x14ac:dyDescent="0.35">
      <c r="C56" s="885"/>
      <c r="D56" s="891" t="s">
        <v>701</v>
      </c>
      <c r="E56" s="892">
        <f ca="1">'6.Summary'!E23</f>
        <v>76000</v>
      </c>
      <c r="F56" s="892">
        <f ca="1">'6.Summary'!F23</f>
        <v>0</v>
      </c>
      <c r="G56" s="892">
        <f ca="1">'6.Summary'!G23</f>
        <v>0</v>
      </c>
      <c r="H56" s="892">
        <f ca="1">'6.Summary'!H23</f>
        <v>0</v>
      </c>
      <c r="I56" s="892">
        <f ca="1">'6.Summary'!I23</f>
        <v>0</v>
      </c>
      <c r="J56" s="892">
        <f ca="1">'6.Summary'!J23</f>
        <v>76000</v>
      </c>
      <c r="K56" s="892">
        <f ca="1">'6.Summary'!K23</f>
        <v>0</v>
      </c>
      <c r="L56" s="905">
        <f t="shared" ca="1" si="6"/>
        <v>0</v>
      </c>
      <c r="M56" s="887"/>
      <c r="O56" s="885"/>
      <c r="P56" s="891" t="s">
        <v>701</v>
      </c>
      <c r="Q56" s="892">
        <f ca="1">'6.Summary'!T23</f>
        <v>78584</v>
      </c>
      <c r="R56" s="892">
        <f ca="1">'6.Summary'!U23</f>
        <v>0</v>
      </c>
      <c r="S56" s="892">
        <f ca="1">'6.Summary'!V23</f>
        <v>0</v>
      </c>
      <c r="T56" s="892">
        <f ca="1">'6.Summary'!W23</f>
        <v>0</v>
      </c>
      <c r="U56" s="892">
        <f ca="1">'6.Summary'!X23</f>
        <v>0</v>
      </c>
      <c r="V56" s="892">
        <f ca="1">'6.Summary'!Y23</f>
        <v>78584</v>
      </c>
      <c r="W56" s="892">
        <f ca="1">'6.Summary'!Z23</f>
        <v>0</v>
      </c>
      <c r="X56" s="905">
        <f t="shared" ca="1" si="7"/>
        <v>0</v>
      </c>
      <c r="Y56" s="885"/>
      <c r="Z56" s="891" t="s">
        <v>701</v>
      </c>
      <c r="AA56" s="892">
        <f ca="1">'6.Summary'!AI23</f>
        <v>81099</v>
      </c>
      <c r="AB56" s="892">
        <f ca="1">'6.Summary'!AJ23</f>
        <v>0</v>
      </c>
      <c r="AC56" s="892">
        <f ca="1">'6.Summary'!AK23</f>
        <v>0</v>
      </c>
      <c r="AD56" s="892">
        <f ca="1">'6.Summary'!AL23</f>
        <v>0</v>
      </c>
      <c r="AE56" s="892">
        <f ca="1">'6.Summary'!AM23</f>
        <v>0</v>
      </c>
      <c r="AF56" s="892">
        <f ca="1">'6.Summary'!AN23</f>
        <v>81099</v>
      </c>
      <c r="AG56" s="892">
        <f ca="1">'6.Summary'!AO23</f>
        <v>0</v>
      </c>
      <c r="AH56" s="905">
        <f t="shared" ca="1" si="8"/>
        <v>0</v>
      </c>
      <c r="AI56" s="887"/>
    </row>
    <row r="57" spans="3:35" ht="10.199999999999999" customHeight="1" x14ac:dyDescent="0.35">
      <c r="C57" s="885"/>
      <c r="D57" s="891" t="s">
        <v>704</v>
      </c>
      <c r="E57" s="892">
        <f ca="1">'6.Summary'!E25</f>
        <v>3764961</v>
      </c>
      <c r="F57" s="892">
        <f ca="1">'6.Summary'!F25</f>
        <v>0</v>
      </c>
      <c r="G57" s="892">
        <f ca="1">'6.Summary'!G25</f>
        <v>500</v>
      </c>
      <c r="H57" s="892">
        <f ca="1">'6.Summary'!H25</f>
        <v>0</v>
      </c>
      <c r="I57" s="892">
        <f ca="1">'6.Summary'!I25</f>
        <v>1000</v>
      </c>
      <c r="J57" s="892">
        <f ca="1">'6.Summary'!J25</f>
        <v>21000</v>
      </c>
      <c r="K57" s="892">
        <f ca="1">'6.Summary'!K25</f>
        <v>3742461</v>
      </c>
      <c r="L57" s="905"/>
      <c r="M57" s="887"/>
      <c r="O57" s="885"/>
      <c r="P57" s="891" t="s">
        <v>704</v>
      </c>
      <c r="Q57" s="892">
        <f ca="1">'6.Summary'!T25</f>
        <v>3851610</v>
      </c>
      <c r="R57" s="892">
        <f ca="1">'6.Summary'!U25</f>
        <v>0</v>
      </c>
      <c r="S57" s="892">
        <f ca="1">'6.Summary'!V25</f>
        <v>517</v>
      </c>
      <c r="T57" s="892">
        <f ca="1">'6.Summary'!W25</f>
        <v>0</v>
      </c>
      <c r="U57" s="892">
        <f ca="1">'6.Summary'!X25</f>
        <v>1034</v>
      </c>
      <c r="V57" s="892">
        <f ca="1">'6.Summary'!Y25</f>
        <v>21714</v>
      </c>
      <c r="W57" s="892">
        <f ca="1">'6.Summary'!Z25</f>
        <v>3828345</v>
      </c>
      <c r="X57" s="905"/>
      <c r="Y57" s="885"/>
      <c r="Z57" s="891" t="s">
        <v>704</v>
      </c>
      <c r="AA57" s="892">
        <f ca="1">'6.Summary'!AI25</f>
        <v>3974863</v>
      </c>
      <c r="AB57" s="892">
        <f ca="1">'6.Summary'!AJ25</f>
        <v>0</v>
      </c>
      <c r="AC57" s="892">
        <f ca="1">'6.Summary'!AK25</f>
        <v>534</v>
      </c>
      <c r="AD57" s="892">
        <f ca="1">'6.Summary'!AL25</f>
        <v>0</v>
      </c>
      <c r="AE57" s="892">
        <f ca="1">'6.Summary'!AM25</f>
        <v>1067</v>
      </c>
      <c r="AF57" s="892">
        <f ca="1">'6.Summary'!AN25</f>
        <v>22409</v>
      </c>
      <c r="AG57" s="892">
        <f ca="1">'6.Summary'!AO25</f>
        <v>3950853</v>
      </c>
      <c r="AH57" s="905"/>
      <c r="AI57" s="887"/>
    </row>
    <row r="58" spans="3:35" ht="10.199999999999999" customHeight="1" x14ac:dyDescent="0.35">
      <c r="C58" s="885"/>
      <c r="D58" s="886" t="s">
        <v>708</v>
      </c>
      <c r="E58" s="892">
        <f ca="1">'6.Summary'!E26</f>
        <v>0</v>
      </c>
      <c r="F58" s="892">
        <f ca="1">'6.Summary'!F26</f>
        <v>0</v>
      </c>
      <c r="G58" s="892">
        <f ca="1">'6.Summary'!G26</f>
        <v>0</v>
      </c>
      <c r="H58" s="892">
        <f ca="1">'6.Summary'!H26</f>
        <v>0</v>
      </c>
      <c r="I58" s="892">
        <f ca="1">'6.Summary'!I26</f>
        <v>0</v>
      </c>
      <c r="J58" s="892">
        <f ca="1">'6.Summary'!J26</f>
        <v>0</v>
      </c>
      <c r="K58" s="892">
        <f ca="1">'6.Summary'!K26</f>
        <v>0</v>
      </c>
      <c r="L58" s="905"/>
      <c r="M58" s="887"/>
      <c r="O58" s="885"/>
      <c r="P58" s="886" t="s">
        <v>708</v>
      </c>
      <c r="Q58" s="892">
        <f ca="1">'6.Summary'!T26</f>
        <v>0</v>
      </c>
      <c r="R58" s="892">
        <f ca="1">'6.Summary'!U26</f>
        <v>0</v>
      </c>
      <c r="S58" s="892">
        <f ca="1">'6.Summary'!V26</f>
        <v>0</v>
      </c>
      <c r="T58" s="892">
        <f ca="1">'6.Summary'!W26</f>
        <v>0</v>
      </c>
      <c r="U58" s="892">
        <f ca="1">'6.Summary'!X26</f>
        <v>0</v>
      </c>
      <c r="V58" s="892">
        <f ca="1">'6.Summary'!Y26</f>
        <v>0</v>
      </c>
      <c r="W58" s="892">
        <f ca="1">'6.Summary'!Z26</f>
        <v>0</v>
      </c>
      <c r="X58" s="905"/>
      <c r="Y58" s="885"/>
      <c r="Z58" s="886" t="s">
        <v>708</v>
      </c>
      <c r="AA58" s="892">
        <f ca="1">'6.Summary'!AI26</f>
        <v>0</v>
      </c>
      <c r="AB58" s="892">
        <f ca="1">'6.Summary'!AJ26</f>
        <v>0</v>
      </c>
      <c r="AC58" s="892">
        <f ca="1">'6.Summary'!AK26</f>
        <v>0</v>
      </c>
      <c r="AD58" s="892">
        <f ca="1">'6.Summary'!AL26</f>
        <v>0</v>
      </c>
      <c r="AE58" s="892">
        <f ca="1">'6.Summary'!AM26</f>
        <v>0</v>
      </c>
      <c r="AF58" s="892">
        <f ca="1">'6.Summary'!AN26</f>
        <v>0</v>
      </c>
      <c r="AG58" s="892">
        <f ca="1">'6.Summary'!AO26</f>
        <v>0</v>
      </c>
      <c r="AH58" s="905"/>
      <c r="AI58" s="887"/>
    </row>
    <row r="59" spans="3:35" ht="10.199999999999999" customHeight="1" x14ac:dyDescent="0.35">
      <c r="C59" s="885"/>
      <c r="D59" s="891" t="s">
        <v>713</v>
      </c>
      <c r="E59" s="892">
        <f ca="1">'6.Summary'!E27</f>
        <v>0</v>
      </c>
      <c r="F59" s="892">
        <f ca="1">'6.Summary'!F27</f>
        <v>0</v>
      </c>
      <c r="G59" s="892">
        <f ca="1">'6.Summary'!G27</f>
        <v>0</v>
      </c>
      <c r="H59" s="892">
        <f ca="1">'6.Summary'!H27</f>
        <v>0</v>
      </c>
      <c r="I59" s="892">
        <f ca="1">'6.Summary'!I27</f>
        <v>0</v>
      </c>
      <c r="J59" s="892">
        <f ca="1">'6.Summary'!J27</f>
        <v>0</v>
      </c>
      <c r="K59" s="892">
        <f ca="1">'6.Summary'!K27</f>
        <v>0</v>
      </c>
      <c r="L59" s="905"/>
      <c r="M59" s="887"/>
      <c r="O59" s="885"/>
      <c r="P59" s="891" t="s">
        <v>713</v>
      </c>
      <c r="Q59" s="892">
        <f ca="1">'6.Summary'!T27</f>
        <v>0</v>
      </c>
      <c r="R59" s="892">
        <f ca="1">'6.Summary'!U27</f>
        <v>0</v>
      </c>
      <c r="S59" s="892">
        <f ca="1">'6.Summary'!V27</f>
        <v>0</v>
      </c>
      <c r="T59" s="892">
        <f ca="1">'6.Summary'!W27</f>
        <v>0</v>
      </c>
      <c r="U59" s="892">
        <f ca="1">'6.Summary'!X27</f>
        <v>0</v>
      </c>
      <c r="V59" s="892">
        <f ca="1">'6.Summary'!Y27</f>
        <v>0</v>
      </c>
      <c r="W59" s="892">
        <f ca="1">'6.Summary'!Z27</f>
        <v>0</v>
      </c>
      <c r="X59" s="905"/>
      <c r="Y59" s="885"/>
      <c r="Z59" s="891" t="s">
        <v>713</v>
      </c>
      <c r="AA59" s="892">
        <f ca="1">'6.Summary'!AI27</f>
        <v>0</v>
      </c>
      <c r="AB59" s="892">
        <f ca="1">'6.Summary'!AJ27</f>
        <v>0</v>
      </c>
      <c r="AC59" s="892">
        <f ca="1">'6.Summary'!AK27</f>
        <v>0</v>
      </c>
      <c r="AD59" s="892">
        <f ca="1">'6.Summary'!AL27</f>
        <v>0</v>
      </c>
      <c r="AE59" s="892">
        <f ca="1">'6.Summary'!AM27</f>
        <v>0</v>
      </c>
      <c r="AF59" s="892">
        <f ca="1">'6.Summary'!AN27</f>
        <v>0</v>
      </c>
      <c r="AG59" s="892">
        <f ca="1">'6.Summary'!AO27</f>
        <v>0</v>
      </c>
      <c r="AH59" s="905"/>
      <c r="AI59" s="887"/>
    </row>
    <row r="60" spans="3:35" ht="10.199999999999999" customHeight="1" x14ac:dyDescent="0.35">
      <c r="C60" s="885"/>
      <c r="D60" s="891" t="s">
        <v>691</v>
      </c>
      <c r="E60" s="892">
        <f ca="1">'6.Summary'!E28</f>
        <v>43671100</v>
      </c>
      <c r="F60" s="892">
        <f ca="1">'6.Summary'!F28</f>
        <v>0</v>
      </c>
      <c r="G60" s="892">
        <f ca="1">'6.Summary'!G28</f>
        <v>0</v>
      </c>
      <c r="H60" s="892">
        <f ca="1">'6.Summary'!H28</f>
        <v>0</v>
      </c>
      <c r="I60" s="892">
        <f ca="1">'6.Summary'!I28</f>
        <v>0</v>
      </c>
      <c r="J60" s="892">
        <f ca="1">'6.Summary'!J28</f>
        <v>40821000</v>
      </c>
      <c r="K60" s="892">
        <f ca="1">'6.Summary'!K28</f>
        <v>2850100</v>
      </c>
      <c r="L60" s="905"/>
      <c r="M60" s="887"/>
      <c r="O60" s="885"/>
      <c r="P60" s="891" t="s">
        <v>691</v>
      </c>
      <c r="Q60" s="892">
        <f ca="1">'6.Summary'!T28</f>
        <v>45155917</v>
      </c>
      <c r="R60" s="892">
        <f ca="1">'6.Summary'!U28</f>
        <v>0</v>
      </c>
      <c r="S60" s="892">
        <f ca="1">'6.Summary'!V28</f>
        <v>0</v>
      </c>
      <c r="T60" s="892">
        <f ca="1">'6.Summary'!W28</f>
        <v>0</v>
      </c>
      <c r="U60" s="892">
        <f ca="1">'6.Summary'!X28</f>
        <v>0</v>
      </c>
      <c r="V60" s="892">
        <f ca="1">'6.Summary'!Y28</f>
        <v>42208914</v>
      </c>
      <c r="W60" s="892">
        <f ca="1">'6.Summary'!Z28</f>
        <v>2947003</v>
      </c>
      <c r="X60" s="905"/>
      <c r="Y60" s="885"/>
      <c r="Z60" s="891" t="s">
        <v>691</v>
      </c>
      <c r="AA60" s="892">
        <f ca="1">'6.Summary'!AI28</f>
        <v>46600906</v>
      </c>
      <c r="AB60" s="892">
        <f ca="1">'6.Summary'!AJ28</f>
        <v>0</v>
      </c>
      <c r="AC60" s="892">
        <f ca="1">'6.Summary'!AK28</f>
        <v>0</v>
      </c>
      <c r="AD60" s="892">
        <f ca="1">'6.Summary'!AL28</f>
        <v>0</v>
      </c>
      <c r="AE60" s="892">
        <f ca="1">'6.Summary'!AM28</f>
        <v>0</v>
      </c>
      <c r="AF60" s="892">
        <f ca="1">'6.Summary'!AN28</f>
        <v>43559599</v>
      </c>
      <c r="AG60" s="892">
        <f ca="1">'6.Summary'!AO28</f>
        <v>3041307</v>
      </c>
      <c r="AH60" s="905"/>
      <c r="AI60" s="887"/>
    </row>
    <row r="61" spans="3:35" ht="10.199999999999999" customHeight="1" x14ac:dyDescent="0.35">
      <c r="C61" s="885"/>
      <c r="D61" s="891" t="s">
        <v>716</v>
      </c>
      <c r="E61" s="892">
        <f ca="1">'6.Summary'!E29</f>
        <v>0</v>
      </c>
      <c r="F61" s="892">
        <f ca="1">'6.Summary'!F29</f>
        <v>0</v>
      </c>
      <c r="G61" s="892">
        <f ca="1">'6.Summary'!G29</f>
        <v>0</v>
      </c>
      <c r="H61" s="892">
        <f ca="1">'6.Summary'!H29</f>
        <v>0</v>
      </c>
      <c r="I61" s="892">
        <f ca="1">'6.Summary'!I29</f>
        <v>0</v>
      </c>
      <c r="J61" s="892">
        <f ca="1">'6.Summary'!J29</f>
        <v>0</v>
      </c>
      <c r="K61" s="892">
        <f ca="1">'6.Summary'!K29</f>
        <v>0</v>
      </c>
      <c r="L61" s="905"/>
      <c r="M61" s="887"/>
      <c r="O61" s="885"/>
      <c r="P61" s="891" t="s">
        <v>716</v>
      </c>
      <c r="Q61" s="892">
        <f ca="1">'6.Summary'!T29</f>
        <v>0</v>
      </c>
      <c r="R61" s="892">
        <f ca="1">'6.Summary'!U29</f>
        <v>0</v>
      </c>
      <c r="S61" s="892">
        <f ca="1">'6.Summary'!V29</f>
        <v>0</v>
      </c>
      <c r="T61" s="892">
        <f ca="1">'6.Summary'!W29</f>
        <v>0</v>
      </c>
      <c r="U61" s="892">
        <f ca="1">'6.Summary'!X29</f>
        <v>0</v>
      </c>
      <c r="V61" s="892">
        <f ca="1">'6.Summary'!Y29</f>
        <v>0</v>
      </c>
      <c r="W61" s="892">
        <f ca="1">'6.Summary'!Z29</f>
        <v>0</v>
      </c>
      <c r="X61" s="905"/>
      <c r="Y61" s="885"/>
      <c r="Z61" s="891" t="s">
        <v>716</v>
      </c>
      <c r="AA61" s="892">
        <f ca="1">'6.Summary'!AI29</f>
        <v>0</v>
      </c>
      <c r="AB61" s="892">
        <f ca="1">'6.Summary'!AJ29</f>
        <v>0</v>
      </c>
      <c r="AC61" s="892">
        <f ca="1">'6.Summary'!AK29</f>
        <v>0</v>
      </c>
      <c r="AD61" s="892">
        <f ca="1">'6.Summary'!AL29</f>
        <v>0</v>
      </c>
      <c r="AE61" s="892">
        <f ca="1">'6.Summary'!AM29</f>
        <v>0</v>
      </c>
      <c r="AF61" s="892">
        <f ca="1">'6.Summary'!AN29</f>
        <v>0</v>
      </c>
      <c r="AG61" s="892">
        <f ca="1">'6.Summary'!AO29</f>
        <v>0</v>
      </c>
      <c r="AH61" s="905"/>
      <c r="AI61" s="887"/>
    </row>
    <row r="62" spans="3:35" ht="10.199999999999999" customHeight="1" x14ac:dyDescent="0.35">
      <c r="C62" s="885"/>
      <c r="D62" s="891" t="s">
        <v>687</v>
      </c>
      <c r="E62" s="892">
        <f ca="1">'6.Summary'!E30</f>
        <v>3862950</v>
      </c>
      <c r="F62" s="892">
        <f ca="1">'6.Summary'!F30</f>
        <v>0</v>
      </c>
      <c r="G62" s="892">
        <f ca="1">'6.Summary'!G30</f>
        <v>0</v>
      </c>
      <c r="H62" s="892">
        <f ca="1">'6.Summary'!H30</f>
        <v>0</v>
      </c>
      <c r="I62" s="892">
        <f ca="1">'6.Summary'!I30</f>
        <v>0</v>
      </c>
      <c r="J62" s="892">
        <f ca="1">'6.Summary'!J30</f>
        <v>0</v>
      </c>
      <c r="K62" s="892">
        <f ca="1">'6.Summary'!K30</f>
        <v>3862950</v>
      </c>
      <c r="L62" s="905"/>
      <c r="M62" s="887"/>
      <c r="O62" s="885"/>
      <c r="P62" s="891" t="s">
        <v>687</v>
      </c>
      <c r="Q62" s="892">
        <f ca="1">'6.Summary'!T30</f>
        <v>3994290</v>
      </c>
      <c r="R62" s="892">
        <f ca="1">'6.Summary'!U30</f>
        <v>0</v>
      </c>
      <c r="S62" s="892">
        <f ca="1">'6.Summary'!V30</f>
        <v>0</v>
      </c>
      <c r="T62" s="892">
        <f ca="1">'6.Summary'!W30</f>
        <v>0</v>
      </c>
      <c r="U62" s="892">
        <f ca="1">'6.Summary'!X30</f>
        <v>0</v>
      </c>
      <c r="V62" s="892">
        <f ca="1">'6.Summary'!Y30</f>
        <v>0</v>
      </c>
      <c r="W62" s="892">
        <f ca="1">'6.Summary'!Z30</f>
        <v>3994290</v>
      </c>
      <c r="X62" s="905"/>
      <c r="Y62" s="885"/>
      <c r="Z62" s="891" t="s">
        <v>687</v>
      </c>
      <c r="AA62" s="892">
        <f ca="1">'6.Summary'!AI30</f>
        <v>4122107</v>
      </c>
      <c r="AB62" s="892">
        <f ca="1">'6.Summary'!AJ30</f>
        <v>0</v>
      </c>
      <c r="AC62" s="892">
        <f ca="1">'6.Summary'!AK30</f>
        <v>0</v>
      </c>
      <c r="AD62" s="892">
        <f ca="1">'6.Summary'!AL30</f>
        <v>0</v>
      </c>
      <c r="AE62" s="892">
        <f ca="1">'6.Summary'!AM30</f>
        <v>0</v>
      </c>
      <c r="AF62" s="892">
        <f ca="1">'6.Summary'!AN30</f>
        <v>0</v>
      </c>
      <c r="AG62" s="892">
        <f ca="1">'6.Summary'!AO30</f>
        <v>4122107</v>
      </c>
      <c r="AH62" s="905"/>
      <c r="AI62" s="887"/>
    </row>
    <row r="63" spans="3:35" ht="10.199999999999999" customHeight="1" x14ac:dyDescent="0.35">
      <c r="C63" s="885"/>
      <c r="D63" s="891" t="s">
        <v>722</v>
      </c>
      <c r="E63" s="892">
        <f ca="1">'6.Summary'!E31</f>
        <v>0</v>
      </c>
      <c r="F63" s="892">
        <f ca="1">'6.Summary'!F31</f>
        <v>0</v>
      </c>
      <c r="G63" s="892">
        <f ca="1">'6.Summary'!G31</f>
        <v>0</v>
      </c>
      <c r="H63" s="892">
        <f ca="1">'6.Summary'!H31</f>
        <v>0</v>
      </c>
      <c r="I63" s="892">
        <f ca="1">'6.Summary'!I31</f>
        <v>0</v>
      </c>
      <c r="J63" s="892">
        <f ca="1">'6.Summary'!J31</f>
        <v>0</v>
      </c>
      <c r="K63" s="892">
        <f ca="1">'6.Summary'!K31</f>
        <v>0</v>
      </c>
      <c r="L63" s="905"/>
      <c r="M63" s="887"/>
      <c r="O63" s="885"/>
      <c r="P63" s="891" t="s">
        <v>722</v>
      </c>
      <c r="Q63" s="892">
        <f ca="1">'6.Summary'!T31</f>
        <v>0</v>
      </c>
      <c r="R63" s="892">
        <f ca="1">'6.Summary'!U31</f>
        <v>0</v>
      </c>
      <c r="S63" s="892">
        <f ca="1">'6.Summary'!V31</f>
        <v>0</v>
      </c>
      <c r="T63" s="892">
        <f ca="1">'6.Summary'!W31</f>
        <v>0</v>
      </c>
      <c r="U63" s="892">
        <f ca="1">'6.Summary'!X31</f>
        <v>0</v>
      </c>
      <c r="V63" s="892">
        <f ca="1">'6.Summary'!Y31</f>
        <v>0</v>
      </c>
      <c r="W63" s="892">
        <f ca="1">'6.Summary'!Z31</f>
        <v>0</v>
      </c>
      <c r="X63" s="905"/>
      <c r="Y63" s="885"/>
      <c r="Z63" s="891" t="s">
        <v>722</v>
      </c>
      <c r="AA63" s="892">
        <f ca="1">'6.Summary'!AI31</f>
        <v>0</v>
      </c>
      <c r="AB63" s="892">
        <f ca="1">'6.Summary'!AJ31</f>
        <v>0</v>
      </c>
      <c r="AC63" s="892">
        <f ca="1">'6.Summary'!AK31</f>
        <v>0</v>
      </c>
      <c r="AD63" s="892">
        <f ca="1">'6.Summary'!AL31</f>
        <v>0</v>
      </c>
      <c r="AE63" s="892">
        <f ca="1">'6.Summary'!AM31</f>
        <v>0</v>
      </c>
      <c r="AF63" s="892">
        <f ca="1">'6.Summary'!AN31</f>
        <v>0</v>
      </c>
      <c r="AG63" s="892">
        <f ca="1">'6.Summary'!AO31</f>
        <v>0</v>
      </c>
      <c r="AH63" s="905"/>
      <c r="AI63" s="887"/>
    </row>
    <row r="64" spans="3:35" ht="10.199999999999999" customHeight="1" x14ac:dyDescent="0.35">
      <c r="C64" s="885"/>
      <c r="D64" s="891" t="s">
        <v>704</v>
      </c>
      <c r="E64" s="892">
        <f ca="1">'6.Summary'!E32</f>
        <v>6529312</v>
      </c>
      <c r="F64" s="892">
        <f ca="1">'6.Summary'!F32</f>
        <v>2451600</v>
      </c>
      <c r="G64" s="892">
        <f ca="1">'6.Summary'!G32</f>
        <v>1005290</v>
      </c>
      <c r="H64" s="892">
        <f ca="1">'6.Summary'!H32</f>
        <v>2152440</v>
      </c>
      <c r="I64" s="892">
        <f ca="1">'6.Summary'!I32</f>
        <v>919982</v>
      </c>
      <c r="J64" s="892">
        <f ca="1">'6.Summary'!J32</f>
        <v>0</v>
      </c>
      <c r="K64" s="892">
        <f ca="1">'6.Summary'!K32</f>
        <v>0</v>
      </c>
      <c r="L64" s="905"/>
      <c r="M64" s="887"/>
      <c r="O64" s="885"/>
      <c r="P64" s="891" t="s">
        <v>704</v>
      </c>
      <c r="Q64" s="892">
        <f ca="1">'6.Summary'!T32</f>
        <v>6751308</v>
      </c>
      <c r="R64" s="892">
        <f ca="1">'6.Summary'!U32</f>
        <v>2534954</v>
      </c>
      <c r="S64" s="892">
        <f ca="1">'6.Summary'!V32</f>
        <v>1039470</v>
      </c>
      <c r="T64" s="892">
        <f ca="1">'6.Summary'!W32</f>
        <v>2225623</v>
      </c>
      <c r="U64" s="892">
        <f ca="1">'6.Summary'!X32</f>
        <v>951261</v>
      </c>
      <c r="V64" s="892">
        <f ca="1">'6.Summary'!Y32</f>
        <v>0</v>
      </c>
      <c r="W64" s="892">
        <f ca="1">'6.Summary'!Z32</f>
        <v>0</v>
      </c>
      <c r="X64" s="905"/>
      <c r="Y64" s="885"/>
      <c r="Z64" s="891" t="s">
        <v>704</v>
      </c>
      <c r="AA64" s="892">
        <f ca="1">'6.Summary'!AI32</f>
        <v>6967350</v>
      </c>
      <c r="AB64" s="892">
        <f ca="1">'6.Summary'!AJ32</f>
        <v>2616073</v>
      </c>
      <c r="AC64" s="892">
        <f ca="1">'6.Summary'!AK32</f>
        <v>1072733</v>
      </c>
      <c r="AD64" s="892">
        <f ca="1">'6.Summary'!AL32</f>
        <v>2296843</v>
      </c>
      <c r="AE64" s="892">
        <f ca="1">'6.Summary'!AM32</f>
        <v>981701</v>
      </c>
      <c r="AF64" s="892">
        <f ca="1">'6.Summary'!AN32</f>
        <v>0</v>
      </c>
      <c r="AG64" s="892">
        <f ca="1">'6.Summary'!AO32</f>
        <v>0</v>
      </c>
      <c r="AH64" s="905"/>
      <c r="AI64" s="887"/>
    </row>
    <row r="65" spans="3:35" ht="10.199999999999999" customHeight="1" x14ac:dyDescent="0.35">
      <c r="C65" s="885"/>
      <c r="D65" s="891" t="s">
        <v>727</v>
      </c>
      <c r="E65" s="892">
        <f ca="1">'6.Summary'!E33</f>
        <v>871790</v>
      </c>
      <c r="F65" s="892">
        <f ca="1">'6.Summary'!F33</f>
        <v>0</v>
      </c>
      <c r="G65" s="892">
        <f ca="1">'6.Summary'!G33</f>
        <v>0</v>
      </c>
      <c r="H65" s="892">
        <f ca="1">'6.Summary'!H33</f>
        <v>0</v>
      </c>
      <c r="I65" s="892">
        <f ca="1">'6.Summary'!I33</f>
        <v>0</v>
      </c>
      <c r="J65" s="892">
        <f ca="1">'6.Summary'!J33</f>
        <v>0</v>
      </c>
      <c r="K65" s="892">
        <f ca="1">'6.Summary'!K33</f>
        <v>871790</v>
      </c>
      <c r="L65" s="905"/>
      <c r="M65" s="887"/>
      <c r="O65" s="885"/>
      <c r="P65" s="891" t="s">
        <v>727</v>
      </c>
      <c r="Q65" s="892">
        <f ca="1">'6.Summary'!T33</f>
        <v>901431</v>
      </c>
      <c r="R65" s="892">
        <f ca="1">'6.Summary'!U33</f>
        <v>0</v>
      </c>
      <c r="S65" s="892">
        <f ca="1">'6.Summary'!V33</f>
        <v>0</v>
      </c>
      <c r="T65" s="892">
        <f ca="1">'6.Summary'!W33</f>
        <v>0</v>
      </c>
      <c r="U65" s="892">
        <f ca="1">'6.Summary'!X33</f>
        <v>0</v>
      </c>
      <c r="V65" s="892">
        <f ca="1">'6.Summary'!Y33</f>
        <v>0</v>
      </c>
      <c r="W65" s="892">
        <f ca="1">'6.Summary'!Z33</f>
        <v>901431</v>
      </c>
      <c r="X65" s="905"/>
      <c r="Y65" s="885"/>
      <c r="Z65" s="891" t="s">
        <v>727</v>
      </c>
      <c r="AA65" s="892">
        <f ca="1">'6.Summary'!AI33</f>
        <v>930277</v>
      </c>
      <c r="AB65" s="892">
        <f ca="1">'6.Summary'!AJ33</f>
        <v>0</v>
      </c>
      <c r="AC65" s="892">
        <f ca="1">'6.Summary'!AK33</f>
        <v>0</v>
      </c>
      <c r="AD65" s="892">
        <f ca="1">'6.Summary'!AL33</f>
        <v>0</v>
      </c>
      <c r="AE65" s="892">
        <f ca="1">'6.Summary'!AM33</f>
        <v>0</v>
      </c>
      <c r="AF65" s="892">
        <f ca="1">'6.Summary'!AN33</f>
        <v>0</v>
      </c>
      <c r="AG65" s="892">
        <f ca="1">'6.Summary'!AO33</f>
        <v>930277</v>
      </c>
      <c r="AH65" s="905"/>
      <c r="AI65" s="887"/>
    </row>
    <row r="66" spans="3:35" ht="10.199999999999999" customHeight="1" x14ac:dyDescent="0.35">
      <c r="C66" s="885"/>
      <c r="D66" s="891" t="s">
        <v>729</v>
      </c>
      <c r="E66" s="892">
        <f ca="1">'6.Summary'!E34</f>
        <v>18840000</v>
      </c>
      <c r="F66" s="892">
        <f ca="1">'6.Summary'!F34</f>
        <v>0</v>
      </c>
      <c r="G66" s="892">
        <f ca="1">'6.Summary'!G34</f>
        <v>0</v>
      </c>
      <c r="H66" s="892">
        <f ca="1">'6.Summary'!H34</f>
        <v>15000000</v>
      </c>
      <c r="I66" s="892">
        <f ca="1">'6.Summary'!I34</f>
        <v>0</v>
      </c>
      <c r="J66" s="892">
        <f ca="1">'6.Summary'!J34</f>
        <v>0</v>
      </c>
      <c r="K66" s="892">
        <f ca="1">'6.Summary'!K34</f>
        <v>3840000</v>
      </c>
      <c r="L66" s="905"/>
      <c r="M66" s="887"/>
      <c r="O66" s="885"/>
      <c r="P66" s="891" t="s">
        <v>729</v>
      </c>
      <c r="Q66" s="892">
        <f ca="1">'6.Summary'!T34</f>
        <v>19480560</v>
      </c>
      <c r="R66" s="892">
        <f ca="1">'6.Summary'!U34</f>
        <v>0</v>
      </c>
      <c r="S66" s="892">
        <f ca="1">'6.Summary'!V34</f>
        <v>0</v>
      </c>
      <c r="T66" s="892">
        <f ca="1">'6.Summary'!W34</f>
        <v>15510000</v>
      </c>
      <c r="U66" s="892">
        <f ca="1">'6.Summary'!X34</f>
        <v>0</v>
      </c>
      <c r="V66" s="892">
        <f ca="1">'6.Summary'!Y34</f>
        <v>0</v>
      </c>
      <c r="W66" s="892">
        <f ca="1">'6.Summary'!Z34</f>
        <v>3970560</v>
      </c>
      <c r="X66" s="905"/>
      <c r="Y66" s="885"/>
      <c r="Z66" s="891" t="s">
        <v>729</v>
      </c>
      <c r="AA66" s="892">
        <f ca="1">'6.Summary'!AI34</f>
        <v>20103938</v>
      </c>
      <c r="AB66" s="892">
        <f ca="1">'6.Summary'!AJ34</f>
        <v>0</v>
      </c>
      <c r="AC66" s="892">
        <f ca="1">'6.Summary'!AK34</f>
        <v>0</v>
      </c>
      <c r="AD66" s="892">
        <f ca="1">'6.Summary'!AL34</f>
        <v>16006320</v>
      </c>
      <c r="AE66" s="892">
        <f ca="1">'6.Summary'!AM34</f>
        <v>0</v>
      </c>
      <c r="AF66" s="892">
        <f ca="1">'6.Summary'!AN34</f>
        <v>0</v>
      </c>
      <c r="AG66" s="892">
        <f ca="1">'6.Summary'!AO34</f>
        <v>4097618</v>
      </c>
      <c r="AH66" s="905"/>
      <c r="AI66" s="887"/>
    </row>
    <row r="67" spans="3:35" ht="10.199999999999999" customHeight="1" x14ac:dyDescent="0.35">
      <c r="C67" s="885"/>
      <c r="D67" s="891" t="s">
        <v>731</v>
      </c>
      <c r="E67" s="892">
        <f ca="1">'6.Summary'!E35</f>
        <v>0</v>
      </c>
      <c r="F67" s="892">
        <f ca="1">'6.Summary'!F35</f>
        <v>0</v>
      </c>
      <c r="G67" s="892">
        <f ca="1">'6.Summary'!G35</f>
        <v>0</v>
      </c>
      <c r="H67" s="892">
        <f ca="1">'6.Summary'!H35</f>
        <v>0</v>
      </c>
      <c r="I67" s="892">
        <f ca="1">'6.Summary'!I35</f>
        <v>0</v>
      </c>
      <c r="J67" s="892">
        <f ca="1">'6.Summary'!J35</f>
        <v>0</v>
      </c>
      <c r="K67" s="892">
        <f ca="1">'6.Summary'!K35</f>
        <v>0</v>
      </c>
      <c r="L67" s="905"/>
      <c r="M67" s="887"/>
      <c r="O67" s="885"/>
      <c r="P67" s="891" t="s">
        <v>731</v>
      </c>
      <c r="Q67" s="892">
        <f ca="1">'6.Summary'!T35</f>
        <v>0</v>
      </c>
      <c r="R67" s="892">
        <f ca="1">'6.Summary'!U35</f>
        <v>0</v>
      </c>
      <c r="S67" s="892">
        <f ca="1">'6.Summary'!V35</f>
        <v>0</v>
      </c>
      <c r="T67" s="892">
        <f ca="1">'6.Summary'!W35</f>
        <v>0</v>
      </c>
      <c r="U67" s="892">
        <f ca="1">'6.Summary'!X35</f>
        <v>0</v>
      </c>
      <c r="V67" s="892">
        <f ca="1">'6.Summary'!Y35</f>
        <v>0</v>
      </c>
      <c r="W67" s="892">
        <f ca="1">'6.Summary'!Z35</f>
        <v>0</v>
      </c>
      <c r="X67" s="905"/>
      <c r="Y67" s="885"/>
      <c r="Z67" s="891" t="s">
        <v>731</v>
      </c>
      <c r="AA67" s="892">
        <f ca="1">'6.Summary'!AI35</f>
        <v>0</v>
      </c>
      <c r="AB67" s="892">
        <f ca="1">'6.Summary'!AJ35</f>
        <v>0</v>
      </c>
      <c r="AC67" s="892">
        <f ca="1">'6.Summary'!AK35</f>
        <v>0</v>
      </c>
      <c r="AD67" s="892">
        <f ca="1">'6.Summary'!AL35</f>
        <v>0</v>
      </c>
      <c r="AE67" s="892">
        <f ca="1">'6.Summary'!AM35</f>
        <v>0</v>
      </c>
      <c r="AF67" s="892">
        <f ca="1">'6.Summary'!AN35</f>
        <v>0</v>
      </c>
      <c r="AG67" s="892">
        <f ca="1">'6.Summary'!AO35</f>
        <v>0</v>
      </c>
      <c r="AH67" s="905"/>
      <c r="AI67" s="887"/>
    </row>
    <row r="68" spans="3:35" ht="10.199999999999999" customHeight="1" x14ac:dyDescent="0.35">
      <c r="C68" s="885"/>
      <c r="E68" s="892"/>
      <c r="F68" s="892"/>
      <c r="G68" s="892"/>
      <c r="H68" s="892"/>
      <c r="I68" s="892"/>
      <c r="J68" s="892"/>
      <c r="K68" s="892"/>
      <c r="L68" s="905"/>
      <c r="M68" s="887"/>
      <c r="O68" s="885"/>
      <c r="Q68" s="892"/>
      <c r="R68" s="892"/>
      <c r="S68" s="892"/>
      <c r="T68" s="892"/>
      <c r="U68" s="892"/>
      <c r="V68" s="892"/>
      <c r="W68" s="892"/>
      <c r="X68" s="905"/>
      <c r="Y68" s="885"/>
      <c r="AA68" s="892"/>
      <c r="AB68" s="892"/>
      <c r="AC68" s="892"/>
      <c r="AD68" s="892"/>
      <c r="AE68" s="892"/>
      <c r="AF68" s="892"/>
      <c r="AG68" s="892"/>
      <c r="AH68" s="905"/>
      <c r="AI68" s="887"/>
    </row>
    <row r="69" spans="3:35" ht="10.199999999999999" customHeight="1" x14ac:dyDescent="0.35">
      <c r="C69" s="885"/>
      <c r="E69" s="892"/>
      <c r="F69" s="892"/>
      <c r="G69" s="892"/>
      <c r="H69" s="892"/>
      <c r="I69" s="892"/>
      <c r="J69" s="892"/>
      <c r="K69" s="892"/>
      <c r="L69" s="905"/>
      <c r="M69" s="887"/>
      <c r="O69" s="885"/>
      <c r="Q69" s="892"/>
      <c r="R69" s="892"/>
      <c r="S69" s="892"/>
      <c r="T69" s="892"/>
      <c r="U69" s="892"/>
      <c r="V69" s="892"/>
      <c r="W69" s="892"/>
      <c r="X69" s="905"/>
      <c r="Y69" s="885"/>
      <c r="AA69" s="892"/>
      <c r="AB69" s="892"/>
      <c r="AC69" s="892"/>
      <c r="AD69" s="892"/>
      <c r="AE69" s="892"/>
      <c r="AF69" s="892"/>
      <c r="AG69" s="892"/>
      <c r="AH69" s="905"/>
      <c r="AI69" s="887"/>
    </row>
    <row r="70" spans="3:35" ht="10.199999999999999" customHeight="1" x14ac:dyDescent="0.35">
      <c r="C70" s="885"/>
      <c r="E70" s="892"/>
      <c r="F70" s="892"/>
      <c r="G70" s="892"/>
      <c r="H70" s="892"/>
      <c r="I70" s="892"/>
      <c r="J70" s="892"/>
      <c r="K70" s="892"/>
      <c r="L70" s="905">
        <f>SUM(F70:K70)-E70</f>
        <v>0</v>
      </c>
      <c r="M70" s="887"/>
      <c r="O70" s="885"/>
      <c r="Q70" s="892"/>
      <c r="R70" s="892"/>
      <c r="S70" s="892"/>
      <c r="T70" s="892"/>
      <c r="U70" s="892"/>
      <c r="V70" s="892"/>
      <c r="W70" s="892"/>
      <c r="X70" s="905">
        <f>SUM(R70:W70)-Q70</f>
        <v>0</v>
      </c>
      <c r="Y70" s="885"/>
      <c r="AA70" s="892"/>
      <c r="AB70" s="892"/>
      <c r="AC70" s="892"/>
      <c r="AD70" s="892"/>
      <c r="AE70" s="892"/>
      <c r="AF70" s="892"/>
      <c r="AG70" s="892"/>
      <c r="AH70" s="905">
        <f>SUM(AB70:AG70)-AA70</f>
        <v>0</v>
      </c>
      <c r="AI70" s="887"/>
    </row>
    <row r="71" spans="3:35" ht="10.199999999999999" customHeight="1" x14ac:dyDescent="0.35">
      <c r="C71" s="885"/>
      <c r="E71" s="892"/>
      <c r="F71" s="892"/>
      <c r="G71" s="892"/>
      <c r="H71" s="892"/>
      <c r="I71" s="892"/>
      <c r="J71" s="892"/>
      <c r="K71" s="892"/>
      <c r="L71" s="905">
        <f>SUM(F71:K71)-E71</f>
        <v>0</v>
      </c>
      <c r="M71" s="887"/>
      <c r="O71" s="885"/>
      <c r="Q71" s="892"/>
      <c r="R71" s="892"/>
      <c r="S71" s="892"/>
      <c r="T71" s="892"/>
      <c r="U71" s="892"/>
      <c r="V71" s="892"/>
      <c r="W71" s="892"/>
      <c r="X71" s="905">
        <f>SUM(R71:W71)-Q71</f>
        <v>0</v>
      </c>
      <c r="Y71" s="885"/>
      <c r="AA71" s="892"/>
      <c r="AB71" s="892"/>
      <c r="AC71" s="892"/>
      <c r="AD71" s="892"/>
      <c r="AE71" s="892"/>
      <c r="AF71" s="892"/>
      <c r="AG71" s="892"/>
      <c r="AH71" s="905">
        <f>SUM(AB71:AG71)-AA71</f>
        <v>0</v>
      </c>
      <c r="AI71" s="887"/>
    </row>
    <row r="72" spans="3:35" ht="10.199999999999999" customHeight="1" x14ac:dyDescent="0.35">
      <c r="C72" s="885"/>
      <c r="D72" s="886" t="s">
        <v>15</v>
      </c>
      <c r="E72" s="895">
        <f t="shared" ref="E72:K72" ca="1" si="9">SUM(E47:E71)</f>
        <v>130755138</v>
      </c>
      <c r="F72" s="895">
        <f t="shared" ca="1" si="9"/>
        <v>2451600</v>
      </c>
      <c r="G72" s="895">
        <f t="shared" ca="1" si="9"/>
        <v>8971825</v>
      </c>
      <c r="H72" s="895">
        <f t="shared" ca="1" si="9"/>
        <v>17372440</v>
      </c>
      <c r="I72" s="895">
        <f t="shared" ca="1" si="9"/>
        <v>920982</v>
      </c>
      <c r="J72" s="895">
        <f t="shared" ca="1" si="9"/>
        <v>52681000</v>
      </c>
      <c r="K72" s="895">
        <f t="shared" ca="1" si="9"/>
        <v>48357291</v>
      </c>
      <c r="L72" s="905">
        <f ca="1">SUM(F72:K72)-E72</f>
        <v>0</v>
      </c>
      <c r="M72" s="887"/>
      <c r="O72" s="885"/>
      <c r="P72" s="886" t="s">
        <v>15</v>
      </c>
      <c r="Q72" s="909">
        <f t="shared" ref="Q72:W72" ca="1" si="10">SUM(Q47:Q71)</f>
        <v>135159452</v>
      </c>
      <c r="R72" s="910">
        <f t="shared" ca="1" si="10"/>
        <v>2534954</v>
      </c>
      <c r="S72" s="910">
        <f t="shared" ca="1" si="10"/>
        <v>9276867</v>
      </c>
      <c r="T72" s="910">
        <f t="shared" ca="1" si="10"/>
        <v>17963103</v>
      </c>
      <c r="U72" s="910">
        <f t="shared" ca="1" si="10"/>
        <v>952295</v>
      </c>
      <c r="V72" s="910">
        <f t="shared" ca="1" si="10"/>
        <v>54472154</v>
      </c>
      <c r="W72" s="911">
        <f t="shared" ca="1" si="10"/>
        <v>49960079</v>
      </c>
      <c r="X72" s="905">
        <f ca="1">SUM(R72:W72)-Q72</f>
        <v>0</v>
      </c>
      <c r="Y72" s="885"/>
      <c r="Z72" s="886" t="s">
        <v>15</v>
      </c>
      <c r="AA72" s="909">
        <f t="shared" ref="AA72:AG72" ca="1" si="11">SUM(AA47:AA71)</f>
        <v>139484556</v>
      </c>
      <c r="AB72" s="910">
        <f t="shared" ca="1" si="11"/>
        <v>2616073</v>
      </c>
      <c r="AC72" s="910">
        <f t="shared" ca="1" si="11"/>
        <v>9573727</v>
      </c>
      <c r="AD72" s="910">
        <f t="shared" ca="1" si="11"/>
        <v>18537922</v>
      </c>
      <c r="AE72" s="910">
        <f t="shared" ca="1" si="11"/>
        <v>982768</v>
      </c>
      <c r="AF72" s="910">
        <f t="shared" ca="1" si="11"/>
        <v>56215264</v>
      </c>
      <c r="AG72" s="911">
        <f t="shared" ca="1" si="11"/>
        <v>51558802</v>
      </c>
      <c r="AH72" s="905">
        <f ca="1">SUM(AB72:AG72)-AA72</f>
        <v>0</v>
      </c>
      <c r="AI72" s="887"/>
    </row>
    <row r="73" spans="3:35" ht="10.199999999999999" customHeight="1" thickBot="1" x14ac:dyDescent="0.4">
      <c r="C73" s="896"/>
      <c r="D73" s="897"/>
      <c r="E73" s="912"/>
      <c r="F73" s="898"/>
      <c r="G73" s="898"/>
      <c r="H73" s="898"/>
      <c r="I73" s="898"/>
      <c r="J73" s="898"/>
      <c r="K73" s="898"/>
      <c r="L73" s="898"/>
      <c r="M73" s="899"/>
      <c r="O73" s="896"/>
      <c r="P73" s="897"/>
      <c r="Q73" s="912"/>
      <c r="R73" s="898"/>
      <c r="S73" s="898"/>
      <c r="T73" s="898"/>
      <c r="U73" s="898"/>
      <c r="V73" s="898"/>
      <c r="W73" s="898"/>
      <c r="X73" s="898"/>
      <c r="Y73" s="896"/>
      <c r="Z73" s="897"/>
      <c r="AA73" s="912"/>
      <c r="AB73" s="898"/>
      <c r="AC73" s="898"/>
      <c r="AD73" s="898"/>
      <c r="AE73" s="898"/>
      <c r="AF73" s="898"/>
      <c r="AG73" s="898"/>
      <c r="AH73" s="898"/>
      <c r="AI73" s="899"/>
    </row>
    <row r="74" spans="3:35" ht="10.199999999999999" customHeight="1" thickBot="1" x14ac:dyDescent="0.4">
      <c r="D74" s="886"/>
      <c r="E74" s="913"/>
      <c r="F74" s="895"/>
      <c r="G74" s="895"/>
      <c r="H74" s="895"/>
      <c r="I74" s="895"/>
      <c r="J74" s="895"/>
      <c r="K74" s="895"/>
      <c r="L74" s="895"/>
      <c r="P74" s="886"/>
      <c r="Q74" s="913"/>
      <c r="R74" s="895"/>
      <c r="S74" s="895"/>
      <c r="T74" s="895"/>
      <c r="U74" s="895"/>
      <c r="V74" s="895"/>
      <c r="W74" s="895"/>
      <c r="X74" s="895"/>
      <c r="Z74" s="886"/>
      <c r="AA74" s="913"/>
      <c r="AB74" s="895"/>
      <c r="AC74" s="895"/>
      <c r="AD74" s="895"/>
      <c r="AE74" s="895"/>
      <c r="AF74" s="895"/>
      <c r="AG74" s="895"/>
      <c r="AH74" s="895"/>
    </row>
    <row r="75" spans="3:35" ht="10.199999999999999" customHeight="1" x14ac:dyDescent="0.35">
      <c r="C75" s="882"/>
      <c r="D75" s="900"/>
      <c r="E75" s="914"/>
      <c r="F75" s="915"/>
      <c r="G75" s="915"/>
      <c r="H75" s="915"/>
      <c r="I75" s="915"/>
      <c r="J75" s="915"/>
      <c r="K75" s="915"/>
      <c r="L75" s="915"/>
      <c r="M75" s="884"/>
      <c r="O75" s="882"/>
      <c r="P75" s="900"/>
      <c r="Q75" s="914"/>
      <c r="R75" s="915"/>
      <c r="S75" s="915"/>
      <c r="T75" s="915"/>
      <c r="U75" s="915"/>
      <c r="V75" s="915"/>
      <c r="W75" s="915"/>
      <c r="X75" s="915"/>
      <c r="Y75" s="882"/>
      <c r="Z75" s="900"/>
      <c r="AA75" s="914"/>
      <c r="AB75" s="915"/>
      <c r="AC75" s="915"/>
      <c r="AD75" s="915"/>
      <c r="AE75" s="915"/>
      <c r="AF75" s="915"/>
      <c r="AG75" s="915"/>
      <c r="AH75" s="915"/>
      <c r="AI75" s="884"/>
    </row>
    <row r="76" spans="3:35" ht="10.199999999999999" customHeight="1" x14ac:dyDescent="0.35">
      <c r="C76" s="885"/>
      <c r="D76" s="886" t="s">
        <v>113</v>
      </c>
      <c r="E76" s="913"/>
      <c r="F76" s="895"/>
      <c r="G76" s="895"/>
      <c r="H76" s="895"/>
      <c r="I76" s="895"/>
      <c r="J76" s="895"/>
      <c r="K76" s="895"/>
      <c r="L76" s="895"/>
      <c r="M76" s="887"/>
      <c r="O76" s="885"/>
      <c r="P76" s="886" t="s">
        <v>113</v>
      </c>
      <c r="Q76" s="913"/>
      <c r="R76" s="895"/>
      <c r="S76" s="895"/>
      <c r="T76" s="895"/>
      <c r="U76" s="895"/>
      <c r="V76" s="895"/>
      <c r="W76" s="895"/>
      <c r="X76" s="895"/>
      <c r="Y76" s="885"/>
      <c r="Z76" s="886" t="s">
        <v>113</v>
      </c>
      <c r="AA76" s="913"/>
      <c r="AB76" s="895"/>
      <c r="AC76" s="895"/>
      <c r="AD76" s="895"/>
      <c r="AE76" s="895"/>
      <c r="AF76" s="895"/>
      <c r="AG76" s="895"/>
      <c r="AH76" s="895"/>
      <c r="AI76" s="887"/>
    </row>
    <row r="77" spans="3:35" ht="10.199999999999999" customHeight="1" x14ac:dyDescent="0.35">
      <c r="C77" s="885"/>
      <c r="D77" s="1793" t="s">
        <v>878</v>
      </c>
      <c r="E77" s="1793"/>
      <c r="F77" s="1793"/>
      <c r="G77" s="1793"/>
      <c r="H77" s="1793"/>
      <c r="I77" s="1793"/>
      <c r="J77" s="895"/>
      <c r="K77" s="895"/>
      <c r="L77" s="895"/>
      <c r="M77" s="887"/>
      <c r="O77" s="885"/>
      <c r="P77" s="1793" t="s">
        <v>878</v>
      </c>
      <c r="Q77" s="1793"/>
      <c r="R77" s="1793"/>
      <c r="S77" s="1793"/>
      <c r="T77" s="1793"/>
      <c r="U77" s="1793"/>
      <c r="V77" s="895"/>
      <c r="W77" s="895"/>
      <c r="X77" s="895"/>
      <c r="Y77" s="885"/>
      <c r="Z77" s="1793" t="s">
        <v>878</v>
      </c>
      <c r="AA77" s="1793"/>
      <c r="AB77" s="1793"/>
      <c r="AC77" s="1793"/>
      <c r="AD77" s="1793"/>
      <c r="AE77" s="1793"/>
      <c r="AF77" s="895"/>
      <c r="AG77" s="895"/>
      <c r="AH77" s="895"/>
      <c r="AI77" s="887"/>
    </row>
    <row r="78" spans="3:35" x14ac:dyDescent="0.35">
      <c r="C78" s="885"/>
      <c r="D78" s="1793"/>
      <c r="E78" s="1793"/>
      <c r="F78" s="1793"/>
      <c r="G78" s="1793"/>
      <c r="H78" s="1793"/>
      <c r="I78" s="1793"/>
      <c r="J78" s="895"/>
      <c r="K78" s="895"/>
      <c r="L78" s="895"/>
      <c r="M78" s="887"/>
      <c r="O78" s="885"/>
      <c r="P78" s="1793"/>
      <c r="Q78" s="1793"/>
      <c r="R78" s="1793"/>
      <c r="S78" s="1793"/>
      <c r="T78" s="1793"/>
      <c r="U78" s="1793"/>
      <c r="V78" s="895"/>
      <c r="W78" s="895"/>
      <c r="X78" s="895"/>
      <c r="Y78" s="885"/>
      <c r="Z78" s="1793"/>
      <c r="AA78" s="1793"/>
      <c r="AB78" s="1793"/>
      <c r="AC78" s="1793"/>
      <c r="AD78" s="1793"/>
      <c r="AE78" s="1793"/>
      <c r="AF78" s="895"/>
      <c r="AG78" s="895"/>
      <c r="AH78" s="895"/>
      <c r="AI78" s="887"/>
    </row>
    <row r="79" spans="3:35" ht="10.199999999999999" customHeight="1" x14ac:dyDescent="0.35">
      <c r="C79" s="885"/>
      <c r="D79" s="916"/>
      <c r="E79" s="916"/>
      <c r="F79" s="916"/>
      <c r="G79" s="916"/>
      <c r="H79" s="916"/>
      <c r="I79" s="916"/>
      <c r="J79" s="895"/>
      <c r="K79" s="895"/>
      <c r="L79" s="895"/>
      <c r="M79" s="887"/>
      <c r="O79" s="885"/>
      <c r="P79" s="916"/>
      <c r="Q79" s="916"/>
      <c r="R79" s="916"/>
      <c r="S79" s="916"/>
      <c r="T79" s="916"/>
      <c r="U79" s="916"/>
      <c r="V79" s="895"/>
      <c r="W79" s="895"/>
      <c r="X79" s="895"/>
      <c r="Y79" s="885"/>
      <c r="Z79" s="916"/>
      <c r="AA79" s="916"/>
      <c r="AB79" s="916"/>
      <c r="AC79" s="916"/>
      <c r="AD79" s="916"/>
      <c r="AE79" s="916"/>
      <c r="AF79" s="895"/>
      <c r="AG79" s="895"/>
      <c r="AH79" s="895"/>
      <c r="AI79" s="887"/>
    </row>
    <row r="80" spans="3:35" ht="10.199999999999999" customHeight="1" x14ac:dyDescent="0.35">
      <c r="C80" s="885"/>
      <c r="D80" s="888" t="s">
        <v>114</v>
      </c>
      <c r="E80" s="917" t="s">
        <v>230</v>
      </c>
      <c r="F80" s="903" t="s">
        <v>291</v>
      </c>
      <c r="G80" s="903" t="s">
        <v>243</v>
      </c>
      <c r="H80" s="903" t="s">
        <v>244</v>
      </c>
      <c r="I80" s="903" t="s">
        <v>286</v>
      </c>
      <c r="J80" s="918"/>
      <c r="K80" s="895"/>
      <c r="L80" s="895"/>
      <c r="M80" s="887"/>
      <c r="O80" s="885"/>
      <c r="P80" s="888" t="s">
        <v>114</v>
      </c>
      <c r="Q80" s="917" t="s">
        <v>230</v>
      </c>
      <c r="R80" s="903" t="s">
        <v>291</v>
      </c>
      <c r="S80" s="903" t="s">
        <v>243</v>
      </c>
      <c r="T80" s="903" t="s">
        <v>244</v>
      </c>
      <c r="U80" s="903" t="s">
        <v>286</v>
      </c>
      <c r="V80" s="918"/>
      <c r="W80" s="895"/>
      <c r="X80" s="895"/>
      <c r="Y80" s="885"/>
      <c r="Z80" s="888" t="s">
        <v>114</v>
      </c>
      <c r="AA80" s="917" t="s">
        <v>230</v>
      </c>
      <c r="AB80" s="903" t="s">
        <v>291</v>
      </c>
      <c r="AC80" s="903" t="s">
        <v>243</v>
      </c>
      <c r="AD80" s="903" t="s">
        <v>244</v>
      </c>
      <c r="AE80" s="903" t="s">
        <v>286</v>
      </c>
      <c r="AF80" s="918"/>
      <c r="AG80" s="895"/>
      <c r="AH80" s="895"/>
      <c r="AI80" s="887"/>
    </row>
    <row r="81" spans="3:35" ht="10.199999999999999" customHeight="1" x14ac:dyDescent="0.35">
      <c r="C81" s="885"/>
      <c r="D81" s="919" t="s">
        <v>46</v>
      </c>
      <c r="E81" s="920">
        <f>SUM(E82:E85)</f>
        <v>0</v>
      </c>
      <c r="F81" s="920">
        <f>SUM(F82:F85)</f>
        <v>0</v>
      </c>
      <c r="G81" s="888"/>
      <c r="H81" s="888"/>
      <c r="I81" s="921"/>
      <c r="J81" s="895"/>
      <c r="K81" s="895"/>
      <c r="L81" s="895"/>
      <c r="M81" s="887"/>
      <c r="O81" s="885"/>
      <c r="P81" s="919" t="s">
        <v>46</v>
      </c>
      <c r="Q81" s="920">
        <f>SUM(Q82:Q85)</f>
        <v>0</v>
      </c>
      <c r="R81" s="920">
        <f>SUM(R82:R85)</f>
        <v>0</v>
      </c>
      <c r="S81" s="888"/>
      <c r="T81" s="888"/>
      <c r="U81" s="921"/>
      <c r="V81" s="895"/>
      <c r="W81" s="895"/>
      <c r="X81" s="895"/>
      <c r="Y81" s="885"/>
      <c r="Z81" s="919" t="s">
        <v>46</v>
      </c>
      <c r="AA81" s="920">
        <f>SUM(AA82:AA85)</f>
        <v>0</v>
      </c>
      <c r="AB81" s="920">
        <f>SUM(AB82:AB85)</f>
        <v>0</v>
      </c>
      <c r="AC81" s="888"/>
      <c r="AD81" s="888"/>
      <c r="AE81" s="921"/>
      <c r="AF81" s="895"/>
      <c r="AG81" s="895"/>
      <c r="AH81" s="895"/>
      <c r="AI81" s="887"/>
    </row>
    <row r="82" spans="3:35" ht="10.199999999999999" customHeight="1" x14ac:dyDescent="0.35">
      <c r="C82" s="885"/>
      <c r="D82" s="922" t="s">
        <v>124</v>
      </c>
      <c r="E82" s="923"/>
      <c r="F82" s="924"/>
      <c r="G82" s="925"/>
      <c r="H82" s="925"/>
      <c r="I82" s="925"/>
      <c r="J82" s="895"/>
      <c r="K82" s="895"/>
      <c r="L82" s="895"/>
      <c r="M82" s="887"/>
      <c r="O82" s="885"/>
      <c r="P82" s="922" t="s">
        <v>124</v>
      </c>
      <c r="Q82" s="923"/>
      <c r="R82" s="924"/>
      <c r="S82" s="925"/>
      <c r="T82" s="925"/>
      <c r="U82" s="925"/>
      <c r="V82" s="895"/>
      <c r="W82" s="895"/>
      <c r="X82" s="895"/>
      <c r="Y82" s="885"/>
      <c r="Z82" s="922" t="s">
        <v>124</v>
      </c>
      <c r="AA82" s="923"/>
      <c r="AB82" s="924"/>
      <c r="AC82" s="925"/>
      <c r="AD82" s="925"/>
      <c r="AE82" s="925"/>
      <c r="AF82" s="895"/>
      <c r="AG82" s="895"/>
      <c r="AH82" s="895"/>
      <c r="AI82" s="887"/>
    </row>
    <row r="83" spans="3:35" ht="10.199999999999999" customHeight="1" x14ac:dyDescent="0.35">
      <c r="C83" s="885"/>
      <c r="D83" s="926" t="s">
        <v>119</v>
      </c>
      <c r="E83" s="923"/>
      <c r="F83" s="924"/>
      <c r="G83" s="925"/>
      <c r="H83" s="925"/>
      <c r="I83" s="925"/>
      <c r="J83" s="895"/>
      <c r="K83" s="895"/>
      <c r="L83" s="895"/>
      <c r="M83" s="887"/>
      <c r="O83" s="885"/>
      <c r="P83" s="926" t="s">
        <v>119</v>
      </c>
      <c r="Q83" s="923"/>
      <c r="R83" s="924"/>
      <c r="S83" s="925"/>
      <c r="T83" s="925"/>
      <c r="U83" s="925"/>
      <c r="V83" s="895"/>
      <c r="W83" s="895"/>
      <c r="X83" s="895"/>
      <c r="Y83" s="885"/>
      <c r="Z83" s="926" t="s">
        <v>119</v>
      </c>
      <c r="AA83" s="923"/>
      <c r="AB83" s="924"/>
      <c r="AC83" s="925"/>
      <c r="AD83" s="925"/>
      <c r="AE83" s="925"/>
      <c r="AF83" s="895"/>
      <c r="AG83" s="895"/>
      <c r="AH83" s="895"/>
      <c r="AI83" s="887"/>
    </row>
    <row r="84" spans="3:35" ht="10.199999999999999" customHeight="1" x14ac:dyDescent="0.35">
      <c r="C84" s="885"/>
      <c r="D84" s="922" t="s">
        <v>125</v>
      </c>
      <c r="E84" s="923"/>
      <c r="F84" s="924"/>
      <c r="G84" s="925"/>
      <c r="H84" s="925"/>
      <c r="I84" s="925"/>
      <c r="J84" s="895"/>
      <c r="K84" s="895"/>
      <c r="L84" s="895"/>
      <c r="M84" s="887"/>
      <c r="O84" s="885"/>
      <c r="P84" s="922" t="s">
        <v>125</v>
      </c>
      <c r="Q84" s="923"/>
      <c r="R84" s="924"/>
      <c r="S84" s="925"/>
      <c r="T84" s="925"/>
      <c r="U84" s="925"/>
      <c r="V84" s="895"/>
      <c r="W84" s="895"/>
      <c r="X84" s="895"/>
      <c r="Y84" s="885"/>
      <c r="Z84" s="922" t="s">
        <v>125</v>
      </c>
      <c r="AA84" s="923"/>
      <c r="AB84" s="924"/>
      <c r="AC84" s="925"/>
      <c r="AD84" s="925"/>
      <c r="AE84" s="925"/>
      <c r="AF84" s="895"/>
      <c r="AG84" s="895"/>
      <c r="AH84" s="895"/>
      <c r="AI84" s="887"/>
    </row>
    <row r="85" spans="3:35" ht="10.199999999999999" customHeight="1" x14ac:dyDescent="0.35">
      <c r="C85" s="885"/>
      <c r="D85" s="922" t="s">
        <v>123</v>
      </c>
      <c r="E85" s="923"/>
      <c r="F85" s="924"/>
      <c r="G85" s="925"/>
      <c r="H85" s="925"/>
      <c r="I85" s="925"/>
      <c r="J85" s="895"/>
      <c r="K85" s="895"/>
      <c r="L85" s="895"/>
      <c r="M85" s="887"/>
      <c r="O85" s="885"/>
      <c r="P85" s="922" t="s">
        <v>123</v>
      </c>
      <c r="Q85" s="923"/>
      <c r="R85" s="924"/>
      <c r="S85" s="925"/>
      <c r="T85" s="925"/>
      <c r="U85" s="925"/>
      <c r="V85" s="895"/>
      <c r="W85" s="895"/>
      <c r="X85" s="895"/>
      <c r="Y85" s="885"/>
      <c r="Z85" s="922" t="s">
        <v>123</v>
      </c>
      <c r="AA85" s="923"/>
      <c r="AB85" s="924"/>
      <c r="AC85" s="925"/>
      <c r="AD85" s="925"/>
      <c r="AE85" s="925"/>
      <c r="AF85" s="895"/>
      <c r="AG85" s="895"/>
      <c r="AH85" s="895"/>
      <c r="AI85" s="887"/>
    </row>
    <row r="86" spans="3:35" ht="10.199999999999999" customHeight="1" x14ac:dyDescent="0.35">
      <c r="C86" s="885"/>
      <c r="D86" s="927"/>
      <c r="E86" s="923"/>
      <c r="F86" s="925"/>
      <c r="G86" s="925"/>
      <c r="H86" s="925"/>
      <c r="I86" s="925"/>
      <c r="J86" s="895"/>
      <c r="K86" s="895"/>
      <c r="L86" s="895"/>
      <c r="M86" s="887"/>
      <c r="O86" s="885"/>
      <c r="P86" s="927"/>
      <c r="Q86" s="923"/>
      <c r="R86" s="925"/>
      <c r="S86" s="925"/>
      <c r="T86" s="925"/>
      <c r="U86" s="925"/>
      <c r="V86" s="895"/>
      <c r="W86" s="895"/>
      <c r="X86" s="895"/>
      <c r="Y86" s="885"/>
      <c r="Z86" s="927"/>
      <c r="AA86" s="923"/>
      <c r="AB86" s="925"/>
      <c r="AC86" s="925"/>
      <c r="AD86" s="925"/>
      <c r="AE86" s="925"/>
      <c r="AF86" s="895"/>
      <c r="AG86" s="895"/>
      <c r="AH86" s="895"/>
      <c r="AI86" s="887"/>
    </row>
    <row r="87" spans="3:35" ht="10.199999999999999" customHeight="1" x14ac:dyDescent="0.35">
      <c r="C87" s="885"/>
      <c r="D87" s="928" t="s">
        <v>126</v>
      </c>
      <c r="E87" s="923">
        <f>SUM(E88:E92)</f>
        <v>0</v>
      </c>
      <c r="F87" s="923"/>
      <c r="G87" s="923">
        <f>SUM(G88:G92)</f>
        <v>0</v>
      </c>
      <c r="H87" s="925"/>
      <c r="I87" s="925"/>
      <c r="J87" s="895"/>
      <c r="K87" s="895"/>
      <c r="L87" s="895"/>
      <c r="M87" s="887"/>
      <c r="O87" s="885"/>
      <c r="P87" s="928" t="s">
        <v>126</v>
      </c>
      <c r="Q87" s="923">
        <f>SUM(Q88:Q92)</f>
        <v>0</v>
      </c>
      <c r="R87" s="923"/>
      <c r="S87" s="923">
        <f>SUM(S88:S92)</f>
        <v>0</v>
      </c>
      <c r="T87" s="925"/>
      <c r="U87" s="925"/>
      <c r="V87" s="895"/>
      <c r="W87" s="895"/>
      <c r="X87" s="895"/>
      <c r="Y87" s="885"/>
      <c r="Z87" s="928" t="s">
        <v>126</v>
      </c>
      <c r="AA87" s="923">
        <f>SUM(AA88:AA92)</f>
        <v>0</v>
      </c>
      <c r="AB87" s="923"/>
      <c r="AC87" s="923">
        <f>SUM(AC88:AC92)</f>
        <v>0</v>
      </c>
      <c r="AD87" s="925"/>
      <c r="AE87" s="925"/>
      <c r="AF87" s="895"/>
      <c r="AG87" s="895"/>
      <c r="AH87" s="895"/>
      <c r="AI87" s="887"/>
    </row>
    <row r="88" spans="3:35" ht="10.199999999999999" customHeight="1" x14ac:dyDescent="0.35">
      <c r="C88" s="885"/>
      <c r="D88" s="922" t="s">
        <v>127</v>
      </c>
      <c r="E88" s="923"/>
      <c r="F88" s="925"/>
      <c r="G88" s="924"/>
      <c r="H88" s="925"/>
      <c r="I88" s="925"/>
      <c r="J88" s="895"/>
      <c r="K88" s="895"/>
      <c r="L88" s="895"/>
      <c r="M88" s="887"/>
      <c r="O88" s="885"/>
      <c r="P88" s="922" t="s">
        <v>127</v>
      </c>
      <c r="Q88" s="923"/>
      <c r="R88" s="925"/>
      <c r="S88" s="924"/>
      <c r="T88" s="925"/>
      <c r="U88" s="925"/>
      <c r="V88" s="895"/>
      <c r="W88" s="895"/>
      <c r="X88" s="895"/>
      <c r="Y88" s="885"/>
      <c r="Z88" s="922" t="s">
        <v>127</v>
      </c>
      <c r="AA88" s="923"/>
      <c r="AB88" s="925"/>
      <c r="AC88" s="924"/>
      <c r="AD88" s="925"/>
      <c r="AE88" s="925"/>
      <c r="AF88" s="895"/>
      <c r="AG88" s="895"/>
      <c r="AH88" s="895"/>
      <c r="AI88" s="887"/>
    </row>
    <row r="89" spans="3:35" ht="10.199999999999999" customHeight="1" x14ac:dyDescent="0.35">
      <c r="C89" s="885"/>
      <c r="D89" s="926" t="s">
        <v>128</v>
      </c>
      <c r="E89" s="923"/>
      <c r="F89" s="925"/>
      <c r="G89" s="924"/>
      <c r="H89" s="925"/>
      <c r="I89" s="925"/>
      <c r="J89" s="895"/>
      <c r="K89" s="895"/>
      <c r="L89" s="895"/>
      <c r="M89" s="887"/>
      <c r="O89" s="885"/>
      <c r="P89" s="926" t="s">
        <v>128</v>
      </c>
      <c r="Q89" s="923"/>
      <c r="R89" s="925"/>
      <c r="S89" s="924"/>
      <c r="T89" s="925"/>
      <c r="U89" s="925"/>
      <c r="V89" s="895"/>
      <c r="W89" s="895"/>
      <c r="X89" s="895"/>
      <c r="Y89" s="885"/>
      <c r="Z89" s="926" t="s">
        <v>128</v>
      </c>
      <c r="AA89" s="923"/>
      <c r="AB89" s="925"/>
      <c r="AC89" s="924"/>
      <c r="AD89" s="925"/>
      <c r="AE89" s="925"/>
      <c r="AF89" s="895"/>
      <c r="AG89" s="895"/>
      <c r="AH89" s="895"/>
      <c r="AI89" s="887"/>
    </row>
    <row r="90" spans="3:35" ht="10.199999999999999" customHeight="1" x14ac:dyDescent="0.35">
      <c r="C90" s="885"/>
      <c r="D90" s="922" t="s">
        <v>123</v>
      </c>
      <c r="E90" s="923"/>
      <c r="F90" s="925"/>
      <c r="G90" s="924"/>
      <c r="H90" s="925"/>
      <c r="I90" s="925"/>
      <c r="J90" s="895"/>
      <c r="K90" s="895"/>
      <c r="L90" s="895"/>
      <c r="M90" s="887"/>
      <c r="O90" s="885"/>
      <c r="P90" s="922" t="s">
        <v>123</v>
      </c>
      <c r="Q90" s="923"/>
      <c r="R90" s="925"/>
      <c r="S90" s="924"/>
      <c r="T90" s="925"/>
      <c r="U90" s="925"/>
      <c r="V90" s="895"/>
      <c r="W90" s="895"/>
      <c r="X90" s="895"/>
      <c r="Y90" s="885"/>
      <c r="Z90" s="922" t="s">
        <v>123</v>
      </c>
      <c r="AA90" s="923"/>
      <c r="AB90" s="925"/>
      <c r="AC90" s="924"/>
      <c r="AD90" s="925"/>
      <c r="AE90" s="925"/>
      <c r="AF90" s="895"/>
      <c r="AG90" s="895"/>
      <c r="AH90" s="895"/>
      <c r="AI90" s="887"/>
    </row>
    <row r="91" spans="3:35" ht="10.199999999999999" customHeight="1" x14ac:dyDescent="0.35">
      <c r="C91" s="885"/>
      <c r="D91" s="922" t="s">
        <v>129</v>
      </c>
      <c r="E91" s="923"/>
      <c r="F91" s="925"/>
      <c r="G91" s="924"/>
      <c r="H91" s="925"/>
      <c r="I91" s="925"/>
      <c r="J91" s="895"/>
      <c r="K91" s="895"/>
      <c r="L91" s="895"/>
      <c r="M91" s="887"/>
      <c r="O91" s="885"/>
      <c r="P91" s="922" t="s">
        <v>129</v>
      </c>
      <c r="Q91" s="923"/>
      <c r="R91" s="925"/>
      <c r="S91" s="924"/>
      <c r="T91" s="925"/>
      <c r="U91" s="925"/>
      <c r="V91" s="895"/>
      <c r="W91" s="895"/>
      <c r="X91" s="895"/>
      <c r="Y91" s="885"/>
      <c r="Z91" s="922" t="s">
        <v>129</v>
      </c>
      <c r="AA91" s="923"/>
      <c r="AB91" s="925"/>
      <c r="AC91" s="924"/>
      <c r="AD91" s="925"/>
      <c r="AE91" s="925"/>
      <c r="AF91" s="895"/>
      <c r="AG91" s="895"/>
      <c r="AH91" s="895"/>
      <c r="AI91" s="887"/>
    </row>
    <row r="92" spans="3:35" ht="10.199999999999999" customHeight="1" x14ac:dyDescent="0.35">
      <c r="C92" s="885"/>
      <c r="D92" s="922" t="s">
        <v>130</v>
      </c>
      <c r="E92" s="923"/>
      <c r="F92" s="925"/>
      <c r="G92" s="924"/>
      <c r="H92" s="925"/>
      <c r="I92" s="925"/>
      <c r="J92" s="895"/>
      <c r="K92" s="895"/>
      <c r="L92" s="895"/>
      <c r="M92" s="887"/>
      <c r="O92" s="885"/>
      <c r="P92" s="922" t="s">
        <v>130</v>
      </c>
      <c r="Q92" s="923"/>
      <c r="R92" s="925"/>
      <c r="S92" s="924"/>
      <c r="T92" s="925"/>
      <c r="U92" s="925"/>
      <c r="V92" s="895"/>
      <c r="W92" s="895"/>
      <c r="X92" s="895"/>
      <c r="Y92" s="885"/>
      <c r="Z92" s="922" t="s">
        <v>130</v>
      </c>
      <c r="AA92" s="923"/>
      <c r="AB92" s="925"/>
      <c r="AC92" s="924"/>
      <c r="AD92" s="925"/>
      <c r="AE92" s="925"/>
      <c r="AF92" s="895"/>
      <c r="AG92" s="895"/>
      <c r="AH92" s="895"/>
      <c r="AI92" s="887"/>
    </row>
    <row r="93" spans="3:35" ht="10.199999999999999" customHeight="1" x14ac:dyDescent="0.35">
      <c r="C93" s="885"/>
      <c r="D93" s="929"/>
      <c r="E93" s="923"/>
      <c r="F93" s="925"/>
      <c r="G93" s="925"/>
      <c r="H93" s="925"/>
      <c r="I93" s="925"/>
      <c r="J93" s="895"/>
      <c r="K93" s="895"/>
      <c r="L93" s="895"/>
      <c r="M93" s="887"/>
      <c r="O93" s="885"/>
      <c r="P93" s="929"/>
      <c r="Q93" s="923"/>
      <c r="R93" s="925"/>
      <c r="S93" s="925"/>
      <c r="T93" s="925"/>
      <c r="U93" s="925"/>
      <c r="V93" s="895"/>
      <c r="W93" s="895"/>
      <c r="X93" s="895"/>
      <c r="Y93" s="885"/>
      <c r="Z93" s="929"/>
      <c r="AA93" s="923"/>
      <c r="AB93" s="925"/>
      <c r="AC93" s="925"/>
      <c r="AD93" s="925"/>
      <c r="AE93" s="925"/>
      <c r="AF93" s="895"/>
      <c r="AG93" s="895"/>
      <c r="AH93" s="895"/>
      <c r="AI93" s="887"/>
    </row>
    <row r="94" spans="3:35" ht="10.199999999999999" customHeight="1" x14ac:dyDescent="0.35">
      <c r="C94" s="885"/>
      <c r="D94" s="930" t="s">
        <v>47</v>
      </c>
      <c r="E94" s="923">
        <f>SUM(E95:E103)</f>
        <v>0</v>
      </c>
      <c r="F94" s="923"/>
      <c r="G94" s="923"/>
      <c r="H94" s="923">
        <f>SUM(H95:H103)</f>
        <v>0</v>
      </c>
      <c r="I94" s="923"/>
      <c r="J94" s="895"/>
      <c r="K94" s="895"/>
      <c r="L94" s="895"/>
      <c r="M94" s="887"/>
      <c r="O94" s="885"/>
      <c r="P94" s="930" t="s">
        <v>47</v>
      </c>
      <c r="Q94" s="923">
        <f>SUM(Q95:Q103)</f>
        <v>0</v>
      </c>
      <c r="R94" s="923"/>
      <c r="S94" s="923"/>
      <c r="T94" s="923">
        <f>SUM(T95:T103)</f>
        <v>0</v>
      </c>
      <c r="U94" s="923"/>
      <c r="V94" s="895"/>
      <c r="W94" s="895"/>
      <c r="X94" s="895"/>
      <c r="Y94" s="885"/>
      <c r="Z94" s="930" t="s">
        <v>47</v>
      </c>
      <c r="AA94" s="923">
        <f>SUM(AA95:AA103)</f>
        <v>0</v>
      </c>
      <c r="AB94" s="923"/>
      <c r="AC94" s="923"/>
      <c r="AD94" s="923">
        <f>SUM(AD95:AD103)</f>
        <v>0</v>
      </c>
      <c r="AE94" s="923"/>
      <c r="AF94" s="895"/>
      <c r="AG94" s="895"/>
      <c r="AH94" s="895"/>
      <c r="AI94" s="887"/>
    </row>
    <row r="95" spans="3:35" ht="10.199999999999999" customHeight="1" x14ac:dyDescent="0.35">
      <c r="C95" s="885"/>
      <c r="D95" s="931" t="s">
        <v>115</v>
      </c>
      <c r="E95" s="923"/>
      <c r="F95" s="925"/>
      <c r="G95" s="925"/>
      <c r="H95" s="924"/>
      <c r="I95" s="925"/>
      <c r="J95" s="895"/>
      <c r="K95" s="895"/>
      <c r="L95" s="895"/>
      <c r="M95" s="887"/>
      <c r="O95" s="885"/>
      <c r="P95" s="931" t="s">
        <v>115</v>
      </c>
      <c r="Q95" s="923"/>
      <c r="R95" s="925"/>
      <c r="S95" s="925"/>
      <c r="T95" s="924"/>
      <c r="U95" s="925"/>
      <c r="V95" s="895"/>
      <c r="W95" s="895"/>
      <c r="X95" s="895"/>
      <c r="Y95" s="885"/>
      <c r="Z95" s="931" t="s">
        <v>115</v>
      </c>
      <c r="AA95" s="923"/>
      <c r="AB95" s="925"/>
      <c r="AC95" s="925"/>
      <c r="AD95" s="924"/>
      <c r="AE95" s="925"/>
      <c r="AF95" s="895"/>
      <c r="AG95" s="895"/>
      <c r="AH95" s="895"/>
      <c r="AI95" s="887"/>
    </row>
    <row r="96" spans="3:35" ht="10.199999999999999" customHeight="1" x14ac:dyDescent="0.35">
      <c r="C96" s="885"/>
      <c r="D96" s="932" t="s">
        <v>116</v>
      </c>
      <c r="E96" s="923"/>
      <c r="F96" s="925"/>
      <c r="G96" s="925"/>
      <c r="H96" s="924"/>
      <c r="I96" s="925"/>
      <c r="J96" s="895"/>
      <c r="K96" s="895"/>
      <c r="L96" s="895"/>
      <c r="M96" s="887"/>
      <c r="O96" s="885"/>
      <c r="P96" s="932" t="s">
        <v>116</v>
      </c>
      <c r="Q96" s="923"/>
      <c r="R96" s="925"/>
      <c r="S96" s="925"/>
      <c r="T96" s="924"/>
      <c r="U96" s="925"/>
      <c r="V96" s="895"/>
      <c r="W96" s="895"/>
      <c r="X96" s="895"/>
      <c r="Y96" s="885"/>
      <c r="Z96" s="932" t="s">
        <v>116</v>
      </c>
      <c r="AA96" s="923"/>
      <c r="AB96" s="925"/>
      <c r="AC96" s="925"/>
      <c r="AD96" s="924"/>
      <c r="AE96" s="925"/>
      <c r="AF96" s="895"/>
      <c r="AG96" s="895"/>
      <c r="AH96" s="895"/>
      <c r="AI96" s="887"/>
    </row>
    <row r="97" spans="3:35" ht="10.199999999999999" customHeight="1" x14ac:dyDescent="0.35">
      <c r="C97" s="885"/>
      <c r="D97" s="922" t="s">
        <v>117</v>
      </c>
      <c r="E97" s="923"/>
      <c r="F97" s="925"/>
      <c r="G97" s="925"/>
      <c r="H97" s="924"/>
      <c r="I97" s="925"/>
      <c r="J97" s="895"/>
      <c r="K97" s="895"/>
      <c r="L97" s="895"/>
      <c r="M97" s="887"/>
      <c r="O97" s="885"/>
      <c r="P97" s="922" t="s">
        <v>117</v>
      </c>
      <c r="Q97" s="923"/>
      <c r="R97" s="925"/>
      <c r="S97" s="925"/>
      <c r="T97" s="924"/>
      <c r="U97" s="925"/>
      <c r="V97" s="895"/>
      <c r="W97" s="895"/>
      <c r="X97" s="895"/>
      <c r="Y97" s="885"/>
      <c r="Z97" s="922" t="s">
        <v>117</v>
      </c>
      <c r="AA97" s="923"/>
      <c r="AB97" s="925"/>
      <c r="AC97" s="925"/>
      <c r="AD97" s="924"/>
      <c r="AE97" s="925"/>
      <c r="AF97" s="895"/>
      <c r="AG97" s="895"/>
      <c r="AH97" s="895"/>
      <c r="AI97" s="887"/>
    </row>
    <row r="98" spans="3:35" ht="10.199999999999999" customHeight="1" x14ac:dyDescent="0.35">
      <c r="C98" s="885"/>
      <c r="D98" s="922" t="s">
        <v>118</v>
      </c>
      <c r="E98" s="923"/>
      <c r="F98" s="925"/>
      <c r="G98" s="925"/>
      <c r="H98" s="924"/>
      <c r="I98" s="925"/>
      <c r="J98" s="895"/>
      <c r="K98" s="895"/>
      <c r="L98" s="895"/>
      <c r="M98" s="887"/>
      <c r="O98" s="885"/>
      <c r="P98" s="922" t="s">
        <v>118</v>
      </c>
      <c r="Q98" s="923"/>
      <c r="R98" s="925"/>
      <c r="S98" s="925"/>
      <c r="T98" s="924"/>
      <c r="U98" s="925"/>
      <c r="V98" s="895"/>
      <c r="W98" s="895"/>
      <c r="X98" s="895"/>
      <c r="Y98" s="885"/>
      <c r="Z98" s="922" t="s">
        <v>118</v>
      </c>
      <c r="AA98" s="923"/>
      <c r="AB98" s="925"/>
      <c r="AC98" s="925"/>
      <c r="AD98" s="924"/>
      <c r="AE98" s="925"/>
      <c r="AF98" s="895"/>
      <c r="AG98" s="895"/>
      <c r="AH98" s="895"/>
      <c r="AI98" s="887"/>
    </row>
    <row r="99" spans="3:35" ht="10.199999999999999" customHeight="1" x14ac:dyDescent="0.35">
      <c r="C99" s="885"/>
      <c r="D99" s="922" t="s">
        <v>119</v>
      </c>
      <c r="E99" s="923"/>
      <c r="F99" s="925"/>
      <c r="G99" s="925"/>
      <c r="H99" s="924"/>
      <c r="I99" s="925"/>
      <c r="J99" s="895"/>
      <c r="K99" s="895"/>
      <c r="L99" s="895"/>
      <c r="M99" s="887"/>
      <c r="O99" s="885"/>
      <c r="P99" s="922" t="s">
        <v>119</v>
      </c>
      <c r="Q99" s="923"/>
      <c r="R99" s="925"/>
      <c r="S99" s="925"/>
      <c r="T99" s="924"/>
      <c r="U99" s="925"/>
      <c r="V99" s="895"/>
      <c r="W99" s="895"/>
      <c r="X99" s="895"/>
      <c r="Y99" s="885"/>
      <c r="Z99" s="922" t="s">
        <v>119</v>
      </c>
      <c r="AA99" s="923"/>
      <c r="AB99" s="925"/>
      <c r="AC99" s="925"/>
      <c r="AD99" s="924"/>
      <c r="AE99" s="925"/>
      <c r="AF99" s="895"/>
      <c r="AG99" s="895"/>
      <c r="AH99" s="895"/>
      <c r="AI99" s="887"/>
    </row>
    <row r="100" spans="3:35" ht="10.199999999999999" customHeight="1" x14ac:dyDescent="0.35">
      <c r="C100" s="885"/>
      <c r="D100" s="922" t="s">
        <v>120</v>
      </c>
      <c r="E100" s="923"/>
      <c r="F100" s="925"/>
      <c r="G100" s="925"/>
      <c r="H100" s="924"/>
      <c r="I100" s="925"/>
      <c r="J100" s="895"/>
      <c r="K100" s="895"/>
      <c r="L100" s="895"/>
      <c r="M100" s="887"/>
      <c r="O100" s="885"/>
      <c r="P100" s="922" t="s">
        <v>120</v>
      </c>
      <c r="Q100" s="923"/>
      <c r="R100" s="925"/>
      <c r="S100" s="925"/>
      <c r="T100" s="924"/>
      <c r="U100" s="925"/>
      <c r="V100" s="895"/>
      <c r="W100" s="895"/>
      <c r="X100" s="895"/>
      <c r="Y100" s="885"/>
      <c r="Z100" s="922" t="s">
        <v>120</v>
      </c>
      <c r="AA100" s="923"/>
      <c r="AB100" s="925"/>
      <c r="AC100" s="925"/>
      <c r="AD100" s="924"/>
      <c r="AE100" s="925"/>
      <c r="AF100" s="895"/>
      <c r="AG100" s="895"/>
      <c r="AH100" s="895"/>
      <c r="AI100" s="887"/>
    </row>
    <row r="101" spans="3:35" ht="10.199999999999999" customHeight="1" x14ac:dyDescent="0.35">
      <c r="C101" s="885"/>
      <c r="D101" s="922" t="s">
        <v>121</v>
      </c>
      <c r="E101" s="923"/>
      <c r="F101" s="925"/>
      <c r="G101" s="925"/>
      <c r="H101" s="924"/>
      <c r="I101" s="925"/>
      <c r="J101" s="895"/>
      <c r="K101" s="895"/>
      <c r="L101" s="895"/>
      <c r="M101" s="887"/>
      <c r="O101" s="885"/>
      <c r="P101" s="922" t="s">
        <v>121</v>
      </c>
      <c r="Q101" s="923"/>
      <c r="R101" s="925"/>
      <c r="S101" s="925"/>
      <c r="T101" s="924"/>
      <c r="U101" s="925"/>
      <c r="V101" s="895"/>
      <c r="W101" s="895"/>
      <c r="X101" s="895"/>
      <c r="Y101" s="885"/>
      <c r="Z101" s="922" t="s">
        <v>121</v>
      </c>
      <c r="AA101" s="923"/>
      <c r="AB101" s="925"/>
      <c r="AC101" s="925"/>
      <c r="AD101" s="924"/>
      <c r="AE101" s="925"/>
      <c r="AF101" s="895"/>
      <c r="AG101" s="895"/>
      <c r="AH101" s="895"/>
      <c r="AI101" s="887"/>
    </row>
    <row r="102" spans="3:35" ht="10.199999999999999" customHeight="1" x14ac:dyDescent="0.35">
      <c r="C102" s="885"/>
      <c r="D102" s="933" t="s">
        <v>122</v>
      </c>
      <c r="E102" s="923"/>
      <c r="F102" s="925"/>
      <c r="G102" s="925"/>
      <c r="H102" s="924"/>
      <c r="I102" s="925"/>
      <c r="J102" s="895"/>
      <c r="K102" s="895"/>
      <c r="L102" s="895"/>
      <c r="M102" s="887"/>
      <c r="O102" s="885"/>
      <c r="P102" s="933" t="s">
        <v>122</v>
      </c>
      <c r="Q102" s="923"/>
      <c r="R102" s="925"/>
      <c r="S102" s="925"/>
      <c r="T102" s="924"/>
      <c r="U102" s="925"/>
      <c r="V102" s="895"/>
      <c r="W102" s="895"/>
      <c r="X102" s="895"/>
      <c r="Y102" s="885"/>
      <c r="Z102" s="933" t="s">
        <v>122</v>
      </c>
      <c r="AA102" s="923"/>
      <c r="AB102" s="925"/>
      <c r="AC102" s="925"/>
      <c r="AD102" s="924"/>
      <c r="AE102" s="925"/>
      <c r="AF102" s="895"/>
      <c r="AG102" s="895"/>
      <c r="AH102" s="895"/>
      <c r="AI102" s="887"/>
    </row>
    <row r="103" spans="3:35" ht="10.199999999999999" customHeight="1" x14ac:dyDescent="0.35">
      <c r="C103" s="885"/>
      <c r="D103" s="933" t="s">
        <v>123</v>
      </c>
      <c r="E103" s="923"/>
      <c r="F103" s="925"/>
      <c r="G103" s="925"/>
      <c r="H103" s="924"/>
      <c r="I103" s="925"/>
      <c r="J103" s="895"/>
      <c r="K103" s="895"/>
      <c r="L103" s="895"/>
      <c r="M103" s="887"/>
      <c r="O103" s="885"/>
      <c r="P103" s="933" t="s">
        <v>123</v>
      </c>
      <c r="Q103" s="923"/>
      <c r="R103" s="925"/>
      <c r="S103" s="925"/>
      <c r="T103" s="924"/>
      <c r="U103" s="925"/>
      <c r="V103" s="895"/>
      <c r="W103" s="895"/>
      <c r="X103" s="895"/>
      <c r="Y103" s="885"/>
      <c r="Z103" s="933" t="s">
        <v>123</v>
      </c>
      <c r="AA103" s="923"/>
      <c r="AB103" s="925"/>
      <c r="AC103" s="925"/>
      <c r="AD103" s="924"/>
      <c r="AE103" s="925"/>
      <c r="AF103" s="895"/>
      <c r="AG103" s="895"/>
      <c r="AH103" s="895"/>
      <c r="AI103" s="887"/>
    </row>
    <row r="104" spans="3:35" ht="10.199999999999999" customHeight="1" x14ac:dyDescent="0.35">
      <c r="C104" s="885"/>
      <c r="D104" s="933"/>
      <c r="E104" s="923"/>
      <c r="F104" s="925"/>
      <c r="G104" s="925"/>
      <c r="H104" s="925"/>
      <c r="I104" s="925"/>
      <c r="J104" s="895"/>
      <c r="K104" s="895"/>
      <c r="L104" s="895"/>
      <c r="M104" s="887"/>
      <c r="O104" s="885"/>
      <c r="P104" s="933"/>
      <c r="Q104" s="923"/>
      <c r="R104" s="925"/>
      <c r="S104" s="925"/>
      <c r="T104" s="925"/>
      <c r="U104" s="925"/>
      <c r="V104" s="895"/>
      <c r="W104" s="895"/>
      <c r="X104" s="895"/>
      <c r="Y104" s="885"/>
      <c r="Z104" s="933"/>
      <c r="AA104" s="923"/>
      <c r="AB104" s="925"/>
      <c r="AC104" s="925"/>
      <c r="AD104" s="925"/>
      <c r="AE104" s="925"/>
      <c r="AF104" s="895"/>
      <c r="AG104" s="895"/>
      <c r="AH104" s="895"/>
      <c r="AI104" s="887"/>
    </row>
    <row r="105" spans="3:35" ht="10.199999999999999" customHeight="1" x14ac:dyDescent="0.35">
      <c r="C105" s="885"/>
      <c r="D105" s="934" t="s">
        <v>131</v>
      </c>
      <c r="E105" s="923">
        <f>SUM(E106:E111)</f>
        <v>0</v>
      </c>
      <c r="F105" s="923"/>
      <c r="G105" s="923"/>
      <c r="H105" s="923"/>
      <c r="I105" s="923">
        <f>SUM(I106:I111)</f>
        <v>0</v>
      </c>
      <c r="J105" s="895"/>
      <c r="K105" s="895"/>
      <c r="L105" s="895"/>
      <c r="M105" s="887"/>
      <c r="O105" s="885"/>
      <c r="P105" s="934" t="s">
        <v>131</v>
      </c>
      <c r="Q105" s="923">
        <f>SUM(Q106:Q111)</f>
        <v>0</v>
      </c>
      <c r="R105" s="923"/>
      <c r="S105" s="923"/>
      <c r="T105" s="923"/>
      <c r="U105" s="923">
        <f>SUM(U106:U111)</f>
        <v>0</v>
      </c>
      <c r="V105" s="895"/>
      <c r="W105" s="895"/>
      <c r="X105" s="895"/>
      <c r="Y105" s="885"/>
      <c r="Z105" s="934" t="s">
        <v>131</v>
      </c>
      <c r="AA105" s="923">
        <f>SUM(AA106:AA111)</f>
        <v>0</v>
      </c>
      <c r="AB105" s="923"/>
      <c r="AC105" s="923"/>
      <c r="AD105" s="923"/>
      <c r="AE105" s="923">
        <f>SUM(AE106:AE111)</f>
        <v>0</v>
      </c>
      <c r="AF105" s="895"/>
      <c r="AG105" s="895"/>
      <c r="AH105" s="895"/>
      <c r="AI105" s="887"/>
    </row>
    <row r="106" spans="3:35" ht="10.199999999999999" customHeight="1" x14ac:dyDescent="0.35">
      <c r="C106" s="885"/>
      <c r="D106" s="922" t="s">
        <v>132</v>
      </c>
      <c r="E106" s="923"/>
      <c r="F106" s="925"/>
      <c r="G106" s="925"/>
      <c r="H106" s="925"/>
      <c r="I106" s="924"/>
      <c r="J106" s="895"/>
      <c r="K106" s="895"/>
      <c r="L106" s="895"/>
      <c r="M106" s="887"/>
      <c r="O106" s="885"/>
      <c r="P106" s="922" t="s">
        <v>132</v>
      </c>
      <c r="Q106" s="923"/>
      <c r="R106" s="925"/>
      <c r="S106" s="925"/>
      <c r="T106" s="925"/>
      <c r="U106" s="924"/>
      <c r="V106" s="895"/>
      <c r="W106" s="895"/>
      <c r="X106" s="895"/>
      <c r="Y106" s="885"/>
      <c r="Z106" s="922" t="s">
        <v>132</v>
      </c>
      <c r="AA106" s="923"/>
      <c r="AB106" s="925"/>
      <c r="AC106" s="925"/>
      <c r="AD106" s="925"/>
      <c r="AE106" s="924"/>
      <c r="AF106" s="895"/>
      <c r="AG106" s="895"/>
      <c r="AH106" s="895"/>
      <c r="AI106" s="887"/>
    </row>
    <row r="107" spans="3:35" ht="10.199999999999999" customHeight="1" x14ac:dyDescent="0.35">
      <c r="C107" s="885"/>
      <c r="D107" s="922" t="s">
        <v>133</v>
      </c>
      <c r="E107" s="923"/>
      <c r="F107" s="925"/>
      <c r="G107" s="925"/>
      <c r="H107" s="925"/>
      <c r="I107" s="924"/>
      <c r="J107" s="895"/>
      <c r="K107" s="895"/>
      <c r="L107" s="895"/>
      <c r="M107" s="887"/>
      <c r="O107" s="885"/>
      <c r="P107" s="922" t="s">
        <v>133</v>
      </c>
      <c r="Q107" s="923"/>
      <c r="R107" s="925"/>
      <c r="S107" s="925"/>
      <c r="T107" s="925"/>
      <c r="U107" s="924"/>
      <c r="V107" s="895"/>
      <c r="W107" s="895"/>
      <c r="X107" s="895"/>
      <c r="Y107" s="885"/>
      <c r="Z107" s="922" t="s">
        <v>133</v>
      </c>
      <c r="AA107" s="923"/>
      <c r="AB107" s="925"/>
      <c r="AC107" s="925"/>
      <c r="AD107" s="925"/>
      <c r="AE107" s="924"/>
      <c r="AF107" s="895"/>
      <c r="AG107" s="895"/>
      <c r="AH107" s="895"/>
      <c r="AI107" s="887"/>
    </row>
    <row r="108" spans="3:35" ht="10.199999999999999" customHeight="1" x14ac:dyDescent="0.35">
      <c r="C108" s="885"/>
      <c r="D108" s="926" t="s">
        <v>134</v>
      </c>
      <c r="E108" s="923"/>
      <c r="F108" s="925"/>
      <c r="G108" s="925"/>
      <c r="H108" s="925"/>
      <c r="I108" s="924"/>
      <c r="J108" s="895"/>
      <c r="K108" s="895"/>
      <c r="L108" s="895"/>
      <c r="M108" s="887"/>
      <c r="O108" s="885"/>
      <c r="P108" s="926" t="s">
        <v>134</v>
      </c>
      <c r="Q108" s="923"/>
      <c r="R108" s="925"/>
      <c r="S108" s="925"/>
      <c r="T108" s="925"/>
      <c r="U108" s="924"/>
      <c r="V108" s="895"/>
      <c r="W108" s="895"/>
      <c r="X108" s="895"/>
      <c r="Y108" s="885"/>
      <c r="Z108" s="926" t="s">
        <v>134</v>
      </c>
      <c r="AA108" s="923"/>
      <c r="AB108" s="925"/>
      <c r="AC108" s="925"/>
      <c r="AD108" s="925"/>
      <c r="AE108" s="924"/>
      <c r="AF108" s="895"/>
      <c r="AG108" s="895"/>
      <c r="AH108" s="895"/>
      <c r="AI108" s="887"/>
    </row>
    <row r="109" spans="3:35" ht="10.199999999999999" customHeight="1" x14ac:dyDescent="0.35">
      <c r="C109" s="885"/>
      <c r="D109" s="922" t="s">
        <v>135</v>
      </c>
      <c r="E109" s="923"/>
      <c r="F109" s="925"/>
      <c r="G109" s="925"/>
      <c r="H109" s="925"/>
      <c r="I109" s="924"/>
      <c r="J109" s="895"/>
      <c r="K109" s="895"/>
      <c r="L109" s="895"/>
      <c r="M109" s="887"/>
      <c r="O109" s="885"/>
      <c r="P109" s="922" t="s">
        <v>135</v>
      </c>
      <c r="Q109" s="923"/>
      <c r="R109" s="925"/>
      <c r="S109" s="925"/>
      <c r="T109" s="925"/>
      <c r="U109" s="924"/>
      <c r="V109" s="895"/>
      <c r="W109" s="895"/>
      <c r="X109" s="895"/>
      <c r="Y109" s="885"/>
      <c r="Z109" s="922" t="s">
        <v>135</v>
      </c>
      <c r="AA109" s="923"/>
      <c r="AB109" s="925"/>
      <c r="AC109" s="925"/>
      <c r="AD109" s="925"/>
      <c r="AE109" s="924"/>
      <c r="AF109" s="895"/>
      <c r="AG109" s="895"/>
      <c r="AH109" s="895"/>
      <c r="AI109" s="887"/>
    </row>
    <row r="110" spans="3:35" ht="10.199999999999999" customHeight="1" x14ac:dyDescent="0.35">
      <c r="C110" s="885"/>
      <c r="D110" s="922" t="s">
        <v>123</v>
      </c>
      <c r="E110" s="923"/>
      <c r="F110" s="925"/>
      <c r="G110" s="925"/>
      <c r="H110" s="925"/>
      <c r="I110" s="924"/>
      <c r="J110" s="895"/>
      <c r="K110" s="895"/>
      <c r="L110" s="895"/>
      <c r="M110" s="887"/>
      <c r="O110" s="885"/>
      <c r="P110" s="922" t="s">
        <v>123</v>
      </c>
      <c r="Q110" s="923"/>
      <c r="R110" s="925"/>
      <c r="S110" s="925"/>
      <c r="T110" s="925"/>
      <c r="U110" s="924"/>
      <c r="V110" s="895"/>
      <c r="W110" s="895"/>
      <c r="X110" s="895"/>
      <c r="Y110" s="885"/>
      <c r="Z110" s="922" t="s">
        <v>123</v>
      </c>
      <c r="AA110" s="923"/>
      <c r="AB110" s="925"/>
      <c r="AC110" s="925"/>
      <c r="AD110" s="925"/>
      <c r="AE110" s="924"/>
      <c r="AF110" s="895"/>
      <c r="AG110" s="895"/>
      <c r="AH110" s="895"/>
      <c r="AI110" s="887"/>
    </row>
    <row r="111" spans="3:35" ht="10.199999999999999" customHeight="1" x14ac:dyDescent="0.35">
      <c r="C111" s="885"/>
      <c r="D111" s="922" t="s">
        <v>136</v>
      </c>
      <c r="E111" s="923"/>
      <c r="F111" s="925"/>
      <c r="G111" s="925"/>
      <c r="H111" s="925"/>
      <c r="I111" s="924"/>
      <c r="J111" s="895"/>
      <c r="K111" s="895"/>
      <c r="L111" s="895"/>
      <c r="M111" s="887"/>
      <c r="O111" s="885"/>
      <c r="P111" s="922" t="s">
        <v>136</v>
      </c>
      <c r="Q111" s="923"/>
      <c r="R111" s="925"/>
      <c r="S111" s="925"/>
      <c r="T111" s="925"/>
      <c r="U111" s="924"/>
      <c r="V111" s="895"/>
      <c r="W111" s="895"/>
      <c r="X111" s="895"/>
      <c r="Y111" s="885"/>
      <c r="Z111" s="922" t="s">
        <v>136</v>
      </c>
      <c r="AA111" s="923"/>
      <c r="AB111" s="925"/>
      <c r="AC111" s="925"/>
      <c r="AD111" s="925"/>
      <c r="AE111" s="924"/>
      <c r="AF111" s="895"/>
      <c r="AG111" s="895"/>
      <c r="AH111" s="895"/>
      <c r="AI111" s="887"/>
    </row>
    <row r="112" spans="3:35" ht="10.199999999999999" customHeight="1" x14ac:dyDescent="0.35">
      <c r="C112" s="885"/>
      <c r="D112" s="886" t="s">
        <v>478</v>
      </c>
      <c r="E112" s="913">
        <f>SUM(E81,E87,E94,E105)</f>
        <v>0</v>
      </c>
      <c r="F112" s="913">
        <f>SUM(F81,F87,F94,F105)</f>
        <v>0</v>
      </c>
      <c r="G112" s="913">
        <f>SUM(G81,G87,G94,G105)</f>
        <v>0</v>
      </c>
      <c r="H112" s="913">
        <f>SUM(H81,H87,H94,H105)</f>
        <v>0</v>
      </c>
      <c r="I112" s="913">
        <f>SUM(I81,I87,I94,I105)</f>
        <v>0</v>
      </c>
      <c r="J112" s="895"/>
      <c r="K112" s="895"/>
      <c r="L112" s="895"/>
      <c r="M112" s="887"/>
      <c r="O112" s="885"/>
      <c r="P112" s="886" t="s">
        <v>478</v>
      </c>
      <c r="Q112" s="913">
        <f>SUM(Q81,Q87,Q94,Q105)</f>
        <v>0</v>
      </c>
      <c r="R112" s="913">
        <f>SUM(R81,R87,R94,R105)</f>
        <v>0</v>
      </c>
      <c r="S112" s="913">
        <f>SUM(S81,S87,S94,S105)</f>
        <v>0</v>
      </c>
      <c r="T112" s="913">
        <f>SUM(T81,T87,T94,T105)</f>
        <v>0</v>
      </c>
      <c r="U112" s="913">
        <f>SUM(U81,U87,U94,U105)</f>
        <v>0</v>
      </c>
      <c r="V112" s="895"/>
      <c r="W112" s="895"/>
      <c r="X112" s="895"/>
      <c r="Y112" s="885"/>
      <c r="Z112" s="886" t="s">
        <v>478</v>
      </c>
      <c r="AA112" s="913">
        <f>SUM(AA81,AA87,AA94,AA105)</f>
        <v>0</v>
      </c>
      <c r="AB112" s="913">
        <f>SUM(AB81,AB87,AB94,AB105)</f>
        <v>0</v>
      </c>
      <c r="AC112" s="913">
        <f>SUM(AC81,AC87,AC94,AC105)</f>
        <v>0</v>
      </c>
      <c r="AD112" s="913">
        <f>SUM(AD81,AD87,AD94,AD105)</f>
        <v>0</v>
      </c>
      <c r="AE112" s="913">
        <f>SUM(AE81,AE87,AE94,AE105)</f>
        <v>0</v>
      </c>
      <c r="AF112" s="895"/>
      <c r="AG112" s="895"/>
      <c r="AH112" s="895"/>
      <c r="AI112" s="887"/>
    </row>
    <row r="113" spans="3:35" ht="10.199999999999999" customHeight="1" thickBot="1" x14ac:dyDescent="0.4">
      <c r="C113" s="896"/>
      <c r="D113" s="897"/>
      <c r="E113" s="912"/>
      <c r="F113" s="898"/>
      <c r="G113" s="898"/>
      <c r="H113" s="898"/>
      <c r="I113" s="898"/>
      <c r="J113" s="898"/>
      <c r="K113" s="898"/>
      <c r="L113" s="898"/>
      <c r="M113" s="899"/>
      <c r="O113" s="896"/>
      <c r="P113" s="897"/>
      <c r="Q113" s="912"/>
      <c r="R113" s="898"/>
      <c r="S113" s="898"/>
      <c r="T113" s="898"/>
      <c r="U113" s="898"/>
      <c r="V113" s="898"/>
      <c r="W113" s="898"/>
      <c r="X113" s="898"/>
      <c r="Y113" s="896"/>
      <c r="Z113" s="897"/>
      <c r="AA113" s="912"/>
      <c r="AB113" s="898"/>
      <c r="AC113" s="898"/>
      <c r="AD113" s="898"/>
      <c r="AE113" s="898"/>
      <c r="AF113" s="898"/>
      <c r="AG113" s="898"/>
      <c r="AH113" s="898"/>
      <c r="AI113" s="899"/>
    </row>
    <row r="114" spans="3:35" ht="10.199999999999999" customHeight="1" thickBot="1" x14ac:dyDescent="0.4">
      <c r="D114" s="886"/>
      <c r="E114" s="913"/>
      <c r="F114" s="895"/>
      <c r="G114" s="895"/>
      <c r="H114" s="895"/>
      <c r="I114" s="895"/>
      <c r="J114" s="895"/>
      <c r="K114" s="895"/>
      <c r="L114" s="895"/>
      <c r="P114" s="886"/>
      <c r="Q114" s="913"/>
      <c r="R114" s="895"/>
      <c r="S114" s="895"/>
      <c r="T114" s="895"/>
      <c r="U114" s="895"/>
      <c r="V114" s="895"/>
      <c r="W114" s="895"/>
      <c r="X114" s="895"/>
      <c r="Z114" s="886"/>
      <c r="AA114" s="913"/>
      <c r="AB114" s="895"/>
      <c r="AC114" s="895"/>
      <c r="AD114" s="895"/>
      <c r="AE114" s="895"/>
      <c r="AF114" s="895"/>
      <c r="AG114" s="895"/>
      <c r="AH114" s="895"/>
    </row>
    <row r="115" spans="3:35" ht="10.199999999999999" customHeight="1" x14ac:dyDescent="0.35">
      <c r="C115" s="882"/>
      <c r="D115" s="883"/>
      <c r="E115" s="883"/>
      <c r="F115" s="883"/>
      <c r="G115" s="883"/>
      <c r="H115" s="883"/>
      <c r="I115" s="883"/>
      <c r="J115" s="883"/>
      <c r="K115" s="883"/>
      <c r="L115" s="883"/>
      <c r="M115" s="884"/>
      <c r="O115" s="882"/>
      <c r="P115" s="883"/>
      <c r="Q115" s="883"/>
      <c r="R115" s="883"/>
      <c r="S115" s="883"/>
      <c r="T115" s="883"/>
      <c r="U115" s="883"/>
      <c r="V115" s="883"/>
      <c r="W115" s="883"/>
      <c r="X115" s="883"/>
      <c r="Y115" s="882"/>
      <c r="Z115" s="883"/>
      <c r="AA115" s="883"/>
      <c r="AB115" s="883"/>
      <c r="AC115" s="883"/>
      <c r="AD115" s="883"/>
      <c r="AE115" s="883"/>
      <c r="AF115" s="883"/>
      <c r="AG115" s="883"/>
      <c r="AH115" s="883"/>
      <c r="AI115" s="884"/>
    </row>
    <row r="116" spans="3:35" ht="10.199999999999999" customHeight="1" x14ac:dyDescent="0.35">
      <c r="C116" s="885"/>
      <c r="D116" s="886" t="s">
        <v>480</v>
      </c>
      <c r="M116" s="887"/>
      <c r="O116" s="885"/>
      <c r="P116" s="886" t="s">
        <v>480</v>
      </c>
      <c r="Y116" s="885"/>
      <c r="Z116" s="886" t="s">
        <v>480</v>
      </c>
      <c r="AI116" s="887"/>
    </row>
    <row r="117" spans="3:35" ht="10.199999999999999" customHeight="1" x14ac:dyDescent="0.35">
      <c r="C117" s="885"/>
      <c r="M117" s="887"/>
      <c r="O117" s="885"/>
      <c r="Y117" s="885"/>
      <c r="AI117" s="887"/>
    </row>
    <row r="118" spans="3:35" ht="10.199999999999999" customHeight="1" x14ac:dyDescent="0.35">
      <c r="C118" s="885"/>
      <c r="E118" s="889" t="s">
        <v>230</v>
      </c>
      <c r="F118" s="889" t="s">
        <v>291</v>
      </c>
      <c r="G118" s="889" t="s">
        <v>243</v>
      </c>
      <c r="H118" s="889" t="s">
        <v>244</v>
      </c>
      <c r="I118" s="889" t="s">
        <v>286</v>
      </c>
      <c r="J118" s="889" t="s">
        <v>290</v>
      </c>
      <c r="K118" s="889" t="s">
        <v>245</v>
      </c>
      <c r="L118" s="890" t="s">
        <v>108</v>
      </c>
      <c r="M118" s="887"/>
      <c r="O118" s="885"/>
      <c r="Q118" s="889" t="s">
        <v>230</v>
      </c>
      <c r="R118" s="889" t="s">
        <v>291</v>
      </c>
      <c r="S118" s="889" t="s">
        <v>243</v>
      </c>
      <c r="T118" s="889" t="s">
        <v>244</v>
      </c>
      <c r="U118" s="889" t="s">
        <v>286</v>
      </c>
      <c r="V118" s="889" t="s">
        <v>290</v>
      </c>
      <c r="W118" s="889" t="s">
        <v>245</v>
      </c>
      <c r="X118" s="890" t="s">
        <v>108</v>
      </c>
      <c r="Y118" s="885"/>
      <c r="AA118" s="889" t="s">
        <v>230</v>
      </c>
      <c r="AB118" s="889" t="s">
        <v>291</v>
      </c>
      <c r="AC118" s="889" t="s">
        <v>243</v>
      </c>
      <c r="AD118" s="889" t="s">
        <v>244</v>
      </c>
      <c r="AE118" s="889" t="s">
        <v>286</v>
      </c>
      <c r="AF118" s="889" t="s">
        <v>290</v>
      </c>
      <c r="AG118" s="889" t="s">
        <v>245</v>
      </c>
      <c r="AH118" s="890" t="s">
        <v>108</v>
      </c>
      <c r="AI118" s="887"/>
    </row>
    <row r="119" spans="3:35" ht="10.199999999999999" customHeight="1" x14ac:dyDescent="0.35">
      <c r="C119" s="885"/>
      <c r="D119" s="398" t="s">
        <v>161</v>
      </c>
      <c r="E119" s="935">
        <f ca="1">SUM(F119:K119)</f>
        <v>180298435</v>
      </c>
      <c r="F119" s="935">
        <f t="shared" ref="F119:K119" ca="1" si="12">F26</f>
        <v>16721640</v>
      </c>
      <c r="G119" s="935">
        <f t="shared" ca="1" si="12"/>
        <v>15471225</v>
      </c>
      <c r="H119" s="935">
        <f t="shared" ca="1" si="12"/>
        <v>14719848</v>
      </c>
      <c r="I119" s="935">
        <f t="shared" ca="1" si="12"/>
        <v>18598866</v>
      </c>
      <c r="J119" s="935">
        <f t="shared" ca="1" si="12"/>
        <v>13833000</v>
      </c>
      <c r="K119" s="935">
        <f t="shared" ca="1" si="12"/>
        <v>100953856</v>
      </c>
      <c r="L119" s="936">
        <f ca="1">E119-SUM(F119:K119)</f>
        <v>0</v>
      </c>
      <c r="M119" s="887"/>
      <c r="O119" s="885"/>
      <c r="P119" s="398" t="s">
        <v>161</v>
      </c>
      <c r="Q119" s="935">
        <f ca="1">SUM(R119:W119)</f>
        <v>185740926</v>
      </c>
      <c r="R119" s="935">
        <f t="shared" ref="R119:W119" ca="1" si="13">R26</f>
        <v>17576611</v>
      </c>
      <c r="S119" s="935">
        <f t="shared" ca="1" si="13"/>
        <v>16262263</v>
      </c>
      <c r="T119" s="935">
        <f t="shared" ca="1" si="13"/>
        <v>16194453</v>
      </c>
      <c r="U119" s="935">
        <f t="shared" ca="1" si="13"/>
        <v>19549819</v>
      </c>
      <c r="V119" s="935">
        <f t="shared" ca="1" si="13"/>
        <v>12058000</v>
      </c>
      <c r="W119" s="935">
        <f t="shared" ca="1" si="13"/>
        <v>104099780</v>
      </c>
      <c r="X119" s="936">
        <f ca="1">Q119-SUM(R119:W119)</f>
        <v>0</v>
      </c>
      <c r="Y119" s="885"/>
      <c r="Z119" s="398" t="s">
        <v>161</v>
      </c>
      <c r="AA119" s="935">
        <f ca="1">SUM(AB119:AG119)</f>
        <v>189548394</v>
      </c>
      <c r="AB119" s="935">
        <f t="shared" ref="AB119:AG119" ca="1" si="14">AB26</f>
        <v>17938098</v>
      </c>
      <c r="AC119" s="935">
        <f t="shared" ca="1" si="14"/>
        <v>16596718</v>
      </c>
      <c r="AD119" s="935">
        <f t="shared" ca="1" si="14"/>
        <v>16547604</v>
      </c>
      <c r="AE119" s="935">
        <f t="shared" ca="1" si="14"/>
        <v>19951887</v>
      </c>
      <c r="AF119" s="935">
        <f t="shared" ca="1" si="14"/>
        <v>12177000</v>
      </c>
      <c r="AG119" s="935">
        <f t="shared" ca="1" si="14"/>
        <v>106337087</v>
      </c>
      <c r="AH119" s="936">
        <f ca="1">AA119-SUM(AB119:AG119)</f>
        <v>0</v>
      </c>
      <c r="AI119" s="887"/>
    </row>
    <row r="120" spans="3:35" ht="10.199999999999999" customHeight="1" x14ac:dyDescent="0.35">
      <c r="C120" s="885"/>
      <c r="D120" s="398" t="s">
        <v>0</v>
      </c>
      <c r="E120" s="935">
        <f ca="1">SUM(F120:K120)</f>
        <v>179290650</v>
      </c>
      <c r="F120" s="935">
        <f t="shared" ref="F120:K120" ca="1" si="15">F38</f>
        <v>0</v>
      </c>
      <c r="G120" s="935">
        <f t="shared" ca="1" si="15"/>
        <v>0</v>
      </c>
      <c r="H120" s="935">
        <f t="shared" ca="1" si="15"/>
        <v>0</v>
      </c>
      <c r="I120" s="935">
        <f t="shared" ca="1" si="15"/>
        <v>0</v>
      </c>
      <c r="J120" s="935">
        <f t="shared" ca="1" si="15"/>
        <v>179290650</v>
      </c>
      <c r="K120" s="935">
        <f t="shared" si="15"/>
        <v>0</v>
      </c>
      <c r="L120" s="936">
        <f ca="1">E120-SUM(F120:K120)</f>
        <v>0</v>
      </c>
      <c r="M120" s="887"/>
      <c r="O120" s="885"/>
      <c r="P120" s="398" t="s">
        <v>0</v>
      </c>
      <c r="Q120" s="935">
        <f ca="1">SUM(R120:W120)</f>
        <v>185386533</v>
      </c>
      <c r="R120" s="935">
        <f t="shared" ref="R120:W120" ca="1" si="16">R38</f>
        <v>0</v>
      </c>
      <c r="S120" s="935">
        <f t="shared" ca="1" si="16"/>
        <v>0</v>
      </c>
      <c r="T120" s="935">
        <f t="shared" ca="1" si="16"/>
        <v>0</v>
      </c>
      <c r="U120" s="935">
        <f t="shared" ca="1" si="16"/>
        <v>0</v>
      </c>
      <c r="V120" s="935">
        <f t="shared" ca="1" si="16"/>
        <v>185386533</v>
      </c>
      <c r="W120" s="935">
        <f t="shared" si="16"/>
        <v>0</v>
      </c>
      <c r="X120" s="936">
        <f ca="1">Q120-SUM(R120:W120)</f>
        <v>0</v>
      </c>
      <c r="Y120" s="885"/>
      <c r="Z120" s="398" t="s">
        <v>0</v>
      </c>
      <c r="AA120" s="935">
        <f ca="1">SUM(AB120:AG120)</f>
        <v>191318902</v>
      </c>
      <c r="AB120" s="935">
        <f t="shared" ref="AB120:AG120" ca="1" si="17">AB38</f>
        <v>0</v>
      </c>
      <c r="AC120" s="935">
        <f t="shared" ca="1" si="17"/>
        <v>0</v>
      </c>
      <c r="AD120" s="935">
        <f t="shared" ca="1" si="17"/>
        <v>0</v>
      </c>
      <c r="AE120" s="935">
        <f t="shared" ca="1" si="17"/>
        <v>0</v>
      </c>
      <c r="AF120" s="935">
        <f t="shared" ca="1" si="17"/>
        <v>191318902</v>
      </c>
      <c r="AG120" s="935">
        <f t="shared" si="17"/>
        <v>0</v>
      </c>
      <c r="AH120" s="936">
        <f ca="1">AA120-SUM(AB120:AG120)</f>
        <v>0</v>
      </c>
      <c r="AI120" s="887"/>
    </row>
    <row r="121" spans="3:35" ht="10.199999999999999" customHeight="1" x14ac:dyDescent="0.35">
      <c r="C121" s="885"/>
      <c r="D121" s="398" t="s">
        <v>26</v>
      </c>
      <c r="E121" s="935">
        <f ca="1">SUM(F121:K121)</f>
        <v>130755138</v>
      </c>
      <c r="F121" s="935">
        <f t="shared" ref="F121:K121" ca="1" si="18">F72</f>
        <v>2451600</v>
      </c>
      <c r="G121" s="935">
        <f t="shared" ca="1" si="18"/>
        <v>8971825</v>
      </c>
      <c r="H121" s="935">
        <f t="shared" ca="1" si="18"/>
        <v>17372440</v>
      </c>
      <c r="I121" s="935">
        <f t="shared" ca="1" si="18"/>
        <v>920982</v>
      </c>
      <c r="J121" s="935">
        <f t="shared" ca="1" si="18"/>
        <v>52681000</v>
      </c>
      <c r="K121" s="935">
        <f t="shared" ca="1" si="18"/>
        <v>48357291</v>
      </c>
      <c r="L121" s="936">
        <f ca="1">E121-SUM(F121:K121)</f>
        <v>0</v>
      </c>
      <c r="M121" s="887"/>
      <c r="O121" s="885"/>
      <c r="P121" s="398" t="s">
        <v>26</v>
      </c>
      <c r="Q121" s="935">
        <f ca="1">SUM(R121:W121)</f>
        <v>135159452</v>
      </c>
      <c r="R121" s="935">
        <f t="shared" ref="R121:W121" ca="1" si="19">R72</f>
        <v>2534954</v>
      </c>
      <c r="S121" s="935">
        <f t="shared" ca="1" si="19"/>
        <v>9276867</v>
      </c>
      <c r="T121" s="935">
        <f t="shared" ca="1" si="19"/>
        <v>17963103</v>
      </c>
      <c r="U121" s="935">
        <f t="shared" ca="1" si="19"/>
        <v>952295</v>
      </c>
      <c r="V121" s="935">
        <f t="shared" ca="1" si="19"/>
        <v>54472154</v>
      </c>
      <c r="W121" s="935">
        <f t="shared" ca="1" si="19"/>
        <v>49960079</v>
      </c>
      <c r="X121" s="936">
        <f ca="1">Q121-SUM(R121:W121)</f>
        <v>0</v>
      </c>
      <c r="Y121" s="885"/>
      <c r="Z121" s="398" t="s">
        <v>26</v>
      </c>
      <c r="AA121" s="935">
        <f ca="1">SUM(AB121:AG121)</f>
        <v>139484556</v>
      </c>
      <c r="AB121" s="935">
        <f t="shared" ref="AB121:AG121" ca="1" si="20">AB72</f>
        <v>2616073</v>
      </c>
      <c r="AC121" s="935">
        <f t="shared" ca="1" si="20"/>
        <v>9573727</v>
      </c>
      <c r="AD121" s="935">
        <f t="shared" ca="1" si="20"/>
        <v>18537922</v>
      </c>
      <c r="AE121" s="935">
        <f t="shared" ca="1" si="20"/>
        <v>982768</v>
      </c>
      <c r="AF121" s="935">
        <f t="shared" ca="1" si="20"/>
        <v>56215264</v>
      </c>
      <c r="AG121" s="935">
        <f t="shared" ca="1" si="20"/>
        <v>51558802</v>
      </c>
      <c r="AH121" s="936">
        <f ca="1">AA121-SUM(AB121:AG121)</f>
        <v>0</v>
      </c>
      <c r="AI121" s="887"/>
    </row>
    <row r="122" spans="3:35" ht="10.199999999999999" customHeight="1" x14ac:dyDescent="0.35">
      <c r="C122" s="885"/>
      <c r="D122" s="398" t="s">
        <v>479</v>
      </c>
      <c r="E122" s="935">
        <f>SUM(F122:K122)</f>
        <v>0</v>
      </c>
      <c r="F122" s="935">
        <f t="shared" ref="F122:K122" si="21">F112</f>
        <v>0</v>
      </c>
      <c r="G122" s="935">
        <f t="shared" si="21"/>
        <v>0</v>
      </c>
      <c r="H122" s="935">
        <f t="shared" si="21"/>
        <v>0</v>
      </c>
      <c r="I122" s="935">
        <f t="shared" si="21"/>
        <v>0</v>
      </c>
      <c r="J122" s="935">
        <f t="shared" si="21"/>
        <v>0</v>
      </c>
      <c r="K122" s="935">
        <f t="shared" si="21"/>
        <v>0</v>
      </c>
      <c r="L122" s="936">
        <f>E122-SUM(F122:K122)</f>
        <v>0</v>
      </c>
      <c r="M122" s="887"/>
      <c r="O122" s="885"/>
      <c r="P122" s="398" t="s">
        <v>479</v>
      </c>
      <c r="Q122" s="935">
        <f>SUM(R122:W122)</f>
        <v>0</v>
      </c>
      <c r="R122" s="935">
        <f t="shared" ref="R122:W122" si="22">R112</f>
        <v>0</v>
      </c>
      <c r="S122" s="935">
        <f t="shared" si="22"/>
        <v>0</v>
      </c>
      <c r="T122" s="935">
        <f t="shared" si="22"/>
        <v>0</v>
      </c>
      <c r="U122" s="935">
        <f t="shared" si="22"/>
        <v>0</v>
      </c>
      <c r="V122" s="935">
        <f t="shared" si="22"/>
        <v>0</v>
      </c>
      <c r="W122" s="935">
        <f t="shared" si="22"/>
        <v>0</v>
      </c>
      <c r="X122" s="936">
        <f>Q122-SUM(R122:W122)</f>
        <v>0</v>
      </c>
      <c r="Y122" s="885"/>
      <c r="Z122" s="398" t="s">
        <v>479</v>
      </c>
      <c r="AA122" s="935">
        <f>SUM(AB122:AG122)</f>
        <v>0</v>
      </c>
      <c r="AB122" s="935">
        <f t="shared" ref="AB122:AG122" si="23">AB112</f>
        <v>0</v>
      </c>
      <c r="AC122" s="935">
        <f t="shared" si="23"/>
        <v>0</v>
      </c>
      <c r="AD122" s="935">
        <f t="shared" si="23"/>
        <v>0</v>
      </c>
      <c r="AE122" s="935">
        <f t="shared" si="23"/>
        <v>0</v>
      </c>
      <c r="AF122" s="935">
        <f t="shared" si="23"/>
        <v>0</v>
      </c>
      <c r="AG122" s="935">
        <f t="shared" si="23"/>
        <v>0</v>
      </c>
      <c r="AH122" s="936">
        <f>AA122-SUM(AB122:AG122)</f>
        <v>0</v>
      </c>
      <c r="AI122" s="887"/>
    </row>
    <row r="123" spans="3:35" ht="10.199999999999999" customHeight="1" x14ac:dyDescent="0.35">
      <c r="C123" s="885"/>
      <c r="D123" s="886" t="s">
        <v>15</v>
      </c>
      <c r="E123" s="937">
        <f ca="1">SUM(E119:E122)</f>
        <v>490344223</v>
      </c>
      <c r="F123" s="937">
        <f t="shared" ref="F123:K123" ca="1" si="24">SUM(F119:F122)</f>
        <v>19173240</v>
      </c>
      <c r="G123" s="937">
        <f t="shared" ca="1" si="24"/>
        <v>24443050</v>
      </c>
      <c r="H123" s="937">
        <f t="shared" ca="1" si="24"/>
        <v>32092288</v>
      </c>
      <c r="I123" s="937">
        <f t="shared" ca="1" si="24"/>
        <v>19519848</v>
      </c>
      <c r="J123" s="937">
        <f t="shared" ca="1" si="24"/>
        <v>245804650</v>
      </c>
      <c r="K123" s="937">
        <f t="shared" ca="1" si="24"/>
        <v>149311147</v>
      </c>
      <c r="L123" s="936">
        <f ca="1">E123-SUM(F123:K123)</f>
        <v>0</v>
      </c>
      <c r="M123" s="887"/>
      <c r="O123" s="885"/>
      <c r="P123" s="886" t="s">
        <v>15</v>
      </c>
      <c r="Q123" s="937">
        <f ca="1">SUM(Q119:Q122)</f>
        <v>506286911</v>
      </c>
      <c r="R123" s="937">
        <f t="shared" ref="R123:W123" ca="1" si="25">SUM(R119:R122)</f>
        <v>20111565</v>
      </c>
      <c r="S123" s="937">
        <f t="shared" ca="1" si="25"/>
        <v>25539130</v>
      </c>
      <c r="T123" s="937">
        <f t="shared" ca="1" si="25"/>
        <v>34157556</v>
      </c>
      <c r="U123" s="937">
        <f t="shared" ca="1" si="25"/>
        <v>20502114</v>
      </c>
      <c r="V123" s="937">
        <f t="shared" ca="1" si="25"/>
        <v>251916687</v>
      </c>
      <c r="W123" s="937">
        <f t="shared" ca="1" si="25"/>
        <v>154059859</v>
      </c>
      <c r="X123" s="936">
        <f ca="1">Q123-SUM(R123:W123)</f>
        <v>0</v>
      </c>
      <c r="Y123" s="885"/>
      <c r="Z123" s="886" t="s">
        <v>15</v>
      </c>
      <c r="AA123" s="937">
        <f ca="1">SUM(AA119:AA122)</f>
        <v>520351852</v>
      </c>
      <c r="AB123" s="937">
        <f t="shared" ref="AB123:AG123" ca="1" si="26">SUM(AB119:AB122)</f>
        <v>20554171</v>
      </c>
      <c r="AC123" s="937">
        <f t="shared" ca="1" si="26"/>
        <v>26170445</v>
      </c>
      <c r="AD123" s="937">
        <f t="shared" ca="1" si="26"/>
        <v>35085526</v>
      </c>
      <c r="AE123" s="937">
        <f t="shared" ca="1" si="26"/>
        <v>20934655</v>
      </c>
      <c r="AF123" s="937">
        <f t="shared" ca="1" si="26"/>
        <v>259711166</v>
      </c>
      <c r="AG123" s="937">
        <f t="shared" ca="1" si="26"/>
        <v>157895889</v>
      </c>
      <c r="AH123" s="936">
        <f ca="1">AA123-SUM(AB123:AG123)</f>
        <v>0</v>
      </c>
      <c r="AI123" s="887"/>
    </row>
    <row r="124" spans="3:35" ht="10.199999999999999" customHeight="1" thickBot="1" x14ac:dyDescent="0.4">
      <c r="C124" s="896"/>
      <c r="D124" s="907"/>
      <c r="E124" s="907"/>
      <c r="F124" s="907"/>
      <c r="G124" s="907"/>
      <c r="H124" s="907"/>
      <c r="I124" s="907"/>
      <c r="J124" s="907"/>
      <c r="K124" s="907"/>
      <c r="L124" s="907"/>
      <c r="M124" s="899"/>
      <c r="O124" s="896"/>
      <c r="P124" s="907"/>
      <c r="Q124" s="907"/>
      <c r="R124" s="907"/>
      <c r="S124" s="907"/>
      <c r="T124" s="907"/>
      <c r="U124" s="907"/>
      <c r="V124" s="907"/>
      <c r="W124" s="907"/>
      <c r="X124" s="907"/>
      <c r="Y124" s="896"/>
      <c r="Z124" s="907"/>
      <c r="AA124" s="907"/>
      <c r="AB124" s="907"/>
      <c r="AC124" s="907"/>
      <c r="AD124" s="907"/>
      <c r="AE124" s="907"/>
      <c r="AF124" s="907"/>
      <c r="AG124" s="907"/>
      <c r="AH124" s="907"/>
      <c r="AI124" s="899"/>
    </row>
  </sheetData>
  <mergeCells count="17">
    <mergeCell ref="Z31:AG34"/>
    <mergeCell ref="Z43:AG44"/>
    <mergeCell ref="Q1:Q2"/>
    <mergeCell ref="Z77:AE78"/>
    <mergeCell ref="P31:W34"/>
    <mergeCell ref="P43:W44"/>
    <mergeCell ref="P77:U78"/>
    <mergeCell ref="P11:W12"/>
    <mergeCell ref="AA1:AA2"/>
    <mergeCell ref="Y7:AI7"/>
    <mergeCell ref="Z11:AG12"/>
    <mergeCell ref="D77:I78"/>
    <mergeCell ref="C7:M7"/>
    <mergeCell ref="E1:E2"/>
    <mergeCell ref="D11:K12"/>
    <mergeCell ref="D31:K34"/>
    <mergeCell ref="D43:K44"/>
  </mergeCells>
  <pageMargins left="0.7" right="0.7" top="0.75" bottom="0.75" header="0.3" footer="0.3"/>
  <pageSetup paperSize="9" orientation="portrait" r:id="rId1"/>
  <drawing r:id="rId2"/>
  <legacyDrawing r:id="rId3"/>
  <controls>
    <mc:AlternateContent xmlns:mc="http://schemas.openxmlformats.org/markup-compatibility/2006">
      <mc:Choice Requires="x14">
        <control shapeId="4097" r:id="rId4" name="cbRev">
          <controlPr defaultSize="0" autoLine="0" r:id="rId5">
            <anchor moveWithCells="1">
              <from>
                <xdr:col>4</xdr:col>
                <xdr:colOff>0</xdr:colOff>
                <xdr:row>2</xdr:row>
                <xdr:rowOff>0</xdr:rowOff>
              </from>
              <to>
                <xdr:col>6</xdr:col>
                <xdr:colOff>476250</xdr:colOff>
                <xdr:row>4</xdr:row>
                <xdr:rowOff>0</xdr:rowOff>
              </to>
            </anchor>
          </controlPr>
        </control>
      </mc:Choice>
      <mc:Fallback>
        <control shapeId="4097" r:id="rId4" name="cbRev"/>
      </mc:Fallback>
    </mc:AlternateContent>
  </controls>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3AB5C69-F1A0-4E86-A38E-4634DB672C3B}">
  <sheetPr codeName="Sheet4">
    <tabColor theme="6" tint="-0.499984740745262"/>
  </sheetPr>
  <dimension ref="A1:AJ78"/>
  <sheetViews>
    <sheetView showGridLines="0" workbookViewId="0">
      <pane ySplit="4" topLeftCell="A5" activePane="bottomLeft" state="frozen"/>
      <selection pane="bottomLeft" activeCell="A5" sqref="A5"/>
    </sheetView>
  </sheetViews>
  <sheetFormatPr defaultColWidth="8.7890625" defaultRowHeight="11.7" x14ac:dyDescent="0.45"/>
  <cols>
    <col min="1" max="1" width="3.7890625" style="823" customWidth="1"/>
    <col min="2" max="3" width="3.7890625" style="819" customWidth="1"/>
    <col min="4" max="4" width="22.7890625" style="819" customWidth="1"/>
    <col min="5" max="5" width="12.7890625" style="819" customWidth="1"/>
    <col min="6" max="11" width="11.20703125" style="819" customWidth="1"/>
    <col min="12" max="12" width="6" style="819" customWidth="1"/>
    <col min="13" max="15" width="3.7890625" style="819" customWidth="1"/>
    <col min="16" max="16" width="21" style="819" customWidth="1"/>
    <col min="17" max="23" width="10.7890625" style="819" customWidth="1"/>
    <col min="24" max="24" width="4.7890625" style="819" customWidth="1"/>
    <col min="25" max="25" width="3.7890625" style="823" customWidth="1"/>
    <col min="26" max="26" width="21.5234375" style="819" customWidth="1"/>
    <col min="27" max="33" width="11.20703125" style="819" customWidth="1"/>
    <col min="34" max="34" width="6" style="819" customWidth="1"/>
    <col min="35" max="35" width="3.7890625" style="819" customWidth="1"/>
    <col min="36" max="36" width="3.7890625" style="823" customWidth="1"/>
    <col min="37" max="16384" width="8.7890625" style="819"/>
  </cols>
  <sheetData>
    <row r="1" spans="1:36" x14ac:dyDescent="0.45">
      <c r="A1" s="819"/>
      <c r="E1" s="1797" t="s">
        <v>206</v>
      </c>
      <c r="F1" s="1797"/>
      <c r="Q1" s="1797" t="s">
        <v>206</v>
      </c>
      <c r="R1" s="1797"/>
      <c r="Y1" s="819"/>
      <c r="AA1" s="1797" t="s">
        <v>206</v>
      </c>
      <c r="AB1" s="1797"/>
      <c r="AJ1" s="819"/>
    </row>
    <row r="2" spans="1:36" x14ac:dyDescent="0.45">
      <c r="A2" s="819"/>
      <c r="D2" s="820"/>
      <c r="E2" s="1797"/>
      <c r="F2" s="1797"/>
      <c r="P2" s="820"/>
      <c r="Q2" s="1797"/>
      <c r="R2" s="1797"/>
      <c r="Y2" s="819"/>
      <c r="Z2" s="820"/>
      <c r="AA2" s="1797"/>
      <c r="AB2" s="1797"/>
      <c r="AJ2" s="819"/>
    </row>
    <row r="3" spans="1:36" x14ac:dyDescent="0.45">
      <c r="A3" s="819"/>
      <c r="D3" s="820"/>
      <c r="P3" s="820"/>
      <c r="Y3" s="819"/>
      <c r="Z3" s="820"/>
      <c r="AJ3" s="819"/>
    </row>
    <row r="4" spans="1:36" s="821" customFormat="1" ht="12" thickBot="1" x14ac:dyDescent="0.5">
      <c r="D4" s="822"/>
      <c r="N4" s="819"/>
      <c r="P4" s="822"/>
      <c r="Z4" s="822"/>
    </row>
    <row r="5" spans="1:36" s="823" customFormat="1" x14ac:dyDescent="0.45">
      <c r="N5" s="1405"/>
    </row>
    <row r="7" spans="1:36" x14ac:dyDescent="0.45">
      <c r="C7" s="1798" t="s">
        <v>481</v>
      </c>
      <c r="D7" s="1798"/>
      <c r="E7" s="1798"/>
      <c r="F7" s="1798"/>
      <c r="G7" s="1798"/>
      <c r="H7" s="1798"/>
      <c r="I7" s="1798"/>
      <c r="J7" s="1798"/>
      <c r="K7" s="1798"/>
      <c r="L7" s="1798"/>
      <c r="M7" s="1798"/>
      <c r="O7" s="1798" t="s">
        <v>481</v>
      </c>
      <c r="P7" s="1798"/>
      <c r="Q7" s="1798"/>
      <c r="R7" s="1798"/>
      <c r="S7" s="1798"/>
      <c r="T7" s="1798"/>
      <c r="U7" s="1798"/>
      <c r="V7" s="1798"/>
      <c r="W7" s="1798"/>
      <c r="X7" s="1798"/>
      <c r="Z7" s="1798"/>
      <c r="AA7" s="1798"/>
      <c r="AB7" s="1798"/>
      <c r="AC7" s="1798"/>
      <c r="AD7" s="1798"/>
      <c r="AE7" s="1798"/>
      <c r="AF7" s="1798"/>
      <c r="AG7" s="1798"/>
      <c r="AH7" s="1798"/>
      <c r="AI7" s="1798"/>
    </row>
    <row r="8" spans="1:36" ht="13.2" customHeight="1" thickBot="1" x14ac:dyDescent="0.5"/>
    <row r="9" spans="1:36" x14ac:dyDescent="0.45">
      <c r="C9" s="824"/>
      <c r="D9" s="825"/>
      <c r="E9" s="825"/>
      <c r="F9" s="825"/>
      <c r="G9" s="825"/>
      <c r="H9" s="825"/>
      <c r="I9" s="825"/>
      <c r="J9" s="825"/>
      <c r="K9" s="825"/>
      <c r="L9" s="825"/>
      <c r="M9" s="826"/>
      <c r="O9" s="824"/>
      <c r="P9" s="825"/>
      <c r="Q9" s="825"/>
      <c r="R9" s="825"/>
      <c r="S9" s="825"/>
      <c r="T9" s="825"/>
      <c r="U9" s="825"/>
      <c r="V9" s="825"/>
      <c r="W9" s="825"/>
      <c r="X9" s="825"/>
      <c r="Z9" s="825"/>
      <c r="AA9" s="825"/>
      <c r="AB9" s="825"/>
      <c r="AC9" s="825"/>
      <c r="AD9" s="825"/>
      <c r="AE9" s="825"/>
      <c r="AF9" s="825"/>
      <c r="AG9" s="825"/>
      <c r="AH9" s="825"/>
      <c r="AI9" s="826"/>
    </row>
    <row r="10" spans="1:36" x14ac:dyDescent="0.45">
      <c r="C10" s="827"/>
      <c r="D10" s="828" t="s">
        <v>106</v>
      </c>
      <c r="M10" s="829"/>
      <c r="O10" s="827"/>
      <c r="P10" s="828" t="s">
        <v>106</v>
      </c>
      <c r="Z10" s="828" t="s">
        <v>106</v>
      </c>
      <c r="AI10" s="829"/>
    </row>
    <row r="11" spans="1:36" ht="14.55" customHeight="1" x14ac:dyDescent="0.45">
      <c r="C11" s="827"/>
      <c r="D11" s="1799" t="s">
        <v>866</v>
      </c>
      <c r="E11" s="1799"/>
      <c r="F11" s="1799"/>
      <c r="G11" s="1799"/>
      <c r="H11" s="1799"/>
      <c r="I11" s="1799"/>
      <c r="J11" s="1799"/>
      <c r="K11" s="1799"/>
      <c r="L11" s="1799"/>
      <c r="M11" s="829"/>
      <c r="O11" s="827"/>
      <c r="P11" s="1799" t="s">
        <v>866</v>
      </c>
      <c r="Q11" s="1799"/>
      <c r="R11" s="1799"/>
      <c r="S11" s="1799"/>
      <c r="T11" s="1799"/>
      <c r="U11" s="1799"/>
      <c r="V11" s="1799"/>
      <c r="W11" s="1799"/>
      <c r="X11" s="1799"/>
      <c r="Z11" s="1799" t="s">
        <v>866</v>
      </c>
      <c r="AA11" s="1799"/>
      <c r="AB11" s="1799"/>
      <c r="AC11" s="1799"/>
      <c r="AD11" s="1799"/>
      <c r="AE11" s="1799"/>
      <c r="AF11" s="1799"/>
      <c r="AG11" s="1799"/>
      <c r="AH11" s="1799"/>
      <c r="AI11" s="829"/>
    </row>
    <row r="12" spans="1:36" x14ac:dyDescent="0.45">
      <c r="C12" s="827"/>
      <c r="D12" s="1799"/>
      <c r="E12" s="1799"/>
      <c r="F12" s="1799"/>
      <c r="G12" s="1799"/>
      <c r="H12" s="1799"/>
      <c r="I12" s="1799"/>
      <c r="J12" s="1799"/>
      <c r="K12" s="1799"/>
      <c r="L12" s="1799"/>
      <c r="M12" s="829"/>
      <c r="O12" s="827"/>
      <c r="P12" s="1799"/>
      <c r="Q12" s="1799"/>
      <c r="R12" s="1799"/>
      <c r="S12" s="1799"/>
      <c r="T12" s="1799"/>
      <c r="U12" s="1799"/>
      <c r="V12" s="1799"/>
      <c r="W12" s="1799"/>
      <c r="X12" s="1799"/>
      <c r="Z12" s="1799"/>
      <c r="AA12" s="1799"/>
      <c r="AB12" s="1799"/>
      <c r="AC12" s="1799"/>
      <c r="AD12" s="1799"/>
      <c r="AE12" s="1799"/>
      <c r="AF12" s="1799"/>
      <c r="AG12" s="1799"/>
      <c r="AH12" s="1799"/>
      <c r="AI12" s="829"/>
    </row>
    <row r="13" spans="1:36" x14ac:dyDescent="0.45">
      <c r="C13" s="827"/>
      <c r="D13" s="1799"/>
      <c r="E13" s="1799"/>
      <c r="F13" s="1799"/>
      <c r="G13" s="1799"/>
      <c r="H13" s="1799"/>
      <c r="I13" s="1799"/>
      <c r="J13" s="1799"/>
      <c r="K13" s="1799"/>
      <c r="L13" s="1799"/>
      <c r="M13" s="829"/>
      <c r="O13" s="827"/>
      <c r="P13" s="1799"/>
      <c r="Q13" s="1799"/>
      <c r="R13" s="1799"/>
      <c r="S13" s="1799"/>
      <c r="T13" s="1799"/>
      <c r="U13" s="1799"/>
      <c r="V13" s="1799"/>
      <c r="W13" s="1799"/>
      <c r="X13" s="1799"/>
      <c r="Z13" s="1799"/>
      <c r="AA13" s="1799"/>
      <c r="AB13" s="1799"/>
      <c r="AC13" s="1799"/>
      <c r="AD13" s="1799"/>
      <c r="AE13" s="1799"/>
      <c r="AF13" s="1799"/>
      <c r="AG13" s="1799"/>
      <c r="AH13" s="1799"/>
      <c r="AI13" s="829"/>
    </row>
    <row r="14" spans="1:36" x14ac:dyDescent="0.45">
      <c r="C14" s="827"/>
      <c r="D14" s="828"/>
      <c r="M14" s="829"/>
      <c r="O14" s="827"/>
      <c r="P14" s="828"/>
      <c r="Z14" s="828"/>
      <c r="AI14" s="829"/>
    </row>
    <row r="15" spans="1:36" ht="46.8" x14ac:dyDescent="0.45">
      <c r="C15" s="827"/>
      <c r="D15" s="830" t="s">
        <v>14</v>
      </c>
      <c r="E15" s="831" t="s">
        <v>240</v>
      </c>
      <c r="F15" s="831" t="s">
        <v>242</v>
      </c>
      <c r="G15" s="831" t="s">
        <v>243</v>
      </c>
      <c r="H15" s="831" t="s">
        <v>244</v>
      </c>
      <c r="I15" s="831" t="s">
        <v>238</v>
      </c>
      <c r="J15" s="831" t="s">
        <v>239</v>
      </c>
      <c r="K15" s="831" t="s">
        <v>245</v>
      </c>
      <c r="L15" s="832" t="s">
        <v>108</v>
      </c>
      <c r="M15" s="829"/>
      <c r="O15" s="827"/>
      <c r="P15" s="830" t="s">
        <v>14</v>
      </c>
      <c r="Q15" s="831" t="s">
        <v>240</v>
      </c>
      <c r="R15" s="831" t="s">
        <v>242</v>
      </c>
      <c r="S15" s="831" t="s">
        <v>243</v>
      </c>
      <c r="T15" s="831" t="s">
        <v>244</v>
      </c>
      <c r="U15" s="831" t="s">
        <v>238</v>
      </c>
      <c r="V15" s="831" t="s">
        <v>239</v>
      </c>
      <c r="W15" s="831" t="s">
        <v>245</v>
      </c>
      <c r="X15" s="832" t="s">
        <v>108</v>
      </c>
      <c r="Z15" s="830" t="s">
        <v>14</v>
      </c>
      <c r="AA15" s="831" t="s">
        <v>240</v>
      </c>
      <c r="AB15" s="831" t="s">
        <v>242</v>
      </c>
      <c r="AC15" s="831" t="s">
        <v>243</v>
      </c>
      <c r="AD15" s="831" t="s">
        <v>244</v>
      </c>
      <c r="AE15" s="831" t="s">
        <v>238</v>
      </c>
      <c r="AF15" s="831" t="s">
        <v>239</v>
      </c>
      <c r="AG15" s="831" t="s">
        <v>245</v>
      </c>
      <c r="AH15" s="832" t="s">
        <v>108</v>
      </c>
      <c r="AI15" s="829"/>
    </row>
    <row r="16" spans="1:36" x14ac:dyDescent="0.45">
      <c r="C16" s="827"/>
      <c r="D16" s="847" t="s">
        <v>8</v>
      </c>
      <c r="E16" s="833">
        <f ca="1">'6.Summary'!E41</f>
        <v>314715240</v>
      </c>
      <c r="F16" s="833">
        <f ca="1">'6.Summary'!F41</f>
        <v>12061071</v>
      </c>
      <c r="G16" s="833">
        <f ca="1">'6.Summary'!G41</f>
        <v>20471408</v>
      </c>
      <c r="H16" s="833">
        <f ca="1">'6.Summary'!H41</f>
        <v>10857592</v>
      </c>
      <c r="I16" s="833">
        <f ca="1">'6.Summary'!I41</f>
        <v>22275152</v>
      </c>
      <c r="J16" s="833">
        <f ca="1">'6.Summary'!J41</f>
        <v>126890746</v>
      </c>
      <c r="K16" s="833">
        <f ca="1">'6.Summary'!K41</f>
        <v>122159271</v>
      </c>
      <c r="L16" s="834">
        <f ca="1">SUM(F16:K16)-E16</f>
        <v>0</v>
      </c>
      <c r="M16" s="829"/>
      <c r="O16" s="827"/>
      <c r="P16" s="847" t="s">
        <v>8</v>
      </c>
      <c r="Q16" s="833">
        <f ca="1">'6.Summary'!T41</f>
        <v>325417414</v>
      </c>
      <c r="R16" s="833">
        <f ca="1">'6.Summary'!U41</f>
        <v>12471500</v>
      </c>
      <c r="S16" s="833">
        <f ca="1">'6.Summary'!V41</f>
        <v>21167435</v>
      </c>
      <c r="T16" s="833">
        <f ca="1">'6.Summary'!W41</f>
        <v>11226748</v>
      </c>
      <c r="U16" s="833">
        <f ca="1">'6.Summary'!X41</f>
        <v>23032512</v>
      </c>
      <c r="V16" s="833">
        <f ca="1">'6.Summary'!Y41</f>
        <v>131206412</v>
      </c>
      <c r="W16" s="833">
        <f ca="1">'6.Summary'!Z41</f>
        <v>126312807</v>
      </c>
      <c r="X16" s="834">
        <f ca="1">SUM(R16:W16)-Q16</f>
        <v>0</v>
      </c>
      <c r="Z16" s="847" t="s">
        <v>8</v>
      </c>
      <c r="AA16" s="833">
        <f ca="1">'6.Summary'!AI41</f>
        <v>335832938</v>
      </c>
      <c r="AB16" s="833">
        <f ca="1">'6.Summary'!AJ41</f>
        <v>12871002</v>
      </c>
      <c r="AC16" s="833">
        <f ca="1">'6.Summary'!AK41</f>
        <v>21844789</v>
      </c>
      <c r="AD16" s="833">
        <f ca="1">'6.Summary'!AL41</f>
        <v>11586002</v>
      </c>
      <c r="AE16" s="833">
        <f ca="1">'6.Summary'!AM41</f>
        <v>23769552</v>
      </c>
      <c r="AF16" s="833">
        <f ca="1">'6.Summary'!AN41</f>
        <v>135406639</v>
      </c>
      <c r="AG16" s="833">
        <f ca="1">'6.Summary'!AO41</f>
        <v>130354954</v>
      </c>
      <c r="AH16" s="834">
        <f ca="1">SUM(AB16:AG16)-AA16</f>
        <v>0</v>
      </c>
      <c r="AI16" s="829"/>
    </row>
    <row r="17" spans="3:35" x14ac:dyDescent="0.45">
      <c r="C17" s="827"/>
      <c r="D17" s="847" t="s">
        <v>9</v>
      </c>
      <c r="E17" s="833">
        <f ca="1">'6.Summary'!E42</f>
        <v>14271314</v>
      </c>
      <c r="F17" s="833">
        <f ca="1">'6.Summary'!F42</f>
        <v>0</v>
      </c>
      <c r="G17" s="833">
        <f ca="1">'6.Summary'!G42</f>
        <v>0</v>
      </c>
      <c r="H17" s="833">
        <f ca="1">'6.Summary'!H42</f>
        <v>0</v>
      </c>
      <c r="I17" s="833">
        <f ca="1">'6.Summary'!I42</f>
        <v>0</v>
      </c>
      <c r="J17" s="833">
        <f ca="1">'6.Summary'!J42</f>
        <v>0</v>
      </c>
      <c r="K17" s="833">
        <f ca="1">'6.Summary'!K42</f>
        <v>14271314</v>
      </c>
      <c r="L17" s="834">
        <f t="shared" ref="L17:L33" ca="1" si="0">SUM(F17:K17)-E17</f>
        <v>0</v>
      </c>
      <c r="M17" s="829"/>
      <c r="O17" s="827"/>
      <c r="P17" s="847" t="s">
        <v>9</v>
      </c>
      <c r="Q17" s="833">
        <f ca="1">'6.Summary'!T42</f>
        <v>14756538</v>
      </c>
      <c r="R17" s="833">
        <f ca="1">'6.Summary'!U42</f>
        <v>0</v>
      </c>
      <c r="S17" s="833">
        <f ca="1">'6.Summary'!V42</f>
        <v>0</v>
      </c>
      <c r="T17" s="833">
        <f ca="1">'6.Summary'!W42</f>
        <v>0</v>
      </c>
      <c r="U17" s="833">
        <f ca="1">'6.Summary'!X42</f>
        <v>0</v>
      </c>
      <c r="V17" s="833">
        <f ca="1">'6.Summary'!Y42</f>
        <v>0</v>
      </c>
      <c r="W17" s="833">
        <f ca="1">'6.Summary'!Z42</f>
        <v>14756538</v>
      </c>
      <c r="X17" s="834">
        <f t="shared" ref="X17:X26" ca="1" si="1">SUM(R17:W17)-Q17</f>
        <v>0</v>
      </c>
      <c r="Z17" s="847" t="s">
        <v>9</v>
      </c>
      <c r="AA17" s="833">
        <f ca="1">'6.Summary'!AI42</f>
        <v>15228750</v>
      </c>
      <c r="AB17" s="833">
        <f ca="1">'6.Summary'!AJ42</f>
        <v>0</v>
      </c>
      <c r="AC17" s="833">
        <f ca="1">'6.Summary'!AK42</f>
        <v>0</v>
      </c>
      <c r="AD17" s="833">
        <f ca="1">'6.Summary'!AL42</f>
        <v>0</v>
      </c>
      <c r="AE17" s="833">
        <f ca="1">'6.Summary'!AM42</f>
        <v>0</v>
      </c>
      <c r="AF17" s="833">
        <f ca="1">'6.Summary'!AN42</f>
        <v>0</v>
      </c>
      <c r="AG17" s="833">
        <f ca="1">'6.Summary'!AO42</f>
        <v>15228750</v>
      </c>
      <c r="AH17" s="834">
        <f t="shared" ref="AH17:AH26" ca="1" si="2">SUM(AB17:AG17)-AA17</f>
        <v>0</v>
      </c>
      <c r="AI17" s="829"/>
    </row>
    <row r="18" spans="3:35" x14ac:dyDescent="0.45">
      <c r="C18" s="827"/>
      <c r="D18" s="847" t="s">
        <v>724</v>
      </c>
      <c r="E18" s="833">
        <f ca="1">'6.Summary'!E43</f>
        <v>152140082</v>
      </c>
      <c r="F18" s="833">
        <f ca="1">'6.Summary'!F43</f>
        <v>0</v>
      </c>
      <c r="G18" s="833">
        <f ca="1">'6.Summary'!G43</f>
        <v>0</v>
      </c>
      <c r="H18" s="833">
        <f ca="1">'6.Summary'!H43</f>
        <v>152140082</v>
      </c>
      <c r="I18" s="833">
        <f ca="1">'6.Summary'!I43</f>
        <v>0</v>
      </c>
      <c r="J18" s="833">
        <f ca="1">'6.Summary'!J43</f>
        <v>0</v>
      </c>
      <c r="K18" s="833">
        <f ca="1">'6.Summary'!K43</f>
        <v>0</v>
      </c>
      <c r="L18" s="834">
        <f t="shared" ca="1" si="0"/>
        <v>0</v>
      </c>
      <c r="M18" s="829"/>
      <c r="O18" s="827"/>
      <c r="P18" s="847" t="s">
        <v>724</v>
      </c>
      <c r="Q18" s="833">
        <f ca="1">'6.Summary'!T43</f>
        <v>157312845</v>
      </c>
      <c r="R18" s="833">
        <f ca="1">'6.Summary'!U43</f>
        <v>0</v>
      </c>
      <c r="S18" s="833">
        <f ca="1">'6.Summary'!V43</f>
        <v>0</v>
      </c>
      <c r="T18" s="833">
        <f ca="1">'6.Summary'!W43</f>
        <v>157312845</v>
      </c>
      <c r="U18" s="833">
        <f ca="1">'6.Summary'!X43</f>
        <v>0</v>
      </c>
      <c r="V18" s="833">
        <f ca="1">'6.Summary'!Y43</f>
        <v>0</v>
      </c>
      <c r="W18" s="833">
        <f ca="1">'6.Summary'!Z43</f>
        <v>0</v>
      </c>
      <c r="X18" s="834">
        <f t="shared" ca="1" si="1"/>
        <v>0</v>
      </c>
      <c r="Z18" s="847" t="s">
        <v>724</v>
      </c>
      <c r="AA18" s="833">
        <f ca="1">'6.Summary'!AI43</f>
        <v>162346856</v>
      </c>
      <c r="AB18" s="833">
        <f ca="1">'6.Summary'!AJ43</f>
        <v>0</v>
      </c>
      <c r="AC18" s="833">
        <f ca="1">'6.Summary'!AK43</f>
        <v>0</v>
      </c>
      <c r="AD18" s="833">
        <f ca="1">'6.Summary'!AL43</f>
        <v>162346856</v>
      </c>
      <c r="AE18" s="833">
        <f ca="1">'6.Summary'!AM43</f>
        <v>0</v>
      </c>
      <c r="AF18" s="833">
        <f ca="1">'6.Summary'!AN43</f>
        <v>0</v>
      </c>
      <c r="AG18" s="833">
        <f ca="1">'6.Summary'!AO43</f>
        <v>0</v>
      </c>
      <c r="AH18" s="834">
        <f t="shared" ca="1" si="2"/>
        <v>0</v>
      </c>
      <c r="AI18" s="829"/>
    </row>
    <row r="19" spans="3:35" x14ac:dyDescent="0.45">
      <c r="C19" s="827"/>
      <c r="D19" s="847" t="s">
        <v>726</v>
      </c>
      <c r="E19" s="833">
        <f ca="1">'6.Summary'!E44</f>
        <v>44419679</v>
      </c>
      <c r="F19" s="833">
        <f ca="1">'6.Summary'!F44</f>
        <v>34332949</v>
      </c>
      <c r="G19" s="833">
        <f ca="1">'6.Summary'!G44</f>
        <v>1606343</v>
      </c>
      <c r="H19" s="833">
        <f ca="1">'6.Summary'!H44</f>
        <v>1423290</v>
      </c>
      <c r="I19" s="833">
        <f ca="1">'6.Summary'!I44</f>
        <v>1399910</v>
      </c>
      <c r="J19" s="833">
        <f ca="1">'6.Summary'!J44</f>
        <v>3860005</v>
      </c>
      <c r="K19" s="833">
        <f ca="1">'6.Summary'!K44</f>
        <v>1797182</v>
      </c>
      <c r="L19" s="834">
        <f t="shared" ca="1" si="0"/>
        <v>0</v>
      </c>
      <c r="M19" s="829"/>
      <c r="O19" s="827"/>
      <c r="P19" s="847" t="s">
        <v>726</v>
      </c>
      <c r="Q19" s="833">
        <f ca="1">'6.Summary'!T44</f>
        <v>45929964</v>
      </c>
      <c r="R19" s="833">
        <f ca="1">'6.Summary'!U44</f>
        <v>35500273</v>
      </c>
      <c r="S19" s="833">
        <f ca="1">'6.Summary'!V44</f>
        <v>1660961</v>
      </c>
      <c r="T19" s="833">
        <f ca="1">'6.Summary'!W44</f>
        <v>1471684</v>
      </c>
      <c r="U19" s="833">
        <f ca="1">'6.Summary'!X44</f>
        <v>1447509</v>
      </c>
      <c r="V19" s="833">
        <f ca="1">'6.Summary'!Y44</f>
        <v>3991250</v>
      </c>
      <c r="W19" s="833">
        <f ca="1">'6.Summary'!Z44</f>
        <v>1858287</v>
      </c>
      <c r="X19" s="834">
        <f t="shared" ca="1" si="1"/>
        <v>0</v>
      </c>
      <c r="Z19" s="847" t="s">
        <v>726</v>
      </c>
      <c r="AA19" s="833">
        <f ca="1">'6.Summary'!AI44</f>
        <v>47399718</v>
      </c>
      <c r="AB19" s="833">
        <f ca="1">'6.Summary'!AJ44</f>
        <v>36636281</v>
      </c>
      <c r="AC19" s="833">
        <f ca="1">'6.Summary'!AK44</f>
        <v>1714112</v>
      </c>
      <c r="AD19" s="833">
        <f ca="1">'6.Summary'!AL44</f>
        <v>1518776</v>
      </c>
      <c r="AE19" s="833">
        <f ca="1">'6.Summary'!AM44</f>
        <v>1493827</v>
      </c>
      <c r="AF19" s="833">
        <f ca="1">'6.Summary'!AN44</f>
        <v>4118969</v>
      </c>
      <c r="AG19" s="833">
        <f ca="1">'6.Summary'!AO44</f>
        <v>1917753</v>
      </c>
      <c r="AH19" s="834">
        <f t="shared" ca="1" si="2"/>
        <v>0</v>
      </c>
      <c r="AI19" s="829"/>
    </row>
    <row r="20" spans="3:35" x14ac:dyDescent="0.45">
      <c r="C20" s="827"/>
      <c r="D20" s="847" t="s">
        <v>10</v>
      </c>
      <c r="E20" s="833">
        <f ca="1">'6.Summary'!E45</f>
        <v>110632000</v>
      </c>
      <c r="F20" s="833">
        <f ca="1">'6.Summary'!F45</f>
        <v>18521000</v>
      </c>
      <c r="G20" s="833">
        <f ca="1">'6.Summary'!G45</f>
        <v>13338000</v>
      </c>
      <c r="H20" s="833">
        <f ca="1">'6.Summary'!H45</f>
        <v>1808000</v>
      </c>
      <c r="I20" s="833">
        <f ca="1">'6.Summary'!I45</f>
        <v>11260000</v>
      </c>
      <c r="J20" s="833">
        <f ca="1">'6.Summary'!J45</f>
        <v>35588000</v>
      </c>
      <c r="K20" s="833">
        <f ca="1">'6.Summary'!K45</f>
        <v>30117000</v>
      </c>
      <c r="L20" s="834">
        <f t="shared" ca="1" si="0"/>
        <v>0</v>
      </c>
      <c r="M20" s="829"/>
      <c r="O20" s="827"/>
      <c r="P20" s="847" t="s">
        <v>10</v>
      </c>
      <c r="Q20" s="833">
        <f ca="1">'6.Summary'!T45</f>
        <v>114393488</v>
      </c>
      <c r="R20" s="833">
        <f ca="1">'6.Summary'!U45</f>
        <v>19150714</v>
      </c>
      <c r="S20" s="833">
        <f ca="1">'6.Summary'!V45</f>
        <v>13791492</v>
      </c>
      <c r="T20" s="833">
        <f ca="1">'6.Summary'!W45</f>
        <v>1869472</v>
      </c>
      <c r="U20" s="833">
        <f ca="1">'6.Summary'!X45</f>
        <v>11642840</v>
      </c>
      <c r="V20" s="833">
        <f ca="1">'6.Summary'!Y45</f>
        <v>36797992</v>
      </c>
      <c r="W20" s="833">
        <f ca="1">'6.Summary'!Z45</f>
        <v>31140978</v>
      </c>
      <c r="X20" s="834">
        <f t="shared" ca="1" si="1"/>
        <v>0</v>
      </c>
      <c r="Z20" s="847" t="s">
        <v>10</v>
      </c>
      <c r="AA20" s="833">
        <f ca="1">'6.Summary'!AI45</f>
        <v>118054080</v>
      </c>
      <c r="AB20" s="833">
        <f ca="1">'6.Summary'!AJ45</f>
        <v>19763537</v>
      </c>
      <c r="AC20" s="833">
        <f ca="1">'6.Summary'!AK45</f>
        <v>14232820</v>
      </c>
      <c r="AD20" s="833">
        <f ca="1">'6.Summary'!AL45</f>
        <v>1929295</v>
      </c>
      <c r="AE20" s="833">
        <f ca="1">'6.Summary'!AM45</f>
        <v>12015411</v>
      </c>
      <c r="AF20" s="833">
        <f ca="1">'6.Summary'!AN45</f>
        <v>37975528</v>
      </c>
      <c r="AG20" s="833">
        <f ca="1">'6.Summary'!AO45</f>
        <v>32137489</v>
      </c>
      <c r="AH20" s="834">
        <f t="shared" ca="1" si="2"/>
        <v>0</v>
      </c>
      <c r="AI20" s="829"/>
    </row>
    <row r="21" spans="3:35" x14ac:dyDescent="0.45">
      <c r="C21" s="827"/>
      <c r="D21" s="847" t="s">
        <v>745</v>
      </c>
      <c r="E21" s="833">
        <f ca="1">'6.Summary'!E46</f>
        <v>40079353</v>
      </c>
      <c r="F21" s="833">
        <f ca="1">'6.Summary'!F46</f>
        <v>7198765</v>
      </c>
      <c r="G21" s="833">
        <f ca="1">'6.Summary'!G46</f>
        <v>9307404</v>
      </c>
      <c r="H21" s="833">
        <f ca="1">'6.Summary'!H46</f>
        <v>3703046</v>
      </c>
      <c r="I21" s="833">
        <f ca="1">'6.Summary'!I46</f>
        <v>8809217</v>
      </c>
      <c r="J21" s="833">
        <f ca="1">'6.Summary'!J46</f>
        <v>4673514</v>
      </c>
      <c r="K21" s="833">
        <f ca="1">'6.Summary'!K46</f>
        <v>6387407</v>
      </c>
      <c r="L21" s="834">
        <f t="shared" ca="1" si="0"/>
        <v>0</v>
      </c>
      <c r="M21" s="829"/>
      <c r="O21" s="827"/>
      <c r="P21" s="847" t="s">
        <v>745</v>
      </c>
      <c r="Q21" s="833">
        <f ca="1">'6.Summary'!T46</f>
        <v>42062859</v>
      </c>
      <c r="R21" s="833">
        <f ca="1">'6.Summary'!U46</f>
        <v>7558703</v>
      </c>
      <c r="S21" s="833">
        <f ca="1">'6.Summary'!V46</f>
        <v>9772774</v>
      </c>
      <c r="T21" s="833">
        <f ca="1">'6.Summary'!W46</f>
        <v>3888198</v>
      </c>
      <c r="U21" s="833">
        <f ca="1">'6.Summary'!X46</f>
        <v>9249678</v>
      </c>
      <c r="V21" s="833">
        <f ca="1">'6.Summary'!Y46</f>
        <v>4907190</v>
      </c>
      <c r="W21" s="833">
        <f ca="1">'6.Summary'!Z46</f>
        <v>6686316</v>
      </c>
      <c r="X21" s="834">
        <f t="shared" ca="1" si="1"/>
        <v>0</v>
      </c>
      <c r="Z21" s="847" t="s">
        <v>745</v>
      </c>
      <c r="AA21" s="833">
        <f ca="1">'6.Summary'!AI46</f>
        <v>44123207</v>
      </c>
      <c r="AB21" s="833">
        <f ca="1">'6.Summary'!AJ46</f>
        <v>7936639</v>
      </c>
      <c r="AC21" s="833">
        <f ca="1">'6.Summary'!AK46</f>
        <v>10261413</v>
      </c>
      <c r="AD21" s="833">
        <f ca="1">'6.Summary'!AL46</f>
        <v>4082609</v>
      </c>
      <c r="AE21" s="833">
        <f ca="1">'6.Summary'!AM46</f>
        <v>9712162</v>
      </c>
      <c r="AF21" s="833">
        <f ca="1">'6.Summary'!AN46</f>
        <v>5152549</v>
      </c>
      <c r="AG21" s="833">
        <f ca="1">'6.Summary'!AO46</f>
        <v>6977835</v>
      </c>
      <c r="AH21" s="834">
        <f t="shared" ca="1" si="2"/>
        <v>0</v>
      </c>
      <c r="AI21" s="829"/>
    </row>
    <row r="22" spans="3:35" x14ac:dyDescent="0.45">
      <c r="C22" s="827"/>
      <c r="D22" s="847" t="s">
        <v>687</v>
      </c>
      <c r="E22" s="833">
        <f ca="1">'6.Summary'!E47</f>
        <v>45677838</v>
      </c>
      <c r="F22" s="833">
        <f ca="1">'6.Summary'!F47</f>
        <v>1543777</v>
      </c>
      <c r="G22" s="833">
        <f ca="1">'6.Summary'!G47</f>
        <v>2357463</v>
      </c>
      <c r="H22" s="833">
        <f ca="1">'6.Summary'!H47</f>
        <v>15519187</v>
      </c>
      <c r="I22" s="833">
        <f ca="1">'6.Summary'!I47</f>
        <v>15564442</v>
      </c>
      <c r="J22" s="833">
        <f ca="1">'6.Summary'!J47</f>
        <v>584662</v>
      </c>
      <c r="K22" s="833">
        <f ca="1">'6.Summary'!K47</f>
        <v>10108307</v>
      </c>
      <c r="L22" s="834">
        <f t="shared" ca="1" si="0"/>
        <v>0</v>
      </c>
      <c r="M22" s="829"/>
      <c r="O22" s="827"/>
      <c r="P22" s="847" t="s">
        <v>687</v>
      </c>
      <c r="Q22" s="833">
        <f ca="1">'6.Summary'!T47</f>
        <v>47230883</v>
      </c>
      <c r="R22" s="833">
        <f ca="1">'6.Summary'!U47</f>
        <v>1596265</v>
      </c>
      <c r="S22" s="833">
        <f ca="1">'6.Summary'!V47</f>
        <v>2437617</v>
      </c>
      <c r="T22" s="833">
        <f ca="1">'6.Summary'!W47</f>
        <v>16046839</v>
      </c>
      <c r="U22" s="833">
        <f ca="1">'6.Summary'!X47</f>
        <v>16093633</v>
      </c>
      <c r="V22" s="833">
        <f ca="1">'6.Summary'!Y47</f>
        <v>604540</v>
      </c>
      <c r="W22" s="833">
        <f ca="1">'6.Summary'!Z47</f>
        <v>10451989</v>
      </c>
      <c r="X22" s="834">
        <f t="shared" ca="1" si="1"/>
        <v>0</v>
      </c>
      <c r="Z22" s="847" t="s">
        <v>687</v>
      </c>
      <c r="AA22" s="833">
        <f ca="1">'6.Summary'!AI47</f>
        <v>48742270</v>
      </c>
      <c r="AB22" s="833">
        <f ca="1">'6.Summary'!AJ47</f>
        <v>1647345</v>
      </c>
      <c r="AC22" s="833">
        <f ca="1">'6.Summary'!AK47</f>
        <v>2515621</v>
      </c>
      <c r="AD22" s="833">
        <f ca="1">'6.Summary'!AL47</f>
        <v>16560338</v>
      </c>
      <c r="AE22" s="833">
        <f ca="1">'6.Summary'!AM47</f>
        <v>16608629</v>
      </c>
      <c r="AF22" s="833">
        <f ca="1">'6.Summary'!AN47</f>
        <v>623885</v>
      </c>
      <c r="AG22" s="833">
        <f ca="1">'6.Summary'!AO47</f>
        <v>10786452</v>
      </c>
      <c r="AH22" s="834">
        <f t="shared" ca="1" si="2"/>
        <v>0</v>
      </c>
      <c r="AI22" s="829"/>
    </row>
    <row r="23" spans="3:35" x14ac:dyDescent="0.45">
      <c r="C23" s="827"/>
      <c r="D23" s="847" t="s">
        <v>12</v>
      </c>
      <c r="E23" s="833">
        <f ca="1">'6.Summary'!E48</f>
        <v>66548331</v>
      </c>
      <c r="F23" s="833">
        <f ca="1">'6.Summary'!F48</f>
        <v>4068585</v>
      </c>
      <c r="G23" s="833">
        <f ca="1">'6.Summary'!G48</f>
        <v>5607523</v>
      </c>
      <c r="H23" s="833">
        <f ca="1">'6.Summary'!H48</f>
        <v>3170548</v>
      </c>
      <c r="I23" s="833">
        <f ca="1">'6.Summary'!I48</f>
        <v>13038691</v>
      </c>
      <c r="J23" s="833">
        <f ca="1">'6.Summary'!J48</f>
        <v>21948917</v>
      </c>
      <c r="K23" s="833">
        <f ca="1">'6.Summary'!K48</f>
        <v>18714067</v>
      </c>
      <c r="L23" s="834">
        <f t="shared" ca="1" si="0"/>
        <v>0</v>
      </c>
      <c r="M23" s="829"/>
      <c r="O23" s="827"/>
      <c r="P23" s="847" t="s">
        <v>12</v>
      </c>
      <c r="Q23" s="833">
        <f ca="1">'6.Summary'!T48</f>
        <v>68811030</v>
      </c>
      <c r="R23" s="833">
        <f ca="1">'6.Summary'!U48</f>
        <v>4206921</v>
      </c>
      <c r="S23" s="833">
        <f ca="1">'6.Summary'!V48</f>
        <v>5798186</v>
      </c>
      <c r="T23" s="833">
        <f ca="1">'6.Summary'!W48</f>
        <v>3278353</v>
      </c>
      <c r="U23" s="833">
        <f ca="1">'6.Summary'!X48</f>
        <v>13482004</v>
      </c>
      <c r="V23" s="833">
        <f ca="1">'6.Summary'!Y48</f>
        <v>22695216</v>
      </c>
      <c r="W23" s="833">
        <f ca="1">'6.Summary'!Z48</f>
        <v>19350350</v>
      </c>
      <c r="X23" s="834">
        <f t="shared" ca="1" si="1"/>
        <v>0</v>
      </c>
      <c r="Z23" s="847" t="s">
        <v>12</v>
      </c>
      <c r="AA23" s="833">
        <f ca="1">'6.Summary'!AI48</f>
        <v>71013047</v>
      </c>
      <c r="AB23" s="833">
        <f ca="1">'6.Summary'!AJ48</f>
        <v>4341546</v>
      </c>
      <c r="AC23" s="833">
        <f ca="1">'6.Summary'!AK48</f>
        <v>5983737</v>
      </c>
      <c r="AD23" s="833">
        <f ca="1">'6.Summary'!AL48</f>
        <v>3383265</v>
      </c>
      <c r="AE23" s="833">
        <f ca="1">'6.Summary'!AM48</f>
        <v>13913428</v>
      </c>
      <c r="AF23" s="833">
        <f ca="1">'6.Summary'!AN48</f>
        <v>23421501</v>
      </c>
      <c r="AG23" s="833">
        <f ca="1">'6.Summary'!AO48</f>
        <v>19969570</v>
      </c>
      <c r="AH23" s="834">
        <f t="shared" ca="1" si="2"/>
        <v>0</v>
      </c>
      <c r="AI23" s="829"/>
    </row>
    <row r="24" spans="3:35" x14ac:dyDescent="0.45">
      <c r="C24" s="827"/>
      <c r="D24" s="847" t="s">
        <v>204</v>
      </c>
      <c r="E24" s="833">
        <f ca="1">'6.Summary'!E49</f>
        <v>11800</v>
      </c>
      <c r="F24" s="833">
        <f ca="1">'6.Summary'!F49</f>
        <v>0</v>
      </c>
      <c r="G24" s="833">
        <f ca="1">'6.Summary'!G49</f>
        <v>0</v>
      </c>
      <c r="H24" s="833">
        <f ca="1">'6.Summary'!H49</f>
        <v>0</v>
      </c>
      <c r="I24" s="833">
        <f ca="1">'6.Summary'!I49</f>
        <v>0</v>
      </c>
      <c r="J24" s="833">
        <f ca="1">'6.Summary'!J49</f>
        <v>11800</v>
      </c>
      <c r="K24" s="833">
        <f ca="1">'6.Summary'!K49</f>
        <v>0</v>
      </c>
      <c r="L24" s="834">
        <f t="shared" ca="1" si="0"/>
        <v>0</v>
      </c>
      <c r="M24" s="829"/>
      <c r="O24" s="827"/>
      <c r="P24" s="847" t="s">
        <v>204</v>
      </c>
      <c r="Q24" s="833">
        <f ca="1">'6.Summary'!T49</f>
        <v>12201</v>
      </c>
      <c r="R24" s="833">
        <f ca="1">'6.Summary'!U49</f>
        <v>0</v>
      </c>
      <c r="S24" s="833">
        <f ca="1">'6.Summary'!V49</f>
        <v>0</v>
      </c>
      <c r="T24" s="833">
        <f ca="1">'6.Summary'!W49</f>
        <v>0</v>
      </c>
      <c r="U24" s="833">
        <f ca="1">'6.Summary'!X49</f>
        <v>0</v>
      </c>
      <c r="V24" s="833">
        <f ca="1">'6.Summary'!Y49</f>
        <v>12201</v>
      </c>
      <c r="W24" s="833">
        <f ca="1">'6.Summary'!Z49</f>
        <v>0</v>
      </c>
      <c r="X24" s="834">
        <f t="shared" ca="1" si="1"/>
        <v>0</v>
      </c>
      <c r="Z24" s="847" t="s">
        <v>204</v>
      </c>
      <c r="AA24" s="833">
        <f ca="1">'6.Summary'!AI49</f>
        <v>12591</v>
      </c>
      <c r="AB24" s="833">
        <f ca="1">'6.Summary'!AJ49</f>
        <v>0</v>
      </c>
      <c r="AC24" s="833">
        <f ca="1">'6.Summary'!AK49</f>
        <v>0</v>
      </c>
      <c r="AD24" s="833">
        <f ca="1">'6.Summary'!AL49</f>
        <v>0</v>
      </c>
      <c r="AE24" s="833">
        <f ca="1">'6.Summary'!AM49</f>
        <v>0</v>
      </c>
      <c r="AF24" s="833">
        <f ca="1">'6.Summary'!AN49</f>
        <v>12591</v>
      </c>
      <c r="AG24" s="833">
        <f ca="1">'6.Summary'!AO49</f>
        <v>0</v>
      </c>
      <c r="AH24" s="834">
        <f t="shared" ca="1" si="2"/>
        <v>0</v>
      </c>
      <c r="AI24" s="829"/>
    </row>
    <row r="25" spans="3:35" x14ac:dyDescent="0.45">
      <c r="C25" s="827"/>
      <c r="D25" s="847" t="s">
        <v>754</v>
      </c>
      <c r="E25" s="833">
        <f ca="1">'6.Summary'!E50</f>
        <v>13010000</v>
      </c>
      <c r="F25" s="833">
        <f ca="1">'6.Summary'!F50</f>
        <v>8548000</v>
      </c>
      <c r="G25" s="833">
        <f ca="1">'6.Summary'!G50</f>
        <v>0</v>
      </c>
      <c r="H25" s="833">
        <f ca="1">'6.Summary'!H50</f>
        <v>14000</v>
      </c>
      <c r="I25" s="833">
        <f ca="1">'6.Summary'!I50</f>
        <v>3452000</v>
      </c>
      <c r="J25" s="833">
        <f ca="1">'6.Summary'!J50</f>
        <v>0</v>
      </c>
      <c r="K25" s="833">
        <f ca="1">'6.Summary'!K50</f>
        <v>996000</v>
      </c>
      <c r="L25" s="834">
        <f t="shared" ca="1" si="0"/>
        <v>0</v>
      </c>
      <c r="M25" s="829"/>
      <c r="O25" s="827"/>
      <c r="P25" s="847" t="s">
        <v>754</v>
      </c>
      <c r="Q25" s="833">
        <f ca="1">'6.Summary'!T50</f>
        <v>13452340</v>
      </c>
      <c r="R25" s="833">
        <f ca="1">'6.Summary'!U50</f>
        <v>8838632</v>
      </c>
      <c r="S25" s="833">
        <f ca="1">'6.Summary'!V50</f>
        <v>0</v>
      </c>
      <c r="T25" s="833">
        <f ca="1">'6.Summary'!W50</f>
        <v>14476</v>
      </c>
      <c r="U25" s="833">
        <f ca="1">'6.Summary'!X50</f>
        <v>3569368</v>
      </c>
      <c r="V25" s="833">
        <f ca="1">'6.Summary'!Y50</f>
        <v>0</v>
      </c>
      <c r="W25" s="833">
        <f ca="1">'6.Summary'!Z50</f>
        <v>1029864</v>
      </c>
      <c r="X25" s="834">
        <f t="shared" ca="1" si="1"/>
        <v>0</v>
      </c>
      <c r="Z25" s="847" t="s">
        <v>754</v>
      </c>
      <c r="AA25" s="833">
        <f ca="1">'6.Summary'!AI50</f>
        <v>13882815</v>
      </c>
      <c r="AB25" s="833">
        <f ca="1">'6.Summary'!AJ50</f>
        <v>9121468</v>
      </c>
      <c r="AC25" s="833">
        <f ca="1">'6.Summary'!AK50</f>
        <v>0</v>
      </c>
      <c r="AD25" s="833">
        <f ca="1">'6.Summary'!AL50</f>
        <v>14939</v>
      </c>
      <c r="AE25" s="833">
        <f ca="1">'6.Summary'!AM50</f>
        <v>3683588</v>
      </c>
      <c r="AF25" s="833">
        <f ca="1">'6.Summary'!AN50</f>
        <v>0</v>
      </c>
      <c r="AG25" s="833">
        <f ca="1">'6.Summary'!AO50</f>
        <v>1062820</v>
      </c>
      <c r="AH25" s="834">
        <f t="shared" ca="1" si="2"/>
        <v>0</v>
      </c>
      <c r="AI25" s="829"/>
    </row>
    <row r="26" spans="3:35" x14ac:dyDescent="0.45">
      <c r="C26" s="827"/>
      <c r="D26" s="847" t="s">
        <v>757</v>
      </c>
      <c r="E26" s="833">
        <f ca="1">'6.Summary'!E51</f>
        <v>90311744</v>
      </c>
      <c r="F26" s="833">
        <f ca="1">'6.Summary'!F51</f>
        <v>11008552</v>
      </c>
      <c r="G26" s="833">
        <f ca="1">'6.Summary'!G51</f>
        <v>12182363</v>
      </c>
      <c r="H26" s="833">
        <f ca="1">'6.Summary'!H51</f>
        <v>10119097</v>
      </c>
      <c r="I26" s="833">
        <f ca="1">'6.Summary'!I51</f>
        <v>6690268</v>
      </c>
      <c r="J26" s="833">
        <f ca="1">'6.Summary'!J51</f>
        <v>9327086</v>
      </c>
      <c r="K26" s="833">
        <f ca="1">'6.Summary'!K51</f>
        <v>40984378</v>
      </c>
      <c r="L26" s="834">
        <f t="shared" ca="1" si="0"/>
        <v>0</v>
      </c>
      <c r="M26" s="829"/>
      <c r="O26" s="827"/>
      <c r="P26" s="847" t="s">
        <v>757</v>
      </c>
      <c r="Q26" s="833">
        <f ca="1">'6.Summary'!T51</f>
        <v>93382345</v>
      </c>
      <c r="R26" s="833">
        <f ca="1">'6.Summary'!U51</f>
        <v>11382843</v>
      </c>
      <c r="S26" s="833">
        <f ca="1">'6.Summary'!V51</f>
        <v>12596564</v>
      </c>
      <c r="T26" s="833">
        <f ca="1">'6.Summary'!W51</f>
        <v>10463147</v>
      </c>
      <c r="U26" s="833">
        <f ca="1">'6.Summary'!X51</f>
        <v>6917737</v>
      </c>
      <c r="V26" s="833">
        <f ca="1">'6.Summary'!Y51</f>
        <v>9644207</v>
      </c>
      <c r="W26" s="833">
        <f ca="1">'6.Summary'!Z51</f>
        <v>42377847</v>
      </c>
      <c r="X26" s="834">
        <f t="shared" ca="1" si="1"/>
        <v>0</v>
      </c>
      <c r="Z26" s="847" t="s">
        <v>757</v>
      </c>
      <c r="AA26" s="833">
        <f ca="1">'6.Summary'!AI51</f>
        <v>96370566</v>
      </c>
      <c r="AB26" s="833">
        <f ca="1">'6.Summary'!AJ51</f>
        <v>11747096</v>
      </c>
      <c r="AC26" s="833">
        <f ca="1">'6.Summary'!AK51</f>
        <v>12999654</v>
      </c>
      <c r="AD26" s="833">
        <f ca="1">'6.Summary'!AL51</f>
        <v>10797968</v>
      </c>
      <c r="AE26" s="833">
        <f ca="1">'6.Summary'!AM51</f>
        <v>7139105</v>
      </c>
      <c r="AF26" s="833">
        <f ca="1">'6.Summary'!AN51</f>
        <v>9952807</v>
      </c>
      <c r="AG26" s="833">
        <f ca="1">'6.Summary'!AO51</f>
        <v>43733936</v>
      </c>
      <c r="AH26" s="834">
        <f t="shared" ca="1" si="2"/>
        <v>0</v>
      </c>
      <c r="AI26" s="829"/>
    </row>
    <row r="27" spans="3:35" x14ac:dyDescent="0.45">
      <c r="C27" s="827"/>
      <c r="D27" s="847" t="s">
        <v>760</v>
      </c>
      <c r="E27" s="833">
        <f ca="1">'6.Summary'!E52</f>
        <v>10</v>
      </c>
      <c r="F27" s="833">
        <f ca="1">'6.Summary'!F52</f>
        <v>0</v>
      </c>
      <c r="G27" s="833">
        <f ca="1">'6.Summary'!G52</f>
        <v>0</v>
      </c>
      <c r="H27" s="833">
        <f ca="1">'6.Summary'!H52</f>
        <v>0</v>
      </c>
      <c r="I27" s="833">
        <f ca="1">'6.Summary'!I52</f>
        <v>0</v>
      </c>
      <c r="J27" s="833">
        <f ca="1">'6.Summary'!J52</f>
        <v>0</v>
      </c>
      <c r="K27" s="833">
        <f ca="1">'6.Summary'!K52</f>
        <v>10</v>
      </c>
      <c r="L27" s="834"/>
      <c r="M27" s="829"/>
      <c r="O27" s="827"/>
      <c r="P27" s="847" t="s">
        <v>760</v>
      </c>
      <c r="Q27" s="833">
        <f ca="1">'6.Summary'!T52</f>
        <v>10</v>
      </c>
      <c r="R27" s="833">
        <f ca="1">'6.Summary'!U52</f>
        <v>0</v>
      </c>
      <c r="S27" s="833">
        <f ca="1">'6.Summary'!V52</f>
        <v>0</v>
      </c>
      <c r="T27" s="833">
        <f ca="1">'6.Summary'!W52</f>
        <v>0</v>
      </c>
      <c r="U27" s="833">
        <f ca="1">'6.Summary'!X52</f>
        <v>0</v>
      </c>
      <c r="V27" s="833">
        <f ca="1">'6.Summary'!Y52</f>
        <v>0</v>
      </c>
      <c r="W27" s="833">
        <f ca="1">'6.Summary'!Z52</f>
        <v>10</v>
      </c>
      <c r="X27" s="834"/>
      <c r="Z27" s="847" t="s">
        <v>760</v>
      </c>
      <c r="AA27" s="833">
        <f ca="1">'6.Summary'!AI52</f>
        <v>10</v>
      </c>
      <c r="AB27" s="833">
        <f ca="1">'6.Summary'!AJ52</f>
        <v>0</v>
      </c>
      <c r="AC27" s="833">
        <f ca="1">'6.Summary'!AK52</f>
        <v>0</v>
      </c>
      <c r="AD27" s="833">
        <f ca="1">'6.Summary'!AL52</f>
        <v>0</v>
      </c>
      <c r="AE27" s="833">
        <f ca="1">'6.Summary'!AM52</f>
        <v>0</v>
      </c>
      <c r="AF27" s="833">
        <f ca="1">'6.Summary'!AN52</f>
        <v>0</v>
      </c>
      <c r="AG27" s="833">
        <f ca="1">'6.Summary'!AO52</f>
        <v>10</v>
      </c>
      <c r="AH27" s="834"/>
      <c r="AI27" s="829"/>
    </row>
    <row r="28" spans="3:35" x14ac:dyDescent="0.45">
      <c r="C28" s="827"/>
      <c r="D28" s="847" t="s">
        <v>763</v>
      </c>
      <c r="E28" s="833">
        <f ca="1">'6.Summary'!E53</f>
        <v>3680100</v>
      </c>
      <c r="F28" s="833">
        <f ca="1">'6.Summary'!F53</f>
        <v>0</v>
      </c>
      <c r="G28" s="833">
        <f ca="1">'6.Summary'!G53</f>
        <v>0</v>
      </c>
      <c r="H28" s="833">
        <f ca="1">'6.Summary'!H53</f>
        <v>0</v>
      </c>
      <c r="I28" s="833">
        <f ca="1">'6.Summary'!I53</f>
        <v>0</v>
      </c>
      <c r="J28" s="833">
        <f ca="1">'6.Summary'!J53</f>
        <v>0</v>
      </c>
      <c r="K28" s="833">
        <f ca="1">'6.Summary'!K53</f>
        <v>3680100</v>
      </c>
      <c r="L28" s="834"/>
      <c r="M28" s="829"/>
      <c r="O28" s="827"/>
      <c r="P28" s="847" t="s">
        <v>763</v>
      </c>
      <c r="Q28" s="833">
        <f ca="1">'6.Summary'!T53</f>
        <v>3805223</v>
      </c>
      <c r="R28" s="833">
        <f ca="1">'6.Summary'!U53</f>
        <v>0</v>
      </c>
      <c r="S28" s="833">
        <f ca="1">'6.Summary'!V53</f>
        <v>0</v>
      </c>
      <c r="T28" s="833">
        <f ca="1">'6.Summary'!W53</f>
        <v>0</v>
      </c>
      <c r="U28" s="833">
        <f ca="1">'6.Summary'!X53</f>
        <v>0</v>
      </c>
      <c r="V28" s="833">
        <f ca="1">'6.Summary'!Y53</f>
        <v>0</v>
      </c>
      <c r="W28" s="833">
        <f ca="1">'6.Summary'!Z53</f>
        <v>3805223</v>
      </c>
      <c r="X28" s="834"/>
      <c r="Z28" s="847" t="s">
        <v>763</v>
      </c>
      <c r="AA28" s="833">
        <f ca="1">'6.Summary'!AI53</f>
        <v>3926990</v>
      </c>
      <c r="AB28" s="833">
        <f ca="1">'6.Summary'!AJ53</f>
        <v>0</v>
      </c>
      <c r="AC28" s="833">
        <f ca="1">'6.Summary'!AK53</f>
        <v>0</v>
      </c>
      <c r="AD28" s="833">
        <f ca="1">'6.Summary'!AL53</f>
        <v>0</v>
      </c>
      <c r="AE28" s="833">
        <f ca="1">'6.Summary'!AM53</f>
        <v>0</v>
      </c>
      <c r="AF28" s="833">
        <f ca="1">'6.Summary'!AN53</f>
        <v>0</v>
      </c>
      <c r="AG28" s="833">
        <f ca="1">'6.Summary'!AO53</f>
        <v>3926990</v>
      </c>
      <c r="AH28" s="834"/>
      <c r="AI28" s="829"/>
    </row>
    <row r="29" spans="3:35" x14ac:dyDescent="0.45">
      <c r="C29" s="827"/>
      <c r="D29" s="847"/>
      <c r="E29" s="833"/>
      <c r="F29" s="833"/>
      <c r="G29" s="833"/>
      <c r="H29" s="833"/>
      <c r="I29" s="833"/>
      <c r="J29" s="833"/>
      <c r="K29" s="833"/>
      <c r="L29" s="834"/>
      <c r="M29" s="829"/>
      <c r="O29" s="827"/>
      <c r="P29" s="847"/>
      <c r="Q29" s="833"/>
      <c r="R29" s="833"/>
      <c r="S29" s="833"/>
      <c r="T29" s="833"/>
      <c r="U29" s="833"/>
      <c r="V29" s="833"/>
      <c r="W29" s="833"/>
      <c r="X29" s="834"/>
      <c r="Z29" s="847"/>
      <c r="AA29" s="833"/>
      <c r="AB29" s="833"/>
      <c r="AC29" s="833"/>
      <c r="AD29" s="833"/>
      <c r="AE29" s="833"/>
      <c r="AF29" s="833"/>
      <c r="AG29" s="833"/>
      <c r="AH29" s="834"/>
      <c r="AI29" s="829"/>
    </row>
    <row r="30" spans="3:35" x14ac:dyDescent="0.45">
      <c r="C30" s="827"/>
      <c r="D30" s="835"/>
      <c r="E30" s="833"/>
      <c r="F30" s="833"/>
      <c r="G30" s="833"/>
      <c r="H30" s="833"/>
      <c r="I30" s="833"/>
      <c r="J30" s="833"/>
      <c r="K30" s="833"/>
      <c r="L30" s="834">
        <f t="shared" si="0"/>
        <v>0</v>
      </c>
      <c r="M30" s="829"/>
      <c r="O30" s="827"/>
      <c r="P30" s="835"/>
      <c r="Q30" s="833">
        <f>'6.Summary'!T55</f>
        <v>0</v>
      </c>
      <c r="R30" s="833">
        <f>'6.Summary'!U55</f>
        <v>0</v>
      </c>
      <c r="S30" s="833">
        <f>'6.Summary'!V55</f>
        <v>0</v>
      </c>
      <c r="T30" s="833">
        <f>'6.Summary'!W55</f>
        <v>0</v>
      </c>
      <c r="U30" s="833">
        <f>'6.Summary'!X55</f>
        <v>0</v>
      </c>
      <c r="V30" s="833">
        <f>'6.Summary'!Y55</f>
        <v>0</v>
      </c>
      <c r="W30" s="833">
        <f>'6.Summary'!Z55</f>
        <v>0</v>
      </c>
      <c r="X30" s="834">
        <f>SUM(R30:W30)-Q30</f>
        <v>0</v>
      </c>
      <c r="Z30" s="835"/>
      <c r="AA30" s="833"/>
      <c r="AB30" s="833"/>
      <c r="AC30" s="833"/>
      <c r="AD30" s="833"/>
      <c r="AE30" s="833"/>
      <c r="AF30" s="833"/>
      <c r="AG30" s="833"/>
      <c r="AH30" s="834">
        <f>SUM(AB30:AG30)-AA30</f>
        <v>0</v>
      </c>
      <c r="AI30" s="829"/>
    </row>
    <row r="31" spans="3:35" x14ac:dyDescent="0.45">
      <c r="C31" s="827"/>
      <c r="D31" s="835"/>
      <c r="E31" s="833"/>
      <c r="F31" s="833"/>
      <c r="G31" s="833"/>
      <c r="H31" s="833"/>
      <c r="I31" s="833"/>
      <c r="J31" s="833"/>
      <c r="K31" s="833"/>
      <c r="L31" s="834">
        <f t="shared" si="0"/>
        <v>0</v>
      </c>
      <c r="M31" s="829"/>
      <c r="O31" s="827"/>
      <c r="P31" s="835"/>
      <c r="Q31" s="833"/>
      <c r="R31" s="833"/>
      <c r="S31" s="833"/>
      <c r="T31" s="833"/>
      <c r="U31" s="833"/>
      <c r="V31" s="833"/>
      <c r="W31" s="833"/>
      <c r="X31" s="834">
        <f>SUM(R31:W31)-Q31</f>
        <v>0</v>
      </c>
      <c r="Z31" s="835"/>
      <c r="AA31" s="833"/>
      <c r="AB31" s="833"/>
      <c r="AC31" s="833"/>
      <c r="AD31" s="833"/>
      <c r="AE31" s="833"/>
      <c r="AF31" s="833"/>
      <c r="AG31" s="833"/>
      <c r="AH31" s="834">
        <f>SUM(AB31:AG31)-AA31</f>
        <v>0</v>
      </c>
      <c r="AI31" s="829"/>
    </row>
    <row r="32" spans="3:35" x14ac:dyDescent="0.45">
      <c r="C32" s="827"/>
      <c r="D32" s="835"/>
      <c r="E32" s="833"/>
      <c r="F32" s="848"/>
      <c r="G32" s="848"/>
      <c r="H32" s="848"/>
      <c r="I32" s="848"/>
      <c r="J32" s="848"/>
      <c r="K32" s="848"/>
      <c r="L32" s="834">
        <f t="shared" si="0"/>
        <v>0</v>
      </c>
      <c r="M32" s="829"/>
      <c r="O32" s="827"/>
      <c r="P32" s="835"/>
      <c r="Q32" s="833"/>
      <c r="R32" s="848"/>
      <c r="S32" s="848"/>
      <c r="T32" s="848"/>
      <c r="U32" s="848"/>
      <c r="V32" s="848"/>
      <c r="W32" s="848"/>
      <c r="X32" s="834">
        <f>SUM(R32:W32)-Q32</f>
        <v>0</v>
      </c>
      <c r="Z32" s="835"/>
      <c r="AA32" s="833"/>
      <c r="AB32" s="848"/>
      <c r="AC32" s="848"/>
      <c r="AD32" s="848"/>
      <c r="AE32" s="848"/>
      <c r="AF32" s="848"/>
      <c r="AG32" s="848"/>
      <c r="AH32" s="834">
        <f>SUM(AB32:AG32)-AA32</f>
        <v>0</v>
      </c>
      <c r="AI32" s="829"/>
    </row>
    <row r="33" spans="3:35" x14ac:dyDescent="0.45">
      <c r="C33" s="827"/>
      <c r="D33" s="828" t="s">
        <v>20</v>
      </c>
      <c r="E33" s="842">
        <f t="shared" ref="E33:K33" ca="1" si="3">SUM(E16:E32)</f>
        <v>895497491</v>
      </c>
      <c r="F33" s="843">
        <f t="shared" ca="1" si="3"/>
        <v>97282699</v>
      </c>
      <c r="G33" s="843">
        <f t="shared" ca="1" si="3"/>
        <v>64870504</v>
      </c>
      <c r="H33" s="843">
        <f t="shared" ca="1" si="3"/>
        <v>198754842</v>
      </c>
      <c r="I33" s="843">
        <f t="shared" ca="1" si="3"/>
        <v>82489680</v>
      </c>
      <c r="J33" s="843">
        <f t="shared" ca="1" si="3"/>
        <v>202884730</v>
      </c>
      <c r="K33" s="844">
        <f t="shared" ca="1" si="3"/>
        <v>249215036</v>
      </c>
      <c r="L33" s="834">
        <f t="shared" ca="1" si="0"/>
        <v>0</v>
      </c>
      <c r="M33" s="829"/>
      <c r="O33" s="827"/>
      <c r="P33" s="859" t="s">
        <v>20</v>
      </c>
      <c r="Q33" s="843">
        <f t="shared" ref="Q33:W33" ca="1" si="4">SUM(Q16:Q32)</f>
        <v>926567140</v>
      </c>
      <c r="R33" s="843">
        <f t="shared" ca="1" si="4"/>
        <v>100705851</v>
      </c>
      <c r="S33" s="843">
        <f t="shared" ca="1" si="4"/>
        <v>67225029</v>
      </c>
      <c r="T33" s="843">
        <f t="shared" ca="1" si="4"/>
        <v>205571762</v>
      </c>
      <c r="U33" s="843">
        <f t="shared" ca="1" si="4"/>
        <v>85435281</v>
      </c>
      <c r="V33" s="843">
        <f t="shared" ca="1" si="4"/>
        <v>209859008</v>
      </c>
      <c r="W33" s="844">
        <f t="shared" ca="1" si="4"/>
        <v>257770209</v>
      </c>
      <c r="X33" s="834">
        <f ca="1">SUM(R33:W33)-Q33</f>
        <v>0</v>
      </c>
      <c r="Z33" s="828" t="s">
        <v>20</v>
      </c>
      <c r="AA33" s="842">
        <f t="shared" ref="AA33:AG33" ca="1" si="5">SUM(AA16:AA32)</f>
        <v>956933838</v>
      </c>
      <c r="AB33" s="843">
        <f t="shared" ca="1" si="5"/>
        <v>104064914</v>
      </c>
      <c r="AC33" s="843">
        <f t="shared" ca="1" si="5"/>
        <v>69552146</v>
      </c>
      <c r="AD33" s="843">
        <f t="shared" ca="1" si="5"/>
        <v>212220048</v>
      </c>
      <c r="AE33" s="843">
        <f t="shared" ca="1" si="5"/>
        <v>88335702</v>
      </c>
      <c r="AF33" s="843">
        <f t="shared" ca="1" si="5"/>
        <v>216664469</v>
      </c>
      <c r="AG33" s="844">
        <f t="shared" ca="1" si="5"/>
        <v>266096559</v>
      </c>
      <c r="AH33" s="834">
        <f ca="1">SUM(AB33:AG33)-AA33</f>
        <v>0</v>
      </c>
      <c r="AI33" s="829"/>
    </row>
    <row r="34" spans="3:35" ht="12" thickBot="1" x14ac:dyDescent="0.5">
      <c r="C34" s="836"/>
      <c r="D34" s="837"/>
      <c r="E34" s="845"/>
      <c r="F34" s="845"/>
      <c r="G34" s="845"/>
      <c r="H34" s="845"/>
      <c r="I34" s="845"/>
      <c r="J34" s="840"/>
      <c r="K34" s="840"/>
      <c r="L34" s="840"/>
      <c r="M34" s="838"/>
      <c r="O34" s="836"/>
      <c r="P34" s="837"/>
      <c r="Q34" s="845"/>
      <c r="R34" s="845"/>
      <c r="S34" s="845"/>
      <c r="T34" s="845"/>
      <c r="U34" s="845"/>
      <c r="V34" s="840"/>
      <c r="W34" s="840"/>
      <c r="X34" s="840"/>
      <c r="Z34" s="837"/>
      <c r="AA34" s="845"/>
      <c r="AB34" s="845"/>
      <c r="AC34" s="845"/>
      <c r="AD34" s="845"/>
      <c r="AE34" s="845"/>
      <c r="AF34" s="840"/>
      <c r="AG34" s="840"/>
      <c r="AH34" s="840"/>
      <c r="AI34" s="838"/>
    </row>
    <row r="35" spans="3:35" ht="12" thickBot="1" x14ac:dyDescent="0.5">
      <c r="D35" s="828"/>
      <c r="E35" s="846"/>
      <c r="F35" s="846"/>
      <c r="G35" s="846"/>
      <c r="H35" s="846"/>
      <c r="I35" s="846"/>
      <c r="P35" s="828"/>
      <c r="Q35" s="846"/>
      <c r="R35" s="846"/>
      <c r="S35" s="846"/>
      <c r="T35" s="846"/>
      <c r="U35" s="846"/>
      <c r="Z35" s="828"/>
      <c r="AA35" s="846"/>
      <c r="AB35" s="846"/>
      <c r="AC35" s="846"/>
      <c r="AD35" s="846"/>
      <c r="AE35" s="846"/>
    </row>
    <row r="36" spans="3:35" x14ac:dyDescent="0.45">
      <c r="C36" s="824"/>
      <c r="D36" s="825"/>
      <c r="E36" s="825"/>
      <c r="F36" s="825"/>
      <c r="G36" s="825"/>
      <c r="H36" s="825"/>
      <c r="I36" s="825"/>
      <c r="J36" s="825"/>
      <c r="K36" s="825"/>
      <c r="L36" s="825"/>
      <c r="M36" s="826"/>
      <c r="O36" s="824"/>
      <c r="P36" s="825"/>
      <c r="Q36" s="825"/>
      <c r="R36" s="825"/>
      <c r="S36" s="825"/>
      <c r="T36" s="825"/>
      <c r="U36" s="825"/>
      <c r="V36" s="825"/>
      <c r="W36" s="825"/>
      <c r="X36" s="825"/>
      <c r="Z36" s="825"/>
      <c r="AA36" s="825"/>
      <c r="AB36" s="825"/>
      <c r="AC36" s="825"/>
      <c r="AD36" s="825"/>
      <c r="AE36" s="825"/>
      <c r="AF36" s="825"/>
      <c r="AG36" s="825"/>
      <c r="AH36" s="825"/>
      <c r="AI36" s="826"/>
    </row>
    <row r="37" spans="3:35" x14ac:dyDescent="0.45">
      <c r="C37" s="827"/>
      <c r="D37" s="828" t="s">
        <v>182</v>
      </c>
      <c r="M37" s="829"/>
      <c r="O37" s="827"/>
      <c r="P37" s="828" t="s">
        <v>182</v>
      </c>
      <c r="Z37" s="828" t="s">
        <v>182</v>
      </c>
      <c r="AI37" s="829"/>
    </row>
    <row r="38" spans="3:35" ht="14.55" customHeight="1" x14ac:dyDescent="0.45">
      <c r="C38" s="827"/>
      <c r="D38" s="1800" t="s">
        <v>482</v>
      </c>
      <c r="E38" s="1800"/>
      <c r="F38" s="1800"/>
      <c r="G38" s="1800"/>
      <c r="H38" s="1800"/>
      <c r="I38" s="1800"/>
      <c r="J38" s="1800"/>
      <c r="K38" s="1800"/>
      <c r="L38" s="849"/>
      <c r="M38" s="829"/>
      <c r="O38" s="827"/>
      <c r="P38" s="1800" t="s">
        <v>482</v>
      </c>
      <c r="Q38" s="1800"/>
      <c r="R38" s="1800"/>
      <c r="S38" s="1800"/>
      <c r="T38" s="1800"/>
      <c r="U38" s="1800"/>
      <c r="V38" s="1800"/>
      <c r="W38" s="1800"/>
      <c r="X38" s="849"/>
      <c r="Z38" s="1800" t="s">
        <v>482</v>
      </c>
      <c r="AA38" s="1800"/>
      <c r="AB38" s="1800"/>
      <c r="AC38" s="1800"/>
      <c r="AD38" s="1800"/>
      <c r="AE38" s="1800"/>
      <c r="AF38" s="1800"/>
      <c r="AG38" s="1800"/>
      <c r="AH38" s="849"/>
      <c r="AI38" s="829"/>
    </row>
    <row r="39" spans="3:35" x14ac:dyDescent="0.45">
      <c r="C39" s="827"/>
      <c r="D39" s="1800"/>
      <c r="E39" s="1800"/>
      <c r="F39" s="1800"/>
      <c r="G39" s="1800"/>
      <c r="H39" s="1800"/>
      <c r="I39" s="1800"/>
      <c r="J39" s="1800"/>
      <c r="K39" s="1800"/>
      <c r="L39" s="849"/>
      <c r="M39" s="829"/>
      <c r="O39" s="827"/>
      <c r="P39" s="1800"/>
      <c r="Q39" s="1800"/>
      <c r="R39" s="1800"/>
      <c r="S39" s="1800"/>
      <c r="T39" s="1800"/>
      <c r="U39" s="1800"/>
      <c r="V39" s="1800"/>
      <c r="W39" s="1800"/>
      <c r="X39" s="849"/>
      <c r="Z39" s="1800"/>
      <c r="AA39" s="1800"/>
      <c r="AB39" s="1800"/>
      <c r="AC39" s="1800"/>
      <c r="AD39" s="1800"/>
      <c r="AE39" s="1800"/>
      <c r="AF39" s="1800"/>
      <c r="AG39" s="1800"/>
      <c r="AH39" s="849"/>
      <c r="AI39" s="829"/>
    </row>
    <row r="40" spans="3:35" x14ac:dyDescent="0.45">
      <c r="C40" s="827"/>
      <c r="D40" s="1800"/>
      <c r="E40" s="1800"/>
      <c r="F40" s="1800"/>
      <c r="G40" s="1800"/>
      <c r="H40" s="1800"/>
      <c r="I40" s="1800"/>
      <c r="J40" s="1800"/>
      <c r="K40" s="1800"/>
      <c r="L40" s="849"/>
      <c r="M40" s="829"/>
      <c r="O40" s="827"/>
      <c r="P40" s="1800"/>
      <c r="Q40" s="1800"/>
      <c r="R40" s="1800"/>
      <c r="S40" s="1800"/>
      <c r="T40" s="1800"/>
      <c r="U40" s="1800"/>
      <c r="V40" s="1800"/>
      <c r="W40" s="1800"/>
      <c r="X40" s="849"/>
      <c r="Z40" s="1800"/>
      <c r="AA40" s="1800"/>
      <c r="AB40" s="1800"/>
      <c r="AC40" s="1800"/>
      <c r="AD40" s="1800"/>
      <c r="AE40" s="1800"/>
      <c r="AF40" s="1800"/>
      <c r="AG40" s="1800"/>
      <c r="AH40" s="849"/>
      <c r="AI40" s="829"/>
    </row>
    <row r="41" spans="3:35" x14ac:dyDescent="0.45">
      <c r="C41" s="827"/>
      <c r="D41" s="849"/>
      <c r="E41" s="849"/>
      <c r="F41" s="849"/>
      <c r="G41" s="849"/>
      <c r="H41" s="849"/>
      <c r="I41" s="849"/>
      <c r="J41" s="849"/>
      <c r="K41" s="849"/>
      <c r="L41" s="849"/>
      <c r="M41" s="829"/>
      <c r="O41" s="827"/>
      <c r="P41" s="849"/>
      <c r="Q41" s="849"/>
      <c r="R41" s="849"/>
      <c r="S41" s="849"/>
      <c r="T41" s="849"/>
      <c r="U41" s="849"/>
      <c r="V41" s="849"/>
      <c r="W41" s="849"/>
      <c r="X41" s="849"/>
      <c r="Z41" s="849"/>
      <c r="AA41" s="849"/>
      <c r="AB41" s="849"/>
      <c r="AC41" s="849"/>
      <c r="AD41" s="849"/>
      <c r="AE41" s="849"/>
      <c r="AF41" s="849"/>
      <c r="AG41" s="849"/>
      <c r="AH41" s="849"/>
      <c r="AI41" s="829"/>
    </row>
    <row r="42" spans="3:35" ht="23.4" x14ac:dyDescent="0.45">
      <c r="C42" s="827"/>
      <c r="E42" s="839" t="s">
        <v>240</v>
      </c>
      <c r="F42" s="839" t="s">
        <v>235</v>
      </c>
      <c r="G42" s="839" t="s">
        <v>236</v>
      </c>
      <c r="H42" s="839" t="s">
        <v>237</v>
      </c>
      <c r="I42" s="839" t="s">
        <v>238</v>
      </c>
      <c r="J42" s="839" t="s">
        <v>239</v>
      </c>
      <c r="K42" s="832" t="s">
        <v>108</v>
      </c>
      <c r="L42" s="850"/>
      <c r="M42" s="829"/>
      <c r="O42" s="827"/>
      <c r="Q42" s="839" t="s">
        <v>240</v>
      </c>
      <c r="R42" s="839" t="s">
        <v>235</v>
      </c>
      <c r="S42" s="839" t="s">
        <v>236</v>
      </c>
      <c r="T42" s="839" t="s">
        <v>237</v>
      </c>
      <c r="U42" s="839" t="s">
        <v>238</v>
      </c>
      <c r="V42" s="839" t="s">
        <v>239</v>
      </c>
      <c r="W42" s="832" t="s">
        <v>108</v>
      </c>
      <c r="X42" s="850"/>
      <c r="AA42" s="839" t="s">
        <v>240</v>
      </c>
      <c r="AB42" s="839" t="s">
        <v>235</v>
      </c>
      <c r="AC42" s="839" t="s">
        <v>236</v>
      </c>
      <c r="AD42" s="839" t="s">
        <v>237</v>
      </c>
      <c r="AE42" s="839" t="s">
        <v>238</v>
      </c>
      <c r="AF42" s="839" t="s">
        <v>239</v>
      </c>
      <c r="AG42" s="832" t="s">
        <v>108</v>
      </c>
      <c r="AH42" s="850"/>
      <c r="AI42" s="829"/>
    </row>
    <row r="43" spans="3:35" x14ac:dyDescent="0.45">
      <c r="C43" s="827"/>
      <c r="D43" s="819" t="s">
        <v>185</v>
      </c>
      <c r="E43" s="830"/>
      <c r="F43" s="851">
        <f>'6.Summary'!F56</f>
        <v>0.15</v>
      </c>
      <c r="G43" s="851">
        <f>'6.Summary'!G56</f>
        <v>0.05</v>
      </c>
      <c r="H43" s="851">
        <f>'6.Summary'!H56</f>
        <v>0.05</v>
      </c>
      <c r="I43" s="851">
        <f>'6.Summary'!I56</f>
        <v>0.05</v>
      </c>
      <c r="J43" s="852">
        <f>1-SUM(F43:I43)</f>
        <v>0.7</v>
      </c>
      <c r="K43" s="832"/>
      <c r="L43" s="850"/>
      <c r="M43" s="829"/>
      <c r="O43" s="827"/>
      <c r="P43" s="819" t="s">
        <v>185</v>
      </c>
      <c r="Q43" s="830"/>
      <c r="R43" s="851">
        <f>'6.Summary'!U56</f>
        <v>0.15</v>
      </c>
      <c r="S43" s="851">
        <f>'6.Summary'!V56</f>
        <v>0.05</v>
      </c>
      <c r="T43" s="851">
        <f>'6.Summary'!W56</f>
        <v>0.05</v>
      </c>
      <c r="U43" s="851">
        <f>'6.Summary'!X56</f>
        <v>0.05</v>
      </c>
      <c r="V43" s="852">
        <f>1-SUM(R43:U43)</f>
        <v>0.7</v>
      </c>
      <c r="W43" s="832"/>
      <c r="X43" s="850"/>
      <c r="Z43" s="819" t="s">
        <v>185</v>
      </c>
      <c r="AA43" s="830"/>
      <c r="AB43" s="851">
        <f>'6.Summary'!AJ56</f>
        <v>0.15</v>
      </c>
      <c r="AC43" s="851">
        <f>'6.Summary'!AK56</f>
        <v>0.05</v>
      </c>
      <c r="AD43" s="851">
        <f>'6.Summary'!AL56</f>
        <v>0.05</v>
      </c>
      <c r="AE43" s="851">
        <f>'6.Summary'!AM56</f>
        <v>0.05</v>
      </c>
      <c r="AF43" s="852">
        <f>1-SUM(AB43:AE43)</f>
        <v>0.7</v>
      </c>
      <c r="AG43" s="832"/>
      <c r="AH43" s="850"/>
      <c r="AI43" s="829"/>
    </row>
    <row r="44" spans="3:35" x14ac:dyDescent="0.45">
      <c r="C44" s="827"/>
      <c r="E44" s="853">
        <f ca="1">K33</f>
        <v>249215036</v>
      </c>
      <c r="F44" s="854">
        <f ca="1">$E$44*F43</f>
        <v>37382255.399999999</v>
      </c>
      <c r="G44" s="854">
        <f ca="1">$E$44*G43</f>
        <v>12460751.800000001</v>
      </c>
      <c r="H44" s="854">
        <f ca="1">$E$44*H43</f>
        <v>12460751.800000001</v>
      </c>
      <c r="I44" s="854">
        <f ca="1">$E$44*I43</f>
        <v>12460751.800000001</v>
      </c>
      <c r="J44" s="854">
        <f ca="1">$E$44*J43</f>
        <v>174450525.19999999</v>
      </c>
      <c r="K44" s="841">
        <f ca="1">SUM(F44:J44)-E44</f>
        <v>0</v>
      </c>
      <c r="M44" s="829"/>
      <c r="O44" s="827"/>
      <c r="Q44" s="853">
        <f ca="1">W33</f>
        <v>257770209</v>
      </c>
      <c r="R44" s="854">
        <f ca="1">$Q$44*R43</f>
        <v>38665531.350000001</v>
      </c>
      <c r="S44" s="854">
        <f ca="1">$Q$44*S43</f>
        <v>12888510.450000001</v>
      </c>
      <c r="T44" s="854">
        <f ca="1">$Q$44*T43</f>
        <v>12888510.450000001</v>
      </c>
      <c r="U44" s="854">
        <f ca="1">$Q$44*U43</f>
        <v>12888510.450000001</v>
      </c>
      <c r="V44" s="854">
        <f ca="1">$Q$44*V43</f>
        <v>180439146.29999998</v>
      </c>
      <c r="W44" s="841">
        <f ca="1">SUM(R44:V44)-Q44</f>
        <v>0</v>
      </c>
      <c r="AA44" s="853">
        <f ca="1">AG33</f>
        <v>266096559</v>
      </c>
      <c r="AB44" s="854">
        <f ca="1">$AA$44*AB43</f>
        <v>39914483.850000001</v>
      </c>
      <c r="AC44" s="854">
        <f ca="1">$AA$44*AC43</f>
        <v>13304827.950000001</v>
      </c>
      <c r="AD44" s="854">
        <f ca="1">$AA$44*AD43</f>
        <v>13304827.950000001</v>
      </c>
      <c r="AE44" s="854">
        <f ca="1">$AA$44*AE43</f>
        <v>13304827.950000001</v>
      </c>
      <c r="AF44" s="854">
        <f ca="1">$AA$44*AF43</f>
        <v>186267591.29999998</v>
      </c>
      <c r="AG44" s="841">
        <f ca="1">SUM(AB44:AF44)-AA44</f>
        <v>0</v>
      </c>
      <c r="AI44" s="829"/>
    </row>
    <row r="45" spans="3:35" ht="12" thickBot="1" x14ac:dyDescent="0.5">
      <c r="C45" s="836"/>
      <c r="D45" s="840"/>
      <c r="E45" s="840"/>
      <c r="F45" s="840"/>
      <c r="G45" s="840"/>
      <c r="H45" s="840"/>
      <c r="I45" s="840"/>
      <c r="J45" s="840"/>
      <c r="K45" s="840"/>
      <c r="L45" s="840"/>
      <c r="M45" s="838"/>
      <c r="O45" s="836"/>
      <c r="P45" s="840"/>
      <c r="Q45" s="840"/>
      <c r="R45" s="840"/>
      <c r="S45" s="840"/>
      <c r="T45" s="840"/>
      <c r="U45" s="840"/>
      <c r="V45" s="840"/>
      <c r="W45" s="840"/>
      <c r="X45" s="840"/>
      <c r="Z45" s="840"/>
      <c r="AA45" s="840"/>
      <c r="AB45" s="840"/>
      <c r="AC45" s="840"/>
      <c r="AD45" s="840"/>
      <c r="AE45" s="840"/>
      <c r="AF45" s="840"/>
      <c r="AG45" s="840"/>
      <c r="AH45" s="840"/>
      <c r="AI45" s="838"/>
    </row>
    <row r="46" spans="3:35" ht="12" thickBot="1" x14ac:dyDescent="0.5"/>
    <row r="47" spans="3:35" x14ac:dyDescent="0.45">
      <c r="C47" s="824"/>
      <c r="D47" s="825"/>
      <c r="E47" s="825"/>
      <c r="F47" s="825"/>
      <c r="G47" s="825"/>
      <c r="H47" s="825"/>
      <c r="I47" s="825"/>
      <c r="J47" s="825"/>
      <c r="K47" s="825"/>
      <c r="L47" s="825"/>
      <c r="M47" s="826"/>
      <c r="O47" s="824"/>
      <c r="P47" s="825"/>
      <c r="Q47" s="825"/>
      <c r="R47" s="825"/>
      <c r="S47" s="825"/>
      <c r="T47" s="825"/>
      <c r="U47" s="825"/>
      <c r="V47" s="825"/>
      <c r="W47" s="825"/>
      <c r="X47" s="825"/>
      <c r="Z47" s="825"/>
      <c r="AA47" s="825"/>
      <c r="AB47" s="825"/>
      <c r="AC47" s="825"/>
      <c r="AD47" s="825"/>
      <c r="AE47" s="825"/>
      <c r="AF47" s="825"/>
      <c r="AG47" s="825"/>
      <c r="AH47" s="825"/>
      <c r="AI47" s="826"/>
    </row>
    <row r="48" spans="3:35" x14ac:dyDescent="0.45">
      <c r="C48" s="827"/>
      <c r="D48" s="828" t="s">
        <v>137</v>
      </c>
      <c r="M48" s="829"/>
      <c r="O48" s="827"/>
      <c r="P48" s="828" t="s">
        <v>137</v>
      </c>
      <c r="Z48" s="828" t="s">
        <v>137</v>
      </c>
      <c r="AI48" s="829"/>
    </row>
    <row r="49" spans="3:35" x14ac:dyDescent="0.45">
      <c r="C49" s="827"/>
      <c r="D49" s="828"/>
      <c r="M49" s="829"/>
      <c r="O49" s="827"/>
      <c r="P49" s="828"/>
      <c r="Z49" s="828"/>
      <c r="AI49" s="829"/>
    </row>
    <row r="50" spans="3:35" x14ac:dyDescent="0.45">
      <c r="C50" s="827"/>
      <c r="E50" s="855" t="s">
        <v>15</v>
      </c>
      <c r="F50" s="855" t="s">
        <v>16</v>
      </c>
      <c r="G50" s="855" t="s">
        <v>484</v>
      </c>
      <c r="H50" s="855" t="s">
        <v>17</v>
      </c>
      <c r="I50" s="855" t="s">
        <v>19</v>
      </c>
      <c r="J50" s="855" t="s">
        <v>483</v>
      </c>
      <c r="M50" s="829"/>
      <c r="O50" s="827"/>
      <c r="Q50" s="855" t="s">
        <v>15</v>
      </c>
      <c r="R50" s="855" t="s">
        <v>16</v>
      </c>
      <c r="S50" s="855" t="s">
        <v>484</v>
      </c>
      <c r="T50" s="855" t="s">
        <v>17</v>
      </c>
      <c r="U50" s="855" t="s">
        <v>19</v>
      </c>
      <c r="V50" s="855" t="s">
        <v>483</v>
      </c>
      <c r="AA50" s="855" t="s">
        <v>15</v>
      </c>
      <c r="AB50" s="855" t="s">
        <v>16</v>
      </c>
      <c r="AC50" s="855" t="s">
        <v>484</v>
      </c>
      <c r="AD50" s="855" t="s">
        <v>17</v>
      </c>
      <c r="AE50" s="855" t="s">
        <v>19</v>
      </c>
      <c r="AF50" s="855" t="s">
        <v>483</v>
      </c>
      <c r="AI50" s="829"/>
    </row>
    <row r="51" spans="3:35" x14ac:dyDescent="0.45">
      <c r="C51" s="827"/>
      <c r="E51" s="856" t="s">
        <v>250</v>
      </c>
      <c r="F51" s="856" t="s">
        <v>250</v>
      </c>
      <c r="G51" s="856" t="s">
        <v>250</v>
      </c>
      <c r="H51" s="856" t="s">
        <v>250</v>
      </c>
      <c r="I51" s="856" t="s">
        <v>250</v>
      </c>
      <c r="J51" s="856" t="s">
        <v>250</v>
      </c>
      <c r="M51" s="829"/>
      <c r="O51" s="827"/>
      <c r="Q51" s="856" t="s">
        <v>250</v>
      </c>
      <c r="R51" s="856" t="s">
        <v>250</v>
      </c>
      <c r="S51" s="856" t="s">
        <v>250</v>
      </c>
      <c r="T51" s="856" t="s">
        <v>250</v>
      </c>
      <c r="U51" s="856" t="s">
        <v>250</v>
      </c>
      <c r="V51" s="856" t="s">
        <v>250</v>
      </c>
      <c r="AA51" s="856" t="s">
        <v>250</v>
      </c>
      <c r="AB51" s="856" t="s">
        <v>250</v>
      </c>
      <c r="AC51" s="856" t="s">
        <v>250</v>
      </c>
      <c r="AD51" s="856" t="s">
        <v>250</v>
      </c>
      <c r="AE51" s="856" t="s">
        <v>250</v>
      </c>
      <c r="AF51" s="856" t="s">
        <v>250</v>
      </c>
      <c r="AI51" s="829"/>
    </row>
    <row r="52" spans="3:35" x14ac:dyDescent="0.45">
      <c r="C52" s="827"/>
      <c r="D52" s="819" t="s">
        <v>138</v>
      </c>
      <c r="E52" s="857">
        <f ca="1">SUM(F52:J52)</f>
        <v>646282455</v>
      </c>
      <c r="F52" s="854">
        <f ca="1">F33</f>
        <v>97282699</v>
      </c>
      <c r="G52" s="854">
        <f ca="1">G33</f>
        <v>64870504</v>
      </c>
      <c r="H52" s="854">
        <f ca="1">H33</f>
        <v>198754842</v>
      </c>
      <c r="I52" s="854">
        <f ca="1">I33</f>
        <v>82489680</v>
      </c>
      <c r="J52" s="854">
        <f ca="1">J33</f>
        <v>202884730</v>
      </c>
      <c r="M52" s="829"/>
      <c r="O52" s="827"/>
      <c r="P52" s="819" t="s">
        <v>138</v>
      </c>
      <c r="Q52" s="857">
        <f ca="1">SUM(R52:V52)</f>
        <v>668796931</v>
      </c>
      <c r="R52" s="854">
        <f ca="1">R33</f>
        <v>100705851</v>
      </c>
      <c r="S52" s="854">
        <f ca="1">S33</f>
        <v>67225029</v>
      </c>
      <c r="T52" s="854">
        <f ca="1">T33</f>
        <v>205571762</v>
      </c>
      <c r="U52" s="854">
        <f ca="1">U33</f>
        <v>85435281</v>
      </c>
      <c r="V52" s="854">
        <f ca="1">V33</f>
        <v>209859008</v>
      </c>
      <c r="Z52" s="819" t="s">
        <v>138</v>
      </c>
      <c r="AA52" s="857">
        <f ca="1">SUM(AB52:AF52)</f>
        <v>690837279</v>
      </c>
      <c r="AB52" s="854">
        <f ca="1">AB33</f>
        <v>104064914</v>
      </c>
      <c r="AC52" s="854">
        <f ca="1">AC33</f>
        <v>69552146</v>
      </c>
      <c r="AD52" s="854">
        <f ca="1">AD33</f>
        <v>212220048</v>
      </c>
      <c r="AE52" s="854">
        <f ca="1">AE33</f>
        <v>88335702</v>
      </c>
      <c r="AF52" s="854">
        <f ca="1">AF33</f>
        <v>216664469</v>
      </c>
      <c r="AI52" s="829"/>
    </row>
    <row r="53" spans="3:35" x14ac:dyDescent="0.45">
      <c r="C53" s="827"/>
      <c r="D53" s="819" t="s">
        <v>139</v>
      </c>
      <c r="E53" s="853">
        <f ca="1">SUM(F53:J53)</f>
        <v>249215036</v>
      </c>
      <c r="F53" s="854">
        <f ca="1">F44</f>
        <v>37382255.399999999</v>
      </c>
      <c r="G53" s="854">
        <f ca="1">G44</f>
        <v>12460751.800000001</v>
      </c>
      <c r="H53" s="854">
        <f ca="1">H44</f>
        <v>12460751.800000001</v>
      </c>
      <c r="I53" s="854">
        <f ca="1">I44</f>
        <v>12460751.800000001</v>
      </c>
      <c r="J53" s="854">
        <f ca="1">J44</f>
        <v>174450525.19999999</v>
      </c>
      <c r="M53" s="829"/>
      <c r="O53" s="827"/>
      <c r="P53" s="819" t="s">
        <v>139</v>
      </c>
      <c r="Q53" s="853">
        <f ca="1">SUM(R53:V53)</f>
        <v>257770209</v>
      </c>
      <c r="R53" s="854">
        <f ca="1">R44</f>
        <v>38665531.350000001</v>
      </c>
      <c r="S53" s="854">
        <f ca="1">S44</f>
        <v>12888510.450000001</v>
      </c>
      <c r="T53" s="854">
        <f ca="1">T44</f>
        <v>12888510.450000001</v>
      </c>
      <c r="U53" s="854">
        <f ca="1">U44</f>
        <v>12888510.450000001</v>
      </c>
      <c r="V53" s="854">
        <f ca="1">V44</f>
        <v>180439146.29999998</v>
      </c>
      <c r="Z53" s="819" t="s">
        <v>139</v>
      </c>
      <c r="AA53" s="853">
        <f ca="1">SUM(AB53:AF53)</f>
        <v>266096559</v>
      </c>
      <c r="AB53" s="854">
        <f ca="1">AB44</f>
        <v>39914483.850000001</v>
      </c>
      <c r="AC53" s="854">
        <f ca="1">AC44</f>
        <v>13304827.950000001</v>
      </c>
      <c r="AD53" s="854">
        <f ca="1">AD44</f>
        <v>13304827.950000001</v>
      </c>
      <c r="AE53" s="854">
        <f ca="1">AE44</f>
        <v>13304827.950000001</v>
      </c>
      <c r="AF53" s="854">
        <f ca="1">AF44</f>
        <v>186267591.29999998</v>
      </c>
      <c r="AI53" s="829"/>
    </row>
    <row r="54" spans="3:35" x14ac:dyDescent="0.45">
      <c r="C54" s="827"/>
      <c r="D54" s="819" t="s">
        <v>140</v>
      </c>
      <c r="E54" s="853">
        <f ca="1">SUM(F54:J54)</f>
        <v>895497491</v>
      </c>
      <c r="F54" s="853">
        <f ca="1">SUM(F52:F53)</f>
        <v>134664954.40000001</v>
      </c>
      <c r="G54" s="853">
        <f ca="1">SUM(G52:G53)</f>
        <v>77331255.799999997</v>
      </c>
      <c r="H54" s="853">
        <f ca="1">SUM(H52:H53)</f>
        <v>211215593.80000001</v>
      </c>
      <c r="I54" s="853">
        <f ca="1">SUM(I52:I53)</f>
        <v>94950431.799999997</v>
      </c>
      <c r="J54" s="853">
        <f ca="1">SUM(J52:J53)</f>
        <v>377335255.19999999</v>
      </c>
      <c r="M54" s="829"/>
      <c r="O54" s="827"/>
      <c r="P54" s="819" t="s">
        <v>140</v>
      </c>
      <c r="Q54" s="853">
        <f ca="1">SUM(R54:V54)</f>
        <v>926567140</v>
      </c>
      <c r="R54" s="853">
        <f ca="1">SUM(R52:R53)</f>
        <v>139371382.34999999</v>
      </c>
      <c r="S54" s="853">
        <f ca="1">SUM(S52:S53)</f>
        <v>80113539.450000003</v>
      </c>
      <c r="T54" s="853">
        <f ca="1">SUM(T52:T53)</f>
        <v>218460272.44999999</v>
      </c>
      <c r="U54" s="853">
        <f ca="1">SUM(U52:U53)</f>
        <v>98323791.450000003</v>
      </c>
      <c r="V54" s="853">
        <f ca="1">SUM(V52:V53)</f>
        <v>390298154.29999995</v>
      </c>
      <c r="Z54" s="819" t="s">
        <v>140</v>
      </c>
      <c r="AA54" s="853">
        <f ca="1">SUM(AB54:AF54)</f>
        <v>956933838</v>
      </c>
      <c r="AB54" s="853">
        <f ca="1">SUM(AB52:AB53)</f>
        <v>143979397.84999999</v>
      </c>
      <c r="AC54" s="853">
        <f ca="1">SUM(AC52:AC53)</f>
        <v>82856973.950000003</v>
      </c>
      <c r="AD54" s="853">
        <f ca="1">SUM(AD52:AD53)</f>
        <v>225524875.94999999</v>
      </c>
      <c r="AE54" s="853">
        <f ca="1">SUM(AE52:AE53)</f>
        <v>101640529.95</v>
      </c>
      <c r="AF54" s="853">
        <f ca="1">SUM(AF52:AF53)</f>
        <v>402932060.29999995</v>
      </c>
      <c r="AI54" s="829"/>
    </row>
    <row r="55" spans="3:35" x14ac:dyDescent="0.45">
      <c r="C55" s="827"/>
      <c r="M55" s="829"/>
      <c r="O55" s="827"/>
      <c r="AI55" s="829"/>
    </row>
    <row r="56" spans="3:35" x14ac:dyDescent="0.45">
      <c r="C56" s="827"/>
      <c r="D56" s="819" t="s">
        <v>141</v>
      </c>
      <c r="E56" s="847"/>
      <c r="F56" s="858">
        <f t="shared" ref="F56:J57" ca="1" si="6">F52/F$54</f>
        <v>0.72240546498116953</v>
      </c>
      <c r="G56" s="858">
        <f t="shared" ca="1" si="6"/>
        <v>0.83886525996387606</v>
      </c>
      <c r="H56" s="858">
        <f t="shared" ca="1" si="6"/>
        <v>0.94100458410377075</v>
      </c>
      <c r="I56" s="858">
        <f t="shared" ca="1" si="6"/>
        <v>0.8687657173982436</v>
      </c>
      <c r="J56" s="858">
        <f t="shared" ca="1" si="6"/>
        <v>0.53767764131253648</v>
      </c>
      <c r="M56" s="829"/>
      <c r="O56" s="827"/>
      <c r="P56" s="819" t="s">
        <v>141</v>
      </c>
      <c r="Q56" s="847"/>
      <c r="R56" s="858">
        <f t="shared" ref="R56:V57" ca="1" si="7">R52/R$54</f>
        <v>0.7225719462773198</v>
      </c>
      <c r="S56" s="858">
        <f t="shared" ca="1" si="7"/>
        <v>0.83912194444930366</v>
      </c>
      <c r="T56" s="858">
        <f t="shared" ca="1" si="7"/>
        <v>0.94100295534077094</v>
      </c>
      <c r="U56" s="858">
        <f t="shared" ca="1" si="7"/>
        <v>0.86891768248629719</v>
      </c>
      <c r="V56" s="858">
        <f t="shared" ca="1" si="7"/>
        <v>0.53768895826930641</v>
      </c>
      <c r="Z56" s="819" t="s">
        <v>141</v>
      </c>
      <c r="AA56" s="847"/>
      <c r="AB56" s="858">
        <f t="shared" ref="AB56:AF57" ca="1" si="8">AB52/AB$54</f>
        <v>0.72277642186291446</v>
      </c>
      <c r="AC56" s="858">
        <f t="shared" ca="1" si="8"/>
        <v>0.83942416291923971</v>
      </c>
      <c r="AD56" s="858">
        <f t="shared" ca="1" si="8"/>
        <v>0.94100505368219456</v>
      </c>
      <c r="AE56" s="858">
        <f t="shared" ca="1" si="8"/>
        <v>0.86909918753330939</v>
      </c>
      <c r="AF56" s="858">
        <f t="shared" ca="1" si="8"/>
        <v>0.53771960672150076</v>
      </c>
      <c r="AI56" s="829"/>
    </row>
    <row r="57" spans="3:35" x14ac:dyDescent="0.45">
      <c r="C57" s="827"/>
      <c r="D57" s="819" t="s">
        <v>142</v>
      </c>
      <c r="E57" s="847"/>
      <c r="F57" s="858">
        <f t="shared" ca="1" si="6"/>
        <v>0.27759453501883036</v>
      </c>
      <c r="G57" s="858">
        <f t="shared" ca="1" si="6"/>
        <v>0.16113474003612394</v>
      </c>
      <c r="H57" s="858">
        <f t="shared" ca="1" si="6"/>
        <v>5.8995415896229156E-2</v>
      </c>
      <c r="I57" s="858">
        <f t="shared" ca="1" si="6"/>
        <v>0.13123428260175643</v>
      </c>
      <c r="J57" s="858">
        <f t="shared" ca="1" si="6"/>
        <v>0.46232235868746352</v>
      </c>
      <c r="M57" s="829"/>
      <c r="O57" s="827"/>
      <c r="P57" s="819" t="s">
        <v>142</v>
      </c>
      <c r="Q57" s="847"/>
      <c r="R57" s="858">
        <f t="shared" ca="1" si="7"/>
        <v>0.2774280537226802</v>
      </c>
      <c r="S57" s="858">
        <f t="shared" ca="1" si="7"/>
        <v>0.16087805555069631</v>
      </c>
      <c r="T57" s="858">
        <f t="shared" ca="1" si="7"/>
        <v>5.899704465922908E-2</v>
      </c>
      <c r="U57" s="858">
        <f t="shared" ca="1" si="7"/>
        <v>0.13108231751370283</v>
      </c>
      <c r="V57" s="858">
        <f t="shared" ca="1" si="7"/>
        <v>0.46231104173069365</v>
      </c>
      <c r="Z57" s="819" t="s">
        <v>142</v>
      </c>
      <c r="AA57" s="847"/>
      <c r="AB57" s="858">
        <f t="shared" ca="1" si="8"/>
        <v>0.27722357813708554</v>
      </c>
      <c r="AC57" s="858">
        <f t="shared" ca="1" si="8"/>
        <v>0.16057583708076031</v>
      </c>
      <c r="AD57" s="858">
        <f t="shared" ca="1" si="8"/>
        <v>5.8994946317805531E-2</v>
      </c>
      <c r="AE57" s="858">
        <f t="shared" ca="1" si="8"/>
        <v>0.13090081246669061</v>
      </c>
      <c r="AF57" s="858">
        <f t="shared" ca="1" si="8"/>
        <v>0.46228039327849935</v>
      </c>
      <c r="AI57" s="829"/>
    </row>
    <row r="58" spans="3:35" x14ac:dyDescent="0.45">
      <c r="C58" s="827"/>
      <c r="M58" s="829"/>
      <c r="O58" s="827"/>
      <c r="AI58" s="829"/>
    </row>
    <row r="59" spans="3:35" hidden="1" x14ac:dyDescent="0.45">
      <c r="C59" s="827"/>
      <c r="M59" s="829"/>
      <c r="O59" s="827"/>
      <c r="AI59" s="829"/>
    </row>
    <row r="60" spans="3:35" hidden="1" x14ac:dyDescent="0.45">
      <c r="C60" s="827"/>
      <c r="D60" s="828" t="s">
        <v>485</v>
      </c>
      <c r="M60" s="829"/>
      <c r="O60" s="827"/>
      <c r="P60" s="828" t="s">
        <v>485</v>
      </c>
      <c r="Z60" s="828" t="s">
        <v>485</v>
      </c>
      <c r="AI60" s="829"/>
    </row>
    <row r="61" spans="3:35" hidden="1" x14ac:dyDescent="0.45">
      <c r="C61" s="827"/>
      <c r="D61" s="828"/>
      <c r="M61" s="829"/>
      <c r="O61" s="827"/>
      <c r="P61" s="828"/>
      <c r="Z61" s="828"/>
      <c r="AI61" s="829"/>
    </row>
    <row r="62" spans="3:35" hidden="1" x14ac:dyDescent="0.45">
      <c r="C62" s="827"/>
      <c r="D62" s="828"/>
      <c r="M62" s="829"/>
      <c r="O62" s="827"/>
      <c r="P62" s="828"/>
      <c r="Z62" s="828"/>
      <c r="AI62" s="829"/>
    </row>
    <row r="63" spans="3:35" hidden="1" x14ac:dyDescent="0.45">
      <c r="C63" s="827"/>
      <c r="M63" s="829"/>
      <c r="O63" s="827"/>
      <c r="AI63" s="829"/>
    </row>
    <row r="64" spans="3:35" hidden="1" x14ac:dyDescent="0.45">
      <c r="C64" s="827"/>
      <c r="M64" s="829"/>
      <c r="O64" s="827"/>
      <c r="AI64" s="829"/>
    </row>
    <row r="65" spans="3:35" hidden="1" x14ac:dyDescent="0.45">
      <c r="C65" s="827"/>
      <c r="M65" s="829"/>
      <c r="O65" s="827"/>
      <c r="AI65" s="829"/>
    </row>
    <row r="66" spans="3:35" hidden="1" x14ac:dyDescent="0.45">
      <c r="C66" s="827"/>
      <c r="M66" s="829"/>
      <c r="O66" s="827"/>
      <c r="AI66" s="829"/>
    </row>
    <row r="67" spans="3:35" hidden="1" x14ac:dyDescent="0.45">
      <c r="C67" s="827"/>
      <c r="M67" s="829"/>
      <c r="O67" s="827"/>
      <c r="AI67" s="829"/>
    </row>
    <row r="68" spans="3:35" hidden="1" x14ac:dyDescent="0.45">
      <c r="C68" s="827"/>
      <c r="M68" s="829"/>
      <c r="O68" s="827"/>
      <c r="AI68" s="829"/>
    </row>
    <row r="69" spans="3:35" hidden="1" x14ac:dyDescent="0.45">
      <c r="C69" s="827"/>
      <c r="M69" s="829"/>
      <c r="O69" s="827"/>
      <c r="AI69" s="829"/>
    </row>
    <row r="70" spans="3:35" hidden="1" x14ac:dyDescent="0.45">
      <c r="C70" s="827"/>
      <c r="M70" s="829"/>
      <c r="O70" s="827"/>
      <c r="AI70" s="829"/>
    </row>
    <row r="71" spans="3:35" hidden="1" x14ac:dyDescent="0.45">
      <c r="C71" s="827"/>
      <c r="M71" s="829"/>
      <c r="O71" s="827"/>
      <c r="AI71" s="829"/>
    </row>
    <row r="72" spans="3:35" hidden="1" x14ac:dyDescent="0.45">
      <c r="C72" s="827"/>
      <c r="M72" s="829"/>
      <c r="O72" s="827"/>
      <c r="AI72" s="829"/>
    </row>
    <row r="73" spans="3:35" hidden="1" x14ac:dyDescent="0.45">
      <c r="C73" s="827"/>
      <c r="M73" s="829"/>
      <c r="O73" s="827"/>
      <c r="AI73" s="829"/>
    </row>
    <row r="74" spans="3:35" hidden="1" x14ac:dyDescent="0.45">
      <c r="C74" s="827"/>
      <c r="M74" s="829"/>
      <c r="O74" s="827"/>
      <c r="AI74" s="829"/>
    </row>
    <row r="75" spans="3:35" hidden="1" x14ac:dyDescent="0.45">
      <c r="C75" s="827"/>
      <c r="M75" s="829"/>
      <c r="O75" s="827"/>
      <c r="AI75" s="829"/>
    </row>
    <row r="76" spans="3:35" hidden="1" x14ac:dyDescent="0.45">
      <c r="C76" s="827"/>
      <c r="M76" s="829"/>
      <c r="O76" s="827"/>
      <c r="AI76" s="829"/>
    </row>
    <row r="77" spans="3:35" ht="12" hidden="1" thickBot="1" x14ac:dyDescent="0.5">
      <c r="C77" s="836"/>
      <c r="D77" s="840"/>
      <c r="E77" s="840"/>
      <c r="F77" s="840"/>
      <c r="G77" s="840"/>
      <c r="H77" s="840"/>
      <c r="I77" s="840"/>
      <c r="J77" s="840"/>
      <c r="K77" s="840"/>
      <c r="L77" s="840"/>
      <c r="M77" s="838"/>
      <c r="O77" s="836"/>
      <c r="P77" s="840"/>
      <c r="Q77" s="840"/>
      <c r="R77" s="840"/>
      <c r="S77" s="840"/>
      <c r="T77" s="840"/>
      <c r="U77" s="840"/>
      <c r="V77" s="840"/>
      <c r="W77" s="840"/>
      <c r="X77" s="840"/>
      <c r="Z77" s="840"/>
      <c r="AA77" s="840"/>
      <c r="AB77" s="840"/>
      <c r="AC77" s="840"/>
      <c r="AD77" s="840"/>
      <c r="AE77" s="840"/>
      <c r="AF77" s="840"/>
      <c r="AG77" s="840"/>
      <c r="AH77" s="840"/>
      <c r="AI77" s="838"/>
    </row>
    <row r="78" spans="3:35" hidden="1" x14ac:dyDescent="0.45"/>
  </sheetData>
  <mergeCells count="12">
    <mergeCell ref="AA1:AB2"/>
    <mergeCell ref="Z7:AI7"/>
    <mergeCell ref="Z11:AH13"/>
    <mergeCell ref="Z38:AG40"/>
    <mergeCell ref="E1:F2"/>
    <mergeCell ref="C7:M7"/>
    <mergeCell ref="D11:L13"/>
    <mergeCell ref="D38:K40"/>
    <mergeCell ref="Q1:R2"/>
    <mergeCell ref="O7:X7"/>
    <mergeCell ref="P11:X13"/>
    <mergeCell ref="P38:W40"/>
  </mergeCells>
  <pageMargins left="0.7" right="0.7" top="0.75" bottom="0.75" header="0.3" footer="0.3"/>
  <pageSetup paperSize="9" orientation="portrait" r:id="rId1"/>
  <drawing r:id="rId2"/>
  <legacyDrawing r:id="rId3"/>
  <controls>
    <mc:AlternateContent xmlns:mc="http://schemas.openxmlformats.org/markup-compatibility/2006">
      <mc:Choice Requires="x14">
        <control shapeId="5121" r:id="rId4" name="cbExp">
          <controlPr defaultSize="0" autoLine="0" r:id="rId5">
            <anchor moveWithCells="1">
              <from>
                <xdr:col>4</xdr:col>
                <xdr:colOff>266700</xdr:colOff>
                <xdr:row>2</xdr:row>
                <xdr:rowOff>60960</xdr:rowOff>
              </from>
              <to>
                <xdr:col>6</xdr:col>
                <xdr:colOff>586740</xdr:colOff>
                <xdr:row>3</xdr:row>
                <xdr:rowOff>125730</xdr:rowOff>
              </to>
            </anchor>
          </controlPr>
        </control>
      </mc:Choice>
      <mc:Fallback>
        <control shapeId="5121" r:id="rId4" name="cbExp"/>
      </mc:Fallback>
    </mc:AlternateContent>
  </controls>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96323BB-33C7-4608-B33D-486995274361}">
  <sheetPr codeName="Sheet21">
    <tabColor theme="6" tint="-0.499984740745262"/>
  </sheetPr>
  <dimension ref="A1:AG255"/>
  <sheetViews>
    <sheetView showGridLines="0" zoomScale="120" zoomScaleNormal="120" workbookViewId="0">
      <pane ySplit="4" topLeftCell="A10" activePane="bottomLeft" state="frozen"/>
      <selection pane="bottomLeft" activeCell="F23" sqref="F23"/>
    </sheetView>
  </sheetViews>
  <sheetFormatPr defaultColWidth="13.20703125" defaultRowHeight="11.7" zeroHeight="1" x14ac:dyDescent="0.45"/>
  <cols>
    <col min="1" max="1" width="2.7890625" style="863" customWidth="1"/>
    <col min="2" max="2" width="2.7890625" style="861" customWidth="1"/>
    <col min="3" max="3" width="3.20703125" style="861" customWidth="1"/>
    <col min="4" max="4" width="16.7890625" style="861" customWidth="1"/>
    <col min="5" max="9" width="13.20703125" style="861" customWidth="1"/>
    <col min="10" max="10" width="11.7890625" style="861" customWidth="1"/>
    <col min="11" max="11" width="3.20703125" style="861" customWidth="1"/>
    <col min="12" max="14" width="1.5234375" style="861" customWidth="1"/>
    <col min="15" max="15" width="3.20703125" style="861" customWidth="1"/>
    <col min="16" max="16" width="11.7890625" style="861" customWidth="1"/>
    <col min="17" max="22" width="13.20703125" style="861" customWidth="1"/>
    <col min="23" max="23" width="3.20703125" style="861" customWidth="1"/>
    <col min="24" max="24" width="2.20703125" style="861" customWidth="1"/>
    <col min="25" max="25" width="3.20703125" style="861" customWidth="1"/>
    <col min="26" max="32" width="13.20703125" style="861" customWidth="1"/>
    <col min="33" max="33" width="3.20703125" style="861" customWidth="1"/>
    <col min="34" max="16384" width="13.20703125" style="861"/>
  </cols>
  <sheetData>
    <row r="1" spans="1:33" x14ac:dyDescent="0.45">
      <c r="A1" s="861"/>
      <c r="E1" s="1801" t="s">
        <v>206</v>
      </c>
      <c r="Q1" s="1801" t="s">
        <v>206</v>
      </c>
      <c r="AA1" s="1801" t="s">
        <v>206</v>
      </c>
    </row>
    <row r="2" spans="1:33" x14ac:dyDescent="0.45">
      <c r="A2" s="861"/>
      <c r="E2" s="1801"/>
      <c r="Q2" s="1801"/>
      <c r="AA2" s="1801"/>
    </row>
    <row r="3" spans="1:33" x14ac:dyDescent="0.45">
      <c r="A3" s="861"/>
    </row>
    <row r="4" spans="1:33" s="862" customFormat="1" ht="12" thickBot="1" x14ac:dyDescent="0.5"/>
    <row r="5" spans="1:33" s="863" customFormat="1" x14ac:dyDescent="0.45"/>
    <row r="6" spans="1:33" x14ac:dyDescent="0.45"/>
    <row r="7" spans="1:33" x14ac:dyDescent="0.45">
      <c r="C7" s="1802" t="s">
        <v>494</v>
      </c>
      <c r="D7" s="1802"/>
      <c r="E7" s="1802"/>
      <c r="F7" s="1802"/>
      <c r="G7" s="1802"/>
      <c r="H7" s="1802"/>
      <c r="I7" s="1802"/>
      <c r="J7" s="1802"/>
      <c r="K7" s="1802"/>
      <c r="O7" s="1802" t="s">
        <v>494</v>
      </c>
      <c r="P7" s="1802"/>
      <c r="Q7" s="1802"/>
      <c r="R7" s="1802"/>
      <c r="S7" s="1802"/>
      <c r="T7" s="1802"/>
      <c r="U7" s="1802"/>
      <c r="V7" s="1802"/>
      <c r="W7" s="1802"/>
      <c r="Y7" s="1802" t="s">
        <v>494</v>
      </c>
      <c r="Z7" s="1802"/>
      <c r="AA7" s="1802"/>
      <c r="AB7" s="1802"/>
      <c r="AC7" s="1802"/>
      <c r="AD7" s="1802"/>
      <c r="AE7" s="1802"/>
      <c r="AF7" s="1802"/>
      <c r="AG7" s="1802"/>
    </row>
    <row r="8" spans="1:33" ht="12" thickBot="1" x14ac:dyDescent="0.5"/>
    <row r="9" spans="1:33" x14ac:dyDescent="0.45">
      <c r="C9" s="864"/>
      <c r="D9" s="865"/>
      <c r="E9" s="865"/>
      <c r="F9" s="865"/>
      <c r="G9" s="865"/>
      <c r="H9" s="865"/>
      <c r="I9" s="865"/>
      <c r="J9" s="865"/>
      <c r="K9" s="866"/>
      <c r="O9" s="864"/>
      <c r="P9" s="865"/>
      <c r="Q9" s="865"/>
      <c r="R9" s="865"/>
      <c r="S9" s="865"/>
      <c r="T9" s="865"/>
      <c r="U9" s="865"/>
      <c r="V9" s="865"/>
      <c r="W9" s="866"/>
      <c r="Y9" s="864"/>
      <c r="Z9" s="865"/>
      <c r="AA9" s="865"/>
      <c r="AB9" s="865"/>
      <c r="AC9" s="865"/>
      <c r="AD9" s="865"/>
      <c r="AE9" s="865"/>
      <c r="AF9" s="865"/>
      <c r="AG9" s="866"/>
    </row>
    <row r="10" spans="1:33" x14ac:dyDescent="0.45">
      <c r="C10" s="867"/>
      <c r="D10" s="868" t="s">
        <v>146</v>
      </c>
      <c r="K10" s="869"/>
      <c r="O10" s="867"/>
      <c r="P10" s="868" t="s">
        <v>146</v>
      </c>
      <c r="W10" s="869"/>
      <c r="Y10" s="867"/>
      <c r="Z10" s="868" t="s">
        <v>146</v>
      </c>
      <c r="AG10" s="869"/>
    </row>
    <row r="11" spans="1:33" x14ac:dyDescent="0.45">
      <c r="C11" s="867"/>
      <c r="K11" s="869"/>
      <c r="O11" s="867"/>
      <c r="W11" s="869"/>
      <c r="Y11" s="867"/>
      <c r="AG11" s="869"/>
    </row>
    <row r="12" spans="1:33" ht="21.6" customHeight="1" x14ac:dyDescent="0.45">
      <c r="C12" s="867"/>
      <c r="E12" s="872" t="s">
        <v>240</v>
      </c>
      <c r="F12" s="872" t="s">
        <v>242</v>
      </c>
      <c r="G12" s="872" t="s">
        <v>243</v>
      </c>
      <c r="H12" s="872" t="s">
        <v>244</v>
      </c>
      <c r="I12" s="872" t="s">
        <v>238</v>
      </c>
      <c r="J12" s="872" t="s">
        <v>239</v>
      </c>
      <c r="K12" s="869"/>
      <c r="O12" s="867"/>
      <c r="Q12" s="872" t="s">
        <v>240</v>
      </c>
      <c r="R12" s="872" t="s">
        <v>242</v>
      </c>
      <c r="S12" s="872" t="s">
        <v>243</v>
      </c>
      <c r="T12" s="872" t="s">
        <v>244</v>
      </c>
      <c r="U12" s="872" t="s">
        <v>238</v>
      </c>
      <c r="V12" s="872" t="s">
        <v>239</v>
      </c>
      <c r="W12" s="869"/>
      <c r="Y12" s="867"/>
      <c r="AA12" s="872" t="s">
        <v>240</v>
      </c>
      <c r="AB12" s="872" t="s">
        <v>242</v>
      </c>
      <c r="AC12" s="872" t="s">
        <v>243</v>
      </c>
      <c r="AD12" s="872" t="s">
        <v>244</v>
      </c>
      <c r="AE12" s="872" t="s">
        <v>238</v>
      </c>
      <c r="AF12" s="872" t="s">
        <v>239</v>
      </c>
      <c r="AG12" s="869"/>
    </row>
    <row r="13" spans="1:33" x14ac:dyDescent="0.45">
      <c r="C13" s="867"/>
      <c r="D13" s="861" t="s">
        <v>147</v>
      </c>
      <c r="E13" s="938">
        <f ca="1">SUM(F13:J13)</f>
        <v>646282455</v>
      </c>
      <c r="F13" s="939">
        <f ca="1">Expenditure!F52</f>
        <v>97282699</v>
      </c>
      <c r="G13" s="939">
        <f ca="1">Expenditure!G52</f>
        <v>64870504</v>
      </c>
      <c r="H13" s="939">
        <f ca="1">Expenditure!H52</f>
        <v>198754842</v>
      </c>
      <c r="I13" s="939">
        <f ca="1">Expenditure!I52</f>
        <v>82489680</v>
      </c>
      <c r="J13" s="939">
        <f ca="1">Expenditure!J52</f>
        <v>202884730</v>
      </c>
      <c r="K13" s="869"/>
      <c r="O13" s="867"/>
      <c r="P13" s="861" t="s">
        <v>147</v>
      </c>
      <c r="Q13" s="938">
        <f ca="1">SUM(R13:V13)</f>
        <v>668796931</v>
      </c>
      <c r="R13" s="939">
        <f ca="1">Expenditure!R52</f>
        <v>100705851</v>
      </c>
      <c r="S13" s="939">
        <f ca="1">Expenditure!S52</f>
        <v>67225029</v>
      </c>
      <c r="T13" s="939">
        <f ca="1">Expenditure!T52</f>
        <v>205571762</v>
      </c>
      <c r="U13" s="939">
        <f ca="1">Expenditure!U52</f>
        <v>85435281</v>
      </c>
      <c r="V13" s="939">
        <f ca="1">Expenditure!V52</f>
        <v>209859008</v>
      </c>
      <c r="W13" s="869"/>
      <c r="Y13" s="867"/>
      <c r="Z13" s="861" t="s">
        <v>147</v>
      </c>
      <c r="AA13" s="938">
        <f ca="1">SUM(AB13:AF13)</f>
        <v>690837279</v>
      </c>
      <c r="AB13" s="939">
        <f ca="1">Expenditure!AB52</f>
        <v>104064914</v>
      </c>
      <c r="AC13" s="939">
        <f ca="1">Expenditure!AC52</f>
        <v>69552146</v>
      </c>
      <c r="AD13" s="939">
        <f ca="1">Expenditure!AD52</f>
        <v>212220048</v>
      </c>
      <c r="AE13" s="939">
        <f ca="1">Expenditure!AE52</f>
        <v>88335702</v>
      </c>
      <c r="AF13" s="939">
        <f ca="1">Expenditure!AF52</f>
        <v>216664469</v>
      </c>
      <c r="AG13" s="869"/>
    </row>
    <row r="14" spans="1:33" x14ac:dyDescent="0.45">
      <c r="C14" s="867"/>
      <c r="D14" s="861" t="s">
        <v>148</v>
      </c>
      <c r="E14" s="938">
        <f ca="1">SUM(F14:J14)</f>
        <v>249215036</v>
      </c>
      <c r="F14" s="939">
        <f ca="1">Expenditure!F53</f>
        <v>37382255.399999999</v>
      </c>
      <c r="G14" s="939">
        <f ca="1">Expenditure!G53</f>
        <v>12460751.800000001</v>
      </c>
      <c r="H14" s="939">
        <f ca="1">Expenditure!H53</f>
        <v>12460751.800000001</v>
      </c>
      <c r="I14" s="939">
        <f ca="1">Expenditure!I53</f>
        <v>12460751.800000001</v>
      </c>
      <c r="J14" s="939">
        <f ca="1">Expenditure!J53</f>
        <v>174450525.19999999</v>
      </c>
      <c r="K14" s="869"/>
      <c r="O14" s="867"/>
      <c r="P14" s="861" t="s">
        <v>148</v>
      </c>
      <c r="Q14" s="938">
        <f ca="1">SUM(R14:V14)</f>
        <v>257770209</v>
      </c>
      <c r="R14" s="939">
        <f ca="1">Expenditure!R53</f>
        <v>38665531.350000001</v>
      </c>
      <c r="S14" s="939">
        <f ca="1">Expenditure!S53</f>
        <v>12888510.450000001</v>
      </c>
      <c r="T14" s="939">
        <f ca="1">Expenditure!T53</f>
        <v>12888510.450000001</v>
      </c>
      <c r="U14" s="939">
        <f ca="1">Expenditure!U53</f>
        <v>12888510.450000001</v>
      </c>
      <c r="V14" s="939">
        <f ca="1">Expenditure!V53</f>
        <v>180439146.29999998</v>
      </c>
      <c r="W14" s="869"/>
      <c r="Y14" s="867"/>
      <c r="Z14" s="861" t="s">
        <v>148</v>
      </c>
      <c r="AA14" s="938">
        <f ca="1">SUM(AB14:AF14)</f>
        <v>266096559</v>
      </c>
      <c r="AB14" s="939">
        <f ca="1">Expenditure!AB53</f>
        <v>39914483.850000001</v>
      </c>
      <c r="AC14" s="939">
        <f ca="1">Expenditure!AC53</f>
        <v>13304827.950000001</v>
      </c>
      <c r="AD14" s="939">
        <f ca="1">Expenditure!AD53</f>
        <v>13304827.950000001</v>
      </c>
      <c r="AE14" s="939">
        <f ca="1">Expenditure!AE53</f>
        <v>13304827.950000001</v>
      </c>
      <c r="AF14" s="939">
        <f ca="1">Expenditure!AF53</f>
        <v>186267591.29999998</v>
      </c>
      <c r="AG14" s="869"/>
    </row>
    <row r="15" spans="1:33" x14ac:dyDescent="0.45">
      <c r="C15" s="867"/>
      <c r="D15" s="868" t="s">
        <v>149</v>
      </c>
      <c r="E15" s="873">
        <f t="shared" ref="E15:J15" ca="1" si="0">SUM(E13:E14)</f>
        <v>895497491</v>
      </c>
      <c r="F15" s="873">
        <f t="shared" ca="1" si="0"/>
        <v>134664954.40000001</v>
      </c>
      <c r="G15" s="873">
        <f t="shared" ca="1" si="0"/>
        <v>77331255.799999997</v>
      </c>
      <c r="H15" s="873">
        <f t="shared" ca="1" si="0"/>
        <v>211215593.80000001</v>
      </c>
      <c r="I15" s="873">
        <f t="shared" ca="1" si="0"/>
        <v>94950431.799999997</v>
      </c>
      <c r="J15" s="873">
        <f t="shared" ca="1" si="0"/>
        <v>377335255.19999999</v>
      </c>
      <c r="K15" s="869"/>
      <c r="O15" s="867"/>
      <c r="P15" s="868" t="s">
        <v>149</v>
      </c>
      <c r="Q15" s="873">
        <f t="shared" ref="Q15:V15" ca="1" si="1">SUM(Q13:Q14)</f>
        <v>926567140</v>
      </c>
      <c r="R15" s="873">
        <f t="shared" ca="1" si="1"/>
        <v>139371382.34999999</v>
      </c>
      <c r="S15" s="873">
        <f t="shared" ca="1" si="1"/>
        <v>80113539.450000003</v>
      </c>
      <c r="T15" s="873">
        <f t="shared" ca="1" si="1"/>
        <v>218460272.44999999</v>
      </c>
      <c r="U15" s="873">
        <f t="shared" ca="1" si="1"/>
        <v>98323791.450000003</v>
      </c>
      <c r="V15" s="873">
        <f t="shared" ca="1" si="1"/>
        <v>390298154.29999995</v>
      </c>
      <c r="W15" s="869"/>
      <c r="Y15" s="867"/>
      <c r="Z15" s="868" t="s">
        <v>149</v>
      </c>
      <c r="AA15" s="873">
        <f t="shared" ref="AA15:AF15" ca="1" si="2">SUM(AA13:AA14)</f>
        <v>956933838</v>
      </c>
      <c r="AB15" s="873">
        <f t="shared" ca="1" si="2"/>
        <v>143979397.84999999</v>
      </c>
      <c r="AC15" s="873">
        <f t="shared" ca="1" si="2"/>
        <v>82856973.950000003</v>
      </c>
      <c r="AD15" s="873">
        <f t="shared" ca="1" si="2"/>
        <v>225524875.94999999</v>
      </c>
      <c r="AE15" s="873">
        <f t="shared" ca="1" si="2"/>
        <v>101640529.95</v>
      </c>
      <c r="AF15" s="873">
        <f t="shared" ca="1" si="2"/>
        <v>402932060.29999995</v>
      </c>
      <c r="AG15" s="869"/>
    </row>
    <row r="16" spans="1:33" x14ac:dyDescent="0.45">
      <c r="C16" s="867"/>
      <c r="D16" s="868"/>
      <c r="K16" s="869"/>
      <c r="O16" s="867"/>
      <c r="P16" s="868"/>
      <c r="W16" s="869"/>
      <c r="Y16" s="867"/>
      <c r="Z16" s="868"/>
      <c r="AG16" s="869"/>
    </row>
    <row r="17" spans="3:33" x14ac:dyDescent="0.45">
      <c r="C17" s="867"/>
      <c r="D17" s="861" t="s">
        <v>196</v>
      </c>
      <c r="E17" s="939">
        <f ca="1">SUM(F17:J17)</f>
        <v>-97680501.5</v>
      </c>
      <c r="F17" s="939">
        <f ca="1">Surplus!F47-Surplus!F64</f>
        <v>0</v>
      </c>
      <c r="G17" s="939">
        <f ca="1">Surplus!G47-Surplus!G64</f>
        <v>0</v>
      </c>
      <c r="H17" s="939">
        <f ca="1">Surplus!H47-Surplus!H64</f>
        <v>0</v>
      </c>
      <c r="I17" s="939">
        <f ca="1">Surplus!I47-Surplus!I64</f>
        <v>0</v>
      </c>
      <c r="J17" s="939">
        <f ca="1">Surplus!J47-Surplus!J64</f>
        <v>-97680501.5</v>
      </c>
      <c r="K17" s="869"/>
      <c r="O17" s="867"/>
      <c r="P17" s="861" t="s">
        <v>196</v>
      </c>
      <c r="Q17" s="939">
        <f ca="1">SUM(R17:V17)</f>
        <v>-30539566</v>
      </c>
      <c r="R17" s="939">
        <f ca="1">Surplus!R47-Surplus!R64</f>
        <v>0</v>
      </c>
      <c r="S17" s="939">
        <f ca="1">Surplus!S47-Surplus!S64</f>
        <v>0</v>
      </c>
      <c r="T17" s="939">
        <f ca="1">Surplus!T47-Surplus!T64</f>
        <v>0</v>
      </c>
      <c r="U17" s="939">
        <f ca="1">Surplus!U47-Surplus!U64</f>
        <v>0</v>
      </c>
      <c r="V17" s="939">
        <f ca="1">Surplus!V47-Surplus!V64</f>
        <v>-30539566</v>
      </c>
      <c r="W17" s="869"/>
      <c r="Y17" s="867"/>
      <c r="Z17" s="861" t="s">
        <v>196</v>
      </c>
      <c r="AA17" s="939">
        <f ca="1">SUM(AB17:AF17)</f>
        <v>-32693771.99999994</v>
      </c>
      <c r="AB17" s="939">
        <f ca="1">Surplus!AB47-Surplus!AB64</f>
        <v>0</v>
      </c>
      <c r="AC17" s="939">
        <f ca="1">Surplus!AC47-Surplus!AC64</f>
        <v>0</v>
      </c>
      <c r="AD17" s="939">
        <f ca="1">Surplus!AD47-Surplus!AD64</f>
        <v>0</v>
      </c>
      <c r="AE17" s="939">
        <f ca="1">Surplus!AE47-Surplus!AE64</f>
        <v>0</v>
      </c>
      <c r="AF17" s="939">
        <f ca="1">Surplus!AF47-Surplus!AF64</f>
        <v>-32693771.99999994</v>
      </c>
      <c r="AG17" s="869"/>
    </row>
    <row r="18" spans="3:33" x14ac:dyDescent="0.45">
      <c r="C18" s="867"/>
      <c r="D18" s="868" t="s">
        <v>203</v>
      </c>
      <c r="E18" s="873">
        <f t="shared" ref="E18:J18" ca="1" si="3">E15+E17</f>
        <v>797816989.5</v>
      </c>
      <c r="F18" s="873">
        <f t="shared" ca="1" si="3"/>
        <v>134664954.40000001</v>
      </c>
      <c r="G18" s="873">
        <f t="shared" ca="1" si="3"/>
        <v>77331255.799999997</v>
      </c>
      <c r="H18" s="873">
        <f t="shared" ca="1" si="3"/>
        <v>211215593.80000001</v>
      </c>
      <c r="I18" s="873">
        <f t="shared" ca="1" si="3"/>
        <v>94950431.799999997</v>
      </c>
      <c r="J18" s="873">
        <f t="shared" ca="1" si="3"/>
        <v>279654753.69999999</v>
      </c>
      <c r="K18" s="869"/>
      <c r="O18" s="867"/>
      <c r="P18" s="868" t="s">
        <v>203</v>
      </c>
      <c r="Q18" s="873">
        <f t="shared" ref="Q18:V18" ca="1" si="4">Q15+Q17</f>
        <v>896027574</v>
      </c>
      <c r="R18" s="873">
        <f t="shared" ca="1" si="4"/>
        <v>139371382.34999999</v>
      </c>
      <c r="S18" s="873">
        <f t="shared" ca="1" si="4"/>
        <v>80113539.450000003</v>
      </c>
      <c r="T18" s="873">
        <f t="shared" ca="1" si="4"/>
        <v>218460272.44999999</v>
      </c>
      <c r="U18" s="873">
        <f t="shared" ca="1" si="4"/>
        <v>98323791.450000003</v>
      </c>
      <c r="V18" s="873">
        <f t="shared" ca="1" si="4"/>
        <v>359758588.29999995</v>
      </c>
      <c r="W18" s="869"/>
      <c r="Y18" s="867"/>
      <c r="Z18" s="868" t="s">
        <v>203</v>
      </c>
      <c r="AA18" s="873">
        <f t="shared" ref="AA18:AF18" ca="1" si="5">AA15+AA17</f>
        <v>924240066</v>
      </c>
      <c r="AB18" s="873">
        <f t="shared" ca="1" si="5"/>
        <v>143979397.84999999</v>
      </c>
      <c r="AC18" s="873">
        <f t="shared" ca="1" si="5"/>
        <v>82856973.950000003</v>
      </c>
      <c r="AD18" s="873">
        <f t="shared" ca="1" si="5"/>
        <v>225524875.94999999</v>
      </c>
      <c r="AE18" s="873">
        <f t="shared" ca="1" si="5"/>
        <v>101640529.95</v>
      </c>
      <c r="AF18" s="873">
        <f t="shared" ca="1" si="5"/>
        <v>370238288.30000001</v>
      </c>
      <c r="AG18" s="869"/>
    </row>
    <row r="19" spans="3:33" x14ac:dyDescent="0.45">
      <c r="C19" s="867"/>
      <c r="D19" s="868"/>
      <c r="K19" s="869"/>
      <c r="O19" s="867"/>
      <c r="P19" s="868"/>
      <c r="W19" s="869"/>
      <c r="Y19" s="867"/>
      <c r="Z19" s="868"/>
      <c r="AG19" s="869"/>
    </row>
    <row r="20" spans="3:33" x14ac:dyDescent="0.45">
      <c r="C20" s="867"/>
      <c r="D20" s="861" t="s">
        <v>150</v>
      </c>
      <c r="E20" s="938">
        <f ca="1">SUM(F20:J20)</f>
        <v>150012278.19999999</v>
      </c>
      <c r="F20" s="1406">
        <f ca="1">Revenue!F26</f>
        <v>16721640</v>
      </c>
      <c r="G20" s="1406">
        <f ca="1">Revenue!G26</f>
        <v>15471225</v>
      </c>
      <c r="H20" s="1406">
        <f ca="1">Revenue!H26</f>
        <v>14719848</v>
      </c>
      <c r="I20" s="1406">
        <f ca="1">Revenue!I26</f>
        <v>18598866</v>
      </c>
      <c r="J20" s="939">
        <f ca="1">Revenue!J26+Revenue!$K$26*Expenditure!J44/Expenditure!$E$44</f>
        <v>84500699.199999988</v>
      </c>
      <c r="K20" s="869"/>
      <c r="O20" s="867"/>
      <c r="P20" s="861" t="s">
        <v>150</v>
      </c>
      <c r="Q20" s="938">
        <f ca="1">SUM(R20:V20)</f>
        <v>154510992</v>
      </c>
      <c r="R20" s="1406">
        <f ca="1">Revenue!R26</f>
        <v>17576611</v>
      </c>
      <c r="S20" s="1406">
        <f ca="1">Revenue!S26</f>
        <v>16262263</v>
      </c>
      <c r="T20" s="1406">
        <f ca="1">Revenue!T26</f>
        <v>16194453</v>
      </c>
      <c r="U20" s="1406">
        <f ca="1">Revenue!U26</f>
        <v>19549819</v>
      </c>
      <c r="V20" s="939">
        <f ca="1">Revenue!V26+Revenue!$W$26*Expenditure!V44/Expenditure!$Q$44</f>
        <v>84927845.999999985</v>
      </c>
      <c r="W20" s="869"/>
      <c r="Y20" s="867"/>
      <c r="Z20" s="861" t="s">
        <v>150</v>
      </c>
      <c r="AA20" s="938">
        <f ca="1">SUM(AB20:AF20)</f>
        <v>156081153</v>
      </c>
      <c r="AB20" s="1406">
        <f ca="1">Revenue!AB26</f>
        <v>17938098</v>
      </c>
      <c r="AC20" s="1406">
        <f ca="1">Revenue!AC26</f>
        <v>16596718</v>
      </c>
      <c r="AD20" s="1406">
        <f ca="1">Revenue!AD26</f>
        <v>16547604</v>
      </c>
      <c r="AE20" s="1406">
        <f ca="1">Revenue!AE26</f>
        <v>19951887</v>
      </c>
      <c r="AF20" s="939">
        <f ca="1">Revenue!AF26+Revenue!$W$26*Expenditure!AF44/Expenditure!$AA$44</f>
        <v>85046845.999999985</v>
      </c>
      <c r="AG20" s="869"/>
    </row>
    <row r="21" spans="3:33" x14ac:dyDescent="0.45">
      <c r="C21" s="867"/>
      <c r="D21" s="861" t="s">
        <v>151</v>
      </c>
      <c r="E21" s="938">
        <f ca="1">SUM(F21:J21)</f>
        <v>179290650</v>
      </c>
      <c r="F21" s="939">
        <f ca="1">Revenue!F38+Revenue!$K$38*Expenditure!F44/Expenditure!$E$44</f>
        <v>0</v>
      </c>
      <c r="G21" s="939">
        <f ca="1">Revenue!G38+Revenue!$K$38*Expenditure!G44/Expenditure!$E$44</f>
        <v>0</v>
      </c>
      <c r="H21" s="939">
        <f ca="1">Revenue!H38+Revenue!$K$38*Expenditure!H44/Expenditure!$E$44</f>
        <v>0</v>
      </c>
      <c r="I21" s="939">
        <f ca="1">Revenue!I38+Revenue!$K$38*Expenditure!I44/Expenditure!$E$44</f>
        <v>0</v>
      </c>
      <c r="J21" s="939">
        <f ca="1">Revenue!J38+Revenue!$K$38*Expenditure!J44/Expenditure!$E$44</f>
        <v>179290650</v>
      </c>
      <c r="K21" s="869"/>
      <c r="O21" s="867"/>
      <c r="P21" s="861" t="s">
        <v>151</v>
      </c>
      <c r="Q21" s="938">
        <f ca="1">SUM(R21:V21)</f>
        <v>185386533</v>
      </c>
      <c r="R21" s="939">
        <f ca="1">Revenue!R38+Revenue!$W$38*Expenditure!R44/Expenditure!$Q$44</f>
        <v>0</v>
      </c>
      <c r="S21" s="939">
        <f ca="1">Revenue!S38+Revenue!$W$38*Expenditure!S44/Expenditure!$Q$44</f>
        <v>0</v>
      </c>
      <c r="T21" s="939">
        <f ca="1">Revenue!T38+Revenue!$W$38*Expenditure!T44/Expenditure!$Q$44</f>
        <v>0</v>
      </c>
      <c r="U21" s="939">
        <f ca="1">Revenue!U38+Revenue!$W$38*Expenditure!U44/Expenditure!$Q$44</f>
        <v>0</v>
      </c>
      <c r="V21" s="939">
        <f ca="1">Revenue!V38+Revenue!$W$38*Expenditure!V44/Expenditure!$Q$44</f>
        <v>185386533</v>
      </c>
      <c r="W21" s="869"/>
      <c r="Y21" s="867"/>
      <c r="Z21" s="861" t="s">
        <v>151</v>
      </c>
      <c r="AA21" s="938">
        <f ca="1">SUM(AB21:AF21)</f>
        <v>191318902</v>
      </c>
      <c r="AB21" s="939">
        <f ca="1">Revenue!AB38+Revenue!$W$38*Expenditure!AB44/Expenditure!$AA$44</f>
        <v>0</v>
      </c>
      <c r="AC21" s="939">
        <f ca="1">Revenue!AC38+Revenue!$W$38*Expenditure!AC44/Expenditure!$AA$44</f>
        <v>0</v>
      </c>
      <c r="AD21" s="939">
        <f ca="1">Revenue!AD38+Revenue!$W$38*Expenditure!AD44/Expenditure!$AA$44</f>
        <v>0</v>
      </c>
      <c r="AE21" s="939">
        <f ca="1">Revenue!AE38+Revenue!$W$38*Expenditure!AE44/Expenditure!$AA$44</f>
        <v>0</v>
      </c>
      <c r="AF21" s="939">
        <f ca="1">Revenue!AF38+Revenue!$W$38*Expenditure!AF44/Expenditure!$AA$44</f>
        <v>191318902</v>
      </c>
      <c r="AG21" s="869"/>
    </row>
    <row r="22" spans="3:33" x14ac:dyDescent="0.45">
      <c r="C22" s="867"/>
      <c r="D22" s="861" t="s">
        <v>26</v>
      </c>
      <c r="E22" s="938">
        <f ca="1">SUM(F22:J22)</f>
        <v>130755137.99999999</v>
      </c>
      <c r="F22" s="939">
        <f ca="1">Revenue!F72+Revenue!$K$72*Expenditure!F44/Expenditure!$E$44</f>
        <v>9705193.6499999985</v>
      </c>
      <c r="G22" s="939">
        <f ca="1">Revenue!G72+Revenue!$K$72*Expenditure!G44/Expenditure!$E$44</f>
        <v>11389689.550000001</v>
      </c>
      <c r="H22" s="939">
        <f ca="1">Revenue!H72+Revenue!$K$72*Expenditure!H44/Expenditure!$E$44</f>
        <v>19790304.550000001</v>
      </c>
      <c r="I22" s="939">
        <f ca="1">Revenue!I72+Revenue!$K$72*Expenditure!I44/Expenditure!$E$44</f>
        <v>3338846.5500000003</v>
      </c>
      <c r="J22" s="939">
        <f ca="1">Revenue!J72+Revenue!$K$72*Expenditure!J44/Expenditure!$E$44</f>
        <v>86531103.699999988</v>
      </c>
      <c r="K22" s="869"/>
      <c r="O22" s="867"/>
      <c r="P22" s="861" t="s">
        <v>26</v>
      </c>
      <c r="Q22" s="938">
        <f ca="1">SUM(R22:V22)</f>
        <v>135159452</v>
      </c>
      <c r="R22" s="939">
        <f ca="1">Revenue!R72+Revenue!$W$72*Expenditure!R44/Expenditure!$Q$44</f>
        <v>10028965.850000001</v>
      </c>
      <c r="S22" s="939">
        <f ca="1">Revenue!S72+Revenue!$W$72*Expenditure!S44/Expenditure!$Q$44</f>
        <v>11774870.949999999</v>
      </c>
      <c r="T22" s="939">
        <f ca="1">Revenue!T72+Revenue!$W$72*Expenditure!T44/Expenditure!$Q$44</f>
        <v>20461106.949999999</v>
      </c>
      <c r="U22" s="939">
        <f ca="1">Revenue!U72+Revenue!$W$72*Expenditure!U44/Expenditure!$Q$44</f>
        <v>3450298.95</v>
      </c>
      <c r="V22" s="939">
        <f ca="1">Revenue!V72+Revenue!$W$72*Expenditure!V44/Expenditure!$Q$44</f>
        <v>89444209.299999997</v>
      </c>
      <c r="W22" s="869"/>
      <c r="Y22" s="867"/>
      <c r="Z22" s="861" t="s">
        <v>26</v>
      </c>
      <c r="AA22" s="938">
        <f ca="1">SUM(AB22:AF22)</f>
        <v>137885833</v>
      </c>
      <c r="AB22" s="939">
        <f ca="1">Revenue!AB72+Revenue!$W$72*Expenditure!AB44/Expenditure!$AA$44</f>
        <v>10110084.850000001</v>
      </c>
      <c r="AC22" s="939">
        <f ca="1">Revenue!AC72+Revenue!$W$72*Expenditure!AC44/Expenditure!$AA$44</f>
        <v>12071730.949999999</v>
      </c>
      <c r="AD22" s="939">
        <f ca="1">Revenue!AD72+Revenue!$W$72*Expenditure!AD44/Expenditure!$AA$44</f>
        <v>21035925.949999999</v>
      </c>
      <c r="AE22" s="939">
        <f ca="1">Revenue!AE72+Revenue!$W$72*Expenditure!AE44/Expenditure!$AA$44</f>
        <v>3480771.95</v>
      </c>
      <c r="AF22" s="939">
        <f ca="1">Revenue!AF72+Revenue!$W$72*Expenditure!AF44/Expenditure!$AA$44</f>
        <v>91187319.299999997</v>
      </c>
      <c r="AG22" s="869"/>
    </row>
    <row r="23" spans="3:33" x14ac:dyDescent="0.45">
      <c r="C23" s="867"/>
      <c r="D23" s="861" t="s">
        <v>495</v>
      </c>
      <c r="E23" s="940">
        <f>SUM(F23:I23)</f>
        <v>0</v>
      </c>
      <c r="F23" s="940">
        <f>Revenue!F112</f>
        <v>0</v>
      </c>
      <c r="G23" s="940">
        <f>Revenue!G112</f>
        <v>0</v>
      </c>
      <c r="H23" s="940">
        <f>Revenue!H112</f>
        <v>0</v>
      </c>
      <c r="I23" s="940">
        <f>Revenue!I112</f>
        <v>0</v>
      </c>
      <c r="J23" s="875"/>
      <c r="K23" s="869"/>
      <c r="O23" s="867"/>
      <c r="P23" s="861" t="s">
        <v>495</v>
      </c>
      <c r="Q23" s="940">
        <f>SUM(R23:U23)</f>
        <v>0</v>
      </c>
      <c r="R23" s="940">
        <f>Revenue!R112</f>
        <v>0</v>
      </c>
      <c r="S23" s="940">
        <f>Revenue!S112</f>
        <v>0</v>
      </c>
      <c r="T23" s="940">
        <f>Revenue!T112</f>
        <v>0</v>
      </c>
      <c r="U23" s="940">
        <f>Revenue!U112</f>
        <v>0</v>
      </c>
      <c r="V23" s="875"/>
      <c r="W23" s="869"/>
      <c r="Y23" s="867"/>
      <c r="Z23" s="861" t="s">
        <v>495</v>
      </c>
      <c r="AA23" s="940">
        <f>SUM(AB23:AE23)</f>
        <v>0</v>
      </c>
      <c r="AB23" s="940">
        <f>Revenue!AB112</f>
        <v>0</v>
      </c>
      <c r="AC23" s="940">
        <f>Revenue!AC112</f>
        <v>0</v>
      </c>
      <c r="AD23" s="940">
        <f>Revenue!AD112</f>
        <v>0</v>
      </c>
      <c r="AE23" s="940">
        <f>Revenue!AE112</f>
        <v>0</v>
      </c>
      <c r="AF23" s="875"/>
      <c r="AG23" s="869"/>
    </row>
    <row r="24" spans="3:33" x14ac:dyDescent="0.45">
      <c r="C24" s="867"/>
      <c r="D24" s="868" t="s">
        <v>153</v>
      </c>
      <c r="E24" s="873">
        <f ca="1">SUM(F24:J24)</f>
        <v>460058066.19999999</v>
      </c>
      <c r="F24" s="873">
        <f ca="1">SUM(F20:F23)</f>
        <v>26426833.649999999</v>
      </c>
      <c r="G24" s="873">
        <f ca="1">SUM(G20:G23)</f>
        <v>26860914.550000001</v>
      </c>
      <c r="H24" s="873">
        <f ca="1">SUM(H20:H23)</f>
        <v>34510152.549999997</v>
      </c>
      <c r="I24" s="873">
        <f ca="1">SUM(I20:I23)</f>
        <v>21937712.550000001</v>
      </c>
      <c r="J24" s="873">
        <f ca="1">SUM(J20:J23)</f>
        <v>350322452.89999998</v>
      </c>
      <c r="K24" s="869"/>
      <c r="O24" s="867"/>
      <c r="P24" s="868" t="s">
        <v>153</v>
      </c>
      <c r="Q24" s="873">
        <f ca="1">SUM(R24:V24)</f>
        <v>475056977</v>
      </c>
      <c r="R24" s="873">
        <f ca="1">SUM(R20:R23)</f>
        <v>27605576.850000001</v>
      </c>
      <c r="S24" s="873">
        <f ca="1">SUM(S20:S23)</f>
        <v>28037133.949999999</v>
      </c>
      <c r="T24" s="873">
        <f ca="1">SUM(T20:T23)</f>
        <v>36655559.950000003</v>
      </c>
      <c r="U24" s="873">
        <f ca="1">SUM(U20:U23)</f>
        <v>23000117.949999999</v>
      </c>
      <c r="V24" s="873">
        <f ca="1">SUM(V20:V23)</f>
        <v>359758588.30000001</v>
      </c>
      <c r="W24" s="869"/>
      <c r="Y24" s="867"/>
      <c r="Z24" s="868" t="s">
        <v>153</v>
      </c>
      <c r="AA24" s="873">
        <f ca="1">SUM(AB24:AF24)</f>
        <v>485285888</v>
      </c>
      <c r="AB24" s="873">
        <f ca="1">SUM(AB20:AB23)</f>
        <v>28048182.850000001</v>
      </c>
      <c r="AC24" s="873">
        <f ca="1">SUM(AC20:AC23)</f>
        <v>28668448.949999999</v>
      </c>
      <c r="AD24" s="873">
        <f ca="1">SUM(AD20:AD23)</f>
        <v>37583529.950000003</v>
      </c>
      <c r="AE24" s="873">
        <f ca="1">SUM(AE20:AE23)</f>
        <v>23432658.949999999</v>
      </c>
      <c r="AF24" s="873">
        <f ca="1">SUM(AF20:AF23)</f>
        <v>367553067.30000001</v>
      </c>
      <c r="AG24" s="869"/>
    </row>
    <row r="25" spans="3:33" x14ac:dyDescent="0.45">
      <c r="C25" s="867"/>
      <c r="K25" s="869"/>
      <c r="O25" s="867"/>
      <c r="W25" s="869"/>
      <c r="Y25" s="867"/>
      <c r="AG25" s="869"/>
    </row>
    <row r="26" spans="3:33" x14ac:dyDescent="0.45">
      <c r="C26" s="867"/>
      <c r="D26" s="868" t="s">
        <v>154</v>
      </c>
      <c r="E26" s="941">
        <f ca="1">SUM(F26:J26)</f>
        <v>408426622.5</v>
      </c>
      <c r="F26" s="941">
        <f ca="1">F18-F24</f>
        <v>108238120.75</v>
      </c>
      <c r="G26" s="941">
        <f ca="1">G18-G24</f>
        <v>50470341.25</v>
      </c>
      <c r="H26" s="941">
        <f ca="1">H18-H24</f>
        <v>176705441.25</v>
      </c>
      <c r="I26" s="941">
        <f ca="1">I18-I24</f>
        <v>73012719.25</v>
      </c>
      <c r="J26" s="875"/>
      <c r="K26" s="869"/>
      <c r="O26" s="867"/>
      <c r="P26" s="868" t="s">
        <v>154</v>
      </c>
      <c r="Q26" s="941">
        <f ca="1">SUM(R26:V26)</f>
        <v>420970597</v>
      </c>
      <c r="R26" s="941">
        <f ca="1">R18-R24</f>
        <v>111765805.5</v>
      </c>
      <c r="S26" s="941">
        <f ca="1">S18-S24</f>
        <v>52076405.5</v>
      </c>
      <c r="T26" s="941">
        <f ca="1">T18-T24</f>
        <v>181804712.5</v>
      </c>
      <c r="U26" s="941">
        <f ca="1">U18-U24</f>
        <v>75323673.5</v>
      </c>
      <c r="V26" s="875"/>
      <c r="W26" s="869"/>
      <c r="Y26" s="867"/>
      <c r="Z26" s="868" t="s">
        <v>154</v>
      </c>
      <c r="AA26" s="941">
        <f ca="1">SUM(AB26:AF26)</f>
        <v>436268957</v>
      </c>
      <c r="AB26" s="941">
        <f ca="1">AB18-AB24</f>
        <v>115931215</v>
      </c>
      <c r="AC26" s="941">
        <f ca="1">AC18-AC24</f>
        <v>54188525</v>
      </c>
      <c r="AD26" s="941">
        <f ca="1">AD18-AD24</f>
        <v>187941346</v>
      </c>
      <c r="AE26" s="941">
        <f ca="1">AE18-AE24</f>
        <v>78207871</v>
      </c>
      <c r="AF26" s="875"/>
      <c r="AG26" s="869"/>
    </row>
    <row r="27" spans="3:33" x14ac:dyDescent="0.45">
      <c r="C27" s="867"/>
      <c r="D27" s="868" t="s">
        <v>202</v>
      </c>
      <c r="E27" s="873">
        <f ca="1">SUM(F27:J27)</f>
        <v>868484688.70000005</v>
      </c>
      <c r="F27" s="873">
        <f ca="1">F24+F26</f>
        <v>134664954.40000001</v>
      </c>
      <c r="G27" s="873">
        <f ca="1">G24+G26</f>
        <v>77331255.799999997</v>
      </c>
      <c r="H27" s="873">
        <f ca="1">H24+H26</f>
        <v>211215593.80000001</v>
      </c>
      <c r="I27" s="873">
        <f ca="1">I24+I26</f>
        <v>94950431.799999997</v>
      </c>
      <c r="J27" s="873">
        <f ca="1">J24+J26</f>
        <v>350322452.89999998</v>
      </c>
      <c r="K27" s="869"/>
      <c r="O27" s="867"/>
      <c r="P27" s="868" t="s">
        <v>202</v>
      </c>
      <c r="Q27" s="873">
        <f ca="1">SUM(R27:V27)</f>
        <v>896027574</v>
      </c>
      <c r="R27" s="873">
        <f ca="1">R24+R26</f>
        <v>139371382.34999999</v>
      </c>
      <c r="S27" s="873">
        <f ca="1">S24+S26</f>
        <v>80113539.450000003</v>
      </c>
      <c r="T27" s="873">
        <f ca="1">T24+T26</f>
        <v>218460272.44999999</v>
      </c>
      <c r="U27" s="873">
        <f ca="1">U24+U26</f>
        <v>98323791.450000003</v>
      </c>
      <c r="V27" s="873">
        <f ca="1">V24+V26</f>
        <v>359758588.30000001</v>
      </c>
      <c r="W27" s="869"/>
      <c r="Y27" s="867"/>
      <c r="Z27" s="868" t="s">
        <v>202</v>
      </c>
      <c r="AA27" s="873">
        <f ca="1">SUM(AB27:AF27)</f>
        <v>921554845</v>
      </c>
      <c r="AB27" s="873">
        <f ca="1">AB24+AB26</f>
        <v>143979397.84999999</v>
      </c>
      <c r="AC27" s="873">
        <f ca="1">AC24+AC26</f>
        <v>82856973.950000003</v>
      </c>
      <c r="AD27" s="873">
        <f ca="1">AD24+AD26</f>
        <v>225524875.94999999</v>
      </c>
      <c r="AE27" s="873">
        <f ca="1">AE24+AE26</f>
        <v>101640529.95</v>
      </c>
      <c r="AF27" s="873">
        <f ca="1">AF24+AF26</f>
        <v>367553067.30000001</v>
      </c>
      <c r="AG27" s="869"/>
    </row>
    <row r="28" spans="3:33" ht="12" thickBot="1" x14ac:dyDescent="0.5">
      <c r="C28" s="870"/>
      <c r="D28" s="874"/>
      <c r="E28" s="874"/>
      <c r="F28" s="874"/>
      <c r="G28" s="874"/>
      <c r="H28" s="874"/>
      <c r="I28" s="874"/>
      <c r="J28" s="874"/>
      <c r="K28" s="871"/>
      <c r="O28" s="870"/>
      <c r="P28" s="874"/>
      <c r="Q28" s="874"/>
      <c r="R28" s="874"/>
      <c r="S28" s="874"/>
      <c r="T28" s="874"/>
      <c r="U28" s="874"/>
      <c r="V28" s="874"/>
      <c r="W28" s="871"/>
      <c r="Y28" s="870"/>
      <c r="Z28" s="874"/>
      <c r="AA28" s="874"/>
      <c r="AB28" s="874"/>
      <c r="AC28" s="874"/>
      <c r="AD28" s="874"/>
      <c r="AE28" s="874"/>
      <c r="AF28" s="874"/>
      <c r="AG28" s="871"/>
    </row>
    <row r="29" spans="3:33" x14ac:dyDescent="0.45"/>
    <row r="31" spans="3:33" hidden="1" x14ac:dyDescent="0.45">
      <c r="D31" s="868" t="s">
        <v>198</v>
      </c>
      <c r="P31" s="868" t="s">
        <v>198</v>
      </c>
      <c r="Z31" s="868" t="s">
        <v>198</v>
      </c>
    </row>
    <row r="129" spans="4:31" s="863" customFormat="1" hidden="1" x14ac:dyDescent="0.45"/>
    <row r="130" spans="4:31" s="863" customFormat="1" hidden="1" x14ac:dyDescent="0.45"/>
    <row r="131" spans="4:31" s="863" customFormat="1" hidden="1" x14ac:dyDescent="0.45">
      <c r="D131" s="942" t="s">
        <v>199</v>
      </c>
      <c r="P131" s="942" t="s">
        <v>199</v>
      </c>
      <c r="Z131" s="942" t="s">
        <v>199</v>
      </c>
    </row>
    <row r="132" spans="4:31" s="863" customFormat="1" hidden="1" x14ac:dyDescent="0.45">
      <c r="D132" s="943" t="s">
        <v>200</v>
      </c>
      <c r="E132" s="943"/>
      <c r="P132" s="943" t="s">
        <v>200</v>
      </c>
      <c r="Q132" s="943"/>
      <c r="Z132" s="943" t="s">
        <v>200</v>
      </c>
      <c r="AA132" s="943"/>
    </row>
    <row r="133" spans="4:31" s="863" customFormat="1" hidden="1" x14ac:dyDescent="0.45">
      <c r="D133" s="944"/>
      <c r="E133" s="945" t="s">
        <v>22</v>
      </c>
      <c r="F133" s="945" t="s">
        <v>162</v>
      </c>
      <c r="G133" s="945"/>
      <c r="H133" s="945" t="s">
        <v>22</v>
      </c>
      <c r="I133" s="945" t="s">
        <v>162</v>
      </c>
      <c r="P133" s="944"/>
      <c r="Q133" s="945" t="s">
        <v>22</v>
      </c>
      <c r="R133" s="945" t="s">
        <v>162</v>
      </c>
      <c r="S133" s="945"/>
      <c r="T133" s="945" t="s">
        <v>22</v>
      </c>
      <c r="U133" s="945" t="s">
        <v>162</v>
      </c>
      <c r="Z133" s="944"/>
      <c r="AA133" s="945" t="s">
        <v>22</v>
      </c>
      <c r="AB133" s="945" t="s">
        <v>162</v>
      </c>
      <c r="AC133" s="945"/>
      <c r="AD133" s="945" t="s">
        <v>22</v>
      </c>
      <c r="AE133" s="945" t="s">
        <v>162</v>
      </c>
    </row>
    <row r="134" spans="4:31" s="863" customFormat="1" hidden="1" x14ac:dyDescent="0.45">
      <c r="D134" s="946" t="str">
        <f ca="1">IF($E$13&gt;0,"Direct cost","")</f>
        <v>Direct cost</v>
      </c>
      <c r="E134" s="947">
        <f ca="1">$E$13/1000</f>
        <v>646282.45499999996</v>
      </c>
      <c r="F134" s="946"/>
      <c r="G134" s="946" t="str">
        <f t="shared" ref="G134:G139" ca="1" si="6">D134</f>
        <v>Direct cost</v>
      </c>
      <c r="H134" s="948">
        <f ca="1">IF(E134=0,"",E134/E140)</f>
        <v>0.72170213930839477</v>
      </c>
      <c r="I134" s="948"/>
      <c r="P134" s="946" t="str">
        <f ca="1">IF($E$13&gt;0,"Direct cost","")</f>
        <v>Direct cost</v>
      </c>
      <c r="Q134" s="947">
        <f ca="1">$E$13/1000</f>
        <v>646282.45499999996</v>
      </c>
      <c r="R134" s="946"/>
      <c r="S134" s="946" t="str">
        <f t="shared" ref="S134:S139" ca="1" si="7">P134</f>
        <v>Direct cost</v>
      </c>
      <c r="T134" s="948">
        <f ca="1">IF(Q134=0,"",Q134/Q140)</f>
        <v>0.72170213930839477</v>
      </c>
      <c r="U134" s="948"/>
      <c r="Z134" s="946" t="str">
        <f ca="1">IF($E$13&gt;0,"Direct cost","")</f>
        <v>Direct cost</v>
      </c>
      <c r="AA134" s="947">
        <f ca="1">$E$13/1000</f>
        <v>646282.45499999996</v>
      </c>
      <c r="AB134" s="946"/>
      <c r="AC134" s="946" t="str">
        <f t="shared" ref="AC134:AC139" ca="1" si="8">Z134</f>
        <v>Direct cost</v>
      </c>
      <c r="AD134" s="948">
        <f ca="1">IF(AA134=0,"",AA134/AA140)</f>
        <v>0.72170213930839477</v>
      </c>
      <c r="AE134" s="948"/>
    </row>
    <row r="135" spans="4:31" s="863" customFormat="1" hidden="1" x14ac:dyDescent="0.45">
      <c r="D135" s="946" t="str">
        <f ca="1">IF($E$14&gt;0,"Indirect cost","")</f>
        <v>Indirect cost</v>
      </c>
      <c r="E135" s="947">
        <f ca="1">$E$14/1000</f>
        <v>249215.03599999999</v>
      </c>
      <c r="F135" s="946"/>
      <c r="G135" s="946" t="str">
        <f t="shared" ca="1" si="6"/>
        <v>Indirect cost</v>
      </c>
      <c r="H135" s="948">
        <f ca="1">IF(E135=0,"",E135/E140)</f>
        <v>0.27829786069160523</v>
      </c>
      <c r="I135" s="948"/>
      <c r="P135" s="946" t="str">
        <f ca="1">IF($E$14&gt;0,"Indirect cost","")</f>
        <v>Indirect cost</v>
      </c>
      <c r="Q135" s="947">
        <f ca="1">$E$14/1000</f>
        <v>249215.03599999999</v>
      </c>
      <c r="R135" s="946"/>
      <c r="S135" s="946" t="str">
        <f t="shared" ca="1" si="7"/>
        <v>Indirect cost</v>
      </c>
      <c r="T135" s="948">
        <f ca="1">IF(Q135=0,"",Q135/Q140)</f>
        <v>0.27829786069160523</v>
      </c>
      <c r="U135" s="948"/>
      <c r="Z135" s="946" t="str">
        <f ca="1">IF($E$14&gt;0,"Indirect cost","")</f>
        <v>Indirect cost</v>
      </c>
      <c r="AA135" s="947">
        <f ca="1">$E$14/1000</f>
        <v>249215.03599999999</v>
      </c>
      <c r="AB135" s="946"/>
      <c r="AC135" s="946" t="str">
        <f t="shared" ca="1" si="8"/>
        <v>Indirect cost</v>
      </c>
      <c r="AD135" s="948">
        <f ca="1">IF(AA135=0,"",AA135/AA140)</f>
        <v>0.27829786069160523</v>
      </c>
      <c r="AE135" s="948"/>
    </row>
    <row r="136" spans="4:31" s="863" customFormat="1" hidden="1" x14ac:dyDescent="0.45">
      <c r="D136" s="946" t="str">
        <f ca="1">IF($E$17&gt;0,"Surplus","")</f>
        <v/>
      </c>
      <c r="E136" s="947">
        <f ca="1">IF($E$17&gt;0,$E$17,0)/1000</f>
        <v>0</v>
      </c>
      <c r="F136" s="946"/>
      <c r="G136" s="946" t="str">
        <f t="shared" ca="1" si="6"/>
        <v/>
      </c>
      <c r="H136" s="949" t="str">
        <f ca="1">IF(E136=0,"",E136/E140)</f>
        <v/>
      </c>
      <c r="I136" s="948"/>
      <c r="P136" s="946" t="str">
        <f ca="1">IF($E$17&gt;0,"Surplus","")</f>
        <v/>
      </c>
      <c r="Q136" s="947">
        <f ca="1">IF($E$17&gt;0,$E$17,0)/1000</f>
        <v>0</v>
      </c>
      <c r="R136" s="946"/>
      <c r="S136" s="946" t="str">
        <f t="shared" ca="1" si="7"/>
        <v/>
      </c>
      <c r="T136" s="949" t="str">
        <f ca="1">IF(Q136=0,"",Q136/Q140)</f>
        <v/>
      </c>
      <c r="U136" s="948"/>
      <c r="Z136" s="946" t="str">
        <f ca="1">IF($E$17&gt;0,"Surplus","")</f>
        <v/>
      </c>
      <c r="AA136" s="947">
        <f ca="1">IF($E$17&gt;0,$E$17,0)/1000</f>
        <v>0</v>
      </c>
      <c r="AB136" s="946"/>
      <c r="AC136" s="946" t="str">
        <f t="shared" ca="1" si="8"/>
        <v/>
      </c>
      <c r="AD136" s="949" t="str">
        <f ca="1">IF(AA136=0,"",AA136/AA140)</f>
        <v/>
      </c>
      <c r="AE136" s="948"/>
    </row>
    <row r="137" spans="4:31" s="863" customFormat="1" hidden="1" x14ac:dyDescent="0.45">
      <c r="D137" s="946" t="str">
        <f ca="1">IF($E$26&gt;0,"Tariff revenue","")</f>
        <v>Tariff revenue</v>
      </c>
      <c r="E137" s="946"/>
      <c r="F137" s="947">
        <f ca="1">$E$26/1000</f>
        <v>408426.6225</v>
      </c>
      <c r="G137" s="946" t="str">
        <f t="shared" ca="1" si="6"/>
        <v>Tariff revenue</v>
      </c>
      <c r="H137" s="948"/>
      <c r="I137" s="948">
        <f ca="1">IF(F137=0,"",F137/F140)</f>
        <v>0.42272959804674193</v>
      </c>
      <c r="P137" s="946" t="str">
        <f ca="1">IF($E$26&gt;0,"Tariff revenue","")</f>
        <v>Tariff revenue</v>
      </c>
      <c r="Q137" s="946"/>
      <c r="R137" s="947">
        <f ca="1">$E$26/1000</f>
        <v>408426.6225</v>
      </c>
      <c r="S137" s="946" t="str">
        <f t="shared" ca="1" si="7"/>
        <v>Tariff revenue</v>
      </c>
      <c r="T137" s="948"/>
      <c r="U137" s="948">
        <f ca="1">IF(R137=0,"",R137/R140)</f>
        <v>0.42272959804674193</v>
      </c>
      <c r="Z137" s="946" t="str">
        <f ca="1">IF($E$26&gt;0,"Tariff revenue","")</f>
        <v>Tariff revenue</v>
      </c>
      <c r="AA137" s="946"/>
      <c r="AB137" s="947">
        <f ca="1">$E$26/1000</f>
        <v>408426.6225</v>
      </c>
      <c r="AC137" s="946" t="str">
        <f t="shared" ca="1" si="8"/>
        <v>Tariff revenue</v>
      </c>
      <c r="AD137" s="948"/>
      <c r="AE137" s="948">
        <f ca="1">IF(AB137=0,"",AB137/AB140)</f>
        <v>0.42272959804674193</v>
      </c>
    </row>
    <row r="138" spans="4:31" s="863" customFormat="1" hidden="1" x14ac:dyDescent="0.45">
      <c r="D138" s="946" t="str">
        <f ca="1">IF($E$24&gt;0,"Non-tariff revenue","")</f>
        <v>Non-tariff revenue</v>
      </c>
      <c r="E138" s="946"/>
      <c r="F138" s="947">
        <f ca="1">$E$24/1000</f>
        <v>460058.0662</v>
      </c>
      <c r="G138" s="946" t="str">
        <f t="shared" ca="1" si="6"/>
        <v>Non-tariff revenue</v>
      </c>
      <c r="H138" s="948"/>
      <c r="I138" s="948">
        <f ca="1">IF(F138=0,"",F138/F140)</f>
        <v>0.47616915913185209</v>
      </c>
      <c r="P138" s="946" t="str">
        <f ca="1">IF($E$24&gt;0,"Non-tariff revenue","")</f>
        <v>Non-tariff revenue</v>
      </c>
      <c r="Q138" s="946"/>
      <c r="R138" s="947">
        <f ca="1">$E$24/1000</f>
        <v>460058.0662</v>
      </c>
      <c r="S138" s="946" t="str">
        <f t="shared" ca="1" si="7"/>
        <v>Non-tariff revenue</v>
      </c>
      <c r="T138" s="948"/>
      <c r="U138" s="948">
        <f ca="1">IF(R138=0,"",R138/R140)</f>
        <v>0.47616915913185209</v>
      </c>
      <c r="Z138" s="946" t="str">
        <f ca="1">IF($E$24&gt;0,"Non-tariff revenue","")</f>
        <v>Non-tariff revenue</v>
      </c>
      <c r="AA138" s="946"/>
      <c r="AB138" s="947">
        <f ca="1">$E$24/1000</f>
        <v>460058.0662</v>
      </c>
      <c r="AC138" s="946" t="str">
        <f t="shared" ca="1" si="8"/>
        <v>Non-tariff revenue</v>
      </c>
      <c r="AD138" s="948"/>
      <c r="AE138" s="948">
        <f ca="1">IF(AB138=0,"",AB138/AB140)</f>
        <v>0.47616915913185209</v>
      </c>
    </row>
    <row r="139" spans="4:31" s="863" customFormat="1" hidden="1" x14ac:dyDescent="0.45">
      <c r="D139" s="946" t="str">
        <f ca="1">IF($E$17&lt;0,"Deficit","")</f>
        <v>Deficit</v>
      </c>
      <c r="E139" s="946"/>
      <c r="F139" s="947">
        <f ca="1">IF($E$17&lt;0,-$E$17,0)/1000</f>
        <v>97680.501499999998</v>
      </c>
      <c r="G139" s="946" t="str">
        <f t="shared" ca="1" si="6"/>
        <v>Deficit</v>
      </c>
      <c r="H139" s="948"/>
      <c r="I139" s="948">
        <f ca="1">IF(F139=0,"",F139/F140)</f>
        <v>0.10110124282140587</v>
      </c>
      <c r="P139" s="946" t="str">
        <f ca="1">IF($E$17&lt;0,"Deficit","")</f>
        <v>Deficit</v>
      </c>
      <c r="Q139" s="946"/>
      <c r="R139" s="947">
        <f ca="1">IF($E$17&lt;0,-$E$17,0)/1000</f>
        <v>97680.501499999998</v>
      </c>
      <c r="S139" s="946" t="str">
        <f t="shared" ca="1" si="7"/>
        <v>Deficit</v>
      </c>
      <c r="T139" s="948"/>
      <c r="U139" s="948">
        <f ca="1">IF(R139=0,"",R139/R140)</f>
        <v>0.10110124282140587</v>
      </c>
      <c r="Z139" s="946" t="str">
        <f ca="1">IF($E$17&lt;0,"Deficit","")</f>
        <v>Deficit</v>
      </c>
      <c r="AA139" s="946"/>
      <c r="AB139" s="947">
        <f ca="1">IF($E$17&lt;0,-$E$17,0)/1000</f>
        <v>97680.501499999998</v>
      </c>
      <c r="AC139" s="946" t="str">
        <f t="shared" ca="1" si="8"/>
        <v>Deficit</v>
      </c>
      <c r="AD139" s="948"/>
      <c r="AE139" s="948">
        <f ca="1">IF(AB139=0,"",AB139/AB140)</f>
        <v>0.10110124282140587</v>
      </c>
    </row>
    <row r="140" spans="4:31" s="863" customFormat="1" hidden="1" x14ac:dyDescent="0.45">
      <c r="D140" s="946" t="s">
        <v>15</v>
      </c>
      <c r="E140" s="947">
        <f ca="1">SUM(E134:E139)</f>
        <v>895497.49099999992</v>
      </c>
      <c r="F140" s="947">
        <f ca="1">SUM(F134:F139)</f>
        <v>966165.19020000007</v>
      </c>
      <c r="G140" s="947"/>
      <c r="H140" s="946"/>
      <c r="I140" s="946"/>
      <c r="P140" s="946" t="s">
        <v>15</v>
      </c>
      <c r="Q140" s="947">
        <f ca="1">SUM(Q134:Q139)</f>
        <v>895497.49099999992</v>
      </c>
      <c r="R140" s="947">
        <f ca="1">SUM(R134:R139)</f>
        <v>966165.19020000007</v>
      </c>
      <c r="S140" s="947"/>
      <c r="T140" s="946"/>
      <c r="U140" s="946"/>
      <c r="Z140" s="946" t="s">
        <v>15</v>
      </c>
      <c r="AA140" s="947">
        <f ca="1">SUM(AA134:AA139)</f>
        <v>895497.49099999992</v>
      </c>
      <c r="AB140" s="947">
        <f ca="1">SUM(AB134:AB139)</f>
        <v>966165.19020000007</v>
      </c>
      <c r="AC140" s="947"/>
      <c r="AD140" s="946"/>
      <c r="AE140" s="946"/>
    </row>
    <row r="141" spans="4:31" s="863" customFormat="1" hidden="1" x14ac:dyDescent="0.45"/>
    <row r="142" spans="4:31" s="863" customFormat="1" hidden="1" x14ac:dyDescent="0.45">
      <c r="D142" s="943" t="s">
        <v>201</v>
      </c>
      <c r="P142" s="943" t="s">
        <v>201</v>
      </c>
      <c r="Z142" s="943" t="s">
        <v>201</v>
      </c>
    </row>
    <row r="143" spans="4:31" s="863" customFormat="1" hidden="1" x14ac:dyDescent="0.45">
      <c r="D143" s="944"/>
      <c r="E143" s="945" t="s">
        <v>22</v>
      </c>
      <c r="F143" s="945" t="s">
        <v>162</v>
      </c>
      <c r="G143" s="945"/>
      <c r="H143" s="945" t="s">
        <v>22</v>
      </c>
      <c r="I143" s="945" t="s">
        <v>162</v>
      </c>
      <c r="P143" s="944"/>
      <c r="Q143" s="945" t="s">
        <v>22</v>
      </c>
      <c r="R143" s="945" t="s">
        <v>162</v>
      </c>
      <c r="S143" s="945"/>
      <c r="T143" s="945" t="s">
        <v>22</v>
      </c>
      <c r="U143" s="945" t="s">
        <v>162</v>
      </c>
      <c r="Z143" s="944"/>
      <c r="AA143" s="945" t="s">
        <v>22</v>
      </c>
      <c r="AB143" s="945" t="s">
        <v>162</v>
      </c>
      <c r="AC143" s="945"/>
      <c r="AD143" s="945" t="s">
        <v>22</v>
      </c>
      <c r="AE143" s="945" t="s">
        <v>162</v>
      </c>
    </row>
    <row r="144" spans="4:31" s="863" customFormat="1" hidden="1" x14ac:dyDescent="0.45">
      <c r="D144" s="946" t="str">
        <f ca="1">IF($J$13&gt;0,"Direct cost","")</f>
        <v>Direct cost</v>
      </c>
      <c r="E144" s="947">
        <f ca="1">$J$13/1000</f>
        <v>202884.73</v>
      </c>
      <c r="F144" s="946"/>
      <c r="G144" s="946" t="str">
        <f t="shared" ref="G144:G149" ca="1" si="9">D144</f>
        <v>Direct cost</v>
      </c>
      <c r="H144" s="948">
        <f ca="1">IF(E144=0,"",E144/E150)</f>
        <v>0.53767764131253648</v>
      </c>
      <c r="I144" s="948"/>
      <c r="P144" s="946" t="str">
        <f ca="1">IF($J$13&gt;0,"Direct cost","")</f>
        <v>Direct cost</v>
      </c>
      <c r="Q144" s="947">
        <f ca="1">$J$13/1000</f>
        <v>202884.73</v>
      </c>
      <c r="R144" s="946"/>
      <c r="S144" s="946" t="str">
        <f t="shared" ref="S144:S149" ca="1" si="10">P144</f>
        <v>Direct cost</v>
      </c>
      <c r="T144" s="948">
        <f ca="1">IF(Q144=0,"",Q144/Q150)</f>
        <v>0.53767764131253648</v>
      </c>
      <c r="U144" s="948"/>
      <c r="Z144" s="946" t="str">
        <f ca="1">IF($J$13&gt;0,"Direct cost","")</f>
        <v>Direct cost</v>
      </c>
      <c r="AA144" s="947">
        <f ca="1">$J$13/1000</f>
        <v>202884.73</v>
      </c>
      <c r="AB144" s="946"/>
      <c r="AC144" s="946" t="str">
        <f t="shared" ref="AC144:AC149" ca="1" si="11">Z144</f>
        <v>Direct cost</v>
      </c>
      <c r="AD144" s="948">
        <f ca="1">IF(AA144=0,"",AA144/AA150)</f>
        <v>0.53767764131253648</v>
      </c>
      <c r="AE144" s="948"/>
    </row>
    <row r="145" spans="4:31" s="863" customFormat="1" hidden="1" x14ac:dyDescent="0.45">
      <c r="D145" s="946" t="str">
        <f ca="1">IF($J$14&gt;0,"Indirect cost","")</f>
        <v>Indirect cost</v>
      </c>
      <c r="E145" s="947">
        <f ca="1">$J$14/1000</f>
        <v>174450.52519999997</v>
      </c>
      <c r="F145" s="946"/>
      <c r="G145" s="946" t="str">
        <f t="shared" ca="1" si="9"/>
        <v>Indirect cost</v>
      </c>
      <c r="H145" s="948">
        <f ca="1">IF(E145=0,"",E145/E150)</f>
        <v>0.46232235868746346</v>
      </c>
      <c r="I145" s="948"/>
      <c r="P145" s="946" t="str">
        <f ca="1">IF($J$14&gt;0,"Indirect cost","")</f>
        <v>Indirect cost</v>
      </c>
      <c r="Q145" s="947">
        <f ca="1">$J$14/1000</f>
        <v>174450.52519999997</v>
      </c>
      <c r="R145" s="946"/>
      <c r="S145" s="946" t="str">
        <f t="shared" ca="1" si="10"/>
        <v>Indirect cost</v>
      </c>
      <c r="T145" s="948">
        <f ca="1">IF(Q145=0,"",Q145/Q150)</f>
        <v>0.46232235868746346</v>
      </c>
      <c r="U145" s="948"/>
      <c r="Z145" s="946" t="str">
        <f ca="1">IF($J$14&gt;0,"Indirect cost","")</f>
        <v>Indirect cost</v>
      </c>
      <c r="AA145" s="947">
        <f ca="1">$J$14/1000</f>
        <v>174450.52519999997</v>
      </c>
      <c r="AB145" s="946"/>
      <c r="AC145" s="946" t="str">
        <f t="shared" ca="1" si="11"/>
        <v>Indirect cost</v>
      </c>
      <c r="AD145" s="948">
        <f ca="1">IF(AA145=0,"",AA145/AA150)</f>
        <v>0.46232235868746346</v>
      </c>
      <c r="AE145" s="948"/>
    </row>
    <row r="146" spans="4:31" s="863" customFormat="1" hidden="1" x14ac:dyDescent="0.45">
      <c r="D146" s="946" t="str">
        <f ca="1">IF($J$17&gt;0,"Surplus","")</f>
        <v/>
      </c>
      <c r="E146" s="947">
        <f ca="1">IF($J$17&gt;0,$J$17,0)/1000</f>
        <v>0</v>
      </c>
      <c r="F146" s="946"/>
      <c r="G146" s="946" t="str">
        <f t="shared" ca="1" si="9"/>
        <v/>
      </c>
      <c r="H146" s="949" t="str">
        <f ca="1">IF(E146=0,"",E146/E150)</f>
        <v/>
      </c>
      <c r="I146" s="948"/>
      <c r="P146" s="946" t="str">
        <f ca="1">IF($J$17&gt;0,"Surplus","")</f>
        <v/>
      </c>
      <c r="Q146" s="947">
        <f ca="1">IF($J$17&gt;0,$J$17,0)/1000</f>
        <v>0</v>
      </c>
      <c r="R146" s="946"/>
      <c r="S146" s="946" t="str">
        <f t="shared" ca="1" si="10"/>
        <v/>
      </c>
      <c r="T146" s="949" t="str">
        <f ca="1">IF(Q146=0,"",Q146/Q150)</f>
        <v/>
      </c>
      <c r="U146" s="948"/>
      <c r="Z146" s="946" t="str">
        <f ca="1">IF($J$17&gt;0,"Surplus","")</f>
        <v/>
      </c>
      <c r="AA146" s="947">
        <f ca="1">IF($J$17&gt;0,$J$17,0)/1000</f>
        <v>0</v>
      </c>
      <c r="AB146" s="946"/>
      <c r="AC146" s="946" t="str">
        <f t="shared" ca="1" si="11"/>
        <v/>
      </c>
      <c r="AD146" s="949" t="str">
        <f ca="1">IF(AA146=0,"",AA146/AA150)</f>
        <v/>
      </c>
      <c r="AE146" s="948"/>
    </row>
    <row r="147" spans="4:31" s="863" customFormat="1" hidden="1" x14ac:dyDescent="0.45">
      <c r="D147" s="946" t="str">
        <f>IF($J$26&gt;0,"Tariff revenue","")</f>
        <v/>
      </c>
      <c r="E147" s="946"/>
      <c r="F147" s="947">
        <f>$J$26/1000</f>
        <v>0</v>
      </c>
      <c r="G147" s="946" t="str">
        <f t="shared" si="9"/>
        <v/>
      </c>
      <c r="H147" s="948"/>
      <c r="I147" s="948" t="str">
        <f>IF(F147=0,"",F147/F150)</f>
        <v/>
      </c>
      <c r="P147" s="946" t="str">
        <f>IF($J$26&gt;0,"Tariff revenue","")</f>
        <v/>
      </c>
      <c r="Q147" s="946"/>
      <c r="R147" s="947">
        <f>$J$26/1000</f>
        <v>0</v>
      </c>
      <c r="S147" s="946" t="str">
        <f t="shared" si="10"/>
        <v/>
      </c>
      <c r="T147" s="948"/>
      <c r="U147" s="948" t="str">
        <f>IF(R147=0,"",R147/R150)</f>
        <v/>
      </c>
      <c r="Z147" s="946" t="str">
        <f>IF($J$26&gt;0,"Tariff revenue","")</f>
        <v/>
      </c>
      <c r="AA147" s="946"/>
      <c r="AB147" s="947">
        <f>$J$26/1000</f>
        <v>0</v>
      </c>
      <c r="AC147" s="946" t="str">
        <f t="shared" si="11"/>
        <v/>
      </c>
      <c r="AD147" s="948"/>
      <c r="AE147" s="948" t="str">
        <f>IF(AB147=0,"",AB147/AB150)</f>
        <v/>
      </c>
    </row>
    <row r="148" spans="4:31" s="863" customFormat="1" hidden="1" x14ac:dyDescent="0.45">
      <c r="D148" s="946" t="str">
        <f ca="1">IF($J$24&gt;0,"Non-tariff revenue","")</f>
        <v>Non-tariff revenue</v>
      </c>
      <c r="E148" s="946"/>
      <c r="F148" s="947">
        <f ca="1">$J$24/1000</f>
        <v>350322.45289999997</v>
      </c>
      <c r="G148" s="946" t="str">
        <f t="shared" ca="1" si="9"/>
        <v>Non-tariff revenue</v>
      </c>
      <c r="H148" s="948"/>
      <c r="I148" s="948">
        <f ca="1">IF(F148=0,"",F148/F150)</f>
        <v>0.78196460416020863</v>
      </c>
      <c r="P148" s="946" t="str">
        <f ca="1">IF($J$24&gt;0,"Non-tariff revenue","")</f>
        <v>Non-tariff revenue</v>
      </c>
      <c r="Q148" s="946"/>
      <c r="R148" s="947">
        <f ca="1">$J$24/1000</f>
        <v>350322.45289999997</v>
      </c>
      <c r="S148" s="946" t="str">
        <f t="shared" ca="1" si="10"/>
        <v>Non-tariff revenue</v>
      </c>
      <c r="T148" s="948"/>
      <c r="U148" s="948">
        <f ca="1">IF(R148=0,"",R148/R150)</f>
        <v>0.78196460416020863</v>
      </c>
      <c r="Z148" s="946" t="str">
        <f ca="1">IF($J$24&gt;0,"Non-tariff revenue","")</f>
        <v>Non-tariff revenue</v>
      </c>
      <c r="AA148" s="946"/>
      <c r="AB148" s="947">
        <f ca="1">$J$24/1000</f>
        <v>350322.45289999997</v>
      </c>
      <c r="AC148" s="946" t="str">
        <f t="shared" ca="1" si="11"/>
        <v>Non-tariff revenue</v>
      </c>
      <c r="AD148" s="948"/>
      <c r="AE148" s="948">
        <f ca="1">IF(AB148=0,"",AB148/AB150)</f>
        <v>0.78196460416020863</v>
      </c>
    </row>
    <row r="149" spans="4:31" s="863" customFormat="1" hidden="1" x14ac:dyDescent="0.45">
      <c r="D149" s="946" t="str">
        <f ca="1">IF($J$17&lt;0,"Deficit","")</f>
        <v>Deficit</v>
      </c>
      <c r="E149" s="946"/>
      <c r="F149" s="947">
        <f ca="1">IF($J$17&lt;0,-$J$17,0)/1000</f>
        <v>97680.501499999998</v>
      </c>
      <c r="G149" s="946" t="str">
        <f t="shared" ca="1" si="9"/>
        <v>Deficit</v>
      </c>
      <c r="H149" s="948"/>
      <c r="I149" s="948">
        <f ca="1">IF(F149=0,"",F149/F150)</f>
        <v>0.21803539583979137</v>
      </c>
      <c r="P149" s="946" t="str">
        <f ca="1">IF($J$17&lt;0,"Deficit","")</f>
        <v>Deficit</v>
      </c>
      <c r="Q149" s="946"/>
      <c r="R149" s="947">
        <f ca="1">IF($J$17&lt;0,-$J$17,0)/1000</f>
        <v>97680.501499999998</v>
      </c>
      <c r="S149" s="946" t="str">
        <f t="shared" ca="1" si="10"/>
        <v>Deficit</v>
      </c>
      <c r="T149" s="948"/>
      <c r="U149" s="948">
        <f ca="1">IF(R149=0,"",R149/R150)</f>
        <v>0.21803539583979137</v>
      </c>
      <c r="Z149" s="946" t="str">
        <f ca="1">IF($J$17&lt;0,"Deficit","")</f>
        <v>Deficit</v>
      </c>
      <c r="AA149" s="946"/>
      <c r="AB149" s="947">
        <f ca="1">IF($J$17&lt;0,-$J$17,0)/1000</f>
        <v>97680.501499999998</v>
      </c>
      <c r="AC149" s="946" t="str">
        <f t="shared" ca="1" si="11"/>
        <v>Deficit</v>
      </c>
      <c r="AD149" s="948"/>
      <c r="AE149" s="948">
        <f ca="1">IF(AB149=0,"",AB149/AB150)</f>
        <v>0.21803539583979137</v>
      </c>
    </row>
    <row r="150" spans="4:31" s="863" customFormat="1" hidden="1" x14ac:dyDescent="0.45">
      <c r="D150" s="946" t="s">
        <v>15</v>
      </c>
      <c r="E150" s="947">
        <f ca="1">SUM(E144:E149)</f>
        <v>377335.25520000001</v>
      </c>
      <c r="F150" s="947">
        <f ca="1">SUM(F144:F149)</f>
        <v>448002.95439999999</v>
      </c>
      <c r="G150" s="947"/>
      <c r="H150" s="946"/>
      <c r="I150" s="946"/>
      <c r="P150" s="946" t="s">
        <v>15</v>
      </c>
      <c r="Q150" s="947">
        <f ca="1">SUM(Q144:Q149)</f>
        <v>377335.25520000001</v>
      </c>
      <c r="R150" s="947">
        <f ca="1">SUM(R144:R149)</f>
        <v>448002.95439999999</v>
      </c>
      <c r="S150" s="947"/>
      <c r="T150" s="946"/>
      <c r="U150" s="946"/>
      <c r="Z150" s="946" t="s">
        <v>15</v>
      </c>
      <c r="AA150" s="947">
        <f ca="1">SUM(AA144:AA149)</f>
        <v>377335.25520000001</v>
      </c>
      <c r="AB150" s="947">
        <f ca="1">SUM(AB144:AB149)</f>
        <v>448002.95439999999</v>
      </c>
      <c r="AC150" s="947"/>
      <c r="AD150" s="946"/>
      <c r="AE150" s="946"/>
    </row>
    <row r="151" spans="4:31" s="863" customFormat="1" hidden="1" x14ac:dyDescent="0.45"/>
    <row r="152" spans="4:31" s="863" customFormat="1" hidden="1" x14ac:dyDescent="0.45">
      <c r="D152" s="943" t="s">
        <v>16</v>
      </c>
      <c r="P152" s="943" t="s">
        <v>16</v>
      </c>
      <c r="Z152" s="943" t="s">
        <v>16</v>
      </c>
    </row>
    <row r="153" spans="4:31" s="863" customFormat="1" hidden="1" x14ac:dyDescent="0.45">
      <c r="D153" s="944"/>
      <c r="E153" s="945" t="s">
        <v>22</v>
      </c>
      <c r="F153" s="945" t="s">
        <v>162</v>
      </c>
      <c r="G153" s="945"/>
      <c r="H153" s="945" t="s">
        <v>22</v>
      </c>
      <c r="I153" s="945" t="s">
        <v>162</v>
      </c>
      <c r="P153" s="944"/>
      <c r="Q153" s="945" t="s">
        <v>22</v>
      </c>
      <c r="R153" s="945" t="s">
        <v>162</v>
      </c>
      <c r="S153" s="945"/>
      <c r="T153" s="945" t="s">
        <v>22</v>
      </c>
      <c r="U153" s="945" t="s">
        <v>162</v>
      </c>
      <c r="Z153" s="944"/>
      <c r="AA153" s="945" t="s">
        <v>22</v>
      </c>
      <c r="AB153" s="945" t="s">
        <v>162</v>
      </c>
      <c r="AC153" s="945"/>
      <c r="AD153" s="945" t="s">
        <v>22</v>
      </c>
      <c r="AE153" s="945" t="s">
        <v>162</v>
      </c>
    </row>
    <row r="154" spans="4:31" s="863" customFormat="1" hidden="1" x14ac:dyDescent="0.45">
      <c r="D154" s="946" t="str">
        <f ca="1">IF($F$13&gt;0,"Direct cost","")</f>
        <v>Direct cost</v>
      </c>
      <c r="E154" s="947">
        <f ca="1">$F$13/1000</f>
        <v>97282.698999999993</v>
      </c>
      <c r="F154" s="946"/>
      <c r="G154" s="946" t="str">
        <f t="shared" ref="G154:G159" ca="1" si="12">D154</f>
        <v>Direct cost</v>
      </c>
      <c r="H154" s="948">
        <f ca="1">IF(E154=0,"",E154/E160)</f>
        <v>0.72240546498116964</v>
      </c>
      <c r="I154" s="948"/>
      <c r="P154" s="946" t="str">
        <f ca="1">IF($F$13&gt;0,"Direct cost","")</f>
        <v>Direct cost</v>
      </c>
      <c r="Q154" s="947">
        <f ca="1">$F$13/1000</f>
        <v>97282.698999999993</v>
      </c>
      <c r="R154" s="946"/>
      <c r="S154" s="946" t="str">
        <f t="shared" ref="S154:S159" ca="1" si="13">P154</f>
        <v>Direct cost</v>
      </c>
      <c r="T154" s="948">
        <f ca="1">IF(Q154=0,"",Q154/Q160)</f>
        <v>0.72240546498116964</v>
      </c>
      <c r="U154" s="948"/>
      <c r="Z154" s="946" t="str">
        <f ca="1">IF($F$13&gt;0,"Direct cost","")</f>
        <v>Direct cost</v>
      </c>
      <c r="AA154" s="947">
        <f ca="1">$F$13/1000</f>
        <v>97282.698999999993</v>
      </c>
      <c r="AB154" s="946"/>
      <c r="AC154" s="946" t="str">
        <f t="shared" ref="AC154:AC159" ca="1" si="14">Z154</f>
        <v>Direct cost</v>
      </c>
      <c r="AD154" s="948">
        <f ca="1">IF(AA154=0,"",AA154/AA160)</f>
        <v>0.72240546498116964</v>
      </c>
      <c r="AE154" s="948"/>
    </row>
    <row r="155" spans="4:31" s="863" customFormat="1" hidden="1" x14ac:dyDescent="0.45">
      <c r="D155" s="946" t="str">
        <f ca="1">IF($F$14&gt;0,"Indirect cost","")</f>
        <v>Indirect cost</v>
      </c>
      <c r="E155" s="947">
        <f ca="1">$F$14/1000</f>
        <v>37382.255400000002</v>
      </c>
      <c r="F155" s="946"/>
      <c r="G155" s="946" t="str">
        <f t="shared" ca="1" si="12"/>
        <v>Indirect cost</v>
      </c>
      <c r="H155" s="948">
        <f ca="1">IF(E155=0,"",E155/E160)</f>
        <v>0.27759453501883047</v>
      </c>
      <c r="I155" s="948"/>
      <c r="P155" s="946" t="str">
        <f ca="1">IF($F$14&gt;0,"Indirect cost","")</f>
        <v>Indirect cost</v>
      </c>
      <c r="Q155" s="947">
        <f ca="1">$F$14/1000</f>
        <v>37382.255400000002</v>
      </c>
      <c r="R155" s="946"/>
      <c r="S155" s="946" t="str">
        <f t="shared" ca="1" si="13"/>
        <v>Indirect cost</v>
      </c>
      <c r="T155" s="948">
        <f ca="1">IF(Q155=0,"",Q155/Q160)</f>
        <v>0.27759453501883047</v>
      </c>
      <c r="U155" s="948"/>
      <c r="Z155" s="946" t="str">
        <f ca="1">IF($F$14&gt;0,"Indirect cost","")</f>
        <v>Indirect cost</v>
      </c>
      <c r="AA155" s="947">
        <f ca="1">$F$14/1000</f>
        <v>37382.255400000002</v>
      </c>
      <c r="AB155" s="946"/>
      <c r="AC155" s="946" t="str">
        <f t="shared" ca="1" si="14"/>
        <v>Indirect cost</v>
      </c>
      <c r="AD155" s="948">
        <f ca="1">IF(AA155=0,"",AA155/AA160)</f>
        <v>0.27759453501883047</v>
      </c>
      <c r="AE155" s="948"/>
    </row>
    <row r="156" spans="4:31" s="863" customFormat="1" hidden="1" x14ac:dyDescent="0.45">
      <c r="D156" s="946" t="str">
        <f ca="1">IF($F$17&gt;0,"Surplus","")</f>
        <v/>
      </c>
      <c r="E156" s="947">
        <f ca="1">IF($F$17&gt;0,$F$17,0)/1000</f>
        <v>0</v>
      </c>
      <c r="F156" s="946"/>
      <c r="G156" s="946" t="str">
        <f t="shared" ca="1" si="12"/>
        <v/>
      </c>
      <c r="H156" s="949" t="str">
        <f ca="1">IF(E156=0,"",E156/E160)</f>
        <v/>
      </c>
      <c r="I156" s="948"/>
      <c r="P156" s="946" t="str">
        <f ca="1">IF($F$17&gt;0,"Surplus","")</f>
        <v/>
      </c>
      <c r="Q156" s="947">
        <f ca="1">IF($F$17&gt;0,$F$17,0)/1000</f>
        <v>0</v>
      </c>
      <c r="R156" s="946"/>
      <c r="S156" s="946" t="str">
        <f t="shared" ca="1" si="13"/>
        <v/>
      </c>
      <c r="T156" s="949" t="str">
        <f ca="1">IF(Q156=0,"",Q156/Q160)</f>
        <v/>
      </c>
      <c r="U156" s="948"/>
      <c r="Z156" s="946" t="str">
        <f ca="1">IF($F$17&gt;0,"Surplus","")</f>
        <v/>
      </c>
      <c r="AA156" s="947">
        <f ca="1">IF($F$17&gt;0,$F$17,0)/1000</f>
        <v>0</v>
      </c>
      <c r="AB156" s="946"/>
      <c r="AC156" s="946" t="str">
        <f t="shared" ca="1" si="14"/>
        <v/>
      </c>
      <c r="AD156" s="949" t="str">
        <f ca="1">IF(AA156=0,"",AA156/AA160)</f>
        <v/>
      </c>
      <c r="AE156" s="948"/>
    </row>
    <row r="157" spans="4:31" s="863" customFormat="1" hidden="1" x14ac:dyDescent="0.45">
      <c r="D157" s="946" t="str">
        <f ca="1">IF($F$26&gt;0,"Tariff revenue","")</f>
        <v>Tariff revenue</v>
      </c>
      <c r="E157" s="946"/>
      <c r="F157" s="947">
        <f ca="1">$F$26/1000</f>
        <v>108238.12075</v>
      </c>
      <c r="G157" s="946" t="str">
        <f t="shared" ca="1" si="12"/>
        <v>Tariff revenue</v>
      </c>
      <c r="H157" s="948"/>
      <c r="I157" s="948">
        <f ca="1">IF(F157=0,"",F157/F160)</f>
        <v>0.8037586410826425</v>
      </c>
      <c r="P157" s="946" t="str">
        <f ca="1">IF($F$26&gt;0,"Tariff revenue","")</f>
        <v>Tariff revenue</v>
      </c>
      <c r="Q157" s="946"/>
      <c r="R157" s="947">
        <f ca="1">$F$26/1000</f>
        <v>108238.12075</v>
      </c>
      <c r="S157" s="946" t="str">
        <f t="shared" ca="1" si="13"/>
        <v>Tariff revenue</v>
      </c>
      <c r="T157" s="948"/>
      <c r="U157" s="948">
        <f ca="1">IF(R157=0,"",R157/R160)</f>
        <v>0.8037586410826425</v>
      </c>
      <c r="Z157" s="946" t="str">
        <f ca="1">IF($F$26&gt;0,"Tariff revenue","")</f>
        <v>Tariff revenue</v>
      </c>
      <c r="AA157" s="946"/>
      <c r="AB157" s="947">
        <f ca="1">$F$26/1000</f>
        <v>108238.12075</v>
      </c>
      <c r="AC157" s="946" t="str">
        <f t="shared" ca="1" si="14"/>
        <v>Tariff revenue</v>
      </c>
      <c r="AD157" s="948"/>
      <c r="AE157" s="948">
        <f ca="1">IF(AB157=0,"",AB157/AB160)</f>
        <v>0.8037586410826425</v>
      </c>
    </row>
    <row r="158" spans="4:31" s="863" customFormat="1" hidden="1" x14ac:dyDescent="0.45">
      <c r="D158" s="946" t="str">
        <f ca="1">IF($F$24&gt;0,"Non-tariff revenue","")</f>
        <v>Non-tariff revenue</v>
      </c>
      <c r="E158" s="946"/>
      <c r="F158" s="947">
        <f ca="1">$F$24/1000</f>
        <v>26426.833649999997</v>
      </c>
      <c r="G158" s="946" t="str">
        <f t="shared" ca="1" si="12"/>
        <v>Non-tariff revenue</v>
      </c>
      <c r="H158" s="948"/>
      <c r="I158" s="948">
        <f ca="1">IF(F158=0,"",F158/F160)</f>
        <v>0.19624135891735764</v>
      </c>
      <c r="P158" s="946" t="str">
        <f ca="1">IF($F$24&gt;0,"Non-tariff revenue","")</f>
        <v>Non-tariff revenue</v>
      </c>
      <c r="Q158" s="946"/>
      <c r="R158" s="947">
        <f ca="1">$F$24/1000</f>
        <v>26426.833649999997</v>
      </c>
      <c r="S158" s="946" t="str">
        <f t="shared" ca="1" si="13"/>
        <v>Non-tariff revenue</v>
      </c>
      <c r="T158" s="948"/>
      <c r="U158" s="948">
        <f ca="1">IF(R158=0,"",R158/R160)</f>
        <v>0.19624135891735764</v>
      </c>
      <c r="Z158" s="946" t="str">
        <f ca="1">IF($F$24&gt;0,"Non-tariff revenue","")</f>
        <v>Non-tariff revenue</v>
      </c>
      <c r="AA158" s="946"/>
      <c r="AB158" s="947">
        <f ca="1">$F$24/1000</f>
        <v>26426.833649999997</v>
      </c>
      <c r="AC158" s="946" t="str">
        <f t="shared" ca="1" si="14"/>
        <v>Non-tariff revenue</v>
      </c>
      <c r="AD158" s="948"/>
      <c r="AE158" s="948">
        <f ca="1">IF(AB158=0,"",AB158/AB160)</f>
        <v>0.19624135891735764</v>
      </c>
    </row>
    <row r="159" spans="4:31" s="863" customFormat="1" hidden="1" x14ac:dyDescent="0.45">
      <c r="D159" s="946" t="str">
        <f ca="1">IF($F$17&lt;0,"Deficit","")</f>
        <v/>
      </c>
      <c r="E159" s="946"/>
      <c r="F159" s="947">
        <f ca="1">IF($F$17&lt;0,-$F$17,0)/1000</f>
        <v>0</v>
      </c>
      <c r="G159" s="946" t="str">
        <f t="shared" ca="1" si="12"/>
        <v/>
      </c>
      <c r="H159" s="948"/>
      <c r="I159" s="948" t="str">
        <f ca="1">IF(F159=0,"",F159/F160)</f>
        <v/>
      </c>
      <c r="P159" s="946" t="str">
        <f ca="1">IF($F$17&lt;0,"Deficit","")</f>
        <v/>
      </c>
      <c r="Q159" s="946"/>
      <c r="R159" s="947">
        <f ca="1">IF($F$17&lt;0,-$F$17,0)/1000</f>
        <v>0</v>
      </c>
      <c r="S159" s="946" t="str">
        <f t="shared" ca="1" si="13"/>
        <v/>
      </c>
      <c r="T159" s="948"/>
      <c r="U159" s="948" t="str">
        <f ca="1">IF(R159=0,"",R159/R160)</f>
        <v/>
      </c>
      <c r="Z159" s="946" t="str">
        <f ca="1">IF($F$17&lt;0,"Deficit","")</f>
        <v/>
      </c>
      <c r="AA159" s="946"/>
      <c r="AB159" s="947">
        <f ca="1">IF($F$17&lt;0,-$F$17,0)/1000</f>
        <v>0</v>
      </c>
      <c r="AC159" s="946" t="str">
        <f t="shared" ca="1" si="14"/>
        <v/>
      </c>
      <c r="AD159" s="948"/>
      <c r="AE159" s="948" t="str">
        <f ca="1">IF(AB159=0,"",AB159/AB160)</f>
        <v/>
      </c>
    </row>
    <row r="160" spans="4:31" s="863" customFormat="1" hidden="1" x14ac:dyDescent="0.45">
      <c r="D160" s="946" t="s">
        <v>15</v>
      </c>
      <c r="E160" s="947">
        <f ca="1">SUM(E154:E159)</f>
        <v>134664.95439999999</v>
      </c>
      <c r="F160" s="947">
        <f ca="1">SUM(F154:F159)</f>
        <v>134664.95439999999</v>
      </c>
      <c r="G160" s="947"/>
      <c r="H160" s="946"/>
      <c r="I160" s="946"/>
      <c r="P160" s="946" t="s">
        <v>15</v>
      </c>
      <c r="Q160" s="947">
        <f ca="1">SUM(Q154:Q159)</f>
        <v>134664.95439999999</v>
      </c>
      <c r="R160" s="947">
        <f ca="1">SUM(R154:R159)</f>
        <v>134664.95439999999</v>
      </c>
      <c r="S160" s="947"/>
      <c r="T160" s="946"/>
      <c r="U160" s="946"/>
      <c r="Z160" s="946" t="s">
        <v>15</v>
      </c>
      <c r="AA160" s="947">
        <f ca="1">SUM(AA154:AA159)</f>
        <v>134664.95439999999</v>
      </c>
      <c r="AB160" s="947">
        <f ca="1">SUM(AB154:AB159)</f>
        <v>134664.95439999999</v>
      </c>
      <c r="AC160" s="947"/>
      <c r="AD160" s="946"/>
      <c r="AE160" s="946"/>
    </row>
    <row r="161" spans="4:31" s="863" customFormat="1" hidden="1" x14ac:dyDescent="0.45"/>
    <row r="162" spans="4:31" s="863" customFormat="1" hidden="1" x14ac:dyDescent="0.45">
      <c r="D162" s="943" t="s">
        <v>18</v>
      </c>
      <c r="P162" s="943" t="s">
        <v>18</v>
      </c>
      <c r="Z162" s="943" t="s">
        <v>18</v>
      </c>
    </row>
    <row r="163" spans="4:31" s="863" customFormat="1" hidden="1" x14ac:dyDescent="0.45">
      <c r="D163" s="944"/>
      <c r="E163" s="945" t="s">
        <v>22</v>
      </c>
      <c r="F163" s="945" t="s">
        <v>162</v>
      </c>
      <c r="G163" s="945"/>
      <c r="H163" s="945" t="s">
        <v>22</v>
      </c>
      <c r="I163" s="945" t="s">
        <v>162</v>
      </c>
      <c r="P163" s="944"/>
      <c r="Q163" s="945" t="s">
        <v>22</v>
      </c>
      <c r="R163" s="945" t="s">
        <v>162</v>
      </c>
      <c r="S163" s="945"/>
      <c r="T163" s="945" t="s">
        <v>22</v>
      </c>
      <c r="U163" s="945" t="s">
        <v>162</v>
      </c>
      <c r="Z163" s="944"/>
      <c r="AA163" s="945" t="s">
        <v>22</v>
      </c>
      <c r="AB163" s="945" t="s">
        <v>162</v>
      </c>
      <c r="AC163" s="945"/>
      <c r="AD163" s="945" t="s">
        <v>22</v>
      </c>
      <c r="AE163" s="945" t="s">
        <v>162</v>
      </c>
    </row>
    <row r="164" spans="4:31" s="863" customFormat="1" hidden="1" x14ac:dyDescent="0.45">
      <c r="D164" s="946" t="str">
        <f ca="1">IF($G$13&gt;0,"Direct cost","")</f>
        <v>Direct cost</v>
      </c>
      <c r="E164" s="947">
        <f ca="1">$G$13/1000</f>
        <v>64870.504000000001</v>
      </c>
      <c r="F164" s="946"/>
      <c r="G164" s="946" t="str">
        <f t="shared" ref="G164:G169" ca="1" si="15">D164</f>
        <v>Direct cost</v>
      </c>
      <c r="H164" s="948">
        <f ca="1">IF(E164=0,"",E164/E170)</f>
        <v>0.83886525996387606</v>
      </c>
      <c r="I164" s="948"/>
      <c r="P164" s="946" t="str">
        <f ca="1">IF($G$13&gt;0,"Direct cost","")</f>
        <v>Direct cost</v>
      </c>
      <c r="Q164" s="947">
        <f ca="1">$G$13/1000</f>
        <v>64870.504000000001</v>
      </c>
      <c r="R164" s="946"/>
      <c r="S164" s="946" t="str">
        <f t="shared" ref="S164:S169" ca="1" si="16">P164</f>
        <v>Direct cost</v>
      </c>
      <c r="T164" s="948">
        <f ca="1">IF(Q164=0,"",Q164/Q170)</f>
        <v>0.83886525996387606</v>
      </c>
      <c r="U164" s="948"/>
      <c r="Z164" s="946" t="str">
        <f ca="1">IF($G$13&gt;0,"Direct cost","")</f>
        <v>Direct cost</v>
      </c>
      <c r="AA164" s="947">
        <f ca="1">$G$13/1000</f>
        <v>64870.504000000001</v>
      </c>
      <c r="AB164" s="946"/>
      <c r="AC164" s="946" t="str">
        <f t="shared" ref="AC164:AC169" ca="1" si="17">Z164</f>
        <v>Direct cost</v>
      </c>
      <c r="AD164" s="948">
        <f ca="1">IF(AA164=0,"",AA164/AA170)</f>
        <v>0.83886525996387606</v>
      </c>
      <c r="AE164" s="948"/>
    </row>
    <row r="165" spans="4:31" s="863" customFormat="1" hidden="1" x14ac:dyDescent="0.45">
      <c r="D165" s="946" t="str">
        <f ca="1">IF($G$14&gt;0,"Indirect cost","")</f>
        <v>Indirect cost</v>
      </c>
      <c r="E165" s="947">
        <f ca="1">$G$14/1000</f>
        <v>12460.7518</v>
      </c>
      <c r="F165" s="946"/>
      <c r="G165" s="946" t="str">
        <f t="shared" ca="1" si="15"/>
        <v>Indirect cost</v>
      </c>
      <c r="H165" s="948">
        <f ca="1">IF(E165=0,"",E165/E170)</f>
        <v>0.16113474003612391</v>
      </c>
      <c r="I165" s="948"/>
      <c r="P165" s="946" t="str">
        <f ca="1">IF($G$14&gt;0,"Indirect cost","")</f>
        <v>Indirect cost</v>
      </c>
      <c r="Q165" s="947">
        <f ca="1">$G$14/1000</f>
        <v>12460.7518</v>
      </c>
      <c r="R165" s="946"/>
      <c r="S165" s="946" t="str">
        <f t="shared" ca="1" si="16"/>
        <v>Indirect cost</v>
      </c>
      <c r="T165" s="948">
        <f ca="1">IF(Q165=0,"",Q165/Q170)</f>
        <v>0.16113474003612391</v>
      </c>
      <c r="U165" s="948"/>
      <c r="Z165" s="946" t="str">
        <f ca="1">IF($G$14&gt;0,"Indirect cost","")</f>
        <v>Indirect cost</v>
      </c>
      <c r="AA165" s="947">
        <f ca="1">$G$14/1000</f>
        <v>12460.7518</v>
      </c>
      <c r="AB165" s="946"/>
      <c r="AC165" s="946" t="str">
        <f t="shared" ca="1" si="17"/>
        <v>Indirect cost</v>
      </c>
      <c r="AD165" s="948">
        <f ca="1">IF(AA165=0,"",AA165/AA170)</f>
        <v>0.16113474003612391</v>
      </c>
      <c r="AE165" s="948"/>
    </row>
    <row r="166" spans="4:31" s="863" customFormat="1" hidden="1" x14ac:dyDescent="0.45">
      <c r="D166" s="946" t="str">
        <f ca="1">IF($G$17&gt;0,"Surplus","")</f>
        <v/>
      </c>
      <c r="E166" s="947">
        <f ca="1">IF($G$17&gt;0,$G$17,0)/1000</f>
        <v>0</v>
      </c>
      <c r="F166" s="946"/>
      <c r="G166" s="946" t="str">
        <f t="shared" ca="1" si="15"/>
        <v/>
      </c>
      <c r="H166" s="949" t="str">
        <f ca="1">IF(E166=0,"",E166/E170)</f>
        <v/>
      </c>
      <c r="I166" s="948"/>
      <c r="P166" s="946" t="str">
        <f ca="1">IF($G$17&gt;0,"Surplus","")</f>
        <v/>
      </c>
      <c r="Q166" s="947">
        <f ca="1">IF($G$17&gt;0,$G$17,0)/1000</f>
        <v>0</v>
      </c>
      <c r="R166" s="946"/>
      <c r="S166" s="946" t="str">
        <f t="shared" ca="1" si="16"/>
        <v/>
      </c>
      <c r="T166" s="949" t="str">
        <f ca="1">IF(Q166=0,"",Q166/Q170)</f>
        <v/>
      </c>
      <c r="U166" s="948"/>
      <c r="Z166" s="946" t="str">
        <f ca="1">IF($G$17&gt;0,"Surplus","")</f>
        <v/>
      </c>
      <c r="AA166" s="947">
        <f ca="1">IF($G$17&gt;0,$G$17,0)/1000</f>
        <v>0</v>
      </c>
      <c r="AB166" s="946"/>
      <c r="AC166" s="946" t="str">
        <f t="shared" ca="1" si="17"/>
        <v/>
      </c>
      <c r="AD166" s="949" t="str">
        <f ca="1">IF(AA166=0,"",AA166/AA170)</f>
        <v/>
      </c>
      <c r="AE166" s="948"/>
    </row>
    <row r="167" spans="4:31" s="863" customFormat="1" hidden="1" x14ac:dyDescent="0.45">
      <c r="D167" s="946" t="str">
        <f ca="1">IF($G$26&gt;0,"Tariff revenue","")</f>
        <v>Tariff revenue</v>
      </c>
      <c r="E167" s="946"/>
      <c r="F167" s="947">
        <f ca="1">$G$26/1000</f>
        <v>50470.341249999998</v>
      </c>
      <c r="G167" s="946" t="str">
        <f t="shared" ca="1" si="15"/>
        <v>Tariff revenue</v>
      </c>
      <c r="H167" s="948"/>
      <c r="I167" s="948">
        <f ca="1">IF(F167=0,"",F167/F170)</f>
        <v>0.6526512563112935</v>
      </c>
      <c r="P167" s="946" t="str">
        <f ca="1">IF($G$26&gt;0,"Tariff revenue","")</f>
        <v>Tariff revenue</v>
      </c>
      <c r="Q167" s="946"/>
      <c r="R167" s="947">
        <f ca="1">$G$26/1000</f>
        <v>50470.341249999998</v>
      </c>
      <c r="S167" s="946" t="str">
        <f t="shared" ca="1" si="16"/>
        <v>Tariff revenue</v>
      </c>
      <c r="T167" s="948"/>
      <c r="U167" s="948">
        <f ca="1">IF(R167=0,"",R167/R170)</f>
        <v>0.6526512563112935</v>
      </c>
      <c r="Z167" s="946" t="str">
        <f ca="1">IF($G$26&gt;0,"Tariff revenue","")</f>
        <v>Tariff revenue</v>
      </c>
      <c r="AA167" s="946"/>
      <c r="AB167" s="947">
        <f ca="1">$G$26/1000</f>
        <v>50470.341249999998</v>
      </c>
      <c r="AC167" s="946" t="str">
        <f t="shared" ca="1" si="17"/>
        <v>Tariff revenue</v>
      </c>
      <c r="AD167" s="948"/>
      <c r="AE167" s="948">
        <f ca="1">IF(AB167=0,"",AB167/AB170)</f>
        <v>0.6526512563112935</v>
      </c>
    </row>
    <row r="168" spans="4:31" s="863" customFormat="1" hidden="1" x14ac:dyDescent="0.45">
      <c r="D168" s="946" t="str">
        <f ca="1">IF($G$24&gt;0,"Non-tariff revenue","")</f>
        <v>Non-tariff revenue</v>
      </c>
      <c r="E168" s="946"/>
      <c r="F168" s="947">
        <f ca="1">$G$24/1000</f>
        <v>26860.914550000001</v>
      </c>
      <c r="G168" s="946" t="str">
        <f t="shared" ca="1" si="15"/>
        <v>Non-tariff revenue</v>
      </c>
      <c r="H168" s="948"/>
      <c r="I168" s="948">
        <f ca="1">IF(F168=0,"",F168/F170)</f>
        <v>0.34734874368870655</v>
      </c>
      <c r="P168" s="946" t="str">
        <f ca="1">IF($G$24&gt;0,"Non-tariff revenue","")</f>
        <v>Non-tariff revenue</v>
      </c>
      <c r="Q168" s="946"/>
      <c r="R168" s="947">
        <f ca="1">$G$24/1000</f>
        <v>26860.914550000001</v>
      </c>
      <c r="S168" s="946" t="str">
        <f t="shared" ca="1" si="16"/>
        <v>Non-tariff revenue</v>
      </c>
      <c r="T168" s="948"/>
      <c r="U168" s="948">
        <f ca="1">IF(R168=0,"",R168/R170)</f>
        <v>0.34734874368870655</v>
      </c>
      <c r="Z168" s="946" t="str">
        <f ca="1">IF($G$24&gt;0,"Non-tariff revenue","")</f>
        <v>Non-tariff revenue</v>
      </c>
      <c r="AA168" s="946"/>
      <c r="AB168" s="947">
        <f ca="1">$G$24/1000</f>
        <v>26860.914550000001</v>
      </c>
      <c r="AC168" s="946" t="str">
        <f t="shared" ca="1" si="17"/>
        <v>Non-tariff revenue</v>
      </c>
      <c r="AD168" s="948"/>
      <c r="AE168" s="948">
        <f ca="1">IF(AB168=0,"",AB168/AB170)</f>
        <v>0.34734874368870655</v>
      </c>
    </row>
    <row r="169" spans="4:31" s="863" customFormat="1" hidden="1" x14ac:dyDescent="0.45">
      <c r="D169" s="946" t="str">
        <f ca="1">IF($G$17&lt;0,"Deficit","")</f>
        <v/>
      </c>
      <c r="E169" s="946"/>
      <c r="F169" s="947">
        <f ca="1">IF($G$17&lt;0,-$G$17,0)/1000</f>
        <v>0</v>
      </c>
      <c r="G169" s="946" t="str">
        <f t="shared" ca="1" si="15"/>
        <v/>
      </c>
      <c r="H169" s="948"/>
      <c r="I169" s="948" t="str">
        <f ca="1">IF(F169=0,"",F169/F170)</f>
        <v/>
      </c>
      <c r="P169" s="946" t="str">
        <f ca="1">IF($G$17&lt;0,"Deficit","")</f>
        <v/>
      </c>
      <c r="Q169" s="946"/>
      <c r="R169" s="947">
        <f ca="1">IF($G$17&lt;0,-$G$17,0)/1000</f>
        <v>0</v>
      </c>
      <c r="S169" s="946" t="str">
        <f t="shared" ca="1" si="16"/>
        <v/>
      </c>
      <c r="T169" s="948"/>
      <c r="U169" s="948" t="str">
        <f ca="1">IF(R169=0,"",R169/R170)</f>
        <v/>
      </c>
      <c r="Z169" s="946" t="str">
        <f ca="1">IF($G$17&lt;0,"Deficit","")</f>
        <v/>
      </c>
      <c r="AA169" s="946"/>
      <c r="AB169" s="947">
        <f ca="1">IF($G$17&lt;0,-$G$17,0)/1000</f>
        <v>0</v>
      </c>
      <c r="AC169" s="946" t="str">
        <f t="shared" ca="1" si="17"/>
        <v/>
      </c>
      <c r="AD169" s="948"/>
      <c r="AE169" s="948" t="str">
        <f ca="1">IF(AB169=0,"",AB169/AB170)</f>
        <v/>
      </c>
    </row>
    <row r="170" spans="4:31" s="863" customFormat="1" hidden="1" x14ac:dyDescent="0.45">
      <c r="D170" s="946" t="s">
        <v>15</v>
      </c>
      <c r="E170" s="947">
        <f ca="1">SUM(E164:E169)</f>
        <v>77331.255799999999</v>
      </c>
      <c r="F170" s="947">
        <f ca="1">SUM(F164:F169)</f>
        <v>77331.255799999999</v>
      </c>
      <c r="G170" s="947"/>
      <c r="H170" s="946"/>
      <c r="I170" s="946"/>
      <c r="P170" s="946" t="s">
        <v>15</v>
      </c>
      <c r="Q170" s="947">
        <f ca="1">SUM(Q164:Q169)</f>
        <v>77331.255799999999</v>
      </c>
      <c r="R170" s="947">
        <f ca="1">SUM(R164:R169)</f>
        <v>77331.255799999999</v>
      </c>
      <c r="S170" s="947"/>
      <c r="T170" s="946"/>
      <c r="U170" s="946"/>
      <c r="Z170" s="946" t="s">
        <v>15</v>
      </c>
      <c r="AA170" s="947">
        <f ca="1">SUM(AA164:AA169)</f>
        <v>77331.255799999999</v>
      </c>
      <c r="AB170" s="947">
        <f ca="1">SUM(AB164:AB169)</f>
        <v>77331.255799999999</v>
      </c>
      <c r="AC170" s="947"/>
      <c r="AD170" s="946"/>
      <c r="AE170" s="946"/>
    </row>
    <row r="171" spans="4:31" s="863" customFormat="1" hidden="1" x14ac:dyDescent="0.45"/>
    <row r="172" spans="4:31" s="863" customFormat="1" hidden="1" x14ac:dyDescent="0.45">
      <c r="D172" s="943" t="s">
        <v>17</v>
      </c>
      <c r="P172" s="943" t="s">
        <v>17</v>
      </c>
      <c r="Z172" s="943" t="s">
        <v>17</v>
      </c>
    </row>
    <row r="173" spans="4:31" s="863" customFormat="1" hidden="1" x14ac:dyDescent="0.45">
      <c r="D173" s="944"/>
      <c r="E173" s="945" t="s">
        <v>22</v>
      </c>
      <c r="F173" s="945" t="s">
        <v>162</v>
      </c>
      <c r="G173" s="945"/>
      <c r="H173" s="945" t="s">
        <v>22</v>
      </c>
      <c r="I173" s="945" t="s">
        <v>162</v>
      </c>
      <c r="P173" s="944"/>
      <c r="Q173" s="945" t="s">
        <v>22</v>
      </c>
      <c r="R173" s="945" t="s">
        <v>162</v>
      </c>
      <c r="S173" s="945"/>
      <c r="T173" s="945" t="s">
        <v>22</v>
      </c>
      <c r="U173" s="945" t="s">
        <v>162</v>
      </c>
      <c r="Z173" s="944"/>
      <c r="AA173" s="945" t="s">
        <v>22</v>
      </c>
      <c r="AB173" s="945" t="s">
        <v>162</v>
      </c>
      <c r="AC173" s="945"/>
      <c r="AD173" s="945" t="s">
        <v>22</v>
      </c>
      <c r="AE173" s="945" t="s">
        <v>162</v>
      </c>
    </row>
    <row r="174" spans="4:31" s="863" customFormat="1" hidden="1" x14ac:dyDescent="0.45">
      <c r="D174" s="946" t="str">
        <f ca="1">IF($H$13&gt;0,"Direct cost","")</f>
        <v>Direct cost</v>
      </c>
      <c r="E174" s="947">
        <f ca="1">$H$13/1000</f>
        <v>198754.842</v>
      </c>
      <c r="F174" s="946"/>
      <c r="G174" s="946" t="str">
        <f t="shared" ref="G174:G179" ca="1" si="18">D174</f>
        <v>Direct cost</v>
      </c>
      <c r="H174" s="948">
        <f ca="1">IF(E174=0,"",E174/E180)</f>
        <v>0.94100458410377086</v>
      </c>
      <c r="I174" s="948"/>
      <c r="P174" s="946" t="str">
        <f ca="1">IF($H$13&gt;0,"Direct cost","")</f>
        <v>Direct cost</v>
      </c>
      <c r="Q174" s="947">
        <f ca="1">$H$13/1000</f>
        <v>198754.842</v>
      </c>
      <c r="R174" s="946"/>
      <c r="S174" s="946" t="str">
        <f t="shared" ref="S174:S179" ca="1" si="19">P174</f>
        <v>Direct cost</v>
      </c>
      <c r="T174" s="948">
        <f ca="1">IF(Q174=0,"",Q174/Q180)</f>
        <v>0.94100458410377086</v>
      </c>
      <c r="U174" s="948"/>
      <c r="Z174" s="946" t="str">
        <f ca="1">IF($H$13&gt;0,"Direct cost","")</f>
        <v>Direct cost</v>
      </c>
      <c r="AA174" s="947">
        <f ca="1">$H$13/1000</f>
        <v>198754.842</v>
      </c>
      <c r="AB174" s="946"/>
      <c r="AC174" s="946" t="str">
        <f t="shared" ref="AC174:AC179" ca="1" si="20">Z174</f>
        <v>Direct cost</v>
      </c>
      <c r="AD174" s="948">
        <f ca="1">IF(AA174=0,"",AA174/AA180)</f>
        <v>0.94100458410377086</v>
      </c>
      <c r="AE174" s="948"/>
    </row>
    <row r="175" spans="4:31" s="863" customFormat="1" hidden="1" x14ac:dyDescent="0.45">
      <c r="D175" s="946" t="str">
        <f ca="1">IF($H$14&gt;0,"Indirect cost","")</f>
        <v>Indirect cost</v>
      </c>
      <c r="E175" s="947">
        <f ca="1">$H$14/1000</f>
        <v>12460.7518</v>
      </c>
      <c r="F175" s="946"/>
      <c r="G175" s="946" t="str">
        <f t="shared" ca="1" si="18"/>
        <v>Indirect cost</v>
      </c>
      <c r="H175" s="948">
        <f ca="1">IF(E175=0,"",E175/E180)</f>
        <v>5.8995415896229156E-2</v>
      </c>
      <c r="I175" s="948"/>
      <c r="P175" s="946" t="str">
        <f ca="1">IF($H$14&gt;0,"Indirect cost","")</f>
        <v>Indirect cost</v>
      </c>
      <c r="Q175" s="947">
        <f ca="1">$H$14/1000</f>
        <v>12460.7518</v>
      </c>
      <c r="R175" s="946"/>
      <c r="S175" s="946" t="str">
        <f t="shared" ca="1" si="19"/>
        <v>Indirect cost</v>
      </c>
      <c r="T175" s="948">
        <f ca="1">IF(Q175=0,"",Q175/Q180)</f>
        <v>5.8995415896229156E-2</v>
      </c>
      <c r="U175" s="948"/>
      <c r="Z175" s="946" t="str">
        <f ca="1">IF($H$14&gt;0,"Indirect cost","")</f>
        <v>Indirect cost</v>
      </c>
      <c r="AA175" s="947">
        <f ca="1">$H$14/1000</f>
        <v>12460.7518</v>
      </c>
      <c r="AB175" s="946"/>
      <c r="AC175" s="946" t="str">
        <f t="shared" ca="1" si="20"/>
        <v>Indirect cost</v>
      </c>
      <c r="AD175" s="948">
        <f ca="1">IF(AA175=0,"",AA175/AA180)</f>
        <v>5.8995415896229156E-2</v>
      </c>
      <c r="AE175" s="948"/>
    </row>
    <row r="176" spans="4:31" s="863" customFormat="1" hidden="1" x14ac:dyDescent="0.45">
      <c r="D176" s="946" t="str">
        <f ca="1">IF($H$17&gt;0,"Surplus","")</f>
        <v/>
      </c>
      <c r="E176" s="947">
        <f ca="1">IF($H$17&gt;0,$H$17,0)/1000</f>
        <v>0</v>
      </c>
      <c r="F176" s="946"/>
      <c r="G176" s="946" t="str">
        <f t="shared" ca="1" si="18"/>
        <v/>
      </c>
      <c r="H176" s="949" t="str">
        <f ca="1">IF(E176=0,"",E176/E180)</f>
        <v/>
      </c>
      <c r="I176" s="948"/>
      <c r="P176" s="946" t="str">
        <f ca="1">IF($H$17&gt;0,"Surplus","")</f>
        <v/>
      </c>
      <c r="Q176" s="947">
        <f ca="1">IF($H$17&gt;0,$H$17,0)/1000</f>
        <v>0</v>
      </c>
      <c r="R176" s="946"/>
      <c r="S176" s="946" t="str">
        <f t="shared" ca="1" si="19"/>
        <v/>
      </c>
      <c r="T176" s="949" t="str">
        <f ca="1">IF(Q176=0,"",Q176/Q180)</f>
        <v/>
      </c>
      <c r="U176" s="948"/>
      <c r="Z176" s="946" t="str">
        <f ca="1">IF($H$17&gt;0,"Surplus","")</f>
        <v/>
      </c>
      <c r="AA176" s="947">
        <f ca="1">IF($H$17&gt;0,$H$17,0)/1000</f>
        <v>0</v>
      </c>
      <c r="AB176" s="946"/>
      <c r="AC176" s="946" t="str">
        <f t="shared" ca="1" si="20"/>
        <v/>
      </c>
      <c r="AD176" s="949" t="str">
        <f ca="1">IF(AA176=0,"",AA176/AA180)</f>
        <v/>
      </c>
      <c r="AE176" s="948"/>
    </row>
    <row r="177" spans="4:31" s="863" customFormat="1" hidden="1" x14ac:dyDescent="0.45">
      <c r="D177" s="946" t="str">
        <f ca="1">IF($H$26&gt;0,"Tariff revenue","")</f>
        <v>Tariff revenue</v>
      </c>
      <c r="E177" s="946"/>
      <c r="F177" s="947">
        <f ca="1">$H$26/1000</f>
        <v>176705.44125</v>
      </c>
      <c r="G177" s="946" t="str">
        <f t="shared" ca="1" si="18"/>
        <v>Tariff revenue</v>
      </c>
      <c r="H177" s="948"/>
      <c r="I177" s="948">
        <f ca="1">IF(F177=0,"",F177/F180)</f>
        <v>0.83661172014279561</v>
      </c>
      <c r="P177" s="946" t="str">
        <f ca="1">IF($H$26&gt;0,"Tariff revenue","")</f>
        <v>Tariff revenue</v>
      </c>
      <c r="Q177" s="946"/>
      <c r="R177" s="947">
        <f ca="1">$H$26/1000</f>
        <v>176705.44125</v>
      </c>
      <c r="S177" s="946" t="str">
        <f t="shared" ca="1" si="19"/>
        <v>Tariff revenue</v>
      </c>
      <c r="T177" s="948"/>
      <c r="U177" s="948">
        <f ca="1">IF(R177=0,"",R177/R180)</f>
        <v>0.83661172014279561</v>
      </c>
      <c r="Z177" s="946" t="str">
        <f ca="1">IF($H$26&gt;0,"Tariff revenue","")</f>
        <v>Tariff revenue</v>
      </c>
      <c r="AA177" s="946"/>
      <c r="AB177" s="947">
        <f ca="1">$H$26/1000</f>
        <v>176705.44125</v>
      </c>
      <c r="AC177" s="946" t="str">
        <f t="shared" ca="1" si="20"/>
        <v>Tariff revenue</v>
      </c>
      <c r="AD177" s="948"/>
      <c r="AE177" s="948">
        <f ca="1">IF(AB177=0,"",AB177/AB180)</f>
        <v>0.83661172014279561</v>
      </c>
    </row>
    <row r="178" spans="4:31" s="863" customFormat="1" hidden="1" x14ac:dyDescent="0.45">
      <c r="D178" s="946" t="str">
        <f ca="1">IF($H$24&gt;0,"Non-tariff revenue","")</f>
        <v>Non-tariff revenue</v>
      </c>
      <c r="E178" s="946"/>
      <c r="F178" s="947">
        <f ca="1">$H$24/1000</f>
        <v>34510.152549999999</v>
      </c>
      <c r="G178" s="946" t="str">
        <f t="shared" ca="1" si="18"/>
        <v>Non-tariff revenue</v>
      </c>
      <c r="H178" s="948"/>
      <c r="I178" s="948">
        <f ca="1">IF(F178=0,"",F178/F180)</f>
        <v>0.16338827985720436</v>
      </c>
      <c r="P178" s="946" t="str">
        <f ca="1">IF($H$24&gt;0,"Non-tariff revenue","")</f>
        <v>Non-tariff revenue</v>
      </c>
      <c r="Q178" s="946"/>
      <c r="R178" s="947">
        <f ca="1">$H$24/1000</f>
        <v>34510.152549999999</v>
      </c>
      <c r="S178" s="946" t="str">
        <f t="shared" ca="1" si="19"/>
        <v>Non-tariff revenue</v>
      </c>
      <c r="T178" s="948"/>
      <c r="U178" s="948">
        <f ca="1">IF(R178=0,"",R178/R180)</f>
        <v>0.16338827985720436</v>
      </c>
      <c r="Z178" s="946" t="str">
        <f ca="1">IF($H$24&gt;0,"Non-tariff revenue","")</f>
        <v>Non-tariff revenue</v>
      </c>
      <c r="AA178" s="946"/>
      <c r="AB178" s="947">
        <f ca="1">$H$24/1000</f>
        <v>34510.152549999999</v>
      </c>
      <c r="AC178" s="946" t="str">
        <f t="shared" ca="1" si="20"/>
        <v>Non-tariff revenue</v>
      </c>
      <c r="AD178" s="948"/>
      <c r="AE178" s="948">
        <f ca="1">IF(AB178=0,"",AB178/AB180)</f>
        <v>0.16338827985720436</v>
      </c>
    </row>
    <row r="179" spans="4:31" s="863" customFormat="1" hidden="1" x14ac:dyDescent="0.45">
      <c r="D179" s="946" t="str">
        <f ca="1">IF($H$17&lt;0,"Deficit","")</f>
        <v/>
      </c>
      <c r="E179" s="946"/>
      <c r="F179" s="947">
        <f ca="1">IF($H$17&lt;0,-$H$17,0)/1000</f>
        <v>0</v>
      </c>
      <c r="G179" s="946" t="str">
        <f t="shared" ca="1" si="18"/>
        <v/>
      </c>
      <c r="H179" s="948"/>
      <c r="I179" s="948" t="str">
        <f ca="1">IF(F179=0,"",F179/F180)</f>
        <v/>
      </c>
      <c r="P179" s="946" t="str">
        <f ca="1">IF($H$17&lt;0,"Deficit","")</f>
        <v/>
      </c>
      <c r="Q179" s="946"/>
      <c r="R179" s="947">
        <f ca="1">IF($H$17&lt;0,-$H$17,0)/1000</f>
        <v>0</v>
      </c>
      <c r="S179" s="946" t="str">
        <f t="shared" ca="1" si="19"/>
        <v/>
      </c>
      <c r="T179" s="948"/>
      <c r="U179" s="948" t="str">
        <f ca="1">IF(R179=0,"",R179/R180)</f>
        <v/>
      </c>
      <c r="Z179" s="946" t="str">
        <f ca="1">IF($H$17&lt;0,"Deficit","")</f>
        <v/>
      </c>
      <c r="AA179" s="946"/>
      <c r="AB179" s="947">
        <f ca="1">IF($H$17&lt;0,-$H$17,0)/1000</f>
        <v>0</v>
      </c>
      <c r="AC179" s="946" t="str">
        <f t="shared" ca="1" si="20"/>
        <v/>
      </c>
      <c r="AD179" s="948"/>
      <c r="AE179" s="948" t="str">
        <f ca="1">IF(AB179=0,"",AB179/AB180)</f>
        <v/>
      </c>
    </row>
    <row r="180" spans="4:31" s="863" customFormat="1" hidden="1" x14ac:dyDescent="0.45">
      <c r="D180" s="946" t="s">
        <v>15</v>
      </c>
      <c r="E180" s="947">
        <f ca="1">SUM(E174:E179)</f>
        <v>211215.5938</v>
      </c>
      <c r="F180" s="947">
        <f ca="1">SUM(F174:F179)</f>
        <v>211215.5938</v>
      </c>
      <c r="G180" s="947"/>
      <c r="H180" s="946"/>
      <c r="I180" s="946"/>
      <c r="P180" s="946" t="s">
        <v>15</v>
      </c>
      <c r="Q180" s="947">
        <f ca="1">SUM(Q174:Q179)</f>
        <v>211215.5938</v>
      </c>
      <c r="R180" s="947">
        <f ca="1">SUM(R174:R179)</f>
        <v>211215.5938</v>
      </c>
      <c r="S180" s="947"/>
      <c r="T180" s="946"/>
      <c r="U180" s="946"/>
      <c r="Z180" s="946" t="s">
        <v>15</v>
      </c>
      <c r="AA180" s="947">
        <f ca="1">SUM(AA174:AA179)</f>
        <v>211215.5938</v>
      </c>
      <c r="AB180" s="947">
        <f ca="1">SUM(AB174:AB179)</f>
        <v>211215.5938</v>
      </c>
      <c r="AC180" s="947"/>
      <c r="AD180" s="946"/>
      <c r="AE180" s="946"/>
    </row>
    <row r="181" spans="4:31" s="863" customFormat="1" hidden="1" x14ac:dyDescent="0.45"/>
    <row r="182" spans="4:31" s="863" customFormat="1" hidden="1" x14ac:dyDescent="0.45">
      <c r="D182" s="943" t="s">
        <v>19</v>
      </c>
      <c r="P182" s="943" t="s">
        <v>19</v>
      </c>
      <c r="Z182" s="943" t="s">
        <v>19</v>
      </c>
    </row>
    <row r="183" spans="4:31" s="863" customFormat="1" hidden="1" x14ac:dyDescent="0.45">
      <c r="D183" s="944"/>
      <c r="E183" s="945" t="s">
        <v>22</v>
      </c>
      <c r="F183" s="945" t="s">
        <v>162</v>
      </c>
      <c r="G183" s="945"/>
      <c r="H183" s="945" t="s">
        <v>22</v>
      </c>
      <c r="I183" s="945" t="s">
        <v>162</v>
      </c>
      <c r="P183" s="944"/>
      <c r="Q183" s="945" t="s">
        <v>22</v>
      </c>
      <c r="R183" s="945" t="s">
        <v>162</v>
      </c>
      <c r="S183" s="945"/>
      <c r="T183" s="945" t="s">
        <v>22</v>
      </c>
      <c r="U183" s="945" t="s">
        <v>162</v>
      </c>
      <c r="Z183" s="944"/>
      <c r="AA183" s="945" t="s">
        <v>22</v>
      </c>
      <c r="AB183" s="945" t="s">
        <v>162</v>
      </c>
      <c r="AC183" s="945"/>
      <c r="AD183" s="945" t="s">
        <v>22</v>
      </c>
      <c r="AE183" s="945" t="s">
        <v>162</v>
      </c>
    </row>
    <row r="184" spans="4:31" s="863" customFormat="1" hidden="1" x14ac:dyDescent="0.45">
      <c r="D184" s="946" t="str">
        <f ca="1">IF($I$13&gt;0,"Direct cost","")</f>
        <v>Direct cost</v>
      </c>
      <c r="E184" s="947">
        <f ca="1">$I$13/1000</f>
        <v>82489.679999999993</v>
      </c>
      <c r="F184" s="946"/>
      <c r="G184" s="946" t="str">
        <f t="shared" ref="G184:G189" ca="1" si="21">D184</f>
        <v>Direct cost</v>
      </c>
      <c r="H184" s="948">
        <f ca="1">IF(E184=0,"",E184/E190)</f>
        <v>0.8687657173982436</v>
      </c>
      <c r="I184" s="948"/>
      <c r="P184" s="946" t="str">
        <f ca="1">IF($I$13&gt;0,"Direct cost","")</f>
        <v>Direct cost</v>
      </c>
      <c r="Q184" s="947">
        <f ca="1">$I$13/1000</f>
        <v>82489.679999999993</v>
      </c>
      <c r="R184" s="946"/>
      <c r="S184" s="946" t="str">
        <f t="shared" ref="S184:S189" ca="1" si="22">P184</f>
        <v>Direct cost</v>
      </c>
      <c r="T184" s="948">
        <f ca="1">IF(Q184=0,"",Q184/Q190)</f>
        <v>0.8687657173982436</v>
      </c>
      <c r="U184" s="948"/>
      <c r="Z184" s="946" t="str">
        <f ca="1">IF($I$13&gt;0,"Direct cost","")</f>
        <v>Direct cost</v>
      </c>
      <c r="AA184" s="947">
        <f ca="1">$I$13/1000</f>
        <v>82489.679999999993</v>
      </c>
      <c r="AB184" s="946"/>
      <c r="AC184" s="946" t="str">
        <f t="shared" ref="AC184:AC189" ca="1" si="23">Z184</f>
        <v>Direct cost</v>
      </c>
      <c r="AD184" s="948">
        <f ca="1">IF(AA184=0,"",AA184/AA190)</f>
        <v>0.8687657173982436</v>
      </c>
      <c r="AE184" s="948"/>
    </row>
    <row r="185" spans="4:31" s="863" customFormat="1" hidden="1" x14ac:dyDescent="0.45">
      <c r="D185" s="946" t="str">
        <f ca="1">IF($I$14&gt;0,"Indirect cost","")</f>
        <v>Indirect cost</v>
      </c>
      <c r="E185" s="947">
        <f ca="1">$I$14/1000</f>
        <v>12460.7518</v>
      </c>
      <c r="F185" s="946"/>
      <c r="G185" s="946" t="str">
        <f t="shared" ca="1" si="21"/>
        <v>Indirect cost</v>
      </c>
      <c r="H185" s="948">
        <f ca="1">IF(E185=0,"",E185/E190)</f>
        <v>0.13123428260175643</v>
      </c>
      <c r="I185" s="948"/>
      <c r="P185" s="946" t="str">
        <f ca="1">IF($I$14&gt;0,"Indirect cost","")</f>
        <v>Indirect cost</v>
      </c>
      <c r="Q185" s="947">
        <f ca="1">$I$14/1000</f>
        <v>12460.7518</v>
      </c>
      <c r="R185" s="946"/>
      <c r="S185" s="946" t="str">
        <f t="shared" ca="1" si="22"/>
        <v>Indirect cost</v>
      </c>
      <c r="T185" s="948">
        <f ca="1">IF(Q185=0,"",Q185/Q190)</f>
        <v>0.13123428260175643</v>
      </c>
      <c r="U185" s="948"/>
      <c r="Z185" s="946" t="str">
        <f ca="1">IF($I$14&gt;0,"Indirect cost","")</f>
        <v>Indirect cost</v>
      </c>
      <c r="AA185" s="947">
        <f ca="1">$I$14/1000</f>
        <v>12460.7518</v>
      </c>
      <c r="AB185" s="946"/>
      <c r="AC185" s="946" t="str">
        <f t="shared" ca="1" si="23"/>
        <v>Indirect cost</v>
      </c>
      <c r="AD185" s="948">
        <f ca="1">IF(AA185=0,"",AA185/AA190)</f>
        <v>0.13123428260175643</v>
      </c>
      <c r="AE185" s="948"/>
    </row>
    <row r="186" spans="4:31" s="863" customFormat="1" hidden="1" x14ac:dyDescent="0.45">
      <c r="D186" s="946" t="str">
        <f ca="1">IF($I$17&gt;0,"Surplus","")</f>
        <v/>
      </c>
      <c r="E186" s="947">
        <f ca="1">IF($I$17&gt;0,$I$17,0)/1000</f>
        <v>0</v>
      </c>
      <c r="F186" s="946"/>
      <c r="G186" s="946" t="str">
        <f t="shared" ca="1" si="21"/>
        <v/>
      </c>
      <c r="H186" s="949" t="str">
        <f ca="1">IF(E186=0,"",E186/E190)</f>
        <v/>
      </c>
      <c r="I186" s="948"/>
      <c r="P186" s="946" t="str">
        <f ca="1">IF($I$17&gt;0,"Surplus","")</f>
        <v/>
      </c>
      <c r="Q186" s="947">
        <f ca="1">IF($I$17&gt;0,$I$17,0)/1000</f>
        <v>0</v>
      </c>
      <c r="R186" s="946"/>
      <c r="S186" s="946" t="str">
        <f t="shared" ca="1" si="22"/>
        <v/>
      </c>
      <c r="T186" s="949" t="str">
        <f ca="1">IF(Q186=0,"",Q186/Q190)</f>
        <v/>
      </c>
      <c r="U186" s="948"/>
      <c r="Z186" s="946" t="str">
        <f ca="1">IF($I$17&gt;0,"Surplus","")</f>
        <v/>
      </c>
      <c r="AA186" s="947">
        <f ca="1">IF($I$17&gt;0,$I$17,0)/1000</f>
        <v>0</v>
      </c>
      <c r="AB186" s="946"/>
      <c r="AC186" s="946" t="str">
        <f t="shared" ca="1" si="23"/>
        <v/>
      </c>
      <c r="AD186" s="949" t="str">
        <f ca="1">IF(AA186=0,"",AA186/AA190)</f>
        <v/>
      </c>
      <c r="AE186" s="948"/>
    </row>
    <row r="187" spans="4:31" s="863" customFormat="1" hidden="1" x14ac:dyDescent="0.45">
      <c r="D187" s="946" t="str">
        <f ca="1">IF($I$26&gt;0,"Tariff revenue","")</f>
        <v>Tariff revenue</v>
      </c>
      <c r="E187" s="946"/>
      <c r="F187" s="947">
        <f ca="1">$I$26/1000</f>
        <v>73012.719249999995</v>
      </c>
      <c r="G187" s="946" t="str">
        <f t="shared" ca="1" si="21"/>
        <v>Tariff revenue</v>
      </c>
      <c r="H187" s="948"/>
      <c r="I187" s="948">
        <f ca="1">IF(F187=0,"",F187/F190)</f>
        <v>0.76895615813302709</v>
      </c>
      <c r="P187" s="946" t="str">
        <f ca="1">IF($I$26&gt;0,"Tariff revenue","")</f>
        <v>Tariff revenue</v>
      </c>
      <c r="Q187" s="946"/>
      <c r="R187" s="947">
        <f ca="1">$I$26/1000</f>
        <v>73012.719249999995</v>
      </c>
      <c r="S187" s="946" t="str">
        <f t="shared" ca="1" si="22"/>
        <v>Tariff revenue</v>
      </c>
      <c r="T187" s="948"/>
      <c r="U187" s="948">
        <f ca="1">IF(R187=0,"",R187/R190)</f>
        <v>0.76895615813302709</v>
      </c>
      <c r="Z187" s="946" t="str">
        <f ca="1">IF($I$26&gt;0,"Tariff revenue","")</f>
        <v>Tariff revenue</v>
      </c>
      <c r="AA187" s="946"/>
      <c r="AB187" s="947">
        <f ca="1">$I$26/1000</f>
        <v>73012.719249999995</v>
      </c>
      <c r="AC187" s="946" t="str">
        <f t="shared" ca="1" si="23"/>
        <v>Tariff revenue</v>
      </c>
      <c r="AD187" s="948"/>
      <c r="AE187" s="948">
        <f ca="1">IF(AB187=0,"",AB187/AB190)</f>
        <v>0.76895615813302709</v>
      </c>
    </row>
    <row r="188" spans="4:31" s="863" customFormat="1" hidden="1" x14ac:dyDescent="0.45">
      <c r="D188" s="946" t="str">
        <f ca="1">IF($I$24&gt;0,"Non-tariff revenue","")</f>
        <v>Non-tariff revenue</v>
      </c>
      <c r="E188" s="946"/>
      <c r="F188" s="947">
        <f ca="1">$I$24/1000</f>
        <v>21937.71255</v>
      </c>
      <c r="G188" s="946" t="str">
        <f t="shared" ca="1" si="21"/>
        <v>Non-tariff revenue</v>
      </c>
      <c r="H188" s="948"/>
      <c r="I188" s="948">
        <f ca="1">IF(F188=0,"",F188/F190)</f>
        <v>0.23104384186697297</v>
      </c>
      <c r="P188" s="946" t="str">
        <f ca="1">IF($I$24&gt;0,"Non-tariff revenue","")</f>
        <v>Non-tariff revenue</v>
      </c>
      <c r="Q188" s="946"/>
      <c r="R188" s="947">
        <f ca="1">$I$24/1000</f>
        <v>21937.71255</v>
      </c>
      <c r="S188" s="946" t="str">
        <f t="shared" ca="1" si="22"/>
        <v>Non-tariff revenue</v>
      </c>
      <c r="T188" s="948"/>
      <c r="U188" s="948">
        <f ca="1">IF(R188=0,"",R188/R190)</f>
        <v>0.23104384186697297</v>
      </c>
      <c r="Z188" s="946" t="str">
        <f ca="1">IF($I$24&gt;0,"Non-tariff revenue","")</f>
        <v>Non-tariff revenue</v>
      </c>
      <c r="AA188" s="946"/>
      <c r="AB188" s="947">
        <f ca="1">$I$24/1000</f>
        <v>21937.71255</v>
      </c>
      <c r="AC188" s="946" t="str">
        <f t="shared" ca="1" si="23"/>
        <v>Non-tariff revenue</v>
      </c>
      <c r="AD188" s="948"/>
      <c r="AE188" s="948">
        <f ca="1">IF(AB188=0,"",AB188/AB190)</f>
        <v>0.23104384186697297</v>
      </c>
    </row>
    <row r="189" spans="4:31" s="863" customFormat="1" hidden="1" x14ac:dyDescent="0.45">
      <c r="D189" s="946" t="str">
        <f ca="1">IF($I$17&lt;0,"Deficit","")</f>
        <v/>
      </c>
      <c r="E189" s="946"/>
      <c r="F189" s="947">
        <f ca="1">IF($I$17&lt;0,-$I$17,0)/1000</f>
        <v>0</v>
      </c>
      <c r="G189" s="946" t="str">
        <f t="shared" ca="1" si="21"/>
        <v/>
      </c>
      <c r="H189" s="948"/>
      <c r="I189" s="948" t="str">
        <f ca="1">IF(F189=0,"",F189/F190)</f>
        <v/>
      </c>
      <c r="P189" s="946" t="str">
        <f ca="1">IF($I$17&lt;0,"Deficit","")</f>
        <v/>
      </c>
      <c r="Q189" s="946"/>
      <c r="R189" s="947">
        <f ca="1">IF($I$17&lt;0,-$I$17,0)/1000</f>
        <v>0</v>
      </c>
      <c r="S189" s="946" t="str">
        <f t="shared" ca="1" si="22"/>
        <v/>
      </c>
      <c r="T189" s="948"/>
      <c r="U189" s="948" t="str">
        <f ca="1">IF(R189=0,"",R189/R190)</f>
        <v/>
      </c>
      <c r="Z189" s="946" t="str">
        <f ca="1">IF($I$17&lt;0,"Deficit","")</f>
        <v/>
      </c>
      <c r="AA189" s="946"/>
      <c r="AB189" s="947">
        <f ca="1">IF($I$17&lt;0,-$I$17,0)/1000</f>
        <v>0</v>
      </c>
      <c r="AC189" s="946" t="str">
        <f t="shared" ca="1" si="23"/>
        <v/>
      </c>
      <c r="AD189" s="948"/>
      <c r="AE189" s="948" t="str">
        <f ca="1">IF(AB189=0,"",AB189/AB190)</f>
        <v/>
      </c>
    </row>
    <row r="190" spans="4:31" s="863" customFormat="1" hidden="1" x14ac:dyDescent="0.45">
      <c r="D190" s="946" t="s">
        <v>15</v>
      </c>
      <c r="E190" s="947">
        <f ca="1">SUM(E184:E189)</f>
        <v>94950.431799999991</v>
      </c>
      <c r="F190" s="947">
        <f ca="1">SUM(F184:F189)</f>
        <v>94950.431799999991</v>
      </c>
      <c r="G190" s="947"/>
      <c r="H190" s="946"/>
      <c r="I190" s="946"/>
      <c r="P190" s="946" t="s">
        <v>15</v>
      </c>
      <c r="Q190" s="947">
        <f ca="1">SUM(Q184:Q189)</f>
        <v>94950.431799999991</v>
      </c>
      <c r="R190" s="947">
        <f ca="1">SUM(R184:R189)</f>
        <v>94950.431799999991</v>
      </c>
      <c r="S190" s="947"/>
      <c r="T190" s="946"/>
      <c r="U190" s="946"/>
      <c r="Z190" s="946" t="s">
        <v>15</v>
      </c>
      <c r="AA190" s="947">
        <f ca="1">SUM(AA184:AA189)</f>
        <v>94950.431799999991</v>
      </c>
      <c r="AB190" s="947">
        <f ca="1">SUM(AB184:AB189)</f>
        <v>94950.431799999991</v>
      </c>
      <c r="AC190" s="947"/>
      <c r="AD190" s="946"/>
      <c r="AE190" s="946"/>
    </row>
    <row r="191" spans="4:31" s="863" customFormat="1" hidden="1" x14ac:dyDescent="0.45"/>
    <row r="192" spans="4:31" s="863" customFormat="1" hidden="1" x14ac:dyDescent="0.45"/>
    <row r="193" s="863" customFormat="1" hidden="1" x14ac:dyDescent="0.45"/>
    <row r="194" s="863" customFormat="1" hidden="1" x14ac:dyDescent="0.45"/>
    <row r="195" s="863" customFormat="1" hidden="1" x14ac:dyDescent="0.45"/>
    <row r="196" s="863" customFormat="1" hidden="1" x14ac:dyDescent="0.45"/>
    <row r="197" s="863" customFormat="1" hidden="1" x14ac:dyDescent="0.45"/>
    <row r="198" s="863" customFormat="1" hidden="1" x14ac:dyDescent="0.45"/>
    <row r="199" s="863" customFormat="1" hidden="1" x14ac:dyDescent="0.45"/>
    <row r="200" s="863" customFormat="1" hidden="1" x14ac:dyDescent="0.45"/>
    <row r="201" s="863" customFormat="1" hidden="1" x14ac:dyDescent="0.45"/>
    <row r="202" s="863" customFormat="1" hidden="1" x14ac:dyDescent="0.45"/>
    <row r="203" s="863" customFormat="1" hidden="1" x14ac:dyDescent="0.45"/>
    <row r="204" s="863" customFormat="1" hidden="1" x14ac:dyDescent="0.45"/>
    <row r="205" s="863" customFormat="1" hidden="1" x14ac:dyDescent="0.45"/>
    <row r="206" s="863" customFormat="1" hidden="1" x14ac:dyDescent="0.45"/>
    <row r="207" s="863" customFormat="1" hidden="1" x14ac:dyDescent="0.45"/>
    <row r="208" s="863" customFormat="1" hidden="1" x14ac:dyDescent="0.45"/>
    <row r="209" s="863" customFormat="1" hidden="1" x14ac:dyDescent="0.45"/>
    <row r="210" s="863" customFormat="1" hidden="1" x14ac:dyDescent="0.45"/>
    <row r="211" s="863" customFormat="1" hidden="1" x14ac:dyDescent="0.45"/>
    <row r="212" s="863" customFormat="1" hidden="1" x14ac:dyDescent="0.45"/>
    <row r="213" s="863" customFormat="1" hidden="1" x14ac:dyDescent="0.45"/>
    <row r="214" s="863" customFormat="1" hidden="1" x14ac:dyDescent="0.45"/>
    <row r="215" s="863" customFormat="1" hidden="1" x14ac:dyDescent="0.45"/>
    <row r="216" s="863" customFormat="1" hidden="1" x14ac:dyDescent="0.45"/>
    <row r="217" s="863" customFormat="1" hidden="1" x14ac:dyDescent="0.45"/>
    <row r="218" s="863" customFormat="1" hidden="1" x14ac:dyDescent="0.45"/>
    <row r="219" s="863" customFormat="1" hidden="1" x14ac:dyDescent="0.45"/>
    <row r="220" s="863" customFormat="1" hidden="1" x14ac:dyDescent="0.45"/>
    <row r="221" s="863" customFormat="1" hidden="1" x14ac:dyDescent="0.45"/>
    <row r="222" s="863" customFormat="1" hidden="1" x14ac:dyDescent="0.45"/>
    <row r="223" s="863" customFormat="1" hidden="1" x14ac:dyDescent="0.45"/>
    <row r="224" s="863" customFormat="1" hidden="1" x14ac:dyDescent="0.45"/>
    <row r="225" s="863" customFormat="1" hidden="1" x14ac:dyDescent="0.45"/>
    <row r="226" s="863" customFormat="1" hidden="1" x14ac:dyDescent="0.45"/>
    <row r="227" s="863" customFormat="1" hidden="1" x14ac:dyDescent="0.45"/>
    <row r="228" s="863" customFormat="1" hidden="1" x14ac:dyDescent="0.45"/>
    <row r="229" s="863" customFormat="1" hidden="1" x14ac:dyDescent="0.45"/>
    <row r="230" s="863" customFormat="1" hidden="1" x14ac:dyDescent="0.45"/>
    <row r="231" s="863" customFormat="1" hidden="1" x14ac:dyDescent="0.45"/>
    <row r="232" s="863" customFormat="1" hidden="1" x14ac:dyDescent="0.45"/>
    <row r="233" s="863" customFormat="1" hidden="1" x14ac:dyDescent="0.45"/>
    <row r="234" s="863" customFormat="1" hidden="1" x14ac:dyDescent="0.45"/>
    <row r="235" s="863" customFormat="1" hidden="1" x14ac:dyDescent="0.45"/>
    <row r="236" s="863" customFormat="1" hidden="1" x14ac:dyDescent="0.45"/>
    <row r="237" s="863" customFormat="1" hidden="1" x14ac:dyDescent="0.45"/>
    <row r="238" s="863" customFormat="1" hidden="1" x14ac:dyDescent="0.45"/>
    <row r="239" s="863" customFormat="1" hidden="1" x14ac:dyDescent="0.45"/>
    <row r="240" s="863" customFormat="1" hidden="1" x14ac:dyDescent="0.45"/>
    <row r="241" s="863" customFormat="1" hidden="1" x14ac:dyDescent="0.45"/>
    <row r="242" s="863" customFormat="1" hidden="1" x14ac:dyDescent="0.45"/>
    <row r="243" s="863" customFormat="1" hidden="1" x14ac:dyDescent="0.45"/>
    <row r="244" s="863" customFormat="1" hidden="1" x14ac:dyDescent="0.45"/>
    <row r="245" s="863" customFormat="1" hidden="1" x14ac:dyDescent="0.45"/>
    <row r="246" s="863" customFormat="1" hidden="1" x14ac:dyDescent="0.45"/>
    <row r="247" s="863" customFormat="1" hidden="1" x14ac:dyDescent="0.45"/>
    <row r="248" s="863" customFormat="1" hidden="1" x14ac:dyDescent="0.45"/>
    <row r="249" s="863" customFormat="1" hidden="1" x14ac:dyDescent="0.45"/>
    <row r="250" s="863" customFormat="1" hidden="1" x14ac:dyDescent="0.45"/>
    <row r="251" s="863" customFormat="1" hidden="1" x14ac:dyDescent="0.45"/>
    <row r="252" s="863" customFormat="1" hidden="1" x14ac:dyDescent="0.45"/>
    <row r="253" s="863" customFormat="1" hidden="1" x14ac:dyDescent="0.45"/>
    <row r="254" s="863" customFormat="1" hidden="1" x14ac:dyDescent="0.45"/>
    <row r="255" s="863" customFormat="1" hidden="1" x14ac:dyDescent="0.45"/>
  </sheetData>
  <mergeCells count="6">
    <mergeCell ref="AA1:AA2"/>
    <mergeCell ref="Y7:AG7"/>
    <mergeCell ref="C7:K7"/>
    <mergeCell ref="E1:E2"/>
    <mergeCell ref="Q1:Q2"/>
    <mergeCell ref="O7:W7"/>
  </mergeCells>
  <pageMargins left="0.7" right="0.7" top="0.75" bottom="0.75" header="0.3" footer="0.3"/>
  <drawing r:id="rId1"/>
  <legacyDrawing r:id="rId2"/>
  <controls>
    <mc:AlternateContent xmlns:mc="http://schemas.openxmlformats.org/markup-compatibility/2006">
      <mc:Choice Requires="x14">
        <control shapeId="7169" r:id="rId3" name="cbReq">
          <controlPr defaultSize="0" autoLine="0" r:id="rId4">
            <anchor moveWithCells="1">
              <from>
                <xdr:col>4</xdr:col>
                <xdr:colOff>0</xdr:colOff>
                <xdr:row>2</xdr:row>
                <xdr:rowOff>68580</xdr:rowOff>
              </from>
              <to>
                <xdr:col>5</xdr:col>
                <xdr:colOff>872490</xdr:colOff>
                <xdr:row>3</xdr:row>
                <xdr:rowOff>87630</xdr:rowOff>
              </to>
            </anchor>
          </controlPr>
        </control>
      </mc:Choice>
      <mc:Fallback>
        <control shapeId="7169" r:id="rId3" name="cbReq"/>
      </mc:Fallback>
    </mc:AlternateContent>
  </controls>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0319393-89FF-4BD3-8DD6-E81C4E98493F}">
  <sheetPr codeName="Sheet16">
    <tabColor theme="6" tint="-0.499984740745262"/>
  </sheetPr>
  <dimension ref="A1:AG65535"/>
  <sheetViews>
    <sheetView showGridLines="0" zoomScale="90" zoomScaleNormal="90" workbookViewId="0">
      <pane ySplit="4" topLeftCell="A5" activePane="bottomLeft" state="frozen"/>
      <selection pane="bottomLeft" activeCell="J23" sqref="J23"/>
    </sheetView>
  </sheetViews>
  <sheetFormatPr defaultColWidth="8.7890625" defaultRowHeight="14.4" x14ac:dyDescent="0.55000000000000004"/>
  <cols>
    <col min="1" max="1" width="1.7890625" style="117" customWidth="1"/>
    <col min="2" max="2" width="1.20703125" customWidth="1"/>
    <col min="3" max="3" width="3.20703125" customWidth="1"/>
    <col min="4" max="4" width="34.5234375" customWidth="1"/>
    <col min="5" max="6" width="16.20703125" customWidth="1"/>
    <col min="7" max="7" width="15.41796875" customWidth="1"/>
    <col min="8" max="8" width="14.5234375" customWidth="1"/>
    <col min="9" max="9" width="13.20703125" customWidth="1"/>
    <col min="10" max="10" width="15" customWidth="1"/>
    <col min="11" max="11" width="13.20703125" customWidth="1"/>
    <col min="12" max="12" width="2.20703125" style="117" customWidth="1"/>
    <col min="13" max="14" width="3.20703125" customWidth="1"/>
    <col min="15" max="15" width="3.5234375" customWidth="1"/>
    <col min="16" max="21" width="14.20703125" customWidth="1"/>
    <col min="22" max="22" width="14.5234375" customWidth="1"/>
    <col min="23" max="23" width="4.20703125" style="117" customWidth="1"/>
    <col min="24" max="24" width="6.7890625" customWidth="1"/>
    <col min="25" max="25" width="3.20703125" customWidth="1"/>
    <col min="26" max="26" width="20.20703125" customWidth="1"/>
    <col min="27" max="32" width="13.20703125" customWidth="1"/>
    <col min="33" max="33" width="3.7890625" customWidth="1"/>
  </cols>
  <sheetData>
    <row r="1" spans="1:33" x14ac:dyDescent="0.55000000000000004">
      <c r="A1"/>
      <c r="E1" s="1481" t="s">
        <v>206</v>
      </c>
      <c r="F1" s="294"/>
      <c r="L1"/>
      <c r="P1" s="1481" t="s">
        <v>206</v>
      </c>
      <c r="Q1" s="294"/>
      <c r="W1"/>
      <c r="AA1" s="1481" t="s">
        <v>206</v>
      </c>
      <c r="AB1" s="294"/>
    </row>
    <row r="2" spans="1:33" x14ac:dyDescent="0.55000000000000004">
      <c r="A2"/>
      <c r="E2" s="1481"/>
      <c r="L2"/>
      <c r="P2" s="1481"/>
      <c r="W2"/>
      <c r="AA2" s="1481"/>
    </row>
    <row r="3" spans="1:33" x14ac:dyDescent="0.55000000000000004">
      <c r="A3"/>
      <c r="L3"/>
      <c r="W3"/>
    </row>
    <row r="4" spans="1:33" s="116" customFormat="1" ht="14.7" thickBot="1" x14ac:dyDescent="0.6"/>
    <row r="5" spans="1:33" s="117" customFormat="1" x14ac:dyDescent="0.55000000000000004"/>
    <row r="6" spans="1:33" x14ac:dyDescent="0.55000000000000004">
      <c r="W6"/>
    </row>
    <row r="7" spans="1:33" ht="14.55" customHeight="1" x14ac:dyDescent="0.55000000000000004">
      <c r="C7" s="1803" t="s">
        <v>486</v>
      </c>
      <c r="D7" s="1803"/>
      <c r="E7" s="1803"/>
      <c r="F7" s="1803"/>
      <c r="G7" s="1803"/>
      <c r="H7" s="1803"/>
      <c r="I7" s="1803"/>
      <c r="J7" s="1803"/>
      <c r="K7" s="1803"/>
      <c r="O7" s="1806" t="s">
        <v>486</v>
      </c>
      <c r="P7" s="1806"/>
      <c r="Q7" s="1806"/>
      <c r="R7" s="1806"/>
      <c r="S7" s="1806"/>
      <c r="T7" s="1806"/>
      <c r="U7" s="1806"/>
      <c r="V7" s="1806"/>
      <c r="W7" s="1806"/>
      <c r="Y7" s="1803" t="s">
        <v>486</v>
      </c>
      <c r="Z7" s="1803"/>
      <c r="AA7" s="1803"/>
      <c r="AB7" s="1803"/>
      <c r="AC7" s="1803"/>
      <c r="AD7" s="1803"/>
      <c r="AE7" s="1803"/>
      <c r="AF7" s="1803"/>
      <c r="AG7" s="1803"/>
    </row>
    <row r="8" spans="1:33" x14ac:dyDescent="0.55000000000000004">
      <c r="C8" s="1803"/>
      <c r="D8" s="1803"/>
      <c r="E8" s="1803"/>
      <c r="F8" s="1803"/>
      <c r="G8" s="1803"/>
      <c r="H8" s="1803"/>
      <c r="I8" s="1803"/>
      <c r="J8" s="1803"/>
      <c r="K8" s="1803"/>
      <c r="O8" s="1806"/>
      <c r="P8" s="1806"/>
      <c r="Q8" s="1806"/>
      <c r="R8" s="1806"/>
      <c r="S8" s="1806"/>
      <c r="T8" s="1806"/>
      <c r="U8" s="1806"/>
      <c r="V8" s="1806"/>
      <c r="W8" s="1806"/>
      <c r="Y8" s="1803"/>
      <c r="Z8" s="1803"/>
      <c r="AA8" s="1803"/>
      <c r="AB8" s="1803"/>
      <c r="AC8" s="1803"/>
      <c r="AD8" s="1803"/>
      <c r="AE8" s="1803"/>
      <c r="AF8" s="1803"/>
      <c r="AG8" s="1803"/>
    </row>
    <row r="9" spans="1:33" ht="14.7" thickBot="1" x14ac:dyDescent="0.6">
      <c r="C9" s="119"/>
      <c r="D9" s="119"/>
      <c r="E9" s="119"/>
      <c r="F9" s="119"/>
      <c r="G9" s="119"/>
      <c r="H9" s="119"/>
      <c r="I9" s="119"/>
      <c r="J9" s="119"/>
      <c r="K9" s="119"/>
      <c r="O9" s="119"/>
      <c r="P9" s="119"/>
      <c r="Q9" s="119"/>
      <c r="R9" s="119"/>
      <c r="S9" s="119"/>
      <c r="T9" s="119"/>
      <c r="U9" s="119"/>
      <c r="V9" s="119"/>
      <c r="W9" s="119"/>
      <c r="Y9" s="119"/>
      <c r="Z9" s="119"/>
      <c r="AA9" s="119"/>
      <c r="AB9" s="119"/>
      <c r="AC9" s="119"/>
      <c r="AD9" s="119"/>
      <c r="AE9" s="119"/>
      <c r="AF9" s="119"/>
      <c r="AG9" s="119"/>
    </row>
    <row r="10" spans="1:33" x14ac:dyDescent="0.55000000000000004">
      <c r="C10" s="295"/>
      <c r="D10" s="296"/>
      <c r="E10" s="296"/>
      <c r="F10" s="296"/>
      <c r="G10" s="296"/>
      <c r="H10" s="296"/>
      <c r="I10" s="296"/>
      <c r="J10" s="296"/>
      <c r="K10" s="297"/>
      <c r="O10" s="295"/>
      <c r="P10" s="296"/>
      <c r="Q10" s="296"/>
      <c r="R10" s="296"/>
      <c r="S10" s="296"/>
      <c r="T10" s="296"/>
      <c r="U10" s="296"/>
      <c r="V10" s="296"/>
      <c r="W10" s="297"/>
      <c r="Y10" s="295"/>
      <c r="Z10" s="296"/>
      <c r="AA10" s="296"/>
      <c r="AB10" s="296"/>
      <c r="AC10" s="296"/>
      <c r="AD10" s="296"/>
      <c r="AE10" s="296"/>
      <c r="AF10" s="296"/>
      <c r="AG10" s="297"/>
    </row>
    <row r="11" spans="1:33" x14ac:dyDescent="0.55000000000000004">
      <c r="C11" s="298"/>
      <c r="D11" s="186" t="s">
        <v>177</v>
      </c>
      <c r="E11" s="119"/>
      <c r="F11" s="119"/>
      <c r="G11" s="119"/>
      <c r="H11" s="119"/>
      <c r="I11" s="119"/>
      <c r="J11" s="119"/>
      <c r="K11" s="191"/>
      <c r="O11" s="298"/>
      <c r="P11" s="186" t="s">
        <v>177</v>
      </c>
      <c r="Q11" s="119"/>
      <c r="R11" s="119"/>
      <c r="S11" s="119"/>
      <c r="T11" s="119"/>
      <c r="U11" s="119"/>
      <c r="V11" s="119"/>
      <c r="W11" s="191"/>
      <c r="Y11" s="298"/>
      <c r="Z11" s="186" t="s">
        <v>177</v>
      </c>
      <c r="AA11" s="119"/>
      <c r="AB11" s="119"/>
      <c r="AC11" s="119"/>
      <c r="AD11" s="119"/>
      <c r="AE11" s="119"/>
      <c r="AF11" s="119"/>
      <c r="AG11" s="191"/>
    </row>
    <row r="12" spans="1:33" ht="14.55" customHeight="1" x14ac:dyDescent="0.55000000000000004">
      <c r="C12" s="298"/>
      <c r="D12" s="1804" t="s">
        <v>489</v>
      </c>
      <c r="E12" s="1804"/>
      <c r="F12" s="1804"/>
      <c r="G12" s="1804"/>
      <c r="H12" s="1804"/>
      <c r="I12" s="1804"/>
      <c r="J12" s="1804"/>
      <c r="K12" s="191"/>
      <c r="O12" s="298"/>
      <c r="P12" s="1805" t="s">
        <v>489</v>
      </c>
      <c r="Q12" s="1805"/>
      <c r="R12" s="1805"/>
      <c r="S12" s="1805"/>
      <c r="T12" s="1805"/>
      <c r="U12" s="1805"/>
      <c r="V12" s="1805"/>
      <c r="W12" s="191"/>
      <c r="Y12" s="298"/>
      <c r="Z12" s="1804" t="s">
        <v>489</v>
      </c>
      <c r="AA12" s="1804"/>
      <c r="AB12" s="1804"/>
      <c r="AC12" s="1804"/>
      <c r="AD12" s="1804"/>
      <c r="AE12" s="1804"/>
      <c r="AF12" s="1804"/>
      <c r="AG12" s="191"/>
    </row>
    <row r="13" spans="1:33" x14ac:dyDescent="0.55000000000000004">
      <c r="C13" s="298"/>
      <c r="D13" s="1804"/>
      <c r="E13" s="1804"/>
      <c r="F13" s="1804"/>
      <c r="G13" s="1804"/>
      <c r="H13" s="1804"/>
      <c r="I13" s="1804"/>
      <c r="J13" s="1804"/>
      <c r="K13" s="191"/>
      <c r="O13" s="298"/>
      <c r="P13" s="1805"/>
      <c r="Q13" s="1805"/>
      <c r="R13" s="1805"/>
      <c r="S13" s="1805"/>
      <c r="T13" s="1805"/>
      <c r="U13" s="1805"/>
      <c r="V13" s="1805"/>
      <c r="W13" s="191"/>
      <c r="Y13" s="298"/>
      <c r="Z13" s="1804"/>
      <c r="AA13" s="1804"/>
      <c r="AB13" s="1804"/>
      <c r="AC13" s="1804"/>
      <c r="AD13" s="1804"/>
      <c r="AE13" s="1804"/>
      <c r="AF13" s="1804"/>
      <c r="AG13" s="191"/>
    </row>
    <row r="14" spans="1:33" x14ac:dyDescent="0.55000000000000004">
      <c r="C14" s="298"/>
      <c r="D14" s="1804"/>
      <c r="E14" s="1804"/>
      <c r="F14" s="1804"/>
      <c r="G14" s="1804"/>
      <c r="H14" s="1804"/>
      <c r="I14" s="1804"/>
      <c r="J14" s="1804"/>
      <c r="K14" s="191"/>
      <c r="O14" s="298"/>
      <c r="P14" s="1805"/>
      <c r="Q14" s="1805"/>
      <c r="R14" s="1805"/>
      <c r="S14" s="1805"/>
      <c r="T14" s="1805"/>
      <c r="U14" s="1805"/>
      <c r="V14" s="1805"/>
      <c r="W14" s="191"/>
      <c r="Y14" s="298"/>
      <c r="Z14" s="1804"/>
      <c r="AA14" s="1804"/>
      <c r="AB14" s="1804"/>
      <c r="AC14" s="1804"/>
      <c r="AD14" s="1804"/>
      <c r="AE14" s="1804"/>
      <c r="AF14" s="1804"/>
      <c r="AG14" s="191"/>
    </row>
    <row r="15" spans="1:33" x14ac:dyDescent="0.55000000000000004">
      <c r="C15" s="298"/>
      <c r="D15" s="119"/>
      <c r="E15" s="119"/>
      <c r="F15" s="119"/>
      <c r="G15" s="119"/>
      <c r="H15" s="119"/>
      <c r="I15" s="119"/>
      <c r="J15" s="119"/>
      <c r="K15" s="191"/>
      <c r="O15" s="298"/>
      <c r="P15" s="119"/>
      <c r="Q15" s="119"/>
      <c r="R15" s="119"/>
      <c r="S15" s="119"/>
      <c r="T15" s="119"/>
      <c r="U15" s="119"/>
      <c r="V15" s="119"/>
      <c r="W15" s="191"/>
      <c r="Y15" s="298"/>
      <c r="Z15" s="119"/>
      <c r="AA15" s="119"/>
      <c r="AB15" s="119"/>
      <c r="AC15" s="119"/>
      <c r="AD15" s="119"/>
      <c r="AE15" s="119"/>
      <c r="AF15" s="119"/>
      <c r="AG15" s="191"/>
    </row>
    <row r="16" spans="1:33" ht="28.95" customHeight="1" x14ac:dyDescent="0.55000000000000004">
      <c r="C16" s="298"/>
      <c r="D16" s="299"/>
      <c r="E16" s="283" t="s">
        <v>240</v>
      </c>
      <c r="F16" s="283" t="s">
        <v>242</v>
      </c>
      <c r="G16" s="283" t="s">
        <v>243</v>
      </c>
      <c r="H16" s="283" t="s">
        <v>244</v>
      </c>
      <c r="I16" s="283" t="s">
        <v>238</v>
      </c>
      <c r="J16" s="283" t="s">
        <v>239</v>
      </c>
      <c r="K16" s="191"/>
      <c r="O16" s="298"/>
      <c r="P16" s="299"/>
      <c r="Q16" s="283" t="s">
        <v>240</v>
      </c>
      <c r="R16" s="283" t="s">
        <v>242</v>
      </c>
      <c r="S16" s="283" t="s">
        <v>243</v>
      </c>
      <c r="T16" s="283" t="s">
        <v>244</v>
      </c>
      <c r="U16" s="283" t="s">
        <v>238</v>
      </c>
      <c r="V16" s="283" t="s">
        <v>239</v>
      </c>
      <c r="W16" s="191"/>
      <c r="Y16" s="298"/>
      <c r="Z16" s="299"/>
      <c r="AA16" s="283" t="s">
        <v>240</v>
      </c>
      <c r="AB16" s="283" t="s">
        <v>242</v>
      </c>
      <c r="AC16" s="283" t="s">
        <v>243</v>
      </c>
      <c r="AD16" s="283" t="s">
        <v>244</v>
      </c>
      <c r="AE16" s="283" t="s">
        <v>238</v>
      </c>
      <c r="AF16" s="283" t="s">
        <v>239</v>
      </c>
      <c r="AG16" s="191"/>
    </row>
    <row r="17" spans="3:33" ht="14.55" customHeight="1" x14ac:dyDescent="0.55000000000000004">
      <c r="C17" s="298"/>
      <c r="D17" s="299" t="s">
        <v>178</v>
      </c>
      <c r="E17" s="20">
        <f ca="1">SUM(F17:J17)</f>
        <v>646282455</v>
      </c>
      <c r="F17" s="21">
        <f ca="1">Expenditure!F52</f>
        <v>97282699</v>
      </c>
      <c r="G17" s="21">
        <f ca="1">Expenditure!G52</f>
        <v>64870504</v>
      </c>
      <c r="H17" s="21">
        <f ca="1">Expenditure!H52</f>
        <v>198754842</v>
      </c>
      <c r="I17" s="21">
        <f ca="1">Expenditure!I52</f>
        <v>82489680</v>
      </c>
      <c r="J17" s="21">
        <f ca="1">Expenditure!J52</f>
        <v>202884730</v>
      </c>
      <c r="K17" s="191"/>
      <c r="O17" s="298"/>
      <c r="P17" s="299" t="s">
        <v>178</v>
      </c>
      <c r="Q17" s="20">
        <f ca="1">SUM(R17:V17)</f>
        <v>668796931</v>
      </c>
      <c r="R17" s="21">
        <f ca="1">Expenditure!R52</f>
        <v>100705851</v>
      </c>
      <c r="S17" s="21">
        <f ca="1">Expenditure!S52</f>
        <v>67225029</v>
      </c>
      <c r="T17" s="21">
        <f ca="1">Expenditure!T52</f>
        <v>205571762</v>
      </c>
      <c r="U17" s="21">
        <f ca="1">Expenditure!U52</f>
        <v>85435281</v>
      </c>
      <c r="V17" s="21">
        <f ca="1">Expenditure!V52</f>
        <v>209859008</v>
      </c>
      <c r="W17" s="191"/>
      <c r="Y17" s="298"/>
      <c r="Z17" s="299" t="s">
        <v>178</v>
      </c>
      <c r="AA17" s="20">
        <f ca="1">SUM(AB17:AF17)</f>
        <v>690837279</v>
      </c>
      <c r="AB17" s="21">
        <f ca="1">Expenditure!AB52</f>
        <v>104064914</v>
      </c>
      <c r="AC17" s="21">
        <f ca="1">Expenditure!AC52</f>
        <v>69552146</v>
      </c>
      <c r="AD17" s="21">
        <f ca="1">Expenditure!AD52</f>
        <v>212220048</v>
      </c>
      <c r="AE17" s="21">
        <f ca="1">Expenditure!AE52</f>
        <v>88335702</v>
      </c>
      <c r="AF17" s="21">
        <f ca="1">Expenditure!AF52</f>
        <v>216664469</v>
      </c>
      <c r="AG17" s="191"/>
    </row>
    <row r="18" spans="3:33" ht="14.55" customHeight="1" x14ac:dyDescent="0.55000000000000004">
      <c r="C18" s="298"/>
      <c r="D18" s="299" t="s">
        <v>179</v>
      </c>
      <c r="E18" s="20">
        <f t="shared" ref="E18:E23" ca="1" si="0">SUM(F18:J18)</f>
        <v>249215036</v>
      </c>
      <c r="F18" s="21">
        <f ca="1">Expenditure!F53</f>
        <v>37382255.399999999</v>
      </c>
      <c r="G18" s="21">
        <f ca="1">Expenditure!G53</f>
        <v>12460751.800000001</v>
      </c>
      <c r="H18" s="21">
        <f ca="1">Expenditure!H53</f>
        <v>12460751.800000001</v>
      </c>
      <c r="I18" s="21">
        <f ca="1">Expenditure!I53</f>
        <v>12460751.800000001</v>
      </c>
      <c r="J18" s="21">
        <f ca="1">Expenditure!J53</f>
        <v>174450525.19999999</v>
      </c>
      <c r="K18" s="191"/>
      <c r="O18" s="298"/>
      <c r="P18" s="299" t="s">
        <v>179</v>
      </c>
      <c r="Q18" s="20">
        <f ca="1">SUM(R18:V18)</f>
        <v>257770209</v>
      </c>
      <c r="R18" s="21">
        <f ca="1">Expenditure!R53</f>
        <v>38665531.350000001</v>
      </c>
      <c r="S18" s="21">
        <f ca="1">Expenditure!S53</f>
        <v>12888510.450000001</v>
      </c>
      <c r="T18" s="21">
        <f ca="1">Expenditure!T53</f>
        <v>12888510.450000001</v>
      </c>
      <c r="U18" s="21">
        <f ca="1">Expenditure!U53</f>
        <v>12888510.450000001</v>
      </c>
      <c r="V18" s="21">
        <f ca="1">Expenditure!V53</f>
        <v>180439146.29999998</v>
      </c>
      <c r="W18" s="191"/>
      <c r="Y18" s="298"/>
      <c r="Z18" s="299" t="s">
        <v>179</v>
      </c>
      <c r="AA18" s="20">
        <f ca="1">SUM(AB18:AF18)</f>
        <v>266096559</v>
      </c>
      <c r="AB18" s="21">
        <f ca="1">Expenditure!AB53</f>
        <v>39914483.850000001</v>
      </c>
      <c r="AC18" s="21">
        <f ca="1">Expenditure!AC53</f>
        <v>13304827.950000001</v>
      </c>
      <c r="AD18" s="21">
        <f ca="1">Expenditure!AD53</f>
        <v>13304827.950000001</v>
      </c>
      <c r="AE18" s="21">
        <f ca="1">Expenditure!AE53</f>
        <v>13304827.950000001</v>
      </c>
      <c r="AF18" s="21">
        <f ca="1">Expenditure!AF53</f>
        <v>186267591.29999998</v>
      </c>
      <c r="AG18" s="191"/>
    </row>
    <row r="19" spans="3:33" ht="14.55" customHeight="1" x14ac:dyDescent="0.55000000000000004">
      <c r="C19" s="298"/>
      <c r="D19" s="300" t="s">
        <v>149</v>
      </c>
      <c r="E19" s="17">
        <f t="shared" ca="1" si="0"/>
        <v>895497491</v>
      </c>
      <c r="F19" s="17">
        <f ca="1">F17+F18</f>
        <v>134664954.40000001</v>
      </c>
      <c r="G19" s="17">
        <f ca="1">G17+G18</f>
        <v>77331255.799999997</v>
      </c>
      <c r="H19" s="17">
        <f ca="1">H17+H18</f>
        <v>211215593.80000001</v>
      </c>
      <c r="I19" s="17">
        <f ca="1">I17+I18</f>
        <v>94950431.799999997</v>
      </c>
      <c r="J19" s="17">
        <f ca="1">J17+J18</f>
        <v>377335255.19999999</v>
      </c>
      <c r="K19" s="191"/>
      <c r="O19" s="298"/>
      <c r="P19" s="300" t="s">
        <v>149</v>
      </c>
      <c r="Q19" s="17">
        <f ca="1">SUM(R19:V19)</f>
        <v>926567140</v>
      </c>
      <c r="R19" s="17">
        <f ca="1">R17+R18</f>
        <v>139371382.34999999</v>
      </c>
      <c r="S19" s="17">
        <f ca="1">S17+S18</f>
        <v>80113539.450000003</v>
      </c>
      <c r="T19" s="17">
        <f ca="1">T17+T18</f>
        <v>218460272.44999999</v>
      </c>
      <c r="U19" s="17">
        <f ca="1">U17+U18</f>
        <v>98323791.450000003</v>
      </c>
      <c r="V19" s="17">
        <f ca="1">V17+V18</f>
        <v>390298154.29999995</v>
      </c>
      <c r="W19" s="191"/>
      <c r="Y19" s="298"/>
      <c r="Z19" s="300" t="s">
        <v>149</v>
      </c>
      <c r="AA19" s="17">
        <f ca="1">SUM(AB19:AF19)</f>
        <v>956933838</v>
      </c>
      <c r="AB19" s="17">
        <f ca="1">AB17+AB18</f>
        <v>143979397.84999999</v>
      </c>
      <c r="AC19" s="17">
        <f ca="1">AC17+AC18</f>
        <v>82856973.950000003</v>
      </c>
      <c r="AD19" s="17">
        <f ca="1">AD17+AD18</f>
        <v>225524875.94999999</v>
      </c>
      <c r="AE19" s="17">
        <f ca="1">AE17+AE18</f>
        <v>101640529.95</v>
      </c>
      <c r="AF19" s="17">
        <f ca="1">AF17+AF18</f>
        <v>402932060.29999995</v>
      </c>
      <c r="AG19" s="191"/>
    </row>
    <row r="20" spans="3:33" x14ac:dyDescent="0.55000000000000004">
      <c r="C20" s="298"/>
      <c r="D20" s="299"/>
      <c r="E20" s="301"/>
      <c r="F20" s="119"/>
      <c r="G20" s="119"/>
      <c r="H20" s="119"/>
      <c r="I20" s="119"/>
      <c r="J20" s="119"/>
      <c r="K20" s="191"/>
      <c r="O20" s="298"/>
      <c r="P20" s="299"/>
      <c r="Q20" s="301"/>
      <c r="R20" s="119"/>
      <c r="S20" s="119"/>
      <c r="T20" s="119"/>
      <c r="U20" s="119"/>
      <c r="V20" s="119"/>
      <c r="W20" s="191"/>
      <c r="Y20" s="298"/>
      <c r="Z20" s="299"/>
      <c r="AA20" s="301"/>
      <c r="AB20" s="119"/>
      <c r="AC20" s="119"/>
      <c r="AD20" s="119"/>
      <c r="AE20" s="119"/>
      <c r="AF20" s="119"/>
      <c r="AG20" s="191"/>
    </row>
    <row r="21" spans="3:33" ht="24" customHeight="1" x14ac:dyDescent="0.55000000000000004">
      <c r="C21" s="298"/>
      <c r="D21" s="299" t="s">
        <v>180</v>
      </c>
      <c r="E21" s="20">
        <f t="shared" ca="1" si="0"/>
        <v>341033076</v>
      </c>
      <c r="F21" s="21">
        <f ca="1">Revenue!F123</f>
        <v>19173240</v>
      </c>
      <c r="G21" s="21">
        <f ca="1">Revenue!G123</f>
        <v>24443050</v>
      </c>
      <c r="H21" s="21">
        <f ca="1">Revenue!H123</f>
        <v>32092288</v>
      </c>
      <c r="I21" s="21">
        <f ca="1">Revenue!I123</f>
        <v>19519848</v>
      </c>
      <c r="J21" s="21">
        <f ca="1">Revenue!J123</f>
        <v>245804650</v>
      </c>
      <c r="K21" s="191"/>
      <c r="O21" s="298"/>
      <c r="P21" s="860" t="s">
        <v>180</v>
      </c>
      <c r="Q21" s="20">
        <f ca="1">SUM(R21:V21)</f>
        <v>352227052</v>
      </c>
      <c r="R21" s="21">
        <f ca="1">Revenue!R123</f>
        <v>20111565</v>
      </c>
      <c r="S21" s="21">
        <f ca="1">Revenue!S123</f>
        <v>25539130</v>
      </c>
      <c r="T21" s="21">
        <f ca="1">Revenue!T123</f>
        <v>34157556</v>
      </c>
      <c r="U21" s="21">
        <f ca="1">Revenue!U123</f>
        <v>20502114</v>
      </c>
      <c r="V21" s="21">
        <f ca="1">Revenue!V123</f>
        <v>251916687</v>
      </c>
      <c r="W21" s="191"/>
      <c r="Y21" s="298"/>
      <c r="Z21" s="299" t="s">
        <v>180</v>
      </c>
      <c r="AA21" s="20">
        <f ca="1">SUM(AB21:AF21)</f>
        <v>362455963</v>
      </c>
      <c r="AB21" s="21">
        <f ca="1">Revenue!AB123</f>
        <v>20554171</v>
      </c>
      <c r="AC21" s="21">
        <f ca="1">Revenue!AC123</f>
        <v>26170445</v>
      </c>
      <c r="AD21" s="21">
        <f ca="1">Revenue!AD123</f>
        <v>35085526</v>
      </c>
      <c r="AE21" s="21">
        <f ca="1">Revenue!AE123</f>
        <v>20934655</v>
      </c>
      <c r="AF21" s="21">
        <f ca="1">Revenue!AF123</f>
        <v>259711166</v>
      </c>
      <c r="AG21" s="191"/>
    </row>
    <row r="22" spans="3:33" ht="43.2" x14ac:dyDescent="0.55000000000000004">
      <c r="C22" s="298"/>
      <c r="D22" s="299" t="s">
        <v>184</v>
      </c>
      <c r="E22" s="20">
        <f t="shared" ca="1" si="0"/>
        <v>48357291</v>
      </c>
      <c r="F22" s="1383">
        <f ca="1">+Revenue!$K$72*(Expenditure!F44/Expenditure!$E$44)</f>
        <v>7253593.6499999994</v>
      </c>
      <c r="G22" s="1383">
        <f ca="1">+Revenue!$K$72*(Expenditure!G44/Expenditure!$E$44)</f>
        <v>2417864.5500000003</v>
      </c>
      <c r="H22" s="1383">
        <f ca="1">+Revenue!$K$72*(Expenditure!H44/Expenditure!$E$44)</f>
        <v>2417864.5500000003</v>
      </c>
      <c r="I22" s="1383">
        <f ca="1">+Revenue!$K$72*(Expenditure!I44/Expenditure!$E$44)</f>
        <v>2417864.5500000003</v>
      </c>
      <c r="J22" s="1383">
        <f ca="1">+Revenue!$K$72*(Expenditure!J44/Expenditure!$E$44)</f>
        <v>33850103.699999996</v>
      </c>
      <c r="K22" s="1384"/>
      <c r="O22" s="298"/>
      <c r="P22" s="860" t="s">
        <v>184</v>
      </c>
      <c r="Q22" s="20">
        <f ca="1">SUM(R22:V22)</f>
        <v>154059859</v>
      </c>
      <c r="R22" s="21">
        <f ca="1">Revenue!$W$123*Expenditure!R44/Expenditure!$Q$44</f>
        <v>23108978.850000001</v>
      </c>
      <c r="S22" s="21">
        <f ca="1">Revenue!$W$123*Expenditure!S44/Expenditure!$Q$44</f>
        <v>7702992.9500000011</v>
      </c>
      <c r="T22" s="21">
        <f ca="1">Revenue!$W$123*Expenditure!T44/Expenditure!$Q$44</f>
        <v>7702992.9500000011</v>
      </c>
      <c r="U22" s="21">
        <f ca="1">Revenue!$W$123*Expenditure!U44/Expenditure!$Q$44</f>
        <v>7702992.9500000011</v>
      </c>
      <c r="V22" s="21">
        <f ca="1">Revenue!$W$123*Expenditure!V44/Expenditure!$Q$44</f>
        <v>107841901.29999998</v>
      </c>
      <c r="W22" s="191"/>
      <c r="Y22" s="298"/>
      <c r="Z22" s="299" t="s">
        <v>184</v>
      </c>
      <c r="AA22" s="20">
        <f ca="1">SUM(AB22:AF22)</f>
        <v>157895889</v>
      </c>
      <c r="AB22" s="21">
        <f ca="1">Revenue!$AG$123*Expenditure!AB44/Expenditure!$AA$44</f>
        <v>23684383.350000001</v>
      </c>
      <c r="AC22" s="21">
        <f ca="1">Revenue!$AG$123*Expenditure!AC44/Expenditure!$AA$44</f>
        <v>7894794.4500000011</v>
      </c>
      <c r="AD22" s="21">
        <f ca="1">Revenue!$AG$123*Expenditure!AD44/Expenditure!$AA$44</f>
        <v>7894794.4500000011</v>
      </c>
      <c r="AE22" s="21">
        <f ca="1">Revenue!$AG$123*Expenditure!AE44/Expenditure!$AA$44</f>
        <v>7894794.4500000011</v>
      </c>
      <c r="AF22" s="21">
        <f ca="1">Revenue!$AG$123*Expenditure!AF44/Expenditure!$AA$44</f>
        <v>110527122.3</v>
      </c>
      <c r="AG22" s="191"/>
    </row>
    <row r="23" spans="3:33" ht="24" customHeight="1" x14ac:dyDescent="0.55000000000000004">
      <c r="C23" s="298"/>
      <c r="D23" s="300" t="s">
        <v>181</v>
      </c>
      <c r="E23" s="17">
        <f t="shared" ca="1" si="0"/>
        <v>389390367</v>
      </c>
      <c r="F23" s="17">
        <f ca="1">F21+F22</f>
        <v>26426833.649999999</v>
      </c>
      <c r="G23" s="17">
        <f ca="1">G21+G22</f>
        <v>26860914.550000001</v>
      </c>
      <c r="H23" s="17">
        <f ca="1">H21+H22</f>
        <v>34510152.549999997</v>
      </c>
      <c r="I23" s="17">
        <f ca="1">I21+I22</f>
        <v>21937712.550000001</v>
      </c>
      <c r="J23" s="17">
        <f ca="1">J21+J22</f>
        <v>279654753.69999999</v>
      </c>
      <c r="K23" s="191"/>
      <c r="O23" s="298"/>
      <c r="P23" s="186" t="s">
        <v>181</v>
      </c>
      <c r="Q23" s="17">
        <f ca="1">SUM(R23:V23)</f>
        <v>506286911</v>
      </c>
      <c r="R23" s="17">
        <f ca="1">R21+R22</f>
        <v>43220543.850000001</v>
      </c>
      <c r="S23" s="17">
        <f ca="1">S21+S22</f>
        <v>33242122.950000003</v>
      </c>
      <c r="T23" s="17">
        <f ca="1">T21+T22</f>
        <v>41860548.950000003</v>
      </c>
      <c r="U23" s="17">
        <f ca="1">U21+U22</f>
        <v>28205106.950000003</v>
      </c>
      <c r="V23" s="17">
        <f ca="1">V21+V22</f>
        <v>359758588.29999995</v>
      </c>
      <c r="W23" s="191"/>
      <c r="Y23" s="298"/>
      <c r="Z23" s="300" t="s">
        <v>181</v>
      </c>
      <c r="AA23" s="17">
        <f ca="1">SUM(AB23:AF23)</f>
        <v>520351852</v>
      </c>
      <c r="AB23" s="17">
        <f ca="1">AB21+AB22</f>
        <v>44238554.350000001</v>
      </c>
      <c r="AC23" s="17">
        <f ca="1">AC21+AC22</f>
        <v>34065239.450000003</v>
      </c>
      <c r="AD23" s="17">
        <f ca="1">AD21+AD22</f>
        <v>42980320.450000003</v>
      </c>
      <c r="AE23" s="17">
        <f ca="1">AE21+AE22</f>
        <v>28829449.450000003</v>
      </c>
      <c r="AF23" s="17">
        <f ca="1">AF21+AF22</f>
        <v>370238288.30000001</v>
      </c>
      <c r="AG23" s="191"/>
    </row>
    <row r="24" spans="3:33" x14ac:dyDescent="0.55000000000000004">
      <c r="C24" s="298"/>
      <c r="D24" s="299"/>
      <c r="E24" s="119"/>
      <c r="F24" s="119"/>
      <c r="G24" s="119"/>
      <c r="H24" s="119"/>
      <c r="I24" s="119"/>
      <c r="J24" s="119"/>
      <c r="K24" s="191"/>
      <c r="O24" s="298"/>
      <c r="P24" s="299"/>
      <c r="Q24" s="119"/>
      <c r="R24" s="119"/>
      <c r="S24" s="119"/>
      <c r="T24" s="119"/>
      <c r="U24" s="119"/>
      <c r="V24" s="119"/>
      <c r="W24" s="191"/>
      <c r="Y24" s="298"/>
      <c r="Z24" s="299"/>
      <c r="AA24" s="119"/>
      <c r="AB24" s="119"/>
      <c r="AC24" s="119"/>
      <c r="AD24" s="119"/>
      <c r="AE24" s="119"/>
      <c r="AF24" s="119"/>
      <c r="AG24" s="191"/>
    </row>
    <row r="25" spans="3:33" ht="14.55" customHeight="1" x14ac:dyDescent="0.55000000000000004">
      <c r="C25" s="298"/>
      <c r="D25" s="300" t="s">
        <v>197</v>
      </c>
      <c r="E25" s="20">
        <f ca="1">SUM(F25:J25)</f>
        <v>506107124</v>
      </c>
      <c r="F25" s="21">
        <f ca="1">F19-F23</f>
        <v>108238120.75</v>
      </c>
      <c r="G25" s="21">
        <f ca="1">G19-G23</f>
        <v>50470341.25</v>
      </c>
      <c r="H25" s="21">
        <f ca="1">H19-H23</f>
        <v>176705441.25</v>
      </c>
      <c r="I25" s="21">
        <f ca="1">I19-I23</f>
        <v>73012719.25</v>
      </c>
      <c r="J25" s="21">
        <f ca="1">J19-J23</f>
        <v>97680501.5</v>
      </c>
      <c r="K25" s="191"/>
      <c r="O25" s="298"/>
      <c r="P25" s="300" t="s">
        <v>197</v>
      </c>
      <c r="Q25" s="20">
        <f ca="1">SUM(R25:V25)</f>
        <v>420280229</v>
      </c>
      <c r="R25" s="21">
        <f ca="1">R19-R23</f>
        <v>96150838.5</v>
      </c>
      <c r="S25" s="21">
        <f ca="1">S19-S23</f>
        <v>46871416.5</v>
      </c>
      <c r="T25" s="21">
        <f ca="1">T19-T23</f>
        <v>176599723.5</v>
      </c>
      <c r="U25" s="21">
        <f ca="1">U19-U23</f>
        <v>70118684.5</v>
      </c>
      <c r="V25" s="21">
        <f ca="1">V19-V23</f>
        <v>30539566</v>
      </c>
      <c r="W25" s="191"/>
      <c r="Y25" s="298"/>
      <c r="Z25" s="300" t="s">
        <v>197</v>
      </c>
      <c r="AA25" s="20">
        <f ca="1">SUM(AB25:AF25)</f>
        <v>436581985.99999994</v>
      </c>
      <c r="AB25" s="21">
        <f ca="1">AB19-AB23</f>
        <v>99740843.5</v>
      </c>
      <c r="AC25" s="21">
        <f ca="1">AC19-AC23</f>
        <v>48791734.5</v>
      </c>
      <c r="AD25" s="21">
        <f ca="1">AD19-AD23</f>
        <v>182544555.5</v>
      </c>
      <c r="AE25" s="21">
        <f ca="1">AE19-AE23</f>
        <v>72811080.5</v>
      </c>
      <c r="AF25" s="21">
        <f ca="1">AF19-AF23</f>
        <v>32693771.99999994</v>
      </c>
      <c r="AG25" s="191"/>
    </row>
    <row r="26" spans="3:33" ht="14.7" thickBot="1" x14ac:dyDescent="0.6">
      <c r="C26" s="302"/>
      <c r="D26" s="303"/>
      <c r="E26" s="304"/>
      <c r="F26" s="304"/>
      <c r="G26" s="304"/>
      <c r="H26" s="304"/>
      <c r="I26" s="304"/>
      <c r="J26" s="304"/>
      <c r="K26" s="305"/>
      <c r="O26" s="302"/>
      <c r="P26" s="303"/>
      <c r="Q26" s="304"/>
      <c r="R26" s="304"/>
      <c r="S26" s="304"/>
      <c r="T26" s="304"/>
      <c r="U26" s="304"/>
      <c r="V26" s="304"/>
      <c r="W26" s="305"/>
      <c r="Y26" s="302"/>
      <c r="Z26" s="303"/>
      <c r="AA26" s="304"/>
      <c r="AB26" s="304"/>
      <c r="AC26" s="304"/>
      <c r="AD26" s="304"/>
      <c r="AE26" s="304"/>
      <c r="AF26" s="304"/>
      <c r="AG26" s="305"/>
    </row>
    <row r="27" spans="3:33" ht="14.7" thickBot="1" x14ac:dyDescent="0.6">
      <c r="C27" s="119"/>
      <c r="D27" s="299"/>
      <c r="E27" s="119"/>
      <c r="F27" s="119"/>
      <c r="G27" s="119"/>
      <c r="H27" s="119"/>
      <c r="I27" s="119"/>
      <c r="J27" s="119"/>
      <c r="K27" s="119"/>
      <c r="O27" s="119"/>
      <c r="P27" s="299"/>
      <c r="Q27" s="119"/>
      <c r="R27" s="119"/>
      <c r="S27" s="119"/>
      <c r="T27" s="119"/>
      <c r="U27" s="119"/>
      <c r="V27" s="119"/>
      <c r="W27" s="119"/>
      <c r="Y27" s="119"/>
      <c r="Z27" s="299"/>
      <c r="AA27" s="119"/>
      <c r="AB27" s="119"/>
      <c r="AC27" s="119"/>
      <c r="AD27" s="119"/>
      <c r="AE27" s="119"/>
      <c r="AF27" s="119"/>
      <c r="AG27" s="119"/>
    </row>
    <row r="28" spans="3:33" x14ac:dyDescent="0.55000000000000004">
      <c r="C28" s="295"/>
      <c r="D28" s="306"/>
      <c r="E28" s="296"/>
      <c r="F28" s="296"/>
      <c r="G28" s="296"/>
      <c r="H28" s="296"/>
      <c r="I28" s="296"/>
      <c r="J28" s="296"/>
      <c r="K28" s="297"/>
      <c r="O28" s="295"/>
      <c r="P28" s="306"/>
      <c r="Q28" s="296"/>
      <c r="R28" s="296"/>
      <c r="S28" s="296"/>
      <c r="T28" s="296"/>
      <c r="U28" s="296"/>
      <c r="V28" s="296"/>
      <c r="W28" s="297"/>
      <c r="Y28" s="295"/>
      <c r="Z28" s="306"/>
      <c r="AA28" s="296"/>
      <c r="AB28" s="296"/>
      <c r="AC28" s="296"/>
      <c r="AD28" s="296"/>
      <c r="AE28" s="296"/>
      <c r="AF28" s="296"/>
      <c r="AG28" s="297"/>
    </row>
    <row r="29" spans="3:33" ht="14.55" customHeight="1" x14ac:dyDescent="0.55000000000000004">
      <c r="C29" s="298"/>
      <c r="D29" s="300" t="s">
        <v>183</v>
      </c>
      <c r="E29" s="119"/>
      <c r="F29" s="119"/>
      <c r="G29" s="119"/>
      <c r="H29" s="119"/>
      <c r="I29" s="119"/>
      <c r="J29" s="119"/>
      <c r="K29" s="191"/>
      <c r="O29" s="298"/>
      <c r="P29" s="300" t="s">
        <v>183</v>
      </c>
      <c r="Q29" s="119"/>
      <c r="R29" s="119"/>
      <c r="S29" s="119"/>
      <c r="T29" s="119"/>
      <c r="U29" s="119"/>
      <c r="V29" s="119"/>
      <c r="W29" s="191"/>
      <c r="Y29" s="298"/>
      <c r="Z29" s="300" t="s">
        <v>183</v>
      </c>
      <c r="AA29" s="119"/>
      <c r="AB29" s="119"/>
      <c r="AC29" s="119"/>
      <c r="AD29" s="119"/>
      <c r="AE29" s="119"/>
      <c r="AF29" s="119"/>
      <c r="AG29" s="191"/>
    </row>
    <row r="30" spans="3:33" ht="14.55" customHeight="1" x14ac:dyDescent="0.55000000000000004">
      <c r="C30" s="298"/>
      <c r="D30" s="1804" t="s">
        <v>487</v>
      </c>
      <c r="E30" s="1804"/>
      <c r="F30" s="1804"/>
      <c r="G30" s="1804"/>
      <c r="H30" s="1804"/>
      <c r="I30" s="1804"/>
      <c r="J30" s="1804"/>
      <c r="K30" s="136"/>
      <c r="O30" s="298"/>
      <c r="P30" s="1805" t="s">
        <v>487</v>
      </c>
      <c r="Q30" s="1805"/>
      <c r="R30" s="1805"/>
      <c r="S30" s="1805"/>
      <c r="T30" s="1805"/>
      <c r="U30" s="1805"/>
      <c r="V30" s="1805"/>
      <c r="W30" s="136"/>
      <c r="Y30" s="298"/>
      <c r="Z30" s="1804" t="s">
        <v>487</v>
      </c>
      <c r="AA30" s="1804"/>
      <c r="AB30" s="1804"/>
      <c r="AC30" s="1804"/>
      <c r="AD30" s="1804"/>
      <c r="AE30" s="1804"/>
      <c r="AF30" s="1804"/>
      <c r="AG30" s="136"/>
    </row>
    <row r="31" spans="3:33" x14ac:dyDescent="0.55000000000000004">
      <c r="C31" s="298"/>
      <c r="D31" s="1804"/>
      <c r="E31" s="1804"/>
      <c r="F31" s="1804"/>
      <c r="G31" s="1804"/>
      <c r="H31" s="1804"/>
      <c r="I31" s="1804"/>
      <c r="J31" s="1804"/>
      <c r="K31" s="136"/>
      <c r="O31" s="298"/>
      <c r="P31" s="1805"/>
      <c r="Q31" s="1805"/>
      <c r="R31" s="1805"/>
      <c r="S31" s="1805"/>
      <c r="T31" s="1805"/>
      <c r="U31" s="1805"/>
      <c r="V31" s="1805"/>
      <c r="W31" s="136"/>
      <c r="Y31" s="298"/>
      <c r="Z31" s="1804"/>
      <c r="AA31" s="1804"/>
      <c r="AB31" s="1804"/>
      <c r="AC31" s="1804"/>
      <c r="AD31" s="1804"/>
      <c r="AE31" s="1804"/>
      <c r="AF31" s="1804"/>
      <c r="AG31" s="136"/>
    </row>
    <row r="32" spans="3:33" x14ac:dyDescent="0.55000000000000004">
      <c r="C32" s="298"/>
      <c r="D32" s="119"/>
      <c r="E32" s="119"/>
      <c r="F32" s="119"/>
      <c r="G32" s="119"/>
      <c r="H32" s="119"/>
      <c r="I32" s="119"/>
      <c r="J32" s="119"/>
      <c r="K32" s="191"/>
      <c r="O32" s="298"/>
      <c r="P32" s="119"/>
      <c r="Q32" s="119"/>
      <c r="R32" s="119"/>
      <c r="S32" s="119"/>
      <c r="T32" s="119"/>
      <c r="U32" s="119"/>
      <c r="V32" s="119"/>
      <c r="W32" s="191"/>
      <c r="Y32" s="298"/>
      <c r="Z32" s="119"/>
      <c r="AA32" s="119"/>
      <c r="AB32" s="119"/>
      <c r="AC32" s="119"/>
      <c r="AD32" s="119"/>
      <c r="AE32" s="119"/>
      <c r="AF32" s="119"/>
      <c r="AG32" s="191"/>
    </row>
    <row r="33" spans="3:33" ht="28.95" customHeight="1" x14ac:dyDescent="0.55000000000000004">
      <c r="C33" s="298"/>
      <c r="D33" s="119"/>
      <c r="E33" s="283" t="s">
        <v>240</v>
      </c>
      <c r="F33" s="283" t="s">
        <v>242</v>
      </c>
      <c r="G33" s="283" t="s">
        <v>243</v>
      </c>
      <c r="H33" s="283" t="s">
        <v>244</v>
      </c>
      <c r="I33" s="283" t="s">
        <v>238</v>
      </c>
      <c r="J33" s="283" t="s">
        <v>239</v>
      </c>
      <c r="K33" s="191"/>
      <c r="O33" s="298"/>
      <c r="P33" s="119"/>
      <c r="Q33" s="283" t="s">
        <v>240</v>
      </c>
      <c r="R33" s="283" t="s">
        <v>242</v>
      </c>
      <c r="S33" s="283" t="s">
        <v>243</v>
      </c>
      <c r="T33" s="283" t="s">
        <v>244</v>
      </c>
      <c r="U33" s="283" t="s">
        <v>238</v>
      </c>
      <c r="V33" s="283" t="s">
        <v>239</v>
      </c>
      <c r="W33" s="191"/>
      <c r="Y33" s="298"/>
      <c r="Z33" s="119"/>
      <c r="AA33" s="283" t="s">
        <v>240</v>
      </c>
      <c r="AB33" s="283" t="s">
        <v>242</v>
      </c>
      <c r="AC33" s="283" t="s">
        <v>243</v>
      </c>
      <c r="AD33" s="283" t="s">
        <v>244</v>
      </c>
      <c r="AE33" s="283" t="s">
        <v>238</v>
      </c>
      <c r="AF33" s="283" t="s">
        <v>239</v>
      </c>
      <c r="AG33" s="191"/>
    </row>
    <row r="34" spans="3:33" x14ac:dyDescent="0.55000000000000004">
      <c r="C34" s="298"/>
      <c r="D34" t="s">
        <v>143</v>
      </c>
      <c r="E34" s="20">
        <f ca="1">SUM(F34:J34)</f>
        <v>895497491</v>
      </c>
      <c r="F34" s="21">
        <f ca="1">Expenditure!F54</f>
        <v>134664954.40000001</v>
      </c>
      <c r="G34" s="21">
        <f ca="1">Expenditure!G54</f>
        <v>77331255.799999997</v>
      </c>
      <c r="H34" s="21">
        <f ca="1">Expenditure!H54</f>
        <v>211215593.80000001</v>
      </c>
      <c r="I34" s="21">
        <f ca="1">Expenditure!I54</f>
        <v>94950431.799999997</v>
      </c>
      <c r="J34" s="21">
        <f ca="1">Expenditure!J54</f>
        <v>377335255.19999999</v>
      </c>
      <c r="K34" s="191"/>
      <c r="O34" s="298"/>
      <c r="P34" t="s">
        <v>143</v>
      </c>
      <c r="Q34" s="20">
        <f ca="1">SUM(R34:V34)</f>
        <v>926567140</v>
      </c>
      <c r="R34" s="21">
        <f ca="1">Expenditure!R54</f>
        <v>139371382.34999999</v>
      </c>
      <c r="S34" s="21">
        <f ca="1">Expenditure!S54</f>
        <v>80113539.450000003</v>
      </c>
      <c r="T34" s="21">
        <f ca="1">Expenditure!T54</f>
        <v>218460272.44999999</v>
      </c>
      <c r="U34" s="21">
        <f ca="1">Expenditure!U54</f>
        <v>98323791.450000003</v>
      </c>
      <c r="V34" s="21">
        <f ca="1">Expenditure!V54</f>
        <v>390298154.29999995</v>
      </c>
      <c r="W34" s="191"/>
      <c r="Y34" s="298"/>
      <c r="Z34" t="s">
        <v>143</v>
      </c>
      <c r="AA34" s="20">
        <f ca="1">SUM(AB34:AF34)</f>
        <v>956933838</v>
      </c>
      <c r="AB34" s="21">
        <f ca="1">Expenditure!AB54</f>
        <v>143979397.84999999</v>
      </c>
      <c r="AC34" s="21">
        <f ca="1">Expenditure!AC54</f>
        <v>82856973.950000003</v>
      </c>
      <c r="AD34" s="21">
        <f ca="1">Expenditure!AD54</f>
        <v>225524875.94999999</v>
      </c>
      <c r="AE34" s="21">
        <f ca="1">Expenditure!AE54</f>
        <v>101640529.95</v>
      </c>
      <c r="AF34" s="21">
        <f ca="1">Expenditure!AF54</f>
        <v>402932060.29999995</v>
      </c>
      <c r="AG34" s="191"/>
    </row>
    <row r="35" spans="3:33" ht="14.55" customHeight="1" x14ac:dyDescent="0.55000000000000004">
      <c r="C35" s="298"/>
      <c r="D35" s="299" t="s">
        <v>488</v>
      </c>
      <c r="E35" s="307"/>
      <c r="F35" s="23"/>
      <c r="G35" s="23"/>
      <c r="H35" s="23"/>
      <c r="I35" s="23"/>
      <c r="J35" s="63"/>
      <c r="K35" s="191"/>
      <c r="O35" s="298"/>
      <c r="P35" s="299" t="s">
        <v>488</v>
      </c>
      <c r="Q35" s="307"/>
      <c r="R35" s="23"/>
      <c r="S35" s="23"/>
      <c r="T35" s="23"/>
      <c r="U35" s="23"/>
      <c r="V35" s="63"/>
      <c r="W35" s="191"/>
      <c r="Y35" s="298"/>
      <c r="Z35" s="299" t="s">
        <v>488</v>
      </c>
      <c r="AA35" s="307"/>
      <c r="AB35" s="23"/>
      <c r="AC35" s="23"/>
      <c r="AD35" s="23"/>
      <c r="AE35" s="23"/>
      <c r="AF35" s="63"/>
      <c r="AG35" s="191"/>
    </row>
    <row r="36" spans="3:33" ht="14.55" customHeight="1" x14ac:dyDescent="0.55000000000000004">
      <c r="C36" s="298"/>
      <c r="D36" s="299" t="s">
        <v>176</v>
      </c>
      <c r="E36" s="20">
        <f ca="1">SUM(F36:J36)</f>
        <v>97680501.5</v>
      </c>
      <c r="F36" s="21">
        <f ca="1">F34*F35</f>
        <v>0</v>
      </c>
      <c r="G36" s="21">
        <f ca="1">G34*G35</f>
        <v>0</v>
      </c>
      <c r="H36" s="21">
        <f ca="1">H34*H35</f>
        <v>0</v>
      </c>
      <c r="I36" s="21">
        <f ca="1">I34*I35</f>
        <v>0</v>
      </c>
      <c r="J36" s="21">
        <f ca="1">J25</f>
        <v>97680501.5</v>
      </c>
      <c r="K36" s="191"/>
      <c r="O36" s="298"/>
      <c r="P36" s="299" t="s">
        <v>176</v>
      </c>
      <c r="Q36" s="20">
        <f ca="1">SUM(R36:V36)</f>
        <v>30539566</v>
      </c>
      <c r="R36" s="21">
        <f ca="1">R34*R35</f>
        <v>0</v>
      </c>
      <c r="S36" s="21">
        <f ca="1">S34*S35</f>
        <v>0</v>
      </c>
      <c r="T36" s="21">
        <f ca="1">T34*T35</f>
        <v>0</v>
      </c>
      <c r="U36" s="21">
        <f ca="1">U34*U35</f>
        <v>0</v>
      </c>
      <c r="V36" s="21">
        <f ca="1">V25</f>
        <v>30539566</v>
      </c>
      <c r="W36" s="191"/>
      <c r="Y36" s="298"/>
      <c r="Z36" s="299" t="s">
        <v>176</v>
      </c>
      <c r="AA36" s="20">
        <f ca="1">SUM(AB36:AF36)</f>
        <v>32693771.99999994</v>
      </c>
      <c r="AB36" s="21">
        <f ca="1">AB34*AB35</f>
        <v>0</v>
      </c>
      <c r="AC36" s="21">
        <f ca="1">AC34*AC35</f>
        <v>0</v>
      </c>
      <c r="AD36" s="21">
        <f ca="1">AD34*AD35</f>
        <v>0</v>
      </c>
      <c r="AE36" s="21">
        <f ca="1">AE34*AE35</f>
        <v>0</v>
      </c>
      <c r="AF36" s="21">
        <f ca="1">AF25</f>
        <v>32693771.99999994</v>
      </c>
      <c r="AG36" s="191"/>
    </row>
    <row r="37" spans="3:33" ht="14.7" thickBot="1" x14ac:dyDescent="0.6">
      <c r="C37" s="302"/>
      <c r="D37" s="303"/>
      <c r="E37" s="152"/>
      <c r="F37" s="152"/>
      <c r="G37" s="152"/>
      <c r="H37" s="152"/>
      <c r="I37" s="152"/>
      <c r="J37" s="152"/>
      <c r="K37" s="305"/>
      <c r="O37" s="302"/>
      <c r="P37" s="303"/>
      <c r="Q37" s="152"/>
      <c r="R37" s="152"/>
      <c r="S37" s="152"/>
      <c r="T37" s="152"/>
      <c r="U37" s="152"/>
      <c r="V37" s="152"/>
      <c r="W37" s="305"/>
      <c r="Y37" s="302"/>
      <c r="Z37" s="303"/>
      <c r="AA37" s="152"/>
      <c r="AB37" s="152"/>
      <c r="AC37" s="152"/>
      <c r="AD37" s="152"/>
      <c r="AE37" s="152"/>
      <c r="AF37" s="152"/>
      <c r="AG37" s="305"/>
    </row>
    <row r="38" spans="3:33" ht="14.7" thickBot="1" x14ac:dyDescent="0.6">
      <c r="C38" s="119"/>
      <c r="D38" s="119"/>
      <c r="E38" s="119"/>
      <c r="F38" s="119"/>
      <c r="G38" s="119"/>
      <c r="H38" s="119"/>
      <c r="I38" s="119"/>
      <c r="J38" s="119"/>
      <c r="K38" s="119"/>
      <c r="O38" s="119"/>
      <c r="P38" s="119"/>
      <c r="Q38" s="119"/>
      <c r="R38" s="119"/>
      <c r="S38" s="119"/>
      <c r="T38" s="119"/>
      <c r="U38" s="119"/>
      <c r="V38" s="119"/>
      <c r="W38" s="119"/>
      <c r="Y38" s="119"/>
      <c r="Z38" s="119"/>
      <c r="AA38" s="119"/>
      <c r="AB38" s="119"/>
      <c r="AC38" s="119"/>
      <c r="AD38" s="119"/>
      <c r="AE38" s="119"/>
      <c r="AF38" s="119"/>
      <c r="AG38" s="119"/>
    </row>
    <row r="39" spans="3:33" x14ac:dyDescent="0.55000000000000004">
      <c r="C39" s="121"/>
      <c r="D39" s="122"/>
      <c r="E39" s="122"/>
      <c r="F39" s="122"/>
      <c r="G39" s="122"/>
      <c r="H39" s="122"/>
      <c r="I39" s="122"/>
      <c r="J39" s="122"/>
      <c r="K39" s="123"/>
      <c r="O39" s="121"/>
      <c r="P39" s="122"/>
      <c r="Q39" s="122"/>
      <c r="R39" s="122"/>
      <c r="S39" s="122"/>
      <c r="T39" s="122"/>
      <c r="U39" s="122"/>
      <c r="V39" s="122"/>
      <c r="W39" s="123"/>
      <c r="Y39" s="121"/>
      <c r="Z39" s="122"/>
      <c r="AA39" s="122"/>
      <c r="AB39" s="122"/>
      <c r="AC39" s="122"/>
      <c r="AD39" s="122"/>
      <c r="AE39" s="122"/>
      <c r="AF39" s="122"/>
      <c r="AG39" s="123"/>
    </row>
    <row r="40" spans="3:33" x14ac:dyDescent="0.55000000000000004">
      <c r="C40" s="124"/>
      <c r="D40" s="1" t="s">
        <v>187</v>
      </c>
      <c r="K40" s="125"/>
      <c r="O40" s="124"/>
      <c r="P40" s="1" t="s">
        <v>187</v>
      </c>
      <c r="W40" s="125"/>
      <c r="Y40" s="124"/>
      <c r="Z40" s="1" t="s">
        <v>187</v>
      </c>
      <c r="AG40" s="125"/>
    </row>
    <row r="41" spans="3:33" ht="14.55" customHeight="1" x14ac:dyDescent="0.55000000000000004">
      <c r="C41" s="124"/>
      <c r="D41" s="1804" t="s">
        <v>188</v>
      </c>
      <c r="E41" s="1804"/>
      <c r="F41" s="1804"/>
      <c r="G41" s="1804"/>
      <c r="H41" s="1804"/>
      <c r="I41" s="1804"/>
      <c r="J41" s="1804"/>
      <c r="K41" s="125"/>
      <c r="O41" s="124"/>
      <c r="P41" s="119" t="s">
        <v>188</v>
      </c>
      <c r="Q41" s="119"/>
      <c r="R41" s="119"/>
      <c r="S41" s="119"/>
      <c r="T41" s="119"/>
      <c r="U41" s="119"/>
      <c r="V41" s="119"/>
      <c r="W41" s="125"/>
      <c r="Y41" s="124"/>
      <c r="Z41" s="1804" t="s">
        <v>188</v>
      </c>
      <c r="AA41" s="1804"/>
      <c r="AB41" s="1804"/>
      <c r="AC41" s="1804"/>
      <c r="AD41" s="1804"/>
      <c r="AE41" s="1804"/>
      <c r="AF41" s="1804"/>
      <c r="AG41" s="125"/>
    </row>
    <row r="42" spans="3:33" ht="28.2" customHeight="1" x14ac:dyDescent="0.55000000000000004">
      <c r="C42" s="124"/>
      <c r="D42" s="1804"/>
      <c r="E42" s="1804"/>
      <c r="F42" s="1804"/>
      <c r="G42" s="1804"/>
      <c r="H42" s="1804"/>
      <c r="I42" s="1804"/>
      <c r="J42" s="1804"/>
      <c r="K42" s="125"/>
      <c r="O42" s="124"/>
      <c r="P42" s="119"/>
      <c r="Q42" s="119"/>
      <c r="R42" s="119"/>
      <c r="S42" s="119"/>
      <c r="T42" s="119"/>
      <c r="U42" s="119"/>
      <c r="V42" s="119"/>
      <c r="W42" s="125"/>
      <c r="Y42" s="124"/>
      <c r="Z42" s="1804"/>
      <c r="AA42" s="1804"/>
      <c r="AB42" s="1804"/>
      <c r="AC42" s="1804"/>
      <c r="AD42" s="1804"/>
      <c r="AE42" s="1804"/>
      <c r="AF42" s="1804"/>
      <c r="AG42" s="125"/>
    </row>
    <row r="43" spans="3:33" x14ac:dyDescent="0.55000000000000004">
      <c r="C43" s="124"/>
      <c r="K43" s="125"/>
      <c r="O43" s="124"/>
      <c r="W43" s="125"/>
      <c r="Y43" s="124"/>
      <c r="AG43" s="125"/>
    </row>
    <row r="44" spans="3:33" ht="28.95" customHeight="1" x14ac:dyDescent="0.55000000000000004">
      <c r="C44" s="124"/>
      <c r="E44" s="283" t="s">
        <v>240</v>
      </c>
      <c r="F44" s="283" t="s">
        <v>242</v>
      </c>
      <c r="G44" s="283" t="s">
        <v>243</v>
      </c>
      <c r="H44" s="283" t="s">
        <v>244</v>
      </c>
      <c r="I44" s="283" t="s">
        <v>238</v>
      </c>
      <c r="J44" s="283" t="s">
        <v>239</v>
      </c>
      <c r="K44" s="125"/>
      <c r="O44" s="124"/>
      <c r="Q44" s="283" t="s">
        <v>240</v>
      </c>
      <c r="R44" s="283" t="s">
        <v>242</v>
      </c>
      <c r="S44" s="283" t="s">
        <v>243</v>
      </c>
      <c r="T44" s="283" t="s">
        <v>244</v>
      </c>
      <c r="U44" s="283" t="s">
        <v>238</v>
      </c>
      <c r="V44" s="283" t="s">
        <v>239</v>
      </c>
      <c r="W44" s="125"/>
      <c r="Y44" s="124"/>
      <c r="AA44" s="283" t="s">
        <v>240</v>
      </c>
      <c r="AB44" s="283" t="s">
        <v>242</v>
      </c>
      <c r="AC44" s="283" t="s">
        <v>243</v>
      </c>
      <c r="AD44" s="283" t="s">
        <v>244</v>
      </c>
      <c r="AE44" s="283" t="s">
        <v>238</v>
      </c>
      <c r="AF44" s="283" t="s">
        <v>239</v>
      </c>
      <c r="AG44" s="125"/>
    </row>
    <row r="45" spans="3:33" x14ac:dyDescent="0.55000000000000004">
      <c r="C45" s="124"/>
      <c r="D45" t="s">
        <v>143</v>
      </c>
      <c r="E45" s="20">
        <f ca="1">SUM(F45:J45)</f>
        <v>895497491</v>
      </c>
      <c r="F45" s="26">
        <f ca="1">Expenditure!F54</f>
        <v>134664954.40000001</v>
      </c>
      <c r="G45" s="26">
        <f ca="1">Expenditure!G54</f>
        <v>77331255.799999997</v>
      </c>
      <c r="H45" s="26">
        <f ca="1">Expenditure!H54</f>
        <v>211215593.80000001</v>
      </c>
      <c r="I45" s="26">
        <f ca="1">Expenditure!I54</f>
        <v>94950431.799999997</v>
      </c>
      <c r="J45" s="26">
        <f ca="1">Expenditure!J54</f>
        <v>377335255.19999999</v>
      </c>
      <c r="K45" s="125"/>
      <c r="O45" s="124"/>
      <c r="P45" t="s">
        <v>143</v>
      </c>
      <c r="Q45" s="20">
        <f ca="1">SUM(R45:V45)</f>
        <v>926567140</v>
      </c>
      <c r="R45" s="26">
        <f ca="1">Expenditure!R54</f>
        <v>139371382.34999999</v>
      </c>
      <c r="S45" s="26">
        <f ca="1">Expenditure!S54</f>
        <v>80113539.450000003</v>
      </c>
      <c r="T45" s="26">
        <f ca="1">Expenditure!T54</f>
        <v>218460272.44999999</v>
      </c>
      <c r="U45" s="26">
        <f ca="1">Expenditure!U54</f>
        <v>98323791.450000003</v>
      </c>
      <c r="V45" s="26">
        <f ca="1">Expenditure!V54</f>
        <v>390298154.29999995</v>
      </c>
      <c r="W45" s="125"/>
      <c r="Y45" s="124"/>
      <c r="Z45" t="s">
        <v>143</v>
      </c>
      <c r="AA45" s="20">
        <f ca="1">SUM(AB45:AF45)</f>
        <v>956933838</v>
      </c>
      <c r="AB45" s="26">
        <f ca="1">Expenditure!AB54</f>
        <v>143979397.84999999</v>
      </c>
      <c r="AC45" s="26">
        <f ca="1">Expenditure!AC54</f>
        <v>82856973.950000003</v>
      </c>
      <c r="AD45" s="26">
        <f ca="1">Expenditure!AD54</f>
        <v>225524875.94999999</v>
      </c>
      <c r="AE45" s="26">
        <f ca="1">Expenditure!AE54</f>
        <v>101640529.95</v>
      </c>
      <c r="AF45" s="26">
        <f ca="1">Expenditure!AF54</f>
        <v>402932060.29999995</v>
      </c>
      <c r="AG45" s="125"/>
    </row>
    <row r="46" spans="3:33" ht="28.8" x14ac:dyDescent="0.55000000000000004">
      <c r="C46" s="124"/>
      <c r="D46" s="164" t="s">
        <v>490</v>
      </c>
      <c r="E46" s="307"/>
      <c r="F46" s="23" t="str">
        <f>'PART C- Municipal Details'!G20</f>
        <v>0</v>
      </c>
      <c r="G46" s="23" t="str">
        <f>'PART C- Municipal Details'!H20</f>
        <v>0</v>
      </c>
      <c r="H46" s="23" t="str">
        <f>'PART C- Municipal Details'!I20</f>
        <v>0</v>
      </c>
      <c r="I46" s="23" t="str">
        <f>'PART C- Municipal Details'!J20</f>
        <v>0</v>
      </c>
      <c r="J46" s="63"/>
      <c r="K46" s="125"/>
      <c r="O46" s="124"/>
      <c r="P46" t="s">
        <v>490</v>
      </c>
      <c r="Q46" s="307"/>
      <c r="R46" s="23" t="str">
        <f>'PART C- Municipal Details'!AT20</f>
        <v>0</v>
      </c>
      <c r="S46" s="23" t="str">
        <f>'PART C- Municipal Details'!AU20</f>
        <v>0</v>
      </c>
      <c r="T46" s="23" t="str">
        <f>'PART C- Municipal Details'!AV20</f>
        <v>0</v>
      </c>
      <c r="U46" s="23" t="str">
        <f>'PART C- Municipal Details'!AW20</f>
        <v>0</v>
      </c>
      <c r="V46" s="63"/>
      <c r="W46" s="125"/>
      <c r="Y46" s="124"/>
      <c r="Z46" t="s">
        <v>490</v>
      </c>
      <c r="AA46" s="307"/>
      <c r="AB46" s="23" t="str">
        <f>'PART C- Municipal Details'!CG20</f>
        <v>0</v>
      </c>
      <c r="AC46" s="23" t="str">
        <f>'PART C- Municipal Details'!CH20</f>
        <v>0</v>
      </c>
      <c r="AD46" s="23" t="str">
        <f>'PART C- Municipal Details'!CI20</f>
        <v>0</v>
      </c>
      <c r="AE46" s="23" t="str">
        <f>'PART C- Municipal Details'!CJ20</f>
        <v>0</v>
      </c>
      <c r="AF46" s="63"/>
      <c r="AG46" s="125"/>
    </row>
    <row r="47" spans="3:33" x14ac:dyDescent="0.55000000000000004">
      <c r="C47" s="124"/>
      <c r="D47" t="s">
        <v>144</v>
      </c>
      <c r="E47" s="20">
        <f ca="1">SUM(F47:J47)</f>
        <v>0</v>
      </c>
      <c r="F47" s="21">
        <f ca="1">IF(F35&gt;0,0,F46)*F45</f>
        <v>0</v>
      </c>
      <c r="G47" s="21">
        <f ca="1">IF(G35&gt;0,0,G46)*G45</f>
        <v>0</v>
      </c>
      <c r="H47" s="21">
        <f ca="1">IF(H35&gt;0,0,H46)*H45</f>
        <v>0</v>
      </c>
      <c r="I47" s="21">
        <f ca="1">IF(I35&gt;0,0,I46)*I45</f>
        <v>0</v>
      </c>
      <c r="J47" s="21">
        <f ca="1">IF(J35&gt;0,0,J46)*J45</f>
        <v>0</v>
      </c>
      <c r="K47" s="125"/>
      <c r="O47" s="124"/>
      <c r="P47" t="s">
        <v>144</v>
      </c>
      <c r="Q47" s="20">
        <f ca="1">SUM(R47:V47)</f>
        <v>0</v>
      </c>
      <c r="R47" s="21">
        <f ca="1">IF(R35&gt;0,0,R46)*R45</f>
        <v>0</v>
      </c>
      <c r="S47" s="21">
        <f ca="1">IF(S35&gt;0,0,S46)*S45</f>
        <v>0</v>
      </c>
      <c r="T47" s="21">
        <f ca="1">IF(T35&gt;0,0,T46)*T45</f>
        <v>0</v>
      </c>
      <c r="U47" s="21">
        <f ca="1">IF(U35&gt;0,0,U46)*U45</f>
        <v>0</v>
      </c>
      <c r="V47" s="21">
        <f ca="1">IF(V35&gt;0,0,V46)*V45</f>
        <v>0</v>
      </c>
      <c r="W47" s="125"/>
      <c r="Y47" s="124"/>
      <c r="Z47" t="s">
        <v>144</v>
      </c>
      <c r="AA47" s="20">
        <f ca="1">SUM(AB47:AF47)</f>
        <v>0</v>
      </c>
      <c r="AB47" s="21">
        <f ca="1">IF(AB35&gt;0,0,AB46)*AB45</f>
        <v>0</v>
      </c>
      <c r="AC47" s="21">
        <f ca="1">IF(AC35&gt;0,0,AC46)*AC45</f>
        <v>0</v>
      </c>
      <c r="AD47" s="21">
        <f ca="1">IF(AD35&gt;0,0,AD46)*AD45</f>
        <v>0</v>
      </c>
      <c r="AE47" s="21">
        <f ca="1">IF(AE35&gt;0,0,AE46)*AE45</f>
        <v>0</v>
      </c>
      <c r="AF47" s="21">
        <f ca="1">IF(AF35&gt;0,0,AF46)*AF45</f>
        <v>0</v>
      </c>
      <c r="AG47" s="125"/>
    </row>
    <row r="48" spans="3:33" x14ac:dyDescent="0.55000000000000004">
      <c r="C48" s="124"/>
      <c r="E48" s="17"/>
      <c r="F48" s="135"/>
      <c r="G48" s="135"/>
      <c r="H48" s="135"/>
      <c r="I48" s="135"/>
      <c r="J48" s="135"/>
      <c r="K48" s="125"/>
      <c r="O48" s="124"/>
      <c r="Q48" s="17"/>
      <c r="R48" s="135"/>
      <c r="S48" s="135"/>
      <c r="T48" s="135"/>
      <c r="U48" s="135"/>
      <c r="V48" s="135"/>
      <c r="W48" s="125"/>
      <c r="Y48" s="124"/>
      <c r="AA48" s="17"/>
      <c r="AB48" s="135"/>
      <c r="AC48" s="135"/>
      <c r="AD48" s="135"/>
      <c r="AE48" s="135"/>
      <c r="AF48" s="135"/>
      <c r="AG48" s="125"/>
    </row>
    <row r="49" spans="3:33" ht="14.55" customHeight="1" x14ac:dyDescent="0.55000000000000004">
      <c r="C49" s="124"/>
      <c r="D49" s="1804" t="s">
        <v>195</v>
      </c>
      <c r="E49" s="1804"/>
      <c r="F49" s="1804"/>
      <c r="G49" s="1804"/>
      <c r="H49" s="1804"/>
      <c r="I49" s="1804"/>
      <c r="J49" s="1804"/>
      <c r="K49" s="125"/>
      <c r="O49" s="124"/>
      <c r="P49" s="119" t="s">
        <v>195</v>
      </c>
      <c r="Q49" s="119"/>
      <c r="R49" s="119"/>
      <c r="S49" s="119"/>
      <c r="T49" s="119"/>
      <c r="U49" s="119"/>
      <c r="V49" s="119"/>
      <c r="W49" s="125"/>
      <c r="Y49" s="124"/>
      <c r="Z49" s="1804" t="s">
        <v>195</v>
      </c>
      <c r="AA49" s="1804"/>
      <c r="AB49" s="1804"/>
      <c r="AC49" s="1804"/>
      <c r="AD49" s="1804"/>
      <c r="AE49" s="1804"/>
      <c r="AF49" s="1804"/>
      <c r="AG49" s="125"/>
    </row>
    <row r="50" spans="3:33" x14ac:dyDescent="0.55000000000000004">
      <c r="C50" s="124"/>
      <c r="D50" s="1804"/>
      <c r="E50" s="1804"/>
      <c r="F50" s="1804"/>
      <c r="G50" s="1804"/>
      <c r="H50" s="1804"/>
      <c r="I50" s="1804"/>
      <c r="J50" s="1804"/>
      <c r="K50" s="125"/>
      <c r="O50" s="124"/>
      <c r="P50" s="119"/>
      <c r="Q50" s="119"/>
      <c r="R50" s="119"/>
      <c r="S50" s="119"/>
      <c r="T50" s="119"/>
      <c r="U50" s="119"/>
      <c r="V50" s="119"/>
      <c r="W50" s="125"/>
      <c r="Y50" s="124"/>
      <c r="Z50" s="1804"/>
      <c r="AA50" s="1804"/>
      <c r="AB50" s="1804"/>
      <c r="AC50" s="1804"/>
      <c r="AD50" s="1804"/>
      <c r="AE50" s="1804"/>
      <c r="AF50" s="1804"/>
      <c r="AG50" s="125"/>
    </row>
    <row r="51" spans="3:33" x14ac:dyDescent="0.55000000000000004">
      <c r="C51" s="124"/>
      <c r="D51" s="1804"/>
      <c r="E51" s="1804"/>
      <c r="F51" s="1804"/>
      <c r="G51" s="1804"/>
      <c r="H51" s="1804"/>
      <c r="I51" s="1804"/>
      <c r="J51" s="1804"/>
      <c r="K51" s="125"/>
      <c r="O51" s="124"/>
      <c r="P51" s="119"/>
      <c r="Q51" s="119"/>
      <c r="R51" s="119"/>
      <c r="S51" s="119"/>
      <c r="T51" s="27"/>
      <c r="U51" s="119"/>
      <c r="V51" s="119"/>
      <c r="W51" s="125"/>
      <c r="Y51" s="124"/>
      <c r="Z51" s="1804"/>
      <c r="AA51" s="1804"/>
      <c r="AB51" s="1804"/>
      <c r="AC51" s="1804"/>
      <c r="AD51" s="1804"/>
      <c r="AE51" s="1804"/>
      <c r="AF51" s="1804"/>
      <c r="AG51" s="125"/>
    </row>
    <row r="52" spans="3:33" x14ac:dyDescent="0.55000000000000004">
      <c r="C52" s="124"/>
      <c r="E52" s="17"/>
      <c r="F52" s="135"/>
      <c r="G52" s="135"/>
      <c r="H52" s="135"/>
      <c r="I52" s="135"/>
      <c r="J52" s="135"/>
      <c r="K52" s="125"/>
      <c r="O52" s="124"/>
      <c r="Q52" s="17"/>
      <c r="R52" s="135"/>
      <c r="S52" s="135"/>
      <c r="T52" s="135"/>
      <c r="U52" s="135"/>
      <c r="V52" s="135"/>
      <c r="W52" s="125"/>
      <c r="Y52" s="124"/>
      <c r="AA52" s="17"/>
      <c r="AB52" s="135"/>
      <c r="AC52" s="135"/>
      <c r="AD52" s="135"/>
      <c r="AE52" s="135"/>
      <c r="AF52" s="135"/>
      <c r="AG52" s="125"/>
    </row>
    <row r="53" spans="3:33" x14ac:dyDescent="0.55000000000000004">
      <c r="C53" s="124"/>
      <c r="D53" t="s">
        <v>193</v>
      </c>
      <c r="E53" s="20">
        <f ca="1">E47-E36</f>
        <v>-97680501.5</v>
      </c>
      <c r="F53" s="27" t="str">
        <f ca="1">IF(E53&gt;0,"Net surplus is positive. No further adjustment is required.", "Net surplus is negative. Adjust deficits to be accepted or surpluses to be generated until a positive figure is obtained.")</f>
        <v>Net surplus is negative. Adjust deficits to be accepted or surpluses to be generated until a positive figure is obtained.</v>
      </c>
      <c r="G53" s="135"/>
      <c r="H53" s="135"/>
      <c r="I53" s="135"/>
      <c r="J53" s="135"/>
      <c r="K53" s="125"/>
      <c r="O53" s="124"/>
      <c r="P53" t="s">
        <v>193</v>
      </c>
      <c r="Q53" s="20">
        <f ca="1">Q47-Q36</f>
        <v>-30539566</v>
      </c>
      <c r="R53" s="27" t="str">
        <f ca="1">IF(Q53&gt;0,"Net surplus is positive. No further adjustment is required.", "Net surplus is negative. Adjust deficits to be accepted or surpluses to be generated until a positive figure is obtained.")</f>
        <v>Net surplus is negative. Adjust deficits to be accepted or surpluses to be generated until a positive figure is obtained.</v>
      </c>
      <c r="S53" s="135"/>
      <c r="T53" s="135"/>
      <c r="U53" s="135"/>
      <c r="V53" s="135"/>
      <c r="W53" s="125"/>
      <c r="Y53" s="124"/>
      <c r="Z53" t="s">
        <v>193</v>
      </c>
      <c r="AA53" s="20">
        <f ca="1">AA47-AA36</f>
        <v>-32693771.99999994</v>
      </c>
      <c r="AB53" s="27" t="str">
        <f ca="1">IF(AA53&gt;0,"Net surplus is positive. No further adjustment is required.", "Net surplus is negative. Adjust deficits to be accepted or surpluses to be generated until a positive figure is obtained.")</f>
        <v>Net surplus is negative. Adjust deficits to be accepted or surpluses to be generated until a positive figure is obtained.</v>
      </c>
      <c r="AC53" s="135"/>
      <c r="AD53" s="135"/>
      <c r="AE53" s="135"/>
      <c r="AF53" s="135"/>
      <c r="AG53" s="125"/>
    </row>
    <row r="54" spans="3:33" x14ac:dyDescent="0.55000000000000004">
      <c r="C54" s="124"/>
      <c r="D54" t="s">
        <v>194</v>
      </c>
      <c r="E54" s="28">
        <f ca="1">E53/E19</f>
        <v>-0.10907959260826114</v>
      </c>
      <c r="F54" s="135"/>
      <c r="G54" s="135"/>
      <c r="H54" s="135"/>
      <c r="I54" s="135"/>
      <c r="J54" s="135"/>
      <c r="K54" s="125"/>
      <c r="O54" s="124"/>
      <c r="P54" t="s">
        <v>194</v>
      </c>
      <c r="Q54" s="28">
        <f ca="1">Q53/Q19</f>
        <v>-3.2959906175822291E-2</v>
      </c>
      <c r="R54" s="135"/>
      <c r="S54" s="135"/>
      <c r="T54" s="135"/>
      <c r="U54" s="135"/>
      <c r="V54" s="135"/>
      <c r="W54" s="125"/>
      <c r="Y54" s="124"/>
      <c r="Z54" t="s">
        <v>194</v>
      </c>
      <c r="AA54" s="28">
        <f ca="1">AA53/AA19</f>
        <v>-3.4165133159393971E-2</v>
      </c>
      <c r="AB54" s="135"/>
      <c r="AC54" s="135"/>
      <c r="AD54" s="135"/>
      <c r="AE54" s="135"/>
      <c r="AF54" s="135"/>
      <c r="AG54" s="125"/>
    </row>
    <row r="55" spans="3:33" ht="14.7" thickBot="1" x14ac:dyDescent="0.6">
      <c r="C55" s="130"/>
      <c r="D55" s="131"/>
      <c r="E55" s="131"/>
      <c r="F55" s="131"/>
      <c r="G55" s="131"/>
      <c r="H55" s="131"/>
      <c r="I55" s="131"/>
      <c r="J55" s="131"/>
      <c r="K55" s="132"/>
      <c r="O55" s="130"/>
      <c r="P55" s="131"/>
      <c r="Q55" s="131"/>
      <c r="R55" s="131"/>
      <c r="S55" s="131"/>
      <c r="T55" s="131"/>
      <c r="U55" s="131"/>
      <c r="V55" s="131"/>
      <c r="W55" s="132"/>
      <c r="Y55" s="130"/>
      <c r="Z55" s="131"/>
      <c r="AA55" s="131"/>
      <c r="AB55" s="131"/>
      <c r="AC55" s="131"/>
      <c r="AD55" s="131"/>
      <c r="AE55" s="131"/>
      <c r="AF55" s="131"/>
      <c r="AG55" s="132"/>
    </row>
    <row r="56" spans="3:33" ht="14.7" thickBot="1" x14ac:dyDescent="0.6">
      <c r="W56"/>
    </row>
    <row r="57" spans="3:33" x14ac:dyDescent="0.55000000000000004">
      <c r="C57" s="121"/>
      <c r="D57" s="122"/>
      <c r="E57" s="122"/>
      <c r="F57" s="122"/>
      <c r="G57" s="122"/>
      <c r="H57" s="122"/>
      <c r="I57" s="122"/>
      <c r="J57" s="122"/>
      <c r="K57" s="123"/>
      <c r="O57" s="121"/>
      <c r="P57" s="122"/>
      <c r="Q57" s="122"/>
      <c r="R57" s="122"/>
      <c r="S57" s="122"/>
      <c r="T57" s="122"/>
      <c r="U57" s="122"/>
      <c r="V57" s="122"/>
      <c r="W57" s="123"/>
      <c r="Y57" s="121"/>
      <c r="Z57" s="122"/>
      <c r="AA57" s="122"/>
      <c r="AB57" s="122"/>
      <c r="AC57" s="122"/>
      <c r="AD57" s="122"/>
      <c r="AE57" s="122"/>
      <c r="AF57" s="122"/>
      <c r="AG57" s="123"/>
    </row>
    <row r="58" spans="3:33" x14ac:dyDescent="0.55000000000000004">
      <c r="C58" s="124"/>
      <c r="D58" s="1" t="s">
        <v>186</v>
      </c>
      <c r="K58" s="125"/>
      <c r="O58" s="124"/>
      <c r="P58" s="1" t="s">
        <v>186</v>
      </c>
      <c r="W58" s="125"/>
      <c r="Y58" s="124"/>
      <c r="Z58" s="1" t="s">
        <v>186</v>
      </c>
      <c r="AG58" s="125"/>
    </row>
    <row r="59" spans="3:33" ht="14.55" customHeight="1" x14ac:dyDescent="0.55000000000000004">
      <c r="C59" s="124"/>
      <c r="D59" s="1804" t="s">
        <v>491</v>
      </c>
      <c r="E59" s="1804"/>
      <c r="F59" s="1804"/>
      <c r="G59" s="1804"/>
      <c r="H59" s="1804"/>
      <c r="I59" s="1804"/>
      <c r="J59" s="1804"/>
      <c r="K59" s="125"/>
      <c r="O59" s="124"/>
      <c r="P59" s="119" t="s">
        <v>491</v>
      </c>
      <c r="Q59" s="119"/>
      <c r="R59" s="119"/>
      <c r="S59" s="119"/>
      <c r="T59" s="119"/>
      <c r="U59" s="119"/>
      <c r="V59" s="119"/>
      <c r="W59" s="125"/>
      <c r="Y59" s="124"/>
      <c r="Z59" s="1804" t="s">
        <v>491</v>
      </c>
      <c r="AA59" s="1804"/>
      <c r="AB59" s="1804"/>
      <c r="AC59" s="1804"/>
      <c r="AD59" s="1804"/>
      <c r="AE59" s="1804"/>
      <c r="AF59" s="1804"/>
      <c r="AG59" s="125"/>
    </row>
    <row r="60" spans="3:33" x14ac:dyDescent="0.55000000000000004">
      <c r="C60" s="124"/>
      <c r="D60" s="1804"/>
      <c r="E60" s="1804"/>
      <c r="F60" s="1804"/>
      <c r="G60" s="1804"/>
      <c r="H60" s="1804"/>
      <c r="I60" s="1804"/>
      <c r="J60" s="1804"/>
      <c r="K60" s="125"/>
      <c r="O60" s="124"/>
      <c r="P60" s="119"/>
      <c r="Q60" s="119"/>
      <c r="R60" s="119"/>
      <c r="S60" s="119"/>
      <c r="T60" s="119"/>
      <c r="U60" s="119"/>
      <c r="V60" s="119"/>
      <c r="W60" s="125"/>
      <c r="Y60" s="124"/>
      <c r="Z60" s="1804"/>
      <c r="AA60" s="1804"/>
      <c r="AB60" s="1804"/>
      <c r="AC60" s="1804"/>
      <c r="AD60" s="1804"/>
      <c r="AE60" s="1804"/>
      <c r="AF60" s="1804"/>
      <c r="AG60" s="125"/>
    </row>
    <row r="61" spans="3:33" x14ac:dyDescent="0.55000000000000004">
      <c r="C61" s="124"/>
      <c r="D61" s="1804"/>
      <c r="E61" s="1804"/>
      <c r="F61" s="1804"/>
      <c r="G61" s="1804"/>
      <c r="H61" s="1804"/>
      <c r="I61" s="1804"/>
      <c r="J61" s="1804"/>
      <c r="K61" s="125"/>
      <c r="O61" s="124"/>
      <c r="P61" s="119"/>
      <c r="Q61" s="119"/>
      <c r="R61" s="119"/>
      <c r="S61" s="119"/>
      <c r="T61" s="119"/>
      <c r="U61" s="119"/>
      <c r="V61" s="119"/>
      <c r="W61" s="125"/>
      <c r="Y61" s="124"/>
      <c r="Z61" s="1804"/>
      <c r="AA61" s="1804"/>
      <c r="AB61" s="1804"/>
      <c r="AC61" s="1804"/>
      <c r="AD61" s="1804"/>
      <c r="AE61" s="1804"/>
      <c r="AF61" s="1804"/>
      <c r="AG61" s="125"/>
    </row>
    <row r="62" spans="3:33" x14ac:dyDescent="0.55000000000000004">
      <c r="C62" s="124"/>
      <c r="K62" s="125"/>
      <c r="O62" s="124"/>
      <c r="W62" s="125"/>
      <c r="Y62" s="124"/>
      <c r="AG62" s="125"/>
    </row>
    <row r="63" spans="3:33" ht="28.95" customHeight="1" x14ac:dyDescent="0.55000000000000004">
      <c r="C63" s="124"/>
      <c r="E63" s="283" t="s">
        <v>240</v>
      </c>
      <c r="F63" s="283" t="s">
        <v>242</v>
      </c>
      <c r="G63" s="283" t="s">
        <v>243</v>
      </c>
      <c r="H63" s="283" t="s">
        <v>244</v>
      </c>
      <c r="I63" s="283" t="s">
        <v>238</v>
      </c>
      <c r="J63" s="283" t="s">
        <v>239</v>
      </c>
      <c r="K63" s="125"/>
      <c r="O63" s="124"/>
      <c r="Q63" s="283" t="s">
        <v>240</v>
      </c>
      <c r="R63" s="283" t="s">
        <v>242</v>
      </c>
      <c r="S63" s="283" t="s">
        <v>243</v>
      </c>
      <c r="T63" s="283" t="s">
        <v>244</v>
      </c>
      <c r="U63" s="283" t="s">
        <v>238</v>
      </c>
      <c r="V63" s="283" t="s">
        <v>239</v>
      </c>
      <c r="W63" s="125"/>
      <c r="Y63" s="124"/>
      <c r="AA63" s="283" t="s">
        <v>240</v>
      </c>
      <c r="AB63" s="283" t="s">
        <v>242</v>
      </c>
      <c r="AC63" s="283" t="s">
        <v>243</v>
      </c>
      <c r="AD63" s="283" t="s">
        <v>244</v>
      </c>
      <c r="AE63" s="283" t="s">
        <v>238</v>
      </c>
      <c r="AF63" s="283" t="s">
        <v>239</v>
      </c>
      <c r="AG63" s="125"/>
    </row>
    <row r="64" spans="3:33" x14ac:dyDescent="0.55000000000000004">
      <c r="C64" s="124"/>
      <c r="D64" t="s">
        <v>176</v>
      </c>
      <c r="E64" s="20">
        <f ca="1">SUM(F64:J64)</f>
        <v>97680501.5</v>
      </c>
      <c r="F64" s="26">
        <f ca="1">F36</f>
        <v>0</v>
      </c>
      <c r="G64" s="26">
        <f ca="1">G36</f>
        <v>0</v>
      </c>
      <c r="H64" s="26">
        <f ca="1">H36</f>
        <v>0</v>
      </c>
      <c r="I64" s="26">
        <f ca="1">I36</f>
        <v>0</v>
      </c>
      <c r="J64" s="26">
        <f ca="1">J36</f>
        <v>97680501.5</v>
      </c>
      <c r="K64" s="125"/>
      <c r="O64" s="124"/>
      <c r="P64" t="s">
        <v>176</v>
      </c>
      <c r="Q64" s="20">
        <f ca="1">SUM(R64:V64)</f>
        <v>30539566</v>
      </c>
      <c r="R64" s="26">
        <f ca="1">R36</f>
        <v>0</v>
      </c>
      <c r="S64" s="26">
        <f ca="1">S36</f>
        <v>0</v>
      </c>
      <c r="T64" s="26">
        <f ca="1">T36</f>
        <v>0</v>
      </c>
      <c r="U64" s="26">
        <f ca="1">U36</f>
        <v>0</v>
      </c>
      <c r="V64" s="26">
        <f ca="1">V36</f>
        <v>30539566</v>
      </c>
      <c r="W64" s="125"/>
      <c r="Y64" s="124"/>
      <c r="Z64" t="s">
        <v>176</v>
      </c>
      <c r="AA64" s="20">
        <f ca="1">SUM(AB64:AF64)</f>
        <v>32693771.99999994</v>
      </c>
      <c r="AB64" s="26">
        <f ca="1">AB36</f>
        <v>0</v>
      </c>
      <c r="AC64" s="26">
        <f ca="1">AC36</f>
        <v>0</v>
      </c>
      <c r="AD64" s="26">
        <f ca="1">AD36</f>
        <v>0</v>
      </c>
      <c r="AE64" s="26">
        <f ca="1">AE36</f>
        <v>0</v>
      </c>
      <c r="AF64" s="26">
        <f ca="1">AF36</f>
        <v>32693771.99999994</v>
      </c>
      <c r="AG64" s="125"/>
    </row>
    <row r="65" spans="3:33" x14ac:dyDescent="0.55000000000000004">
      <c r="C65" s="124"/>
      <c r="D65" t="s">
        <v>189</v>
      </c>
      <c r="E65" s="20">
        <f ca="1">SUM(F65:J65)</f>
        <v>0</v>
      </c>
      <c r="F65" s="26">
        <f ca="1">F47</f>
        <v>0</v>
      </c>
      <c r="G65" s="26">
        <f ca="1">G47</f>
        <v>0</v>
      </c>
      <c r="H65" s="26">
        <f ca="1">H47</f>
        <v>0</v>
      </c>
      <c r="I65" s="26">
        <f ca="1">I47</f>
        <v>0</v>
      </c>
      <c r="J65" s="26">
        <f ca="1">J47</f>
        <v>0</v>
      </c>
      <c r="K65" s="125"/>
      <c r="O65" s="124"/>
      <c r="P65" t="s">
        <v>189</v>
      </c>
      <c r="Q65" s="20">
        <f ca="1">SUM(R65:V65)</f>
        <v>0</v>
      </c>
      <c r="R65" s="26">
        <f ca="1">R47</f>
        <v>0</v>
      </c>
      <c r="S65" s="26">
        <f ca="1">S47</f>
        <v>0</v>
      </c>
      <c r="T65" s="26">
        <f ca="1">T47</f>
        <v>0</v>
      </c>
      <c r="U65" s="26">
        <f ca="1">U47</f>
        <v>0</v>
      </c>
      <c r="V65" s="26">
        <f ca="1">V47</f>
        <v>0</v>
      </c>
      <c r="W65" s="125"/>
      <c r="Y65" s="124"/>
      <c r="Z65" t="s">
        <v>189</v>
      </c>
      <c r="AA65" s="20">
        <f ca="1">SUM(AB65:AF65)</f>
        <v>0</v>
      </c>
      <c r="AB65" s="26">
        <f ca="1">AB47</f>
        <v>0</v>
      </c>
      <c r="AC65" s="26">
        <f ca="1">AC47</f>
        <v>0</v>
      </c>
      <c r="AD65" s="26">
        <f ca="1">AD47</f>
        <v>0</v>
      </c>
      <c r="AE65" s="26">
        <f ca="1">AE47</f>
        <v>0</v>
      </c>
      <c r="AF65" s="26">
        <f ca="1">AF47</f>
        <v>0</v>
      </c>
      <c r="AG65" s="125"/>
    </row>
    <row r="66" spans="3:33" x14ac:dyDescent="0.55000000000000004">
      <c r="C66" s="124"/>
      <c r="K66" s="125"/>
      <c r="O66" s="124"/>
      <c r="W66" s="125"/>
      <c r="Y66" s="124"/>
      <c r="AG66" s="125"/>
    </row>
    <row r="67" spans="3:33" x14ac:dyDescent="0.55000000000000004">
      <c r="C67" s="124"/>
      <c r="D67" t="s">
        <v>492</v>
      </c>
      <c r="E67" s="20">
        <f ca="1">SUM(F67:J67)</f>
        <v>0</v>
      </c>
      <c r="F67" s="26">
        <f ca="1">IF($E$65&gt;=$E$64,F64,$E$65*F64/$E$64)</f>
        <v>0</v>
      </c>
      <c r="G67" s="26">
        <f ca="1">IF($E$65&gt;=$E$64,G64,$E$65*G64/$E$64)</f>
        <v>0</v>
      </c>
      <c r="H67" s="26">
        <f ca="1">IF($E$65&gt;=$E$64,H64,$E$65*H64/$E$64)</f>
        <v>0</v>
      </c>
      <c r="I67" s="26">
        <f ca="1">IF($E$65&gt;=$E$64,I64,$E$65*I64/$E$64)</f>
        <v>0</v>
      </c>
      <c r="J67" s="26">
        <f ca="1">IF($E$65&gt;=$E$64,J64,$E$65*J64/$E$64)</f>
        <v>0</v>
      </c>
      <c r="K67" s="125"/>
      <c r="O67" s="124"/>
      <c r="P67" t="s">
        <v>492</v>
      </c>
      <c r="Q67" s="20">
        <f ca="1">SUM(R67:V67)</f>
        <v>0</v>
      </c>
      <c r="R67" s="26">
        <f ca="1">IF($E$65&gt;=$E$64,R64,$E$65*R64/$E$64)</f>
        <v>0</v>
      </c>
      <c r="S67" s="26">
        <f ca="1">IF($E$65&gt;=$E$64,S64,$E$65*S64/$E$64)</f>
        <v>0</v>
      </c>
      <c r="T67" s="26">
        <f ca="1">IF($E$65&gt;=$E$64,T64,$E$65*T64/$E$64)</f>
        <v>0</v>
      </c>
      <c r="U67" s="26">
        <f ca="1">IF($E$65&gt;=$E$64,U64,$E$65*U64/$E$64)</f>
        <v>0</v>
      </c>
      <c r="V67" s="26">
        <f ca="1">IF($E$65&gt;=$E$64,V64,$E$65*V64/$E$64)</f>
        <v>0</v>
      </c>
      <c r="W67" s="125"/>
      <c r="Y67" s="124"/>
      <c r="Z67" t="s">
        <v>492</v>
      </c>
      <c r="AA67" s="20">
        <f ca="1">SUM(AB67:AF67)</f>
        <v>0</v>
      </c>
      <c r="AB67" s="26">
        <f ca="1">IF($E$65&gt;=$E$64,AB64,$E$65*AB64/$E$64)</f>
        <v>0</v>
      </c>
      <c r="AC67" s="26">
        <f ca="1">IF($E$65&gt;=$E$64,AC64,$E$65*AC64/$E$64)</f>
        <v>0</v>
      </c>
      <c r="AD67" s="26">
        <f ca="1">IF($E$65&gt;=$E$64,AD64,$E$65*AD64/$E$64)</f>
        <v>0</v>
      </c>
      <c r="AE67" s="26">
        <f ca="1">IF($E$65&gt;=$E$64,AE64,$E$65*AE64/$E$64)</f>
        <v>0</v>
      </c>
      <c r="AF67" s="26">
        <f ca="1">IF($E$65&gt;=$E$64,AF64,$E$65*AF64/$E$64)</f>
        <v>0</v>
      </c>
      <c r="AG67" s="125"/>
    </row>
    <row r="68" spans="3:33" x14ac:dyDescent="0.55000000000000004">
      <c r="C68" s="124"/>
      <c r="D68" t="s">
        <v>190</v>
      </c>
      <c r="F68" s="22" t="e">
        <f ca="1">F67/$E$67</f>
        <v>#DIV/0!</v>
      </c>
      <c r="G68" s="22" t="e">
        <f ca="1">G67/$E$67</f>
        <v>#DIV/0!</v>
      </c>
      <c r="H68" s="22" t="e">
        <f ca="1">H67/$E$67</f>
        <v>#DIV/0!</v>
      </c>
      <c r="I68" s="22" t="e">
        <f ca="1">I67/$E$67</f>
        <v>#DIV/0!</v>
      </c>
      <c r="J68" s="22" t="e">
        <f ca="1">J67/$E$67</f>
        <v>#DIV/0!</v>
      </c>
      <c r="K68" s="125"/>
      <c r="O68" s="124"/>
      <c r="P68" t="s">
        <v>190</v>
      </c>
      <c r="R68" s="22" t="e">
        <f ca="1">R67/$E$67</f>
        <v>#DIV/0!</v>
      </c>
      <c r="S68" s="22" t="e">
        <f ca="1">S67/$E$67</f>
        <v>#DIV/0!</v>
      </c>
      <c r="T68" s="22" t="e">
        <f ca="1">T67/$E$67</f>
        <v>#DIV/0!</v>
      </c>
      <c r="U68" s="22" t="e">
        <f ca="1">U67/$E$67</f>
        <v>#DIV/0!</v>
      </c>
      <c r="V68" s="22" t="e">
        <f ca="1">V67/$E$67</f>
        <v>#DIV/0!</v>
      </c>
      <c r="W68" s="125"/>
      <c r="Y68" s="124"/>
      <c r="Z68" t="s">
        <v>190</v>
      </c>
      <c r="AB68" s="22" t="e">
        <f ca="1">AB67/$E$67</f>
        <v>#DIV/0!</v>
      </c>
      <c r="AC68" s="22" t="e">
        <f ca="1">AC67/$E$67</f>
        <v>#DIV/0!</v>
      </c>
      <c r="AD68" s="22" t="e">
        <f ca="1">AD67/$E$67</f>
        <v>#DIV/0!</v>
      </c>
      <c r="AE68" s="22" t="e">
        <f ca="1">AE67/$E$67</f>
        <v>#DIV/0!</v>
      </c>
      <c r="AF68" s="22" t="e">
        <f ca="1">AF67/$E$67</f>
        <v>#DIV/0!</v>
      </c>
      <c r="AG68" s="125"/>
    </row>
    <row r="69" spans="3:33" x14ac:dyDescent="0.55000000000000004">
      <c r="C69" s="124"/>
      <c r="D69" t="s">
        <v>192</v>
      </c>
      <c r="E69" s="24" t="s">
        <v>613</v>
      </c>
      <c r="K69" s="125"/>
      <c r="O69" s="124"/>
      <c r="P69" t="s">
        <v>192</v>
      </c>
      <c r="Q69" s="24" t="s">
        <v>613</v>
      </c>
      <c r="W69" s="125"/>
      <c r="Y69" s="124"/>
      <c r="Z69" t="s">
        <v>192</v>
      </c>
      <c r="AA69" s="24" t="s">
        <v>613</v>
      </c>
      <c r="AG69" s="125"/>
    </row>
    <row r="70" spans="3:33" x14ac:dyDescent="0.55000000000000004">
      <c r="C70" s="124"/>
      <c r="K70" s="125"/>
      <c r="O70" s="124"/>
      <c r="W70" s="125"/>
      <c r="Y70" s="124"/>
      <c r="AG70" s="125"/>
    </row>
    <row r="71" spans="3:33" x14ac:dyDescent="0.55000000000000004">
      <c r="C71" s="124"/>
      <c r="D71" t="s">
        <v>493</v>
      </c>
      <c r="E71" s="20">
        <f>SUM(F71:J71)</f>
        <v>0</v>
      </c>
      <c r="F71" s="13"/>
      <c r="G71" s="13"/>
      <c r="H71" s="13"/>
      <c r="I71" s="25"/>
      <c r="J71" s="25"/>
      <c r="K71" s="125"/>
      <c r="O71" s="124"/>
      <c r="P71" t="s">
        <v>493</v>
      </c>
      <c r="Q71" s="20">
        <f>SUM(R71:V71)</f>
        <v>0</v>
      </c>
      <c r="R71" s="13"/>
      <c r="S71" s="13"/>
      <c r="T71" s="13"/>
      <c r="U71" s="25"/>
      <c r="V71" s="25"/>
      <c r="W71" s="125"/>
      <c r="Y71" s="124"/>
      <c r="Z71" t="s">
        <v>493</v>
      </c>
      <c r="AA71" s="20">
        <f>SUM(AB71:AF71)</f>
        <v>0</v>
      </c>
      <c r="AB71" s="13"/>
      <c r="AC71" s="13"/>
      <c r="AD71" s="13"/>
      <c r="AE71" s="25"/>
      <c r="AF71" s="25"/>
      <c r="AG71" s="125"/>
    </row>
    <row r="72" spans="3:33" x14ac:dyDescent="0.55000000000000004">
      <c r="C72" s="124"/>
      <c r="D72" t="s">
        <v>191</v>
      </c>
      <c r="F72" s="22" t="str">
        <f>IFERROR(F71/$E$72,"")</f>
        <v/>
      </c>
      <c r="G72" s="22" t="str">
        <f>IFERROR(G71/$E$72,"")</f>
        <v/>
      </c>
      <c r="H72" s="22" t="str">
        <f>IFERROR(H71/$E$72,"")</f>
        <v/>
      </c>
      <c r="I72" s="22" t="str">
        <f>IFERROR(I71/$E$72,"")</f>
        <v/>
      </c>
      <c r="J72" s="22" t="str">
        <f>IFERROR(J71/$E$72,"")</f>
        <v/>
      </c>
      <c r="K72" s="125"/>
      <c r="O72" s="124"/>
      <c r="P72" t="s">
        <v>191</v>
      </c>
      <c r="R72" s="22" t="str">
        <f>IFERROR(R71/$E$72,"")</f>
        <v/>
      </c>
      <c r="S72" s="22" t="str">
        <f>IFERROR(S71/$E$72,"")</f>
        <v/>
      </c>
      <c r="T72" s="22" t="str">
        <f>IFERROR(T71/$E$72,"")</f>
        <v/>
      </c>
      <c r="U72" s="22" t="str">
        <f>IFERROR(U71/$E$72,"")</f>
        <v/>
      </c>
      <c r="V72" s="22" t="str">
        <f>IFERROR(V71/$E$72,"")</f>
        <v/>
      </c>
      <c r="W72" s="125"/>
      <c r="Y72" s="124"/>
      <c r="Z72" t="s">
        <v>191</v>
      </c>
      <c r="AB72" s="22" t="str">
        <f>IFERROR(AB71/$E$72,"")</f>
        <v/>
      </c>
      <c r="AC72" s="22" t="str">
        <f>IFERROR(AC71/$E$72,"")</f>
        <v/>
      </c>
      <c r="AD72" s="22" t="str">
        <f>IFERROR(AD71/$E$72,"")</f>
        <v/>
      </c>
      <c r="AE72" s="22" t="str">
        <f>IFERROR(AE71/$E$72,"")</f>
        <v/>
      </c>
      <c r="AF72" s="22" t="str">
        <f>IFERROR(AF71/$E$72,"")</f>
        <v/>
      </c>
      <c r="AG72" s="125"/>
    </row>
    <row r="73" spans="3:33" ht="14.7" thickBot="1" x14ac:dyDescent="0.6">
      <c r="C73" s="130"/>
      <c r="D73" s="131"/>
      <c r="E73" s="131"/>
      <c r="F73" s="131"/>
      <c r="G73" s="131"/>
      <c r="H73" s="131"/>
      <c r="I73" s="131"/>
      <c r="J73" s="131"/>
      <c r="K73" s="132"/>
      <c r="O73" s="130"/>
      <c r="P73" s="131"/>
      <c r="Q73" s="131"/>
      <c r="R73" s="131"/>
      <c r="S73" s="131"/>
      <c r="T73" s="131"/>
      <c r="U73" s="131"/>
      <c r="V73" s="131"/>
      <c r="W73" s="132"/>
      <c r="Y73" s="130"/>
      <c r="Z73" s="131"/>
      <c r="AA73" s="131"/>
      <c r="AB73" s="131"/>
      <c r="AC73" s="131"/>
      <c r="AD73" s="131"/>
      <c r="AE73" s="131"/>
      <c r="AF73" s="131"/>
      <c r="AG73" s="132"/>
    </row>
    <row r="74" spans="3:33" x14ac:dyDescent="0.55000000000000004">
      <c r="W74"/>
    </row>
    <row r="75" spans="3:33" x14ac:dyDescent="0.55000000000000004">
      <c r="W75"/>
    </row>
    <row r="76" spans="3:33" x14ac:dyDescent="0.55000000000000004">
      <c r="W76"/>
    </row>
    <row r="77" spans="3:33" x14ac:dyDescent="0.55000000000000004">
      <c r="W77"/>
    </row>
    <row r="78" spans="3:33" x14ac:dyDescent="0.55000000000000004">
      <c r="W78"/>
    </row>
    <row r="79" spans="3:33" x14ac:dyDescent="0.55000000000000004">
      <c r="W79"/>
    </row>
    <row r="80" spans="3:33" x14ac:dyDescent="0.55000000000000004">
      <c r="W80"/>
    </row>
    <row r="81" spans="23:23" x14ac:dyDescent="0.55000000000000004">
      <c r="W81"/>
    </row>
    <row r="82" spans="23:23" x14ac:dyDescent="0.55000000000000004">
      <c r="W82"/>
    </row>
    <row r="83" spans="23:23" x14ac:dyDescent="0.55000000000000004">
      <c r="W83"/>
    </row>
    <row r="84" spans="23:23" x14ac:dyDescent="0.55000000000000004">
      <c r="W84"/>
    </row>
    <row r="85" spans="23:23" x14ac:dyDescent="0.55000000000000004">
      <c r="W85"/>
    </row>
    <row r="86" spans="23:23" x14ac:dyDescent="0.55000000000000004">
      <c r="W86"/>
    </row>
    <row r="87" spans="23:23" x14ac:dyDescent="0.55000000000000004">
      <c r="W87"/>
    </row>
    <row r="88" spans="23:23" x14ac:dyDescent="0.55000000000000004">
      <c r="W88"/>
    </row>
    <row r="89" spans="23:23" x14ac:dyDescent="0.55000000000000004">
      <c r="W89"/>
    </row>
    <row r="90" spans="23:23" x14ac:dyDescent="0.55000000000000004">
      <c r="W90"/>
    </row>
    <row r="91" spans="23:23" x14ac:dyDescent="0.55000000000000004">
      <c r="W91"/>
    </row>
    <row r="92" spans="23:23" x14ac:dyDescent="0.55000000000000004">
      <c r="W92"/>
    </row>
    <row r="93" spans="23:23" x14ac:dyDescent="0.55000000000000004">
      <c r="W93"/>
    </row>
    <row r="94" spans="23:23" x14ac:dyDescent="0.55000000000000004">
      <c r="W94"/>
    </row>
    <row r="95" spans="23:23" x14ac:dyDescent="0.55000000000000004">
      <c r="W95"/>
    </row>
    <row r="96" spans="23:23" x14ac:dyDescent="0.55000000000000004">
      <c r="W96"/>
    </row>
    <row r="97" spans="23:23" x14ac:dyDescent="0.55000000000000004">
      <c r="W97"/>
    </row>
    <row r="98" spans="23:23" x14ac:dyDescent="0.55000000000000004">
      <c r="W98"/>
    </row>
    <row r="99" spans="23:23" x14ac:dyDescent="0.55000000000000004">
      <c r="W99"/>
    </row>
    <row r="100" spans="23:23" x14ac:dyDescent="0.55000000000000004">
      <c r="W100"/>
    </row>
    <row r="101" spans="23:23" x14ac:dyDescent="0.55000000000000004">
      <c r="W101"/>
    </row>
    <row r="102" spans="23:23" x14ac:dyDescent="0.55000000000000004">
      <c r="W102"/>
    </row>
    <row r="103" spans="23:23" x14ac:dyDescent="0.55000000000000004">
      <c r="W103"/>
    </row>
    <row r="104" spans="23:23" x14ac:dyDescent="0.55000000000000004">
      <c r="W104"/>
    </row>
    <row r="105" spans="23:23" x14ac:dyDescent="0.55000000000000004">
      <c r="W105"/>
    </row>
    <row r="106" spans="23:23" x14ac:dyDescent="0.55000000000000004">
      <c r="W106"/>
    </row>
    <row r="107" spans="23:23" x14ac:dyDescent="0.55000000000000004">
      <c r="W107"/>
    </row>
    <row r="108" spans="23:23" x14ac:dyDescent="0.55000000000000004">
      <c r="W108"/>
    </row>
    <row r="109" spans="23:23" x14ac:dyDescent="0.55000000000000004">
      <c r="W109"/>
    </row>
    <row r="110" spans="23:23" x14ac:dyDescent="0.55000000000000004">
      <c r="W110"/>
    </row>
    <row r="111" spans="23:23" x14ac:dyDescent="0.55000000000000004">
      <c r="W111"/>
    </row>
    <row r="112" spans="23:23" x14ac:dyDescent="0.55000000000000004">
      <c r="W112"/>
    </row>
    <row r="113" spans="23:23" x14ac:dyDescent="0.55000000000000004">
      <c r="W113"/>
    </row>
    <row r="114" spans="23:23" x14ac:dyDescent="0.55000000000000004">
      <c r="W114"/>
    </row>
    <row r="115" spans="23:23" x14ac:dyDescent="0.55000000000000004">
      <c r="W115"/>
    </row>
    <row r="116" spans="23:23" x14ac:dyDescent="0.55000000000000004">
      <c r="W116"/>
    </row>
    <row r="117" spans="23:23" x14ac:dyDescent="0.55000000000000004">
      <c r="W117"/>
    </row>
    <row r="118" spans="23:23" x14ac:dyDescent="0.55000000000000004">
      <c r="W118"/>
    </row>
    <row r="119" spans="23:23" x14ac:dyDescent="0.55000000000000004">
      <c r="W119"/>
    </row>
    <row r="120" spans="23:23" x14ac:dyDescent="0.55000000000000004">
      <c r="W120"/>
    </row>
    <row r="121" spans="23:23" x14ac:dyDescent="0.55000000000000004">
      <c r="W121"/>
    </row>
    <row r="122" spans="23:23" x14ac:dyDescent="0.55000000000000004">
      <c r="W122"/>
    </row>
    <row r="123" spans="23:23" x14ac:dyDescent="0.55000000000000004">
      <c r="W123"/>
    </row>
    <row r="124" spans="23:23" x14ac:dyDescent="0.55000000000000004">
      <c r="W124"/>
    </row>
    <row r="125" spans="23:23" x14ac:dyDescent="0.55000000000000004">
      <c r="W125"/>
    </row>
    <row r="126" spans="23:23" x14ac:dyDescent="0.55000000000000004">
      <c r="W126"/>
    </row>
    <row r="127" spans="23:23" x14ac:dyDescent="0.55000000000000004">
      <c r="W127"/>
    </row>
    <row r="128" spans="23:23" x14ac:dyDescent="0.55000000000000004">
      <c r="W128"/>
    </row>
    <row r="129" spans="23:23" x14ac:dyDescent="0.55000000000000004">
      <c r="W129"/>
    </row>
    <row r="130" spans="23:23" x14ac:dyDescent="0.55000000000000004">
      <c r="W130"/>
    </row>
    <row r="131" spans="23:23" x14ac:dyDescent="0.55000000000000004">
      <c r="W131"/>
    </row>
    <row r="132" spans="23:23" x14ac:dyDescent="0.55000000000000004">
      <c r="W132"/>
    </row>
    <row r="133" spans="23:23" x14ac:dyDescent="0.55000000000000004">
      <c r="W133"/>
    </row>
    <row r="134" spans="23:23" x14ac:dyDescent="0.55000000000000004">
      <c r="W134"/>
    </row>
    <row r="135" spans="23:23" x14ac:dyDescent="0.55000000000000004">
      <c r="W135"/>
    </row>
    <row r="136" spans="23:23" x14ac:dyDescent="0.55000000000000004">
      <c r="W136"/>
    </row>
    <row r="137" spans="23:23" x14ac:dyDescent="0.55000000000000004">
      <c r="W137"/>
    </row>
    <row r="138" spans="23:23" x14ac:dyDescent="0.55000000000000004">
      <c r="W138"/>
    </row>
    <row r="139" spans="23:23" x14ac:dyDescent="0.55000000000000004">
      <c r="W139"/>
    </row>
    <row r="140" spans="23:23" x14ac:dyDescent="0.55000000000000004">
      <c r="W140"/>
    </row>
    <row r="141" spans="23:23" x14ac:dyDescent="0.55000000000000004">
      <c r="W141"/>
    </row>
    <row r="142" spans="23:23" x14ac:dyDescent="0.55000000000000004">
      <c r="W142"/>
    </row>
    <row r="143" spans="23:23" x14ac:dyDescent="0.55000000000000004">
      <c r="W143"/>
    </row>
    <row r="144" spans="23:23" x14ac:dyDescent="0.55000000000000004">
      <c r="W144"/>
    </row>
    <row r="145" spans="23:23" x14ac:dyDescent="0.55000000000000004">
      <c r="W145"/>
    </row>
    <row r="146" spans="23:23" x14ac:dyDescent="0.55000000000000004">
      <c r="W146"/>
    </row>
    <row r="147" spans="23:23" x14ac:dyDescent="0.55000000000000004">
      <c r="W147"/>
    </row>
    <row r="148" spans="23:23" x14ac:dyDescent="0.55000000000000004">
      <c r="W148"/>
    </row>
    <row r="149" spans="23:23" x14ac:dyDescent="0.55000000000000004">
      <c r="W149"/>
    </row>
    <row r="150" spans="23:23" x14ac:dyDescent="0.55000000000000004">
      <c r="W150"/>
    </row>
    <row r="151" spans="23:23" x14ac:dyDescent="0.55000000000000004">
      <c r="W151"/>
    </row>
    <row r="152" spans="23:23" x14ac:dyDescent="0.55000000000000004">
      <c r="W152"/>
    </row>
    <row r="153" spans="23:23" x14ac:dyDescent="0.55000000000000004">
      <c r="W153"/>
    </row>
    <row r="154" spans="23:23" x14ac:dyDescent="0.55000000000000004">
      <c r="W154"/>
    </row>
    <row r="155" spans="23:23" x14ac:dyDescent="0.55000000000000004">
      <c r="W155"/>
    </row>
    <row r="156" spans="23:23" x14ac:dyDescent="0.55000000000000004">
      <c r="W156"/>
    </row>
    <row r="157" spans="23:23" x14ac:dyDescent="0.55000000000000004">
      <c r="W157"/>
    </row>
    <row r="158" spans="23:23" x14ac:dyDescent="0.55000000000000004">
      <c r="W158"/>
    </row>
    <row r="159" spans="23:23" x14ac:dyDescent="0.55000000000000004">
      <c r="W159"/>
    </row>
    <row r="160" spans="23:23" x14ac:dyDescent="0.55000000000000004">
      <c r="W160"/>
    </row>
    <row r="161" spans="23:23" x14ac:dyDescent="0.55000000000000004">
      <c r="W161"/>
    </row>
    <row r="162" spans="23:23" x14ac:dyDescent="0.55000000000000004">
      <c r="W162"/>
    </row>
    <row r="163" spans="23:23" x14ac:dyDescent="0.55000000000000004">
      <c r="W163"/>
    </row>
    <row r="164" spans="23:23" x14ac:dyDescent="0.55000000000000004">
      <c r="W164"/>
    </row>
    <row r="165" spans="23:23" x14ac:dyDescent="0.55000000000000004">
      <c r="W165"/>
    </row>
    <row r="166" spans="23:23" x14ac:dyDescent="0.55000000000000004">
      <c r="W166"/>
    </row>
    <row r="167" spans="23:23" x14ac:dyDescent="0.55000000000000004">
      <c r="W167"/>
    </row>
    <row r="168" spans="23:23" x14ac:dyDescent="0.55000000000000004">
      <c r="W168"/>
    </row>
    <row r="169" spans="23:23" x14ac:dyDescent="0.55000000000000004">
      <c r="W169"/>
    </row>
    <row r="170" spans="23:23" x14ac:dyDescent="0.55000000000000004">
      <c r="W170"/>
    </row>
    <row r="171" spans="23:23" x14ac:dyDescent="0.55000000000000004">
      <c r="W171"/>
    </row>
    <row r="172" spans="23:23" x14ac:dyDescent="0.55000000000000004">
      <c r="W172"/>
    </row>
    <row r="173" spans="23:23" x14ac:dyDescent="0.55000000000000004">
      <c r="W173"/>
    </row>
    <row r="174" spans="23:23" x14ac:dyDescent="0.55000000000000004">
      <c r="W174"/>
    </row>
    <row r="175" spans="23:23" x14ac:dyDescent="0.55000000000000004">
      <c r="W175"/>
    </row>
    <row r="176" spans="23:23" x14ac:dyDescent="0.55000000000000004">
      <c r="W176"/>
    </row>
    <row r="177" spans="23:23" x14ac:dyDescent="0.55000000000000004">
      <c r="W177"/>
    </row>
    <row r="178" spans="23:23" x14ac:dyDescent="0.55000000000000004">
      <c r="W178"/>
    </row>
    <row r="179" spans="23:23" x14ac:dyDescent="0.55000000000000004">
      <c r="W179"/>
    </row>
    <row r="180" spans="23:23" x14ac:dyDescent="0.55000000000000004">
      <c r="W180"/>
    </row>
    <row r="181" spans="23:23" x14ac:dyDescent="0.55000000000000004">
      <c r="W181"/>
    </row>
    <row r="182" spans="23:23" x14ac:dyDescent="0.55000000000000004">
      <c r="W182"/>
    </row>
    <row r="183" spans="23:23" x14ac:dyDescent="0.55000000000000004">
      <c r="W183"/>
    </row>
    <row r="184" spans="23:23" x14ac:dyDescent="0.55000000000000004">
      <c r="W184"/>
    </row>
    <row r="185" spans="23:23" x14ac:dyDescent="0.55000000000000004">
      <c r="W185"/>
    </row>
    <row r="186" spans="23:23" x14ac:dyDescent="0.55000000000000004">
      <c r="W186"/>
    </row>
    <row r="187" spans="23:23" x14ac:dyDescent="0.55000000000000004">
      <c r="W187"/>
    </row>
    <row r="188" spans="23:23" x14ac:dyDescent="0.55000000000000004">
      <c r="W188"/>
    </row>
    <row r="189" spans="23:23" x14ac:dyDescent="0.55000000000000004">
      <c r="W189"/>
    </row>
    <row r="190" spans="23:23" x14ac:dyDescent="0.55000000000000004">
      <c r="W190"/>
    </row>
    <row r="191" spans="23:23" x14ac:dyDescent="0.55000000000000004">
      <c r="W191"/>
    </row>
    <row r="192" spans="23:23" x14ac:dyDescent="0.55000000000000004">
      <c r="W192"/>
    </row>
    <row r="193" spans="23:23" x14ac:dyDescent="0.55000000000000004">
      <c r="W193"/>
    </row>
    <row r="194" spans="23:23" x14ac:dyDescent="0.55000000000000004">
      <c r="W194"/>
    </row>
    <row r="195" spans="23:23" x14ac:dyDescent="0.55000000000000004">
      <c r="W195"/>
    </row>
    <row r="196" spans="23:23" x14ac:dyDescent="0.55000000000000004">
      <c r="W196"/>
    </row>
    <row r="197" spans="23:23" x14ac:dyDescent="0.55000000000000004">
      <c r="W197"/>
    </row>
    <row r="198" spans="23:23" x14ac:dyDescent="0.55000000000000004">
      <c r="W198"/>
    </row>
    <row r="199" spans="23:23" x14ac:dyDescent="0.55000000000000004">
      <c r="W199"/>
    </row>
    <row r="200" spans="23:23" x14ac:dyDescent="0.55000000000000004">
      <c r="W200"/>
    </row>
    <row r="201" spans="23:23" x14ac:dyDescent="0.55000000000000004">
      <c r="W201"/>
    </row>
    <row r="202" spans="23:23" x14ac:dyDescent="0.55000000000000004">
      <c r="W202"/>
    </row>
    <row r="203" spans="23:23" x14ac:dyDescent="0.55000000000000004">
      <c r="W203"/>
    </row>
    <row r="204" spans="23:23" x14ac:dyDescent="0.55000000000000004">
      <c r="W204"/>
    </row>
    <row r="205" spans="23:23" x14ac:dyDescent="0.55000000000000004">
      <c r="W205"/>
    </row>
    <row r="206" spans="23:23" x14ac:dyDescent="0.55000000000000004">
      <c r="W206"/>
    </row>
    <row r="207" spans="23:23" x14ac:dyDescent="0.55000000000000004">
      <c r="W207"/>
    </row>
    <row r="208" spans="23:23" x14ac:dyDescent="0.55000000000000004">
      <c r="W208"/>
    </row>
    <row r="209" spans="23:23" x14ac:dyDescent="0.55000000000000004">
      <c r="W209"/>
    </row>
    <row r="210" spans="23:23" x14ac:dyDescent="0.55000000000000004">
      <c r="W210"/>
    </row>
    <row r="211" spans="23:23" x14ac:dyDescent="0.55000000000000004">
      <c r="W211"/>
    </row>
    <row r="212" spans="23:23" x14ac:dyDescent="0.55000000000000004">
      <c r="W212"/>
    </row>
    <row r="213" spans="23:23" x14ac:dyDescent="0.55000000000000004">
      <c r="W213"/>
    </row>
    <row r="214" spans="23:23" x14ac:dyDescent="0.55000000000000004">
      <c r="W214"/>
    </row>
    <row r="215" spans="23:23" x14ac:dyDescent="0.55000000000000004">
      <c r="W215"/>
    </row>
    <row r="216" spans="23:23" x14ac:dyDescent="0.55000000000000004">
      <c r="W216"/>
    </row>
    <row r="217" spans="23:23" x14ac:dyDescent="0.55000000000000004">
      <c r="W217"/>
    </row>
    <row r="218" spans="23:23" x14ac:dyDescent="0.55000000000000004">
      <c r="W218"/>
    </row>
    <row r="219" spans="23:23" x14ac:dyDescent="0.55000000000000004">
      <c r="W219"/>
    </row>
    <row r="220" spans="23:23" x14ac:dyDescent="0.55000000000000004">
      <c r="W220"/>
    </row>
    <row r="221" spans="23:23" x14ac:dyDescent="0.55000000000000004">
      <c r="W221"/>
    </row>
    <row r="222" spans="23:23" x14ac:dyDescent="0.55000000000000004">
      <c r="W222"/>
    </row>
    <row r="223" spans="23:23" x14ac:dyDescent="0.55000000000000004">
      <c r="W223"/>
    </row>
    <row r="224" spans="23:23" x14ac:dyDescent="0.55000000000000004">
      <c r="W224"/>
    </row>
    <row r="225" spans="23:23" x14ac:dyDescent="0.55000000000000004">
      <c r="W225"/>
    </row>
    <row r="226" spans="23:23" x14ac:dyDescent="0.55000000000000004">
      <c r="W226"/>
    </row>
    <row r="227" spans="23:23" x14ac:dyDescent="0.55000000000000004">
      <c r="W227"/>
    </row>
    <row r="228" spans="23:23" x14ac:dyDescent="0.55000000000000004">
      <c r="W228"/>
    </row>
    <row r="229" spans="23:23" x14ac:dyDescent="0.55000000000000004">
      <c r="W229"/>
    </row>
    <row r="230" spans="23:23" x14ac:dyDescent="0.55000000000000004">
      <c r="W230"/>
    </row>
    <row r="231" spans="23:23" x14ac:dyDescent="0.55000000000000004">
      <c r="W231"/>
    </row>
    <row r="232" spans="23:23" x14ac:dyDescent="0.55000000000000004">
      <c r="W232"/>
    </row>
    <row r="233" spans="23:23" x14ac:dyDescent="0.55000000000000004">
      <c r="W233"/>
    </row>
    <row r="234" spans="23:23" x14ac:dyDescent="0.55000000000000004">
      <c r="W234"/>
    </row>
    <row r="235" spans="23:23" x14ac:dyDescent="0.55000000000000004">
      <c r="W235"/>
    </row>
    <row r="236" spans="23:23" x14ac:dyDescent="0.55000000000000004">
      <c r="W236"/>
    </row>
    <row r="237" spans="23:23" x14ac:dyDescent="0.55000000000000004">
      <c r="W237"/>
    </row>
    <row r="238" spans="23:23" x14ac:dyDescent="0.55000000000000004">
      <c r="W238"/>
    </row>
    <row r="239" spans="23:23" x14ac:dyDescent="0.55000000000000004">
      <c r="W239"/>
    </row>
    <row r="240" spans="23:23" x14ac:dyDescent="0.55000000000000004">
      <c r="W240"/>
    </row>
    <row r="241" spans="23:23" x14ac:dyDescent="0.55000000000000004">
      <c r="W241"/>
    </row>
    <row r="242" spans="23:23" x14ac:dyDescent="0.55000000000000004">
      <c r="W242"/>
    </row>
    <row r="243" spans="23:23" x14ac:dyDescent="0.55000000000000004">
      <c r="W243"/>
    </row>
    <row r="244" spans="23:23" x14ac:dyDescent="0.55000000000000004">
      <c r="W244"/>
    </row>
    <row r="245" spans="23:23" x14ac:dyDescent="0.55000000000000004">
      <c r="W245"/>
    </row>
    <row r="246" spans="23:23" x14ac:dyDescent="0.55000000000000004">
      <c r="W246"/>
    </row>
    <row r="247" spans="23:23" x14ac:dyDescent="0.55000000000000004">
      <c r="W247"/>
    </row>
    <row r="248" spans="23:23" x14ac:dyDescent="0.55000000000000004">
      <c r="W248"/>
    </row>
    <row r="249" spans="23:23" x14ac:dyDescent="0.55000000000000004">
      <c r="W249"/>
    </row>
    <row r="250" spans="23:23" x14ac:dyDescent="0.55000000000000004">
      <c r="W250"/>
    </row>
    <row r="251" spans="23:23" x14ac:dyDescent="0.55000000000000004">
      <c r="W251"/>
    </row>
    <row r="252" spans="23:23" x14ac:dyDescent="0.55000000000000004">
      <c r="W252"/>
    </row>
    <row r="253" spans="23:23" x14ac:dyDescent="0.55000000000000004">
      <c r="W253"/>
    </row>
    <row r="254" spans="23:23" x14ac:dyDescent="0.55000000000000004">
      <c r="W254"/>
    </row>
    <row r="255" spans="23:23" x14ac:dyDescent="0.55000000000000004">
      <c r="W255"/>
    </row>
    <row r="256" spans="23:23" x14ac:dyDescent="0.55000000000000004">
      <c r="W256"/>
    </row>
    <row r="257" spans="23:23" x14ac:dyDescent="0.55000000000000004">
      <c r="W257"/>
    </row>
    <row r="258" spans="23:23" x14ac:dyDescent="0.55000000000000004">
      <c r="W258"/>
    </row>
    <row r="259" spans="23:23" x14ac:dyDescent="0.55000000000000004">
      <c r="W259"/>
    </row>
    <row r="260" spans="23:23" x14ac:dyDescent="0.55000000000000004">
      <c r="W260"/>
    </row>
    <row r="261" spans="23:23" x14ac:dyDescent="0.55000000000000004">
      <c r="W261"/>
    </row>
    <row r="262" spans="23:23" x14ac:dyDescent="0.55000000000000004">
      <c r="W262"/>
    </row>
    <row r="263" spans="23:23" x14ac:dyDescent="0.55000000000000004">
      <c r="W263"/>
    </row>
    <row r="264" spans="23:23" x14ac:dyDescent="0.55000000000000004">
      <c r="W264"/>
    </row>
    <row r="265" spans="23:23" x14ac:dyDescent="0.55000000000000004">
      <c r="W265"/>
    </row>
    <row r="266" spans="23:23" x14ac:dyDescent="0.55000000000000004">
      <c r="W266"/>
    </row>
    <row r="267" spans="23:23" x14ac:dyDescent="0.55000000000000004">
      <c r="W267"/>
    </row>
    <row r="268" spans="23:23" x14ac:dyDescent="0.55000000000000004">
      <c r="W268"/>
    </row>
    <row r="269" spans="23:23" x14ac:dyDescent="0.55000000000000004">
      <c r="W269"/>
    </row>
    <row r="270" spans="23:23" x14ac:dyDescent="0.55000000000000004">
      <c r="W270"/>
    </row>
    <row r="271" spans="23:23" x14ac:dyDescent="0.55000000000000004">
      <c r="W271"/>
    </row>
    <row r="272" spans="23:23" x14ac:dyDescent="0.55000000000000004">
      <c r="W272"/>
    </row>
    <row r="273" spans="23:23" x14ac:dyDescent="0.55000000000000004">
      <c r="W273"/>
    </row>
    <row r="274" spans="23:23" x14ac:dyDescent="0.55000000000000004">
      <c r="W274"/>
    </row>
    <row r="275" spans="23:23" x14ac:dyDescent="0.55000000000000004">
      <c r="W275"/>
    </row>
    <row r="276" spans="23:23" x14ac:dyDescent="0.55000000000000004">
      <c r="W276"/>
    </row>
    <row r="277" spans="23:23" x14ac:dyDescent="0.55000000000000004">
      <c r="W277"/>
    </row>
    <row r="278" spans="23:23" x14ac:dyDescent="0.55000000000000004">
      <c r="W278"/>
    </row>
    <row r="279" spans="23:23" x14ac:dyDescent="0.55000000000000004">
      <c r="W279"/>
    </row>
    <row r="280" spans="23:23" x14ac:dyDescent="0.55000000000000004">
      <c r="W280"/>
    </row>
    <row r="281" spans="23:23" x14ac:dyDescent="0.55000000000000004">
      <c r="W281"/>
    </row>
    <row r="282" spans="23:23" x14ac:dyDescent="0.55000000000000004">
      <c r="W282"/>
    </row>
    <row r="283" spans="23:23" x14ac:dyDescent="0.55000000000000004">
      <c r="W283"/>
    </row>
    <row r="284" spans="23:23" x14ac:dyDescent="0.55000000000000004">
      <c r="W284"/>
    </row>
    <row r="285" spans="23:23" x14ac:dyDescent="0.55000000000000004">
      <c r="W285"/>
    </row>
    <row r="286" spans="23:23" x14ac:dyDescent="0.55000000000000004">
      <c r="W286"/>
    </row>
    <row r="287" spans="23:23" x14ac:dyDescent="0.55000000000000004">
      <c r="W287"/>
    </row>
    <row r="288" spans="23:23" x14ac:dyDescent="0.55000000000000004">
      <c r="W288"/>
    </row>
    <row r="289" spans="23:23" x14ac:dyDescent="0.55000000000000004">
      <c r="W289"/>
    </row>
    <row r="290" spans="23:23" x14ac:dyDescent="0.55000000000000004">
      <c r="W290"/>
    </row>
    <row r="291" spans="23:23" x14ac:dyDescent="0.55000000000000004">
      <c r="W291"/>
    </row>
    <row r="292" spans="23:23" x14ac:dyDescent="0.55000000000000004">
      <c r="W292"/>
    </row>
    <row r="293" spans="23:23" x14ac:dyDescent="0.55000000000000004">
      <c r="W293"/>
    </row>
    <row r="294" spans="23:23" x14ac:dyDescent="0.55000000000000004">
      <c r="W294"/>
    </row>
    <row r="295" spans="23:23" x14ac:dyDescent="0.55000000000000004">
      <c r="W295"/>
    </row>
    <row r="296" spans="23:23" x14ac:dyDescent="0.55000000000000004">
      <c r="W296"/>
    </row>
    <row r="297" spans="23:23" x14ac:dyDescent="0.55000000000000004">
      <c r="W297"/>
    </row>
    <row r="298" spans="23:23" x14ac:dyDescent="0.55000000000000004">
      <c r="W298"/>
    </row>
    <row r="299" spans="23:23" x14ac:dyDescent="0.55000000000000004">
      <c r="W299"/>
    </row>
    <row r="300" spans="23:23" x14ac:dyDescent="0.55000000000000004">
      <c r="W300"/>
    </row>
    <row r="301" spans="23:23" x14ac:dyDescent="0.55000000000000004">
      <c r="W301"/>
    </row>
    <row r="302" spans="23:23" x14ac:dyDescent="0.55000000000000004">
      <c r="W302"/>
    </row>
    <row r="303" spans="23:23" x14ac:dyDescent="0.55000000000000004">
      <c r="W303"/>
    </row>
    <row r="304" spans="23:23" x14ac:dyDescent="0.55000000000000004">
      <c r="W304"/>
    </row>
    <row r="305" spans="23:23" x14ac:dyDescent="0.55000000000000004">
      <c r="W305"/>
    </row>
    <row r="306" spans="23:23" x14ac:dyDescent="0.55000000000000004">
      <c r="W306"/>
    </row>
    <row r="307" spans="23:23" x14ac:dyDescent="0.55000000000000004">
      <c r="W307"/>
    </row>
    <row r="308" spans="23:23" x14ac:dyDescent="0.55000000000000004">
      <c r="W308"/>
    </row>
    <row r="309" spans="23:23" x14ac:dyDescent="0.55000000000000004">
      <c r="W309"/>
    </row>
    <row r="310" spans="23:23" x14ac:dyDescent="0.55000000000000004">
      <c r="W310"/>
    </row>
    <row r="311" spans="23:23" x14ac:dyDescent="0.55000000000000004">
      <c r="W311"/>
    </row>
    <row r="312" spans="23:23" x14ac:dyDescent="0.55000000000000004">
      <c r="W312"/>
    </row>
    <row r="313" spans="23:23" x14ac:dyDescent="0.55000000000000004">
      <c r="W313"/>
    </row>
    <row r="314" spans="23:23" x14ac:dyDescent="0.55000000000000004">
      <c r="W314"/>
    </row>
    <row r="315" spans="23:23" x14ac:dyDescent="0.55000000000000004">
      <c r="W315"/>
    </row>
    <row r="316" spans="23:23" x14ac:dyDescent="0.55000000000000004">
      <c r="W316"/>
    </row>
    <row r="317" spans="23:23" x14ac:dyDescent="0.55000000000000004">
      <c r="W317"/>
    </row>
    <row r="318" spans="23:23" x14ac:dyDescent="0.55000000000000004">
      <c r="W318"/>
    </row>
    <row r="319" spans="23:23" x14ac:dyDescent="0.55000000000000004">
      <c r="W319"/>
    </row>
    <row r="320" spans="23:23" x14ac:dyDescent="0.55000000000000004">
      <c r="W320"/>
    </row>
    <row r="321" spans="23:23" x14ac:dyDescent="0.55000000000000004">
      <c r="W321"/>
    </row>
    <row r="322" spans="23:23" x14ac:dyDescent="0.55000000000000004">
      <c r="W322"/>
    </row>
    <row r="323" spans="23:23" x14ac:dyDescent="0.55000000000000004">
      <c r="W323"/>
    </row>
    <row r="324" spans="23:23" x14ac:dyDescent="0.55000000000000004">
      <c r="W324"/>
    </row>
    <row r="325" spans="23:23" x14ac:dyDescent="0.55000000000000004">
      <c r="W325"/>
    </row>
    <row r="326" spans="23:23" x14ac:dyDescent="0.55000000000000004">
      <c r="W326"/>
    </row>
    <row r="327" spans="23:23" x14ac:dyDescent="0.55000000000000004">
      <c r="W327"/>
    </row>
    <row r="328" spans="23:23" x14ac:dyDescent="0.55000000000000004">
      <c r="W328"/>
    </row>
    <row r="329" spans="23:23" x14ac:dyDescent="0.55000000000000004">
      <c r="W329"/>
    </row>
    <row r="330" spans="23:23" x14ac:dyDescent="0.55000000000000004">
      <c r="W330"/>
    </row>
    <row r="331" spans="23:23" x14ac:dyDescent="0.55000000000000004">
      <c r="W331"/>
    </row>
    <row r="332" spans="23:23" x14ac:dyDescent="0.55000000000000004">
      <c r="W332"/>
    </row>
    <row r="333" spans="23:23" x14ac:dyDescent="0.55000000000000004">
      <c r="W333"/>
    </row>
    <row r="334" spans="23:23" x14ac:dyDescent="0.55000000000000004">
      <c r="W334"/>
    </row>
    <row r="335" spans="23:23" x14ac:dyDescent="0.55000000000000004">
      <c r="W335"/>
    </row>
    <row r="336" spans="23:23" x14ac:dyDescent="0.55000000000000004">
      <c r="W336"/>
    </row>
    <row r="337" spans="23:23" x14ac:dyDescent="0.55000000000000004">
      <c r="W337"/>
    </row>
    <row r="338" spans="23:23" x14ac:dyDescent="0.55000000000000004">
      <c r="W338"/>
    </row>
    <row r="339" spans="23:23" x14ac:dyDescent="0.55000000000000004">
      <c r="W339"/>
    </row>
    <row r="340" spans="23:23" x14ac:dyDescent="0.55000000000000004">
      <c r="W340"/>
    </row>
    <row r="341" spans="23:23" x14ac:dyDescent="0.55000000000000004">
      <c r="W341"/>
    </row>
    <row r="342" spans="23:23" x14ac:dyDescent="0.55000000000000004">
      <c r="W342"/>
    </row>
    <row r="343" spans="23:23" x14ac:dyDescent="0.55000000000000004">
      <c r="W343"/>
    </row>
    <row r="344" spans="23:23" x14ac:dyDescent="0.55000000000000004">
      <c r="W344"/>
    </row>
    <row r="345" spans="23:23" x14ac:dyDescent="0.55000000000000004">
      <c r="W345"/>
    </row>
    <row r="346" spans="23:23" x14ac:dyDescent="0.55000000000000004">
      <c r="W346"/>
    </row>
    <row r="347" spans="23:23" x14ac:dyDescent="0.55000000000000004">
      <c r="W347"/>
    </row>
    <row r="348" spans="23:23" x14ac:dyDescent="0.55000000000000004">
      <c r="W348"/>
    </row>
    <row r="349" spans="23:23" x14ac:dyDescent="0.55000000000000004">
      <c r="W349"/>
    </row>
    <row r="350" spans="23:23" x14ac:dyDescent="0.55000000000000004">
      <c r="W350"/>
    </row>
    <row r="351" spans="23:23" x14ac:dyDescent="0.55000000000000004">
      <c r="W351"/>
    </row>
    <row r="352" spans="23:23" x14ac:dyDescent="0.55000000000000004">
      <c r="W352"/>
    </row>
    <row r="353" spans="23:23" x14ac:dyDescent="0.55000000000000004">
      <c r="W353"/>
    </row>
    <row r="354" spans="23:23" x14ac:dyDescent="0.55000000000000004">
      <c r="W354"/>
    </row>
    <row r="355" spans="23:23" x14ac:dyDescent="0.55000000000000004">
      <c r="W355"/>
    </row>
    <row r="356" spans="23:23" x14ac:dyDescent="0.55000000000000004">
      <c r="W356"/>
    </row>
    <row r="357" spans="23:23" x14ac:dyDescent="0.55000000000000004">
      <c r="W357"/>
    </row>
    <row r="358" spans="23:23" x14ac:dyDescent="0.55000000000000004">
      <c r="W358"/>
    </row>
    <row r="359" spans="23:23" x14ac:dyDescent="0.55000000000000004">
      <c r="W359"/>
    </row>
    <row r="360" spans="23:23" x14ac:dyDescent="0.55000000000000004">
      <c r="W360"/>
    </row>
    <row r="361" spans="23:23" x14ac:dyDescent="0.55000000000000004">
      <c r="W361"/>
    </row>
    <row r="362" spans="23:23" x14ac:dyDescent="0.55000000000000004">
      <c r="W362"/>
    </row>
    <row r="363" spans="23:23" x14ac:dyDescent="0.55000000000000004">
      <c r="W363"/>
    </row>
    <row r="364" spans="23:23" x14ac:dyDescent="0.55000000000000004">
      <c r="W364"/>
    </row>
    <row r="365" spans="23:23" x14ac:dyDescent="0.55000000000000004">
      <c r="W365"/>
    </row>
    <row r="366" spans="23:23" x14ac:dyDescent="0.55000000000000004">
      <c r="W366"/>
    </row>
    <row r="367" spans="23:23" x14ac:dyDescent="0.55000000000000004">
      <c r="W367"/>
    </row>
    <row r="368" spans="23:23" x14ac:dyDescent="0.55000000000000004">
      <c r="W368"/>
    </row>
    <row r="369" spans="23:23" x14ac:dyDescent="0.55000000000000004">
      <c r="W369"/>
    </row>
    <row r="370" spans="23:23" x14ac:dyDescent="0.55000000000000004">
      <c r="W370"/>
    </row>
    <row r="371" spans="23:23" x14ac:dyDescent="0.55000000000000004">
      <c r="W371"/>
    </row>
    <row r="372" spans="23:23" x14ac:dyDescent="0.55000000000000004">
      <c r="W372"/>
    </row>
    <row r="373" spans="23:23" x14ac:dyDescent="0.55000000000000004">
      <c r="W373"/>
    </row>
    <row r="374" spans="23:23" x14ac:dyDescent="0.55000000000000004">
      <c r="W374"/>
    </row>
    <row r="375" spans="23:23" x14ac:dyDescent="0.55000000000000004">
      <c r="W375"/>
    </row>
    <row r="376" spans="23:23" x14ac:dyDescent="0.55000000000000004">
      <c r="W376"/>
    </row>
    <row r="377" spans="23:23" x14ac:dyDescent="0.55000000000000004">
      <c r="W377"/>
    </row>
    <row r="378" spans="23:23" x14ac:dyDescent="0.55000000000000004">
      <c r="W378"/>
    </row>
    <row r="379" spans="23:23" x14ac:dyDescent="0.55000000000000004">
      <c r="W379"/>
    </row>
    <row r="380" spans="23:23" x14ac:dyDescent="0.55000000000000004">
      <c r="W380"/>
    </row>
    <row r="381" spans="23:23" x14ac:dyDescent="0.55000000000000004">
      <c r="W381"/>
    </row>
    <row r="382" spans="23:23" x14ac:dyDescent="0.55000000000000004">
      <c r="W382"/>
    </row>
    <row r="383" spans="23:23" x14ac:dyDescent="0.55000000000000004">
      <c r="W383"/>
    </row>
    <row r="384" spans="23:23" x14ac:dyDescent="0.55000000000000004">
      <c r="W384"/>
    </row>
    <row r="385" spans="23:23" x14ac:dyDescent="0.55000000000000004">
      <c r="W385"/>
    </row>
    <row r="386" spans="23:23" x14ac:dyDescent="0.55000000000000004">
      <c r="W386"/>
    </row>
    <row r="387" spans="23:23" x14ac:dyDescent="0.55000000000000004">
      <c r="W387"/>
    </row>
    <row r="388" spans="23:23" x14ac:dyDescent="0.55000000000000004">
      <c r="W388"/>
    </row>
    <row r="389" spans="23:23" x14ac:dyDescent="0.55000000000000004">
      <c r="W389"/>
    </row>
    <row r="390" spans="23:23" x14ac:dyDescent="0.55000000000000004">
      <c r="W390"/>
    </row>
    <row r="391" spans="23:23" x14ac:dyDescent="0.55000000000000004">
      <c r="W391"/>
    </row>
    <row r="392" spans="23:23" x14ac:dyDescent="0.55000000000000004">
      <c r="W392"/>
    </row>
    <row r="393" spans="23:23" x14ac:dyDescent="0.55000000000000004">
      <c r="W393"/>
    </row>
    <row r="394" spans="23:23" x14ac:dyDescent="0.55000000000000004">
      <c r="W394"/>
    </row>
    <row r="395" spans="23:23" x14ac:dyDescent="0.55000000000000004">
      <c r="W395"/>
    </row>
    <row r="396" spans="23:23" x14ac:dyDescent="0.55000000000000004">
      <c r="W396"/>
    </row>
    <row r="397" spans="23:23" x14ac:dyDescent="0.55000000000000004">
      <c r="W397"/>
    </row>
    <row r="398" spans="23:23" x14ac:dyDescent="0.55000000000000004">
      <c r="W398"/>
    </row>
    <row r="399" spans="23:23" x14ac:dyDescent="0.55000000000000004">
      <c r="W399"/>
    </row>
    <row r="400" spans="23:23" x14ac:dyDescent="0.55000000000000004">
      <c r="W400"/>
    </row>
    <row r="401" spans="23:23" x14ac:dyDescent="0.55000000000000004">
      <c r="W401"/>
    </row>
    <row r="402" spans="23:23" x14ac:dyDescent="0.55000000000000004">
      <c r="W402"/>
    </row>
    <row r="403" spans="23:23" x14ac:dyDescent="0.55000000000000004">
      <c r="W403"/>
    </row>
    <row r="404" spans="23:23" x14ac:dyDescent="0.55000000000000004">
      <c r="W404"/>
    </row>
    <row r="405" spans="23:23" x14ac:dyDescent="0.55000000000000004">
      <c r="W405"/>
    </row>
    <row r="406" spans="23:23" x14ac:dyDescent="0.55000000000000004">
      <c r="W406"/>
    </row>
    <row r="407" spans="23:23" x14ac:dyDescent="0.55000000000000004">
      <c r="W407"/>
    </row>
    <row r="408" spans="23:23" x14ac:dyDescent="0.55000000000000004">
      <c r="W408"/>
    </row>
    <row r="409" spans="23:23" x14ac:dyDescent="0.55000000000000004">
      <c r="W409"/>
    </row>
    <row r="410" spans="23:23" x14ac:dyDescent="0.55000000000000004">
      <c r="W410"/>
    </row>
    <row r="411" spans="23:23" x14ac:dyDescent="0.55000000000000004">
      <c r="W411"/>
    </row>
    <row r="412" spans="23:23" x14ac:dyDescent="0.55000000000000004">
      <c r="W412"/>
    </row>
    <row r="413" spans="23:23" x14ac:dyDescent="0.55000000000000004">
      <c r="W413"/>
    </row>
    <row r="414" spans="23:23" x14ac:dyDescent="0.55000000000000004">
      <c r="W414"/>
    </row>
    <row r="415" spans="23:23" x14ac:dyDescent="0.55000000000000004">
      <c r="W415"/>
    </row>
    <row r="416" spans="23:23" x14ac:dyDescent="0.55000000000000004">
      <c r="W416"/>
    </row>
    <row r="417" spans="23:23" x14ac:dyDescent="0.55000000000000004">
      <c r="W417"/>
    </row>
    <row r="418" spans="23:23" x14ac:dyDescent="0.55000000000000004">
      <c r="W418"/>
    </row>
    <row r="419" spans="23:23" x14ac:dyDescent="0.55000000000000004">
      <c r="W419"/>
    </row>
    <row r="420" spans="23:23" x14ac:dyDescent="0.55000000000000004">
      <c r="W420"/>
    </row>
    <row r="421" spans="23:23" x14ac:dyDescent="0.55000000000000004">
      <c r="W421"/>
    </row>
    <row r="422" spans="23:23" x14ac:dyDescent="0.55000000000000004">
      <c r="W422"/>
    </row>
    <row r="423" spans="23:23" x14ac:dyDescent="0.55000000000000004">
      <c r="W423"/>
    </row>
    <row r="424" spans="23:23" x14ac:dyDescent="0.55000000000000004">
      <c r="W424"/>
    </row>
    <row r="425" spans="23:23" x14ac:dyDescent="0.55000000000000004">
      <c r="W425"/>
    </row>
    <row r="426" spans="23:23" x14ac:dyDescent="0.55000000000000004">
      <c r="W426"/>
    </row>
    <row r="427" spans="23:23" x14ac:dyDescent="0.55000000000000004">
      <c r="W427"/>
    </row>
    <row r="428" spans="23:23" x14ac:dyDescent="0.55000000000000004">
      <c r="W428"/>
    </row>
    <row r="429" spans="23:23" x14ac:dyDescent="0.55000000000000004">
      <c r="W429"/>
    </row>
    <row r="430" spans="23:23" x14ac:dyDescent="0.55000000000000004">
      <c r="W430"/>
    </row>
    <row r="431" spans="23:23" x14ac:dyDescent="0.55000000000000004">
      <c r="W431"/>
    </row>
    <row r="432" spans="23:23" x14ac:dyDescent="0.55000000000000004">
      <c r="W432"/>
    </row>
    <row r="433" spans="23:23" x14ac:dyDescent="0.55000000000000004">
      <c r="W433"/>
    </row>
    <row r="434" spans="23:23" x14ac:dyDescent="0.55000000000000004">
      <c r="W434"/>
    </row>
    <row r="435" spans="23:23" x14ac:dyDescent="0.55000000000000004">
      <c r="W435"/>
    </row>
    <row r="436" spans="23:23" x14ac:dyDescent="0.55000000000000004">
      <c r="W436"/>
    </row>
    <row r="437" spans="23:23" x14ac:dyDescent="0.55000000000000004">
      <c r="W437"/>
    </row>
    <row r="438" spans="23:23" x14ac:dyDescent="0.55000000000000004">
      <c r="W438"/>
    </row>
    <row r="439" spans="23:23" x14ac:dyDescent="0.55000000000000004">
      <c r="W439"/>
    </row>
    <row r="440" spans="23:23" x14ac:dyDescent="0.55000000000000004">
      <c r="W440"/>
    </row>
    <row r="441" spans="23:23" x14ac:dyDescent="0.55000000000000004">
      <c r="W441"/>
    </row>
    <row r="442" spans="23:23" x14ac:dyDescent="0.55000000000000004">
      <c r="W442"/>
    </row>
    <row r="443" spans="23:23" x14ac:dyDescent="0.55000000000000004">
      <c r="W443"/>
    </row>
    <row r="444" spans="23:23" x14ac:dyDescent="0.55000000000000004">
      <c r="W444"/>
    </row>
    <row r="445" spans="23:23" x14ac:dyDescent="0.55000000000000004">
      <c r="W445"/>
    </row>
    <row r="446" spans="23:23" x14ac:dyDescent="0.55000000000000004">
      <c r="W446"/>
    </row>
    <row r="447" spans="23:23" x14ac:dyDescent="0.55000000000000004">
      <c r="W447"/>
    </row>
    <row r="448" spans="23:23" x14ac:dyDescent="0.55000000000000004">
      <c r="W448"/>
    </row>
    <row r="449" spans="23:23" x14ac:dyDescent="0.55000000000000004">
      <c r="W449"/>
    </row>
    <row r="450" spans="23:23" x14ac:dyDescent="0.55000000000000004">
      <c r="W450"/>
    </row>
    <row r="451" spans="23:23" x14ac:dyDescent="0.55000000000000004">
      <c r="W451"/>
    </row>
    <row r="452" spans="23:23" x14ac:dyDescent="0.55000000000000004">
      <c r="W452"/>
    </row>
    <row r="453" spans="23:23" x14ac:dyDescent="0.55000000000000004">
      <c r="W453"/>
    </row>
    <row r="454" spans="23:23" x14ac:dyDescent="0.55000000000000004">
      <c r="W454"/>
    </row>
    <row r="455" spans="23:23" x14ac:dyDescent="0.55000000000000004">
      <c r="W455"/>
    </row>
    <row r="456" spans="23:23" x14ac:dyDescent="0.55000000000000004">
      <c r="W456"/>
    </row>
    <row r="457" spans="23:23" x14ac:dyDescent="0.55000000000000004">
      <c r="W457"/>
    </row>
    <row r="458" spans="23:23" x14ac:dyDescent="0.55000000000000004">
      <c r="W458"/>
    </row>
    <row r="459" spans="23:23" x14ac:dyDescent="0.55000000000000004">
      <c r="W459"/>
    </row>
    <row r="460" spans="23:23" x14ac:dyDescent="0.55000000000000004">
      <c r="W460"/>
    </row>
    <row r="461" spans="23:23" x14ac:dyDescent="0.55000000000000004">
      <c r="W461"/>
    </row>
    <row r="462" spans="23:23" x14ac:dyDescent="0.55000000000000004">
      <c r="W462"/>
    </row>
    <row r="463" spans="23:23" x14ac:dyDescent="0.55000000000000004">
      <c r="W463"/>
    </row>
    <row r="464" spans="23:23" x14ac:dyDescent="0.55000000000000004">
      <c r="W464"/>
    </row>
    <row r="465" spans="23:23" x14ac:dyDescent="0.55000000000000004">
      <c r="W465"/>
    </row>
    <row r="466" spans="23:23" x14ac:dyDescent="0.55000000000000004">
      <c r="W466"/>
    </row>
    <row r="467" spans="23:23" x14ac:dyDescent="0.55000000000000004">
      <c r="W467"/>
    </row>
    <row r="468" spans="23:23" x14ac:dyDescent="0.55000000000000004">
      <c r="W468"/>
    </row>
    <row r="469" spans="23:23" x14ac:dyDescent="0.55000000000000004">
      <c r="W469"/>
    </row>
    <row r="470" spans="23:23" x14ac:dyDescent="0.55000000000000004">
      <c r="W470"/>
    </row>
    <row r="471" spans="23:23" x14ac:dyDescent="0.55000000000000004">
      <c r="W471"/>
    </row>
    <row r="472" spans="23:23" x14ac:dyDescent="0.55000000000000004">
      <c r="W472"/>
    </row>
    <row r="473" spans="23:23" x14ac:dyDescent="0.55000000000000004">
      <c r="W473"/>
    </row>
    <row r="474" spans="23:23" x14ac:dyDescent="0.55000000000000004">
      <c r="W474"/>
    </row>
    <row r="475" spans="23:23" x14ac:dyDescent="0.55000000000000004">
      <c r="W475"/>
    </row>
    <row r="476" spans="23:23" x14ac:dyDescent="0.55000000000000004">
      <c r="W476"/>
    </row>
    <row r="477" spans="23:23" x14ac:dyDescent="0.55000000000000004">
      <c r="W477"/>
    </row>
    <row r="478" spans="23:23" x14ac:dyDescent="0.55000000000000004">
      <c r="W478"/>
    </row>
    <row r="479" spans="23:23" x14ac:dyDescent="0.55000000000000004">
      <c r="W479"/>
    </row>
    <row r="480" spans="23:23" x14ac:dyDescent="0.55000000000000004">
      <c r="W480"/>
    </row>
    <row r="481" spans="23:23" x14ac:dyDescent="0.55000000000000004">
      <c r="W481"/>
    </row>
    <row r="482" spans="23:23" x14ac:dyDescent="0.55000000000000004">
      <c r="W482"/>
    </row>
    <row r="483" spans="23:23" x14ac:dyDescent="0.55000000000000004">
      <c r="W483"/>
    </row>
    <row r="484" spans="23:23" x14ac:dyDescent="0.55000000000000004">
      <c r="W484"/>
    </row>
    <row r="485" spans="23:23" x14ac:dyDescent="0.55000000000000004">
      <c r="W485"/>
    </row>
    <row r="486" spans="23:23" x14ac:dyDescent="0.55000000000000004">
      <c r="W486"/>
    </row>
    <row r="487" spans="23:23" x14ac:dyDescent="0.55000000000000004">
      <c r="W487"/>
    </row>
    <row r="488" spans="23:23" x14ac:dyDescent="0.55000000000000004">
      <c r="W488"/>
    </row>
    <row r="489" spans="23:23" x14ac:dyDescent="0.55000000000000004">
      <c r="W489"/>
    </row>
    <row r="490" spans="23:23" x14ac:dyDescent="0.55000000000000004">
      <c r="W490"/>
    </row>
    <row r="491" spans="23:23" x14ac:dyDescent="0.55000000000000004">
      <c r="W491"/>
    </row>
    <row r="492" spans="23:23" x14ac:dyDescent="0.55000000000000004">
      <c r="W492"/>
    </row>
    <row r="493" spans="23:23" x14ac:dyDescent="0.55000000000000004">
      <c r="W493"/>
    </row>
    <row r="494" spans="23:23" x14ac:dyDescent="0.55000000000000004">
      <c r="W494"/>
    </row>
    <row r="495" spans="23:23" x14ac:dyDescent="0.55000000000000004">
      <c r="W495"/>
    </row>
    <row r="496" spans="23:23" x14ac:dyDescent="0.55000000000000004">
      <c r="W496"/>
    </row>
    <row r="497" spans="23:23" x14ac:dyDescent="0.55000000000000004">
      <c r="W497"/>
    </row>
    <row r="498" spans="23:23" x14ac:dyDescent="0.55000000000000004">
      <c r="W498"/>
    </row>
    <row r="499" spans="23:23" x14ac:dyDescent="0.55000000000000004">
      <c r="W499"/>
    </row>
    <row r="500" spans="23:23" x14ac:dyDescent="0.55000000000000004">
      <c r="W500"/>
    </row>
    <row r="501" spans="23:23" x14ac:dyDescent="0.55000000000000004">
      <c r="W501"/>
    </row>
    <row r="502" spans="23:23" x14ac:dyDescent="0.55000000000000004">
      <c r="W502"/>
    </row>
    <row r="503" spans="23:23" x14ac:dyDescent="0.55000000000000004">
      <c r="W503"/>
    </row>
    <row r="504" spans="23:23" x14ac:dyDescent="0.55000000000000004">
      <c r="W504"/>
    </row>
    <row r="505" spans="23:23" x14ac:dyDescent="0.55000000000000004">
      <c r="W505"/>
    </row>
    <row r="506" spans="23:23" x14ac:dyDescent="0.55000000000000004">
      <c r="W506"/>
    </row>
    <row r="507" spans="23:23" x14ac:dyDescent="0.55000000000000004">
      <c r="W507"/>
    </row>
    <row r="508" spans="23:23" x14ac:dyDescent="0.55000000000000004">
      <c r="W508"/>
    </row>
    <row r="509" spans="23:23" x14ac:dyDescent="0.55000000000000004">
      <c r="W509"/>
    </row>
    <row r="510" spans="23:23" x14ac:dyDescent="0.55000000000000004">
      <c r="W510"/>
    </row>
    <row r="511" spans="23:23" x14ac:dyDescent="0.55000000000000004">
      <c r="W511"/>
    </row>
    <row r="512" spans="23:23" x14ac:dyDescent="0.55000000000000004">
      <c r="W512"/>
    </row>
    <row r="513" spans="23:23" x14ac:dyDescent="0.55000000000000004">
      <c r="W513"/>
    </row>
    <row r="514" spans="23:23" x14ac:dyDescent="0.55000000000000004">
      <c r="W514"/>
    </row>
    <row r="515" spans="23:23" x14ac:dyDescent="0.55000000000000004">
      <c r="W515"/>
    </row>
    <row r="516" spans="23:23" x14ac:dyDescent="0.55000000000000004">
      <c r="W516"/>
    </row>
    <row r="517" spans="23:23" x14ac:dyDescent="0.55000000000000004">
      <c r="W517"/>
    </row>
    <row r="518" spans="23:23" x14ac:dyDescent="0.55000000000000004">
      <c r="W518"/>
    </row>
    <row r="519" spans="23:23" x14ac:dyDescent="0.55000000000000004">
      <c r="W519"/>
    </row>
    <row r="520" spans="23:23" x14ac:dyDescent="0.55000000000000004">
      <c r="W520"/>
    </row>
    <row r="521" spans="23:23" x14ac:dyDescent="0.55000000000000004">
      <c r="W521"/>
    </row>
    <row r="522" spans="23:23" x14ac:dyDescent="0.55000000000000004">
      <c r="W522"/>
    </row>
    <row r="523" spans="23:23" x14ac:dyDescent="0.55000000000000004">
      <c r="W523"/>
    </row>
    <row r="524" spans="23:23" x14ac:dyDescent="0.55000000000000004">
      <c r="W524"/>
    </row>
    <row r="525" spans="23:23" x14ac:dyDescent="0.55000000000000004">
      <c r="W525"/>
    </row>
    <row r="526" spans="23:23" x14ac:dyDescent="0.55000000000000004">
      <c r="W526"/>
    </row>
    <row r="527" spans="23:23" x14ac:dyDescent="0.55000000000000004">
      <c r="W527"/>
    </row>
    <row r="528" spans="23:23" x14ac:dyDescent="0.55000000000000004">
      <c r="W528"/>
    </row>
    <row r="529" spans="23:23" x14ac:dyDescent="0.55000000000000004">
      <c r="W529"/>
    </row>
    <row r="530" spans="23:23" x14ac:dyDescent="0.55000000000000004">
      <c r="W530"/>
    </row>
    <row r="531" spans="23:23" x14ac:dyDescent="0.55000000000000004">
      <c r="W531"/>
    </row>
    <row r="532" spans="23:23" x14ac:dyDescent="0.55000000000000004">
      <c r="W532"/>
    </row>
    <row r="533" spans="23:23" x14ac:dyDescent="0.55000000000000004">
      <c r="W533"/>
    </row>
    <row r="534" spans="23:23" x14ac:dyDescent="0.55000000000000004">
      <c r="W534"/>
    </row>
    <row r="535" spans="23:23" x14ac:dyDescent="0.55000000000000004">
      <c r="W535"/>
    </row>
    <row r="536" spans="23:23" x14ac:dyDescent="0.55000000000000004">
      <c r="W536"/>
    </row>
    <row r="537" spans="23:23" x14ac:dyDescent="0.55000000000000004">
      <c r="W537"/>
    </row>
    <row r="538" spans="23:23" x14ac:dyDescent="0.55000000000000004">
      <c r="W538"/>
    </row>
    <row r="539" spans="23:23" x14ac:dyDescent="0.55000000000000004">
      <c r="W539"/>
    </row>
    <row r="540" spans="23:23" x14ac:dyDescent="0.55000000000000004">
      <c r="W540"/>
    </row>
    <row r="541" spans="23:23" x14ac:dyDescent="0.55000000000000004">
      <c r="W541"/>
    </row>
    <row r="542" spans="23:23" x14ac:dyDescent="0.55000000000000004">
      <c r="W542"/>
    </row>
    <row r="543" spans="23:23" x14ac:dyDescent="0.55000000000000004">
      <c r="W543"/>
    </row>
    <row r="544" spans="23:23" x14ac:dyDescent="0.55000000000000004">
      <c r="W544"/>
    </row>
    <row r="545" spans="23:23" x14ac:dyDescent="0.55000000000000004">
      <c r="W545"/>
    </row>
    <row r="546" spans="23:23" x14ac:dyDescent="0.55000000000000004">
      <c r="W546"/>
    </row>
    <row r="547" spans="23:23" x14ac:dyDescent="0.55000000000000004">
      <c r="W547"/>
    </row>
    <row r="548" spans="23:23" x14ac:dyDescent="0.55000000000000004">
      <c r="W548"/>
    </row>
    <row r="549" spans="23:23" x14ac:dyDescent="0.55000000000000004">
      <c r="W549"/>
    </row>
    <row r="550" spans="23:23" x14ac:dyDescent="0.55000000000000004">
      <c r="W550"/>
    </row>
    <row r="551" spans="23:23" x14ac:dyDescent="0.55000000000000004">
      <c r="W551"/>
    </row>
    <row r="552" spans="23:23" x14ac:dyDescent="0.55000000000000004">
      <c r="W552"/>
    </row>
    <row r="553" spans="23:23" x14ac:dyDescent="0.55000000000000004">
      <c r="W553"/>
    </row>
    <row r="554" spans="23:23" x14ac:dyDescent="0.55000000000000004">
      <c r="W554"/>
    </row>
    <row r="555" spans="23:23" x14ac:dyDescent="0.55000000000000004">
      <c r="W555"/>
    </row>
    <row r="556" spans="23:23" x14ac:dyDescent="0.55000000000000004">
      <c r="W556"/>
    </row>
    <row r="557" spans="23:23" x14ac:dyDescent="0.55000000000000004">
      <c r="W557"/>
    </row>
    <row r="558" spans="23:23" x14ac:dyDescent="0.55000000000000004">
      <c r="W558"/>
    </row>
    <row r="559" spans="23:23" x14ac:dyDescent="0.55000000000000004">
      <c r="W559"/>
    </row>
    <row r="560" spans="23:23" x14ac:dyDescent="0.55000000000000004">
      <c r="W560"/>
    </row>
    <row r="561" spans="23:23" x14ac:dyDescent="0.55000000000000004">
      <c r="W561"/>
    </row>
    <row r="562" spans="23:23" x14ac:dyDescent="0.55000000000000004">
      <c r="W562"/>
    </row>
    <row r="563" spans="23:23" x14ac:dyDescent="0.55000000000000004">
      <c r="W563"/>
    </row>
    <row r="564" spans="23:23" x14ac:dyDescent="0.55000000000000004">
      <c r="W564"/>
    </row>
    <row r="565" spans="23:23" x14ac:dyDescent="0.55000000000000004">
      <c r="W565"/>
    </row>
    <row r="566" spans="23:23" x14ac:dyDescent="0.55000000000000004">
      <c r="W566"/>
    </row>
    <row r="567" spans="23:23" x14ac:dyDescent="0.55000000000000004">
      <c r="W567"/>
    </row>
    <row r="568" spans="23:23" x14ac:dyDescent="0.55000000000000004">
      <c r="W568"/>
    </row>
    <row r="569" spans="23:23" x14ac:dyDescent="0.55000000000000004">
      <c r="W569"/>
    </row>
    <row r="570" spans="23:23" x14ac:dyDescent="0.55000000000000004">
      <c r="W570"/>
    </row>
    <row r="571" spans="23:23" x14ac:dyDescent="0.55000000000000004">
      <c r="W571"/>
    </row>
    <row r="572" spans="23:23" x14ac:dyDescent="0.55000000000000004">
      <c r="W572"/>
    </row>
    <row r="573" spans="23:23" x14ac:dyDescent="0.55000000000000004">
      <c r="W573"/>
    </row>
    <row r="574" spans="23:23" x14ac:dyDescent="0.55000000000000004">
      <c r="W574"/>
    </row>
    <row r="575" spans="23:23" x14ac:dyDescent="0.55000000000000004">
      <c r="W575"/>
    </row>
    <row r="576" spans="23:23" x14ac:dyDescent="0.55000000000000004">
      <c r="W576"/>
    </row>
    <row r="577" spans="23:23" x14ac:dyDescent="0.55000000000000004">
      <c r="W577"/>
    </row>
    <row r="578" spans="23:23" x14ac:dyDescent="0.55000000000000004">
      <c r="W578"/>
    </row>
    <row r="579" spans="23:23" x14ac:dyDescent="0.55000000000000004">
      <c r="W579"/>
    </row>
    <row r="580" spans="23:23" x14ac:dyDescent="0.55000000000000004">
      <c r="W580"/>
    </row>
    <row r="581" spans="23:23" x14ac:dyDescent="0.55000000000000004">
      <c r="W581"/>
    </row>
    <row r="582" spans="23:23" x14ac:dyDescent="0.55000000000000004">
      <c r="W582"/>
    </row>
    <row r="583" spans="23:23" x14ac:dyDescent="0.55000000000000004">
      <c r="W583"/>
    </row>
    <row r="584" spans="23:23" x14ac:dyDescent="0.55000000000000004">
      <c r="W584"/>
    </row>
    <row r="585" spans="23:23" x14ac:dyDescent="0.55000000000000004">
      <c r="W585"/>
    </row>
    <row r="586" spans="23:23" x14ac:dyDescent="0.55000000000000004">
      <c r="W586"/>
    </row>
    <row r="587" spans="23:23" x14ac:dyDescent="0.55000000000000004">
      <c r="W587"/>
    </row>
    <row r="588" spans="23:23" x14ac:dyDescent="0.55000000000000004">
      <c r="W588"/>
    </row>
    <row r="589" spans="23:23" x14ac:dyDescent="0.55000000000000004">
      <c r="W589"/>
    </row>
    <row r="590" spans="23:23" x14ac:dyDescent="0.55000000000000004">
      <c r="W590"/>
    </row>
    <row r="591" spans="23:23" x14ac:dyDescent="0.55000000000000004">
      <c r="W591"/>
    </row>
    <row r="592" spans="23:23" x14ac:dyDescent="0.55000000000000004">
      <c r="W592"/>
    </row>
    <row r="593" spans="23:23" x14ac:dyDescent="0.55000000000000004">
      <c r="W593"/>
    </row>
    <row r="594" spans="23:23" x14ac:dyDescent="0.55000000000000004">
      <c r="W594"/>
    </row>
    <row r="595" spans="23:23" x14ac:dyDescent="0.55000000000000004">
      <c r="W595"/>
    </row>
    <row r="596" spans="23:23" x14ac:dyDescent="0.55000000000000004">
      <c r="W596"/>
    </row>
    <row r="597" spans="23:23" x14ac:dyDescent="0.55000000000000004">
      <c r="W597"/>
    </row>
    <row r="598" spans="23:23" x14ac:dyDescent="0.55000000000000004">
      <c r="W598"/>
    </row>
    <row r="599" spans="23:23" x14ac:dyDescent="0.55000000000000004">
      <c r="W599"/>
    </row>
    <row r="600" spans="23:23" x14ac:dyDescent="0.55000000000000004">
      <c r="W600"/>
    </row>
    <row r="601" spans="23:23" x14ac:dyDescent="0.55000000000000004">
      <c r="W601"/>
    </row>
    <row r="602" spans="23:23" x14ac:dyDescent="0.55000000000000004">
      <c r="W602"/>
    </row>
    <row r="603" spans="23:23" x14ac:dyDescent="0.55000000000000004">
      <c r="W603"/>
    </row>
    <row r="604" spans="23:23" x14ac:dyDescent="0.55000000000000004">
      <c r="W604"/>
    </row>
    <row r="605" spans="23:23" x14ac:dyDescent="0.55000000000000004">
      <c r="W605"/>
    </row>
    <row r="606" spans="23:23" x14ac:dyDescent="0.55000000000000004">
      <c r="W606"/>
    </row>
    <row r="607" spans="23:23" x14ac:dyDescent="0.55000000000000004">
      <c r="W607"/>
    </row>
    <row r="608" spans="23:23" x14ac:dyDescent="0.55000000000000004">
      <c r="W608"/>
    </row>
    <row r="609" spans="23:23" x14ac:dyDescent="0.55000000000000004">
      <c r="W609"/>
    </row>
    <row r="610" spans="23:23" x14ac:dyDescent="0.55000000000000004">
      <c r="W610"/>
    </row>
    <row r="611" spans="23:23" x14ac:dyDescent="0.55000000000000004">
      <c r="W611"/>
    </row>
    <row r="612" spans="23:23" x14ac:dyDescent="0.55000000000000004">
      <c r="W612"/>
    </row>
    <row r="613" spans="23:23" x14ac:dyDescent="0.55000000000000004">
      <c r="W613"/>
    </row>
    <row r="614" spans="23:23" x14ac:dyDescent="0.55000000000000004">
      <c r="W614"/>
    </row>
    <row r="615" spans="23:23" x14ac:dyDescent="0.55000000000000004">
      <c r="W615"/>
    </row>
    <row r="616" spans="23:23" x14ac:dyDescent="0.55000000000000004">
      <c r="W616"/>
    </row>
    <row r="617" spans="23:23" x14ac:dyDescent="0.55000000000000004">
      <c r="W617"/>
    </row>
    <row r="618" spans="23:23" x14ac:dyDescent="0.55000000000000004">
      <c r="W618"/>
    </row>
    <row r="619" spans="23:23" x14ac:dyDescent="0.55000000000000004">
      <c r="W619"/>
    </row>
    <row r="620" spans="23:23" x14ac:dyDescent="0.55000000000000004">
      <c r="W620"/>
    </row>
    <row r="621" spans="23:23" x14ac:dyDescent="0.55000000000000004">
      <c r="W621"/>
    </row>
    <row r="622" spans="23:23" x14ac:dyDescent="0.55000000000000004">
      <c r="W622"/>
    </row>
    <row r="623" spans="23:23" x14ac:dyDescent="0.55000000000000004">
      <c r="W623"/>
    </row>
    <row r="624" spans="23:23" x14ac:dyDescent="0.55000000000000004">
      <c r="W624"/>
    </row>
    <row r="625" spans="23:23" x14ac:dyDescent="0.55000000000000004">
      <c r="W625"/>
    </row>
    <row r="626" spans="23:23" x14ac:dyDescent="0.55000000000000004">
      <c r="W626"/>
    </row>
    <row r="627" spans="23:23" x14ac:dyDescent="0.55000000000000004">
      <c r="W627"/>
    </row>
    <row r="628" spans="23:23" x14ac:dyDescent="0.55000000000000004">
      <c r="W628"/>
    </row>
    <row r="629" spans="23:23" x14ac:dyDescent="0.55000000000000004">
      <c r="W629"/>
    </row>
    <row r="630" spans="23:23" x14ac:dyDescent="0.55000000000000004">
      <c r="W630"/>
    </row>
    <row r="631" spans="23:23" x14ac:dyDescent="0.55000000000000004">
      <c r="W631"/>
    </row>
    <row r="632" spans="23:23" x14ac:dyDescent="0.55000000000000004">
      <c r="W632"/>
    </row>
    <row r="633" spans="23:23" x14ac:dyDescent="0.55000000000000004">
      <c r="W633"/>
    </row>
    <row r="634" spans="23:23" x14ac:dyDescent="0.55000000000000004">
      <c r="W634"/>
    </row>
    <row r="635" spans="23:23" x14ac:dyDescent="0.55000000000000004">
      <c r="W635"/>
    </row>
    <row r="636" spans="23:23" x14ac:dyDescent="0.55000000000000004">
      <c r="W636"/>
    </row>
    <row r="637" spans="23:23" x14ac:dyDescent="0.55000000000000004">
      <c r="W637"/>
    </row>
    <row r="638" spans="23:23" x14ac:dyDescent="0.55000000000000004">
      <c r="W638"/>
    </row>
    <row r="639" spans="23:23" x14ac:dyDescent="0.55000000000000004">
      <c r="W639"/>
    </row>
    <row r="640" spans="23:23" x14ac:dyDescent="0.55000000000000004">
      <c r="W640"/>
    </row>
    <row r="641" spans="23:23" x14ac:dyDescent="0.55000000000000004">
      <c r="W641"/>
    </row>
    <row r="642" spans="23:23" x14ac:dyDescent="0.55000000000000004">
      <c r="W642"/>
    </row>
    <row r="643" spans="23:23" x14ac:dyDescent="0.55000000000000004">
      <c r="W643"/>
    </row>
    <row r="644" spans="23:23" x14ac:dyDescent="0.55000000000000004">
      <c r="W644"/>
    </row>
    <row r="645" spans="23:23" x14ac:dyDescent="0.55000000000000004">
      <c r="W645"/>
    </row>
    <row r="646" spans="23:23" x14ac:dyDescent="0.55000000000000004">
      <c r="W646"/>
    </row>
    <row r="647" spans="23:23" x14ac:dyDescent="0.55000000000000004">
      <c r="W647"/>
    </row>
    <row r="648" spans="23:23" x14ac:dyDescent="0.55000000000000004">
      <c r="W648"/>
    </row>
    <row r="649" spans="23:23" x14ac:dyDescent="0.55000000000000004">
      <c r="W649"/>
    </row>
    <row r="650" spans="23:23" x14ac:dyDescent="0.55000000000000004">
      <c r="W650"/>
    </row>
    <row r="651" spans="23:23" x14ac:dyDescent="0.55000000000000004">
      <c r="W651"/>
    </row>
    <row r="652" spans="23:23" x14ac:dyDescent="0.55000000000000004">
      <c r="W652"/>
    </row>
    <row r="653" spans="23:23" x14ac:dyDescent="0.55000000000000004">
      <c r="W653"/>
    </row>
    <row r="654" spans="23:23" x14ac:dyDescent="0.55000000000000004">
      <c r="W654"/>
    </row>
    <row r="655" spans="23:23" x14ac:dyDescent="0.55000000000000004">
      <c r="W655"/>
    </row>
    <row r="656" spans="23:23" x14ac:dyDescent="0.55000000000000004">
      <c r="W656"/>
    </row>
    <row r="657" spans="23:23" x14ac:dyDescent="0.55000000000000004">
      <c r="W657"/>
    </row>
    <row r="658" spans="23:23" x14ac:dyDescent="0.55000000000000004">
      <c r="W658"/>
    </row>
    <row r="659" spans="23:23" x14ac:dyDescent="0.55000000000000004">
      <c r="W659"/>
    </row>
    <row r="660" spans="23:23" x14ac:dyDescent="0.55000000000000004">
      <c r="W660"/>
    </row>
    <row r="661" spans="23:23" x14ac:dyDescent="0.55000000000000004">
      <c r="W661"/>
    </row>
    <row r="662" spans="23:23" x14ac:dyDescent="0.55000000000000004">
      <c r="W662"/>
    </row>
    <row r="663" spans="23:23" x14ac:dyDescent="0.55000000000000004">
      <c r="W663"/>
    </row>
    <row r="664" spans="23:23" x14ac:dyDescent="0.55000000000000004">
      <c r="W664"/>
    </row>
    <row r="665" spans="23:23" x14ac:dyDescent="0.55000000000000004">
      <c r="W665"/>
    </row>
    <row r="666" spans="23:23" x14ac:dyDescent="0.55000000000000004">
      <c r="W666"/>
    </row>
    <row r="667" spans="23:23" x14ac:dyDescent="0.55000000000000004">
      <c r="W667"/>
    </row>
    <row r="668" spans="23:23" x14ac:dyDescent="0.55000000000000004">
      <c r="W668"/>
    </row>
    <row r="669" spans="23:23" x14ac:dyDescent="0.55000000000000004">
      <c r="W669"/>
    </row>
    <row r="670" spans="23:23" x14ac:dyDescent="0.55000000000000004">
      <c r="W670"/>
    </row>
    <row r="671" spans="23:23" x14ac:dyDescent="0.55000000000000004">
      <c r="W671"/>
    </row>
    <row r="672" spans="23:23" x14ac:dyDescent="0.55000000000000004">
      <c r="W672"/>
    </row>
    <row r="673" spans="23:23" x14ac:dyDescent="0.55000000000000004">
      <c r="W673"/>
    </row>
    <row r="674" spans="23:23" x14ac:dyDescent="0.55000000000000004">
      <c r="W674"/>
    </row>
    <row r="675" spans="23:23" x14ac:dyDescent="0.55000000000000004">
      <c r="W675"/>
    </row>
    <row r="676" spans="23:23" x14ac:dyDescent="0.55000000000000004">
      <c r="W676"/>
    </row>
    <row r="677" spans="23:23" x14ac:dyDescent="0.55000000000000004">
      <c r="W677"/>
    </row>
    <row r="678" spans="23:23" x14ac:dyDescent="0.55000000000000004">
      <c r="W678"/>
    </row>
    <row r="679" spans="23:23" x14ac:dyDescent="0.55000000000000004">
      <c r="W679"/>
    </row>
    <row r="680" spans="23:23" x14ac:dyDescent="0.55000000000000004">
      <c r="W680"/>
    </row>
    <row r="681" spans="23:23" x14ac:dyDescent="0.55000000000000004">
      <c r="W681"/>
    </row>
    <row r="682" spans="23:23" x14ac:dyDescent="0.55000000000000004">
      <c r="W682"/>
    </row>
    <row r="683" spans="23:23" x14ac:dyDescent="0.55000000000000004">
      <c r="W683"/>
    </row>
    <row r="684" spans="23:23" x14ac:dyDescent="0.55000000000000004">
      <c r="W684"/>
    </row>
    <row r="685" spans="23:23" x14ac:dyDescent="0.55000000000000004">
      <c r="W685"/>
    </row>
    <row r="686" spans="23:23" x14ac:dyDescent="0.55000000000000004">
      <c r="W686"/>
    </row>
    <row r="687" spans="23:23" x14ac:dyDescent="0.55000000000000004">
      <c r="W687"/>
    </row>
    <row r="688" spans="23:23" x14ac:dyDescent="0.55000000000000004">
      <c r="W688"/>
    </row>
    <row r="689" spans="23:23" x14ac:dyDescent="0.55000000000000004">
      <c r="W689"/>
    </row>
    <row r="690" spans="23:23" x14ac:dyDescent="0.55000000000000004">
      <c r="W690"/>
    </row>
    <row r="691" spans="23:23" x14ac:dyDescent="0.55000000000000004">
      <c r="W691"/>
    </row>
    <row r="692" spans="23:23" x14ac:dyDescent="0.55000000000000004">
      <c r="W692"/>
    </row>
    <row r="693" spans="23:23" x14ac:dyDescent="0.55000000000000004">
      <c r="W693"/>
    </row>
    <row r="694" spans="23:23" x14ac:dyDescent="0.55000000000000004">
      <c r="W694"/>
    </row>
    <row r="695" spans="23:23" x14ac:dyDescent="0.55000000000000004">
      <c r="W695"/>
    </row>
    <row r="696" spans="23:23" x14ac:dyDescent="0.55000000000000004">
      <c r="W696"/>
    </row>
    <row r="697" spans="23:23" x14ac:dyDescent="0.55000000000000004">
      <c r="W697"/>
    </row>
    <row r="698" spans="23:23" x14ac:dyDescent="0.55000000000000004">
      <c r="W698"/>
    </row>
    <row r="699" spans="23:23" x14ac:dyDescent="0.55000000000000004">
      <c r="W699"/>
    </row>
    <row r="700" spans="23:23" x14ac:dyDescent="0.55000000000000004">
      <c r="W700"/>
    </row>
    <row r="701" spans="23:23" x14ac:dyDescent="0.55000000000000004">
      <c r="W701"/>
    </row>
    <row r="702" spans="23:23" x14ac:dyDescent="0.55000000000000004">
      <c r="W702"/>
    </row>
    <row r="703" spans="23:23" x14ac:dyDescent="0.55000000000000004">
      <c r="W703"/>
    </row>
    <row r="704" spans="23:23" x14ac:dyDescent="0.55000000000000004">
      <c r="W704"/>
    </row>
    <row r="705" spans="23:23" x14ac:dyDescent="0.55000000000000004">
      <c r="W705"/>
    </row>
    <row r="706" spans="23:23" x14ac:dyDescent="0.55000000000000004">
      <c r="W706"/>
    </row>
    <row r="707" spans="23:23" x14ac:dyDescent="0.55000000000000004">
      <c r="W707"/>
    </row>
    <row r="708" spans="23:23" x14ac:dyDescent="0.55000000000000004">
      <c r="W708"/>
    </row>
    <row r="709" spans="23:23" x14ac:dyDescent="0.55000000000000004">
      <c r="W709"/>
    </row>
    <row r="710" spans="23:23" x14ac:dyDescent="0.55000000000000004">
      <c r="W710"/>
    </row>
    <row r="711" spans="23:23" x14ac:dyDescent="0.55000000000000004">
      <c r="W711"/>
    </row>
    <row r="712" spans="23:23" x14ac:dyDescent="0.55000000000000004">
      <c r="W712"/>
    </row>
    <row r="713" spans="23:23" x14ac:dyDescent="0.55000000000000004">
      <c r="W713"/>
    </row>
    <row r="714" spans="23:23" x14ac:dyDescent="0.55000000000000004">
      <c r="W714"/>
    </row>
    <row r="715" spans="23:23" x14ac:dyDescent="0.55000000000000004">
      <c r="W715"/>
    </row>
    <row r="716" spans="23:23" x14ac:dyDescent="0.55000000000000004">
      <c r="W716"/>
    </row>
    <row r="717" spans="23:23" x14ac:dyDescent="0.55000000000000004">
      <c r="W717"/>
    </row>
    <row r="718" spans="23:23" x14ac:dyDescent="0.55000000000000004">
      <c r="W718"/>
    </row>
    <row r="719" spans="23:23" x14ac:dyDescent="0.55000000000000004">
      <c r="W719"/>
    </row>
    <row r="720" spans="23:23" x14ac:dyDescent="0.55000000000000004">
      <c r="W720"/>
    </row>
    <row r="721" spans="23:23" x14ac:dyDescent="0.55000000000000004">
      <c r="W721"/>
    </row>
    <row r="722" spans="23:23" x14ac:dyDescent="0.55000000000000004">
      <c r="W722"/>
    </row>
    <row r="723" spans="23:23" x14ac:dyDescent="0.55000000000000004">
      <c r="W723"/>
    </row>
    <row r="724" spans="23:23" x14ac:dyDescent="0.55000000000000004">
      <c r="W724"/>
    </row>
    <row r="725" spans="23:23" x14ac:dyDescent="0.55000000000000004">
      <c r="W725"/>
    </row>
    <row r="726" spans="23:23" x14ac:dyDescent="0.55000000000000004">
      <c r="W726"/>
    </row>
    <row r="727" spans="23:23" x14ac:dyDescent="0.55000000000000004">
      <c r="W727"/>
    </row>
    <row r="728" spans="23:23" x14ac:dyDescent="0.55000000000000004">
      <c r="W728"/>
    </row>
    <row r="729" spans="23:23" x14ac:dyDescent="0.55000000000000004">
      <c r="W729"/>
    </row>
    <row r="730" spans="23:23" x14ac:dyDescent="0.55000000000000004">
      <c r="W730"/>
    </row>
    <row r="731" spans="23:23" x14ac:dyDescent="0.55000000000000004">
      <c r="W731"/>
    </row>
    <row r="732" spans="23:23" x14ac:dyDescent="0.55000000000000004">
      <c r="W732"/>
    </row>
    <row r="733" spans="23:23" x14ac:dyDescent="0.55000000000000004">
      <c r="W733"/>
    </row>
    <row r="734" spans="23:23" x14ac:dyDescent="0.55000000000000004">
      <c r="W734"/>
    </row>
    <row r="735" spans="23:23" x14ac:dyDescent="0.55000000000000004">
      <c r="W735"/>
    </row>
    <row r="736" spans="23:23" x14ac:dyDescent="0.55000000000000004">
      <c r="W736"/>
    </row>
    <row r="737" spans="23:23" x14ac:dyDescent="0.55000000000000004">
      <c r="W737"/>
    </row>
    <row r="738" spans="23:23" x14ac:dyDescent="0.55000000000000004">
      <c r="W738"/>
    </row>
    <row r="739" spans="23:23" x14ac:dyDescent="0.55000000000000004">
      <c r="W739"/>
    </row>
    <row r="740" spans="23:23" x14ac:dyDescent="0.55000000000000004">
      <c r="W740"/>
    </row>
    <row r="741" spans="23:23" x14ac:dyDescent="0.55000000000000004">
      <c r="W741"/>
    </row>
    <row r="742" spans="23:23" x14ac:dyDescent="0.55000000000000004">
      <c r="W742"/>
    </row>
    <row r="743" spans="23:23" x14ac:dyDescent="0.55000000000000004">
      <c r="W743"/>
    </row>
    <row r="744" spans="23:23" x14ac:dyDescent="0.55000000000000004">
      <c r="W744"/>
    </row>
    <row r="745" spans="23:23" x14ac:dyDescent="0.55000000000000004">
      <c r="W745"/>
    </row>
    <row r="746" spans="23:23" x14ac:dyDescent="0.55000000000000004">
      <c r="W746"/>
    </row>
    <row r="747" spans="23:23" x14ac:dyDescent="0.55000000000000004">
      <c r="W747"/>
    </row>
    <row r="748" spans="23:23" x14ac:dyDescent="0.55000000000000004">
      <c r="W748"/>
    </row>
    <row r="749" spans="23:23" x14ac:dyDescent="0.55000000000000004">
      <c r="W749"/>
    </row>
    <row r="750" spans="23:23" x14ac:dyDescent="0.55000000000000004">
      <c r="W750"/>
    </row>
    <row r="751" spans="23:23" x14ac:dyDescent="0.55000000000000004">
      <c r="W751"/>
    </row>
    <row r="752" spans="23:23" x14ac:dyDescent="0.55000000000000004">
      <c r="W752"/>
    </row>
    <row r="753" spans="23:23" x14ac:dyDescent="0.55000000000000004">
      <c r="W753"/>
    </row>
    <row r="754" spans="23:23" x14ac:dyDescent="0.55000000000000004">
      <c r="W754"/>
    </row>
    <row r="755" spans="23:23" x14ac:dyDescent="0.55000000000000004">
      <c r="W755"/>
    </row>
    <row r="756" spans="23:23" x14ac:dyDescent="0.55000000000000004">
      <c r="W756"/>
    </row>
    <row r="757" spans="23:23" x14ac:dyDescent="0.55000000000000004">
      <c r="W757"/>
    </row>
    <row r="758" spans="23:23" x14ac:dyDescent="0.55000000000000004">
      <c r="W758"/>
    </row>
    <row r="759" spans="23:23" x14ac:dyDescent="0.55000000000000004">
      <c r="W759"/>
    </row>
    <row r="760" spans="23:23" x14ac:dyDescent="0.55000000000000004">
      <c r="W760"/>
    </row>
    <row r="761" spans="23:23" x14ac:dyDescent="0.55000000000000004">
      <c r="W761"/>
    </row>
    <row r="762" spans="23:23" x14ac:dyDescent="0.55000000000000004">
      <c r="W762"/>
    </row>
    <row r="763" spans="23:23" x14ac:dyDescent="0.55000000000000004">
      <c r="W763"/>
    </row>
    <row r="764" spans="23:23" x14ac:dyDescent="0.55000000000000004">
      <c r="W764"/>
    </row>
    <row r="765" spans="23:23" x14ac:dyDescent="0.55000000000000004">
      <c r="W765"/>
    </row>
    <row r="766" spans="23:23" x14ac:dyDescent="0.55000000000000004">
      <c r="W766"/>
    </row>
    <row r="767" spans="23:23" x14ac:dyDescent="0.55000000000000004">
      <c r="W767"/>
    </row>
    <row r="768" spans="23:23" x14ac:dyDescent="0.55000000000000004">
      <c r="W768"/>
    </row>
    <row r="769" spans="23:23" x14ac:dyDescent="0.55000000000000004">
      <c r="W769"/>
    </row>
    <row r="770" spans="23:23" x14ac:dyDescent="0.55000000000000004">
      <c r="W770"/>
    </row>
    <row r="771" spans="23:23" x14ac:dyDescent="0.55000000000000004">
      <c r="W771"/>
    </row>
    <row r="772" spans="23:23" x14ac:dyDescent="0.55000000000000004">
      <c r="W772"/>
    </row>
    <row r="773" spans="23:23" x14ac:dyDescent="0.55000000000000004">
      <c r="W773"/>
    </row>
    <row r="774" spans="23:23" x14ac:dyDescent="0.55000000000000004">
      <c r="W774"/>
    </row>
    <row r="775" spans="23:23" x14ac:dyDescent="0.55000000000000004">
      <c r="W775"/>
    </row>
    <row r="776" spans="23:23" x14ac:dyDescent="0.55000000000000004">
      <c r="W776"/>
    </row>
    <row r="777" spans="23:23" x14ac:dyDescent="0.55000000000000004">
      <c r="W777"/>
    </row>
    <row r="778" spans="23:23" x14ac:dyDescent="0.55000000000000004">
      <c r="W778"/>
    </row>
    <row r="779" spans="23:23" x14ac:dyDescent="0.55000000000000004">
      <c r="W779"/>
    </row>
    <row r="780" spans="23:23" x14ac:dyDescent="0.55000000000000004">
      <c r="W780"/>
    </row>
    <row r="781" spans="23:23" x14ac:dyDescent="0.55000000000000004">
      <c r="W781"/>
    </row>
    <row r="782" spans="23:23" x14ac:dyDescent="0.55000000000000004">
      <c r="W782"/>
    </row>
    <row r="783" spans="23:23" x14ac:dyDescent="0.55000000000000004">
      <c r="W783"/>
    </row>
    <row r="784" spans="23:23" x14ac:dyDescent="0.55000000000000004">
      <c r="W784"/>
    </row>
    <row r="785" spans="23:23" x14ac:dyDescent="0.55000000000000004">
      <c r="W785"/>
    </row>
    <row r="786" spans="23:23" x14ac:dyDescent="0.55000000000000004">
      <c r="W786"/>
    </row>
    <row r="787" spans="23:23" x14ac:dyDescent="0.55000000000000004">
      <c r="W787"/>
    </row>
    <row r="788" spans="23:23" x14ac:dyDescent="0.55000000000000004">
      <c r="W788"/>
    </row>
    <row r="789" spans="23:23" x14ac:dyDescent="0.55000000000000004">
      <c r="W789"/>
    </row>
    <row r="790" spans="23:23" x14ac:dyDescent="0.55000000000000004">
      <c r="W790"/>
    </row>
    <row r="791" spans="23:23" x14ac:dyDescent="0.55000000000000004">
      <c r="W791"/>
    </row>
    <row r="792" spans="23:23" x14ac:dyDescent="0.55000000000000004">
      <c r="W792"/>
    </row>
    <row r="793" spans="23:23" x14ac:dyDescent="0.55000000000000004">
      <c r="W793"/>
    </row>
    <row r="794" spans="23:23" x14ac:dyDescent="0.55000000000000004">
      <c r="W794"/>
    </row>
    <row r="795" spans="23:23" x14ac:dyDescent="0.55000000000000004">
      <c r="W795"/>
    </row>
    <row r="796" spans="23:23" x14ac:dyDescent="0.55000000000000004">
      <c r="W796"/>
    </row>
    <row r="797" spans="23:23" x14ac:dyDescent="0.55000000000000004">
      <c r="W797"/>
    </row>
    <row r="798" spans="23:23" x14ac:dyDescent="0.55000000000000004">
      <c r="W798"/>
    </row>
    <row r="799" spans="23:23" x14ac:dyDescent="0.55000000000000004">
      <c r="W799"/>
    </row>
    <row r="800" spans="23:23" x14ac:dyDescent="0.55000000000000004">
      <c r="W800"/>
    </row>
    <row r="801" spans="23:23" x14ac:dyDescent="0.55000000000000004">
      <c r="W801"/>
    </row>
    <row r="802" spans="23:23" x14ac:dyDescent="0.55000000000000004">
      <c r="W802"/>
    </row>
    <row r="803" spans="23:23" x14ac:dyDescent="0.55000000000000004">
      <c r="W803"/>
    </row>
    <row r="804" spans="23:23" x14ac:dyDescent="0.55000000000000004">
      <c r="W804"/>
    </row>
    <row r="805" spans="23:23" x14ac:dyDescent="0.55000000000000004">
      <c r="W805"/>
    </row>
    <row r="806" spans="23:23" x14ac:dyDescent="0.55000000000000004">
      <c r="W806"/>
    </row>
    <row r="807" spans="23:23" x14ac:dyDescent="0.55000000000000004">
      <c r="W807"/>
    </row>
    <row r="808" spans="23:23" x14ac:dyDescent="0.55000000000000004">
      <c r="W808"/>
    </row>
    <row r="809" spans="23:23" x14ac:dyDescent="0.55000000000000004">
      <c r="W809"/>
    </row>
    <row r="810" spans="23:23" x14ac:dyDescent="0.55000000000000004">
      <c r="W810"/>
    </row>
    <row r="811" spans="23:23" x14ac:dyDescent="0.55000000000000004">
      <c r="W811"/>
    </row>
    <row r="812" spans="23:23" x14ac:dyDescent="0.55000000000000004">
      <c r="W812"/>
    </row>
    <row r="813" spans="23:23" x14ac:dyDescent="0.55000000000000004">
      <c r="W813"/>
    </row>
    <row r="814" spans="23:23" x14ac:dyDescent="0.55000000000000004">
      <c r="W814"/>
    </row>
    <row r="815" spans="23:23" x14ac:dyDescent="0.55000000000000004">
      <c r="W815"/>
    </row>
    <row r="816" spans="23:23" x14ac:dyDescent="0.55000000000000004">
      <c r="W816"/>
    </row>
    <row r="817" spans="23:23" x14ac:dyDescent="0.55000000000000004">
      <c r="W817"/>
    </row>
    <row r="818" spans="23:23" x14ac:dyDescent="0.55000000000000004">
      <c r="W818"/>
    </row>
    <row r="819" spans="23:23" x14ac:dyDescent="0.55000000000000004">
      <c r="W819"/>
    </row>
    <row r="820" spans="23:23" x14ac:dyDescent="0.55000000000000004">
      <c r="W820"/>
    </row>
    <row r="821" spans="23:23" x14ac:dyDescent="0.55000000000000004">
      <c r="W821"/>
    </row>
    <row r="822" spans="23:23" x14ac:dyDescent="0.55000000000000004">
      <c r="W822"/>
    </row>
    <row r="823" spans="23:23" x14ac:dyDescent="0.55000000000000004">
      <c r="W823"/>
    </row>
    <row r="824" spans="23:23" x14ac:dyDescent="0.55000000000000004">
      <c r="W824"/>
    </row>
    <row r="825" spans="23:23" x14ac:dyDescent="0.55000000000000004">
      <c r="W825"/>
    </row>
    <row r="826" spans="23:23" x14ac:dyDescent="0.55000000000000004">
      <c r="W826"/>
    </row>
    <row r="827" spans="23:23" x14ac:dyDescent="0.55000000000000004">
      <c r="W827"/>
    </row>
    <row r="828" spans="23:23" x14ac:dyDescent="0.55000000000000004">
      <c r="W828"/>
    </row>
    <row r="829" spans="23:23" x14ac:dyDescent="0.55000000000000004">
      <c r="W829"/>
    </row>
    <row r="830" spans="23:23" x14ac:dyDescent="0.55000000000000004">
      <c r="W830"/>
    </row>
    <row r="831" spans="23:23" x14ac:dyDescent="0.55000000000000004">
      <c r="W831"/>
    </row>
    <row r="832" spans="23:23" x14ac:dyDescent="0.55000000000000004">
      <c r="W832"/>
    </row>
    <row r="833" spans="23:23" x14ac:dyDescent="0.55000000000000004">
      <c r="W833"/>
    </row>
    <row r="834" spans="23:23" x14ac:dyDescent="0.55000000000000004">
      <c r="W834"/>
    </row>
    <row r="835" spans="23:23" x14ac:dyDescent="0.55000000000000004">
      <c r="W835"/>
    </row>
    <row r="836" spans="23:23" x14ac:dyDescent="0.55000000000000004">
      <c r="W836"/>
    </row>
    <row r="837" spans="23:23" x14ac:dyDescent="0.55000000000000004">
      <c r="W837"/>
    </row>
    <row r="838" spans="23:23" x14ac:dyDescent="0.55000000000000004">
      <c r="W838"/>
    </row>
    <row r="839" spans="23:23" x14ac:dyDescent="0.55000000000000004">
      <c r="W839"/>
    </row>
    <row r="840" spans="23:23" x14ac:dyDescent="0.55000000000000004">
      <c r="W840"/>
    </row>
    <row r="841" spans="23:23" x14ac:dyDescent="0.55000000000000004">
      <c r="W841"/>
    </row>
    <row r="842" spans="23:23" x14ac:dyDescent="0.55000000000000004">
      <c r="W842"/>
    </row>
    <row r="843" spans="23:23" x14ac:dyDescent="0.55000000000000004">
      <c r="W843"/>
    </row>
    <row r="844" spans="23:23" x14ac:dyDescent="0.55000000000000004">
      <c r="W844"/>
    </row>
    <row r="845" spans="23:23" x14ac:dyDescent="0.55000000000000004">
      <c r="W845"/>
    </row>
    <row r="846" spans="23:23" x14ac:dyDescent="0.55000000000000004">
      <c r="W846"/>
    </row>
    <row r="847" spans="23:23" x14ac:dyDescent="0.55000000000000004">
      <c r="W847"/>
    </row>
    <row r="848" spans="23:23" x14ac:dyDescent="0.55000000000000004">
      <c r="W848"/>
    </row>
    <row r="849" spans="23:23" x14ac:dyDescent="0.55000000000000004">
      <c r="W849"/>
    </row>
    <row r="850" spans="23:23" x14ac:dyDescent="0.55000000000000004">
      <c r="W850"/>
    </row>
    <row r="851" spans="23:23" x14ac:dyDescent="0.55000000000000004">
      <c r="W851"/>
    </row>
    <row r="852" spans="23:23" x14ac:dyDescent="0.55000000000000004">
      <c r="W852"/>
    </row>
    <row r="853" spans="23:23" x14ac:dyDescent="0.55000000000000004">
      <c r="W853"/>
    </row>
    <row r="854" spans="23:23" x14ac:dyDescent="0.55000000000000004">
      <c r="W854"/>
    </row>
    <row r="855" spans="23:23" x14ac:dyDescent="0.55000000000000004">
      <c r="W855"/>
    </row>
    <row r="856" spans="23:23" x14ac:dyDescent="0.55000000000000004">
      <c r="W856"/>
    </row>
    <row r="857" spans="23:23" x14ac:dyDescent="0.55000000000000004">
      <c r="W857"/>
    </row>
    <row r="858" spans="23:23" x14ac:dyDescent="0.55000000000000004">
      <c r="W858"/>
    </row>
    <row r="859" spans="23:23" x14ac:dyDescent="0.55000000000000004">
      <c r="W859"/>
    </row>
    <row r="860" spans="23:23" x14ac:dyDescent="0.55000000000000004">
      <c r="W860"/>
    </row>
    <row r="861" spans="23:23" x14ac:dyDescent="0.55000000000000004">
      <c r="W861"/>
    </row>
    <row r="862" spans="23:23" x14ac:dyDescent="0.55000000000000004">
      <c r="W862"/>
    </row>
    <row r="863" spans="23:23" x14ac:dyDescent="0.55000000000000004">
      <c r="W863"/>
    </row>
    <row r="864" spans="23:23" x14ac:dyDescent="0.55000000000000004">
      <c r="W864"/>
    </row>
    <row r="865" spans="23:23" x14ac:dyDescent="0.55000000000000004">
      <c r="W865"/>
    </row>
    <row r="866" spans="23:23" x14ac:dyDescent="0.55000000000000004">
      <c r="W866"/>
    </row>
    <row r="867" spans="23:23" x14ac:dyDescent="0.55000000000000004">
      <c r="W867"/>
    </row>
    <row r="868" spans="23:23" x14ac:dyDescent="0.55000000000000004">
      <c r="W868"/>
    </row>
    <row r="869" spans="23:23" x14ac:dyDescent="0.55000000000000004">
      <c r="W869"/>
    </row>
    <row r="870" spans="23:23" x14ac:dyDescent="0.55000000000000004">
      <c r="W870"/>
    </row>
    <row r="871" spans="23:23" x14ac:dyDescent="0.55000000000000004">
      <c r="W871"/>
    </row>
    <row r="872" spans="23:23" x14ac:dyDescent="0.55000000000000004">
      <c r="W872"/>
    </row>
    <row r="873" spans="23:23" x14ac:dyDescent="0.55000000000000004">
      <c r="W873"/>
    </row>
    <row r="874" spans="23:23" x14ac:dyDescent="0.55000000000000004">
      <c r="W874"/>
    </row>
    <row r="875" spans="23:23" x14ac:dyDescent="0.55000000000000004">
      <c r="W875"/>
    </row>
    <row r="876" spans="23:23" x14ac:dyDescent="0.55000000000000004">
      <c r="W876"/>
    </row>
    <row r="877" spans="23:23" x14ac:dyDescent="0.55000000000000004">
      <c r="W877"/>
    </row>
    <row r="878" spans="23:23" x14ac:dyDescent="0.55000000000000004">
      <c r="W878"/>
    </row>
    <row r="879" spans="23:23" x14ac:dyDescent="0.55000000000000004">
      <c r="W879"/>
    </row>
    <row r="880" spans="23:23" x14ac:dyDescent="0.55000000000000004">
      <c r="W880"/>
    </row>
    <row r="881" spans="23:23" x14ac:dyDescent="0.55000000000000004">
      <c r="W881"/>
    </row>
    <row r="882" spans="23:23" x14ac:dyDescent="0.55000000000000004">
      <c r="W882"/>
    </row>
    <row r="883" spans="23:23" x14ac:dyDescent="0.55000000000000004">
      <c r="W883"/>
    </row>
    <row r="884" spans="23:23" x14ac:dyDescent="0.55000000000000004">
      <c r="W884"/>
    </row>
    <row r="885" spans="23:23" x14ac:dyDescent="0.55000000000000004">
      <c r="W885"/>
    </row>
    <row r="886" spans="23:23" x14ac:dyDescent="0.55000000000000004">
      <c r="W886"/>
    </row>
    <row r="887" spans="23:23" x14ac:dyDescent="0.55000000000000004">
      <c r="W887"/>
    </row>
    <row r="888" spans="23:23" x14ac:dyDescent="0.55000000000000004">
      <c r="W888"/>
    </row>
    <row r="889" spans="23:23" x14ac:dyDescent="0.55000000000000004">
      <c r="W889"/>
    </row>
    <row r="890" spans="23:23" x14ac:dyDescent="0.55000000000000004">
      <c r="W890"/>
    </row>
    <row r="891" spans="23:23" x14ac:dyDescent="0.55000000000000004">
      <c r="W891"/>
    </row>
    <row r="892" spans="23:23" x14ac:dyDescent="0.55000000000000004">
      <c r="W892"/>
    </row>
    <row r="893" spans="23:23" x14ac:dyDescent="0.55000000000000004">
      <c r="W893"/>
    </row>
    <row r="894" spans="23:23" x14ac:dyDescent="0.55000000000000004">
      <c r="W894"/>
    </row>
    <row r="895" spans="23:23" x14ac:dyDescent="0.55000000000000004">
      <c r="W895"/>
    </row>
    <row r="896" spans="23:23" x14ac:dyDescent="0.55000000000000004">
      <c r="W896"/>
    </row>
    <row r="897" spans="23:23" x14ac:dyDescent="0.55000000000000004">
      <c r="W897"/>
    </row>
    <row r="898" spans="23:23" x14ac:dyDescent="0.55000000000000004">
      <c r="W898"/>
    </row>
    <row r="899" spans="23:23" x14ac:dyDescent="0.55000000000000004">
      <c r="W899"/>
    </row>
    <row r="900" spans="23:23" x14ac:dyDescent="0.55000000000000004">
      <c r="W900"/>
    </row>
    <row r="901" spans="23:23" x14ac:dyDescent="0.55000000000000004">
      <c r="W901"/>
    </row>
    <row r="902" spans="23:23" x14ac:dyDescent="0.55000000000000004">
      <c r="W902"/>
    </row>
    <row r="903" spans="23:23" x14ac:dyDescent="0.55000000000000004">
      <c r="W903"/>
    </row>
    <row r="904" spans="23:23" x14ac:dyDescent="0.55000000000000004">
      <c r="W904"/>
    </row>
    <row r="905" spans="23:23" x14ac:dyDescent="0.55000000000000004">
      <c r="W905"/>
    </row>
    <row r="906" spans="23:23" x14ac:dyDescent="0.55000000000000004">
      <c r="W906"/>
    </row>
    <row r="907" spans="23:23" x14ac:dyDescent="0.55000000000000004">
      <c r="W907"/>
    </row>
    <row r="908" spans="23:23" x14ac:dyDescent="0.55000000000000004">
      <c r="W908"/>
    </row>
    <row r="909" spans="23:23" x14ac:dyDescent="0.55000000000000004">
      <c r="W909"/>
    </row>
    <row r="910" spans="23:23" x14ac:dyDescent="0.55000000000000004">
      <c r="W910"/>
    </row>
    <row r="911" spans="23:23" x14ac:dyDescent="0.55000000000000004">
      <c r="W911"/>
    </row>
    <row r="912" spans="23:23" x14ac:dyDescent="0.55000000000000004">
      <c r="W912"/>
    </row>
    <row r="913" spans="23:23" x14ac:dyDescent="0.55000000000000004">
      <c r="W913"/>
    </row>
    <row r="914" spans="23:23" x14ac:dyDescent="0.55000000000000004">
      <c r="W914"/>
    </row>
    <row r="915" spans="23:23" x14ac:dyDescent="0.55000000000000004">
      <c r="W915"/>
    </row>
    <row r="916" spans="23:23" x14ac:dyDescent="0.55000000000000004">
      <c r="W916"/>
    </row>
    <row r="917" spans="23:23" x14ac:dyDescent="0.55000000000000004">
      <c r="W917"/>
    </row>
    <row r="918" spans="23:23" x14ac:dyDescent="0.55000000000000004">
      <c r="W918"/>
    </row>
    <row r="919" spans="23:23" x14ac:dyDescent="0.55000000000000004">
      <c r="W919"/>
    </row>
    <row r="920" spans="23:23" x14ac:dyDescent="0.55000000000000004">
      <c r="W920"/>
    </row>
    <row r="921" spans="23:23" x14ac:dyDescent="0.55000000000000004">
      <c r="W921"/>
    </row>
    <row r="922" spans="23:23" x14ac:dyDescent="0.55000000000000004">
      <c r="W922"/>
    </row>
    <row r="923" spans="23:23" x14ac:dyDescent="0.55000000000000004">
      <c r="W923"/>
    </row>
    <row r="924" spans="23:23" x14ac:dyDescent="0.55000000000000004">
      <c r="W924"/>
    </row>
    <row r="925" spans="23:23" x14ac:dyDescent="0.55000000000000004">
      <c r="W925"/>
    </row>
    <row r="926" spans="23:23" x14ac:dyDescent="0.55000000000000004">
      <c r="W926"/>
    </row>
    <row r="927" spans="23:23" x14ac:dyDescent="0.55000000000000004">
      <c r="W927"/>
    </row>
    <row r="928" spans="23:23" x14ac:dyDescent="0.55000000000000004">
      <c r="W928"/>
    </row>
    <row r="929" spans="23:23" x14ac:dyDescent="0.55000000000000004">
      <c r="W929"/>
    </row>
    <row r="930" spans="23:23" x14ac:dyDescent="0.55000000000000004">
      <c r="W930"/>
    </row>
    <row r="931" spans="23:23" x14ac:dyDescent="0.55000000000000004">
      <c r="W931"/>
    </row>
    <row r="932" spans="23:23" x14ac:dyDescent="0.55000000000000004">
      <c r="W932"/>
    </row>
    <row r="933" spans="23:23" x14ac:dyDescent="0.55000000000000004">
      <c r="W933"/>
    </row>
    <row r="934" spans="23:23" x14ac:dyDescent="0.55000000000000004">
      <c r="W934"/>
    </row>
    <row r="935" spans="23:23" x14ac:dyDescent="0.55000000000000004">
      <c r="W935"/>
    </row>
    <row r="936" spans="23:23" x14ac:dyDescent="0.55000000000000004">
      <c r="W936"/>
    </row>
    <row r="937" spans="23:23" x14ac:dyDescent="0.55000000000000004">
      <c r="W937"/>
    </row>
    <row r="938" spans="23:23" x14ac:dyDescent="0.55000000000000004">
      <c r="W938"/>
    </row>
    <row r="939" spans="23:23" x14ac:dyDescent="0.55000000000000004">
      <c r="W939"/>
    </row>
    <row r="940" spans="23:23" x14ac:dyDescent="0.55000000000000004">
      <c r="W940"/>
    </row>
    <row r="941" spans="23:23" x14ac:dyDescent="0.55000000000000004">
      <c r="W941"/>
    </row>
    <row r="942" spans="23:23" x14ac:dyDescent="0.55000000000000004">
      <c r="W942"/>
    </row>
    <row r="943" spans="23:23" x14ac:dyDescent="0.55000000000000004">
      <c r="W943"/>
    </row>
    <row r="944" spans="23:23" x14ac:dyDescent="0.55000000000000004">
      <c r="W944"/>
    </row>
    <row r="945" spans="23:23" x14ac:dyDescent="0.55000000000000004">
      <c r="W945"/>
    </row>
    <row r="946" spans="23:23" x14ac:dyDescent="0.55000000000000004">
      <c r="W946"/>
    </row>
    <row r="947" spans="23:23" x14ac:dyDescent="0.55000000000000004">
      <c r="W947"/>
    </row>
    <row r="948" spans="23:23" x14ac:dyDescent="0.55000000000000004">
      <c r="W948"/>
    </row>
    <row r="949" spans="23:23" x14ac:dyDescent="0.55000000000000004">
      <c r="W949"/>
    </row>
    <row r="950" spans="23:23" x14ac:dyDescent="0.55000000000000004">
      <c r="W950"/>
    </row>
    <row r="951" spans="23:23" x14ac:dyDescent="0.55000000000000004">
      <c r="W951"/>
    </row>
    <row r="952" spans="23:23" x14ac:dyDescent="0.55000000000000004">
      <c r="W952"/>
    </row>
    <row r="953" spans="23:23" x14ac:dyDescent="0.55000000000000004">
      <c r="W953"/>
    </row>
    <row r="954" spans="23:23" x14ac:dyDescent="0.55000000000000004">
      <c r="W954"/>
    </row>
    <row r="955" spans="23:23" x14ac:dyDescent="0.55000000000000004">
      <c r="W955"/>
    </row>
    <row r="956" spans="23:23" x14ac:dyDescent="0.55000000000000004">
      <c r="W956"/>
    </row>
    <row r="957" spans="23:23" x14ac:dyDescent="0.55000000000000004">
      <c r="W957"/>
    </row>
    <row r="958" spans="23:23" x14ac:dyDescent="0.55000000000000004">
      <c r="W958"/>
    </row>
    <row r="959" spans="23:23" x14ac:dyDescent="0.55000000000000004">
      <c r="W959"/>
    </row>
    <row r="960" spans="23:23" x14ac:dyDescent="0.55000000000000004">
      <c r="W960"/>
    </row>
    <row r="961" spans="23:23" x14ac:dyDescent="0.55000000000000004">
      <c r="W961"/>
    </row>
    <row r="962" spans="23:23" x14ac:dyDescent="0.55000000000000004">
      <c r="W962"/>
    </row>
    <row r="963" spans="23:23" x14ac:dyDescent="0.55000000000000004">
      <c r="W963"/>
    </row>
    <row r="964" spans="23:23" x14ac:dyDescent="0.55000000000000004">
      <c r="W964"/>
    </row>
    <row r="965" spans="23:23" x14ac:dyDescent="0.55000000000000004">
      <c r="W965"/>
    </row>
    <row r="966" spans="23:23" x14ac:dyDescent="0.55000000000000004">
      <c r="W966"/>
    </row>
    <row r="967" spans="23:23" x14ac:dyDescent="0.55000000000000004">
      <c r="W967"/>
    </row>
    <row r="968" spans="23:23" x14ac:dyDescent="0.55000000000000004">
      <c r="W968"/>
    </row>
    <row r="969" spans="23:23" x14ac:dyDescent="0.55000000000000004">
      <c r="W969"/>
    </row>
    <row r="970" spans="23:23" x14ac:dyDescent="0.55000000000000004">
      <c r="W970"/>
    </row>
    <row r="971" spans="23:23" x14ac:dyDescent="0.55000000000000004">
      <c r="W971"/>
    </row>
    <row r="972" spans="23:23" x14ac:dyDescent="0.55000000000000004">
      <c r="W972"/>
    </row>
    <row r="973" spans="23:23" x14ac:dyDescent="0.55000000000000004">
      <c r="W973"/>
    </row>
    <row r="974" spans="23:23" x14ac:dyDescent="0.55000000000000004">
      <c r="W974"/>
    </row>
    <row r="975" spans="23:23" x14ac:dyDescent="0.55000000000000004">
      <c r="W975"/>
    </row>
    <row r="976" spans="23:23" x14ac:dyDescent="0.55000000000000004">
      <c r="W976"/>
    </row>
    <row r="977" spans="23:23" x14ac:dyDescent="0.55000000000000004">
      <c r="W977"/>
    </row>
    <row r="978" spans="23:23" x14ac:dyDescent="0.55000000000000004">
      <c r="W978"/>
    </row>
    <row r="979" spans="23:23" x14ac:dyDescent="0.55000000000000004">
      <c r="W979"/>
    </row>
    <row r="980" spans="23:23" x14ac:dyDescent="0.55000000000000004">
      <c r="W980"/>
    </row>
    <row r="981" spans="23:23" x14ac:dyDescent="0.55000000000000004">
      <c r="W981"/>
    </row>
    <row r="982" spans="23:23" x14ac:dyDescent="0.55000000000000004">
      <c r="W982"/>
    </row>
    <row r="983" spans="23:23" x14ac:dyDescent="0.55000000000000004">
      <c r="W983"/>
    </row>
    <row r="984" spans="23:23" x14ac:dyDescent="0.55000000000000004">
      <c r="W984"/>
    </row>
    <row r="985" spans="23:23" x14ac:dyDescent="0.55000000000000004">
      <c r="W985"/>
    </row>
    <row r="986" spans="23:23" x14ac:dyDescent="0.55000000000000004">
      <c r="W986"/>
    </row>
    <row r="987" spans="23:23" x14ac:dyDescent="0.55000000000000004">
      <c r="W987"/>
    </row>
    <row r="988" spans="23:23" x14ac:dyDescent="0.55000000000000004">
      <c r="W988"/>
    </row>
    <row r="989" spans="23:23" x14ac:dyDescent="0.55000000000000004">
      <c r="W989"/>
    </row>
    <row r="990" spans="23:23" x14ac:dyDescent="0.55000000000000004">
      <c r="W990"/>
    </row>
    <row r="991" spans="23:23" x14ac:dyDescent="0.55000000000000004">
      <c r="W991"/>
    </row>
    <row r="992" spans="23:23" x14ac:dyDescent="0.55000000000000004">
      <c r="W992"/>
    </row>
    <row r="993" spans="23:23" x14ac:dyDescent="0.55000000000000004">
      <c r="W993"/>
    </row>
    <row r="994" spans="23:23" x14ac:dyDescent="0.55000000000000004">
      <c r="W994"/>
    </row>
    <row r="995" spans="23:23" x14ac:dyDescent="0.55000000000000004">
      <c r="W995"/>
    </row>
    <row r="996" spans="23:23" x14ac:dyDescent="0.55000000000000004">
      <c r="W996"/>
    </row>
    <row r="997" spans="23:23" x14ac:dyDescent="0.55000000000000004">
      <c r="W997"/>
    </row>
    <row r="998" spans="23:23" x14ac:dyDescent="0.55000000000000004">
      <c r="W998"/>
    </row>
    <row r="999" spans="23:23" x14ac:dyDescent="0.55000000000000004">
      <c r="W999"/>
    </row>
    <row r="1000" spans="23:23" x14ac:dyDescent="0.55000000000000004">
      <c r="W1000"/>
    </row>
    <row r="1001" spans="23:23" x14ac:dyDescent="0.55000000000000004">
      <c r="W1001"/>
    </row>
    <row r="1002" spans="23:23" x14ac:dyDescent="0.55000000000000004">
      <c r="W1002"/>
    </row>
    <row r="1003" spans="23:23" x14ac:dyDescent="0.55000000000000004">
      <c r="W1003"/>
    </row>
    <row r="1004" spans="23:23" x14ac:dyDescent="0.55000000000000004">
      <c r="W1004"/>
    </row>
    <row r="1005" spans="23:23" x14ac:dyDescent="0.55000000000000004">
      <c r="W1005"/>
    </row>
    <row r="1006" spans="23:23" x14ac:dyDescent="0.55000000000000004">
      <c r="W1006"/>
    </row>
    <row r="1007" spans="23:23" x14ac:dyDescent="0.55000000000000004">
      <c r="W1007"/>
    </row>
    <row r="1008" spans="23:23" x14ac:dyDescent="0.55000000000000004">
      <c r="W1008"/>
    </row>
    <row r="1009" spans="23:23" x14ac:dyDescent="0.55000000000000004">
      <c r="W1009"/>
    </row>
    <row r="1010" spans="23:23" x14ac:dyDescent="0.55000000000000004">
      <c r="W1010"/>
    </row>
    <row r="1011" spans="23:23" x14ac:dyDescent="0.55000000000000004">
      <c r="W1011"/>
    </row>
    <row r="1012" spans="23:23" x14ac:dyDescent="0.55000000000000004">
      <c r="W1012"/>
    </row>
    <row r="1013" spans="23:23" x14ac:dyDescent="0.55000000000000004">
      <c r="W1013"/>
    </row>
    <row r="1014" spans="23:23" x14ac:dyDescent="0.55000000000000004">
      <c r="W1014"/>
    </row>
    <row r="1015" spans="23:23" x14ac:dyDescent="0.55000000000000004">
      <c r="W1015"/>
    </row>
    <row r="1016" spans="23:23" x14ac:dyDescent="0.55000000000000004">
      <c r="W1016"/>
    </row>
    <row r="1017" spans="23:23" x14ac:dyDescent="0.55000000000000004">
      <c r="W1017"/>
    </row>
    <row r="1018" spans="23:23" x14ac:dyDescent="0.55000000000000004">
      <c r="W1018"/>
    </row>
    <row r="1019" spans="23:23" x14ac:dyDescent="0.55000000000000004">
      <c r="W1019"/>
    </row>
    <row r="1020" spans="23:23" x14ac:dyDescent="0.55000000000000004">
      <c r="W1020"/>
    </row>
    <row r="1021" spans="23:23" x14ac:dyDescent="0.55000000000000004">
      <c r="W1021"/>
    </row>
    <row r="1022" spans="23:23" x14ac:dyDescent="0.55000000000000004">
      <c r="W1022"/>
    </row>
    <row r="1023" spans="23:23" x14ac:dyDescent="0.55000000000000004">
      <c r="W1023"/>
    </row>
    <row r="1024" spans="23:23" x14ac:dyDescent="0.55000000000000004">
      <c r="W1024"/>
    </row>
    <row r="1025" spans="23:23" x14ac:dyDescent="0.55000000000000004">
      <c r="W1025"/>
    </row>
    <row r="1026" spans="23:23" x14ac:dyDescent="0.55000000000000004">
      <c r="W1026"/>
    </row>
    <row r="1027" spans="23:23" x14ac:dyDescent="0.55000000000000004">
      <c r="W1027"/>
    </row>
    <row r="1028" spans="23:23" x14ac:dyDescent="0.55000000000000004">
      <c r="W1028"/>
    </row>
    <row r="1029" spans="23:23" x14ac:dyDescent="0.55000000000000004">
      <c r="W1029"/>
    </row>
    <row r="1030" spans="23:23" x14ac:dyDescent="0.55000000000000004">
      <c r="W1030"/>
    </row>
    <row r="1031" spans="23:23" x14ac:dyDescent="0.55000000000000004">
      <c r="W1031"/>
    </row>
    <row r="1032" spans="23:23" x14ac:dyDescent="0.55000000000000004">
      <c r="W1032"/>
    </row>
    <row r="1033" spans="23:23" x14ac:dyDescent="0.55000000000000004">
      <c r="W1033"/>
    </row>
    <row r="1034" spans="23:23" x14ac:dyDescent="0.55000000000000004">
      <c r="W1034"/>
    </row>
    <row r="1035" spans="23:23" x14ac:dyDescent="0.55000000000000004">
      <c r="W1035"/>
    </row>
    <row r="1036" spans="23:23" x14ac:dyDescent="0.55000000000000004">
      <c r="W1036"/>
    </row>
    <row r="1037" spans="23:23" x14ac:dyDescent="0.55000000000000004">
      <c r="W1037"/>
    </row>
    <row r="1038" spans="23:23" x14ac:dyDescent="0.55000000000000004">
      <c r="W1038"/>
    </row>
    <row r="1039" spans="23:23" x14ac:dyDescent="0.55000000000000004">
      <c r="W1039"/>
    </row>
    <row r="1040" spans="23:23" x14ac:dyDescent="0.55000000000000004">
      <c r="W1040"/>
    </row>
    <row r="1041" spans="23:23" x14ac:dyDescent="0.55000000000000004">
      <c r="W1041"/>
    </row>
    <row r="1042" spans="23:23" x14ac:dyDescent="0.55000000000000004">
      <c r="W1042"/>
    </row>
    <row r="1043" spans="23:23" x14ac:dyDescent="0.55000000000000004">
      <c r="W1043"/>
    </row>
    <row r="1044" spans="23:23" x14ac:dyDescent="0.55000000000000004">
      <c r="W1044"/>
    </row>
    <row r="1045" spans="23:23" x14ac:dyDescent="0.55000000000000004">
      <c r="W1045"/>
    </row>
    <row r="1046" spans="23:23" x14ac:dyDescent="0.55000000000000004">
      <c r="W1046"/>
    </row>
    <row r="1047" spans="23:23" x14ac:dyDescent="0.55000000000000004">
      <c r="W1047"/>
    </row>
    <row r="1048" spans="23:23" x14ac:dyDescent="0.55000000000000004">
      <c r="W1048"/>
    </row>
    <row r="1049" spans="23:23" x14ac:dyDescent="0.55000000000000004">
      <c r="W1049"/>
    </row>
    <row r="1050" spans="23:23" x14ac:dyDescent="0.55000000000000004">
      <c r="W1050"/>
    </row>
    <row r="1051" spans="23:23" x14ac:dyDescent="0.55000000000000004">
      <c r="W1051"/>
    </row>
    <row r="1052" spans="23:23" x14ac:dyDescent="0.55000000000000004">
      <c r="W1052"/>
    </row>
    <row r="1053" spans="23:23" x14ac:dyDescent="0.55000000000000004">
      <c r="W1053"/>
    </row>
    <row r="1054" spans="23:23" x14ac:dyDescent="0.55000000000000004">
      <c r="W1054"/>
    </row>
    <row r="1055" spans="23:23" x14ac:dyDescent="0.55000000000000004">
      <c r="W1055"/>
    </row>
    <row r="1056" spans="23:23" x14ac:dyDescent="0.55000000000000004">
      <c r="W1056"/>
    </row>
    <row r="1057" spans="23:23" x14ac:dyDescent="0.55000000000000004">
      <c r="W1057"/>
    </row>
    <row r="1058" spans="23:23" x14ac:dyDescent="0.55000000000000004">
      <c r="W1058"/>
    </row>
    <row r="1059" spans="23:23" x14ac:dyDescent="0.55000000000000004">
      <c r="W1059"/>
    </row>
    <row r="1060" spans="23:23" x14ac:dyDescent="0.55000000000000004">
      <c r="W1060"/>
    </row>
    <row r="1061" spans="23:23" x14ac:dyDescent="0.55000000000000004">
      <c r="W1061"/>
    </row>
    <row r="1062" spans="23:23" x14ac:dyDescent="0.55000000000000004">
      <c r="W1062"/>
    </row>
    <row r="1063" spans="23:23" x14ac:dyDescent="0.55000000000000004">
      <c r="W1063"/>
    </row>
    <row r="1064" spans="23:23" x14ac:dyDescent="0.55000000000000004">
      <c r="W1064"/>
    </row>
    <row r="1065" spans="23:23" x14ac:dyDescent="0.55000000000000004">
      <c r="W1065"/>
    </row>
    <row r="1066" spans="23:23" x14ac:dyDescent="0.55000000000000004">
      <c r="W1066"/>
    </row>
    <row r="1067" spans="23:23" x14ac:dyDescent="0.55000000000000004">
      <c r="W1067"/>
    </row>
    <row r="1068" spans="23:23" x14ac:dyDescent="0.55000000000000004">
      <c r="W1068"/>
    </row>
    <row r="1069" spans="23:23" x14ac:dyDescent="0.55000000000000004">
      <c r="W1069"/>
    </row>
    <row r="1070" spans="23:23" x14ac:dyDescent="0.55000000000000004">
      <c r="W1070"/>
    </row>
    <row r="1071" spans="23:23" x14ac:dyDescent="0.55000000000000004">
      <c r="W1071"/>
    </row>
    <row r="1072" spans="23:23" x14ac:dyDescent="0.55000000000000004">
      <c r="W1072"/>
    </row>
    <row r="1073" spans="23:23" x14ac:dyDescent="0.55000000000000004">
      <c r="W1073"/>
    </row>
    <row r="1074" spans="23:23" x14ac:dyDescent="0.55000000000000004">
      <c r="W1074"/>
    </row>
    <row r="1075" spans="23:23" x14ac:dyDescent="0.55000000000000004">
      <c r="W1075"/>
    </row>
    <row r="1076" spans="23:23" x14ac:dyDescent="0.55000000000000004">
      <c r="W1076"/>
    </row>
    <row r="1077" spans="23:23" x14ac:dyDescent="0.55000000000000004">
      <c r="W1077"/>
    </row>
    <row r="1078" spans="23:23" x14ac:dyDescent="0.55000000000000004">
      <c r="W1078"/>
    </row>
    <row r="1079" spans="23:23" x14ac:dyDescent="0.55000000000000004">
      <c r="W1079"/>
    </row>
    <row r="1080" spans="23:23" x14ac:dyDescent="0.55000000000000004">
      <c r="W1080"/>
    </row>
    <row r="1081" spans="23:23" x14ac:dyDescent="0.55000000000000004">
      <c r="W1081"/>
    </row>
    <row r="1082" spans="23:23" x14ac:dyDescent="0.55000000000000004">
      <c r="W1082"/>
    </row>
    <row r="1083" spans="23:23" x14ac:dyDescent="0.55000000000000004">
      <c r="W1083"/>
    </row>
    <row r="1084" spans="23:23" x14ac:dyDescent="0.55000000000000004">
      <c r="W1084"/>
    </row>
    <row r="1085" spans="23:23" x14ac:dyDescent="0.55000000000000004">
      <c r="W1085"/>
    </row>
    <row r="1086" spans="23:23" x14ac:dyDescent="0.55000000000000004">
      <c r="W1086"/>
    </row>
    <row r="1087" spans="23:23" x14ac:dyDescent="0.55000000000000004">
      <c r="W1087"/>
    </row>
    <row r="1088" spans="23:23" x14ac:dyDescent="0.55000000000000004">
      <c r="W1088"/>
    </row>
    <row r="1089" spans="23:23" x14ac:dyDescent="0.55000000000000004">
      <c r="W1089"/>
    </row>
    <row r="1090" spans="23:23" x14ac:dyDescent="0.55000000000000004">
      <c r="W1090"/>
    </row>
    <row r="1091" spans="23:23" x14ac:dyDescent="0.55000000000000004">
      <c r="W1091"/>
    </row>
    <row r="1092" spans="23:23" x14ac:dyDescent="0.55000000000000004">
      <c r="W1092"/>
    </row>
    <row r="1093" spans="23:23" x14ac:dyDescent="0.55000000000000004">
      <c r="W1093"/>
    </row>
    <row r="1094" spans="23:23" x14ac:dyDescent="0.55000000000000004">
      <c r="W1094"/>
    </row>
    <row r="1095" spans="23:23" x14ac:dyDescent="0.55000000000000004">
      <c r="W1095"/>
    </row>
    <row r="1096" spans="23:23" x14ac:dyDescent="0.55000000000000004">
      <c r="W1096"/>
    </row>
    <row r="1097" spans="23:23" x14ac:dyDescent="0.55000000000000004">
      <c r="W1097"/>
    </row>
    <row r="1098" spans="23:23" x14ac:dyDescent="0.55000000000000004">
      <c r="W1098"/>
    </row>
    <row r="1099" spans="23:23" x14ac:dyDescent="0.55000000000000004">
      <c r="W1099"/>
    </row>
    <row r="1100" spans="23:23" x14ac:dyDescent="0.55000000000000004">
      <c r="W1100"/>
    </row>
    <row r="1101" spans="23:23" x14ac:dyDescent="0.55000000000000004">
      <c r="W1101"/>
    </row>
    <row r="1102" spans="23:23" x14ac:dyDescent="0.55000000000000004">
      <c r="W1102"/>
    </row>
    <row r="1103" spans="23:23" x14ac:dyDescent="0.55000000000000004">
      <c r="W1103"/>
    </row>
    <row r="1104" spans="23:23" x14ac:dyDescent="0.55000000000000004">
      <c r="W1104"/>
    </row>
    <row r="1105" spans="23:23" x14ac:dyDescent="0.55000000000000004">
      <c r="W1105"/>
    </row>
    <row r="1106" spans="23:23" x14ac:dyDescent="0.55000000000000004">
      <c r="W1106"/>
    </row>
    <row r="1107" spans="23:23" x14ac:dyDescent="0.55000000000000004">
      <c r="W1107"/>
    </row>
    <row r="1108" spans="23:23" x14ac:dyDescent="0.55000000000000004">
      <c r="W1108"/>
    </row>
    <row r="1109" spans="23:23" x14ac:dyDescent="0.55000000000000004">
      <c r="W1109"/>
    </row>
    <row r="1110" spans="23:23" x14ac:dyDescent="0.55000000000000004">
      <c r="W1110"/>
    </row>
    <row r="1111" spans="23:23" x14ac:dyDescent="0.55000000000000004">
      <c r="W1111"/>
    </row>
    <row r="1112" spans="23:23" x14ac:dyDescent="0.55000000000000004">
      <c r="W1112"/>
    </row>
    <row r="1113" spans="23:23" x14ac:dyDescent="0.55000000000000004">
      <c r="W1113"/>
    </row>
    <row r="1114" spans="23:23" x14ac:dyDescent="0.55000000000000004">
      <c r="W1114"/>
    </row>
    <row r="1115" spans="23:23" x14ac:dyDescent="0.55000000000000004">
      <c r="W1115"/>
    </row>
    <row r="1116" spans="23:23" x14ac:dyDescent="0.55000000000000004">
      <c r="W1116"/>
    </row>
    <row r="1117" spans="23:23" x14ac:dyDescent="0.55000000000000004">
      <c r="W1117"/>
    </row>
    <row r="1118" spans="23:23" x14ac:dyDescent="0.55000000000000004">
      <c r="W1118"/>
    </row>
    <row r="1119" spans="23:23" x14ac:dyDescent="0.55000000000000004">
      <c r="W1119"/>
    </row>
    <row r="1120" spans="23:23" x14ac:dyDescent="0.55000000000000004">
      <c r="W1120"/>
    </row>
    <row r="1121" spans="23:23" x14ac:dyDescent="0.55000000000000004">
      <c r="W1121"/>
    </row>
    <row r="1122" spans="23:23" x14ac:dyDescent="0.55000000000000004">
      <c r="W1122"/>
    </row>
    <row r="1123" spans="23:23" x14ac:dyDescent="0.55000000000000004">
      <c r="W1123"/>
    </row>
    <row r="1124" spans="23:23" x14ac:dyDescent="0.55000000000000004">
      <c r="W1124"/>
    </row>
    <row r="1125" spans="23:23" x14ac:dyDescent="0.55000000000000004">
      <c r="W1125"/>
    </row>
    <row r="1126" spans="23:23" x14ac:dyDescent="0.55000000000000004">
      <c r="W1126"/>
    </row>
    <row r="1127" spans="23:23" x14ac:dyDescent="0.55000000000000004">
      <c r="W1127"/>
    </row>
    <row r="1128" spans="23:23" x14ac:dyDescent="0.55000000000000004">
      <c r="W1128"/>
    </row>
    <row r="1129" spans="23:23" x14ac:dyDescent="0.55000000000000004">
      <c r="W1129"/>
    </row>
    <row r="1130" spans="23:23" x14ac:dyDescent="0.55000000000000004">
      <c r="W1130"/>
    </row>
    <row r="1131" spans="23:23" x14ac:dyDescent="0.55000000000000004">
      <c r="W1131"/>
    </row>
    <row r="1132" spans="23:23" x14ac:dyDescent="0.55000000000000004">
      <c r="W1132"/>
    </row>
    <row r="1133" spans="23:23" x14ac:dyDescent="0.55000000000000004">
      <c r="W1133"/>
    </row>
    <row r="1134" spans="23:23" x14ac:dyDescent="0.55000000000000004">
      <c r="W1134"/>
    </row>
    <row r="1135" spans="23:23" x14ac:dyDescent="0.55000000000000004">
      <c r="W1135"/>
    </row>
    <row r="1136" spans="23:23" x14ac:dyDescent="0.55000000000000004">
      <c r="W1136"/>
    </row>
    <row r="1137" spans="23:23" x14ac:dyDescent="0.55000000000000004">
      <c r="W1137"/>
    </row>
    <row r="1138" spans="23:23" x14ac:dyDescent="0.55000000000000004">
      <c r="W1138"/>
    </row>
    <row r="1139" spans="23:23" x14ac:dyDescent="0.55000000000000004">
      <c r="W1139"/>
    </row>
    <row r="1140" spans="23:23" x14ac:dyDescent="0.55000000000000004">
      <c r="W1140"/>
    </row>
    <row r="1141" spans="23:23" x14ac:dyDescent="0.55000000000000004">
      <c r="W1141"/>
    </row>
    <row r="1142" spans="23:23" x14ac:dyDescent="0.55000000000000004">
      <c r="W1142"/>
    </row>
    <row r="1143" spans="23:23" x14ac:dyDescent="0.55000000000000004">
      <c r="W1143"/>
    </row>
    <row r="1144" spans="23:23" x14ac:dyDescent="0.55000000000000004">
      <c r="W1144"/>
    </row>
    <row r="1145" spans="23:23" x14ac:dyDescent="0.55000000000000004">
      <c r="W1145"/>
    </row>
    <row r="1146" spans="23:23" x14ac:dyDescent="0.55000000000000004">
      <c r="W1146"/>
    </row>
    <row r="1147" spans="23:23" x14ac:dyDescent="0.55000000000000004">
      <c r="W1147"/>
    </row>
    <row r="1148" spans="23:23" x14ac:dyDescent="0.55000000000000004">
      <c r="W1148"/>
    </row>
    <row r="1149" spans="23:23" x14ac:dyDescent="0.55000000000000004">
      <c r="W1149"/>
    </row>
    <row r="1150" spans="23:23" x14ac:dyDescent="0.55000000000000004">
      <c r="W1150"/>
    </row>
    <row r="1151" spans="23:23" x14ac:dyDescent="0.55000000000000004">
      <c r="W1151"/>
    </row>
    <row r="1152" spans="23:23" x14ac:dyDescent="0.55000000000000004">
      <c r="W1152"/>
    </row>
    <row r="1153" spans="23:23" x14ac:dyDescent="0.55000000000000004">
      <c r="W1153"/>
    </row>
    <row r="1154" spans="23:23" x14ac:dyDescent="0.55000000000000004">
      <c r="W1154"/>
    </row>
    <row r="1155" spans="23:23" x14ac:dyDescent="0.55000000000000004">
      <c r="W1155"/>
    </row>
    <row r="1156" spans="23:23" x14ac:dyDescent="0.55000000000000004">
      <c r="W1156"/>
    </row>
    <row r="1157" spans="23:23" x14ac:dyDescent="0.55000000000000004">
      <c r="W1157"/>
    </row>
    <row r="1158" spans="23:23" x14ac:dyDescent="0.55000000000000004">
      <c r="W1158"/>
    </row>
    <row r="1159" spans="23:23" x14ac:dyDescent="0.55000000000000004">
      <c r="W1159"/>
    </row>
    <row r="1160" spans="23:23" x14ac:dyDescent="0.55000000000000004">
      <c r="W1160"/>
    </row>
    <row r="1161" spans="23:23" x14ac:dyDescent="0.55000000000000004">
      <c r="W1161"/>
    </row>
    <row r="1162" spans="23:23" x14ac:dyDescent="0.55000000000000004">
      <c r="W1162"/>
    </row>
    <row r="1163" spans="23:23" x14ac:dyDescent="0.55000000000000004">
      <c r="W1163"/>
    </row>
    <row r="1164" spans="23:23" x14ac:dyDescent="0.55000000000000004">
      <c r="W1164"/>
    </row>
    <row r="1165" spans="23:23" x14ac:dyDescent="0.55000000000000004">
      <c r="W1165"/>
    </row>
    <row r="1166" spans="23:23" x14ac:dyDescent="0.55000000000000004">
      <c r="W1166"/>
    </row>
    <row r="1167" spans="23:23" x14ac:dyDescent="0.55000000000000004">
      <c r="W1167"/>
    </row>
    <row r="1168" spans="23:23" x14ac:dyDescent="0.55000000000000004">
      <c r="W1168"/>
    </row>
    <row r="1169" spans="23:23" x14ac:dyDescent="0.55000000000000004">
      <c r="W1169"/>
    </row>
    <row r="1170" spans="23:23" x14ac:dyDescent="0.55000000000000004">
      <c r="W1170"/>
    </row>
    <row r="1171" spans="23:23" x14ac:dyDescent="0.55000000000000004">
      <c r="W1171"/>
    </row>
    <row r="1172" spans="23:23" x14ac:dyDescent="0.55000000000000004">
      <c r="W1172"/>
    </row>
    <row r="1173" spans="23:23" x14ac:dyDescent="0.55000000000000004">
      <c r="W1173"/>
    </row>
    <row r="1174" spans="23:23" x14ac:dyDescent="0.55000000000000004">
      <c r="W1174"/>
    </row>
    <row r="1175" spans="23:23" x14ac:dyDescent="0.55000000000000004">
      <c r="W1175"/>
    </row>
    <row r="1176" spans="23:23" x14ac:dyDescent="0.55000000000000004">
      <c r="W1176"/>
    </row>
    <row r="1177" spans="23:23" x14ac:dyDescent="0.55000000000000004">
      <c r="W1177"/>
    </row>
    <row r="1178" spans="23:23" x14ac:dyDescent="0.55000000000000004">
      <c r="W1178"/>
    </row>
    <row r="1179" spans="23:23" x14ac:dyDescent="0.55000000000000004">
      <c r="W1179"/>
    </row>
    <row r="1180" spans="23:23" x14ac:dyDescent="0.55000000000000004">
      <c r="W1180"/>
    </row>
    <row r="1181" spans="23:23" x14ac:dyDescent="0.55000000000000004">
      <c r="W1181"/>
    </row>
    <row r="1182" spans="23:23" x14ac:dyDescent="0.55000000000000004">
      <c r="W1182"/>
    </row>
    <row r="1183" spans="23:23" x14ac:dyDescent="0.55000000000000004">
      <c r="W1183"/>
    </row>
    <row r="1184" spans="23:23" x14ac:dyDescent="0.55000000000000004">
      <c r="W1184"/>
    </row>
    <row r="1185" spans="23:23" x14ac:dyDescent="0.55000000000000004">
      <c r="W1185"/>
    </row>
    <row r="1186" spans="23:23" x14ac:dyDescent="0.55000000000000004">
      <c r="W1186"/>
    </row>
    <row r="1187" spans="23:23" x14ac:dyDescent="0.55000000000000004">
      <c r="W1187"/>
    </row>
    <row r="1188" spans="23:23" x14ac:dyDescent="0.55000000000000004">
      <c r="W1188"/>
    </row>
    <row r="1189" spans="23:23" x14ac:dyDescent="0.55000000000000004">
      <c r="W1189"/>
    </row>
    <row r="1190" spans="23:23" x14ac:dyDescent="0.55000000000000004">
      <c r="W1190"/>
    </row>
    <row r="1191" spans="23:23" x14ac:dyDescent="0.55000000000000004">
      <c r="W1191"/>
    </row>
    <row r="1192" spans="23:23" x14ac:dyDescent="0.55000000000000004">
      <c r="W1192"/>
    </row>
    <row r="1193" spans="23:23" x14ac:dyDescent="0.55000000000000004">
      <c r="W1193"/>
    </row>
    <row r="1194" spans="23:23" x14ac:dyDescent="0.55000000000000004">
      <c r="W1194"/>
    </row>
    <row r="1195" spans="23:23" x14ac:dyDescent="0.55000000000000004">
      <c r="W1195"/>
    </row>
    <row r="1196" spans="23:23" x14ac:dyDescent="0.55000000000000004">
      <c r="W1196"/>
    </row>
    <row r="1197" spans="23:23" x14ac:dyDescent="0.55000000000000004">
      <c r="W1197"/>
    </row>
    <row r="1198" spans="23:23" x14ac:dyDescent="0.55000000000000004">
      <c r="W1198"/>
    </row>
    <row r="1199" spans="23:23" x14ac:dyDescent="0.55000000000000004">
      <c r="W1199"/>
    </row>
    <row r="1200" spans="23:23" x14ac:dyDescent="0.55000000000000004">
      <c r="W1200"/>
    </row>
    <row r="1201" spans="23:23" x14ac:dyDescent="0.55000000000000004">
      <c r="W1201"/>
    </row>
    <row r="1202" spans="23:23" x14ac:dyDescent="0.55000000000000004">
      <c r="W1202"/>
    </row>
    <row r="1203" spans="23:23" x14ac:dyDescent="0.55000000000000004">
      <c r="W1203"/>
    </row>
    <row r="1204" spans="23:23" x14ac:dyDescent="0.55000000000000004">
      <c r="W1204"/>
    </row>
    <row r="1205" spans="23:23" x14ac:dyDescent="0.55000000000000004">
      <c r="W1205"/>
    </row>
    <row r="1206" spans="23:23" x14ac:dyDescent="0.55000000000000004">
      <c r="W1206"/>
    </row>
    <row r="1207" spans="23:23" x14ac:dyDescent="0.55000000000000004">
      <c r="W1207"/>
    </row>
    <row r="1208" spans="23:23" x14ac:dyDescent="0.55000000000000004">
      <c r="W1208"/>
    </row>
    <row r="1209" spans="23:23" x14ac:dyDescent="0.55000000000000004">
      <c r="W1209"/>
    </row>
    <row r="1210" spans="23:23" x14ac:dyDescent="0.55000000000000004">
      <c r="W1210"/>
    </row>
    <row r="1211" spans="23:23" x14ac:dyDescent="0.55000000000000004">
      <c r="W1211"/>
    </row>
    <row r="1212" spans="23:23" x14ac:dyDescent="0.55000000000000004">
      <c r="W1212"/>
    </row>
    <row r="1213" spans="23:23" x14ac:dyDescent="0.55000000000000004">
      <c r="W1213"/>
    </row>
    <row r="1214" spans="23:23" x14ac:dyDescent="0.55000000000000004">
      <c r="W1214"/>
    </row>
    <row r="1215" spans="23:23" x14ac:dyDescent="0.55000000000000004">
      <c r="W1215"/>
    </row>
    <row r="1216" spans="23:23" x14ac:dyDescent="0.55000000000000004">
      <c r="W1216"/>
    </row>
    <row r="1217" spans="23:23" x14ac:dyDescent="0.55000000000000004">
      <c r="W1217"/>
    </row>
    <row r="1218" spans="23:23" x14ac:dyDescent="0.55000000000000004">
      <c r="W1218"/>
    </row>
    <row r="1219" spans="23:23" x14ac:dyDescent="0.55000000000000004">
      <c r="W1219"/>
    </row>
    <row r="1220" spans="23:23" x14ac:dyDescent="0.55000000000000004">
      <c r="W1220"/>
    </row>
    <row r="1221" spans="23:23" x14ac:dyDescent="0.55000000000000004">
      <c r="W1221"/>
    </row>
    <row r="1222" spans="23:23" x14ac:dyDescent="0.55000000000000004">
      <c r="W1222"/>
    </row>
    <row r="1223" spans="23:23" x14ac:dyDescent="0.55000000000000004">
      <c r="W1223"/>
    </row>
    <row r="1224" spans="23:23" x14ac:dyDescent="0.55000000000000004">
      <c r="W1224"/>
    </row>
    <row r="1225" spans="23:23" x14ac:dyDescent="0.55000000000000004">
      <c r="W1225"/>
    </row>
    <row r="1226" spans="23:23" x14ac:dyDescent="0.55000000000000004">
      <c r="W1226"/>
    </row>
    <row r="1227" spans="23:23" x14ac:dyDescent="0.55000000000000004">
      <c r="W1227"/>
    </row>
    <row r="1228" spans="23:23" x14ac:dyDescent="0.55000000000000004">
      <c r="W1228"/>
    </row>
    <row r="1229" spans="23:23" x14ac:dyDescent="0.55000000000000004">
      <c r="W1229"/>
    </row>
    <row r="1230" spans="23:23" x14ac:dyDescent="0.55000000000000004">
      <c r="W1230"/>
    </row>
    <row r="1231" spans="23:23" x14ac:dyDescent="0.55000000000000004">
      <c r="W1231"/>
    </row>
    <row r="1232" spans="23:23" x14ac:dyDescent="0.55000000000000004">
      <c r="W1232"/>
    </row>
    <row r="1233" spans="23:23" x14ac:dyDescent="0.55000000000000004">
      <c r="W1233"/>
    </row>
    <row r="1234" spans="23:23" x14ac:dyDescent="0.55000000000000004">
      <c r="W1234"/>
    </row>
    <row r="1235" spans="23:23" x14ac:dyDescent="0.55000000000000004">
      <c r="W1235"/>
    </row>
    <row r="1236" spans="23:23" x14ac:dyDescent="0.55000000000000004">
      <c r="W1236"/>
    </row>
    <row r="1237" spans="23:23" x14ac:dyDescent="0.55000000000000004">
      <c r="W1237"/>
    </row>
    <row r="1238" spans="23:23" x14ac:dyDescent="0.55000000000000004">
      <c r="W1238"/>
    </row>
    <row r="1239" spans="23:23" x14ac:dyDescent="0.55000000000000004">
      <c r="W1239"/>
    </row>
    <row r="1240" spans="23:23" x14ac:dyDescent="0.55000000000000004">
      <c r="W1240"/>
    </row>
    <row r="1241" spans="23:23" x14ac:dyDescent="0.55000000000000004">
      <c r="W1241"/>
    </row>
    <row r="1242" spans="23:23" x14ac:dyDescent="0.55000000000000004">
      <c r="W1242"/>
    </row>
    <row r="1243" spans="23:23" x14ac:dyDescent="0.55000000000000004">
      <c r="W1243"/>
    </row>
    <row r="1244" spans="23:23" x14ac:dyDescent="0.55000000000000004">
      <c r="W1244"/>
    </row>
    <row r="1245" spans="23:23" x14ac:dyDescent="0.55000000000000004">
      <c r="W1245"/>
    </row>
    <row r="1246" spans="23:23" x14ac:dyDescent="0.55000000000000004">
      <c r="W1246"/>
    </row>
    <row r="1247" spans="23:23" x14ac:dyDescent="0.55000000000000004">
      <c r="W1247"/>
    </row>
    <row r="1248" spans="23:23" x14ac:dyDescent="0.55000000000000004">
      <c r="W1248"/>
    </row>
    <row r="1249" spans="23:23" x14ac:dyDescent="0.55000000000000004">
      <c r="W1249"/>
    </row>
    <row r="1250" spans="23:23" x14ac:dyDescent="0.55000000000000004">
      <c r="W1250"/>
    </row>
    <row r="1251" spans="23:23" x14ac:dyDescent="0.55000000000000004">
      <c r="W1251"/>
    </row>
    <row r="1252" spans="23:23" x14ac:dyDescent="0.55000000000000004">
      <c r="W1252"/>
    </row>
    <row r="1253" spans="23:23" x14ac:dyDescent="0.55000000000000004">
      <c r="W1253"/>
    </row>
    <row r="1254" spans="23:23" x14ac:dyDescent="0.55000000000000004">
      <c r="W1254"/>
    </row>
    <row r="1255" spans="23:23" x14ac:dyDescent="0.55000000000000004">
      <c r="W1255"/>
    </row>
    <row r="1256" spans="23:23" x14ac:dyDescent="0.55000000000000004">
      <c r="W1256"/>
    </row>
    <row r="1257" spans="23:23" x14ac:dyDescent="0.55000000000000004">
      <c r="W1257"/>
    </row>
    <row r="1258" spans="23:23" x14ac:dyDescent="0.55000000000000004">
      <c r="W1258"/>
    </row>
    <row r="1259" spans="23:23" x14ac:dyDescent="0.55000000000000004">
      <c r="W1259"/>
    </row>
    <row r="1260" spans="23:23" x14ac:dyDescent="0.55000000000000004">
      <c r="W1260"/>
    </row>
    <row r="1261" spans="23:23" x14ac:dyDescent="0.55000000000000004">
      <c r="W1261"/>
    </row>
    <row r="1262" spans="23:23" x14ac:dyDescent="0.55000000000000004">
      <c r="W1262"/>
    </row>
    <row r="1263" spans="23:23" x14ac:dyDescent="0.55000000000000004">
      <c r="W1263"/>
    </row>
    <row r="1264" spans="23:23" x14ac:dyDescent="0.55000000000000004">
      <c r="W1264"/>
    </row>
    <row r="1265" spans="23:23" x14ac:dyDescent="0.55000000000000004">
      <c r="W1265"/>
    </row>
    <row r="1266" spans="23:23" x14ac:dyDescent="0.55000000000000004">
      <c r="W1266"/>
    </row>
    <row r="1267" spans="23:23" x14ac:dyDescent="0.55000000000000004">
      <c r="W1267"/>
    </row>
    <row r="1268" spans="23:23" x14ac:dyDescent="0.55000000000000004">
      <c r="W1268"/>
    </row>
    <row r="1269" spans="23:23" x14ac:dyDescent="0.55000000000000004">
      <c r="W1269"/>
    </row>
    <row r="1270" spans="23:23" x14ac:dyDescent="0.55000000000000004">
      <c r="W1270"/>
    </row>
    <row r="1271" spans="23:23" x14ac:dyDescent="0.55000000000000004">
      <c r="W1271"/>
    </row>
    <row r="1272" spans="23:23" x14ac:dyDescent="0.55000000000000004">
      <c r="W1272"/>
    </row>
    <row r="1273" spans="23:23" x14ac:dyDescent="0.55000000000000004">
      <c r="W1273"/>
    </row>
    <row r="1274" spans="23:23" x14ac:dyDescent="0.55000000000000004">
      <c r="W1274"/>
    </row>
    <row r="1275" spans="23:23" x14ac:dyDescent="0.55000000000000004">
      <c r="W1275"/>
    </row>
    <row r="1276" spans="23:23" x14ac:dyDescent="0.55000000000000004">
      <c r="W1276"/>
    </row>
    <row r="1277" spans="23:23" x14ac:dyDescent="0.55000000000000004">
      <c r="W1277"/>
    </row>
    <row r="1278" spans="23:23" x14ac:dyDescent="0.55000000000000004">
      <c r="W1278"/>
    </row>
    <row r="1279" spans="23:23" x14ac:dyDescent="0.55000000000000004">
      <c r="W1279"/>
    </row>
    <row r="1280" spans="23:23" x14ac:dyDescent="0.55000000000000004">
      <c r="W1280"/>
    </row>
    <row r="1281" spans="23:23" x14ac:dyDescent="0.55000000000000004">
      <c r="W1281"/>
    </row>
    <row r="1282" spans="23:23" x14ac:dyDescent="0.55000000000000004">
      <c r="W1282"/>
    </row>
    <row r="1283" spans="23:23" x14ac:dyDescent="0.55000000000000004">
      <c r="W1283"/>
    </row>
    <row r="1284" spans="23:23" x14ac:dyDescent="0.55000000000000004">
      <c r="W1284"/>
    </row>
    <row r="1285" spans="23:23" x14ac:dyDescent="0.55000000000000004">
      <c r="W1285"/>
    </row>
    <row r="1286" spans="23:23" x14ac:dyDescent="0.55000000000000004">
      <c r="W1286"/>
    </row>
    <row r="1287" spans="23:23" x14ac:dyDescent="0.55000000000000004">
      <c r="W1287"/>
    </row>
    <row r="1288" spans="23:23" x14ac:dyDescent="0.55000000000000004">
      <c r="W1288"/>
    </row>
    <row r="1289" spans="23:23" x14ac:dyDescent="0.55000000000000004">
      <c r="W1289"/>
    </row>
    <row r="1290" spans="23:23" x14ac:dyDescent="0.55000000000000004">
      <c r="W1290"/>
    </row>
    <row r="1291" spans="23:23" x14ac:dyDescent="0.55000000000000004">
      <c r="W1291"/>
    </row>
    <row r="1292" spans="23:23" x14ac:dyDescent="0.55000000000000004">
      <c r="W1292"/>
    </row>
    <row r="1293" spans="23:23" x14ac:dyDescent="0.55000000000000004">
      <c r="W1293"/>
    </row>
    <row r="1294" spans="23:23" x14ac:dyDescent="0.55000000000000004">
      <c r="W1294"/>
    </row>
    <row r="1295" spans="23:23" x14ac:dyDescent="0.55000000000000004">
      <c r="W1295"/>
    </row>
    <row r="1296" spans="23:23" x14ac:dyDescent="0.55000000000000004">
      <c r="W1296"/>
    </row>
    <row r="1297" spans="23:23" x14ac:dyDescent="0.55000000000000004">
      <c r="W1297"/>
    </row>
    <row r="1298" spans="23:23" x14ac:dyDescent="0.55000000000000004">
      <c r="W1298"/>
    </row>
    <row r="1299" spans="23:23" x14ac:dyDescent="0.55000000000000004">
      <c r="W1299"/>
    </row>
    <row r="1300" spans="23:23" x14ac:dyDescent="0.55000000000000004">
      <c r="W1300"/>
    </row>
    <row r="1301" spans="23:23" x14ac:dyDescent="0.55000000000000004">
      <c r="W1301"/>
    </row>
    <row r="1302" spans="23:23" x14ac:dyDescent="0.55000000000000004">
      <c r="W1302"/>
    </row>
    <row r="1303" spans="23:23" x14ac:dyDescent="0.55000000000000004">
      <c r="W1303"/>
    </row>
    <row r="1304" spans="23:23" x14ac:dyDescent="0.55000000000000004">
      <c r="W1304"/>
    </row>
    <row r="1305" spans="23:23" x14ac:dyDescent="0.55000000000000004">
      <c r="W1305"/>
    </row>
    <row r="1306" spans="23:23" x14ac:dyDescent="0.55000000000000004">
      <c r="W1306"/>
    </row>
    <row r="1307" spans="23:23" x14ac:dyDescent="0.55000000000000004">
      <c r="W1307"/>
    </row>
    <row r="1308" spans="23:23" x14ac:dyDescent="0.55000000000000004">
      <c r="W1308"/>
    </row>
    <row r="1309" spans="23:23" x14ac:dyDescent="0.55000000000000004">
      <c r="W1309"/>
    </row>
    <row r="1310" spans="23:23" x14ac:dyDescent="0.55000000000000004">
      <c r="W1310"/>
    </row>
    <row r="1311" spans="23:23" x14ac:dyDescent="0.55000000000000004">
      <c r="W1311"/>
    </row>
    <row r="1312" spans="23:23" x14ac:dyDescent="0.55000000000000004">
      <c r="W1312"/>
    </row>
    <row r="1313" spans="23:23" x14ac:dyDescent="0.55000000000000004">
      <c r="W1313"/>
    </row>
    <row r="1314" spans="23:23" x14ac:dyDescent="0.55000000000000004">
      <c r="W1314"/>
    </row>
    <row r="1315" spans="23:23" x14ac:dyDescent="0.55000000000000004">
      <c r="W1315"/>
    </row>
    <row r="1316" spans="23:23" x14ac:dyDescent="0.55000000000000004">
      <c r="W1316"/>
    </row>
    <row r="1317" spans="23:23" x14ac:dyDescent="0.55000000000000004">
      <c r="W1317"/>
    </row>
    <row r="1318" spans="23:23" x14ac:dyDescent="0.55000000000000004">
      <c r="W1318"/>
    </row>
    <row r="1319" spans="23:23" x14ac:dyDescent="0.55000000000000004">
      <c r="W1319"/>
    </row>
    <row r="1320" spans="23:23" x14ac:dyDescent="0.55000000000000004">
      <c r="W1320"/>
    </row>
    <row r="1321" spans="23:23" x14ac:dyDescent="0.55000000000000004">
      <c r="W1321"/>
    </row>
    <row r="1322" spans="23:23" x14ac:dyDescent="0.55000000000000004">
      <c r="W1322"/>
    </row>
    <row r="1323" spans="23:23" x14ac:dyDescent="0.55000000000000004">
      <c r="W1323"/>
    </row>
    <row r="1324" spans="23:23" x14ac:dyDescent="0.55000000000000004">
      <c r="W1324"/>
    </row>
    <row r="1325" spans="23:23" x14ac:dyDescent="0.55000000000000004">
      <c r="W1325"/>
    </row>
    <row r="1326" spans="23:23" x14ac:dyDescent="0.55000000000000004">
      <c r="W1326"/>
    </row>
    <row r="1327" spans="23:23" x14ac:dyDescent="0.55000000000000004">
      <c r="W1327"/>
    </row>
    <row r="1328" spans="23:23" x14ac:dyDescent="0.55000000000000004">
      <c r="W1328"/>
    </row>
    <row r="1329" spans="23:23" x14ac:dyDescent="0.55000000000000004">
      <c r="W1329"/>
    </row>
    <row r="1330" spans="23:23" x14ac:dyDescent="0.55000000000000004">
      <c r="W1330"/>
    </row>
    <row r="1331" spans="23:23" x14ac:dyDescent="0.55000000000000004">
      <c r="W1331"/>
    </row>
    <row r="1332" spans="23:23" x14ac:dyDescent="0.55000000000000004">
      <c r="W1332"/>
    </row>
    <row r="1333" spans="23:23" x14ac:dyDescent="0.55000000000000004">
      <c r="W1333"/>
    </row>
    <row r="1334" spans="23:23" x14ac:dyDescent="0.55000000000000004">
      <c r="W1334"/>
    </row>
    <row r="1335" spans="23:23" x14ac:dyDescent="0.55000000000000004">
      <c r="W1335"/>
    </row>
    <row r="1336" spans="23:23" x14ac:dyDescent="0.55000000000000004">
      <c r="W1336"/>
    </row>
    <row r="1337" spans="23:23" x14ac:dyDescent="0.55000000000000004">
      <c r="W1337"/>
    </row>
    <row r="1338" spans="23:23" x14ac:dyDescent="0.55000000000000004">
      <c r="W1338"/>
    </row>
    <row r="1339" spans="23:23" x14ac:dyDescent="0.55000000000000004">
      <c r="W1339"/>
    </row>
    <row r="1340" spans="23:23" x14ac:dyDescent="0.55000000000000004">
      <c r="W1340"/>
    </row>
    <row r="1341" spans="23:23" x14ac:dyDescent="0.55000000000000004">
      <c r="W1341"/>
    </row>
    <row r="1342" spans="23:23" x14ac:dyDescent="0.55000000000000004">
      <c r="W1342"/>
    </row>
    <row r="1343" spans="23:23" x14ac:dyDescent="0.55000000000000004">
      <c r="W1343"/>
    </row>
    <row r="1344" spans="23:23" x14ac:dyDescent="0.55000000000000004">
      <c r="W1344"/>
    </row>
    <row r="1345" spans="23:23" x14ac:dyDescent="0.55000000000000004">
      <c r="W1345"/>
    </row>
    <row r="1346" spans="23:23" x14ac:dyDescent="0.55000000000000004">
      <c r="W1346"/>
    </row>
    <row r="1347" spans="23:23" x14ac:dyDescent="0.55000000000000004">
      <c r="W1347"/>
    </row>
    <row r="1348" spans="23:23" x14ac:dyDescent="0.55000000000000004">
      <c r="W1348"/>
    </row>
    <row r="1349" spans="23:23" x14ac:dyDescent="0.55000000000000004">
      <c r="W1349"/>
    </row>
    <row r="1350" spans="23:23" x14ac:dyDescent="0.55000000000000004">
      <c r="W1350"/>
    </row>
    <row r="1351" spans="23:23" x14ac:dyDescent="0.55000000000000004">
      <c r="W1351"/>
    </row>
    <row r="1352" spans="23:23" x14ac:dyDescent="0.55000000000000004">
      <c r="W1352"/>
    </row>
    <row r="1353" spans="23:23" x14ac:dyDescent="0.55000000000000004">
      <c r="W1353"/>
    </row>
    <row r="1354" spans="23:23" x14ac:dyDescent="0.55000000000000004">
      <c r="W1354"/>
    </row>
    <row r="1355" spans="23:23" x14ac:dyDescent="0.55000000000000004">
      <c r="W1355"/>
    </row>
    <row r="1356" spans="23:23" x14ac:dyDescent="0.55000000000000004">
      <c r="W1356"/>
    </row>
    <row r="1357" spans="23:23" x14ac:dyDescent="0.55000000000000004">
      <c r="W1357"/>
    </row>
    <row r="1358" spans="23:23" x14ac:dyDescent="0.55000000000000004">
      <c r="W1358"/>
    </row>
    <row r="1359" spans="23:23" x14ac:dyDescent="0.55000000000000004">
      <c r="W1359"/>
    </row>
    <row r="1360" spans="23:23" x14ac:dyDescent="0.55000000000000004">
      <c r="W1360"/>
    </row>
    <row r="1361" spans="23:23" x14ac:dyDescent="0.55000000000000004">
      <c r="W1361"/>
    </row>
    <row r="1362" spans="23:23" x14ac:dyDescent="0.55000000000000004">
      <c r="W1362"/>
    </row>
    <row r="1363" spans="23:23" x14ac:dyDescent="0.55000000000000004">
      <c r="W1363"/>
    </row>
    <row r="1364" spans="23:23" x14ac:dyDescent="0.55000000000000004">
      <c r="W1364"/>
    </row>
    <row r="1365" spans="23:23" x14ac:dyDescent="0.55000000000000004">
      <c r="W1365"/>
    </row>
    <row r="1366" spans="23:23" x14ac:dyDescent="0.55000000000000004">
      <c r="W1366"/>
    </row>
    <row r="1367" spans="23:23" x14ac:dyDescent="0.55000000000000004">
      <c r="W1367"/>
    </row>
    <row r="1368" spans="23:23" x14ac:dyDescent="0.55000000000000004">
      <c r="W1368"/>
    </row>
    <row r="1369" spans="23:23" x14ac:dyDescent="0.55000000000000004">
      <c r="W1369"/>
    </row>
    <row r="1370" spans="23:23" x14ac:dyDescent="0.55000000000000004">
      <c r="W1370"/>
    </row>
    <row r="1371" spans="23:23" x14ac:dyDescent="0.55000000000000004">
      <c r="W1371"/>
    </row>
    <row r="1372" spans="23:23" x14ac:dyDescent="0.55000000000000004">
      <c r="W1372"/>
    </row>
    <row r="1373" spans="23:23" x14ac:dyDescent="0.55000000000000004">
      <c r="W1373"/>
    </row>
    <row r="1374" spans="23:23" x14ac:dyDescent="0.55000000000000004">
      <c r="W1374"/>
    </row>
    <row r="1375" spans="23:23" x14ac:dyDescent="0.55000000000000004">
      <c r="W1375"/>
    </row>
    <row r="1376" spans="23:23" x14ac:dyDescent="0.55000000000000004">
      <c r="W1376"/>
    </row>
    <row r="1377" spans="23:23" x14ac:dyDescent="0.55000000000000004">
      <c r="W1377"/>
    </row>
    <row r="1378" spans="23:23" x14ac:dyDescent="0.55000000000000004">
      <c r="W1378"/>
    </row>
    <row r="1379" spans="23:23" x14ac:dyDescent="0.55000000000000004">
      <c r="W1379"/>
    </row>
    <row r="1380" spans="23:23" x14ac:dyDescent="0.55000000000000004">
      <c r="W1380"/>
    </row>
    <row r="1381" spans="23:23" x14ac:dyDescent="0.55000000000000004">
      <c r="W1381"/>
    </row>
    <row r="1382" spans="23:23" x14ac:dyDescent="0.55000000000000004">
      <c r="W1382"/>
    </row>
    <row r="1383" spans="23:23" x14ac:dyDescent="0.55000000000000004">
      <c r="W1383"/>
    </row>
    <row r="1384" spans="23:23" x14ac:dyDescent="0.55000000000000004">
      <c r="W1384"/>
    </row>
    <row r="1385" spans="23:23" x14ac:dyDescent="0.55000000000000004">
      <c r="W1385"/>
    </row>
    <row r="1386" spans="23:23" x14ac:dyDescent="0.55000000000000004">
      <c r="W1386"/>
    </row>
    <row r="1387" spans="23:23" x14ac:dyDescent="0.55000000000000004">
      <c r="W1387"/>
    </row>
    <row r="1388" spans="23:23" x14ac:dyDescent="0.55000000000000004">
      <c r="W1388"/>
    </row>
    <row r="1389" spans="23:23" x14ac:dyDescent="0.55000000000000004">
      <c r="W1389"/>
    </row>
    <row r="1390" spans="23:23" x14ac:dyDescent="0.55000000000000004">
      <c r="W1390"/>
    </row>
    <row r="1391" spans="23:23" x14ac:dyDescent="0.55000000000000004">
      <c r="W1391"/>
    </row>
    <row r="1392" spans="23:23" x14ac:dyDescent="0.55000000000000004">
      <c r="W1392"/>
    </row>
    <row r="1393" spans="23:23" x14ac:dyDescent="0.55000000000000004">
      <c r="W1393"/>
    </row>
    <row r="1394" spans="23:23" x14ac:dyDescent="0.55000000000000004">
      <c r="W1394"/>
    </row>
    <row r="1395" spans="23:23" x14ac:dyDescent="0.55000000000000004">
      <c r="W1395"/>
    </row>
    <row r="1396" spans="23:23" x14ac:dyDescent="0.55000000000000004">
      <c r="W1396"/>
    </row>
    <row r="1397" spans="23:23" x14ac:dyDescent="0.55000000000000004">
      <c r="W1397"/>
    </row>
    <row r="1398" spans="23:23" x14ac:dyDescent="0.55000000000000004">
      <c r="W1398"/>
    </row>
    <row r="1399" spans="23:23" x14ac:dyDescent="0.55000000000000004">
      <c r="W1399"/>
    </row>
    <row r="1400" spans="23:23" x14ac:dyDescent="0.55000000000000004">
      <c r="W1400"/>
    </row>
    <row r="1401" spans="23:23" x14ac:dyDescent="0.55000000000000004">
      <c r="W1401"/>
    </row>
    <row r="1402" spans="23:23" x14ac:dyDescent="0.55000000000000004">
      <c r="W1402"/>
    </row>
    <row r="1403" spans="23:23" x14ac:dyDescent="0.55000000000000004">
      <c r="W1403"/>
    </row>
    <row r="1404" spans="23:23" x14ac:dyDescent="0.55000000000000004">
      <c r="W1404"/>
    </row>
    <row r="1405" spans="23:23" x14ac:dyDescent="0.55000000000000004">
      <c r="W1405"/>
    </row>
    <row r="1406" spans="23:23" x14ac:dyDescent="0.55000000000000004">
      <c r="W1406"/>
    </row>
    <row r="1407" spans="23:23" x14ac:dyDescent="0.55000000000000004">
      <c r="W1407"/>
    </row>
    <row r="1408" spans="23:23" x14ac:dyDescent="0.55000000000000004">
      <c r="W1408"/>
    </row>
    <row r="1409" spans="23:23" x14ac:dyDescent="0.55000000000000004">
      <c r="W1409"/>
    </row>
    <row r="1410" spans="23:23" x14ac:dyDescent="0.55000000000000004">
      <c r="W1410"/>
    </row>
    <row r="1411" spans="23:23" x14ac:dyDescent="0.55000000000000004">
      <c r="W1411"/>
    </row>
    <row r="1412" spans="23:23" x14ac:dyDescent="0.55000000000000004">
      <c r="W1412"/>
    </row>
    <row r="1413" spans="23:23" x14ac:dyDescent="0.55000000000000004">
      <c r="W1413"/>
    </row>
    <row r="1414" spans="23:23" x14ac:dyDescent="0.55000000000000004">
      <c r="W1414"/>
    </row>
    <row r="1415" spans="23:23" x14ac:dyDescent="0.55000000000000004">
      <c r="W1415"/>
    </row>
    <row r="1416" spans="23:23" x14ac:dyDescent="0.55000000000000004">
      <c r="W1416"/>
    </row>
    <row r="1417" spans="23:23" x14ac:dyDescent="0.55000000000000004">
      <c r="W1417"/>
    </row>
    <row r="1418" spans="23:23" x14ac:dyDescent="0.55000000000000004">
      <c r="W1418"/>
    </row>
    <row r="1419" spans="23:23" x14ac:dyDescent="0.55000000000000004">
      <c r="W1419"/>
    </row>
    <row r="1420" spans="23:23" x14ac:dyDescent="0.55000000000000004">
      <c r="W1420"/>
    </row>
    <row r="1421" spans="23:23" x14ac:dyDescent="0.55000000000000004">
      <c r="W1421"/>
    </row>
    <row r="1422" spans="23:23" x14ac:dyDescent="0.55000000000000004">
      <c r="W1422"/>
    </row>
    <row r="1423" spans="23:23" x14ac:dyDescent="0.55000000000000004">
      <c r="W1423"/>
    </row>
    <row r="1424" spans="23:23" x14ac:dyDescent="0.55000000000000004">
      <c r="W1424"/>
    </row>
    <row r="1425" spans="23:23" x14ac:dyDescent="0.55000000000000004">
      <c r="W1425"/>
    </row>
    <row r="1426" spans="23:23" x14ac:dyDescent="0.55000000000000004">
      <c r="W1426"/>
    </row>
    <row r="1427" spans="23:23" x14ac:dyDescent="0.55000000000000004">
      <c r="W1427"/>
    </row>
    <row r="1428" spans="23:23" x14ac:dyDescent="0.55000000000000004">
      <c r="W1428"/>
    </row>
    <row r="1429" spans="23:23" x14ac:dyDescent="0.55000000000000004">
      <c r="W1429"/>
    </row>
    <row r="1430" spans="23:23" x14ac:dyDescent="0.55000000000000004">
      <c r="W1430"/>
    </row>
    <row r="1431" spans="23:23" x14ac:dyDescent="0.55000000000000004">
      <c r="W1431"/>
    </row>
    <row r="1432" spans="23:23" x14ac:dyDescent="0.55000000000000004">
      <c r="W1432"/>
    </row>
    <row r="1433" spans="23:23" x14ac:dyDescent="0.55000000000000004">
      <c r="W1433"/>
    </row>
    <row r="1434" spans="23:23" x14ac:dyDescent="0.55000000000000004">
      <c r="W1434"/>
    </row>
    <row r="1435" spans="23:23" x14ac:dyDescent="0.55000000000000004">
      <c r="W1435"/>
    </row>
    <row r="1436" spans="23:23" x14ac:dyDescent="0.55000000000000004">
      <c r="W1436"/>
    </row>
    <row r="1437" spans="23:23" x14ac:dyDescent="0.55000000000000004">
      <c r="W1437"/>
    </row>
    <row r="1438" spans="23:23" x14ac:dyDescent="0.55000000000000004">
      <c r="W1438"/>
    </row>
    <row r="1439" spans="23:23" x14ac:dyDescent="0.55000000000000004">
      <c r="W1439"/>
    </row>
    <row r="1440" spans="23:23" x14ac:dyDescent="0.55000000000000004">
      <c r="W1440"/>
    </row>
    <row r="1441" spans="23:23" x14ac:dyDescent="0.55000000000000004">
      <c r="W1441"/>
    </row>
    <row r="1442" spans="23:23" x14ac:dyDescent="0.55000000000000004">
      <c r="W1442"/>
    </row>
    <row r="1443" spans="23:23" x14ac:dyDescent="0.55000000000000004">
      <c r="W1443"/>
    </row>
    <row r="1444" spans="23:23" x14ac:dyDescent="0.55000000000000004">
      <c r="W1444"/>
    </row>
    <row r="1445" spans="23:23" x14ac:dyDescent="0.55000000000000004">
      <c r="W1445"/>
    </row>
    <row r="1446" spans="23:23" x14ac:dyDescent="0.55000000000000004">
      <c r="W1446"/>
    </row>
    <row r="1447" spans="23:23" x14ac:dyDescent="0.55000000000000004">
      <c r="W1447"/>
    </row>
    <row r="1448" spans="23:23" x14ac:dyDescent="0.55000000000000004">
      <c r="W1448"/>
    </row>
    <row r="1449" spans="23:23" x14ac:dyDescent="0.55000000000000004">
      <c r="W1449"/>
    </row>
    <row r="1450" spans="23:23" x14ac:dyDescent="0.55000000000000004">
      <c r="W1450"/>
    </row>
    <row r="1451" spans="23:23" x14ac:dyDescent="0.55000000000000004">
      <c r="W1451"/>
    </row>
    <row r="1452" spans="23:23" x14ac:dyDescent="0.55000000000000004">
      <c r="W1452"/>
    </row>
    <row r="1453" spans="23:23" x14ac:dyDescent="0.55000000000000004">
      <c r="W1453"/>
    </row>
    <row r="1454" spans="23:23" x14ac:dyDescent="0.55000000000000004">
      <c r="W1454"/>
    </row>
    <row r="1455" spans="23:23" x14ac:dyDescent="0.55000000000000004">
      <c r="W1455"/>
    </row>
    <row r="1456" spans="23:23" x14ac:dyDescent="0.55000000000000004">
      <c r="W1456"/>
    </row>
    <row r="1457" spans="23:23" x14ac:dyDescent="0.55000000000000004">
      <c r="W1457"/>
    </row>
    <row r="1458" spans="23:23" x14ac:dyDescent="0.55000000000000004">
      <c r="W1458"/>
    </row>
    <row r="1459" spans="23:23" x14ac:dyDescent="0.55000000000000004">
      <c r="W1459"/>
    </row>
    <row r="1460" spans="23:23" x14ac:dyDescent="0.55000000000000004">
      <c r="W1460"/>
    </row>
    <row r="1461" spans="23:23" x14ac:dyDescent="0.55000000000000004">
      <c r="W1461"/>
    </row>
    <row r="1462" spans="23:23" x14ac:dyDescent="0.55000000000000004">
      <c r="W1462"/>
    </row>
    <row r="1463" spans="23:23" x14ac:dyDescent="0.55000000000000004">
      <c r="W1463"/>
    </row>
    <row r="1464" spans="23:23" x14ac:dyDescent="0.55000000000000004">
      <c r="W1464"/>
    </row>
    <row r="1465" spans="23:23" x14ac:dyDescent="0.55000000000000004">
      <c r="W1465"/>
    </row>
    <row r="1466" spans="23:23" x14ac:dyDescent="0.55000000000000004">
      <c r="W1466"/>
    </row>
    <row r="1467" spans="23:23" x14ac:dyDescent="0.55000000000000004">
      <c r="W1467"/>
    </row>
    <row r="1468" spans="23:23" x14ac:dyDescent="0.55000000000000004">
      <c r="W1468"/>
    </row>
    <row r="1469" spans="23:23" x14ac:dyDescent="0.55000000000000004">
      <c r="W1469"/>
    </row>
    <row r="1470" spans="23:23" x14ac:dyDescent="0.55000000000000004">
      <c r="W1470"/>
    </row>
    <row r="1471" spans="23:23" x14ac:dyDescent="0.55000000000000004">
      <c r="W1471"/>
    </row>
    <row r="1472" spans="23:23" x14ac:dyDescent="0.55000000000000004">
      <c r="W1472"/>
    </row>
    <row r="1473" spans="23:23" x14ac:dyDescent="0.55000000000000004">
      <c r="W1473"/>
    </row>
    <row r="1474" spans="23:23" x14ac:dyDescent="0.55000000000000004">
      <c r="W1474"/>
    </row>
    <row r="1475" spans="23:23" x14ac:dyDescent="0.55000000000000004">
      <c r="W1475"/>
    </row>
    <row r="1476" spans="23:23" x14ac:dyDescent="0.55000000000000004">
      <c r="W1476"/>
    </row>
    <row r="1477" spans="23:23" x14ac:dyDescent="0.55000000000000004">
      <c r="W1477"/>
    </row>
    <row r="1478" spans="23:23" x14ac:dyDescent="0.55000000000000004">
      <c r="W1478"/>
    </row>
    <row r="1479" spans="23:23" x14ac:dyDescent="0.55000000000000004">
      <c r="W1479"/>
    </row>
    <row r="1480" spans="23:23" x14ac:dyDescent="0.55000000000000004">
      <c r="W1480"/>
    </row>
    <row r="1481" spans="23:23" x14ac:dyDescent="0.55000000000000004">
      <c r="W1481"/>
    </row>
    <row r="1482" spans="23:23" x14ac:dyDescent="0.55000000000000004">
      <c r="W1482"/>
    </row>
    <row r="1483" spans="23:23" x14ac:dyDescent="0.55000000000000004">
      <c r="W1483"/>
    </row>
    <row r="1484" spans="23:23" x14ac:dyDescent="0.55000000000000004">
      <c r="W1484"/>
    </row>
    <row r="1485" spans="23:23" x14ac:dyDescent="0.55000000000000004">
      <c r="W1485"/>
    </row>
    <row r="1486" spans="23:23" x14ac:dyDescent="0.55000000000000004">
      <c r="W1486"/>
    </row>
    <row r="1487" spans="23:23" x14ac:dyDescent="0.55000000000000004">
      <c r="W1487"/>
    </row>
    <row r="1488" spans="23:23" x14ac:dyDescent="0.55000000000000004">
      <c r="W1488"/>
    </row>
    <row r="1489" spans="23:23" x14ac:dyDescent="0.55000000000000004">
      <c r="W1489"/>
    </row>
    <row r="1490" spans="23:23" x14ac:dyDescent="0.55000000000000004">
      <c r="W1490"/>
    </row>
    <row r="1491" spans="23:23" x14ac:dyDescent="0.55000000000000004">
      <c r="W1491"/>
    </row>
    <row r="1492" spans="23:23" x14ac:dyDescent="0.55000000000000004">
      <c r="W1492"/>
    </row>
    <row r="1493" spans="23:23" x14ac:dyDescent="0.55000000000000004">
      <c r="W1493"/>
    </row>
    <row r="1494" spans="23:23" x14ac:dyDescent="0.55000000000000004">
      <c r="W1494"/>
    </row>
    <row r="1495" spans="23:23" x14ac:dyDescent="0.55000000000000004">
      <c r="W1495"/>
    </row>
    <row r="1496" spans="23:23" x14ac:dyDescent="0.55000000000000004">
      <c r="W1496"/>
    </row>
    <row r="1497" spans="23:23" x14ac:dyDescent="0.55000000000000004">
      <c r="W1497"/>
    </row>
    <row r="1498" spans="23:23" x14ac:dyDescent="0.55000000000000004">
      <c r="W1498"/>
    </row>
    <row r="1499" spans="23:23" x14ac:dyDescent="0.55000000000000004">
      <c r="W1499"/>
    </row>
    <row r="1500" spans="23:23" x14ac:dyDescent="0.55000000000000004">
      <c r="W1500"/>
    </row>
    <row r="1501" spans="23:23" x14ac:dyDescent="0.55000000000000004">
      <c r="W1501"/>
    </row>
    <row r="1502" spans="23:23" x14ac:dyDescent="0.55000000000000004">
      <c r="W1502"/>
    </row>
    <row r="1503" spans="23:23" x14ac:dyDescent="0.55000000000000004">
      <c r="W1503"/>
    </row>
    <row r="1504" spans="23:23" x14ac:dyDescent="0.55000000000000004">
      <c r="W1504"/>
    </row>
    <row r="1505" spans="23:23" x14ac:dyDescent="0.55000000000000004">
      <c r="W1505"/>
    </row>
    <row r="1506" spans="23:23" x14ac:dyDescent="0.55000000000000004">
      <c r="W1506"/>
    </row>
    <row r="1507" spans="23:23" x14ac:dyDescent="0.55000000000000004">
      <c r="W1507"/>
    </row>
    <row r="1508" spans="23:23" x14ac:dyDescent="0.55000000000000004">
      <c r="W1508"/>
    </row>
    <row r="1509" spans="23:23" x14ac:dyDescent="0.55000000000000004">
      <c r="W1509"/>
    </row>
    <row r="1510" spans="23:23" x14ac:dyDescent="0.55000000000000004">
      <c r="W1510"/>
    </row>
    <row r="1511" spans="23:23" x14ac:dyDescent="0.55000000000000004">
      <c r="W1511"/>
    </row>
    <row r="1512" spans="23:23" x14ac:dyDescent="0.55000000000000004">
      <c r="W1512"/>
    </row>
    <row r="1513" spans="23:23" x14ac:dyDescent="0.55000000000000004">
      <c r="W1513"/>
    </row>
    <row r="1514" spans="23:23" x14ac:dyDescent="0.55000000000000004">
      <c r="W1514"/>
    </row>
    <row r="1515" spans="23:23" x14ac:dyDescent="0.55000000000000004">
      <c r="W1515"/>
    </row>
    <row r="1516" spans="23:23" x14ac:dyDescent="0.55000000000000004">
      <c r="W1516"/>
    </row>
    <row r="1517" spans="23:23" x14ac:dyDescent="0.55000000000000004">
      <c r="W1517"/>
    </row>
    <row r="1518" spans="23:23" x14ac:dyDescent="0.55000000000000004">
      <c r="W1518"/>
    </row>
    <row r="1519" spans="23:23" x14ac:dyDescent="0.55000000000000004">
      <c r="W1519"/>
    </row>
    <row r="1520" spans="23:23" x14ac:dyDescent="0.55000000000000004">
      <c r="W1520"/>
    </row>
    <row r="1521" spans="23:23" x14ac:dyDescent="0.55000000000000004">
      <c r="W1521"/>
    </row>
    <row r="1522" spans="23:23" x14ac:dyDescent="0.55000000000000004">
      <c r="W1522"/>
    </row>
    <row r="1523" spans="23:23" x14ac:dyDescent="0.55000000000000004">
      <c r="W1523"/>
    </row>
    <row r="1524" spans="23:23" x14ac:dyDescent="0.55000000000000004">
      <c r="W1524"/>
    </row>
    <row r="1525" spans="23:23" x14ac:dyDescent="0.55000000000000004">
      <c r="W1525"/>
    </row>
    <row r="1526" spans="23:23" x14ac:dyDescent="0.55000000000000004">
      <c r="W1526"/>
    </row>
    <row r="1527" spans="23:23" x14ac:dyDescent="0.55000000000000004">
      <c r="W1527"/>
    </row>
    <row r="1528" spans="23:23" x14ac:dyDescent="0.55000000000000004">
      <c r="W1528"/>
    </row>
    <row r="1529" spans="23:23" x14ac:dyDescent="0.55000000000000004">
      <c r="W1529"/>
    </row>
    <row r="1530" spans="23:23" x14ac:dyDescent="0.55000000000000004">
      <c r="W1530"/>
    </row>
    <row r="1531" spans="23:23" x14ac:dyDescent="0.55000000000000004">
      <c r="W1531"/>
    </row>
    <row r="1532" spans="23:23" x14ac:dyDescent="0.55000000000000004">
      <c r="W1532"/>
    </row>
    <row r="1533" spans="23:23" x14ac:dyDescent="0.55000000000000004">
      <c r="W1533"/>
    </row>
    <row r="1534" spans="23:23" x14ac:dyDescent="0.55000000000000004">
      <c r="W1534"/>
    </row>
    <row r="1535" spans="23:23" x14ac:dyDescent="0.55000000000000004">
      <c r="W1535"/>
    </row>
    <row r="1536" spans="23:23" x14ac:dyDescent="0.55000000000000004">
      <c r="W1536"/>
    </row>
    <row r="1537" spans="23:23" x14ac:dyDescent="0.55000000000000004">
      <c r="W1537"/>
    </row>
    <row r="1538" spans="23:23" x14ac:dyDescent="0.55000000000000004">
      <c r="W1538"/>
    </row>
    <row r="1539" spans="23:23" x14ac:dyDescent="0.55000000000000004">
      <c r="W1539"/>
    </row>
    <row r="1540" spans="23:23" x14ac:dyDescent="0.55000000000000004">
      <c r="W1540"/>
    </row>
    <row r="1541" spans="23:23" x14ac:dyDescent="0.55000000000000004">
      <c r="W1541"/>
    </row>
    <row r="1542" spans="23:23" x14ac:dyDescent="0.55000000000000004">
      <c r="W1542"/>
    </row>
    <row r="1543" spans="23:23" x14ac:dyDescent="0.55000000000000004">
      <c r="W1543"/>
    </row>
    <row r="1544" spans="23:23" x14ac:dyDescent="0.55000000000000004">
      <c r="W1544"/>
    </row>
    <row r="1545" spans="23:23" x14ac:dyDescent="0.55000000000000004">
      <c r="W1545"/>
    </row>
    <row r="1546" spans="23:23" x14ac:dyDescent="0.55000000000000004">
      <c r="W1546"/>
    </row>
    <row r="1547" spans="23:23" x14ac:dyDescent="0.55000000000000004">
      <c r="W1547"/>
    </row>
    <row r="1548" spans="23:23" x14ac:dyDescent="0.55000000000000004">
      <c r="W1548"/>
    </row>
    <row r="1549" spans="23:23" x14ac:dyDescent="0.55000000000000004">
      <c r="W1549"/>
    </row>
    <row r="1550" spans="23:23" x14ac:dyDescent="0.55000000000000004">
      <c r="W1550"/>
    </row>
    <row r="1551" spans="23:23" x14ac:dyDescent="0.55000000000000004">
      <c r="W1551"/>
    </row>
    <row r="1552" spans="23:23" x14ac:dyDescent="0.55000000000000004">
      <c r="W1552"/>
    </row>
    <row r="1553" spans="23:23" x14ac:dyDescent="0.55000000000000004">
      <c r="W1553"/>
    </row>
    <row r="1554" spans="23:23" x14ac:dyDescent="0.55000000000000004">
      <c r="W1554"/>
    </row>
    <row r="1555" spans="23:23" x14ac:dyDescent="0.55000000000000004">
      <c r="W1555"/>
    </row>
    <row r="1556" spans="23:23" x14ac:dyDescent="0.55000000000000004">
      <c r="W1556"/>
    </row>
    <row r="1557" spans="23:23" x14ac:dyDescent="0.55000000000000004">
      <c r="W1557"/>
    </row>
    <row r="1558" spans="23:23" x14ac:dyDescent="0.55000000000000004">
      <c r="W1558"/>
    </row>
    <row r="1559" spans="23:23" x14ac:dyDescent="0.55000000000000004">
      <c r="W1559"/>
    </row>
    <row r="1560" spans="23:23" x14ac:dyDescent="0.55000000000000004">
      <c r="W1560"/>
    </row>
    <row r="1561" spans="23:23" x14ac:dyDescent="0.55000000000000004">
      <c r="W1561"/>
    </row>
    <row r="1562" spans="23:23" x14ac:dyDescent="0.55000000000000004">
      <c r="W1562"/>
    </row>
    <row r="1563" spans="23:23" x14ac:dyDescent="0.55000000000000004">
      <c r="W1563"/>
    </row>
    <row r="1564" spans="23:23" x14ac:dyDescent="0.55000000000000004">
      <c r="W1564"/>
    </row>
    <row r="1565" spans="23:23" x14ac:dyDescent="0.55000000000000004">
      <c r="W1565"/>
    </row>
    <row r="1566" spans="23:23" x14ac:dyDescent="0.55000000000000004">
      <c r="W1566"/>
    </row>
    <row r="1567" spans="23:23" x14ac:dyDescent="0.55000000000000004">
      <c r="W1567"/>
    </row>
    <row r="1568" spans="23:23" x14ac:dyDescent="0.55000000000000004">
      <c r="W1568"/>
    </row>
    <row r="1569" spans="23:23" x14ac:dyDescent="0.55000000000000004">
      <c r="W1569"/>
    </row>
    <row r="1570" spans="23:23" x14ac:dyDescent="0.55000000000000004">
      <c r="W1570"/>
    </row>
    <row r="1571" spans="23:23" x14ac:dyDescent="0.55000000000000004">
      <c r="W1571"/>
    </row>
    <row r="1572" spans="23:23" x14ac:dyDescent="0.55000000000000004">
      <c r="W1572"/>
    </row>
    <row r="1573" spans="23:23" x14ac:dyDescent="0.55000000000000004">
      <c r="W1573"/>
    </row>
    <row r="1574" spans="23:23" x14ac:dyDescent="0.55000000000000004">
      <c r="W1574"/>
    </row>
    <row r="1575" spans="23:23" x14ac:dyDescent="0.55000000000000004">
      <c r="W1575"/>
    </row>
    <row r="1576" spans="23:23" x14ac:dyDescent="0.55000000000000004">
      <c r="W1576"/>
    </row>
    <row r="1577" spans="23:23" x14ac:dyDescent="0.55000000000000004">
      <c r="W1577"/>
    </row>
    <row r="1578" spans="23:23" x14ac:dyDescent="0.55000000000000004">
      <c r="W1578"/>
    </row>
    <row r="1579" spans="23:23" x14ac:dyDescent="0.55000000000000004">
      <c r="W1579"/>
    </row>
    <row r="1580" spans="23:23" x14ac:dyDescent="0.55000000000000004">
      <c r="W1580"/>
    </row>
    <row r="1581" spans="23:23" x14ac:dyDescent="0.55000000000000004">
      <c r="W1581"/>
    </row>
    <row r="1582" spans="23:23" x14ac:dyDescent="0.55000000000000004">
      <c r="W1582"/>
    </row>
    <row r="1583" spans="23:23" x14ac:dyDescent="0.55000000000000004">
      <c r="W1583"/>
    </row>
    <row r="1584" spans="23:23" x14ac:dyDescent="0.55000000000000004">
      <c r="W1584"/>
    </row>
    <row r="1585" spans="23:23" x14ac:dyDescent="0.55000000000000004">
      <c r="W1585"/>
    </row>
    <row r="1586" spans="23:23" x14ac:dyDescent="0.55000000000000004">
      <c r="W1586"/>
    </row>
    <row r="1587" spans="23:23" x14ac:dyDescent="0.55000000000000004">
      <c r="W1587"/>
    </row>
    <row r="1588" spans="23:23" x14ac:dyDescent="0.55000000000000004">
      <c r="W1588"/>
    </row>
    <row r="1589" spans="23:23" x14ac:dyDescent="0.55000000000000004">
      <c r="W1589"/>
    </row>
    <row r="1590" spans="23:23" x14ac:dyDescent="0.55000000000000004">
      <c r="W1590"/>
    </row>
    <row r="1591" spans="23:23" x14ac:dyDescent="0.55000000000000004">
      <c r="W1591"/>
    </row>
    <row r="1592" spans="23:23" x14ac:dyDescent="0.55000000000000004">
      <c r="W1592"/>
    </row>
    <row r="1593" spans="23:23" x14ac:dyDescent="0.55000000000000004">
      <c r="W1593"/>
    </row>
    <row r="1594" spans="23:23" x14ac:dyDescent="0.55000000000000004">
      <c r="W1594"/>
    </row>
    <row r="1595" spans="23:23" x14ac:dyDescent="0.55000000000000004">
      <c r="W1595"/>
    </row>
    <row r="1596" spans="23:23" x14ac:dyDescent="0.55000000000000004">
      <c r="W1596"/>
    </row>
    <row r="1597" spans="23:23" x14ac:dyDescent="0.55000000000000004">
      <c r="W1597"/>
    </row>
    <row r="1598" spans="23:23" x14ac:dyDescent="0.55000000000000004">
      <c r="W1598"/>
    </row>
    <row r="1599" spans="23:23" x14ac:dyDescent="0.55000000000000004">
      <c r="W1599"/>
    </row>
    <row r="1600" spans="23:23" x14ac:dyDescent="0.55000000000000004">
      <c r="W1600"/>
    </row>
    <row r="1601" spans="23:23" x14ac:dyDescent="0.55000000000000004">
      <c r="W1601"/>
    </row>
    <row r="1602" spans="23:23" x14ac:dyDescent="0.55000000000000004">
      <c r="W1602"/>
    </row>
    <row r="1603" spans="23:23" x14ac:dyDescent="0.55000000000000004">
      <c r="W1603"/>
    </row>
    <row r="1604" spans="23:23" x14ac:dyDescent="0.55000000000000004">
      <c r="W1604"/>
    </row>
    <row r="1605" spans="23:23" x14ac:dyDescent="0.55000000000000004">
      <c r="W1605"/>
    </row>
    <row r="1606" spans="23:23" x14ac:dyDescent="0.55000000000000004">
      <c r="W1606"/>
    </row>
    <row r="1607" spans="23:23" x14ac:dyDescent="0.55000000000000004">
      <c r="W1607"/>
    </row>
    <row r="1608" spans="23:23" x14ac:dyDescent="0.55000000000000004">
      <c r="W1608"/>
    </row>
    <row r="1609" spans="23:23" x14ac:dyDescent="0.55000000000000004">
      <c r="W1609"/>
    </row>
    <row r="1610" spans="23:23" x14ac:dyDescent="0.55000000000000004">
      <c r="W1610"/>
    </row>
    <row r="1611" spans="23:23" x14ac:dyDescent="0.55000000000000004">
      <c r="W1611"/>
    </row>
    <row r="1612" spans="23:23" x14ac:dyDescent="0.55000000000000004">
      <c r="W1612"/>
    </row>
    <row r="1613" spans="23:23" x14ac:dyDescent="0.55000000000000004">
      <c r="W1613"/>
    </row>
    <row r="1614" spans="23:23" x14ac:dyDescent="0.55000000000000004">
      <c r="W1614"/>
    </row>
    <row r="1615" spans="23:23" x14ac:dyDescent="0.55000000000000004">
      <c r="W1615"/>
    </row>
    <row r="1616" spans="23:23" x14ac:dyDescent="0.55000000000000004">
      <c r="W1616"/>
    </row>
    <row r="1617" spans="23:23" x14ac:dyDescent="0.55000000000000004">
      <c r="W1617"/>
    </row>
    <row r="1618" spans="23:23" x14ac:dyDescent="0.55000000000000004">
      <c r="W1618"/>
    </row>
    <row r="1619" spans="23:23" x14ac:dyDescent="0.55000000000000004">
      <c r="W1619"/>
    </row>
    <row r="1620" spans="23:23" x14ac:dyDescent="0.55000000000000004">
      <c r="W1620"/>
    </row>
    <row r="1621" spans="23:23" x14ac:dyDescent="0.55000000000000004">
      <c r="W1621"/>
    </row>
    <row r="1622" spans="23:23" x14ac:dyDescent="0.55000000000000004">
      <c r="W1622"/>
    </row>
    <row r="1623" spans="23:23" x14ac:dyDescent="0.55000000000000004">
      <c r="W1623"/>
    </row>
    <row r="1624" spans="23:23" x14ac:dyDescent="0.55000000000000004">
      <c r="W1624"/>
    </row>
    <row r="1625" spans="23:23" x14ac:dyDescent="0.55000000000000004">
      <c r="W1625"/>
    </row>
    <row r="1626" spans="23:23" x14ac:dyDescent="0.55000000000000004">
      <c r="W1626"/>
    </row>
    <row r="1627" spans="23:23" x14ac:dyDescent="0.55000000000000004">
      <c r="W1627"/>
    </row>
    <row r="1628" spans="23:23" x14ac:dyDescent="0.55000000000000004">
      <c r="W1628"/>
    </row>
    <row r="1629" spans="23:23" x14ac:dyDescent="0.55000000000000004">
      <c r="W1629"/>
    </row>
    <row r="1630" spans="23:23" x14ac:dyDescent="0.55000000000000004">
      <c r="W1630"/>
    </row>
    <row r="1631" spans="23:23" x14ac:dyDescent="0.55000000000000004">
      <c r="W1631"/>
    </row>
    <row r="1632" spans="23:23" x14ac:dyDescent="0.55000000000000004">
      <c r="W1632"/>
    </row>
    <row r="1633" spans="23:23" x14ac:dyDescent="0.55000000000000004">
      <c r="W1633"/>
    </row>
    <row r="1634" spans="23:23" x14ac:dyDescent="0.55000000000000004">
      <c r="W1634"/>
    </row>
    <row r="1635" spans="23:23" x14ac:dyDescent="0.55000000000000004">
      <c r="W1635"/>
    </row>
    <row r="1636" spans="23:23" x14ac:dyDescent="0.55000000000000004">
      <c r="W1636"/>
    </row>
    <row r="1637" spans="23:23" x14ac:dyDescent="0.55000000000000004">
      <c r="W1637"/>
    </row>
    <row r="1638" spans="23:23" x14ac:dyDescent="0.55000000000000004">
      <c r="W1638"/>
    </row>
    <row r="1639" spans="23:23" x14ac:dyDescent="0.55000000000000004">
      <c r="W1639"/>
    </row>
    <row r="1640" spans="23:23" x14ac:dyDescent="0.55000000000000004">
      <c r="W1640"/>
    </row>
    <row r="1641" spans="23:23" x14ac:dyDescent="0.55000000000000004">
      <c r="W1641"/>
    </row>
    <row r="1642" spans="23:23" x14ac:dyDescent="0.55000000000000004">
      <c r="W1642"/>
    </row>
    <row r="1643" spans="23:23" x14ac:dyDescent="0.55000000000000004">
      <c r="W1643"/>
    </row>
    <row r="1644" spans="23:23" x14ac:dyDescent="0.55000000000000004">
      <c r="W1644"/>
    </row>
    <row r="1645" spans="23:23" x14ac:dyDescent="0.55000000000000004">
      <c r="W1645"/>
    </row>
    <row r="1646" spans="23:23" x14ac:dyDescent="0.55000000000000004">
      <c r="W1646"/>
    </row>
    <row r="1647" spans="23:23" x14ac:dyDescent="0.55000000000000004">
      <c r="W1647"/>
    </row>
    <row r="1648" spans="23:23" x14ac:dyDescent="0.55000000000000004">
      <c r="W1648"/>
    </row>
    <row r="1649" spans="23:23" x14ac:dyDescent="0.55000000000000004">
      <c r="W1649"/>
    </row>
    <row r="1650" spans="23:23" x14ac:dyDescent="0.55000000000000004">
      <c r="W1650"/>
    </row>
    <row r="1651" spans="23:23" x14ac:dyDescent="0.55000000000000004">
      <c r="W1651"/>
    </row>
    <row r="1652" spans="23:23" x14ac:dyDescent="0.55000000000000004">
      <c r="W1652"/>
    </row>
    <row r="1653" spans="23:23" x14ac:dyDescent="0.55000000000000004">
      <c r="W1653"/>
    </row>
    <row r="1654" spans="23:23" x14ac:dyDescent="0.55000000000000004">
      <c r="W1654"/>
    </row>
    <row r="1655" spans="23:23" x14ac:dyDescent="0.55000000000000004">
      <c r="W1655"/>
    </row>
    <row r="1656" spans="23:23" x14ac:dyDescent="0.55000000000000004">
      <c r="W1656"/>
    </row>
    <row r="1657" spans="23:23" x14ac:dyDescent="0.55000000000000004">
      <c r="W1657"/>
    </row>
    <row r="1658" spans="23:23" x14ac:dyDescent="0.55000000000000004">
      <c r="W1658"/>
    </row>
    <row r="1659" spans="23:23" x14ac:dyDescent="0.55000000000000004">
      <c r="W1659"/>
    </row>
    <row r="1660" spans="23:23" x14ac:dyDescent="0.55000000000000004">
      <c r="W1660"/>
    </row>
    <row r="1661" spans="23:23" x14ac:dyDescent="0.55000000000000004">
      <c r="W1661"/>
    </row>
    <row r="1662" spans="23:23" x14ac:dyDescent="0.55000000000000004">
      <c r="W1662"/>
    </row>
    <row r="1663" spans="23:23" x14ac:dyDescent="0.55000000000000004">
      <c r="W1663"/>
    </row>
    <row r="1664" spans="23:23" x14ac:dyDescent="0.55000000000000004">
      <c r="W1664"/>
    </row>
    <row r="1665" spans="23:23" x14ac:dyDescent="0.55000000000000004">
      <c r="W1665"/>
    </row>
    <row r="1666" spans="23:23" x14ac:dyDescent="0.55000000000000004">
      <c r="W1666"/>
    </row>
    <row r="1667" spans="23:23" x14ac:dyDescent="0.55000000000000004">
      <c r="W1667"/>
    </row>
    <row r="1668" spans="23:23" x14ac:dyDescent="0.55000000000000004">
      <c r="W1668"/>
    </row>
    <row r="1669" spans="23:23" x14ac:dyDescent="0.55000000000000004">
      <c r="W1669"/>
    </row>
    <row r="1670" spans="23:23" x14ac:dyDescent="0.55000000000000004">
      <c r="W1670"/>
    </row>
    <row r="1671" spans="23:23" x14ac:dyDescent="0.55000000000000004">
      <c r="W1671"/>
    </row>
    <row r="1672" spans="23:23" x14ac:dyDescent="0.55000000000000004">
      <c r="W1672"/>
    </row>
    <row r="1673" spans="23:23" x14ac:dyDescent="0.55000000000000004">
      <c r="W1673"/>
    </row>
    <row r="1674" spans="23:23" x14ac:dyDescent="0.55000000000000004">
      <c r="W1674"/>
    </row>
    <row r="1675" spans="23:23" x14ac:dyDescent="0.55000000000000004">
      <c r="W1675"/>
    </row>
    <row r="1676" spans="23:23" x14ac:dyDescent="0.55000000000000004">
      <c r="W1676"/>
    </row>
    <row r="1677" spans="23:23" x14ac:dyDescent="0.55000000000000004">
      <c r="W1677"/>
    </row>
    <row r="1678" spans="23:23" x14ac:dyDescent="0.55000000000000004">
      <c r="W1678"/>
    </row>
    <row r="1679" spans="23:23" x14ac:dyDescent="0.55000000000000004">
      <c r="W1679"/>
    </row>
    <row r="1680" spans="23:23" x14ac:dyDescent="0.55000000000000004">
      <c r="W1680"/>
    </row>
    <row r="1681" spans="23:23" x14ac:dyDescent="0.55000000000000004">
      <c r="W1681"/>
    </row>
    <row r="1682" spans="23:23" x14ac:dyDescent="0.55000000000000004">
      <c r="W1682"/>
    </row>
    <row r="1683" spans="23:23" x14ac:dyDescent="0.55000000000000004">
      <c r="W1683"/>
    </row>
    <row r="1684" spans="23:23" x14ac:dyDescent="0.55000000000000004">
      <c r="W1684"/>
    </row>
    <row r="1685" spans="23:23" x14ac:dyDescent="0.55000000000000004">
      <c r="W1685"/>
    </row>
    <row r="1686" spans="23:23" x14ac:dyDescent="0.55000000000000004">
      <c r="W1686"/>
    </row>
    <row r="1687" spans="23:23" x14ac:dyDescent="0.55000000000000004">
      <c r="W1687"/>
    </row>
    <row r="1688" spans="23:23" x14ac:dyDescent="0.55000000000000004">
      <c r="W1688"/>
    </row>
    <row r="1689" spans="23:23" x14ac:dyDescent="0.55000000000000004">
      <c r="W1689"/>
    </row>
    <row r="1690" spans="23:23" x14ac:dyDescent="0.55000000000000004">
      <c r="W1690"/>
    </row>
    <row r="1691" spans="23:23" x14ac:dyDescent="0.55000000000000004">
      <c r="W1691"/>
    </row>
    <row r="1692" spans="23:23" x14ac:dyDescent="0.55000000000000004">
      <c r="W1692"/>
    </row>
    <row r="1693" spans="23:23" x14ac:dyDescent="0.55000000000000004">
      <c r="W1693"/>
    </row>
    <row r="1694" spans="23:23" x14ac:dyDescent="0.55000000000000004">
      <c r="W1694"/>
    </row>
    <row r="1695" spans="23:23" x14ac:dyDescent="0.55000000000000004">
      <c r="W1695"/>
    </row>
    <row r="1696" spans="23:23" x14ac:dyDescent="0.55000000000000004">
      <c r="W1696"/>
    </row>
    <row r="1697" spans="23:23" x14ac:dyDescent="0.55000000000000004">
      <c r="W1697"/>
    </row>
    <row r="1698" spans="23:23" x14ac:dyDescent="0.55000000000000004">
      <c r="W1698"/>
    </row>
    <row r="1699" spans="23:23" x14ac:dyDescent="0.55000000000000004">
      <c r="W1699"/>
    </row>
    <row r="1700" spans="23:23" x14ac:dyDescent="0.55000000000000004">
      <c r="W1700"/>
    </row>
    <row r="1701" spans="23:23" x14ac:dyDescent="0.55000000000000004">
      <c r="W1701"/>
    </row>
    <row r="1702" spans="23:23" x14ac:dyDescent="0.55000000000000004">
      <c r="W1702"/>
    </row>
    <row r="1703" spans="23:23" x14ac:dyDescent="0.55000000000000004">
      <c r="W1703"/>
    </row>
    <row r="1704" spans="23:23" x14ac:dyDescent="0.55000000000000004">
      <c r="W1704"/>
    </row>
    <row r="1705" spans="23:23" x14ac:dyDescent="0.55000000000000004">
      <c r="W1705"/>
    </row>
    <row r="1706" spans="23:23" x14ac:dyDescent="0.55000000000000004">
      <c r="W1706"/>
    </row>
    <row r="1707" spans="23:23" x14ac:dyDescent="0.55000000000000004">
      <c r="W1707"/>
    </row>
    <row r="1708" spans="23:23" x14ac:dyDescent="0.55000000000000004">
      <c r="W1708"/>
    </row>
    <row r="1709" spans="23:23" x14ac:dyDescent="0.55000000000000004">
      <c r="W1709"/>
    </row>
    <row r="1710" spans="23:23" x14ac:dyDescent="0.55000000000000004">
      <c r="W1710"/>
    </row>
    <row r="1711" spans="23:23" x14ac:dyDescent="0.55000000000000004">
      <c r="W1711"/>
    </row>
    <row r="1712" spans="23:23" x14ac:dyDescent="0.55000000000000004">
      <c r="W1712"/>
    </row>
    <row r="1713" spans="23:23" x14ac:dyDescent="0.55000000000000004">
      <c r="W1713"/>
    </row>
    <row r="1714" spans="23:23" x14ac:dyDescent="0.55000000000000004">
      <c r="W1714"/>
    </row>
    <row r="1715" spans="23:23" x14ac:dyDescent="0.55000000000000004">
      <c r="W1715"/>
    </row>
    <row r="1716" spans="23:23" x14ac:dyDescent="0.55000000000000004">
      <c r="W1716"/>
    </row>
    <row r="1717" spans="23:23" x14ac:dyDescent="0.55000000000000004">
      <c r="W1717"/>
    </row>
    <row r="1718" spans="23:23" x14ac:dyDescent="0.55000000000000004">
      <c r="W1718"/>
    </row>
    <row r="1719" spans="23:23" x14ac:dyDescent="0.55000000000000004">
      <c r="W1719"/>
    </row>
    <row r="1720" spans="23:23" x14ac:dyDescent="0.55000000000000004">
      <c r="W1720"/>
    </row>
    <row r="1721" spans="23:23" x14ac:dyDescent="0.55000000000000004">
      <c r="W1721"/>
    </row>
    <row r="1722" spans="23:23" x14ac:dyDescent="0.55000000000000004">
      <c r="W1722"/>
    </row>
    <row r="1723" spans="23:23" x14ac:dyDescent="0.55000000000000004">
      <c r="W1723"/>
    </row>
    <row r="1724" spans="23:23" x14ac:dyDescent="0.55000000000000004">
      <c r="W1724"/>
    </row>
    <row r="1725" spans="23:23" x14ac:dyDescent="0.55000000000000004">
      <c r="W1725"/>
    </row>
    <row r="1726" spans="23:23" x14ac:dyDescent="0.55000000000000004">
      <c r="W1726"/>
    </row>
    <row r="1727" spans="23:23" x14ac:dyDescent="0.55000000000000004">
      <c r="W1727"/>
    </row>
    <row r="1728" spans="23:23" x14ac:dyDescent="0.55000000000000004">
      <c r="W1728"/>
    </row>
    <row r="1729" spans="23:23" x14ac:dyDescent="0.55000000000000004">
      <c r="W1729"/>
    </row>
    <row r="1730" spans="23:23" x14ac:dyDescent="0.55000000000000004">
      <c r="W1730"/>
    </row>
    <row r="1731" spans="23:23" x14ac:dyDescent="0.55000000000000004">
      <c r="W1731"/>
    </row>
    <row r="1732" spans="23:23" x14ac:dyDescent="0.55000000000000004">
      <c r="W1732"/>
    </row>
    <row r="1733" spans="23:23" x14ac:dyDescent="0.55000000000000004">
      <c r="W1733"/>
    </row>
    <row r="1734" spans="23:23" x14ac:dyDescent="0.55000000000000004">
      <c r="W1734"/>
    </row>
    <row r="1735" spans="23:23" x14ac:dyDescent="0.55000000000000004">
      <c r="W1735"/>
    </row>
    <row r="1736" spans="23:23" x14ac:dyDescent="0.55000000000000004">
      <c r="W1736"/>
    </row>
    <row r="1737" spans="23:23" x14ac:dyDescent="0.55000000000000004">
      <c r="W1737"/>
    </row>
    <row r="1738" spans="23:23" x14ac:dyDescent="0.55000000000000004">
      <c r="W1738"/>
    </row>
    <row r="1739" spans="23:23" x14ac:dyDescent="0.55000000000000004">
      <c r="W1739"/>
    </row>
    <row r="1740" spans="23:23" x14ac:dyDescent="0.55000000000000004">
      <c r="W1740"/>
    </row>
    <row r="1741" spans="23:23" x14ac:dyDescent="0.55000000000000004">
      <c r="W1741"/>
    </row>
    <row r="1742" spans="23:23" x14ac:dyDescent="0.55000000000000004">
      <c r="W1742"/>
    </row>
    <row r="1743" spans="23:23" x14ac:dyDescent="0.55000000000000004">
      <c r="W1743"/>
    </row>
    <row r="1744" spans="23:23" x14ac:dyDescent="0.55000000000000004">
      <c r="W1744"/>
    </row>
    <row r="1745" spans="23:23" x14ac:dyDescent="0.55000000000000004">
      <c r="W1745"/>
    </row>
    <row r="1746" spans="23:23" x14ac:dyDescent="0.55000000000000004">
      <c r="W1746"/>
    </row>
    <row r="1747" spans="23:23" x14ac:dyDescent="0.55000000000000004">
      <c r="W1747"/>
    </row>
    <row r="1748" spans="23:23" x14ac:dyDescent="0.55000000000000004">
      <c r="W1748"/>
    </row>
    <row r="1749" spans="23:23" x14ac:dyDescent="0.55000000000000004">
      <c r="W1749"/>
    </row>
    <row r="1750" spans="23:23" x14ac:dyDescent="0.55000000000000004">
      <c r="W1750"/>
    </row>
    <row r="1751" spans="23:23" x14ac:dyDescent="0.55000000000000004">
      <c r="W1751"/>
    </row>
    <row r="1752" spans="23:23" x14ac:dyDescent="0.55000000000000004">
      <c r="W1752"/>
    </row>
    <row r="1753" spans="23:23" x14ac:dyDescent="0.55000000000000004">
      <c r="W1753"/>
    </row>
    <row r="1754" spans="23:23" x14ac:dyDescent="0.55000000000000004">
      <c r="W1754"/>
    </row>
    <row r="1755" spans="23:23" x14ac:dyDescent="0.55000000000000004">
      <c r="W1755"/>
    </row>
    <row r="1756" spans="23:23" x14ac:dyDescent="0.55000000000000004">
      <c r="W1756"/>
    </row>
    <row r="1757" spans="23:23" x14ac:dyDescent="0.55000000000000004">
      <c r="W1757"/>
    </row>
    <row r="1758" spans="23:23" x14ac:dyDescent="0.55000000000000004">
      <c r="W1758"/>
    </row>
    <row r="1759" spans="23:23" x14ac:dyDescent="0.55000000000000004">
      <c r="W1759"/>
    </row>
    <row r="1760" spans="23:23" x14ac:dyDescent="0.55000000000000004">
      <c r="W1760"/>
    </row>
    <row r="1761" spans="23:23" x14ac:dyDescent="0.55000000000000004">
      <c r="W1761"/>
    </row>
    <row r="1762" spans="23:23" x14ac:dyDescent="0.55000000000000004">
      <c r="W1762"/>
    </row>
    <row r="1763" spans="23:23" x14ac:dyDescent="0.55000000000000004">
      <c r="W1763"/>
    </row>
    <row r="1764" spans="23:23" x14ac:dyDescent="0.55000000000000004">
      <c r="W1764"/>
    </row>
    <row r="1765" spans="23:23" x14ac:dyDescent="0.55000000000000004">
      <c r="W1765"/>
    </row>
    <row r="1766" spans="23:23" x14ac:dyDescent="0.55000000000000004">
      <c r="W1766"/>
    </row>
    <row r="1767" spans="23:23" x14ac:dyDescent="0.55000000000000004">
      <c r="W1767"/>
    </row>
    <row r="1768" spans="23:23" x14ac:dyDescent="0.55000000000000004">
      <c r="W1768"/>
    </row>
    <row r="1769" spans="23:23" x14ac:dyDescent="0.55000000000000004">
      <c r="W1769"/>
    </row>
    <row r="1770" spans="23:23" x14ac:dyDescent="0.55000000000000004">
      <c r="W1770"/>
    </row>
    <row r="1771" spans="23:23" x14ac:dyDescent="0.55000000000000004">
      <c r="W1771"/>
    </row>
    <row r="1772" spans="23:23" x14ac:dyDescent="0.55000000000000004">
      <c r="W1772"/>
    </row>
    <row r="1773" spans="23:23" x14ac:dyDescent="0.55000000000000004">
      <c r="W1773"/>
    </row>
    <row r="1774" spans="23:23" x14ac:dyDescent="0.55000000000000004">
      <c r="W1774"/>
    </row>
    <row r="1775" spans="23:23" x14ac:dyDescent="0.55000000000000004">
      <c r="W1775"/>
    </row>
    <row r="1776" spans="23:23" x14ac:dyDescent="0.55000000000000004">
      <c r="W1776"/>
    </row>
    <row r="1777" spans="23:23" x14ac:dyDescent="0.55000000000000004">
      <c r="W1777"/>
    </row>
    <row r="1778" spans="23:23" x14ac:dyDescent="0.55000000000000004">
      <c r="W1778"/>
    </row>
    <row r="1779" spans="23:23" x14ac:dyDescent="0.55000000000000004">
      <c r="W1779"/>
    </row>
    <row r="1780" spans="23:23" x14ac:dyDescent="0.55000000000000004">
      <c r="W1780"/>
    </row>
    <row r="1781" spans="23:23" x14ac:dyDescent="0.55000000000000004">
      <c r="W1781"/>
    </row>
    <row r="1782" spans="23:23" x14ac:dyDescent="0.55000000000000004">
      <c r="W1782"/>
    </row>
    <row r="1783" spans="23:23" x14ac:dyDescent="0.55000000000000004">
      <c r="W1783"/>
    </row>
    <row r="1784" spans="23:23" x14ac:dyDescent="0.55000000000000004">
      <c r="W1784"/>
    </row>
    <row r="1785" spans="23:23" x14ac:dyDescent="0.55000000000000004">
      <c r="W1785"/>
    </row>
    <row r="1786" spans="23:23" x14ac:dyDescent="0.55000000000000004">
      <c r="W1786"/>
    </row>
    <row r="1787" spans="23:23" x14ac:dyDescent="0.55000000000000004">
      <c r="W1787"/>
    </row>
    <row r="1788" spans="23:23" x14ac:dyDescent="0.55000000000000004">
      <c r="W1788"/>
    </row>
    <row r="1789" spans="23:23" x14ac:dyDescent="0.55000000000000004">
      <c r="W1789"/>
    </row>
    <row r="1790" spans="23:23" x14ac:dyDescent="0.55000000000000004">
      <c r="W1790"/>
    </row>
    <row r="1791" spans="23:23" x14ac:dyDescent="0.55000000000000004">
      <c r="W1791"/>
    </row>
    <row r="1792" spans="23:23" x14ac:dyDescent="0.55000000000000004">
      <c r="W1792"/>
    </row>
    <row r="1793" spans="23:23" x14ac:dyDescent="0.55000000000000004">
      <c r="W1793"/>
    </row>
    <row r="1794" spans="23:23" x14ac:dyDescent="0.55000000000000004">
      <c r="W1794"/>
    </row>
    <row r="1795" spans="23:23" x14ac:dyDescent="0.55000000000000004">
      <c r="W1795"/>
    </row>
    <row r="1796" spans="23:23" x14ac:dyDescent="0.55000000000000004">
      <c r="W1796"/>
    </row>
    <row r="1797" spans="23:23" x14ac:dyDescent="0.55000000000000004">
      <c r="W1797"/>
    </row>
    <row r="1798" spans="23:23" x14ac:dyDescent="0.55000000000000004">
      <c r="W1798"/>
    </row>
    <row r="1799" spans="23:23" x14ac:dyDescent="0.55000000000000004">
      <c r="W1799"/>
    </row>
    <row r="1800" spans="23:23" x14ac:dyDescent="0.55000000000000004">
      <c r="W1800"/>
    </row>
    <row r="1801" spans="23:23" x14ac:dyDescent="0.55000000000000004">
      <c r="W1801"/>
    </row>
    <row r="1802" spans="23:23" x14ac:dyDescent="0.55000000000000004">
      <c r="W1802"/>
    </row>
    <row r="1803" spans="23:23" x14ac:dyDescent="0.55000000000000004">
      <c r="W1803"/>
    </row>
    <row r="1804" spans="23:23" x14ac:dyDescent="0.55000000000000004">
      <c r="W1804"/>
    </row>
    <row r="1805" spans="23:23" x14ac:dyDescent="0.55000000000000004">
      <c r="W1805"/>
    </row>
    <row r="1806" spans="23:23" x14ac:dyDescent="0.55000000000000004">
      <c r="W1806"/>
    </row>
    <row r="1807" spans="23:23" x14ac:dyDescent="0.55000000000000004">
      <c r="W1807"/>
    </row>
    <row r="1808" spans="23:23" x14ac:dyDescent="0.55000000000000004">
      <c r="W1808"/>
    </row>
    <row r="1809" spans="23:23" x14ac:dyDescent="0.55000000000000004">
      <c r="W1809"/>
    </row>
    <row r="1810" spans="23:23" x14ac:dyDescent="0.55000000000000004">
      <c r="W1810"/>
    </row>
    <row r="1811" spans="23:23" x14ac:dyDescent="0.55000000000000004">
      <c r="W1811"/>
    </row>
    <row r="1812" spans="23:23" x14ac:dyDescent="0.55000000000000004">
      <c r="W1812"/>
    </row>
    <row r="1813" spans="23:23" x14ac:dyDescent="0.55000000000000004">
      <c r="W1813"/>
    </row>
    <row r="1814" spans="23:23" x14ac:dyDescent="0.55000000000000004">
      <c r="W1814"/>
    </row>
    <row r="1815" spans="23:23" x14ac:dyDescent="0.55000000000000004">
      <c r="W1815"/>
    </row>
    <row r="1816" spans="23:23" x14ac:dyDescent="0.55000000000000004">
      <c r="W1816"/>
    </row>
    <row r="1817" spans="23:23" x14ac:dyDescent="0.55000000000000004">
      <c r="W1817"/>
    </row>
    <row r="1818" spans="23:23" x14ac:dyDescent="0.55000000000000004">
      <c r="W1818"/>
    </row>
    <row r="1819" spans="23:23" x14ac:dyDescent="0.55000000000000004">
      <c r="W1819"/>
    </row>
    <row r="1820" spans="23:23" x14ac:dyDescent="0.55000000000000004">
      <c r="W1820"/>
    </row>
    <row r="1821" spans="23:23" x14ac:dyDescent="0.55000000000000004">
      <c r="W1821"/>
    </row>
    <row r="1822" spans="23:23" x14ac:dyDescent="0.55000000000000004">
      <c r="W1822"/>
    </row>
    <row r="1823" spans="23:23" x14ac:dyDescent="0.55000000000000004">
      <c r="W1823"/>
    </row>
    <row r="1824" spans="23:23" x14ac:dyDescent="0.55000000000000004">
      <c r="W1824"/>
    </row>
    <row r="1825" spans="23:23" x14ac:dyDescent="0.55000000000000004">
      <c r="W1825"/>
    </row>
    <row r="1826" spans="23:23" x14ac:dyDescent="0.55000000000000004">
      <c r="W1826"/>
    </row>
    <row r="1827" spans="23:23" x14ac:dyDescent="0.55000000000000004">
      <c r="W1827"/>
    </row>
    <row r="1828" spans="23:23" x14ac:dyDescent="0.55000000000000004">
      <c r="W1828"/>
    </row>
    <row r="1829" spans="23:23" x14ac:dyDescent="0.55000000000000004">
      <c r="W1829"/>
    </row>
    <row r="1830" spans="23:23" x14ac:dyDescent="0.55000000000000004">
      <c r="W1830"/>
    </row>
    <row r="1831" spans="23:23" x14ac:dyDescent="0.55000000000000004">
      <c r="W1831"/>
    </row>
    <row r="1832" spans="23:23" x14ac:dyDescent="0.55000000000000004">
      <c r="W1832"/>
    </row>
    <row r="1833" spans="23:23" x14ac:dyDescent="0.55000000000000004">
      <c r="W1833"/>
    </row>
    <row r="1834" spans="23:23" x14ac:dyDescent="0.55000000000000004">
      <c r="W1834"/>
    </row>
    <row r="1835" spans="23:23" x14ac:dyDescent="0.55000000000000004">
      <c r="W1835"/>
    </row>
    <row r="1836" spans="23:23" x14ac:dyDescent="0.55000000000000004">
      <c r="W1836"/>
    </row>
    <row r="1837" spans="23:23" x14ac:dyDescent="0.55000000000000004">
      <c r="W1837"/>
    </row>
    <row r="1838" spans="23:23" x14ac:dyDescent="0.55000000000000004">
      <c r="W1838"/>
    </row>
    <row r="1839" spans="23:23" x14ac:dyDescent="0.55000000000000004">
      <c r="W1839"/>
    </row>
    <row r="1840" spans="23:23" x14ac:dyDescent="0.55000000000000004">
      <c r="W1840"/>
    </row>
    <row r="1841" spans="23:23" x14ac:dyDescent="0.55000000000000004">
      <c r="W1841"/>
    </row>
    <row r="1842" spans="23:23" x14ac:dyDescent="0.55000000000000004">
      <c r="W1842"/>
    </row>
    <row r="1843" spans="23:23" x14ac:dyDescent="0.55000000000000004">
      <c r="W1843"/>
    </row>
    <row r="1844" spans="23:23" x14ac:dyDescent="0.55000000000000004">
      <c r="W1844"/>
    </row>
    <row r="1845" spans="23:23" x14ac:dyDescent="0.55000000000000004">
      <c r="W1845"/>
    </row>
    <row r="1846" spans="23:23" x14ac:dyDescent="0.55000000000000004">
      <c r="W1846"/>
    </row>
    <row r="1847" spans="23:23" x14ac:dyDescent="0.55000000000000004">
      <c r="W1847"/>
    </row>
    <row r="1848" spans="23:23" x14ac:dyDescent="0.55000000000000004">
      <c r="W1848"/>
    </row>
    <row r="1849" spans="23:23" x14ac:dyDescent="0.55000000000000004">
      <c r="W1849"/>
    </row>
    <row r="1850" spans="23:23" x14ac:dyDescent="0.55000000000000004">
      <c r="W1850"/>
    </row>
    <row r="1851" spans="23:23" x14ac:dyDescent="0.55000000000000004">
      <c r="W1851"/>
    </row>
    <row r="1852" spans="23:23" x14ac:dyDescent="0.55000000000000004">
      <c r="W1852"/>
    </row>
    <row r="1853" spans="23:23" x14ac:dyDescent="0.55000000000000004">
      <c r="W1853"/>
    </row>
    <row r="1854" spans="23:23" x14ac:dyDescent="0.55000000000000004">
      <c r="W1854"/>
    </row>
    <row r="1855" spans="23:23" x14ac:dyDescent="0.55000000000000004">
      <c r="W1855"/>
    </row>
    <row r="1856" spans="23:23" x14ac:dyDescent="0.55000000000000004">
      <c r="W1856"/>
    </row>
    <row r="1857" spans="23:23" x14ac:dyDescent="0.55000000000000004">
      <c r="W1857"/>
    </row>
    <row r="1858" spans="23:23" x14ac:dyDescent="0.55000000000000004">
      <c r="W1858"/>
    </row>
    <row r="1859" spans="23:23" x14ac:dyDescent="0.55000000000000004">
      <c r="W1859"/>
    </row>
    <row r="1860" spans="23:23" x14ac:dyDescent="0.55000000000000004">
      <c r="W1860"/>
    </row>
    <row r="1861" spans="23:23" x14ac:dyDescent="0.55000000000000004">
      <c r="W1861"/>
    </row>
    <row r="1862" spans="23:23" x14ac:dyDescent="0.55000000000000004">
      <c r="W1862"/>
    </row>
    <row r="1863" spans="23:23" x14ac:dyDescent="0.55000000000000004">
      <c r="W1863"/>
    </row>
    <row r="1864" spans="23:23" x14ac:dyDescent="0.55000000000000004">
      <c r="W1864"/>
    </row>
    <row r="1865" spans="23:23" x14ac:dyDescent="0.55000000000000004">
      <c r="W1865"/>
    </row>
    <row r="1866" spans="23:23" x14ac:dyDescent="0.55000000000000004">
      <c r="W1866"/>
    </row>
    <row r="1867" spans="23:23" x14ac:dyDescent="0.55000000000000004">
      <c r="W1867"/>
    </row>
    <row r="1868" spans="23:23" x14ac:dyDescent="0.55000000000000004">
      <c r="W1868"/>
    </row>
    <row r="1869" spans="23:23" x14ac:dyDescent="0.55000000000000004">
      <c r="W1869"/>
    </row>
    <row r="1870" spans="23:23" x14ac:dyDescent="0.55000000000000004">
      <c r="W1870"/>
    </row>
    <row r="1871" spans="23:23" x14ac:dyDescent="0.55000000000000004">
      <c r="W1871"/>
    </row>
    <row r="1872" spans="23:23" x14ac:dyDescent="0.55000000000000004">
      <c r="W1872"/>
    </row>
    <row r="1873" spans="23:23" x14ac:dyDescent="0.55000000000000004">
      <c r="W1873"/>
    </row>
    <row r="1874" spans="23:23" x14ac:dyDescent="0.55000000000000004">
      <c r="W1874"/>
    </row>
    <row r="1875" spans="23:23" x14ac:dyDescent="0.55000000000000004">
      <c r="W1875"/>
    </row>
    <row r="1876" spans="23:23" x14ac:dyDescent="0.55000000000000004">
      <c r="W1876"/>
    </row>
    <row r="1877" spans="23:23" x14ac:dyDescent="0.55000000000000004">
      <c r="W1877"/>
    </row>
    <row r="1878" spans="23:23" x14ac:dyDescent="0.55000000000000004">
      <c r="W1878"/>
    </row>
    <row r="1879" spans="23:23" x14ac:dyDescent="0.55000000000000004">
      <c r="W1879"/>
    </row>
    <row r="1880" spans="23:23" x14ac:dyDescent="0.55000000000000004">
      <c r="W1880"/>
    </row>
    <row r="1881" spans="23:23" x14ac:dyDescent="0.55000000000000004">
      <c r="W1881"/>
    </row>
    <row r="1882" spans="23:23" x14ac:dyDescent="0.55000000000000004">
      <c r="W1882"/>
    </row>
    <row r="1883" spans="23:23" x14ac:dyDescent="0.55000000000000004">
      <c r="W1883"/>
    </row>
    <row r="1884" spans="23:23" x14ac:dyDescent="0.55000000000000004">
      <c r="W1884"/>
    </row>
    <row r="1885" spans="23:23" x14ac:dyDescent="0.55000000000000004">
      <c r="W1885"/>
    </row>
    <row r="1886" spans="23:23" x14ac:dyDescent="0.55000000000000004">
      <c r="W1886"/>
    </row>
    <row r="1887" spans="23:23" x14ac:dyDescent="0.55000000000000004">
      <c r="W1887"/>
    </row>
    <row r="1888" spans="23:23" x14ac:dyDescent="0.55000000000000004">
      <c r="W1888"/>
    </row>
    <row r="1889" spans="23:23" x14ac:dyDescent="0.55000000000000004">
      <c r="W1889"/>
    </row>
    <row r="1890" spans="23:23" x14ac:dyDescent="0.55000000000000004">
      <c r="W1890"/>
    </row>
    <row r="1891" spans="23:23" x14ac:dyDescent="0.55000000000000004">
      <c r="W1891"/>
    </row>
    <row r="1892" spans="23:23" x14ac:dyDescent="0.55000000000000004">
      <c r="W1892"/>
    </row>
    <row r="1893" spans="23:23" x14ac:dyDescent="0.55000000000000004">
      <c r="W1893"/>
    </row>
    <row r="1894" spans="23:23" x14ac:dyDescent="0.55000000000000004">
      <c r="W1894"/>
    </row>
    <row r="1895" spans="23:23" x14ac:dyDescent="0.55000000000000004">
      <c r="W1895"/>
    </row>
    <row r="1896" spans="23:23" x14ac:dyDescent="0.55000000000000004">
      <c r="W1896"/>
    </row>
    <row r="1897" spans="23:23" x14ac:dyDescent="0.55000000000000004">
      <c r="W1897"/>
    </row>
    <row r="1898" spans="23:23" x14ac:dyDescent="0.55000000000000004">
      <c r="W1898"/>
    </row>
    <row r="1899" spans="23:23" x14ac:dyDescent="0.55000000000000004">
      <c r="W1899"/>
    </row>
    <row r="1900" spans="23:23" x14ac:dyDescent="0.55000000000000004">
      <c r="W1900"/>
    </row>
    <row r="1901" spans="23:23" x14ac:dyDescent="0.55000000000000004">
      <c r="W1901"/>
    </row>
    <row r="1902" spans="23:23" x14ac:dyDescent="0.55000000000000004">
      <c r="W1902"/>
    </row>
    <row r="1903" spans="23:23" x14ac:dyDescent="0.55000000000000004">
      <c r="W1903"/>
    </row>
    <row r="1904" spans="23:23" x14ac:dyDescent="0.55000000000000004">
      <c r="W1904"/>
    </row>
    <row r="1905" spans="23:23" x14ac:dyDescent="0.55000000000000004">
      <c r="W1905"/>
    </row>
    <row r="1906" spans="23:23" x14ac:dyDescent="0.55000000000000004">
      <c r="W1906"/>
    </row>
    <row r="1907" spans="23:23" x14ac:dyDescent="0.55000000000000004">
      <c r="W1907"/>
    </row>
    <row r="1908" spans="23:23" x14ac:dyDescent="0.55000000000000004">
      <c r="W1908"/>
    </row>
    <row r="1909" spans="23:23" x14ac:dyDescent="0.55000000000000004">
      <c r="W1909"/>
    </row>
    <row r="1910" spans="23:23" x14ac:dyDescent="0.55000000000000004">
      <c r="W1910"/>
    </row>
    <row r="1911" spans="23:23" x14ac:dyDescent="0.55000000000000004">
      <c r="W1911"/>
    </row>
    <row r="1912" spans="23:23" x14ac:dyDescent="0.55000000000000004">
      <c r="W1912"/>
    </row>
    <row r="1913" spans="23:23" x14ac:dyDescent="0.55000000000000004">
      <c r="W1913"/>
    </row>
    <row r="1914" spans="23:23" x14ac:dyDescent="0.55000000000000004">
      <c r="W1914"/>
    </row>
    <row r="1915" spans="23:23" x14ac:dyDescent="0.55000000000000004">
      <c r="W1915"/>
    </row>
    <row r="1916" spans="23:23" x14ac:dyDescent="0.55000000000000004">
      <c r="W1916"/>
    </row>
    <row r="1917" spans="23:23" x14ac:dyDescent="0.55000000000000004">
      <c r="W1917"/>
    </row>
    <row r="1918" spans="23:23" x14ac:dyDescent="0.55000000000000004">
      <c r="W1918"/>
    </row>
    <row r="1919" spans="23:23" x14ac:dyDescent="0.55000000000000004">
      <c r="W1919"/>
    </row>
    <row r="1920" spans="23:23" x14ac:dyDescent="0.55000000000000004">
      <c r="W1920"/>
    </row>
    <row r="1921" spans="23:23" x14ac:dyDescent="0.55000000000000004">
      <c r="W1921"/>
    </row>
    <row r="1922" spans="23:23" x14ac:dyDescent="0.55000000000000004">
      <c r="W1922"/>
    </row>
    <row r="1923" spans="23:23" x14ac:dyDescent="0.55000000000000004">
      <c r="W1923"/>
    </row>
    <row r="1924" spans="23:23" x14ac:dyDescent="0.55000000000000004">
      <c r="W1924"/>
    </row>
    <row r="1925" spans="23:23" x14ac:dyDescent="0.55000000000000004">
      <c r="W1925"/>
    </row>
    <row r="1926" spans="23:23" x14ac:dyDescent="0.55000000000000004">
      <c r="W1926"/>
    </row>
    <row r="1927" spans="23:23" x14ac:dyDescent="0.55000000000000004">
      <c r="W1927"/>
    </row>
    <row r="1928" spans="23:23" x14ac:dyDescent="0.55000000000000004">
      <c r="W1928"/>
    </row>
    <row r="1929" spans="23:23" x14ac:dyDescent="0.55000000000000004">
      <c r="W1929"/>
    </row>
    <row r="1930" spans="23:23" x14ac:dyDescent="0.55000000000000004">
      <c r="W1930"/>
    </row>
    <row r="1931" spans="23:23" x14ac:dyDescent="0.55000000000000004">
      <c r="W1931"/>
    </row>
    <row r="1932" spans="23:23" x14ac:dyDescent="0.55000000000000004">
      <c r="W1932"/>
    </row>
    <row r="1933" spans="23:23" x14ac:dyDescent="0.55000000000000004">
      <c r="W1933"/>
    </row>
    <row r="1934" spans="23:23" x14ac:dyDescent="0.55000000000000004">
      <c r="W1934"/>
    </row>
    <row r="1935" spans="23:23" x14ac:dyDescent="0.55000000000000004">
      <c r="W1935"/>
    </row>
    <row r="1936" spans="23:23" x14ac:dyDescent="0.55000000000000004">
      <c r="W1936"/>
    </row>
    <row r="1937" spans="23:23" x14ac:dyDescent="0.55000000000000004">
      <c r="W1937"/>
    </row>
    <row r="1938" spans="23:23" x14ac:dyDescent="0.55000000000000004">
      <c r="W1938"/>
    </row>
    <row r="1939" spans="23:23" x14ac:dyDescent="0.55000000000000004">
      <c r="W1939"/>
    </row>
    <row r="1940" spans="23:23" x14ac:dyDescent="0.55000000000000004">
      <c r="W1940"/>
    </row>
    <row r="1941" spans="23:23" x14ac:dyDescent="0.55000000000000004">
      <c r="W1941"/>
    </row>
    <row r="1942" spans="23:23" x14ac:dyDescent="0.55000000000000004">
      <c r="W1942"/>
    </row>
    <row r="1943" spans="23:23" x14ac:dyDescent="0.55000000000000004">
      <c r="W1943"/>
    </row>
    <row r="1944" spans="23:23" x14ac:dyDescent="0.55000000000000004">
      <c r="W1944"/>
    </row>
    <row r="1945" spans="23:23" x14ac:dyDescent="0.55000000000000004">
      <c r="W1945"/>
    </row>
    <row r="1946" spans="23:23" x14ac:dyDescent="0.55000000000000004">
      <c r="W1946"/>
    </row>
    <row r="1947" spans="23:23" x14ac:dyDescent="0.55000000000000004">
      <c r="W1947"/>
    </row>
    <row r="1948" spans="23:23" x14ac:dyDescent="0.55000000000000004">
      <c r="W1948"/>
    </row>
    <row r="1949" spans="23:23" x14ac:dyDescent="0.55000000000000004">
      <c r="W1949"/>
    </row>
    <row r="1950" spans="23:23" x14ac:dyDescent="0.55000000000000004">
      <c r="W1950"/>
    </row>
    <row r="1951" spans="23:23" x14ac:dyDescent="0.55000000000000004">
      <c r="W1951"/>
    </row>
    <row r="1952" spans="23:23" x14ac:dyDescent="0.55000000000000004">
      <c r="W1952"/>
    </row>
    <row r="1953" spans="23:23" x14ac:dyDescent="0.55000000000000004">
      <c r="W1953"/>
    </row>
    <row r="1954" spans="23:23" x14ac:dyDescent="0.55000000000000004">
      <c r="W1954"/>
    </row>
    <row r="1955" spans="23:23" x14ac:dyDescent="0.55000000000000004">
      <c r="W1955"/>
    </row>
    <row r="1956" spans="23:23" x14ac:dyDescent="0.55000000000000004">
      <c r="W1956"/>
    </row>
    <row r="1957" spans="23:23" x14ac:dyDescent="0.55000000000000004">
      <c r="W1957"/>
    </row>
    <row r="1958" spans="23:23" x14ac:dyDescent="0.55000000000000004">
      <c r="W1958"/>
    </row>
    <row r="1959" spans="23:23" x14ac:dyDescent="0.55000000000000004">
      <c r="W1959"/>
    </row>
    <row r="1960" spans="23:23" x14ac:dyDescent="0.55000000000000004">
      <c r="W1960"/>
    </row>
    <row r="1961" spans="23:23" x14ac:dyDescent="0.55000000000000004">
      <c r="W1961"/>
    </row>
    <row r="1962" spans="23:23" x14ac:dyDescent="0.55000000000000004">
      <c r="W1962"/>
    </row>
    <row r="1963" spans="23:23" x14ac:dyDescent="0.55000000000000004">
      <c r="W1963"/>
    </row>
    <row r="1964" spans="23:23" x14ac:dyDescent="0.55000000000000004">
      <c r="W1964"/>
    </row>
    <row r="1965" spans="23:23" x14ac:dyDescent="0.55000000000000004">
      <c r="W1965"/>
    </row>
    <row r="1966" spans="23:23" x14ac:dyDescent="0.55000000000000004">
      <c r="W1966"/>
    </row>
    <row r="1967" spans="23:23" x14ac:dyDescent="0.55000000000000004">
      <c r="W1967"/>
    </row>
    <row r="1968" spans="23:23" x14ac:dyDescent="0.55000000000000004">
      <c r="W1968"/>
    </row>
    <row r="1969" spans="23:23" x14ac:dyDescent="0.55000000000000004">
      <c r="W1969"/>
    </row>
    <row r="1970" spans="23:23" x14ac:dyDescent="0.55000000000000004">
      <c r="W1970"/>
    </row>
    <row r="1971" spans="23:23" x14ac:dyDescent="0.55000000000000004">
      <c r="W1971"/>
    </row>
    <row r="1972" spans="23:23" x14ac:dyDescent="0.55000000000000004">
      <c r="W1972"/>
    </row>
    <row r="1973" spans="23:23" x14ac:dyDescent="0.55000000000000004">
      <c r="W1973"/>
    </row>
    <row r="1974" spans="23:23" x14ac:dyDescent="0.55000000000000004">
      <c r="W1974"/>
    </row>
    <row r="1975" spans="23:23" x14ac:dyDescent="0.55000000000000004">
      <c r="W1975"/>
    </row>
    <row r="1976" spans="23:23" x14ac:dyDescent="0.55000000000000004">
      <c r="W1976"/>
    </row>
    <row r="1977" spans="23:23" x14ac:dyDescent="0.55000000000000004">
      <c r="W1977"/>
    </row>
    <row r="1978" spans="23:23" x14ac:dyDescent="0.55000000000000004">
      <c r="W1978"/>
    </row>
    <row r="1979" spans="23:23" x14ac:dyDescent="0.55000000000000004">
      <c r="W1979"/>
    </row>
    <row r="1980" spans="23:23" x14ac:dyDescent="0.55000000000000004">
      <c r="W1980"/>
    </row>
    <row r="1981" spans="23:23" x14ac:dyDescent="0.55000000000000004">
      <c r="W1981"/>
    </row>
    <row r="1982" spans="23:23" x14ac:dyDescent="0.55000000000000004">
      <c r="W1982"/>
    </row>
    <row r="1983" spans="23:23" x14ac:dyDescent="0.55000000000000004">
      <c r="W1983"/>
    </row>
    <row r="1984" spans="23:23" x14ac:dyDescent="0.55000000000000004">
      <c r="W1984"/>
    </row>
    <row r="1985" spans="23:23" x14ac:dyDescent="0.55000000000000004">
      <c r="W1985"/>
    </row>
    <row r="1986" spans="23:23" x14ac:dyDescent="0.55000000000000004">
      <c r="W1986"/>
    </row>
    <row r="1987" spans="23:23" x14ac:dyDescent="0.55000000000000004">
      <c r="W1987"/>
    </row>
    <row r="1988" spans="23:23" x14ac:dyDescent="0.55000000000000004">
      <c r="W1988"/>
    </row>
    <row r="1989" spans="23:23" x14ac:dyDescent="0.55000000000000004">
      <c r="W1989"/>
    </row>
    <row r="1990" spans="23:23" x14ac:dyDescent="0.55000000000000004">
      <c r="W1990"/>
    </row>
    <row r="1991" spans="23:23" x14ac:dyDescent="0.55000000000000004">
      <c r="W1991"/>
    </row>
    <row r="1992" spans="23:23" x14ac:dyDescent="0.55000000000000004">
      <c r="W1992"/>
    </row>
    <row r="1993" spans="23:23" x14ac:dyDescent="0.55000000000000004">
      <c r="W1993"/>
    </row>
    <row r="1994" spans="23:23" x14ac:dyDescent="0.55000000000000004">
      <c r="W1994"/>
    </row>
    <row r="1995" spans="23:23" x14ac:dyDescent="0.55000000000000004">
      <c r="W1995"/>
    </row>
    <row r="1996" spans="23:23" x14ac:dyDescent="0.55000000000000004">
      <c r="W1996"/>
    </row>
    <row r="1997" spans="23:23" x14ac:dyDescent="0.55000000000000004">
      <c r="W1997"/>
    </row>
    <row r="1998" spans="23:23" x14ac:dyDescent="0.55000000000000004">
      <c r="W1998"/>
    </row>
    <row r="1999" spans="23:23" x14ac:dyDescent="0.55000000000000004">
      <c r="W1999"/>
    </row>
    <row r="2000" spans="23:23" x14ac:dyDescent="0.55000000000000004">
      <c r="W2000"/>
    </row>
    <row r="2001" spans="23:23" x14ac:dyDescent="0.55000000000000004">
      <c r="W2001"/>
    </row>
    <row r="2002" spans="23:23" x14ac:dyDescent="0.55000000000000004">
      <c r="W2002"/>
    </row>
    <row r="2003" spans="23:23" x14ac:dyDescent="0.55000000000000004">
      <c r="W2003"/>
    </row>
    <row r="2004" spans="23:23" x14ac:dyDescent="0.55000000000000004">
      <c r="W2004"/>
    </row>
    <row r="2005" spans="23:23" x14ac:dyDescent="0.55000000000000004">
      <c r="W2005"/>
    </row>
    <row r="2006" spans="23:23" x14ac:dyDescent="0.55000000000000004">
      <c r="W2006"/>
    </row>
    <row r="2007" spans="23:23" x14ac:dyDescent="0.55000000000000004">
      <c r="W2007"/>
    </row>
    <row r="2008" spans="23:23" x14ac:dyDescent="0.55000000000000004">
      <c r="W2008"/>
    </row>
    <row r="2009" spans="23:23" x14ac:dyDescent="0.55000000000000004">
      <c r="W2009"/>
    </row>
    <row r="2010" spans="23:23" x14ac:dyDescent="0.55000000000000004">
      <c r="W2010"/>
    </row>
    <row r="2011" spans="23:23" x14ac:dyDescent="0.55000000000000004">
      <c r="W2011"/>
    </row>
    <row r="2012" spans="23:23" x14ac:dyDescent="0.55000000000000004">
      <c r="W2012"/>
    </row>
    <row r="2013" spans="23:23" x14ac:dyDescent="0.55000000000000004">
      <c r="W2013"/>
    </row>
    <row r="2014" spans="23:23" x14ac:dyDescent="0.55000000000000004">
      <c r="W2014"/>
    </row>
    <row r="2015" spans="23:23" x14ac:dyDescent="0.55000000000000004">
      <c r="W2015"/>
    </row>
    <row r="2016" spans="23:23" x14ac:dyDescent="0.55000000000000004">
      <c r="W2016"/>
    </row>
    <row r="2017" spans="23:23" x14ac:dyDescent="0.55000000000000004">
      <c r="W2017"/>
    </row>
    <row r="2018" spans="23:23" x14ac:dyDescent="0.55000000000000004">
      <c r="W2018"/>
    </row>
    <row r="2019" spans="23:23" x14ac:dyDescent="0.55000000000000004">
      <c r="W2019"/>
    </row>
    <row r="2020" spans="23:23" x14ac:dyDescent="0.55000000000000004">
      <c r="W2020"/>
    </row>
    <row r="2021" spans="23:23" x14ac:dyDescent="0.55000000000000004">
      <c r="W2021"/>
    </row>
    <row r="2022" spans="23:23" x14ac:dyDescent="0.55000000000000004">
      <c r="W2022"/>
    </row>
    <row r="2023" spans="23:23" x14ac:dyDescent="0.55000000000000004">
      <c r="W2023"/>
    </row>
    <row r="2024" spans="23:23" x14ac:dyDescent="0.55000000000000004">
      <c r="W2024"/>
    </row>
    <row r="2025" spans="23:23" x14ac:dyDescent="0.55000000000000004">
      <c r="W2025"/>
    </row>
    <row r="2026" spans="23:23" x14ac:dyDescent="0.55000000000000004">
      <c r="W2026"/>
    </row>
    <row r="2027" spans="23:23" x14ac:dyDescent="0.55000000000000004">
      <c r="W2027"/>
    </row>
    <row r="2028" spans="23:23" x14ac:dyDescent="0.55000000000000004">
      <c r="W2028"/>
    </row>
    <row r="2029" spans="23:23" x14ac:dyDescent="0.55000000000000004">
      <c r="W2029"/>
    </row>
    <row r="2030" spans="23:23" x14ac:dyDescent="0.55000000000000004">
      <c r="W2030"/>
    </row>
    <row r="2031" spans="23:23" x14ac:dyDescent="0.55000000000000004">
      <c r="W2031"/>
    </row>
    <row r="2032" spans="23:23" x14ac:dyDescent="0.55000000000000004">
      <c r="W2032"/>
    </row>
    <row r="2033" spans="23:23" x14ac:dyDescent="0.55000000000000004">
      <c r="W2033"/>
    </row>
    <row r="2034" spans="23:23" x14ac:dyDescent="0.55000000000000004">
      <c r="W2034"/>
    </row>
    <row r="2035" spans="23:23" x14ac:dyDescent="0.55000000000000004">
      <c r="W2035"/>
    </row>
    <row r="2036" spans="23:23" x14ac:dyDescent="0.55000000000000004">
      <c r="W2036"/>
    </row>
    <row r="2037" spans="23:23" x14ac:dyDescent="0.55000000000000004">
      <c r="W2037"/>
    </row>
    <row r="2038" spans="23:23" x14ac:dyDescent="0.55000000000000004">
      <c r="W2038"/>
    </row>
    <row r="2039" spans="23:23" x14ac:dyDescent="0.55000000000000004">
      <c r="W2039"/>
    </row>
    <row r="2040" spans="23:23" x14ac:dyDescent="0.55000000000000004">
      <c r="W2040"/>
    </row>
    <row r="2041" spans="23:23" x14ac:dyDescent="0.55000000000000004">
      <c r="W2041"/>
    </row>
    <row r="2042" spans="23:23" x14ac:dyDescent="0.55000000000000004">
      <c r="W2042"/>
    </row>
    <row r="2043" spans="23:23" x14ac:dyDescent="0.55000000000000004">
      <c r="W2043"/>
    </row>
    <row r="2044" spans="23:23" x14ac:dyDescent="0.55000000000000004">
      <c r="W2044"/>
    </row>
    <row r="2045" spans="23:23" x14ac:dyDescent="0.55000000000000004">
      <c r="W2045"/>
    </row>
    <row r="2046" spans="23:23" x14ac:dyDescent="0.55000000000000004">
      <c r="W2046"/>
    </row>
    <row r="2047" spans="23:23" x14ac:dyDescent="0.55000000000000004">
      <c r="W2047"/>
    </row>
    <row r="2048" spans="23:23" x14ac:dyDescent="0.55000000000000004">
      <c r="W2048"/>
    </row>
    <row r="2049" spans="23:23" x14ac:dyDescent="0.55000000000000004">
      <c r="W2049"/>
    </row>
    <row r="2050" spans="23:23" x14ac:dyDescent="0.55000000000000004">
      <c r="W2050"/>
    </row>
    <row r="2051" spans="23:23" x14ac:dyDescent="0.55000000000000004">
      <c r="W2051"/>
    </row>
    <row r="2052" spans="23:23" x14ac:dyDescent="0.55000000000000004">
      <c r="W2052"/>
    </row>
    <row r="2053" spans="23:23" x14ac:dyDescent="0.55000000000000004">
      <c r="W2053"/>
    </row>
    <row r="2054" spans="23:23" x14ac:dyDescent="0.55000000000000004">
      <c r="W2054"/>
    </row>
    <row r="2055" spans="23:23" x14ac:dyDescent="0.55000000000000004">
      <c r="W2055"/>
    </row>
    <row r="2056" spans="23:23" x14ac:dyDescent="0.55000000000000004">
      <c r="W2056"/>
    </row>
    <row r="2057" spans="23:23" x14ac:dyDescent="0.55000000000000004">
      <c r="W2057"/>
    </row>
    <row r="2058" spans="23:23" x14ac:dyDescent="0.55000000000000004">
      <c r="W2058"/>
    </row>
    <row r="2059" spans="23:23" x14ac:dyDescent="0.55000000000000004">
      <c r="W2059"/>
    </row>
    <row r="2060" spans="23:23" x14ac:dyDescent="0.55000000000000004">
      <c r="W2060"/>
    </row>
    <row r="2061" spans="23:23" x14ac:dyDescent="0.55000000000000004">
      <c r="W2061"/>
    </row>
    <row r="2062" spans="23:23" x14ac:dyDescent="0.55000000000000004">
      <c r="W2062"/>
    </row>
    <row r="2063" spans="23:23" x14ac:dyDescent="0.55000000000000004">
      <c r="W2063"/>
    </row>
    <row r="2064" spans="23:23" x14ac:dyDescent="0.55000000000000004">
      <c r="W2064"/>
    </row>
    <row r="2065" spans="23:23" x14ac:dyDescent="0.55000000000000004">
      <c r="W2065"/>
    </row>
    <row r="2066" spans="23:23" x14ac:dyDescent="0.55000000000000004">
      <c r="W2066"/>
    </row>
    <row r="2067" spans="23:23" x14ac:dyDescent="0.55000000000000004">
      <c r="W2067"/>
    </row>
    <row r="2068" spans="23:23" x14ac:dyDescent="0.55000000000000004">
      <c r="W2068"/>
    </row>
    <row r="2069" spans="23:23" x14ac:dyDescent="0.55000000000000004">
      <c r="W2069"/>
    </row>
    <row r="2070" spans="23:23" x14ac:dyDescent="0.55000000000000004">
      <c r="W2070"/>
    </row>
    <row r="2071" spans="23:23" x14ac:dyDescent="0.55000000000000004">
      <c r="W2071"/>
    </row>
    <row r="2072" spans="23:23" x14ac:dyDescent="0.55000000000000004">
      <c r="W2072"/>
    </row>
    <row r="2073" spans="23:23" x14ac:dyDescent="0.55000000000000004">
      <c r="W2073"/>
    </row>
    <row r="2074" spans="23:23" x14ac:dyDescent="0.55000000000000004">
      <c r="W2074"/>
    </row>
    <row r="2075" spans="23:23" x14ac:dyDescent="0.55000000000000004">
      <c r="W2075"/>
    </row>
    <row r="2076" spans="23:23" x14ac:dyDescent="0.55000000000000004">
      <c r="W2076"/>
    </row>
    <row r="2077" spans="23:23" x14ac:dyDescent="0.55000000000000004">
      <c r="W2077"/>
    </row>
    <row r="2078" spans="23:23" x14ac:dyDescent="0.55000000000000004">
      <c r="W2078"/>
    </row>
    <row r="2079" spans="23:23" x14ac:dyDescent="0.55000000000000004">
      <c r="W2079"/>
    </row>
    <row r="2080" spans="23:23" x14ac:dyDescent="0.55000000000000004">
      <c r="W2080"/>
    </row>
    <row r="2081" spans="23:23" x14ac:dyDescent="0.55000000000000004">
      <c r="W2081"/>
    </row>
    <row r="2082" spans="23:23" x14ac:dyDescent="0.55000000000000004">
      <c r="W2082"/>
    </row>
    <row r="2083" spans="23:23" x14ac:dyDescent="0.55000000000000004">
      <c r="W2083"/>
    </row>
    <row r="2084" spans="23:23" x14ac:dyDescent="0.55000000000000004">
      <c r="W2084"/>
    </row>
    <row r="2085" spans="23:23" x14ac:dyDescent="0.55000000000000004">
      <c r="W2085"/>
    </row>
    <row r="2086" spans="23:23" x14ac:dyDescent="0.55000000000000004">
      <c r="W2086"/>
    </row>
    <row r="2087" spans="23:23" x14ac:dyDescent="0.55000000000000004">
      <c r="W2087"/>
    </row>
    <row r="2088" spans="23:23" x14ac:dyDescent="0.55000000000000004">
      <c r="W2088"/>
    </row>
    <row r="2089" spans="23:23" x14ac:dyDescent="0.55000000000000004">
      <c r="W2089"/>
    </row>
    <row r="2090" spans="23:23" x14ac:dyDescent="0.55000000000000004">
      <c r="W2090"/>
    </row>
    <row r="2091" spans="23:23" x14ac:dyDescent="0.55000000000000004">
      <c r="W2091"/>
    </row>
    <row r="2092" spans="23:23" x14ac:dyDescent="0.55000000000000004">
      <c r="W2092"/>
    </row>
    <row r="2093" spans="23:23" x14ac:dyDescent="0.55000000000000004">
      <c r="W2093"/>
    </row>
    <row r="2094" spans="23:23" x14ac:dyDescent="0.55000000000000004">
      <c r="W2094"/>
    </row>
    <row r="2095" spans="23:23" x14ac:dyDescent="0.55000000000000004">
      <c r="W2095"/>
    </row>
    <row r="2096" spans="23:23" x14ac:dyDescent="0.55000000000000004">
      <c r="W2096"/>
    </row>
    <row r="2097" spans="23:23" x14ac:dyDescent="0.55000000000000004">
      <c r="W2097"/>
    </row>
    <row r="2098" spans="23:23" x14ac:dyDescent="0.55000000000000004">
      <c r="W2098"/>
    </row>
    <row r="2099" spans="23:23" x14ac:dyDescent="0.55000000000000004">
      <c r="W2099"/>
    </row>
    <row r="2100" spans="23:23" x14ac:dyDescent="0.55000000000000004">
      <c r="W2100"/>
    </row>
    <row r="2101" spans="23:23" x14ac:dyDescent="0.55000000000000004">
      <c r="W2101"/>
    </row>
    <row r="2102" spans="23:23" x14ac:dyDescent="0.55000000000000004">
      <c r="W2102"/>
    </row>
    <row r="2103" spans="23:23" x14ac:dyDescent="0.55000000000000004">
      <c r="W2103"/>
    </row>
    <row r="2104" spans="23:23" x14ac:dyDescent="0.55000000000000004">
      <c r="W2104"/>
    </row>
    <row r="2105" spans="23:23" x14ac:dyDescent="0.55000000000000004">
      <c r="W2105"/>
    </row>
    <row r="2106" spans="23:23" x14ac:dyDescent="0.55000000000000004">
      <c r="W2106"/>
    </row>
    <row r="2107" spans="23:23" x14ac:dyDescent="0.55000000000000004">
      <c r="W2107"/>
    </row>
    <row r="2108" spans="23:23" x14ac:dyDescent="0.55000000000000004">
      <c r="W2108"/>
    </row>
    <row r="2109" spans="23:23" x14ac:dyDescent="0.55000000000000004">
      <c r="W2109"/>
    </row>
    <row r="2110" spans="23:23" x14ac:dyDescent="0.55000000000000004">
      <c r="W2110"/>
    </row>
    <row r="2111" spans="23:23" x14ac:dyDescent="0.55000000000000004">
      <c r="W2111"/>
    </row>
    <row r="2112" spans="23:23" x14ac:dyDescent="0.55000000000000004">
      <c r="W2112"/>
    </row>
    <row r="2113" spans="23:23" x14ac:dyDescent="0.55000000000000004">
      <c r="W2113"/>
    </row>
    <row r="2114" spans="23:23" x14ac:dyDescent="0.55000000000000004">
      <c r="W2114"/>
    </row>
    <row r="2115" spans="23:23" x14ac:dyDescent="0.55000000000000004">
      <c r="W2115"/>
    </row>
    <row r="2116" spans="23:23" x14ac:dyDescent="0.55000000000000004">
      <c r="W2116"/>
    </row>
    <row r="2117" spans="23:23" x14ac:dyDescent="0.55000000000000004">
      <c r="W2117"/>
    </row>
    <row r="2118" spans="23:23" x14ac:dyDescent="0.55000000000000004">
      <c r="W2118"/>
    </row>
    <row r="2119" spans="23:23" x14ac:dyDescent="0.55000000000000004">
      <c r="W2119"/>
    </row>
    <row r="2120" spans="23:23" x14ac:dyDescent="0.55000000000000004">
      <c r="W2120"/>
    </row>
    <row r="2121" spans="23:23" x14ac:dyDescent="0.55000000000000004">
      <c r="W2121"/>
    </row>
    <row r="2122" spans="23:23" x14ac:dyDescent="0.55000000000000004">
      <c r="W2122"/>
    </row>
    <row r="2123" spans="23:23" x14ac:dyDescent="0.55000000000000004">
      <c r="W2123"/>
    </row>
    <row r="2124" spans="23:23" x14ac:dyDescent="0.55000000000000004">
      <c r="W2124"/>
    </row>
    <row r="2125" spans="23:23" x14ac:dyDescent="0.55000000000000004">
      <c r="W2125"/>
    </row>
    <row r="2126" spans="23:23" x14ac:dyDescent="0.55000000000000004">
      <c r="W2126"/>
    </row>
    <row r="2127" spans="23:23" x14ac:dyDescent="0.55000000000000004">
      <c r="W2127"/>
    </row>
    <row r="2128" spans="23:23" x14ac:dyDescent="0.55000000000000004">
      <c r="W2128"/>
    </row>
    <row r="2129" spans="23:23" x14ac:dyDescent="0.55000000000000004">
      <c r="W2129"/>
    </row>
    <row r="2130" spans="23:23" x14ac:dyDescent="0.55000000000000004">
      <c r="W2130"/>
    </row>
    <row r="2131" spans="23:23" x14ac:dyDescent="0.55000000000000004">
      <c r="W2131"/>
    </row>
    <row r="2132" spans="23:23" x14ac:dyDescent="0.55000000000000004">
      <c r="W2132"/>
    </row>
    <row r="2133" spans="23:23" x14ac:dyDescent="0.55000000000000004">
      <c r="W2133"/>
    </row>
    <row r="2134" spans="23:23" x14ac:dyDescent="0.55000000000000004">
      <c r="W2134"/>
    </row>
    <row r="2135" spans="23:23" x14ac:dyDescent="0.55000000000000004">
      <c r="W2135"/>
    </row>
    <row r="2136" spans="23:23" x14ac:dyDescent="0.55000000000000004">
      <c r="W2136"/>
    </row>
    <row r="2137" spans="23:23" x14ac:dyDescent="0.55000000000000004">
      <c r="W2137"/>
    </row>
    <row r="2138" spans="23:23" x14ac:dyDescent="0.55000000000000004">
      <c r="W2138"/>
    </row>
    <row r="2139" spans="23:23" x14ac:dyDescent="0.55000000000000004">
      <c r="W2139"/>
    </row>
    <row r="2140" spans="23:23" x14ac:dyDescent="0.55000000000000004">
      <c r="W2140"/>
    </row>
    <row r="2141" spans="23:23" x14ac:dyDescent="0.55000000000000004">
      <c r="W2141"/>
    </row>
    <row r="2142" spans="23:23" x14ac:dyDescent="0.55000000000000004">
      <c r="W2142"/>
    </row>
    <row r="2143" spans="23:23" x14ac:dyDescent="0.55000000000000004">
      <c r="W2143"/>
    </row>
    <row r="2144" spans="23:23" x14ac:dyDescent="0.55000000000000004">
      <c r="W2144"/>
    </row>
    <row r="2145" spans="23:23" x14ac:dyDescent="0.55000000000000004">
      <c r="W2145"/>
    </row>
    <row r="2146" spans="23:23" x14ac:dyDescent="0.55000000000000004">
      <c r="W2146"/>
    </row>
    <row r="2147" spans="23:23" x14ac:dyDescent="0.55000000000000004">
      <c r="W2147"/>
    </row>
    <row r="2148" spans="23:23" x14ac:dyDescent="0.55000000000000004">
      <c r="W2148"/>
    </row>
    <row r="2149" spans="23:23" x14ac:dyDescent="0.55000000000000004">
      <c r="W2149"/>
    </row>
    <row r="2150" spans="23:23" x14ac:dyDescent="0.55000000000000004">
      <c r="W2150"/>
    </row>
    <row r="2151" spans="23:23" x14ac:dyDescent="0.55000000000000004">
      <c r="W2151"/>
    </row>
    <row r="2152" spans="23:23" x14ac:dyDescent="0.55000000000000004">
      <c r="W2152"/>
    </row>
    <row r="2153" spans="23:23" x14ac:dyDescent="0.55000000000000004">
      <c r="W2153"/>
    </row>
    <row r="2154" spans="23:23" x14ac:dyDescent="0.55000000000000004">
      <c r="W2154"/>
    </row>
    <row r="2155" spans="23:23" x14ac:dyDescent="0.55000000000000004">
      <c r="W2155"/>
    </row>
    <row r="2156" spans="23:23" x14ac:dyDescent="0.55000000000000004">
      <c r="W2156"/>
    </row>
    <row r="2157" spans="23:23" x14ac:dyDescent="0.55000000000000004">
      <c r="W2157"/>
    </row>
    <row r="2158" spans="23:23" x14ac:dyDescent="0.55000000000000004">
      <c r="W2158"/>
    </row>
    <row r="2159" spans="23:23" x14ac:dyDescent="0.55000000000000004">
      <c r="W2159"/>
    </row>
    <row r="2160" spans="23:23" x14ac:dyDescent="0.55000000000000004">
      <c r="W2160"/>
    </row>
    <row r="2161" spans="23:23" x14ac:dyDescent="0.55000000000000004">
      <c r="W2161"/>
    </row>
    <row r="2162" spans="23:23" x14ac:dyDescent="0.55000000000000004">
      <c r="W2162"/>
    </row>
    <row r="2163" spans="23:23" x14ac:dyDescent="0.55000000000000004">
      <c r="W2163"/>
    </row>
    <row r="2164" spans="23:23" x14ac:dyDescent="0.55000000000000004">
      <c r="W2164"/>
    </row>
    <row r="2165" spans="23:23" x14ac:dyDescent="0.55000000000000004">
      <c r="W2165"/>
    </row>
    <row r="2166" spans="23:23" x14ac:dyDescent="0.55000000000000004">
      <c r="W2166"/>
    </row>
    <row r="2167" spans="23:23" x14ac:dyDescent="0.55000000000000004">
      <c r="W2167"/>
    </row>
    <row r="2168" spans="23:23" x14ac:dyDescent="0.55000000000000004">
      <c r="W2168"/>
    </row>
    <row r="2169" spans="23:23" x14ac:dyDescent="0.55000000000000004">
      <c r="W2169"/>
    </row>
    <row r="2170" spans="23:23" x14ac:dyDescent="0.55000000000000004">
      <c r="W2170"/>
    </row>
    <row r="2171" spans="23:23" x14ac:dyDescent="0.55000000000000004">
      <c r="W2171"/>
    </row>
    <row r="2172" spans="23:23" x14ac:dyDescent="0.55000000000000004">
      <c r="W2172"/>
    </row>
    <row r="2173" spans="23:23" x14ac:dyDescent="0.55000000000000004">
      <c r="W2173"/>
    </row>
    <row r="2174" spans="23:23" x14ac:dyDescent="0.55000000000000004">
      <c r="W2174"/>
    </row>
    <row r="2175" spans="23:23" x14ac:dyDescent="0.55000000000000004">
      <c r="W2175"/>
    </row>
    <row r="2176" spans="23:23" x14ac:dyDescent="0.55000000000000004">
      <c r="W2176"/>
    </row>
    <row r="2177" spans="23:23" x14ac:dyDescent="0.55000000000000004">
      <c r="W2177"/>
    </row>
    <row r="2178" spans="23:23" x14ac:dyDescent="0.55000000000000004">
      <c r="W2178"/>
    </row>
    <row r="2179" spans="23:23" x14ac:dyDescent="0.55000000000000004">
      <c r="W2179"/>
    </row>
    <row r="2180" spans="23:23" x14ac:dyDescent="0.55000000000000004">
      <c r="W2180"/>
    </row>
    <row r="2181" spans="23:23" x14ac:dyDescent="0.55000000000000004">
      <c r="W2181"/>
    </row>
    <row r="2182" spans="23:23" x14ac:dyDescent="0.55000000000000004">
      <c r="W2182"/>
    </row>
    <row r="2183" spans="23:23" x14ac:dyDescent="0.55000000000000004">
      <c r="W2183"/>
    </row>
    <row r="2184" spans="23:23" x14ac:dyDescent="0.55000000000000004">
      <c r="W2184"/>
    </row>
    <row r="2185" spans="23:23" x14ac:dyDescent="0.55000000000000004">
      <c r="W2185"/>
    </row>
    <row r="2186" spans="23:23" x14ac:dyDescent="0.55000000000000004">
      <c r="W2186"/>
    </row>
    <row r="2187" spans="23:23" x14ac:dyDescent="0.55000000000000004">
      <c r="W2187"/>
    </row>
    <row r="2188" spans="23:23" x14ac:dyDescent="0.55000000000000004">
      <c r="W2188"/>
    </row>
    <row r="2189" spans="23:23" x14ac:dyDescent="0.55000000000000004">
      <c r="W2189"/>
    </row>
    <row r="2190" spans="23:23" x14ac:dyDescent="0.55000000000000004">
      <c r="W2190"/>
    </row>
    <row r="2191" spans="23:23" x14ac:dyDescent="0.55000000000000004">
      <c r="W2191"/>
    </row>
    <row r="2192" spans="23:23" x14ac:dyDescent="0.55000000000000004">
      <c r="W2192"/>
    </row>
    <row r="2193" spans="23:23" x14ac:dyDescent="0.55000000000000004">
      <c r="W2193"/>
    </row>
    <row r="2194" spans="23:23" x14ac:dyDescent="0.55000000000000004">
      <c r="W2194"/>
    </row>
    <row r="2195" spans="23:23" x14ac:dyDescent="0.55000000000000004">
      <c r="W2195"/>
    </row>
    <row r="2196" spans="23:23" x14ac:dyDescent="0.55000000000000004">
      <c r="W2196"/>
    </row>
    <row r="2197" spans="23:23" x14ac:dyDescent="0.55000000000000004">
      <c r="W2197"/>
    </row>
    <row r="2198" spans="23:23" x14ac:dyDescent="0.55000000000000004">
      <c r="W2198"/>
    </row>
    <row r="2199" spans="23:23" x14ac:dyDescent="0.55000000000000004">
      <c r="W2199"/>
    </row>
    <row r="2200" spans="23:23" x14ac:dyDescent="0.55000000000000004">
      <c r="W2200"/>
    </row>
    <row r="2201" spans="23:23" x14ac:dyDescent="0.55000000000000004">
      <c r="W2201"/>
    </row>
    <row r="2202" spans="23:23" x14ac:dyDescent="0.55000000000000004">
      <c r="W2202"/>
    </row>
    <row r="2203" spans="23:23" x14ac:dyDescent="0.55000000000000004">
      <c r="W2203"/>
    </row>
    <row r="2204" spans="23:23" x14ac:dyDescent="0.55000000000000004">
      <c r="W2204"/>
    </row>
    <row r="2205" spans="23:23" x14ac:dyDescent="0.55000000000000004">
      <c r="W2205"/>
    </row>
    <row r="2206" spans="23:23" x14ac:dyDescent="0.55000000000000004">
      <c r="W2206"/>
    </row>
    <row r="2207" spans="23:23" x14ac:dyDescent="0.55000000000000004">
      <c r="W2207"/>
    </row>
    <row r="2208" spans="23:23" x14ac:dyDescent="0.55000000000000004">
      <c r="W2208"/>
    </row>
    <row r="2209" spans="23:23" x14ac:dyDescent="0.55000000000000004">
      <c r="W2209"/>
    </row>
    <row r="2210" spans="23:23" x14ac:dyDescent="0.55000000000000004">
      <c r="W2210"/>
    </row>
    <row r="2211" spans="23:23" x14ac:dyDescent="0.55000000000000004">
      <c r="W2211"/>
    </row>
    <row r="2212" spans="23:23" x14ac:dyDescent="0.55000000000000004">
      <c r="W2212"/>
    </row>
    <row r="2213" spans="23:23" x14ac:dyDescent="0.55000000000000004">
      <c r="W2213"/>
    </row>
    <row r="2214" spans="23:23" x14ac:dyDescent="0.55000000000000004">
      <c r="W2214"/>
    </row>
    <row r="2215" spans="23:23" x14ac:dyDescent="0.55000000000000004">
      <c r="W2215"/>
    </row>
    <row r="2216" spans="23:23" x14ac:dyDescent="0.55000000000000004">
      <c r="W2216"/>
    </row>
    <row r="2217" spans="23:23" x14ac:dyDescent="0.55000000000000004">
      <c r="W2217"/>
    </row>
    <row r="2218" spans="23:23" x14ac:dyDescent="0.55000000000000004">
      <c r="W2218"/>
    </row>
    <row r="2219" spans="23:23" x14ac:dyDescent="0.55000000000000004">
      <c r="W2219"/>
    </row>
    <row r="2220" spans="23:23" x14ac:dyDescent="0.55000000000000004">
      <c r="W2220"/>
    </row>
    <row r="2221" spans="23:23" x14ac:dyDescent="0.55000000000000004">
      <c r="W2221"/>
    </row>
    <row r="2222" spans="23:23" x14ac:dyDescent="0.55000000000000004">
      <c r="W2222"/>
    </row>
    <row r="2223" spans="23:23" x14ac:dyDescent="0.55000000000000004">
      <c r="W2223"/>
    </row>
    <row r="2224" spans="23:23" x14ac:dyDescent="0.55000000000000004">
      <c r="W2224"/>
    </row>
    <row r="2225" spans="23:23" x14ac:dyDescent="0.55000000000000004">
      <c r="W2225"/>
    </row>
    <row r="2226" spans="23:23" x14ac:dyDescent="0.55000000000000004">
      <c r="W2226"/>
    </row>
    <row r="2227" spans="23:23" x14ac:dyDescent="0.55000000000000004">
      <c r="W2227"/>
    </row>
    <row r="2228" spans="23:23" x14ac:dyDescent="0.55000000000000004">
      <c r="W2228"/>
    </row>
    <row r="2229" spans="23:23" x14ac:dyDescent="0.55000000000000004">
      <c r="W2229"/>
    </row>
    <row r="2230" spans="23:23" x14ac:dyDescent="0.55000000000000004">
      <c r="W2230"/>
    </row>
    <row r="2231" spans="23:23" x14ac:dyDescent="0.55000000000000004">
      <c r="W2231"/>
    </row>
    <row r="2232" spans="23:23" x14ac:dyDescent="0.55000000000000004">
      <c r="W2232"/>
    </row>
    <row r="2233" spans="23:23" x14ac:dyDescent="0.55000000000000004">
      <c r="W2233"/>
    </row>
    <row r="2234" spans="23:23" x14ac:dyDescent="0.55000000000000004">
      <c r="W2234"/>
    </row>
    <row r="2235" spans="23:23" x14ac:dyDescent="0.55000000000000004">
      <c r="W2235"/>
    </row>
    <row r="2236" spans="23:23" x14ac:dyDescent="0.55000000000000004">
      <c r="W2236"/>
    </row>
    <row r="2237" spans="23:23" x14ac:dyDescent="0.55000000000000004">
      <c r="W2237"/>
    </row>
    <row r="2238" spans="23:23" x14ac:dyDescent="0.55000000000000004">
      <c r="W2238"/>
    </row>
    <row r="2239" spans="23:23" x14ac:dyDescent="0.55000000000000004">
      <c r="W2239"/>
    </row>
    <row r="2240" spans="23:23" x14ac:dyDescent="0.55000000000000004">
      <c r="W2240"/>
    </row>
    <row r="2241" spans="23:23" x14ac:dyDescent="0.55000000000000004">
      <c r="W2241"/>
    </row>
    <row r="2242" spans="23:23" x14ac:dyDescent="0.55000000000000004">
      <c r="W2242"/>
    </row>
    <row r="2243" spans="23:23" x14ac:dyDescent="0.55000000000000004">
      <c r="W2243"/>
    </row>
    <row r="2244" spans="23:23" x14ac:dyDescent="0.55000000000000004">
      <c r="W2244"/>
    </row>
    <row r="2245" spans="23:23" x14ac:dyDescent="0.55000000000000004">
      <c r="W2245"/>
    </row>
    <row r="2246" spans="23:23" x14ac:dyDescent="0.55000000000000004">
      <c r="W2246"/>
    </row>
    <row r="2247" spans="23:23" x14ac:dyDescent="0.55000000000000004">
      <c r="W2247"/>
    </row>
    <row r="2248" spans="23:23" x14ac:dyDescent="0.55000000000000004">
      <c r="W2248"/>
    </row>
    <row r="2249" spans="23:23" x14ac:dyDescent="0.55000000000000004">
      <c r="W2249"/>
    </row>
    <row r="2250" spans="23:23" x14ac:dyDescent="0.55000000000000004">
      <c r="W2250"/>
    </row>
    <row r="2251" spans="23:23" x14ac:dyDescent="0.55000000000000004">
      <c r="W2251"/>
    </row>
    <row r="2252" spans="23:23" x14ac:dyDescent="0.55000000000000004">
      <c r="W2252"/>
    </row>
    <row r="2253" spans="23:23" x14ac:dyDescent="0.55000000000000004">
      <c r="W2253"/>
    </row>
    <row r="2254" spans="23:23" x14ac:dyDescent="0.55000000000000004">
      <c r="W2254"/>
    </row>
    <row r="2255" spans="23:23" x14ac:dyDescent="0.55000000000000004">
      <c r="W2255"/>
    </row>
    <row r="2256" spans="23:23" x14ac:dyDescent="0.55000000000000004">
      <c r="W2256"/>
    </row>
    <row r="2257" spans="23:23" x14ac:dyDescent="0.55000000000000004">
      <c r="W2257"/>
    </row>
    <row r="2258" spans="23:23" x14ac:dyDescent="0.55000000000000004">
      <c r="W2258"/>
    </row>
    <row r="2259" spans="23:23" x14ac:dyDescent="0.55000000000000004">
      <c r="W2259"/>
    </row>
    <row r="2260" spans="23:23" x14ac:dyDescent="0.55000000000000004">
      <c r="W2260"/>
    </row>
    <row r="2261" spans="23:23" x14ac:dyDescent="0.55000000000000004">
      <c r="W2261"/>
    </row>
    <row r="2262" spans="23:23" x14ac:dyDescent="0.55000000000000004">
      <c r="W2262"/>
    </row>
    <row r="2263" spans="23:23" x14ac:dyDescent="0.55000000000000004">
      <c r="W2263"/>
    </row>
    <row r="2264" spans="23:23" x14ac:dyDescent="0.55000000000000004">
      <c r="W2264"/>
    </row>
    <row r="2265" spans="23:23" x14ac:dyDescent="0.55000000000000004">
      <c r="W2265"/>
    </row>
    <row r="2266" spans="23:23" x14ac:dyDescent="0.55000000000000004">
      <c r="W2266"/>
    </row>
    <row r="2267" spans="23:23" x14ac:dyDescent="0.55000000000000004">
      <c r="W2267"/>
    </row>
    <row r="2268" spans="23:23" x14ac:dyDescent="0.55000000000000004">
      <c r="W2268"/>
    </row>
    <row r="2269" spans="23:23" x14ac:dyDescent="0.55000000000000004">
      <c r="W2269"/>
    </row>
    <row r="2270" spans="23:23" x14ac:dyDescent="0.55000000000000004">
      <c r="W2270"/>
    </row>
    <row r="2271" spans="23:23" x14ac:dyDescent="0.55000000000000004">
      <c r="W2271"/>
    </row>
    <row r="2272" spans="23:23" x14ac:dyDescent="0.55000000000000004">
      <c r="W2272"/>
    </row>
    <row r="2273" spans="23:23" x14ac:dyDescent="0.55000000000000004">
      <c r="W2273"/>
    </row>
    <row r="2274" spans="23:23" x14ac:dyDescent="0.55000000000000004">
      <c r="W2274"/>
    </row>
    <row r="2275" spans="23:23" x14ac:dyDescent="0.55000000000000004">
      <c r="W2275"/>
    </row>
    <row r="2276" spans="23:23" x14ac:dyDescent="0.55000000000000004">
      <c r="W2276"/>
    </row>
    <row r="2277" spans="23:23" x14ac:dyDescent="0.55000000000000004">
      <c r="W2277"/>
    </row>
    <row r="2278" spans="23:23" x14ac:dyDescent="0.55000000000000004">
      <c r="W2278"/>
    </row>
    <row r="2279" spans="23:23" x14ac:dyDescent="0.55000000000000004">
      <c r="W2279"/>
    </row>
    <row r="2280" spans="23:23" x14ac:dyDescent="0.55000000000000004">
      <c r="W2280"/>
    </row>
    <row r="2281" spans="23:23" x14ac:dyDescent="0.55000000000000004">
      <c r="W2281"/>
    </row>
    <row r="2282" spans="23:23" x14ac:dyDescent="0.55000000000000004">
      <c r="W2282"/>
    </row>
    <row r="2283" spans="23:23" x14ac:dyDescent="0.55000000000000004">
      <c r="W2283"/>
    </row>
    <row r="2284" spans="23:23" x14ac:dyDescent="0.55000000000000004">
      <c r="W2284"/>
    </row>
    <row r="2285" spans="23:23" x14ac:dyDescent="0.55000000000000004">
      <c r="W2285"/>
    </row>
    <row r="2286" spans="23:23" x14ac:dyDescent="0.55000000000000004">
      <c r="W2286"/>
    </row>
    <row r="2287" spans="23:23" x14ac:dyDescent="0.55000000000000004">
      <c r="W2287"/>
    </row>
    <row r="2288" spans="23:23" x14ac:dyDescent="0.55000000000000004">
      <c r="W2288"/>
    </row>
    <row r="2289" spans="23:23" x14ac:dyDescent="0.55000000000000004">
      <c r="W2289"/>
    </row>
    <row r="2290" spans="23:23" x14ac:dyDescent="0.55000000000000004">
      <c r="W2290"/>
    </row>
    <row r="2291" spans="23:23" x14ac:dyDescent="0.55000000000000004">
      <c r="W2291"/>
    </row>
    <row r="2292" spans="23:23" x14ac:dyDescent="0.55000000000000004">
      <c r="W2292"/>
    </row>
    <row r="2293" spans="23:23" x14ac:dyDescent="0.55000000000000004">
      <c r="W2293"/>
    </row>
    <row r="2294" spans="23:23" x14ac:dyDescent="0.55000000000000004">
      <c r="W2294"/>
    </row>
    <row r="2295" spans="23:23" x14ac:dyDescent="0.55000000000000004">
      <c r="W2295"/>
    </row>
    <row r="2296" spans="23:23" x14ac:dyDescent="0.55000000000000004">
      <c r="W2296"/>
    </row>
    <row r="2297" spans="23:23" x14ac:dyDescent="0.55000000000000004">
      <c r="W2297"/>
    </row>
    <row r="2298" spans="23:23" x14ac:dyDescent="0.55000000000000004">
      <c r="W2298"/>
    </row>
    <row r="2299" spans="23:23" x14ac:dyDescent="0.55000000000000004">
      <c r="W2299"/>
    </row>
    <row r="2300" spans="23:23" x14ac:dyDescent="0.55000000000000004">
      <c r="W2300"/>
    </row>
    <row r="2301" spans="23:23" x14ac:dyDescent="0.55000000000000004">
      <c r="W2301"/>
    </row>
    <row r="2302" spans="23:23" x14ac:dyDescent="0.55000000000000004">
      <c r="W2302"/>
    </row>
    <row r="2303" spans="23:23" x14ac:dyDescent="0.55000000000000004">
      <c r="W2303"/>
    </row>
    <row r="2304" spans="23:23" x14ac:dyDescent="0.55000000000000004">
      <c r="W2304"/>
    </row>
    <row r="2305" spans="23:23" x14ac:dyDescent="0.55000000000000004">
      <c r="W2305"/>
    </row>
    <row r="2306" spans="23:23" x14ac:dyDescent="0.55000000000000004">
      <c r="W2306"/>
    </row>
    <row r="2307" spans="23:23" x14ac:dyDescent="0.55000000000000004">
      <c r="W2307"/>
    </row>
    <row r="2308" spans="23:23" x14ac:dyDescent="0.55000000000000004">
      <c r="W2308"/>
    </row>
    <row r="2309" spans="23:23" x14ac:dyDescent="0.55000000000000004">
      <c r="W2309"/>
    </row>
    <row r="2310" spans="23:23" x14ac:dyDescent="0.55000000000000004">
      <c r="W2310"/>
    </row>
    <row r="2311" spans="23:23" x14ac:dyDescent="0.55000000000000004">
      <c r="W2311"/>
    </row>
    <row r="2312" spans="23:23" x14ac:dyDescent="0.55000000000000004">
      <c r="W2312"/>
    </row>
    <row r="2313" spans="23:23" x14ac:dyDescent="0.55000000000000004">
      <c r="W2313"/>
    </row>
    <row r="2314" spans="23:23" x14ac:dyDescent="0.55000000000000004">
      <c r="W2314"/>
    </row>
    <row r="2315" spans="23:23" x14ac:dyDescent="0.55000000000000004">
      <c r="W2315"/>
    </row>
    <row r="2316" spans="23:23" x14ac:dyDescent="0.55000000000000004">
      <c r="W2316"/>
    </row>
    <row r="2317" spans="23:23" x14ac:dyDescent="0.55000000000000004">
      <c r="W2317"/>
    </row>
    <row r="2318" spans="23:23" x14ac:dyDescent="0.55000000000000004">
      <c r="W2318"/>
    </row>
    <row r="2319" spans="23:23" x14ac:dyDescent="0.55000000000000004">
      <c r="W2319"/>
    </row>
    <row r="2320" spans="23:23" x14ac:dyDescent="0.55000000000000004">
      <c r="W2320"/>
    </row>
    <row r="2321" spans="23:23" x14ac:dyDescent="0.55000000000000004">
      <c r="W2321"/>
    </row>
    <row r="2322" spans="23:23" x14ac:dyDescent="0.55000000000000004">
      <c r="W2322"/>
    </row>
    <row r="2323" spans="23:23" x14ac:dyDescent="0.55000000000000004">
      <c r="W2323"/>
    </row>
    <row r="2324" spans="23:23" x14ac:dyDescent="0.55000000000000004">
      <c r="W2324"/>
    </row>
    <row r="2325" spans="23:23" x14ac:dyDescent="0.55000000000000004">
      <c r="W2325"/>
    </row>
    <row r="2326" spans="23:23" x14ac:dyDescent="0.55000000000000004">
      <c r="W2326"/>
    </row>
    <row r="2327" spans="23:23" x14ac:dyDescent="0.55000000000000004">
      <c r="W2327"/>
    </row>
    <row r="2328" spans="23:23" x14ac:dyDescent="0.55000000000000004">
      <c r="W2328"/>
    </row>
    <row r="2329" spans="23:23" x14ac:dyDescent="0.55000000000000004">
      <c r="W2329"/>
    </row>
    <row r="2330" spans="23:23" x14ac:dyDescent="0.55000000000000004">
      <c r="W2330"/>
    </row>
    <row r="2331" spans="23:23" x14ac:dyDescent="0.55000000000000004">
      <c r="W2331"/>
    </row>
    <row r="2332" spans="23:23" x14ac:dyDescent="0.55000000000000004">
      <c r="W2332"/>
    </row>
    <row r="2333" spans="23:23" x14ac:dyDescent="0.55000000000000004">
      <c r="W2333"/>
    </row>
    <row r="2334" spans="23:23" x14ac:dyDescent="0.55000000000000004">
      <c r="W2334"/>
    </row>
    <row r="2335" spans="23:23" x14ac:dyDescent="0.55000000000000004">
      <c r="W2335"/>
    </row>
    <row r="2336" spans="23:23" x14ac:dyDescent="0.55000000000000004">
      <c r="W2336"/>
    </row>
    <row r="2337" spans="23:23" x14ac:dyDescent="0.55000000000000004">
      <c r="W2337"/>
    </row>
    <row r="2338" spans="23:23" x14ac:dyDescent="0.55000000000000004">
      <c r="W2338"/>
    </row>
    <row r="2339" spans="23:23" x14ac:dyDescent="0.55000000000000004">
      <c r="W2339"/>
    </row>
    <row r="2340" spans="23:23" x14ac:dyDescent="0.55000000000000004">
      <c r="W2340"/>
    </row>
    <row r="2341" spans="23:23" x14ac:dyDescent="0.55000000000000004">
      <c r="W2341"/>
    </row>
    <row r="2342" spans="23:23" x14ac:dyDescent="0.55000000000000004">
      <c r="W2342"/>
    </row>
    <row r="2343" spans="23:23" x14ac:dyDescent="0.55000000000000004">
      <c r="W2343"/>
    </row>
    <row r="2344" spans="23:23" x14ac:dyDescent="0.55000000000000004">
      <c r="W2344"/>
    </row>
    <row r="2345" spans="23:23" x14ac:dyDescent="0.55000000000000004">
      <c r="W2345"/>
    </row>
    <row r="2346" spans="23:23" x14ac:dyDescent="0.55000000000000004">
      <c r="W2346"/>
    </row>
    <row r="2347" spans="23:23" x14ac:dyDescent="0.55000000000000004">
      <c r="W2347"/>
    </row>
    <row r="2348" spans="23:23" x14ac:dyDescent="0.55000000000000004">
      <c r="W2348"/>
    </row>
    <row r="2349" spans="23:23" x14ac:dyDescent="0.55000000000000004">
      <c r="W2349"/>
    </row>
    <row r="2350" spans="23:23" x14ac:dyDescent="0.55000000000000004">
      <c r="W2350"/>
    </row>
    <row r="2351" spans="23:23" x14ac:dyDescent="0.55000000000000004">
      <c r="W2351"/>
    </row>
    <row r="2352" spans="23:23" x14ac:dyDescent="0.55000000000000004">
      <c r="W2352"/>
    </row>
    <row r="2353" spans="23:23" x14ac:dyDescent="0.55000000000000004">
      <c r="W2353"/>
    </row>
    <row r="2354" spans="23:23" x14ac:dyDescent="0.55000000000000004">
      <c r="W2354"/>
    </row>
    <row r="2355" spans="23:23" x14ac:dyDescent="0.55000000000000004">
      <c r="W2355"/>
    </row>
    <row r="2356" spans="23:23" x14ac:dyDescent="0.55000000000000004">
      <c r="W2356"/>
    </row>
    <row r="2357" spans="23:23" x14ac:dyDescent="0.55000000000000004">
      <c r="W2357"/>
    </row>
    <row r="2358" spans="23:23" x14ac:dyDescent="0.55000000000000004">
      <c r="W2358"/>
    </row>
    <row r="2359" spans="23:23" x14ac:dyDescent="0.55000000000000004">
      <c r="W2359"/>
    </row>
    <row r="2360" spans="23:23" x14ac:dyDescent="0.55000000000000004">
      <c r="W2360"/>
    </row>
    <row r="2361" spans="23:23" x14ac:dyDescent="0.55000000000000004">
      <c r="W2361"/>
    </row>
    <row r="2362" spans="23:23" x14ac:dyDescent="0.55000000000000004">
      <c r="W2362"/>
    </row>
    <row r="2363" spans="23:23" x14ac:dyDescent="0.55000000000000004">
      <c r="W2363"/>
    </row>
    <row r="2364" spans="23:23" x14ac:dyDescent="0.55000000000000004">
      <c r="W2364"/>
    </row>
    <row r="2365" spans="23:23" x14ac:dyDescent="0.55000000000000004">
      <c r="W2365"/>
    </row>
    <row r="2366" spans="23:23" x14ac:dyDescent="0.55000000000000004">
      <c r="W2366"/>
    </row>
    <row r="2367" spans="23:23" x14ac:dyDescent="0.55000000000000004">
      <c r="W2367"/>
    </row>
    <row r="2368" spans="23:23" x14ac:dyDescent="0.55000000000000004">
      <c r="W2368"/>
    </row>
    <row r="2369" spans="23:23" x14ac:dyDescent="0.55000000000000004">
      <c r="W2369"/>
    </row>
    <row r="2370" spans="23:23" x14ac:dyDescent="0.55000000000000004">
      <c r="W2370"/>
    </row>
    <row r="2371" spans="23:23" x14ac:dyDescent="0.55000000000000004">
      <c r="W2371"/>
    </row>
    <row r="2372" spans="23:23" x14ac:dyDescent="0.55000000000000004">
      <c r="W2372"/>
    </row>
    <row r="2373" spans="23:23" x14ac:dyDescent="0.55000000000000004">
      <c r="W2373"/>
    </row>
    <row r="2374" spans="23:23" x14ac:dyDescent="0.55000000000000004">
      <c r="W2374"/>
    </row>
    <row r="2375" spans="23:23" x14ac:dyDescent="0.55000000000000004">
      <c r="W2375"/>
    </row>
    <row r="2376" spans="23:23" x14ac:dyDescent="0.55000000000000004">
      <c r="W2376"/>
    </row>
    <row r="2377" spans="23:23" x14ac:dyDescent="0.55000000000000004">
      <c r="W2377"/>
    </row>
    <row r="2378" spans="23:23" x14ac:dyDescent="0.55000000000000004">
      <c r="W2378"/>
    </row>
    <row r="2379" spans="23:23" x14ac:dyDescent="0.55000000000000004">
      <c r="W2379"/>
    </row>
    <row r="2380" spans="23:23" x14ac:dyDescent="0.55000000000000004">
      <c r="W2380"/>
    </row>
    <row r="2381" spans="23:23" x14ac:dyDescent="0.55000000000000004">
      <c r="W2381"/>
    </row>
    <row r="2382" spans="23:23" x14ac:dyDescent="0.55000000000000004">
      <c r="W2382"/>
    </row>
    <row r="2383" spans="23:23" x14ac:dyDescent="0.55000000000000004">
      <c r="W2383"/>
    </row>
    <row r="2384" spans="23:23" x14ac:dyDescent="0.55000000000000004">
      <c r="W2384"/>
    </row>
    <row r="2385" spans="23:23" x14ac:dyDescent="0.55000000000000004">
      <c r="W2385"/>
    </row>
    <row r="2386" spans="23:23" x14ac:dyDescent="0.55000000000000004">
      <c r="W2386"/>
    </row>
    <row r="2387" spans="23:23" x14ac:dyDescent="0.55000000000000004">
      <c r="W2387"/>
    </row>
    <row r="2388" spans="23:23" x14ac:dyDescent="0.55000000000000004">
      <c r="W2388"/>
    </row>
    <row r="2389" spans="23:23" x14ac:dyDescent="0.55000000000000004">
      <c r="W2389"/>
    </row>
    <row r="2390" spans="23:23" x14ac:dyDescent="0.55000000000000004">
      <c r="W2390"/>
    </row>
    <row r="2391" spans="23:23" x14ac:dyDescent="0.55000000000000004">
      <c r="W2391"/>
    </row>
    <row r="2392" spans="23:23" x14ac:dyDescent="0.55000000000000004">
      <c r="W2392"/>
    </row>
    <row r="2393" spans="23:23" x14ac:dyDescent="0.55000000000000004">
      <c r="W2393"/>
    </row>
    <row r="2394" spans="23:23" x14ac:dyDescent="0.55000000000000004">
      <c r="W2394"/>
    </row>
    <row r="2395" spans="23:23" x14ac:dyDescent="0.55000000000000004">
      <c r="W2395"/>
    </row>
    <row r="2396" spans="23:23" x14ac:dyDescent="0.55000000000000004">
      <c r="W2396"/>
    </row>
    <row r="2397" spans="23:23" x14ac:dyDescent="0.55000000000000004">
      <c r="W2397"/>
    </row>
    <row r="2398" spans="23:23" x14ac:dyDescent="0.55000000000000004">
      <c r="W2398"/>
    </row>
    <row r="2399" spans="23:23" x14ac:dyDescent="0.55000000000000004">
      <c r="W2399"/>
    </row>
    <row r="2400" spans="23:23" x14ac:dyDescent="0.55000000000000004">
      <c r="W2400"/>
    </row>
    <row r="2401" spans="23:23" x14ac:dyDescent="0.55000000000000004">
      <c r="W2401"/>
    </row>
    <row r="2402" spans="23:23" x14ac:dyDescent="0.55000000000000004">
      <c r="W2402"/>
    </row>
    <row r="2403" spans="23:23" x14ac:dyDescent="0.55000000000000004">
      <c r="W2403"/>
    </row>
    <row r="2404" spans="23:23" x14ac:dyDescent="0.55000000000000004">
      <c r="W2404"/>
    </row>
    <row r="2405" spans="23:23" x14ac:dyDescent="0.55000000000000004">
      <c r="W2405"/>
    </row>
    <row r="2406" spans="23:23" x14ac:dyDescent="0.55000000000000004">
      <c r="W2406"/>
    </row>
    <row r="2407" spans="23:23" x14ac:dyDescent="0.55000000000000004">
      <c r="W2407"/>
    </row>
    <row r="2408" spans="23:23" x14ac:dyDescent="0.55000000000000004">
      <c r="W2408"/>
    </row>
    <row r="2409" spans="23:23" x14ac:dyDescent="0.55000000000000004">
      <c r="W2409"/>
    </row>
    <row r="2410" spans="23:23" x14ac:dyDescent="0.55000000000000004">
      <c r="W2410"/>
    </row>
    <row r="2411" spans="23:23" x14ac:dyDescent="0.55000000000000004">
      <c r="W2411"/>
    </row>
    <row r="2412" spans="23:23" x14ac:dyDescent="0.55000000000000004">
      <c r="W2412"/>
    </row>
    <row r="2413" spans="23:23" x14ac:dyDescent="0.55000000000000004">
      <c r="W2413"/>
    </row>
    <row r="2414" spans="23:23" x14ac:dyDescent="0.55000000000000004">
      <c r="W2414"/>
    </row>
    <row r="2415" spans="23:23" x14ac:dyDescent="0.55000000000000004">
      <c r="W2415"/>
    </row>
    <row r="2416" spans="23:23" x14ac:dyDescent="0.55000000000000004">
      <c r="W2416"/>
    </row>
    <row r="2417" spans="23:23" x14ac:dyDescent="0.55000000000000004">
      <c r="W2417"/>
    </row>
    <row r="2418" spans="23:23" x14ac:dyDescent="0.55000000000000004">
      <c r="W2418"/>
    </row>
    <row r="2419" spans="23:23" x14ac:dyDescent="0.55000000000000004">
      <c r="W2419"/>
    </row>
    <row r="2420" spans="23:23" x14ac:dyDescent="0.55000000000000004">
      <c r="W2420"/>
    </row>
    <row r="2421" spans="23:23" x14ac:dyDescent="0.55000000000000004">
      <c r="W2421"/>
    </row>
    <row r="2422" spans="23:23" x14ac:dyDescent="0.55000000000000004">
      <c r="W2422"/>
    </row>
    <row r="2423" spans="23:23" x14ac:dyDescent="0.55000000000000004">
      <c r="W2423"/>
    </row>
    <row r="2424" spans="23:23" x14ac:dyDescent="0.55000000000000004">
      <c r="W2424"/>
    </row>
    <row r="2425" spans="23:23" x14ac:dyDescent="0.55000000000000004">
      <c r="W2425"/>
    </row>
    <row r="2426" spans="23:23" x14ac:dyDescent="0.55000000000000004">
      <c r="W2426"/>
    </row>
    <row r="2427" spans="23:23" x14ac:dyDescent="0.55000000000000004">
      <c r="W2427"/>
    </row>
    <row r="2428" spans="23:23" x14ac:dyDescent="0.55000000000000004">
      <c r="W2428"/>
    </row>
    <row r="2429" spans="23:23" x14ac:dyDescent="0.55000000000000004">
      <c r="W2429"/>
    </row>
    <row r="2430" spans="23:23" x14ac:dyDescent="0.55000000000000004">
      <c r="W2430"/>
    </row>
    <row r="2431" spans="23:23" x14ac:dyDescent="0.55000000000000004">
      <c r="W2431"/>
    </row>
    <row r="2432" spans="23:23" x14ac:dyDescent="0.55000000000000004">
      <c r="W2432"/>
    </row>
    <row r="2433" spans="23:23" x14ac:dyDescent="0.55000000000000004">
      <c r="W2433"/>
    </row>
    <row r="2434" spans="23:23" x14ac:dyDescent="0.55000000000000004">
      <c r="W2434"/>
    </row>
    <row r="2435" spans="23:23" x14ac:dyDescent="0.55000000000000004">
      <c r="W2435"/>
    </row>
    <row r="2436" spans="23:23" x14ac:dyDescent="0.55000000000000004">
      <c r="W2436"/>
    </row>
    <row r="2437" spans="23:23" x14ac:dyDescent="0.55000000000000004">
      <c r="W2437"/>
    </row>
    <row r="2438" spans="23:23" x14ac:dyDescent="0.55000000000000004">
      <c r="W2438"/>
    </row>
    <row r="2439" spans="23:23" x14ac:dyDescent="0.55000000000000004">
      <c r="W2439"/>
    </row>
    <row r="2440" spans="23:23" x14ac:dyDescent="0.55000000000000004">
      <c r="W2440"/>
    </row>
    <row r="2441" spans="23:23" x14ac:dyDescent="0.55000000000000004">
      <c r="W2441"/>
    </row>
    <row r="2442" spans="23:23" x14ac:dyDescent="0.55000000000000004">
      <c r="W2442"/>
    </row>
    <row r="2443" spans="23:23" x14ac:dyDescent="0.55000000000000004">
      <c r="W2443"/>
    </row>
    <row r="2444" spans="23:23" x14ac:dyDescent="0.55000000000000004">
      <c r="W2444"/>
    </row>
    <row r="2445" spans="23:23" x14ac:dyDescent="0.55000000000000004">
      <c r="W2445"/>
    </row>
    <row r="2446" spans="23:23" x14ac:dyDescent="0.55000000000000004">
      <c r="W2446"/>
    </row>
    <row r="2447" spans="23:23" x14ac:dyDescent="0.55000000000000004">
      <c r="W2447"/>
    </row>
    <row r="2448" spans="23:23" x14ac:dyDescent="0.55000000000000004">
      <c r="W2448"/>
    </row>
    <row r="2449" spans="23:23" x14ac:dyDescent="0.55000000000000004">
      <c r="W2449"/>
    </row>
    <row r="2450" spans="23:23" x14ac:dyDescent="0.55000000000000004">
      <c r="W2450"/>
    </row>
    <row r="2451" spans="23:23" x14ac:dyDescent="0.55000000000000004">
      <c r="W2451"/>
    </row>
    <row r="2452" spans="23:23" x14ac:dyDescent="0.55000000000000004">
      <c r="W2452"/>
    </row>
    <row r="2453" spans="23:23" x14ac:dyDescent="0.55000000000000004">
      <c r="W2453"/>
    </row>
    <row r="2454" spans="23:23" x14ac:dyDescent="0.55000000000000004">
      <c r="W2454"/>
    </row>
    <row r="2455" spans="23:23" x14ac:dyDescent="0.55000000000000004">
      <c r="W2455"/>
    </row>
    <row r="2456" spans="23:23" x14ac:dyDescent="0.55000000000000004">
      <c r="W2456"/>
    </row>
    <row r="2457" spans="23:23" x14ac:dyDescent="0.55000000000000004">
      <c r="W2457"/>
    </row>
    <row r="2458" spans="23:23" x14ac:dyDescent="0.55000000000000004">
      <c r="W2458"/>
    </row>
    <row r="2459" spans="23:23" x14ac:dyDescent="0.55000000000000004">
      <c r="W2459"/>
    </row>
    <row r="2460" spans="23:23" x14ac:dyDescent="0.55000000000000004">
      <c r="W2460"/>
    </row>
    <row r="2461" spans="23:23" x14ac:dyDescent="0.55000000000000004">
      <c r="W2461"/>
    </row>
    <row r="2462" spans="23:23" x14ac:dyDescent="0.55000000000000004">
      <c r="W2462"/>
    </row>
    <row r="2463" spans="23:23" x14ac:dyDescent="0.55000000000000004">
      <c r="W2463"/>
    </row>
    <row r="2464" spans="23:23" x14ac:dyDescent="0.55000000000000004">
      <c r="W2464"/>
    </row>
    <row r="2465" spans="23:23" x14ac:dyDescent="0.55000000000000004">
      <c r="W2465"/>
    </row>
    <row r="2466" spans="23:23" x14ac:dyDescent="0.55000000000000004">
      <c r="W2466"/>
    </row>
    <row r="2467" spans="23:23" x14ac:dyDescent="0.55000000000000004">
      <c r="W2467"/>
    </row>
    <row r="2468" spans="23:23" x14ac:dyDescent="0.55000000000000004">
      <c r="W2468"/>
    </row>
    <row r="2469" spans="23:23" x14ac:dyDescent="0.55000000000000004">
      <c r="W2469"/>
    </row>
    <row r="2470" spans="23:23" x14ac:dyDescent="0.55000000000000004">
      <c r="W2470"/>
    </row>
    <row r="2471" spans="23:23" x14ac:dyDescent="0.55000000000000004">
      <c r="W2471"/>
    </row>
    <row r="2472" spans="23:23" x14ac:dyDescent="0.55000000000000004">
      <c r="W2472"/>
    </row>
    <row r="2473" spans="23:23" x14ac:dyDescent="0.55000000000000004">
      <c r="W2473"/>
    </row>
    <row r="2474" spans="23:23" x14ac:dyDescent="0.55000000000000004">
      <c r="W2474"/>
    </row>
    <row r="2475" spans="23:23" x14ac:dyDescent="0.55000000000000004">
      <c r="W2475"/>
    </row>
    <row r="2476" spans="23:23" x14ac:dyDescent="0.55000000000000004">
      <c r="W2476"/>
    </row>
    <row r="2477" spans="23:23" x14ac:dyDescent="0.55000000000000004">
      <c r="W2477"/>
    </row>
    <row r="2478" spans="23:23" x14ac:dyDescent="0.55000000000000004">
      <c r="W2478"/>
    </row>
    <row r="2479" spans="23:23" x14ac:dyDescent="0.55000000000000004">
      <c r="W2479"/>
    </row>
    <row r="2480" spans="23:23" x14ac:dyDescent="0.55000000000000004">
      <c r="W2480"/>
    </row>
    <row r="2481" spans="23:23" x14ac:dyDescent="0.55000000000000004">
      <c r="W2481"/>
    </row>
    <row r="2482" spans="23:23" x14ac:dyDescent="0.55000000000000004">
      <c r="W2482"/>
    </row>
    <row r="2483" spans="23:23" x14ac:dyDescent="0.55000000000000004">
      <c r="W2483"/>
    </row>
    <row r="2484" spans="23:23" x14ac:dyDescent="0.55000000000000004">
      <c r="W2484"/>
    </row>
    <row r="2485" spans="23:23" x14ac:dyDescent="0.55000000000000004">
      <c r="W2485"/>
    </row>
    <row r="2486" spans="23:23" x14ac:dyDescent="0.55000000000000004">
      <c r="W2486"/>
    </row>
    <row r="2487" spans="23:23" x14ac:dyDescent="0.55000000000000004">
      <c r="W2487"/>
    </row>
    <row r="2488" spans="23:23" x14ac:dyDescent="0.55000000000000004">
      <c r="W2488"/>
    </row>
    <row r="2489" spans="23:23" x14ac:dyDescent="0.55000000000000004">
      <c r="W2489"/>
    </row>
    <row r="2490" spans="23:23" x14ac:dyDescent="0.55000000000000004">
      <c r="W2490"/>
    </row>
    <row r="2491" spans="23:23" x14ac:dyDescent="0.55000000000000004">
      <c r="W2491"/>
    </row>
    <row r="2492" spans="23:23" x14ac:dyDescent="0.55000000000000004">
      <c r="W2492"/>
    </row>
    <row r="2493" spans="23:23" x14ac:dyDescent="0.55000000000000004">
      <c r="W2493"/>
    </row>
    <row r="2494" spans="23:23" x14ac:dyDescent="0.55000000000000004">
      <c r="W2494"/>
    </row>
    <row r="2495" spans="23:23" x14ac:dyDescent="0.55000000000000004">
      <c r="W2495"/>
    </row>
    <row r="2496" spans="23:23" x14ac:dyDescent="0.55000000000000004">
      <c r="W2496"/>
    </row>
    <row r="2497" spans="23:23" x14ac:dyDescent="0.55000000000000004">
      <c r="W2497"/>
    </row>
    <row r="2498" spans="23:23" x14ac:dyDescent="0.55000000000000004">
      <c r="W2498"/>
    </row>
    <row r="2499" spans="23:23" x14ac:dyDescent="0.55000000000000004">
      <c r="W2499"/>
    </row>
    <row r="2500" spans="23:23" x14ac:dyDescent="0.55000000000000004">
      <c r="W2500"/>
    </row>
    <row r="2501" spans="23:23" x14ac:dyDescent="0.55000000000000004">
      <c r="W2501"/>
    </row>
    <row r="2502" spans="23:23" x14ac:dyDescent="0.55000000000000004">
      <c r="W2502"/>
    </row>
    <row r="2503" spans="23:23" x14ac:dyDescent="0.55000000000000004">
      <c r="W2503"/>
    </row>
    <row r="2504" spans="23:23" x14ac:dyDescent="0.55000000000000004">
      <c r="W2504"/>
    </row>
    <row r="2505" spans="23:23" x14ac:dyDescent="0.55000000000000004">
      <c r="W2505"/>
    </row>
    <row r="2506" spans="23:23" x14ac:dyDescent="0.55000000000000004">
      <c r="W2506"/>
    </row>
    <row r="2507" spans="23:23" x14ac:dyDescent="0.55000000000000004">
      <c r="W2507"/>
    </row>
    <row r="2508" spans="23:23" x14ac:dyDescent="0.55000000000000004">
      <c r="W2508"/>
    </row>
    <row r="2509" spans="23:23" x14ac:dyDescent="0.55000000000000004">
      <c r="W2509"/>
    </row>
    <row r="2510" spans="23:23" x14ac:dyDescent="0.55000000000000004">
      <c r="W2510"/>
    </row>
    <row r="2511" spans="23:23" x14ac:dyDescent="0.55000000000000004">
      <c r="W2511"/>
    </row>
    <row r="2512" spans="23:23" x14ac:dyDescent="0.55000000000000004">
      <c r="W2512"/>
    </row>
    <row r="2513" spans="23:23" x14ac:dyDescent="0.55000000000000004">
      <c r="W2513"/>
    </row>
    <row r="2514" spans="23:23" x14ac:dyDescent="0.55000000000000004">
      <c r="W2514"/>
    </row>
    <row r="2515" spans="23:23" x14ac:dyDescent="0.55000000000000004">
      <c r="W2515"/>
    </row>
    <row r="2516" spans="23:23" x14ac:dyDescent="0.55000000000000004">
      <c r="W2516"/>
    </row>
    <row r="2517" spans="23:23" x14ac:dyDescent="0.55000000000000004">
      <c r="W2517"/>
    </row>
    <row r="2518" spans="23:23" x14ac:dyDescent="0.55000000000000004">
      <c r="W2518"/>
    </row>
    <row r="2519" spans="23:23" x14ac:dyDescent="0.55000000000000004">
      <c r="W2519"/>
    </row>
    <row r="2520" spans="23:23" x14ac:dyDescent="0.55000000000000004">
      <c r="W2520"/>
    </row>
    <row r="2521" spans="23:23" x14ac:dyDescent="0.55000000000000004">
      <c r="W2521"/>
    </row>
    <row r="2522" spans="23:23" x14ac:dyDescent="0.55000000000000004">
      <c r="W2522"/>
    </row>
    <row r="2523" spans="23:23" x14ac:dyDescent="0.55000000000000004">
      <c r="W2523"/>
    </row>
    <row r="2524" spans="23:23" x14ac:dyDescent="0.55000000000000004">
      <c r="W2524"/>
    </row>
    <row r="2525" spans="23:23" x14ac:dyDescent="0.55000000000000004">
      <c r="W2525"/>
    </row>
    <row r="2526" spans="23:23" x14ac:dyDescent="0.55000000000000004">
      <c r="W2526"/>
    </row>
    <row r="2527" spans="23:23" x14ac:dyDescent="0.55000000000000004">
      <c r="W2527"/>
    </row>
    <row r="2528" spans="23:23" x14ac:dyDescent="0.55000000000000004">
      <c r="W2528"/>
    </row>
    <row r="2529" spans="23:23" x14ac:dyDescent="0.55000000000000004">
      <c r="W2529"/>
    </row>
    <row r="2530" spans="23:23" x14ac:dyDescent="0.55000000000000004">
      <c r="W2530"/>
    </row>
    <row r="2531" spans="23:23" x14ac:dyDescent="0.55000000000000004">
      <c r="W2531"/>
    </row>
    <row r="2532" spans="23:23" x14ac:dyDescent="0.55000000000000004">
      <c r="W2532"/>
    </row>
    <row r="2533" spans="23:23" x14ac:dyDescent="0.55000000000000004">
      <c r="W2533"/>
    </row>
    <row r="2534" spans="23:23" x14ac:dyDescent="0.55000000000000004">
      <c r="W2534"/>
    </row>
    <row r="2535" spans="23:23" x14ac:dyDescent="0.55000000000000004">
      <c r="W2535"/>
    </row>
    <row r="2536" spans="23:23" x14ac:dyDescent="0.55000000000000004">
      <c r="W2536"/>
    </row>
    <row r="2537" spans="23:23" x14ac:dyDescent="0.55000000000000004">
      <c r="W2537"/>
    </row>
    <row r="2538" spans="23:23" x14ac:dyDescent="0.55000000000000004">
      <c r="W2538"/>
    </row>
    <row r="2539" spans="23:23" x14ac:dyDescent="0.55000000000000004">
      <c r="W2539"/>
    </row>
    <row r="2540" spans="23:23" x14ac:dyDescent="0.55000000000000004">
      <c r="W2540"/>
    </row>
    <row r="2541" spans="23:23" x14ac:dyDescent="0.55000000000000004">
      <c r="W2541"/>
    </row>
    <row r="2542" spans="23:23" x14ac:dyDescent="0.55000000000000004">
      <c r="W2542"/>
    </row>
    <row r="2543" spans="23:23" x14ac:dyDescent="0.55000000000000004">
      <c r="W2543"/>
    </row>
    <row r="2544" spans="23:23" x14ac:dyDescent="0.55000000000000004">
      <c r="W2544"/>
    </row>
    <row r="2545" spans="23:23" x14ac:dyDescent="0.55000000000000004">
      <c r="W2545"/>
    </row>
    <row r="2546" spans="23:23" x14ac:dyDescent="0.55000000000000004">
      <c r="W2546"/>
    </row>
    <row r="2547" spans="23:23" x14ac:dyDescent="0.55000000000000004">
      <c r="W2547"/>
    </row>
    <row r="2548" spans="23:23" x14ac:dyDescent="0.55000000000000004">
      <c r="W2548"/>
    </row>
    <row r="2549" spans="23:23" x14ac:dyDescent="0.55000000000000004">
      <c r="W2549"/>
    </row>
    <row r="2550" spans="23:23" x14ac:dyDescent="0.55000000000000004">
      <c r="W2550"/>
    </row>
    <row r="2551" spans="23:23" x14ac:dyDescent="0.55000000000000004">
      <c r="W2551"/>
    </row>
    <row r="2552" spans="23:23" x14ac:dyDescent="0.55000000000000004">
      <c r="W2552"/>
    </row>
    <row r="2553" spans="23:23" x14ac:dyDescent="0.55000000000000004">
      <c r="W2553"/>
    </row>
    <row r="2554" spans="23:23" x14ac:dyDescent="0.55000000000000004">
      <c r="W2554"/>
    </row>
    <row r="2555" spans="23:23" x14ac:dyDescent="0.55000000000000004">
      <c r="W2555"/>
    </row>
    <row r="2556" spans="23:23" x14ac:dyDescent="0.55000000000000004">
      <c r="W2556"/>
    </row>
    <row r="2557" spans="23:23" x14ac:dyDescent="0.55000000000000004">
      <c r="W2557"/>
    </row>
    <row r="2558" spans="23:23" x14ac:dyDescent="0.55000000000000004">
      <c r="W2558"/>
    </row>
    <row r="2559" spans="23:23" x14ac:dyDescent="0.55000000000000004">
      <c r="W2559"/>
    </row>
    <row r="2560" spans="23:23" x14ac:dyDescent="0.55000000000000004">
      <c r="W2560"/>
    </row>
    <row r="2561" spans="23:23" x14ac:dyDescent="0.55000000000000004">
      <c r="W2561"/>
    </row>
    <row r="2562" spans="23:23" x14ac:dyDescent="0.55000000000000004">
      <c r="W2562"/>
    </row>
    <row r="2563" spans="23:23" x14ac:dyDescent="0.55000000000000004">
      <c r="W2563"/>
    </row>
    <row r="2564" spans="23:23" x14ac:dyDescent="0.55000000000000004">
      <c r="W2564"/>
    </row>
    <row r="2565" spans="23:23" x14ac:dyDescent="0.55000000000000004">
      <c r="W2565"/>
    </row>
    <row r="2566" spans="23:23" x14ac:dyDescent="0.55000000000000004">
      <c r="W2566"/>
    </row>
    <row r="2567" spans="23:23" x14ac:dyDescent="0.55000000000000004">
      <c r="W2567"/>
    </row>
    <row r="2568" spans="23:23" x14ac:dyDescent="0.55000000000000004">
      <c r="W2568"/>
    </row>
    <row r="2569" spans="23:23" x14ac:dyDescent="0.55000000000000004">
      <c r="W2569"/>
    </row>
    <row r="2570" spans="23:23" x14ac:dyDescent="0.55000000000000004">
      <c r="W2570"/>
    </row>
    <row r="2571" spans="23:23" x14ac:dyDescent="0.55000000000000004">
      <c r="W2571"/>
    </row>
    <row r="2572" spans="23:23" x14ac:dyDescent="0.55000000000000004">
      <c r="W2572"/>
    </row>
    <row r="2573" spans="23:23" x14ac:dyDescent="0.55000000000000004">
      <c r="W2573"/>
    </row>
    <row r="2574" spans="23:23" x14ac:dyDescent="0.55000000000000004">
      <c r="W2574"/>
    </row>
    <row r="2575" spans="23:23" x14ac:dyDescent="0.55000000000000004">
      <c r="W2575"/>
    </row>
    <row r="2576" spans="23:23" x14ac:dyDescent="0.55000000000000004">
      <c r="W2576"/>
    </row>
    <row r="2577" spans="23:23" x14ac:dyDescent="0.55000000000000004">
      <c r="W2577"/>
    </row>
    <row r="2578" spans="23:23" x14ac:dyDescent="0.55000000000000004">
      <c r="W2578"/>
    </row>
    <row r="2579" spans="23:23" x14ac:dyDescent="0.55000000000000004">
      <c r="W2579"/>
    </row>
    <row r="2580" spans="23:23" x14ac:dyDescent="0.55000000000000004">
      <c r="W2580"/>
    </row>
    <row r="2581" spans="23:23" x14ac:dyDescent="0.55000000000000004">
      <c r="W2581"/>
    </row>
    <row r="2582" spans="23:23" x14ac:dyDescent="0.55000000000000004">
      <c r="W2582"/>
    </row>
    <row r="2583" spans="23:23" x14ac:dyDescent="0.55000000000000004">
      <c r="W2583"/>
    </row>
    <row r="2584" spans="23:23" x14ac:dyDescent="0.55000000000000004">
      <c r="W2584"/>
    </row>
    <row r="2585" spans="23:23" x14ac:dyDescent="0.55000000000000004">
      <c r="W2585"/>
    </row>
    <row r="2586" spans="23:23" x14ac:dyDescent="0.55000000000000004">
      <c r="W2586"/>
    </row>
    <row r="2587" spans="23:23" x14ac:dyDescent="0.55000000000000004">
      <c r="W2587"/>
    </row>
    <row r="2588" spans="23:23" x14ac:dyDescent="0.55000000000000004">
      <c r="W2588"/>
    </row>
    <row r="2589" spans="23:23" x14ac:dyDescent="0.55000000000000004">
      <c r="W2589"/>
    </row>
    <row r="2590" spans="23:23" x14ac:dyDescent="0.55000000000000004">
      <c r="W2590"/>
    </row>
    <row r="2591" spans="23:23" x14ac:dyDescent="0.55000000000000004">
      <c r="W2591"/>
    </row>
    <row r="2592" spans="23:23" x14ac:dyDescent="0.55000000000000004">
      <c r="W2592"/>
    </row>
    <row r="2593" spans="23:23" x14ac:dyDescent="0.55000000000000004">
      <c r="W2593"/>
    </row>
    <row r="2594" spans="23:23" x14ac:dyDescent="0.55000000000000004">
      <c r="W2594"/>
    </row>
    <row r="2595" spans="23:23" x14ac:dyDescent="0.55000000000000004">
      <c r="W2595"/>
    </row>
    <row r="2596" spans="23:23" x14ac:dyDescent="0.55000000000000004">
      <c r="W2596"/>
    </row>
    <row r="2597" spans="23:23" x14ac:dyDescent="0.55000000000000004">
      <c r="W2597"/>
    </row>
    <row r="2598" spans="23:23" x14ac:dyDescent="0.55000000000000004">
      <c r="W2598"/>
    </row>
    <row r="2599" spans="23:23" x14ac:dyDescent="0.55000000000000004">
      <c r="W2599"/>
    </row>
    <row r="2600" spans="23:23" x14ac:dyDescent="0.55000000000000004">
      <c r="W2600"/>
    </row>
    <row r="2601" spans="23:23" x14ac:dyDescent="0.55000000000000004">
      <c r="W2601"/>
    </row>
    <row r="2602" spans="23:23" x14ac:dyDescent="0.55000000000000004">
      <c r="W2602"/>
    </row>
    <row r="2603" spans="23:23" x14ac:dyDescent="0.55000000000000004">
      <c r="W2603"/>
    </row>
    <row r="2604" spans="23:23" x14ac:dyDescent="0.55000000000000004">
      <c r="W2604"/>
    </row>
    <row r="2605" spans="23:23" x14ac:dyDescent="0.55000000000000004">
      <c r="W2605"/>
    </row>
    <row r="2606" spans="23:23" x14ac:dyDescent="0.55000000000000004">
      <c r="W2606"/>
    </row>
    <row r="2607" spans="23:23" x14ac:dyDescent="0.55000000000000004">
      <c r="W2607"/>
    </row>
    <row r="2608" spans="23:23" x14ac:dyDescent="0.55000000000000004">
      <c r="W2608"/>
    </row>
    <row r="2609" spans="23:23" x14ac:dyDescent="0.55000000000000004">
      <c r="W2609"/>
    </row>
    <row r="2610" spans="23:23" x14ac:dyDescent="0.55000000000000004">
      <c r="W2610"/>
    </row>
    <row r="2611" spans="23:23" x14ac:dyDescent="0.55000000000000004">
      <c r="W2611"/>
    </row>
    <row r="2612" spans="23:23" x14ac:dyDescent="0.55000000000000004">
      <c r="W2612"/>
    </row>
    <row r="2613" spans="23:23" x14ac:dyDescent="0.55000000000000004">
      <c r="W2613"/>
    </row>
    <row r="2614" spans="23:23" x14ac:dyDescent="0.55000000000000004">
      <c r="W2614"/>
    </row>
    <row r="2615" spans="23:23" x14ac:dyDescent="0.55000000000000004">
      <c r="W2615"/>
    </row>
    <row r="2616" spans="23:23" x14ac:dyDescent="0.55000000000000004">
      <c r="W2616"/>
    </row>
    <row r="2617" spans="23:23" x14ac:dyDescent="0.55000000000000004">
      <c r="W2617"/>
    </row>
    <row r="2618" spans="23:23" x14ac:dyDescent="0.55000000000000004">
      <c r="W2618"/>
    </row>
    <row r="2619" spans="23:23" x14ac:dyDescent="0.55000000000000004">
      <c r="W2619"/>
    </row>
    <row r="2620" spans="23:23" x14ac:dyDescent="0.55000000000000004">
      <c r="W2620"/>
    </row>
    <row r="2621" spans="23:23" x14ac:dyDescent="0.55000000000000004">
      <c r="W2621"/>
    </row>
    <row r="2622" spans="23:23" x14ac:dyDescent="0.55000000000000004">
      <c r="W2622"/>
    </row>
    <row r="2623" spans="23:23" x14ac:dyDescent="0.55000000000000004">
      <c r="W2623"/>
    </row>
    <row r="2624" spans="23:23" x14ac:dyDescent="0.55000000000000004">
      <c r="W2624"/>
    </row>
    <row r="2625" spans="23:23" x14ac:dyDescent="0.55000000000000004">
      <c r="W2625"/>
    </row>
    <row r="2626" spans="23:23" x14ac:dyDescent="0.55000000000000004">
      <c r="W2626"/>
    </row>
    <row r="2627" spans="23:23" x14ac:dyDescent="0.55000000000000004">
      <c r="W2627"/>
    </row>
    <row r="2628" spans="23:23" x14ac:dyDescent="0.55000000000000004">
      <c r="W2628"/>
    </row>
    <row r="2629" spans="23:23" x14ac:dyDescent="0.55000000000000004">
      <c r="W2629"/>
    </row>
    <row r="2630" spans="23:23" x14ac:dyDescent="0.55000000000000004">
      <c r="W2630"/>
    </row>
    <row r="2631" spans="23:23" x14ac:dyDescent="0.55000000000000004">
      <c r="W2631"/>
    </row>
    <row r="2632" spans="23:23" x14ac:dyDescent="0.55000000000000004">
      <c r="W2632"/>
    </row>
    <row r="2633" spans="23:23" x14ac:dyDescent="0.55000000000000004">
      <c r="W2633"/>
    </row>
    <row r="2634" spans="23:23" x14ac:dyDescent="0.55000000000000004">
      <c r="W2634"/>
    </row>
    <row r="2635" spans="23:23" x14ac:dyDescent="0.55000000000000004">
      <c r="W2635"/>
    </row>
    <row r="2636" spans="23:23" x14ac:dyDescent="0.55000000000000004">
      <c r="W2636"/>
    </row>
    <row r="2637" spans="23:23" x14ac:dyDescent="0.55000000000000004">
      <c r="W2637"/>
    </row>
    <row r="2638" spans="23:23" x14ac:dyDescent="0.55000000000000004">
      <c r="W2638"/>
    </row>
    <row r="2639" spans="23:23" x14ac:dyDescent="0.55000000000000004">
      <c r="W2639"/>
    </row>
    <row r="2640" spans="23:23" x14ac:dyDescent="0.55000000000000004">
      <c r="W2640"/>
    </row>
    <row r="2641" spans="23:23" x14ac:dyDescent="0.55000000000000004">
      <c r="W2641"/>
    </row>
    <row r="2642" spans="23:23" x14ac:dyDescent="0.55000000000000004">
      <c r="W2642"/>
    </row>
    <row r="2643" spans="23:23" x14ac:dyDescent="0.55000000000000004">
      <c r="W2643"/>
    </row>
    <row r="2644" spans="23:23" x14ac:dyDescent="0.55000000000000004">
      <c r="W2644"/>
    </row>
    <row r="2645" spans="23:23" x14ac:dyDescent="0.55000000000000004">
      <c r="W2645"/>
    </row>
    <row r="2646" spans="23:23" x14ac:dyDescent="0.55000000000000004">
      <c r="W2646"/>
    </row>
    <row r="2647" spans="23:23" x14ac:dyDescent="0.55000000000000004">
      <c r="W2647"/>
    </row>
    <row r="2648" spans="23:23" x14ac:dyDescent="0.55000000000000004">
      <c r="W2648"/>
    </row>
    <row r="2649" spans="23:23" x14ac:dyDescent="0.55000000000000004">
      <c r="W2649"/>
    </row>
    <row r="2650" spans="23:23" x14ac:dyDescent="0.55000000000000004">
      <c r="W2650"/>
    </row>
    <row r="2651" spans="23:23" x14ac:dyDescent="0.55000000000000004">
      <c r="W2651"/>
    </row>
    <row r="2652" spans="23:23" x14ac:dyDescent="0.55000000000000004">
      <c r="W2652"/>
    </row>
    <row r="2653" spans="23:23" x14ac:dyDescent="0.55000000000000004">
      <c r="W2653"/>
    </row>
    <row r="2654" spans="23:23" x14ac:dyDescent="0.55000000000000004">
      <c r="W2654"/>
    </row>
    <row r="2655" spans="23:23" x14ac:dyDescent="0.55000000000000004">
      <c r="W2655"/>
    </row>
    <row r="2656" spans="23:23" x14ac:dyDescent="0.55000000000000004">
      <c r="W2656"/>
    </row>
    <row r="2657" spans="23:23" x14ac:dyDescent="0.55000000000000004">
      <c r="W2657"/>
    </row>
    <row r="2658" spans="23:23" x14ac:dyDescent="0.55000000000000004">
      <c r="W2658"/>
    </row>
    <row r="2659" spans="23:23" x14ac:dyDescent="0.55000000000000004">
      <c r="W2659"/>
    </row>
    <row r="2660" spans="23:23" x14ac:dyDescent="0.55000000000000004">
      <c r="W2660"/>
    </row>
    <row r="2661" spans="23:23" x14ac:dyDescent="0.55000000000000004">
      <c r="W2661"/>
    </row>
    <row r="2662" spans="23:23" x14ac:dyDescent="0.55000000000000004">
      <c r="W2662"/>
    </row>
    <row r="2663" spans="23:23" x14ac:dyDescent="0.55000000000000004">
      <c r="W2663"/>
    </row>
    <row r="2664" spans="23:23" x14ac:dyDescent="0.55000000000000004">
      <c r="W2664"/>
    </row>
    <row r="2665" spans="23:23" x14ac:dyDescent="0.55000000000000004">
      <c r="W2665"/>
    </row>
    <row r="2666" spans="23:23" x14ac:dyDescent="0.55000000000000004">
      <c r="W2666"/>
    </row>
    <row r="2667" spans="23:23" x14ac:dyDescent="0.55000000000000004">
      <c r="W2667"/>
    </row>
    <row r="2668" spans="23:23" x14ac:dyDescent="0.55000000000000004">
      <c r="W2668"/>
    </row>
    <row r="2669" spans="23:23" x14ac:dyDescent="0.55000000000000004">
      <c r="W2669"/>
    </row>
    <row r="2670" spans="23:23" x14ac:dyDescent="0.55000000000000004">
      <c r="W2670"/>
    </row>
    <row r="2671" spans="23:23" x14ac:dyDescent="0.55000000000000004">
      <c r="W2671"/>
    </row>
    <row r="2672" spans="23:23" x14ac:dyDescent="0.55000000000000004">
      <c r="W2672"/>
    </row>
    <row r="2673" spans="23:23" x14ac:dyDescent="0.55000000000000004">
      <c r="W2673"/>
    </row>
    <row r="2674" spans="23:23" x14ac:dyDescent="0.55000000000000004">
      <c r="W2674"/>
    </row>
    <row r="2675" spans="23:23" x14ac:dyDescent="0.55000000000000004">
      <c r="W2675"/>
    </row>
    <row r="2676" spans="23:23" x14ac:dyDescent="0.55000000000000004">
      <c r="W2676"/>
    </row>
    <row r="2677" spans="23:23" x14ac:dyDescent="0.55000000000000004">
      <c r="W2677"/>
    </row>
    <row r="2678" spans="23:23" x14ac:dyDescent="0.55000000000000004">
      <c r="W2678"/>
    </row>
    <row r="2679" spans="23:23" x14ac:dyDescent="0.55000000000000004">
      <c r="W2679"/>
    </row>
    <row r="2680" spans="23:23" x14ac:dyDescent="0.55000000000000004">
      <c r="W2680"/>
    </row>
    <row r="2681" spans="23:23" x14ac:dyDescent="0.55000000000000004">
      <c r="W2681"/>
    </row>
    <row r="2682" spans="23:23" x14ac:dyDescent="0.55000000000000004">
      <c r="W2682"/>
    </row>
    <row r="2683" spans="23:23" x14ac:dyDescent="0.55000000000000004">
      <c r="W2683"/>
    </row>
    <row r="2684" spans="23:23" x14ac:dyDescent="0.55000000000000004">
      <c r="W2684"/>
    </row>
    <row r="2685" spans="23:23" x14ac:dyDescent="0.55000000000000004">
      <c r="W2685"/>
    </row>
    <row r="2686" spans="23:23" x14ac:dyDescent="0.55000000000000004">
      <c r="W2686"/>
    </row>
    <row r="2687" spans="23:23" x14ac:dyDescent="0.55000000000000004">
      <c r="W2687"/>
    </row>
    <row r="2688" spans="23:23" x14ac:dyDescent="0.55000000000000004">
      <c r="W2688"/>
    </row>
    <row r="2689" spans="23:23" x14ac:dyDescent="0.55000000000000004">
      <c r="W2689"/>
    </row>
    <row r="2690" spans="23:23" x14ac:dyDescent="0.55000000000000004">
      <c r="W2690"/>
    </row>
    <row r="2691" spans="23:23" x14ac:dyDescent="0.55000000000000004">
      <c r="W2691"/>
    </row>
    <row r="2692" spans="23:23" x14ac:dyDescent="0.55000000000000004">
      <c r="W2692"/>
    </row>
    <row r="2693" spans="23:23" x14ac:dyDescent="0.55000000000000004">
      <c r="W2693"/>
    </row>
    <row r="2694" spans="23:23" x14ac:dyDescent="0.55000000000000004">
      <c r="W2694"/>
    </row>
    <row r="2695" spans="23:23" x14ac:dyDescent="0.55000000000000004">
      <c r="W2695"/>
    </row>
    <row r="2696" spans="23:23" x14ac:dyDescent="0.55000000000000004">
      <c r="W2696"/>
    </row>
    <row r="2697" spans="23:23" x14ac:dyDescent="0.55000000000000004">
      <c r="W2697"/>
    </row>
    <row r="2698" spans="23:23" x14ac:dyDescent="0.55000000000000004">
      <c r="W2698"/>
    </row>
    <row r="2699" spans="23:23" x14ac:dyDescent="0.55000000000000004">
      <c r="W2699"/>
    </row>
    <row r="2700" spans="23:23" x14ac:dyDescent="0.55000000000000004">
      <c r="W2700"/>
    </row>
    <row r="2701" spans="23:23" x14ac:dyDescent="0.55000000000000004">
      <c r="W2701"/>
    </row>
    <row r="2702" spans="23:23" x14ac:dyDescent="0.55000000000000004">
      <c r="W2702"/>
    </row>
    <row r="2703" spans="23:23" x14ac:dyDescent="0.55000000000000004">
      <c r="W2703"/>
    </row>
    <row r="2704" spans="23:23" x14ac:dyDescent="0.55000000000000004">
      <c r="W2704"/>
    </row>
    <row r="2705" spans="23:23" x14ac:dyDescent="0.55000000000000004">
      <c r="W2705"/>
    </row>
    <row r="2706" spans="23:23" x14ac:dyDescent="0.55000000000000004">
      <c r="W2706"/>
    </row>
    <row r="2707" spans="23:23" x14ac:dyDescent="0.55000000000000004">
      <c r="W2707"/>
    </row>
    <row r="2708" spans="23:23" x14ac:dyDescent="0.55000000000000004">
      <c r="W2708"/>
    </row>
    <row r="2709" spans="23:23" x14ac:dyDescent="0.55000000000000004">
      <c r="W2709"/>
    </row>
    <row r="2710" spans="23:23" x14ac:dyDescent="0.55000000000000004">
      <c r="W2710"/>
    </row>
    <row r="2711" spans="23:23" x14ac:dyDescent="0.55000000000000004">
      <c r="W2711"/>
    </row>
    <row r="2712" spans="23:23" x14ac:dyDescent="0.55000000000000004">
      <c r="W2712"/>
    </row>
    <row r="2713" spans="23:23" x14ac:dyDescent="0.55000000000000004">
      <c r="W2713"/>
    </row>
    <row r="2714" spans="23:23" x14ac:dyDescent="0.55000000000000004">
      <c r="W2714"/>
    </row>
    <row r="2715" spans="23:23" x14ac:dyDescent="0.55000000000000004">
      <c r="W2715"/>
    </row>
    <row r="2716" spans="23:23" x14ac:dyDescent="0.55000000000000004">
      <c r="W2716"/>
    </row>
    <row r="2717" spans="23:23" x14ac:dyDescent="0.55000000000000004">
      <c r="W2717"/>
    </row>
    <row r="2718" spans="23:23" x14ac:dyDescent="0.55000000000000004">
      <c r="W2718"/>
    </row>
    <row r="2719" spans="23:23" x14ac:dyDescent="0.55000000000000004">
      <c r="W2719"/>
    </row>
    <row r="2720" spans="23:23" x14ac:dyDescent="0.55000000000000004">
      <c r="W2720"/>
    </row>
    <row r="2721" spans="23:23" x14ac:dyDescent="0.55000000000000004">
      <c r="W2721"/>
    </row>
    <row r="2722" spans="23:23" x14ac:dyDescent="0.55000000000000004">
      <c r="W2722"/>
    </row>
    <row r="2723" spans="23:23" x14ac:dyDescent="0.55000000000000004">
      <c r="W2723"/>
    </row>
    <row r="2724" spans="23:23" x14ac:dyDescent="0.55000000000000004">
      <c r="W2724"/>
    </row>
    <row r="2725" spans="23:23" x14ac:dyDescent="0.55000000000000004">
      <c r="W2725"/>
    </row>
    <row r="2726" spans="23:23" x14ac:dyDescent="0.55000000000000004">
      <c r="W2726"/>
    </row>
    <row r="2727" spans="23:23" x14ac:dyDescent="0.55000000000000004">
      <c r="W2727"/>
    </row>
    <row r="2728" spans="23:23" x14ac:dyDescent="0.55000000000000004">
      <c r="W2728"/>
    </row>
    <row r="2729" spans="23:23" x14ac:dyDescent="0.55000000000000004">
      <c r="W2729"/>
    </row>
    <row r="2730" spans="23:23" x14ac:dyDescent="0.55000000000000004">
      <c r="W2730"/>
    </row>
    <row r="2731" spans="23:23" x14ac:dyDescent="0.55000000000000004">
      <c r="W2731"/>
    </row>
    <row r="2732" spans="23:23" x14ac:dyDescent="0.55000000000000004">
      <c r="W2732"/>
    </row>
    <row r="2733" spans="23:23" x14ac:dyDescent="0.55000000000000004">
      <c r="W2733"/>
    </row>
    <row r="2734" spans="23:23" x14ac:dyDescent="0.55000000000000004">
      <c r="W2734"/>
    </row>
    <row r="2735" spans="23:23" x14ac:dyDescent="0.55000000000000004">
      <c r="W2735"/>
    </row>
    <row r="2736" spans="23:23" x14ac:dyDescent="0.55000000000000004">
      <c r="W2736"/>
    </row>
    <row r="2737" spans="23:23" x14ac:dyDescent="0.55000000000000004">
      <c r="W2737"/>
    </row>
    <row r="2738" spans="23:23" x14ac:dyDescent="0.55000000000000004">
      <c r="W2738"/>
    </row>
    <row r="2739" spans="23:23" x14ac:dyDescent="0.55000000000000004">
      <c r="W2739"/>
    </row>
    <row r="2740" spans="23:23" x14ac:dyDescent="0.55000000000000004">
      <c r="W2740"/>
    </row>
    <row r="2741" spans="23:23" x14ac:dyDescent="0.55000000000000004">
      <c r="W2741"/>
    </row>
    <row r="2742" spans="23:23" x14ac:dyDescent="0.55000000000000004">
      <c r="W2742"/>
    </row>
    <row r="2743" spans="23:23" x14ac:dyDescent="0.55000000000000004">
      <c r="W2743"/>
    </row>
    <row r="2744" spans="23:23" x14ac:dyDescent="0.55000000000000004">
      <c r="W2744"/>
    </row>
    <row r="2745" spans="23:23" x14ac:dyDescent="0.55000000000000004">
      <c r="W2745"/>
    </row>
    <row r="2746" spans="23:23" x14ac:dyDescent="0.55000000000000004">
      <c r="W2746"/>
    </row>
    <row r="2747" spans="23:23" x14ac:dyDescent="0.55000000000000004">
      <c r="W2747"/>
    </row>
    <row r="2748" spans="23:23" x14ac:dyDescent="0.55000000000000004">
      <c r="W2748"/>
    </row>
    <row r="2749" spans="23:23" x14ac:dyDescent="0.55000000000000004">
      <c r="W2749"/>
    </row>
    <row r="2750" spans="23:23" x14ac:dyDescent="0.55000000000000004">
      <c r="W2750"/>
    </row>
    <row r="2751" spans="23:23" x14ac:dyDescent="0.55000000000000004">
      <c r="W2751"/>
    </row>
    <row r="2752" spans="23:23" x14ac:dyDescent="0.55000000000000004">
      <c r="W2752"/>
    </row>
    <row r="2753" spans="23:23" x14ac:dyDescent="0.55000000000000004">
      <c r="W2753"/>
    </row>
    <row r="2754" spans="23:23" x14ac:dyDescent="0.55000000000000004">
      <c r="W2754"/>
    </row>
    <row r="2755" spans="23:23" x14ac:dyDescent="0.55000000000000004">
      <c r="W2755"/>
    </row>
    <row r="2756" spans="23:23" x14ac:dyDescent="0.55000000000000004">
      <c r="W2756"/>
    </row>
    <row r="2757" spans="23:23" x14ac:dyDescent="0.55000000000000004">
      <c r="W2757"/>
    </row>
    <row r="2758" spans="23:23" x14ac:dyDescent="0.55000000000000004">
      <c r="W2758"/>
    </row>
    <row r="2759" spans="23:23" x14ac:dyDescent="0.55000000000000004">
      <c r="W2759"/>
    </row>
    <row r="2760" spans="23:23" x14ac:dyDescent="0.55000000000000004">
      <c r="W2760"/>
    </row>
    <row r="2761" spans="23:23" x14ac:dyDescent="0.55000000000000004">
      <c r="W2761"/>
    </row>
    <row r="2762" spans="23:23" x14ac:dyDescent="0.55000000000000004">
      <c r="W2762"/>
    </row>
    <row r="2763" spans="23:23" x14ac:dyDescent="0.55000000000000004">
      <c r="W2763"/>
    </row>
    <row r="2764" spans="23:23" x14ac:dyDescent="0.55000000000000004">
      <c r="W2764"/>
    </row>
    <row r="2765" spans="23:23" x14ac:dyDescent="0.55000000000000004">
      <c r="W2765"/>
    </row>
    <row r="2766" spans="23:23" x14ac:dyDescent="0.55000000000000004">
      <c r="W2766"/>
    </row>
    <row r="2767" spans="23:23" x14ac:dyDescent="0.55000000000000004">
      <c r="W2767"/>
    </row>
    <row r="2768" spans="23:23" x14ac:dyDescent="0.55000000000000004">
      <c r="W2768"/>
    </row>
    <row r="2769" spans="23:23" x14ac:dyDescent="0.55000000000000004">
      <c r="W2769"/>
    </row>
    <row r="2770" spans="23:23" x14ac:dyDescent="0.55000000000000004">
      <c r="W2770"/>
    </row>
    <row r="2771" spans="23:23" x14ac:dyDescent="0.55000000000000004">
      <c r="W2771"/>
    </row>
    <row r="2772" spans="23:23" x14ac:dyDescent="0.55000000000000004">
      <c r="W2772"/>
    </row>
    <row r="2773" spans="23:23" x14ac:dyDescent="0.55000000000000004">
      <c r="W2773"/>
    </row>
    <row r="2774" spans="23:23" x14ac:dyDescent="0.55000000000000004">
      <c r="W2774"/>
    </row>
    <row r="2775" spans="23:23" x14ac:dyDescent="0.55000000000000004">
      <c r="W2775"/>
    </row>
    <row r="2776" spans="23:23" x14ac:dyDescent="0.55000000000000004">
      <c r="W2776"/>
    </row>
    <row r="2777" spans="23:23" x14ac:dyDescent="0.55000000000000004">
      <c r="W2777"/>
    </row>
    <row r="2778" spans="23:23" x14ac:dyDescent="0.55000000000000004">
      <c r="W2778"/>
    </row>
    <row r="2779" spans="23:23" x14ac:dyDescent="0.55000000000000004">
      <c r="W2779"/>
    </row>
    <row r="2780" spans="23:23" x14ac:dyDescent="0.55000000000000004">
      <c r="W2780"/>
    </row>
    <row r="2781" spans="23:23" x14ac:dyDescent="0.55000000000000004">
      <c r="W2781"/>
    </row>
    <row r="2782" spans="23:23" x14ac:dyDescent="0.55000000000000004">
      <c r="W2782"/>
    </row>
    <row r="2783" spans="23:23" x14ac:dyDescent="0.55000000000000004">
      <c r="W2783"/>
    </row>
    <row r="2784" spans="23:23" x14ac:dyDescent="0.55000000000000004">
      <c r="W2784"/>
    </row>
    <row r="2785" spans="23:23" x14ac:dyDescent="0.55000000000000004">
      <c r="W2785"/>
    </row>
    <row r="2786" spans="23:23" x14ac:dyDescent="0.55000000000000004">
      <c r="W2786"/>
    </row>
    <row r="2787" spans="23:23" x14ac:dyDescent="0.55000000000000004">
      <c r="W2787"/>
    </row>
    <row r="2788" spans="23:23" x14ac:dyDescent="0.55000000000000004">
      <c r="W2788"/>
    </row>
    <row r="2789" spans="23:23" x14ac:dyDescent="0.55000000000000004">
      <c r="W2789"/>
    </row>
    <row r="2790" spans="23:23" x14ac:dyDescent="0.55000000000000004">
      <c r="W2790"/>
    </row>
    <row r="2791" spans="23:23" x14ac:dyDescent="0.55000000000000004">
      <c r="W2791"/>
    </row>
    <row r="2792" spans="23:23" x14ac:dyDescent="0.55000000000000004">
      <c r="W2792"/>
    </row>
    <row r="2793" spans="23:23" x14ac:dyDescent="0.55000000000000004">
      <c r="W2793"/>
    </row>
    <row r="2794" spans="23:23" x14ac:dyDescent="0.55000000000000004">
      <c r="W2794"/>
    </row>
    <row r="2795" spans="23:23" x14ac:dyDescent="0.55000000000000004">
      <c r="W2795"/>
    </row>
    <row r="2796" spans="23:23" x14ac:dyDescent="0.55000000000000004">
      <c r="W2796"/>
    </row>
    <row r="2797" spans="23:23" x14ac:dyDescent="0.55000000000000004">
      <c r="W2797"/>
    </row>
    <row r="2798" spans="23:23" x14ac:dyDescent="0.55000000000000004">
      <c r="W2798"/>
    </row>
    <row r="2799" spans="23:23" x14ac:dyDescent="0.55000000000000004">
      <c r="W2799"/>
    </row>
    <row r="2800" spans="23:23" x14ac:dyDescent="0.55000000000000004">
      <c r="W2800"/>
    </row>
    <row r="2801" spans="23:23" x14ac:dyDescent="0.55000000000000004">
      <c r="W2801"/>
    </row>
    <row r="2802" spans="23:23" x14ac:dyDescent="0.55000000000000004">
      <c r="W2802"/>
    </row>
    <row r="2803" spans="23:23" x14ac:dyDescent="0.55000000000000004">
      <c r="W2803"/>
    </row>
    <row r="2804" spans="23:23" x14ac:dyDescent="0.55000000000000004">
      <c r="W2804"/>
    </row>
    <row r="2805" spans="23:23" x14ac:dyDescent="0.55000000000000004">
      <c r="W2805"/>
    </row>
    <row r="2806" spans="23:23" x14ac:dyDescent="0.55000000000000004">
      <c r="W2806"/>
    </row>
    <row r="2807" spans="23:23" x14ac:dyDescent="0.55000000000000004">
      <c r="W2807"/>
    </row>
    <row r="2808" spans="23:23" x14ac:dyDescent="0.55000000000000004">
      <c r="W2808"/>
    </row>
    <row r="2809" spans="23:23" x14ac:dyDescent="0.55000000000000004">
      <c r="W2809"/>
    </row>
    <row r="2810" spans="23:23" x14ac:dyDescent="0.55000000000000004">
      <c r="W2810"/>
    </row>
    <row r="2811" spans="23:23" x14ac:dyDescent="0.55000000000000004">
      <c r="W2811"/>
    </row>
    <row r="2812" spans="23:23" x14ac:dyDescent="0.55000000000000004">
      <c r="W2812"/>
    </row>
    <row r="2813" spans="23:23" x14ac:dyDescent="0.55000000000000004">
      <c r="W2813"/>
    </row>
    <row r="2814" spans="23:23" x14ac:dyDescent="0.55000000000000004">
      <c r="W2814"/>
    </row>
    <row r="2815" spans="23:23" x14ac:dyDescent="0.55000000000000004">
      <c r="W2815"/>
    </row>
    <row r="2816" spans="23:23" x14ac:dyDescent="0.55000000000000004">
      <c r="W2816"/>
    </row>
    <row r="2817" spans="23:23" x14ac:dyDescent="0.55000000000000004">
      <c r="W2817"/>
    </row>
    <row r="2818" spans="23:23" x14ac:dyDescent="0.55000000000000004">
      <c r="W2818"/>
    </row>
    <row r="2819" spans="23:23" x14ac:dyDescent="0.55000000000000004">
      <c r="W2819"/>
    </row>
    <row r="2820" spans="23:23" x14ac:dyDescent="0.55000000000000004">
      <c r="W2820"/>
    </row>
    <row r="2821" spans="23:23" x14ac:dyDescent="0.55000000000000004">
      <c r="W2821"/>
    </row>
    <row r="2822" spans="23:23" x14ac:dyDescent="0.55000000000000004">
      <c r="W2822"/>
    </row>
    <row r="2823" spans="23:23" x14ac:dyDescent="0.55000000000000004">
      <c r="W2823"/>
    </row>
    <row r="2824" spans="23:23" x14ac:dyDescent="0.55000000000000004">
      <c r="W2824"/>
    </row>
    <row r="2825" spans="23:23" x14ac:dyDescent="0.55000000000000004">
      <c r="W2825"/>
    </row>
    <row r="2826" spans="23:23" x14ac:dyDescent="0.55000000000000004">
      <c r="W2826"/>
    </row>
    <row r="2827" spans="23:23" x14ac:dyDescent="0.55000000000000004">
      <c r="W2827"/>
    </row>
    <row r="2828" spans="23:23" x14ac:dyDescent="0.55000000000000004">
      <c r="W2828"/>
    </row>
    <row r="2829" spans="23:23" x14ac:dyDescent="0.55000000000000004">
      <c r="W2829"/>
    </row>
    <row r="2830" spans="23:23" x14ac:dyDescent="0.55000000000000004">
      <c r="W2830"/>
    </row>
    <row r="2831" spans="23:23" x14ac:dyDescent="0.55000000000000004">
      <c r="W2831"/>
    </row>
    <row r="2832" spans="23:23" x14ac:dyDescent="0.55000000000000004">
      <c r="W2832"/>
    </row>
    <row r="2833" spans="23:23" x14ac:dyDescent="0.55000000000000004">
      <c r="W2833"/>
    </row>
    <row r="2834" spans="23:23" x14ac:dyDescent="0.55000000000000004">
      <c r="W2834"/>
    </row>
    <row r="2835" spans="23:23" x14ac:dyDescent="0.55000000000000004">
      <c r="W2835"/>
    </row>
    <row r="2836" spans="23:23" x14ac:dyDescent="0.55000000000000004">
      <c r="W2836"/>
    </row>
    <row r="2837" spans="23:23" x14ac:dyDescent="0.55000000000000004">
      <c r="W2837"/>
    </row>
    <row r="2838" spans="23:23" x14ac:dyDescent="0.55000000000000004">
      <c r="W2838"/>
    </row>
    <row r="2839" spans="23:23" x14ac:dyDescent="0.55000000000000004">
      <c r="W2839"/>
    </row>
    <row r="2840" spans="23:23" x14ac:dyDescent="0.55000000000000004">
      <c r="W2840"/>
    </row>
    <row r="2841" spans="23:23" x14ac:dyDescent="0.55000000000000004">
      <c r="W2841"/>
    </row>
    <row r="2842" spans="23:23" x14ac:dyDescent="0.55000000000000004">
      <c r="W2842"/>
    </row>
    <row r="2843" spans="23:23" x14ac:dyDescent="0.55000000000000004">
      <c r="W2843"/>
    </row>
    <row r="2844" spans="23:23" x14ac:dyDescent="0.55000000000000004">
      <c r="W2844"/>
    </row>
    <row r="2845" spans="23:23" x14ac:dyDescent="0.55000000000000004">
      <c r="W2845"/>
    </row>
    <row r="2846" spans="23:23" x14ac:dyDescent="0.55000000000000004">
      <c r="W2846"/>
    </row>
    <row r="2847" spans="23:23" x14ac:dyDescent="0.55000000000000004">
      <c r="W2847"/>
    </row>
    <row r="2848" spans="23:23" x14ac:dyDescent="0.55000000000000004">
      <c r="W2848"/>
    </row>
    <row r="2849" spans="23:23" x14ac:dyDescent="0.55000000000000004">
      <c r="W2849"/>
    </row>
    <row r="2850" spans="23:23" x14ac:dyDescent="0.55000000000000004">
      <c r="W2850"/>
    </row>
    <row r="2851" spans="23:23" x14ac:dyDescent="0.55000000000000004">
      <c r="W2851"/>
    </row>
    <row r="2852" spans="23:23" x14ac:dyDescent="0.55000000000000004">
      <c r="W2852"/>
    </row>
    <row r="2853" spans="23:23" x14ac:dyDescent="0.55000000000000004">
      <c r="W2853"/>
    </row>
    <row r="2854" spans="23:23" x14ac:dyDescent="0.55000000000000004">
      <c r="W2854"/>
    </row>
    <row r="2855" spans="23:23" x14ac:dyDescent="0.55000000000000004">
      <c r="W2855"/>
    </row>
    <row r="2856" spans="23:23" x14ac:dyDescent="0.55000000000000004">
      <c r="W2856"/>
    </row>
    <row r="2857" spans="23:23" x14ac:dyDescent="0.55000000000000004">
      <c r="W2857"/>
    </row>
    <row r="2858" spans="23:23" x14ac:dyDescent="0.55000000000000004">
      <c r="W2858"/>
    </row>
    <row r="2859" spans="23:23" x14ac:dyDescent="0.55000000000000004">
      <c r="W2859"/>
    </row>
    <row r="2860" spans="23:23" x14ac:dyDescent="0.55000000000000004">
      <c r="W2860"/>
    </row>
    <row r="2861" spans="23:23" x14ac:dyDescent="0.55000000000000004">
      <c r="W2861"/>
    </row>
    <row r="2862" spans="23:23" x14ac:dyDescent="0.55000000000000004">
      <c r="W2862"/>
    </row>
    <row r="2863" spans="23:23" x14ac:dyDescent="0.55000000000000004">
      <c r="W2863"/>
    </row>
    <row r="2864" spans="23:23" x14ac:dyDescent="0.55000000000000004">
      <c r="W2864"/>
    </row>
    <row r="2865" spans="23:23" x14ac:dyDescent="0.55000000000000004">
      <c r="W2865"/>
    </row>
    <row r="2866" spans="23:23" x14ac:dyDescent="0.55000000000000004">
      <c r="W2866"/>
    </row>
    <row r="2867" spans="23:23" x14ac:dyDescent="0.55000000000000004">
      <c r="W2867"/>
    </row>
    <row r="2868" spans="23:23" x14ac:dyDescent="0.55000000000000004">
      <c r="W2868"/>
    </row>
    <row r="2869" spans="23:23" x14ac:dyDescent="0.55000000000000004">
      <c r="W2869"/>
    </row>
    <row r="2870" spans="23:23" x14ac:dyDescent="0.55000000000000004">
      <c r="W2870"/>
    </row>
    <row r="2871" spans="23:23" x14ac:dyDescent="0.55000000000000004">
      <c r="W2871"/>
    </row>
    <row r="2872" spans="23:23" x14ac:dyDescent="0.55000000000000004">
      <c r="W2872"/>
    </row>
    <row r="2873" spans="23:23" x14ac:dyDescent="0.55000000000000004">
      <c r="W2873"/>
    </row>
    <row r="2874" spans="23:23" x14ac:dyDescent="0.55000000000000004">
      <c r="W2874"/>
    </row>
    <row r="2875" spans="23:23" x14ac:dyDescent="0.55000000000000004">
      <c r="W2875"/>
    </row>
    <row r="2876" spans="23:23" x14ac:dyDescent="0.55000000000000004">
      <c r="W2876"/>
    </row>
    <row r="2877" spans="23:23" x14ac:dyDescent="0.55000000000000004">
      <c r="W2877"/>
    </row>
    <row r="2878" spans="23:23" x14ac:dyDescent="0.55000000000000004">
      <c r="W2878"/>
    </row>
    <row r="2879" spans="23:23" x14ac:dyDescent="0.55000000000000004">
      <c r="W2879"/>
    </row>
    <row r="2880" spans="23:23" x14ac:dyDescent="0.55000000000000004">
      <c r="W2880"/>
    </row>
    <row r="2881" spans="23:23" x14ac:dyDescent="0.55000000000000004">
      <c r="W2881"/>
    </row>
    <row r="2882" spans="23:23" x14ac:dyDescent="0.55000000000000004">
      <c r="W2882"/>
    </row>
    <row r="2883" spans="23:23" x14ac:dyDescent="0.55000000000000004">
      <c r="W2883"/>
    </row>
    <row r="2884" spans="23:23" x14ac:dyDescent="0.55000000000000004">
      <c r="W2884"/>
    </row>
    <row r="2885" spans="23:23" x14ac:dyDescent="0.55000000000000004">
      <c r="W2885"/>
    </row>
    <row r="2886" spans="23:23" x14ac:dyDescent="0.55000000000000004">
      <c r="W2886"/>
    </row>
    <row r="2887" spans="23:23" x14ac:dyDescent="0.55000000000000004">
      <c r="W2887"/>
    </row>
    <row r="2888" spans="23:23" x14ac:dyDescent="0.55000000000000004">
      <c r="W2888"/>
    </row>
    <row r="2889" spans="23:23" x14ac:dyDescent="0.55000000000000004">
      <c r="W2889"/>
    </row>
    <row r="2890" spans="23:23" x14ac:dyDescent="0.55000000000000004">
      <c r="W2890"/>
    </row>
    <row r="2891" spans="23:23" x14ac:dyDescent="0.55000000000000004">
      <c r="W2891"/>
    </row>
    <row r="2892" spans="23:23" x14ac:dyDescent="0.55000000000000004">
      <c r="W2892"/>
    </row>
    <row r="2893" spans="23:23" x14ac:dyDescent="0.55000000000000004">
      <c r="W2893"/>
    </row>
    <row r="2894" spans="23:23" x14ac:dyDescent="0.55000000000000004">
      <c r="W2894"/>
    </row>
    <row r="2895" spans="23:23" x14ac:dyDescent="0.55000000000000004">
      <c r="W2895"/>
    </row>
    <row r="2896" spans="23:23" x14ac:dyDescent="0.55000000000000004">
      <c r="W2896"/>
    </row>
    <row r="2897" spans="23:23" x14ac:dyDescent="0.55000000000000004">
      <c r="W2897"/>
    </row>
    <row r="2898" spans="23:23" x14ac:dyDescent="0.55000000000000004">
      <c r="W2898"/>
    </row>
    <row r="2899" spans="23:23" x14ac:dyDescent="0.55000000000000004">
      <c r="W2899"/>
    </row>
    <row r="2900" spans="23:23" x14ac:dyDescent="0.55000000000000004">
      <c r="W2900"/>
    </row>
    <row r="2901" spans="23:23" x14ac:dyDescent="0.55000000000000004">
      <c r="W2901"/>
    </row>
    <row r="2902" spans="23:23" x14ac:dyDescent="0.55000000000000004">
      <c r="W2902"/>
    </row>
    <row r="2903" spans="23:23" x14ac:dyDescent="0.55000000000000004">
      <c r="W2903"/>
    </row>
    <row r="2904" spans="23:23" x14ac:dyDescent="0.55000000000000004">
      <c r="W2904"/>
    </row>
    <row r="2905" spans="23:23" x14ac:dyDescent="0.55000000000000004">
      <c r="W2905"/>
    </row>
    <row r="2906" spans="23:23" x14ac:dyDescent="0.55000000000000004">
      <c r="W2906"/>
    </row>
    <row r="2907" spans="23:23" x14ac:dyDescent="0.55000000000000004">
      <c r="W2907"/>
    </row>
    <row r="2908" spans="23:23" x14ac:dyDescent="0.55000000000000004">
      <c r="W2908"/>
    </row>
    <row r="2909" spans="23:23" x14ac:dyDescent="0.55000000000000004">
      <c r="W2909"/>
    </row>
    <row r="2910" spans="23:23" x14ac:dyDescent="0.55000000000000004">
      <c r="W2910"/>
    </row>
    <row r="2911" spans="23:23" x14ac:dyDescent="0.55000000000000004">
      <c r="W2911"/>
    </row>
    <row r="2912" spans="23:23" x14ac:dyDescent="0.55000000000000004">
      <c r="W2912"/>
    </row>
    <row r="2913" spans="23:23" x14ac:dyDescent="0.55000000000000004">
      <c r="W2913"/>
    </row>
    <row r="2914" spans="23:23" x14ac:dyDescent="0.55000000000000004">
      <c r="W2914"/>
    </row>
    <row r="2915" spans="23:23" x14ac:dyDescent="0.55000000000000004">
      <c r="W2915"/>
    </row>
    <row r="2916" spans="23:23" x14ac:dyDescent="0.55000000000000004">
      <c r="W2916"/>
    </row>
    <row r="2917" spans="23:23" x14ac:dyDescent="0.55000000000000004">
      <c r="W2917"/>
    </row>
    <row r="2918" spans="23:23" x14ac:dyDescent="0.55000000000000004">
      <c r="W2918"/>
    </row>
    <row r="2919" spans="23:23" x14ac:dyDescent="0.55000000000000004">
      <c r="W2919"/>
    </row>
    <row r="2920" spans="23:23" x14ac:dyDescent="0.55000000000000004">
      <c r="W2920"/>
    </row>
    <row r="2921" spans="23:23" x14ac:dyDescent="0.55000000000000004">
      <c r="W2921"/>
    </row>
    <row r="2922" spans="23:23" x14ac:dyDescent="0.55000000000000004">
      <c r="W2922"/>
    </row>
    <row r="2923" spans="23:23" x14ac:dyDescent="0.55000000000000004">
      <c r="W2923"/>
    </row>
    <row r="2924" spans="23:23" x14ac:dyDescent="0.55000000000000004">
      <c r="W2924"/>
    </row>
    <row r="2925" spans="23:23" x14ac:dyDescent="0.55000000000000004">
      <c r="W2925"/>
    </row>
    <row r="2926" spans="23:23" x14ac:dyDescent="0.55000000000000004">
      <c r="W2926"/>
    </row>
    <row r="2927" spans="23:23" x14ac:dyDescent="0.55000000000000004">
      <c r="W2927"/>
    </row>
    <row r="2928" spans="23:23" x14ac:dyDescent="0.55000000000000004">
      <c r="W2928"/>
    </row>
    <row r="2929" spans="23:23" x14ac:dyDescent="0.55000000000000004">
      <c r="W2929"/>
    </row>
    <row r="2930" spans="23:23" x14ac:dyDescent="0.55000000000000004">
      <c r="W2930"/>
    </row>
    <row r="2931" spans="23:23" x14ac:dyDescent="0.55000000000000004">
      <c r="W2931"/>
    </row>
    <row r="2932" spans="23:23" x14ac:dyDescent="0.55000000000000004">
      <c r="W2932"/>
    </row>
    <row r="2933" spans="23:23" x14ac:dyDescent="0.55000000000000004">
      <c r="W2933"/>
    </row>
    <row r="2934" spans="23:23" x14ac:dyDescent="0.55000000000000004">
      <c r="W2934"/>
    </row>
    <row r="2935" spans="23:23" x14ac:dyDescent="0.55000000000000004">
      <c r="W2935"/>
    </row>
    <row r="2936" spans="23:23" x14ac:dyDescent="0.55000000000000004">
      <c r="W2936"/>
    </row>
    <row r="2937" spans="23:23" x14ac:dyDescent="0.55000000000000004">
      <c r="W2937"/>
    </row>
    <row r="2938" spans="23:23" x14ac:dyDescent="0.55000000000000004">
      <c r="W2938"/>
    </row>
    <row r="2939" spans="23:23" x14ac:dyDescent="0.55000000000000004">
      <c r="W2939"/>
    </row>
    <row r="2940" spans="23:23" x14ac:dyDescent="0.55000000000000004">
      <c r="W2940"/>
    </row>
    <row r="2941" spans="23:23" x14ac:dyDescent="0.55000000000000004">
      <c r="W2941"/>
    </row>
    <row r="2942" spans="23:23" x14ac:dyDescent="0.55000000000000004">
      <c r="W2942"/>
    </row>
    <row r="2943" spans="23:23" x14ac:dyDescent="0.55000000000000004">
      <c r="W2943"/>
    </row>
    <row r="2944" spans="23:23" x14ac:dyDescent="0.55000000000000004">
      <c r="W2944"/>
    </row>
    <row r="2945" spans="23:23" x14ac:dyDescent="0.55000000000000004">
      <c r="W2945"/>
    </row>
    <row r="2946" spans="23:23" x14ac:dyDescent="0.55000000000000004">
      <c r="W2946"/>
    </row>
    <row r="2947" spans="23:23" x14ac:dyDescent="0.55000000000000004">
      <c r="W2947"/>
    </row>
    <row r="2948" spans="23:23" x14ac:dyDescent="0.55000000000000004">
      <c r="W2948"/>
    </row>
    <row r="2949" spans="23:23" x14ac:dyDescent="0.55000000000000004">
      <c r="W2949"/>
    </row>
    <row r="2950" spans="23:23" x14ac:dyDescent="0.55000000000000004">
      <c r="W2950"/>
    </row>
    <row r="2951" spans="23:23" x14ac:dyDescent="0.55000000000000004">
      <c r="W2951"/>
    </row>
    <row r="2952" spans="23:23" x14ac:dyDescent="0.55000000000000004">
      <c r="W2952"/>
    </row>
    <row r="2953" spans="23:23" x14ac:dyDescent="0.55000000000000004">
      <c r="W2953"/>
    </row>
    <row r="2954" spans="23:23" x14ac:dyDescent="0.55000000000000004">
      <c r="W2954"/>
    </row>
    <row r="2955" spans="23:23" x14ac:dyDescent="0.55000000000000004">
      <c r="W2955"/>
    </row>
    <row r="2956" spans="23:23" x14ac:dyDescent="0.55000000000000004">
      <c r="W2956"/>
    </row>
    <row r="2957" spans="23:23" x14ac:dyDescent="0.55000000000000004">
      <c r="W2957"/>
    </row>
    <row r="2958" spans="23:23" x14ac:dyDescent="0.55000000000000004">
      <c r="W2958"/>
    </row>
    <row r="2959" spans="23:23" x14ac:dyDescent="0.55000000000000004">
      <c r="W2959"/>
    </row>
    <row r="2960" spans="23:23" x14ac:dyDescent="0.55000000000000004">
      <c r="W2960"/>
    </row>
    <row r="2961" spans="23:23" x14ac:dyDescent="0.55000000000000004">
      <c r="W2961"/>
    </row>
    <row r="2962" spans="23:23" x14ac:dyDescent="0.55000000000000004">
      <c r="W2962"/>
    </row>
    <row r="2963" spans="23:23" x14ac:dyDescent="0.55000000000000004">
      <c r="W2963"/>
    </row>
    <row r="2964" spans="23:23" x14ac:dyDescent="0.55000000000000004">
      <c r="W2964"/>
    </row>
    <row r="2965" spans="23:23" x14ac:dyDescent="0.55000000000000004">
      <c r="W2965"/>
    </row>
    <row r="2966" spans="23:23" x14ac:dyDescent="0.55000000000000004">
      <c r="W2966"/>
    </row>
    <row r="2967" spans="23:23" x14ac:dyDescent="0.55000000000000004">
      <c r="W2967"/>
    </row>
    <row r="2968" spans="23:23" x14ac:dyDescent="0.55000000000000004">
      <c r="W2968"/>
    </row>
    <row r="2969" spans="23:23" x14ac:dyDescent="0.55000000000000004">
      <c r="W2969"/>
    </row>
    <row r="2970" spans="23:23" x14ac:dyDescent="0.55000000000000004">
      <c r="W2970"/>
    </row>
    <row r="2971" spans="23:23" x14ac:dyDescent="0.55000000000000004">
      <c r="W2971"/>
    </row>
    <row r="2972" spans="23:23" x14ac:dyDescent="0.55000000000000004">
      <c r="W2972"/>
    </row>
    <row r="2973" spans="23:23" x14ac:dyDescent="0.55000000000000004">
      <c r="W2973"/>
    </row>
    <row r="2974" spans="23:23" x14ac:dyDescent="0.55000000000000004">
      <c r="W2974"/>
    </row>
    <row r="2975" spans="23:23" x14ac:dyDescent="0.55000000000000004">
      <c r="W2975"/>
    </row>
    <row r="2976" spans="23:23" x14ac:dyDescent="0.55000000000000004">
      <c r="W2976"/>
    </row>
    <row r="2977" spans="23:23" x14ac:dyDescent="0.55000000000000004">
      <c r="W2977"/>
    </row>
    <row r="2978" spans="23:23" x14ac:dyDescent="0.55000000000000004">
      <c r="W2978"/>
    </row>
    <row r="2979" spans="23:23" x14ac:dyDescent="0.55000000000000004">
      <c r="W2979"/>
    </row>
    <row r="2980" spans="23:23" x14ac:dyDescent="0.55000000000000004">
      <c r="W2980"/>
    </row>
    <row r="2981" spans="23:23" x14ac:dyDescent="0.55000000000000004">
      <c r="W2981"/>
    </row>
    <row r="2982" spans="23:23" x14ac:dyDescent="0.55000000000000004">
      <c r="W2982"/>
    </row>
    <row r="2983" spans="23:23" x14ac:dyDescent="0.55000000000000004">
      <c r="W2983"/>
    </row>
    <row r="2984" spans="23:23" x14ac:dyDescent="0.55000000000000004">
      <c r="W2984"/>
    </row>
    <row r="2985" spans="23:23" x14ac:dyDescent="0.55000000000000004">
      <c r="W2985"/>
    </row>
    <row r="2986" spans="23:23" x14ac:dyDescent="0.55000000000000004">
      <c r="W2986"/>
    </row>
    <row r="2987" spans="23:23" x14ac:dyDescent="0.55000000000000004">
      <c r="W2987"/>
    </row>
    <row r="2988" spans="23:23" x14ac:dyDescent="0.55000000000000004">
      <c r="W2988"/>
    </row>
    <row r="2989" spans="23:23" x14ac:dyDescent="0.55000000000000004">
      <c r="W2989"/>
    </row>
    <row r="2990" spans="23:23" x14ac:dyDescent="0.55000000000000004">
      <c r="W2990"/>
    </row>
    <row r="2991" spans="23:23" x14ac:dyDescent="0.55000000000000004">
      <c r="W2991"/>
    </row>
    <row r="2992" spans="23:23" x14ac:dyDescent="0.55000000000000004">
      <c r="W2992"/>
    </row>
    <row r="2993" spans="23:23" x14ac:dyDescent="0.55000000000000004">
      <c r="W2993"/>
    </row>
    <row r="2994" spans="23:23" x14ac:dyDescent="0.55000000000000004">
      <c r="W2994"/>
    </row>
    <row r="2995" spans="23:23" x14ac:dyDescent="0.55000000000000004">
      <c r="W2995"/>
    </row>
    <row r="2996" spans="23:23" x14ac:dyDescent="0.55000000000000004">
      <c r="W2996"/>
    </row>
    <row r="2997" spans="23:23" x14ac:dyDescent="0.55000000000000004">
      <c r="W2997"/>
    </row>
    <row r="2998" spans="23:23" x14ac:dyDescent="0.55000000000000004">
      <c r="W2998"/>
    </row>
    <row r="2999" spans="23:23" x14ac:dyDescent="0.55000000000000004">
      <c r="W2999"/>
    </row>
    <row r="3000" spans="23:23" x14ac:dyDescent="0.55000000000000004">
      <c r="W3000"/>
    </row>
    <row r="3001" spans="23:23" x14ac:dyDescent="0.55000000000000004">
      <c r="W3001"/>
    </row>
    <row r="3002" spans="23:23" x14ac:dyDescent="0.55000000000000004">
      <c r="W3002"/>
    </row>
    <row r="3003" spans="23:23" x14ac:dyDescent="0.55000000000000004">
      <c r="W3003"/>
    </row>
    <row r="3004" spans="23:23" x14ac:dyDescent="0.55000000000000004">
      <c r="W3004"/>
    </row>
    <row r="3005" spans="23:23" x14ac:dyDescent="0.55000000000000004">
      <c r="W3005"/>
    </row>
    <row r="3006" spans="23:23" x14ac:dyDescent="0.55000000000000004">
      <c r="W3006"/>
    </row>
    <row r="3007" spans="23:23" x14ac:dyDescent="0.55000000000000004">
      <c r="W3007"/>
    </row>
    <row r="3008" spans="23:23" x14ac:dyDescent="0.55000000000000004">
      <c r="W3008"/>
    </row>
    <row r="3009" spans="23:23" x14ac:dyDescent="0.55000000000000004">
      <c r="W3009"/>
    </row>
    <row r="3010" spans="23:23" x14ac:dyDescent="0.55000000000000004">
      <c r="W3010"/>
    </row>
    <row r="3011" spans="23:23" x14ac:dyDescent="0.55000000000000004">
      <c r="W3011"/>
    </row>
    <row r="3012" spans="23:23" x14ac:dyDescent="0.55000000000000004">
      <c r="W3012"/>
    </row>
    <row r="3013" spans="23:23" x14ac:dyDescent="0.55000000000000004">
      <c r="W3013"/>
    </row>
    <row r="3014" spans="23:23" x14ac:dyDescent="0.55000000000000004">
      <c r="W3014"/>
    </row>
    <row r="3015" spans="23:23" x14ac:dyDescent="0.55000000000000004">
      <c r="W3015"/>
    </row>
    <row r="3016" spans="23:23" x14ac:dyDescent="0.55000000000000004">
      <c r="W3016"/>
    </row>
    <row r="3017" spans="23:23" x14ac:dyDescent="0.55000000000000004">
      <c r="W3017"/>
    </row>
    <row r="3018" spans="23:23" x14ac:dyDescent="0.55000000000000004">
      <c r="W3018"/>
    </row>
    <row r="3019" spans="23:23" x14ac:dyDescent="0.55000000000000004">
      <c r="W3019"/>
    </row>
    <row r="3020" spans="23:23" x14ac:dyDescent="0.55000000000000004">
      <c r="W3020"/>
    </row>
    <row r="3021" spans="23:23" x14ac:dyDescent="0.55000000000000004">
      <c r="W3021"/>
    </row>
    <row r="3022" spans="23:23" x14ac:dyDescent="0.55000000000000004">
      <c r="W3022"/>
    </row>
    <row r="3023" spans="23:23" x14ac:dyDescent="0.55000000000000004">
      <c r="W3023"/>
    </row>
    <row r="3024" spans="23:23" x14ac:dyDescent="0.55000000000000004">
      <c r="W3024"/>
    </row>
    <row r="3025" spans="23:23" x14ac:dyDescent="0.55000000000000004">
      <c r="W3025"/>
    </row>
    <row r="3026" spans="23:23" x14ac:dyDescent="0.55000000000000004">
      <c r="W3026"/>
    </row>
    <row r="3027" spans="23:23" x14ac:dyDescent="0.55000000000000004">
      <c r="W3027"/>
    </row>
    <row r="3028" spans="23:23" x14ac:dyDescent="0.55000000000000004">
      <c r="W3028"/>
    </row>
    <row r="3029" spans="23:23" x14ac:dyDescent="0.55000000000000004">
      <c r="W3029"/>
    </row>
    <row r="3030" spans="23:23" x14ac:dyDescent="0.55000000000000004">
      <c r="W3030"/>
    </row>
    <row r="3031" spans="23:23" x14ac:dyDescent="0.55000000000000004">
      <c r="W3031"/>
    </row>
    <row r="3032" spans="23:23" x14ac:dyDescent="0.55000000000000004">
      <c r="W3032"/>
    </row>
    <row r="3033" spans="23:23" x14ac:dyDescent="0.55000000000000004">
      <c r="W3033"/>
    </row>
    <row r="3034" spans="23:23" x14ac:dyDescent="0.55000000000000004">
      <c r="W3034"/>
    </row>
    <row r="3035" spans="23:23" x14ac:dyDescent="0.55000000000000004">
      <c r="W3035"/>
    </row>
    <row r="3036" spans="23:23" x14ac:dyDescent="0.55000000000000004">
      <c r="W3036"/>
    </row>
    <row r="3037" spans="23:23" x14ac:dyDescent="0.55000000000000004">
      <c r="W3037"/>
    </row>
    <row r="3038" spans="23:23" x14ac:dyDescent="0.55000000000000004">
      <c r="W3038"/>
    </row>
    <row r="3039" spans="23:23" x14ac:dyDescent="0.55000000000000004">
      <c r="W3039"/>
    </row>
    <row r="3040" spans="23:23" x14ac:dyDescent="0.55000000000000004">
      <c r="W3040"/>
    </row>
    <row r="3041" spans="23:23" x14ac:dyDescent="0.55000000000000004">
      <c r="W3041"/>
    </row>
    <row r="3042" spans="23:23" x14ac:dyDescent="0.55000000000000004">
      <c r="W3042"/>
    </row>
    <row r="3043" spans="23:23" x14ac:dyDescent="0.55000000000000004">
      <c r="W3043"/>
    </row>
    <row r="3044" spans="23:23" x14ac:dyDescent="0.55000000000000004">
      <c r="W3044"/>
    </row>
    <row r="3045" spans="23:23" x14ac:dyDescent="0.55000000000000004">
      <c r="W3045"/>
    </row>
    <row r="3046" spans="23:23" x14ac:dyDescent="0.55000000000000004">
      <c r="W3046"/>
    </row>
    <row r="3047" spans="23:23" x14ac:dyDescent="0.55000000000000004">
      <c r="W3047"/>
    </row>
    <row r="3048" spans="23:23" x14ac:dyDescent="0.55000000000000004">
      <c r="W3048"/>
    </row>
    <row r="3049" spans="23:23" x14ac:dyDescent="0.55000000000000004">
      <c r="W3049"/>
    </row>
    <row r="3050" spans="23:23" x14ac:dyDescent="0.55000000000000004">
      <c r="W3050"/>
    </row>
    <row r="3051" spans="23:23" x14ac:dyDescent="0.55000000000000004">
      <c r="W3051"/>
    </row>
    <row r="3052" spans="23:23" x14ac:dyDescent="0.55000000000000004">
      <c r="W3052"/>
    </row>
    <row r="3053" spans="23:23" x14ac:dyDescent="0.55000000000000004">
      <c r="W3053"/>
    </row>
    <row r="3054" spans="23:23" x14ac:dyDescent="0.55000000000000004">
      <c r="W3054"/>
    </row>
    <row r="3055" spans="23:23" x14ac:dyDescent="0.55000000000000004">
      <c r="W3055"/>
    </row>
    <row r="3056" spans="23:23" x14ac:dyDescent="0.55000000000000004">
      <c r="W3056"/>
    </row>
    <row r="3057" spans="23:23" x14ac:dyDescent="0.55000000000000004">
      <c r="W3057"/>
    </row>
    <row r="3058" spans="23:23" x14ac:dyDescent="0.55000000000000004">
      <c r="W3058"/>
    </row>
    <row r="3059" spans="23:23" x14ac:dyDescent="0.55000000000000004">
      <c r="W3059"/>
    </row>
    <row r="3060" spans="23:23" x14ac:dyDescent="0.55000000000000004">
      <c r="W3060"/>
    </row>
    <row r="3061" spans="23:23" x14ac:dyDescent="0.55000000000000004">
      <c r="W3061"/>
    </row>
    <row r="3062" spans="23:23" x14ac:dyDescent="0.55000000000000004">
      <c r="W3062"/>
    </row>
    <row r="3063" spans="23:23" x14ac:dyDescent="0.55000000000000004">
      <c r="W3063"/>
    </row>
    <row r="3064" spans="23:23" x14ac:dyDescent="0.55000000000000004">
      <c r="W3064"/>
    </row>
    <row r="3065" spans="23:23" x14ac:dyDescent="0.55000000000000004">
      <c r="W3065"/>
    </row>
    <row r="3066" spans="23:23" x14ac:dyDescent="0.55000000000000004">
      <c r="W3066"/>
    </row>
    <row r="3067" spans="23:23" x14ac:dyDescent="0.55000000000000004">
      <c r="W3067"/>
    </row>
    <row r="3068" spans="23:23" x14ac:dyDescent="0.55000000000000004">
      <c r="W3068"/>
    </row>
    <row r="3069" spans="23:23" x14ac:dyDescent="0.55000000000000004">
      <c r="W3069"/>
    </row>
    <row r="3070" spans="23:23" x14ac:dyDescent="0.55000000000000004">
      <c r="W3070"/>
    </row>
    <row r="3071" spans="23:23" x14ac:dyDescent="0.55000000000000004">
      <c r="W3071"/>
    </row>
    <row r="3072" spans="23:23" x14ac:dyDescent="0.55000000000000004">
      <c r="W3072"/>
    </row>
    <row r="3073" spans="23:23" x14ac:dyDescent="0.55000000000000004">
      <c r="W3073"/>
    </row>
    <row r="3074" spans="23:23" x14ac:dyDescent="0.55000000000000004">
      <c r="W3074"/>
    </row>
    <row r="3075" spans="23:23" x14ac:dyDescent="0.55000000000000004">
      <c r="W3075"/>
    </row>
    <row r="3076" spans="23:23" x14ac:dyDescent="0.55000000000000004">
      <c r="W3076"/>
    </row>
    <row r="3077" spans="23:23" x14ac:dyDescent="0.55000000000000004">
      <c r="W3077"/>
    </row>
    <row r="3078" spans="23:23" x14ac:dyDescent="0.55000000000000004">
      <c r="W3078"/>
    </row>
    <row r="3079" spans="23:23" x14ac:dyDescent="0.55000000000000004">
      <c r="W3079"/>
    </row>
    <row r="3080" spans="23:23" x14ac:dyDescent="0.55000000000000004">
      <c r="W3080"/>
    </row>
    <row r="3081" spans="23:23" x14ac:dyDescent="0.55000000000000004">
      <c r="W3081"/>
    </row>
    <row r="3082" spans="23:23" x14ac:dyDescent="0.55000000000000004">
      <c r="W3082"/>
    </row>
    <row r="3083" spans="23:23" x14ac:dyDescent="0.55000000000000004">
      <c r="W3083"/>
    </row>
    <row r="3084" spans="23:23" x14ac:dyDescent="0.55000000000000004">
      <c r="W3084"/>
    </row>
    <row r="3085" spans="23:23" x14ac:dyDescent="0.55000000000000004">
      <c r="W3085"/>
    </row>
    <row r="3086" spans="23:23" x14ac:dyDescent="0.55000000000000004">
      <c r="W3086"/>
    </row>
    <row r="3087" spans="23:23" x14ac:dyDescent="0.55000000000000004">
      <c r="W3087"/>
    </row>
    <row r="3088" spans="23:23" x14ac:dyDescent="0.55000000000000004">
      <c r="W3088"/>
    </row>
    <row r="3089" spans="23:23" x14ac:dyDescent="0.55000000000000004">
      <c r="W3089"/>
    </row>
    <row r="3090" spans="23:23" x14ac:dyDescent="0.55000000000000004">
      <c r="W3090"/>
    </row>
    <row r="3091" spans="23:23" x14ac:dyDescent="0.55000000000000004">
      <c r="W3091"/>
    </row>
    <row r="3092" spans="23:23" x14ac:dyDescent="0.55000000000000004">
      <c r="W3092"/>
    </row>
    <row r="3093" spans="23:23" x14ac:dyDescent="0.55000000000000004">
      <c r="W3093"/>
    </row>
    <row r="3094" spans="23:23" x14ac:dyDescent="0.55000000000000004">
      <c r="W3094"/>
    </row>
    <row r="3095" spans="23:23" x14ac:dyDescent="0.55000000000000004">
      <c r="W3095"/>
    </row>
    <row r="3096" spans="23:23" x14ac:dyDescent="0.55000000000000004">
      <c r="W3096"/>
    </row>
    <row r="3097" spans="23:23" x14ac:dyDescent="0.55000000000000004">
      <c r="W3097"/>
    </row>
    <row r="3098" spans="23:23" x14ac:dyDescent="0.55000000000000004">
      <c r="W3098"/>
    </row>
    <row r="3099" spans="23:23" x14ac:dyDescent="0.55000000000000004">
      <c r="W3099"/>
    </row>
    <row r="3100" spans="23:23" x14ac:dyDescent="0.55000000000000004">
      <c r="W3100"/>
    </row>
    <row r="3101" spans="23:23" x14ac:dyDescent="0.55000000000000004">
      <c r="W3101"/>
    </row>
    <row r="3102" spans="23:23" x14ac:dyDescent="0.55000000000000004">
      <c r="W3102"/>
    </row>
    <row r="3103" spans="23:23" x14ac:dyDescent="0.55000000000000004">
      <c r="W3103"/>
    </row>
    <row r="3104" spans="23:23" x14ac:dyDescent="0.55000000000000004">
      <c r="W3104"/>
    </row>
    <row r="3105" spans="23:23" x14ac:dyDescent="0.55000000000000004">
      <c r="W3105"/>
    </row>
    <row r="3106" spans="23:23" x14ac:dyDescent="0.55000000000000004">
      <c r="W3106"/>
    </row>
    <row r="3107" spans="23:23" x14ac:dyDescent="0.55000000000000004">
      <c r="W3107"/>
    </row>
    <row r="3108" spans="23:23" x14ac:dyDescent="0.55000000000000004">
      <c r="W3108"/>
    </row>
    <row r="3109" spans="23:23" x14ac:dyDescent="0.55000000000000004">
      <c r="W3109"/>
    </row>
    <row r="3110" spans="23:23" x14ac:dyDescent="0.55000000000000004">
      <c r="W3110"/>
    </row>
    <row r="3111" spans="23:23" x14ac:dyDescent="0.55000000000000004">
      <c r="W3111"/>
    </row>
    <row r="3112" spans="23:23" x14ac:dyDescent="0.55000000000000004">
      <c r="W3112"/>
    </row>
    <row r="3113" spans="23:23" x14ac:dyDescent="0.55000000000000004">
      <c r="W3113"/>
    </row>
    <row r="3114" spans="23:23" x14ac:dyDescent="0.55000000000000004">
      <c r="W3114"/>
    </row>
    <row r="3115" spans="23:23" x14ac:dyDescent="0.55000000000000004">
      <c r="W3115"/>
    </row>
    <row r="3116" spans="23:23" x14ac:dyDescent="0.55000000000000004">
      <c r="W3116"/>
    </row>
    <row r="3117" spans="23:23" x14ac:dyDescent="0.55000000000000004">
      <c r="W3117"/>
    </row>
    <row r="3118" spans="23:23" x14ac:dyDescent="0.55000000000000004">
      <c r="W3118"/>
    </row>
    <row r="3119" spans="23:23" x14ac:dyDescent="0.55000000000000004">
      <c r="W3119"/>
    </row>
    <row r="3120" spans="23:23" x14ac:dyDescent="0.55000000000000004">
      <c r="W3120"/>
    </row>
    <row r="3121" spans="23:23" x14ac:dyDescent="0.55000000000000004">
      <c r="W3121"/>
    </row>
    <row r="3122" spans="23:23" x14ac:dyDescent="0.55000000000000004">
      <c r="W3122"/>
    </row>
    <row r="3123" spans="23:23" x14ac:dyDescent="0.55000000000000004">
      <c r="W3123"/>
    </row>
    <row r="3124" spans="23:23" x14ac:dyDescent="0.55000000000000004">
      <c r="W3124"/>
    </row>
    <row r="3125" spans="23:23" x14ac:dyDescent="0.55000000000000004">
      <c r="W3125"/>
    </row>
    <row r="3126" spans="23:23" x14ac:dyDescent="0.55000000000000004">
      <c r="W3126"/>
    </row>
    <row r="3127" spans="23:23" x14ac:dyDescent="0.55000000000000004">
      <c r="W3127"/>
    </row>
    <row r="3128" spans="23:23" x14ac:dyDescent="0.55000000000000004">
      <c r="W3128"/>
    </row>
    <row r="3129" spans="23:23" x14ac:dyDescent="0.55000000000000004">
      <c r="W3129"/>
    </row>
    <row r="3130" spans="23:23" x14ac:dyDescent="0.55000000000000004">
      <c r="W3130"/>
    </row>
    <row r="3131" spans="23:23" x14ac:dyDescent="0.55000000000000004">
      <c r="W3131"/>
    </row>
    <row r="3132" spans="23:23" x14ac:dyDescent="0.55000000000000004">
      <c r="W3132"/>
    </row>
    <row r="3133" spans="23:23" x14ac:dyDescent="0.55000000000000004">
      <c r="W3133"/>
    </row>
    <row r="3134" spans="23:23" x14ac:dyDescent="0.55000000000000004">
      <c r="W3134"/>
    </row>
    <row r="3135" spans="23:23" x14ac:dyDescent="0.55000000000000004">
      <c r="W3135"/>
    </row>
    <row r="3136" spans="23:23" x14ac:dyDescent="0.55000000000000004">
      <c r="W3136"/>
    </row>
    <row r="3137" spans="23:23" x14ac:dyDescent="0.55000000000000004">
      <c r="W3137"/>
    </row>
    <row r="3138" spans="23:23" x14ac:dyDescent="0.55000000000000004">
      <c r="W3138"/>
    </row>
    <row r="3139" spans="23:23" x14ac:dyDescent="0.55000000000000004">
      <c r="W3139"/>
    </row>
    <row r="3140" spans="23:23" x14ac:dyDescent="0.55000000000000004">
      <c r="W3140"/>
    </row>
    <row r="3141" spans="23:23" x14ac:dyDescent="0.55000000000000004">
      <c r="W3141"/>
    </row>
    <row r="3142" spans="23:23" x14ac:dyDescent="0.55000000000000004">
      <c r="W3142"/>
    </row>
    <row r="3143" spans="23:23" x14ac:dyDescent="0.55000000000000004">
      <c r="W3143"/>
    </row>
    <row r="3144" spans="23:23" x14ac:dyDescent="0.55000000000000004">
      <c r="W3144"/>
    </row>
    <row r="3145" spans="23:23" x14ac:dyDescent="0.55000000000000004">
      <c r="W3145"/>
    </row>
    <row r="3146" spans="23:23" x14ac:dyDescent="0.55000000000000004">
      <c r="W3146"/>
    </row>
    <row r="3147" spans="23:23" x14ac:dyDescent="0.55000000000000004">
      <c r="W3147"/>
    </row>
    <row r="3148" spans="23:23" x14ac:dyDescent="0.55000000000000004">
      <c r="W3148"/>
    </row>
    <row r="3149" spans="23:23" x14ac:dyDescent="0.55000000000000004">
      <c r="W3149"/>
    </row>
    <row r="3150" spans="23:23" x14ac:dyDescent="0.55000000000000004">
      <c r="W3150"/>
    </row>
    <row r="3151" spans="23:23" x14ac:dyDescent="0.55000000000000004">
      <c r="W3151"/>
    </row>
    <row r="3152" spans="23:23" x14ac:dyDescent="0.55000000000000004">
      <c r="W3152"/>
    </row>
    <row r="3153" spans="23:23" x14ac:dyDescent="0.55000000000000004">
      <c r="W3153"/>
    </row>
    <row r="3154" spans="23:23" x14ac:dyDescent="0.55000000000000004">
      <c r="W3154"/>
    </row>
    <row r="3155" spans="23:23" x14ac:dyDescent="0.55000000000000004">
      <c r="W3155"/>
    </row>
    <row r="3156" spans="23:23" x14ac:dyDescent="0.55000000000000004">
      <c r="W3156"/>
    </row>
    <row r="3157" spans="23:23" x14ac:dyDescent="0.55000000000000004">
      <c r="W3157"/>
    </row>
    <row r="3158" spans="23:23" x14ac:dyDescent="0.55000000000000004">
      <c r="W3158"/>
    </row>
    <row r="3159" spans="23:23" x14ac:dyDescent="0.55000000000000004">
      <c r="W3159"/>
    </row>
    <row r="3160" spans="23:23" x14ac:dyDescent="0.55000000000000004">
      <c r="W3160"/>
    </row>
    <row r="3161" spans="23:23" x14ac:dyDescent="0.55000000000000004">
      <c r="W3161"/>
    </row>
    <row r="3162" spans="23:23" x14ac:dyDescent="0.55000000000000004">
      <c r="W3162"/>
    </row>
    <row r="3163" spans="23:23" x14ac:dyDescent="0.55000000000000004">
      <c r="W3163"/>
    </row>
    <row r="3164" spans="23:23" x14ac:dyDescent="0.55000000000000004">
      <c r="W3164"/>
    </row>
    <row r="3165" spans="23:23" x14ac:dyDescent="0.55000000000000004">
      <c r="W3165"/>
    </row>
    <row r="3166" spans="23:23" x14ac:dyDescent="0.55000000000000004">
      <c r="W3166"/>
    </row>
    <row r="3167" spans="23:23" x14ac:dyDescent="0.55000000000000004">
      <c r="W3167"/>
    </row>
    <row r="3168" spans="23:23" x14ac:dyDescent="0.55000000000000004">
      <c r="W3168"/>
    </row>
    <row r="3169" spans="23:23" x14ac:dyDescent="0.55000000000000004">
      <c r="W3169"/>
    </row>
    <row r="3170" spans="23:23" x14ac:dyDescent="0.55000000000000004">
      <c r="W3170"/>
    </row>
    <row r="3171" spans="23:23" x14ac:dyDescent="0.55000000000000004">
      <c r="W3171"/>
    </row>
    <row r="3172" spans="23:23" x14ac:dyDescent="0.55000000000000004">
      <c r="W3172"/>
    </row>
    <row r="3173" spans="23:23" x14ac:dyDescent="0.55000000000000004">
      <c r="W3173"/>
    </row>
    <row r="3174" spans="23:23" x14ac:dyDescent="0.55000000000000004">
      <c r="W3174"/>
    </row>
    <row r="3175" spans="23:23" x14ac:dyDescent="0.55000000000000004">
      <c r="W3175"/>
    </row>
    <row r="3176" spans="23:23" x14ac:dyDescent="0.55000000000000004">
      <c r="W3176"/>
    </row>
    <row r="3177" spans="23:23" x14ac:dyDescent="0.55000000000000004">
      <c r="W3177"/>
    </row>
    <row r="3178" spans="23:23" x14ac:dyDescent="0.55000000000000004">
      <c r="W3178"/>
    </row>
    <row r="3179" spans="23:23" x14ac:dyDescent="0.55000000000000004">
      <c r="W3179"/>
    </row>
    <row r="3180" spans="23:23" x14ac:dyDescent="0.55000000000000004">
      <c r="W3180"/>
    </row>
    <row r="3181" spans="23:23" x14ac:dyDescent="0.55000000000000004">
      <c r="W3181"/>
    </row>
    <row r="3182" spans="23:23" x14ac:dyDescent="0.55000000000000004">
      <c r="W3182"/>
    </row>
    <row r="3183" spans="23:23" x14ac:dyDescent="0.55000000000000004">
      <c r="W3183"/>
    </row>
    <row r="3184" spans="23:23" x14ac:dyDescent="0.55000000000000004">
      <c r="W3184"/>
    </row>
    <row r="3185" spans="23:23" x14ac:dyDescent="0.55000000000000004">
      <c r="W3185"/>
    </row>
    <row r="3186" spans="23:23" x14ac:dyDescent="0.55000000000000004">
      <c r="W3186"/>
    </row>
    <row r="3187" spans="23:23" x14ac:dyDescent="0.55000000000000004">
      <c r="W3187"/>
    </row>
    <row r="3188" spans="23:23" x14ac:dyDescent="0.55000000000000004">
      <c r="W3188"/>
    </row>
    <row r="3189" spans="23:23" x14ac:dyDescent="0.55000000000000004">
      <c r="W3189"/>
    </row>
    <row r="3190" spans="23:23" x14ac:dyDescent="0.55000000000000004">
      <c r="W3190"/>
    </row>
    <row r="3191" spans="23:23" x14ac:dyDescent="0.55000000000000004">
      <c r="W3191"/>
    </row>
    <row r="3192" spans="23:23" x14ac:dyDescent="0.55000000000000004">
      <c r="W3192"/>
    </row>
    <row r="3193" spans="23:23" x14ac:dyDescent="0.55000000000000004">
      <c r="W3193"/>
    </row>
    <row r="3194" spans="23:23" x14ac:dyDescent="0.55000000000000004">
      <c r="W3194"/>
    </row>
    <row r="3195" spans="23:23" x14ac:dyDescent="0.55000000000000004">
      <c r="W3195"/>
    </row>
    <row r="3196" spans="23:23" x14ac:dyDescent="0.55000000000000004">
      <c r="W3196"/>
    </row>
    <row r="3197" spans="23:23" x14ac:dyDescent="0.55000000000000004">
      <c r="W3197"/>
    </row>
    <row r="3198" spans="23:23" x14ac:dyDescent="0.55000000000000004">
      <c r="W3198"/>
    </row>
    <row r="3199" spans="23:23" x14ac:dyDescent="0.55000000000000004">
      <c r="W3199"/>
    </row>
    <row r="3200" spans="23:23" x14ac:dyDescent="0.55000000000000004">
      <c r="W3200"/>
    </row>
    <row r="3201" spans="23:23" x14ac:dyDescent="0.55000000000000004">
      <c r="W3201"/>
    </row>
    <row r="3202" spans="23:23" x14ac:dyDescent="0.55000000000000004">
      <c r="W3202"/>
    </row>
    <row r="3203" spans="23:23" x14ac:dyDescent="0.55000000000000004">
      <c r="W3203"/>
    </row>
    <row r="3204" spans="23:23" x14ac:dyDescent="0.55000000000000004">
      <c r="W3204"/>
    </row>
    <row r="3205" spans="23:23" x14ac:dyDescent="0.55000000000000004">
      <c r="W3205"/>
    </row>
    <row r="3206" spans="23:23" x14ac:dyDescent="0.55000000000000004">
      <c r="W3206"/>
    </row>
    <row r="3207" spans="23:23" x14ac:dyDescent="0.55000000000000004">
      <c r="W3207"/>
    </row>
    <row r="3208" spans="23:23" x14ac:dyDescent="0.55000000000000004">
      <c r="W3208"/>
    </row>
    <row r="3209" spans="23:23" x14ac:dyDescent="0.55000000000000004">
      <c r="W3209"/>
    </row>
    <row r="3210" spans="23:23" x14ac:dyDescent="0.55000000000000004">
      <c r="W3210"/>
    </row>
    <row r="3211" spans="23:23" x14ac:dyDescent="0.55000000000000004">
      <c r="W3211"/>
    </row>
    <row r="3212" spans="23:23" x14ac:dyDescent="0.55000000000000004">
      <c r="W3212"/>
    </row>
    <row r="3213" spans="23:23" x14ac:dyDescent="0.55000000000000004">
      <c r="W3213"/>
    </row>
    <row r="3214" spans="23:23" x14ac:dyDescent="0.55000000000000004">
      <c r="W3214"/>
    </row>
    <row r="3215" spans="23:23" x14ac:dyDescent="0.55000000000000004">
      <c r="W3215"/>
    </row>
    <row r="3216" spans="23:23" x14ac:dyDescent="0.55000000000000004">
      <c r="W3216"/>
    </row>
    <row r="3217" spans="23:23" x14ac:dyDescent="0.55000000000000004">
      <c r="W3217"/>
    </row>
    <row r="3218" spans="23:23" x14ac:dyDescent="0.55000000000000004">
      <c r="W3218"/>
    </row>
    <row r="3219" spans="23:23" x14ac:dyDescent="0.55000000000000004">
      <c r="W3219"/>
    </row>
    <row r="3220" spans="23:23" x14ac:dyDescent="0.55000000000000004">
      <c r="W3220"/>
    </row>
    <row r="3221" spans="23:23" x14ac:dyDescent="0.55000000000000004">
      <c r="W3221"/>
    </row>
    <row r="3222" spans="23:23" x14ac:dyDescent="0.55000000000000004">
      <c r="W3222"/>
    </row>
    <row r="3223" spans="23:23" x14ac:dyDescent="0.55000000000000004">
      <c r="W3223"/>
    </row>
    <row r="3224" spans="23:23" x14ac:dyDescent="0.55000000000000004">
      <c r="W3224"/>
    </row>
    <row r="3225" spans="23:23" x14ac:dyDescent="0.55000000000000004">
      <c r="W3225"/>
    </row>
    <row r="3226" spans="23:23" x14ac:dyDescent="0.55000000000000004">
      <c r="W3226"/>
    </row>
    <row r="3227" spans="23:23" x14ac:dyDescent="0.55000000000000004">
      <c r="W3227"/>
    </row>
    <row r="3228" spans="23:23" x14ac:dyDescent="0.55000000000000004">
      <c r="W3228"/>
    </row>
    <row r="3229" spans="23:23" x14ac:dyDescent="0.55000000000000004">
      <c r="W3229"/>
    </row>
    <row r="3230" spans="23:23" x14ac:dyDescent="0.55000000000000004">
      <c r="W3230"/>
    </row>
    <row r="3231" spans="23:23" x14ac:dyDescent="0.55000000000000004">
      <c r="W3231"/>
    </row>
    <row r="3232" spans="23:23" x14ac:dyDescent="0.55000000000000004">
      <c r="W3232"/>
    </row>
    <row r="3233" spans="23:23" x14ac:dyDescent="0.55000000000000004">
      <c r="W3233"/>
    </row>
    <row r="3234" spans="23:23" x14ac:dyDescent="0.55000000000000004">
      <c r="W3234"/>
    </row>
    <row r="3235" spans="23:23" x14ac:dyDescent="0.55000000000000004">
      <c r="W3235"/>
    </row>
    <row r="3236" spans="23:23" x14ac:dyDescent="0.55000000000000004">
      <c r="W3236"/>
    </row>
    <row r="3237" spans="23:23" x14ac:dyDescent="0.55000000000000004">
      <c r="W3237"/>
    </row>
    <row r="3238" spans="23:23" x14ac:dyDescent="0.55000000000000004">
      <c r="W3238"/>
    </row>
    <row r="3239" spans="23:23" x14ac:dyDescent="0.55000000000000004">
      <c r="W3239"/>
    </row>
    <row r="3240" spans="23:23" x14ac:dyDescent="0.55000000000000004">
      <c r="W3240"/>
    </row>
    <row r="3241" spans="23:23" x14ac:dyDescent="0.55000000000000004">
      <c r="W3241"/>
    </row>
    <row r="3242" spans="23:23" x14ac:dyDescent="0.55000000000000004">
      <c r="W3242"/>
    </row>
    <row r="3243" spans="23:23" x14ac:dyDescent="0.55000000000000004">
      <c r="W3243"/>
    </row>
    <row r="3244" spans="23:23" x14ac:dyDescent="0.55000000000000004">
      <c r="W3244"/>
    </row>
    <row r="3245" spans="23:23" x14ac:dyDescent="0.55000000000000004">
      <c r="W3245"/>
    </row>
    <row r="3246" spans="23:23" x14ac:dyDescent="0.55000000000000004">
      <c r="W3246"/>
    </row>
    <row r="3247" spans="23:23" x14ac:dyDescent="0.55000000000000004">
      <c r="W3247"/>
    </row>
    <row r="3248" spans="23:23" x14ac:dyDescent="0.55000000000000004">
      <c r="W3248"/>
    </row>
    <row r="3249" spans="23:23" x14ac:dyDescent="0.55000000000000004">
      <c r="W3249"/>
    </row>
    <row r="3250" spans="23:23" x14ac:dyDescent="0.55000000000000004">
      <c r="W3250"/>
    </row>
    <row r="3251" spans="23:23" x14ac:dyDescent="0.55000000000000004">
      <c r="W3251"/>
    </row>
    <row r="3252" spans="23:23" x14ac:dyDescent="0.55000000000000004">
      <c r="W3252"/>
    </row>
    <row r="3253" spans="23:23" x14ac:dyDescent="0.55000000000000004">
      <c r="W3253"/>
    </row>
    <row r="3254" spans="23:23" x14ac:dyDescent="0.55000000000000004">
      <c r="W3254"/>
    </row>
    <row r="3255" spans="23:23" x14ac:dyDescent="0.55000000000000004">
      <c r="W3255"/>
    </row>
    <row r="3256" spans="23:23" x14ac:dyDescent="0.55000000000000004">
      <c r="W3256"/>
    </row>
    <row r="3257" spans="23:23" x14ac:dyDescent="0.55000000000000004">
      <c r="W3257"/>
    </row>
    <row r="3258" spans="23:23" x14ac:dyDescent="0.55000000000000004">
      <c r="W3258"/>
    </row>
    <row r="3259" spans="23:23" x14ac:dyDescent="0.55000000000000004">
      <c r="W3259"/>
    </row>
    <row r="3260" spans="23:23" x14ac:dyDescent="0.55000000000000004">
      <c r="W3260"/>
    </row>
    <row r="3261" spans="23:23" x14ac:dyDescent="0.55000000000000004">
      <c r="W3261"/>
    </row>
    <row r="3262" spans="23:23" x14ac:dyDescent="0.55000000000000004">
      <c r="W3262"/>
    </row>
    <row r="3263" spans="23:23" x14ac:dyDescent="0.55000000000000004">
      <c r="W3263"/>
    </row>
    <row r="3264" spans="23:23" x14ac:dyDescent="0.55000000000000004">
      <c r="W3264"/>
    </row>
    <row r="3265" spans="23:23" x14ac:dyDescent="0.55000000000000004">
      <c r="W3265"/>
    </row>
    <row r="3266" spans="23:23" x14ac:dyDescent="0.55000000000000004">
      <c r="W3266"/>
    </row>
    <row r="3267" spans="23:23" x14ac:dyDescent="0.55000000000000004">
      <c r="W3267"/>
    </row>
    <row r="3268" spans="23:23" x14ac:dyDescent="0.55000000000000004">
      <c r="W3268"/>
    </row>
    <row r="3269" spans="23:23" x14ac:dyDescent="0.55000000000000004">
      <c r="W3269"/>
    </row>
    <row r="3270" spans="23:23" x14ac:dyDescent="0.55000000000000004">
      <c r="W3270"/>
    </row>
    <row r="3271" spans="23:23" x14ac:dyDescent="0.55000000000000004">
      <c r="W3271"/>
    </row>
    <row r="3272" spans="23:23" x14ac:dyDescent="0.55000000000000004">
      <c r="W3272"/>
    </row>
    <row r="3273" spans="23:23" x14ac:dyDescent="0.55000000000000004">
      <c r="W3273"/>
    </row>
    <row r="3274" spans="23:23" x14ac:dyDescent="0.55000000000000004">
      <c r="W3274"/>
    </row>
    <row r="3275" spans="23:23" x14ac:dyDescent="0.55000000000000004">
      <c r="W3275"/>
    </row>
    <row r="3276" spans="23:23" x14ac:dyDescent="0.55000000000000004">
      <c r="W3276"/>
    </row>
    <row r="3277" spans="23:23" x14ac:dyDescent="0.55000000000000004">
      <c r="W3277"/>
    </row>
    <row r="3278" spans="23:23" x14ac:dyDescent="0.55000000000000004">
      <c r="W3278"/>
    </row>
    <row r="3279" spans="23:23" x14ac:dyDescent="0.55000000000000004">
      <c r="W3279"/>
    </row>
    <row r="3280" spans="23:23" x14ac:dyDescent="0.55000000000000004">
      <c r="W3280"/>
    </row>
    <row r="3281" spans="23:23" x14ac:dyDescent="0.55000000000000004">
      <c r="W3281"/>
    </row>
    <row r="3282" spans="23:23" x14ac:dyDescent="0.55000000000000004">
      <c r="W3282"/>
    </row>
    <row r="3283" spans="23:23" x14ac:dyDescent="0.55000000000000004">
      <c r="W3283"/>
    </row>
    <row r="3284" spans="23:23" x14ac:dyDescent="0.55000000000000004">
      <c r="W3284"/>
    </row>
    <row r="3285" spans="23:23" x14ac:dyDescent="0.55000000000000004">
      <c r="W3285"/>
    </row>
    <row r="3286" spans="23:23" x14ac:dyDescent="0.55000000000000004">
      <c r="W3286"/>
    </row>
    <row r="3287" spans="23:23" x14ac:dyDescent="0.55000000000000004">
      <c r="W3287"/>
    </row>
    <row r="3288" spans="23:23" x14ac:dyDescent="0.55000000000000004">
      <c r="W3288"/>
    </row>
    <row r="3289" spans="23:23" x14ac:dyDescent="0.55000000000000004">
      <c r="W3289"/>
    </row>
    <row r="3290" spans="23:23" x14ac:dyDescent="0.55000000000000004">
      <c r="W3290"/>
    </row>
    <row r="3291" spans="23:23" x14ac:dyDescent="0.55000000000000004">
      <c r="W3291"/>
    </row>
    <row r="3292" spans="23:23" x14ac:dyDescent="0.55000000000000004">
      <c r="W3292"/>
    </row>
    <row r="3293" spans="23:23" x14ac:dyDescent="0.55000000000000004">
      <c r="W3293"/>
    </row>
    <row r="3294" spans="23:23" x14ac:dyDescent="0.55000000000000004">
      <c r="W3294"/>
    </row>
    <row r="3295" spans="23:23" x14ac:dyDescent="0.55000000000000004">
      <c r="W3295"/>
    </row>
    <row r="3296" spans="23:23" x14ac:dyDescent="0.55000000000000004">
      <c r="W3296"/>
    </row>
    <row r="3297" spans="23:23" x14ac:dyDescent="0.55000000000000004">
      <c r="W3297"/>
    </row>
    <row r="3298" spans="23:23" x14ac:dyDescent="0.55000000000000004">
      <c r="W3298"/>
    </row>
    <row r="3299" spans="23:23" x14ac:dyDescent="0.55000000000000004">
      <c r="W3299"/>
    </row>
    <row r="3300" spans="23:23" x14ac:dyDescent="0.55000000000000004">
      <c r="W3300"/>
    </row>
    <row r="3301" spans="23:23" x14ac:dyDescent="0.55000000000000004">
      <c r="W3301"/>
    </row>
    <row r="3302" spans="23:23" x14ac:dyDescent="0.55000000000000004">
      <c r="W3302"/>
    </row>
    <row r="3303" spans="23:23" x14ac:dyDescent="0.55000000000000004">
      <c r="W3303"/>
    </row>
    <row r="3304" spans="23:23" x14ac:dyDescent="0.55000000000000004">
      <c r="W3304"/>
    </row>
    <row r="3305" spans="23:23" x14ac:dyDescent="0.55000000000000004">
      <c r="W3305"/>
    </row>
    <row r="3306" spans="23:23" x14ac:dyDescent="0.55000000000000004">
      <c r="W3306"/>
    </row>
    <row r="3307" spans="23:23" x14ac:dyDescent="0.55000000000000004">
      <c r="W3307"/>
    </row>
    <row r="3308" spans="23:23" x14ac:dyDescent="0.55000000000000004">
      <c r="W3308"/>
    </row>
    <row r="3309" spans="23:23" x14ac:dyDescent="0.55000000000000004">
      <c r="W3309"/>
    </row>
    <row r="3310" spans="23:23" x14ac:dyDescent="0.55000000000000004">
      <c r="W3310"/>
    </row>
    <row r="3311" spans="23:23" x14ac:dyDescent="0.55000000000000004">
      <c r="W3311"/>
    </row>
    <row r="3312" spans="23:23" x14ac:dyDescent="0.55000000000000004">
      <c r="W3312"/>
    </row>
    <row r="3313" spans="23:23" x14ac:dyDescent="0.55000000000000004">
      <c r="W3313"/>
    </row>
    <row r="3314" spans="23:23" x14ac:dyDescent="0.55000000000000004">
      <c r="W3314"/>
    </row>
    <row r="3315" spans="23:23" x14ac:dyDescent="0.55000000000000004">
      <c r="W3315"/>
    </row>
    <row r="3316" spans="23:23" x14ac:dyDescent="0.55000000000000004">
      <c r="W3316"/>
    </row>
    <row r="3317" spans="23:23" x14ac:dyDescent="0.55000000000000004">
      <c r="W3317"/>
    </row>
    <row r="3318" spans="23:23" x14ac:dyDescent="0.55000000000000004">
      <c r="W3318"/>
    </row>
    <row r="3319" spans="23:23" x14ac:dyDescent="0.55000000000000004">
      <c r="W3319"/>
    </row>
    <row r="3320" spans="23:23" x14ac:dyDescent="0.55000000000000004">
      <c r="W3320"/>
    </row>
    <row r="3321" spans="23:23" x14ac:dyDescent="0.55000000000000004">
      <c r="W3321"/>
    </row>
    <row r="3322" spans="23:23" x14ac:dyDescent="0.55000000000000004">
      <c r="W3322"/>
    </row>
    <row r="3323" spans="23:23" x14ac:dyDescent="0.55000000000000004">
      <c r="W3323"/>
    </row>
    <row r="3324" spans="23:23" x14ac:dyDescent="0.55000000000000004">
      <c r="W3324"/>
    </row>
    <row r="3325" spans="23:23" x14ac:dyDescent="0.55000000000000004">
      <c r="W3325"/>
    </row>
    <row r="3326" spans="23:23" x14ac:dyDescent="0.55000000000000004">
      <c r="W3326"/>
    </row>
    <row r="3327" spans="23:23" x14ac:dyDescent="0.55000000000000004">
      <c r="W3327"/>
    </row>
    <row r="3328" spans="23:23" x14ac:dyDescent="0.55000000000000004">
      <c r="W3328"/>
    </row>
    <row r="3329" spans="23:23" x14ac:dyDescent="0.55000000000000004">
      <c r="W3329"/>
    </row>
    <row r="3330" spans="23:23" x14ac:dyDescent="0.55000000000000004">
      <c r="W3330"/>
    </row>
    <row r="3331" spans="23:23" x14ac:dyDescent="0.55000000000000004">
      <c r="W3331"/>
    </row>
    <row r="3332" spans="23:23" x14ac:dyDescent="0.55000000000000004">
      <c r="W3332"/>
    </row>
    <row r="3333" spans="23:23" x14ac:dyDescent="0.55000000000000004">
      <c r="W3333"/>
    </row>
    <row r="3334" spans="23:23" x14ac:dyDescent="0.55000000000000004">
      <c r="W3334"/>
    </row>
    <row r="3335" spans="23:23" x14ac:dyDescent="0.55000000000000004">
      <c r="W3335"/>
    </row>
    <row r="3336" spans="23:23" x14ac:dyDescent="0.55000000000000004">
      <c r="W3336"/>
    </row>
    <row r="3337" spans="23:23" x14ac:dyDescent="0.55000000000000004">
      <c r="W3337"/>
    </row>
    <row r="3338" spans="23:23" x14ac:dyDescent="0.55000000000000004">
      <c r="W3338"/>
    </row>
    <row r="3339" spans="23:23" x14ac:dyDescent="0.55000000000000004">
      <c r="W3339"/>
    </row>
    <row r="3340" spans="23:23" x14ac:dyDescent="0.55000000000000004">
      <c r="W3340"/>
    </row>
    <row r="3341" spans="23:23" x14ac:dyDescent="0.55000000000000004">
      <c r="W3341"/>
    </row>
    <row r="3342" spans="23:23" x14ac:dyDescent="0.55000000000000004">
      <c r="W3342"/>
    </row>
    <row r="3343" spans="23:23" x14ac:dyDescent="0.55000000000000004">
      <c r="W3343"/>
    </row>
    <row r="3344" spans="23:23" x14ac:dyDescent="0.55000000000000004">
      <c r="W3344"/>
    </row>
    <row r="3345" spans="23:23" x14ac:dyDescent="0.55000000000000004">
      <c r="W3345"/>
    </row>
    <row r="3346" spans="23:23" x14ac:dyDescent="0.55000000000000004">
      <c r="W3346"/>
    </row>
    <row r="3347" spans="23:23" x14ac:dyDescent="0.55000000000000004">
      <c r="W3347"/>
    </row>
    <row r="3348" spans="23:23" x14ac:dyDescent="0.55000000000000004">
      <c r="W3348"/>
    </row>
    <row r="3349" spans="23:23" x14ac:dyDescent="0.55000000000000004">
      <c r="W3349"/>
    </row>
    <row r="3350" spans="23:23" x14ac:dyDescent="0.55000000000000004">
      <c r="W3350"/>
    </row>
    <row r="3351" spans="23:23" x14ac:dyDescent="0.55000000000000004">
      <c r="W3351"/>
    </row>
    <row r="3352" spans="23:23" x14ac:dyDescent="0.55000000000000004">
      <c r="W3352"/>
    </row>
    <row r="3353" spans="23:23" x14ac:dyDescent="0.55000000000000004">
      <c r="W3353"/>
    </row>
    <row r="3354" spans="23:23" x14ac:dyDescent="0.55000000000000004">
      <c r="W3354"/>
    </row>
    <row r="3355" spans="23:23" x14ac:dyDescent="0.55000000000000004">
      <c r="W3355"/>
    </row>
    <row r="3356" spans="23:23" x14ac:dyDescent="0.55000000000000004">
      <c r="W3356"/>
    </row>
    <row r="3357" spans="23:23" x14ac:dyDescent="0.55000000000000004">
      <c r="W3357"/>
    </row>
    <row r="3358" spans="23:23" x14ac:dyDescent="0.55000000000000004">
      <c r="W3358"/>
    </row>
    <row r="3359" spans="23:23" x14ac:dyDescent="0.55000000000000004">
      <c r="W3359"/>
    </row>
    <row r="3360" spans="23:23" x14ac:dyDescent="0.55000000000000004">
      <c r="W3360"/>
    </row>
    <row r="3361" spans="23:23" x14ac:dyDescent="0.55000000000000004">
      <c r="W3361"/>
    </row>
    <row r="3362" spans="23:23" x14ac:dyDescent="0.55000000000000004">
      <c r="W3362"/>
    </row>
    <row r="3363" spans="23:23" x14ac:dyDescent="0.55000000000000004">
      <c r="W3363"/>
    </row>
    <row r="3364" spans="23:23" x14ac:dyDescent="0.55000000000000004">
      <c r="W3364"/>
    </row>
    <row r="3365" spans="23:23" x14ac:dyDescent="0.55000000000000004">
      <c r="W3365"/>
    </row>
    <row r="3366" spans="23:23" x14ac:dyDescent="0.55000000000000004">
      <c r="W3366"/>
    </row>
    <row r="3367" spans="23:23" x14ac:dyDescent="0.55000000000000004">
      <c r="W3367"/>
    </row>
    <row r="3368" spans="23:23" x14ac:dyDescent="0.55000000000000004">
      <c r="W3368"/>
    </row>
    <row r="3369" spans="23:23" x14ac:dyDescent="0.55000000000000004">
      <c r="W3369"/>
    </row>
    <row r="3370" spans="23:23" x14ac:dyDescent="0.55000000000000004">
      <c r="W3370"/>
    </row>
    <row r="3371" spans="23:23" x14ac:dyDescent="0.55000000000000004">
      <c r="W3371"/>
    </row>
    <row r="3372" spans="23:23" x14ac:dyDescent="0.55000000000000004">
      <c r="W3372"/>
    </row>
    <row r="3373" spans="23:23" x14ac:dyDescent="0.55000000000000004">
      <c r="W3373"/>
    </row>
    <row r="3374" spans="23:23" x14ac:dyDescent="0.55000000000000004">
      <c r="W3374"/>
    </row>
    <row r="3375" spans="23:23" x14ac:dyDescent="0.55000000000000004">
      <c r="W3375"/>
    </row>
    <row r="3376" spans="23:23" x14ac:dyDescent="0.55000000000000004">
      <c r="W3376"/>
    </row>
    <row r="3377" spans="23:23" x14ac:dyDescent="0.55000000000000004">
      <c r="W3377"/>
    </row>
    <row r="3378" spans="23:23" x14ac:dyDescent="0.55000000000000004">
      <c r="W3378"/>
    </row>
    <row r="3379" spans="23:23" x14ac:dyDescent="0.55000000000000004">
      <c r="W3379"/>
    </row>
    <row r="3380" spans="23:23" x14ac:dyDescent="0.55000000000000004">
      <c r="W3380"/>
    </row>
    <row r="3381" spans="23:23" x14ac:dyDescent="0.55000000000000004">
      <c r="W3381"/>
    </row>
    <row r="3382" spans="23:23" x14ac:dyDescent="0.55000000000000004">
      <c r="W3382"/>
    </row>
    <row r="3383" spans="23:23" x14ac:dyDescent="0.55000000000000004">
      <c r="W3383"/>
    </row>
    <row r="3384" spans="23:23" x14ac:dyDescent="0.55000000000000004">
      <c r="W3384"/>
    </row>
    <row r="3385" spans="23:23" x14ac:dyDescent="0.55000000000000004">
      <c r="W3385"/>
    </row>
    <row r="3386" spans="23:23" x14ac:dyDescent="0.55000000000000004">
      <c r="W3386"/>
    </row>
    <row r="3387" spans="23:23" x14ac:dyDescent="0.55000000000000004">
      <c r="W3387"/>
    </row>
    <row r="3388" spans="23:23" x14ac:dyDescent="0.55000000000000004">
      <c r="W3388"/>
    </row>
    <row r="3389" spans="23:23" x14ac:dyDescent="0.55000000000000004">
      <c r="W3389"/>
    </row>
    <row r="3390" spans="23:23" x14ac:dyDescent="0.55000000000000004">
      <c r="W3390"/>
    </row>
    <row r="3391" spans="23:23" x14ac:dyDescent="0.55000000000000004">
      <c r="W3391"/>
    </row>
    <row r="3392" spans="23:23" x14ac:dyDescent="0.55000000000000004">
      <c r="W3392"/>
    </row>
    <row r="3393" spans="23:23" x14ac:dyDescent="0.55000000000000004">
      <c r="W3393"/>
    </row>
    <row r="3394" spans="23:23" x14ac:dyDescent="0.55000000000000004">
      <c r="W3394"/>
    </row>
    <row r="3395" spans="23:23" x14ac:dyDescent="0.55000000000000004">
      <c r="W3395"/>
    </row>
    <row r="3396" spans="23:23" x14ac:dyDescent="0.55000000000000004">
      <c r="W3396"/>
    </row>
    <row r="3397" spans="23:23" x14ac:dyDescent="0.55000000000000004">
      <c r="W3397"/>
    </row>
    <row r="3398" spans="23:23" x14ac:dyDescent="0.55000000000000004">
      <c r="W3398"/>
    </row>
    <row r="3399" spans="23:23" x14ac:dyDescent="0.55000000000000004">
      <c r="W3399"/>
    </row>
    <row r="3400" spans="23:23" x14ac:dyDescent="0.55000000000000004">
      <c r="W3400"/>
    </row>
    <row r="3401" spans="23:23" x14ac:dyDescent="0.55000000000000004">
      <c r="W3401"/>
    </row>
    <row r="3402" spans="23:23" x14ac:dyDescent="0.55000000000000004">
      <c r="W3402"/>
    </row>
    <row r="3403" spans="23:23" x14ac:dyDescent="0.55000000000000004">
      <c r="W3403"/>
    </row>
    <row r="3404" spans="23:23" x14ac:dyDescent="0.55000000000000004">
      <c r="W3404"/>
    </row>
    <row r="3405" spans="23:23" x14ac:dyDescent="0.55000000000000004">
      <c r="W3405"/>
    </row>
    <row r="3406" spans="23:23" x14ac:dyDescent="0.55000000000000004">
      <c r="W3406"/>
    </row>
    <row r="3407" spans="23:23" x14ac:dyDescent="0.55000000000000004">
      <c r="W3407"/>
    </row>
    <row r="3408" spans="23:23" x14ac:dyDescent="0.55000000000000004">
      <c r="W3408"/>
    </row>
    <row r="3409" spans="23:23" x14ac:dyDescent="0.55000000000000004">
      <c r="W3409"/>
    </row>
    <row r="3410" spans="23:23" x14ac:dyDescent="0.55000000000000004">
      <c r="W3410"/>
    </row>
    <row r="3411" spans="23:23" x14ac:dyDescent="0.55000000000000004">
      <c r="W3411"/>
    </row>
    <row r="3412" spans="23:23" x14ac:dyDescent="0.55000000000000004">
      <c r="W3412"/>
    </row>
    <row r="3413" spans="23:23" x14ac:dyDescent="0.55000000000000004">
      <c r="W3413"/>
    </row>
    <row r="3414" spans="23:23" x14ac:dyDescent="0.55000000000000004">
      <c r="W3414"/>
    </row>
    <row r="3415" spans="23:23" x14ac:dyDescent="0.55000000000000004">
      <c r="W3415"/>
    </row>
    <row r="3416" spans="23:23" x14ac:dyDescent="0.55000000000000004">
      <c r="W3416"/>
    </row>
    <row r="3417" spans="23:23" x14ac:dyDescent="0.55000000000000004">
      <c r="W3417"/>
    </row>
    <row r="3418" spans="23:23" x14ac:dyDescent="0.55000000000000004">
      <c r="W3418"/>
    </row>
    <row r="3419" spans="23:23" x14ac:dyDescent="0.55000000000000004">
      <c r="W3419"/>
    </row>
    <row r="3420" spans="23:23" x14ac:dyDescent="0.55000000000000004">
      <c r="W3420"/>
    </row>
    <row r="3421" spans="23:23" x14ac:dyDescent="0.55000000000000004">
      <c r="W3421"/>
    </row>
    <row r="3422" spans="23:23" x14ac:dyDescent="0.55000000000000004">
      <c r="W3422"/>
    </row>
    <row r="3423" spans="23:23" x14ac:dyDescent="0.55000000000000004">
      <c r="W3423"/>
    </row>
    <row r="3424" spans="23:23" x14ac:dyDescent="0.55000000000000004">
      <c r="W3424"/>
    </row>
    <row r="3425" spans="23:23" x14ac:dyDescent="0.55000000000000004">
      <c r="W3425"/>
    </row>
    <row r="3426" spans="23:23" x14ac:dyDescent="0.55000000000000004">
      <c r="W3426"/>
    </row>
    <row r="3427" spans="23:23" x14ac:dyDescent="0.55000000000000004">
      <c r="W3427"/>
    </row>
    <row r="3428" spans="23:23" x14ac:dyDescent="0.55000000000000004">
      <c r="W3428"/>
    </row>
    <row r="3429" spans="23:23" x14ac:dyDescent="0.55000000000000004">
      <c r="W3429"/>
    </row>
    <row r="3430" spans="23:23" x14ac:dyDescent="0.55000000000000004">
      <c r="W3430"/>
    </row>
    <row r="3431" spans="23:23" x14ac:dyDescent="0.55000000000000004">
      <c r="W3431"/>
    </row>
    <row r="3432" spans="23:23" x14ac:dyDescent="0.55000000000000004">
      <c r="W3432"/>
    </row>
    <row r="3433" spans="23:23" x14ac:dyDescent="0.55000000000000004">
      <c r="W3433"/>
    </row>
    <row r="3434" spans="23:23" x14ac:dyDescent="0.55000000000000004">
      <c r="W3434"/>
    </row>
    <row r="3435" spans="23:23" x14ac:dyDescent="0.55000000000000004">
      <c r="W3435"/>
    </row>
    <row r="3436" spans="23:23" x14ac:dyDescent="0.55000000000000004">
      <c r="W3436"/>
    </row>
    <row r="3437" spans="23:23" x14ac:dyDescent="0.55000000000000004">
      <c r="W3437"/>
    </row>
    <row r="3438" spans="23:23" x14ac:dyDescent="0.55000000000000004">
      <c r="W3438"/>
    </row>
    <row r="3439" spans="23:23" x14ac:dyDescent="0.55000000000000004">
      <c r="W3439"/>
    </row>
    <row r="3440" spans="23:23" x14ac:dyDescent="0.55000000000000004">
      <c r="W3440"/>
    </row>
    <row r="3441" spans="23:23" x14ac:dyDescent="0.55000000000000004">
      <c r="W3441"/>
    </row>
    <row r="3442" spans="23:23" x14ac:dyDescent="0.55000000000000004">
      <c r="W3442"/>
    </row>
    <row r="3443" spans="23:23" x14ac:dyDescent="0.55000000000000004">
      <c r="W3443"/>
    </row>
    <row r="3444" spans="23:23" x14ac:dyDescent="0.55000000000000004">
      <c r="W3444"/>
    </row>
    <row r="3445" spans="23:23" x14ac:dyDescent="0.55000000000000004">
      <c r="W3445"/>
    </row>
    <row r="3446" spans="23:23" x14ac:dyDescent="0.55000000000000004">
      <c r="W3446"/>
    </row>
    <row r="3447" spans="23:23" x14ac:dyDescent="0.55000000000000004">
      <c r="W3447"/>
    </row>
    <row r="3448" spans="23:23" x14ac:dyDescent="0.55000000000000004">
      <c r="W3448"/>
    </row>
    <row r="3449" spans="23:23" x14ac:dyDescent="0.55000000000000004">
      <c r="W3449"/>
    </row>
    <row r="3450" spans="23:23" x14ac:dyDescent="0.55000000000000004">
      <c r="W3450"/>
    </row>
    <row r="3451" spans="23:23" x14ac:dyDescent="0.55000000000000004">
      <c r="W3451"/>
    </row>
    <row r="3452" spans="23:23" x14ac:dyDescent="0.55000000000000004">
      <c r="W3452"/>
    </row>
    <row r="3453" spans="23:23" x14ac:dyDescent="0.55000000000000004">
      <c r="W3453"/>
    </row>
    <row r="3454" spans="23:23" x14ac:dyDescent="0.55000000000000004">
      <c r="W3454"/>
    </row>
    <row r="3455" spans="23:23" x14ac:dyDescent="0.55000000000000004">
      <c r="W3455"/>
    </row>
    <row r="3456" spans="23:23" x14ac:dyDescent="0.55000000000000004">
      <c r="W3456"/>
    </row>
    <row r="3457" spans="23:23" x14ac:dyDescent="0.55000000000000004">
      <c r="W3457"/>
    </row>
    <row r="3458" spans="23:23" x14ac:dyDescent="0.55000000000000004">
      <c r="W3458"/>
    </row>
    <row r="3459" spans="23:23" x14ac:dyDescent="0.55000000000000004">
      <c r="W3459"/>
    </row>
    <row r="3460" spans="23:23" x14ac:dyDescent="0.55000000000000004">
      <c r="W3460"/>
    </row>
    <row r="3461" spans="23:23" x14ac:dyDescent="0.55000000000000004">
      <c r="W3461"/>
    </row>
    <row r="3462" spans="23:23" x14ac:dyDescent="0.55000000000000004">
      <c r="W3462"/>
    </row>
    <row r="3463" spans="23:23" x14ac:dyDescent="0.55000000000000004">
      <c r="W3463"/>
    </row>
    <row r="3464" spans="23:23" x14ac:dyDescent="0.55000000000000004">
      <c r="W3464"/>
    </row>
    <row r="3465" spans="23:23" x14ac:dyDescent="0.55000000000000004">
      <c r="W3465"/>
    </row>
    <row r="3466" spans="23:23" x14ac:dyDescent="0.55000000000000004">
      <c r="W3466"/>
    </row>
    <row r="3467" spans="23:23" x14ac:dyDescent="0.55000000000000004">
      <c r="W3467"/>
    </row>
    <row r="3468" spans="23:23" x14ac:dyDescent="0.55000000000000004">
      <c r="W3468"/>
    </row>
    <row r="3469" spans="23:23" x14ac:dyDescent="0.55000000000000004">
      <c r="W3469"/>
    </row>
    <row r="3470" spans="23:23" x14ac:dyDescent="0.55000000000000004">
      <c r="W3470"/>
    </row>
    <row r="3471" spans="23:23" x14ac:dyDescent="0.55000000000000004">
      <c r="W3471"/>
    </row>
    <row r="3472" spans="23:23" x14ac:dyDescent="0.55000000000000004">
      <c r="W3472"/>
    </row>
    <row r="3473" spans="23:23" x14ac:dyDescent="0.55000000000000004">
      <c r="W3473"/>
    </row>
    <row r="3474" spans="23:23" x14ac:dyDescent="0.55000000000000004">
      <c r="W3474"/>
    </row>
    <row r="3475" spans="23:23" x14ac:dyDescent="0.55000000000000004">
      <c r="W3475"/>
    </row>
    <row r="3476" spans="23:23" x14ac:dyDescent="0.55000000000000004">
      <c r="W3476"/>
    </row>
    <row r="3477" spans="23:23" x14ac:dyDescent="0.55000000000000004">
      <c r="W3477"/>
    </row>
    <row r="3478" spans="23:23" x14ac:dyDescent="0.55000000000000004">
      <c r="W3478"/>
    </row>
    <row r="3479" spans="23:23" x14ac:dyDescent="0.55000000000000004">
      <c r="W3479"/>
    </row>
    <row r="3480" spans="23:23" x14ac:dyDescent="0.55000000000000004">
      <c r="W3480"/>
    </row>
    <row r="3481" spans="23:23" x14ac:dyDescent="0.55000000000000004">
      <c r="W3481"/>
    </row>
    <row r="3482" spans="23:23" x14ac:dyDescent="0.55000000000000004">
      <c r="W3482"/>
    </row>
    <row r="3483" spans="23:23" x14ac:dyDescent="0.55000000000000004">
      <c r="W3483"/>
    </row>
    <row r="3484" spans="23:23" x14ac:dyDescent="0.55000000000000004">
      <c r="W3484"/>
    </row>
    <row r="3485" spans="23:23" x14ac:dyDescent="0.55000000000000004">
      <c r="W3485"/>
    </row>
    <row r="3486" spans="23:23" x14ac:dyDescent="0.55000000000000004">
      <c r="W3486"/>
    </row>
    <row r="3487" spans="23:23" x14ac:dyDescent="0.55000000000000004">
      <c r="W3487"/>
    </row>
    <row r="3488" spans="23:23" x14ac:dyDescent="0.55000000000000004">
      <c r="W3488"/>
    </row>
    <row r="3489" spans="23:23" x14ac:dyDescent="0.55000000000000004">
      <c r="W3489"/>
    </row>
    <row r="3490" spans="23:23" x14ac:dyDescent="0.55000000000000004">
      <c r="W3490"/>
    </row>
    <row r="3491" spans="23:23" x14ac:dyDescent="0.55000000000000004">
      <c r="W3491"/>
    </row>
    <row r="3492" spans="23:23" x14ac:dyDescent="0.55000000000000004">
      <c r="W3492"/>
    </row>
    <row r="3493" spans="23:23" x14ac:dyDescent="0.55000000000000004">
      <c r="W3493"/>
    </row>
    <row r="3494" spans="23:23" x14ac:dyDescent="0.55000000000000004">
      <c r="W3494"/>
    </row>
    <row r="3495" spans="23:23" x14ac:dyDescent="0.55000000000000004">
      <c r="W3495"/>
    </row>
    <row r="3496" spans="23:23" x14ac:dyDescent="0.55000000000000004">
      <c r="W3496"/>
    </row>
    <row r="3497" spans="23:23" x14ac:dyDescent="0.55000000000000004">
      <c r="W3497"/>
    </row>
    <row r="3498" spans="23:23" x14ac:dyDescent="0.55000000000000004">
      <c r="W3498"/>
    </row>
    <row r="3499" spans="23:23" x14ac:dyDescent="0.55000000000000004">
      <c r="W3499"/>
    </row>
    <row r="3500" spans="23:23" x14ac:dyDescent="0.55000000000000004">
      <c r="W3500"/>
    </row>
    <row r="3501" spans="23:23" x14ac:dyDescent="0.55000000000000004">
      <c r="W3501"/>
    </row>
    <row r="3502" spans="23:23" x14ac:dyDescent="0.55000000000000004">
      <c r="W3502"/>
    </row>
    <row r="3503" spans="23:23" x14ac:dyDescent="0.55000000000000004">
      <c r="W3503"/>
    </row>
    <row r="3504" spans="23:23" x14ac:dyDescent="0.55000000000000004">
      <c r="W3504"/>
    </row>
    <row r="3505" spans="23:23" x14ac:dyDescent="0.55000000000000004">
      <c r="W3505"/>
    </row>
    <row r="3506" spans="23:23" x14ac:dyDescent="0.55000000000000004">
      <c r="W3506"/>
    </row>
    <row r="3507" spans="23:23" x14ac:dyDescent="0.55000000000000004">
      <c r="W3507"/>
    </row>
    <row r="3508" spans="23:23" x14ac:dyDescent="0.55000000000000004">
      <c r="W3508"/>
    </row>
    <row r="3509" spans="23:23" x14ac:dyDescent="0.55000000000000004">
      <c r="W3509"/>
    </row>
    <row r="3510" spans="23:23" x14ac:dyDescent="0.55000000000000004">
      <c r="W3510"/>
    </row>
    <row r="3511" spans="23:23" x14ac:dyDescent="0.55000000000000004">
      <c r="W3511"/>
    </row>
    <row r="3512" spans="23:23" x14ac:dyDescent="0.55000000000000004">
      <c r="W3512"/>
    </row>
    <row r="3513" spans="23:23" x14ac:dyDescent="0.55000000000000004">
      <c r="W3513"/>
    </row>
    <row r="3514" spans="23:23" x14ac:dyDescent="0.55000000000000004">
      <c r="W3514"/>
    </row>
    <row r="3515" spans="23:23" x14ac:dyDescent="0.55000000000000004">
      <c r="W3515"/>
    </row>
    <row r="3516" spans="23:23" x14ac:dyDescent="0.55000000000000004">
      <c r="W3516"/>
    </row>
    <row r="3517" spans="23:23" x14ac:dyDescent="0.55000000000000004">
      <c r="W3517"/>
    </row>
    <row r="3518" spans="23:23" x14ac:dyDescent="0.55000000000000004">
      <c r="W3518"/>
    </row>
    <row r="3519" spans="23:23" x14ac:dyDescent="0.55000000000000004">
      <c r="W3519"/>
    </row>
    <row r="3520" spans="23:23" x14ac:dyDescent="0.55000000000000004">
      <c r="W3520"/>
    </row>
    <row r="3521" spans="23:23" x14ac:dyDescent="0.55000000000000004">
      <c r="W3521"/>
    </row>
    <row r="3522" spans="23:23" x14ac:dyDescent="0.55000000000000004">
      <c r="W3522"/>
    </row>
    <row r="3523" spans="23:23" x14ac:dyDescent="0.55000000000000004">
      <c r="W3523"/>
    </row>
    <row r="3524" spans="23:23" x14ac:dyDescent="0.55000000000000004">
      <c r="W3524"/>
    </row>
    <row r="3525" spans="23:23" x14ac:dyDescent="0.55000000000000004">
      <c r="W3525"/>
    </row>
    <row r="3526" spans="23:23" x14ac:dyDescent="0.55000000000000004">
      <c r="W3526"/>
    </row>
    <row r="3527" spans="23:23" x14ac:dyDescent="0.55000000000000004">
      <c r="W3527"/>
    </row>
    <row r="3528" spans="23:23" x14ac:dyDescent="0.55000000000000004">
      <c r="W3528"/>
    </row>
    <row r="3529" spans="23:23" x14ac:dyDescent="0.55000000000000004">
      <c r="W3529"/>
    </row>
    <row r="3530" spans="23:23" x14ac:dyDescent="0.55000000000000004">
      <c r="W3530"/>
    </row>
    <row r="3531" spans="23:23" x14ac:dyDescent="0.55000000000000004">
      <c r="W3531"/>
    </row>
    <row r="3532" spans="23:23" x14ac:dyDescent="0.55000000000000004">
      <c r="W3532"/>
    </row>
    <row r="3533" spans="23:23" x14ac:dyDescent="0.55000000000000004">
      <c r="W3533"/>
    </row>
    <row r="3534" spans="23:23" x14ac:dyDescent="0.55000000000000004">
      <c r="W3534"/>
    </row>
    <row r="3535" spans="23:23" x14ac:dyDescent="0.55000000000000004">
      <c r="W3535"/>
    </row>
    <row r="3536" spans="23:23" x14ac:dyDescent="0.55000000000000004">
      <c r="W3536"/>
    </row>
    <row r="3537" spans="23:23" x14ac:dyDescent="0.55000000000000004">
      <c r="W3537"/>
    </row>
    <row r="3538" spans="23:23" x14ac:dyDescent="0.55000000000000004">
      <c r="W3538"/>
    </row>
    <row r="3539" spans="23:23" x14ac:dyDescent="0.55000000000000004">
      <c r="W3539"/>
    </row>
    <row r="3540" spans="23:23" x14ac:dyDescent="0.55000000000000004">
      <c r="W3540"/>
    </row>
    <row r="3541" spans="23:23" x14ac:dyDescent="0.55000000000000004">
      <c r="W3541"/>
    </row>
    <row r="3542" spans="23:23" x14ac:dyDescent="0.55000000000000004">
      <c r="W3542"/>
    </row>
    <row r="3543" spans="23:23" x14ac:dyDescent="0.55000000000000004">
      <c r="W3543"/>
    </row>
    <row r="3544" spans="23:23" x14ac:dyDescent="0.55000000000000004">
      <c r="W3544"/>
    </row>
    <row r="3545" spans="23:23" x14ac:dyDescent="0.55000000000000004">
      <c r="W3545"/>
    </row>
    <row r="3546" spans="23:23" x14ac:dyDescent="0.55000000000000004">
      <c r="W3546"/>
    </row>
    <row r="3547" spans="23:23" x14ac:dyDescent="0.55000000000000004">
      <c r="W3547"/>
    </row>
    <row r="3548" spans="23:23" x14ac:dyDescent="0.55000000000000004">
      <c r="W3548"/>
    </row>
    <row r="3549" spans="23:23" x14ac:dyDescent="0.55000000000000004">
      <c r="W3549"/>
    </row>
    <row r="3550" spans="23:23" x14ac:dyDescent="0.55000000000000004">
      <c r="W3550"/>
    </row>
    <row r="3551" spans="23:23" x14ac:dyDescent="0.55000000000000004">
      <c r="W3551"/>
    </row>
    <row r="3552" spans="23:23" x14ac:dyDescent="0.55000000000000004">
      <c r="W3552"/>
    </row>
    <row r="3553" spans="23:23" x14ac:dyDescent="0.55000000000000004">
      <c r="W3553"/>
    </row>
    <row r="3554" spans="23:23" x14ac:dyDescent="0.55000000000000004">
      <c r="W3554"/>
    </row>
    <row r="3555" spans="23:23" x14ac:dyDescent="0.55000000000000004">
      <c r="W3555"/>
    </row>
    <row r="3556" spans="23:23" x14ac:dyDescent="0.55000000000000004">
      <c r="W3556"/>
    </row>
    <row r="3557" spans="23:23" x14ac:dyDescent="0.55000000000000004">
      <c r="W3557"/>
    </row>
    <row r="3558" spans="23:23" x14ac:dyDescent="0.55000000000000004">
      <c r="W3558"/>
    </row>
    <row r="3559" spans="23:23" x14ac:dyDescent="0.55000000000000004">
      <c r="W3559"/>
    </row>
    <row r="3560" spans="23:23" x14ac:dyDescent="0.55000000000000004">
      <c r="W3560"/>
    </row>
    <row r="3561" spans="23:23" x14ac:dyDescent="0.55000000000000004">
      <c r="W3561"/>
    </row>
    <row r="3562" spans="23:23" x14ac:dyDescent="0.55000000000000004">
      <c r="W3562"/>
    </row>
    <row r="3563" spans="23:23" x14ac:dyDescent="0.55000000000000004">
      <c r="W3563"/>
    </row>
    <row r="3564" spans="23:23" x14ac:dyDescent="0.55000000000000004">
      <c r="W3564"/>
    </row>
    <row r="3565" spans="23:23" x14ac:dyDescent="0.55000000000000004">
      <c r="W3565"/>
    </row>
    <row r="3566" spans="23:23" x14ac:dyDescent="0.55000000000000004">
      <c r="W3566"/>
    </row>
    <row r="3567" spans="23:23" x14ac:dyDescent="0.55000000000000004">
      <c r="W3567"/>
    </row>
    <row r="3568" spans="23:23" x14ac:dyDescent="0.55000000000000004">
      <c r="W3568"/>
    </row>
    <row r="3569" spans="23:23" x14ac:dyDescent="0.55000000000000004">
      <c r="W3569"/>
    </row>
    <row r="3570" spans="23:23" x14ac:dyDescent="0.55000000000000004">
      <c r="W3570"/>
    </row>
    <row r="3571" spans="23:23" x14ac:dyDescent="0.55000000000000004">
      <c r="W3571"/>
    </row>
    <row r="3572" spans="23:23" x14ac:dyDescent="0.55000000000000004">
      <c r="W3572"/>
    </row>
    <row r="3573" spans="23:23" x14ac:dyDescent="0.55000000000000004">
      <c r="W3573"/>
    </row>
    <row r="3574" spans="23:23" x14ac:dyDescent="0.55000000000000004">
      <c r="W3574"/>
    </row>
    <row r="3575" spans="23:23" x14ac:dyDescent="0.55000000000000004">
      <c r="W3575"/>
    </row>
    <row r="3576" spans="23:23" x14ac:dyDescent="0.55000000000000004">
      <c r="W3576"/>
    </row>
    <row r="3577" spans="23:23" x14ac:dyDescent="0.55000000000000004">
      <c r="W3577"/>
    </row>
    <row r="3578" spans="23:23" x14ac:dyDescent="0.55000000000000004">
      <c r="W3578"/>
    </row>
    <row r="3579" spans="23:23" x14ac:dyDescent="0.55000000000000004">
      <c r="W3579"/>
    </row>
    <row r="3580" spans="23:23" x14ac:dyDescent="0.55000000000000004">
      <c r="W3580"/>
    </row>
    <row r="3581" spans="23:23" x14ac:dyDescent="0.55000000000000004">
      <c r="W3581"/>
    </row>
    <row r="3582" spans="23:23" x14ac:dyDescent="0.55000000000000004">
      <c r="W3582"/>
    </row>
    <row r="3583" spans="23:23" x14ac:dyDescent="0.55000000000000004">
      <c r="W3583"/>
    </row>
    <row r="3584" spans="23:23" x14ac:dyDescent="0.55000000000000004">
      <c r="W3584"/>
    </row>
    <row r="3585" spans="23:23" x14ac:dyDescent="0.55000000000000004">
      <c r="W3585"/>
    </row>
    <row r="3586" spans="23:23" x14ac:dyDescent="0.55000000000000004">
      <c r="W3586"/>
    </row>
    <row r="3587" spans="23:23" x14ac:dyDescent="0.55000000000000004">
      <c r="W3587"/>
    </row>
    <row r="3588" spans="23:23" x14ac:dyDescent="0.55000000000000004">
      <c r="W3588"/>
    </row>
    <row r="3589" spans="23:23" x14ac:dyDescent="0.55000000000000004">
      <c r="W3589"/>
    </row>
    <row r="3590" spans="23:23" x14ac:dyDescent="0.55000000000000004">
      <c r="W3590"/>
    </row>
    <row r="3591" spans="23:23" x14ac:dyDescent="0.55000000000000004">
      <c r="W3591"/>
    </row>
    <row r="3592" spans="23:23" x14ac:dyDescent="0.55000000000000004">
      <c r="W3592"/>
    </row>
    <row r="3593" spans="23:23" x14ac:dyDescent="0.55000000000000004">
      <c r="W3593"/>
    </row>
    <row r="3594" spans="23:23" x14ac:dyDescent="0.55000000000000004">
      <c r="W3594"/>
    </row>
    <row r="3595" spans="23:23" x14ac:dyDescent="0.55000000000000004">
      <c r="W3595"/>
    </row>
    <row r="3596" spans="23:23" x14ac:dyDescent="0.55000000000000004">
      <c r="W3596"/>
    </row>
    <row r="3597" spans="23:23" x14ac:dyDescent="0.55000000000000004">
      <c r="W3597"/>
    </row>
    <row r="3598" spans="23:23" x14ac:dyDescent="0.55000000000000004">
      <c r="W3598"/>
    </row>
    <row r="3599" spans="23:23" x14ac:dyDescent="0.55000000000000004">
      <c r="W3599"/>
    </row>
    <row r="3600" spans="23:23" x14ac:dyDescent="0.55000000000000004">
      <c r="W3600"/>
    </row>
    <row r="3601" spans="23:23" x14ac:dyDescent="0.55000000000000004">
      <c r="W3601"/>
    </row>
    <row r="3602" spans="23:23" x14ac:dyDescent="0.55000000000000004">
      <c r="W3602"/>
    </row>
    <row r="3603" spans="23:23" x14ac:dyDescent="0.55000000000000004">
      <c r="W3603"/>
    </row>
    <row r="3604" spans="23:23" x14ac:dyDescent="0.55000000000000004">
      <c r="W3604"/>
    </row>
    <row r="3605" spans="23:23" x14ac:dyDescent="0.55000000000000004">
      <c r="W3605"/>
    </row>
    <row r="3606" spans="23:23" x14ac:dyDescent="0.55000000000000004">
      <c r="W3606"/>
    </row>
    <row r="3607" spans="23:23" x14ac:dyDescent="0.55000000000000004">
      <c r="W3607"/>
    </row>
    <row r="3608" spans="23:23" x14ac:dyDescent="0.55000000000000004">
      <c r="W3608"/>
    </row>
    <row r="3609" spans="23:23" x14ac:dyDescent="0.55000000000000004">
      <c r="W3609"/>
    </row>
    <row r="3610" spans="23:23" x14ac:dyDescent="0.55000000000000004">
      <c r="W3610"/>
    </row>
    <row r="3611" spans="23:23" x14ac:dyDescent="0.55000000000000004">
      <c r="W3611"/>
    </row>
    <row r="3612" spans="23:23" x14ac:dyDescent="0.55000000000000004">
      <c r="W3612"/>
    </row>
    <row r="3613" spans="23:23" x14ac:dyDescent="0.55000000000000004">
      <c r="W3613"/>
    </row>
    <row r="3614" spans="23:23" x14ac:dyDescent="0.55000000000000004">
      <c r="W3614"/>
    </row>
    <row r="3615" spans="23:23" x14ac:dyDescent="0.55000000000000004">
      <c r="W3615"/>
    </row>
    <row r="3616" spans="23:23" x14ac:dyDescent="0.55000000000000004">
      <c r="W3616"/>
    </row>
    <row r="3617" spans="23:23" x14ac:dyDescent="0.55000000000000004">
      <c r="W3617"/>
    </row>
    <row r="3618" spans="23:23" x14ac:dyDescent="0.55000000000000004">
      <c r="W3618"/>
    </row>
    <row r="3619" spans="23:23" x14ac:dyDescent="0.55000000000000004">
      <c r="W3619"/>
    </row>
    <row r="3620" spans="23:23" x14ac:dyDescent="0.55000000000000004">
      <c r="W3620"/>
    </row>
    <row r="3621" spans="23:23" x14ac:dyDescent="0.55000000000000004">
      <c r="W3621"/>
    </row>
    <row r="3622" spans="23:23" x14ac:dyDescent="0.55000000000000004">
      <c r="W3622"/>
    </row>
    <row r="3623" spans="23:23" x14ac:dyDescent="0.55000000000000004">
      <c r="W3623"/>
    </row>
    <row r="3624" spans="23:23" x14ac:dyDescent="0.55000000000000004">
      <c r="W3624"/>
    </row>
    <row r="3625" spans="23:23" x14ac:dyDescent="0.55000000000000004">
      <c r="W3625"/>
    </row>
    <row r="3626" spans="23:23" x14ac:dyDescent="0.55000000000000004">
      <c r="W3626"/>
    </row>
    <row r="3627" spans="23:23" x14ac:dyDescent="0.55000000000000004">
      <c r="W3627"/>
    </row>
    <row r="3628" spans="23:23" x14ac:dyDescent="0.55000000000000004">
      <c r="W3628"/>
    </row>
    <row r="3629" spans="23:23" x14ac:dyDescent="0.55000000000000004">
      <c r="W3629"/>
    </row>
    <row r="3630" spans="23:23" x14ac:dyDescent="0.55000000000000004">
      <c r="W3630"/>
    </row>
    <row r="3631" spans="23:23" x14ac:dyDescent="0.55000000000000004">
      <c r="W3631"/>
    </row>
    <row r="3632" spans="23:23" x14ac:dyDescent="0.55000000000000004">
      <c r="W3632"/>
    </row>
    <row r="3633" spans="23:23" x14ac:dyDescent="0.55000000000000004">
      <c r="W3633"/>
    </row>
    <row r="3634" spans="23:23" x14ac:dyDescent="0.55000000000000004">
      <c r="W3634"/>
    </row>
    <row r="3635" spans="23:23" x14ac:dyDescent="0.55000000000000004">
      <c r="W3635"/>
    </row>
    <row r="3636" spans="23:23" x14ac:dyDescent="0.55000000000000004">
      <c r="W3636"/>
    </row>
    <row r="3637" spans="23:23" x14ac:dyDescent="0.55000000000000004">
      <c r="W3637"/>
    </row>
    <row r="3638" spans="23:23" x14ac:dyDescent="0.55000000000000004">
      <c r="W3638"/>
    </row>
    <row r="3639" spans="23:23" x14ac:dyDescent="0.55000000000000004">
      <c r="W3639"/>
    </row>
    <row r="3640" spans="23:23" x14ac:dyDescent="0.55000000000000004">
      <c r="W3640"/>
    </row>
    <row r="3641" spans="23:23" x14ac:dyDescent="0.55000000000000004">
      <c r="W3641"/>
    </row>
    <row r="3642" spans="23:23" x14ac:dyDescent="0.55000000000000004">
      <c r="W3642"/>
    </row>
    <row r="3643" spans="23:23" x14ac:dyDescent="0.55000000000000004">
      <c r="W3643"/>
    </row>
    <row r="3644" spans="23:23" x14ac:dyDescent="0.55000000000000004">
      <c r="W3644"/>
    </row>
    <row r="3645" spans="23:23" x14ac:dyDescent="0.55000000000000004">
      <c r="W3645"/>
    </row>
    <row r="3646" spans="23:23" x14ac:dyDescent="0.55000000000000004">
      <c r="W3646"/>
    </row>
    <row r="3647" spans="23:23" x14ac:dyDescent="0.55000000000000004">
      <c r="W3647"/>
    </row>
    <row r="3648" spans="23:23" x14ac:dyDescent="0.55000000000000004">
      <c r="W3648"/>
    </row>
    <row r="3649" spans="23:23" x14ac:dyDescent="0.55000000000000004">
      <c r="W3649"/>
    </row>
    <row r="3650" spans="23:23" x14ac:dyDescent="0.55000000000000004">
      <c r="W3650"/>
    </row>
    <row r="3651" spans="23:23" x14ac:dyDescent="0.55000000000000004">
      <c r="W3651"/>
    </row>
    <row r="3652" spans="23:23" x14ac:dyDescent="0.55000000000000004">
      <c r="W3652"/>
    </row>
    <row r="3653" spans="23:23" x14ac:dyDescent="0.55000000000000004">
      <c r="W3653"/>
    </row>
    <row r="3654" spans="23:23" x14ac:dyDescent="0.55000000000000004">
      <c r="W3654"/>
    </row>
    <row r="3655" spans="23:23" x14ac:dyDescent="0.55000000000000004">
      <c r="W3655"/>
    </row>
    <row r="3656" spans="23:23" x14ac:dyDescent="0.55000000000000004">
      <c r="W3656"/>
    </row>
    <row r="3657" spans="23:23" x14ac:dyDescent="0.55000000000000004">
      <c r="W3657"/>
    </row>
    <row r="3658" spans="23:23" x14ac:dyDescent="0.55000000000000004">
      <c r="W3658"/>
    </row>
    <row r="3659" spans="23:23" x14ac:dyDescent="0.55000000000000004">
      <c r="W3659"/>
    </row>
    <row r="3660" spans="23:23" x14ac:dyDescent="0.55000000000000004">
      <c r="W3660"/>
    </row>
    <row r="3661" spans="23:23" x14ac:dyDescent="0.55000000000000004">
      <c r="W3661"/>
    </row>
    <row r="3662" spans="23:23" x14ac:dyDescent="0.55000000000000004">
      <c r="W3662"/>
    </row>
    <row r="3663" spans="23:23" x14ac:dyDescent="0.55000000000000004">
      <c r="W3663"/>
    </row>
    <row r="3664" spans="23:23" x14ac:dyDescent="0.55000000000000004">
      <c r="W3664"/>
    </row>
    <row r="3665" spans="23:23" x14ac:dyDescent="0.55000000000000004">
      <c r="W3665"/>
    </row>
    <row r="3666" spans="23:23" x14ac:dyDescent="0.55000000000000004">
      <c r="W3666"/>
    </row>
    <row r="3667" spans="23:23" x14ac:dyDescent="0.55000000000000004">
      <c r="W3667"/>
    </row>
    <row r="3668" spans="23:23" x14ac:dyDescent="0.55000000000000004">
      <c r="W3668"/>
    </row>
    <row r="3669" spans="23:23" x14ac:dyDescent="0.55000000000000004">
      <c r="W3669"/>
    </row>
    <row r="3670" spans="23:23" x14ac:dyDescent="0.55000000000000004">
      <c r="W3670"/>
    </row>
    <row r="3671" spans="23:23" x14ac:dyDescent="0.55000000000000004">
      <c r="W3671"/>
    </row>
    <row r="3672" spans="23:23" x14ac:dyDescent="0.55000000000000004">
      <c r="W3672"/>
    </row>
    <row r="3673" spans="23:23" x14ac:dyDescent="0.55000000000000004">
      <c r="W3673"/>
    </row>
    <row r="3674" spans="23:23" x14ac:dyDescent="0.55000000000000004">
      <c r="W3674"/>
    </row>
    <row r="3675" spans="23:23" x14ac:dyDescent="0.55000000000000004">
      <c r="W3675"/>
    </row>
    <row r="3676" spans="23:23" x14ac:dyDescent="0.55000000000000004">
      <c r="W3676"/>
    </row>
    <row r="3677" spans="23:23" x14ac:dyDescent="0.55000000000000004">
      <c r="W3677"/>
    </row>
    <row r="3678" spans="23:23" x14ac:dyDescent="0.55000000000000004">
      <c r="W3678"/>
    </row>
    <row r="3679" spans="23:23" x14ac:dyDescent="0.55000000000000004">
      <c r="W3679"/>
    </row>
    <row r="3680" spans="23:23" x14ac:dyDescent="0.55000000000000004">
      <c r="W3680"/>
    </row>
    <row r="3681" spans="23:23" x14ac:dyDescent="0.55000000000000004">
      <c r="W3681"/>
    </row>
    <row r="3682" spans="23:23" x14ac:dyDescent="0.55000000000000004">
      <c r="W3682"/>
    </row>
    <row r="3683" spans="23:23" x14ac:dyDescent="0.55000000000000004">
      <c r="W3683"/>
    </row>
    <row r="3684" spans="23:23" x14ac:dyDescent="0.55000000000000004">
      <c r="W3684"/>
    </row>
    <row r="3685" spans="23:23" x14ac:dyDescent="0.55000000000000004">
      <c r="W3685"/>
    </row>
    <row r="3686" spans="23:23" x14ac:dyDescent="0.55000000000000004">
      <c r="W3686"/>
    </row>
    <row r="3687" spans="23:23" x14ac:dyDescent="0.55000000000000004">
      <c r="W3687"/>
    </row>
    <row r="3688" spans="23:23" x14ac:dyDescent="0.55000000000000004">
      <c r="W3688"/>
    </row>
    <row r="3689" spans="23:23" x14ac:dyDescent="0.55000000000000004">
      <c r="W3689"/>
    </row>
    <row r="3690" spans="23:23" x14ac:dyDescent="0.55000000000000004">
      <c r="W3690"/>
    </row>
    <row r="3691" spans="23:23" x14ac:dyDescent="0.55000000000000004">
      <c r="W3691"/>
    </row>
    <row r="3692" spans="23:23" x14ac:dyDescent="0.55000000000000004">
      <c r="W3692"/>
    </row>
    <row r="3693" spans="23:23" x14ac:dyDescent="0.55000000000000004">
      <c r="W3693"/>
    </row>
    <row r="3694" spans="23:23" x14ac:dyDescent="0.55000000000000004">
      <c r="W3694"/>
    </row>
    <row r="3695" spans="23:23" x14ac:dyDescent="0.55000000000000004">
      <c r="W3695"/>
    </row>
    <row r="3696" spans="23:23" x14ac:dyDescent="0.55000000000000004">
      <c r="W3696"/>
    </row>
    <row r="3697" spans="23:23" x14ac:dyDescent="0.55000000000000004">
      <c r="W3697"/>
    </row>
    <row r="3698" spans="23:23" x14ac:dyDescent="0.55000000000000004">
      <c r="W3698"/>
    </row>
    <row r="3699" spans="23:23" x14ac:dyDescent="0.55000000000000004">
      <c r="W3699"/>
    </row>
    <row r="3700" spans="23:23" x14ac:dyDescent="0.55000000000000004">
      <c r="W3700"/>
    </row>
    <row r="3701" spans="23:23" x14ac:dyDescent="0.55000000000000004">
      <c r="W3701"/>
    </row>
    <row r="3702" spans="23:23" x14ac:dyDescent="0.55000000000000004">
      <c r="W3702"/>
    </row>
    <row r="3703" spans="23:23" x14ac:dyDescent="0.55000000000000004">
      <c r="W3703"/>
    </row>
    <row r="3704" spans="23:23" x14ac:dyDescent="0.55000000000000004">
      <c r="W3704"/>
    </row>
    <row r="3705" spans="23:23" x14ac:dyDescent="0.55000000000000004">
      <c r="W3705"/>
    </row>
    <row r="3706" spans="23:23" x14ac:dyDescent="0.55000000000000004">
      <c r="W3706"/>
    </row>
    <row r="3707" spans="23:23" x14ac:dyDescent="0.55000000000000004">
      <c r="W3707"/>
    </row>
    <row r="3708" spans="23:23" x14ac:dyDescent="0.55000000000000004">
      <c r="W3708"/>
    </row>
    <row r="3709" spans="23:23" x14ac:dyDescent="0.55000000000000004">
      <c r="W3709"/>
    </row>
    <row r="3710" spans="23:23" x14ac:dyDescent="0.55000000000000004">
      <c r="W3710"/>
    </row>
    <row r="3711" spans="23:23" x14ac:dyDescent="0.55000000000000004">
      <c r="W3711"/>
    </row>
    <row r="3712" spans="23:23" x14ac:dyDescent="0.55000000000000004">
      <c r="W3712"/>
    </row>
    <row r="3713" spans="23:23" x14ac:dyDescent="0.55000000000000004">
      <c r="W3713"/>
    </row>
    <row r="3714" spans="23:23" x14ac:dyDescent="0.55000000000000004">
      <c r="W3714"/>
    </row>
    <row r="3715" spans="23:23" x14ac:dyDescent="0.55000000000000004">
      <c r="W3715"/>
    </row>
    <row r="3716" spans="23:23" x14ac:dyDescent="0.55000000000000004">
      <c r="W3716"/>
    </row>
    <row r="3717" spans="23:23" x14ac:dyDescent="0.55000000000000004">
      <c r="W3717"/>
    </row>
    <row r="3718" spans="23:23" x14ac:dyDescent="0.55000000000000004">
      <c r="W3718"/>
    </row>
    <row r="3719" spans="23:23" x14ac:dyDescent="0.55000000000000004">
      <c r="W3719"/>
    </row>
    <row r="3720" spans="23:23" x14ac:dyDescent="0.55000000000000004">
      <c r="W3720"/>
    </row>
    <row r="3721" spans="23:23" x14ac:dyDescent="0.55000000000000004">
      <c r="W3721"/>
    </row>
    <row r="3722" spans="23:23" x14ac:dyDescent="0.55000000000000004">
      <c r="W3722"/>
    </row>
    <row r="3723" spans="23:23" x14ac:dyDescent="0.55000000000000004">
      <c r="W3723"/>
    </row>
    <row r="3724" spans="23:23" x14ac:dyDescent="0.55000000000000004">
      <c r="W3724"/>
    </row>
    <row r="3725" spans="23:23" x14ac:dyDescent="0.55000000000000004">
      <c r="W3725"/>
    </row>
    <row r="3726" spans="23:23" x14ac:dyDescent="0.55000000000000004">
      <c r="W3726"/>
    </row>
    <row r="3727" spans="23:23" x14ac:dyDescent="0.55000000000000004">
      <c r="W3727"/>
    </row>
    <row r="3728" spans="23:23" x14ac:dyDescent="0.55000000000000004">
      <c r="W3728"/>
    </row>
    <row r="3729" spans="23:23" x14ac:dyDescent="0.55000000000000004">
      <c r="W3729"/>
    </row>
    <row r="3730" spans="23:23" x14ac:dyDescent="0.55000000000000004">
      <c r="W3730"/>
    </row>
    <row r="3731" spans="23:23" x14ac:dyDescent="0.55000000000000004">
      <c r="W3731"/>
    </row>
    <row r="3732" spans="23:23" x14ac:dyDescent="0.55000000000000004">
      <c r="W3732"/>
    </row>
    <row r="3733" spans="23:23" x14ac:dyDescent="0.55000000000000004">
      <c r="W3733"/>
    </row>
    <row r="3734" spans="23:23" x14ac:dyDescent="0.55000000000000004">
      <c r="W3734"/>
    </row>
    <row r="3735" spans="23:23" x14ac:dyDescent="0.55000000000000004">
      <c r="W3735"/>
    </row>
    <row r="3736" spans="23:23" x14ac:dyDescent="0.55000000000000004">
      <c r="W3736"/>
    </row>
    <row r="3737" spans="23:23" x14ac:dyDescent="0.55000000000000004">
      <c r="W3737"/>
    </row>
    <row r="3738" spans="23:23" x14ac:dyDescent="0.55000000000000004">
      <c r="W3738"/>
    </row>
    <row r="3739" spans="23:23" x14ac:dyDescent="0.55000000000000004">
      <c r="W3739"/>
    </row>
    <row r="3740" spans="23:23" x14ac:dyDescent="0.55000000000000004">
      <c r="W3740"/>
    </row>
    <row r="3741" spans="23:23" x14ac:dyDescent="0.55000000000000004">
      <c r="W3741"/>
    </row>
    <row r="3742" spans="23:23" x14ac:dyDescent="0.55000000000000004">
      <c r="W3742"/>
    </row>
    <row r="3743" spans="23:23" x14ac:dyDescent="0.55000000000000004">
      <c r="W3743"/>
    </row>
    <row r="3744" spans="23:23" x14ac:dyDescent="0.55000000000000004">
      <c r="W3744"/>
    </row>
    <row r="3745" spans="23:23" x14ac:dyDescent="0.55000000000000004">
      <c r="W3745"/>
    </row>
    <row r="3746" spans="23:23" x14ac:dyDescent="0.55000000000000004">
      <c r="W3746"/>
    </row>
    <row r="3747" spans="23:23" x14ac:dyDescent="0.55000000000000004">
      <c r="W3747"/>
    </row>
    <row r="3748" spans="23:23" x14ac:dyDescent="0.55000000000000004">
      <c r="W3748"/>
    </row>
    <row r="3749" spans="23:23" x14ac:dyDescent="0.55000000000000004">
      <c r="W3749"/>
    </row>
    <row r="3750" spans="23:23" x14ac:dyDescent="0.55000000000000004">
      <c r="W3750"/>
    </row>
    <row r="3751" spans="23:23" x14ac:dyDescent="0.55000000000000004">
      <c r="W3751"/>
    </row>
    <row r="3752" spans="23:23" x14ac:dyDescent="0.55000000000000004">
      <c r="W3752"/>
    </row>
    <row r="3753" spans="23:23" x14ac:dyDescent="0.55000000000000004">
      <c r="W3753"/>
    </row>
    <row r="3754" spans="23:23" x14ac:dyDescent="0.55000000000000004">
      <c r="W3754"/>
    </row>
    <row r="3755" spans="23:23" x14ac:dyDescent="0.55000000000000004">
      <c r="W3755"/>
    </row>
    <row r="3756" spans="23:23" x14ac:dyDescent="0.55000000000000004">
      <c r="W3756"/>
    </row>
    <row r="3757" spans="23:23" x14ac:dyDescent="0.55000000000000004">
      <c r="W3757"/>
    </row>
    <row r="3758" spans="23:23" x14ac:dyDescent="0.55000000000000004">
      <c r="W3758"/>
    </row>
    <row r="3759" spans="23:23" x14ac:dyDescent="0.55000000000000004">
      <c r="W3759"/>
    </row>
    <row r="3760" spans="23:23" x14ac:dyDescent="0.55000000000000004">
      <c r="W3760"/>
    </row>
    <row r="3761" spans="23:23" x14ac:dyDescent="0.55000000000000004">
      <c r="W3761"/>
    </row>
    <row r="3762" spans="23:23" x14ac:dyDescent="0.55000000000000004">
      <c r="W3762"/>
    </row>
    <row r="3763" spans="23:23" x14ac:dyDescent="0.55000000000000004">
      <c r="W3763"/>
    </row>
    <row r="3764" spans="23:23" x14ac:dyDescent="0.55000000000000004">
      <c r="W3764"/>
    </row>
    <row r="3765" spans="23:23" x14ac:dyDescent="0.55000000000000004">
      <c r="W3765"/>
    </row>
    <row r="3766" spans="23:23" x14ac:dyDescent="0.55000000000000004">
      <c r="W3766"/>
    </row>
    <row r="3767" spans="23:23" x14ac:dyDescent="0.55000000000000004">
      <c r="W3767"/>
    </row>
    <row r="3768" spans="23:23" x14ac:dyDescent="0.55000000000000004">
      <c r="W3768"/>
    </row>
    <row r="3769" spans="23:23" x14ac:dyDescent="0.55000000000000004">
      <c r="W3769"/>
    </row>
    <row r="3770" spans="23:23" x14ac:dyDescent="0.55000000000000004">
      <c r="W3770"/>
    </row>
    <row r="3771" spans="23:23" x14ac:dyDescent="0.55000000000000004">
      <c r="W3771"/>
    </row>
    <row r="3772" spans="23:23" x14ac:dyDescent="0.55000000000000004">
      <c r="W3772"/>
    </row>
    <row r="3773" spans="23:23" x14ac:dyDescent="0.55000000000000004">
      <c r="W3773"/>
    </row>
    <row r="3774" spans="23:23" x14ac:dyDescent="0.55000000000000004">
      <c r="W3774"/>
    </row>
    <row r="3775" spans="23:23" x14ac:dyDescent="0.55000000000000004">
      <c r="W3775"/>
    </row>
    <row r="3776" spans="23:23" x14ac:dyDescent="0.55000000000000004">
      <c r="W3776"/>
    </row>
    <row r="3777" spans="23:23" x14ac:dyDescent="0.55000000000000004">
      <c r="W3777"/>
    </row>
    <row r="3778" spans="23:23" x14ac:dyDescent="0.55000000000000004">
      <c r="W3778"/>
    </row>
    <row r="3779" spans="23:23" x14ac:dyDescent="0.55000000000000004">
      <c r="W3779"/>
    </row>
    <row r="3780" spans="23:23" x14ac:dyDescent="0.55000000000000004">
      <c r="W3780"/>
    </row>
    <row r="3781" spans="23:23" x14ac:dyDescent="0.55000000000000004">
      <c r="W3781"/>
    </row>
    <row r="3782" spans="23:23" x14ac:dyDescent="0.55000000000000004">
      <c r="W3782"/>
    </row>
    <row r="3783" spans="23:23" x14ac:dyDescent="0.55000000000000004">
      <c r="W3783"/>
    </row>
    <row r="3784" spans="23:23" x14ac:dyDescent="0.55000000000000004">
      <c r="W3784"/>
    </row>
    <row r="3785" spans="23:23" x14ac:dyDescent="0.55000000000000004">
      <c r="W3785"/>
    </row>
    <row r="3786" spans="23:23" x14ac:dyDescent="0.55000000000000004">
      <c r="W3786"/>
    </row>
    <row r="3787" spans="23:23" x14ac:dyDescent="0.55000000000000004">
      <c r="W3787"/>
    </row>
    <row r="3788" spans="23:23" x14ac:dyDescent="0.55000000000000004">
      <c r="W3788"/>
    </row>
    <row r="3789" spans="23:23" x14ac:dyDescent="0.55000000000000004">
      <c r="W3789"/>
    </row>
    <row r="3790" spans="23:23" x14ac:dyDescent="0.55000000000000004">
      <c r="W3790"/>
    </row>
    <row r="3791" spans="23:23" x14ac:dyDescent="0.55000000000000004">
      <c r="W3791"/>
    </row>
    <row r="3792" spans="23:23" x14ac:dyDescent="0.55000000000000004">
      <c r="W3792"/>
    </row>
    <row r="3793" spans="23:23" x14ac:dyDescent="0.55000000000000004">
      <c r="W3793"/>
    </row>
    <row r="3794" spans="23:23" x14ac:dyDescent="0.55000000000000004">
      <c r="W3794"/>
    </row>
    <row r="3795" spans="23:23" x14ac:dyDescent="0.55000000000000004">
      <c r="W3795"/>
    </row>
    <row r="3796" spans="23:23" x14ac:dyDescent="0.55000000000000004">
      <c r="W3796"/>
    </row>
    <row r="3797" spans="23:23" x14ac:dyDescent="0.55000000000000004">
      <c r="W3797"/>
    </row>
    <row r="3798" spans="23:23" x14ac:dyDescent="0.55000000000000004">
      <c r="W3798"/>
    </row>
    <row r="3799" spans="23:23" x14ac:dyDescent="0.55000000000000004">
      <c r="W3799"/>
    </row>
    <row r="3800" spans="23:23" x14ac:dyDescent="0.55000000000000004">
      <c r="W3800"/>
    </row>
    <row r="3801" spans="23:23" x14ac:dyDescent="0.55000000000000004">
      <c r="W3801"/>
    </row>
    <row r="3802" spans="23:23" x14ac:dyDescent="0.55000000000000004">
      <c r="W3802"/>
    </row>
    <row r="3803" spans="23:23" x14ac:dyDescent="0.55000000000000004">
      <c r="W3803"/>
    </row>
    <row r="3804" spans="23:23" x14ac:dyDescent="0.55000000000000004">
      <c r="W3804"/>
    </row>
    <row r="3805" spans="23:23" x14ac:dyDescent="0.55000000000000004">
      <c r="W3805"/>
    </row>
    <row r="3806" spans="23:23" x14ac:dyDescent="0.55000000000000004">
      <c r="W3806"/>
    </row>
    <row r="3807" spans="23:23" x14ac:dyDescent="0.55000000000000004">
      <c r="W3807"/>
    </row>
    <row r="3808" spans="23:23" x14ac:dyDescent="0.55000000000000004">
      <c r="W3808"/>
    </row>
    <row r="3809" spans="23:23" x14ac:dyDescent="0.55000000000000004">
      <c r="W3809"/>
    </row>
    <row r="3810" spans="23:23" x14ac:dyDescent="0.55000000000000004">
      <c r="W3810"/>
    </row>
    <row r="3811" spans="23:23" x14ac:dyDescent="0.55000000000000004">
      <c r="W3811"/>
    </row>
    <row r="3812" spans="23:23" x14ac:dyDescent="0.55000000000000004">
      <c r="W3812"/>
    </row>
    <row r="3813" spans="23:23" x14ac:dyDescent="0.55000000000000004">
      <c r="W3813"/>
    </row>
    <row r="3814" spans="23:23" x14ac:dyDescent="0.55000000000000004">
      <c r="W3814"/>
    </row>
    <row r="3815" spans="23:23" x14ac:dyDescent="0.55000000000000004">
      <c r="W3815"/>
    </row>
    <row r="3816" spans="23:23" x14ac:dyDescent="0.55000000000000004">
      <c r="W3816"/>
    </row>
    <row r="3817" spans="23:23" x14ac:dyDescent="0.55000000000000004">
      <c r="W3817"/>
    </row>
    <row r="3818" spans="23:23" x14ac:dyDescent="0.55000000000000004">
      <c r="W3818"/>
    </row>
    <row r="3819" spans="23:23" x14ac:dyDescent="0.55000000000000004">
      <c r="W3819"/>
    </row>
    <row r="3820" spans="23:23" x14ac:dyDescent="0.55000000000000004">
      <c r="W3820"/>
    </row>
    <row r="3821" spans="23:23" x14ac:dyDescent="0.55000000000000004">
      <c r="W3821"/>
    </row>
    <row r="3822" spans="23:23" x14ac:dyDescent="0.55000000000000004">
      <c r="W3822"/>
    </row>
    <row r="3823" spans="23:23" x14ac:dyDescent="0.55000000000000004">
      <c r="W3823"/>
    </row>
    <row r="3824" spans="23:23" x14ac:dyDescent="0.55000000000000004">
      <c r="W3824"/>
    </row>
    <row r="3825" spans="23:23" x14ac:dyDescent="0.55000000000000004">
      <c r="W3825"/>
    </row>
    <row r="3826" spans="23:23" x14ac:dyDescent="0.55000000000000004">
      <c r="W3826"/>
    </row>
    <row r="3827" spans="23:23" x14ac:dyDescent="0.55000000000000004">
      <c r="W3827"/>
    </row>
    <row r="3828" spans="23:23" x14ac:dyDescent="0.55000000000000004">
      <c r="W3828"/>
    </row>
    <row r="3829" spans="23:23" x14ac:dyDescent="0.55000000000000004">
      <c r="W3829"/>
    </row>
    <row r="3830" spans="23:23" x14ac:dyDescent="0.55000000000000004">
      <c r="W3830"/>
    </row>
    <row r="3831" spans="23:23" x14ac:dyDescent="0.55000000000000004">
      <c r="W3831"/>
    </row>
    <row r="3832" spans="23:23" x14ac:dyDescent="0.55000000000000004">
      <c r="W3832"/>
    </row>
    <row r="3833" spans="23:23" x14ac:dyDescent="0.55000000000000004">
      <c r="W3833"/>
    </row>
    <row r="3834" spans="23:23" x14ac:dyDescent="0.55000000000000004">
      <c r="W3834"/>
    </row>
    <row r="3835" spans="23:23" x14ac:dyDescent="0.55000000000000004">
      <c r="W3835"/>
    </row>
    <row r="3836" spans="23:23" x14ac:dyDescent="0.55000000000000004">
      <c r="W3836"/>
    </row>
    <row r="3837" spans="23:23" x14ac:dyDescent="0.55000000000000004">
      <c r="W3837"/>
    </row>
    <row r="3838" spans="23:23" x14ac:dyDescent="0.55000000000000004">
      <c r="W3838"/>
    </row>
    <row r="3839" spans="23:23" x14ac:dyDescent="0.55000000000000004">
      <c r="W3839"/>
    </row>
    <row r="3840" spans="23:23" x14ac:dyDescent="0.55000000000000004">
      <c r="W3840"/>
    </row>
    <row r="3841" spans="23:23" x14ac:dyDescent="0.55000000000000004">
      <c r="W3841"/>
    </row>
    <row r="3842" spans="23:23" x14ac:dyDescent="0.55000000000000004">
      <c r="W3842"/>
    </row>
    <row r="3843" spans="23:23" x14ac:dyDescent="0.55000000000000004">
      <c r="W3843"/>
    </row>
    <row r="3844" spans="23:23" x14ac:dyDescent="0.55000000000000004">
      <c r="W3844"/>
    </row>
    <row r="3845" spans="23:23" x14ac:dyDescent="0.55000000000000004">
      <c r="W3845"/>
    </row>
    <row r="3846" spans="23:23" x14ac:dyDescent="0.55000000000000004">
      <c r="W3846"/>
    </row>
    <row r="3847" spans="23:23" x14ac:dyDescent="0.55000000000000004">
      <c r="W3847"/>
    </row>
    <row r="3848" spans="23:23" x14ac:dyDescent="0.55000000000000004">
      <c r="W3848"/>
    </row>
    <row r="3849" spans="23:23" x14ac:dyDescent="0.55000000000000004">
      <c r="W3849"/>
    </row>
    <row r="3850" spans="23:23" x14ac:dyDescent="0.55000000000000004">
      <c r="W3850"/>
    </row>
    <row r="3851" spans="23:23" x14ac:dyDescent="0.55000000000000004">
      <c r="W3851"/>
    </row>
    <row r="3852" spans="23:23" x14ac:dyDescent="0.55000000000000004">
      <c r="W3852"/>
    </row>
    <row r="3853" spans="23:23" x14ac:dyDescent="0.55000000000000004">
      <c r="W3853"/>
    </row>
    <row r="3854" spans="23:23" x14ac:dyDescent="0.55000000000000004">
      <c r="W3854"/>
    </row>
    <row r="3855" spans="23:23" x14ac:dyDescent="0.55000000000000004">
      <c r="W3855"/>
    </row>
    <row r="3856" spans="23:23" x14ac:dyDescent="0.55000000000000004">
      <c r="W3856"/>
    </row>
    <row r="3857" spans="23:23" x14ac:dyDescent="0.55000000000000004">
      <c r="W3857"/>
    </row>
    <row r="3858" spans="23:23" x14ac:dyDescent="0.55000000000000004">
      <c r="W3858"/>
    </row>
    <row r="3859" spans="23:23" x14ac:dyDescent="0.55000000000000004">
      <c r="W3859"/>
    </row>
    <row r="3860" spans="23:23" x14ac:dyDescent="0.55000000000000004">
      <c r="W3860"/>
    </row>
    <row r="3861" spans="23:23" x14ac:dyDescent="0.55000000000000004">
      <c r="W3861"/>
    </row>
    <row r="3862" spans="23:23" x14ac:dyDescent="0.55000000000000004">
      <c r="W3862"/>
    </row>
    <row r="3863" spans="23:23" x14ac:dyDescent="0.55000000000000004">
      <c r="W3863"/>
    </row>
    <row r="3864" spans="23:23" x14ac:dyDescent="0.55000000000000004">
      <c r="W3864"/>
    </row>
    <row r="3865" spans="23:23" x14ac:dyDescent="0.55000000000000004">
      <c r="W3865"/>
    </row>
    <row r="3866" spans="23:23" x14ac:dyDescent="0.55000000000000004">
      <c r="W3866"/>
    </row>
    <row r="3867" spans="23:23" x14ac:dyDescent="0.55000000000000004">
      <c r="W3867"/>
    </row>
    <row r="3868" spans="23:23" x14ac:dyDescent="0.55000000000000004">
      <c r="W3868"/>
    </row>
    <row r="3869" spans="23:23" x14ac:dyDescent="0.55000000000000004">
      <c r="W3869"/>
    </row>
    <row r="3870" spans="23:23" x14ac:dyDescent="0.55000000000000004">
      <c r="W3870"/>
    </row>
    <row r="3871" spans="23:23" x14ac:dyDescent="0.55000000000000004">
      <c r="W3871"/>
    </row>
    <row r="3872" spans="23:23" x14ac:dyDescent="0.55000000000000004">
      <c r="W3872"/>
    </row>
    <row r="3873" spans="23:23" x14ac:dyDescent="0.55000000000000004">
      <c r="W3873"/>
    </row>
    <row r="3874" spans="23:23" x14ac:dyDescent="0.55000000000000004">
      <c r="W3874"/>
    </row>
    <row r="3875" spans="23:23" x14ac:dyDescent="0.55000000000000004">
      <c r="W3875"/>
    </row>
    <row r="3876" spans="23:23" x14ac:dyDescent="0.55000000000000004">
      <c r="W3876"/>
    </row>
    <row r="3877" spans="23:23" x14ac:dyDescent="0.55000000000000004">
      <c r="W3877"/>
    </row>
    <row r="3878" spans="23:23" x14ac:dyDescent="0.55000000000000004">
      <c r="W3878"/>
    </row>
    <row r="3879" spans="23:23" x14ac:dyDescent="0.55000000000000004">
      <c r="W3879"/>
    </row>
    <row r="3880" spans="23:23" x14ac:dyDescent="0.55000000000000004">
      <c r="W3880"/>
    </row>
    <row r="3881" spans="23:23" x14ac:dyDescent="0.55000000000000004">
      <c r="W3881"/>
    </row>
    <row r="3882" spans="23:23" x14ac:dyDescent="0.55000000000000004">
      <c r="W3882"/>
    </row>
    <row r="3883" spans="23:23" x14ac:dyDescent="0.55000000000000004">
      <c r="W3883"/>
    </row>
    <row r="3884" spans="23:23" x14ac:dyDescent="0.55000000000000004">
      <c r="W3884"/>
    </row>
    <row r="3885" spans="23:23" x14ac:dyDescent="0.55000000000000004">
      <c r="W3885"/>
    </row>
    <row r="3886" spans="23:23" x14ac:dyDescent="0.55000000000000004">
      <c r="W3886"/>
    </row>
    <row r="3887" spans="23:23" x14ac:dyDescent="0.55000000000000004">
      <c r="W3887"/>
    </row>
    <row r="3888" spans="23:23" x14ac:dyDescent="0.55000000000000004">
      <c r="W3888"/>
    </row>
    <row r="3889" spans="23:23" x14ac:dyDescent="0.55000000000000004">
      <c r="W3889"/>
    </row>
    <row r="3890" spans="23:23" x14ac:dyDescent="0.55000000000000004">
      <c r="W3890"/>
    </row>
    <row r="3891" spans="23:23" x14ac:dyDescent="0.55000000000000004">
      <c r="W3891"/>
    </row>
    <row r="3892" spans="23:23" x14ac:dyDescent="0.55000000000000004">
      <c r="W3892"/>
    </row>
    <row r="3893" spans="23:23" x14ac:dyDescent="0.55000000000000004">
      <c r="W3893"/>
    </row>
    <row r="3894" spans="23:23" x14ac:dyDescent="0.55000000000000004">
      <c r="W3894"/>
    </row>
    <row r="3895" spans="23:23" x14ac:dyDescent="0.55000000000000004">
      <c r="W3895"/>
    </row>
    <row r="3896" spans="23:23" x14ac:dyDescent="0.55000000000000004">
      <c r="W3896"/>
    </row>
    <row r="3897" spans="23:23" x14ac:dyDescent="0.55000000000000004">
      <c r="W3897"/>
    </row>
    <row r="3898" spans="23:23" x14ac:dyDescent="0.55000000000000004">
      <c r="W3898"/>
    </row>
    <row r="3899" spans="23:23" x14ac:dyDescent="0.55000000000000004">
      <c r="W3899"/>
    </row>
    <row r="3900" spans="23:23" x14ac:dyDescent="0.55000000000000004">
      <c r="W3900"/>
    </row>
    <row r="3901" spans="23:23" x14ac:dyDescent="0.55000000000000004">
      <c r="W3901"/>
    </row>
    <row r="3902" spans="23:23" x14ac:dyDescent="0.55000000000000004">
      <c r="W3902"/>
    </row>
    <row r="3903" spans="23:23" x14ac:dyDescent="0.55000000000000004">
      <c r="W3903"/>
    </row>
    <row r="3904" spans="23:23" x14ac:dyDescent="0.55000000000000004">
      <c r="W3904"/>
    </row>
    <row r="3905" spans="23:23" x14ac:dyDescent="0.55000000000000004">
      <c r="W3905"/>
    </row>
    <row r="3906" spans="23:23" x14ac:dyDescent="0.55000000000000004">
      <c r="W3906"/>
    </row>
    <row r="3907" spans="23:23" x14ac:dyDescent="0.55000000000000004">
      <c r="W3907"/>
    </row>
    <row r="3908" spans="23:23" x14ac:dyDescent="0.55000000000000004">
      <c r="W3908"/>
    </row>
    <row r="3909" spans="23:23" x14ac:dyDescent="0.55000000000000004">
      <c r="W3909"/>
    </row>
    <row r="3910" spans="23:23" x14ac:dyDescent="0.55000000000000004">
      <c r="W3910"/>
    </row>
    <row r="3911" spans="23:23" x14ac:dyDescent="0.55000000000000004">
      <c r="W3911"/>
    </row>
    <row r="3912" spans="23:23" x14ac:dyDescent="0.55000000000000004">
      <c r="W3912"/>
    </row>
    <row r="3913" spans="23:23" x14ac:dyDescent="0.55000000000000004">
      <c r="W3913"/>
    </row>
    <row r="3914" spans="23:23" x14ac:dyDescent="0.55000000000000004">
      <c r="W3914"/>
    </row>
    <row r="3915" spans="23:23" x14ac:dyDescent="0.55000000000000004">
      <c r="W3915"/>
    </row>
    <row r="3916" spans="23:23" x14ac:dyDescent="0.55000000000000004">
      <c r="W3916"/>
    </row>
    <row r="3917" spans="23:23" x14ac:dyDescent="0.55000000000000004">
      <c r="W3917"/>
    </row>
    <row r="3918" spans="23:23" x14ac:dyDescent="0.55000000000000004">
      <c r="W3918"/>
    </row>
    <row r="3919" spans="23:23" x14ac:dyDescent="0.55000000000000004">
      <c r="W3919"/>
    </row>
    <row r="3920" spans="23:23" x14ac:dyDescent="0.55000000000000004">
      <c r="W3920"/>
    </row>
    <row r="3921" spans="23:23" x14ac:dyDescent="0.55000000000000004">
      <c r="W3921"/>
    </row>
    <row r="3922" spans="23:23" x14ac:dyDescent="0.55000000000000004">
      <c r="W3922"/>
    </row>
    <row r="3923" spans="23:23" x14ac:dyDescent="0.55000000000000004">
      <c r="W3923"/>
    </row>
    <row r="3924" spans="23:23" x14ac:dyDescent="0.55000000000000004">
      <c r="W3924"/>
    </row>
    <row r="3925" spans="23:23" x14ac:dyDescent="0.55000000000000004">
      <c r="W3925"/>
    </row>
    <row r="3926" spans="23:23" x14ac:dyDescent="0.55000000000000004">
      <c r="W3926"/>
    </row>
    <row r="3927" spans="23:23" x14ac:dyDescent="0.55000000000000004">
      <c r="W3927"/>
    </row>
    <row r="3928" spans="23:23" x14ac:dyDescent="0.55000000000000004">
      <c r="W3928"/>
    </row>
    <row r="3929" spans="23:23" x14ac:dyDescent="0.55000000000000004">
      <c r="W3929"/>
    </row>
    <row r="3930" spans="23:23" x14ac:dyDescent="0.55000000000000004">
      <c r="W3930"/>
    </row>
    <row r="3931" spans="23:23" x14ac:dyDescent="0.55000000000000004">
      <c r="W3931"/>
    </row>
    <row r="3932" spans="23:23" x14ac:dyDescent="0.55000000000000004">
      <c r="W3932"/>
    </row>
    <row r="3933" spans="23:23" x14ac:dyDescent="0.55000000000000004">
      <c r="W3933"/>
    </row>
    <row r="3934" spans="23:23" x14ac:dyDescent="0.55000000000000004">
      <c r="W3934"/>
    </row>
    <row r="3935" spans="23:23" x14ac:dyDescent="0.55000000000000004">
      <c r="W3935"/>
    </row>
    <row r="3936" spans="23:23" x14ac:dyDescent="0.55000000000000004">
      <c r="W3936"/>
    </row>
    <row r="3937" spans="23:23" x14ac:dyDescent="0.55000000000000004">
      <c r="W3937"/>
    </row>
    <row r="3938" spans="23:23" x14ac:dyDescent="0.55000000000000004">
      <c r="W3938"/>
    </row>
    <row r="3939" spans="23:23" x14ac:dyDescent="0.55000000000000004">
      <c r="W3939"/>
    </row>
    <row r="3940" spans="23:23" x14ac:dyDescent="0.55000000000000004">
      <c r="W3940"/>
    </row>
    <row r="3941" spans="23:23" x14ac:dyDescent="0.55000000000000004">
      <c r="W3941"/>
    </row>
    <row r="3942" spans="23:23" x14ac:dyDescent="0.55000000000000004">
      <c r="W3942"/>
    </row>
    <row r="3943" spans="23:23" x14ac:dyDescent="0.55000000000000004">
      <c r="W3943"/>
    </row>
    <row r="3944" spans="23:23" x14ac:dyDescent="0.55000000000000004">
      <c r="W3944"/>
    </row>
    <row r="3945" spans="23:23" x14ac:dyDescent="0.55000000000000004">
      <c r="W3945"/>
    </row>
    <row r="3946" spans="23:23" x14ac:dyDescent="0.55000000000000004">
      <c r="W3946"/>
    </row>
    <row r="3947" spans="23:23" x14ac:dyDescent="0.55000000000000004">
      <c r="W3947"/>
    </row>
    <row r="3948" spans="23:23" x14ac:dyDescent="0.55000000000000004">
      <c r="W3948"/>
    </row>
    <row r="3949" spans="23:23" x14ac:dyDescent="0.55000000000000004">
      <c r="W3949"/>
    </row>
    <row r="3950" spans="23:23" x14ac:dyDescent="0.55000000000000004">
      <c r="W3950"/>
    </row>
    <row r="3951" spans="23:23" x14ac:dyDescent="0.55000000000000004">
      <c r="W3951"/>
    </row>
    <row r="3952" spans="23:23" x14ac:dyDescent="0.55000000000000004">
      <c r="W3952"/>
    </row>
    <row r="3953" spans="23:23" x14ac:dyDescent="0.55000000000000004">
      <c r="W3953"/>
    </row>
    <row r="3954" spans="23:23" x14ac:dyDescent="0.55000000000000004">
      <c r="W3954"/>
    </row>
    <row r="3955" spans="23:23" x14ac:dyDescent="0.55000000000000004">
      <c r="W3955"/>
    </row>
    <row r="3956" spans="23:23" x14ac:dyDescent="0.55000000000000004">
      <c r="W3956"/>
    </row>
    <row r="3957" spans="23:23" x14ac:dyDescent="0.55000000000000004">
      <c r="W3957"/>
    </row>
    <row r="3958" spans="23:23" x14ac:dyDescent="0.55000000000000004">
      <c r="W3958"/>
    </row>
    <row r="3959" spans="23:23" x14ac:dyDescent="0.55000000000000004">
      <c r="W3959"/>
    </row>
    <row r="3960" spans="23:23" x14ac:dyDescent="0.55000000000000004">
      <c r="W3960"/>
    </row>
    <row r="3961" spans="23:23" x14ac:dyDescent="0.55000000000000004">
      <c r="W3961"/>
    </row>
    <row r="3962" spans="23:23" x14ac:dyDescent="0.55000000000000004">
      <c r="W3962"/>
    </row>
    <row r="3963" spans="23:23" x14ac:dyDescent="0.55000000000000004">
      <c r="W3963"/>
    </row>
    <row r="3964" spans="23:23" x14ac:dyDescent="0.55000000000000004">
      <c r="W3964"/>
    </row>
    <row r="3965" spans="23:23" x14ac:dyDescent="0.55000000000000004">
      <c r="W3965"/>
    </row>
    <row r="3966" spans="23:23" x14ac:dyDescent="0.55000000000000004">
      <c r="W3966"/>
    </row>
    <row r="3967" spans="23:23" x14ac:dyDescent="0.55000000000000004">
      <c r="W3967"/>
    </row>
    <row r="3968" spans="23:23" x14ac:dyDescent="0.55000000000000004">
      <c r="W3968"/>
    </row>
    <row r="3969" spans="23:23" x14ac:dyDescent="0.55000000000000004">
      <c r="W3969"/>
    </row>
    <row r="3970" spans="23:23" x14ac:dyDescent="0.55000000000000004">
      <c r="W3970"/>
    </row>
    <row r="3971" spans="23:23" x14ac:dyDescent="0.55000000000000004">
      <c r="W3971"/>
    </row>
    <row r="3972" spans="23:23" x14ac:dyDescent="0.55000000000000004">
      <c r="W3972"/>
    </row>
    <row r="3973" spans="23:23" x14ac:dyDescent="0.55000000000000004">
      <c r="W3973"/>
    </row>
    <row r="3974" spans="23:23" x14ac:dyDescent="0.55000000000000004">
      <c r="W3974"/>
    </row>
    <row r="3975" spans="23:23" x14ac:dyDescent="0.55000000000000004">
      <c r="W3975"/>
    </row>
    <row r="3976" spans="23:23" x14ac:dyDescent="0.55000000000000004">
      <c r="W3976"/>
    </row>
    <row r="3977" spans="23:23" x14ac:dyDescent="0.55000000000000004">
      <c r="W3977"/>
    </row>
    <row r="3978" spans="23:23" x14ac:dyDescent="0.55000000000000004">
      <c r="W3978"/>
    </row>
    <row r="3979" spans="23:23" x14ac:dyDescent="0.55000000000000004">
      <c r="W3979"/>
    </row>
    <row r="3980" spans="23:23" x14ac:dyDescent="0.55000000000000004">
      <c r="W3980"/>
    </row>
    <row r="3981" spans="23:23" x14ac:dyDescent="0.55000000000000004">
      <c r="W3981"/>
    </row>
    <row r="3982" spans="23:23" x14ac:dyDescent="0.55000000000000004">
      <c r="W3982"/>
    </row>
    <row r="3983" spans="23:23" x14ac:dyDescent="0.55000000000000004">
      <c r="W3983"/>
    </row>
    <row r="3984" spans="23:23" x14ac:dyDescent="0.55000000000000004">
      <c r="W3984"/>
    </row>
    <row r="3985" spans="23:23" x14ac:dyDescent="0.55000000000000004">
      <c r="W3985"/>
    </row>
    <row r="3986" spans="23:23" x14ac:dyDescent="0.55000000000000004">
      <c r="W3986"/>
    </row>
    <row r="3987" spans="23:23" x14ac:dyDescent="0.55000000000000004">
      <c r="W3987"/>
    </row>
    <row r="3988" spans="23:23" x14ac:dyDescent="0.55000000000000004">
      <c r="W3988"/>
    </row>
    <row r="3989" spans="23:23" x14ac:dyDescent="0.55000000000000004">
      <c r="W3989"/>
    </row>
    <row r="3990" spans="23:23" x14ac:dyDescent="0.55000000000000004">
      <c r="W3990"/>
    </row>
    <row r="3991" spans="23:23" x14ac:dyDescent="0.55000000000000004">
      <c r="W3991"/>
    </row>
    <row r="3992" spans="23:23" x14ac:dyDescent="0.55000000000000004">
      <c r="W3992"/>
    </row>
    <row r="3993" spans="23:23" x14ac:dyDescent="0.55000000000000004">
      <c r="W3993"/>
    </row>
    <row r="3994" spans="23:23" x14ac:dyDescent="0.55000000000000004">
      <c r="W3994"/>
    </row>
    <row r="3995" spans="23:23" x14ac:dyDescent="0.55000000000000004">
      <c r="W3995"/>
    </row>
    <row r="3996" spans="23:23" x14ac:dyDescent="0.55000000000000004">
      <c r="W3996"/>
    </row>
    <row r="3997" spans="23:23" x14ac:dyDescent="0.55000000000000004">
      <c r="W3997"/>
    </row>
    <row r="3998" spans="23:23" x14ac:dyDescent="0.55000000000000004">
      <c r="W3998"/>
    </row>
    <row r="3999" spans="23:23" x14ac:dyDescent="0.55000000000000004">
      <c r="W3999"/>
    </row>
    <row r="4000" spans="23:23" x14ac:dyDescent="0.55000000000000004">
      <c r="W4000"/>
    </row>
    <row r="4001" spans="23:23" x14ac:dyDescent="0.55000000000000004">
      <c r="W4001"/>
    </row>
    <row r="4002" spans="23:23" x14ac:dyDescent="0.55000000000000004">
      <c r="W4002"/>
    </row>
    <row r="4003" spans="23:23" x14ac:dyDescent="0.55000000000000004">
      <c r="W4003"/>
    </row>
    <row r="4004" spans="23:23" x14ac:dyDescent="0.55000000000000004">
      <c r="W4004"/>
    </row>
    <row r="4005" spans="23:23" x14ac:dyDescent="0.55000000000000004">
      <c r="W4005"/>
    </row>
    <row r="4006" spans="23:23" x14ac:dyDescent="0.55000000000000004">
      <c r="W4006"/>
    </row>
    <row r="4007" spans="23:23" x14ac:dyDescent="0.55000000000000004">
      <c r="W4007"/>
    </row>
    <row r="4008" spans="23:23" x14ac:dyDescent="0.55000000000000004">
      <c r="W4008"/>
    </row>
    <row r="4009" spans="23:23" x14ac:dyDescent="0.55000000000000004">
      <c r="W4009"/>
    </row>
    <row r="4010" spans="23:23" x14ac:dyDescent="0.55000000000000004">
      <c r="W4010"/>
    </row>
    <row r="4011" spans="23:23" x14ac:dyDescent="0.55000000000000004">
      <c r="W4011"/>
    </row>
    <row r="4012" spans="23:23" x14ac:dyDescent="0.55000000000000004">
      <c r="W4012"/>
    </row>
    <row r="4013" spans="23:23" x14ac:dyDescent="0.55000000000000004">
      <c r="W4013"/>
    </row>
    <row r="4014" spans="23:23" x14ac:dyDescent="0.55000000000000004">
      <c r="W4014"/>
    </row>
    <row r="4015" spans="23:23" x14ac:dyDescent="0.55000000000000004">
      <c r="W4015"/>
    </row>
    <row r="4016" spans="23:23" x14ac:dyDescent="0.55000000000000004">
      <c r="W4016"/>
    </row>
    <row r="4017" spans="23:23" x14ac:dyDescent="0.55000000000000004">
      <c r="W4017"/>
    </row>
    <row r="4018" spans="23:23" x14ac:dyDescent="0.55000000000000004">
      <c r="W4018"/>
    </row>
    <row r="4019" spans="23:23" x14ac:dyDescent="0.55000000000000004">
      <c r="W4019"/>
    </row>
    <row r="4020" spans="23:23" x14ac:dyDescent="0.55000000000000004">
      <c r="W4020"/>
    </row>
    <row r="4021" spans="23:23" x14ac:dyDescent="0.55000000000000004">
      <c r="W4021"/>
    </row>
    <row r="4022" spans="23:23" x14ac:dyDescent="0.55000000000000004">
      <c r="W4022"/>
    </row>
    <row r="4023" spans="23:23" x14ac:dyDescent="0.55000000000000004">
      <c r="W4023"/>
    </row>
    <row r="4024" spans="23:23" x14ac:dyDescent="0.55000000000000004">
      <c r="W4024"/>
    </row>
    <row r="4025" spans="23:23" x14ac:dyDescent="0.55000000000000004">
      <c r="W4025"/>
    </row>
    <row r="4026" spans="23:23" x14ac:dyDescent="0.55000000000000004">
      <c r="W4026"/>
    </row>
    <row r="4027" spans="23:23" x14ac:dyDescent="0.55000000000000004">
      <c r="W4027"/>
    </row>
    <row r="4028" spans="23:23" x14ac:dyDescent="0.55000000000000004">
      <c r="W4028"/>
    </row>
    <row r="4029" spans="23:23" x14ac:dyDescent="0.55000000000000004">
      <c r="W4029"/>
    </row>
    <row r="4030" spans="23:23" x14ac:dyDescent="0.55000000000000004">
      <c r="W4030"/>
    </row>
    <row r="4031" spans="23:23" x14ac:dyDescent="0.55000000000000004">
      <c r="W4031"/>
    </row>
    <row r="4032" spans="23:23" x14ac:dyDescent="0.55000000000000004">
      <c r="W4032"/>
    </row>
    <row r="4033" spans="23:23" x14ac:dyDescent="0.55000000000000004">
      <c r="W4033"/>
    </row>
    <row r="4034" spans="23:23" x14ac:dyDescent="0.55000000000000004">
      <c r="W4034"/>
    </row>
    <row r="4035" spans="23:23" x14ac:dyDescent="0.55000000000000004">
      <c r="W4035"/>
    </row>
    <row r="4036" spans="23:23" x14ac:dyDescent="0.55000000000000004">
      <c r="W4036"/>
    </row>
    <row r="4037" spans="23:23" x14ac:dyDescent="0.55000000000000004">
      <c r="W4037"/>
    </row>
    <row r="4038" spans="23:23" x14ac:dyDescent="0.55000000000000004">
      <c r="W4038"/>
    </row>
    <row r="4039" spans="23:23" x14ac:dyDescent="0.55000000000000004">
      <c r="W4039"/>
    </row>
    <row r="4040" spans="23:23" x14ac:dyDescent="0.55000000000000004">
      <c r="W4040"/>
    </row>
    <row r="4041" spans="23:23" x14ac:dyDescent="0.55000000000000004">
      <c r="W4041"/>
    </row>
    <row r="4042" spans="23:23" x14ac:dyDescent="0.55000000000000004">
      <c r="W4042"/>
    </row>
    <row r="4043" spans="23:23" x14ac:dyDescent="0.55000000000000004">
      <c r="W4043"/>
    </row>
    <row r="4044" spans="23:23" x14ac:dyDescent="0.55000000000000004">
      <c r="W4044"/>
    </row>
    <row r="4045" spans="23:23" x14ac:dyDescent="0.55000000000000004">
      <c r="W4045"/>
    </row>
    <row r="4046" spans="23:23" x14ac:dyDescent="0.55000000000000004">
      <c r="W4046"/>
    </row>
    <row r="4047" spans="23:23" x14ac:dyDescent="0.55000000000000004">
      <c r="W4047"/>
    </row>
    <row r="4048" spans="23:23" x14ac:dyDescent="0.55000000000000004">
      <c r="W4048"/>
    </row>
    <row r="4049" spans="23:23" x14ac:dyDescent="0.55000000000000004">
      <c r="W4049"/>
    </row>
    <row r="4050" spans="23:23" x14ac:dyDescent="0.55000000000000004">
      <c r="W4050"/>
    </row>
    <row r="4051" spans="23:23" x14ac:dyDescent="0.55000000000000004">
      <c r="W4051"/>
    </row>
    <row r="4052" spans="23:23" x14ac:dyDescent="0.55000000000000004">
      <c r="W4052"/>
    </row>
    <row r="4053" spans="23:23" x14ac:dyDescent="0.55000000000000004">
      <c r="W4053"/>
    </row>
    <row r="4054" spans="23:23" x14ac:dyDescent="0.55000000000000004">
      <c r="W4054"/>
    </row>
    <row r="4055" spans="23:23" x14ac:dyDescent="0.55000000000000004">
      <c r="W4055"/>
    </row>
    <row r="4056" spans="23:23" x14ac:dyDescent="0.55000000000000004">
      <c r="W4056"/>
    </row>
    <row r="4057" spans="23:23" x14ac:dyDescent="0.55000000000000004">
      <c r="W4057"/>
    </row>
    <row r="4058" spans="23:23" x14ac:dyDescent="0.55000000000000004">
      <c r="W4058"/>
    </row>
    <row r="4059" spans="23:23" x14ac:dyDescent="0.55000000000000004">
      <c r="W4059"/>
    </row>
    <row r="4060" spans="23:23" x14ac:dyDescent="0.55000000000000004">
      <c r="W4060"/>
    </row>
    <row r="4061" spans="23:23" x14ac:dyDescent="0.55000000000000004">
      <c r="W4061"/>
    </row>
    <row r="4062" spans="23:23" x14ac:dyDescent="0.55000000000000004">
      <c r="W4062"/>
    </row>
    <row r="4063" spans="23:23" x14ac:dyDescent="0.55000000000000004">
      <c r="W4063"/>
    </row>
    <row r="4064" spans="23:23" x14ac:dyDescent="0.55000000000000004">
      <c r="W4064"/>
    </row>
    <row r="4065" spans="23:23" x14ac:dyDescent="0.55000000000000004">
      <c r="W4065"/>
    </row>
    <row r="4066" spans="23:23" x14ac:dyDescent="0.55000000000000004">
      <c r="W4066"/>
    </row>
    <row r="4067" spans="23:23" x14ac:dyDescent="0.55000000000000004">
      <c r="W4067"/>
    </row>
    <row r="4068" spans="23:23" x14ac:dyDescent="0.55000000000000004">
      <c r="W4068"/>
    </row>
    <row r="4069" spans="23:23" x14ac:dyDescent="0.55000000000000004">
      <c r="W4069"/>
    </row>
    <row r="4070" spans="23:23" x14ac:dyDescent="0.55000000000000004">
      <c r="W4070"/>
    </row>
    <row r="4071" spans="23:23" x14ac:dyDescent="0.55000000000000004">
      <c r="W4071"/>
    </row>
    <row r="4072" spans="23:23" x14ac:dyDescent="0.55000000000000004">
      <c r="W4072"/>
    </row>
    <row r="4073" spans="23:23" x14ac:dyDescent="0.55000000000000004">
      <c r="W4073"/>
    </row>
    <row r="4074" spans="23:23" x14ac:dyDescent="0.55000000000000004">
      <c r="W4074"/>
    </row>
    <row r="4075" spans="23:23" x14ac:dyDescent="0.55000000000000004">
      <c r="W4075"/>
    </row>
    <row r="4076" spans="23:23" x14ac:dyDescent="0.55000000000000004">
      <c r="W4076"/>
    </row>
    <row r="4077" spans="23:23" x14ac:dyDescent="0.55000000000000004">
      <c r="W4077"/>
    </row>
    <row r="4078" spans="23:23" x14ac:dyDescent="0.55000000000000004">
      <c r="W4078"/>
    </row>
    <row r="4079" spans="23:23" x14ac:dyDescent="0.55000000000000004">
      <c r="W4079"/>
    </row>
    <row r="4080" spans="23:23" x14ac:dyDescent="0.55000000000000004">
      <c r="W4080"/>
    </row>
    <row r="4081" spans="23:23" x14ac:dyDescent="0.55000000000000004">
      <c r="W4081"/>
    </row>
    <row r="4082" spans="23:23" x14ac:dyDescent="0.55000000000000004">
      <c r="W4082"/>
    </row>
    <row r="4083" spans="23:23" x14ac:dyDescent="0.55000000000000004">
      <c r="W4083"/>
    </row>
    <row r="4084" spans="23:23" x14ac:dyDescent="0.55000000000000004">
      <c r="W4084"/>
    </row>
    <row r="4085" spans="23:23" x14ac:dyDescent="0.55000000000000004">
      <c r="W4085"/>
    </row>
    <row r="4086" spans="23:23" x14ac:dyDescent="0.55000000000000004">
      <c r="W4086"/>
    </row>
    <row r="4087" spans="23:23" x14ac:dyDescent="0.55000000000000004">
      <c r="W4087"/>
    </row>
    <row r="4088" spans="23:23" x14ac:dyDescent="0.55000000000000004">
      <c r="W4088"/>
    </row>
    <row r="4089" spans="23:23" x14ac:dyDescent="0.55000000000000004">
      <c r="W4089"/>
    </row>
    <row r="4090" spans="23:23" x14ac:dyDescent="0.55000000000000004">
      <c r="W4090"/>
    </row>
    <row r="4091" spans="23:23" x14ac:dyDescent="0.55000000000000004">
      <c r="W4091"/>
    </row>
    <row r="4092" spans="23:23" x14ac:dyDescent="0.55000000000000004">
      <c r="W4092"/>
    </row>
    <row r="4093" spans="23:23" x14ac:dyDescent="0.55000000000000004">
      <c r="W4093"/>
    </row>
    <row r="4094" spans="23:23" x14ac:dyDescent="0.55000000000000004">
      <c r="W4094"/>
    </row>
    <row r="4095" spans="23:23" x14ac:dyDescent="0.55000000000000004">
      <c r="W4095"/>
    </row>
    <row r="4096" spans="23:23" x14ac:dyDescent="0.55000000000000004">
      <c r="W4096"/>
    </row>
    <row r="4097" spans="23:23" x14ac:dyDescent="0.55000000000000004">
      <c r="W4097"/>
    </row>
    <row r="4098" spans="23:23" x14ac:dyDescent="0.55000000000000004">
      <c r="W4098"/>
    </row>
    <row r="4099" spans="23:23" x14ac:dyDescent="0.55000000000000004">
      <c r="W4099"/>
    </row>
    <row r="4100" spans="23:23" x14ac:dyDescent="0.55000000000000004">
      <c r="W4100"/>
    </row>
    <row r="4101" spans="23:23" x14ac:dyDescent="0.55000000000000004">
      <c r="W4101"/>
    </row>
    <row r="4102" spans="23:23" x14ac:dyDescent="0.55000000000000004">
      <c r="W4102"/>
    </row>
    <row r="4103" spans="23:23" x14ac:dyDescent="0.55000000000000004">
      <c r="W4103"/>
    </row>
    <row r="4104" spans="23:23" x14ac:dyDescent="0.55000000000000004">
      <c r="W4104"/>
    </row>
    <row r="4105" spans="23:23" x14ac:dyDescent="0.55000000000000004">
      <c r="W4105"/>
    </row>
    <row r="4106" spans="23:23" x14ac:dyDescent="0.55000000000000004">
      <c r="W4106"/>
    </row>
    <row r="4107" spans="23:23" x14ac:dyDescent="0.55000000000000004">
      <c r="W4107"/>
    </row>
    <row r="4108" spans="23:23" x14ac:dyDescent="0.55000000000000004">
      <c r="W4108"/>
    </row>
    <row r="4109" spans="23:23" x14ac:dyDescent="0.55000000000000004">
      <c r="W4109"/>
    </row>
    <row r="4110" spans="23:23" x14ac:dyDescent="0.55000000000000004">
      <c r="W4110"/>
    </row>
    <row r="4111" spans="23:23" x14ac:dyDescent="0.55000000000000004">
      <c r="W4111"/>
    </row>
    <row r="4112" spans="23:23" x14ac:dyDescent="0.55000000000000004">
      <c r="W4112"/>
    </row>
    <row r="4113" spans="23:23" x14ac:dyDescent="0.55000000000000004">
      <c r="W4113"/>
    </row>
    <row r="4114" spans="23:23" x14ac:dyDescent="0.55000000000000004">
      <c r="W4114"/>
    </row>
    <row r="4115" spans="23:23" x14ac:dyDescent="0.55000000000000004">
      <c r="W4115"/>
    </row>
    <row r="4116" spans="23:23" x14ac:dyDescent="0.55000000000000004">
      <c r="W4116"/>
    </row>
    <row r="4117" spans="23:23" x14ac:dyDescent="0.55000000000000004">
      <c r="W4117"/>
    </row>
    <row r="4118" spans="23:23" x14ac:dyDescent="0.55000000000000004">
      <c r="W4118"/>
    </row>
    <row r="4119" spans="23:23" x14ac:dyDescent="0.55000000000000004">
      <c r="W4119"/>
    </row>
    <row r="4120" spans="23:23" x14ac:dyDescent="0.55000000000000004">
      <c r="W4120"/>
    </row>
    <row r="4121" spans="23:23" x14ac:dyDescent="0.55000000000000004">
      <c r="W4121"/>
    </row>
    <row r="4122" spans="23:23" x14ac:dyDescent="0.55000000000000004">
      <c r="W4122"/>
    </row>
    <row r="4123" spans="23:23" x14ac:dyDescent="0.55000000000000004">
      <c r="W4123"/>
    </row>
    <row r="4124" spans="23:23" x14ac:dyDescent="0.55000000000000004">
      <c r="W4124"/>
    </row>
    <row r="4125" spans="23:23" x14ac:dyDescent="0.55000000000000004">
      <c r="W4125"/>
    </row>
    <row r="4126" spans="23:23" x14ac:dyDescent="0.55000000000000004">
      <c r="W4126"/>
    </row>
    <row r="4127" spans="23:23" x14ac:dyDescent="0.55000000000000004">
      <c r="W4127"/>
    </row>
    <row r="4128" spans="23:23" x14ac:dyDescent="0.55000000000000004">
      <c r="W4128"/>
    </row>
    <row r="4129" spans="23:23" x14ac:dyDescent="0.55000000000000004">
      <c r="W4129"/>
    </row>
    <row r="4130" spans="23:23" x14ac:dyDescent="0.55000000000000004">
      <c r="W4130"/>
    </row>
    <row r="4131" spans="23:23" x14ac:dyDescent="0.55000000000000004">
      <c r="W4131"/>
    </row>
    <row r="4132" spans="23:23" x14ac:dyDescent="0.55000000000000004">
      <c r="W4132"/>
    </row>
    <row r="4133" spans="23:23" x14ac:dyDescent="0.55000000000000004">
      <c r="W4133"/>
    </row>
    <row r="4134" spans="23:23" x14ac:dyDescent="0.55000000000000004">
      <c r="W4134"/>
    </row>
    <row r="4135" spans="23:23" x14ac:dyDescent="0.55000000000000004">
      <c r="W4135"/>
    </row>
    <row r="4136" spans="23:23" x14ac:dyDescent="0.55000000000000004">
      <c r="W4136"/>
    </row>
    <row r="4137" spans="23:23" x14ac:dyDescent="0.55000000000000004">
      <c r="W4137"/>
    </row>
    <row r="4138" spans="23:23" x14ac:dyDescent="0.55000000000000004">
      <c r="W4138"/>
    </row>
    <row r="4139" spans="23:23" x14ac:dyDescent="0.55000000000000004">
      <c r="W4139"/>
    </row>
    <row r="4140" spans="23:23" x14ac:dyDescent="0.55000000000000004">
      <c r="W4140"/>
    </row>
    <row r="4141" spans="23:23" x14ac:dyDescent="0.55000000000000004">
      <c r="W4141"/>
    </row>
    <row r="4142" spans="23:23" x14ac:dyDescent="0.55000000000000004">
      <c r="W4142"/>
    </row>
    <row r="4143" spans="23:23" x14ac:dyDescent="0.55000000000000004">
      <c r="W4143"/>
    </row>
    <row r="4144" spans="23:23" x14ac:dyDescent="0.55000000000000004">
      <c r="W4144"/>
    </row>
    <row r="4145" spans="23:23" x14ac:dyDescent="0.55000000000000004">
      <c r="W4145"/>
    </row>
    <row r="4146" spans="23:23" x14ac:dyDescent="0.55000000000000004">
      <c r="W4146"/>
    </row>
    <row r="4147" spans="23:23" x14ac:dyDescent="0.55000000000000004">
      <c r="W4147"/>
    </row>
    <row r="4148" spans="23:23" x14ac:dyDescent="0.55000000000000004">
      <c r="W4148"/>
    </row>
    <row r="4149" spans="23:23" x14ac:dyDescent="0.55000000000000004">
      <c r="W4149"/>
    </row>
    <row r="4150" spans="23:23" x14ac:dyDescent="0.55000000000000004">
      <c r="W4150"/>
    </row>
    <row r="4151" spans="23:23" x14ac:dyDescent="0.55000000000000004">
      <c r="W4151"/>
    </row>
    <row r="4152" spans="23:23" x14ac:dyDescent="0.55000000000000004">
      <c r="W4152"/>
    </row>
    <row r="4153" spans="23:23" x14ac:dyDescent="0.55000000000000004">
      <c r="W4153"/>
    </row>
    <row r="4154" spans="23:23" x14ac:dyDescent="0.55000000000000004">
      <c r="W4154"/>
    </row>
    <row r="4155" spans="23:23" x14ac:dyDescent="0.55000000000000004">
      <c r="W4155"/>
    </row>
    <row r="4156" spans="23:23" x14ac:dyDescent="0.55000000000000004">
      <c r="W4156"/>
    </row>
    <row r="4157" spans="23:23" x14ac:dyDescent="0.55000000000000004">
      <c r="W4157"/>
    </row>
    <row r="4158" spans="23:23" x14ac:dyDescent="0.55000000000000004">
      <c r="W4158"/>
    </row>
    <row r="4159" spans="23:23" x14ac:dyDescent="0.55000000000000004">
      <c r="W4159"/>
    </row>
    <row r="4160" spans="23:23" x14ac:dyDescent="0.55000000000000004">
      <c r="W4160"/>
    </row>
    <row r="4161" spans="23:23" x14ac:dyDescent="0.55000000000000004">
      <c r="W4161"/>
    </row>
    <row r="4162" spans="23:23" x14ac:dyDescent="0.55000000000000004">
      <c r="W4162"/>
    </row>
    <row r="4163" spans="23:23" x14ac:dyDescent="0.55000000000000004">
      <c r="W4163"/>
    </row>
    <row r="4164" spans="23:23" x14ac:dyDescent="0.55000000000000004">
      <c r="W4164"/>
    </row>
    <row r="4165" spans="23:23" x14ac:dyDescent="0.55000000000000004">
      <c r="W4165"/>
    </row>
    <row r="4166" spans="23:23" x14ac:dyDescent="0.55000000000000004">
      <c r="W4166"/>
    </row>
    <row r="4167" spans="23:23" x14ac:dyDescent="0.55000000000000004">
      <c r="W4167"/>
    </row>
    <row r="4168" spans="23:23" x14ac:dyDescent="0.55000000000000004">
      <c r="W4168"/>
    </row>
    <row r="4169" spans="23:23" x14ac:dyDescent="0.55000000000000004">
      <c r="W4169"/>
    </row>
    <row r="4170" spans="23:23" x14ac:dyDescent="0.55000000000000004">
      <c r="W4170"/>
    </row>
    <row r="4171" spans="23:23" x14ac:dyDescent="0.55000000000000004">
      <c r="W4171"/>
    </row>
    <row r="4172" spans="23:23" x14ac:dyDescent="0.55000000000000004">
      <c r="W4172"/>
    </row>
    <row r="4173" spans="23:23" x14ac:dyDescent="0.55000000000000004">
      <c r="W4173"/>
    </row>
    <row r="4174" spans="23:23" x14ac:dyDescent="0.55000000000000004">
      <c r="W4174"/>
    </row>
    <row r="4175" spans="23:23" x14ac:dyDescent="0.55000000000000004">
      <c r="W4175"/>
    </row>
    <row r="4176" spans="23:23" x14ac:dyDescent="0.55000000000000004">
      <c r="W4176"/>
    </row>
    <row r="4177" spans="23:23" x14ac:dyDescent="0.55000000000000004">
      <c r="W4177"/>
    </row>
    <row r="4178" spans="23:23" x14ac:dyDescent="0.55000000000000004">
      <c r="W4178"/>
    </row>
    <row r="4179" spans="23:23" x14ac:dyDescent="0.55000000000000004">
      <c r="W4179"/>
    </row>
    <row r="4180" spans="23:23" x14ac:dyDescent="0.55000000000000004">
      <c r="W4180"/>
    </row>
    <row r="4181" spans="23:23" x14ac:dyDescent="0.55000000000000004">
      <c r="W4181"/>
    </row>
    <row r="4182" spans="23:23" x14ac:dyDescent="0.55000000000000004">
      <c r="W4182"/>
    </row>
    <row r="4183" spans="23:23" x14ac:dyDescent="0.55000000000000004">
      <c r="W4183"/>
    </row>
    <row r="4184" spans="23:23" x14ac:dyDescent="0.55000000000000004">
      <c r="W4184"/>
    </row>
    <row r="4185" spans="23:23" x14ac:dyDescent="0.55000000000000004">
      <c r="W4185"/>
    </row>
    <row r="4186" spans="23:23" x14ac:dyDescent="0.55000000000000004">
      <c r="W4186"/>
    </row>
    <row r="4187" spans="23:23" x14ac:dyDescent="0.55000000000000004">
      <c r="W4187"/>
    </row>
    <row r="4188" spans="23:23" x14ac:dyDescent="0.55000000000000004">
      <c r="W4188"/>
    </row>
    <row r="4189" spans="23:23" x14ac:dyDescent="0.55000000000000004">
      <c r="W4189"/>
    </row>
    <row r="4190" spans="23:23" x14ac:dyDescent="0.55000000000000004">
      <c r="W4190"/>
    </row>
    <row r="4191" spans="23:23" x14ac:dyDescent="0.55000000000000004">
      <c r="W4191"/>
    </row>
    <row r="4192" spans="23:23" x14ac:dyDescent="0.55000000000000004">
      <c r="W4192"/>
    </row>
    <row r="4193" spans="23:23" x14ac:dyDescent="0.55000000000000004">
      <c r="W4193"/>
    </row>
    <row r="4194" spans="23:23" x14ac:dyDescent="0.55000000000000004">
      <c r="W4194"/>
    </row>
    <row r="4195" spans="23:23" x14ac:dyDescent="0.55000000000000004">
      <c r="W4195"/>
    </row>
    <row r="4196" spans="23:23" x14ac:dyDescent="0.55000000000000004">
      <c r="W4196"/>
    </row>
    <row r="4197" spans="23:23" x14ac:dyDescent="0.55000000000000004">
      <c r="W4197"/>
    </row>
    <row r="4198" spans="23:23" x14ac:dyDescent="0.55000000000000004">
      <c r="W4198"/>
    </row>
    <row r="4199" spans="23:23" x14ac:dyDescent="0.55000000000000004">
      <c r="W4199"/>
    </row>
    <row r="4200" spans="23:23" x14ac:dyDescent="0.55000000000000004">
      <c r="W4200"/>
    </row>
    <row r="4201" spans="23:23" x14ac:dyDescent="0.55000000000000004">
      <c r="W4201"/>
    </row>
    <row r="4202" spans="23:23" x14ac:dyDescent="0.55000000000000004">
      <c r="W4202"/>
    </row>
    <row r="4203" spans="23:23" x14ac:dyDescent="0.55000000000000004">
      <c r="W4203"/>
    </row>
    <row r="4204" spans="23:23" x14ac:dyDescent="0.55000000000000004">
      <c r="W4204"/>
    </row>
    <row r="4205" spans="23:23" x14ac:dyDescent="0.55000000000000004">
      <c r="W4205"/>
    </row>
    <row r="4206" spans="23:23" x14ac:dyDescent="0.55000000000000004">
      <c r="W4206"/>
    </row>
    <row r="4207" spans="23:23" x14ac:dyDescent="0.55000000000000004">
      <c r="W4207"/>
    </row>
    <row r="4208" spans="23:23" x14ac:dyDescent="0.55000000000000004">
      <c r="W4208"/>
    </row>
    <row r="4209" spans="23:23" x14ac:dyDescent="0.55000000000000004">
      <c r="W4209"/>
    </row>
    <row r="4210" spans="23:23" x14ac:dyDescent="0.55000000000000004">
      <c r="W4210"/>
    </row>
    <row r="4211" spans="23:23" x14ac:dyDescent="0.55000000000000004">
      <c r="W4211"/>
    </row>
    <row r="4212" spans="23:23" x14ac:dyDescent="0.55000000000000004">
      <c r="W4212"/>
    </row>
    <row r="4213" spans="23:23" x14ac:dyDescent="0.55000000000000004">
      <c r="W4213"/>
    </row>
    <row r="4214" spans="23:23" x14ac:dyDescent="0.55000000000000004">
      <c r="W4214"/>
    </row>
    <row r="4215" spans="23:23" x14ac:dyDescent="0.55000000000000004">
      <c r="W4215"/>
    </row>
    <row r="4216" spans="23:23" x14ac:dyDescent="0.55000000000000004">
      <c r="W4216"/>
    </row>
    <row r="4217" spans="23:23" x14ac:dyDescent="0.55000000000000004">
      <c r="W4217"/>
    </row>
    <row r="4218" spans="23:23" x14ac:dyDescent="0.55000000000000004">
      <c r="W4218"/>
    </row>
    <row r="4219" spans="23:23" x14ac:dyDescent="0.55000000000000004">
      <c r="W4219"/>
    </row>
    <row r="4220" spans="23:23" x14ac:dyDescent="0.55000000000000004">
      <c r="W4220"/>
    </row>
    <row r="4221" spans="23:23" x14ac:dyDescent="0.55000000000000004">
      <c r="W4221"/>
    </row>
    <row r="4222" spans="23:23" x14ac:dyDescent="0.55000000000000004">
      <c r="W4222"/>
    </row>
    <row r="4223" spans="23:23" x14ac:dyDescent="0.55000000000000004">
      <c r="W4223"/>
    </row>
    <row r="4224" spans="23:23" x14ac:dyDescent="0.55000000000000004">
      <c r="W4224"/>
    </row>
    <row r="4225" spans="23:23" x14ac:dyDescent="0.55000000000000004">
      <c r="W4225"/>
    </row>
    <row r="4226" spans="23:23" x14ac:dyDescent="0.55000000000000004">
      <c r="W4226"/>
    </row>
    <row r="4227" spans="23:23" x14ac:dyDescent="0.55000000000000004">
      <c r="W4227"/>
    </row>
    <row r="4228" spans="23:23" x14ac:dyDescent="0.55000000000000004">
      <c r="W4228"/>
    </row>
    <row r="4229" spans="23:23" x14ac:dyDescent="0.55000000000000004">
      <c r="W4229"/>
    </row>
    <row r="4230" spans="23:23" x14ac:dyDescent="0.55000000000000004">
      <c r="W4230"/>
    </row>
    <row r="4231" spans="23:23" x14ac:dyDescent="0.55000000000000004">
      <c r="W4231"/>
    </row>
    <row r="4232" spans="23:23" x14ac:dyDescent="0.55000000000000004">
      <c r="W4232"/>
    </row>
    <row r="4233" spans="23:23" x14ac:dyDescent="0.55000000000000004">
      <c r="W4233"/>
    </row>
    <row r="4234" spans="23:23" x14ac:dyDescent="0.55000000000000004">
      <c r="W4234"/>
    </row>
    <row r="4235" spans="23:23" x14ac:dyDescent="0.55000000000000004">
      <c r="W4235"/>
    </row>
    <row r="4236" spans="23:23" x14ac:dyDescent="0.55000000000000004">
      <c r="W4236"/>
    </row>
    <row r="4237" spans="23:23" x14ac:dyDescent="0.55000000000000004">
      <c r="W4237"/>
    </row>
    <row r="4238" spans="23:23" x14ac:dyDescent="0.55000000000000004">
      <c r="W4238"/>
    </row>
    <row r="4239" spans="23:23" x14ac:dyDescent="0.55000000000000004">
      <c r="W4239"/>
    </row>
    <row r="4240" spans="23:23" x14ac:dyDescent="0.55000000000000004">
      <c r="W4240"/>
    </row>
    <row r="4241" spans="23:23" x14ac:dyDescent="0.55000000000000004">
      <c r="W4241"/>
    </row>
    <row r="4242" spans="23:23" x14ac:dyDescent="0.55000000000000004">
      <c r="W4242"/>
    </row>
    <row r="4243" spans="23:23" x14ac:dyDescent="0.55000000000000004">
      <c r="W4243"/>
    </row>
    <row r="4244" spans="23:23" x14ac:dyDescent="0.55000000000000004">
      <c r="W4244"/>
    </row>
    <row r="4245" spans="23:23" x14ac:dyDescent="0.55000000000000004">
      <c r="W4245"/>
    </row>
    <row r="4246" spans="23:23" x14ac:dyDescent="0.55000000000000004">
      <c r="W4246"/>
    </row>
    <row r="4247" spans="23:23" x14ac:dyDescent="0.55000000000000004">
      <c r="W4247"/>
    </row>
    <row r="4248" spans="23:23" x14ac:dyDescent="0.55000000000000004">
      <c r="W4248"/>
    </row>
    <row r="4249" spans="23:23" x14ac:dyDescent="0.55000000000000004">
      <c r="W4249"/>
    </row>
    <row r="4250" spans="23:23" x14ac:dyDescent="0.55000000000000004">
      <c r="W4250"/>
    </row>
    <row r="4251" spans="23:23" x14ac:dyDescent="0.55000000000000004">
      <c r="W4251"/>
    </row>
    <row r="4252" spans="23:23" x14ac:dyDescent="0.55000000000000004">
      <c r="W4252"/>
    </row>
    <row r="4253" spans="23:23" x14ac:dyDescent="0.55000000000000004">
      <c r="W4253"/>
    </row>
    <row r="4254" spans="23:23" x14ac:dyDescent="0.55000000000000004">
      <c r="W4254"/>
    </row>
    <row r="4255" spans="23:23" x14ac:dyDescent="0.55000000000000004">
      <c r="W4255"/>
    </row>
    <row r="4256" spans="23:23" x14ac:dyDescent="0.55000000000000004">
      <c r="W4256"/>
    </row>
    <row r="4257" spans="23:23" x14ac:dyDescent="0.55000000000000004">
      <c r="W4257"/>
    </row>
    <row r="4258" spans="23:23" x14ac:dyDescent="0.55000000000000004">
      <c r="W4258"/>
    </row>
    <row r="4259" spans="23:23" x14ac:dyDescent="0.55000000000000004">
      <c r="W4259"/>
    </row>
    <row r="4260" spans="23:23" x14ac:dyDescent="0.55000000000000004">
      <c r="W4260"/>
    </row>
    <row r="4261" spans="23:23" x14ac:dyDescent="0.55000000000000004">
      <c r="W4261"/>
    </row>
    <row r="4262" spans="23:23" x14ac:dyDescent="0.55000000000000004">
      <c r="W4262"/>
    </row>
    <row r="4263" spans="23:23" x14ac:dyDescent="0.55000000000000004">
      <c r="W4263"/>
    </row>
    <row r="4264" spans="23:23" x14ac:dyDescent="0.55000000000000004">
      <c r="W4264"/>
    </row>
    <row r="4265" spans="23:23" x14ac:dyDescent="0.55000000000000004">
      <c r="W4265"/>
    </row>
    <row r="4266" spans="23:23" x14ac:dyDescent="0.55000000000000004">
      <c r="W4266"/>
    </row>
    <row r="4267" spans="23:23" x14ac:dyDescent="0.55000000000000004">
      <c r="W4267"/>
    </row>
    <row r="4268" spans="23:23" x14ac:dyDescent="0.55000000000000004">
      <c r="W4268"/>
    </row>
    <row r="4269" spans="23:23" x14ac:dyDescent="0.55000000000000004">
      <c r="W4269"/>
    </row>
    <row r="4270" spans="23:23" x14ac:dyDescent="0.55000000000000004">
      <c r="W4270"/>
    </row>
    <row r="4271" spans="23:23" x14ac:dyDescent="0.55000000000000004">
      <c r="W4271"/>
    </row>
    <row r="4272" spans="23:23" x14ac:dyDescent="0.55000000000000004">
      <c r="W4272"/>
    </row>
    <row r="4273" spans="23:23" x14ac:dyDescent="0.55000000000000004">
      <c r="W4273"/>
    </row>
    <row r="4274" spans="23:23" x14ac:dyDescent="0.55000000000000004">
      <c r="W4274"/>
    </row>
    <row r="4275" spans="23:23" x14ac:dyDescent="0.55000000000000004">
      <c r="W4275"/>
    </row>
    <row r="4276" spans="23:23" x14ac:dyDescent="0.55000000000000004">
      <c r="W4276"/>
    </row>
    <row r="4277" spans="23:23" x14ac:dyDescent="0.55000000000000004">
      <c r="W4277"/>
    </row>
    <row r="4278" spans="23:23" x14ac:dyDescent="0.55000000000000004">
      <c r="W4278"/>
    </row>
    <row r="4279" spans="23:23" x14ac:dyDescent="0.55000000000000004">
      <c r="W4279"/>
    </row>
    <row r="4280" spans="23:23" x14ac:dyDescent="0.55000000000000004">
      <c r="W4280"/>
    </row>
    <row r="4281" spans="23:23" x14ac:dyDescent="0.55000000000000004">
      <c r="W4281"/>
    </row>
    <row r="4282" spans="23:23" x14ac:dyDescent="0.55000000000000004">
      <c r="W4282"/>
    </row>
    <row r="4283" spans="23:23" x14ac:dyDescent="0.55000000000000004">
      <c r="W4283"/>
    </row>
    <row r="4284" spans="23:23" x14ac:dyDescent="0.55000000000000004">
      <c r="W4284"/>
    </row>
    <row r="4285" spans="23:23" x14ac:dyDescent="0.55000000000000004">
      <c r="W4285"/>
    </row>
    <row r="4286" spans="23:23" x14ac:dyDescent="0.55000000000000004">
      <c r="W4286"/>
    </row>
    <row r="4287" spans="23:23" x14ac:dyDescent="0.55000000000000004">
      <c r="W4287"/>
    </row>
    <row r="4288" spans="23:23" x14ac:dyDescent="0.55000000000000004">
      <c r="W4288"/>
    </row>
    <row r="4289" spans="23:23" x14ac:dyDescent="0.55000000000000004">
      <c r="W4289"/>
    </row>
    <row r="4290" spans="23:23" x14ac:dyDescent="0.55000000000000004">
      <c r="W4290"/>
    </row>
    <row r="4291" spans="23:23" x14ac:dyDescent="0.55000000000000004">
      <c r="W4291"/>
    </row>
    <row r="4292" spans="23:23" x14ac:dyDescent="0.55000000000000004">
      <c r="W4292"/>
    </row>
    <row r="4293" spans="23:23" x14ac:dyDescent="0.55000000000000004">
      <c r="W4293"/>
    </row>
    <row r="4294" spans="23:23" x14ac:dyDescent="0.55000000000000004">
      <c r="W4294"/>
    </row>
    <row r="4295" spans="23:23" x14ac:dyDescent="0.55000000000000004">
      <c r="W4295"/>
    </row>
    <row r="4296" spans="23:23" x14ac:dyDescent="0.55000000000000004">
      <c r="W4296"/>
    </row>
    <row r="4297" spans="23:23" x14ac:dyDescent="0.55000000000000004">
      <c r="W4297"/>
    </row>
    <row r="4298" spans="23:23" x14ac:dyDescent="0.55000000000000004">
      <c r="W4298"/>
    </row>
    <row r="4299" spans="23:23" x14ac:dyDescent="0.55000000000000004">
      <c r="W4299"/>
    </row>
    <row r="4300" spans="23:23" x14ac:dyDescent="0.55000000000000004">
      <c r="W4300"/>
    </row>
    <row r="4301" spans="23:23" x14ac:dyDescent="0.55000000000000004">
      <c r="W4301"/>
    </row>
    <row r="4302" spans="23:23" x14ac:dyDescent="0.55000000000000004">
      <c r="W4302"/>
    </row>
    <row r="4303" spans="23:23" x14ac:dyDescent="0.55000000000000004">
      <c r="W4303"/>
    </row>
    <row r="4304" spans="23:23" x14ac:dyDescent="0.55000000000000004">
      <c r="W4304"/>
    </row>
    <row r="4305" spans="23:23" x14ac:dyDescent="0.55000000000000004">
      <c r="W4305"/>
    </row>
    <row r="4306" spans="23:23" x14ac:dyDescent="0.55000000000000004">
      <c r="W4306"/>
    </row>
    <row r="4307" spans="23:23" x14ac:dyDescent="0.55000000000000004">
      <c r="W4307"/>
    </row>
    <row r="4308" spans="23:23" x14ac:dyDescent="0.55000000000000004">
      <c r="W4308"/>
    </row>
    <row r="4309" spans="23:23" x14ac:dyDescent="0.55000000000000004">
      <c r="W4309"/>
    </row>
    <row r="4310" spans="23:23" x14ac:dyDescent="0.55000000000000004">
      <c r="W4310"/>
    </row>
    <row r="4311" spans="23:23" x14ac:dyDescent="0.55000000000000004">
      <c r="W4311"/>
    </row>
    <row r="4312" spans="23:23" x14ac:dyDescent="0.55000000000000004">
      <c r="W4312"/>
    </row>
    <row r="4313" spans="23:23" x14ac:dyDescent="0.55000000000000004">
      <c r="W4313"/>
    </row>
    <row r="4314" spans="23:23" x14ac:dyDescent="0.55000000000000004">
      <c r="W4314"/>
    </row>
    <row r="4315" spans="23:23" x14ac:dyDescent="0.55000000000000004">
      <c r="W4315"/>
    </row>
    <row r="4316" spans="23:23" x14ac:dyDescent="0.55000000000000004">
      <c r="W4316"/>
    </row>
    <row r="4317" spans="23:23" x14ac:dyDescent="0.55000000000000004">
      <c r="W4317"/>
    </row>
    <row r="4318" spans="23:23" x14ac:dyDescent="0.55000000000000004">
      <c r="W4318"/>
    </row>
    <row r="4319" spans="23:23" x14ac:dyDescent="0.55000000000000004">
      <c r="W4319"/>
    </row>
    <row r="4320" spans="23:23" x14ac:dyDescent="0.55000000000000004">
      <c r="W4320"/>
    </row>
    <row r="4321" spans="23:23" x14ac:dyDescent="0.55000000000000004">
      <c r="W4321"/>
    </row>
    <row r="4322" spans="23:23" x14ac:dyDescent="0.55000000000000004">
      <c r="W4322"/>
    </row>
    <row r="4323" spans="23:23" x14ac:dyDescent="0.55000000000000004">
      <c r="W4323"/>
    </row>
    <row r="4324" spans="23:23" x14ac:dyDescent="0.55000000000000004">
      <c r="W4324"/>
    </row>
    <row r="4325" spans="23:23" x14ac:dyDescent="0.55000000000000004">
      <c r="W4325"/>
    </row>
    <row r="4326" spans="23:23" x14ac:dyDescent="0.55000000000000004">
      <c r="W4326"/>
    </row>
    <row r="4327" spans="23:23" x14ac:dyDescent="0.55000000000000004">
      <c r="W4327"/>
    </row>
    <row r="4328" spans="23:23" x14ac:dyDescent="0.55000000000000004">
      <c r="W4328"/>
    </row>
    <row r="4329" spans="23:23" x14ac:dyDescent="0.55000000000000004">
      <c r="W4329"/>
    </row>
    <row r="4330" spans="23:23" x14ac:dyDescent="0.55000000000000004">
      <c r="W4330"/>
    </row>
    <row r="4331" spans="23:23" x14ac:dyDescent="0.55000000000000004">
      <c r="W4331"/>
    </row>
    <row r="4332" spans="23:23" x14ac:dyDescent="0.55000000000000004">
      <c r="W4332"/>
    </row>
    <row r="4333" spans="23:23" x14ac:dyDescent="0.55000000000000004">
      <c r="W4333"/>
    </row>
    <row r="4334" spans="23:23" x14ac:dyDescent="0.55000000000000004">
      <c r="W4334"/>
    </row>
    <row r="4335" spans="23:23" x14ac:dyDescent="0.55000000000000004">
      <c r="W4335"/>
    </row>
    <row r="4336" spans="23:23" x14ac:dyDescent="0.55000000000000004">
      <c r="W4336"/>
    </row>
    <row r="4337" spans="23:23" x14ac:dyDescent="0.55000000000000004">
      <c r="W4337"/>
    </row>
    <row r="4338" spans="23:23" x14ac:dyDescent="0.55000000000000004">
      <c r="W4338"/>
    </row>
    <row r="4339" spans="23:23" x14ac:dyDescent="0.55000000000000004">
      <c r="W4339"/>
    </row>
    <row r="4340" spans="23:23" x14ac:dyDescent="0.55000000000000004">
      <c r="W4340"/>
    </row>
    <row r="4341" spans="23:23" x14ac:dyDescent="0.55000000000000004">
      <c r="W4341"/>
    </row>
    <row r="4342" spans="23:23" x14ac:dyDescent="0.55000000000000004">
      <c r="W4342"/>
    </row>
    <row r="4343" spans="23:23" x14ac:dyDescent="0.55000000000000004">
      <c r="W4343"/>
    </row>
    <row r="4344" spans="23:23" x14ac:dyDescent="0.55000000000000004">
      <c r="W4344"/>
    </row>
    <row r="4345" spans="23:23" x14ac:dyDescent="0.55000000000000004">
      <c r="W4345"/>
    </row>
    <row r="4346" spans="23:23" x14ac:dyDescent="0.55000000000000004">
      <c r="W4346"/>
    </row>
    <row r="4347" spans="23:23" x14ac:dyDescent="0.55000000000000004">
      <c r="W4347"/>
    </row>
    <row r="4348" spans="23:23" x14ac:dyDescent="0.55000000000000004">
      <c r="W4348"/>
    </row>
    <row r="4349" spans="23:23" x14ac:dyDescent="0.55000000000000004">
      <c r="W4349"/>
    </row>
    <row r="4350" spans="23:23" x14ac:dyDescent="0.55000000000000004">
      <c r="W4350"/>
    </row>
    <row r="4351" spans="23:23" x14ac:dyDescent="0.55000000000000004">
      <c r="W4351"/>
    </row>
    <row r="4352" spans="23:23" x14ac:dyDescent="0.55000000000000004">
      <c r="W4352"/>
    </row>
    <row r="4353" spans="23:23" x14ac:dyDescent="0.55000000000000004">
      <c r="W4353"/>
    </row>
    <row r="4354" spans="23:23" x14ac:dyDescent="0.55000000000000004">
      <c r="W4354"/>
    </row>
    <row r="4355" spans="23:23" x14ac:dyDescent="0.55000000000000004">
      <c r="W4355"/>
    </row>
    <row r="4356" spans="23:23" x14ac:dyDescent="0.55000000000000004">
      <c r="W4356"/>
    </row>
    <row r="4357" spans="23:23" x14ac:dyDescent="0.55000000000000004">
      <c r="W4357"/>
    </row>
    <row r="4358" spans="23:23" x14ac:dyDescent="0.55000000000000004">
      <c r="W4358"/>
    </row>
    <row r="4359" spans="23:23" x14ac:dyDescent="0.55000000000000004">
      <c r="W4359"/>
    </row>
    <row r="4360" spans="23:23" x14ac:dyDescent="0.55000000000000004">
      <c r="W4360"/>
    </row>
    <row r="4361" spans="23:23" x14ac:dyDescent="0.55000000000000004">
      <c r="W4361"/>
    </row>
    <row r="4362" spans="23:23" x14ac:dyDescent="0.55000000000000004">
      <c r="W4362"/>
    </row>
    <row r="4363" spans="23:23" x14ac:dyDescent="0.55000000000000004">
      <c r="W4363"/>
    </row>
    <row r="4364" spans="23:23" x14ac:dyDescent="0.55000000000000004">
      <c r="W4364"/>
    </row>
    <row r="4365" spans="23:23" x14ac:dyDescent="0.55000000000000004">
      <c r="W4365"/>
    </row>
    <row r="4366" spans="23:23" x14ac:dyDescent="0.55000000000000004">
      <c r="W4366"/>
    </row>
    <row r="4367" spans="23:23" x14ac:dyDescent="0.55000000000000004">
      <c r="W4367"/>
    </row>
    <row r="4368" spans="23:23" x14ac:dyDescent="0.55000000000000004">
      <c r="W4368"/>
    </row>
    <row r="4369" spans="23:23" x14ac:dyDescent="0.55000000000000004">
      <c r="W4369"/>
    </row>
    <row r="4370" spans="23:23" x14ac:dyDescent="0.55000000000000004">
      <c r="W4370"/>
    </row>
    <row r="4371" spans="23:23" x14ac:dyDescent="0.55000000000000004">
      <c r="W4371"/>
    </row>
    <row r="4372" spans="23:23" x14ac:dyDescent="0.55000000000000004">
      <c r="W4372"/>
    </row>
    <row r="4373" spans="23:23" x14ac:dyDescent="0.55000000000000004">
      <c r="W4373"/>
    </row>
    <row r="4374" spans="23:23" x14ac:dyDescent="0.55000000000000004">
      <c r="W4374"/>
    </row>
    <row r="4375" spans="23:23" x14ac:dyDescent="0.55000000000000004">
      <c r="W4375"/>
    </row>
    <row r="4376" spans="23:23" x14ac:dyDescent="0.55000000000000004">
      <c r="W4376"/>
    </row>
    <row r="4377" spans="23:23" x14ac:dyDescent="0.55000000000000004">
      <c r="W4377"/>
    </row>
    <row r="4378" spans="23:23" x14ac:dyDescent="0.55000000000000004">
      <c r="W4378"/>
    </row>
    <row r="4379" spans="23:23" x14ac:dyDescent="0.55000000000000004">
      <c r="W4379"/>
    </row>
    <row r="4380" spans="23:23" x14ac:dyDescent="0.55000000000000004">
      <c r="W4380"/>
    </row>
    <row r="4381" spans="23:23" x14ac:dyDescent="0.55000000000000004">
      <c r="W4381"/>
    </row>
    <row r="4382" spans="23:23" x14ac:dyDescent="0.55000000000000004">
      <c r="W4382"/>
    </row>
    <row r="4383" spans="23:23" x14ac:dyDescent="0.55000000000000004">
      <c r="W4383"/>
    </row>
    <row r="4384" spans="23:23" x14ac:dyDescent="0.55000000000000004">
      <c r="W4384"/>
    </row>
    <row r="4385" spans="23:23" x14ac:dyDescent="0.55000000000000004">
      <c r="W4385"/>
    </row>
    <row r="4386" spans="23:23" x14ac:dyDescent="0.55000000000000004">
      <c r="W4386"/>
    </row>
    <row r="4387" spans="23:23" x14ac:dyDescent="0.55000000000000004">
      <c r="W4387"/>
    </row>
    <row r="4388" spans="23:23" x14ac:dyDescent="0.55000000000000004">
      <c r="W4388"/>
    </row>
    <row r="4389" spans="23:23" x14ac:dyDescent="0.55000000000000004">
      <c r="W4389"/>
    </row>
    <row r="4390" spans="23:23" x14ac:dyDescent="0.55000000000000004">
      <c r="W4390"/>
    </row>
    <row r="4391" spans="23:23" x14ac:dyDescent="0.55000000000000004">
      <c r="W4391"/>
    </row>
    <row r="4392" spans="23:23" x14ac:dyDescent="0.55000000000000004">
      <c r="W4392"/>
    </row>
    <row r="4393" spans="23:23" x14ac:dyDescent="0.55000000000000004">
      <c r="W4393"/>
    </row>
    <row r="4394" spans="23:23" x14ac:dyDescent="0.55000000000000004">
      <c r="W4394"/>
    </row>
    <row r="4395" spans="23:23" x14ac:dyDescent="0.55000000000000004">
      <c r="W4395"/>
    </row>
    <row r="4396" spans="23:23" x14ac:dyDescent="0.55000000000000004">
      <c r="W4396"/>
    </row>
    <row r="4397" spans="23:23" x14ac:dyDescent="0.55000000000000004">
      <c r="W4397"/>
    </row>
    <row r="4398" spans="23:23" x14ac:dyDescent="0.55000000000000004">
      <c r="W4398"/>
    </row>
    <row r="4399" spans="23:23" x14ac:dyDescent="0.55000000000000004">
      <c r="W4399"/>
    </row>
    <row r="4400" spans="23:23" x14ac:dyDescent="0.55000000000000004">
      <c r="W4400"/>
    </row>
    <row r="4401" spans="23:23" x14ac:dyDescent="0.55000000000000004">
      <c r="W4401"/>
    </row>
    <row r="4402" spans="23:23" x14ac:dyDescent="0.55000000000000004">
      <c r="W4402"/>
    </row>
    <row r="4403" spans="23:23" x14ac:dyDescent="0.55000000000000004">
      <c r="W4403"/>
    </row>
    <row r="4404" spans="23:23" x14ac:dyDescent="0.55000000000000004">
      <c r="W4404"/>
    </row>
    <row r="4405" spans="23:23" x14ac:dyDescent="0.55000000000000004">
      <c r="W4405"/>
    </row>
    <row r="4406" spans="23:23" x14ac:dyDescent="0.55000000000000004">
      <c r="W4406"/>
    </row>
    <row r="4407" spans="23:23" x14ac:dyDescent="0.55000000000000004">
      <c r="W4407"/>
    </row>
    <row r="4408" spans="23:23" x14ac:dyDescent="0.55000000000000004">
      <c r="W4408"/>
    </row>
    <row r="4409" spans="23:23" x14ac:dyDescent="0.55000000000000004">
      <c r="W4409"/>
    </row>
    <row r="4410" spans="23:23" x14ac:dyDescent="0.55000000000000004">
      <c r="W4410"/>
    </row>
    <row r="4411" spans="23:23" x14ac:dyDescent="0.55000000000000004">
      <c r="W4411"/>
    </row>
    <row r="4412" spans="23:23" x14ac:dyDescent="0.55000000000000004">
      <c r="W4412"/>
    </row>
    <row r="4413" spans="23:23" x14ac:dyDescent="0.55000000000000004">
      <c r="W4413"/>
    </row>
    <row r="4414" spans="23:23" x14ac:dyDescent="0.55000000000000004">
      <c r="W4414"/>
    </row>
    <row r="4415" spans="23:23" x14ac:dyDescent="0.55000000000000004">
      <c r="W4415"/>
    </row>
    <row r="4416" spans="23:23" x14ac:dyDescent="0.55000000000000004">
      <c r="W4416"/>
    </row>
    <row r="4417" spans="23:23" x14ac:dyDescent="0.55000000000000004">
      <c r="W4417"/>
    </row>
    <row r="4418" spans="23:23" x14ac:dyDescent="0.55000000000000004">
      <c r="W4418"/>
    </row>
    <row r="4419" spans="23:23" x14ac:dyDescent="0.55000000000000004">
      <c r="W4419"/>
    </row>
    <row r="4420" spans="23:23" x14ac:dyDescent="0.55000000000000004">
      <c r="W4420"/>
    </row>
    <row r="4421" spans="23:23" x14ac:dyDescent="0.55000000000000004">
      <c r="W4421"/>
    </row>
    <row r="4422" spans="23:23" x14ac:dyDescent="0.55000000000000004">
      <c r="W4422"/>
    </row>
    <row r="4423" spans="23:23" x14ac:dyDescent="0.55000000000000004">
      <c r="W4423"/>
    </row>
    <row r="4424" spans="23:23" x14ac:dyDescent="0.55000000000000004">
      <c r="W4424"/>
    </row>
    <row r="4425" spans="23:23" x14ac:dyDescent="0.55000000000000004">
      <c r="W4425"/>
    </row>
    <row r="4426" spans="23:23" x14ac:dyDescent="0.55000000000000004">
      <c r="W4426"/>
    </row>
    <row r="4427" spans="23:23" x14ac:dyDescent="0.55000000000000004">
      <c r="W4427"/>
    </row>
    <row r="4428" spans="23:23" x14ac:dyDescent="0.55000000000000004">
      <c r="W4428"/>
    </row>
    <row r="4429" spans="23:23" x14ac:dyDescent="0.55000000000000004">
      <c r="W4429"/>
    </row>
    <row r="4430" spans="23:23" x14ac:dyDescent="0.55000000000000004">
      <c r="W4430"/>
    </row>
    <row r="4431" spans="23:23" x14ac:dyDescent="0.55000000000000004">
      <c r="W4431"/>
    </row>
    <row r="4432" spans="23:23" x14ac:dyDescent="0.55000000000000004">
      <c r="W4432"/>
    </row>
    <row r="4433" spans="23:23" x14ac:dyDescent="0.55000000000000004">
      <c r="W4433"/>
    </row>
    <row r="4434" spans="23:23" x14ac:dyDescent="0.55000000000000004">
      <c r="W4434"/>
    </row>
    <row r="4435" spans="23:23" x14ac:dyDescent="0.55000000000000004">
      <c r="W4435"/>
    </row>
    <row r="4436" spans="23:23" x14ac:dyDescent="0.55000000000000004">
      <c r="W4436"/>
    </row>
    <row r="4437" spans="23:23" x14ac:dyDescent="0.55000000000000004">
      <c r="W4437"/>
    </row>
    <row r="4438" spans="23:23" x14ac:dyDescent="0.55000000000000004">
      <c r="W4438"/>
    </row>
    <row r="4439" spans="23:23" x14ac:dyDescent="0.55000000000000004">
      <c r="W4439"/>
    </row>
    <row r="4440" spans="23:23" x14ac:dyDescent="0.55000000000000004">
      <c r="W4440"/>
    </row>
    <row r="4441" spans="23:23" x14ac:dyDescent="0.55000000000000004">
      <c r="W4441"/>
    </row>
    <row r="4442" spans="23:23" x14ac:dyDescent="0.55000000000000004">
      <c r="W4442"/>
    </row>
    <row r="4443" spans="23:23" x14ac:dyDescent="0.55000000000000004">
      <c r="W4443"/>
    </row>
    <row r="4444" spans="23:23" x14ac:dyDescent="0.55000000000000004">
      <c r="W4444"/>
    </row>
    <row r="4445" spans="23:23" x14ac:dyDescent="0.55000000000000004">
      <c r="W4445"/>
    </row>
    <row r="4446" spans="23:23" x14ac:dyDescent="0.55000000000000004">
      <c r="W4446"/>
    </row>
    <row r="4447" spans="23:23" x14ac:dyDescent="0.55000000000000004">
      <c r="W4447"/>
    </row>
    <row r="4448" spans="23:23" x14ac:dyDescent="0.55000000000000004">
      <c r="W4448"/>
    </row>
    <row r="4449" spans="23:23" x14ac:dyDescent="0.55000000000000004">
      <c r="W4449"/>
    </row>
    <row r="4450" spans="23:23" x14ac:dyDescent="0.55000000000000004">
      <c r="W4450"/>
    </row>
    <row r="4451" spans="23:23" x14ac:dyDescent="0.55000000000000004">
      <c r="W4451"/>
    </row>
    <row r="4452" spans="23:23" x14ac:dyDescent="0.55000000000000004">
      <c r="W4452"/>
    </row>
    <row r="4453" spans="23:23" x14ac:dyDescent="0.55000000000000004">
      <c r="W4453"/>
    </row>
    <row r="4454" spans="23:23" x14ac:dyDescent="0.55000000000000004">
      <c r="W4454"/>
    </row>
    <row r="4455" spans="23:23" x14ac:dyDescent="0.55000000000000004">
      <c r="W4455"/>
    </row>
    <row r="4456" spans="23:23" x14ac:dyDescent="0.55000000000000004">
      <c r="W4456"/>
    </row>
    <row r="4457" spans="23:23" x14ac:dyDescent="0.55000000000000004">
      <c r="W4457"/>
    </row>
    <row r="4458" spans="23:23" x14ac:dyDescent="0.55000000000000004">
      <c r="W4458"/>
    </row>
    <row r="4459" spans="23:23" x14ac:dyDescent="0.55000000000000004">
      <c r="W4459"/>
    </row>
    <row r="4460" spans="23:23" x14ac:dyDescent="0.55000000000000004">
      <c r="W4460"/>
    </row>
    <row r="4461" spans="23:23" x14ac:dyDescent="0.55000000000000004">
      <c r="W4461"/>
    </row>
    <row r="4462" spans="23:23" x14ac:dyDescent="0.55000000000000004">
      <c r="W4462"/>
    </row>
    <row r="4463" spans="23:23" x14ac:dyDescent="0.55000000000000004">
      <c r="W4463"/>
    </row>
    <row r="4464" spans="23:23" x14ac:dyDescent="0.55000000000000004">
      <c r="W4464"/>
    </row>
    <row r="4465" spans="23:23" x14ac:dyDescent="0.55000000000000004">
      <c r="W4465"/>
    </row>
    <row r="4466" spans="23:23" x14ac:dyDescent="0.55000000000000004">
      <c r="W4466"/>
    </row>
    <row r="4467" spans="23:23" x14ac:dyDescent="0.55000000000000004">
      <c r="W4467"/>
    </row>
    <row r="4468" spans="23:23" x14ac:dyDescent="0.55000000000000004">
      <c r="W4468"/>
    </row>
    <row r="4469" spans="23:23" x14ac:dyDescent="0.55000000000000004">
      <c r="W4469"/>
    </row>
    <row r="4470" spans="23:23" x14ac:dyDescent="0.55000000000000004">
      <c r="W4470"/>
    </row>
    <row r="4471" spans="23:23" x14ac:dyDescent="0.55000000000000004">
      <c r="W4471"/>
    </row>
    <row r="4472" spans="23:23" x14ac:dyDescent="0.55000000000000004">
      <c r="W4472"/>
    </row>
    <row r="4473" spans="23:23" x14ac:dyDescent="0.55000000000000004">
      <c r="W4473"/>
    </row>
    <row r="4474" spans="23:23" x14ac:dyDescent="0.55000000000000004">
      <c r="W4474"/>
    </row>
    <row r="4475" spans="23:23" x14ac:dyDescent="0.55000000000000004">
      <c r="W4475"/>
    </row>
    <row r="4476" spans="23:23" x14ac:dyDescent="0.55000000000000004">
      <c r="W4476"/>
    </row>
    <row r="4477" spans="23:23" x14ac:dyDescent="0.55000000000000004">
      <c r="W4477"/>
    </row>
    <row r="4478" spans="23:23" x14ac:dyDescent="0.55000000000000004">
      <c r="W4478"/>
    </row>
    <row r="4479" spans="23:23" x14ac:dyDescent="0.55000000000000004">
      <c r="W4479"/>
    </row>
    <row r="4480" spans="23:23" x14ac:dyDescent="0.55000000000000004">
      <c r="W4480"/>
    </row>
    <row r="4481" spans="23:23" x14ac:dyDescent="0.55000000000000004">
      <c r="W4481"/>
    </row>
    <row r="4482" spans="23:23" x14ac:dyDescent="0.55000000000000004">
      <c r="W4482"/>
    </row>
    <row r="4483" spans="23:23" x14ac:dyDescent="0.55000000000000004">
      <c r="W4483"/>
    </row>
    <row r="4484" spans="23:23" x14ac:dyDescent="0.55000000000000004">
      <c r="W4484"/>
    </row>
    <row r="4485" spans="23:23" x14ac:dyDescent="0.55000000000000004">
      <c r="W4485"/>
    </row>
    <row r="4486" spans="23:23" x14ac:dyDescent="0.55000000000000004">
      <c r="W4486"/>
    </row>
    <row r="4487" spans="23:23" x14ac:dyDescent="0.55000000000000004">
      <c r="W4487"/>
    </row>
    <row r="4488" spans="23:23" x14ac:dyDescent="0.55000000000000004">
      <c r="W4488"/>
    </row>
    <row r="4489" spans="23:23" x14ac:dyDescent="0.55000000000000004">
      <c r="W4489"/>
    </row>
    <row r="4490" spans="23:23" x14ac:dyDescent="0.55000000000000004">
      <c r="W4490"/>
    </row>
    <row r="4491" spans="23:23" x14ac:dyDescent="0.55000000000000004">
      <c r="W4491"/>
    </row>
    <row r="4492" spans="23:23" x14ac:dyDescent="0.55000000000000004">
      <c r="W4492"/>
    </row>
    <row r="4493" spans="23:23" x14ac:dyDescent="0.55000000000000004">
      <c r="W4493"/>
    </row>
    <row r="4494" spans="23:23" x14ac:dyDescent="0.55000000000000004">
      <c r="W4494"/>
    </row>
    <row r="4495" spans="23:23" x14ac:dyDescent="0.55000000000000004">
      <c r="W4495"/>
    </row>
    <row r="4496" spans="23:23" x14ac:dyDescent="0.55000000000000004">
      <c r="W4496"/>
    </row>
    <row r="4497" spans="23:23" x14ac:dyDescent="0.55000000000000004">
      <c r="W4497"/>
    </row>
    <row r="4498" spans="23:23" x14ac:dyDescent="0.55000000000000004">
      <c r="W4498"/>
    </row>
    <row r="4499" spans="23:23" x14ac:dyDescent="0.55000000000000004">
      <c r="W4499"/>
    </row>
    <row r="4500" spans="23:23" x14ac:dyDescent="0.55000000000000004">
      <c r="W4500"/>
    </row>
    <row r="4501" spans="23:23" x14ac:dyDescent="0.55000000000000004">
      <c r="W4501"/>
    </row>
    <row r="4502" spans="23:23" x14ac:dyDescent="0.55000000000000004">
      <c r="W4502"/>
    </row>
    <row r="4503" spans="23:23" x14ac:dyDescent="0.55000000000000004">
      <c r="W4503"/>
    </row>
    <row r="4504" spans="23:23" x14ac:dyDescent="0.55000000000000004">
      <c r="W4504"/>
    </row>
    <row r="4505" spans="23:23" x14ac:dyDescent="0.55000000000000004">
      <c r="W4505"/>
    </row>
    <row r="4506" spans="23:23" x14ac:dyDescent="0.55000000000000004">
      <c r="W4506"/>
    </row>
    <row r="4507" spans="23:23" x14ac:dyDescent="0.55000000000000004">
      <c r="W4507"/>
    </row>
    <row r="4508" spans="23:23" x14ac:dyDescent="0.55000000000000004">
      <c r="W4508"/>
    </row>
    <row r="4509" spans="23:23" x14ac:dyDescent="0.55000000000000004">
      <c r="W4509"/>
    </row>
    <row r="4510" spans="23:23" x14ac:dyDescent="0.55000000000000004">
      <c r="W4510"/>
    </row>
    <row r="4511" spans="23:23" x14ac:dyDescent="0.55000000000000004">
      <c r="W4511"/>
    </row>
    <row r="4512" spans="23:23" x14ac:dyDescent="0.55000000000000004">
      <c r="W4512"/>
    </row>
    <row r="4513" spans="23:23" x14ac:dyDescent="0.55000000000000004">
      <c r="W4513"/>
    </row>
    <row r="4514" spans="23:23" x14ac:dyDescent="0.55000000000000004">
      <c r="W4514"/>
    </row>
    <row r="4515" spans="23:23" x14ac:dyDescent="0.55000000000000004">
      <c r="W4515"/>
    </row>
    <row r="4516" spans="23:23" x14ac:dyDescent="0.55000000000000004">
      <c r="W4516"/>
    </row>
    <row r="4517" spans="23:23" x14ac:dyDescent="0.55000000000000004">
      <c r="W4517"/>
    </row>
    <row r="4518" spans="23:23" x14ac:dyDescent="0.55000000000000004">
      <c r="W4518"/>
    </row>
    <row r="4519" spans="23:23" x14ac:dyDescent="0.55000000000000004">
      <c r="W4519"/>
    </row>
    <row r="4520" spans="23:23" x14ac:dyDescent="0.55000000000000004">
      <c r="W4520"/>
    </row>
    <row r="4521" spans="23:23" x14ac:dyDescent="0.55000000000000004">
      <c r="W4521"/>
    </row>
    <row r="4522" spans="23:23" x14ac:dyDescent="0.55000000000000004">
      <c r="W4522"/>
    </row>
    <row r="4523" spans="23:23" x14ac:dyDescent="0.55000000000000004">
      <c r="W4523"/>
    </row>
    <row r="4524" spans="23:23" x14ac:dyDescent="0.55000000000000004">
      <c r="W4524"/>
    </row>
    <row r="4525" spans="23:23" x14ac:dyDescent="0.55000000000000004">
      <c r="W4525"/>
    </row>
    <row r="4526" spans="23:23" x14ac:dyDescent="0.55000000000000004">
      <c r="W4526"/>
    </row>
    <row r="4527" spans="23:23" x14ac:dyDescent="0.55000000000000004">
      <c r="W4527"/>
    </row>
    <row r="4528" spans="23:23" x14ac:dyDescent="0.55000000000000004">
      <c r="W4528"/>
    </row>
    <row r="4529" spans="23:23" x14ac:dyDescent="0.55000000000000004">
      <c r="W4529"/>
    </row>
    <row r="4530" spans="23:23" x14ac:dyDescent="0.55000000000000004">
      <c r="W4530"/>
    </row>
    <row r="4531" spans="23:23" x14ac:dyDescent="0.55000000000000004">
      <c r="W4531"/>
    </row>
    <row r="4532" spans="23:23" x14ac:dyDescent="0.55000000000000004">
      <c r="W4532"/>
    </row>
    <row r="4533" spans="23:23" x14ac:dyDescent="0.55000000000000004">
      <c r="W4533"/>
    </row>
    <row r="4534" spans="23:23" x14ac:dyDescent="0.55000000000000004">
      <c r="W4534"/>
    </row>
    <row r="4535" spans="23:23" x14ac:dyDescent="0.55000000000000004">
      <c r="W4535"/>
    </row>
    <row r="4536" spans="23:23" x14ac:dyDescent="0.55000000000000004">
      <c r="W4536"/>
    </row>
    <row r="4537" spans="23:23" x14ac:dyDescent="0.55000000000000004">
      <c r="W4537"/>
    </row>
    <row r="4538" spans="23:23" x14ac:dyDescent="0.55000000000000004">
      <c r="W4538"/>
    </row>
    <row r="4539" spans="23:23" x14ac:dyDescent="0.55000000000000004">
      <c r="W4539"/>
    </row>
    <row r="4540" spans="23:23" x14ac:dyDescent="0.55000000000000004">
      <c r="W4540"/>
    </row>
    <row r="4541" spans="23:23" x14ac:dyDescent="0.55000000000000004">
      <c r="W4541"/>
    </row>
    <row r="4542" spans="23:23" x14ac:dyDescent="0.55000000000000004">
      <c r="W4542"/>
    </row>
    <row r="4543" spans="23:23" x14ac:dyDescent="0.55000000000000004">
      <c r="W4543"/>
    </row>
    <row r="4544" spans="23:23" x14ac:dyDescent="0.55000000000000004">
      <c r="W4544"/>
    </row>
    <row r="4545" spans="23:23" x14ac:dyDescent="0.55000000000000004">
      <c r="W4545"/>
    </row>
    <row r="4546" spans="23:23" x14ac:dyDescent="0.55000000000000004">
      <c r="W4546"/>
    </row>
    <row r="4547" spans="23:23" x14ac:dyDescent="0.55000000000000004">
      <c r="W4547"/>
    </row>
    <row r="4548" spans="23:23" x14ac:dyDescent="0.55000000000000004">
      <c r="W4548"/>
    </row>
    <row r="4549" spans="23:23" x14ac:dyDescent="0.55000000000000004">
      <c r="W4549"/>
    </row>
    <row r="4550" spans="23:23" x14ac:dyDescent="0.55000000000000004">
      <c r="W4550"/>
    </row>
    <row r="4551" spans="23:23" x14ac:dyDescent="0.55000000000000004">
      <c r="W4551"/>
    </row>
    <row r="4552" spans="23:23" x14ac:dyDescent="0.55000000000000004">
      <c r="W4552"/>
    </row>
    <row r="4553" spans="23:23" x14ac:dyDescent="0.55000000000000004">
      <c r="W4553"/>
    </row>
    <row r="4554" spans="23:23" x14ac:dyDescent="0.55000000000000004">
      <c r="W4554"/>
    </row>
    <row r="4555" spans="23:23" x14ac:dyDescent="0.55000000000000004">
      <c r="W4555"/>
    </row>
    <row r="4556" spans="23:23" x14ac:dyDescent="0.55000000000000004">
      <c r="W4556"/>
    </row>
    <row r="4557" spans="23:23" x14ac:dyDescent="0.55000000000000004">
      <c r="W4557"/>
    </row>
    <row r="4558" spans="23:23" x14ac:dyDescent="0.55000000000000004">
      <c r="W4558"/>
    </row>
    <row r="4559" spans="23:23" x14ac:dyDescent="0.55000000000000004">
      <c r="W4559"/>
    </row>
    <row r="4560" spans="23:23" x14ac:dyDescent="0.55000000000000004">
      <c r="W4560"/>
    </row>
    <row r="4561" spans="23:23" x14ac:dyDescent="0.55000000000000004">
      <c r="W4561"/>
    </row>
    <row r="4562" spans="23:23" x14ac:dyDescent="0.55000000000000004">
      <c r="W4562"/>
    </row>
    <row r="4563" spans="23:23" x14ac:dyDescent="0.55000000000000004">
      <c r="W4563"/>
    </row>
    <row r="4564" spans="23:23" x14ac:dyDescent="0.55000000000000004">
      <c r="W4564"/>
    </row>
    <row r="4565" spans="23:23" x14ac:dyDescent="0.55000000000000004">
      <c r="W4565"/>
    </row>
    <row r="4566" spans="23:23" x14ac:dyDescent="0.55000000000000004">
      <c r="W4566"/>
    </row>
    <row r="4567" spans="23:23" x14ac:dyDescent="0.55000000000000004">
      <c r="W4567"/>
    </row>
    <row r="4568" spans="23:23" x14ac:dyDescent="0.55000000000000004">
      <c r="W4568"/>
    </row>
    <row r="4569" spans="23:23" x14ac:dyDescent="0.55000000000000004">
      <c r="W4569"/>
    </row>
    <row r="4570" spans="23:23" x14ac:dyDescent="0.55000000000000004">
      <c r="W4570"/>
    </row>
    <row r="4571" spans="23:23" x14ac:dyDescent="0.55000000000000004">
      <c r="W4571"/>
    </row>
    <row r="4572" spans="23:23" x14ac:dyDescent="0.55000000000000004">
      <c r="W4572"/>
    </row>
    <row r="4573" spans="23:23" x14ac:dyDescent="0.55000000000000004">
      <c r="W4573"/>
    </row>
    <row r="4574" spans="23:23" x14ac:dyDescent="0.55000000000000004">
      <c r="W4574"/>
    </row>
    <row r="4575" spans="23:23" x14ac:dyDescent="0.55000000000000004">
      <c r="W4575"/>
    </row>
    <row r="4576" spans="23:23" x14ac:dyDescent="0.55000000000000004">
      <c r="W4576"/>
    </row>
    <row r="4577" spans="23:23" x14ac:dyDescent="0.55000000000000004">
      <c r="W4577"/>
    </row>
    <row r="4578" spans="23:23" x14ac:dyDescent="0.55000000000000004">
      <c r="W4578"/>
    </row>
    <row r="4579" spans="23:23" x14ac:dyDescent="0.55000000000000004">
      <c r="W4579"/>
    </row>
    <row r="4580" spans="23:23" x14ac:dyDescent="0.55000000000000004">
      <c r="W4580"/>
    </row>
    <row r="4581" spans="23:23" x14ac:dyDescent="0.55000000000000004">
      <c r="W4581"/>
    </row>
    <row r="4582" spans="23:23" x14ac:dyDescent="0.55000000000000004">
      <c r="W4582"/>
    </row>
    <row r="4583" spans="23:23" x14ac:dyDescent="0.55000000000000004">
      <c r="W4583"/>
    </row>
    <row r="4584" spans="23:23" x14ac:dyDescent="0.55000000000000004">
      <c r="W4584"/>
    </row>
    <row r="4585" spans="23:23" x14ac:dyDescent="0.55000000000000004">
      <c r="W4585"/>
    </row>
    <row r="4586" spans="23:23" x14ac:dyDescent="0.55000000000000004">
      <c r="W4586"/>
    </row>
    <row r="4587" spans="23:23" x14ac:dyDescent="0.55000000000000004">
      <c r="W4587"/>
    </row>
    <row r="4588" spans="23:23" x14ac:dyDescent="0.55000000000000004">
      <c r="W4588"/>
    </row>
    <row r="4589" spans="23:23" x14ac:dyDescent="0.55000000000000004">
      <c r="W4589"/>
    </row>
    <row r="4590" spans="23:23" x14ac:dyDescent="0.55000000000000004">
      <c r="W4590"/>
    </row>
    <row r="4591" spans="23:23" x14ac:dyDescent="0.55000000000000004">
      <c r="W4591"/>
    </row>
    <row r="4592" spans="23:23" x14ac:dyDescent="0.55000000000000004">
      <c r="W4592"/>
    </row>
    <row r="4593" spans="23:23" x14ac:dyDescent="0.55000000000000004">
      <c r="W4593"/>
    </row>
    <row r="4594" spans="23:23" x14ac:dyDescent="0.55000000000000004">
      <c r="W4594"/>
    </row>
    <row r="4595" spans="23:23" x14ac:dyDescent="0.55000000000000004">
      <c r="W4595"/>
    </row>
    <row r="4596" spans="23:23" x14ac:dyDescent="0.55000000000000004">
      <c r="W4596"/>
    </row>
    <row r="4597" spans="23:23" x14ac:dyDescent="0.55000000000000004">
      <c r="W4597"/>
    </row>
    <row r="4598" spans="23:23" x14ac:dyDescent="0.55000000000000004">
      <c r="W4598"/>
    </row>
    <row r="4599" spans="23:23" x14ac:dyDescent="0.55000000000000004">
      <c r="W4599"/>
    </row>
    <row r="4600" spans="23:23" x14ac:dyDescent="0.55000000000000004">
      <c r="W4600"/>
    </row>
    <row r="4601" spans="23:23" x14ac:dyDescent="0.55000000000000004">
      <c r="W4601"/>
    </row>
    <row r="4602" spans="23:23" x14ac:dyDescent="0.55000000000000004">
      <c r="W4602"/>
    </row>
    <row r="4603" spans="23:23" x14ac:dyDescent="0.55000000000000004">
      <c r="W4603"/>
    </row>
    <row r="4604" spans="23:23" x14ac:dyDescent="0.55000000000000004">
      <c r="W4604"/>
    </row>
    <row r="4605" spans="23:23" x14ac:dyDescent="0.55000000000000004">
      <c r="W4605"/>
    </row>
    <row r="4606" spans="23:23" x14ac:dyDescent="0.55000000000000004">
      <c r="W4606"/>
    </row>
    <row r="4607" spans="23:23" x14ac:dyDescent="0.55000000000000004">
      <c r="W4607"/>
    </row>
    <row r="4608" spans="23:23" x14ac:dyDescent="0.55000000000000004">
      <c r="W4608"/>
    </row>
    <row r="4609" spans="23:23" x14ac:dyDescent="0.55000000000000004">
      <c r="W4609"/>
    </row>
    <row r="4610" spans="23:23" x14ac:dyDescent="0.55000000000000004">
      <c r="W4610"/>
    </row>
    <row r="4611" spans="23:23" x14ac:dyDescent="0.55000000000000004">
      <c r="W4611"/>
    </row>
    <row r="4612" spans="23:23" x14ac:dyDescent="0.55000000000000004">
      <c r="W4612"/>
    </row>
    <row r="4613" spans="23:23" x14ac:dyDescent="0.55000000000000004">
      <c r="W4613"/>
    </row>
    <row r="4614" spans="23:23" x14ac:dyDescent="0.55000000000000004">
      <c r="W4614"/>
    </row>
    <row r="4615" spans="23:23" x14ac:dyDescent="0.55000000000000004">
      <c r="W4615"/>
    </row>
    <row r="4616" spans="23:23" x14ac:dyDescent="0.55000000000000004">
      <c r="W4616"/>
    </row>
    <row r="4617" spans="23:23" x14ac:dyDescent="0.55000000000000004">
      <c r="W4617"/>
    </row>
    <row r="4618" spans="23:23" x14ac:dyDescent="0.55000000000000004">
      <c r="W4618"/>
    </row>
    <row r="4619" spans="23:23" x14ac:dyDescent="0.55000000000000004">
      <c r="W4619"/>
    </row>
    <row r="4620" spans="23:23" x14ac:dyDescent="0.55000000000000004">
      <c r="W4620"/>
    </row>
    <row r="4621" spans="23:23" x14ac:dyDescent="0.55000000000000004">
      <c r="W4621"/>
    </row>
    <row r="4622" spans="23:23" x14ac:dyDescent="0.55000000000000004">
      <c r="W4622"/>
    </row>
    <row r="4623" spans="23:23" x14ac:dyDescent="0.55000000000000004">
      <c r="W4623"/>
    </row>
    <row r="4624" spans="23:23" x14ac:dyDescent="0.55000000000000004">
      <c r="W4624"/>
    </row>
    <row r="4625" spans="23:23" x14ac:dyDescent="0.55000000000000004">
      <c r="W4625"/>
    </row>
    <row r="4626" spans="23:23" x14ac:dyDescent="0.55000000000000004">
      <c r="W4626"/>
    </row>
    <row r="4627" spans="23:23" x14ac:dyDescent="0.55000000000000004">
      <c r="W4627"/>
    </row>
    <row r="4628" spans="23:23" x14ac:dyDescent="0.55000000000000004">
      <c r="W4628"/>
    </row>
    <row r="4629" spans="23:23" x14ac:dyDescent="0.55000000000000004">
      <c r="W4629"/>
    </row>
    <row r="4630" spans="23:23" x14ac:dyDescent="0.55000000000000004">
      <c r="W4630"/>
    </row>
    <row r="4631" spans="23:23" x14ac:dyDescent="0.55000000000000004">
      <c r="W4631"/>
    </row>
    <row r="4632" spans="23:23" x14ac:dyDescent="0.55000000000000004">
      <c r="W4632"/>
    </row>
    <row r="4633" spans="23:23" x14ac:dyDescent="0.55000000000000004">
      <c r="W4633"/>
    </row>
    <row r="4634" spans="23:23" x14ac:dyDescent="0.55000000000000004">
      <c r="W4634"/>
    </row>
    <row r="4635" spans="23:23" x14ac:dyDescent="0.55000000000000004">
      <c r="W4635"/>
    </row>
    <row r="4636" spans="23:23" x14ac:dyDescent="0.55000000000000004">
      <c r="W4636"/>
    </row>
    <row r="4637" spans="23:23" x14ac:dyDescent="0.55000000000000004">
      <c r="W4637"/>
    </row>
    <row r="4638" spans="23:23" x14ac:dyDescent="0.55000000000000004">
      <c r="W4638"/>
    </row>
    <row r="4639" spans="23:23" x14ac:dyDescent="0.55000000000000004">
      <c r="W4639"/>
    </row>
    <row r="4640" spans="23:23" x14ac:dyDescent="0.55000000000000004">
      <c r="W4640"/>
    </row>
    <row r="4641" spans="23:23" x14ac:dyDescent="0.55000000000000004">
      <c r="W4641"/>
    </row>
    <row r="4642" spans="23:23" x14ac:dyDescent="0.55000000000000004">
      <c r="W4642"/>
    </row>
    <row r="4643" spans="23:23" x14ac:dyDescent="0.55000000000000004">
      <c r="W4643"/>
    </row>
    <row r="4644" spans="23:23" x14ac:dyDescent="0.55000000000000004">
      <c r="W4644"/>
    </row>
    <row r="4645" spans="23:23" x14ac:dyDescent="0.55000000000000004">
      <c r="W4645"/>
    </row>
    <row r="4646" spans="23:23" x14ac:dyDescent="0.55000000000000004">
      <c r="W4646"/>
    </row>
    <row r="4647" spans="23:23" x14ac:dyDescent="0.55000000000000004">
      <c r="W4647"/>
    </row>
    <row r="4648" spans="23:23" x14ac:dyDescent="0.55000000000000004">
      <c r="W4648"/>
    </row>
    <row r="4649" spans="23:23" x14ac:dyDescent="0.55000000000000004">
      <c r="W4649"/>
    </row>
    <row r="4650" spans="23:23" x14ac:dyDescent="0.55000000000000004">
      <c r="W4650"/>
    </row>
    <row r="4651" spans="23:23" x14ac:dyDescent="0.55000000000000004">
      <c r="W4651"/>
    </row>
    <row r="4652" spans="23:23" x14ac:dyDescent="0.55000000000000004">
      <c r="W4652"/>
    </row>
    <row r="4653" spans="23:23" x14ac:dyDescent="0.55000000000000004">
      <c r="W4653"/>
    </row>
    <row r="4654" spans="23:23" x14ac:dyDescent="0.55000000000000004">
      <c r="W4654"/>
    </row>
    <row r="4655" spans="23:23" x14ac:dyDescent="0.55000000000000004">
      <c r="W4655"/>
    </row>
    <row r="4656" spans="23:23" x14ac:dyDescent="0.55000000000000004">
      <c r="W4656"/>
    </row>
    <row r="4657" spans="23:23" x14ac:dyDescent="0.55000000000000004">
      <c r="W4657"/>
    </row>
    <row r="4658" spans="23:23" x14ac:dyDescent="0.55000000000000004">
      <c r="W4658"/>
    </row>
    <row r="4659" spans="23:23" x14ac:dyDescent="0.55000000000000004">
      <c r="W4659"/>
    </row>
    <row r="4660" spans="23:23" x14ac:dyDescent="0.55000000000000004">
      <c r="W4660"/>
    </row>
    <row r="4661" spans="23:23" x14ac:dyDescent="0.55000000000000004">
      <c r="W4661"/>
    </row>
    <row r="4662" spans="23:23" x14ac:dyDescent="0.55000000000000004">
      <c r="W4662"/>
    </row>
    <row r="4663" spans="23:23" x14ac:dyDescent="0.55000000000000004">
      <c r="W4663"/>
    </row>
    <row r="4664" spans="23:23" x14ac:dyDescent="0.55000000000000004">
      <c r="W4664"/>
    </row>
    <row r="4665" spans="23:23" x14ac:dyDescent="0.55000000000000004">
      <c r="W4665"/>
    </row>
    <row r="4666" spans="23:23" x14ac:dyDescent="0.55000000000000004">
      <c r="W4666"/>
    </row>
    <row r="4667" spans="23:23" x14ac:dyDescent="0.55000000000000004">
      <c r="W4667"/>
    </row>
    <row r="4668" spans="23:23" x14ac:dyDescent="0.55000000000000004">
      <c r="W4668"/>
    </row>
    <row r="4669" spans="23:23" x14ac:dyDescent="0.55000000000000004">
      <c r="W4669"/>
    </row>
    <row r="4670" spans="23:23" x14ac:dyDescent="0.55000000000000004">
      <c r="W4670"/>
    </row>
    <row r="4671" spans="23:23" x14ac:dyDescent="0.55000000000000004">
      <c r="W4671"/>
    </row>
    <row r="4672" spans="23:23" x14ac:dyDescent="0.55000000000000004">
      <c r="W4672"/>
    </row>
    <row r="4673" spans="23:23" x14ac:dyDescent="0.55000000000000004">
      <c r="W4673"/>
    </row>
    <row r="4674" spans="23:23" x14ac:dyDescent="0.55000000000000004">
      <c r="W4674"/>
    </row>
    <row r="4675" spans="23:23" x14ac:dyDescent="0.55000000000000004">
      <c r="W4675"/>
    </row>
    <row r="4676" spans="23:23" x14ac:dyDescent="0.55000000000000004">
      <c r="W4676"/>
    </row>
    <row r="4677" spans="23:23" x14ac:dyDescent="0.55000000000000004">
      <c r="W4677"/>
    </row>
    <row r="4678" spans="23:23" x14ac:dyDescent="0.55000000000000004">
      <c r="W4678"/>
    </row>
    <row r="4679" spans="23:23" x14ac:dyDescent="0.55000000000000004">
      <c r="W4679"/>
    </row>
    <row r="4680" spans="23:23" x14ac:dyDescent="0.55000000000000004">
      <c r="W4680"/>
    </row>
    <row r="4681" spans="23:23" x14ac:dyDescent="0.55000000000000004">
      <c r="W4681"/>
    </row>
    <row r="4682" spans="23:23" x14ac:dyDescent="0.55000000000000004">
      <c r="W4682"/>
    </row>
    <row r="4683" spans="23:23" x14ac:dyDescent="0.55000000000000004">
      <c r="W4683"/>
    </row>
    <row r="4684" spans="23:23" x14ac:dyDescent="0.55000000000000004">
      <c r="W4684"/>
    </row>
    <row r="4685" spans="23:23" x14ac:dyDescent="0.55000000000000004">
      <c r="W4685"/>
    </row>
    <row r="4686" spans="23:23" x14ac:dyDescent="0.55000000000000004">
      <c r="W4686"/>
    </row>
    <row r="4687" spans="23:23" x14ac:dyDescent="0.55000000000000004">
      <c r="W4687"/>
    </row>
    <row r="4688" spans="23:23" x14ac:dyDescent="0.55000000000000004">
      <c r="W4688"/>
    </row>
    <row r="4689" spans="23:23" x14ac:dyDescent="0.55000000000000004">
      <c r="W4689"/>
    </row>
    <row r="4690" spans="23:23" x14ac:dyDescent="0.55000000000000004">
      <c r="W4690"/>
    </row>
    <row r="4691" spans="23:23" x14ac:dyDescent="0.55000000000000004">
      <c r="W4691"/>
    </row>
    <row r="4692" spans="23:23" x14ac:dyDescent="0.55000000000000004">
      <c r="W4692"/>
    </row>
    <row r="4693" spans="23:23" x14ac:dyDescent="0.55000000000000004">
      <c r="W4693"/>
    </row>
    <row r="4694" spans="23:23" x14ac:dyDescent="0.55000000000000004">
      <c r="W4694"/>
    </row>
    <row r="4695" spans="23:23" x14ac:dyDescent="0.55000000000000004">
      <c r="W4695"/>
    </row>
    <row r="4696" spans="23:23" x14ac:dyDescent="0.55000000000000004">
      <c r="W4696"/>
    </row>
    <row r="4697" spans="23:23" x14ac:dyDescent="0.55000000000000004">
      <c r="W4697"/>
    </row>
    <row r="4698" spans="23:23" x14ac:dyDescent="0.55000000000000004">
      <c r="W4698"/>
    </row>
    <row r="4699" spans="23:23" x14ac:dyDescent="0.55000000000000004">
      <c r="W4699"/>
    </row>
    <row r="4700" spans="23:23" x14ac:dyDescent="0.55000000000000004">
      <c r="W4700"/>
    </row>
    <row r="4701" spans="23:23" x14ac:dyDescent="0.55000000000000004">
      <c r="W4701"/>
    </row>
    <row r="4702" spans="23:23" x14ac:dyDescent="0.55000000000000004">
      <c r="W4702"/>
    </row>
    <row r="4703" spans="23:23" x14ac:dyDescent="0.55000000000000004">
      <c r="W4703"/>
    </row>
    <row r="4704" spans="23:23" x14ac:dyDescent="0.55000000000000004">
      <c r="W4704"/>
    </row>
    <row r="4705" spans="23:23" x14ac:dyDescent="0.55000000000000004">
      <c r="W4705"/>
    </row>
    <row r="4706" spans="23:23" x14ac:dyDescent="0.55000000000000004">
      <c r="W4706"/>
    </row>
    <row r="4707" spans="23:23" x14ac:dyDescent="0.55000000000000004">
      <c r="W4707"/>
    </row>
    <row r="4708" spans="23:23" x14ac:dyDescent="0.55000000000000004">
      <c r="W4708"/>
    </row>
    <row r="4709" spans="23:23" x14ac:dyDescent="0.55000000000000004">
      <c r="W4709"/>
    </row>
    <row r="4710" spans="23:23" x14ac:dyDescent="0.55000000000000004">
      <c r="W4710"/>
    </row>
    <row r="4711" spans="23:23" x14ac:dyDescent="0.55000000000000004">
      <c r="W4711"/>
    </row>
    <row r="4712" spans="23:23" x14ac:dyDescent="0.55000000000000004">
      <c r="W4712"/>
    </row>
    <row r="4713" spans="23:23" x14ac:dyDescent="0.55000000000000004">
      <c r="W4713"/>
    </row>
    <row r="4714" spans="23:23" x14ac:dyDescent="0.55000000000000004">
      <c r="W4714"/>
    </row>
    <row r="4715" spans="23:23" x14ac:dyDescent="0.55000000000000004">
      <c r="W4715"/>
    </row>
    <row r="4716" spans="23:23" x14ac:dyDescent="0.55000000000000004">
      <c r="W4716"/>
    </row>
    <row r="4717" spans="23:23" x14ac:dyDescent="0.55000000000000004">
      <c r="W4717"/>
    </row>
    <row r="4718" spans="23:23" x14ac:dyDescent="0.55000000000000004">
      <c r="W4718"/>
    </row>
    <row r="4719" spans="23:23" x14ac:dyDescent="0.55000000000000004">
      <c r="W4719"/>
    </row>
    <row r="4720" spans="23:23" x14ac:dyDescent="0.55000000000000004">
      <c r="W4720"/>
    </row>
    <row r="4721" spans="23:23" x14ac:dyDescent="0.55000000000000004">
      <c r="W4721"/>
    </row>
    <row r="4722" spans="23:23" x14ac:dyDescent="0.55000000000000004">
      <c r="W4722"/>
    </row>
    <row r="4723" spans="23:23" x14ac:dyDescent="0.55000000000000004">
      <c r="W4723"/>
    </row>
    <row r="4724" spans="23:23" x14ac:dyDescent="0.55000000000000004">
      <c r="W4724"/>
    </row>
    <row r="4725" spans="23:23" x14ac:dyDescent="0.55000000000000004">
      <c r="W4725"/>
    </row>
    <row r="4726" spans="23:23" x14ac:dyDescent="0.55000000000000004">
      <c r="W4726"/>
    </row>
    <row r="4727" spans="23:23" x14ac:dyDescent="0.55000000000000004">
      <c r="W4727"/>
    </row>
    <row r="4728" spans="23:23" x14ac:dyDescent="0.55000000000000004">
      <c r="W4728"/>
    </row>
    <row r="4729" spans="23:23" x14ac:dyDescent="0.55000000000000004">
      <c r="W4729"/>
    </row>
    <row r="4730" spans="23:23" x14ac:dyDescent="0.55000000000000004">
      <c r="W4730"/>
    </row>
    <row r="4731" spans="23:23" x14ac:dyDescent="0.55000000000000004">
      <c r="W4731"/>
    </row>
    <row r="4732" spans="23:23" x14ac:dyDescent="0.55000000000000004">
      <c r="W4732"/>
    </row>
    <row r="4733" spans="23:23" x14ac:dyDescent="0.55000000000000004">
      <c r="W4733"/>
    </row>
    <row r="4734" spans="23:23" x14ac:dyDescent="0.55000000000000004">
      <c r="W4734"/>
    </row>
    <row r="4735" spans="23:23" x14ac:dyDescent="0.55000000000000004">
      <c r="W4735"/>
    </row>
    <row r="4736" spans="23:23" x14ac:dyDescent="0.55000000000000004">
      <c r="W4736"/>
    </row>
    <row r="4737" spans="23:23" x14ac:dyDescent="0.55000000000000004">
      <c r="W4737"/>
    </row>
    <row r="4738" spans="23:23" x14ac:dyDescent="0.55000000000000004">
      <c r="W4738"/>
    </row>
    <row r="4739" spans="23:23" x14ac:dyDescent="0.55000000000000004">
      <c r="W4739"/>
    </row>
    <row r="4740" spans="23:23" x14ac:dyDescent="0.55000000000000004">
      <c r="W4740"/>
    </row>
    <row r="4741" spans="23:23" x14ac:dyDescent="0.55000000000000004">
      <c r="W4741"/>
    </row>
    <row r="4742" spans="23:23" x14ac:dyDescent="0.55000000000000004">
      <c r="W4742"/>
    </row>
    <row r="4743" spans="23:23" x14ac:dyDescent="0.55000000000000004">
      <c r="W4743"/>
    </row>
    <row r="4744" spans="23:23" x14ac:dyDescent="0.55000000000000004">
      <c r="W4744"/>
    </row>
    <row r="4745" spans="23:23" x14ac:dyDescent="0.55000000000000004">
      <c r="W4745"/>
    </row>
    <row r="4746" spans="23:23" x14ac:dyDescent="0.55000000000000004">
      <c r="W4746"/>
    </row>
    <row r="4747" spans="23:23" x14ac:dyDescent="0.55000000000000004">
      <c r="W4747"/>
    </row>
    <row r="4748" spans="23:23" x14ac:dyDescent="0.55000000000000004">
      <c r="W4748"/>
    </row>
    <row r="4749" spans="23:23" x14ac:dyDescent="0.55000000000000004">
      <c r="W4749"/>
    </row>
    <row r="4750" spans="23:23" x14ac:dyDescent="0.55000000000000004">
      <c r="W4750"/>
    </row>
    <row r="4751" spans="23:23" x14ac:dyDescent="0.55000000000000004">
      <c r="W4751"/>
    </row>
    <row r="4752" spans="23:23" x14ac:dyDescent="0.55000000000000004">
      <c r="W4752"/>
    </row>
    <row r="4753" spans="23:23" x14ac:dyDescent="0.55000000000000004">
      <c r="W4753"/>
    </row>
    <row r="4754" spans="23:23" x14ac:dyDescent="0.55000000000000004">
      <c r="W4754"/>
    </row>
    <row r="4755" spans="23:23" x14ac:dyDescent="0.55000000000000004">
      <c r="W4755"/>
    </row>
    <row r="4756" spans="23:23" x14ac:dyDescent="0.55000000000000004">
      <c r="W4756"/>
    </row>
    <row r="4757" spans="23:23" x14ac:dyDescent="0.55000000000000004">
      <c r="W4757"/>
    </row>
    <row r="4758" spans="23:23" x14ac:dyDescent="0.55000000000000004">
      <c r="W4758"/>
    </row>
    <row r="4759" spans="23:23" x14ac:dyDescent="0.55000000000000004">
      <c r="W4759"/>
    </row>
    <row r="4760" spans="23:23" x14ac:dyDescent="0.55000000000000004">
      <c r="W4760"/>
    </row>
    <row r="4761" spans="23:23" x14ac:dyDescent="0.55000000000000004">
      <c r="W4761"/>
    </row>
    <row r="4762" spans="23:23" x14ac:dyDescent="0.55000000000000004">
      <c r="W4762"/>
    </row>
    <row r="4763" spans="23:23" x14ac:dyDescent="0.55000000000000004">
      <c r="W4763"/>
    </row>
    <row r="4764" spans="23:23" x14ac:dyDescent="0.55000000000000004">
      <c r="W4764"/>
    </row>
    <row r="4765" spans="23:23" x14ac:dyDescent="0.55000000000000004">
      <c r="W4765"/>
    </row>
    <row r="4766" spans="23:23" x14ac:dyDescent="0.55000000000000004">
      <c r="W4766"/>
    </row>
    <row r="4767" spans="23:23" x14ac:dyDescent="0.55000000000000004">
      <c r="W4767"/>
    </row>
    <row r="4768" spans="23:23" x14ac:dyDescent="0.55000000000000004">
      <c r="W4768"/>
    </row>
    <row r="4769" spans="23:23" x14ac:dyDescent="0.55000000000000004">
      <c r="W4769"/>
    </row>
    <row r="4770" spans="23:23" x14ac:dyDescent="0.55000000000000004">
      <c r="W4770"/>
    </row>
    <row r="4771" spans="23:23" x14ac:dyDescent="0.55000000000000004">
      <c r="W4771"/>
    </row>
    <row r="4772" spans="23:23" x14ac:dyDescent="0.55000000000000004">
      <c r="W4772"/>
    </row>
    <row r="4773" spans="23:23" x14ac:dyDescent="0.55000000000000004">
      <c r="W4773"/>
    </row>
    <row r="4774" spans="23:23" x14ac:dyDescent="0.55000000000000004">
      <c r="W4774"/>
    </row>
    <row r="4775" spans="23:23" x14ac:dyDescent="0.55000000000000004">
      <c r="W4775"/>
    </row>
    <row r="4776" spans="23:23" x14ac:dyDescent="0.55000000000000004">
      <c r="W4776"/>
    </row>
    <row r="4777" spans="23:23" x14ac:dyDescent="0.55000000000000004">
      <c r="W4777"/>
    </row>
    <row r="4778" spans="23:23" x14ac:dyDescent="0.55000000000000004">
      <c r="W4778"/>
    </row>
    <row r="4779" spans="23:23" x14ac:dyDescent="0.55000000000000004">
      <c r="W4779"/>
    </row>
    <row r="4780" spans="23:23" x14ac:dyDescent="0.55000000000000004">
      <c r="W4780"/>
    </row>
    <row r="4781" spans="23:23" x14ac:dyDescent="0.55000000000000004">
      <c r="W4781"/>
    </row>
    <row r="4782" spans="23:23" x14ac:dyDescent="0.55000000000000004">
      <c r="W4782"/>
    </row>
    <row r="4783" spans="23:23" x14ac:dyDescent="0.55000000000000004">
      <c r="W4783"/>
    </row>
    <row r="4784" spans="23:23" x14ac:dyDescent="0.55000000000000004">
      <c r="W4784"/>
    </row>
    <row r="4785" spans="23:23" x14ac:dyDescent="0.55000000000000004">
      <c r="W4785"/>
    </row>
    <row r="4786" spans="23:23" x14ac:dyDescent="0.55000000000000004">
      <c r="W4786"/>
    </row>
    <row r="4787" spans="23:23" x14ac:dyDescent="0.55000000000000004">
      <c r="W4787"/>
    </row>
    <row r="4788" spans="23:23" x14ac:dyDescent="0.55000000000000004">
      <c r="W4788"/>
    </row>
    <row r="4789" spans="23:23" x14ac:dyDescent="0.55000000000000004">
      <c r="W4789"/>
    </row>
    <row r="4790" spans="23:23" x14ac:dyDescent="0.55000000000000004">
      <c r="W4790"/>
    </row>
    <row r="4791" spans="23:23" x14ac:dyDescent="0.55000000000000004">
      <c r="W4791"/>
    </row>
    <row r="4792" spans="23:23" x14ac:dyDescent="0.55000000000000004">
      <c r="W4792"/>
    </row>
    <row r="4793" spans="23:23" x14ac:dyDescent="0.55000000000000004">
      <c r="W4793"/>
    </row>
    <row r="4794" spans="23:23" x14ac:dyDescent="0.55000000000000004">
      <c r="W4794"/>
    </row>
    <row r="4795" spans="23:23" x14ac:dyDescent="0.55000000000000004">
      <c r="W4795"/>
    </row>
    <row r="4796" spans="23:23" x14ac:dyDescent="0.55000000000000004">
      <c r="W4796"/>
    </row>
    <row r="4797" spans="23:23" x14ac:dyDescent="0.55000000000000004">
      <c r="W4797"/>
    </row>
    <row r="4798" spans="23:23" x14ac:dyDescent="0.55000000000000004">
      <c r="W4798"/>
    </row>
    <row r="4799" spans="23:23" x14ac:dyDescent="0.55000000000000004">
      <c r="W4799"/>
    </row>
    <row r="4800" spans="23:23" x14ac:dyDescent="0.55000000000000004">
      <c r="W4800"/>
    </row>
    <row r="4801" spans="23:23" x14ac:dyDescent="0.55000000000000004">
      <c r="W4801"/>
    </row>
    <row r="4802" spans="23:23" x14ac:dyDescent="0.55000000000000004">
      <c r="W4802"/>
    </row>
    <row r="4803" spans="23:23" x14ac:dyDescent="0.55000000000000004">
      <c r="W4803"/>
    </row>
    <row r="4804" spans="23:23" x14ac:dyDescent="0.55000000000000004">
      <c r="W4804"/>
    </row>
    <row r="4805" spans="23:23" x14ac:dyDescent="0.55000000000000004">
      <c r="W4805"/>
    </row>
    <row r="4806" spans="23:23" x14ac:dyDescent="0.55000000000000004">
      <c r="W4806"/>
    </row>
    <row r="4807" spans="23:23" x14ac:dyDescent="0.55000000000000004">
      <c r="W4807"/>
    </row>
    <row r="4808" spans="23:23" x14ac:dyDescent="0.55000000000000004">
      <c r="W4808"/>
    </row>
    <row r="4809" spans="23:23" x14ac:dyDescent="0.55000000000000004">
      <c r="W4809"/>
    </row>
    <row r="4810" spans="23:23" x14ac:dyDescent="0.55000000000000004">
      <c r="W4810"/>
    </row>
    <row r="4811" spans="23:23" x14ac:dyDescent="0.55000000000000004">
      <c r="W4811"/>
    </row>
    <row r="4812" spans="23:23" x14ac:dyDescent="0.55000000000000004">
      <c r="W4812"/>
    </row>
    <row r="4813" spans="23:23" x14ac:dyDescent="0.55000000000000004">
      <c r="W4813"/>
    </row>
    <row r="4814" spans="23:23" x14ac:dyDescent="0.55000000000000004">
      <c r="W4814"/>
    </row>
    <row r="4815" spans="23:23" x14ac:dyDescent="0.55000000000000004">
      <c r="W4815"/>
    </row>
    <row r="4816" spans="23:23" x14ac:dyDescent="0.55000000000000004">
      <c r="W4816"/>
    </row>
    <row r="4817" spans="23:23" x14ac:dyDescent="0.55000000000000004">
      <c r="W4817"/>
    </row>
    <row r="4818" spans="23:23" x14ac:dyDescent="0.55000000000000004">
      <c r="W4818"/>
    </row>
    <row r="4819" spans="23:23" x14ac:dyDescent="0.55000000000000004">
      <c r="W4819"/>
    </row>
    <row r="4820" spans="23:23" x14ac:dyDescent="0.55000000000000004">
      <c r="W4820"/>
    </row>
    <row r="4821" spans="23:23" x14ac:dyDescent="0.55000000000000004">
      <c r="W4821"/>
    </row>
    <row r="4822" spans="23:23" x14ac:dyDescent="0.55000000000000004">
      <c r="W4822"/>
    </row>
    <row r="4823" spans="23:23" x14ac:dyDescent="0.55000000000000004">
      <c r="W4823"/>
    </row>
    <row r="4824" spans="23:23" x14ac:dyDescent="0.55000000000000004">
      <c r="W4824"/>
    </row>
    <row r="4825" spans="23:23" x14ac:dyDescent="0.55000000000000004">
      <c r="W4825"/>
    </row>
    <row r="4826" spans="23:23" x14ac:dyDescent="0.55000000000000004">
      <c r="W4826"/>
    </row>
    <row r="4827" spans="23:23" x14ac:dyDescent="0.55000000000000004">
      <c r="W4827"/>
    </row>
    <row r="4828" spans="23:23" x14ac:dyDescent="0.55000000000000004">
      <c r="W4828"/>
    </row>
    <row r="4829" spans="23:23" x14ac:dyDescent="0.55000000000000004">
      <c r="W4829"/>
    </row>
    <row r="4830" spans="23:23" x14ac:dyDescent="0.55000000000000004">
      <c r="W4830"/>
    </row>
    <row r="4831" spans="23:23" x14ac:dyDescent="0.55000000000000004">
      <c r="W4831"/>
    </row>
    <row r="4832" spans="23:23" x14ac:dyDescent="0.55000000000000004">
      <c r="W4832"/>
    </row>
    <row r="4833" spans="23:23" x14ac:dyDescent="0.55000000000000004">
      <c r="W4833"/>
    </row>
    <row r="4834" spans="23:23" x14ac:dyDescent="0.55000000000000004">
      <c r="W4834"/>
    </row>
    <row r="4835" spans="23:23" x14ac:dyDescent="0.55000000000000004">
      <c r="W4835"/>
    </row>
    <row r="4836" spans="23:23" x14ac:dyDescent="0.55000000000000004">
      <c r="W4836"/>
    </row>
    <row r="4837" spans="23:23" x14ac:dyDescent="0.55000000000000004">
      <c r="W4837"/>
    </row>
    <row r="4838" spans="23:23" x14ac:dyDescent="0.55000000000000004">
      <c r="W4838"/>
    </row>
    <row r="4839" spans="23:23" x14ac:dyDescent="0.55000000000000004">
      <c r="W4839"/>
    </row>
    <row r="4840" spans="23:23" x14ac:dyDescent="0.55000000000000004">
      <c r="W4840"/>
    </row>
    <row r="4841" spans="23:23" x14ac:dyDescent="0.55000000000000004">
      <c r="W4841"/>
    </row>
    <row r="4842" spans="23:23" x14ac:dyDescent="0.55000000000000004">
      <c r="W4842"/>
    </row>
    <row r="4843" spans="23:23" x14ac:dyDescent="0.55000000000000004">
      <c r="W4843"/>
    </row>
    <row r="4844" spans="23:23" x14ac:dyDescent="0.55000000000000004">
      <c r="W4844"/>
    </row>
    <row r="4845" spans="23:23" x14ac:dyDescent="0.55000000000000004">
      <c r="W4845"/>
    </row>
    <row r="4846" spans="23:23" x14ac:dyDescent="0.55000000000000004">
      <c r="W4846"/>
    </row>
    <row r="4847" spans="23:23" x14ac:dyDescent="0.55000000000000004">
      <c r="W4847"/>
    </row>
    <row r="4848" spans="23:23" x14ac:dyDescent="0.55000000000000004">
      <c r="W4848"/>
    </row>
    <row r="4849" spans="23:23" x14ac:dyDescent="0.55000000000000004">
      <c r="W4849"/>
    </row>
    <row r="4850" spans="23:23" x14ac:dyDescent="0.55000000000000004">
      <c r="W4850"/>
    </row>
    <row r="4851" spans="23:23" x14ac:dyDescent="0.55000000000000004">
      <c r="W4851"/>
    </row>
    <row r="4852" spans="23:23" x14ac:dyDescent="0.55000000000000004">
      <c r="W4852"/>
    </row>
    <row r="4853" spans="23:23" x14ac:dyDescent="0.55000000000000004">
      <c r="W4853"/>
    </row>
    <row r="4854" spans="23:23" x14ac:dyDescent="0.55000000000000004">
      <c r="W4854"/>
    </row>
    <row r="4855" spans="23:23" x14ac:dyDescent="0.55000000000000004">
      <c r="W4855"/>
    </row>
    <row r="4856" spans="23:23" x14ac:dyDescent="0.55000000000000004">
      <c r="W4856"/>
    </row>
    <row r="4857" spans="23:23" x14ac:dyDescent="0.55000000000000004">
      <c r="W4857"/>
    </row>
    <row r="4858" spans="23:23" x14ac:dyDescent="0.55000000000000004">
      <c r="W4858"/>
    </row>
    <row r="4859" spans="23:23" x14ac:dyDescent="0.55000000000000004">
      <c r="W4859"/>
    </row>
    <row r="4860" spans="23:23" x14ac:dyDescent="0.55000000000000004">
      <c r="W4860"/>
    </row>
    <row r="4861" spans="23:23" x14ac:dyDescent="0.55000000000000004">
      <c r="W4861"/>
    </row>
    <row r="4862" spans="23:23" x14ac:dyDescent="0.55000000000000004">
      <c r="W4862"/>
    </row>
    <row r="4863" spans="23:23" x14ac:dyDescent="0.55000000000000004">
      <c r="W4863"/>
    </row>
    <row r="4864" spans="23:23" x14ac:dyDescent="0.55000000000000004">
      <c r="W4864"/>
    </row>
    <row r="4865" spans="23:23" x14ac:dyDescent="0.55000000000000004">
      <c r="W4865"/>
    </row>
    <row r="4866" spans="23:23" x14ac:dyDescent="0.55000000000000004">
      <c r="W4866"/>
    </row>
    <row r="4867" spans="23:23" x14ac:dyDescent="0.55000000000000004">
      <c r="W4867"/>
    </row>
    <row r="4868" spans="23:23" x14ac:dyDescent="0.55000000000000004">
      <c r="W4868"/>
    </row>
    <row r="4869" spans="23:23" x14ac:dyDescent="0.55000000000000004">
      <c r="W4869"/>
    </row>
    <row r="4870" spans="23:23" x14ac:dyDescent="0.55000000000000004">
      <c r="W4870"/>
    </row>
    <row r="4871" spans="23:23" x14ac:dyDescent="0.55000000000000004">
      <c r="W4871"/>
    </row>
    <row r="4872" spans="23:23" x14ac:dyDescent="0.55000000000000004">
      <c r="W4872"/>
    </row>
    <row r="4873" spans="23:23" x14ac:dyDescent="0.55000000000000004">
      <c r="W4873"/>
    </row>
    <row r="4874" spans="23:23" x14ac:dyDescent="0.55000000000000004">
      <c r="W4874"/>
    </row>
    <row r="4875" spans="23:23" x14ac:dyDescent="0.55000000000000004">
      <c r="W4875"/>
    </row>
    <row r="4876" spans="23:23" x14ac:dyDescent="0.55000000000000004">
      <c r="W4876"/>
    </row>
    <row r="4877" spans="23:23" x14ac:dyDescent="0.55000000000000004">
      <c r="W4877"/>
    </row>
    <row r="4878" spans="23:23" x14ac:dyDescent="0.55000000000000004">
      <c r="W4878"/>
    </row>
    <row r="4879" spans="23:23" x14ac:dyDescent="0.55000000000000004">
      <c r="W4879"/>
    </row>
    <row r="4880" spans="23:23" x14ac:dyDescent="0.55000000000000004">
      <c r="W4880"/>
    </row>
    <row r="4881" spans="23:23" x14ac:dyDescent="0.55000000000000004">
      <c r="W4881"/>
    </row>
    <row r="4882" spans="23:23" x14ac:dyDescent="0.55000000000000004">
      <c r="W4882"/>
    </row>
    <row r="4883" spans="23:23" x14ac:dyDescent="0.55000000000000004">
      <c r="W4883"/>
    </row>
    <row r="4884" spans="23:23" x14ac:dyDescent="0.55000000000000004">
      <c r="W4884"/>
    </row>
    <row r="4885" spans="23:23" x14ac:dyDescent="0.55000000000000004">
      <c r="W4885"/>
    </row>
    <row r="4886" spans="23:23" x14ac:dyDescent="0.55000000000000004">
      <c r="W4886"/>
    </row>
    <row r="4887" spans="23:23" x14ac:dyDescent="0.55000000000000004">
      <c r="W4887"/>
    </row>
    <row r="4888" spans="23:23" x14ac:dyDescent="0.55000000000000004">
      <c r="W4888"/>
    </row>
    <row r="4889" spans="23:23" x14ac:dyDescent="0.55000000000000004">
      <c r="W4889"/>
    </row>
    <row r="4890" spans="23:23" x14ac:dyDescent="0.55000000000000004">
      <c r="W4890"/>
    </row>
    <row r="4891" spans="23:23" x14ac:dyDescent="0.55000000000000004">
      <c r="W4891"/>
    </row>
    <row r="4892" spans="23:23" x14ac:dyDescent="0.55000000000000004">
      <c r="W4892"/>
    </row>
    <row r="4893" spans="23:23" x14ac:dyDescent="0.55000000000000004">
      <c r="W4893"/>
    </row>
    <row r="4894" spans="23:23" x14ac:dyDescent="0.55000000000000004">
      <c r="W4894"/>
    </row>
    <row r="4895" spans="23:23" x14ac:dyDescent="0.55000000000000004">
      <c r="W4895"/>
    </row>
    <row r="4896" spans="23:23" x14ac:dyDescent="0.55000000000000004">
      <c r="W4896"/>
    </row>
    <row r="4897" spans="23:23" x14ac:dyDescent="0.55000000000000004">
      <c r="W4897"/>
    </row>
    <row r="4898" spans="23:23" x14ac:dyDescent="0.55000000000000004">
      <c r="W4898"/>
    </row>
    <row r="4899" spans="23:23" x14ac:dyDescent="0.55000000000000004">
      <c r="W4899"/>
    </row>
    <row r="4900" spans="23:23" x14ac:dyDescent="0.55000000000000004">
      <c r="W4900"/>
    </row>
    <row r="4901" spans="23:23" x14ac:dyDescent="0.55000000000000004">
      <c r="W4901"/>
    </row>
    <row r="4902" spans="23:23" x14ac:dyDescent="0.55000000000000004">
      <c r="W4902"/>
    </row>
    <row r="4903" spans="23:23" x14ac:dyDescent="0.55000000000000004">
      <c r="W4903"/>
    </row>
    <row r="4904" spans="23:23" x14ac:dyDescent="0.55000000000000004">
      <c r="W4904"/>
    </row>
    <row r="4905" spans="23:23" x14ac:dyDescent="0.55000000000000004">
      <c r="W4905"/>
    </row>
    <row r="4906" spans="23:23" x14ac:dyDescent="0.55000000000000004">
      <c r="W4906"/>
    </row>
    <row r="4907" spans="23:23" x14ac:dyDescent="0.55000000000000004">
      <c r="W4907"/>
    </row>
    <row r="4908" spans="23:23" x14ac:dyDescent="0.55000000000000004">
      <c r="W4908"/>
    </row>
    <row r="4909" spans="23:23" x14ac:dyDescent="0.55000000000000004">
      <c r="W4909"/>
    </row>
    <row r="4910" spans="23:23" x14ac:dyDescent="0.55000000000000004">
      <c r="W4910"/>
    </row>
    <row r="4911" spans="23:23" x14ac:dyDescent="0.55000000000000004">
      <c r="W4911"/>
    </row>
    <row r="4912" spans="23:23" x14ac:dyDescent="0.55000000000000004">
      <c r="W4912"/>
    </row>
    <row r="4913" spans="23:23" x14ac:dyDescent="0.55000000000000004">
      <c r="W4913"/>
    </row>
    <row r="4914" spans="23:23" x14ac:dyDescent="0.55000000000000004">
      <c r="W4914"/>
    </row>
    <row r="4915" spans="23:23" x14ac:dyDescent="0.55000000000000004">
      <c r="W4915"/>
    </row>
    <row r="4916" spans="23:23" x14ac:dyDescent="0.55000000000000004">
      <c r="W4916"/>
    </row>
    <row r="4917" spans="23:23" x14ac:dyDescent="0.55000000000000004">
      <c r="W4917"/>
    </row>
    <row r="4918" spans="23:23" x14ac:dyDescent="0.55000000000000004">
      <c r="W4918"/>
    </row>
    <row r="4919" spans="23:23" x14ac:dyDescent="0.55000000000000004">
      <c r="W4919"/>
    </row>
    <row r="4920" spans="23:23" x14ac:dyDescent="0.55000000000000004">
      <c r="W4920"/>
    </row>
    <row r="4921" spans="23:23" x14ac:dyDescent="0.55000000000000004">
      <c r="W4921"/>
    </row>
    <row r="4922" spans="23:23" x14ac:dyDescent="0.55000000000000004">
      <c r="W4922"/>
    </row>
    <row r="4923" spans="23:23" x14ac:dyDescent="0.55000000000000004">
      <c r="W4923"/>
    </row>
    <row r="4924" spans="23:23" x14ac:dyDescent="0.55000000000000004">
      <c r="W4924"/>
    </row>
    <row r="4925" spans="23:23" x14ac:dyDescent="0.55000000000000004">
      <c r="W4925"/>
    </row>
    <row r="4926" spans="23:23" x14ac:dyDescent="0.55000000000000004">
      <c r="W4926"/>
    </row>
    <row r="4927" spans="23:23" x14ac:dyDescent="0.55000000000000004">
      <c r="W4927"/>
    </row>
    <row r="4928" spans="23:23" x14ac:dyDescent="0.55000000000000004">
      <c r="W4928"/>
    </row>
    <row r="4929" spans="23:23" x14ac:dyDescent="0.55000000000000004">
      <c r="W4929"/>
    </row>
    <row r="4930" spans="23:23" x14ac:dyDescent="0.55000000000000004">
      <c r="W4930"/>
    </row>
    <row r="4931" spans="23:23" x14ac:dyDescent="0.55000000000000004">
      <c r="W4931"/>
    </row>
    <row r="4932" spans="23:23" x14ac:dyDescent="0.55000000000000004">
      <c r="W4932"/>
    </row>
    <row r="4933" spans="23:23" x14ac:dyDescent="0.55000000000000004">
      <c r="W4933"/>
    </row>
    <row r="4934" spans="23:23" x14ac:dyDescent="0.55000000000000004">
      <c r="W4934"/>
    </row>
    <row r="4935" spans="23:23" x14ac:dyDescent="0.55000000000000004">
      <c r="W4935"/>
    </row>
    <row r="4936" spans="23:23" x14ac:dyDescent="0.55000000000000004">
      <c r="W4936"/>
    </row>
    <row r="4937" spans="23:23" x14ac:dyDescent="0.55000000000000004">
      <c r="W4937"/>
    </row>
    <row r="4938" spans="23:23" x14ac:dyDescent="0.55000000000000004">
      <c r="W4938"/>
    </row>
    <row r="4939" spans="23:23" x14ac:dyDescent="0.55000000000000004">
      <c r="W4939"/>
    </row>
    <row r="4940" spans="23:23" x14ac:dyDescent="0.55000000000000004">
      <c r="W4940"/>
    </row>
    <row r="4941" spans="23:23" x14ac:dyDescent="0.55000000000000004">
      <c r="W4941"/>
    </row>
    <row r="4942" spans="23:23" x14ac:dyDescent="0.55000000000000004">
      <c r="W4942"/>
    </row>
    <row r="4943" spans="23:23" x14ac:dyDescent="0.55000000000000004">
      <c r="W4943"/>
    </row>
    <row r="4944" spans="23:23" x14ac:dyDescent="0.55000000000000004">
      <c r="W4944"/>
    </row>
    <row r="4945" spans="23:23" x14ac:dyDescent="0.55000000000000004">
      <c r="W4945"/>
    </row>
    <row r="4946" spans="23:23" x14ac:dyDescent="0.55000000000000004">
      <c r="W4946"/>
    </row>
    <row r="4947" spans="23:23" x14ac:dyDescent="0.55000000000000004">
      <c r="W4947"/>
    </row>
    <row r="4948" spans="23:23" x14ac:dyDescent="0.55000000000000004">
      <c r="W4948"/>
    </row>
    <row r="4949" spans="23:23" x14ac:dyDescent="0.55000000000000004">
      <c r="W4949"/>
    </row>
    <row r="4950" spans="23:23" x14ac:dyDescent="0.55000000000000004">
      <c r="W4950"/>
    </row>
    <row r="4951" spans="23:23" x14ac:dyDescent="0.55000000000000004">
      <c r="W4951"/>
    </row>
    <row r="4952" spans="23:23" x14ac:dyDescent="0.55000000000000004">
      <c r="W4952"/>
    </row>
    <row r="4953" spans="23:23" x14ac:dyDescent="0.55000000000000004">
      <c r="W4953"/>
    </row>
    <row r="4954" spans="23:23" x14ac:dyDescent="0.55000000000000004">
      <c r="W4954"/>
    </row>
    <row r="4955" spans="23:23" x14ac:dyDescent="0.55000000000000004">
      <c r="W4955"/>
    </row>
    <row r="4956" spans="23:23" x14ac:dyDescent="0.55000000000000004">
      <c r="W4956"/>
    </row>
    <row r="4957" spans="23:23" x14ac:dyDescent="0.55000000000000004">
      <c r="W4957"/>
    </row>
    <row r="4958" spans="23:23" x14ac:dyDescent="0.55000000000000004">
      <c r="W4958"/>
    </row>
    <row r="4959" spans="23:23" x14ac:dyDescent="0.55000000000000004">
      <c r="W4959"/>
    </row>
    <row r="4960" spans="23:23" x14ac:dyDescent="0.55000000000000004">
      <c r="W4960"/>
    </row>
    <row r="4961" spans="23:23" x14ac:dyDescent="0.55000000000000004">
      <c r="W4961"/>
    </row>
    <row r="4962" spans="23:23" x14ac:dyDescent="0.55000000000000004">
      <c r="W4962"/>
    </row>
    <row r="4963" spans="23:23" x14ac:dyDescent="0.55000000000000004">
      <c r="W4963"/>
    </row>
    <row r="4964" spans="23:23" x14ac:dyDescent="0.55000000000000004">
      <c r="W4964"/>
    </row>
    <row r="4965" spans="23:23" x14ac:dyDescent="0.55000000000000004">
      <c r="W4965"/>
    </row>
    <row r="4966" spans="23:23" x14ac:dyDescent="0.55000000000000004">
      <c r="W4966"/>
    </row>
    <row r="4967" spans="23:23" x14ac:dyDescent="0.55000000000000004">
      <c r="W4967"/>
    </row>
    <row r="4968" spans="23:23" x14ac:dyDescent="0.55000000000000004">
      <c r="W4968"/>
    </row>
    <row r="4969" spans="23:23" x14ac:dyDescent="0.55000000000000004">
      <c r="W4969"/>
    </row>
    <row r="4970" spans="23:23" x14ac:dyDescent="0.55000000000000004">
      <c r="W4970"/>
    </row>
    <row r="4971" spans="23:23" x14ac:dyDescent="0.55000000000000004">
      <c r="W4971"/>
    </row>
    <row r="4972" spans="23:23" x14ac:dyDescent="0.55000000000000004">
      <c r="W4972"/>
    </row>
    <row r="4973" spans="23:23" x14ac:dyDescent="0.55000000000000004">
      <c r="W4973"/>
    </row>
    <row r="4974" spans="23:23" x14ac:dyDescent="0.55000000000000004">
      <c r="W4974"/>
    </row>
    <row r="4975" spans="23:23" x14ac:dyDescent="0.55000000000000004">
      <c r="W4975"/>
    </row>
    <row r="4976" spans="23:23" x14ac:dyDescent="0.55000000000000004">
      <c r="W4976"/>
    </row>
    <row r="4977" spans="23:23" x14ac:dyDescent="0.55000000000000004">
      <c r="W4977"/>
    </row>
    <row r="4978" spans="23:23" x14ac:dyDescent="0.55000000000000004">
      <c r="W4978"/>
    </row>
    <row r="4979" spans="23:23" x14ac:dyDescent="0.55000000000000004">
      <c r="W4979"/>
    </row>
    <row r="4980" spans="23:23" x14ac:dyDescent="0.55000000000000004">
      <c r="W4980"/>
    </row>
    <row r="4981" spans="23:23" x14ac:dyDescent="0.55000000000000004">
      <c r="W4981"/>
    </row>
    <row r="4982" spans="23:23" x14ac:dyDescent="0.55000000000000004">
      <c r="W4982"/>
    </row>
    <row r="4983" spans="23:23" x14ac:dyDescent="0.55000000000000004">
      <c r="W4983"/>
    </row>
    <row r="4984" spans="23:23" x14ac:dyDescent="0.55000000000000004">
      <c r="W4984"/>
    </row>
    <row r="4985" spans="23:23" x14ac:dyDescent="0.55000000000000004">
      <c r="W4985"/>
    </row>
    <row r="4986" spans="23:23" x14ac:dyDescent="0.55000000000000004">
      <c r="W4986"/>
    </row>
    <row r="4987" spans="23:23" x14ac:dyDescent="0.55000000000000004">
      <c r="W4987"/>
    </row>
    <row r="4988" spans="23:23" x14ac:dyDescent="0.55000000000000004">
      <c r="W4988"/>
    </row>
    <row r="4989" spans="23:23" x14ac:dyDescent="0.55000000000000004">
      <c r="W4989"/>
    </row>
    <row r="4990" spans="23:23" x14ac:dyDescent="0.55000000000000004">
      <c r="W4990"/>
    </row>
    <row r="4991" spans="23:23" x14ac:dyDescent="0.55000000000000004">
      <c r="W4991"/>
    </row>
    <row r="4992" spans="23:23" x14ac:dyDescent="0.55000000000000004">
      <c r="W4992"/>
    </row>
    <row r="4993" spans="23:23" x14ac:dyDescent="0.55000000000000004">
      <c r="W4993"/>
    </row>
    <row r="4994" spans="23:23" x14ac:dyDescent="0.55000000000000004">
      <c r="W4994"/>
    </row>
    <row r="4995" spans="23:23" x14ac:dyDescent="0.55000000000000004">
      <c r="W4995"/>
    </row>
    <row r="4996" spans="23:23" x14ac:dyDescent="0.55000000000000004">
      <c r="W4996"/>
    </row>
    <row r="4997" spans="23:23" x14ac:dyDescent="0.55000000000000004">
      <c r="W4997"/>
    </row>
    <row r="4998" spans="23:23" x14ac:dyDescent="0.55000000000000004">
      <c r="W4998"/>
    </row>
    <row r="4999" spans="23:23" x14ac:dyDescent="0.55000000000000004">
      <c r="W4999"/>
    </row>
    <row r="5000" spans="23:23" x14ac:dyDescent="0.55000000000000004">
      <c r="W5000"/>
    </row>
    <row r="5001" spans="23:23" x14ac:dyDescent="0.55000000000000004">
      <c r="W5001"/>
    </row>
    <row r="5002" spans="23:23" x14ac:dyDescent="0.55000000000000004">
      <c r="W5002"/>
    </row>
    <row r="5003" spans="23:23" x14ac:dyDescent="0.55000000000000004">
      <c r="W5003"/>
    </row>
    <row r="5004" spans="23:23" x14ac:dyDescent="0.55000000000000004">
      <c r="W5004"/>
    </row>
    <row r="5005" spans="23:23" x14ac:dyDescent="0.55000000000000004">
      <c r="W5005"/>
    </row>
    <row r="5006" spans="23:23" x14ac:dyDescent="0.55000000000000004">
      <c r="W5006"/>
    </row>
    <row r="5007" spans="23:23" x14ac:dyDescent="0.55000000000000004">
      <c r="W5007"/>
    </row>
    <row r="5008" spans="23:23" x14ac:dyDescent="0.55000000000000004">
      <c r="W5008"/>
    </row>
    <row r="5009" spans="23:23" x14ac:dyDescent="0.55000000000000004">
      <c r="W5009"/>
    </row>
    <row r="5010" spans="23:23" x14ac:dyDescent="0.55000000000000004">
      <c r="W5010"/>
    </row>
    <row r="5011" spans="23:23" x14ac:dyDescent="0.55000000000000004">
      <c r="W5011"/>
    </row>
    <row r="5012" spans="23:23" x14ac:dyDescent="0.55000000000000004">
      <c r="W5012"/>
    </row>
    <row r="5013" spans="23:23" x14ac:dyDescent="0.55000000000000004">
      <c r="W5013"/>
    </row>
    <row r="5014" spans="23:23" x14ac:dyDescent="0.55000000000000004">
      <c r="W5014"/>
    </row>
    <row r="5015" spans="23:23" x14ac:dyDescent="0.55000000000000004">
      <c r="W5015"/>
    </row>
    <row r="5016" spans="23:23" x14ac:dyDescent="0.55000000000000004">
      <c r="W5016"/>
    </row>
    <row r="5017" spans="23:23" x14ac:dyDescent="0.55000000000000004">
      <c r="W5017"/>
    </row>
    <row r="5018" spans="23:23" x14ac:dyDescent="0.55000000000000004">
      <c r="W5018"/>
    </row>
    <row r="5019" spans="23:23" x14ac:dyDescent="0.55000000000000004">
      <c r="W5019"/>
    </row>
    <row r="5020" spans="23:23" x14ac:dyDescent="0.55000000000000004">
      <c r="W5020"/>
    </row>
    <row r="5021" spans="23:23" x14ac:dyDescent="0.55000000000000004">
      <c r="W5021"/>
    </row>
    <row r="5022" spans="23:23" x14ac:dyDescent="0.55000000000000004">
      <c r="W5022"/>
    </row>
    <row r="5023" spans="23:23" x14ac:dyDescent="0.55000000000000004">
      <c r="W5023"/>
    </row>
    <row r="5024" spans="23:23" x14ac:dyDescent="0.55000000000000004">
      <c r="W5024"/>
    </row>
    <row r="5025" spans="23:23" x14ac:dyDescent="0.55000000000000004">
      <c r="W5025"/>
    </row>
    <row r="5026" spans="23:23" x14ac:dyDescent="0.55000000000000004">
      <c r="W5026"/>
    </row>
    <row r="5027" spans="23:23" x14ac:dyDescent="0.55000000000000004">
      <c r="W5027"/>
    </row>
    <row r="5028" spans="23:23" x14ac:dyDescent="0.55000000000000004">
      <c r="W5028"/>
    </row>
    <row r="5029" spans="23:23" x14ac:dyDescent="0.55000000000000004">
      <c r="W5029"/>
    </row>
    <row r="5030" spans="23:23" x14ac:dyDescent="0.55000000000000004">
      <c r="W5030"/>
    </row>
    <row r="5031" spans="23:23" x14ac:dyDescent="0.55000000000000004">
      <c r="W5031"/>
    </row>
    <row r="5032" spans="23:23" x14ac:dyDescent="0.55000000000000004">
      <c r="W5032"/>
    </row>
    <row r="5033" spans="23:23" x14ac:dyDescent="0.55000000000000004">
      <c r="W5033"/>
    </row>
    <row r="5034" spans="23:23" x14ac:dyDescent="0.55000000000000004">
      <c r="W5034"/>
    </row>
    <row r="5035" spans="23:23" x14ac:dyDescent="0.55000000000000004">
      <c r="W5035"/>
    </row>
    <row r="5036" spans="23:23" x14ac:dyDescent="0.55000000000000004">
      <c r="W5036"/>
    </row>
    <row r="5037" spans="23:23" x14ac:dyDescent="0.55000000000000004">
      <c r="W5037"/>
    </row>
    <row r="5038" spans="23:23" x14ac:dyDescent="0.55000000000000004">
      <c r="W5038"/>
    </row>
    <row r="5039" spans="23:23" x14ac:dyDescent="0.55000000000000004">
      <c r="W5039"/>
    </row>
    <row r="5040" spans="23:23" x14ac:dyDescent="0.55000000000000004">
      <c r="W5040"/>
    </row>
    <row r="5041" spans="23:23" x14ac:dyDescent="0.55000000000000004">
      <c r="W5041"/>
    </row>
    <row r="5042" spans="23:23" x14ac:dyDescent="0.55000000000000004">
      <c r="W5042"/>
    </row>
    <row r="5043" spans="23:23" x14ac:dyDescent="0.55000000000000004">
      <c r="W5043"/>
    </row>
    <row r="5044" spans="23:23" x14ac:dyDescent="0.55000000000000004">
      <c r="W5044"/>
    </row>
    <row r="5045" spans="23:23" x14ac:dyDescent="0.55000000000000004">
      <c r="W5045"/>
    </row>
    <row r="5046" spans="23:23" x14ac:dyDescent="0.55000000000000004">
      <c r="W5046"/>
    </row>
    <row r="5047" spans="23:23" x14ac:dyDescent="0.55000000000000004">
      <c r="W5047"/>
    </row>
    <row r="5048" spans="23:23" x14ac:dyDescent="0.55000000000000004">
      <c r="W5048"/>
    </row>
    <row r="5049" spans="23:23" x14ac:dyDescent="0.55000000000000004">
      <c r="W5049"/>
    </row>
    <row r="5050" spans="23:23" x14ac:dyDescent="0.55000000000000004">
      <c r="W5050"/>
    </row>
    <row r="5051" spans="23:23" x14ac:dyDescent="0.55000000000000004">
      <c r="W5051"/>
    </row>
    <row r="5052" spans="23:23" x14ac:dyDescent="0.55000000000000004">
      <c r="W5052"/>
    </row>
    <row r="5053" spans="23:23" x14ac:dyDescent="0.55000000000000004">
      <c r="W5053"/>
    </row>
    <row r="5054" spans="23:23" x14ac:dyDescent="0.55000000000000004">
      <c r="W5054"/>
    </row>
    <row r="5055" spans="23:23" x14ac:dyDescent="0.55000000000000004">
      <c r="W5055"/>
    </row>
    <row r="5056" spans="23:23" x14ac:dyDescent="0.55000000000000004">
      <c r="W5056"/>
    </row>
    <row r="5057" spans="23:23" x14ac:dyDescent="0.55000000000000004">
      <c r="W5057"/>
    </row>
    <row r="5058" spans="23:23" x14ac:dyDescent="0.55000000000000004">
      <c r="W5058"/>
    </row>
    <row r="5059" spans="23:23" x14ac:dyDescent="0.55000000000000004">
      <c r="W5059"/>
    </row>
    <row r="5060" spans="23:23" x14ac:dyDescent="0.55000000000000004">
      <c r="W5060"/>
    </row>
    <row r="5061" spans="23:23" x14ac:dyDescent="0.55000000000000004">
      <c r="W5061"/>
    </row>
    <row r="5062" spans="23:23" x14ac:dyDescent="0.55000000000000004">
      <c r="W5062"/>
    </row>
    <row r="5063" spans="23:23" x14ac:dyDescent="0.55000000000000004">
      <c r="W5063"/>
    </row>
    <row r="5064" spans="23:23" x14ac:dyDescent="0.55000000000000004">
      <c r="W5064"/>
    </row>
    <row r="5065" spans="23:23" x14ac:dyDescent="0.55000000000000004">
      <c r="W5065"/>
    </row>
    <row r="5066" spans="23:23" x14ac:dyDescent="0.55000000000000004">
      <c r="W5066"/>
    </row>
    <row r="5067" spans="23:23" x14ac:dyDescent="0.55000000000000004">
      <c r="W5067"/>
    </row>
    <row r="5068" spans="23:23" x14ac:dyDescent="0.55000000000000004">
      <c r="W5068"/>
    </row>
    <row r="5069" spans="23:23" x14ac:dyDescent="0.55000000000000004">
      <c r="W5069"/>
    </row>
    <row r="5070" spans="23:23" x14ac:dyDescent="0.55000000000000004">
      <c r="W5070"/>
    </row>
    <row r="5071" spans="23:23" x14ac:dyDescent="0.55000000000000004">
      <c r="W5071"/>
    </row>
    <row r="5072" spans="23:23" x14ac:dyDescent="0.55000000000000004">
      <c r="W5072"/>
    </row>
    <row r="5073" spans="23:23" x14ac:dyDescent="0.55000000000000004">
      <c r="W5073"/>
    </row>
    <row r="5074" spans="23:23" x14ac:dyDescent="0.55000000000000004">
      <c r="W5074"/>
    </row>
    <row r="5075" spans="23:23" x14ac:dyDescent="0.55000000000000004">
      <c r="W5075"/>
    </row>
    <row r="5076" spans="23:23" x14ac:dyDescent="0.55000000000000004">
      <c r="W5076"/>
    </row>
    <row r="5077" spans="23:23" x14ac:dyDescent="0.55000000000000004">
      <c r="W5077"/>
    </row>
    <row r="5078" spans="23:23" x14ac:dyDescent="0.55000000000000004">
      <c r="W5078"/>
    </row>
    <row r="5079" spans="23:23" x14ac:dyDescent="0.55000000000000004">
      <c r="W5079"/>
    </row>
    <row r="5080" spans="23:23" x14ac:dyDescent="0.55000000000000004">
      <c r="W5080"/>
    </row>
    <row r="5081" spans="23:23" x14ac:dyDescent="0.55000000000000004">
      <c r="W5081"/>
    </row>
    <row r="5082" spans="23:23" x14ac:dyDescent="0.55000000000000004">
      <c r="W5082"/>
    </row>
    <row r="5083" spans="23:23" x14ac:dyDescent="0.55000000000000004">
      <c r="W5083"/>
    </row>
    <row r="5084" spans="23:23" x14ac:dyDescent="0.55000000000000004">
      <c r="W5084"/>
    </row>
    <row r="5085" spans="23:23" x14ac:dyDescent="0.55000000000000004">
      <c r="W5085"/>
    </row>
    <row r="5086" spans="23:23" x14ac:dyDescent="0.55000000000000004">
      <c r="W5086"/>
    </row>
    <row r="5087" spans="23:23" x14ac:dyDescent="0.55000000000000004">
      <c r="W5087"/>
    </row>
    <row r="5088" spans="23:23" x14ac:dyDescent="0.55000000000000004">
      <c r="W5088"/>
    </row>
    <row r="5089" spans="23:23" x14ac:dyDescent="0.55000000000000004">
      <c r="W5089"/>
    </row>
    <row r="5090" spans="23:23" x14ac:dyDescent="0.55000000000000004">
      <c r="W5090"/>
    </row>
    <row r="5091" spans="23:23" x14ac:dyDescent="0.55000000000000004">
      <c r="W5091"/>
    </row>
    <row r="5092" spans="23:23" x14ac:dyDescent="0.55000000000000004">
      <c r="W5092"/>
    </row>
    <row r="5093" spans="23:23" x14ac:dyDescent="0.55000000000000004">
      <c r="W5093"/>
    </row>
    <row r="5094" spans="23:23" x14ac:dyDescent="0.55000000000000004">
      <c r="W5094"/>
    </row>
    <row r="5095" spans="23:23" x14ac:dyDescent="0.55000000000000004">
      <c r="W5095"/>
    </row>
    <row r="5096" spans="23:23" x14ac:dyDescent="0.55000000000000004">
      <c r="W5096"/>
    </row>
    <row r="5097" spans="23:23" x14ac:dyDescent="0.55000000000000004">
      <c r="W5097"/>
    </row>
    <row r="5098" spans="23:23" x14ac:dyDescent="0.55000000000000004">
      <c r="W5098"/>
    </row>
    <row r="5099" spans="23:23" x14ac:dyDescent="0.55000000000000004">
      <c r="W5099"/>
    </row>
    <row r="5100" spans="23:23" x14ac:dyDescent="0.55000000000000004">
      <c r="W5100"/>
    </row>
    <row r="5101" spans="23:23" x14ac:dyDescent="0.55000000000000004">
      <c r="W5101"/>
    </row>
    <row r="5102" spans="23:23" x14ac:dyDescent="0.55000000000000004">
      <c r="W5102"/>
    </row>
    <row r="5103" spans="23:23" x14ac:dyDescent="0.55000000000000004">
      <c r="W5103"/>
    </row>
    <row r="5104" spans="23:23" x14ac:dyDescent="0.55000000000000004">
      <c r="W5104"/>
    </row>
    <row r="5105" spans="23:23" x14ac:dyDescent="0.55000000000000004">
      <c r="W5105"/>
    </row>
    <row r="5106" spans="23:23" x14ac:dyDescent="0.55000000000000004">
      <c r="W5106"/>
    </row>
    <row r="5107" spans="23:23" x14ac:dyDescent="0.55000000000000004">
      <c r="W5107"/>
    </row>
    <row r="5108" spans="23:23" x14ac:dyDescent="0.55000000000000004">
      <c r="W5108"/>
    </row>
    <row r="5109" spans="23:23" x14ac:dyDescent="0.55000000000000004">
      <c r="W5109"/>
    </row>
    <row r="5110" spans="23:23" x14ac:dyDescent="0.55000000000000004">
      <c r="W5110"/>
    </row>
    <row r="5111" spans="23:23" x14ac:dyDescent="0.55000000000000004">
      <c r="W5111"/>
    </row>
    <row r="5112" spans="23:23" x14ac:dyDescent="0.55000000000000004">
      <c r="W5112"/>
    </row>
    <row r="5113" spans="23:23" x14ac:dyDescent="0.55000000000000004">
      <c r="W5113"/>
    </row>
    <row r="5114" spans="23:23" x14ac:dyDescent="0.55000000000000004">
      <c r="W5114"/>
    </row>
    <row r="5115" spans="23:23" x14ac:dyDescent="0.55000000000000004">
      <c r="W5115"/>
    </row>
    <row r="5116" spans="23:23" x14ac:dyDescent="0.55000000000000004">
      <c r="W5116"/>
    </row>
    <row r="5117" spans="23:23" x14ac:dyDescent="0.55000000000000004">
      <c r="W5117"/>
    </row>
    <row r="5118" spans="23:23" x14ac:dyDescent="0.55000000000000004">
      <c r="W5118"/>
    </row>
    <row r="5119" spans="23:23" x14ac:dyDescent="0.55000000000000004">
      <c r="W5119"/>
    </row>
    <row r="5120" spans="23:23" x14ac:dyDescent="0.55000000000000004">
      <c r="W5120"/>
    </row>
    <row r="5121" spans="23:23" x14ac:dyDescent="0.55000000000000004">
      <c r="W5121"/>
    </row>
    <row r="5122" spans="23:23" x14ac:dyDescent="0.55000000000000004">
      <c r="W5122"/>
    </row>
    <row r="5123" spans="23:23" x14ac:dyDescent="0.55000000000000004">
      <c r="W5123"/>
    </row>
    <row r="5124" spans="23:23" x14ac:dyDescent="0.55000000000000004">
      <c r="W5124"/>
    </row>
    <row r="5125" spans="23:23" x14ac:dyDescent="0.55000000000000004">
      <c r="W5125"/>
    </row>
    <row r="5126" spans="23:23" x14ac:dyDescent="0.55000000000000004">
      <c r="W5126"/>
    </row>
    <row r="5127" spans="23:23" x14ac:dyDescent="0.55000000000000004">
      <c r="W5127"/>
    </row>
    <row r="5128" spans="23:23" x14ac:dyDescent="0.55000000000000004">
      <c r="W5128"/>
    </row>
    <row r="5129" spans="23:23" x14ac:dyDescent="0.55000000000000004">
      <c r="W5129"/>
    </row>
    <row r="5130" spans="23:23" x14ac:dyDescent="0.55000000000000004">
      <c r="W5130"/>
    </row>
    <row r="5131" spans="23:23" x14ac:dyDescent="0.55000000000000004">
      <c r="W5131"/>
    </row>
    <row r="5132" spans="23:23" x14ac:dyDescent="0.55000000000000004">
      <c r="W5132"/>
    </row>
    <row r="5133" spans="23:23" x14ac:dyDescent="0.55000000000000004">
      <c r="W5133"/>
    </row>
    <row r="5134" spans="23:23" x14ac:dyDescent="0.55000000000000004">
      <c r="W5134"/>
    </row>
    <row r="5135" spans="23:23" x14ac:dyDescent="0.55000000000000004">
      <c r="W5135"/>
    </row>
    <row r="5136" spans="23:23" x14ac:dyDescent="0.55000000000000004">
      <c r="W5136"/>
    </row>
    <row r="5137" spans="23:23" x14ac:dyDescent="0.55000000000000004">
      <c r="W5137"/>
    </row>
    <row r="5138" spans="23:23" x14ac:dyDescent="0.55000000000000004">
      <c r="W5138"/>
    </row>
    <row r="5139" spans="23:23" x14ac:dyDescent="0.55000000000000004">
      <c r="W5139"/>
    </row>
    <row r="5140" spans="23:23" x14ac:dyDescent="0.55000000000000004">
      <c r="W5140"/>
    </row>
    <row r="5141" spans="23:23" x14ac:dyDescent="0.55000000000000004">
      <c r="W5141"/>
    </row>
    <row r="5142" spans="23:23" x14ac:dyDescent="0.55000000000000004">
      <c r="W5142"/>
    </row>
    <row r="5143" spans="23:23" x14ac:dyDescent="0.55000000000000004">
      <c r="W5143"/>
    </row>
    <row r="5144" spans="23:23" x14ac:dyDescent="0.55000000000000004">
      <c r="W5144"/>
    </row>
    <row r="5145" spans="23:23" x14ac:dyDescent="0.55000000000000004">
      <c r="W5145"/>
    </row>
    <row r="5146" spans="23:23" x14ac:dyDescent="0.55000000000000004">
      <c r="W5146"/>
    </row>
    <row r="5147" spans="23:23" x14ac:dyDescent="0.55000000000000004">
      <c r="W5147"/>
    </row>
    <row r="5148" spans="23:23" x14ac:dyDescent="0.55000000000000004">
      <c r="W5148"/>
    </row>
    <row r="5149" spans="23:23" x14ac:dyDescent="0.55000000000000004">
      <c r="W5149"/>
    </row>
    <row r="5150" spans="23:23" x14ac:dyDescent="0.55000000000000004">
      <c r="W5150"/>
    </row>
    <row r="5151" spans="23:23" x14ac:dyDescent="0.55000000000000004">
      <c r="W5151"/>
    </row>
    <row r="5152" spans="23:23" x14ac:dyDescent="0.55000000000000004">
      <c r="W5152"/>
    </row>
    <row r="5153" spans="23:23" x14ac:dyDescent="0.55000000000000004">
      <c r="W5153"/>
    </row>
    <row r="5154" spans="23:23" x14ac:dyDescent="0.55000000000000004">
      <c r="W5154"/>
    </row>
    <row r="5155" spans="23:23" x14ac:dyDescent="0.55000000000000004">
      <c r="W5155"/>
    </row>
    <row r="5156" spans="23:23" x14ac:dyDescent="0.55000000000000004">
      <c r="W5156"/>
    </row>
    <row r="5157" spans="23:23" x14ac:dyDescent="0.55000000000000004">
      <c r="W5157"/>
    </row>
    <row r="5158" spans="23:23" x14ac:dyDescent="0.55000000000000004">
      <c r="W5158"/>
    </row>
    <row r="5159" spans="23:23" x14ac:dyDescent="0.55000000000000004">
      <c r="W5159"/>
    </row>
    <row r="5160" spans="23:23" x14ac:dyDescent="0.55000000000000004">
      <c r="W5160"/>
    </row>
    <row r="5161" spans="23:23" x14ac:dyDescent="0.55000000000000004">
      <c r="W5161"/>
    </row>
    <row r="5162" spans="23:23" x14ac:dyDescent="0.55000000000000004">
      <c r="W5162"/>
    </row>
    <row r="5163" spans="23:23" x14ac:dyDescent="0.55000000000000004">
      <c r="W5163"/>
    </row>
    <row r="5164" spans="23:23" x14ac:dyDescent="0.55000000000000004">
      <c r="W5164"/>
    </row>
    <row r="5165" spans="23:23" x14ac:dyDescent="0.55000000000000004">
      <c r="W5165"/>
    </row>
    <row r="5166" spans="23:23" x14ac:dyDescent="0.55000000000000004">
      <c r="W5166"/>
    </row>
    <row r="5167" spans="23:23" x14ac:dyDescent="0.55000000000000004">
      <c r="W5167"/>
    </row>
    <row r="5168" spans="23:23" x14ac:dyDescent="0.55000000000000004">
      <c r="W5168"/>
    </row>
    <row r="5169" spans="23:23" x14ac:dyDescent="0.55000000000000004">
      <c r="W5169"/>
    </row>
    <row r="5170" spans="23:23" x14ac:dyDescent="0.55000000000000004">
      <c r="W5170"/>
    </row>
    <row r="5171" spans="23:23" x14ac:dyDescent="0.55000000000000004">
      <c r="W5171"/>
    </row>
    <row r="5172" spans="23:23" x14ac:dyDescent="0.55000000000000004">
      <c r="W5172"/>
    </row>
    <row r="5173" spans="23:23" x14ac:dyDescent="0.55000000000000004">
      <c r="W5173"/>
    </row>
    <row r="5174" spans="23:23" x14ac:dyDescent="0.55000000000000004">
      <c r="W5174"/>
    </row>
    <row r="5175" spans="23:23" x14ac:dyDescent="0.55000000000000004">
      <c r="W5175"/>
    </row>
    <row r="5176" spans="23:23" x14ac:dyDescent="0.55000000000000004">
      <c r="W5176"/>
    </row>
    <row r="5177" spans="23:23" x14ac:dyDescent="0.55000000000000004">
      <c r="W5177"/>
    </row>
    <row r="5178" spans="23:23" x14ac:dyDescent="0.55000000000000004">
      <c r="W5178"/>
    </row>
    <row r="5179" spans="23:23" x14ac:dyDescent="0.55000000000000004">
      <c r="W5179"/>
    </row>
    <row r="5180" spans="23:23" x14ac:dyDescent="0.55000000000000004">
      <c r="W5180"/>
    </row>
    <row r="5181" spans="23:23" x14ac:dyDescent="0.55000000000000004">
      <c r="W5181"/>
    </row>
    <row r="5182" spans="23:23" x14ac:dyDescent="0.55000000000000004">
      <c r="W5182"/>
    </row>
    <row r="5183" spans="23:23" x14ac:dyDescent="0.55000000000000004">
      <c r="W5183"/>
    </row>
    <row r="5184" spans="23:23" x14ac:dyDescent="0.55000000000000004">
      <c r="W5184"/>
    </row>
    <row r="5185" spans="23:23" x14ac:dyDescent="0.55000000000000004">
      <c r="W5185"/>
    </row>
    <row r="5186" spans="23:23" x14ac:dyDescent="0.55000000000000004">
      <c r="W5186"/>
    </row>
    <row r="5187" spans="23:23" x14ac:dyDescent="0.55000000000000004">
      <c r="W5187"/>
    </row>
    <row r="5188" spans="23:23" x14ac:dyDescent="0.55000000000000004">
      <c r="W5188"/>
    </row>
    <row r="5189" spans="23:23" x14ac:dyDescent="0.55000000000000004">
      <c r="W5189"/>
    </row>
    <row r="5190" spans="23:23" x14ac:dyDescent="0.55000000000000004">
      <c r="W5190"/>
    </row>
    <row r="5191" spans="23:23" x14ac:dyDescent="0.55000000000000004">
      <c r="W5191"/>
    </row>
    <row r="5192" spans="23:23" x14ac:dyDescent="0.55000000000000004">
      <c r="W5192"/>
    </row>
    <row r="5193" spans="23:23" x14ac:dyDescent="0.55000000000000004">
      <c r="W5193"/>
    </row>
    <row r="5194" spans="23:23" x14ac:dyDescent="0.55000000000000004">
      <c r="W5194"/>
    </row>
    <row r="5195" spans="23:23" x14ac:dyDescent="0.55000000000000004">
      <c r="W5195"/>
    </row>
    <row r="5196" spans="23:23" x14ac:dyDescent="0.55000000000000004">
      <c r="W5196"/>
    </row>
    <row r="5197" spans="23:23" x14ac:dyDescent="0.55000000000000004">
      <c r="W5197"/>
    </row>
    <row r="5198" spans="23:23" x14ac:dyDescent="0.55000000000000004">
      <c r="W5198"/>
    </row>
    <row r="5199" spans="23:23" x14ac:dyDescent="0.55000000000000004">
      <c r="W5199"/>
    </row>
    <row r="5200" spans="23:23" x14ac:dyDescent="0.55000000000000004">
      <c r="W5200"/>
    </row>
    <row r="5201" spans="23:23" x14ac:dyDescent="0.55000000000000004">
      <c r="W5201"/>
    </row>
    <row r="5202" spans="23:23" x14ac:dyDescent="0.55000000000000004">
      <c r="W5202"/>
    </row>
    <row r="5203" spans="23:23" x14ac:dyDescent="0.55000000000000004">
      <c r="W5203"/>
    </row>
    <row r="5204" spans="23:23" x14ac:dyDescent="0.55000000000000004">
      <c r="W5204"/>
    </row>
    <row r="5205" spans="23:23" x14ac:dyDescent="0.55000000000000004">
      <c r="W5205"/>
    </row>
    <row r="5206" spans="23:23" x14ac:dyDescent="0.55000000000000004">
      <c r="W5206"/>
    </row>
    <row r="5207" spans="23:23" x14ac:dyDescent="0.55000000000000004">
      <c r="W5207"/>
    </row>
    <row r="5208" spans="23:23" x14ac:dyDescent="0.55000000000000004">
      <c r="W5208"/>
    </row>
    <row r="5209" spans="23:23" x14ac:dyDescent="0.55000000000000004">
      <c r="W5209"/>
    </row>
    <row r="5210" spans="23:23" x14ac:dyDescent="0.55000000000000004">
      <c r="W5210"/>
    </row>
    <row r="5211" spans="23:23" x14ac:dyDescent="0.55000000000000004">
      <c r="W5211"/>
    </row>
    <row r="5212" spans="23:23" x14ac:dyDescent="0.55000000000000004">
      <c r="W5212"/>
    </row>
    <row r="5213" spans="23:23" x14ac:dyDescent="0.55000000000000004">
      <c r="W5213"/>
    </row>
    <row r="5214" spans="23:23" x14ac:dyDescent="0.55000000000000004">
      <c r="W5214"/>
    </row>
    <row r="5215" spans="23:23" x14ac:dyDescent="0.55000000000000004">
      <c r="W5215"/>
    </row>
    <row r="5216" spans="23:23" x14ac:dyDescent="0.55000000000000004">
      <c r="W5216"/>
    </row>
    <row r="5217" spans="23:23" x14ac:dyDescent="0.55000000000000004">
      <c r="W5217"/>
    </row>
    <row r="5218" spans="23:23" x14ac:dyDescent="0.55000000000000004">
      <c r="W5218"/>
    </row>
    <row r="5219" spans="23:23" x14ac:dyDescent="0.55000000000000004">
      <c r="W5219"/>
    </row>
    <row r="5220" spans="23:23" x14ac:dyDescent="0.55000000000000004">
      <c r="W5220"/>
    </row>
    <row r="5221" spans="23:23" x14ac:dyDescent="0.55000000000000004">
      <c r="W5221"/>
    </row>
    <row r="5222" spans="23:23" x14ac:dyDescent="0.55000000000000004">
      <c r="W5222"/>
    </row>
    <row r="5223" spans="23:23" x14ac:dyDescent="0.55000000000000004">
      <c r="W5223"/>
    </row>
    <row r="5224" spans="23:23" x14ac:dyDescent="0.55000000000000004">
      <c r="W5224"/>
    </row>
    <row r="5225" spans="23:23" x14ac:dyDescent="0.55000000000000004">
      <c r="W5225"/>
    </row>
    <row r="5226" spans="23:23" x14ac:dyDescent="0.55000000000000004">
      <c r="W5226"/>
    </row>
    <row r="5227" spans="23:23" x14ac:dyDescent="0.55000000000000004">
      <c r="W5227"/>
    </row>
    <row r="5228" spans="23:23" x14ac:dyDescent="0.55000000000000004">
      <c r="W5228"/>
    </row>
    <row r="5229" spans="23:23" x14ac:dyDescent="0.55000000000000004">
      <c r="W5229"/>
    </row>
    <row r="5230" spans="23:23" x14ac:dyDescent="0.55000000000000004">
      <c r="W5230"/>
    </row>
    <row r="5231" spans="23:23" x14ac:dyDescent="0.55000000000000004">
      <c r="W5231"/>
    </row>
    <row r="5232" spans="23:23" x14ac:dyDescent="0.55000000000000004">
      <c r="W5232"/>
    </row>
    <row r="5233" spans="23:23" x14ac:dyDescent="0.55000000000000004">
      <c r="W5233"/>
    </row>
    <row r="5234" spans="23:23" x14ac:dyDescent="0.55000000000000004">
      <c r="W5234"/>
    </row>
    <row r="5235" spans="23:23" x14ac:dyDescent="0.55000000000000004">
      <c r="W5235"/>
    </row>
    <row r="5236" spans="23:23" x14ac:dyDescent="0.55000000000000004">
      <c r="W5236"/>
    </row>
    <row r="5237" spans="23:23" x14ac:dyDescent="0.55000000000000004">
      <c r="W5237"/>
    </row>
    <row r="5238" spans="23:23" x14ac:dyDescent="0.55000000000000004">
      <c r="W5238"/>
    </row>
    <row r="5239" spans="23:23" x14ac:dyDescent="0.55000000000000004">
      <c r="W5239"/>
    </row>
    <row r="5240" spans="23:23" x14ac:dyDescent="0.55000000000000004">
      <c r="W5240"/>
    </row>
    <row r="5241" spans="23:23" x14ac:dyDescent="0.55000000000000004">
      <c r="W5241"/>
    </row>
    <row r="5242" spans="23:23" x14ac:dyDescent="0.55000000000000004">
      <c r="W5242"/>
    </row>
    <row r="5243" spans="23:23" x14ac:dyDescent="0.55000000000000004">
      <c r="W5243"/>
    </row>
    <row r="5244" spans="23:23" x14ac:dyDescent="0.55000000000000004">
      <c r="W5244"/>
    </row>
    <row r="5245" spans="23:23" x14ac:dyDescent="0.55000000000000004">
      <c r="W5245"/>
    </row>
    <row r="5246" spans="23:23" x14ac:dyDescent="0.55000000000000004">
      <c r="W5246"/>
    </row>
    <row r="5247" spans="23:23" x14ac:dyDescent="0.55000000000000004">
      <c r="W5247"/>
    </row>
    <row r="5248" spans="23:23" x14ac:dyDescent="0.55000000000000004">
      <c r="W5248"/>
    </row>
    <row r="5249" spans="23:23" x14ac:dyDescent="0.55000000000000004">
      <c r="W5249"/>
    </row>
    <row r="5250" spans="23:23" x14ac:dyDescent="0.55000000000000004">
      <c r="W5250"/>
    </row>
    <row r="5251" spans="23:23" x14ac:dyDescent="0.55000000000000004">
      <c r="W5251"/>
    </row>
    <row r="5252" spans="23:23" x14ac:dyDescent="0.55000000000000004">
      <c r="W5252"/>
    </row>
    <row r="5253" spans="23:23" x14ac:dyDescent="0.55000000000000004">
      <c r="W5253"/>
    </row>
    <row r="5254" spans="23:23" x14ac:dyDescent="0.55000000000000004">
      <c r="W5254"/>
    </row>
    <row r="5255" spans="23:23" x14ac:dyDescent="0.55000000000000004">
      <c r="W5255"/>
    </row>
    <row r="5256" spans="23:23" x14ac:dyDescent="0.55000000000000004">
      <c r="W5256"/>
    </row>
    <row r="5257" spans="23:23" x14ac:dyDescent="0.55000000000000004">
      <c r="W5257"/>
    </row>
    <row r="5258" spans="23:23" x14ac:dyDescent="0.55000000000000004">
      <c r="W5258"/>
    </row>
    <row r="5259" spans="23:23" x14ac:dyDescent="0.55000000000000004">
      <c r="W5259"/>
    </row>
    <row r="5260" spans="23:23" x14ac:dyDescent="0.55000000000000004">
      <c r="W5260"/>
    </row>
    <row r="5261" spans="23:23" x14ac:dyDescent="0.55000000000000004">
      <c r="W5261"/>
    </row>
    <row r="5262" spans="23:23" x14ac:dyDescent="0.55000000000000004">
      <c r="W5262"/>
    </row>
    <row r="5263" spans="23:23" x14ac:dyDescent="0.55000000000000004">
      <c r="W5263"/>
    </row>
    <row r="5264" spans="23:23" x14ac:dyDescent="0.55000000000000004">
      <c r="W5264"/>
    </row>
    <row r="5265" spans="23:23" x14ac:dyDescent="0.55000000000000004">
      <c r="W5265"/>
    </row>
    <row r="5266" spans="23:23" x14ac:dyDescent="0.55000000000000004">
      <c r="W5266"/>
    </row>
    <row r="5267" spans="23:23" x14ac:dyDescent="0.55000000000000004">
      <c r="W5267"/>
    </row>
    <row r="5268" spans="23:23" x14ac:dyDescent="0.55000000000000004">
      <c r="W5268"/>
    </row>
    <row r="5269" spans="23:23" x14ac:dyDescent="0.55000000000000004">
      <c r="W5269"/>
    </row>
    <row r="5270" spans="23:23" x14ac:dyDescent="0.55000000000000004">
      <c r="W5270"/>
    </row>
    <row r="5271" spans="23:23" x14ac:dyDescent="0.55000000000000004">
      <c r="W5271"/>
    </row>
    <row r="5272" spans="23:23" x14ac:dyDescent="0.55000000000000004">
      <c r="W5272"/>
    </row>
    <row r="5273" spans="23:23" x14ac:dyDescent="0.55000000000000004">
      <c r="W5273"/>
    </row>
    <row r="5274" spans="23:23" x14ac:dyDescent="0.55000000000000004">
      <c r="W5274"/>
    </row>
    <row r="5275" spans="23:23" x14ac:dyDescent="0.55000000000000004">
      <c r="W5275"/>
    </row>
    <row r="5276" spans="23:23" x14ac:dyDescent="0.55000000000000004">
      <c r="W5276"/>
    </row>
    <row r="5277" spans="23:23" x14ac:dyDescent="0.55000000000000004">
      <c r="W5277"/>
    </row>
    <row r="5278" spans="23:23" x14ac:dyDescent="0.55000000000000004">
      <c r="W5278"/>
    </row>
    <row r="5279" spans="23:23" x14ac:dyDescent="0.55000000000000004">
      <c r="W5279"/>
    </row>
    <row r="5280" spans="23:23" x14ac:dyDescent="0.55000000000000004">
      <c r="W5280"/>
    </row>
    <row r="5281" spans="23:23" x14ac:dyDescent="0.55000000000000004">
      <c r="W5281"/>
    </row>
    <row r="5282" spans="23:23" x14ac:dyDescent="0.55000000000000004">
      <c r="W5282"/>
    </row>
    <row r="5283" spans="23:23" x14ac:dyDescent="0.55000000000000004">
      <c r="W5283"/>
    </row>
    <row r="5284" spans="23:23" x14ac:dyDescent="0.55000000000000004">
      <c r="W5284"/>
    </row>
    <row r="5285" spans="23:23" x14ac:dyDescent="0.55000000000000004">
      <c r="W5285"/>
    </row>
    <row r="5286" spans="23:23" x14ac:dyDescent="0.55000000000000004">
      <c r="W5286"/>
    </row>
    <row r="5287" spans="23:23" x14ac:dyDescent="0.55000000000000004">
      <c r="W5287"/>
    </row>
    <row r="5288" spans="23:23" x14ac:dyDescent="0.55000000000000004">
      <c r="W5288"/>
    </row>
    <row r="5289" spans="23:23" x14ac:dyDescent="0.55000000000000004">
      <c r="W5289"/>
    </row>
    <row r="5290" spans="23:23" x14ac:dyDescent="0.55000000000000004">
      <c r="W5290"/>
    </row>
    <row r="5291" spans="23:23" x14ac:dyDescent="0.55000000000000004">
      <c r="W5291"/>
    </row>
    <row r="5292" spans="23:23" x14ac:dyDescent="0.55000000000000004">
      <c r="W5292"/>
    </row>
    <row r="5293" spans="23:23" x14ac:dyDescent="0.55000000000000004">
      <c r="W5293"/>
    </row>
    <row r="5294" spans="23:23" x14ac:dyDescent="0.55000000000000004">
      <c r="W5294"/>
    </row>
    <row r="5295" spans="23:23" x14ac:dyDescent="0.55000000000000004">
      <c r="W5295"/>
    </row>
    <row r="5296" spans="23:23" x14ac:dyDescent="0.55000000000000004">
      <c r="W5296"/>
    </row>
    <row r="5297" spans="23:23" x14ac:dyDescent="0.55000000000000004">
      <c r="W5297"/>
    </row>
    <row r="5298" spans="23:23" x14ac:dyDescent="0.55000000000000004">
      <c r="W5298"/>
    </row>
    <row r="5299" spans="23:23" x14ac:dyDescent="0.55000000000000004">
      <c r="W5299"/>
    </row>
    <row r="5300" spans="23:23" x14ac:dyDescent="0.55000000000000004">
      <c r="W5300"/>
    </row>
    <row r="5301" spans="23:23" x14ac:dyDescent="0.55000000000000004">
      <c r="W5301"/>
    </row>
    <row r="5302" spans="23:23" x14ac:dyDescent="0.55000000000000004">
      <c r="W5302"/>
    </row>
    <row r="5303" spans="23:23" x14ac:dyDescent="0.55000000000000004">
      <c r="W5303"/>
    </row>
    <row r="5304" spans="23:23" x14ac:dyDescent="0.55000000000000004">
      <c r="W5304"/>
    </row>
    <row r="5305" spans="23:23" x14ac:dyDescent="0.55000000000000004">
      <c r="W5305"/>
    </row>
    <row r="5306" spans="23:23" x14ac:dyDescent="0.55000000000000004">
      <c r="W5306"/>
    </row>
    <row r="5307" spans="23:23" x14ac:dyDescent="0.55000000000000004">
      <c r="W5307"/>
    </row>
    <row r="5308" spans="23:23" x14ac:dyDescent="0.55000000000000004">
      <c r="W5308"/>
    </row>
    <row r="5309" spans="23:23" x14ac:dyDescent="0.55000000000000004">
      <c r="W5309"/>
    </row>
    <row r="5310" spans="23:23" x14ac:dyDescent="0.55000000000000004">
      <c r="W5310"/>
    </row>
    <row r="5311" spans="23:23" x14ac:dyDescent="0.55000000000000004">
      <c r="W5311"/>
    </row>
    <row r="5312" spans="23:23" x14ac:dyDescent="0.55000000000000004">
      <c r="W5312"/>
    </row>
    <row r="5313" spans="23:23" x14ac:dyDescent="0.55000000000000004">
      <c r="W5313"/>
    </row>
    <row r="5314" spans="23:23" x14ac:dyDescent="0.55000000000000004">
      <c r="W5314"/>
    </row>
    <row r="5315" spans="23:23" x14ac:dyDescent="0.55000000000000004">
      <c r="W5315"/>
    </row>
    <row r="5316" spans="23:23" x14ac:dyDescent="0.55000000000000004">
      <c r="W5316"/>
    </row>
    <row r="5317" spans="23:23" x14ac:dyDescent="0.55000000000000004">
      <c r="W5317"/>
    </row>
    <row r="5318" spans="23:23" x14ac:dyDescent="0.55000000000000004">
      <c r="W5318"/>
    </row>
    <row r="5319" spans="23:23" x14ac:dyDescent="0.55000000000000004">
      <c r="W5319"/>
    </row>
    <row r="5320" spans="23:23" x14ac:dyDescent="0.55000000000000004">
      <c r="W5320"/>
    </row>
    <row r="5321" spans="23:23" x14ac:dyDescent="0.55000000000000004">
      <c r="W5321"/>
    </row>
    <row r="5322" spans="23:23" x14ac:dyDescent="0.55000000000000004">
      <c r="W5322"/>
    </row>
    <row r="5323" spans="23:23" x14ac:dyDescent="0.55000000000000004">
      <c r="W5323"/>
    </row>
    <row r="5324" spans="23:23" x14ac:dyDescent="0.55000000000000004">
      <c r="W5324"/>
    </row>
    <row r="5325" spans="23:23" x14ac:dyDescent="0.55000000000000004">
      <c r="W5325"/>
    </row>
    <row r="5326" spans="23:23" x14ac:dyDescent="0.55000000000000004">
      <c r="W5326"/>
    </row>
    <row r="5327" spans="23:23" x14ac:dyDescent="0.55000000000000004">
      <c r="W5327"/>
    </row>
    <row r="5328" spans="23:23" x14ac:dyDescent="0.55000000000000004">
      <c r="W5328"/>
    </row>
    <row r="5329" spans="23:23" x14ac:dyDescent="0.55000000000000004">
      <c r="W5329"/>
    </row>
    <row r="5330" spans="23:23" x14ac:dyDescent="0.55000000000000004">
      <c r="W5330"/>
    </row>
    <row r="5331" spans="23:23" x14ac:dyDescent="0.55000000000000004">
      <c r="W5331"/>
    </row>
    <row r="5332" spans="23:23" x14ac:dyDescent="0.55000000000000004">
      <c r="W5332"/>
    </row>
    <row r="5333" spans="23:23" x14ac:dyDescent="0.55000000000000004">
      <c r="W5333"/>
    </row>
    <row r="5334" spans="23:23" x14ac:dyDescent="0.55000000000000004">
      <c r="W5334"/>
    </row>
    <row r="5335" spans="23:23" x14ac:dyDescent="0.55000000000000004">
      <c r="W5335"/>
    </row>
    <row r="5336" spans="23:23" x14ac:dyDescent="0.55000000000000004">
      <c r="W5336"/>
    </row>
    <row r="5337" spans="23:23" x14ac:dyDescent="0.55000000000000004">
      <c r="W5337"/>
    </row>
    <row r="5338" spans="23:23" x14ac:dyDescent="0.55000000000000004">
      <c r="W5338"/>
    </row>
    <row r="5339" spans="23:23" x14ac:dyDescent="0.55000000000000004">
      <c r="W5339"/>
    </row>
    <row r="5340" spans="23:23" x14ac:dyDescent="0.55000000000000004">
      <c r="W5340"/>
    </row>
    <row r="5341" spans="23:23" x14ac:dyDescent="0.55000000000000004">
      <c r="W5341"/>
    </row>
    <row r="5342" spans="23:23" x14ac:dyDescent="0.55000000000000004">
      <c r="W5342"/>
    </row>
    <row r="5343" spans="23:23" x14ac:dyDescent="0.55000000000000004">
      <c r="W5343"/>
    </row>
    <row r="5344" spans="23:23" x14ac:dyDescent="0.55000000000000004">
      <c r="W5344"/>
    </row>
    <row r="5345" spans="23:23" x14ac:dyDescent="0.55000000000000004">
      <c r="W5345"/>
    </row>
    <row r="5346" spans="23:23" x14ac:dyDescent="0.55000000000000004">
      <c r="W5346"/>
    </row>
    <row r="5347" spans="23:23" x14ac:dyDescent="0.55000000000000004">
      <c r="W5347"/>
    </row>
    <row r="5348" spans="23:23" x14ac:dyDescent="0.55000000000000004">
      <c r="W5348"/>
    </row>
    <row r="5349" spans="23:23" x14ac:dyDescent="0.55000000000000004">
      <c r="W5349"/>
    </row>
    <row r="5350" spans="23:23" x14ac:dyDescent="0.55000000000000004">
      <c r="W5350"/>
    </row>
    <row r="5351" spans="23:23" x14ac:dyDescent="0.55000000000000004">
      <c r="W5351"/>
    </row>
    <row r="5352" spans="23:23" x14ac:dyDescent="0.55000000000000004">
      <c r="W5352"/>
    </row>
    <row r="5353" spans="23:23" x14ac:dyDescent="0.55000000000000004">
      <c r="W5353"/>
    </row>
    <row r="5354" spans="23:23" x14ac:dyDescent="0.55000000000000004">
      <c r="W5354"/>
    </row>
    <row r="5355" spans="23:23" x14ac:dyDescent="0.55000000000000004">
      <c r="W5355"/>
    </row>
    <row r="5356" spans="23:23" x14ac:dyDescent="0.55000000000000004">
      <c r="W5356"/>
    </row>
    <row r="5357" spans="23:23" x14ac:dyDescent="0.55000000000000004">
      <c r="W5357"/>
    </row>
    <row r="5358" spans="23:23" x14ac:dyDescent="0.55000000000000004">
      <c r="W5358"/>
    </row>
    <row r="5359" spans="23:23" x14ac:dyDescent="0.55000000000000004">
      <c r="W5359"/>
    </row>
    <row r="5360" spans="23:23" x14ac:dyDescent="0.55000000000000004">
      <c r="W5360"/>
    </row>
    <row r="5361" spans="23:23" x14ac:dyDescent="0.55000000000000004">
      <c r="W5361"/>
    </row>
    <row r="5362" spans="23:23" x14ac:dyDescent="0.55000000000000004">
      <c r="W5362"/>
    </row>
    <row r="5363" spans="23:23" x14ac:dyDescent="0.55000000000000004">
      <c r="W5363"/>
    </row>
    <row r="5364" spans="23:23" x14ac:dyDescent="0.55000000000000004">
      <c r="W5364"/>
    </row>
    <row r="5365" spans="23:23" x14ac:dyDescent="0.55000000000000004">
      <c r="W5365"/>
    </row>
    <row r="5366" spans="23:23" x14ac:dyDescent="0.55000000000000004">
      <c r="W5366"/>
    </row>
    <row r="5367" spans="23:23" x14ac:dyDescent="0.55000000000000004">
      <c r="W5367"/>
    </row>
    <row r="5368" spans="23:23" x14ac:dyDescent="0.55000000000000004">
      <c r="W5368"/>
    </row>
    <row r="5369" spans="23:23" x14ac:dyDescent="0.55000000000000004">
      <c r="W5369"/>
    </row>
    <row r="5370" spans="23:23" x14ac:dyDescent="0.55000000000000004">
      <c r="W5370"/>
    </row>
    <row r="5371" spans="23:23" x14ac:dyDescent="0.55000000000000004">
      <c r="W5371"/>
    </row>
    <row r="5372" spans="23:23" x14ac:dyDescent="0.55000000000000004">
      <c r="W5372"/>
    </row>
    <row r="5373" spans="23:23" x14ac:dyDescent="0.55000000000000004">
      <c r="W5373"/>
    </row>
    <row r="5374" spans="23:23" x14ac:dyDescent="0.55000000000000004">
      <c r="W5374"/>
    </row>
    <row r="5375" spans="23:23" x14ac:dyDescent="0.55000000000000004">
      <c r="W5375"/>
    </row>
    <row r="5376" spans="23:23" x14ac:dyDescent="0.55000000000000004">
      <c r="W5376"/>
    </row>
    <row r="5377" spans="23:23" x14ac:dyDescent="0.55000000000000004">
      <c r="W5377"/>
    </row>
    <row r="5378" spans="23:23" x14ac:dyDescent="0.55000000000000004">
      <c r="W5378"/>
    </row>
    <row r="5379" spans="23:23" x14ac:dyDescent="0.55000000000000004">
      <c r="W5379"/>
    </row>
    <row r="5380" spans="23:23" x14ac:dyDescent="0.55000000000000004">
      <c r="W5380"/>
    </row>
    <row r="5381" spans="23:23" x14ac:dyDescent="0.55000000000000004">
      <c r="W5381"/>
    </row>
    <row r="5382" spans="23:23" x14ac:dyDescent="0.55000000000000004">
      <c r="W5382"/>
    </row>
    <row r="5383" spans="23:23" x14ac:dyDescent="0.55000000000000004">
      <c r="W5383"/>
    </row>
    <row r="5384" spans="23:23" x14ac:dyDescent="0.55000000000000004">
      <c r="W5384"/>
    </row>
    <row r="5385" spans="23:23" x14ac:dyDescent="0.55000000000000004">
      <c r="W5385"/>
    </row>
    <row r="5386" spans="23:23" x14ac:dyDescent="0.55000000000000004">
      <c r="W5386"/>
    </row>
    <row r="5387" spans="23:23" x14ac:dyDescent="0.55000000000000004">
      <c r="W5387"/>
    </row>
    <row r="5388" spans="23:23" x14ac:dyDescent="0.55000000000000004">
      <c r="W5388"/>
    </row>
    <row r="5389" spans="23:23" x14ac:dyDescent="0.55000000000000004">
      <c r="W5389"/>
    </row>
    <row r="5390" spans="23:23" x14ac:dyDescent="0.55000000000000004">
      <c r="W5390"/>
    </row>
    <row r="5391" spans="23:23" x14ac:dyDescent="0.55000000000000004">
      <c r="W5391"/>
    </row>
    <row r="5392" spans="23:23" x14ac:dyDescent="0.55000000000000004">
      <c r="W5392"/>
    </row>
    <row r="5393" spans="23:23" x14ac:dyDescent="0.55000000000000004">
      <c r="W5393"/>
    </row>
    <row r="5394" spans="23:23" x14ac:dyDescent="0.55000000000000004">
      <c r="W5394"/>
    </row>
    <row r="5395" spans="23:23" x14ac:dyDescent="0.55000000000000004">
      <c r="W5395"/>
    </row>
    <row r="5396" spans="23:23" x14ac:dyDescent="0.55000000000000004">
      <c r="W5396"/>
    </row>
    <row r="5397" spans="23:23" x14ac:dyDescent="0.55000000000000004">
      <c r="W5397"/>
    </row>
    <row r="5398" spans="23:23" x14ac:dyDescent="0.55000000000000004">
      <c r="W5398"/>
    </row>
    <row r="5399" spans="23:23" x14ac:dyDescent="0.55000000000000004">
      <c r="W5399"/>
    </row>
    <row r="5400" spans="23:23" x14ac:dyDescent="0.55000000000000004">
      <c r="W5400"/>
    </row>
    <row r="5401" spans="23:23" x14ac:dyDescent="0.55000000000000004">
      <c r="W5401"/>
    </row>
    <row r="5402" spans="23:23" x14ac:dyDescent="0.55000000000000004">
      <c r="W5402"/>
    </row>
    <row r="5403" spans="23:23" x14ac:dyDescent="0.55000000000000004">
      <c r="W5403"/>
    </row>
    <row r="5404" spans="23:23" x14ac:dyDescent="0.55000000000000004">
      <c r="W5404"/>
    </row>
    <row r="5405" spans="23:23" x14ac:dyDescent="0.55000000000000004">
      <c r="W5405"/>
    </row>
    <row r="5406" spans="23:23" x14ac:dyDescent="0.55000000000000004">
      <c r="W5406"/>
    </row>
    <row r="5407" spans="23:23" x14ac:dyDescent="0.55000000000000004">
      <c r="W5407"/>
    </row>
    <row r="5408" spans="23:23" x14ac:dyDescent="0.55000000000000004">
      <c r="W5408"/>
    </row>
    <row r="5409" spans="23:23" x14ac:dyDescent="0.55000000000000004">
      <c r="W5409"/>
    </row>
    <row r="5410" spans="23:23" x14ac:dyDescent="0.55000000000000004">
      <c r="W5410"/>
    </row>
    <row r="5411" spans="23:23" x14ac:dyDescent="0.55000000000000004">
      <c r="W5411"/>
    </row>
    <row r="5412" spans="23:23" x14ac:dyDescent="0.55000000000000004">
      <c r="W5412"/>
    </row>
    <row r="5413" spans="23:23" x14ac:dyDescent="0.55000000000000004">
      <c r="W5413"/>
    </row>
    <row r="5414" spans="23:23" x14ac:dyDescent="0.55000000000000004">
      <c r="W5414"/>
    </row>
    <row r="5415" spans="23:23" x14ac:dyDescent="0.55000000000000004">
      <c r="W5415"/>
    </row>
    <row r="5416" spans="23:23" x14ac:dyDescent="0.55000000000000004">
      <c r="W5416"/>
    </row>
    <row r="5417" spans="23:23" x14ac:dyDescent="0.55000000000000004">
      <c r="W5417"/>
    </row>
    <row r="5418" spans="23:23" x14ac:dyDescent="0.55000000000000004">
      <c r="W5418"/>
    </row>
    <row r="5419" spans="23:23" x14ac:dyDescent="0.55000000000000004">
      <c r="W5419"/>
    </row>
    <row r="5420" spans="23:23" x14ac:dyDescent="0.55000000000000004">
      <c r="W5420"/>
    </row>
    <row r="5421" spans="23:23" x14ac:dyDescent="0.55000000000000004">
      <c r="W5421"/>
    </row>
    <row r="5422" spans="23:23" x14ac:dyDescent="0.55000000000000004">
      <c r="W5422"/>
    </row>
    <row r="5423" spans="23:23" x14ac:dyDescent="0.55000000000000004">
      <c r="W5423"/>
    </row>
    <row r="5424" spans="23:23" x14ac:dyDescent="0.55000000000000004">
      <c r="W5424"/>
    </row>
    <row r="5425" spans="23:23" x14ac:dyDescent="0.55000000000000004">
      <c r="W5425"/>
    </row>
    <row r="5426" spans="23:23" x14ac:dyDescent="0.55000000000000004">
      <c r="W5426"/>
    </row>
    <row r="5427" spans="23:23" x14ac:dyDescent="0.55000000000000004">
      <c r="W5427"/>
    </row>
    <row r="5428" spans="23:23" x14ac:dyDescent="0.55000000000000004">
      <c r="W5428"/>
    </row>
    <row r="5429" spans="23:23" x14ac:dyDescent="0.55000000000000004">
      <c r="W5429"/>
    </row>
    <row r="5430" spans="23:23" x14ac:dyDescent="0.55000000000000004">
      <c r="W5430"/>
    </row>
    <row r="5431" spans="23:23" x14ac:dyDescent="0.55000000000000004">
      <c r="W5431"/>
    </row>
    <row r="5432" spans="23:23" x14ac:dyDescent="0.55000000000000004">
      <c r="W5432"/>
    </row>
    <row r="5433" spans="23:23" x14ac:dyDescent="0.55000000000000004">
      <c r="W5433"/>
    </row>
    <row r="5434" spans="23:23" x14ac:dyDescent="0.55000000000000004">
      <c r="W5434"/>
    </row>
    <row r="5435" spans="23:23" x14ac:dyDescent="0.55000000000000004">
      <c r="W5435"/>
    </row>
    <row r="5436" spans="23:23" x14ac:dyDescent="0.55000000000000004">
      <c r="W5436"/>
    </row>
    <row r="5437" spans="23:23" x14ac:dyDescent="0.55000000000000004">
      <c r="W5437"/>
    </row>
    <row r="5438" spans="23:23" x14ac:dyDescent="0.55000000000000004">
      <c r="W5438"/>
    </row>
    <row r="5439" spans="23:23" x14ac:dyDescent="0.55000000000000004">
      <c r="W5439"/>
    </row>
    <row r="5440" spans="23:23" x14ac:dyDescent="0.55000000000000004">
      <c r="W5440"/>
    </row>
    <row r="5441" spans="23:23" x14ac:dyDescent="0.55000000000000004">
      <c r="W5441"/>
    </row>
    <row r="5442" spans="23:23" x14ac:dyDescent="0.55000000000000004">
      <c r="W5442"/>
    </row>
    <row r="5443" spans="23:23" x14ac:dyDescent="0.55000000000000004">
      <c r="W5443"/>
    </row>
    <row r="5444" spans="23:23" x14ac:dyDescent="0.55000000000000004">
      <c r="W5444"/>
    </row>
    <row r="5445" spans="23:23" x14ac:dyDescent="0.55000000000000004">
      <c r="W5445"/>
    </row>
    <row r="5446" spans="23:23" x14ac:dyDescent="0.55000000000000004">
      <c r="W5446"/>
    </row>
    <row r="5447" spans="23:23" x14ac:dyDescent="0.55000000000000004">
      <c r="W5447"/>
    </row>
    <row r="5448" spans="23:23" x14ac:dyDescent="0.55000000000000004">
      <c r="W5448"/>
    </row>
    <row r="5449" spans="23:23" x14ac:dyDescent="0.55000000000000004">
      <c r="W5449"/>
    </row>
    <row r="5450" spans="23:23" x14ac:dyDescent="0.55000000000000004">
      <c r="W5450"/>
    </row>
    <row r="5451" spans="23:23" x14ac:dyDescent="0.55000000000000004">
      <c r="W5451"/>
    </row>
    <row r="5452" spans="23:23" x14ac:dyDescent="0.55000000000000004">
      <c r="W5452"/>
    </row>
    <row r="5453" spans="23:23" x14ac:dyDescent="0.55000000000000004">
      <c r="W5453"/>
    </row>
    <row r="5454" spans="23:23" x14ac:dyDescent="0.55000000000000004">
      <c r="W5454"/>
    </row>
    <row r="5455" spans="23:23" x14ac:dyDescent="0.55000000000000004">
      <c r="W5455"/>
    </row>
    <row r="5456" spans="23:23" x14ac:dyDescent="0.55000000000000004">
      <c r="W5456"/>
    </row>
    <row r="5457" spans="23:23" x14ac:dyDescent="0.55000000000000004">
      <c r="W5457"/>
    </row>
    <row r="5458" spans="23:23" x14ac:dyDescent="0.55000000000000004">
      <c r="W5458"/>
    </row>
    <row r="5459" spans="23:23" x14ac:dyDescent="0.55000000000000004">
      <c r="W5459"/>
    </row>
    <row r="5460" spans="23:23" x14ac:dyDescent="0.55000000000000004">
      <c r="W5460"/>
    </row>
    <row r="5461" spans="23:23" x14ac:dyDescent="0.55000000000000004">
      <c r="W5461"/>
    </row>
    <row r="5462" spans="23:23" x14ac:dyDescent="0.55000000000000004">
      <c r="W5462"/>
    </row>
    <row r="5463" spans="23:23" x14ac:dyDescent="0.55000000000000004">
      <c r="W5463"/>
    </row>
    <row r="5464" spans="23:23" x14ac:dyDescent="0.55000000000000004">
      <c r="W5464"/>
    </row>
    <row r="5465" spans="23:23" x14ac:dyDescent="0.55000000000000004">
      <c r="W5465"/>
    </row>
    <row r="5466" spans="23:23" x14ac:dyDescent="0.55000000000000004">
      <c r="W5466"/>
    </row>
    <row r="5467" spans="23:23" x14ac:dyDescent="0.55000000000000004">
      <c r="W5467"/>
    </row>
    <row r="5468" spans="23:23" x14ac:dyDescent="0.55000000000000004">
      <c r="W5468"/>
    </row>
    <row r="5469" spans="23:23" x14ac:dyDescent="0.55000000000000004">
      <c r="W5469"/>
    </row>
    <row r="5470" spans="23:23" x14ac:dyDescent="0.55000000000000004">
      <c r="W5470"/>
    </row>
    <row r="5471" spans="23:23" x14ac:dyDescent="0.55000000000000004">
      <c r="W5471"/>
    </row>
    <row r="5472" spans="23:23" x14ac:dyDescent="0.55000000000000004">
      <c r="W5472"/>
    </row>
    <row r="5473" spans="23:23" x14ac:dyDescent="0.55000000000000004">
      <c r="W5473"/>
    </row>
    <row r="5474" spans="23:23" x14ac:dyDescent="0.55000000000000004">
      <c r="W5474"/>
    </row>
    <row r="5475" spans="23:23" x14ac:dyDescent="0.55000000000000004">
      <c r="W5475"/>
    </row>
    <row r="5476" spans="23:23" x14ac:dyDescent="0.55000000000000004">
      <c r="W5476"/>
    </row>
    <row r="5477" spans="23:23" x14ac:dyDescent="0.55000000000000004">
      <c r="W5477"/>
    </row>
    <row r="5478" spans="23:23" x14ac:dyDescent="0.55000000000000004">
      <c r="W5478"/>
    </row>
    <row r="5479" spans="23:23" x14ac:dyDescent="0.55000000000000004">
      <c r="W5479"/>
    </row>
    <row r="5480" spans="23:23" x14ac:dyDescent="0.55000000000000004">
      <c r="W5480"/>
    </row>
    <row r="5481" spans="23:23" x14ac:dyDescent="0.55000000000000004">
      <c r="W5481"/>
    </row>
    <row r="5482" spans="23:23" x14ac:dyDescent="0.55000000000000004">
      <c r="W5482"/>
    </row>
    <row r="5483" spans="23:23" x14ac:dyDescent="0.55000000000000004">
      <c r="W5483"/>
    </row>
    <row r="5484" spans="23:23" x14ac:dyDescent="0.55000000000000004">
      <c r="W5484"/>
    </row>
    <row r="5485" spans="23:23" x14ac:dyDescent="0.55000000000000004">
      <c r="W5485"/>
    </row>
    <row r="5486" spans="23:23" x14ac:dyDescent="0.55000000000000004">
      <c r="W5486"/>
    </row>
    <row r="5487" spans="23:23" x14ac:dyDescent="0.55000000000000004">
      <c r="W5487"/>
    </row>
    <row r="5488" spans="23:23" x14ac:dyDescent="0.55000000000000004">
      <c r="W5488"/>
    </row>
    <row r="5489" spans="23:23" x14ac:dyDescent="0.55000000000000004">
      <c r="W5489"/>
    </row>
    <row r="5490" spans="23:23" x14ac:dyDescent="0.55000000000000004">
      <c r="W5490"/>
    </row>
    <row r="5491" spans="23:23" x14ac:dyDescent="0.55000000000000004">
      <c r="W5491"/>
    </row>
    <row r="5492" spans="23:23" x14ac:dyDescent="0.55000000000000004">
      <c r="W5492"/>
    </row>
    <row r="5493" spans="23:23" x14ac:dyDescent="0.55000000000000004">
      <c r="W5493"/>
    </row>
    <row r="5494" spans="23:23" x14ac:dyDescent="0.55000000000000004">
      <c r="W5494"/>
    </row>
    <row r="5495" spans="23:23" x14ac:dyDescent="0.55000000000000004">
      <c r="W5495"/>
    </row>
    <row r="5496" spans="23:23" x14ac:dyDescent="0.55000000000000004">
      <c r="W5496"/>
    </row>
    <row r="5497" spans="23:23" x14ac:dyDescent="0.55000000000000004">
      <c r="W5497"/>
    </row>
    <row r="5498" spans="23:23" x14ac:dyDescent="0.55000000000000004">
      <c r="W5498"/>
    </row>
    <row r="5499" spans="23:23" x14ac:dyDescent="0.55000000000000004">
      <c r="W5499"/>
    </row>
    <row r="5500" spans="23:23" x14ac:dyDescent="0.55000000000000004">
      <c r="W5500"/>
    </row>
    <row r="5501" spans="23:23" x14ac:dyDescent="0.55000000000000004">
      <c r="W5501"/>
    </row>
    <row r="5502" spans="23:23" x14ac:dyDescent="0.55000000000000004">
      <c r="W5502"/>
    </row>
    <row r="5503" spans="23:23" x14ac:dyDescent="0.55000000000000004">
      <c r="W5503"/>
    </row>
    <row r="5504" spans="23:23" x14ac:dyDescent="0.55000000000000004">
      <c r="W5504"/>
    </row>
    <row r="5505" spans="23:23" x14ac:dyDescent="0.55000000000000004">
      <c r="W5505"/>
    </row>
    <row r="5506" spans="23:23" x14ac:dyDescent="0.55000000000000004">
      <c r="W5506"/>
    </row>
    <row r="5507" spans="23:23" x14ac:dyDescent="0.55000000000000004">
      <c r="W5507"/>
    </row>
    <row r="5508" spans="23:23" x14ac:dyDescent="0.55000000000000004">
      <c r="W5508"/>
    </row>
    <row r="5509" spans="23:23" x14ac:dyDescent="0.55000000000000004">
      <c r="W5509"/>
    </row>
    <row r="5510" spans="23:23" x14ac:dyDescent="0.55000000000000004">
      <c r="W5510"/>
    </row>
    <row r="5511" spans="23:23" x14ac:dyDescent="0.55000000000000004">
      <c r="W5511"/>
    </row>
    <row r="5512" spans="23:23" x14ac:dyDescent="0.55000000000000004">
      <c r="W5512"/>
    </row>
    <row r="5513" spans="23:23" x14ac:dyDescent="0.55000000000000004">
      <c r="W5513"/>
    </row>
    <row r="5514" spans="23:23" x14ac:dyDescent="0.55000000000000004">
      <c r="W5514"/>
    </row>
    <row r="5515" spans="23:23" x14ac:dyDescent="0.55000000000000004">
      <c r="W5515"/>
    </row>
    <row r="5516" spans="23:23" x14ac:dyDescent="0.55000000000000004">
      <c r="W5516"/>
    </row>
    <row r="5517" spans="23:23" x14ac:dyDescent="0.55000000000000004">
      <c r="W5517"/>
    </row>
    <row r="5518" spans="23:23" x14ac:dyDescent="0.55000000000000004">
      <c r="W5518"/>
    </row>
    <row r="5519" spans="23:23" x14ac:dyDescent="0.55000000000000004">
      <c r="W5519"/>
    </row>
    <row r="5520" spans="23:23" x14ac:dyDescent="0.55000000000000004">
      <c r="W5520"/>
    </row>
    <row r="5521" spans="23:23" x14ac:dyDescent="0.55000000000000004">
      <c r="W5521"/>
    </row>
    <row r="5522" spans="23:23" x14ac:dyDescent="0.55000000000000004">
      <c r="W5522"/>
    </row>
    <row r="5523" spans="23:23" x14ac:dyDescent="0.55000000000000004">
      <c r="W5523"/>
    </row>
    <row r="5524" spans="23:23" x14ac:dyDescent="0.55000000000000004">
      <c r="W5524"/>
    </row>
    <row r="5525" spans="23:23" x14ac:dyDescent="0.55000000000000004">
      <c r="W5525"/>
    </row>
    <row r="5526" spans="23:23" x14ac:dyDescent="0.55000000000000004">
      <c r="W5526"/>
    </row>
    <row r="5527" spans="23:23" x14ac:dyDescent="0.55000000000000004">
      <c r="W5527"/>
    </row>
    <row r="5528" spans="23:23" x14ac:dyDescent="0.55000000000000004">
      <c r="W5528"/>
    </row>
    <row r="5529" spans="23:23" x14ac:dyDescent="0.55000000000000004">
      <c r="W5529"/>
    </row>
    <row r="5530" spans="23:23" x14ac:dyDescent="0.55000000000000004">
      <c r="W5530"/>
    </row>
    <row r="5531" spans="23:23" x14ac:dyDescent="0.55000000000000004">
      <c r="W5531"/>
    </row>
    <row r="5532" spans="23:23" x14ac:dyDescent="0.55000000000000004">
      <c r="W5532"/>
    </row>
    <row r="5533" spans="23:23" x14ac:dyDescent="0.55000000000000004">
      <c r="W5533"/>
    </row>
    <row r="5534" spans="23:23" x14ac:dyDescent="0.55000000000000004">
      <c r="W5534"/>
    </row>
    <row r="5535" spans="23:23" x14ac:dyDescent="0.55000000000000004">
      <c r="W5535"/>
    </row>
    <row r="5536" spans="23:23" x14ac:dyDescent="0.55000000000000004">
      <c r="W5536"/>
    </row>
    <row r="5537" spans="23:23" x14ac:dyDescent="0.55000000000000004">
      <c r="W5537"/>
    </row>
    <row r="5538" spans="23:23" x14ac:dyDescent="0.55000000000000004">
      <c r="W5538"/>
    </row>
    <row r="5539" spans="23:23" x14ac:dyDescent="0.55000000000000004">
      <c r="W5539"/>
    </row>
    <row r="5540" spans="23:23" x14ac:dyDescent="0.55000000000000004">
      <c r="W5540"/>
    </row>
    <row r="5541" spans="23:23" x14ac:dyDescent="0.55000000000000004">
      <c r="W5541"/>
    </row>
    <row r="5542" spans="23:23" x14ac:dyDescent="0.55000000000000004">
      <c r="W5542"/>
    </row>
    <row r="5543" spans="23:23" x14ac:dyDescent="0.55000000000000004">
      <c r="W5543"/>
    </row>
    <row r="5544" spans="23:23" x14ac:dyDescent="0.55000000000000004">
      <c r="W5544"/>
    </row>
    <row r="5545" spans="23:23" x14ac:dyDescent="0.55000000000000004">
      <c r="W5545"/>
    </row>
    <row r="5546" spans="23:23" x14ac:dyDescent="0.55000000000000004">
      <c r="W5546"/>
    </row>
    <row r="5547" spans="23:23" x14ac:dyDescent="0.55000000000000004">
      <c r="W5547"/>
    </row>
    <row r="5548" spans="23:23" x14ac:dyDescent="0.55000000000000004">
      <c r="W5548"/>
    </row>
    <row r="5549" spans="23:23" x14ac:dyDescent="0.55000000000000004">
      <c r="W5549"/>
    </row>
    <row r="5550" spans="23:23" x14ac:dyDescent="0.55000000000000004">
      <c r="W5550"/>
    </row>
    <row r="5551" spans="23:23" x14ac:dyDescent="0.55000000000000004">
      <c r="W5551"/>
    </row>
    <row r="5552" spans="23:23" x14ac:dyDescent="0.55000000000000004">
      <c r="W5552"/>
    </row>
    <row r="5553" spans="23:23" x14ac:dyDescent="0.55000000000000004">
      <c r="W5553"/>
    </row>
    <row r="5554" spans="23:23" x14ac:dyDescent="0.55000000000000004">
      <c r="W5554"/>
    </row>
    <row r="5555" spans="23:23" x14ac:dyDescent="0.55000000000000004">
      <c r="W5555"/>
    </row>
    <row r="5556" spans="23:23" x14ac:dyDescent="0.55000000000000004">
      <c r="W5556"/>
    </row>
    <row r="5557" spans="23:23" x14ac:dyDescent="0.55000000000000004">
      <c r="W5557"/>
    </row>
    <row r="5558" spans="23:23" x14ac:dyDescent="0.55000000000000004">
      <c r="W5558"/>
    </row>
    <row r="5559" spans="23:23" x14ac:dyDescent="0.55000000000000004">
      <c r="W5559"/>
    </row>
    <row r="5560" spans="23:23" x14ac:dyDescent="0.55000000000000004">
      <c r="W5560"/>
    </row>
    <row r="5561" spans="23:23" x14ac:dyDescent="0.55000000000000004">
      <c r="W5561"/>
    </row>
    <row r="5562" spans="23:23" x14ac:dyDescent="0.55000000000000004">
      <c r="W5562"/>
    </row>
    <row r="5563" spans="23:23" x14ac:dyDescent="0.55000000000000004">
      <c r="W5563"/>
    </row>
    <row r="5564" spans="23:23" x14ac:dyDescent="0.55000000000000004">
      <c r="W5564"/>
    </row>
    <row r="5565" spans="23:23" x14ac:dyDescent="0.55000000000000004">
      <c r="W5565"/>
    </row>
    <row r="5566" spans="23:23" x14ac:dyDescent="0.55000000000000004">
      <c r="W5566"/>
    </row>
    <row r="5567" spans="23:23" x14ac:dyDescent="0.55000000000000004">
      <c r="W5567"/>
    </row>
    <row r="5568" spans="23:23" x14ac:dyDescent="0.55000000000000004">
      <c r="W5568"/>
    </row>
    <row r="5569" spans="23:23" x14ac:dyDescent="0.55000000000000004">
      <c r="W5569"/>
    </row>
    <row r="5570" spans="23:23" x14ac:dyDescent="0.55000000000000004">
      <c r="W5570"/>
    </row>
    <row r="5571" spans="23:23" x14ac:dyDescent="0.55000000000000004">
      <c r="W5571"/>
    </row>
    <row r="5572" spans="23:23" x14ac:dyDescent="0.55000000000000004">
      <c r="W5572"/>
    </row>
    <row r="5573" spans="23:23" x14ac:dyDescent="0.55000000000000004">
      <c r="W5573"/>
    </row>
    <row r="5574" spans="23:23" x14ac:dyDescent="0.55000000000000004">
      <c r="W5574"/>
    </row>
    <row r="5575" spans="23:23" x14ac:dyDescent="0.55000000000000004">
      <c r="W5575"/>
    </row>
    <row r="5576" spans="23:23" x14ac:dyDescent="0.55000000000000004">
      <c r="W5576"/>
    </row>
    <row r="5577" spans="23:23" x14ac:dyDescent="0.55000000000000004">
      <c r="W5577"/>
    </row>
    <row r="5578" spans="23:23" x14ac:dyDescent="0.55000000000000004">
      <c r="W5578"/>
    </row>
    <row r="5579" spans="23:23" x14ac:dyDescent="0.55000000000000004">
      <c r="W5579"/>
    </row>
    <row r="5580" spans="23:23" x14ac:dyDescent="0.55000000000000004">
      <c r="W5580"/>
    </row>
    <row r="5581" spans="23:23" x14ac:dyDescent="0.55000000000000004">
      <c r="W5581"/>
    </row>
    <row r="5582" spans="23:23" x14ac:dyDescent="0.55000000000000004">
      <c r="W5582"/>
    </row>
    <row r="5583" spans="23:23" x14ac:dyDescent="0.55000000000000004">
      <c r="W5583"/>
    </row>
    <row r="5584" spans="23:23" x14ac:dyDescent="0.55000000000000004">
      <c r="W5584"/>
    </row>
    <row r="5585" spans="23:23" x14ac:dyDescent="0.55000000000000004">
      <c r="W5585"/>
    </row>
    <row r="5586" spans="23:23" x14ac:dyDescent="0.55000000000000004">
      <c r="W5586"/>
    </row>
    <row r="5587" spans="23:23" x14ac:dyDescent="0.55000000000000004">
      <c r="W5587"/>
    </row>
    <row r="5588" spans="23:23" x14ac:dyDescent="0.55000000000000004">
      <c r="W5588"/>
    </row>
    <row r="5589" spans="23:23" x14ac:dyDescent="0.55000000000000004">
      <c r="W5589"/>
    </row>
    <row r="5590" spans="23:23" x14ac:dyDescent="0.55000000000000004">
      <c r="W5590"/>
    </row>
    <row r="5591" spans="23:23" x14ac:dyDescent="0.55000000000000004">
      <c r="W5591"/>
    </row>
    <row r="5592" spans="23:23" x14ac:dyDescent="0.55000000000000004">
      <c r="W5592"/>
    </row>
    <row r="5593" spans="23:23" x14ac:dyDescent="0.55000000000000004">
      <c r="W5593"/>
    </row>
    <row r="5594" spans="23:23" x14ac:dyDescent="0.55000000000000004">
      <c r="W5594"/>
    </row>
    <row r="5595" spans="23:23" x14ac:dyDescent="0.55000000000000004">
      <c r="W5595"/>
    </row>
    <row r="5596" spans="23:23" x14ac:dyDescent="0.55000000000000004">
      <c r="W5596"/>
    </row>
    <row r="5597" spans="23:23" x14ac:dyDescent="0.55000000000000004">
      <c r="W5597"/>
    </row>
    <row r="5598" spans="23:23" x14ac:dyDescent="0.55000000000000004">
      <c r="W5598"/>
    </row>
    <row r="5599" spans="23:23" x14ac:dyDescent="0.55000000000000004">
      <c r="W5599"/>
    </row>
    <row r="5600" spans="23:23" x14ac:dyDescent="0.55000000000000004">
      <c r="W5600"/>
    </row>
    <row r="5601" spans="23:23" x14ac:dyDescent="0.55000000000000004">
      <c r="W5601"/>
    </row>
    <row r="5602" spans="23:23" x14ac:dyDescent="0.55000000000000004">
      <c r="W5602"/>
    </row>
    <row r="5603" spans="23:23" x14ac:dyDescent="0.55000000000000004">
      <c r="W5603"/>
    </row>
    <row r="5604" spans="23:23" x14ac:dyDescent="0.55000000000000004">
      <c r="W5604"/>
    </row>
    <row r="5605" spans="23:23" x14ac:dyDescent="0.55000000000000004">
      <c r="W5605"/>
    </row>
    <row r="5606" spans="23:23" x14ac:dyDescent="0.55000000000000004">
      <c r="W5606"/>
    </row>
    <row r="5607" spans="23:23" x14ac:dyDescent="0.55000000000000004">
      <c r="W5607"/>
    </row>
    <row r="5608" spans="23:23" x14ac:dyDescent="0.55000000000000004">
      <c r="W5608"/>
    </row>
    <row r="5609" spans="23:23" x14ac:dyDescent="0.55000000000000004">
      <c r="W5609"/>
    </row>
    <row r="5610" spans="23:23" x14ac:dyDescent="0.55000000000000004">
      <c r="W5610"/>
    </row>
    <row r="5611" spans="23:23" x14ac:dyDescent="0.55000000000000004">
      <c r="W5611"/>
    </row>
    <row r="5612" spans="23:23" x14ac:dyDescent="0.55000000000000004">
      <c r="W5612"/>
    </row>
    <row r="5613" spans="23:23" x14ac:dyDescent="0.55000000000000004">
      <c r="W5613"/>
    </row>
    <row r="5614" spans="23:23" x14ac:dyDescent="0.55000000000000004">
      <c r="W5614"/>
    </row>
    <row r="5615" spans="23:23" x14ac:dyDescent="0.55000000000000004">
      <c r="W5615"/>
    </row>
    <row r="5616" spans="23:23" x14ac:dyDescent="0.55000000000000004">
      <c r="W5616"/>
    </row>
    <row r="5617" spans="23:23" x14ac:dyDescent="0.55000000000000004">
      <c r="W5617"/>
    </row>
    <row r="5618" spans="23:23" x14ac:dyDescent="0.55000000000000004">
      <c r="W5618"/>
    </row>
    <row r="5619" spans="23:23" x14ac:dyDescent="0.55000000000000004">
      <c r="W5619"/>
    </row>
    <row r="5620" spans="23:23" x14ac:dyDescent="0.55000000000000004">
      <c r="W5620"/>
    </row>
    <row r="5621" spans="23:23" x14ac:dyDescent="0.55000000000000004">
      <c r="W5621"/>
    </row>
    <row r="5622" spans="23:23" x14ac:dyDescent="0.55000000000000004">
      <c r="W5622"/>
    </row>
    <row r="5623" spans="23:23" x14ac:dyDescent="0.55000000000000004">
      <c r="W5623"/>
    </row>
    <row r="5624" spans="23:23" x14ac:dyDescent="0.55000000000000004">
      <c r="W5624"/>
    </row>
    <row r="5625" spans="23:23" x14ac:dyDescent="0.55000000000000004">
      <c r="W5625"/>
    </row>
    <row r="5626" spans="23:23" x14ac:dyDescent="0.55000000000000004">
      <c r="W5626"/>
    </row>
    <row r="5627" spans="23:23" x14ac:dyDescent="0.55000000000000004">
      <c r="W5627"/>
    </row>
    <row r="5628" spans="23:23" x14ac:dyDescent="0.55000000000000004">
      <c r="W5628"/>
    </row>
    <row r="5629" spans="23:23" x14ac:dyDescent="0.55000000000000004">
      <c r="W5629"/>
    </row>
    <row r="5630" spans="23:23" x14ac:dyDescent="0.55000000000000004">
      <c r="W5630"/>
    </row>
    <row r="5631" spans="23:23" x14ac:dyDescent="0.55000000000000004">
      <c r="W5631"/>
    </row>
    <row r="5632" spans="23:23" x14ac:dyDescent="0.55000000000000004">
      <c r="W5632"/>
    </row>
    <row r="5633" spans="23:23" x14ac:dyDescent="0.55000000000000004">
      <c r="W5633"/>
    </row>
    <row r="5634" spans="23:23" x14ac:dyDescent="0.55000000000000004">
      <c r="W5634"/>
    </row>
    <row r="5635" spans="23:23" x14ac:dyDescent="0.55000000000000004">
      <c r="W5635"/>
    </row>
    <row r="5636" spans="23:23" x14ac:dyDescent="0.55000000000000004">
      <c r="W5636"/>
    </row>
    <row r="5637" spans="23:23" x14ac:dyDescent="0.55000000000000004">
      <c r="W5637"/>
    </row>
    <row r="5638" spans="23:23" x14ac:dyDescent="0.55000000000000004">
      <c r="W5638"/>
    </row>
    <row r="5639" spans="23:23" x14ac:dyDescent="0.55000000000000004">
      <c r="W5639"/>
    </row>
    <row r="5640" spans="23:23" x14ac:dyDescent="0.55000000000000004">
      <c r="W5640"/>
    </row>
    <row r="5641" spans="23:23" x14ac:dyDescent="0.55000000000000004">
      <c r="W5641"/>
    </row>
    <row r="5642" spans="23:23" x14ac:dyDescent="0.55000000000000004">
      <c r="W5642"/>
    </row>
    <row r="5643" spans="23:23" x14ac:dyDescent="0.55000000000000004">
      <c r="W5643"/>
    </row>
    <row r="5644" spans="23:23" x14ac:dyDescent="0.55000000000000004">
      <c r="W5644"/>
    </row>
    <row r="5645" spans="23:23" x14ac:dyDescent="0.55000000000000004">
      <c r="W5645"/>
    </row>
    <row r="5646" spans="23:23" x14ac:dyDescent="0.55000000000000004">
      <c r="W5646"/>
    </row>
    <row r="5647" spans="23:23" x14ac:dyDescent="0.55000000000000004">
      <c r="W5647"/>
    </row>
    <row r="5648" spans="23:23" x14ac:dyDescent="0.55000000000000004">
      <c r="W5648"/>
    </row>
    <row r="5649" spans="23:23" x14ac:dyDescent="0.55000000000000004">
      <c r="W5649"/>
    </row>
    <row r="5650" spans="23:23" x14ac:dyDescent="0.55000000000000004">
      <c r="W5650"/>
    </row>
    <row r="5651" spans="23:23" x14ac:dyDescent="0.55000000000000004">
      <c r="W5651"/>
    </row>
    <row r="5652" spans="23:23" x14ac:dyDescent="0.55000000000000004">
      <c r="W5652"/>
    </row>
    <row r="5653" spans="23:23" x14ac:dyDescent="0.55000000000000004">
      <c r="W5653"/>
    </row>
    <row r="5654" spans="23:23" x14ac:dyDescent="0.55000000000000004">
      <c r="W5654"/>
    </row>
    <row r="5655" spans="23:23" x14ac:dyDescent="0.55000000000000004">
      <c r="W5655"/>
    </row>
    <row r="5656" spans="23:23" x14ac:dyDescent="0.55000000000000004">
      <c r="W5656"/>
    </row>
    <row r="5657" spans="23:23" x14ac:dyDescent="0.55000000000000004">
      <c r="W5657"/>
    </row>
    <row r="5658" spans="23:23" x14ac:dyDescent="0.55000000000000004">
      <c r="W5658"/>
    </row>
    <row r="5659" spans="23:23" x14ac:dyDescent="0.55000000000000004">
      <c r="W5659"/>
    </row>
    <row r="5660" spans="23:23" x14ac:dyDescent="0.55000000000000004">
      <c r="W5660"/>
    </row>
    <row r="5661" spans="23:23" x14ac:dyDescent="0.55000000000000004">
      <c r="W5661"/>
    </row>
    <row r="5662" spans="23:23" x14ac:dyDescent="0.55000000000000004">
      <c r="W5662"/>
    </row>
    <row r="5663" spans="23:23" x14ac:dyDescent="0.55000000000000004">
      <c r="W5663"/>
    </row>
    <row r="5664" spans="23:23" x14ac:dyDescent="0.55000000000000004">
      <c r="W5664"/>
    </row>
    <row r="5665" spans="23:23" x14ac:dyDescent="0.55000000000000004">
      <c r="W5665"/>
    </row>
    <row r="5666" spans="23:23" x14ac:dyDescent="0.55000000000000004">
      <c r="W5666"/>
    </row>
    <row r="5667" spans="23:23" x14ac:dyDescent="0.55000000000000004">
      <c r="W5667"/>
    </row>
    <row r="5668" spans="23:23" x14ac:dyDescent="0.55000000000000004">
      <c r="W5668"/>
    </row>
    <row r="5669" spans="23:23" x14ac:dyDescent="0.55000000000000004">
      <c r="W5669"/>
    </row>
    <row r="5670" spans="23:23" x14ac:dyDescent="0.55000000000000004">
      <c r="W5670"/>
    </row>
    <row r="5671" spans="23:23" x14ac:dyDescent="0.55000000000000004">
      <c r="W5671"/>
    </row>
    <row r="5672" spans="23:23" x14ac:dyDescent="0.55000000000000004">
      <c r="W5672"/>
    </row>
    <row r="5673" spans="23:23" x14ac:dyDescent="0.55000000000000004">
      <c r="W5673"/>
    </row>
    <row r="5674" spans="23:23" x14ac:dyDescent="0.55000000000000004">
      <c r="W5674"/>
    </row>
    <row r="5675" spans="23:23" x14ac:dyDescent="0.55000000000000004">
      <c r="W5675"/>
    </row>
    <row r="5676" spans="23:23" x14ac:dyDescent="0.55000000000000004">
      <c r="W5676"/>
    </row>
    <row r="5677" spans="23:23" x14ac:dyDescent="0.55000000000000004">
      <c r="W5677"/>
    </row>
    <row r="5678" spans="23:23" x14ac:dyDescent="0.55000000000000004">
      <c r="W5678"/>
    </row>
    <row r="5679" spans="23:23" x14ac:dyDescent="0.55000000000000004">
      <c r="W5679"/>
    </row>
    <row r="5680" spans="23:23" x14ac:dyDescent="0.55000000000000004">
      <c r="W5680"/>
    </row>
    <row r="5681" spans="23:23" x14ac:dyDescent="0.55000000000000004">
      <c r="W5681"/>
    </row>
    <row r="5682" spans="23:23" x14ac:dyDescent="0.55000000000000004">
      <c r="W5682"/>
    </row>
    <row r="5683" spans="23:23" x14ac:dyDescent="0.55000000000000004">
      <c r="W5683"/>
    </row>
    <row r="5684" spans="23:23" x14ac:dyDescent="0.55000000000000004">
      <c r="W5684"/>
    </row>
    <row r="5685" spans="23:23" x14ac:dyDescent="0.55000000000000004">
      <c r="W5685"/>
    </row>
    <row r="5686" spans="23:23" x14ac:dyDescent="0.55000000000000004">
      <c r="W5686"/>
    </row>
    <row r="5687" spans="23:23" x14ac:dyDescent="0.55000000000000004">
      <c r="W5687"/>
    </row>
    <row r="5688" spans="23:23" x14ac:dyDescent="0.55000000000000004">
      <c r="W5688"/>
    </row>
    <row r="5689" spans="23:23" x14ac:dyDescent="0.55000000000000004">
      <c r="W5689"/>
    </row>
    <row r="5690" spans="23:23" x14ac:dyDescent="0.55000000000000004">
      <c r="W5690"/>
    </row>
    <row r="5691" spans="23:23" x14ac:dyDescent="0.55000000000000004">
      <c r="W5691"/>
    </row>
    <row r="5692" spans="23:23" x14ac:dyDescent="0.55000000000000004">
      <c r="W5692"/>
    </row>
    <row r="5693" spans="23:23" x14ac:dyDescent="0.55000000000000004">
      <c r="W5693"/>
    </row>
    <row r="5694" spans="23:23" x14ac:dyDescent="0.55000000000000004">
      <c r="W5694"/>
    </row>
    <row r="5695" spans="23:23" x14ac:dyDescent="0.55000000000000004">
      <c r="W5695"/>
    </row>
    <row r="5696" spans="23:23" x14ac:dyDescent="0.55000000000000004">
      <c r="W5696"/>
    </row>
    <row r="5697" spans="23:23" x14ac:dyDescent="0.55000000000000004">
      <c r="W5697"/>
    </row>
    <row r="5698" spans="23:23" x14ac:dyDescent="0.55000000000000004">
      <c r="W5698"/>
    </row>
    <row r="5699" spans="23:23" x14ac:dyDescent="0.55000000000000004">
      <c r="W5699"/>
    </row>
    <row r="5700" spans="23:23" x14ac:dyDescent="0.55000000000000004">
      <c r="W5700"/>
    </row>
    <row r="5701" spans="23:23" x14ac:dyDescent="0.55000000000000004">
      <c r="W5701"/>
    </row>
    <row r="5702" spans="23:23" x14ac:dyDescent="0.55000000000000004">
      <c r="W5702"/>
    </row>
    <row r="5703" spans="23:23" x14ac:dyDescent="0.55000000000000004">
      <c r="W5703"/>
    </row>
    <row r="5704" spans="23:23" x14ac:dyDescent="0.55000000000000004">
      <c r="W5704"/>
    </row>
    <row r="5705" spans="23:23" x14ac:dyDescent="0.55000000000000004">
      <c r="W5705"/>
    </row>
    <row r="5706" spans="23:23" x14ac:dyDescent="0.55000000000000004">
      <c r="W5706"/>
    </row>
    <row r="5707" spans="23:23" x14ac:dyDescent="0.55000000000000004">
      <c r="W5707"/>
    </row>
    <row r="5708" spans="23:23" x14ac:dyDescent="0.55000000000000004">
      <c r="W5708"/>
    </row>
    <row r="5709" spans="23:23" x14ac:dyDescent="0.55000000000000004">
      <c r="W5709"/>
    </row>
    <row r="5710" spans="23:23" x14ac:dyDescent="0.55000000000000004">
      <c r="W5710"/>
    </row>
    <row r="5711" spans="23:23" x14ac:dyDescent="0.55000000000000004">
      <c r="W5711"/>
    </row>
    <row r="5712" spans="23:23" x14ac:dyDescent="0.55000000000000004">
      <c r="W5712"/>
    </row>
    <row r="5713" spans="23:23" x14ac:dyDescent="0.55000000000000004">
      <c r="W5713"/>
    </row>
    <row r="5714" spans="23:23" x14ac:dyDescent="0.55000000000000004">
      <c r="W5714"/>
    </row>
    <row r="5715" spans="23:23" x14ac:dyDescent="0.55000000000000004">
      <c r="W5715"/>
    </row>
    <row r="5716" spans="23:23" x14ac:dyDescent="0.55000000000000004">
      <c r="W5716"/>
    </row>
    <row r="5717" spans="23:23" x14ac:dyDescent="0.55000000000000004">
      <c r="W5717"/>
    </row>
    <row r="5718" spans="23:23" x14ac:dyDescent="0.55000000000000004">
      <c r="W5718"/>
    </row>
    <row r="5719" spans="23:23" x14ac:dyDescent="0.55000000000000004">
      <c r="W5719"/>
    </row>
    <row r="5720" spans="23:23" x14ac:dyDescent="0.55000000000000004">
      <c r="W5720"/>
    </row>
    <row r="5721" spans="23:23" x14ac:dyDescent="0.55000000000000004">
      <c r="W5721"/>
    </row>
    <row r="5722" spans="23:23" x14ac:dyDescent="0.55000000000000004">
      <c r="W5722"/>
    </row>
    <row r="5723" spans="23:23" x14ac:dyDescent="0.55000000000000004">
      <c r="W5723"/>
    </row>
    <row r="5724" spans="23:23" x14ac:dyDescent="0.55000000000000004">
      <c r="W5724"/>
    </row>
    <row r="5725" spans="23:23" x14ac:dyDescent="0.55000000000000004">
      <c r="W5725"/>
    </row>
    <row r="5726" spans="23:23" x14ac:dyDescent="0.55000000000000004">
      <c r="W5726"/>
    </row>
    <row r="5727" spans="23:23" x14ac:dyDescent="0.55000000000000004">
      <c r="W5727"/>
    </row>
    <row r="5728" spans="23:23" x14ac:dyDescent="0.55000000000000004">
      <c r="W5728"/>
    </row>
    <row r="5729" spans="23:23" x14ac:dyDescent="0.55000000000000004">
      <c r="W5729"/>
    </row>
    <row r="5730" spans="23:23" x14ac:dyDescent="0.55000000000000004">
      <c r="W5730"/>
    </row>
    <row r="5731" spans="23:23" x14ac:dyDescent="0.55000000000000004">
      <c r="W5731"/>
    </row>
    <row r="5732" spans="23:23" x14ac:dyDescent="0.55000000000000004">
      <c r="W5732"/>
    </row>
    <row r="5733" spans="23:23" x14ac:dyDescent="0.55000000000000004">
      <c r="W5733"/>
    </row>
    <row r="5734" spans="23:23" x14ac:dyDescent="0.55000000000000004">
      <c r="W5734"/>
    </row>
    <row r="5735" spans="23:23" x14ac:dyDescent="0.55000000000000004">
      <c r="W5735"/>
    </row>
    <row r="5736" spans="23:23" x14ac:dyDescent="0.55000000000000004">
      <c r="W5736"/>
    </row>
    <row r="5737" spans="23:23" x14ac:dyDescent="0.55000000000000004">
      <c r="W5737"/>
    </row>
    <row r="5738" spans="23:23" x14ac:dyDescent="0.55000000000000004">
      <c r="W5738"/>
    </row>
    <row r="5739" spans="23:23" x14ac:dyDescent="0.55000000000000004">
      <c r="W5739"/>
    </row>
    <row r="5740" spans="23:23" x14ac:dyDescent="0.55000000000000004">
      <c r="W5740"/>
    </row>
    <row r="5741" spans="23:23" x14ac:dyDescent="0.55000000000000004">
      <c r="W5741"/>
    </row>
    <row r="5742" spans="23:23" x14ac:dyDescent="0.55000000000000004">
      <c r="W5742"/>
    </row>
    <row r="5743" spans="23:23" x14ac:dyDescent="0.55000000000000004">
      <c r="W5743"/>
    </row>
    <row r="5744" spans="23:23" x14ac:dyDescent="0.55000000000000004">
      <c r="W5744"/>
    </row>
    <row r="5745" spans="23:23" x14ac:dyDescent="0.55000000000000004">
      <c r="W5745"/>
    </row>
    <row r="5746" spans="23:23" x14ac:dyDescent="0.55000000000000004">
      <c r="W5746"/>
    </row>
    <row r="5747" spans="23:23" x14ac:dyDescent="0.55000000000000004">
      <c r="W5747"/>
    </row>
    <row r="5748" spans="23:23" x14ac:dyDescent="0.55000000000000004">
      <c r="W5748"/>
    </row>
    <row r="5749" spans="23:23" x14ac:dyDescent="0.55000000000000004">
      <c r="W5749"/>
    </row>
    <row r="5750" spans="23:23" x14ac:dyDescent="0.55000000000000004">
      <c r="W5750"/>
    </row>
    <row r="5751" spans="23:23" x14ac:dyDescent="0.55000000000000004">
      <c r="W5751"/>
    </row>
    <row r="5752" spans="23:23" x14ac:dyDescent="0.55000000000000004">
      <c r="W5752"/>
    </row>
    <row r="5753" spans="23:23" x14ac:dyDescent="0.55000000000000004">
      <c r="W5753"/>
    </row>
    <row r="5754" spans="23:23" x14ac:dyDescent="0.55000000000000004">
      <c r="W5754"/>
    </row>
    <row r="5755" spans="23:23" x14ac:dyDescent="0.55000000000000004">
      <c r="W5755"/>
    </row>
    <row r="5756" spans="23:23" x14ac:dyDescent="0.55000000000000004">
      <c r="W5756"/>
    </row>
    <row r="5757" spans="23:23" x14ac:dyDescent="0.55000000000000004">
      <c r="W5757"/>
    </row>
    <row r="5758" spans="23:23" x14ac:dyDescent="0.55000000000000004">
      <c r="W5758"/>
    </row>
    <row r="5759" spans="23:23" x14ac:dyDescent="0.55000000000000004">
      <c r="W5759"/>
    </row>
    <row r="5760" spans="23:23" x14ac:dyDescent="0.55000000000000004">
      <c r="W5760"/>
    </row>
    <row r="5761" spans="23:23" x14ac:dyDescent="0.55000000000000004">
      <c r="W5761"/>
    </row>
    <row r="5762" spans="23:23" x14ac:dyDescent="0.55000000000000004">
      <c r="W5762"/>
    </row>
    <row r="5763" spans="23:23" x14ac:dyDescent="0.55000000000000004">
      <c r="W5763"/>
    </row>
    <row r="5764" spans="23:23" x14ac:dyDescent="0.55000000000000004">
      <c r="W5764"/>
    </row>
    <row r="5765" spans="23:23" x14ac:dyDescent="0.55000000000000004">
      <c r="W5765"/>
    </row>
    <row r="5766" spans="23:23" x14ac:dyDescent="0.55000000000000004">
      <c r="W5766"/>
    </row>
    <row r="5767" spans="23:23" x14ac:dyDescent="0.55000000000000004">
      <c r="W5767"/>
    </row>
    <row r="5768" spans="23:23" x14ac:dyDescent="0.55000000000000004">
      <c r="W5768"/>
    </row>
    <row r="5769" spans="23:23" x14ac:dyDescent="0.55000000000000004">
      <c r="W5769"/>
    </row>
    <row r="5770" spans="23:23" x14ac:dyDescent="0.55000000000000004">
      <c r="W5770"/>
    </row>
    <row r="5771" spans="23:23" x14ac:dyDescent="0.55000000000000004">
      <c r="W5771"/>
    </row>
    <row r="5772" spans="23:23" x14ac:dyDescent="0.55000000000000004">
      <c r="W5772"/>
    </row>
    <row r="5773" spans="23:23" x14ac:dyDescent="0.55000000000000004">
      <c r="W5773"/>
    </row>
    <row r="5774" spans="23:23" x14ac:dyDescent="0.55000000000000004">
      <c r="W5774"/>
    </row>
    <row r="5775" spans="23:23" x14ac:dyDescent="0.55000000000000004">
      <c r="W5775"/>
    </row>
    <row r="5776" spans="23:23" x14ac:dyDescent="0.55000000000000004">
      <c r="W5776"/>
    </row>
    <row r="5777" spans="23:23" x14ac:dyDescent="0.55000000000000004">
      <c r="W5777"/>
    </row>
    <row r="5778" spans="23:23" x14ac:dyDescent="0.55000000000000004">
      <c r="W5778"/>
    </row>
    <row r="5779" spans="23:23" x14ac:dyDescent="0.55000000000000004">
      <c r="W5779"/>
    </row>
    <row r="5780" spans="23:23" x14ac:dyDescent="0.55000000000000004">
      <c r="W5780"/>
    </row>
    <row r="5781" spans="23:23" x14ac:dyDescent="0.55000000000000004">
      <c r="W5781"/>
    </row>
    <row r="5782" spans="23:23" x14ac:dyDescent="0.55000000000000004">
      <c r="W5782"/>
    </row>
    <row r="5783" spans="23:23" x14ac:dyDescent="0.55000000000000004">
      <c r="W5783"/>
    </row>
    <row r="5784" spans="23:23" x14ac:dyDescent="0.55000000000000004">
      <c r="W5784"/>
    </row>
    <row r="5785" spans="23:23" x14ac:dyDescent="0.55000000000000004">
      <c r="W5785"/>
    </row>
    <row r="5786" spans="23:23" x14ac:dyDescent="0.55000000000000004">
      <c r="W5786"/>
    </row>
    <row r="5787" spans="23:23" x14ac:dyDescent="0.55000000000000004">
      <c r="W5787"/>
    </row>
    <row r="5788" spans="23:23" x14ac:dyDescent="0.55000000000000004">
      <c r="W5788"/>
    </row>
    <row r="5789" spans="23:23" x14ac:dyDescent="0.55000000000000004">
      <c r="W5789"/>
    </row>
    <row r="5790" spans="23:23" x14ac:dyDescent="0.55000000000000004">
      <c r="W5790"/>
    </row>
    <row r="5791" spans="23:23" x14ac:dyDescent="0.55000000000000004">
      <c r="W5791"/>
    </row>
    <row r="5792" spans="23:23" x14ac:dyDescent="0.55000000000000004">
      <c r="W5792"/>
    </row>
    <row r="5793" spans="23:23" x14ac:dyDescent="0.55000000000000004">
      <c r="W5793"/>
    </row>
    <row r="5794" spans="23:23" x14ac:dyDescent="0.55000000000000004">
      <c r="W5794"/>
    </row>
    <row r="5795" spans="23:23" x14ac:dyDescent="0.55000000000000004">
      <c r="W5795"/>
    </row>
    <row r="5796" spans="23:23" x14ac:dyDescent="0.55000000000000004">
      <c r="W5796"/>
    </row>
    <row r="5797" spans="23:23" x14ac:dyDescent="0.55000000000000004">
      <c r="W5797"/>
    </row>
    <row r="5798" spans="23:23" x14ac:dyDescent="0.55000000000000004">
      <c r="W5798"/>
    </row>
    <row r="5799" spans="23:23" x14ac:dyDescent="0.55000000000000004">
      <c r="W5799"/>
    </row>
    <row r="5800" spans="23:23" x14ac:dyDescent="0.55000000000000004">
      <c r="W5800"/>
    </row>
    <row r="5801" spans="23:23" x14ac:dyDescent="0.55000000000000004">
      <c r="W5801"/>
    </row>
    <row r="5802" spans="23:23" x14ac:dyDescent="0.55000000000000004">
      <c r="W5802"/>
    </row>
    <row r="5803" spans="23:23" x14ac:dyDescent="0.55000000000000004">
      <c r="W5803"/>
    </row>
    <row r="5804" spans="23:23" x14ac:dyDescent="0.55000000000000004">
      <c r="W5804"/>
    </row>
    <row r="5805" spans="23:23" x14ac:dyDescent="0.55000000000000004">
      <c r="W5805"/>
    </row>
    <row r="5806" spans="23:23" x14ac:dyDescent="0.55000000000000004">
      <c r="W5806"/>
    </row>
    <row r="5807" spans="23:23" x14ac:dyDescent="0.55000000000000004">
      <c r="W5807"/>
    </row>
    <row r="5808" spans="23:23" x14ac:dyDescent="0.55000000000000004">
      <c r="W5808"/>
    </row>
    <row r="5809" spans="23:23" x14ac:dyDescent="0.55000000000000004">
      <c r="W5809"/>
    </row>
    <row r="5810" spans="23:23" x14ac:dyDescent="0.55000000000000004">
      <c r="W5810"/>
    </row>
    <row r="5811" spans="23:23" x14ac:dyDescent="0.55000000000000004">
      <c r="W5811"/>
    </row>
    <row r="5812" spans="23:23" x14ac:dyDescent="0.55000000000000004">
      <c r="W5812"/>
    </row>
    <row r="5813" spans="23:23" x14ac:dyDescent="0.55000000000000004">
      <c r="W5813"/>
    </row>
    <row r="5814" spans="23:23" x14ac:dyDescent="0.55000000000000004">
      <c r="W5814"/>
    </row>
    <row r="5815" spans="23:23" x14ac:dyDescent="0.55000000000000004">
      <c r="W5815"/>
    </row>
    <row r="5816" spans="23:23" x14ac:dyDescent="0.55000000000000004">
      <c r="W5816"/>
    </row>
    <row r="5817" spans="23:23" x14ac:dyDescent="0.55000000000000004">
      <c r="W5817"/>
    </row>
    <row r="5818" spans="23:23" x14ac:dyDescent="0.55000000000000004">
      <c r="W5818"/>
    </row>
    <row r="5819" spans="23:23" x14ac:dyDescent="0.55000000000000004">
      <c r="W5819"/>
    </row>
    <row r="5820" spans="23:23" x14ac:dyDescent="0.55000000000000004">
      <c r="W5820"/>
    </row>
    <row r="5821" spans="23:23" x14ac:dyDescent="0.55000000000000004">
      <c r="W5821"/>
    </row>
    <row r="5822" spans="23:23" x14ac:dyDescent="0.55000000000000004">
      <c r="W5822"/>
    </row>
    <row r="5823" spans="23:23" x14ac:dyDescent="0.55000000000000004">
      <c r="W5823"/>
    </row>
    <row r="5824" spans="23:23" x14ac:dyDescent="0.55000000000000004">
      <c r="W5824"/>
    </row>
    <row r="5825" spans="23:23" x14ac:dyDescent="0.55000000000000004">
      <c r="W5825"/>
    </row>
    <row r="5826" spans="23:23" x14ac:dyDescent="0.55000000000000004">
      <c r="W5826"/>
    </row>
    <row r="5827" spans="23:23" x14ac:dyDescent="0.55000000000000004">
      <c r="W5827"/>
    </row>
    <row r="5828" spans="23:23" x14ac:dyDescent="0.55000000000000004">
      <c r="W5828"/>
    </row>
    <row r="5829" spans="23:23" x14ac:dyDescent="0.55000000000000004">
      <c r="W5829"/>
    </row>
    <row r="5830" spans="23:23" x14ac:dyDescent="0.55000000000000004">
      <c r="W5830"/>
    </row>
    <row r="5831" spans="23:23" x14ac:dyDescent="0.55000000000000004">
      <c r="W5831"/>
    </row>
    <row r="5832" spans="23:23" x14ac:dyDescent="0.55000000000000004">
      <c r="W5832"/>
    </row>
    <row r="5833" spans="23:23" x14ac:dyDescent="0.55000000000000004">
      <c r="W5833"/>
    </row>
    <row r="5834" spans="23:23" x14ac:dyDescent="0.55000000000000004">
      <c r="W5834"/>
    </row>
    <row r="5835" spans="23:23" x14ac:dyDescent="0.55000000000000004">
      <c r="W5835"/>
    </row>
    <row r="5836" spans="23:23" x14ac:dyDescent="0.55000000000000004">
      <c r="W5836"/>
    </row>
    <row r="5837" spans="23:23" x14ac:dyDescent="0.55000000000000004">
      <c r="W5837"/>
    </row>
    <row r="5838" spans="23:23" x14ac:dyDescent="0.55000000000000004">
      <c r="W5838"/>
    </row>
    <row r="5839" spans="23:23" x14ac:dyDescent="0.55000000000000004">
      <c r="W5839"/>
    </row>
    <row r="5840" spans="23:23" x14ac:dyDescent="0.55000000000000004">
      <c r="W5840"/>
    </row>
    <row r="5841" spans="23:23" x14ac:dyDescent="0.55000000000000004">
      <c r="W5841"/>
    </row>
    <row r="5842" spans="23:23" x14ac:dyDescent="0.55000000000000004">
      <c r="W5842"/>
    </row>
    <row r="5843" spans="23:23" x14ac:dyDescent="0.55000000000000004">
      <c r="W5843"/>
    </row>
    <row r="5844" spans="23:23" x14ac:dyDescent="0.55000000000000004">
      <c r="W5844"/>
    </row>
    <row r="5845" spans="23:23" x14ac:dyDescent="0.55000000000000004">
      <c r="W5845"/>
    </row>
    <row r="5846" spans="23:23" x14ac:dyDescent="0.55000000000000004">
      <c r="W5846"/>
    </row>
    <row r="5847" spans="23:23" x14ac:dyDescent="0.55000000000000004">
      <c r="W5847"/>
    </row>
    <row r="5848" spans="23:23" x14ac:dyDescent="0.55000000000000004">
      <c r="W5848"/>
    </row>
    <row r="5849" spans="23:23" x14ac:dyDescent="0.55000000000000004">
      <c r="W5849"/>
    </row>
    <row r="5850" spans="23:23" x14ac:dyDescent="0.55000000000000004">
      <c r="W5850"/>
    </row>
    <row r="5851" spans="23:23" x14ac:dyDescent="0.55000000000000004">
      <c r="W5851"/>
    </row>
    <row r="5852" spans="23:23" x14ac:dyDescent="0.55000000000000004">
      <c r="W5852"/>
    </row>
    <row r="5853" spans="23:23" x14ac:dyDescent="0.55000000000000004">
      <c r="W5853"/>
    </row>
    <row r="5854" spans="23:23" x14ac:dyDescent="0.55000000000000004">
      <c r="W5854"/>
    </row>
    <row r="5855" spans="23:23" x14ac:dyDescent="0.55000000000000004">
      <c r="W5855"/>
    </row>
    <row r="5856" spans="23:23" x14ac:dyDescent="0.55000000000000004">
      <c r="W5856"/>
    </row>
    <row r="5857" spans="23:23" x14ac:dyDescent="0.55000000000000004">
      <c r="W5857"/>
    </row>
    <row r="5858" spans="23:23" x14ac:dyDescent="0.55000000000000004">
      <c r="W5858"/>
    </row>
    <row r="5859" spans="23:23" x14ac:dyDescent="0.55000000000000004">
      <c r="W5859"/>
    </row>
    <row r="5860" spans="23:23" x14ac:dyDescent="0.55000000000000004">
      <c r="W5860"/>
    </row>
    <row r="5861" spans="23:23" x14ac:dyDescent="0.55000000000000004">
      <c r="W5861"/>
    </row>
    <row r="5862" spans="23:23" x14ac:dyDescent="0.55000000000000004">
      <c r="W5862"/>
    </row>
    <row r="5863" spans="23:23" x14ac:dyDescent="0.55000000000000004">
      <c r="W5863"/>
    </row>
    <row r="5864" spans="23:23" x14ac:dyDescent="0.55000000000000004">
      <c r="W5864"/>
    </row>
    <row r="5865" spans="23:23" x14ac:dyDescent="0.55000000000000004">
      <c r="W5865"/>
    </row>
    <row r="5866" spans="23:23" x14ac:dyDescent="0.55000000000000004">
      <c r="W5866"/>
    </row>
    <row r="5867" spans="23:23" x14ac:dyDescent="0.55000000000000004">
      <c r="W5867"/>
    </row>
    <row r="5868" spans="23:23" x14ac:dyDescent="0.55000000000000004">
      <c r="W5868"/>
    </row>
    <row r="5869" spans="23:23" x14ac:dyDescent="0.55000000000000004">
      <c r="W5869"/>
    </row>
    <row r="5870" spans="23:23" x14ac:dyDescent="0.55000000000000004">
      <c r="W5870"/>
    </row>
    <row r="5871" spans="23:23" x14ac:dyDescent="0.55000000000000004">
      <c r="W5871"/>
    </row>
    <row r="5872" spans="23:23" x14ac:dyDescent="0.55000000000000004">
      <c r="W5872"/>
    </row>
    <row r="5873" spans="23:23" x14ac:dyDescent="0.55000000000000004">
      <c r="W5873"/>
    </row>
    <row r="5874" spans="23:23" x14ac:dyDescent="0.55000000000000004">
      <c r="W5874"/>
    </row>
    <row r="5875" spans="23:23" x14ac:dyDescent="0.55000000000000004">
      <c r="W5875"/>
    </row>
    <row r="5876" spans="23:23" x14ac:dyDescent="0.55000000000000004">
      <c r="W5876"/>
    </row>
    <row r="5877" spans="23:23" x14ac:dyDescent="0.55000000000000004">
      <c r="W5877"/>
    </row>
    <row r="5878" spans="23:23" x14ac:dyDescent="0.55000000000000004">
      <c r="W5878"/>
    </row>
    <row r="5879" spans="23:23" x14ac:dyDescent="0.55000000000000004">
      <c r="W5879"/>
    </row>
    <row r="5880" spans="23:23" x14ac:dyDescent="0.55000000000000004">
      <c r="W5880"/>
    </row>
    <row r="5881" spans="23:23" x14ac:dyDescent="0.55000000000000004">
      <c r="W5881"/>
    </row>
    <row r="5882" spans="23:23" x14ac:dyDescent="0.55000000000000004">
      <c r="W5882"/>
    </row>
    <row r="5883" spans="23:23" x14ac:dyDescent="0.55000000000000004">
      <c r="W5883"/>
    </row>
    <row r="5884" spans="23:23" x14ac:dyDescent="0.55000000000000004">
      <c r="W5884"/>
    </row>
    <row r="5885" spans="23:23" x14ac:dyDescent="0.55000000000000004">
      <c r="W5885"/>
    </row>
    <row r="5886" spans="23:23" x14ac:dyDescent="0.55000000000000004">
      <c r="W5886"/>
    </row>
    <row r="5887" spans="23:23" x14ac:dyDescent="0.55000000000000004">
      <c r="W5887"/>
    </row>
    <row r="5888" spans="23:23" x14ac:dyDescent="0.55000000000000004">
      <c r="W5888"/>
    </row>
    <row r="5889" spans="23:23" x14ac:dyDescent="0.55000000000000004">
      <c r="W5889"/>
    </row>
    <row r="5890" spans="23:23" x14ac:dyDescent="0.55000000000000004">
      <c r="W5890"/>
    </row>
    <row r="5891" spans="23:23" x14ac:dyDescent="0.55000000000000004">
      <c r="W5891"/>
    </row>
    <row r="5892" spans="23:23" x14ac:dyDescent="0.55000000000000004">
      <c r="W5892"/>
    </row>
    <row r="5893" spans="23:23" x14ac:dyDescent="0.55000000000000004">
      <c r="W5893"/>
    </row>
    <row r="5894" spans="23:23" x14ac:dyDescent="0.55000000000000004">
      <c r="W5894"/>
    </row>
    <row r="5895" spans="23:23" x14ac:dyDescent="0.55000000000000004">
      <c r="W5895"/>
    </row>
    <row r="5896" spans="23:23" x14ac:dyDescent="0.55000000000000004">
      <c r="W5896"/>
    </row>
    <row r="5897" spans="23:23" x14ac:dyDescent="0.55000000000000004">
      <c r="W5897"/>
    </row>
    <row r="5898" spans="23:23" x14ac:dyDescent="0.55000000000000004">
      <c r="W5898"/>
    </row>
    <row r="5899" spans="23:23" x14ac:dyDescent="0.55000000000000004">
      <c r="W5899"/>
    </row>
    <row r="5900" spans="23:23" x14ac:dyDescent="0.55000000000000004">
      <c r="W5900"/>
    </row>
    <row r="5901" spans="23:23" x14ac:dyDescent="0.55000000000000004">
      <c r="W5901"/>
    </row>
    <row r="5902" spans="23:23" x14ac:dyDescent="0.55000000000000004">
      <c r="W5902"/>
    </row>
    <row r="5903" spans="23:23" x14ac:dyDescent="0.55000000000000004">
      <c r="W5903"/>
    </row>
    <row r="5904" spans="23:23" x14ac:dyDescent="0.55000000000000004">
      <c r="W5904"/>
    </row>
    <row r="5905" spans="23:23" x14ac:dyDescent="0.55000000000000004">
      <c r="W5905"/>
    </row>
    <row r="5906" spans="23:23" x14ac:dyDescent="0.55000000000000004">
      <c r="W5906"/>
    </row>
    <row r="5907" spans="23:23" x14ac:dyDescent="0.55000000000000004">
      <c r="W5907"/>
    </row>
    <row r="5908" spans="23:23" x14ac:dyDescent="0.55000000000000004">
      <c r="W5908"/>
    </row>
    <row r="5909" spans="23:23" x14ac:dyDescent="0.55000000000000004">
      <c r="W5909"/>
    </row>
    <row r="5910" spans="23:23" x14ac:dyDescent="0.55000000000000004">
      <c r="W5910"/>
    </row>
    <row r="5911" spans="23:23" x14ac:dyDescent="0.55000000000000004">
      <c r="W5911"/>
    </row>
    <row r="5912" spans="23:23" x14ac:dyDescent="0.55000000000000004">
      <c r="W5912"/>
    </row>
    <row r="5913" spans="23:23" x14ac:dyDescent="0.55000000000000004">
      <c r="W5913"/>
    </row>
    <row r="5914" spans="23:23" x14ac:dyDescent="0.55000000000000004">
      <c r="W5914"/>
    </row>
    <row r="5915" spans="23:23" x14ac:dyDescent="0.55000000000000004">
      <c r="W5915"/>
    </row>
    <row r="5916" spans="23:23" x14ac:dyDescent="0.55000000000000004">
      <c r="W5916"/>
    </row>
    <row r="5917" spans="23:23" x14ac:dyDescent="0.55000000000000004">
      <c r="W5917"/>
    </row>
    <row r="5918" spans="23:23" x14ac:dyDescent="0.55000000000000004">
      <c r="W5918"/>
    </row>
    <row r="5919" spans="23:23" x14ac:dyDescent="0.55000000000000004">
      <c r="W5919"/>
    </row>
    <row r="5920" spans="23:23" x14ac:dyDescent="0.55000000000000004">
      <c r="W5920"/>
    </row>
    <row r="5921" spans="23:23" x14ac:dyDescent="0.55000000000000004">
      <c r="W5921"/>
    </row>
    <row r="5922" spans="23:23" x14ac:dyDescent="0.55000000000000004">
      <c r="W5922"/>
    </row>
    <row r="5923" spans="23:23" x14ac:dyDescent="0.55000000000000004">
      <c r="W5923"/>
    </row>
    <row r="5924" spans="23:23" x14ac:dyDescent="0.55000000000000004">
      <c r="W5924"/>
    </row>
    <row r="5925" spans="23:23" x14ac:dyDescent="0.55000000000000004">
      <c r="W5925"/>
    </row>
    <row r="5926" spans="23:23" x14ac:dyDescent="0.55000000000000004">
      <c r="W5926"/>
    </row>
    <row r="5927" spans="23:23" x14ac:dyDescent="0.55000000000000004">
      <c r="W5927"/>
    </row>
    <row r="5928" spans="23:23" x14ac:dyDescent="0.55000000000000004">
      <c r="W5928"/>
    </row>
    <row r="5929" spans="23:23" x14ac:dyDescent="0.55000000000000004">
      <c r="W5929"/>
    </row>
    <row r="5930" spans="23:23" x14ac:dyDescent="0.55000000000000004">
      <c r="W5930"/>
    </row>
    <row r="5931" spans="23:23" x14ac:dyDescent="0.55000000000000004">
      <c r="W5931"/>
    </row>
    <row r="5932" spans="23:23" x14ac:dyDescent="0.55000000000000004">
      <c r="W5932"/>
    </row>
    <row r="5933" spans="23:23" x14ac:dyDescent="0.55000000000000004">
      <c r="W5933"/>
    </row>
    <row r="5934" spans="23:23" x14ac:dyDescent="0.55000000000000004">
      <c r="W5934"/>
    </row>
    <row r="5935" spans="23:23" x14ac:dyDescent="0.55000000000000004">
      <c r="W5935"/>
    </row>
    <row r="5936" spans="23:23" x14ac:dyDescent="0.55000000000000004">
      <c r="W5936"/>
    </row>
    <row r="5937" spans="23:23" x14ac:dyDescent="0.55000000000000004">
      <c r="W5937"/>
    </row>
    <row r="5938" spans="23:23" x14ac:dyDescent="0.55000000000000004">
      <c r="W5938"/>
    </row>
    <row r="5939" spans="23:23" x14ac:dyDescent="0.55000000000000004">
      <c r="W5939"/>
    </row>
    <row r="5940" spans="23:23" x14ac:dyDescent="0.55000000000000004">
      <c r="W5940"/>
    </row>
    <row r="5941" spans="23:23" x14ac:dyDescent="0.55000000000000004">
      <c r="W5941"/>
    </row>
    <row r="5942" spans="23:23" x14ac:dyDescent="0.55000000000000004">
      <c r="W5942"/>
    </row>
    <row r="5943" spans="23:23" x14ac:dyDescent="0.55000000000000004">
      <c r="W5943"/>
    </row>
    <row r="5944" spans="23:23" x14ac:dyDescent="0.55000000000000004">
      <c r="W5944"/>
    </row>
    <row r="5945" spans="23:23" x14ac:dyDescent="0.55000000000000004">
      <c r="W5945"/>
    </row>
    <row r="5946" spans="23:23" x14ac:dyDescent="0.55000000000000004">
      <c r="W5946"/>
    </row>
    <row r="5947" spans="23:23" x14ac:dyDescent="0.55000000000000004">
      <c r="W5947"/>
    </row>
    <row r="5948" spans="23:23" x14ac:dyDescent="0.55000000000000004">
      <c r="W5948"/>
    </row>
    <row r="5949" spans="23:23" x14ac:dyDescent="0.55000000000000004">
      <c r="W5949"/>
    </row>
    <row r="5950" spans="23:23" x14ac:dyDescent="0.55000000000000004">
      <c r="W5950"/>
    </row>
    <row r="5951" spans="23:23" x14ac:dyDescent="0.55000000000000004">
      <c r="W5951"/>
    </row>
    <row r="5952" spans="23:23" x14ac:dyDescent="0.55000000000000004">
      <c r="W5952"/>
    </row>
    <row r="5953" spans="23:23" x14ac:dyDescent="0.55000000000000004">
      <c r="W5953"/>
    </row>
    <row r="5954" spans="23:23" x14ac:dyDescent="0.55000000000000004">
      <c r="W5954"/>
    </row>
    <row r="5955" spans="23:23" x14ac:dyDescent="0.55000000000000004">
      <c r="W5955"/>
    </row>
    <row r="5956" spans="23:23" x14ac:dyDescent="0.55000000000000004">
      <c r="W5956"/>
    </row>
    <row r="5957" spans="23:23" x14ac:dyDescent="0.55000000000000004">
      <c r="W5957"/>
    </row>
    <row r="5958" spans="23:23" x14ac:dyDescent="0.55000000000000004">
      <c r="W5958"/>
    </row>
    <row r="5959" spans="23:23" x14ac:dyDescent="0.55000000000000004">
      <c r="W5959"/>
    </row>
    <row r="5960" spans="23:23" x14ac:dyDescent="0.55000000000000004">
      <c r="W5960"/>
    </row>
    <row r="5961" spans="23:23" x14ac:dyDescent="0.55000000000000004">
      <c r="W5961"/>
    </row>
    <row r="5962" spans="23:23" x14ac:dyDescent="0.55000000000000004">
      <c r="W5962"/>
    </row>
    <row r="5963" spans="23:23" x14ac:dyDescent="0.55000000000000004">
      <c r="W5963"/>
    </row>
    <row r="5964" spans="23:23" x14ac:dyDescent="0.55000000000000004">
      <c r="W5964"/>
    </row>
    <row r="5965" spans="23:23" x14ac:dyDescent="0.55000000000000004">
      <c r="W5965"/>
    </row>
    <row r="5966" spans="23:23" x14ac:dyDescent="0.55000000000000004">
      <c r="W5966"/>
    </row>
    <row r="5967" spans="23:23" x14ac:dyDescent="0.55000000000000004">
      <c r="W5967"/>
    </row>
    <row r="5968" spans="23:23" x14ac:dyDescent="0.55000000000000004">
      <c r="W5968"/>
    </row>
    <row r="5969" spans="23:23" x14ac:dyDescent="0.55000000000000004">
      <c r="W5969"/>
    </row>
    <row r="5970" spans="23:23" x14ac:dyDescent="0.55000000000000004">
      <c r="W5970"/>
    </row>
    <row r="5971" spans="23:23" x14ac:dyDescent="0.55000000000000004">
      <c r="W5971"/>
    </row>
    <row r="5972" spans="23:23" x14ac:dyDescent="0.55000000000000004">
      <c r="W5972"/>
    </row>
    <row r="5973" spans="23:23" x14ac:dyDescent="0.55000000000000004">
      <c r="W5973"/>
    </row>
    <row r="5974" spans="23:23" x14ac:dyDescent="0.55000000000000004">
      <c r="W5974"/>
    </row>
    <row r="5975" spans="23:23" x14ac:dyDescent="0.55000000000000004">
      <c r="W5975"/>
    </row>
    <row r="5976" spans="23:23" x14ac:dyDescent="0.55000000000000004">
      <c r="W5976"/>
    </row>
    <row r="5977" spans="23:23" x14ac:dyDescent="0.55000000000000004">
      <c r="W5977"/>
    </row>
    <row r="5978" spans="23:23" x14ac:dyDescent="0.55000000000000004">
      <c r="W5978"/>
    </row>
    <row r="5979" spans="23:23" x14ac:dyDescent="0.55000000000000004">
      <c r="W5979"/>
    </row>
    <row r="5980" spans="23:23" x14ac:dyDescent="0.55000000000000004">
      <c r="W5980"/>
    </row>
    <row r="5981" spans="23:23" x14ac:dyDescent="0.55000000000000004">
      <c r="W5981"/>
    </row>
    <row r="5982" spans="23:23" x14ac:dyDescent="0.55000000000000004">
      <c r="W5982"/>
    </row>
    <row r="5983" spans="23:23" x14ac:dyDescent="0.55000000000000004">
      <c r="W5983"/>
    </row>
    <row r="5984" spans="23:23" x14ac:dyDescent="0.55000000000000004">
      <c r="W5984"/>
    </row>
    <row r="5985" spans="23:23" x14ac:dyDescent="0.55000000000000004">
      <c r="W5985"/>
    </row>
    <row r="5986" spans="23:23" x14ac:dyDescent="0.55000000000000004">
      <c r="W5986"/>
    </row>
    <row r="5987" spans="23:23" x14ac:dyDescent="0.55000000000000004">
      <c r="W5987"/>
    </row>
    <row r="5988" spans="23:23" x14ac:dyDescent="0.55000000000000004">
      <c r="W5988"/>
    </row>
    <row r="5989" spans="23:23" x14ac:dyDescent="0.55000000000000004">
      <c r="W5989"/>
    </row>
    <row r="5990" spans="23:23" x14ac:dyDescent="0.55000000000000004">
      <c r="W5990"/>
    </row>
    <row r="5991" spans="23:23" x14ac:dyDescent="0.55000000000000004">
      <c r="W5991"/>
    </row>
    <row r="5992" spans="23:23" x14ac:dyDescent="0.55000000000000004">
      <c r="W5992"/>
    </row>
    <row r="5993" spans="23:23" x14ac:dyDescent="0.55000000000000004">
      <c r="W5993"/>
    </row>
    <row r="5994" spans="23:23" x14ac:dyDescent="0.55000000000000004">
      <c r="W5994"/>
    </row>
    <row r="5995" spans="23:23" x14ac:dyDescent="0.55000000000000004">
      <c r="W5995"/>
    </row>
    <row r="5996" spans="23:23" x14ac:dyDescent="0.55000000000000004">
      <c r="W5996"/>
    </row>
    <row r="5997" spans="23:23" x14ac:dyDescent="0.55000000000000004">
      <c r="W5997"/>
    </row>
    <row r="5998" spans="23:23" x14ac:dyDescent="0.55000000000000004">
      <c r="W5998"/>
    </row>
    <row r="5999" spans="23:23" x14ac:dyDescent="0.55000000000000004">
      <c r="W5999"/>
    </row>
    <row r="6000" spans="23:23" x14ac:dyDescent="0.55000000000000004">
      <c r="W6000"/>
    </row>
    <row r="6001" spans="23:23" x14ac:dyDescent="0.55000000000000004">
      <c r="W6001"/>
    </row>
    <row r="6002" spans="23:23" x14ac:dyDescent="0.55000000000000004">
      <c r="W6002"/>
    </row>
    <row r="6003" spans="23:23" x14ac:dyDescent="0.55000000000000004">
      <c r="W6003"/>
    </row>
    <row r="6004" spans="23:23" x14ac:dyDescent="0.55000000000000004">
      <c r="W6004"/>
    </row>
    <row r="6005" spans="23:23" x14ac:dyDescent="0.55000000000000004">
      <c r="W6005"/>
    </row>
    <row r="6006" spans="23:23" x14ac:dyDescent="0.55000000000000004">
      <c r="W6006"/>
    </row>
    <row r="6007" spans="23:23" x14ac:dyDescent="0.55000000000000004">
      <c r="W6007"/>
    </row>
    <row r="6008" spans="23:23" x14ac:dyDescent="0.55000000000000004">
      <c r="W6008"/>
    </row>
    <row r="6009" spans="23:23" x14ac:dyDescent="0.55000000000000004">
      <c r="W6009"/>
    </row>
    <row r="6010" spans="23:23" x14ac:dyDescent="0.55000000000000004">
      <c r="W6010"/>
    </row>
    <row r="6011" spans="23:23" x14ac:dyDescent="0.55000000000000004">
      <c r="W6011"/>
    </row>
    <row r="6012" spans="23:23" x14ac:dyDescent="0.55000000000000004">
      <c r="W6012"/>
    </row>
    <row r="6013" spans="23:23" x14ac:dyDescent="0.55000000000000004">
      <c r="W6013"/>
    </row>
    <row r="6014" spans="23:23" x14ac:dyDescent="0.55000000000000004">
      <c r="W6014"/>
    </row>
    <row r="6015" spans="23:23" x14ac:dyDescent="0.55000000000000004">
      <c r="W6015"/>
    </row>
    <row r="6016" spans="23:23" x14ac:dyDescent="0.55000000000000004">
      <c r="W6016"/>
    </row>
    <row r="6017" spans="23:23" x14ac:dyDescent="0.55000000000000004">
      <c r="W6017"/>
    </row>
    <row r="6018" spans="23:23" x14ac:dyDescent="0.55000000000000004">
      <c r="W6018"/>
    </row>
    <row r="6019" spans="23:23" x14ac:dyDescent="0.55000000000000004">
      <c r="W6019"/>
    </row>
    <row r="6020" spans="23:23" x14ac:dyDescent="0.55000000000000004">
      <c r="W6020"/>
    </row>
    <row r="6021" spans="23:23" x14ac:dyDescent="0.55000000000000004">
      <c r="W6021"/>
    </row>
    <row r="6022" spans="23:23" x14ac:dyDescent="0.55000000000000004">
      <c r="W6022"/>
    </row>
    <row r="6023" spans="23:23" x14ac:dyDescent="0.55000000000000004">
      <c r="W6023"/>
    </row>
    <row r="6024" spans="23:23" x14ac:dyDescent="0.55000000000000004">
      <c r="W6024"/>
    </row>
    <row r="6025" spans="23:23" x14ac:dyDescent="0.55000000000000004">
      <c r="W6025"/>
    </row>
    <row r="6026" spans="23:23" x14ac:dyDescent="0.55000000000000004">
      <c r="W6026"/>
    </row>
    <row r="6027" spans="23:23" x14ac:dyDescent="0.55000000000000004">
      <c r="W6027"/>
    </row>
    <row r="6028" spans="23:23" x14ac:dyDescent="0.55000000000000004">
      <c r="W6028"/>
    </row>
    <row r="6029" spans="23:23" x14ac:dyDescent="0.55000000000000004">
      <c r="W6029"/>
    </row>
    <row r="6030" spans="23:23" x14ac:dyDescent="0.55000000000000004">
      <c r="W6030"/>
    </row>
    <row r="6031" spans="23:23" x14ac:dyDescent="0.55000000000000004">
      <c r="W6031"/>
    </row>
    <row r="6032" spans="23:23" x14ac:dyDescent="0.55000000000000004">
      <c r="W6032"/>
    </row>
    <row r="6033" spans="23:23" x14ac:dyDescent="0.55000000000000004">
      <c r="W6033"/>
    </row>
    <row r="6034" spans="23:23" x14ac:dyDescent="0.55000000000000004">
      <c r="W6034"/>
    </row>
    <row r="6035" spans="23:23" x14ac:dyDescent="0.55000000000000004">
      <c r="W6035"/>
    </row>
    <row r="6036" spans="23:23" x14ac:dyDescent="0.55000000000000004">
      <c r="W6036"/>
    </row>
    <row r="6037" spans="23:23" x14ac:dyDescent="0.55000000000000004">
      <c r="W6037"/>
    </row>
    <row r="6038" spans="23:23" x14ac:dyDescent="0.55000000000000004">
      <c r="W6038"/>
    </row>
    <row r="6039" spans="23:23" x14ac:dyDescent="0.55000000000000004">
      <c r="W6039"/>
    </row>
    <row r="6040" spans="23:23" x14ac:dyDescent="0.55000000000000004">
      <c r="W6040"/>
    </row>
    <row r="6041" spans="23:23" x14ac:dyDescent="0.55000000000000004">
      <c r="W6041"/>
    </row>
    <row r="6042" spans="23:23" x14ac:dyDescent="0.55000000000000004">
      <c r="W6042"/>
    </row>
    <row r="6043" spans="23:23" x14ac:dyDescent="0.55000000000000004">
      <c r="W6043"/>
    </row>
    <row r="6044" spans="23:23" x14ac:dyDescent="0.55000000000000004">
      <c r="W6044"/>
    </row>
    <row r="6045" spans="23:23" x14ac:dyDescent="0.55000000000000004">
      <c r="W6045"/>
    </row>
    <row r="6046" spans="23:23" x14ac:dyDescent="0.55000000000000004">
      <c r="W6046"/>
    </row>
    <row r="6047" spans="23:23" x14ac:dyDescent="0.55000000000000004">
      <c r="W6047"/>
    </row>
    <row r="6048" spans="23:23" x14ac:dyDescent="0.55000000000000004">
      <c r="W6048"/>
    </row>
    <row r="6049" spans="23:23" x14ac:dyDescent="0.55000000000000004">
      <c r="W6049"/>
    </row>
    <row r="6050" spans="23:23" x14ac:dyDescent="0.55000000000000004">
      <c r="W6050"/>
    </row>
    <row r="6051" spans="23:23" x14ac:dyDescent="0.55000000000000004">
      <c r="W6051"/>
    </row>
    <row r="6052" spans="23:23" x14ac:dyDescent="0.55000000000000004">
      <c r="W6052"/>
    </row>
    <row r="6053" spans="23:23" x14ac:dyDescent="0.55000000000000004">
      <c r="W6053"/>
    </row>
    <row r="6054" spans="23:23" x14ac:dyDescent="0.55000000000000004">
      <c r="W6054"/>
    </row>
    <row r="6055" spans="23:23" x14ac:dyDescent="0.55000000000000004">
      <c r="W6055"/>
    </row>
    <row r="6056" spans="23:23" x14ac:dyDescent="0.55000000000000004">
      <c r="W6056"/>
    </row>
    <row r="6057" spans="23:23" x14ac:dyDescent="0.55000000000000004">
      <c r="W6057"/>
    </row>
    <row r="6058" spans="23:23" x14ac:dyDescent="0.55000000000000004">
      <c r="W6058"/>
    </row>
    <row r="6059" spans="23:23" x14ac:dyDescent="0.55000000000000004">
      <c r="W6059"/>
    </row>
    <row r="6060" spans="23:23" x14ac:dyDescent="0.55000000000000004">
      <c r="W6060"/>
    </row>
    <row r="6061" spans="23:23" x14ac:dyDescent="0.55000000000000004">
      <c r="W6061"/>
    </row>
    <row r="6062" spans="23:23" x14ac:dyDescent="0.55000000000000004">
      <c r="W6062"/>
    </row>
    <row r="6063" spans="23:23" x14ac:dyDescent="0.55000000000000004">
      <c r="W6063"/>
    </row>
    <row r="6064" spans="23:23" x14ac:dyDescent="0.55000000000000004">
      <c r="W6064"/>
    </row>
    <row r="6065" spans="23:23" x14ac:dyDescent="0.55000000000000004">
      <c r="W6065"/>
    </row>
    <row r="6066" spans="23:23" x14ac:dyDescent="0.55000000000000004">
      <c r="W6066"/>
    </row>
    <row r="6067" spans="23:23" x14ac:dyDescent="0.55000000000000004">
      <c r="W6067"/>
    </row>
    <row r="6068" spans="23:23" x14ac:dyDescent="0.55000000000000004">
      <c r="W6068"/>
    </row>
    <row r="6069" spans="23:23" x14ac:dyDescent="0.55000000000000004">
      <c r="W6069"/>
    </row>
    <row r="6070" spans="23:23" x14ac:dyDescent="0.55000000000000004">
      <c r="W6070"/>
    </row>
    <row r="6071" spans="23:23" x14ac:dyDescent="0.55000000000000004">
      <c r="W6071"/>
    </row>
    <row r="6072" spans="23:23" x14ac:dyDescent="0.55000000000000004">
      <c r="W6072"/>
    </row>
    <row r="6073" spans="23:23" x14ac:dyDescent="0.55000000000000004">
      <c r="W6073"/>
    </row>
    <row r="6074" spans="23:23" x14ac:dyDescent="0.55000000000000004">
      <c r="W6074"/>
    </row>
    <row r="6075" spans="23:23" x14ac:dyDescent="0.55000000000000004">
      <c r="W6075"/>
    </row>
    <row r="6076" spans="23:23" x14ac:dyDescent="0.55000000000000004">
      <c r="W6076"/>
    </row>
    <row r="6077" spans="23:23" x14ac:dyDescent="0.55000000000000004">
      <c r="W6077"/>
    </row>
    <row r="6078" spans="23:23" x14ac:dyDescent="0.55000000000000004">
      <c r="W6078"/>
    </row>
    <row r="6079" spans="23:23" x14ac:dyDescent="0.55000000000000004">
      <c r="W6079"/>
    </row>
    <row r="6080" spans="23:23" x14ac:dyDescent="0.55000000000000004">
      <c r="W6080"/>
    </row>
    <row r="6081" spans="23:23" x14ac:dyDescent="0.55000000000000004">
      <c r="W6081"/>
    </row>
    <row r="6082" spans="23:23" x14ac:dyDescent="0.55000000000000004">
      <c r="W6082"/>
    </row>
    <row r="6083" spans="23:23" x14ac:dyDescent="0.55000000000000004">
      <c r="W6083"/>
    </row>
    <row r="6084" spans="23:23" x14ac:dyDescent="0.55000000000000004">
      <c r="W6084"/>
    </row>
    <row r="6085" spans="23:23" x14ac:dyDescent="0.55000000000000004">
      <c r="W6085"/>
    </row>
    <row r="6086" spans="23:23" x14ac:dyDescent="0.55000000000000004">
      <c r="W6086"/>
    </row>
    <row r="6087" spans="23:23" x14ac:dyDescent="0.55000000000000004">
      <c r="W6087"/>
    </row>
    <row r="6088" spans="23:23" x14ac:dyDescent="0.55000000000000004">
      <c r="W6088"/>
    </row>
    <row r="6089" spans="23:23" x14ac:dyDescent="0.55000000000000004">
      <c r="W6089"/>
    </row>
    <row r="6090" spans="23:23" x14ac:dyDescent="0.55000000000000004">
      <c r="W6090"/>
    </row>
    <row r="6091" spans="23:23" x14ac:dyDescent="0.55000000000000004">
      <c r="W6091"/>
    </row>
    <row r="6092" spans="23:23" x14ac:dyDescent="0.55000000000000004">
      <c r="W6092"/>
    </row>
    <row r="6093" spans="23:23" x14ac:dyDescent="0.55000000000000004">
      <c r="W6093"/>
    </row>
    <row r="6094" spans="23:23" x14ac:dyDescent="0.55000000000000004">
      <c r="W6094"/>
    </row>
    <row r="6095" spans="23:23" x14ac:dyDescent="0.55000000000000004">
      <c r="W6095"/>
    </row>
    <row r="6096" spans="23:23" x14ac:dyDescent="0.55000000000000004">
      <c r="W6096"/>
    </row>
    <row r="6097" spans="23:23" x14ac:dyDescent="0.55000000000000004">
      <c r="W6097"/>
    </row>
    <row r="6098" spans="23:23" x14ac:dyDescent="0.55000000000000004">
      <c r="W6098"/>
    </row>
    <row r="6099" spans="23:23" x14ac:dyDescent="0.55000000000000004">
      <c r="W6099"/>
    </row>
    <row r="6100" spans="23:23" x14ac:dyDescent="0.55000000000000004">
      <c r="W6100"/>
    </row>
    <row r="6101" spans="23:23" x14ac:dyDescent="0.55000000000000004">
      <c r="W6101"/>
    </row>
    <row r="6102" spans="23:23" x14ac:dyDescent="0.55000000000000004">
      <c r="W6102"/>
    </row>
    <row r="6103" spans="23:23" x14ac:dyDescent="0.55000000000000004">
      <c r="W6103"/>
    </row>
    <row r="6104" spans="23:23" x14ac:dyDescent="0.55000000000000004">
      <c r="W6104"/>
    </row>
    <row r="6105" spans="23:23" x14ac:dyDescent="0.55000000000000004">
      <c r="W6105"/>
    </row>
    <row r="6106" spans="23:23" x14ac:dyDescent="0.55000000000000004">
      <c r="W6106"/>
    </row>
    <row r="6107" spans="23:23" x14ac:dyDescent="0.55000000000000004">
      <c r="W6107"/>
    </row>
    <row r="6108" spans="23:23" x14ac:dyDescent="0.55000000000000004">
      <c r="W6108"/>
    </row>
    <row r="6109" spans="23:23" x14ac:dyDescent="0.55000000000000004">
      <c r="W6109"/>
    </row>
    <row r="6110" spans="23:23" x14ac:dyDescent="0.55000000000000004">
      <c r="W6110"/>
    </row>
    <row r="6111" spans="23:23" x14ac:dyDescent="0.55000000000000004">
      <c r="W6111"/>
    </row>
    <row r="6112" spans="23:23" x14ac:dyDescent="0.55000000000000004">
      <c r="W6112"/>
    </row>
    <row r="6113" spans="23:23" x14ac:dyDescent="0.55000000000000004">
      <c r="W6113"/>
    </row>
    <row r="6114" spans="23:23" x14ac:dyDescent="0.55000000000000004">
      <c r="W6114"/>
    </row>
    <row r="6115" spans="23:23" x14ac:dyDescent="0.55000000000000004">
      <c r="W6115"/>
    </row>
    <row r="6116" spans="23:23" x14ac:dyDescent="0.55000000000000004">
      <c r="W6116"/>
    </row>
    <row r="6117" spans="23:23" x14ac:dyDescent="0.55000000000000004">
      <c r="W6117"/>
    </row>
    <row r="6118" spans="23:23" x14ac:dyDescent="0.55000000000000004">
      <c r="W6118"/>
    </row>
    <row r="6119" spans="23:23" x14ac:dyDescent="0.55000000000000004">
      <c r="W6119"/>
    </row>
    <row r="6120" spans="23:23" x14ac:dyDescent="0.55000000000000004">
      <c r="W6120"/>
    </row>
    <row r="6121" spans="23:23" x14ac:dyDescent="0.55000000000000004">
      <c r="W6121"/>
    </row>
    <row r="6122" spans="23:23" x14ac:dyDescent="0.55000000000000004">
      <c r="W6122"/>
    </row>
    <row r="6123" spans="23:23" x14ac:dyDescent="0.55000000000000004">
      <c r="W6123"/>
    </row>
    <row r="6124" spans="23:23" x14ac:dyDescent="0.55000000000000004">
      <c r="W6124"/>
    </row>
    <row r="6125" spans="23:23" x14ac:dyDescent="0.55000000000000004">
      <c r="W6125"/>
    </row>
    <row r="6126" spans="23:23" x14ac:dyDescent="0.55000000000000004">
      <c r="W6126"/>
    </row>
    <row r="6127" spans="23:23" x14ac:dyDescent="0.55000000000000004">
      <c r="W6127"/>
    </row>
    <row r="6128" spans="23:23" x14ac:dyDescent="0.55000000000000004">
      <c r="W6128"/>
    </row>
    <row r="6129" spans="23:23" x14ac:dyDescent="0.55000000000000004">
      <c r="W6129"/>
    </row>
    <row r="6130" spans="23:23" x14ac:dyDescent="0.55000000000000004">
      <c r="W6130"/>
    </row>
    <row r="6131" spans="23:23" x14ac:dyDescent="0.55000000000000004">
      <c r="W6131"/>
    </row>
    <row r="6132" spans="23:23" x14ac:dyDescent="0.55000000000000004">
      <c r="W6132"/>
    </row>
    <row r="6133" spans="23:23" x14ac:dyDescent="0.55000000000000004">
      <c r="W6133"/>
    </row>
    <row r="6134" spans="23:23" x14ac:dyDescent="0.55000000000000004">
      <c r="W6134"/>
    </row>
    <row r="6135" spans="23:23" x14ac:dyDescent="0.55000000000000004">
      <c r="W6135"/>
    </row>
    <row r="6136" spans="23:23" x14ac:dyDescent="0.55000000000000004">
      <c r="W6136"/>
    </row>
    <row r="6137" spans="23:23" x14ac:dyDescent="0.55000000000000004">
      <c r="W6137"/>
    </row>
    <row r="6138" spans="23:23" x14ac:dyDescent="0.55000000000000004">
      <c r="W6138"/>
    </row>
    <row r="6139" spans="23:23" x14ac:dyDescent="0.55000000000000004">
      <c r="W6139"/>
    </row>
    <row r="6140" spans="23:23" x14ac:dyDescent="0.55000000000000004">
      <c r="W6140"/>
    </row>
    <row r="6141" spans="23:23" x14ac:dyDescent="0.55000000000000004">
      <c r="W6141"/>
    </row>
    <row r="6142" spans="23:23" x14ac:dyDescent="0.55000000000000004">
      <c r="W6142"/>
    </row>
    <row r="6143" spans="23:23" x14ac:dyDescent="0.55000000000000004">
      <c r="W6143"/>
    </row>
    <row r="6144" spans="23:23" x14ac:dyDescent="0.55000000000000004">
      <c r="W6144"/>
    </row>
    <row r="6145" spans="23:23" x14ac:dyDescent="0.55000000000000004">
      <c r="W6145"/>
    </row>
    <row r="6146" spans="23:23" x14ac:dyDescent="0.55000000000000004">
      <c r="W6146"/>
    </row>
    <row r="6147" spans="23:23" x14ac:dyDescent="0.55000000000000004">
      <c r="W6147"/>
    </row>
    <row r="6148" spans="23:23" x14ac:dyDescent="0.55000000000000004">
      <c r="W6148"/>
    </row>
    <row r="6149" spans="23:23" x14ac:dyDescent="0.55000000000000004">
      <c r="W6149"/>
    </row>
    <row r="6150" spans="23:23" x14ac:dyDescent="0.55000000000000004">
      <c r="W6150"/>
    </row>
    <row r="6151" spans="23:23" x14ac:dyDescent="0.55000000000000004">
      <c r="W6151"/>
    </row>
    <row r="6152" spans="23:23" x14ac:dyDescent="0.55000000000000004">
      <c r="W6152"/>
    </row>
    <row r="6153" spans="23:23" x14ac:dyDescent="0.55000000000000004">
      <c r="W6153"/>
    </row>
    <row r="6154" spans="23:23" x14ac:dyDescent="0.55000000000000004">
      <c r="W6154"/>
    </row>
    <row r="6155" spans="23:23" x14ac:dyDescent="0.55000000000000004">
      <c r="W6155"/>
    </row>
    <row r="6156" spans="23:23" x14ac:dyDescent="0.55000000000000004">
      <c r="W6156"/>
    </row>
    <row r="6157" spans="23:23" x14ac:dyDescent="0.55000000000000004">
      <c r="W6157"/>
    </row>
    <row r="6158" spans="23:23" x14ac:dyDescent="0.55000000000000004">
      <c r="W6158"/>
    </row>
    <row r="6159" spans="23:23" x14ac:dyDescent="0.55000000000000004">
      <c r="W6159"/>
    </row>
    <row r="6160" spans="23:23" x14ac:dyDescent="0.55000000000000004">
      <c r="W6160"/>
    </row>
    <row r="6161" spans="23:23" x14ac:dyDescent="0.55000000000000004">
      <c r="W6161"/>
    </row>
    <row r="6162" spans="23:23" x14ac:dyDescent="0.55000000000000004">
      <c r="W6162"/>
    </row>
    <row r="6163" spans="23:23" x14ac:dyDescent="0.55000000000000004">
      <c r="W6163"/>
    </row>
    <row r="6164" spans="23:23" x14ac:dyDescent="0.55000000000000004">
      <c r="W6164"/>
    </row>
    <row r="6165" spans="23:23" x14ac:dyDescent="0.55000000000000004">
      <c r="W6165"/>
    </row>
    <row r="6166" spans="23:23" x14ac:dyDescent="0.55000000000000004">
      <c r="W6166"/>
    </row>
    <row r="6167" spans="23:23" x14ac:dyDescent="0.55000000000000004">
      <c r="W6167"/>
    </row>
    <row r="6168" spans="23:23" x14ac:dyDescent="0.55000000000000004">
      <c r="W6168"/>
    </row>
    <row r="6169" spans="23:23" x14ac:dyDescent="0.55000000000000004">
      <c r="W6169"/>
    </row>
    <row r="6170" spans="23:23" x14ac:dyDescent="0.55000000000000004">
      <c r="W6170"/>
    </row>
    <row r="6171" spans="23:23" x14ac:dyDescent="0.55000000000000004">
      <c r="W6171"/>
    </row>
    <row r="6172" spans="23:23" x14ac:dyDescent="0.55000000000000004">
      <c r="W6172"/>
    </row>
    <row r="6173" spans="23:23" x14ac:dyDescent="0.55000000000000004">
      <c r="W6173"/>
    </row>
    <row r="6174" spans="23:23" x14ac:dyDescent="0.55000000000000004">
      <c r="W6174"/>
    </row>
    <row r="6175" spans="23:23" x14ac:dyDescent="0.55000000000000004">
      <c r="W6175"/>
    </row>
    <row r="6176" spans="23:23" x14ac:dyDescent="0.55000000000000004">
      <c r="W6176"/>
    </row>
    <row r="6177" spans="23:23" x14ac:dyDescent="0.55000000000000004">
      <c r="W6177"/>
    </row>
    <row r="6178" spans="23:23" x14ac:dyDescent="0.55000000000000004">
      <c r="W6178"/>
    </row>
    <row r="6179" spans="23:23" x14ac:dyDescent="0.55000000000000004">
      <c r="W6179"/>
    </row>
    <row r="6180" spans="23:23" x14ac:dyDescent="0.55000000000000004">
      <c r="W6180"/>
    </row>
    <row r="6181" spans="23:23" x14ac:dyDescent="0.55000000000000004">
      <c r="W6181"/>
    </row>
    <row r="6182" spans="23:23" x14ac:dyDescent="0.55000000000000004">
      <c r="W6182"/>
    </row>
    <row r="6183" spans="23:23" x14ac:dyDescent="0.55000000000000004">
      <c r="W6183"/>
    </row>
    <row r="6184" spans="23:23" x14ac:dyDescent="0.55000000000000004">
      <c r="W6184"/>
    </row>
    <row r="6185" spans="23:23" x14ac:dyDescent="0.55000000000000004">
      <c r="W6185"/>
    </row>
    <row r="6186" spans="23:23" x14ac:dyDescent="0.55000000000000004">
      <c r="W6186"/>
    </row>
    <row r="6187" spans="23:23" x14ac:dyDescent="0.55000000000000004">
      <c r="W6187"/>
    </row>
    <row r="6188" spans="23:23" x14ac:dyDescent="0.55000000000000004">
      <c r="W6188"/>
    </row>
    <row r="6189" spans="23:23" x14ac:dyDescent="0.55000000000000004">
      <c r="W6189"/>
    </row>
    <row r="6190" spans="23:23" x14ac:dyDescent="0.55000000000000004">
      <c r="W6190"/>
    </row>
    <row r="6191" spans="23:23" x14ac:dyDescent="0.55000000000000004">
      <c r="W6191"/>
    </row>
    <row r="6192" spans="23:23" x14ac:dyDescent="0.55000000000000004">
      <c r="W6192"/>
    </row>
    <row r="6193" spans="23:23" x14ac:dyDescent="0.55000000000000004">
      <c r="W6193"/>
    </row>
    <row r="6194" spans="23:23" x14ac:dyDescent="0.55000000000000004">
      <c r="W6194"/>
    </row>
    <row r="6195" spans="23:23" x14ac:dyDescent="0.55000000000000004">
      <c r="W6195"/>
    </row>
    <row r="6196" spans="23:23" x14ac:dyDescent="0.55000000000000004">
      <c r="W6196"/>
    </row>
    <row r="6197" spans="23:23" x14ac:dyDescent="0.55000000000000004">
      <c r="W6197"/>
    </row>
    <row r="6198" spans="23:23" x14ac:dyDescent="0.55000000000000004">
      <c r="W6198"/>
    </row>
    <row r="6199" spans="23:23" x14ac:dyDescent="0.55000000000000004">
      <c r="W6199"/>
    </row>
    <row r="6200" spans="23:23" x14ac:dyDescent="0.55000000000000004">
      <c r="W6200"/>
    </row>
    <row r="6201" spans="23:23" x14ac:dyDescent="0.55000000000000004">
      <c r="W6201"/>
    </row>
    <row r="6202" spans="23:23" x14ac:dyDescent="0.55000000000000004">
      <c r="W6202"/>
    </row>
    <row r="6203" spans="23:23" x14ac:dyDescent="0.55000000000000004">
      <c r="W6203"/>
    </row>
    <row r="6204" spans="23:23" x14ac:dyDescent="0.55000000000000004">
      <c r="W6204"/>
    </row>
    <row r="6205" spans="23:23" x14ac:dyDescent="0.55000000000000004">
      <c r="W6205"/>
    </row>
    <row r="6206" spans="23:23" x14ac:dyDescent="0.55000000000000004">
      <c r="W6206"/>
    </row>
    <row r="6207" spans="23:23" x14ac:dyDescent="0.55000000000000004">
      <c r="W6207"/>
    </row>
    <row r="6208" spans="23:23" x14ac:dyDescent="0.55000000000000004">
      <c r="W6208"/>
    </row>
    <row r="6209" spans="23:23" x14ac:dyDescent="0.55000000000000004">
      <c r="W6209"/>
    </row>
    <row r="6210" spans="23:23" x14ac:dyDescent="0.55000000000000004">
      <c r="W6210"/>
    </row>
    <row r="6211" spans="23:23" x14ac:dyDescent="0.55000000000000004">
      <c r="W6211"/>
    </row>
    <row r="6212" spans="23:23" x14ac:dyDescent="0.55000000000000004">
      <c r="W6212"/>
    </row>
    <row r="6213" spans="23:23" x14ac:dyDescent="0.55000000000000004">
      <c r="W6213"/>
    </row>
    <row r="6214" spans="23:23" x14ac:dyDescent="0.55000000000000004">
      <c r="W6214"/>
    </row>
    <row r="6215" spans="23:23" x14ac:dyDescent="0.55000000000000004">
      <c r="W6215"/>
    </row>
    <row r="6216" spans="23:23" x14ac:dyDescent="0.55000000000000004">
      <c r="W6216"/>
    </row>
    <row r="6217" spans="23:23" x14ac:dyDescent="0.55000000000000004">
      <c r="W6217"/>
    </row>
    <row r="6218" spans="23:23" x14ac:dyDescent="0.55000000000000004">
      <c r="W6218"/>
    </row>
    <row r="6219" spans="23:23" x14ac:dyDescent="0.55000000000000004">
      <c r="W6219"/>
    </row>
    <row r="6220" spans="23:23" x14ac:dyDescent="0.55000000000000004">
      <c r="W6220"/>
    </row>
    <row r="6221" spans="23:23" x14ac:dyDescent="0.55000000000000004">
      <c r="W6221"/>
    </row>
    <row r="6222" spans="23:23" x14ac:dyDescent="0.55000000000000004">
      <c r="W6222"/>
    </row>
    <row r="6223" spans="23:23" x14ac:dyDescent="0.55000000000000004">
      <c r="W6223"/>
    </row>
    <row r="6224" spans="23:23" x14ac:dyDescent="0.55000000000000004">
      <c r="W6224"/>
    </row>
    <row r="6225" spans="23:23" x14ac:dyDescent="0.55000000000000004">
      <c r="W6225"/>
    </row>
    <row r="6226" spans="23:23" x14ac:dyDescent="0.55000000000000004">
      <c r="W6226"/>
    </row>
    <row r="6227" spans="23:23" x14ac:dyDescent="0.55000000000000004">
      <c r="W6227"/>
    </row>
    <row r="6228" spans="23:23" x14ac:dyDescent="0.55000000000000004">
      <c r="W6228"/>
    </row>
    <row r="6229" spans="23:23" x14ac:dyDescent="0.55000000000000004">
      <c r="W6229"/>
    </row>
    <row r="6230" spans="23:23" x14ac:dyDescent="0.55000000000000004">
      <c r="W6230"/>
    </row>
    <row r="6231" spans="23:23" x14ac:dyDescent="0.55000000000000004">
      <c r="W6231"/>
    </row>
    <row r="6232" spans="23:23" x14ac:dyDescent="0.55000000000000004">
      <c r="W6232"/>
    </row>
    <row r="6233" spans="23:23" x14ac:dyDescent="0.55000000000000004">
      <c r="W6233"/>
    </row>
    <row r="6234" spans="23:23" x14ac:dyDescent="0.55000000000000004">
      <c r="W6234"/>
    </row>
    <row r="6235" spans="23:23" x14ac:dyDescent="0.55000000000000004">
      <c r="W6235"/>
    </row>
    <row r="6236" spans="23:23" x14ac:dyDescent="0.55000000000000004">
      <c r="W6236"/>
    </row>
    <row r="6237" spans="23:23" x14ac:dyDescent="0.55000000000000004">
      <c r="W6237"/>
    </row>
    <row r="6238" spans="23:23" x14ac:dyDescent="0.55000000000000004">
      <c r="W6238"/>
    </row>
    <row r="6239" spans="23:23" x14ac:dyDescent="0.55000000000000004">
      <c r="W6239"/>
    </row>
    <row r="6240" spans="23:23" x14ac:dyDescent="0.55000000000000004">
      <c r="W6240"/>
    </row>
    <row r="6241" spans="23:23" x14ac:dyDescent="0.55000000000000004">
      <c r="W6241"/>
    </row>
    <row r="6242" spans="23:23" x14ac:dyDescent="0.55000000000000004">
      <c r="W6242"/>
    </row>
    <row r="6243" spans="23:23" x14ac:dyDescent="0.55000000000000004">
      <c r="W6243"/>
    </row>
    <row r="6244" spans="23:23" x14ac:dyDescent="0.55000000000000004">
      <c r="W6244"/>
    </row>
    <row r="6245" spans="23:23" x14ac:dyDescent="0.55000000000000004">
      <c r="W6245"/>
    </row>
    <row r="6246" spans="23:23" x14ac:dyDescent="0.55000000000000004">
      <c r="W6246"/>
    </row>
    <row r="6247" spans="23:23" x14ac:dyDescent="0.55000000000000004">
      <c r="W6247"/>
    </row>
    <row r="6248" spans="23:23" x14ac:dyDescent="0.55000000000000004">
      <c r="W6248"/>
    </row>
    <row r="6249" spans="23:23" x14ac:dyDescent="0.55000000000000004">
      <c r="W6249"/>
    </row>
    <row r="6250" spans="23:23" x14ac:dyDescent="0.55000000000000004">
      <c r="W6250"/>
    </row>
    <row r="6251" spans="23:23" x14ac:dyDescent="0.55000000000000004">
      <c r="W6251"/>
    </row>
    <row r="6252" spans="23:23" x14ac:dyDescent="0.55000000000000004">
      <c r="W6252"/>
    </row>
    <row r="6253" spans="23:23" x14ac:dyDescent="0.55000000000000004">
      <c r="W6253"/>
    </row>
    <row r="6254" spans="23:23" x14ac:dyDescent="0.55000000000000004">
      <c r="W6254"/>
    </row>
    <row r="6255" spans="23:23" x14ac:dyDescent="0.55000000000000004">
      <c r="W6255"/>
    </row>
    <row r="6256" spans="23:23" x14ac:dyDescent="0.55000000000000004">
      <c r="W6256"/>
    </row>
    <row r="6257" spans="23:23" x14ac:dyDescent="0.55000000000000004">
      <c r="W6257"/>
    </row>
    <row r="6258" spans="23:23" x14ac:dyDescent="0.55000000000000004">
      <c r="W6258"/>
    </row>
    <row r="6259" spans="23:23" x14ac:dyDescent="0.55000000000000004">
      <c r="W6259"/>
    </row>
    <row r="6260" spans="23:23" x14ac:dyDescent="0.55000000000000004">
      <c r="W6260"/>
    </row>
    <row r="6261" spans="23:23" x14ac:dyDescent="0.55000000000000004">
      <c r="W6261"/>
    </row>
    <row r="6262" spans="23:23" x14ac:dyDescent="0.55000000000000004">
      <c r="W6262"/>
    </row>
    <row r="6263" spans="23:23" x14ac:dyDescent="0.55000000000000004">
      <c r="W6263"/>
    </row>
    <row r="6264" spans="23:23" x14ac:dyDescent="0.55000000000000004">
      <c r="W6264"/>
    </row>
    <row r="6265" spans="23:23" x14ac:dyDescent="0.55000000000000004">
      <c r="W6265"/>
    </row>
    <row r="6266" spans="23:23" x14ac:dyDescent="0.55000000000000004">
      <c r="W6266"/>
    </row>
    <row r="6267" spans="23:23" x14ac:dyDescent="0.55000000000000004">
      <c r="W6267"/>
    </row>
    <row r="6268" spans="23:23" x14ac:dyDescent="0.55000000000000004">
      <c r="W6268"/>
    </row>
    <row r="6269" spans="23:23" x14ac:dyDescent="0.55000000000000004">
      <c r="W6269"/>
    </row>
    <row r="6270" spans="23:23" x14ac:dyDescent="0.55000000000000004">
      <c r="W6270"/>
    </row>
    <row r="6271" spans="23:23" x14ac:dyDescent="0.55000000000000004">
      <c r="W6271"/>
    </row>
    <row r="6272" spans="23:23" x14ac:dyDescent="0.55000000000000004">
      <c r="W6272"/>
    </row>
    <row r="6273" spans="23:23" x14ac:dyDescent="0.55000000000000004">
      <c r="W6273"/>
    </row>
    <row r="6274" spans="23:23" x14ac:dyDescent="0.55000000000000004">
      <c r="W6274"/>
    </row>
    <row r="6275" spans="23:23" x14ac:dyDescent="0.55000000000000004">
      <c r="W6275"/>
    </row>
    <row r="6276" spans="23:23" x14ac:dyDescent="0.55000000000000004">
      <c r="W6276"/>
    </row>
    <row r="6277" spans="23:23" x14ac:dyDescent="0.55000000000000004">
      <c r="W6277"/>
    </row>
    <row r="6278" spans="23:23" x14ac:dyDescent="0.55000000000000004">
      <c r="W6278"/>
    </row>
    <row r="6279" spans="23:23" x14ac:dyDescent="0.55000000000000004">
      <c r="W6279"/>
    </row>
    <row r="6280" spans="23:23" x14ac:dyDescent="0.55000000000000004">
      <c r="W6280"/>
    </row>
    <row r="6281" spans="23:23" x14ac:dyDescent="0.55000000000000004">
      <c r="W6281"/>
    </row>
    <row r="6282" spans="23:23" x14ac:dyDescent="0.55000000000000004">
      <c r="W6282"/>
    </row>
    <row r="6283" spans="23:23" x14ac:dyDescent="0.55000000000000004">
      <c r="W6283"/>
    </row>
    <row r="6284" spans="23:23" x14ac:dyDescent="0.55000000000000004">
      <c r="W6284"/>
    </row>
    <row r="6285" spans="23:23" x14ac:dyDescent="0.55000000000000004">
      <c r="W6285"/>
    </row>
    <row r="6286" spans="23:23" x14ac:dyDescent="0.55000000000000004">
      <c r="W6286"/>
    </row>
    <row r="6287" spans="23:23" x14ac:dyDescent="0.55000000000000004">
      <c r="W6287"/>
    </row>
    <row r="6288" spans="23:23" x14ac:dyDescent="0.55000000000000004">
      <c r="W6288"/>
    </row>
    <row r="6289" spans="23:23" x14ac:dyDescent="0.55000000000000004">
      <c r="W6289"/>
    </row>
    <row r="6290" spans="23:23" x14ac:dyDescent="0.55000000000000004">
      <c r="W6290"/>
    </row>
    <row r="6291" spans="23:23" x14ac:dyDescent="0.55000000000000004">
      <c r="W6291"/>
    </row>
    <row r="6292" spans="23:23" x14ac:dyDescent="0.55000000000000004">
      <c r="W6292"/>
    </row>
    <row r="6293" spans="23:23" x14ac:dyDescent="0.55000000000000004">
      <c r="W6293"/>
    </row>
    <row r="6294" spans="23:23" x14ac:dyDescent="0.55000000000000004">
      <c r="W6294"/>
    </row>
    <row r="6295" spans="23:23" x14ac:dyDescent="0.55000000000000004">
      <c r="W6295"/>
    </row>
    <row r="6296" spans="23:23" x14ac:dyDescent="0.55000000000000004">
      <c r="W6296"/>
    </row>
    <row r="6297" spans="23:23" x14ac:dyDescent="0.55000000000000004">
      <c r="W6297"/>
    </row>
    <row r="6298" spans="23:23" x14ac:dyDescent="0.55000000000000004">
      <c r="W6298"/>
    </row>
    <row r="6299" spans="23:23" x14ac:dyDescent="0.55000000000000004">
      <c r="W6299"/>
    </row>
    <row r="6300" spans="23:23" x14ac:dyDescent="0.55000000000000004">
      <c r="W6300"/>
    </row>
    <row r="6301" spans="23:23" x14ac:dyDescent="0.55000000000000004">
      <c r="W6301"/>
    </row>
    <row r="6302" spans="23:23" x14ac:dyDescent="0.55000000000000004">
      <c r="W6302"/>
    </row>
    <row r="6303" spans="23:23" x14ac:dyDescent="0.55000000000000004">
      <c r="W6303"/>
    </row>
    <row r="6304" spans="23:23" x14ac:dyDescent="0.55000000000000004">
      <c r="W6304"/>
    </row>
    <row r="6305" spans="23:23" x14ac:dyDescent="0.55000000000000004">
      <c r="W6305"/>
    </row>
    <row r="6306" spans="23:23" x14ac:dyDescent="0.55000000000000004">
      <c r="W6306"/>
    </row>
    <row r="6307" spans="23:23" x14ac:dyDescent="0.55000000000000004">
      <c r="W6307"/>
    </row>
    <row r="6308" spans="23:23" x14ac:dyDescent="0.55000000000000004">
      <c r="W6308"/>
    </row>
    <row r="6309" spans="23:23" x14ac:dyDescent="0.55000000000000004">
      <c r="W6309"/>
    </row>
    <row r="6310" spans="23:23" x14ac:dyDescent="0.55000000000000004">
      <c r="W6310"/>
    </row>
    <row r="6311" spans="23:23" x14ac:dyDescent="0.55000000000000004">
      <c r="W6311"/>
    </row>
    <row r="6312" spans="23:23" x14ac:dyDescent="0.55000000000000004">
      <c r="W6312"/>
    </row>
    <row r="6313" spans="23:23" x14ac:dyDescent="0.55000000000000004">
      <c r="W6313"/>
    </row>
    <row r="6314" spans="23:23" x14ac:dyDescent="0.55000000000000004">
      <c r="W6314"/>
    </row>
    <row r="6315" spans="23:23" x14ac:dyDescent="0.55000000000000004">
      <c r="W6315"/>
    </row>
    <row r="6316" spans="23:23" x14ac:dyDescent="0.55000000000000004">
      <c r="W6316"/>
    </row>
    <row r="6317" spans="23:23" x14ac:dyDescent="0.55000000000000004">
      <c r="W6317"/>
    </row>
    <row r="6318" spans="23:23" x14ac:dyDescent="0.55000000000000004">
      <c r="W6318"/>
    </row>
    <row r="6319" spans="23:23" x14ac:dyDescent="0.55000000000000004">
      <c r="W6319"/>
    </row>
    <row r="6320" spans="23:23" x14ac:dyDescent="0.55000000000000004">
      <c r="W6320"/>
    </row>
    <row r="6321" spans="23:23" x14ac:dyDescent="0.55000000000000004">
      <c r="W6321"/>
    </row>
    <row r="6322" spans="23:23" x14ac:dyDescent="0.55000000000000004">
      <c r="W6322"/>
    </row>
    <row r="6323" spans="23:23" x14ac:dyDescent="0.55000000000000004">
      <c r="W6323"/>
    </row>
    <row r="6324" spans="23:23" x14ac:dyDescent="0.55000000000000004">
      <c r="W6324"/>
    </row>
    <row r="6325" spans="23:23" x14ac:dyDescent="0.55000000000000004">
      <c r="W6325"/>
    </row>
    <row r="6326" spans="23:23" x14ac:dyDescent="0.55000000000000004">
      <c r="W6326"/>
    </row>
    <row r="6327" spans="23:23" x14ac:dyDescent="0.55000000000000004">
      <c r="W6327"/>
    </row>
    <row r="6328" spans="23:23" x14ac:dyDescent="0.55000000000000004">
      <c r="W6328"/>
    </row>
    <row r="6329" spans="23:23" x14ac:dyDescent="0.55000000000000004">
      <c r="W6329"/>
    </row>
    <row r="6330" spans="23:23" x14ac:dyDescent="0.55000000000000004">
      <c r="W6330"/>
    </row>
    <row r="6331" spans="23:23" x14ac:dyDescent="0.55000000000000004">
      <c r="W6331"/>
    </row>
    <row r="6332" spans="23:23" x14ac:dyDescent="0.55000000000000004">
      <c r="W6332"/>
    </row>
    <row r="6333" spans="23:23" x14ac:dyDescent="0.55000000000000004">
      <c r="W6333"/>
    </row>
    <row r="6334" spans="23:23" x14ac:dyDescent="0.55000000000000004">
      <c r="W6334"/>
    </row>
    <row r="6335" spans="23:23" x14ac:dyDescent="0.55000000000000004">
      <c r="W6335"/>
    </row>
    <row r="6336" spans="23:23" x14ac:dyDescent="0.55000000000000004">
      <c r="W6336"/>
    </row>
    <row r="6337" spans="23:23" x14ac:dyDescent="0.55000000000000004">
      <c r="W6337"/>
    </row>
    <row r="6338" spans="23:23" x14ac:dyDescent="0.55000000000000004">
      <c r="W6338"/>
    </row>
    <row r="6339" spans="23:23" x14ac:dyDescent="0.55000000000000004">
      <c r="W6339"/>
    </row>
    <row r="6340" spans="23:23" x14ac:dyDescent="0.55000000000000004">
      <c r="W6340"/>
    </row>
    <row r="6341" spans="23:23" x14ac:dyDescent="0.55000000000000004">
      <c r="W6341"/>
    </row>
    <row r="6342" spans="23:23" x14ac:dyDescent="0.55000000000000004">
      <c r="W6342"/>
    </row>
    <row r="6343" spans="23:23" x14ac:dyDescent="0.55000000000000004">
      <c r="W6343"/>
    </row>
    <row r="6344" spans="23:23" x14ac:dyDescent="0.55000000000000004">
      <c r="W6344"/>
    </row>
    <row r="6345" spans="23:23" x14ac:dyDescent="0.55000000000000004">
      <c r="W6345"/>
    </row>
    <row r="6346" spans="23:23" x14ac:dyDescent="0.55000000000000004">
      <c r="W6346"/>
    </row>
    <row r="6347" spans="23:23" x14ac:dyDescent="0.55000000000000004">
      <c r="W6347"/>
    </row>
    <row r="6348" spans="23:23" x14ac:dyDescent="0.55000000000000004">
      <c r="W6348"/>
    </row>
    <row r="6349" spans="23:23" x14ac:dyDescent="0.55000000000000004">
      <c r="W6349"/>
    </row>
    <row r="6350" spans="23:23" x14ac:dyDescent="0.55000000000000004">
      <c r="W6350"/>
    </row>
    <row r="6351" spans="23:23" x14ac:dyDescent="0.55000000000000004">
      <c r="W6351"/>
    </row>
    <row r="6352" spans="23:23" x14ac:dyDescent="0.55000000000000004">
      <c r="W6352"/>
    </row>
    <row r="6353" spans="23:23" x14ac:dyDescent="0.55000000000000004">
      <c r="W6353"/>
    </row>
    <row r="6354" spans="23:23" x14ac:dyDescent="0.55000000000000004">
      <c r="W6354"/>
    </row>
    <row r="6355" spans="23:23" x14ac:dyDescent="0.55000000000000004">
      <c r="W6355"/>
    </row>
    <row r="6356" spans="23:23" x14ac:dyDescent="0.55000000000000004">
      <c r="W6356"/>
    </row>
    <row r="6357" spans="23:23" x14ac:dyDescent="0.55000000000000004">
      <c r="W6357"/>
    </row>
    <row r="6358" spans="23:23" x14ac:dyDescent="0.55000000000000004">
      <c r="W6358"/>
    </row>
    <row r="6359" spans="23:23" x14ac:dyDescent="0.55000000000000004">
      <c r="W6359"/>
    </row>
    <row r="6360" spans="23:23" x14ac:dyDescent="0.55000000000000004">
      <c r="W6360"/>
    </row>
    <row r="6361" spans="23:23" x14ac:dyDescent="0.55000000000000004">
      <c r="W6361"/>
    </row>
    <row r="6362" spans="23:23" x14ac:dyDescent="0.55000000000000004">
      <c r="W6362"/>
    </row>
    <row r="6363" spans="23:23" x14ac:dyDescent="0.55000000000000004">
      <c r="W6363"/>
    </row>
    <row r="6364" spans="23:23" x14ac:dyDescent="0.55000000000000004">
      <c r="W6364"/>
    </row>
    <row r="6365" spans="23:23" x14ac:dyDescent="0.55000000000000004">
      <c r="W6365"/>
    </row>
    <row r="6366" spans="23:23" x14ac:dyDescent="0.55000000000000004">
      <c r="W6366"/>
    </row>
    <row r="6367" spans="23:23" x14ac:dyDescent="0.55000000000000004">
      <c r="W6367"/>
    </row>
    <row r="6368" spans="23:23" x14ac:dyDescent="0.55000000000000004">
      <c r="W6368"/>
    </row>
    <row r="6369" spans="23:23" x14ac:dyDescent="0.55000000000000004">
      <c r="W6369"/>
    </row>
    <row r="6370" spans="23:23" x14ac:dyDescent="0.55000000000000004">
      <c r="W6370"/>
    </row>
    <row r="6371" spans="23:23" x14ac:dyDescent="0.55000000000000004">
      <c r="W6371"/>
    </row>
    <row r="6372" spans="23:23" x14ac:dyDescent="0.55000000000000004">
      <c r="W6372"/>
    </row>
    <row r="6373" spans="23:23" x14ac:dyDescent="0.55000000000000004">
      <c r="W6373"/>
    </row>
    <row r="6374" spans="23:23" x14ac:dyDescent="0.55000000000000004">
      <c r="W6374"/>
    </row>
    <row r="6375" spans="23:23" x14ac:dyDescent="0.55000000000000004">
      <c r="W6375"/>
    </row>
    <row r="6376" spans="23:23" x14ac:dyDescent="0.55000000000000004">
      <c r="W6376"/>
    </row>
    <row r="6377" spans="23:23" x14ac:dyDescent="0.55000000000000004">
      <c r="W6377"/>
    </row>
    <row r="6378" spans="23:23" x14ac:dyDescent="0.55000000000000004">
      <c r="W6378"/>
    </row>
    <row r="6379" spans="23:23" x14ac:dyDescent="0.55000000000000004">
      <c r="W6379"/>
    </row>
    <row r="6380" spans="23:23" x14ac:dyDescent="0.55000000000000004">
      <c r="W6380"/>
    </row>
    <row r="6381" spans="23:23" x14ac:dyDescent="0.55000000000000004">
      <c r="W6381"/>
    </row>
    <row r="6382" spans="23:23" x14ac:dyDescent="0.55000000000000004">
      <c r="W6382"/>
    </row>
    <row r="6383" spans="23:23" x14ac:dyDescent="0.55000000000000004">
      <c r="W6383"/>
    </row>
    <row r="6384" spans="23:23" x14ac:dyDescent="0.55000000000000004">
      <c r="W6384"/>
    </row>
    <row r="6385" spans="23:23" x14ac:dyDescent="0.55000000000000004">
      <c r="W6385"/>
    </row>
    <row r="6386" spans="23:23" x14ac:dyDescent="0.55000000000000004">
      <c r="W6386"/>
    </row>
    <row r="6387" spans="23:23" x14ac:dyDescent="0.55000000000000004">
      <c r="W6387"/>
    </row>
    <row r="6388" spans="23:23" x14ac:dyDescent="0.55000000000000004">
      <c r="W6388"/>
    </row>
    <row r="6389" spans="23:23" x14ac:dyDescent="0.55000000000000004">
      <c r="W6389"/>
    </row>
    <row r="6390" spans="23:23" x14ac:dyDescent="0.55000000000000004">
      <c r="W6390"/>
    </row>
    <row r="6391" spans="23:23" x14ac:dyDescent="0.55000000000000004">
      <c r="W6391"/>
    </row>
    <row r="6392" spans="23:23" x14ac:dyDescent="0.55000000000000004">
      <c r="W6392"/>
    </row>
    <row r="6393" spans="23:23" x14ac:dyDescent="0.55000000000000004">
      <c r="W6393"/>
    </row>
    <row r="6394" spans="23:23" x14ac:dyDescent="0.55000000000000004">
      <c r="W6394"/>
    </row>
    <row r="6395" spans="23:23" x14ac:dyDescent="0.55000000000000004">
      <c r="W6395"/>
    </row>
    <row r="6396" spans="23:23" x14ac:dyDescent="0.55000000000000004">
      <c r="W6396"/>
    </row>
    <row r="6397" spans="23:23" x14ac:dyDescent="0.55000000000000004">
      <c r="W6397"/>
    </row>
    <row r="6398" spans="23:23" x14ac:dyDescent="0.55000000000000004">
      <c r="W6398"/>
    </row>
    <row r="6399" spans="23:23" x14ac:dyDescent="0.55000000000000004">
      <c r="W6399"/>
    </row>
    <row r="6400" spans="23:23" x14ac:dyDescent="0.55000000000000004">
      <c r="W6400"/>
    </row>
    <row r="6401" spans="23:23" x14ac:dyDescent="0.55000000000000004">
      <c r="W6401"/>
    </row>
    <row r="6402" spans="23:23" x14ac:dyDescent="0.55000000000000004">
      <c r="W6402"/>
    </row>
    <row r="6403" spans="23:23" x14ac:dyDescent="0.55000000000000004">
      <c r="W6403"/>
    </row>
    <row r="6404" spans="23:23" x14ac:dyDescent="0.55000000000000004">
      <c r="W6404"/>
    </row>
    <row r="6405" spans="23:23" x14ac:dyDescent="0.55000000000000004">
      <c r="W6405"/>
    </row>
    <row r="6406" spans="23:23" x14ac:dyDescent="0.55000000000000004">
      <c r="W6406"/>
    </row>
    <row r="6407" spans="23:23" x14ac:dyDescent="0.55000000000000004">
      <c r="W6407"/>
    </row>
    <row r="6408" spans="23:23" x14ac:dyDescent="0.55000000000000004">
      <c r="W6408"/>
    </row>
    <row r="6409" spans="23:23" x14ac:dyDescent="0.55000000000000004">
      <c r="W6409"/>
    </row>
    <row r="6410" spans="23:23" x14ac:dyDescent="0.55000000000000004">
      <c r="W6410"/>
    </row>
    <row r="6411" spans="23:23" x14ac:dyDescent="0.55000000000000004">
      <c r="W6411"/>
    </row>
    <row r="6412" spans="23:23" x14ac:dyDescent="0.55000000000000004">
      <c r="W6412"/>
    </row>
    <row r="6413" spans="23:23" x14ac:dyDescent="0.55000000000000004">
      <c r="W6413"/>
    </row>
    <row r="6414" spans="23:23" x14ac:dyDescent="0.55000000000000004">
      <c r="W6414"/>
    </row>
    <row r="6415" spans="23:23" x14ac:dyDescent="0.55000000000000004">
      <c r="W6415"/>
    </row>
    <row r="6416" spans="23:23" x14ac:dyDescent="0.55000000000000004">
      <c r="W6416"/>
    </row>
    <row r="6417" spans="23:23" x14ac:dyDescent="0.55000000000000004">
      <c r="W6417"/>
    </row>
    <row r="6418" spans="23:23" x14ac:dyDescent="0.55000000000000004">
      <c r="W6418"/>
    </row>
    <row r="6419" spans="23:23" x14ac:dyDescent="0.55000000000000004">
      <c r="W6419"/>
    </row>
    <row r="6420" spans="23:23" x14ac:dyDescent="0.55000000000000004">
      <c r="W6420"/>
    </row>
    <row r="6421" spans="23:23" x14ac:dyDescent="0.55000000000000004">
      <c r="W6421"/>
    </row>
    <row r="6422" spans="23:23" x14ac:dyDescent="0.55000000000000004">
      <c r="W6422"/>
    </row>
    <row r="6423" spans="23:23" x14ac:dyDescent="0.55000000000000004">
      <c r="W6423"/>
    </row>
    <row r="6424" spans="23:23" x14ac:dyDescent="0.55000000000000004">
      <c r="W6424"/>
    </row>
    <row r="6425" spans="23:23" x14ac:dyDescent="0.55000000000000004">
      <c r="W6425"/>
    </row>
    <row r="6426" spans="23:23" x14ac:dyDescent="0.55000000000000004">
      <c r="W6426"/>
    </row>
    <row r="6427" spans="23:23" x14ac:dyDescent="0.55000000000000004">
      <c r="W6427"/>
    </row>
    <row r="6428" spans="23:23" x14ac:dyDescent="0.55000000000000004">
      <c r="W6428"/>
    </row>
    <row r="6429" spans="23:23" x14ac:dyDescent="0.55000000000000004">
      <c r="W6429"/>
    </row>
    <row r="6430" spans="23:23" x14ac:dyDescent="0.55000000000000004">
      <c r="W6430"/>
    </row>
    <row r="6431" spans="23:23" x14ac:dyDescent="0.55000000000000004">
      <c r="W6431"/>
    </row>
    <row r="6432" spans="23:23" x14ac:dyDescent="0.55000000000000004">
      <c r="W6432"/>
    </row>
    <row r="6433" spans="23:23" x14ac:dyDescent="0.55000000000000004">
      <c r="W6433"/>
    </row>
    <row r="6434" spans="23:23" x14ac:dyDescent="0.55000000000000004">
      <c r="W6434"/>
    </row>
    <row r="6435" spans="23:23" x14ac:dyDescent="0.55000000000000004">
      <c r="W6435"/>
    </row>
    <row r="6436" spans="23:23" x14ac:dyDescent="0.55000000000000004">
      <c r="W6436"/>
    </row>
    <row r="6437" spans="23:23" x14ac:dyDescent="0.55000000000000004">
      <c r="W6437"/>
    </row>
    <row r="6438" spans="23:23" x14ac:dyDescent="0.55000000000000004">
      <c r="W6438"/>
    </row>
    <row r="6439" spans="23:23" x14ac:dyDescent="0.55000000000000004">
      <c r="W6439"/>
    </row>
    <row r="6440" spans="23:23" x14ac:dyDescent="0.55000000000000004">
      <c r="W6440"/>
    </row>
    <row r="6441" spans="23:23" x14ac:dyDescent="0.55000000000000004">
      <c r="W6441"/>
    </row>
    <row r="6442" spans="23:23" x14ac:dyDescent="0.55000000000000004">
      <c r="W6442"/>
    </row>
    <row r="6443" spans="23:23" x14ac:dyDescent="0.55000000000000004">
      <c r="W6443"/>
    </row>
    <row r="6444" spans="23:23" x14ac:dyDescent="0.55000000000000004">
      <c r="W6444"/>
    </row>
    <row r="6445" spans="23:23" x14ac:dyDescent="0.55000000000000004">
      <c r="W6445"/>
    </row>
    <row r="6446" spans="23:23" x14ac:dyDescent="0.55000000000000004">
      <c r="W6446"/>
    </row>
    <row r="6447" spans="23:23" x14ac:dyDescent="0.55000000000000004">
      <c r="W6447"/>
    </row>
    <row r="6448" spans="23:23" x14ac:dyDescent="0.55000000000000004">
      <c r="W6448"/>
    </row>
    <row r="6449" spans="23:23" x14ac:dyDescent="0.55000000000000004">
      <c r="W6449"/>
    </row>
    <row r="6450" spans="23:23" x14ac:dyDescent="0.55000000000000004">
      <c r="W6450"/>
    </row>
    <row r="6451" spans="23:23" x14ac:dyDescent="0.55000000000000004">
      <c r="W6451"/>
    </row>
    <row r="6452" spans="23:23" x14ac:dyDescent="0.55000000000000004">
      <c r="W6452"/>
    </row>
    <row r="6453" spans="23:23" x14ac:dyDescent="0.55000000000000004">
      <c r="W6453"/>
    </row>
    <row r="6454" spans="23:23" x14ac:dyDescent="0.55000000000000004">
      <c r="W6454"/>
    </row>
    <row r="6455" spans="23:23" x14ac:dyDescent="0.55000000000000004">
      <c r="W6455"/>
    </row>
    <row r="6456" spans="23:23" x14ac:dyDescent="0.55000000000000004">
      <c r="W6456"/>
    </row>
    <row r="6457" spans="23:23" x14ac:dyDescent="0.55000000000000004">
      <c r="W6457"/>
    </row>
    <row r="6458" spans="23:23" x14ac:dyDescent="0.55000000000000004">
      <c r="W6458"/>
    </row>
    <row r="6459" spans="23:23" x14ac:dyDescent="0.55000000000000004">
      <c r="W6459"/>
    </row>
    <row r="6460" spans="23:23" x14ac:dyDescent="0.55000000000000004">
      <c r="W6460"/>
    </row>
    <row r="6461" spans="23:23" x14ac:dyDescent="0.55000000000000004">
      <c r="W6461"/>
    </row>
    <row r="6462" spans="23:23" x14ac:dyDescent="0.55000000000000004">
      <c r="W6462"/>
    </row>
    <row r="6463" spans="23:23" x14ac:dyDescent="0.55000000000000004">
      <c r="W6463"/>
    </row>
    <row r="6464" spans="23:23" x14ac:dyDescent="0.55000000000000004">
      <c r="W6464"/>
    </row>
    <row r="6465" spans="23:23" x14ac:dyDescent="0.55000000000000004">
      <c r="W6465"/>
    </row>
    <row r="6466" spans="23:23" x14ac:dyDescent="0.55000000000000004">
      <c r="W6466"/>
    </row>
    <row r="6467" spans="23:23" x14ac:dyDescent="0.55000000000000004">
      <c r="W6467"/>
    </row>
    <row r="6468" spans="23:23" x14ac:dyDescent="0.55000000000000004">
      <c r="W6468"/>
    </row>
    <row r="6469" spans="23:23" x14ac:dyDescent="0.55000000000000004">
      <c r="W6469"/>
    </row>
    <row r="6470" spans="23:23" x14ac:dyDescent="0.55000000000000004">
      <c r="W6470"/>
    </row>
    <row r="6471" spans="23:23" x14ac:dyDescent="0.55000000000000004">
      <c r="W6471"/>
    </row>
    <row r="6472" spans="23:23" x14ac:dyDescent="0.55000000000000004">
      <c r="W6472"/>
    </row>
    <row r="6473" spans="23:23" x14ac:dyDescent="0.55000000000000004">
      <c r="W6473"/>
    </row>
    <row r="6474" spans="23:23" x14ac:dyDescent="0.55000000000000004">
      <c r="W6474"/>
    </row>
    <row r="6475" spans="23:23" x14ac:dyDescent="0.55000000000000004">
      <c r="W6475"/>
    </row>
    <row r="6476" spans="23:23" x14ac:dyDescent="0.55000000000000004">
      <c r="W6476"/>
    </row>
    <row r="6477" spans="23:23" x14ac:dyDescent="0.55000000000000004">
      <c r="W6477"/>
    </row>
    <row r="6478" spans="23:23" x14ac:dyDescent="0.55000000000000004">
      <c r="W6478"/>
    </row>
    <row r="6479" spans="23:23" x14ac:dyDescent="0.55000000000000004">
      <c r="W6479"/>
    </row>
    <row r="6480" spans="23:23" x14ac:dyDescent="0.55000000000000004">
      <c r="W6480"/>
    </row>
    <row r="6481" spans="23:23" x14ac:dyDescent="0.55000000000000004">
      <c r="W6481"/>
    </row>
    <row r="6482" spans="23:23" x14ac:dyDescent="0.55000000000000004">
      <c r="W6482"/>
    </row>
    <row r="6483" spans="23:23" x14ac:dyDescent="0.55000000000000004">
      <c r="W6483"/>
    </row>
    <row r="6484" spans="23:23" x14ac:dyDescent="0.55000000000000004">
      <c r="W6484"/>
    </row>
    <row r="6485" spans="23:23" x14ac:dyDescent="0.55000000000000004">
      <c r="W6485"/>
    </row>
    <row r="6486" spans="23:23" x14ac:dyDescent="0.55000000000000004">
      <c r="W6486"/>
    </row>
    <row r="6487" spans="23:23" x14ac:dyDescent="0.55000000000000004">
      <c r="W6487"/>
    </row>
    <row r="6488" spans="23:23" x14ac:dyDescent="0.55000000000000004">
      <c r="W6488"/>
    </row>
    <row r="6489" spans="23:23" x14ac:dyDescent="0.55000000000000004">
      <c r="W6489"/>
    </row>
    <row r="6490" spans="23:23" x14ac:dyDescent="0.55000000000000004">
      <c r="W6490"/>
    </row>
    <row r="6491" spans="23:23" x14ac:dyDescent="0.55000000000000004">
      <c r="W6491"/>
    </row>
    <row r="6492" spans="23:23" x14ac:dyDescent="0.55000000000000004">
      <c r="W6492"/>
    </row>
    <row r="6493" spans="23:23" x14ac:dyDescent="0.55000000000000004">
      <c r="W6493"/>
    </row>
    <row r="6494" spans="23:23" x14ac:dyDescent="0.55000000000000004">
      <c r="W6494"/>
    </row>
    <row r="6495" spans="23:23" x14ac:dyDescent="0.55000000000000004">
      <c r="W6495"/>
    </row>
    <row r="6496" spans="23:23" x14ac:dyDescent="0.55000000000000004">
      <c r="W6496"/>
    </row>
    <row r="6497" spans="23:23" x14ac:dyDescent="0.55000000000000004">
      <c r="W6497"/>
    </row>
    <row r="6498" spans="23:23" x14ac:dyDescent="0.55000000000000004">
      <c r="W6498"/>
    </row>
    <row r="6499" spans="23:23" x14ac:dyDescent="0.55000000000000004">
      <c r="W6499"/>
    </row>
    <row r="6500" spans="23:23" x14ac:dyDescent="0.55000000000000004">
      <c r="W6500"/>
    </row>
    <row r="6501" spans="23:23" x14ac:dyDescent="0.55000000000000004">
      <c r="W6501"/>
    </row>
    <row r="6502" spans="23:23" x14ac:dyDescent="0.55000000000000004">
      <c r="W6502"/>
    </row>
    <row r="6503" spans="23:23" x14ac:dyDescent="0.55000000000000004">
      <c r="W6503"/>
    </row>
    <row r="6504" spans="23:23" x14ac:dyDescent="0.55000000000000004">
      <c r="W6504"/>
    </row>
    <row r="6505" spans="23:23" x14ac:dyDescent="0.55000000000000004">
      <c r="W6505"/>
    </row>
    <row r="6506" spans="23:23" x14ac:dyDescent="0.55000000000000004">
      <c r="W6506"/>
    </row>
    <row r="6507" spans="23:23" x14ac:dyDescent="0.55000000000000004">
      <c r="W6507"/>
    </row>
    <row r="6508" spans="23:23" x14ac:dyDescent="0.55000000000000004">
      <c r="W6508"/>
    </row>
    <row r="6509" spans="23:23" x14ac:dyDescent="0.55000000000000004">
      <c r="W6509"/>
    </row>
    <row r="6510" spans="23:23" x14ac:dyDescent="0.55000000000000004">
      <c r="W6510"/>
    </row>
    <row r="6511" spans="23:23" x14ac:dyDescent="0.55000000000000004">
      <c r="W6511"/>
    </row>
    <row r="6512" spans="23:23" x14ac:dyDescent="0.55000000000000004">
      <c r="W6512"/>
    </row>
    <row r="6513" spans="23:23" x14ac:dyDescent="0.55000000000000004">
      <c r="W6513"/>
    </row>
    <row r="6514" spans="23:23" x14ac:dyDescent="0.55000000000000004">
      <c r="W6514"/>
    </row>
    <row r="6515" spans="23:23" x14ac:dyDescent="0.55000000000000004">
      <c r="W6515"/>
    </row>
    <row r="6516" spans="23:23" x14ac:dyDescent="0.55000000000000004">
      <c r="W6516"/>
    </row>
    <row r="6517" spans="23:23" x14ac:dyDescent="0.55000000000000004">
      <c r="W6517"/>
    </row>
    <row r="6518" spans="23:23" x14ac:dyDescent="0.55000000000000004">
      <c r="W6518"/>
    </row>
    <row r="6519" spans="23:23" x14ac:dyDescent="0.55000000000000004">
      <c r="W6519"/>
    </row>
    <row r="6520" spans="23:23" x14ac:dyDescent="0.55000000000000004">
      <c r="W6520"/>
    </row>
    <row r="6521" spans="23:23" x14ac:dyDescent="0.55000000000000004">
      <c r="W6521"/>
    </row>
    <row r="6522" spans="23:23" x14ac:dyDescent="0.55000000000000004">
      <c r="W6522"/>
    </row>
    <row r="6523" spans="23:23" x14ac:dyDescent="0.55000000000000004">
      <c r="W6523"/>
    </row>
    <row r="6524" spans="23:23" x14ac:dyDescent="0.55000000000000004">
      <c r="W6524"/>
    </row>
    <row r="6525" spans="23:23" x14ac:dyDescent="0.55000000000000004">
      <c r="W6525"/>
    </row>
    <row r="6526" spans="23:23" x14ac:dyDescent="0.55000000000000004">
      <c r="W6526"/>
    </row>
    <row r="6527" spans="23:23" x14ac:dyDescent="0.55000000000000004">
      <c r="W6527"/>
    </row>
    <row r="6528" spans="23:23" x14ac:dyDescent="0.55000000000000004">
      <c r="W6528"/>
    </row>
    <row r="6529" spans="23:23" x14ac:dyDescent="0.55000000000000004">
      <c r="W6529"/>
    </row>
    <row r="6530" spans="23:23" x14ac:dyDescent="0.55000000000000004">
      <c r="W6530"/>
    </row>
    <row r="6531" spans="23:23" x14ac:dyDescent="0.55000000000000004">
      <c r="W6531"/>
    </row>
    <row r="6532" spans="23:23" x14ac:dyDescent="0.55000000000000004">
      <c r="W6532"/>
    </row>
    <row r="6533" spans="23:23" x14ac:dyDescent="0.55000000000000004">
      <c r="W6533"/>
    </row>
    <row r="6534" spans="23:23" x14ac:dyDescent="0.55000000000000004">
      <c r="W6534"/>
    </row>
    <row r="6535" spans="23:23" x14ac:dyDescent="0.55000000000000004">
      <c r="W6535"/>
    </row>
    <row r="6536" spans="23:23" x14ac:dyDescent="0.55000000000000004">
      <c r="W6536"/>
    </row>
    <row r="6537" spans="23:23" x14ac:dyDescent="0.55000000000000004">
      <c r="W6537"/>
    </row>
    <row r="6538" spans="23:23" x14ac:dyDescent="0.55000000000000004">
      <c r="W6538"/>
    </row>
    <row r="6539" spans="23:23" x14ac:dyDescent="0.55000000000000004">
      <c r="W6539"/>
    </row>
    <row r="6540" spans="23:23" x14ac:dyDescent="0.55000000000000004">
      <c r="W6540"/>
    </row>
    <row r="6541" spans="23:23" x14ac:dyDescent="0.55000000000000004">
      <c r="W6541"/>
    </row>
    <row r="6542" spans="23:23" x14ac:dyDescent="0.55000000000000004">
      <c r="W6542"/>
    </row>
    <row r="6543" spans="23:23" x14ac:dyDescent="0.55000000000000004">
      <c r="W6543"/>
    </row>
    <row r="6544" spans="23:23" x14ac:dyDescent="0.55000000000000004">
      <c r="W6544"/>
    </row>
    <row r="6545" spans="23:23" x14ac:dyDescent="0.55000000000000004">
      <c r="W6545"/>
    </row>
    <row r="6546" spans="23:23" x14ac:dyDescent="0.55000000000000004">
      <c r="W6546"/>
    </row>
    <row r="6547" spans="23:23" x14ac:dyDescent="0.55000000000000004">
      <c r="W6547"/>
    </row>
    <row r="6548" spans="23:23" x14ac:dyDescent="0.55000000000000004">
      <c r="W6548"/>
    </row>
    <row r="6549" spans="23:23" x14ac:dyDescent="0.55000000000000004">
      <c r="W6549"/>
    </row>
    <row r="6550" spans="23:23" x14ac:dyDescent="0.55000000000000004">
      <c r="W6550"/>
    </row>
    <row r="6551" spans="23:23" x14ac:dyDescent="0.55000000000000004">
      <c r="W6551"/>
    </row>
    <row r="6552" spans="23:23" x14ac:dyDescent="0.55000000000000004">
      <c r="W6552"/>
    </row>
    <row r="6553" spans="23:23" x14ac:dyDescent="0.55000000000000004">
      <c r="W6553"/>
    </row>
    <row r="6554" spans="23:23" x14ac:dyDescent="0.55000000000000004">
      <c r="W6554"/>
    </row>
    <row r="6555" spans="23:23" x14ac:dyDescent="0.55000000000000004">
      <c r="W6555"/>
    </row>
    <row r="6556" spans="23:23" x14ac:dyDescent="0.55000000000000004">
      <c r="W6556"/>
    </row>
    <row r="6557" spans="23:23" x14ac:dyDescent="0.55000000000000004">
      <c r="W6557"/>
    </row>
    <row r="6558" spans="23:23" x14ac:dyDescent="0.55000000000000004">
      <c r="W6558"/>
    </row>
    <row r="6559" spans="23:23" x14ac:dyDescent="0.55000000000000004">
      <c r="W6559"/>
    </row>
    <row r="6560" spans="23:23" x14ac:dyDescent="0.55000000000000004">
      <c r="W6560"/>
    </row>
    <row r="6561" spans="23:23" x14ac:dyDescent="0.55000000000000004">
      <c r="W6561"/>
    </row>
    <row r="6562" spans="23:23" x14ac:dyDescent="0.55000000000000004">
      <c r="W6562"/>
    </row>
    <row r="6563" spans="23:23" x14ac:dyDescent="0.55000000000000004">
      <c r="W6563"/>
    </row>
    <row r="6564" spans="23:23" x14ac:dyDescent="0.55000000000000004">
      <c r="W6564"/>
    </row>
    <row r="6565" spans="23:23" x14ac:dyDescent="0.55000000000000004">
      <c r="W6565"/>
    </row>
    <row r="6566" spans="23:23" x14ac:dyDescent="0.55000000000000004">
      <c r="W6566"/>
    </row>
    <row r="6567" spans="23:23" x14ac:dyDescent="0.55000000000000004">
      <c r="W6567"/>
    </row>
    <row r="6568" spans="23:23" x14ac:dyDescent="0.55000000000000004">
      <c r="W6568"/>
    </row>
    <row r="6569" spans="23:23" x14ac:dyDescent="0.55000000000000004">
      <c r="W6569"/>
    </row>
    <row r="6570" spans="23:23" x14ac:dyDescent="0.55000000000000004">
      <c r="W6570"/>
    </row>
    <row r="6571" spans="23:23" x14ac:dyDescent="0.55000000000000004">
      <c r="W6571"/>
    </row>
    <row r="6572" spans="23:23" x14ac:dyDescent="0.55000000000000004">
      <c r="W6572"/>
    </row>
    <row r="6573" spans="23:23" x14ac:dyDescent="0.55000000000000004">
      <c r="W6573"/>
    </row>
    <row r="6574" spans="23:23" x14ac:dyDescent="0.55000000000000004">
      <c r="W6574"/>
    </row>
    <row r="6575" spans="23:23" x14ac:dyDescent="0.55000000000000004">
      <c r="W6575"/>
    </row>
    <row r="6576" spans="23:23" x14ac:dyDescent="0.55000000000000004">
      <c r="W6576"/>
    </row>
    <row r="6577" spans="23:23" x14ac:dyDescent="0.55000000000000004">
      <c r="W6577"/>
    </row>
    <row r="6578" spans="23:23" x14ac:dyDescent="0.55000000000000004">
      <c r="W6578"/>
    </row>
    <row r="6579" spans="23:23" x14ac:dyDescent="0.55000000000000004">
      <c r="W6579"/>
    </row>
    <row r="6580" spans="23:23" x14ac:dyDescent="0.55000000000000004">
      <c r="W6580"/>
    </row>
    <row r="6581" spans="23:23" x14ac:dyDescent="0.55000000000000004">
      <c r="W6581"/>
    </row>
    <row r="6582" spans="23:23" x14ac:dyDescent="0.55000000000000004">
      <c r="W6582"/>
    </row>
    <row r="6583" spans="23:23" x14ac:dyDescent="0.55000000000000004">
      <c r="W6583"/>
    </row>
    <row r="6584" spans="23:23" x14ac:dyDescent="0.55000000000000004">
      <c r="W6584"/>
    </row>
    <row r="6585" spans="23:23" x14ac:dyDescent="0.55000000000000004">
      <c r="W6585"/>
    </row>
    <row r="6586" spans="23:23" x14ac:dyDescent="0.55000000000000004">
      <c r="W6586"/>
    </row>
    <row r="6587" spans="23:23" x14ac:dyDescent="0.55000000000000004">
      <c r="W6587"/>
    </row>
    <row r="6588" spans="23:23" x14ac:dyDescent="0.55000000000000004">
      <c r="W6588"/>
    </row>
    <row r="6589" spans="23:23" x14ac:dyDescent="0.55000000000000004">
      <c r="W6589"/>
    </row>
    <row r="6590" spans="23:23" x14ac:dyDescent="0.55000000000000004">
      <c r="W6590"/>
    </row>
    <row r="6591" spans="23:23" x14ac:dyDescent="0.55000000000000004">
      <c r="W6591"/>
    </row>
    <row r="6592" spans="23:23" x14ac:dyDescent="0.55000000000000004">
      <c r="W6592"/>
    </row>
    <row r="6593" spans="23:23" x14ac:dyDescent="0.55000000000000004">
      <c r="W6593"/>
    </row>
    <row r="6594" spans="23:23" x14ac:dyDescent="0.55000000000000004">
      <c r="W6594"/>
    </row>
    <row r="6595" spans="23:23" x14ac:dyDescent="0.55000000000000004">
      <c r="W6595"/>
    </row>
    <row r="6596" spans="23:23" x14ac:dyDescent="0.55000000000000004">
      <c r="W6596"/>
    </row>
    <row r="6597" spans="23:23" x14ac:dyDescent="0.55000000000000004">
      <c r="W6597"/>
    </row>
    <row r="6598" spans="23:23" x14ac:dyDescent="0.55000000000000004">
      <c r="W6598"/>
    </row>
    <row r="6599" spans="23:23" x14ac:dyDescent="0.55000000000000004">
      <c r="W6599"/>
    </row>
    <row r="6600" spans="23:23" x14ac:dyDescent="0.55000000000000004">
      <c r="W6600"/>
    </row>
    <row r="6601" spans="23:23" x14ac:dyDescent="0.55000000000000004">
      <c r="W6601"/>
    </row>
    <row r="6602" spans="23:23" x14ac:dyDescent="0.55000000000000004">
      <c r="W6602"/>
    </row>
    <row r="6603" spans="23:23" x14ac:dyDescent="0.55000000000000004">
      <c r="W6603"/>
    </row>
    <row r="6604" spans="23:23" x14ac:dyDescent="0.55000000000000004">
      <c r="W6604"/>
    </row>
    <row r="6605" spans="23:23" x14ac:dyDescent="0.55000000000000004">
      <c r="W6605"/>
    </row>
    <row r="6606" spans="23:23" x14ac:dyDescent="0.55000000000000004">
      <c r="W6606"/>
    </row>
    <row r="6607" spans="23:23" x14ac:dyDescent="0.55000000000000004">
      <c r="W6607"/>
    </row>
    <row r="6608" spans="23:23" x14ac:dyDescent="0.55000000000000004">
      <c r="W6608"/>
    </row>
    <row r="6609" spans="23:23" x14ac:dyDescent="0.55000000000000004">
      <c r="W6609"/>
    </row>
    <row r="6610" spans="23:23" x14ac:dyDescent="0.55000000000000004">
      <c r="W6610"/>
    </row>
    <row r="6611" spans="23:23" x14ac:dyDescent="0.55000000000000004">
      <c r="W6611"/>
    </row>
    <row r="6612" spans="23:23" x14ac:dyDescent="0.55000000000000004">
      <c r="W6612"/>
    </row>
    <row r="6613" spans="23:23" x14ac:dyDescent="0.55000000000000004">
      <c r="W6613"/>
    </row>
    <row r="6614" spans="23:23" x14ac:dyDescent="0.55000000000000004">
      <c r="W6614"/>
    </row>
    <row r="6615" spans="23:23" x14ac:dyDescent="0.55000000000000004">
      <c r="W6615"/>
    </row>
    <row r="6616" spans="23:23" x14ac:dyDescent="0.55000000000000004">
      <c r="W6616"/>
    </row>
    <row r="6617" spans="23:23" x14ac:dyDescent="0.55000000000000004">
      <c r="W6617"/>
    </row>
    <row r="6618" spans="23:23" x14ac:dyDescent="0.55000000000000004">
      <c r="W6618"/>
    </row>
    <row r="6619" spans="23:23" x14ac:dyDescent="0.55000000000000004">
      <c r="W6619"/>
    </row>
    <row r="6620" spans="23:23" x14ac:dyDescent="0.55000000000000004">
      <c r="W6620"/>
    </row>
    <row r="6621" spans="23:23" x14ac:dyDescent="0.55000000000000004">
      <c r="W6621"/>
    </row>
    <row r="6622" spans="23:23" x14ac:dyDescent="0.55000000000000004">
      <c r="W6622"/>
    </row>
    <row r="6623" spans="23:23" x14ac:dyDescent="0.55000000000000004">
      <c r="W6623"/>
    </row>
    <row r="6624" spans="23:23" x14ac:dyDescent="0.55000000000000004">
      <c r="W6624"/>
    </row>
    <row r="6625" spans="23:23" x14ac:dyDescent="0.55000000000000004">
      <c r="W6625"/>
    </row>
    <row r="6626" spans="23:23" x14ac:dyDescent="0.55000000000000004">
      <c r="W6626"/>
    </row>
    <row r="6627" spans="23:23" x14ac:dyDescent="0.55000000000000004">
      <c r="W6627"/>
    </row>
    <row r="6628" spans="23:23" x14ac:dyDescent="0.55000000000000004">
      <c r="W6628"/>
    </row>
    <row r="6629" spans="23:23" x14ac:dyDescent="0.55000000000000004">
      <c r="W6629"/>
    </row>
    <row r="6630" spans="23:23" x14ac:dyDescent="0.55000000000000004">
      <c r="W6630"/>
    </row>
    <row r="6631" spans="23:23" x14ac:dyDescent="0.55000000000000004">
      <c r="W6631"/>
    </row>
    <row r="6632" spans="23:23" x14ac:dyDescent="0.55000000000000004">
      <c r="W6632"/>
    </row>
    <row r="6633" spans="23:23" x14ac:dyDescent="0.55000000000000004">
      <c r="W6633"/>
    </row>
    <row r="6634" spans="23:23" x14ac:dyDescent="0.55000000000000004">
      <c r="W6634"/>
    </row>
    <row r="6635" spans="23:23" x14ac:dyDescent="0.55000000000000004">
      <c r="W6635"/>
    </row>
    <row r="6636" spans="23:23" x14ac:dyDescent="0.55000000000000004">
      <c r="W6636"/>
    </row>
    <row r="6637" spans="23:23" x14ac:dyDescent="0.55000000000000004">
      <c r="W6637"/>
    </row>
    <row r="6638" spans="23:23" x14ac:dyDescent="0.55000000000000004">
      <c r="W6638"/>
    </row>
    <row r="6639" spans="23:23" x14ac:dyDescent="0.55000000000000004">
      <c r="W6639"/>
    </row>
    <row r="6640" spans="23:23" x14ac:dyDescent="0.55000000000000004">
      <c r="W6640"/>
    </row>
    <row r="6641" spans="23:23" x14ac:dyDescent="0.55000000000000004">
      <c r="W6641"/>
    </row>
    <row r="6642" spans="23:23" x14ac:dyDescent="0.55000000000000004">
      <c r="W6642"/>
    </row>
    <row r="6643" spans="23:23" x14ac:dyDescent="0.55000000000000004">
      <c r="W6643"/>
    </row>
    <row r="6644" spans="23:23" x14ac:dyDescent="0.55000000000000004">
      <c r="W6644"/>
    </row>
    <row r="6645" spans="23:23" x14ac:dyDescent="0.55000000000000004">
      <c r="W6645"/>
    </row>
    <row r="6646" spans="23:23" x14ac:dyDescent="0.55000000000000004">
      <c r="W6646"/>
    </row>
    <row r="6647" spans="23:23" x14ac:dyDescent="0.55000000000000004">
      <c r="W6647"/>
    </row>
    <row r="6648" spans="23:23" x14ac:dyDescent="0.55000000000000004">
      <c r="W6648"/>
    </row>
    <row r="6649" spans="23:23" x14ac:dyDescent="0.55000000000000004">
      <c r="W6649"/>
    </row>
    <row r="6650" spans="23:23" x14ac:dyDescent="0.55000000000000004">
      <c r="W6650"/>
    </row>
    <row r="6651" spans="23:23" x14ac:dyDescent="0.55000000000000004">
      <c r="W6651"/>
    </row>
    <row r="6652" spans="23:23" x14ac:dyDescent="0.55000000000000004">
      <c r="W6652"/>
    </row>
    <row r="6653" spans="23:23" x14ac:dyDescent="0.55000000000000004">
      <c r="W6653"/>
    </row>
    <row r="6654" spans="23:23" x14ac:dyDescent="0.55000000000000004">
      <c r="W6654"/>
    </row>
    <row r="6655" spans="23:23" x14ac:dyDescent="0.55000000000000004">
      <c r="W6655"/>
    </row>
    <row r="6656" spans="23:23" x14ac:dyDescent="0.55000000000000004">
      <c r="W6656"/>
    </row>
    <row r="6657" spans="23:23" x14ac:dyDescent="0.55000000000000004">
      <c r="W6657"/>
    </row>
    <row r="6658" spans="23:23" x14ac:dyDescent="0.55000000000000004">
      <c r="W6658"/>
    </row>
    <row r="6659" spans="23:23" x14ac:dyDescent="0.55000000000000004">
      <c r="W6659"/>
    </row>
    <row r="6660" spans="23:23" x14ac:dyDescent="0.55000000000000004">
      <c r="W6660"/>
    </row>
    <row r="6661" spans="23:23" x14ac:dyDescent="0.55000000000000004">
      <c r="W6661"/>
    </row>
    <row r="6662" spans="23:23" x14ac:dyDescent="0.55000000000000004">
      <c r="W6662"/>
    </row>
    <row r="6663" spans="23:23" x14ac:dyDescent="0.55000000000000004">
      <c r="W6663"/>
    </row>
    <row r="6664" spans="23:23" x14ac:dyDescent="0.55000000000000004">
      <c r="W6664"/>
    </row>
    <row r="6665" spans="23:23" x14ac:dyDescent="0.55000000000000004">
      <c r="W6665"/>
    </row>
    <row r="6666" spans="23:23" x14ac:dyDescent="0.55000000000000004">
      <c r="W6666"/>
    </row>
    <row r="6667" spans="23:23" x14ac:dyDescent="0.55000000000000004">
      <c r="W6667"/>
    </row>
    <row r="6668" spans="23:23" x14ac:dyDescent="0.55000000000000004">
      <c r="W6668"/>
    </row>
    <row r="6669" spans="23:23" x14ac:dyDescent="0.55000000000000004">
      <c r="W6669"/>
    </row>
    <row r="6670" spans="23:23" x14ac:dyDescent="0.55000000000000004">
      <c r="W6670"/>
    </row>
    <row r="6671" spans="23:23" x14ac:dyDescent="0.55000000000000004">
      <c r="W6671"/>
    </row>
    <row r="6672" spans="23:23" x14ac:dyDescent="0.55000000000000004">
      <c r="W6672"/>
    </row>
    <row r="6673" spans="23:23" x14ac:dyDescent="0.55000000000000004">
      <c r="W6673"/>
    </row>
    <row r="6674" spans="23:23" x14ac:dyDescent="0.55000000000000004">
      <c r="W6674"/>
    </row>
    <row r="6675" spans="23:23" x14ac:dyDescent="0.55000000000000004">
      <c r="W6675"/>
    </row>
    <row r="6676" spans="23:23" x14ac:dyDescent="0.55000000000000004">
      <c r="W6676"/>
    </row>
    <row r="6677" spans="23:23" x14ac:dyDescent="0.55000000000000004">
      <c r="W6677"/>
    </row>
    <row r="6678" spans="23:23" x14ac:dyDescent="0.55000000000000004">
      <c r="W6678"/>
    </row>
    <row r="6679" spans="23:23" x14ac:dyDescent="0.55000000000000004">
      <c r="W6679"/>
    </row>
    <row r="6680" spans="23:23" x14ac:dyDescent="0.55000000000000004">
      <c r="W6680"/>
    </row>
    <row r="6681" spans="23:23" x14ac:dyDescent="0.55000000000000004">
      <c r="W6681"/>
    </row>
    <row r="6682" spans="23:23" x14ac:dyDescent="0.55000000000000004">
      <c r="W6682"/>
    </row>
    <row r="6683" spans="23:23" x14ac:dyDescent="0.55000000000000004">
      <c r="W6683"/>
    </row>
    <row r="6684" spans="23:23" x14ac:dyDescent="0.55000000000000004">
      <c r="W6684"/>
    </row>
    <row r="6685" spans="23:23" x14ac:dyDescent="0.55000000000000004">
      <c r="W6685"/>
    </row>
    <row r="6686" spans="23:23" x14ac:dyDescent="0.55000000000000004">
      <c r="W6686"/>
    </row>
    <row r="6687" spans="23:23" x14ac:dyDescent="0.55000000000000004">
      <c r="W6687"/>
    </row>
    <row r="6688" spans="23:23" x14ac:dyDescent="0.55000000000000004">
      <c r="W6688"/>
    </row>
    <row r="6689" spans="23:23" x14ac:dyDescent="0.55000000000000004">
      <c r="W6689"/>
    </row>
    <row r="6690" spans="23:23" x14ac:dyDescent="0.55000000000000004">
      <c r="W6690"/>
    </row>
    <row r="6691" spans="23:23" x14ac:dyDescent="0.55000000000000004">
      <c r="W6691"/>
    </row>
    <row r="6692" spans="23:23" x14ac:dyDescent="0.55000000000000004">
      <c r="W6692"/>
    </row>
    <row r="6693" spans="23:23" x14ac:dyDescent="0.55000000000000004">
      <c r="W6693"/>
    </row>
    <row r="6694" spans="23:23" x14ac:dyDescent="0.55000000000000004">
      <c r="W6694"/>
    </row>
    <row r="6695" spans="23:23" x14ac:dyDescent="0.55000000000000004">
      <c r="W6695"/>
    </row>
    <row r="6696" spans="23:23" x14ac:dyDescent="0.55000000000000004">
      <c r="W6696"/>
    </row>
    <row r="6697" spans="23:23" x14ac:dyDescent="0.55000000000000004">
      <c r="W6697"/>
    </row>
    <row r="6698" spans="23:23" x14ac:dyDescent="0.55000000000000004">
      <c r="W6698"/>
    </row>
    <row r="6699" spans="23:23" x14ac:dyDescent="0.55000000000000004">
      <c r="W6699"/>
    </row>
    <row r="6700" spans="23:23" x14ac:dyDescent="0.55000000000000004">
      <c r="W6700"/>
    </row>
    <row r="6701" spans="23:23" x14ac:dyDescent="0.55000000000000004">
      <c r="W6701"/>
    </row>
    <row r="6702" spans="23:23" x14ac:dyDescent="0.55000000000000004">
      <c r="W6702"/>
    </row>
    <row r="6703" spans="23:23" x14ac:dyDescent="0.55000000000000004">
      <c r="W6703"/>
    </row>
    <row r="6704" spans="23:23" x14ac:dyDescent="0.55000000000000004">
      <c r="W6704"/>
    </row>
    <row r="6705" spans="23:23" x14ac:dyDescent="0.55000000000000004">
      <c r="W6705"/>
    </row>
    <row r="6706" spans="23:23" x14ac:dyDescent="0.55000000000000004">
      <c r="W6706"/>
    </row>
    <row r="6707" spans="23:23" x14ac:dyDescent="0.55000000000000004">
      <c r="W6707"/>
    </row>
    <row r="6708" spans="23:23" x14ac:dyDescent="0.55000000000000004">
      <c r="W6708"/>
    </row>
    <row r="6709" spans="23:23" x14ac:dyDescent="0.55000000000000004">
      <c r="W6709"/>
    </row>
    <row r="6710" spans="23:23" x14ac:dyDescent="0.55000000000000004">
      <c r="W6710"/>
    </row>
    <row r="6711" spans="23:23" x14ac:dyDescent="0.55000000000000004">
      <c r="W6711"/>
    </row>
    <row r="6712" spans="23:23" x14ac:dyDescent="0.55000000000000004">
      <c r="W6712"/>
    </row>
    <row r="6713" spans="23:23" x14ac:dyDescent="0.55000000000000004">
      <c r="W6713"/>
    </row>
    <row r="6714" spans="23:23" x14ac:dyDescent="0.55000000000000004">
      <c r="W6714"/>
    </row>
    <row r="6715" spans="23:23" x14ac:dyDescent="0.55000000000000004">
      <c r="W6715"/>
    </row>
    <row r="6716" spans="23:23" x14ac:dyDescent="0.55000000000000004">
      <c r="W6716"/>
    </row>
    <row r="6717" spans="23:23" x14ac:dyDescent="0.55000000000000004">
      <c r="W6717"/>
    </row>
    <row r="6718" spans="23:23" x14ac:dyDescent="0.55000000000000004">
      <c r="W6718"/>
    </row>
    <row r="6719" spans="23:23" x14ac:dyDescent="0.55000000000000004">
      <c r="W6719"/>
    </row>
    <row r="6720" spans="23:23" x14ac:dyDescent="0.55000000000000004">
      <c r="W6720"/>
    </row>
    <row r="6721" spans="23:23" x14ac:dyDescent="0.55000000000000004">
      <c r="W6721"/>
    </row>
    <row r="6722" spans="23:23" x14ac:dyDescent="0.55000000000000004">
      <c r="W6722"/>
    </row>
    <row r="6723" spans="23:23" x14ac:dyDescent="0.55000000000000004">
      <c r="W6723"/>
    </row>
    <row r="6724" spans="23:23" x14ac:dyDescent="0.55000000000000004">
      <c r="W6724"/>
    </row>
    <row r="6725" spans="23:23" x14ac:dyDescent="0.55000000000000004">
      <c r="W6725"/>
    </row>
    <row r="6726" spans="23:23" x14ac:dyDescent="0.55000000000000004">
      <c r="W6726"/>
    </row>
    <row r="6727" spans="23:23" x14ac:dyDescent="0.55000000000000004">
      <c r="W6727"/>
    </row>
    <row r="6728" spans="23:23" x14ac:dyDescent="0.55000000000000004">
      <c r="W6728"/>
    </row>
    <row r="6729" spans="23:23" x14ac:dyDescent="0.55000000000000004">
      <c r="W6729"/>
    </row>
    <row r="6730" spans="23:23" x14ac:dyDescent="0.55000000000000004">
      <c r="W6730"/>
    </row>
    <row r="6731" spans="23:23" x14ac:dyDescent="0.55000000000000004">
      <c r="W6731"/>
    </row>
    <row r="6732" spans="23:23" x14ac:dyDescent="0.55000000000000004">
      <c r="W6732"/>
    </row>
    <row r="6733" spans="23:23" x14ac:dyDescent="0.55000000000000004">
      <c r="W6733"/>
    </row>
    <row r="6734" spans="23:23" x14ac:dyDescent="0.55000000000000004">
      <c r="W6734"/>
    </row>
    <row r="6735" spans="23:23" x14ac:dyDescent="0.55000000000000004">
      <c r="W6735"/>
    </row>
    <row r="6736" spans="23:23" x14ac:dyDescent="0.55000000000000004">
      <c r="W6736"/>
    </row>
    <row r="6737" spans="23:23" x14ac:dyDescent="0.55000000000000004">
      <c r="W6737"/>
    </row>
    <row r="6738" spans="23:23" x14ac:dyDescent="0.55000000000000004">
      <c r="W6738"/>
    </row>
    <row r="6739" spans="23:23" x14ac:dyDescent="0.55000000000000004">
      <c r="W6739"/>
    </row>
    <row r="6740" spans="23:23" x14ac:dyDescent="0.55000000000000004">
      <c r="W6740"/>
    </row>
    <row r="6741" spans="23:23" x14ac:dyDescent="0.55000000000000004">
      <c r="W6741"/>
    </row>
    <row r="6742" spans="23:23" x14ac:dyDescent="0.55000000000000004">
      <c r="W6742"/>
    </row>
    <row r="6743" spans="23:23" x14ac:dyDescent="0.55000000000000004">
      <c r="W6743"/>
    </row>
    <row r="6744" spans="23:23" x14ac:dyDescent="0.55000000000000004">
      <c r="W6744"/>
    </row>
    <row r="6745" spans="23:23" x14ac:dyDescent="0.55000000000000004">
      <c r="W6745"/>
    </row>
    <row r="6746" spans="23:23" x14ac:dyDescent="0.55000000000000004">
      <c r="W6746"/>
    </row>
    <row r="6747" spans="23:23" x14ac:dyDescent="0.55000000000000004">
      <c r="W6747"/>
    </row>
    <row r="6748" spans="23:23" x14ac:dyDescent="0.55000000000000004">
      <c r="W6748"/>
    </row>
    <row r="6749" spans="23:23" x14ac:dyDescent="0.55000000000000004">
      <c r="W6749"/>
    </row>
    <row r="6750" spans="23:23" x14ac:dyDescent="0.55000000000000004">
      <c r="W6750"/>
    </row>
    <row r="6751" spans="23:23" x14ac:dyDescent="0.55000000000000004">
      <c r="W6751"/>
    </row>
    <row r="6752" spans="23:23" x14ac:dyDescent="0.55000000000000004">
      <c r="W6752"/>
    </row>
    <row r="6753" spans="23:23" x14ac:dyDescent="0.55000000000000004">
      <c r="W6753"/>
    </row>
    <row r="6754" spans="23:23" x14ac:dyDescent="0.55000000000000004">
      <c r="W6754"/>
    </row>
    <row r="6755" spans="23:23" x14ac:dyDescent="0.55000000000000004">
      <c r="W6755"/>
    </row>
    <row r="6756" spans="23:23" x14ac:dyDescent="0.55000000000000004">
      <c r="W6756"/>
    </row>
    <row r="6757" spans="23:23" x14ac:dyDescent="0.55000000000000004">
      <c r="W6757"/>
    </row>
    <row r="6758" spans="23:23" x14ac:dyDescent="0.55000000000000004">
      <c r="W6758"/>
    </row>
    <row r="6759" spans="23:23" x14ac:dyDescent="0.55000000000000004">
      <c r="W6759"/>
    </row>
    <row r="6760" spans="23:23" x14ac:dyDescent="0.55000000000000004">
      <c r="W6760"/>
    </row>
    <row r="6761" spans="23:23" x14ac:dyDescent="0.55000000000000004">
      <c r="W6761"/>
    </row>
    <row r="6762" spans="23:23" x14ac:dyDescent="0.55000000000000004">
      <c r="W6762"/>
    </row>
    <row r="6763" spans="23:23" x14ac:dyDescent="0.55000000000000004">
      <c r="W6763"/>
    </row>
    <row r="6764" spans="23:23" x14ac:dyDescent="0.55000000000000004">
      <c r="W6764"/>
    </row>
    <row r="6765" spans="23:23" x14ac:dyDescent="0.55000000000000004">
      <c r="W6765"/>
    </row>
    <row r="6766" spans="23:23" x14ac:dyDescent="0.55000000000000004">
      <c r="W6766"/>
    </row>
    <row r="6767" spans="23:23" x14ac:dyDescent="0.55000000000000004">
      <c r="W6767"/>
    </row>
    <row r="6768" spans="23:23" x14ac:dyDescent="0.55000000000000004">
      <c r="W6768"/>
    </row>
    <row r="6769" spans="23:23" x14ac:dyDescent="0.55000000000000004">
      <c r="W6769"/>
    </row>
    <row r="6770" spans="23:23" x14ac:dyDescent="0.55000000000000004">
      <c r="W6770"/>
    </row>
    <row r="6771" spans="23:23" x14ac:dyDescent="0.55000000000000004">
      <c r="W6771"/>
    </row>
    <row r="6772" spans="23:23" x14ac:dyDescent="0.55000000000000004">
      <c r="W6772"/>
    </row>
    <row r="6773" spans="23:23" x14ac:dyDescent="0.55000000000000004">
      <c r="W6773"/>
    </row>
    <row r="6774" spans="23:23" x14ac:dyDescent="0.55000000000000004">
      <c r="W6774"/>
    </row>
    <row r="6775" spans="23:23" x14ac:dyDescent="0.55000000000000004">
      <c r="W6775"/>
    </row>
    <row r="6776" spans="23:23" x14ac:dyDescent="0.55000000000000004">
      <c r="W6776"/>
    </row>
    <row r="6777" spans="23:23" x14ac:dyDescent="0.55000000000000004">
      <c r="W6777"/>
    </row>
    <row r="6778" spans="23:23" x14ac:dyDescent="0.55000000000000004">
      <c r="W6778"/>
    </row>
    <row r="6779" spans="23:23" x14ac:dyDescent="0.55000000000000004">
      <c r="W6779"/>
    </row>
    <row r="6780" spans="23:23" x14ac:dyDescent="0.55000000000000004">
      <c r="W6780"/>
    </row>
    <row r="6781" spans="23:23" x14ac:dyDescent="0.55000000000000004">
      <c r="W6781"/>
    </row>
    <row r="6782" spans="23:23" x14ac:dyDescent="0.55000000000000004">
      <c r="W6782"/>
    </row>
    <row r="6783" spans="23:23" x14ac:dyDescent="0.55000000000000004">
      <c r="W6783"/>
    </row>
    <row r="6784" spans="23:23" x14ac:dyDescent="0.55000000000000004">
      <c r="W6784"/>
    </row>
    <row r="6785" spans="23:23" x14ac:dyDescent="0.55000000000000004">
      <c r="W6785"/>
    </row>
    <row r="6786" spans="23:23" x14ac:dyDescent="0.55000000000000004">
      <c r="W6786"/>
    </row>
    <row r="6787" spans="23:23" x14ac:dyDescent="0.55000000000000004">
      <c r="W6787"/>
    </row>
    <row r="6788" spans="23:23" x14ac:dyDescent="0.55000000000000004">
      <c r="W6788"/>
    </row>
    <row r="6789" spans="23:23" x14ac:dyDescent="0.55000000000000004">
      <c r="W6789"/>
    </row>
    <row r="6790" spans="23:23" x14ac:dyDescent="0.55000000000000004">
      <c r="W6790"/>
    </row>
    <row r="6791" spans="23:23" x14ac:dyDescent="0.55000000000000004">
      <c r="W6791"/>
    </row>
    <row r="6792" spans="23:23" x14ac:dyDescent="0.55000000000000004">
      <c r="W6792"/>
    </row>
    <row r="6793" spans="23:23" x14ac:dyDescent="0.55000000000000004">
      <c r="W6793"/>
    </row>
    <row r="6794" spans="23:23" x14ac:dyDescent="0.55000000000000004">
      <c r="W6794"/>
    </row>
    <row r="6795" spans="23:23" x14ac:dyDescent="0.55000000000000004">
      <c r="W6795"/>
    </row>
    <row r="6796" spans="23:23" x14ac:dyDescent="0.55000000000000004">
      <c r="W6796"/>
    </row>
    <row r="6797" spans="23:23" x14ac:dyDescent="0.55000000000000004">
      <c r="W6797"/>
    </row>
    <row r="6798" spans="23:23" x14ac:dyDescent="0.55000000000000004">
      <c r="W6798"/>
    </row>
    <row r="6799" spans="23:23" x14ac:dyDescent="0.55000000000000004">
      <c r="W6799"/>
    </row>
    <row r="6800" spans="23:23" x14ac:dyDescent="0.55000000000000004">
      <c r="W6800"/>
    </row>
    <row r="6801" spans="23:23" x14ac:dyDescent="0.55000000000000004">
      <c r="W6801"/>
    </row>
    <row r="6802" spans="23:23" x14ac:dyDescent="0.55000000000000004">
      <c r="W6802"/>
    </row>
    <row r="6803" spans="23:23" x14ac:dyDescent="0.55000000000000004">
      <c r="W6803"/>
    </row>
    <row r="6804" spans="23:23" x14ac:dyDescent="0.55000000000000004">
      <c r="W6804"/>
    </row>
    <row r="6805" spans="23:23" x14ac:dyDescent="0.55000000000000004">
      <c r="W6805"/>
    </row>
    <row r="6806" spans="23:23" x14ac:dyDescent="0.55000000000000004">
      <c r="W6806"/>
    </row>
    <row r="6807" spans="23:23" x14ac:dyDescent="0.55000000000000004">
      <c r="W6807"/>
    </row>
    <row r="6808" spans="23:23" x14ac:dyDescent="0.55000000000000004">
      <c r="W6808"/>
    </row>
    <row r="6809" spans="23:23" x14ac:dyDescent="0.55000000000000004">
      <c r="W6809"/>
    </row>
    <row r="6810" spans="23:23" x14ac:dyDescent="0.55000000000000004">
      <c r="W6810"/>
    </row>
    <row r="6811" spans="23:23" x14ac:dyDescent="0.55000000000000004">
      <c r="W6811"/>
    </row>
    <row r="6812" spans="23:23" x14ac:dyDescent="0.55000000000000004">
      <c r="W6812"/>
    </row>
    <row r="6813" spans="23:23" x14ac:dyDescent="0.55000000000000004">
      <c r="W6813"/>
    </row>
    <row r="6814" spans="23:23" x14ac:dyDescent="0.55000000000000004">
      <c r="W6814"/>
    </row>
    <row r="6815" spans="23:23" x14ac:dyDescent="0.55000000000000004">
      <c r="W6815"/>
    </row>
    <row r="6816" spans="23:23" x14ac:dyDescent="0.55000000000000004">
      <c r="W6816"/>
    </row>
    <row r="6817" spans="23:23" x14ac:dyDescent="0.55000000000000004">
      <c r="W6817"/>
    </row>
    <row r="6818" spans="23:23" x14ac:dyDescent="0.55000000000000004">
      <c r="W6818"/>
    </row>
    <row r="6819" spans="23:23" x14ac:dyDescent="0.55000000000000004">
      <c r="W6819"/>
    </row>
    <row r="6820" spans="23:23" x14ac:dyDescent="0.55000000000000004">
      <c r="W6820"/>
    </row>
    <row r="6821" spans="23:23" x14ac:dyDescent="0.55000000000000004">
      <c r="W6821"/>
    </row>
    <row r="6822" spans="23:23" x14ac:dyDescent="0.55000000000000004">
      <c r="W6822"/>
    </row>
    <row r="6823" spans="23:23" x14ac:dyDescent="0.55000000000000004">
      <c r="W6823"/>
    </row>
    <row r="6824" spans="23:23" x14ac:dyDescent="0.55000000000000004">
      <c r="W6824"/>
    </row>
    <row r="6825" spans="23:23" x14ac:dyDescent="0.55000000000000004">
      <c r="W6825"/>
    </row>
    <row r="6826" spans="23:23" x14ac:dyDescent="0.55000000000000004">
      <c r="W6826"/>
    </row>
    <row r="6827" spans="23:23" x14ac:dyDescent="0.55000000000000004">
      <c r="W6827"/>
    </row>
    <row r="6828" spans="23:23" x14ac:dyDescent="0.55000000000000004">
      <c r="W6828"/>
    </row>
    <row r="6829" spans="23:23" x14ac:dyDescent="0.55000000000000004">
      <c r="W6829"/>
    </row>
    <row r="6830" spans="23:23" x14ac:dyDescent="0.55000000000000004">
      <c r="W6830"/>
    </row>
    <row r="6831" spans="23:23" x14ac:dyDescent="0.55000000000000004">
      <c r="W6831"/>
    </row>
    <row r="6832" spans="23:23" x14ac:dyDescent="0.55000000000000004">
      <c r="W6832"/>
    </row>
    <row r="6833" spans="23:23" x14ac:dyDescent="0.55000000000000004">
      <c r="W6833"/>
    </row>
    <row r="6834" spans="23:23" x14ac:dyDescent="0.55000000000000004">
      <c r="W6834"/>
    </row>
    <row r="6835" spans="23:23" x14ac:dyDescent="0.55000000000000004">
      <c r="W6835"/>
    </row>
    <row r="6836" spans="23:23" x14ac:dyDescent="0.55000000000000004">
      <c r="W6836"/>
    </row>
    <row r="6837" spans="23:23" x14ac:dyDescent="0.55000000000000004">
      <c r="W6837"/>
    </row>
    <row r="6838" spans="23:23" x14ac:dyDescent="0.55000000000000004">
      <c r="W6838"/>
    </row>
    <row r="6839" spans="23:23" x14ac:dyDescent="0.55000000000000004">
      <c r="W6839"/>
    </row>
    <row r="6840" spans="23:23" x14ac:dyDescent="0.55000000000000004">
      <c r="W6840"/>
    </row>
    <row r="6841" spans="23:23" x14ac:dyDescent="0.55000000000000004">
      <c r="W6841"/>
    </row>
    <row r="6842" spans="23:23" x14ac:dyDescent="0.55000000000000004">
      <c r="W6842"/>
    </row>
    <row r="6843" spans="23:23" x14ac:dyDescent="0.55000000000000004">
      <c r="W6843"/>
    </row>
    <row r="6844" spans="23:23" x14ac:dyDescent="0.55000000000000004">
      <c r="W6844"/>
    </row>
    <row r="6845" spans="23:23" x14ac:dyDescent="0.55000000000000004">
      <c r="W6845"/>
    </row>
    <row r="6846" spans="23:23" x14ac:dyDescent="0.55000000000000004">
      <c r="W6846"/>
    </row>
    <row r="6847" spans="23:23" x14ac:dyDescent="0.55000000000000004">
      <c r="W6847"/>
    </row>
    <row r="6848" spans="23:23" x14ac:dyDescent="0.55000000000000004">
      <c r="W6848"/>
    </row>
    <row r="6849" spans="23:23" x14ac:dyDescent="0.55000000000000004">
      <c r="W6849"/>
    </row>
    <row r="6850" spans="23:23" x14ac:dyDescent="0.55000000000000004">
      <c r="W6850"/>
    </row>
    <row r="6851" spans="23:23" x14ac:dyDescent="0.55000000000000004">
      <c r="W6851"/>
    </row>
    <row r="6852" spans="23:23" x14ac:dyDescent="0.55000000000000004">
      <c r="W6852"/>
    </row>
    <row r="6853" spans="23:23" x14ac:dyDescent="0.55000000000000004">
      <c r="W6853"/>
    </row>
    <row r="6854" spans="23:23" x14ac:dyDescent="0.55000000000000004">
      <c r="W6854"/>
    </row>
    <row r="6855" spans="23:23" x14ac:dyDescent="0.55000000000000004">
      <c r="W6855"/>
    </row>
    <row r="6856" spans="23:23" x14ac:dyDescent="0.55000000000000004">
      <c r="W6856"/>
    </row>
    <row r="6857" spans="23:23" x14ac:dyDescent="0.55000000000000004">
      <c r="W6857"/>
    </row>
    <row r="6858" spans="23:23" x14ac:dyDescent="0.55000000000000004">
      <c r="W6858"/>
    </row>
    <row r="6859" spans="23:23" x14ac:dyDescent="0.55000000000000004">
      <c r="W6859"/>
    </row>
    <row r="6860" spans="23:23" x14ac:dyDescent="0.55000000000000004">
      <c r="W6860"/>
    </row>
    <row r="6861" spans="23:23" x14ac:dyDescent="0.55000000000000004">
      <c r="W6861"/>
    </row>
    <row r="6862" spans="23:23" x14ac:dyDescent="0.55000000000000004">
      <c r="W6862"/>
    </row>
    <row r="6863" spans="23:23" x14ac:dyDescent="0.55000000000000004">
      <c r="W6863"/>
    </row>
    <row r="6864" spans="23:23" x14ac:dyDescent="0.55000000000000004">
      <c r="W6864"/>
    </row>
    <row r="6865" spans="23:23" x14ac:dyDescent="0.55000000000000004">
      <c r="W6865"/>
    </row>
    <row r="6866" spans="23:23" x14ac:dyDescent="0.55000000000000004">
      <c r="W6866"/>
    </row>
    <row r="6867" spans="23:23" x14ac:dyDescent="0.55000000000000004">
      <c r="W6867"/>
    </row>
    <row r="6868" spans="23:23" x14ac:dyDescent="0.55000000000000004">
      <c r="W6868"/>
    </row>
    <row r="6869" spans="23:23" x14ac:dyDescent="0.55000000000000004">
      <c r="W6869"/>
    </row>
    <row r="6870" spans="23:23" x14ac:dyDescent="0.55000000000000004">
      <c r="W6870"/>
    </row>
    <row r="6871" spans="23:23" x14ac:dyDescent="0.55000000000000004">
      <c r="W6871"/>
    </row>
    <row r="6872" spans="23:23" x14ac:dyDescent="0.55000000000000004">
      <c r="W6872"/>
    </row>
    <row r="6873" spans="23:23" x14ac:dyDescent="0.55000000000000004">
      <c r="W6873"/>
    </row>
    <row r="6874" spans="23:23" x14ac:dyDescent="0.55000000000000004">
      <c r="W6874"/>
    </row>
    <row r="6875" spans="23:23" x14ac:dyDescent="0.55000000000000004">
      <c r="W6875"/>
    </row>
    <row r="6876" spans="23:23" x14ac:dyDescent="0.55000000000000004">
      <c r="W6876"/>
    </row>
    <row r="6877" spans="23:23" x14ac:dyDescent="0.55000000000000004">
      <c r="W6877"/>
    </row>
    <row r="6878" spans="23:23" x14ac:dyDescent="0.55000000000000004">
      <c r="W6878"/>
    </row>
    <row r="6879" spans="23:23" x14ac:dyDescent="0.55000000000000004">
      <c r="W6879"/>
    </row>
    <row r="6880" spans="23:23" x14ac:dyDescent="0.55000000000000004">
      <c r="W6880"/>
    </row>
    <row r="6881" spans="23:23" x14ac:dyDescent="0.55000000000000004">
      <c r="W6881"/>
    </row>
    <row r="6882" spans="23:23" x14ac:dyDescent="0.55000000000000004">
      <c r="W6882"/>
    </row>
    <row r="6883" spans="23:23" x14ac:dyDescent="0.55000000000000004">
      <c r="W6883"/>
    </row>
    <row r="6884" spans="23:23" x14ac:dyDescent="0.55000000000000004">
      <c r="W6884"/>
    </row>
    <row r="6885" spans="23:23" x14ac:dyDescent="0.55000000000000004">
      <c r="W6885"/>
    </row>
    <row r="6886" spans="23:23" x14ac:dyDescent="0.55000000000000004">
      <c r="W6886"/>
    </row>
    <row r="6887" spans="23:23" x14ac:dyDescent="0.55000000000000004">
      <c r="W6887"/>
    </row>
    <row r="6888" spans="23:23" x14ac:dyDescent="0.55000000000000004">
      <c r="W6888"/>
    </row>
    <row r="6889" spans="23:23" x14ac:dyDescent="0.55000000000000004">
      <c r="W6889"/>
    </row>
    <row r="6890" spans="23:23" x14ac:dyDescent="0.55000000000000004">
      <c r="W6890"/>
    </row>
    <row r="6891" spans="23:23" x14ac:dyDescent="0.55000000000000004">
      <c r="W6891"/>
    </row>
    <row r="6892" spans="23:23" x14ac:dyDescent="0.55000000000000004">
      <c r="W6892"/>
    </row>
    <row r="6893" spans="23:23" x14ac:dyDescent="0.55000000000000004">
      <c r="W6893"/>
    </row>
    <row r="6894" spans="23:23" x14ac:dyDescent="0.55000000000000004">
      <c r="W6894"/>
    </row>
    <row r="6895" spans="23:23" x14ac:dyDescent="0.55000000000000004">
      <c r="W6895"/>
    </row>
    <row r="6896" spans="23:23" x14ac:dyDescent="0.55000000000000004">
      <c r="W6896"/>
    </row>
    <row r="6897" spans="23:23" x14ac:dyDescent="0.55000000000000004">
      <c r="W6897"/>
    </row>
    <row r="6898" spans="23:23" x14ac:dyDescent="0.55000000000000004">
      <c r="W6898"/>
    </row>
    <row r="6899" spans="23:23" x14ac:dyDescent="0.55000000000000004">
      <c r="W6899"/>
    </row>
    <row r="6900" spans="23:23" x14ac:dyDescent="0.55000000000000004">
      <c r="W6900"/>
    </row>
    <row r="6901" spans="23:23" x14ac:dyDescent="0.55000000000000004">
      <c r="W6901"/>
    </row>
    <row r="6902" spans="23:23" x14ac:dyDescent="0.55000000000000004">
      <c r="W6902"/>
    </row>
    <row r="6903" spans="23:23" x14ac:dyDescent="0.55000000000000004">
      <c r="W6903"/>
    </row>
    <row r="6904" spans="23:23" x14ac:dyDescent="0.55000000000000004">
      <c r="W6904"/>
    </row>
    <row r="6905" spans="23:23" x14ac:dyDescent="0.55000000000000004">
      <c r="W6905"/>
    </row>
    <row r="6906" spans="23:23" x14ac:dyDescent="0.55000000000000004">
      <c r="W6906"/>
    </row>
    <row r="6907" spans="23:23" x14ac:dyDescent="0.55000000000000004">
      <c r="W6907"/>
    </row>
    <row r="6908" spans="23:23" x14ac:dyDescent="0.55000000000000004">
      <c r="W6908"/>
    </row>
    <row r="6909" spans="23:23" x14ac:dyDescent="0.55000000000000004">
      <c r="W6909"/>
    </row>
    <row r="6910" spans="23:23" x14ac:dyDescent="0.55000000000000004">
      <c r="W6910"/>
    </row>
    <row r="6911" spans="23:23" x14ac:dyDescent="0.55000000000000004">
      <c r="W6911"/>
    </row>
    <row r="6912" spans="23:23" x14ac:dyDescent="0.55000000000000004">
      <c r="W6912"/>
    </row>
    <row r="6913" spans="23:23" x14ac:dyDescent="0.55000000000000004">
      <c r="W6913"/>
    </row>
    <row r="6914" spans="23:23" x14ac:dyDescent="0.55000000000000004">
      <c r="W6914"/>
    </row>
    <row r="6915" spans="23:23" x14ac:dyDescent="0.55000000000000004">
      <c r="W6915"/>
    </row>
    <row r="6916" spans="23:23" x14ac:dyDescent="0.55000000000000004">
      <c r="W6916"/>
    </row>
    <row r="6917" spans="23:23" x14ac:dyDescent="0.55000000000000004">
      <c r="W6917"/>
    </row>
    <row r="6918" spans="23:23" x14ac:dyDescent="0.55000000000000004">
      <c r="W6918"/>
    </row>
    <row r="6919" spans="23:23" x14ac:dyDescent="0.55000000000000004">
      <c r="W6919"/>
    </row>
    <row r="6920" spans="23:23" x14ac:dyDescent="0.55000000000000004">
      <c r="W6920"/>
    </row>
    <row r="6921" spans="23:23" x14ac:dyDescent="0.55000000000000004">
      <c r="W6921"/>
    </row>
    <row r="6922" spans="23:23" x14ac:dyDescent="0.55000000000000004">
      <c r="W6922"/>
    </row>
    <row r="6923" spans="23:23" x14ac:dyDescent="0.55000000000000004">
      <c r="W6923"/>
    </row>
    <row r="6924" spans="23:23" x14ac:dyDescent="0.55000000000000004">
      <c r="W6924"/>
    </row>
    <row r="6925" spans="23:23" x14ac:dyDescent="0.55000000000000004">
      <c r="W6925"/>
    </row>
    <row r="6926" spans="23:23" x14ac:dyDescent="0.55000000000000004">
      <c r="W6926"/>
    </row>
    <row r="6927" spans="23:23" x14ac:dyDescent="0.55000000000000004">
      <c r="W6927"/>
    </row>
    <row r="6928" spans="23:23" x14ac:dyDescent="0.55000000000000004">
      <c r="W6928"/>
    </row>
    <row r="6929" spans="23:23" x14ac:dyDescent="0.55000000000000004">
      <c r="W6929"/>
    </row>
    <row r="6930" spans="23:23" x14ac:dyDescent="0.55000000000000004">
      <c r="W6930"/>
    </row>
    <row r="6931" spans="23:23" x14ac:dyDescent="0.55000000000000004">
      <c r="W6931"/>
    </row>
    <row r="6932" spans="23:23" x14ac:dyDescent="0.55000000000000004">
      <c r="W6932"/>
    </row>
    <row r="6933" spans="23:23" x14ac:dyDescent="0.55000000000000004">
      <c r="W6933"/>
    </row>
    <row r="6934" spans="23:23" x14ac:dyDescent="0.55000000000000004">
      <c r="W6934"/>
    </row>
    <row r="6935" spans="23:23" x14ac:dyDescent="0.55000000000000004">
      <c r="W6935"/>
    </row>
    <row r="6936" spans="23:23" x14ac:dyDescent="0.55000000000000004">
      <c r="W6936"/>
    </row>
    <row r="6937" spans="23:23" x14ac:dyDescent="0.55000000000000004">
      <c r="W6937"/>
    </row>
    <row r="6938" spans="23:23" x14ac:dyDescent="0.55000000000000004">
      <c r="W6938"/>
    </row>
    <row r="6939" spans="23:23" x14ac:dyDescent="0.55000000000000004">
      <c r="W6939"/>
    </row>
    <row r="6940" spans="23:23" x14ac:dyDescent="0.55000000000000004">
      <c r="W6940"/>
    </row>
    <row r="6941" spans="23:23" x14ac:dyDescent="0.55000000000000004">
      <c r="W6941"/>
    </row>
    <row r="6942" spans="23:23" x14ac:dyDescent="0.55000000000000004">
      <c r="W6942"/>
    </row>
    <row r="6943" spans="23:23" x14ac:dyDescent="0.55000000000000004">
      <c r="W6943"/>
    </row>
    <row r="6944" spans="23:23" x14ac:dyDescent="0.55000000000000004">
      <c r="W6944"/>
    </row>
    <row r="6945" spans="23:23" x14ac:dyDescent="0.55000000000000004">
      <c r="W6945"/>
    </row>
    <row r="6946" spans="23:23" x14ac:dyDescent="0.55000000000000004">
      <c r="W6946"/>
    </row>
    <row r="6947" spans="23:23" x14ac:dyDescent="0.55000000000000004">
      <c r="W6947"/>
    </row>
    <row r="6948" spans="23:23" x14ac:dyDescent="0.55000000000000004">
      <c r="W6948"/>
    </row>
    <row r="6949" spans="23:23" x14ac:dyDescent="0.55000000000000004">
      <c r="W6949"/>
    </row>
    <row r="6950" spans="23:23" x14ac:dyDescent="0.55000000000000004">
      <c r="W6950"/>
    </row>
    <row r="6951" spans="23:23" x14ac:dyDescent="0.55000000000000004">
      <c r="W6951"/>
    </row>
    <row r="6952" spans="23:23" x14ac:dyDescent="0.55000000000000004">
      <c r="W6952"/>
    </row>
    <row r="6953" spans="23:23" x14ac:dyDescent="0.55000000000000004">
      <c r="W6953"/>
    </row>
    <row r="6954" spans="23:23" x14ac:dyDescent="0.55000000000000004">
      <c r="W6954"/>
    </row>
    <row r="6955" spans="23:23" x14ac:dyDescent="0.55000000000000004">
      <c r="W6955"/>
    </row>
    <row r="6956" spans="23:23" x14ac:dyDescent="0.55000000000000004">
      <c r="W6956"/>
    </row>
    <row r="6957" spans="23:23" x14ac:dyDescent="0.55000000000000004">
      <c r="W6957"/>
    </row>
    <row r="6958" spans="23:23" x14ac:dyDescent="0.55000000000000004">
      <c r="W6958"/>
    </row>
    <row r="6959" spans="23:23" x14ac:dyDescent="0.55000000000000004">
      <c r="W6959"/>
    </row>
    <row r="6960" spans="23:23" x14ac:dyDescent="0.55000000000000004">
      <c r="W6960"/>
    </row>
    <row r="6961" spans="23:23" x14ac:dyDescent="0.55000000000000004">
      <c r="W6961"/>
    </row>
    <row r="6962" spans="23:23" x14ac:dyDescent="0.55000000000000004">
      <c r="W6962"/>
    </row>
    <row r="6963" spans="23:23" x14ac:dyDescent="0.55000000000000004">
      <c r="W6963"/>
    </row>
    <row r="6964" spans="23:23" x14ac:dyDescent="0.55000000000000004">
      <c r="W6964"/>
    </row>
    <row r="6965" spans="23:23" x14ac:dyDescent="0.55000000000000004">
      <c r="W6965"/>
    </row>
    <row r="6966" spans="23:23" x14ac:dyDescent="0.55000000000000004">
      <c r="W6966"/>
    </row>
    <row r="6967" spans="23:23" x14ac:dyDescent="0.55000000000000004">
      <c r="W6967"/>
    </row>
    <row r="6968" spans="23:23" x14ac:dyDescent="0.55000000000000004">
      <c r="W6968"/>
    </row>
    <row r="6969" spans="23:23" x14ac:dyDescent="0.55000000000000004">
      <c r="W6969"/>
    </row>
    <row r="6970" spans="23:23" x14ac:dyDescent="0.55000000000000004">
      <c r="W6970"/>
    </row>
    <row r="6971" spans="23:23" x14ac:dyDescent="0.55000000000000004">
      <c r="W6971"/>
    </row>
    <row r="6972" spans="23:23" x14ac:dyDescent="0.55000000000000004">
      <c r="W6972"/>
    </row>
    <row r="6973" spans="23:23" x14ac:dyDescent="0.55000000000000004">
      <c r="W6973"/>
    </row>
    <row r="6974" spans="23:23" x14ac:dyDescent="0.55000000000000004">
      <c r="W6974"/>
    </row>
    <row r="6975" spans="23:23" x14ac:dyDescent="0.55000000000000004">
      <c r="W6975"/>
    </row>
    <row r="6976" spans="23:23" x14ac:dyDescent="0.55000000000000004">
      <c r="W6976"/>
    </row>
    <row r="6977" spans="23:23" x14ac:dyDescent="0.55000000000000004">
      <c r="W6977"/>
    </row>
    <row r="6978" spans="23:23" x14ac:dyDescent="0.55000000000000004">
      <c r="W6978"/>
    </row>
    <row r="6979" spans="23:23" x14ac:dyDescent="0.55000000000000004">
      <c r="W6979"/>
    </row>
    <row r="6980" spans="23:23" x14ac:dyDescent="0.55000000000000004">
      <c r="W6980"/>
    </row>
    <row r="6981" spans="23:23" x14ac:dyDescent="0.55000000000000004">
      <c r="W6981"/>
    </row>
    <row r="6982" spans="23:23" x14ac:dyDescent="0.55000000000000004">
      <c r="W6982"/>
    </row>
    <row r="6983" spans="23:23" x14ac:dyDescent="0.55000000000000004">
      <c r="W6983"/>
    </row>
    <row r="6984" spans="23:23" x14ac:dyDescent="0.55000000000000004">
      <c r="W6984"/>
    </row>
    <row r="6985" spans="23:23" x14ac:dyDescent="0.55000000000000004">
      <c r="W6985"/>
    </row>
    <row r="6986" spans="23:23" x14ac:dyDescent="0.55000000000000004">
      <c r="W6986"/>
    </row>
    <row r="6987" spans="23:23" x14ac:dyDescent="0.55000000000000004">
      <c r="W6987"/>
    </row>
    <row r="6988" spans="23:23" x14ac:dyDescent="0.55000000000000004">
      <c r="W6988"/>
    </row>
    <row r="6989" spans="23:23" x14ac:dyDescent="0.55000000000000004">
      <c r="W6989"/>
    </row>
    <row r="6990" spans="23:23" x14ac:dyDescent="0.55000000000000004">
      <c r="W6990"/>
    </row>
    <row r="6991" spans="23:23" x14ac:dyDescent="0.55000000000000004">
      <c r="W6991"/>
    </row>
    <row r="6992" spans="23:23" x14ac:dyDescent="0.55000000000000004">
      <c r="W6992"/>
    </row>
    <row r="6993" spans="23:23" x14ac:dyDescent="0.55000000000000004">
      <c r="W6993"/>
    </row>
    <row r="6994" spans="23:23" x14ac:dyDescent="0.55000000000000004">
      <c r="W6994"/>
    </row>
    <row r="6995" spans="23:23" x14ac:dyDescent="0.55000000000000004">
      <c r="W6995"/>
    </row>
    <row r="6996" spans="23:23" x14ac:dyDescent="0.55000000000000004">
      <c r="W6996"/>
    </row>
    <row r="6997" spans="23:23" x14ac:dyDescent="0.55000000000000004">
      <c r="W6997"/>
    </row>
    <row r="6998" spans="23:23" x14ac:dyDescent="0.55000000000000004">
      <c r="W6998"/>
    </row>
    <row r="6999" spans="23:23" x14ac:dyDescent="0.55000000000000004">
      <c r="W6999"/>
    </row>
    <row r="7000" spans="23:23" x14ac:dyDescent="0.55000000000000004">
      <c r="W7000"/>
    </row>
    <row r="7001" spans="23:23" x14ac:dyDescent="0.55000000000000004">
      <c r="W7001"/>
    </row>
    <row r="7002" spans="23:23" x14ac:dyDescent="0.55000000000000004">
      <c r="W7002"/>
    </row>
    <row r="7003" spans="23:23" x14ac:dyDescent="0.55000000000000004">
      <c r="W7003"/>
    </row>
    <row r="7004" spans="23:23" x14ac:dyDescent="0.55000000000000004">
      <c r="W7004"/>
    </row>
    <row r="7005" spans="23:23" x14ac:dyDescent="0.55000000000000004">
      <c r="W7005"/>
    </row>
    <row r="7006" spans="23:23" x14ac:dyDescent="0.55000000000000004">
      <c r="W7006"/>
    </row>
    <row r="7007" spans="23:23" x14ac:dyDescent="0.55000000000000004">
      <c r="W7007"/>
    </row>
    <row r="7008" spans="23:23" x14ac:dyDescent="0.55000000000000004">
      <c r="W7008"/>
    </row>
    <row r="7009" spans="23:23" x14ac:dyDescent="0.55000000000000004">
      <c r="W7009"/>
    </row>
    <row r="7010" spans="23:23" x14ac:dyDescent="0.55000000000000004">
      <c r="W7010"/>
    </row>
    <row r="7011" spans="23:23" x14ac:dyDescent="0.55000000000000004">
      <c r="W7011"/>
    </row>
    <row r="7012" spans="23:23" x14ac:dyDescent="0.55000000000000004">
      <c r="W7012"/>
    </row>
    <row r="7013" spans="23:23" x14ac:dyDescent="0.55000000000000004">
      <c r="W7013"/>
    </row>
    <row r="7014" spans="23:23" x14ac:dyDescent="0.55000000000000004">
      <c r="W7014"/>
    </row>
    <row r="7015" spans="23:23" x14ac:dyDescent="0.55000000000000004">
      <c r="W7015"/>
    </row>
    <row r="7016" spans="23:23" x14ac:dyDescent="0.55000000000000004">
      <c r="W7016"/>
    </row>
    <row r="7017" spans="23:23" x14ac:dyDescent="0.55000000000000004">
      <c r="W7017"/>
    </row>
    <row r="7018" spans="23:23" x14ac:dyDescent="0.55000000000000004">
      <c r="W7018"/>
    </row>
    <row r="7019" spans="23:23" x14ac:dyDescent="0.55000000000000004">
      <c r="W7019"/>
    </row>
    <row r="7020" spans="23:23" x14ac:dyDescent="0.55000000000000004">
      <c r="W7020"/>
    </row>
    <row r="7021" spans="23:23" x14ac:dyDescent="0.55000000000000004">
      <c r="W7021"/>
    </row>
    <row r="7022" spans="23:23" x14ac:dyDescent="0.55000000000000004">
      <c r="W7022"/>
    </row>
    <row r="7023" spans="23:23" x14ac:dyDescent="0.55000000000000004">
      <c r="W7023"/>
    </row>
    <row r="7024" spans="23:23" x14ac:dyDescent="0.55000000000000004">
      <c r="W7024"/>
    </row>
    <row r="7025" spans="23:23" x14ac:dyDescent="0.55000000000000004">
      <c r="W7025"/>
    </row>
    <row r="7026" spans="23:23" x14ac:dyDescent="0.55000000000000004">
      <c r="W7026"/>
    </row>
    <row r="7027" spans="23:23" x14ac:dyDescent="0.55000000000000004">
      <c r="W7027"/>
    </row>
    <row r="7028" spans="23:23" x14ac:dyDescent="0.55000000000000004">
      <c r="W7028"/>
    </row>
    <row r="7029" spans="23:23" x14ac:dyDescent="0.55000000000000004">
      <c r="W7029"/>
    </row>
    <row r="7030" spans="23:23" x14ac:dyDescent="0.55000000000000004">
      <c r="W7030"/>
    </row>
    <row r="7031" spans="23:23" x14ac:dyDescent="0.55000000000000004">
      <c r="W7031"/>
    </row>
    <row r="7032" spans="23:23" x14ac:dyDescent="0.55000000000000004">
      <c r="W7032"/>
    </row>
    <row r="7033" spans="23:23" x14ac:dyDescent="0.55000000000000004">
      <c r="W7033"/>
    </row>
    <row r="7034" spans="23:23" x14ac:dyDescent="0.55000000000000004">
      <c r="W7034"/>
    </row>
    <row r="7035" spans="23:23" x14ac:dyDescent="0.55000000000000004">
      <c r="W7035"/>
    </row>
    <row r="7036" spans="23:23" x14ac:dyDescent="0.55000000000000004">
      <c r="W7036"/>
    </row>
    <row r="7037" spans="23:23" x14ac:dyDescent="0.55000000000000004">
      <c r="W7037"/>
    </row>
    <row r="7038" spans="23:23" x14ac:dyDescent="0.55000000000000004">
      <c r="W7038"/>
    </row>
    <row r="7039" spans="23:23" x14ac:dyDescent="0.55000000000000004">
      <c r="W7039"/>
    </row>
    <row r="7040" spans="23:23" x14ac:dyDescent="0.55000000000000004">
      <c r="W7040"/>
    </row>
    <row r="7041" spans="23:23" x14ac:dyDescent="0.55000000000000004">
      <c r="W7041"/>
    </row>
    <row r="7042" spans="23:23" x14ac:dyDescent="0.55000000000000004">
      <c r="W7042"/>
    </row>
    <row r="7043" spans="23:23" x14ac:dyDescent="0.55000000000000004">
      <c r="W7043"/>
    </row>
    <row r="7044" spans="23:23" x14ac:dyDescent="0.55000000000000004">
      <c r="W7044"/>
    </row>
    <row r="7045" spans="23:23" x14ac:dyDescent="0.55000000000000004">
      <c r="W7045"/>
    </row>
    <row r="7046" spans="23:23" x14ac:dyDescent="0.55000000000000004">
      <c r="W7046"/>
    </row>
    <row r="7047" spans="23:23" x14ac:dyDescent="0.55000000000000004">
      <c r="W7047"/>
    </row>
    <row r="7048" spans="23:23" x14ac:dyDescent="0.55000000000000004">
      <c r="W7048"/>
    </row>
    <row r="7049" spans="23:23" x14ac:dyDescent="0.55000000000000004">
      <c r="W7049"/>
    </row>
    <row r="7050" spans="23:23" x14ac:dyDescent="0.55000000000000004">
      <c r="W7050"/>
    </row>
    <row r="7051" spans="23:23" x14ac:dyDescent="0.55000000000000004">
      <c r="W7051"/>
    </row>
    <row r="7052" spans="23:23" x14ac:dyDescent="0.55000000000000004">
      <c r="W7052"/>
    </row>
    <row r="7053" spans="23:23" x14ac:dyDescent="0.55000000000000004">
      <c r="W7053"/>
    </row>
    <row r="7054" spans="23:23" x14ac:dyDescent="0.55000000000000004">
      <c r="W7054"/>
    </row>
    <row r="7055" spans="23:23" x14ac:dyDescent="0.55000000000000004">
      <c r="W7055"/>
    </row>
    <row r="7056" spans="23:23" x14ac:dyDescent="0.55000000000000004">
      <c r="W7056"/>
    </row>
    <row r="7057" spans="23:23" x14ac:dyDescent="0.55000000000000004">
      <c r="W7057"/>
    </row>
    <row r="7058" spans="23:23" x14ac:dyDescent="0.55000000000000004">
      <c r="W7058"/>
    </row>
    <row r="7059" spans="23:23" x14ac:dyDescent="0.55000000000000004">
      <c r="W7059"/>
    </row>
    <row r="7060" spans="23:23" x14ac:dyDescent="0.55000000000000004">
      <c r="W7060"/>
    </row>
    <row r="7061" spans="23:23" x14ac:dyDescent="0.55000000000000004">
      <c r="W7061"/>
    </row>
    <row r="7062" spans="23:23" x14ac:dyDescent="0.55000000000000004">
      <c r="W7062"/>
    </row>
    <row r="7063" spans="23:23" x14ac:dyDescent="0.55000000000000004">
      <c r="W7063"/>
    </row>
    <row r="7064" spans="23:23" x14ac:dyDescent="0.55000000000000004">
      <c r="W7064"/>
    </row>
    <row r="7065" spans="23:23" x14ac:dyDescent="0.55000000000000004">
      <c r="W7065"/>
    </row>
    <row r="7066" spans="23:23" x14ac:dyDescent="0.55000000000000004">
      <c r="W7066"/>
    </row>
    <row r="7067" spans="23:23" x14ac:dyDescent="0.55000000000000004">
      <c r="W7067"/>
    </row>
    <row r="7068" spans="23:23" x14ac:dyDescent="0.55000000000000004">
      <c r="W7068"/>
    </row>
    <row r="7069" spans="23:23" x14ac:dyDescent="0.55000000000000004">
      <c r="W7069"/>
    </row>
    <row r="7070" spans="23:23" x14ac:dyDescent="0.55000000000000004">
      <c r="W7070"/>
    </row>
    <row r="7071" spans="23:23" x14ac:dyDescent="0.55000000000000004">
      <c r="W7071"/>
    </row>
    <row r="7072" spans="23:23" x14ac:dyDescent="0.55000000000000004">
      <c r="W7072"/>
    </row>
    <row r="7073" spans="23:23" x14ac:dyDescent="0.55000000000000004">
      <c r="W7073"/>
    </row>
    <row r="7074" spans="23:23" x14ac:dyDescent="0.55000000000000004">
      <c r="W7074"/>
    </row>
    <row r="7075" spans="23:23" x14ac:dyDescent="0.55000000000000004">
      <c r="W7075"/>
    </row>
    <row r="7076" spans="23:23" x14ac:dyDescent="0.55000000000000004">
      <c r="W7076"/>
    </row>
    <row r="7077" spans="23:23" x14ac:dyDescent="0.55000000000000004">
      <c r="W7077"/>
    </row>
    <row r="7078" spans="23:23" x14ac:dyDescent="0.55000000000000004">
      <c r="W7078"/>
    </row>
    <row r="7079" spans="23:23" x14ac:dyDescent="0.55000000000000004">
      <c r="W7079"/>
    </row>
    <row r="7080" spans="23:23" x14ac:dyDescent="0.55000000000000004">
      <c r="W7080"/>
    </row>
    <row r="7081" spans="23:23" x14ac:dyDescent="0.55000000000000004">
      <c r="W7081"/>
    </row>
    <row r="7082" spans="23:23" x14ac:dyDescent="0.55000000000000004">
      <c r="W7082"/>
    </row>
    <row r="7083" spans="23:23" x14ac:dyDescent="0.55000000000000004">
      <c r="W7083"/>
    </row>
    <row r="7084" spans="23:23" x14ac:dyDescent="0.55000000000000004">
      <c r="W7084"/>
    </row>
    <row r="7085" spans="23:23" x14ac:dyDescent="0.55000000000000004">
      <c r="W7085"/>
    </row>
    <row r="7086" spans="23:23" x14ac:dyDescent="0.55000000000000004">
      <c r="W7086"/>
    </row>
    <row r="7087" spans="23:23" x14ac:dyDescent="0.55000000000000004">
      <c r="W7087"/>
    </row>
    <row r="7088" spans="23:23" x14ac:dyDescent="0.55000000000000004">
      <c r="W7088"/>
    </row>
    <row r="7089" spans="23:23" x14ac:dyDescent="0.55000000000000004">
      <c r="W7089"/>
    </row>
    <row r="7090" spans="23:23" x14ac:dyDescent="0.55000000000000004">
      <c r="W7090"/>
    </row>
    <row r="7091" spans="23:23" x14ac:dyDescent="0.55000000000000004">
      <c r="W7091"/>
    </row>
    <row r="7092" spans="23:23" x14ac:dyDescent="0.55000000000000004">
      <c r="W7092"/>
    </row>
    <row r="7093" spans="23:23" x14ac:dyDescent="0.55000000000000004">
      <c r="W7093"/>
    </row>
    <row r="7094" spans="23:23" x14ac:dyDescent="0.55000000000000004">
      <c r="W7094"/>
    </row>
    <row r="7095" spans="23:23" x14ac:dyDescent="0.55000000000000004">
      <c r="W7095"/>
    </row>
    <row r="7096" spans="23:23" x14ac:dyDescent="0.55000000000000004">
      <c r="W7096"/>
    </row>
    <row r="7097" spans="23:23" x14ac:dyDescent="0.55000000000000004">
      <c r="W7097"/>
    </row>
    <row r="7098" spans="23:23" x14ac:dyDescent="0.55000000000000004">
      <c r="W7098"/>
    </row>
    <row r="7099" spans="23:23" x14ac:dyDescent="0.55000000000000004">
      <c r="W7099"/>
    </row>
    <row r="7100" spans="23:23" x14ac:dyDescent="0.55000000000000004">
      <c r="W7100"/>
    </row>
    <row r="7101" spans="23:23" x14ac:dyDescent="0.55000000000000004">
      <c r="W7101"/>
    </row>
    <row r="7102" spans="23:23" x14ac:dyDescent="0.55000000000000004">
      <c r="W7102"/>
    </row>
    <row r="7103" spans="23:23" x14ac:dyDescent="0.55000000000000004">
      <c r="W7103"/>
    </row>
    <row r="7104" spans="23:23" x14ac:dyDescent="0.55000000000000004">
      <c r="W7104"/>
    </row>
    <row r="7105" spans="23:23" x14ac:dyDescent="0.55000000000000004">
      <c r="W7105"/>
    </row>
    <row r="7106" spans="23:23" x14ac:dyDescent="0.55000000000000004">
      <c r="W7106"/>
    </row>
    <row r="7107" spans="23:23" x14ac:dyDescent="0.55000000000000004">
      <c r="W7107"/>
    </row>
    <row r="7108" spans="23:23" x14ac:dyDescent="0.55000000000000004">
      <c r="W7108"/>
    </row>
    <row r="7109" spans="23:23" x14ac:dyDescent="0.55000000000000004">
      <c r="W7109"/>
    </row>
    <row r="7110" spans="23:23" x14ac:dyDescent="0.55000000000000004">
      <c r="W7110"/>
    </row>
    <row r="7111" spans="23:23" x14ac:dyDescent="0.55000000000000004">
      <c r="W7111"/>
    </row>
    <row r="7112" spans="23:23" x14ac:dyDescent="0.55000000000000004">
      <c r="W7112"/>
    </row>
    <row r="7113" spans="23:23" x14ac:dyDescent="0.55000000000000004">
      <c r="W7113"/>
    </row>
    <row r="7114" spans="23:23" x14ac:dyDescent="0.55000000000000004">
      <c r="W7114"/>
    </row>
    <row r="7115" spans="23:23" x14ac:dyDescent="0.55000000000000004">
      <c r="W7115"/>
    </row>
    <row r="7116" spans="23:23" x14ac:dyDescent="0.55000000000000004">
      <c r="W7116"/>
    </row>
    <row r="7117" spans="23:23" x14ac:dyDescent="0.55000000000000004">
      <c r="W7117"/>
    </row>
    <row r="7118" spans="23:23" x14ac:dyDescent="0.55000000000000004">
      <c r="W7118"/>
    </row>
    <row r="7119" spans="23:23" x14ac:dyDescent="0.55000000000000004">
      <c r="W7119"/>
    </row>
    <row r="7120" spans="23:23" x14ac:dyDescent="0.55000000000000004">
      <c r="W7120"/>
    </row>
    <row r="7121" spans="23:23" x14ac:dyDescent="0.55000000000000004">
      <c r="W7121"/>
    </row>
    <row r="7122" spans="23:23" x14ac:dyDescent="0.55000000000000004">
      <c r="W7122"/>
    </row>
    <row r="7123" spans="23:23" x14ac:dyDescent="0.55000000000000004">
      <c r="W7123"/>
    </row>
    <row r="7124" spans="23:23" x14ac:dyDescent="0.55000000000000004">
      <c r="W7124"/>
    </row>
    <row r="7125" spans="23:23" x14ac:dyDescent="0.55000000000000004">
      <c r="W7125"/>
    </row>
    <row r="7126" spans="23:23" x14ac:dyDescent="0.55000000000000004">
      <c r="W7126"/>
    </row>
    <row r="7127" spans="23:23" x14ac:dyDescent="0.55000000000000004">
      <c r="W7127"/>
    </row>
    <row r="7128" spans="23:23" x14ac:dyDescent="0.55000000000000004">
      <c r="W7128"/>
    </row>
    <row r="7129" spans="23:23" x14ac:dyDescent="0.55000000000000004">
      <c r="W7129"/>
    </row>
    <row r="7130" spans="23:23" x14ac:dyDescent="0.55000000000000004">
      <c r="W7130"/>
    </row>
    <row r="7131" spans="23:23" x14ac:dyDescent="0.55000000000000004">
      <c r="W7131"/>
    </row>
    <row r="7132" spans="23:23" x14ac:dyDescent="0.55000000000000004">
      <c r="W7132"/>
    </row>
    <row r="7133" spans="23:23" x14ac:dyDescent="0.55000000000000004">
      <c r="W7133"/>
    </row>
    <row r="7134" spans="23:23" x14ac:dyDescent="0.55000000000000004">
      <c r="W7134"/>
    </row>
    <row r="7135" spans="23:23" x14ac:dyDescent="0.55000000000000004">
      <c r="W7135"/>
    </row>
    <row r="7136" spans="23:23" x14ac:dyDescent="0.55000000000000004">
      <c r="W7136"/>
    </row>
    <row r="7137" spans="23:23" x14ac:dyDescent="0.55000000000000004">
      <c r="W7137"/>
    </row>
    <row r="7138" spans="23:23" x14ac:dyDescent="0.55000000000000004">
      <c r="W7138"/>
    </row>
    <row r="7139" spans="23:23" x14ac:dyDescent="0.55000000000000004">
      <c r="W7139"/>
    </row>
    <row r="7140" spans="23:23" x14ac:dyDescent="0.55000000000000004">
      <c r="W7140"/>
    </row>
    <row r="7141" spans="23:23" x14ac:dyDescent="0.55000000000000004">
      <c r="W7141"/>
    </row>
    <row r="7142" spans="23:23" x14ac:dyDescent="0.55000000000000004">
      <c r="W7142"/>
    </row>
    <row r="7143" spans="23:23" x14ac:dyDescent="0.55000000000000004">
      <c r="W7143"/>
    </row>
    <row r="7144" spans="23:23" x14ac:dyDescent="0.55000000000000004">
      <c r="W7144"/>
    </row>
    <row r="7145" spans="23:23" x14ac:dyDescent="0.55000000000000004">
      <c r="W7145"/>
    </row>
    <row r="7146" spans="23:23" x14ac:dyDescent="0.55000000000000004">
      <c r="W7146"/>
    </row>
    <row r="7147" spans="23:23" x14ac:dyDescent="0.55000000000000004">
      <c r="W7147"/>
    </row>
    <row r="7148" spans="23:23" x14ac:dyDescent="0.55000000000000004">
      <c r="W7148"/>
    </row>
    <row r="7149" spans="23:23" x14ac:dyDescent="0.55000000000000004">
      <c r="W7149"/>
    </row>
    <row r="7150" spans="23:23" x14ac:dyDescent="0.55000000000000004">
      <c r="W7150"/>
    </row>
    <row r="7151" spans="23:23" x14ac:dyDescent="0.55000000000000004">
      <c r="W7151"/>
    </row>
    <row r="7152" spans="23:23" x14ac:dyDescent="0.55000000000000004">
      <c r="W7152"/>
    </row>
    <row r="7153" spans="23:23" x14ac:dyDescent="0.55000000000000004">
      <c r="W7153"/>
    </row>
    <row r="7154" spans="23:23" x14ac:dyDescent="0.55000000000000004">
      <c r="W7154"/>
    </row>
    <row r="7155" spans="23:23" x14ac:dyDescent="0.55000000000000004">
      <c r="W7155"/>
    </row>
    <row r="7156" spans="23:23" x14ac:dyDescent="0.55000000000000004">
      <c r="W7156"/>
    </row>
    <row r="7157" spans="23:23" x14ac:dyDescent="0.55000000000000004">
      <c r="W7157"/>
    </row>
    <row r="7158" spans="23:23" x14ac:dyDescent="0.55000000000000004">
      <c r="W7158"/>
    </row>
    <row r="7159" spans="23:23" x14ac:dyDescent="0.55000000000000004">
      <c r="W7159"/>
    </row>
    <row r="7160" spans="23:23" x14ac:dyDescent="0.55000000000000004">
      <c r="W7160"/>
    </row>
    <row r="7161" spans="23:23" x14ac:dyDescent="0.55000000000000004">
      <c r="W7161"/>
    </row>
    <row r="7162" spans="23:23" x14ac:dyDescent="0.55000000000000004">
      <c r="W7162"/>
    </row>
    <row r="7163" spans="23:23" x14ac:dyDescent="0.55000000000000004">
      <c r="W7163"/>
    </row>
    <row r="7164" spans="23:23" x14ac:dyDescent="0.55000000000000004">
      <c r="W7164"/>
    </row>
    <row r="7165" spans="23:23" x14ac:dyDescent="0.55000000000000004">
      <c r="W7165"/>
    </row>
    <row r="7166" spans="23:23" x14ac:dyDescent="0.55000000000000004">
      <c r="W7166"/>
    </row>
    <row r="7167" spans="23:23" x14ac:dyDescent="0.55000000000000004">
      <c r="W7167"/>
    </row>
    <row r="7168" spans="23:23" x14ac:dyDescent="0.55000000000000004">
      <c r="W7168"/>
    </row>
    <row r="7169" spans="23:23" x14ac:dyDescent="0.55000000000000004">
      <c r="W7169"/>
    </row>
    <row r="7170" spans="23:23" x14ac:dyDescent="0.55000000000000004">
      <c r="W7170"/>
    </row>
    <row r="7171" spans="23:23" x14ac:dyDescent="0.55000000000000004">
      <c r="W7171"/>
    </row>
    <row r="7172" spans="23:23" x14ac:dyDescent="0.55000000000000004">
      <c r="W7172"/>
    </row>
    <row r="7173" spans="23:23" x14ac:dyDescent="0.55000000000000004">
      <c r="W7173"/>
    </row>
    <row r="7174" spans="23:23" x14ac:dyDescent="0.55000000000000004">
      <c r="W7174"/>
    </row>
    <row r="7175" spans="23:23" x14ac:dyDescent="0.55000000000000004">
      <c r="W7175"/>
    </row>
    <row r="7176" spans="23:23" x14ac:dyDescent="0.55000000000000004">
      <c r="W7176"/>
    </row>
    <row r="7177" spans="23:23" x14ac:dyDescent="0.55000000000000004">
      <c r="W7177"/>
    </row>
    <row r="7178" spans="23:23" x14ac:dyDescent="0.55000000000000004">
      <c r="W7178"/>
    </row>
    <row r="7179" spans="23:23" x14ac:dyDescent="0.55000000000000004">
      <c r="W7179"/>
    </row>
    <row r="7180" spans="23:23" x14ac:dyDescent="0.55000000000000004">
      <c r="W7180"/>
    </row>
    <row r="7181" spans="23:23" x14ac:dyDescent="0.55000000000000004">
      <c r="W7181"/>
    </row>
    <row r="7182" spans="23:23" x14ac:dyDescent="0.55000000000000004">
      <c r="W7182"/>
    </row>
    <row r="7183" spans="23:23" x14ac:dyDescent="0.55000000000000004">
      <c r="W7183"/>
    </row>
    <row r="7184" spans="23:23" x14ac:dyDescent="0.55000000000000004">
      <c r="W7184"/>
    </row>
    <row r="7185" spans="23:23" x14ac:dyDescent="0.55000000000000004">
      <c r="W7185"/>
    </row>
    <row r="7186" spans="23:23" x14ac:dyDescent="0.55000000000000004">
      <c r="W7186"/>
    </row>
    <row r="7187" spans="23:23" x14ac:dyDescent="0.55000000000000004">
      <c r="W7187"/>
    </row>
    <row r="7188" spans="23:23" x14ac:dyDescent="0.55000000000000004">
      <c r="W7188"/>
    </row>
    <row r="7189" spans="23:23" x14ac:dyDescent="0.55000000000000004">
      <c r="W7189"/>
    </row>
    <row r="7190" spans="23:23" x14ac:dyDescent="0.55000000000000004">
      <c r="W7190"/>
    </row>
    <row r="7191" spans="23:23" x14ac:dyDescent="0.55000000000000004">
      <c r="W7191"/>
    </row>
    <row r="7192" spans="23:23" x14ac:dyDescent="0.55000000000000004">
      <c r="W7192"/>
    </row>
    <row r="7193" spans="23:23" x14ac:dyDescent="0.55000000000000004">
      <c r="W7193"/>
    </row>
    <row r="7194" spans="23:23" x14ac:dyDescent="0.55000000000000004">
      <c r="W7194"/>
    </row>
    <row r="7195" spans="23:23" x14ac:dyDescent="0.55000000000000004">
      <c r="W7195"/>
    </row>
    <row r="7196" spans="23:23" x14ac:dyDescent="0.55000000000000004">
      <c r="W7196"/>
    </row>
    <row r="7197" spans="23:23" x14ac:dyDescent="0.55000000000000004">
      <c r="W7197"/>
    </row>
    <row r="7198" spans="23:23" x14ac:dyDescent="0.55000000000000004">
      <c r="W7198"/>
    </row>
    <row r="7199" spans="23:23" x14ac:dyDescent="0.55000000000000004">
      <c r="W7199"/>
    </row>
    <row r="7200" spans="23:23" x14ac:dyDescent="0.55000000000000004">
      <c r="W7200"/>
    </row>
    <row r="7201" spans="23:23" x14ac:dyDescent="0.55000000000000004">
      <c r="W7201"/>
    </row>
    <row r="7202" spans="23:23" x14ac:dyDescent="0.55000000000000004">
      <c r="W7202"/>
    </row>
    <row r="7203" spans="23:23" x14ac:dyDescent="0.55000000000000004">
      <c r="W7203"/>
    </row>
    <row r="7204" spans="23:23" x14ac:dyDescent="0.55000000000000004">
      <c r="W7204"/>
    </row>
    <row r="7205" spans="23:23" x14ac:dyDescent="0.55000000000000004">
      <c r="W7205"/>
    </row>
    <row r="7206" spans="23:23" x14ac:dyDescent="0.55000000000000004">
      <c r="W7206"/>
    </row>
    <row r="7207" spans="23:23" x14ac:dyDescent="0.55000000000000004">
      <c r="W7207"/>
    </row>
    <row r="7208" spans="23:23" x14ac:dyDescent="0.55000000000000004">
      <c r="W7208"/>
    </row>
    <row r="7209" spans="23:23" x14ac:dyDescent="0.55000000000000004">
      <c r="W7209"/>
    </row>
    <row r="7210" spans="23:23" x14ac:dyDescent="0.55000000000000004">
      <c r="W7210"/>
    </row>
    <row r="7211" spans="23:23" x14ac:dyDescent="0.55000000000000004">
      <c r="W7211"/>
    </row>
    <row r="7212" spans="23:23" x14ac:dyDescent="0.55000000000000004">
      <c r="W7212"/>
    </row>
    <row r="7213" spans="23:23" x14ac:dyDescent="0.55000000000000004">
      <c r="W7213"/>
    </row>
    <row r="7214" spans="23:23" x14ac:dyDescent="0.55000000000000004">
      <c r="W7214"/>
    </row>
    <row r="7215" spans="23:23" x14ac:dyDescent="0.55000000000000004">
      <c r="W7215"/>
    </row>
    <row r="7216" spans="23:23" x14ac:dyDescent="0.55000000000000004">
      <c r="W7216"/>
    </row>
    <row r="7217" spans="23:23" x14ac:dyDescent="0.55000000000000004">
      <c r="W7217"/>
    </row>
    <row r="7218" spans="23:23" x14ac:dyDescent="0.55000000000000004">
      <c r="W7218"/>
    </row>
    <row r="7219" spans="23:23" x14ac:dyDescent="0.55000000000000004">
      <c r="W7219"/>
    </row>
    <row r="7220" spans="23:23" x14ac:dyDescent="0.55000000000000004">
      <c r="W7220"/>
    </row>
    <row r="7221" spans="23:23" x14ac:dyDescent="0.55000000000000004">
      <c r="W7221"/>
    </row>
    <row r="7222" spans="23:23" x14ac:dyDescent="0.55000000000000004">
      <c r="W7222"/>
    </row>
    <row r="7223" spans="23:23" x14ac:dyDescent="0.55000000000000004">
      <c r="W7223"/>
    </row>
    <row r="7224" spans="23:23" x14ac:dyDescent="0.55000000000000004">
      <c r="W7224"/>
    </row>
    <row r="7225" spans="23:23" x14ac:dyDescent="0.55000000000000004">
      <c r="W7225"/>
    </row>
    <row r="7226" spans="23:23" x14ac:dyDescent="0.55000000000000004">
      <c r="W7226"/>
    </row>
    <row r="7227" spans="23:23" x14ac:dyDescent="0.55000000000000004">
      <c r="W7227"/>
    </row>
    <row r="7228" spans="23:23" x14ac:dyDescent="0.55000000000000004">
      <c r="W7228"/>
    </row>
    <row r="7229" spans="23:23" x14ac:dyDescent="0.55000000000000004">
      <c r="W7229"/>
    </row>
    <row r="7230" spans="23:23" x14ac:dyDescent="0.55000000000000004">
      <c r="W7230"/>
    </row>
    <row r="7231" spans="23:23" x14ac:dyDescent="0.55000000000000004">
      <c r="W7231"/>
    </row>
    <row r="7232" spans="23:23" x14ac:dyDescent="0.55000000000000004">
      <c r="W7232"/>
    </row>
    <row r="7233" spans="23:23" x14ac:dyDescent="0.55000000000000004">
      <c r="W7233"/>
    </row>
    <row r="7234" spans="23:23" x14ac:dyDescent="0.55000000000000004">
      <c r="W7234"/>
    </row>
    <row r="7235" spans="23:23" x14ac:dyDescent="0.55000000000000004">
      <c r="W7235"/>
    </row>
    <row r="7236" spans="23:23" x14ac:dyDescent="0.55000000000000004">
      <c r="W7236"/>
    </row>
    <row r="7237" spans="23:23" x14ac:dyDescent="0.55000000000000004">
      <c r="W7237"/>
    </row>
    <row r="7238" spans="23:23" x14ac:dyDescent="0.55000000000000004">
      <c r="W7238"/>
    </row>
    <row r="7239" spans="23:23" x14ac:dyDescent="0.55000000000000004">
      <c r="W7239"/>
    </row>
    <row r="7240" spans="23:23" x14ac:dyDescent="0.55000000000000004">
      <c r="W7240"/>
    </row>
    <row r="7241" spans="23:23" x14ac:dyDescent="0.55000000000000004">
      <c r="W7241"/>
    </row>
    <row r="7242" spans="23:23" x14ac:dyDescent="0.55000000000000004">
      <c r="W7242"/>
    </row>
    <row r="7243" spans="23:23" x14ac:dyDescent="0.55000000000000004">
      <c r="W7243"/>
    </row>
    <row r="7244" spans="23:23" x14ac:dyDescent="0.55000000000000004">
      <c r="W7244"/>
    </row>
    <row r="7245" spans="23:23" x14ac:dyDescent="0.55000000000000004">
      <c r="W7245"/>
    </row>
    <row r="7246" spans="23:23" x14ac:dyDescent="0.55000000000000004">
      <c r="W7246"/>
    </row>
    <row r="7247" spans="23:23" x14ac:dyDescent="0.55000000000000004">
      <c r="W7247"/>
    </row>
    <row r="7248" spans="23:23" x14ac:dyDescent="0.55000000000000004">
      <c r="W7248"/>
    </row>
    <row r="7249" spans="23:23" x14ac:dyDescent="0.55000000000000004">
      <c r="W7249"/>
    </row>
    <row r="7250" spans="23:23" x14ac:dyDescent="0.55000000000000004">
      <c r="W7250"/>
    </row>
    <row r="7251" spans="23:23" x14ac:dyDescent="0.55000000000000004">
      <c r="W7251"/>
    </row>
    <row r="7252" spans="23:23" x14ac:dyDescent="0.55000000000000004">
      <c r="W7252"/>
    </row>
    <row r="7253" spans="23:23" x14ac:dyDescent="0.55000000000000004">
      <c r="W7253"/>
    </row>
    <row r="7254" spans="23:23" x14ac:dyDescent="0.55000000000000004">
      <c r="W7254"/>
    </row>
    <row r="7255" spans="23:23" x14ac:dyDescent="0.55000000000000004">
      <c r="W7255"/>
    </row>
    <row r="7256" spans="23:23" x14ac:dyDescent="0.55000000000000004">
      <c r="W7256"/>
    </row>
    <row r="7257" spans="23:23" x14ac:dyDescent="0.55000000000000004">
      <c r="W7257"/>
    </row>
    <row r="7258" spans="23:23" x14ac:dyDescent="0.55000000000000004">
      <c r="W7258"/>
    </row>
    <row r="7259" spans="23:23" x14ac:dyDescent="0.55000000000000004">
      <c r="W7259"/>
    </row>
    <row r="7260" spans="23:23" x14ac:dyDescent="0.55000000000000004">
      <c r="W7260"/>
    </row>
    <row r="7261" spans="23:23" x14ac:dyDescent="0.55000000000000004">
      <c r="W7261"/>
    </row>
    <row r="7262" spans="23:23" x14ac:dyDescent="0.55000000000000004">
      <c r="W7262"/>
    </row>
    <row r="7263" spans="23:23" x14ac:dyDescent="0.55000000000000004">
      <c r="W7263"/>
    </row>
    <row r="7264" spans="23:23" x14ac:dyDescent="0.55000000000000004">
      <c r="W7264"/>
    </row>
    <row r="7265" spans="23:23" x14ac:dyDescent="0.55000000000000004">
      <c r="W7265"/>
    </row>
    <row r="7266" spans="23:23" x14ac:dyDescent="0.55000000000000004">
      <c r="W7266"/>
    </row>
    <row r="7267" spans="23:23" x14ac:dyDescent="0.55000000000000004">
      <c r="W7267"/>
    </row>
    <row r="7268" spans="23:23" x14ac:dyDescent="0.55000000000000004">
      <c r="W7268"/>
    </row>
    <row r="7269" spans="23:23" x14ac:dyDescent="0.55000000000000004">
      <c r="W7269"/>
    </row>
    <row r="7270" spans="23:23" x14ac:dyDescent="0.55000000000000004">
      <c r="W7270"/>
    </row>
    <row r="7271" spans="23:23" x14ac:dyDescent="0.55000000000000004">
      <c r="W7271"/>
    </row>
    <row r="7272" spans="23:23" x14ac:dyDescent="0.55000000000000004">
      <c r="W7272"/>
    </row>
    <row r="7273" spans="23:23" x14ac:dyDescent="0.55000000000000004">
      <c r="W7273"/>
    </row>
    <row r="7274" spans="23:23" x14ac:dyDescent="0.55000000000000004">
      <c r="W7274"/>
    </row>
    <row r="7275" spans="23:23" x14ac:dyDescent="0.55000000000000004">
      <c r="W7275"/>
    </row>
    <row r="7276" spans="23:23" x14ac:dyDescent="0.55000000000000004">
      <c r="W7276"/>
    </row>
    <row r="7277" spans="23:23" x14ac:dyDescent="0.55000000000000004">
      <c r="W7277"/>
    </row>
    <row r="7278" spans="23:23" x14ac:dyDescent="0.55000000000000004">
      <c r="W7278"/>
    </row>
    <row r="7279" spans="23:23" x14ac:dyDescent="0.55000000000000004">
      <c r="W7279"/>
    </row>
    <row r="7280" spans="23:23" x14ac:dyDescent="0.55000000000000004">
      <c r="W7280"/>
    </row>
    <row r="7281" spans="23:23" x14ac:dyDescent="0.55000000000000004">
      <c r="W7281"/>
    </row>
    <row r="7282" spans="23:23" x14ac:dyDescent="0.55000000000000004">
      <c r="W7282"/>
    </row>
    <row r="7283" spans="23:23" x14ac:dyDescent="0.55000000000000004">
      <c r="W7283"/>
    </row>
    <row r="7284" spans="23:23" x14ac:dyDescent="0.55000000000000004">
      <c r="W7284"/>
    </row>
    <row r="7285" spans="23:23" x14ac:dyDescent="0.55000000000000004">
      <c r="W7285"/>
    </row>
    <row r="7286" spans="23:23" x14ac:dyDescent="0.55000000000000004">
      <c r="W7286"/>
    </row>
    <row r="7287" spans="23:23" x14ac:dyDescent="0.55000000000000004">
      <c r="W7287"/>
    </row>
    <row r="7288" spans="23:23" x14ac:dyDescent="0.55000000000000004">
      <c r="W7288"/>
    </row>
    <row r="7289" spans="23:23" x14ac:dyDescent="0.55000000000000004">
      <c r="W7289"/>
    </row>
    <row r="7290" spans="23:23" x14ac:dyDescent="0.55000000000000004">
      <c r="W7290"/>
    </row>
    <row r="7291" spans="23:23" x14ac:dyDescent="0.55000000000000004">
      <c r="W7291"/>
    </row>
    <row r="7292" spans="23:23" x14ac:dyDescent="0.55000000000000004">
      <c r="W7292"/>
    </row>
    <row r="7293" spans="23:23" x14ac:dyDescent="0.55000000000000004">
      <c r="W7293"/>
    </row>
    <row r="7294" spans="23:23" x14ac:dyDescent="0.55000000000000004">
      <c r="W7294"/>
    </row>
    <row r="7295" spans="23:23" x14ac:dyDescent="0.55000000000000004">
      <c r="W7295"/>
    </row>
    <row r="7296" spans="23:23" x14ac:dyDescent="0.55000000000000004">
      <c r="W7296"/>
    </row>
    <row r="7297" spans="23:23" x14ac:dyDescent="0.55000000000000004">
      <c r="W7297"/>
    </row>
    <row r="7298" spans="23:23" x14ac:dyDescent="0.55000000000000004">
      <c r="W7298"/>
    </row>
    <row r="7299" spans="23:23" x14ac:dyDescent="0.55000000000000004">
      <c r="W7299"/>
    </row>
    <row r="7300" spans="23:23" x14ac:dyDescent="0.55000000000000004">
      <c r="W7300"/>
    </row>
    <row r="7301" spans="23:23" x14ac:dyDescent="0.55000000000000004">
      <c r="W7301"/>
    </row>
    <row r="7302" spans="23:23" x14ac:dyDescent="0.55000000000000004">
      <c r="W7302"/>
    </row>
    <row r="7303" spans="23:23" x14ac:dyDescent="0.55000000000000004">
      <c r="W7303"/>
    </row>
    <row r="7304" spans="23:23" x14ac:dyDescent="0.55000000000000004">
      <c r="W7304"/>
    </row>
    <row r="7305" spans="23:23" x14ac:dyDescent="0.55000000000000004">
      <c r="W7305"/>
    </row>
    <row r="7306" spans="23:23" x14ac:dyDescent="0.55000000000000004">
      <c r="W7306"/>
    </row>
    <row r="7307" spans="23:23" x14ac:dyDescent="0.55000000000000004">
      <c r="W7307"/>
    </row>
    <row r="7308" spans="23:23" x14ac:dyDescent="0.55000000000000004">
      <c r="W7308"/>
    </row>
    <row r="7309" spans="23:23" x14ac:dyDescent="0.55000000000000004">
      <c r="W7309"/>
    </row>
    <row r="7310" spans="23:23" x14ac:dyDescent="0.55000000000000004">
      <c r="W7310"/>
    </row>
    <row r="7311" spans="23:23" x14ac:dyDescent="0.55000000000000004">
      <c r="W7311"/>
    </row>
    <row r="7312" spans="23:23" x14ac:dyDescent="0.55000000000000004">
      <c r="W7312"/>
    </row>
    <row r="7313" spans="23:23" x14ac:dyDescent="0.55000000000000004">
      <c r="W7313"/>
    </row>
    <row r="7314" spans="23:23" x14ac:dyDescent="0.55000000000000004">
      <c r="W7314"/>
    </row>
    <row r="7315" spans="23:23" x14ac:dyDescent="0.55000000000000004">
      <c r="W7315"/>
    </row>
    <row r="7316" spans="23:23" x14ac:dyDescent="0.55000000000000004">
      <c r="W7316"/>
    </row>
    <row r="7317" spans="23:23" x14ac:dyDescent="0.55000000000000004">
      <c r="W7317"/>
    </row>
    <row r="7318" spans="23:23" x14ac:dyDescent="0.55000000000000004">
      <c r="W7318"/>
    </row>
    <row r="7319" spans="23:23" x14ac:dyDescent="0.55000000000000004">
      <c r="W7319"/>
    </row>
    <row r="7320" spans="23:23" x14ac:dyDescent="0.55000000000000004">
      <c r="W7320"/>
    </row>
    <row r="7321" spans="23:23" x14ac:dyDescent="0.55000000000000004">
      <c r="W7321"/>
    </row>
    <row r="7322" spans="23:23" x14ac:dyDescent="0.55000000000000004">
      <c r="W7322"/>
    </row>
    <row r="7323" spans="23:23" x14ac:dyDescent="0.55000000000000004">
      <c r="W7323"/>
    </row>
    <row r="7324" spans="23:23" x14ac:dyDescent="0.55000000000000004">
      <c r="W7324"/>
    </row>
    <row r="7325" spans="23:23" x14ac:dyDescent="0.55000000000000004">
      <c r="W7325"/>
    </row>
    <row r="7326" spans="23:23" x14ac:dyDescent="0.55000000000000004">
      <c r="W7326"/>
    </row>
    <row r="7327" spans="23:23" x14ac:dyDescent="0.55000000000000004">
      <c r="W7327"/>
    </row>
    <row r="7328" spans="23:23" x14ac:dyDescent="0.55000000000000004">
      <c r="W7328"/>
    </row>
    <row r="7329" spans="23:23" x14ac:dyDescent="0.55000000000000004">
      <c r="W7329"/>
    </row>
    <row r="7330" spans="23:23" x14ac:dyDescent="0.55000000000000004">
      <c r="W7330"/>
    </row>
    <row r="7331" spans="23:23" x14ac:dyDescent="0.55000000000000004">
      <c r="W7331"/>
    </row>
    <row r="7332" spans="23:23" x14ac:dyDescent="0.55000000000000004">
      <c r="W7332"/>
    </row>
    <row r="7333" spans="23:23" x14ac:dyDescent="0.55000000000000004">
      <c r="W7333"/>
    </row>
    <row r="7334" spans="23:23" x14ac:dyDescent="0.55000000000000004">
      <c r="W7334"/>
    </row>
    <row r="7335" spans="23:23" x14ac:dyDescent="0.55000000000000004">
      <c r="W7335"/>
    </row>
    <row r="7336" spans="23:23" x14ac:dyDescent="0.55000000000000004">
      <c r="W7336"/>
    </row>
    <row r="7337" spans="23:23" x14ac:dyDescent="0.55000000000000004">
      <c r="W7337"/>
    </row>
    <row r="7338" spans="23:23" x14ac:dyDescent="0.55000000000000004">
      <c r="W7338"/>
    </row>
    <row r="7339" spans="23:23" x14ac:dyDescent="0.55000000000000004">
      <c r="W7339"/>
    </row>
    <row r="7340" spans="23:23" x14ac:dyDescent="0.55000000000000004">
      <c r="W7340"/>
    </row>
    <row r="7341" spans="23:23" x14ac:dyDescent="0.55000000000000004">
      <c r="W7341"/>
    </row>
    <row r="7342" spans="23:23" x14ac:dyDescent="0.55000000000000004">
      <c r="W7342"/>
    </row>
    <row r="7343" spans="23:23" x14ac:dyDescent="0.55000000000000004">
      <c r="W7343"/>
    </row>
    <row r="7344" spans="23:23" x14ac:dyDescent="0.55000000000000004">
      <c r="W7344"/>
    </row>
    <row r="7345" spans="23:23" x14ac:dyDescent="0.55000000000000004">
      <c r="W7345"/>
    </row>
    <row r="7346" spans="23:23" x14ac:dyDescent="0.55000000000000004">
      <c r="W7346"/>
    </row>
    <row r="7347" spans="23:23" x14ac:dyDescent="0.55000000000000004">
      <c r="W7347"/>
    </row>
    <row r="7348" spans="23:23" x14ac:dyDescent="0.55000000000000004">
      <c r="W7348"/>
    </row>
    <row r="7349" spans="23:23" x14ac:dyDescent="0.55000000000000004">
      <c r="W7349"/>
    </row>
    <row r="7350" spans="23:23" x14ac:dyDescent="0.55000000000000004">
      <c r="W7350"/>
    </row>
    <row r="7351" spans="23:23" x14ac:dyDescent="0.55000000000000004">
      <c r="W7351"/>
    </row>
    <row r="7352" spans="23:23" x14ac:dyDescent="0.55000000000000004">
      <c r="W7352"/>
    </row>
    <row r="7353" spans="23:23" x14ac:dyDescent="0.55000000000000004">
      <c r="W7353"/>
    </row>
    <row r="7354" spans="23:23" x14ac:dyDescent="0.55000000000000004">
      <c r="W7354"/>
    </row>
    <row r="7355" spans="23:23" x14ac:dyDescent="0.55000000000000004">
      <c r="W7355"/>
    </row>
    <row r="7356" spans="23:23" x14ac:dyDescent="0.55000000000000004">
      <c r="W7356"/>
    </row>
    <row r="7357" spans="23:23" x14ac:dyDescent="0.55000000000000004">
      <c r="W7357"/>
    </row>
    <row r="7358" spans="23:23" x14ac:dyDescent="0.55000000000000004">
      <c r="W7358"/>
    </row>
    <row r="7359" spans="23:23" x14ac:dyDescent="0.55000000000000004">
      <c r="W7359"/>
    </row>
    <row r="7360" spans="23:23" x14ac:dyDescent="0.55000000000000004">
      <c r="W7360"/>
    </row>
    <row r="7361" spans="23:23" x14ac:dyDescent="0.55000000000000004">
      <c r="W7361"/>
    </row>
    <row r="7362" spans="23:23" x14ac:dyDescent="0.55000000000000004">
      <c r="W7362"/>
    </row>
    <row r="7363" spans="23:23" x14ac:dyDescent="0.55000000000000004">
      <c r="W7363"/>
    </row>
    <row r="7364" spans="23:23" x14ac:dyDescent="0.55000000000000004">
      <c r="W7364"/>
    </row>
    <row r="7365" spans="23:23" x14ac:dyDescent="0.55000000000000004">
      <c r="W7365"/>
    </row>
    <row r="7366" spans="23:23" x14ac:dyDescent="0.55000000000000004">
      <c r="W7366"/>
    </row>
    <row r="7367" spans="23:23" x14ac:dyDescent="0.55000000000000004">
      <c r="W7367"/>
    </row>
    <row r="7368" spans="23:23" x14ac:dyDescent="0.55000000000000004">
      <c r="W7368"/>
    </row>
    <row r="7369" spans="23:23" x14ac:dyDescent="0.55000000000000004">
      <c r="W7369"/>
    </row>
    <row r="7370" spans="23:23" x14ac:dyDescent="0.55000000000000004">
      <c r="W7370"/>
    </row>
    <row r="7371" spans="23:23" x14ac:dyDescent="0.55000000000000004">
      <c r="W7371"/>
    </row>
    <row r="7372" spans="23:23" x14ac:dyDescent="0.55000000000000004">
      <c r="W7372"/>
    </row>
    <row r="7373" spans="23:23" x14ac:dyDescent="0.55000000000000004">
      <c r="W7373"/>
    </row>
    <row r="7374" spans="23:23" x14ac:dyDescent="0.55000000000000004">
      <c r="W7374"/>
    </row>
    <row r="7375" spans="23:23" x14ac:dyDescent="0.55000000000000004">
      <c r="W7375"/>
    </row>
    <row r="7376" spans="23:23" x14ac:dyDescent="0.55000000000000004">
      <c r="W7376"/>
    </row>
    <row r="7377" spans="23:23" x14ac:dyDescent="0.55000000000000004">
      <c r="W7377"/>
    </row>
    <row r="7378" spans="23:23" x14ac:dyDescent="0.55000000000000004">
      <c r="W7378"/>
    </row>
    <row r="7379" spans="23:23" x14ac:dyDescent="0.55000000000000004">
      <c r="W7379"/>
    </row>
    <row r="7380" spans="23:23" x14ac:dyDescent="0.55000000000000004">
      <c r="W7380"/>
    </row>
    <row r="7381" spans="23:23" x14ac:dyDescent="0.55000000000000004">
      <c r="W7381"/>
    </row>
    <row r="7382" spans="23:23" x14ac:dyDescent="0.55000000000000004">
      <c r="W7382"/>
    </row>
    <row r="7383" spans="23:23" x14ac:dyDescent="0.55000000000000004">
      <c r="W7383"/>
    </row>
    <row r="7384" spans="23:23" x14ac:dyDescent="0.55000000000000004">
      <c r="W7384"/>
    </row>
    <row r="7385" spans="23:23" x14ac:dyDescent="0.55000000000000004">
      <c r="W7385"/>
    </row>
    <row r="7386" spans="23:23" x14ac:dyDescent="0.55000000000000004">
      <c r="W7386"/>
    </row>
    <row r="7387" spans="23:23" x14ac:dyDescent="0.55000000000000004">
      <c r="W7387"/>
    </row>
    <row r="7388" spans="23:23" x14ac:dyDescent="0.55000000000000004">
      <c r="W7388"/>
    </row>
    <row r="7389" spans="23:23" x14ac:dyDescent="0.55000000000000004">
      <c r="W7389"/>
    </row>
    <row r="7390" spans="23:23" x14ac:dyDescent="0.55000000000000004">
      <c r="W7390"/>
    </row>
    <row r="7391" spans="23:23" x14ac:dyDescent="0.55000000000000004">
      <c r="W7391"/>
    </row>
    <row r="7392" spans="23:23" x14ac:dyDescent="0.55000000000000004">
      <c r="W7392"/>
    </row>
    <row r="7393" spans="23:23" x14ac:dyDescent="0.55000000000000004">
      <c r="W7393"/>
    </row>
    <row r="7394" spans="23:23" x14ac:dyDescent="0.55000000000000004">
      <c r="W7394"/>
    </row>
    <row r="7395" spans="23:23" x14ac:dyDescent="0.55000000000000004">
      <c r="W7395"/>
    </row>
    <row r="7396" spans="23:23" x14ac:dyDescent="0.55000000000000004">
      <c r="W7396"/>
    </row>
    <row r="7397" spans="23:23" x14ac:dyDescent="0.55000000000000004">
      <c r="W7397"/>
    </row>
    <row r="7398" spans="23:23" x14ac:dyDescent="0.55000000000000004">
      <c r="W7398"/>
    </row>
    <row r="7399" spans="23:23" x14ac:dyDescent="0.55000000000000004">
      <c r="W7399"/>
    </row>
    <row r="7400" spans="23:23" x14ac:dyDescent="0.55000000000000004">
      <c r="W7400"/>
    </row>
    <row r="7401" spans="23:23" x14ac:dyDescent="0.55000000000000004">
      <c r="W7401"/>
    </row>
    <row r="7402" spans="23:23" x14ac:dyDescent="0.55000000000000004">
      <c r="W7402"/>
    </row>
    <row r="7403" spans="23:23" x14ac:dyDescent="0.55000000000000004">
      <c r="W7403"/>
    </row>
    <row r="7404" spans="23:23" x14ac:dyDescent="0.55000000000000004">
      <c r="W7404"/>
    </row>
    <row r="7405" spans="23:23" x14ac:dyDescent="0.55000000000000004">
      <c r="W7405"/>
    </row>
    <row r="7406" spans="23:23" x14ac:dyDescent="0.55000000000000004">
      <c r="W7406"/>
    </row>
    <row r="7407" spans="23:23" x14ac:dyDescent="0.55000000000000004">
      <c r="W7407"/>
    </row>
    <row r="7408" spans="23:23" x14ac:dyDescent="0.55000000000000004">
      <c r="W7408"/>
    </row>
    <row r="7409" spans="23:23" x14ac:dyDescent="0.55000000000000004">
      <c r="W7409"/>
    </row>
    <row r="7410" spans="23:23" x14ac:dyDescent="0.55000000000000004">
      <c r="W7410"/>
    </row>
    <row r="7411" spans="23:23" x14ac:dyDescent="0.55000000000000004">
      <c r="W7411"/>
    </row>
    <row r="7412" spans="23:23" x14ac:dyDescent="0.55000000000000004">
      <c r="W7412"/>
    </row>
    <row r="7413" spans="23:23" x14ac:dyDescent="0.55000000000000004">
      <c r="W7413"/>
    </row>
    <row r="7414" spans="23:23" x14ac:dyDescent="0.55000000000000004">
      <c r="W7414"/>
    </row>
    <row r="7415" spans="23:23" x14ac:dyDescent="0.55000000000000004">
      <c r="W7415"/>
    </row>
    <row r="7416" spans="23:23" x14ac:dyDescent="0.55000000000000004">
      <c r="W7416"/>
    </row>
    <row r="7417" spans="23:23" x14ac:dyDescent="0.55000000000000004">
      <c r="W7417"/>
    </row>
    <row r="7418" spans="23:23" x14ac:dyDescent="0.55000000000000004">
      <c r="W7418"/>
    </row>
    <row r="7419" spans="23:23" x14ac:dyDescent="0.55000000000000004">
      <c r="W7419"/>
    </row>
    <row r="7420" spans="23:23" x14ac:dyDescent="0.55000000000000004">
      <c r="W7420"/>
    </row>
    <row r="7421" spans="23:23" x14ac:dyDescent="0.55000000000000004">
      <c r="W7421"/>
    </row>
    <row r="7422" spans="23:23" x14ac:dyDescent="0.55000000000000004">
      <c r="W7422"/>
    </row>
    <row r="7423" spans="23:23" x14ac:dyDescent="0.55000000000000004">
      <c r="W7423"/>
    </row>
    <row r="7424" spans="23:23" x14ac:dyDescent="0.55000000000000004">
      <c r="W7424"/>
    </row>
    <row r="7425" spans="23:23" x14ac:dyDescent="0.55000000000000004">
      <c r="W7425"/>
    </row>
    <row r="7426" spans="23:23" x14ac:dyDescent="0.55000000000000004">
      <c r="W7426"/>
    </row>
    <row r="7427" spans="23:23" x14ac:dyDescent="0.55000000000000004">
      <c r="W7427"/>
    </row>
    <row r="7428" spans="23:23" x14ac:dyDescent="0.55000000000000004">
      <c r="W7428"/>
    </row>
    <row r="7429" spans="23:23" x14ac:dyDescent="0.55000000000000004">
      <c r="W7429"/>
    </row>
    <row r="7430" spans="23:23" x14ac:dyDescent="0.55000000000000004">
      <c r="W7430"/>
    </row>
    <row r="7431" spans="23:23" x14ac:dyDescent="0.55000000000000004">
      <c r="W7431"/>
    </row>
    <row r="7432" spans="23:23" x14ac:dyDescent="0.55000000000000004">
      <c r="W7432"/>
    </row>
    <row r="7433" spans="23:23" x14ac:dyDescent="0.55000000000000004">
      <c r="W7433"/>
    </row>
    <row r="7434" spans="23:23" x14ac:dyDescent="0.55000000000000004">
      <c r="W7434"/>
    </row>
    <row r="7435" spans="23:23" x14ac:dyDescent="0.55000000000000004">
      <c r="W7435"/>
    </row>
    <row r="7436" spans="23:23" x14ac:dyDescent="0.55000000000000004">
      <c r="W7436"/>
    </row>
    <row r="7437" spans="23:23" x14ac:dyDescent="0.55000000000000004">
      <c r="W7437"/>
    </row>
    <row r="7438" spans="23:23" x14ac:dyDescent="0.55000000000000004">
      <c r="W7438"/>
    </row>
    <row r="7439" spans="23:23" x14ac:dyDescent="0.55000000000000004">
      <c r="W7439"/>
    </row>
    <row r="7440" spans="23:23" x14ac:dyDescent="0.55000000000000004">
      <c r="W7440"/>
    </row>
    <row r="7441" spans="23:23" x14ac:dyDescent="0.55000000000000004">
      <c r="W7441"/>
    </row>
    <row r="7442" spans="23:23" x14ac:dyDescent="0.55000000000000004">
      <c r="W7442"/>
    </row>
    <row r="7443" spans="23:23" x14ac:dyDescent="0.55000000000000004">
      <c r="W7443"/>
    </row>
    <row r="7444" spans="23:23" x14ac:dyDescent="0.55000000000000004">
      <c r="W7444"/>
    </row>
    <row r="7445" spans="23:23" x14ac:dyDescent="0.55000000000000004">
      <c r="W7445"/>
    </row>
    <row r="7446" spans="23:23" x14ac:dyDescent="0.55000000000000004">
      <c r="W7446"/>
    </row>
    <row r="7447" spans="23:23" x14ac:dyDescent="0.55000000000000004">
      <c r="W7447"/>
    </row>
    <row r="7448" spans="23:23" x14ac:dyDescent="0.55000000000000004">
      <c r="W7448"/>
    </row>
    <row r="7449" spans="23:23" x14ac:dyDescent="0.55000000000000004">
      <c r="W7449"/>
    </row>
    <row r="7450" spans="23:23" x14ac:dyDescent="0.55000000000000004">
      <c r="W7450"/>
    </row>
    <row r="7451" spans="23:23" x14ac:dyDescent="0.55000000000000004">
      <c r="W7451"/>
    </row>
    <row r="7452" spans="23:23" x14ac:dyDescent="0.55000000000000004">
      <c r="W7452"/>
    </row>
    <row r="7453" spans="23:23" x14ac:dyDescent="0.55000000000000004">
      <c r="W7453"/>
    </row>
    <row r="7454" spans="23:23" x14ac:dyDescent="0.55000000000000004">
      <c r="W7454"/>
    </row>
    <row r="7455" spans="23:23" x14ac:dyDescent="0.55000000000000004">
      <c r="W7455"/>
    </row>
    <row r="7456" spans="23:23" x14ac:dyDescent="0.55000000000000004">
      <c r="W7456"/>
    </row>
    <row r="7457" spans="23:23" x14ac:dyDescent="0.55000000000000004">
      <c r="W7457"/>
    </row>
    <row r="7458" spans="23:23" x14ac:dyDescent="0.55000000000000004">
      <c r="W7458"/>
    </row>
    <row r="7459" spans="23:23" x14ac:dyDescent="0.55000000000000004">
      <c r="W7459"/>
    </row>
    <row r="7460" spans="23:23" x14ac:dyDescent="0.55000000000000004">
      <c r="W7460"/>
    </row>
    <row r="7461" spans="23:23" x14ac:dyDescent="0.55000000000000004">
      <c r="W7461"/>
    </row>
    <row r="7462" spans="23:23" x14ac:dyDescent="0.55000000000000004">
      <c r="W7462"/>
    </row>
    <row r="7463" spans="23:23" x14ac:dyDescent="0.55000000000000004">
      <c r="W7463"/>
    </row>
    <row r="7464" spans="23:23" x14ac:dyDescent="0.55000000000000004">
      <c r="W7464"/>
    </row>
    <row r="7465" spans="23:23" x14ac:dyDescent="0.55000000000000004">
      <c r="W7465"/>
    </row>
    <row r="7466" spans="23:23" x14ac:dyDescent="0.55000000000000004">
      <c r="W7466"/>
    </row>
    <row r="7467" spans="23:23" x14ac:dyDescent="0.55000000000000004">
      <c r="W7467"/>
    </row>
    <row r="7468" spans="23:23" x14ac:dyDescent="0.55000000000000004">
      <c r="W7468"/>
    </row>
    <row r="7469" spans="23:23" x14ac:dyDescent="0.55000000000000004">
      <c r="W7469"/>
    </row>
    <row r="7470" spans="23:23" x14ac:dyDescent="0.55000000000000004">
      <c r="W7470"/>
    </row>
    <row r="7471" spans="23:23" x14ac:dyDescent="0.55000000000000004">
      <c r="W7471"/>
    </row>
    <row r="7472" spans="23:23" x14ac:dyDescent="0.55000000000000004">
      <c r="W7472"/>
    </row>
    <row r="7473" spans="23:23" x14ac:dyDescent="0.55000000000000004">
      <c r="W7473"/>
    </row>
    <row r="7474" spans="23:23" x14ac:dyDescent="0.55000000000000004">
      <c r="W7474"/>
    </row>
    <row r="7475" spans="23:23" x14ac:dyDescent="0.55000000000000004">
      <c r="W7475"/>
    </row>
    <row r="7476" spans="23:23" x14ac:dyDescent="0.55000000000000004">
      <c r="W7476"/>
    </row>
    <row r="7477" spans="23:23" x14ac:dyDescent="0.55000000000000004">
      <c r="W7477"/>
    </row>
    <row r="7478" spans="23:23" x14ac:dyDescent="0.55000000000000004">
      <c r="W7478"/>
    </row>
    <row r="7479" spans="23:23" x14ac:dyDescent="0.55000000000000004">
      <c r="W7479"/>
    </row>
    <row r="7480" spans="23:23" x14ac:dyDescent="0.55000000000000004">
      <c r="W7480"/>
    </row>
    <row r="7481" spans="23:23" x14ac:dyDescent="0.55000000000000004">
      <c r="W7481"/>
    </row>
    <row r="7482" spans="23:23" x14ac:dyDescent="0.55000000000000004">
      <c r="W7482"/>
    </row>
    <row r="7483" spans="23:23" x14ac:dyDescent="0.55000000000000004">
      <c r="W7483"/>
    </row>
    <row r="7484" spans="23:23" x14ac:dyDescent="0.55000000000000004">
      <c r="W7484"/>
    </row>
    <row r="7485" spans="23:23" x14ac:dyDescent="0.55000000000000004">
      <c r="W7485"/>
    </row>
    <row r="7486" spans="23:23" x14ac:dyDescent="0.55000000000000004">
      <c r="W7486"/>
    </row>
    <row r="7487" spans="23:23" x14ac:dyDescent="0.55000000000000004">
      <c r="W7487"/>
    </row>
    <row r="7488" spans="23:23" x14ac:dyDescent="0.55000000000000004">
      <c r="W7488"/>
    </row>
    <row r="7489" spans="23:23" x14ac:dyDescent="0.55000000000000004">
      <c r="W7489"/>
    </row>
    <row r="7490" spans="23:23" x14ac:dyDescent="0.55000000000000004">
      <c r="W7490"/>
    </row>
    <row r="7491" spans="23:23" x14ac:dyDescent="0.55000000000000004">
      <c r="W7491"/>
    </row>
    <row r="7492" spans="23:23" x14ac:dyDescent="0.55000000000000004">
      <c r="W7492"/>
    </row>
    <row r="7493" spans="23:23" x14ac:dyDescent="0.55000000000000004">
      <c r="W7493"/>
    </row>
    <row r="7494" spans="23:23" x14ac:dyDescent="0.55000000000000004">
      <c r="W7494"/>
    </row>
    <row r="7495" spans="23:23" x14ac:dyDescent="0.55000000000000004">
      <c r="W7495"/>
    </row>
    <row r="7496" spans="23:23" x14ac:dyDescent="0.55000000000000004">
      <c r="W7496"/>
    </row>
    <row r="7497" spans="23:23" x14ac:dyDescent="0.55000000000000004">
      <c r="W7497"/>
    </row>
    <row r="7498" spans="23:23" x14ac:dyDescent="0.55000000000000004">
      <c r="W7498"/>
    </row>
    <row r="7499" spans="23:23" x14ac:dyDescent="0.55000000000000004">
      <c r="W7499"/>
    </row>
    <row r="7500" spans="23:23" x14ac:dyDescent="0.55000000000000004">
      <c r="W7500"/>
    </row>
    <row r="7501" spans="23:23" x14ac:dyDescent="0.55000000000000004">
      <c r="W7501"/>
    </row>
    <row r="7502" spans="23:23" x14ac:dyDescent="0.55000000000000004">
      <c r="W7502"/>
    </row>
    <row r="7503" spans="23:23" x14ac:dyDescent="0.55000000000000004">
      <c r="W7503"/>
    </row>
    <row r="7504" spans="23:23" x14ac:dyDescent="0.55000000000000004">
      <c r="W7504"/>
    </row>
    <row r="7505" spans="23:23" x14ac:dyDescent="0.55000000000000004">
      <c r="W7505"/>
    </row>
    <row r="7506" spans="23:23" x14ac:dyDescent="0.55000000000000004">
      <c r="W7506"/>
    </row>
    <row r="7507" spans="23:23" x14ac:dyDescent="0.55000000000000004">
      <c r="W7507"/>
    </row>
    <row r="7508" spans="23:23" x14ac:dyDescent="0.55000000000000004">
      <c r="W7508"/>
    </row>
    <row r="7509" spans="23:23" x14ac:dyDescent="0.55000000000000004">
      <c r="W7509"/>
    </row>
    <row r="7510" spans="23:23" x14ac:dyDescent="0.55000000000000004">
      <c r="W7510"/>
    </row>
    <row r="7511" spans="23:23" x14ac:dyDescent="0.55000000000000004">
      <c r="W7511"/>
    </row>
    <row r="7512" spans="23:23" x14ac:dyDescent="0.55000000000000004">
      <c r="W7512"/>
    </row>
    <row r="7513" spans="23:23" x14ac:dyDescent="0.55000000000000004">
      <c r="W7513"/>
    </row>
    <row r="7514" spans="23:23" x14ac:dyDescent="0.55000000000000004">
      <c r="W7514"/>
    </row>
    <row r="7515" spans="23:23" x14ac:dyDescent="0.55000000000000004">
      <c r="W7515"/>
    </row>
    <row r="7516" spans="23:23" x14ac:dyDescent="0.55000000000000004">
      <c r="W7516"/>
    </row>
    <row r="7517" spans="23:23" x14ac:dyDescent="0.55000000000000004">
      <c r="W7517"/>
    </row>
    <row r="7518" spans="23:23" x14ac:dyDescent="0.55000000000000004">
      <c r="W7518"/>
    </row>
    <row r="7519" spans="23:23" x14ac:dyDescent="0.55000000000000004">
      <c r="W7519"/>
    </row>
    <row r="7520" spans="23:23" x14ac:dyDescent="0.55000000000000004">
      <c r="W7520"/>
    </row>
    <row r="7521" spans="23:23" x14ac:dyDescent="0.55000000000000004">
      <c r="W7521"/>
    </row>
    <row r="7522" spans="23:23" x14ac:dyDescent="0.55000000000000004">
      <c r="W7522"/>
    </row>
    <row r="7523" spans="23:23" x14ac:dyDescent="0.55000000000000004">
      <c r="W7523"/>
    </row>
    <row r="7524" spans="23:23" x14ac:dyDescent="0.55000000000000004">
      <c r="W7524"/>
    </row>
    <row r="7525" spans="23:23" x14ac:dyDescent="0.55000000000000004">
      <c r="W7525"/>
    </row>
    <row r="7526" spans="23:23" x14ac:dyDescent="0.55000000000000004">
      <c r="W7526"/>
    </row>
    <row r="7527" spans="23:23" x14ac:dyDescent="0.55000000000000004">
      <c r="W7527"/>
    </row>
    <row r="7528" spans="23:23" x14ac:dyDescent="0.55000000000000004">
      <c r="W7528"/>
    </row>
    <row r="7529" spans="23:23" x14ac:dyDescent="0.55000000000000004">
      <c r="W7529"/>
    </row>
    <row r="7530" spans="23:23" x14ac:dyDescent="0.55000000000000004">
      <c r="W7530"/>
    </row>
    <row r="7531" spans="23:23" x14ac:dyDescent="0.55000000000000004">
      <c r="W7531"/>
    </row>
    <row r="7532" spans="23:23" x14ac:dyDescent="0.55000000000000004">
      <c r="W7532"/>
    </row>
    <row r="7533" spans="23:23" x14ac:dyDescent="0.55000000000000004">
      <c r="W7533"/>
    </row>
    <row r="7534" spans="23:23" x14ac:dyDescent="0.55000000000000004">
      <c r="W7534"/>
    </row>
    <row r="7535" spans="23:23" x14ac:dyDescent="0.55000000000000004">
      <c r="W7535"/>
    </row>
    <row r="7536" spans="23:23" x14ac:dyDescent="0.55000000000000004">
      <c r="W7536"/>
    </row>
    <row r="7537" spans="23:23" x14ac:dyDescent="0.55000000000000004">
      <c r="W7537"/>
    </row>
    <row r="7538" spans="23:23" x14ac:dyDescent="0.55000000000000004">
      <c r="W7538"/>
    </row>
    <row r="7539" spans="23:23" x14ac:dyDescent="0.55000000000000004">
      <c r="W7539"/>
    </row>
    <row r="7540" spans="23:23" x14ac:dyDescent="0.55000000000000004">
      <c r="W7540"/>
    </row>
    <row r="7541" spans="23:23" x14ac:dyDescent="0.55000000000000004">
      <c r="W7541"/>
    </row>
    <row r="7542" spans="23:23" x14ac:dyDescent="0.55000000000000004">
      <c r="W7542"/>
    </row>
    <row r="7543" spans="23:23" x14ac:dyDescent="0.55000000000000004">
      <c r="W7543"/>
    </row>
    <row r="7544" spans="23:23" x14ac:dyDescent="0.55000000000000004">
      <c r="W7544"/>
    </row>
    <row r="7545" spans="23:23" x14ac:dyDescent="0.55000000000000004">
      <c r="W7545"/>
    </row>
    <row r="7546" spans="23:23" x14ac:dyDescent="0.55000000000000004">
      <c r="W7546"/>
    </row>
    <row r="7547" spans="23:23" x14ac:dyDescent="0.55000000000000004">
      <c r="W7547"/>
    </row>
    <row r="7548" spans="23:23" x14ac:dyDescent="0.55000000000000004">
      <c r="W7548"/>
    </row>
    <row r="7549" spans="23:23" x14ac:dyDescent="0.55000000000000004">
      <c r="W7549"/>
    </row>
    <row r="7550" spans="23:23" x14ac:dyDescent="0.55000000000000004">
      <c r="W7550"/>
    </row>
    <row r="7551" spans="23:23" x14ac:dyDescent="0.55000000000000004">
      <c r="W7551"/>
    </row>
    <row r="7552" spans="23:23" x14ac:dyDescent="0.55000000000000004">
      <c r="W7552"/>
    </row>
    <row r="7553" spans="23:23" x14ac:dyDescent="0.55000000000000004">
      <c r="W7553"/>
    </row>
    <row r="7554" spans="23:23" x14ac:dyDescent="0.55000000000000004">
      <c r="W7554"/>
    </row>
    <row r="7555" spans="23:23" x14ac:dyDescent="0.55000000000000004">
      <c r="W7555"/>
    </row>
    <row r="7556" spans="23:23" x14ac:dyDescent="0.55000000000000004">
      <c r="W7556"/>
    </row>
    <row r="7557" spans="23:23" x14ac:dyDescent="0.55000000000000004">
      <c r="W7557"/>
    </row>
    <row r="7558" spans="23:23" x14ac:dyDescent="0.55000000000000004">
      <c r="W7558"/>
    </row>
    <row r="7559" spans="23:23" x14ac:dyDescent="0.55000000000000004">
      <c r="W7559"/>
    </row>
    <row r="7560" spans="23:23" x14ac:dyDescent="0.55000000000000004">
      <c r="W7560"/>
    </row>
    <row r="7561" spans="23:23" x14ac:dyDescent="0.55000000000000004">
      <c r="W7561"/>
    </row>
    <row r="7562" spans="23:23" x14ac:dyDescent="0.55000000000000004">
      <c r="W7562"/>
    </row>
    <row r="7563" spans="23:23" x14ac:dyDescent="0.55000000000000004">
      <c r="W7563"/>
    </row>
    <row r="7564" spans="23:23" x14ac:dyDescent="0.55000000000000004">
      <c r="W7564"/>
    </row>
    <row r="7565" spans="23:23" x14ac:dyDescent="0.55000000000000004">
      <c r="W7565"/>
    </row>
    <row r="7566" spans="23:23" x14ac:dyDescent="0.55000000000000004">
      <c r="W7566"/>
    </row>
    <row r="7567" spans="23:23" x14ac:dyDescent="0.55000000000000004">
      <c r="W7567"/>
    </row>
    <row r="7568" spans="23:23" x14ac:dyDescent="0.55000000000000004">
      <c r="W7568"/>
    </row>
    <row r="7569" spans="23:23" x14ac:dyDescent="0.55000000000000004">
      <c r="W7569"/>
    </row>
    <row r="7570" spans="23:23" x14ac:dyDescent="0.55000000000000004">
      <c r="W7570"/>
    </row>
    <row r="7571" spans="23:23" x14ac:dyDescent="0.55000000000000004">
      <c r="W7571"/>
    </row>
    <row r="7572" spans="23:23" x14ac:dyDescent="0.55000000000000004">
      <c r="W7572"/>
    </row>
    <row r="7573" spans="23:23" x14ac:dyDescent="0.55000000000000004">
      <c r="W7573"/>
    </row>
    <row r="7574" spans="23:23" x14ac:dyDescent="0.55000000000000004">
      <c r="W7574"/>
    </row>
    <row r="7575" spans="23:23" x14ac:dyDescent="0.55000000000000004">
      <c r="W7575"/>
    </row>
    <row r="7576" spans="23:23" x14ac:dyDescent="0.55000000000000004">
      <c r="W7576"/>
    </row>
    <row r="7577" spans="23:23" x14ac:dyDescent="0.55000000000000004">
      <c r="W7577"/>
    </row>
    <row r="7578" spans="23:23" x14ac:dyDescent="0.55000000000000004">
      <c r="W7578"/>
    </row>
    <row r="7579" spans="23:23" x14ac:dyDescent="0.55000000000000004">
      <c r="W7579"/>
    </row>
    <row r="7580" spans="23:23" x14ac:dyDescent="0.55000000000000004">
      <c r="W7580"/>
    </row>
    <row r="7581" spans="23:23" x14ac:dyDescent="0.55000000000000004">
      <c r="W7581"/>
    </row>
    <row r="7582" spans="23:23" x14ac:dyDescent="0.55000000000000004">
      <c r="W7582"/>
    </row>
    <row r="7583" spans="23:23" x14ac:dyDescent="0.55000000000000004">
      <c r="W7583"/>
    </row>
    <row r="7584" spans="23:23" x14ac:dyDescent="0.55000000000000004">
      <c r="W7584"/>
    </row>
    <row r="7585" spans="23:23" x14ac:dyDescent="0.55000000000000004">
      <c r="W7585"/>
    </row>
    <row r="7586" spans="23:23" x14ac:dyDescent="0.55000000000000004">
      <c r="W7586"/>
    </row>
    <row r="7587" spans="23:23" x14ac:dyDescent="0.55000000000000004">
      <c r="W7587"/>
    </row>
    <row r="7588" spans="23:23" x14ac:dyDescent="0.55000000000000004">
      <c r="W7588"/>
    </row>
    <row r="7589" spans="23:23" x14ac:dyDescent="0.55000000000000004">
      <c r="W7589"/>
    </row>
    <row r="7590" spans="23:23" x14ac:dyDescent="0.55000000000000004">
      <c r="W7590"/>
    </row>
    <row r="7591" spans="23:23" x14ac:dyDescent="0.55000000000000004">
      <c r="W7591"/>
    </row>
    <row r="7592" spans="23:23" x14ac:dyDescent="0.55000000000000004">
      <c r="W7592"/>
    </row>
    <row r="7593" spans="23:23" x14ac:dyDescent="0.55000000000000004">
      <c r="W7593"/>
    </row>
    <row r="7594" spans="23:23" x14ac:dyDescent="0.55000000000000004">
      <c r="W7594"/>
    </row>
    <row r="7595" spans="23:23" x14ac:dyDescent="0.55000000000000004">
      <c r="W7595"/>
    </row>
    <row r="7596" spans="23:23" x14ac:dyDescent="0.55000000000000004">
      <c r="W7596"/>
    </row>
    <row r="7597" spans="23:23" x14ac:dyDescent="0.55000000000000004">
      <c r="W7597"/>
    </row>
    <row r="7598" spans="23:23" x14ac:dyDescent="0.55000000000000004">
      <c r="W7598"/>
    </row>
    <row r="7599" spans="23:23" x14ac:dyDescent="0.55000000000000004">
      <c r="W7599"/>
    </row>
    <row r="7600" spans="23:23" x14ac:dyDescent="0.55000000000000004">
      <c r="W7600"/>
    </row>
    <row r="7601" spans="23:23" x14ac:dyDescent="0.55000000000000004">
      <c r="W7601"/>
    </row>
    <row r="7602" spans="23:23" x14ac:dyDescent="0.55000000000000004">
      <c r="W7602"/>
    </row>
    <row r="7603" spans="23:23" x14ac:dyDescent="0.55000000000000004">
      <c r="W7603"/>
    </row>
    <row r="7604" spans="23:23" x14ac:dyDescent="0.55000000000000004">
      <c r="W7604"/>
    </row>
    <row r="7605" spans="23:23" x14ac:dyDescent="0.55000000000000004">
      <c r="W7605"/>
    </row>
    <row r="7606" spans="23:23" x14ac:dyDescent="0.55000000000000004">
      <c r="W7606"/>
    </row>
    <row r="7607" spans="23:23" x14ac:dyDescent="0.55000000000000004">
      <c r="W7607"/>
    </row>
    <row r="7608" spans="23:23" x14ac:dyDescent="0.55000000000000004">
      <c r="W7608"/>
    </row>
    <row r="7609" spans="23:23" x14ac:dyDescent="0.55000000000000004">
      <c r="W7609"/>
    </row>
    <row r="7610" spans="23:23" x14ac:dyDescent="0.55000000000000004">
      <c r="W7610"/>
    </row>
    <row r="7611" spans="23:23" x14ac:dyDescent="0.55000000000000004">
      <c r="W7611"/>
    </row>
    <row r="7612" spans="23:23" x14ac:dyDescent="0.55000000000000004">
      <c r="W7612"/>
    </row>
    <row r="7613" spans="23:23" x14ac:dyDescent="0.55000000000000004">
      <c r="W7613"/>
    </row>
    <row r="7614" spans="23:23" x14ac:dyDescent="0.55000000000000004">
      <c r="W7614"/>
    </row>
    <row r="7615" spans="23:23" x14ac:dyDescent="0.55000000000000004">
      <c r="W7615"/>
    </row>
    <row r="7616" spans="23:23" x14ac:dyDescent="0.55000000000000004">
      <c r="W7616"/>
    </row>
    <row r="7617" spans="23:23" x14ac:dyDescent="0.55000000000000004">
      <c r="W7617"/>
    </row>
    <row r="7618" spans="23:23" x14ac:dyDescent="0.55000000000000004">
      <c r="W7618"/>
    </row>
    <row r="7619" spans="23:23" x14ac:dyDescent="0.55000000000000004">
      <c r="W7619"/>
    </row>
    <row r="7620" spans="23:23" x14ac:dyDescent="0.55000000000000004">
      <c r="W7620"/>
    </row>
    <row r="7621" spans="23:23" x14ac:dyDescent="0.55000000000000004">
      <c r="W7621"/>
    </row>
    <row r="7622" spans="23:23" x14ac:dyDescent="0.55000000000000004">
      <c r="W7622"/>
    </row>
    <row r="7623" spans="23:23" x14ac:dyDescent="0.55000000000000004">
      <c r="W7623"/>
    </row>
    <row r="7624" spans="23:23" x14ac:dyDescent="0.55000000000000004">
      <c r="W7624"/>
    </row>
    <row r="7625" spans="23:23" x14ac:dyDescent="0.55000000000000004">
      <c r="W7625"/>
    </row>
    <row r="7626" spans="23:23" x14ac:dyDescent="0.55000000000000004">
      <c r="W7626"/>
    </row>
    <row r="7627" spans="23:23" x14ac:dyDescent="0.55000000000000004">
      <c r="W7627"/>
    </row>
    <row r="7628" spans="23:23" x14ac:dyDescent="0.55000000000000004">
      <c r="W7628"/>
    </row>
    <row r="7629" spans="23:23" x14ac:dyDescent="0.55000000000000004">
      <c r="W7629"/>
    </row>
    <row r="7630" spans="23:23" x14ac:dyDescent="0.55000000000000004">
      <c r="W7630"/>
    </row>
    <row r="7631" spans="23:23" x14ac:dyDescent="0.55000000000000004">
      <c r="W7631"/>
    </row>
    <row r="7632" spans="23:23" x14ac:dyDescent="0.55000000000000004">
      <c r="W7632"/>
    </row>
    <row r="7633" spans="23:23" x14ac:dyDescent="0.55000000000000004">
      <c r="W7633"/>
    </row>
    <row r="7634" spans="23:23" x14ac:dyDescent="0.55000000000000004">
      <c r="W7634"/>
    </row>
    <row r="7635" spans="23:23" x14ac:dyDescent="0.55000000000000004">
      <c r="W7635"/>
    </row>
    <row r="7636" spans="23:23" x14ac:dyDescent="0.55000000000000004">
      <c r="W7636"/>
    </row>
    <row r="7637" spans="23:23" x14ac:dyDescent="0.55000000000000004">
      <c r="W7637"/>
    </row>
    <row r="7638" spans="23:23" x14ac:dyDescent="0.55000000000000004">
      <c r="W7638"/>
    </row>
    <row r="7639" spans="23:23" x14ac:dyDescent="0.55000000000000004">
      <c r="W7639"/>
    </row>
    <row r="7640" spans="23:23" x14ac:dyDescent="0.55000000000000004">
      <c r="W7640"/>
    </row>
    <row r="7641" spans="23:23" x14ac:dyDescent="0.55000000000000004">
      <c r="W7641"/>
    </row>
    <row r="7642" spans="23:23" x14ac:dyDescent="0.55000000000000004">
      <c r="W7642"/>
    </row>
    <row r="7643" spans="23:23" x14ac:dyDescent="0.55000000000000004">
      <c r="W7643"/>
    </row>
    <row r="7644" spans="23:23" x14ac:dyDescent="0.55000000000000004">
      <c r="W7644"/>
    </row>
    <row r="7645" spans="23:23" x14ac:dyDescent="0.55000000000000004">
      <c r="W7645"/>
    </row>
    <row r="7646" spans="23:23" x14ac:dyDescent="0.55000000000000004">
      <c r="W7646"/>
    </row>
    <row r="7647" spans="23:23" x14ac:dyDescent="0.55000000000000004">
      <c r="W7647"/>
    </row>
    <row r="7648" spans="23:23" x14ac:dyDescent="0.55000000000000004">
      <c r="W7648"/>
    </row>
    <row r="7649" spans="23:23" x14ac:dyDescent="0.55000000000000004">
      <c r="W7649"/>
    </row>
    <row r="7650" spans="23:23" x14ac:dyDescent="0.55000000000000004">
      <c r="W7650"/>
    </row>
    <row r="7651" spans="23:23" x14ac:dyDescent="0.55000000000000004">
      <c r="W7651"/>
    </row>
    <row r="7652" spans="23:23" x14ac:dyDescent="0.55000000000000004">
      <c r="W7652"/>
    </row>
    <row r="7653" spans="23:23" x14ac:dyDescent="0.55000000000000004">
      <c r="W7653"/>
    </row>
    <row r="7654" spans="23:23" x14ac:dyDescent="0.55000000000000004">
      <c r="W7654"/>
    </row>
    <row r="7655" spans="23:23" x14ac:dyDescent="0.55000000000000004">
      <c r="W7655"/>
    </row>
    <row r="7656" spans="23:23" x14ac:dyDescent="0.55000000000000004">
      <c r="W7656"/>
    </row>
    <row r="7657" spans="23:23" x14ac:dyDescent="0.55000000000000004">
      <c r="W7657"/>
    </row>
    <row r="7658" spans="23:23" x14ac:dyDescent="0.55000000000000004">
      <c r="W7658"/>
    </row>
    <row r="7659" spans="23:23" x14ac:dyDescent="0.55000000000000004">
      <c r="W7659"/>
    </row>
    <row r="7660" spans="23:23" x14ac:dyDescent="0.55000000000000004">
      <c r="W7660"/>
    </row>
    <row r="7661" spans="23:23" x14ac:dyDescent="0.55000000000000004">
      <c r="W7661"/>
    </row>
    <row r="7662" spans="23:23" x14ac:dyDescent="0.55000000000000004">
      <c r="W7662"/>
    </row>
    <row r="7663" spans="23:23" x14ac:dyDescent="0.55000000000000004">
      <c r="W7663"/>
    </row>
    <row r="7664" spans="23:23" x14ac:dyDescent="0.55000000000000004">
      <c r="W7664"/>
    </row>
    <row r="7665" spans="23:23" x14ac:dyDescent="0.55000000000000004">
      <c r="W7665"/>
    </row>
    <row r="7666" spans="23:23" x14ac:dyDescent="0.55000000000000004">
      <c r="W7666"/>
    </row>
    <row r="7667" spans="23:23" x14ac:dyDescent="0.55000000000000004">
      <c r="W7667"/>
    </row>
    <row r="7668" spans="23:23" x14ac:dyDescent="0.55000000000000004">
      <c r="W7668"/>
    </row>
    <row r="7669" spans="23:23" x14ac:dyDescent="0.55000000000000004">
      <c r="W7669"/>
    </row>
    <row r="7670" spans="23:23" x14ac:dyDescent="0.55000000000000004">
      <c r="W7670"/>
    </row>
    <row r="7671" spans="23:23" x14ac:dyDescent="0.55000000000000004">
      <c r="W7671"/>
    </row>
    <row r="7672" spans="23:23" x14ac:dyDescent="0.55000000000000004">
      <c r="W7672"/>
    </row>
    <row r="7673" spans="23:23" x14ac:dyDescent="0.55000000000000004">
      <c r="W7673"/>
    </row>
    <row r="7674" spans="23:23" x14ac:dyDescent="0.55000000000000004">
      <c r="W7674"/>
    </row>
    <row r="7675" spans="23:23" x14ac:dyDescent="0.55000000000000004">
      <c r="W7675"/>
    </row>
    <row r="7676" spans="23:23" x14ac:dyDescent="0.55000000000000004">
      <c r="W7676"/>
    </row>
    <row r="7677" spans="23:23" x14ac:dyDescent="0.55000000000000004">
      <c r="W7677"/>
    </row>
    <row r="7678" spans="23:23" x14ac:dyDescent="0.55000000000000004">
      <c r="W7678"/>
    </row>
    <row r="7679" spans="23:23" x14ac:dyDescent="0.55000000000000004">
      <c r="W7679"/>
    </row>
    <row r="7680" spans="23:23" x14ac:dyDescent="0.55000000000000004">
      <c r="W7680"/>
    </row>
    <row r="7681" spans="23:23" x14ac:dyDescent="0.55000000000000004">
      <c r="W7681"/>
    </row>
    <row r="7682" spans="23:23" x14ac:dyDescent="0.55000000000000004">
      <c r="W7682"/>
    </row>
    <row r="7683" spans="23:23" x14ac:dyDescent="0.55000000000000004">
      <c r="W7683"/>
    </row>
    <row r="7684" spans="23:23" x14ac:dyDescent="0.55000000000000004">
      <c r="W7684"/>
    </row>
    <row r="7685" spans="23:23" x14ac:dyDescent="0.55000000000000004">
      <c r="W7685"/>
    </row>
    <row r="7686" spans="23:23" x14ac:dyDescent="0.55000000000000004">
      <c r="W7686"/>
    </row>
    <row r="7687" spans="23:23" x14ac:dyDescent="0.55000000000000004">
      <c r="W7687"/>
    </row>
    <row r="7688" spans="23:23" x14ac:dyDescent="0.55000000000000004">
      <c r="W7688"/>
    </row>
    <row r="7689" spans="23:23" x14ac:dyDescent="0.55000000000000004">
      <c r="W7689"/>
    </row>
    <row r="7690" spans="23:23" x14ac:dyDescent="0.55000000000000004">
      <c r="W7690"/>
    </row>
    <row r="7691" spans="23:23" x14ac:dyDescent="0.55000000000000004">
      <c r="W7691"/>
    </row>
    <row r="7692" spans="23:23" x14ac:dyDescent="0.55000000000000004">
      <c r="W7692"/>
    </row>
    <row r="7693" spans="23:23" x14ac:dyDescent="0.55000000000000004">
      <c r="W7693"/>
    </row>
    <row r="7694" spans="23:23" x14ac:dyDescent="0.55000000000000004">
      <c r="W7694"/>
    </row>
    <row r="7695" spans="23:23" x14ac:dyDescent="0.55000000000000004">
      <c r="W7695"/>
    </row>
    <row r="7696" spans="23:23" x14ac:dyDescent="0.55000000000000004">
      <c r="W7696"/>
    </row>
    <row r="7697" spans="23:23" x14ac:dyDescent="0.55000000000000004">
      <c r="W7697"/>
    </row>
    <row r="7698" spans="23:23" x14ac:dyDescent="0.55000000000000004">
      <c r="W7698"/>
    </row>
    <row r="7699" spans="23:23" x14ac:dyDescent="0.55000000000000004">
      <c r="W7699"/>
    </row>
    <row r="7700" spans="23:23" x14ac:dyDescent="0.55000000000000004">
      <c r="W7700"/>
    </row>
    <row r="7701" spans="23:23" x14ac:dyDescent="0.55000000000000004">
      <c r="W7701"/>
    </row>
    <row r="7702" spans="23:23" x14ac:dyDescent="0.55000000000000004">
      <c r="W7702"/>
    </row>
    <row r="7703" spans="23:23" x14ac:dyDescent="0.55000000000000004">
      <c r="W7703"/>
    </row>
    <row r="7704" spans="23:23" x14ac:dyDescent="0.55000000000000004">
      <c r="W7704"/>
    </row>
    <row r="7705" spans="23:23" x14ac:dyDescent="0.55000000000000004">
      <c r="W7705"/>
    </row>
    <row r="7706" spans="23:23" x14ac:dyDescent="0.55000000000000004">
      <c r="W7706"/>
    </row>
    <row r="7707" spans="23:23" x14ac:dyDescent="0.55000000000000004">
      <c r="W7707"/>
    </row>
    <row r="7708" spans="23:23" x14ac:dyDescent="0.55000000000000004">
      <c r="W7708"/>
    </row>
    <row r="7709" spans="23:23" x14ac:dyDescent="0.55000000000000004">
      <c r="W7709"/>
    </row>
    <row r="7710" spans="23:23" x14ac:dyDescent="0.55000000000000004">
      <c r="W7710"/>
    </row>
    <row r="7711" spans="23:23" x14ac:dyDescent="0.55000000000000004">
      <c r="W7711"/>
    </row>
    <row r="7712" spans="23:23" x14ac:dyDescent="0.55000000000000004">
      <c r="W7712"/>
    </row>
    <row r="7713" spans="23:23" x14ac:dyDescent="0.55000000000000004">
      <c r="W7713"/>
    </row>
    <row r="7714" spans="23:23" x14ac:dyDescent="0.55000000000000004">
      <c r="W7714"/>
    </row>
    <row r="7715" spans="23:23" x14ac:dyDescent="0.55000000000000004">
      <c r="W7715"/>
    </row>
    <row r="7716" spans="23:23" x14ac:dyDescent="0.55000000000000004">
      <c r="W7716"/>
    </row>
    <row r="7717" spans="23:23" x14ac:dyDescent="0.55000000000000004">
      <c r="W7717"/>
    </row>
    <row r="7718" spans="23:23" x14ac:dyDescent="0.55000000000000004">
      <c r="W7718"/>
    </row>
    <row r="7719" spans="23:23" x14ac:dyDescent="0.55000000000000004">
      <c r="W7719"/>
    </row>
    <row r="7720" spans="23:23" x14ac:dyDescent="0.55000000000000004">
      <c r="W7720"/>
    </row>
    <row r="7721" spans="23:23" x14ac:dyDescent="0.55000000000000004">
      <c r="W7721"/>
    </row>
    <row r="7722" spans="23:23" x14ac:dyDescent="0.55000000000000004">
      <c r="W7722"/>
    </row>
    <row r="7723" spans="23:23" x14ac:dyDescent="0.55000000000000004">
      <c r="W7723"/>
    </row>
    <row r="7724" spans="23:23" x14ac:dyDescent="0.55000000000000004">
      <c r="W7724"/>
    </row>
    <row r="7725" spans="23:23" x14ac:dyDescent="0.55000000000000004">
      <c r="W7725"/>
    </row>
    <row r="7726" spans="23:23" x14ac:dyDescent="0.55000000000000004">
      <c r="W7726"/>
    </row>
    <row r="7727" spans="23:23" x14ac:dyDescent="0.55000000000000004">
      <c r="W7727"/>
    </row>
    <row r="7728" spans="23:23" x14ac:dyDescent="0.55000000000000004">
      <c r="W7728"/>
    </row>
    <row r="7729" spans="23:23" x14ac:dyDescent="0.55000000000000004">
      <c r="W7729"/>
    </row>
    <row r="7730" spans="23:23" x14ac:dyDescent="0.55000000000000004">
      <c r="W7730"/>
    </row>
    <row r="7731" spans="23:23" x14ac:dyDescent="0.55000000000000004">
      <c r="W7731"/>
    </row>
    <row r="7732" spans="23:23" x14ac:dyDescent="0.55000000000000004">
      <c r="W7732"/>
    </row>
    <row r="7733" spans="23:23" x14ac:dyDescent="0.55000000000000004">
      <c r="W7733"/>
    </row>
    <row r="7734" spans="23:23" x14ac:dyDescent="0.55000000000000004">
      <c r="W7734"/>
    </row>
    <row r="7735" spans="23:23" x14ac:dyDescent="0.55000000000000004">
      <c r="W7735"/>
    </row>
    <row r="7736" spans="23:23" x14ac:dyDescent="0.55000000000000004">
      <c r="W7736"/>
    </row>
    <row r="7737" spans="23:23" x14ac:dyDescent="0.55000000000000004">
      <c r="W7737"/>
    </row>
    <row r="7738" spans="23:23" x14ac:dyDescent="0.55000000000000004">
      <c r="W7738"/>
    </row>
    <row r="7739" spans="23:23" x14ac:dyDescent="0.55000000000000004">
      <c r="W7739"/>
    </row>
    <row r="7740" spans="23:23" x14ac:dyDescent="0.55000000000000004">
      <c r="W7740"/>
    </row>
    <row r="7741" spans="23:23" x14ac:dyDescent="0.55000000000000004">
      <c r="W7741"/>
    </row>
    <row r="7742" spans="23:23" x14ac:dyDescent="0.55000000000000004">
      <c r="W7742"/>
    </row>
    <row r="7743" spans="23:23" x14ac:dyDescent="0.55000000000000004">
      <c r="W7743"/>
    </row>
    <row r="7744" spans="23:23" x14ac:dyDescent="0.55000000000000004">
      <c r="W7744"/>
    </row>
    <row r="7745" spans="23:23" x14ac:dyDescent="0.55000000000000004">
      <c r="W7745"/>
    </row>
    <row r="7746" spans="23:23" x14ac:dyDescent="0.55000000000000004">
      <c r="W7746"/>
    </row>
    <row r="7747" spans="23:23" x14ac:dyDescent="0.55000000000000004">
      <c r="W7747"/>
    </row>
    <row r="7748" spans="23:23" x14ac:dyDescent="0.55000000000000004">
      <c r="W7748"/>
    </row>
    <row r="7749" spans="23:23" x14ac:dyDescent="0.55000000000000004">
      <c r="W7749"/>
    </row>
    <row r="7750" spans="23:23" x14ac:dyDescent="0.55000000000000004">
      <c r="W7750"/>
    </row>
    <row r="7751" spans="23:23" x14ac:dyDescent="0.55000000000000004">
      <c r="W7751"/>
    </row>
    <row r="7752" spans="23:23" x14ac:dyDescent="0.55000000000000004">
      <c r="W7752"/>
    </row>
    <row r="7753" spans="23:23" x14ac:dyDescent="0.55000000000000004">
      <c r="W7753"/>
    </row>
    <row r="7754" spans="23:23" x14ac:dyDescent="0.55000000000000004">
      <c r="W7754"/>
    </row>
    <row r="7755" spans="23:23" x14ac:dyDescent="0.55000000000000004">
      <c r="W7755"/>
    </row>
    <row r="7756" spans="23:23" x14ac:dyDescent="0.55000000000000004">
      <c r="W7756"/>
    </row>
    <row r="7757" spans="23:23" x14ac:dyDescent="0.55000000000000004">
      <c r="W7757"/>
    </row>
    <row r="7758" spans="23:23" x14ac:dyDescent="0.55000000000000004">
      <c r="W7758"/>
    </row>
    <row r="7759" spans="23:23" x14ac:dyDescent="0.55000000000000004">
      <c r="W7759"/>
    </row>
    <row r="7760" spans="23:23" x14ac:dyDescent="0.55000000000000004">
      <c r="W7760"/>
    </row>
    <row r="7761" spans="23:23" x14ac:dyDescent="0.55000000000000004">
      <c r="W7761"/>
    </row>
    <row r="7762" spans="23:23" x14ac:dyDescent="0.55000000000000004">
      <c r="W7762"/>
    </row>
    <row r="7763" spans="23:23" x14ac:dyDescent="0.55000000000000004">
      <c r="W7763"/>
    </row>
    <row r="7764" spans="23:23" x14ac:dyDescent="0.55000000000000004">
      <c r="W7764"/>
    </row>
    <row r="7765" spans="23:23" x14ac:dyDescent="0.55000000000000004">
      <c r="W7765"/>
    </row>
    <row r="7766" spans="23:23" x14ac:dyDescent="0.55000000000000004">
      <c r="W7766"/>
    </row>
    <row r="7767" spans="23:23" x14ac:dyDescent="0.55000000000000004">
      <c r="W7767"/>
    </row>
    <row r="7768" spans="23:23" x14ac:dyDescent="0.55000000000000004">
      <c r="W7768"/>
    </row>
    <row r="7769" spans="23:23" x14ac:dyDescent="0.55000000000000004">
      <c r="W7769"/>
    </row>
    <row r="7770" spans="23:23" x14ac:dyDescent="0.55000000000000004">
      <c r="W7770"/>
    </row>
    <row r="7771" spans="23:23" x14ac:dyDescent="0.55000000000000004">
      <c r="W7771"/>
    </row>
    <row r="7772" spans="23:23" x14ac:dyDescent="0.55000000000000004">
      <c r="W7772"/>
    </row>
    <row r="7773" spans="23:23" x14ac:dyDescent="0.55000000000000004">
      <c r="W7773"/>
    </row>
    <row r="7774" spans="23:23" x14ac:dyDescent="0.55000000000000004">
      <c r="W7774"/>
    </row>
    <row r="7775" spans="23:23" x14ac:dyDescent="0.55000000000000004">
      <c r="W7775"/>
    </row>
    <row r="7776" spans="23:23" x14ac:dyDescent="0.55000000000000004">
      <c r="W7776"/>
    </row>
    <row r="7777" spans="23:23" x14ac:dyDescent="0.55000000000000004">
      <c r="W7777"/>
    </row>
    <row r="7778" spans="23:23" x14ac:dyDescent="0.55000000000000004">
      <c r="W7778"/>
    </row>
    <row r="7779" spans="23:23" x14ac:dyDescent="0.55000000000000004">
      <c r="W7779"/>
    </row>
    <row r="7780" spans="23:23" x14ac:dyDescent="0.55000000000000004">
      <c r="W7780"/>
    </row>
    <row r="7781" spans="23:23" x14ac:dyDescent="0.55000000000000004">
      <c r="W7781"/>
    </row>
    <row r="7782" spans="23:23" x14ac:dyDescent="0.55000000000000004">
      <c r="W7782"/>
    </row>
    <row r="7783" spans="23:23" x14ac:dyDescent="0.55000000000000004">
      <c r="W7783"/>
    </row>
    <row r="7784" spans="23:23" x14ac:dyDescent="0.55000000000000004">
      <c r="W7784"/>
    </row>
    <row r="7785" spans="23:23" x14ac:dyDescent="0.55000000000000004">
      <c r="W7785"/>
    </row>
    <row r="7786" spans="23:23" x14ac:dyDescent="0.55000000000000004">
      <c r="W7786"/>
    </row>
    <row r="7787" spans="23:23" x14ac:dyDescent="0.55000000000000004">
      <c r="W7787"/>
    </row>
    <row r="7788" spans="23:23" x14ac:dyDescent="0.55000000000000004">
      <c r="W7788"/>
    </row>
    <row r="7789" spans="23:23" x14ac:dyDescent="0.55000000000000004">
      <c r="W7789"/>
    </row>
    <row r="7790" spans="23:23" x14ac:dyDescent="0.55000000000000004">
      <c r="W7790"/>
    </row>
    <row r="7791" spans="23:23" x14ac:dyDescent="0.55000000000000004">
      <c r="W7791"/>
    </row>
    <row r="7792" spans="23:23" x14ac:dyDescent="0.55000000000000004">
      <c r="W7792"/>
    </row>
    <row r="7793" spans="23:23" x14ac:dyDescent="0.55000000000000004">
      <c r="W7793"/>
    </row>
    <row r="7794" spans="23:23" x14ac:dyDescent="0.55000000000000004">
      <c r="W7794"/>
    </row>
    <row r="7795" spans="23:23" x14ac:dyDescent="0.55000000000000004">
      <c r="W7795"/>
    </row>
    <row r="7796" spans="23:23" x14ac:dyDescent="0.55000000000000004">
      <c r="W7796"/>
    </row>
    <row r="7797" spans="23:23" x14ac:dyDescent="0.55000000000000004">
      <c r="W7797"/>
    </row>
    <row r="7798" spans="23:23" x14ac:dyDescent="0.55000000000000004">
      <c r="W7798"/>
    </row>
    <row r="7799" spans="23:23" x14ac:dyDescent="0.55000000000000004">
      <c r="W7799"/>
    </row>
    <row r="7800" spans="23:23" x14ac:dyDescent="0.55000000000000004">
      <c r="W7800"/>
    </row>
    <row r="7801" spans="23:23" x14ac:dyDescent="0.55000000000000004">
      <c r="W7801"/>
    </row>
    <row r="7802" spans="23:23" x14ac:dyDescent="0.55000000000000004">
      <c r="W7802"/>
    </row>
    <row r="7803" spans="23:23" x14ac:dyDescent="0.55000000000000004">
      <c r="W7803"/>
    </row>
    <row r="7804" spans="23:23" x14ac:dyDescent="0.55000000000000004">
      <c r="W7804"/>
    </row>
    <row r="7805" spans="23:23" x14ac:dyDescent="0.55000000000000004">
      <c r="W7805"/>
    </row>
    <row r="7806" spans="23:23" x14ac:dyDescent="0.55000000000000004">
      <c r="W7806"/>
    </row>
    <row r="7807" spans="23:23" x14ac:dyDescent="0.55000000000000004">
      <c r="W7807"/>
    </row>
    <row r="7808" spans="23:23" x14ac:dyDescent="0.55000000000000004">
      <c r="W7808"/>
    </row>
    <row r="7809" spans="23:23" x14ac:dyDescent="0.55000000000000004">
      <c r="W7809"/>
    </row>
    <row r="7810" spans="23:23" x14ac:dyDescent="0.55000000000000004">
      <c r="W7810"/>
    </row>
    <row r="7811" spans="23:23" x14ac:dyDescent="0.55000000000000004">
      <c r="W7811"/>
    </row>
    <row r="7812" spans="23:23" x14ac:dyDescent="0.55000000000000004">
      <c r="W7812"/>
    </row>
    <row r="7813" spans="23:23" x14ac:dyDescent="0.55000000000000004">
      <c r="W7813"/>
    </row>
    <row r="7814" spans="23:23" x14ac:dyDescent="0.55000000000000004">
      <c r="W7814"/>
    </row>
    <row r="7815" spans="23:23" x14ac:dyDescent="0.55000000000000004">
      <c r="W7815"/>
    </row>
    <row r="7816" spans="23:23" x14ac:dyDescent="0.55000000000000004">
      <c r="W7816"/>
    </row>
    <row r="7817" spans="23:23" x14ac:dyDescent="0.55000000000000004">
      <c r="W7817"/>
    </row>
    <row r="7818" spans="23:23" x14ac:dyDescent="0.55000000000000004">
      <c r="W7818"/>
    </row>
    <row r="7819" spans="23:23" x14ac:dyDescent="0.55000000000000004">
      <c r="W7819"/>
    </row>
    <row r="7820" spans="23:23" x14ac:dyDescent="0.55000000000000004">
      <c r="W7820"/>
    </row>
    <row r="7821" spans="23:23" x14ac:dyDescent="0.55000000000000004">
      <c r="W7821"/>
    </row>
    <row r="7822" spans="23:23" x14ac:dyDescent="0.55000000000000004">
      <c r="W7822"/>
    </row>
    <row r="7823" spans="23:23" x14ac:dyDescent="0.55000000000000004">
      <c r="W7823"/>
    </row>
    <row r="7824" spans="23:23" x14ac:dyDescent="0.55000000000000004">
      <c r="W7824"/>
    </row>
    <row r="7825" spans="23:23" x14ac:dyDescent="0.55000000000000004">
      <c r="W7825"/>
    </row>
    <row r="7826" spans="23:23" x14ac:dyDescent="0.55000000000000004">
      <c r="W7826"/>
    </row>
    <row r="7827" spans="23:23" x14ac:dyDescent="0.55000000000000004">
      <c r="W7827"/>
    </row>
    <row r="7828" spans="23:23" x14ac:dyDescent="0.55000000000000004">
      <c r="W7828"/>
    </row>
    <row r="7829" spans="23:23" x14ac:dyDescent="0.55000000000000004">
      <c r="W7829"/>
    </row>
    <row r="7830" spans="23:23" x14ac:dyDescent="0.55000000000000004">
      <c r="W7830"/>
    </row>
    <row r="7831" spans="23:23" x14ac:dyDescent="0.55000000000000004">
      <c r="W7831"/>
    </row>
    <row r="7832" spans="23:23" x14ac:dyDescent="0.55000000000000004">
      <c r="W7832"/>
    </row>
    <row r="7833" spans="23:23" x14ac:dyDescent="0.55000000000000004">
      <c r="W7833"/>
    </row>
    <row r="7834" spans="23:23" x14ac:dyDescent="0.55000000000000004">
      <c r="W7834"/>
    </row>
    <row r="7835" spans="23:23" x14ac:dyDescent="0.55000000000000004">
      <c r="W7835"/>
    </row>
    <row r="7836" spans="23:23" x14ac:dyDescent="0.55000000000000004">
      <c r="W7836"/>
    </row>
    <row r="7837" spans="23:23" x14ac:dyDescent="0.55000000000000004">
      <c r="W7837"/>
    </row>
    <row r="7838" spans="23:23" x14ac:dyDescent="0.55000000000000004">
      <c r="W7838"/>
    </row>
    <row r="7839" spans="23:23" x14ac:dyDescent="0.55000000000000004">
      <c r="W7839"/>
    </row>
    <row r="7840" spans="23:23" x14ac:dyDescent="0.55000000000000004">
      <c r="W7840"/>
    </row>
    <row r="7841" spans="23:23" x14ac:dyDescent="0.55000000000000004">
      <c r="W7841"/>
    </row>
    <row r="7842" spans="23:23" x14ac:dyDescent="0.55000000000000004">
      <c r="W7842"/>
    </row>
    <row r="7843" spans="23:23" x14ac:dyDescent="0.55000000000000004">
      <c r="W7843"/>
    </row>
    <row r="7844" spans="23:23" x14ac:dyDescent="0.55000000000000004">
      <c r="W7844"/>
    </row>
    <row r="7845" spans="23:23" x14ac:dyDescent="0.55000000000000004">
      <c r="W7845"/>
    </row>
    <row r="7846" spans="23:23" x14ac:dyDescent="0.55000000000000004">
      <c r="W7846"/>
    </row>
    <row r="7847" spans="23:23" x14ac:dyDescent="0.55000000000000004">
      <c r="W7847"/>
    </row>
    <row r="7848" spans="23:23" x14ac:dyDescent="0.55000000000000004">
      <c r="W7848"/>
    </row>
    <row r="7849" spans="23:23" x14ac:dyDescent="0.55000000000000004">
      <c r="W7849"/>
    </row>
    <row r="7850" spans="23:23" x14ac:dyDescent="0.55000000000000004">
      <c r="W7850"/>
    </row>
    <row r="7851" spans="23:23" x14ac:dyDescent="0.55000000000000004">
      <c r="W7851"/>
    </row>
    <row r="7852" spans="23:23" x14ac:dyDescent="0.55000000000000004">
      <c r="W7852"/>
    </row>
    <row r="7853" spans="23:23" x14ac:dyDescent="0.55000000000000004">
      <c r="W7853"/>
    </row>
    <row r="7854" spans="23:23" x14ac:dyDescent="0.55000000000000004">
      <c r="W7854"/>
    </row>
    <row r="7855" spans="23:23" x14ac:dyDescent="0.55000000000000004">
      <c r="W7855"/>
    </row>
    <row r="7856" spans="23:23" x14ac:dyDescent="0.55000000000000004">
      <c r="W7856"/>
    </row>
    <row r="7857" spans="23:23" x14ac:dyDescent="0.55000000000000004">
      <c r="W7857"/>
    </row>
    <row r="7858" spans="23:23" x14ac:dyDescent="0.55000000000000004">
      <c r="W7858"/>
    </row>
    <row r="7859" spans="23:23" x14ac:dyDescent="0.55000000000000004">
      <c r="W7859"/>
    </row>
    <row r="7860" spans="23:23" x14ac:dyDescent="0.55000000000000004">
      <c r="W7860"/>
    </row>
    <row r="7861" spans="23:23" x14ac:dyDescent="0.55000000000000004">
      <c r="W7861"/>
    </row>
    <row r="7862" spans="23:23" x14ac:dyDescent="0.55000000000000004">
      <c r="W7862"/>
    </row>
    <row r="7863" spans="23:23" x14ac:dyDescent="0.55000000000000004">
      <c r="W7863"/>
    </row>
    <row r="7864" spans="23:23" x14ac:dyDescent="0.55000000000000004">
      <c r="W7864"/>
    </row>
    <row r="7865" spans="23:23" x14ac:dyDescent="0.55000000000000004">
      <c r="W7865"/>
    </row>
    <row r="7866" spans="23:23" x14ac:dyDescent="0.55000000000000004">
      <c r="W7866"/>
    </row>
    <row r="7867" spans="23:23" x14ac:dyDescent="0.55000000000000004">
      <c r="W7867"/>
    </row>
    <row r="7868" spans="23:23" x14ac:dyDescent="0.55000000000000004">
      <c r="W7868"/>
    </row>
    <row r="7869" spans="23:23" x14ac:dyDescent="0.55000000000000004">
      <c r="W7869"/>
    </row>
    <row r="7870" spans="23:23" x14ac:dyDescent="0.55000000000000004">
      <c r="W7870"/>
    </row>
    <row r="7871" spans="23:23" x14ac:dyDescent="0.55000000000000004">
      <c r="W7871"/>
    </row>
    <row r="7872" spans="23:23" x14ac:dyDescent="0.55000000000000004">
      <c r="W7872"/>
    </row>
    <row r="7873" spans="23:23" x14ac:dyDescent="0.55000000000000004">
      <c r="W7873"/>
    </row>
    <row r="7874" spans="23:23" x14ac:dyDescent="0.55000000000000004">
      <c r="W7874"/>
    </row>
    <row r="7875" spans="23:23" x14ac:dyDescent="0.55000000000000004">
      <c r="W7875"/>
    </row>
    <row r="7876" spans="23:23" x14ac:dyDescent="0.55000000000000004">
      <c r="W7876"/>
    </row>
    <row r="7877" spans="23:23" x14ac:dyDescent="0.55000000000000004">
      <c r="W7877"/>
    </row>
    <row r="7878" spans="23:23" x14ac:dyDescent="0.55000000000000004">
      <c r="W7878"/>
    </row>
    <row r="7879" spans="23:23" x14ac:dyDescent="0.55000000000000004">
      <c r="W7879"/>
    </row>
    <row r="7880" spans="23:23" x14ac:dyDescent="0.55000000000000004">
      <c r="W7880"/>
    </row>
    <row r="7881" spans="23:23" x14ac:dyDescent="0.55000000000000004">
      <c r="W7881"/>
    </row>
    <row r="7882" spans="23:23" x14ac:dyDescent="0.55000000000000004">
      <c r="W7882"/>
    </row>
    <row r="7883" spans="23:23" x14ac:dyDescent="0.55000000000000004">
      <c r="W7883"/>
    </row>
    <row r="7884" spans="23:23" x14ac:dyDescent="0.55000000000000004">
      <c r="W7884"/>
    </row>
    <row r="7885" spans="23:23" x14ac:dyDescent="0.55000000000000004">
      <c r="W7885"/>
    </row>
    <row r="7886" spans="23:23" x14ac:dyDescent="0.55000000000000004">
      <c r="W7886"/>
    </row>
    <row r="7887" spans="23:23" x14ac:dyDescent="0.55000000000000004">
      <c r="W7887"/>
    </row>
    <row r="7888" spans="23:23" x14ac:dyDescent="0.55000000000000004">
      <c r="W7888"/>
    </row>
    <row r="7889" spans="23:23" x14ac:dyDescent="0.55000000000000004">
      <c r="W7889"/>
    </row>
    <row r="7890" spans="23:23" x14ac:dyDescent="0.55000000000000004">
      <c r="W7890"/>
    </row>
    <row r="7891" spans="23:23" x14ac:dyDescent="0.55000000000000004">
      <c r="W7891"/>
    </row>
    <row r="7892" spans="23:23" x14ac:dyDescent="0.55000000000000004">
      <c r="W7892"/>
    </row>
    <row r="7893" spans="23:23" x14ac:dyDescent="0.55000000000000004">
      <c r="W7893"/>
    </row>
    <row r="7894" spans="23:23" x14ac:dyDescent="0.55000000000000004">
      <c r="W7894"/>
    </row>
    <row r="7895" spans="23:23" x14ac:dyDescent="0.55000000000000004">
      <c r="W7895"/>
    </row>
    <row r="7896" spans="23:23" x14ac:dyDescent="0.55000000000000004">
      <c r="W7896"/>
    </row>
    <row r="7897" spans="23:23" x14ac:dyDescent="0.55000000000000004">
      <c r="W7897"/>
    </row>
    <row r="7898" spans="23:23" x14ac:dyDescent="0.55000000000000004">
      <c r="W7898"/>
    </row>
    <row r="7899" spans="23:23" x14ac:dyDescent="0.55000000000000004">
      <c r="W7899"/>
    </row>
    <row r="7900" spans="23:23" x14ac:dyDescent="0.55000000000000004">
      <c r="W7900"/>
    </row>
    <row r="7901" spans="23:23" x14ac:dyDescent="0.55000000000000004">
      <c r="W7901"/>
    </row>
    <row r="7902" spans="23:23" x14ac:dyDescent="0.55000000000000004">
      <c r="W7902"/>
    </row>
    <row r="7903" spans="23:23" x14ac:dyDescent="0.55000000000000004">
      <c r="W7903"/>
    </row>
    <row r="7904" spans="23:23" x14ac:dyDescent="0.55000000000000004">
      <c r="W7904"/>
    </row>
    <row r="7905" spans="23:23" x14ac:dyDescent="0.55000000000000004">
      <c r="W7905"/>
    </row>
    <row r="7906" spans="23:23" x14ac:dyDescent="0.55000000000000004">
      <c r="W7906"/>
    </row>
    <row r="7907" spans="23:23" x14ac:dyDescent="0.55000000000000004">
      <c r="W7907"/>
    </row>
    <row r="7908" spans="23:23" x14ac:dyDescent="0.55000000000000004">
      <c r="W7908"/>
    </row>
    <row r="7909" spans="23:23" x14ac:dyDescent="0.55000000000000004">
      <c r="W7909"/>
    </row>
    <row r="7910" spans="23:23" x14ac:dyDescent="0.55000000000000004">
      <c r="W7910"/>
    </row>
    <row r="7911" spans="23:23" x14ac:dyDescent="0.55000000000000004">
      <c r="W7911"/>
    </row>
    <row r="7912" spans="23:23" x14ac:dyDescent="0.55000000000000004">
      <c r="W7912"/>
    </row>
    <row r="7913" spans="23:23" x14ac:dyDescent="0.55000000000000004">
      <c r="W7913"/>
    </row>
    <row r="7914" spans="23:23" x14ac:dyDescent="0.55000000000000004">
      <c r="W7914"/>
    </row>
    <row r="7915" spans="23:23" x14ac:dyDescent="0.55000000000000004">
      <c r="W7915"/>
    </row>
    <row r="7916" spans="23:23" x14ac:dyDescent="0.55000000000000004">
      <c r="W7916"/>
    </row>
    <row r="7917" spans="23:23" x14ac:dyDescent="0.55000000000000004">
      <c r="W7917"/>
    </row>
    <row r="7918" spans="23:23" x14ac:dyDescent="0.55000000000000004">
      <c r="W7918"/>
    </row>
    <row r="7919" spans="23:23" x14ac:dyDescent="0.55000000000000004">
      <c r="W7919"/>
    </row>
    <row r="7920" spans="23:23" x14ac:dyDescent="0.55000000000000004">
      <c r="W7920"/>
    </row>
    <row r="7921" spans="23:23" x14ac:dyDescent="0.55000000000000004">
      <c r="W7921"/>
    </row>
    <row r="7922" spans="23:23" x14ac:dyDescent="0.55000000000000004">
      <c r="W7922"/>
    </row>
    <row r="7923" spans="23:23" x14ac:dyDescent="0.55000000000000004">
      <c r="W7923"/>
    </row>
    <row r="7924" spans="23:23" x14ac:dyDescent="0.55000000000000004">
      <c r="W7924"/>
    </row>
    <row r="7925" spans="23:23" x14ac:dyDescent="0.55000000000000004">
      <c r="W7925"/>
    </row>
    <row r="7926" spans="23:23" x14ac:dyDescent="0.55000000000000004">
      <c r="W7926"/>
    </row>
    <row r="7927" spans="23:23" x14ac:dyDescent="0.55000000000000004">
      <c r="W7927"/>
    </row>
    <row r="7928" spans="23:23" x14ac:dyDescent="0.55000000000000004">
      <c r="W7928"/>
    </row>
    <row r="7929" spans="23:23" x14ac:dyDescent="0.55000000000000004">
      <c r="W7929"/>
    </row>
    <row r="7930" spans="23:23" x14ac:dyDescent="0.55000000000000004">
      <c r="W7930"/>
    </row>
    <row r="7931" spans="23:23" x14ac:dyDescent="0.55000000000000004">
      <c r="W7931"/>
    </row>
    <row r="7932" spans="23:23" x14ac:dyDescent="0.55000000000000004">
      <c r="W7932"/>
    </row>
    <row r="7933" spans="23:23" x14ac:dyDescent="0.55000000000000004">
      <c r="W7933"/>
    </row>
    <row r="7934" spans="23:23" x14ac:dyDescent="0.55000000000000004">
      <c r="W7934"/>
    </row>
    <row r="7935" spans="23:23" x14ac:dyDescent="0.55000000000000004">
      <c r="W7935"/>
    </row>
    <row r="7936" spans="23:23" x14ac:dyDescent="0.55000000000000004">
      <c r="W7936"/>
    </row>
    <row r="7937" spans="23:23" x14ac:dyDescent="0.55000000000000004">
      <c r="W7937"/>
    </row>
    <row r="7938" spans="23:23" x14ac:dyDescent="0.55000000000000004">
      <c r="W7938"/>
    </row>
    <row r="7939" spans="23:23" x14ac:dyDescent="0.55000000000000004">
      <c r="W7939"/>
    </row>
    <row r="7940" spans="23:23" x14ac:dyDescent="0.55000000000000004">
      <c r="W7940"/>
    </row>
    <row r="7941" spans="23:23" x14ac:dyDescent="0.55000000000000004">
      <c r="W7941"/>
    </row>
    <row r="7942" spans="23:23" x14ac:dyDescent="0.55000000000000004">
      <c r="W7942"/>
    </row>
    <row r="7943" spans="23:23" x14ac:dyDescent="0.55000000000000004">
      <c r="W7943"/>
    </row>
    <row r="7944" spans="23:23" x14ac:dyDescent="0.55000000000000004">
      <c r="W7944"/>
    </row>
    <row r="7945" spans="23:23" x14ac:dyDescent="0.55000000000000004">
      <c r="W7945"/>
    </row>
    <row r="7946" spans="23:23" x14ac:dyDescent="0.55000000000000004">
      <c r="W7946"/>
    </row>
    <row r="7947" spans="23:23" x14ac:dyDescent="0.55000000000000004">
      <c r="W7947"/>
    </row>
    <row r="7948" spans="23:23" x14ac:dyDescent="0.55000000000000004">
      <c r="W7948"/>
    </row>
    <row r="7949" spans="23:23" x14ac:dyDescent="0.55000000000000004">
      <c r="W7949"/>
    </row>
    <row r="7950" spans="23:23" x14ac:dyDescent="0.55000000000000004">
      <c r="W7950"/>
    </row>
    <row r="7951" spans="23:23" x14ac:dyDescent="0.55000000000000004">
      <c r="W7951"/>
    </row>
    <row r="7952" spans="23:23" x14ac:dyDescent="0.55000000000000004">
      <c r="W7952"/>
    </row>
    <row r="7953" spans="23:23" x14ac:dyDescent="0.55000000000000004">
      <c r="W7953"/>
    </row>
    <row r="7954" spans="23:23" x14ac:dyDescent="0.55000000000000004">
      <c r="W7954"/>
    </row>
    <row r="7955" spans="23:23" x14ac:dyDescent="0.55000000000000004">
      <c r="W7955"/>
    </row>
    <row r="7956" spans="23:23" x14ac:dyDescent="0.55000000000000004">
      <c r="W7956"/>
    </row>
    <row r="7957" spans="23:23" x14ac:dyDescent="0.55000000000000004">
      <c r="W7957"/>
    </row>
    <row r="7958" spans="23:23" x14ac:dyDescent="0.55000000000000004">
      <c r="W7958"/>
    </row>
    <row r="7959" spans="23:23" x14ac:dyDescent="0.55000000000000004">
      <c r="W7959"/>
    </row>
    <row r="7960" spans="23:23" x14ac:dyDescent="0.55000000000000004">
      <c r="W7960"/>
    </row>
    <row r="7961" spans="23:23" x14ac:dyDescent="0.55000000000000004">
      <c r="W7961"/>
    </row>
    <row r="7962" spans="23:23" x14ac:dyDescent="0.55000000000000004">
      <c r="W7962"/>
    </row>
    <row r="7963" spans="23:23" x14ac:dyDescent="0.55000000000000004">
      <c r="W7963"/>
    </row>
    <row r="7964" spans="23:23" x14ac:dyDescent="0.55000000000000004">
      <c r="W7964"/>
    </row>
    <row r="7965" spans="23:23" x14ac:dyDescent="0.55000000000000004">
      <c r="W7965"/>
    </row>
    <row r="7966" spans="23:23" x14ac:dyDescent="0.55000000000000004">
      <c r="W7966"/>
    </row>
    <row r="7967" spans="23:23" x14ac:dyDescent="0.55000000000000004">
      <c r="W7967"/>
    </row>
    <row r="7968" spans="23:23" x14ac:dyDescent="0.55000000000000004">
      <c r="W7968"/>
    </row>
    <row r="7969" spans="23:23" x14ac:dyDescent="0.55000000000000004">
      <c r="W7969"/>
    </row>
    <row r="7970" spans="23:23" x14ac:dyDescent="0.55000000000000004">
      <c r="W7970"/>
    </row>
    <row r="7971" spans="23:23" x14ac:dyDescent="0.55000000000000004">
      <c r="W7971"/>
    </row>
    <row r="7972" spans="23:23" x14ac:dyDescent="0.55000000000000004">
      <c r="W7972"/>
    </row>
    <row r="7973" spans="23:23" x14ac:dyDescent="0.55000000000000004">
      <c r="W7973"/>
    </row>
    <row r="7974" spans="23:23" x14ac:dyDescent="0.55000000000000004">
      <c r="W7974"/>
    </row>
    <row r="7975" spans="23:23" x14ac:dyDescent="0.55000000000000004">
      <c r="W7975"/>
    </row>
    <row r="7976" spans="23:23" x14ac:dyDescent="0.55000000000000004">
      <c r="W7976"/>
    </row>
    <row r="7977" spans="23:23" x14ac:dyDescent="0.55000000000000004">
      <c r="W7977"/>
    </row>
    <row r="7978" spans="23:23" x14ac:dyDescent="0.55000000000000004">
      <c r="W7978"/>
    </row>
    <row r="7979" spans="23:23" x14ac:dyDescent="0.55000000000000004">
      <c r="W7979"/>
    </row>
    <row r="7980" spans="23:23" x14ac:dyDescent="0.55000000000000004">
      <c r="W7980"/>
    </row>
    <row r="7981" spans="23:23" x14ac:dyDescent="0.55000000000000004">
      <c r="W7981"/>
    </row>
    <row r="7982" spans="23:23" x14ac:dyDescent="0.55000000000000004">
      <c r="W7982"/>
    </row>
    <row r="7983" spans="23:23" x14ac:dyDescent="0.55000000000000004">
      <c r="W7983"/>
    </row>
    <row r="7984" spans="23:23" x14ac:dyDescent="0.55000000000000004">
      <c r="W7984"/>
    </row>
    <row r="7985" spans="23:23" x14ac:dyDescent="0.55000000000000004">
      <c r="W7985"/>
    </row>
    <row r="7986" spans="23:23" x14ac:dyDescent="0.55000000000000004">
      <c r="W7986"/>
    </row>
    <row r="7987" spans="23:23" x14ac:dyDescent="0.55000000000000004">
      <c r="W7987"/>
    </row>
    <row r="7988" spans="23:23" x14ac:dyDescent="0.55000000000000004">
      <c r="W7988"/>
    </row>
    <row r="7989" spans="23:23" x14ac:dyDescent="0.55000000000000004">
      <c r="W7989"/>
    </row>
    <row r="7990" spans="23:23" x14ac:dyDescent="0.55000000000000004">
      <c r="W7990"/>
    </row>
    <row r="7991" spans="23:23" x14ac:dyDescent="0.55000000000000004">
      <c r="W7991"/>
    </row>
    <row r="7992" spans="23:23" x14ac:dyDescent="0.55000000000000004">
      <c r="W7992"/>
    </row>
    <row r="7993" spans="23:23" x14ac:dyDescent="0.55000000000000004">
      <c r="W7993"/>
    </row>
    <row r="7994" spans="23:23" x14ac:dyDescent="0.55000000000000004">
      <c r="W7994"/>
    </row>
    <row r="7995" spans="23:23" x14ac:dyDescent="0.55000000000000004">
      <c r="W7995"/>
    </row>
    <row r="7996" spans="23:23" x14ac:dyDescent="0.55000000000000004">
      <c r="W7996"/>
    </row>
    <row r="7997" spans="23:23" x14ac:dyDescent="0.55000000000000004">
      <c r="W7997"/>
    </row>
    <row r="7998" spans="23:23" x14ac:dyDescent="0.55000000000000004">
      <c r="W7998"/>
    </row>
    <row r="7999" spans="23:23" x14ac:dyDescent="0.55000000000000004">
      <c r="W7999"/>
    </row>
    <row r="8000" spans="23:23" x14ac:dyDescent="0.55000000000000004">
      <c r="W8000"/>
    </row>
    <row r="8001" spans="23:23" x14ac:dyDescent="0.55000000000000004">
      <c r="W8001"/>
    </row>
    <row r="8002" spans="23:23" x14ac:dyDescent="0.55000000000000004">
      <c r="W8002"/>
    </row>
    <row r="8003" spans="23:23" x14ac:dyDescent="0.55000000000000004">
      <c r="W8003"/>
    </row>
    <row r="8004" spans="23:23" x14ac:dyDescent="0.55000000000000004">
      <c r="W8004"/>
    </row>
    <row r="8005" spans="23:23" x14ac:dyDescent="0.55000000000000004">
      <c r="W8005"/>
    </row>
    <row r="8006" spans="23:23" x14ac:dyDescent="0.55000000000000004">
      <c r="W8006"/>
    </row>
    <row r="8007" spans="23:23" x14ac:dyDescent="0.55000000000000004">
      <c r="W8007"/>
    </row>
    <row r="8008" spans="23:23" x14ac:dyDescent="0.55000000000000004">
      <c r="W8008"/>
    </row>
    <row r="8009" spans="23:23" x14ac:dyDescent="0.55000000000000004">
      <c r="W8009"/>
    </row>
    <row r="8010" spans="23:23" x14ac:dyDescent="0.55000000000000004">
      <c r="W8010"/>
    </row>
    <row r="8011" spans="23:23" x14ac:dyDescent="0.55000000000000004">
      <c r="W8011"/>
    </row>
    <row r="8012" spans="23:23" x14ac:dyDescent="0.55000000000000004">
      <c r="W8012"/>
    </row>
    <row r="8013" spans="23:23" x14ac:dyDescent="0.55000000000000004">
      <c r="W8013"/>
    </row>
    <row r="8014" spans="23:23" x14ac:dyDescent="0.55000000000000004">
      <c r="W8014"/>
    </row>
    <row r="8015" spans="23:23" x14ac:dyDescent="0.55000000000000004">
      <c r="W8015"/>
    </row>
    <row r="8016" spans="23:23" x14ac:dyDescent="0.55000000000000004">
      <c r="W8016"/>
    </row>
    <row r="8017" spans="23:23" x14ac:dyDescent="0.55000000000000004">
      <c r="W8017"/>
    </row>
    <row r="8018" spans="23:23" x14ac:dyDescent="0.55000000000000004">
      <c r="W8018"/>
    </row>
    <row r="8019" spans="23:23" x14ac:dyDescent="0.55000000000000004">
      <c r="W8019"/>
    </row>
    <row r="8020" spans="23:23" x14ac:dyDescent="0.55000000000000004">
      <c r="W8020"/>
    </row>
    <row r="8021" spans="23:23" x14ac:dyDescent="0.55000000000000004">
      <c r="W8021"/>
    </row>
    <row r="8022" spans="23:23" x14ac:dyDescent="0.55000000000000004">
      <c r="W8022"/>
    </row>
    <row r="8023" spans="23:23" x14ac:dyDescent="0.55000000000000004">
      <c r="W8023"/>
    </row>
    <row r="8024" spans="23:23" x14ac:dyDescent="0.55000000000000004">
      <c r="W8024"/>
    </row>
    <row r="8025" spans="23:23" x14ac:dyDescent="0.55000000000000004">
      <c r="W8025"/>
    </row>
    <row r="8026" spans="23:23" x14ac:dyDescent="0.55000000000000004">
      <c r="W8026"/>
    </row>
    <row r="8027" spans="23:23" x14ac:dyDescent="0.55000000000000004">
      <c r="W8027"/>
    </row>
    <row r="8028" spans="23:23" x14ac:dyDescent="0.55000000000000004">
      <c r="W8028"/>
    </row>
    <row r="8029" spans="23:23" x14ac:dyDescent="0.55000000000000004">
      <c r="W8029"/>
    </row>
    <row r="8030" spans="23:23" x14ac:dyDescent="0.55000000000000004">
      <c r="W8030"/>
    </row>
    <row r="8031" spans="23:23" x14ac:dyDescent="0.55000000000000004">
      <c r="W8031"/>
    </row>
    <row r="8032" spans="23:23" x14ac:dyDescent="0.55000000000000004">
      <c r="W8032"/>
    </row>
    <row r="8033" spans="23:23" x14ac:dyDescent="0.55000000000000004">
      <c r="W8033"/>
    </row>
    <row r="8034" spans="23:23" x14ac:dyDescent="0.55000000000000004">
      <c r="W8034"/>
    </row>
    <row r="8035" spans="23:23" x14ac:dyDescent="0.55000000000000004">
      <c r="W8035"/>
    </row>
    <row r="8036" spans="23:23" x14ac:dyDescent="0.55000000000000004">
      <c r="W8036"/>
    </row>
    <row r="8037" spans="23:23" x14ac:dyDescent="0.55000000000000004">
      <c r="W8037"/>
    </row>
    <row r="8038" spans="23:23" x14ac:dyDescent="0.55000000000000004">
      <c r="W8038"/>
    </row>
    <row r="8039" spans="23:23" x14ac:dyDescent="0.55000000000000004">
      <c r="W8039"/>
    </row>
    <row r="8040" spans="23:23" x14ac:dyDescent="0.55000000000000004">
      <c r="W8040"/>
    </row>
    <row r="8041" spans="23:23" x14ac:dyDescent="0.55000000000000004">
      <c r="W8041"/>
    </row>
    <row r="8042" spans="23:23" x14ac:dyDescent="0.55000000000000004">
      <c r="W8042"/>
    </row>
    <row r="8043" spans="23:23" x14ac:dyDescent="0.55000000000000004">
      <c r="W8043"/>
    </row>
    <row r="8044" spans="23:23" x14ac:dyDescent="0.55000000000000004">
      <c r="W8044"/>
    </row>
    <row r="8045" spans="23:23" x14ac:dyDescent="0.55000000000000004">
      <c r="W8045"/>
    </row>
    <row r="8046" spans="23:23" x14ac:dyDescent="0.55000000000000004">
      <c r="W8046"/>
    </row>
    <row r="8047" spans="23:23" x14ac:dyDescent="0.55000000000000004">
      <c r="W8047"/>
    </row>
    <row r="8048" spans="23:23" x14ac:dyDescent="0.55000000000000004">
      <c r="W8048"/>
    </row>
    <row r="8049" spans="23:23" x14ac:dyDescent="0.55000000000000004">
      <c r="W8049"/>
    </row>
    <row r="8050" spans="23:23" x14ac:dyDescent="0.55000000000000004">
      <c r="W8050"/>
    </row>
    <row r="8051" spans="23:23" x14ac:dyDescent="0.55000000000000004">
      <c r="W8051"/>
    </row>
    <row r="8052" spans="23:23" x14ac:dyDescent="0.55000000000000004">
      <c r="W8052"/>
    </row>
    <row r="8053" spans="23:23" x14ac:dyDescent="0.55000000000000004">
      <c r="W8053"/>
    </row>
    <row r="8054" spans="23:23" x14ac:dyDescent="0.55000000000000004">
      <c r="W8054"/>
    </row>
    <row r="8055" spans="23:23" x14ac:dyDescent="0.55000000000000004">
      <c r="W8055"/>
    </row>
    <row r="8056" spans="23:23" x14ac:dyDescent="0.55000000000000004">
      <c r="W8056"/>
    </row>
    <row r="8057" spans="23:23" x14ac:dyDescent="0.55000000000000004">
      <c r="W8057"/>
    </row>
    <row r="8058" spans="23:23" x14ac:dyDescent="0.55000000000000004">
      <c r="W8058"/>
    </row>
    <row r="8059" spans="23:23" x14ac:dyDescent="0.55000000000000004">
      <c r="W8059"/>
    </row>
    <row r="8060" spans="23:23" x14ac:dyDescent="0.55000000000000004">
      <c r="W8060"/>
    </row>
    <row r="8061" spans="23:23" x14ac:dyDescent="0.55000000000000004">
      <c r="W8061"/>
    </row>
    <row r="8062" spans="23:23" x14ac:dyDescent="0.55000000000000004">
      <c r="W8062"/>
    </row>
    <row r="8063" spans="23:23" x14ac:dyDescent="0.55000000000000004">
      <c r="W8063"/>
    </row>
    <row r="8064" spans="23:23" x14ac:dyDescent="0.55000000000000004">
      <c r="W8064"/>
    </row>
    <row r="8065" spans="23:23" x14ac:dyDescent="0.55000000000000004">
      <c r="W8065"/>
    </row>
    <row r="8066" spans="23:23" x14ac:dyDescent="0.55000000000000004">
      <c r="W8066"/>
    </row>
    <row r="8067" spans="23:23" x14ac:dyDescent="0.55000000000000004">
      <c r="W8067"/>
    </row>
    <row r="8068" spans="23:23" x14ac:dyDescent="0.55000000000000004">
      <c r="W8068"/>
    </row>
    <row r="8069" spans="23:23" x14ac:dyDescent="0.55000000000000004">
      <c r="W8069"/>
    </row>
    <row r="8070" spans="23:23" x14ac:dyDescent="0.55000000000000004">
      <c r="W8070"/>
    </row>
    <row r="8071" spans="23:23" x14ac:dyDescent="0.55000000000000004">
      <c r="W8071"/>
    </row>
    <row r="8072" spans="23:23" x14ac:dyDescent="0.55000000000000004">
      <c r="W8072"/>
    </row>
    <row r="8073" spans="23:23" x14ac:dyDescent="0.55000000000000004">
      <c r="W8073"/>
    </row>
    <row r="8074" spans="23:23" x14ac:dyDescent="0.55000000000000004">
      <c r="W8074"/>
    </row>
    <row r="8075" spans="23:23" x14ac:dyDescent="0.55000000000000004">
      <c r="W8075"/>
    </row>
    <row r="8076" spans="23:23" x14ac:dyDescent="0.55000000000000004">
      <c r="W8076"/>
    </row>
    <row r="8077" spans="23:23" x14ac:dyDescent="0.55000000000000004">
      <c r="W8077"/>
    </row>
    <row r="8078" spans="23:23" x14ac:dyDescent="0.55000000000000004">
      <c r="W8078"/>
    </row>
    <row r="8079" spans="23:23" x14ac:dyDescent="0.55000000000000004">
      <c r="W8079"/>
    </row>
    <row r="8080" spans="23:23" x14ac:dyDescent="0.55000000000000004">
      <c r="W8080"/>
    </row>
    <row r="8081" spans="23:23" x14ac:dyDescent="0.55000000000000004">
      <c r="W8081"/>
    </row>
    <row r="8082" spans="23:23" x14ac:dyDescent="0.55000000000000004">
      <c r="W8082"/>
    </row>
    <row r="8083" spans="23:23" x14ac:dyDescent="0.55000000000000004">
      <c r="W8083"/>
    </row>
    <row r="8084" spans="23:23" x14ac:dyDescent="0.55000000000000004">
      <c r="W8084"/>
    </row>
    <row r="8085" spans="23:23" x14ac:dyDescent="0.55000000000000004">
      <c r="W8085"/>
    </row>
    <row r="8086" spans="23:23" x14ac:dyDescent="0.55000000000000004">
      <c r="W8086"/>
    </row>
    <row r="8087" spans="23:23" x14ac:dyDescent="0.55000000000000004">
      <c r="W8087"/>
    </row>
    <row r="8088" spans="23:23" x14ac:dyDescent="0.55000000000000004">
      <c r="W8088"/>
    </row>
    <row r="8089" spans="23:23" x14ac:dyDescent="0.55000000000000004">
      <c r="W8089"/>
    </row>
    <row r="8090" spans="23:23" x14ac:dyDescent="0.55000000000000004">
      <c r="W8090"/>
    </row>
    <row r="8091" spans="23:23" x14ac:dyDescent="0.55000000000000004">
      <c r="W8091"/>
    </row>
    <row r="8092" spans="23:23" x14ac:dyDescent="0.55000000000000004">
      <c r="W8092"/>
    </row>
    <row r="8093" spans="23:23" x14ac:dyDescent="0.55000000000000004">
      <c r="W8093"/>
    </row>
    <row r="8094" spans="23:23" x14ac:dyDescent="0.55000000000000004">
      <c r="W8094"/>
    </row>
    <row r="8095" spans="23:23" x14ac:dyDescent="0.55000000000000004">
      <c r="W8095"/>
    </row>
    <row r="8096" spans="23:23" x14ac:dyDescent="0.55000000000000004">
      <c r="W8096"/>
    </row>
    <row r="8097" spans="23:23" x14ac:dyDescent="0.55000000000000004">
      <c r="W8097"/>
    </row>
    <row r="8098" spans="23:23" x14ac:dyDescent="0.55000000000000004">
      <c r="W8098"/>
    </row>
    <row r="8099" spans="23:23" x14ac:dyDescent="0.55000000000000004">
      <c r="W8099"/>
    </row>
    <row r="8100" spans="23:23" x14ac:dyDescent="0.55000000000000004">
      <c r="W8100"/>
    </row>
    <row r="8101" spans="23:23" x14ac:dyDescent="0.55000000000000004">
      <c r="W8101"/>
    </row>
    <row r="8102" spans="23:23" x14ac:dyDescent="0.55000000000000004">
      <c r="W8102"/>
    </row>
    <row r="8103" spans="23:23" x14ac:dyDescent="0.55000000000000004">
      <c r="W8103"/>
    </row>
    <row r="8104" spans="23:23" x14ac:dyDescent="0.55000000000000004">
      <c r="W8104"/>
    </row>
    <row r="8105" spans="23:23" x14ac:dyDescent="0.55000000000000004">
      <c r="W8105"/>
    </row>
    <row r="8106" spans="23:23" x14ac:dyDescent="0.55000000000000004">
      <c r="W8106"/>
    </row>
    <row r="8107" spans="23:23" x14ac:dyDescent="0.55000000000000004">
      <c r="W8107"/>
    </row>
    <row r="8108" spans="23:23" x14ac:dyDescent="0.55000000000000004">
      <c r="W8108"/>
    </row>
    <row r="8109" spans="23:23" x14ac:dyDescent="0.55000000000000004">
      <c r="W8109"/>
    </row>
    <row r="8110" spans="23:23" x14ac:dyDescent="0.55000000000000004">
      <c r="W8110"/>
    </row>
    <row r="8111" spans="23:23" x14ac:dyDescent="0.55000000000000004">
      <c r="W8111"/>
    </row>
    <row r="8112" spans="23:23" x14ac:dyDescent="0.55000000000000004">
      <c r="W8112"/>
    </row>
    <row r="8113" spans="23:23" x14ac:dyDescent="0.55000000000000004">
      <c r="W8113"/>
    </row>
    <row r="8114" spans="23:23" x14ac:dyDescent="0.55000000000000004">
      <c r="W8114"/>
    </row>
    <row r="8115" spans="23:23" x14ac:dyDescent="0.55000000000000004">
      <c r="W8115"/>
    </row>
    <row r="8116" spans="23:23" x14ac:dyDescent="0.55000000000000004">
      <c r="W8116"/>
    </row>
    <row r="8117" spans="23:23" x14ac:dyDescent="0.55000000000000004">
      <c r="W8117"/>
    </row>
    <row r="8118" spans="23:23" x14ac:dyDescent="0.55000000000000004">
      <c r="W8118"/>
    </row>
    <row r="8119" spans="23:23" x14ac:dyDescent="0.55000000000000004">
      <c r="W8119"/>
    </row>
    <row r="8120" spans="23:23" x14ac:dyDescent="0.55000000000000004">
      <c r="W8120"/>
    </row>
    <row r="8121" spans="23:23" x14ac:dyDescent="0.55000000000000004">
      <c r="W8121"/>
    </row>
    <row r="8122" spans="23:23" x14ac:dyDescent="0.55000000000000004">
      <c r="W8122"/>
    </row>
    <row r="8123" spans="23:23" x14ac:dyDescent="0.55000000000000004">
      <c r="W8123"/>
    </row>
    <row r="8124" spans="23:23" x14ac:dyDescent="0.55000000000000004">
      <c r="W8124"/>
    </row>
    <row r="8125" spans="23:23" x14ac:dyDescent="0.55000000000000004">
      <c r="W8125"/>
    </row>
    <row r="8126" spans="23:23" x14ac:dyDescent="0.55000000000000004">
      <c r="W8126"/>
    </row>
    <row r="8127" spans="23:23" x14ac:dyDescent="0.55000000000000004">
      <c r="W8127"/>
    </row>
    <row r="8128" spans="23:23" x14ac:dyDescent="0.55000000000000004">
      <c r="W8128"/>
    </row>
    <row r="8129" spans="23:23" x14ac:dyDescent="0.55000000000000004">
      <c r="W8129"/>
    </row>
    <row r="8130" spans="23:23" x14ac:dyDescent="0.55000000000000004">
      <c r="W8130"/>
    </row>
    <row r="8131" spans="23:23" x14ac:dyDescent="0.55000000000000004">
      <c r="W8131"/>
    </row>
    <row r="8132" spans="23:23" x14ac:dyDescent="0.55000000000000004">
      <c r="W8132"/>
    </row>
    <row r="8133" spans="23:23" x14ac:dyDescent="0.55000000000000004">
      <c r="W8133"/>
    </row>
    <row r="8134" spans="23:23" x14ac:dyDescent="0.55000000000000004">
      <c r="W8134"/>
    </row>
    <row r="8135" spans="23:23" x14ac:dyDescent="0.55000000000000004">
      <c r="W8135"/>
    </row>
    <row r="8136" spans="23:23" x14ac:dyDescent="0.55000000000000004">
      <c r="W8136"/>
    </row>
    <row r="8137" spans="23:23" x14ac:dyDescent="0.55000000000000004">
      <c r="W8137"/>
    </row>
    <row r="8138" spans="23:23" x14ac:dyDescent="0.55000000000000004">
      <c r="W8138"/>
    </row>
    <row r="8139" spans="23:23" x14ac:dyDescent="0.55000000000000004">
      <c r="W8139"/>
    </row>
    <row r="8140" spans="23:23" x14ac:dyDescent="0.55000000000000004">
      <c r="W8140"/>
    </row>
    <row r="8141" spans="23:23" x14ac:dyDescent="0.55000000000000004">
      <c r="W8141"/>
    </row>
    <row r="8142" spans="23:23" x14ac:dyDescent="0.55000000000000004">
      <c r="W8142"/>
    </row>
    <row r="8143" spans="23:23" x14ac:dyDescent="0.55000000000000004">
      <c r="W8143"/>
    </row>
    <row r="8144" spans="23:23" x14ac:dyDescent="0.55000000000000004">
      <c r="W8144"/>
    </row>
    <row r="8145" spans="23:23" x14ac:dyDescent="0.55000000000000004">
      <c r="W8145"/>
    </row>
    <row r="8146" spans="23:23" x14ac:dyDescent="0.55000000000000004">
      <c r="W8146"/>
    </row>
    <row r="8147" spans="23:23" x14ac:dyDescent="0.55000000000000004">
      <c r="W8147"/>
    </row>
    <row r="8148" spans="23:23" x14ac:dyDescent="0.55000000000000004">
      <c r="W8148"/>
    </row>
    <row r="8149" spans="23:23" x14ac:dyDescent="0.55000000000000004">
      <c r="W8149"/>
    </row>
    <row r="8150" spans="23:23" x14ac:dyDescent="0.55000000000000004">
      <c r="W8150"/>
    </row>
    <row r="8151" spans="23:23" x14ac:dyDescent="0.55000000000000004">
      <c r="W8151"/>
    </row>
    <row r="8152" spans="23:23" x14ac:dyDescent="0.55000000000000004">
      <c r="W8152"/>
    </row>
    <row r="8153" spans="23:23" x14ac:dyDescent="0.55000000000000004">
      <c r="W8153"/>
    </row>
    <row r="8154" spans="23:23" x14ac:dyDescent="0.55000000000000004">
      <c r="W8154"/>
    </row>
    <row r="8155" spans="23:23" x14ac:dyDescent="0.55000000000000004">
      <c r="W8155"/>
    </row>
    <row r="8156" spans="23:23" x14ac:dyDescent="0.55000000000000004">
      <c r="W8156"/>
    </row>
    <row r="8157" spans="23:23" x14ac:dyDescent="0.55000000000000004">
      <c r="W8157"/>
    </row>
    <row r="8158" spans="23:23" x14ac:dyDescent="0.55000000000000004">
      <c r="W8158"/>
    </row>
    <row r="8159" spans="23:23" x14ac:dyDescent="0.55000000000000004">
      <c r="W8159"/>
    </row>
    <row r="8160" spans="23:23" x14ac:dyDescent="0.55000000000000004">
      <c r="W8160"/>
    </row>
    <row r="8161" spans="23:23" x14ac:dyDescent="0.55000000000000004">
      <c r="W8161"/>
    </row>
    <row r="8162" spans="23:23" x14ac:dyDescent="0.55000000000000004">
      <c r="W8162"/>
    </row>
    <row r="8163" spans="23:23" x14ac:dyDescent="0.55000000000000004">
      <c r="W8163"/>
    </row>
    <row r="8164" spans="23:23" x14ac:dyDescent="0.55000000000000004">
      <c r="W8164"/>
    </row>
    <row r="8165" spans="23:23" x14ac:dyDescent="0.55000000000000004">
      <c r="W8165"/>
    </row>
    <row r="8166" spans="23:23" x14ac:dyDescent="0.55000000000000004">
      <c r="W8166"/>
    </row>
    <row r="8167" spans="23:23" x14ac:dyDescent="0.55000000000000004">
      <c r="W8167"/>
    </row>
    <row r="8168" spans="23:23" x14ac:dyDescent="0.55000000000000004">
      <c r="W8168"/>
    </row>
    <row r="8169" spans="23:23" x14ac:dyDescent="0.55000000000000004">
      <c r="W8169"/>
    </row>
    <row r="8170" spans="23:23" x14ac:dyDescent="0.55000000000000004">
      <c r="W8170"/>
    </row>
    <row r="8171" spans="23:23" x14ac:dyDescent="0.55000000000000004">
      <c r="W8171"/>
    </row>
    <row r="8172" spans="23:23" x14ac:dyDescent="0.55000000000000004">
      <c r="W8172"/>
    </row>
    <row r="8173" spans="23:23" x14ac:dyDescent="0.55000000000000004">
      <c r="W8173"/>
    </row>
    <row r="8174" spans="23:23" x14ac:dyDescent="0.55000000000000004">
      <c r="W8174"/>
    </row>
    <row r="8175" spans="23:23" x14ac:dyDescent="0.55000000000000004">
      <c r="W8175"/>
    </row>
    <row r="8176" spans="23:23" x14ac:dyDescent="0.55000000000000004">
      <c r="W8176"/>
    </row>
    <row r="8177" spans="23:23" x14ac:dyDescent="0.55000000000000004">
      <c r="W8177"/>
    </row>
    <row r="8178" spans="23:23" x14ac:dyDescent="0.55000000000000004">
      <c r="W8178"/>
    </row>
    <row r="8179" spans="23:23" x14ac:dyDescent="0.55000000000000004">
      <c r="W8179"/>
    </row>
    <row r="8180" spans="23:23" x14ac:dyDescent="0.55000000000000004">
      <c r="W8180"/>
    </row>
    <row r="8181" spans="23:23" x14ac:dyDescent="0.55000000000000004">
      <c r="W8181"/>
    </row>
    <row r="8182" spans="23:23" x14ac:dyDescent="0.55000000000000004">
      <c r="W8182"/>
    </row>
    <row r="8183" spans="23:23" x14ac:dyDescent="0.55000000000000004">
      <c r="W8183"/>
    </row>
    <row r="8184" spans="23:23" x14ac:dyDescent="0.55000000000000004">
      <c r="W8184"/>
    </row>
    <row r="8185" spans="23:23" x14ac:dyDescent="0.55000000000000004">
      <c r="W8185"/>
    </row>
    <row r="8186" spans="23:23" x14ac:dyDescent="0.55000000000000004">
      <c r="W8186"/>
    </row>
    <row r="8187" spans="23:23" x14ac:dyDescent="0.55000000000000004">
      <c r="W8187"/>
    </row>
    <row r="8188" spans="23:23" x14ac:dyDescent="0.55000000000000004">
      <c r="W8188"/>
    </row>
    <row r="8189" spans="23:23" x14ac:dyDescent="0.55000000000000004">
      <c r="W8189"/>
    </row>
    <row r="8190" spans="23:23" x14ac:dyDescent="0.55000000000000004">
      <c r="W8190"/>
    </row>
    <row r="8191" spans="23:23" x14ac:dyDescent="0.55000000000000004">
      <c r="W8191"/>
    </row>
    <row r="8192" spans="23:23" x14ac:dyDescent="0.55000000000000004">
      <c r="W8192"/>
    </row>
    <row r="8193" spans="23:23" x14ac:dyDescent="0.55000000000000004">
      <c r="W8193"/>
    </row>
    <row r="8194" spans="23:23" x14ac:dyDescent="0.55000000000000004">
      <c r="W8194"/>
    </row>
    <row r="8195" spans="23:23" x14ac:dyDescent="0.55000000000000004">
      <c r="W8195"/>
    </row>
    <row r="8196" spans="23:23" x14ac:dyDescent="0.55000000000000004">
      <c r="W8196"/>
    </row>
    <row r="8197" spans="23:23" x14ac:dyDescent="0.55000000000000004">
      <c r="W8197"/>
    </row>
    <row r="8198" spans="23:23" x14ac:dyDescent="0.55000000000000004">
      <c r="W8198"/>
    </row>
    <row r="8199" spans="23:23" x14ac:dyDescent="0.55000000000000004">
      <c r="W8199"/>
    </row>
    <row r="8200" spans="23:23" x14ac:dyDescent="0.55000000000000004">
      <c r="W8200"/>
    </row>
    <row r="8201" spans="23:23" x14ac:dyDescent="0.55000000000000004">
      <c r="W8201"/>
    </row>
    <row r="8202" spans="23:23" x14ac:dyDescent="0.55000000000000004">
      <c r="W8202"/>
    </row>
    <row r="8203" spans="23:23" x14ac:dyDescent="0.55000000000000004">
      <c r="W8203"/>
    </row>
    <row r="8204" spans="23:23" x14ac:dyDescent="0.55000000000000004">
      <c r="W8204"/>
    </row>
    <row r="8205" spans="23:23" x14ac:dyDescent="0.55000000000000004">
      <c r="W8205"/>
    </row>
    <row r="8206" spans="23:23" x14ac:dyDescent="0.55000000000000004">
      <c r="W8206"/>
    </row>
    <row r="8207" spans="23:23" x14ac:dyDescent="0.55000000000000004">
      <c r="W8207"/>
    </row>
    <row r="8208" spans="23:23" x14ac:dyDescent="0.55000000000000004">
      <c r="W8208"/>
    </row>
    <row r="8209" spans="23:23" x14ac:dyDescent="0.55000000000000004">
      <c r="W8209"/>
    </row>
    <row r="8210" spans="23:23" x14ac:dyDescent="0.55000000000000004">
      <c r="W8210"/>
    </row>
    <row r="8211" spans="23:23" x14ac:dyDescent="0.55000000000000004">
      <c r="W8211"/>
    </row>
    <row r="8212" spans="23:23" x14ac:dyDescent="0.55000000000000004">
      <c r="W8212"/>
    </row>
    <row r="8213" spans="23:23" x14ac:dyDescent="0.55000000000000004">
      <c r="W8213"/>
    </row>
    <row r="8214" spans="23:23" x14ac:dyDescent="0.55000000000000004">
      <c r="W8214"/>
    </row>
    <row r="8215" spans="23:23" x14ac:dyDescent="0.55000000000000004">
      <c r="W8215"/>
    </row>
    <row r="8216" spans="23:23" x14ac:dyDescent="0.55000000000000004">
      <c r="W8216"/>
    </row>
    <row r="8217" spans="23:23" x14ac:dyDescent="0.55000000000000004">
      <c r="W8217"/>
    </row>
    <row r="8218" spans="23:23" x14ac:dyDescent="0.55000000000000004">
      <c r="W8218"/>
    </row>
    <row r="8219" spans="23:23" x14ac:dyDescent="0.55000000000000004">
      <c r="W8219"/>
    </row>
    <row r="8220" spans="23:23" x14ac:dyDescent="0.55000000000000004">
      <c r="W8220"/>
    </row>
    <row r="8221" spans="23:23" x14ac:dyDescent="0.55000000000000004">
      <c r="W8221"/>
    </row>
    <row r="8222" spans="23:23" x14ac:dyDescent="0.55000000000000004">
      <c r="W8222"/>
    </row>
    <row r="8223" spans="23:23" x14ac:dyDescent="0.55000000000000004">
      <c r="W8223"/>
    </row>
    <row r="8224" spans="23:23" x14ac:dyDescent="0.55000000000000004">
      <c r="W8224"/>
    </row>
    <row r="8225" spans="23:23" x14ac:dyDescent="0.55000000000000004">
      <c r="W8225"/>
    </row>
    <row r="8226" spans="23:23" x14ac:dyDescent="0.55000000000000004">
      <c r="W8226"/>
    </row>
    <row r="8227" spans="23:23" x14ac:dyDescent="0.55000000000000004">
      <c r="W8227"/>
    </row>
    <row r="8228" spans="23:23" x14ac:dyDescent="0.55000000000000004">
      <c r="W8228"/>
    </row>
    <row r="8229" spans="23:23" x14ac:dyDescent="0.55000000000000004">
      <c r="W8229"/>
    </row>
    <row r="8230" spans="23:23" x14ac:dyDescent="0.55000000000000004">
      <c r="W8230"/>
    </row>
    <row r="8231" spans="23:23" x14ac:dyDescent="0.55000000000000004">
      <c r="W8231"/>
    </row>
    <row r="8232" spans="23:23" x14ac:dyDescent="0.55000000000000004">
      <c r="W8232"/>
    </row>
    <row r="8233" spans="23:23" x14ac:dyDescent="0.55000000000000004">
      <c r="W8233"/>
    </row>
    <row r="8234" spans="23:23" x14ac:dyDescent="0.55000000000000004">
      <c r="W8234"/>
    </row>
    <row r="8235" spans="23:23" x14ac:dyDescent="0.55000000000000004">
      <c r="W8235"/>
    </row>
    <row r="8236" spans="23:23" x14ac:dyDescent="0.55000000000000004">
      <c r="W8236"/>
    </row>
    <row r="8237" spans="23:23" x14ac:dyDescent="0.55000000000000004">
      <c r="W8237"/>
    </row>
    <row r="8238" spans="23:23" x14ac:dyDescent="0.55000000000000004">
      <c r="W8238"/>
    </row>
    <row r="8239" spans="23:23" x14ac:dyDescent="0.55000000000000004">
      <c r="W8239"/>
    </row>
    <row r="8240" spans="23:23" x14ac:dyDescent="0.55000000000000004">
      <c r="W8240"/>
    </row>
    <row r="8241" spans="23:23" x14ac:dyDescent="0.55000000000000004">
      <c r="W8241"/>
    </row>
    <row r="8242" spans="23:23" x14ac:dyDescent="0.55000000000000004">
      <c r="W8242"/>
    </row>
    <row r="8243" spans="23:23" x14ac:dyDescent="0.55000000000000004">
      <c r="W8243"/>
    </row>
    <row r="8244" spans="23:23" x14ac:dyDescent="0.55000000000000004">
      <c r="W8244"/>
    </row>
    <row r="8245" spans="23:23" x14ac:dyDescent="0.55000000000000004">
      <c r="W8245"/>
    </row>
    <row r="8246" spans="23:23" x14ac:dyDescent="0.55000000000000004">
      <c r="W8246"/>
    </row>
    <row r="8247" spans="23:23" x14ac:dyDescent="0.55000000000000004">
      <c r="W8247"/>
    </row>
    <row r="8248" spans="23:23" x14ac:dyDescent="0.55000000000000004">
      <c r="W8248"/>
    </row>
    <row r="8249" spans="23:23" x14ac:dyDescent="0.55000000000000004">
      <c r="W8249"/>
    </row>
    <row r="8250" spans="23:23" x14ac:dyDescent="0.55000000000000004">
      <c r="W8250"/>
    </row>
    <row r="8251" spans="23:23" x14ac:dyDescent="0.55000000000000004">
      <c r="W8251"/>
    </row>
    <row r="8252" spans="23:23" x14ac:dyDescent="0.55000000000000004">
      <c r="W8252"/>
    </row>
    <row r="8253" spans="23:23" x14ac:dyDescent="0.55000000000000004">
      <c r="W8253"/>
    </row>
    <row r="8254" spans="23:23" x14ac:dyDescent="0.55000000000000004">
      <c r="W8254"/>
    </row>
    <row r="8255" spans="23:23" x14ac:dyDescent="0.55000000000000004">
      <c r="W8255"/>
    </row>
    <row r="8256" spans="23:23" x14ac:dyDescent="0.55000000000000004">
      <c r="W8256"/>
    </row>
    <row r="8257" spans="23:23" x14ac:dyDescent="0.55000000000000004">
      <c r="W8257"/>
    </row>
    <row r="8258" spans="23:23" x14ac:dyDescent="0.55000000000000004">
      <c r="W8258"/>
    </row>
    <row r="8259" spans="23:23" x14ac:dyDescent="0.55000000000000004">
      <c r="W8259"/>
    </row>
    <row r="8260" spans="23:23" x14ac:dyDescent="0.55000000000000004">
      <c r="W8260"/>
    </row>
    <row r="8261" spans="23:23" x14ac:dyDescent="0.55000000000000004">
      <c r="W8261"/>
    </row>
    <row r="8262" spans="23:23" x14ac:dyDescent="0.55000000000000004">
      <c r="W8262"/>
    </row>
    <row r="8263" spans="23:23" x14ac:dyDescent="0.55000000000000004">
      <c r="W8263"/>
    </row>
    <row r="8264" spans="23:23" x14ac:dyDescent="0.55000000000000004">
      <c r="W8264"/>
    </row>
    <row r="8265" spans="23:23" x14ac:dyDescent="0.55000000000000004">
      <c r="W8265"/>
    </row>
    <row r="8266" spans="23:23" x14ac:dyDescent="0.55000000000000004">
      <c r="W8266"/>
    </row>
    <row r="8267" spans="23:23" x14ac:dyDescent="0.55000000000000004">
      <c r="W8267"/>
    </row>
    <row r="8268" spans="23:23" x14ac:dyDescent="0.55000000000000004">
      <c r="W8268"/>
    </row>
    <row r="8269" spans="23:23" x14ac:dyDescent="0.55000000000000004">
      <c r="W8269"/>
    </row>
    <row r="8270" spans="23:23" x14ac:dyDescent="0.55000000000000004">
      <c r="W8270"/>
    </row>
    <row r="8271" spans="23:23" x14ac:dyDescent="0.55000000000000004">
      <c r="W8271"/>
    </row>
    <row r="8272" spans="23:23" x14ac:dyDescent="0.55000000000000004">
      <c r="W8272"/>
    </row>
    <row r="8273" spans="23:23" x14ac:dyDescent="0.55000000000000004">
      <c r="W8273"/>
    </row>
    <row r="8274" spans="23:23" x14ac:dyDescent="0.55000000000000004">
      <c r="W8274"/>
    </row>
    <row r="8275" spans="23:23" x14ac:dyDescent="0.55000000000000004">
      <c r="W8275"/>
    </row>
    <row r="8276" spans="23:23" x14ac:dyDescent="0.55000000000000004">
      <c r="W8276"/>
    </row>
    <row r="8277" spans="23:23" x14ac:dyDescent="0.55000000000000004">
      <c r="W8277"/>
    </row>
    <row r="8278" spans="23:23" x14ac:dyDescent="0.55000000000000004">
      <c r="W8278"/>
    </row>
    <row r="8279" spans="23:23" x14ac:dyDescent="0.55000000000000004">
      <c r="W8279"/>
    </row>
    <row r="8280" spans="23:23" x14ac:dyDescent="0.55000000000000004">
      <c r="W8280"/>
    </row>
    <row r="8281" spans="23:23" x14ac:dyDescent="0.55000000000000004">
      <c r="W8281"/>
    </row>
    <row r="8282" spans="23:23" x14ac:dyDescent="0.55000000000000004">
      <c r="W8282"/>
    </row>
    <row r="8283" spans="23:23" x14ac:dyDescent="0.55000000000000004">
      <c r="W8283"/>
    </row>
    <row r="8284" spans="23:23" x14ac:dyDescent="0.55000000000000004">
      <c r="W8284"/>
    </row>
    <row r="8285" spans="23:23" x14ac:dyDescent="0.55000000000000004">
      <c r="W8285"/>
    </row>
    <row r="8286" spans="23:23" x14ac:dyDescent="0.55000000000000004">
      <c r="W8286"/>
    </row>
    <row r="8287" spans="23:23" x14ac:dyDescent="0.55000000000000004">
      <c r="W8287"/>
    </row>
    <row r="8288" spans="23:23" x14ac:dyDescent="0.55000000000000004">
      <c r="W8288"/>
    </row>
    <row r="8289" spans="23:23" x14ac:dyDescent="0.55000000000000004">
      <c r="W8289"/>
    </row>
    <row r="8290" spans="23:23" x14ac:dyDescent="0.55000000000000004">
      <c r="W8290"/>
    </row>
    <row r="8291" spans="23:23" x14ac:dyDescent="0.55000000000000004">
      <c r="W8291"/>
    </row>
    <row r="8292" spans="23:23" x14ac:dyDescent="0.55000000000000004">
      <c r="W8292"/>
    </row>
    <row r="8293" spans="23:23" x14ac:dyDescent="0.55000000000000004">
      <c r="W8293"/>
    </row>
    <row r="8294" spans="23:23" x14ac:dyDescent="0.55000000000000004">
      <c r="W8294"/>
    </row>
    <row r="8295" spans="23:23" x14ac:dyDescent="0.55000000000000004">
      <c r="W8295"/>
    </row>
    <row r="8296" spans="23:23" x14ac:dyDescent="0.55000000000000004">
      <c r="W8296"/>
    </row>
    <row r="8297" spans="23:23" x14ac:dyDescent="0.55000000000000004">
      <c r="W8297"/>
    </row>
    <row r="8298" spans="23:23" x14ac:dyDescent="0.55000000000000004">
      <c r="W8298"/>
    </row>
    <row r="8299" spans="23:23" x14ac:dyDescent="0.55000000000000004">
      <c r="W8299"/>
    </row>
    <row r="8300" spans="23:23" x14ac:dyDescent="0.55000000000000004">
      <c r="W8300"/>
    </row>
    <row r="8301" spans="23:23" x14ac:dyDescent="0.55000000000000004">
      <c r="W8301"/>
    </row>
    <row r="8302" spans="23:23" x14ac:dyDescent="0.55000000000000004">
      <c r="W8302"/>
    </row>
    <row r="8303" spans="23:23" x14ac:dyDescent="0.55000000000000004">
      <c r="W8303"/>
    </row>
    <row r="8304" spans="23:23" x14ac:dyDescent="0.55000000000000004">
      <c r="W8304"/>
    </row>
    <row r="8305" spans="23:23" x14ac:dyDescent="0.55000000000000004">
      <c r="W8305"/>
    </row>
    <row r="8306" spans="23:23" x14ac:dyDescent="0.55000000000000004">
      <c r="W8306"/>
    </row>
    <row r="8307" spans="23:23" x14ac:dyDescent="0.55000000000000004">
      <c r="W8307"/>
    </row>
    <row r="8308" spans="23:23" x14ac:dyDescent="0.55000000000000004">
      <c r="W8308"/>
    </row>
    <row r="8309" spans="23:23" x14ac:dyDescent="0.55000000000000004">
      <c r="W8309"/>
    </row>
    <row r="8310" spans="23:23" x14ac:dyDescent="0.55000000000000004">
      <c r="W8310"/>
    </row>
    <row r="8311" spans="23:23" x14ac:dyDescent="0.55000000000000004">
      <c r="W8311"/>
    </row>
    <row r="8312" spans="23:23" x14ac:dyDescent="0.55000000000000004">
      <c r="W8312"/>
    </row>
    <row r="8313" spans="23:23" x14ac:dyDescent="0.55000000000000004">
      <c r="W8313"/>
    </row>
    <row r="8314" spans="23:23" x14ac:dyDescent="0.55000000000000004">
      <c r="W8314"/>
    </row>
    <row r="8315" spans="23:23" x14ac:dyDescent="0.55000000000000004">
      <c r="W8315"/>
    </row>
    <row r="8316" spans="23:23" x14ac:dyDescent="0.55000000000000004">
      <c r="W8316"/>
    </row>
    <row r="8317" spans="23:23" x14ac:dyDescent="0.55000000000000004">
      <c r="W8317"/>
    </row>
    <row r="8318" spans="23:23" x14ac:dyDescent="0.55000000000000004">
      <c r="W8318"/>
    </row>
    <row r="8319" spans="23:23" x14ac:dyDescent="0.55000000000000004">
      <c r="W8319"/>
    </row>
    <row r="8320" spans="23:23" x14ac:dyDescent="0.55000000000000004">
      <c r="W8320"/>
    </row>
    <row r="8321" spans="23:23" x14ac:dyDescent="0.55000000000000004">
      <c r="W8321"/>
    </row>
    <row r="8322" spans="23:23" x14ac:dyDescent="0.55000000000000004">
      <c r="W8322"/>
    </row>
    <row r="8323" spans="23:23" x14ac:dyDescent="0.55000000000000004">
      <c r="W8323"/>
    </row>
    <row r="8324" spans="23:23" x14ac:dyDescent="0.55000000000000004">
      <c r="W8324"/>
    </row>
    <row r="8325" spans="23:23" x14ac:dyDescent="0.55000000000000004">
      <c r="W8325"/>
    </row>
    <row r="8326" spans="23:23" x14ac:dyDescent="0.55000000000000004">
      <c r="W8326"/>
    </row>
    <row r="8327" spans="23:23" x14ac:dyDescent="0.55000000000000004">
      <c r="W8327"/>
    </row>
    <row r="8328" spans="23:23" x14ac:dyDescent="0.55000000000000004">
      <c r="W8328"/>
    </row>
    <row r="8329" spans="23:23" x14ac:dyDescent="0.55000000000000004">
      <c r="W8329"/>
    </row>
    <row r="8330" spans="23:23" x14ac:dyDescent="0.55000000000000004">
      <c r="W8330"/>
    </row>
    <row r="8331" spans="23:23" x14ac:dyDescent="0.55000000000000004">
      <c r="W8331"/>
    </row>
    <row r="8332" spans="23:23" x14ac:dyDescent="0.55000000000000004">
      <c r="W8332"/>
    </row>
    <row r="8333" spans="23:23" x14ac:dyDescent="0.55000000000000004">
      <c r="W8333"/>
    </row>
    <row r="8334" spans="23:23" x14ac:dyDescent="0.55000000000000004">
      <c r="W8334"/>
    </row>
    <row r="8335" spans="23:23" x14ac:dyDescent="0.55000000000000004">
      <c r="W8335"/>
    </row>
    <row r="8336" spans="23:23" x14ac:dyDescent="0.55000000000000004">
      <c r="W8336"/>
    </row>
    <row r="8337" spans="23:23" x14ac:dyDescent="0.55000000000000004">
      <c r="W8337"/>
    </row>
    <row r="8338" spans="23:23" x14ac:dyDescent="0.55000000000000004">
      <c r="W8338"/>
    </row>
    <row r="8339" spans="23:23" x14ac:dyDescent="0.55000000000000004">
      <c r="W8339"/>
    </row>
    <row r="8340" spans="23:23" x14ac:dyDescent="0.55000000000000004">
      <c r="W8340"/>
    </row>
    <row r="8341" spans="23:23" x14ac:dyDescent="0.55000000000000004">
      <c r="W8341"/>
    </row>
    <row r="8342" spans="23:23" x14ac:dyDescent="0.55000000000000004">
      <c r="W8342"/>
    </row>
    <row r="8343" spans="23:23" x14ac:dyDescent="0.55000000000000004">
      <c r="W8343"/>
    </row>
    <row r="8344" spans="23:23" x14ac:dyDescent="0.55000000000000004">
      <c r="W8344"/>
    </row>
    <row r="8345" spans="23:23" x14ac:dyDescent="0.55000000000000004">
      <c r="W8345"/>
    </row>
    <row r="8346" spans="23:23" x14ac:dyDescent="0.55000000000000004">
      <c r="W8346"/>
    </row>
    <row r="8347" spans="23:23" x14ac:dyDescent="0.55000000000000004">
      <c r="W8347"/>
    </row>
    <row r="8348" spans="23:23" x14ac:dyDescent="0.55000000000000004">
      <c r="W8348"/>
    </row>
    <row r="8349" spans="23:23" x14ac:dyDescent="0.55000000000000004">
      <c r="W8349"/>
    </row>
    <row r="8350" spans="23:23" x14ac:dyDescent="0.55000000000000004">
      <c r="W8350"/>
    </row>
    <row r="8351" spans="23:23" x14ac:dyDescent="0.55000000000000004">
      <c r="W8351"/>
    </row>
    <row r="8352" spans="23:23" x14ac:dyDescent="0.55000000000000004">
      <c r="W8352"/>
    </row>
    <row r="8353" spans="23:23" x14ac:dyDescent="0.55000000000000004">
      <c r="W8353"/>
    </row>
    <row r="8354" spans="23:23" x14ac:dyDescent="0.55000000000000004">
      <c r="W8354"/>
    </row>
    <row r="8355" spans="23:23" x14ac:dyDescent="0.55000000000000004">
      <c r="W8355"/>
    </row>
    <row r="8356" spans="23:23" x14ac:dyDescent="0.55000000000000004">
      <c r="W8356"/>
    </row>
    <row r="8357" spans="23:23" x14ac:dyDescent="0.55000000000000004">
      <c r="W8357"/>
    </row>
    <row r="8358" spans="23:23" x14ac:dyDescent="0.55000000000000004">
      <c r="W8358"/>
    </row>
    <row r="8359" spans="23:23" x14ac:dyDescent="0.55000000000000004">
      <c r="W8359"/>
    </row>
    <row r="8360" spans="23:23" x14ac:dyDescent="0.55000000000000004">
      <c r="W8360"/>
    </row>
    <row r="8361" spans="23:23" x14ac:dyDescent="0.55000000000000004">
      <c r="W8361"/>
    </row>
    <row r="8362" spans="23:23" x14ac:dyDescent="0.55000000000000004">
      <c r="W8362"/>
    </row>
    <row r="8363" spans="23:23" x14ac:dyDescent="0.55000000000000004">
      <c r="W8363"/>
    </row>
    <row r="8364" spans="23:23" x14ac:dyDescent="0.55000000000000004">
      <c r="W8364"/>
    </row>
    <row r="8365" spans="23:23" x14ac:dyDescent="0.55000000000000004">
      <c r="W8365"/>
    </row>
    <row r="8366" spans="23:23" x14ac:dyDescent="0.55000000000000004">
      <c r="W8366"/>
    </row>
    <row r="8367" spans="23:23" x14ac:dyDescent="0.55000000000000004">
      <c r="W8367"/>
    </row>
    <row r="8368" spans="23:23" x14ac:dyDescent="0.55000000000000004">
      <c r="W8368"/>
    </row>
    <row r="8369" spans="23:23" x14ac:dyDescent="0.55000000000000004">
      <c r="W8369"/>
    </row>
    <row r="8370" spans="23:23" x14ac:dyDescent="0.55000000000000004">
      <c r="W8370"/>
    </row>
    <row r="8371" spans="23:23" x14ac:dyDescent="0.55000000000000004">
      <c r="W8371"/>
    </row>
    <row r="8372" spans="23:23" x14ac:dyDescent="0.55000000000000004">
      <c r="W8372"/>
    </row>
    <row r="8373" spans="23:23" x14ac:dyDescent="0.55000000000000004">
      <c r="W8373"/>
    </row>
    <row r="8374" spans="23:23" x14ac:dyDescent="0.55000000000000004">
      <c r="W8374"/>
    </row>
    <row r="8375" spans="23:23" x14ac:dyDescent="0.55000000000000004">
      <c r="W8375"/>
    </row>
    <row r="8376" spans="23:23" x14ac:dyDescent="0.55000000000000004">
      <c r="W8376"/>
    </row>
    <row r="8377" spans="23:23" x14ac:dyDescent="0.55000000000000004">
      <c r="W8377"/>
    </row>
    <row r="8378" spans="23:23" x14ac:dyDescent="0.55000000000000004">
      <c r="W8378"/>
    </row>
    <row r="8379" spans="23:23" x14ac:dyDescent="0.55000000000000004">
      <c r="W8379"/>
    </row>
    <row r="8380" spans="23:23" x14ac:dyDescent="0.55000000000000004">
      <c r="W8380"/>
    </row>
    <row r="8381" spans="23:23" x14ac:dyDescent="0.55000000000000004">
      <c r="W8381"/>
    </row>
    <row r="8382" spans="23:23" x14ac:dyDescent="0.55000000000000004">
      <c r="W8382"/>
    </row>
    <row r="8383" spans="23:23" x14ac:dyDescent="0.55000000000000004">
      <c r="W8383"/>
    </row>
    <row r="8384" spans="23:23" x14ac:dyDescent="0.55000000000000004">
      <c r="W8384"/>
    </row>
    <row r="8385" spans="23:23" x14ac:dyDescent="0.55000000000000004">
      <c r="W8385"/>
    </row>
    <row r="8386" spans="23:23" x14ac:dyDescent="0.55000000000000004">
      <c r="W8386"/>
    </row>
    <row r="8387" spans="23:23" x14ac:dyDescent="0.55000000000000004">
      <c r="W8387"/>
    </row>
    <row r="8388" spans="23:23" x14ac:dyDescent="0.55000000000000004">
      <c r="W8388"/>
    </row>
    <row r="8389" spans="23:23" x14ac:dyDescent="0.55000000000000004">
      <c r="W8389"/>
    </row>
    <row r="8390" spans="23:23" x14ac:dyDescent="0.55000000000000004">
      <c r="W8390"/>
    </row>
    <row r="8391" spans="23:23" x14ac:dyDescent="0.55000000000000004">
      <c r="W8391"/>
    </row>
    <row r="8392" spans="23:23" x14ac:dyDescent="0.55000000000000004">
      <c r="W8392"/>
    </row>
    <row r="8393" spans="23:23" x14ac:dyDescent="0.55000000000000004">
      <c r="W8393"/>
    </row>
    <row r="8394" spans="23:23" x14ac:dyDescent="0.55000000000000004">
      <c r="W8394"/>
    </row>
    <row r="8395" spans="23:23" x14ac:dyDescent="0.55000000000000004">
      <c r="W8395"/>
    </row>
    <row r="8396" spans="23:23" x14ac:dyDescent="0.55000000000000004">
      <c r="W8396"/>
    </row>
    <row r="8397" spans="23:23" x14ac:dyDescent="0.55000000000000004">
      <c r="W8397"/>
    </row>
    <row r="8398" spans="23:23" x14ac:dyDescent="0.55000000000000004">
      <c r="W8398"/>
    </row>
    <row r="8399" spans="23:23" x14ac:dyDescent="0.55000000000000004">
      <c r="W8399"/>
    </row>
    <row r="8400" spans="23:23" x14ac:dyDescent="0.55000000000000004">
      <c r="W8400"/>
    </row>
    <row r="8401" spans="23:23" x14ac:dyDescent="0.55000000000000004">
      <c r="W8401"/>
    </row>
    <row r="8402" spans="23:23" x14ac:dyDescent="0.55000000000000004">
      <c r="W8402"/>
    </row>
    <row r="8403" spans="23:23" x14ac:dyDescent="0.55000000000000004">
      <c r="W8403"/>
    </row>
    <row r="8404" spans="23:23" x14ac:dyDescent="0.55000000000000004">
      <c r="W8404"/>
    </row>
    <row r="8405" spans="23:23" x14ac:dyDescent="0.55000000000000004">
      <c r="W8405"/>
    </row>
    <row r="8406" spans="23:23" x14ac:dyDescent="0.55000000000000004">
      <c r="W8406"/>
    </row>
    <row r="8407" spans="23:23" x14ac:dyDescent="0.55000000000000004">
      <c r="W8407"/>
    </row>
    <row r="8408" spans="23:23" x14ac:dyDescent="0.55000000000000004">
      <c r="W8408"/>
    </row>
    <row r="8409" spans="23:23" x14ac:dyDescent="0.55000000000000004">
      <c r="W8409"/>
    </row>
    <row r="8410" spans="23:23" x14ac:dyDescent="0.55000000000000004">
      <c r="W8410"/>
    </row>
    <row r="8411" spans="23:23" x14ac:dyDescent="0.55000000000000004">
      <c r="W8411"/>
    </row>
    <row r="8412" spans="23:23" x14ac:dyDescent="0.55000000000000004">
      <c r="W8412"/>
    </row>
    <row r="8413" spans="23:23" x14ac:dyDescent="0.55000000000000004">
      <c r="W8413"/>
    </row>
    <row r="8414" spans="23:23" x14ac:dyDescent="0.55000000000000004">
      <c r="W8414"/>
    </row>
    <row r="8415" spans="23:23" x14ac:dyDescent="0.55000000000000004">
      <c r="W8415"/>
    </row>
    <row r="8416" spans="23:23" x14ac:dyDescent="0.55000000000000004">
      <c r="W8416"/>
    </row>
    <row r="8417" spans="23:23" x14ac:dyDescent="0.55000000000000004">
      <c r="W8417"/>
    </row>
    <row r="8418" spans="23:23" x14ac:dyDescent="0.55000000000000004">
      <c r="W8418"/>
    </row>
    <row r="8419" spans="23:23" x14ac:dyDescent="0.55000000000000004">
      <c r="W8419"/>
    </row>
    <row r="8420" spans="23:23" x14ac:dyDescent="0.55000000000000004">
      <c r="W8420"/>
    </row>
    <row r="8421" spans="23:23" x14ac:dyDescent="0.55000000000000004">
      <c r="W8421"/>
    </row>
    <row r="8422" spans="23:23" x14ac:dyDescent="0.55000000000000004">
      <c r="W8422"/>
    </row>
    <row r="8423" spans="23:23" x14ac:dyDescent="0.55000000000000004">
      <c r="W8423"/>
    </row>
    <row r="8424" spans="23:23" x14ac:dyDescent="0.55000000000000004">
      <c r="W8424"/>
    </row>
    <row r="8425" spans="23:23" x14ac:dyDescent="0.55000000000000004">
      <c r="W8425"/>
    </row>
    <row r="8426" spans="23:23" x14ac:dyDescent="0.55000000000000004">
      <c r="W8426"/>
    </row>
    <row r="8427" spans="23:23" x14ac:dyDescent="0.55000000000000004">
      <c r="W8427"/>
    </row>
    <row r="8428" spans="23:23" x14ac:dyDescent="0.55000000000000004">
      <c r="W8428"/>
    </row>
    <row r="8429" spans="23:23" x14ac:dyDescent="0.55000000000000004">
      <c r="W8429"/>
    </row>
    <row r="8430" spans="23:23" x14ac:dyDescent="0.55000000000000004">
      <c r="W8430"/>
    </row>
    <row r="8431" spans="23:23" x14ac:dyDescent="0.55000000000000004">
      <c r="W8431"/>
    </row>
    <row r="8432" spans="23:23" x14ac:dyDescent="0.55000000000000004">
      <c r="W8432"/>
    </row>
    <row r="8433" spans="23:23" x14ac:dyDescent="0.55000000000000004">
      <c r="W8433"/>
    </row>
    <row r="8434" spans="23:23" x14ac:dyDescent="0.55000000000000004">
      <c r="W8434"/>
    </row>
    <row r="8435" spans="23:23" x14ac:dyDescent="0.55000000000000004">
      <c r="W8435"/>
    </row>
    <row r="8436" spans="23:23" x14ac:dyDescent="0.55000000000000004">
      <c r="W8436"/>
    </row>
    <row r="8437" spans="23:23" x14ac:dyDescent="0.55000000000000004">
      <c r="W8437"/>
    </row>
    <row r="8438" spans="23:23" x14ac:dyDescent="0.55000000000000004">
      <c r="W8438"/>
    </row>
    <row r="8439" spans="23:23" x14ac:dyDescent="0.55000000000000004">
      <c r="W8439"/>
    </row>
    <row r="8440" spans="23:23" x14ac:dyDescent="0.55000000000000004">
      <c r="W8440"/>
    </row>
    <row r="8441" spans="23:23" x14ac:dyDescent="0.55000000000000004">
      <c r="W8441"/>
    </row>
    <row r="8442" spans="23:23" x14ac:dyDescent="0.55000000000000004">
      <c r="W8442"/>
    </row>
    <row r="8443" spans="23:23" x14ac:dyDescent="0.55000000000000004">
      <c r="W8443"/>
    </row>
    <row r="8444" spans="23:23" x14ac:dyDescent="0.55000000000000004">
      <c r="W8444"/>
    </row>
    <row r="8445" spans="23:23" x14ac:dyDescent="0.55000000000000004">
      <c r="W8445"/>
    </row>
    <row r="8446" spans="23:23" x14ac:dyDescent="0.55000000000000004">
      <c r="W8446"/>
    </row>
    <row r="8447" spans="23:23" x14ac:dyDescent="0.55000000000000004">
      <c r="W8447"/>
    </row>
    <row r="8448" spans="23:23" x14ac:dyDescent="0.55000000000000004">
      <c r="W8448"/>
    </row>
    <row r="8449" spans="23:23" x14ac:dyDescent="0.55000000000000004">
      <c r="W8449"/>
    </row>
    <row r="8450" spans="23:23" x14ac:dyDescent="0.55000000000000004">
      <c r="W8450"/>
    </row>
    <row r="8451" spans="23:23" x14ac:dyDescent="0.55000000000000004">
      <c r="W8451"/>
    </row>
    <row r="8452" spans="23:23" x14ac:dyDescent="0.55000000000000004">
      <c r="W8452"/>
    </row>
    <row r="8453" spans="23:23" x14ac:dyDescent="0.55000000000000004">
      <c r="W8453"/>
    </row>
    <row r="8454" spans="23:23" x14ac:dyDescent="0.55000000000000004">
      <c r="W8454"/>
    </row>
    <row r="8455" spans="23:23" x14ac:dyDescent="0.55000000000000004">
      <c r="W8455"/>
    </row>
    <row r="8456" spans="23:23" x14ac:dyDescent="0.55000000000000004">
      <c r="W8456"/>
    </row>
    <row r="8457" spans="23:23" x14ac:dyDescent="0.55000000000000004">
      <c r="W8457"/>
    </row>
    <row r="8458" spans="23:23" x14ac:dyDescent="0.55000000000000004">
      <c r="W8458"/>
    </row>
    <row r="8459" spans="23:23" x14ac:dyDescent="0.55000000000000004">
      <c r="W8459"/>
    </row>
    <row r="8460" spans="23:23" x14ac:dyDescent="0.55000000000000004">
      <c r="W8460"/>
    </row>
    <row r="8461" spans="23:23" x14ac:dyDescent="0.55000000000000004">
      <c r="W8461"/>
    </row>
    <row r="8462" spans="23:23" x14ac:dyDescent="0.55000000000000004">
      <c r="W8462"/>
    </row>
    <row r="8463" spans="23:23" x14ac:dyDescent="0.55000000000000004">
      <c r="W8463"/>
    </row>
    <row r="8464" spans="23:23" x14ac:dyDescent="0.55000000000000004">
      <c r="W8464"/>
    </row>
    <row r="8465" spans="23:23" x14ac:dyDescent="0.55000000000000004">
      <c r="W8465"/>
    </row>
    <row r="8466" spans="23:23" x14ac:dyDescent="0.55000000000000004">
      <c r="W8466"/>
    </row>
    <row r="8467" spans="23:23" x14ac:dyDescent="0.55000000000000004">
      <c r="W8467"/>
    </row>
    <row r="8468" spans="23:23" x14ac:dyDescent="0.55000000000000004">
      <c r="W8468"/>
    </row>
    <row r="8469" spans="23:23" x14ac:dyDescent="0.55000000000000004">
      <c r="W8469"/>
    </row>
    <row r="8470" spans="23:23" x14ac:dyDescent="0.55000000000000004">
      <c r="W8470"/>
    </row>
    <row r="8471" spans="23:23" x14ac:dyDescent="0.55000000000000004">
      <c r="W8471"/>
    </row>
    <row r="8472" spans="23:23" x14ac:dyDescent="0.55000000000000004">
      <c r="W8472"/>
    </row>
    <row r="8473" spans="23:23" x14ac:dyDescent="0.55000000000000004">
      <c r="W8473"/>
    </row>
    <row r="8474" spans="23:23" x14ac:dyDescent="0.55000000000000004">
      <c r="W8474"/>
    </row>
    <row r="8475" spans="23:23" x14ac:dyDescent="0.55000000000000004">
      <c r="W8475"/>
    </row>
    <row r="8476" spans="23:23" x14ac:dyDescent="0.55000000000000004">
      <c r="W8476"/>
    </row>
    <row r="8477" spans="23:23" x14ac:dyDescent="0.55000000000000004">
      <c r="W8477"/>
    </row>
    <row r="8478" spans="23:23" x14ac:dyDescent="0.55000000000000004">
      <c r="W8478"/>
    </row>
    <row r="8479" spans="23:23" x14ac:dyDescent="0.55000000000000004">
      <c r="W8479"/>
    </row>
    <row r="8480" spans="23:23" x14ac:dyDescent="0.55000000000000004">
      <c r="W8480"/>
    </row>
    <row r="8481" spans="23:23" x14ac:dyDescent="0.55000000000000004">
      <c r="W8481"/>
    </row>
    <row r="8482" spans="23:23" x14ac:dyDescent="0.55000000000000004">
      <c r="W8482"/>
    </row>
    <row r="8483" spans="23:23" x14ac:dyDescent="0.55000000000000004">
      <c r="W8483"/>
    </row>
    <row r="8484" spans="23:23" x14ac:dyDescent="0.55000000000000004">
      <c r="W8484"/>
    </row>
    <row r="8485" spans="23:23" x14ac:dyDescent="0.55000000000000004">
      <c r="W8485"/>
    </row>
    <row r="8486" spans="23:23" x14ac:dyDescent="0.55000000000000004">
      <c r="W8486"/>
    </row>
    <row r="8487" spans="23:23" x14ac:dyDescent="0.55000000000000004">
      <c r="W8487"/>
    </row>
    <row r="8488" spans="23:23" x14ac:dyDescent="0.55000000000000004">
      <c r="W8488"/>
    </row>
    <row r="8489" spans="23:23" x14ac:dyDescent="0.55000000000000004">
      <c r="W8489"/>
    </row>
    <row r="8490" spans="23:23" x14ac:dyDescent="0.55000000000000004">
      <c r="W8490"/>
    </row>
    <row r="8491" spans="23:23" x14ac:dyDescent="0.55000000000000004">
      <c r="W8491"/>
    </row>
    <row r="8492" spans="23:23" x14ac:dyDescent="0.55000000000000004">
      <c r="W8492"/>
    </row>
    <row r="8493" spans="23:23" x14ac:dyDescent="0.55000000000000004">
      <c r="W8493"/>
    </row>
    <row r="8494" spans="23:23" x14ac:dyDescent="0.55000000000000004">
      <c r="W8494"/>
    </row>
    <row r="8495" spans="23:23" x14ac:dyDescent="0.55000000000000004">
      <c r="W8495"/>
    </row>
    <row r="8496" spans="23:23" x14ac:dyDescent="0.55000000000000004">
      <c r="W8496"/>
    </row>
    <row r="8497" spans="23:23" x14ac:dyDescent="0.55000000000000004">
      <c r="W8497"/>
    </row>
    <row r="8498" spans="23:23" x14ac:dyDescent="0.55000000000000004">
      <c r="W8498"/>
    </row>
    <row r="8499" spans="23:23" x14ac:dyDescent="0.55000000000000004">
      <c r="W8499"/>
    </row>
    <row r="8500" spans="23:23" x14ac:dyDescent="0.55000000000000004">
      <c r="W8500"/>
    </row>
    <row r="8501" spans="23:23" x14ac:dyDescent="0.55000000000000004">
      <c r="W8501"/>
    </row>
    <row r="8502" spans="23:23" x14ac:dyDescent="0.55000000000000004">
      <c r="W8502"/>
    </row>
    <row r="8503" spans="23:23" x14ac:dyDescent="0.55000000000000004">
      <c r="W8503"/>
    </row>
    <row r="8504" spans="23:23" x14ac:dyDescent="0.55000000000000004">
      <c r="W8504"/>
    </row>
    <row r="8505" spans="23:23" x14ac:dyDescent="0.55000000000000004">
      <c r="W8505"/>
    </row>
    <row r="8506" spans="23:23" x14ac:dyDescent="0.55000000000000004">
      <c r="W8506"/>
    </row>
    <row r="8507" spans="23:23" x14ac:dyDescent="0.55000000000000004">
      <c r="W8507"/>
    </row>
    <row r="8508" spans="23:23" x14ac:dyDescent="0.55000000000000004">
      <c r="W8508"/>
    </row>
    <row r="8509" spans="23:23" x14ac:dyDescent="0.55000000000000004">
      <c r="W8509"/>
    </row>
    <row r="8510" spans="23:23" x14ac:dyDescent="0.55000000000000004">
      <c r="W8510"/>
    </row>
    <row r="8511" spans="23:23" x14ac:dyDescent="0.55000000000000004">
      <c r="W8511"/>
    </row>
    <row r="8512" spans="23:23" x14ac:dyDescent="0.55000000000000004">
      <c r="W8512"/>
    </row>
    <row r="8513" spans="23:23" x14ac:dyDescent="0.55000000000000004">
      <c r="W8513"/>
    </row>
    <row r="8514" spans="23:23" x14ac:dyDescent="0.55000000000000004">
      <c r="W8514"/>
    </row>
    <row r="8515" spans="23:23" x14ac:dyDescent="0.55000000000000004">
      <c r="W8515"/>
    </row>
    <row r="8516" spans="23:23" x14ac:dyDescent="0.55000000000000004">
      <c r="W8516"/>
    </row>
    <row r="8517" spans="23:23" x14ac:dyDescent="0.55000000000000004">
      <c r="W8517"/>
    </row>
    <row r="8518" spans="23:23" x14ac:dyDescent="0.55000000000000004">
      <c r="W8518"/>
    </row>
    <row r="8519" spans="23:23" x14ac:dyDescent="0.55000000000000004">
      <c r="W8519"/>
    </row>
    <row r="8520" spans="23:23" x14ac:dyDescent="0.55000000000000004">
      <c r="W8520"/>
    </row>
    <row r="8521" spans="23:23" x14ac:dyDescent="0.55000000000000004">
      <c r="W8521"/>
    </row>
    <row r="8522" spans="23:23" x14ac:dyDescent="0.55000000000000004">
      <c r="W8522"/>
    </row>
    <row r="8523" spans="23:23" x14ac:dyDescent="0.55000000000000004">
      <c r="W8523"/>
    </row>
    <row r="8524" spans="23:23" x14ac:dyDescent="0.55000000000000004">
      <c r="W8524"/>
    </row>
    <row r="8525" spans="23:23" x14ac:dyDescent="0.55000000000000004">
      <c r="W8525"/>
    </row>
    <row r="8526" spans="23:23" x14ac:dyDescent="0.55000000000000004">
      <c r="W8526"/>
    </row>
    <row r="8527" spans="23:23" x14ac:dyDescent="0.55000000000000004">
      <c r="W8527"/>
    </row>
    <row r="8528" spans="23:23" x14ac:dyDescent="0.55000000000000004">
      <c r="W8528"/>
    </row>
    <row r="8529" spans="23:23" x14ac:dyDescent="0.55000000000000004">
      <c r="W8529"/>
    </row>
    <row r="8530" spans="23:23" x14ac:dyDescent="0.55000000000000004">
      <c r="W8530"/>
    </row>
    <row r="8531" spans="23:23" x14ac:dyDescent="0.55000000000000004">
      <c r="W8531"/>
    </row>
    <row r="8532" spans="23:23" x14ac:dyDescent="0.55000000000000004">
      <c r="W8532"/>
    </row>
    <row r="8533" spans="23:23" x14ac:dyDescent="0.55000000000000004">
      <c r="W8533"/>
    </row>
    <row r="8534" spans="23:23" x14ac:dyDescent="0.55000000000000004">
      <c r="W8534"/>
    </row>
    <row r="8535" spans="23:23" x14ac:dyDescent="0.55000000000000004">
      <c r="W8535"/>
    </row>
    <row r="8536" spans="23:23" x14ac:dyDescent="0.55000000000000004">
      <c r="W8536"/>
    </row>
    <row r="8537" spans="23:23" x14ac:dyDescent="0.55000000000000004">
      <c r="W8537"/>
    </row>
    <row r="8538" spans="23:23" x14ac:dyDescent="0.55000000000000004">
      <c r="W8538"/>
    </row>
    <row r="8539" spans="23:23" x14ac:dyDescent="0.55000000000000004">
      <c r="W8539"/>
    </row>
    <row r="8540" spans="23:23" x14ac:dyDescent="0.55000000000000004">
      <c r="W8540"/>
    </row>
    <row r="8541" spans="23:23" x14ac:dyDescent="0.55000000000000004">
      <c r="W8541"/>
    </row>
    <row r="8542" spans="23:23" x14ac:dyDescent="0.55000000000000004">
      <c r="W8542"/>
    </row>
    <row r="8543" spans="23:23" x14ac:dyDescent="0.55000000000000004">
      <c r="W8543"/>
    </row>
    <row r="8544" spans="23:23" x14ac:dyDescent="0.55000000000000004">
      <c r="W8544"/>
    </row>
    <row r="8545" spans="23:23" x14ac:dyDescent="0.55000000000000004">
      <c r="W8545"/>
    </row>
    <row r="8546" spans="23:23" x14ac:dyDescent="0.55000000000000004">
      <c r="W8546"/>
    </row>
    <row r="8547" spans="23:23" x14ac:dyDescent="0.55000000000000004">
      <c r="W8547"/>
    </row>
    <row r="8548" spans="23:23" x14ac:dyDescent="0.55000000000000004">
      <c r="W8548"/>
    </row>
    <row r="8549" spans="23:23" x14ac:dyDescent="0.55000000000000004">
      <c r="W8549"/>
    </row>
    <row r="8550" spans="23:23" x14ac:dyDescent="0.55000000000000004">
      <c r="W8550"/>
    </row>
    <row r="8551" spans="23:23" x14ac:dyDescent="0.55000000000000004">
      <c r="W8551"/>
    </row>
    <row r="8552" spans="23:23" x14ac:dyDescent="0.55000000000000004">
      <c r="W8552"/>
    </row>
    <row r="8553" spans="23:23" x14ac:dyDescent="0.55000000000000004">
      <c r="W8553"/>
    </row>
    <row r="8554" spans="23:23" x14ac:dyDescent="0.55000000000000004">
      <c r="W8554"/>
    </row>
    <row r="8555" spans="23:23" x14ac:dyDescent="0.55000000000000004">
      <c r="W8555"/>
    </row>
    <row r="8556" spans="23:23" x14ac:dyDescent="0.55000000000000004">
      <c r="W8556"/>
    </row>
    <row r="8557" spans="23:23" x14ac:dyDescent="0.55000000000000004">
      <c r="W8557"/>
    </row>
    <row r="8558" spans="23:23" x14ac:dyDescent="0.55000000000000004">
      <c r="W8558"/>
    </row>
    <row r="8559" spans="23:23" x14ac:dyDescent="0.55000000000000004">
      <c r="W8559"/>
    </row>
    <row r="8560" spans="23:23" x14ac:dyDescent="0.55000000000000004">
      <c r="W8560"/>
    </row>
    <row r="8561" spans="23:23" x14ac:dyDescent="0.55000000000000004">
      <c r="W8561"/>
    </row>
    <row r="8562" spans="23:23" x14ac:dyDescent="0.55000000000000004">
      <c r="W8562"/>
    </row>
    <row r="8563" spans="23:23" x14ac:dyDescent="0.55000000000000004">
      <c r="W8563"/>
    </row>
    <row r="8564" spans="23:23" x14ac:dyDescent="0.55000000000000004">
      <c r="W8564"/>
    </row>
    <row r="8565" spans="23:23" x14ac:dyDescent="0.55000000000000004">
      <c r="W8565"/>
    </row>
    <row r="8566" spans="23:23" x14ac:dyDescent="0.55000000000000004">
      <c r="W8566"/>
    </row>
    <row r="8567" spans="23:23" x14ac:dyDescent="0.55000000000000004">
      <c r="W8567"/>
    </row>
    <row r="8568" spans="23:23" x14ac:dyDescent="0.55000000000000004">
      <c r="W8568"/>
    </row>
    <row r="8569" spans="23:23" x14ac:dyDescent="0.55000000000000004">
      <c r="W8569"/>
    </row>
    <row r="8570" spans="23:23" x14ac:dyDescent="0.55000000000000004">
      <c r="W8570"/>
    </row>
    <row r="8571" spans="23:23" x14ac:dyDescent="0.55000000000000004">
      <c r="W8571"/>
    </row>
    <row r="8572" spans="23:23" x14ac:dyDescent="0.55000000000000004">
      <c r="W8572"/>
    </row>
    <row r="8573" spans="23:23" x14ac:dyDescent="0.55000000000000004">
      <c r="W8573"/>
    </row>
    <row r="8574" spans="23:23" x14ac:dyDescent="0.55000000000000004">
      <c r="W8574"/>
    </row>
    <row r="8575" spans="23:23" x14ac:dyDescent="0.55000000000000004">
      <c r="W8575"/>
    </row>
    <row r="8576" spans="23:23" x14ac:dyDescent="0.55000000000000004">
      <c r="W8576"/>
    </row>
    <row r="8577" spans="23:23" x14ac:dyDescent="0.55000000000000004">
      <c r="W8577"/>
    </row>
    <row r="8578" spans="23:23" x14ac:dyDescent="0.55000000000000004">
      <c r="W8578"/>
    </row>
    <row r="8579" spans="23:23" x14ac:dyDescent="0.55000000000000004">
      <c r="W8579"/>
    </row>
    <row r="8580" spans="23:23" x14ac:dyDescent="0.55000000000000004">
      <c r="W8580"/>
    </row>
    <row r="8581" spans="23:23" x14ac:dyDescent="0.55000000000000004">
      <c r="W8581"/>
    </row>
    <row r="8582" spans="23:23" x14ac:dyDescent="0.55000000000000004">
      <c r="W8582"/>
    </row>
    <row r="8583" spans="23:23" x14ac:dyDescent="0.55000000000000004">
      <c r="W8583"/>
    </row>
    <row r="8584" spans="23:23" x14ac:dyDescent="0.55000000000000004">
      <c r="W8584"/>
    </row>
    <row r="8585" spans="23:23" x14ac:dyDescent="0.55000000000000004">
      <c r="W8585"/>
    </row>
    <row r="8586" spans="23:23" x14ac:dyDescent="0.55000000000000004">
      <c r="W8586"/>
    </row>
    <row r="8587" spans="23:23" x14ac:dyDescent="0.55000000000000004">
      <c r="W8587"/>
    </row>
    <row r="8588" spans="23:23" x14ac:dyDescent="0.55000000000000004">
      <c r="W8588"/>
    </row>
    <row r="8589" spans="23:23" x14ac:dyDescent="0.55000000000000004">
      <c r="W8589"/>
    </row>
    <row r="8590" spans="23:23" x14ac:dyDescent="0.55000000000000004">
      <c r="W8590"/>
    </row>
    <row r="8591" spans="23:23" x14ac:dyDescent="0.55000000000000004">
      <c r="W8591"/>
    </row>
    <row r="8592" spans="23:23" x14ac:dyDescent="0.55000000000000004">
      <c r="W8592"/>
    </row>
    <row r="8593" spans="23:23" x14ac:dyDescent="0.55000000000000004">
      <c r="W8593"/>
    </row>
    <row r="8594" spans="23:23" x14ac:dyDescent="0.55000000000000004">
      <c r="W8594"/>
    </row>
    <row r="8595" spans="23:23" x14ac:dyDescent="0.55000000000000004">
      <c r="W8595"/>
    </row>
    <row r="8596" spans="23:23" x14ac:dyDescent="0.55000000000000004">
      <c r="W8596"/>
    </row>
    <row r="8597" spans="23:23" x14ac:dyDescent="0.55000000000000004">
      <c r="W8597"/>
    </row>
    <row r="8598" spans="23:23" x14ac:dyDescent="0.55000000000000004">
      <c r="W8598"/>
    </row>
    <row r="8599" spans="23:23" x14ac:dyDescent="0.55000000000000004">
      <c r="W8599"/>
    </row>
    <row r="8600" spans="23:23" x14ac:dyDescent="0.55000000000000004">
      <c r="W8600"/>
    </row>
    <row r="8601" spans="23:23" x14ac:dyDescent="0.55000000000000004">
      <c r="W8601"/>
    </row>
    <row r="8602" spans="23:23" x14ac:dyDescent="0.55000000000000004">
      <c r="W8602"/>
    </row>
    <row r="8603" spans="23:23" x14ac:dyDescent="0.55000000000000004">
      <c r="W8603"/>
    </row>
    <row r="8604" spans="23:23" x14ac:dyDescent="0.55000000000000004">
      <c r="W8604"/>
    </row>
    <row r="8605" spans="23:23" x14ac:dyDescent="0.55000000000000004">
      <c r="W8605"/>
    </row>
    <row r="8606" spans="23:23" x14ac:dyDescent="0.55000000000000004">
      <c r="W8606"/>
    </row>
    <row r="8607" spans="23:23" x14ac:dyDescent="0.55000000000000004">
      <c r="W8607"/>
    </row>
    <row r="8608" spans="23:23" x14ac:dyDescent="0.55000000000000004">
      <c r="W8608"/>
    </row>
    <row r="8609" spans="23:23" x14ac:dyDescent="0.55000000000000004">
      <c r="W8609"/>
    </row>
    <row r="8610" spans="23:23" x14ac:dyDescent="0.55000000000000004">
      <c r="W8610"/>
    </row>
    <row r="8611" spans="23:23" x14ac:dyDescent="0.55000000000000004">
      <c r="W8611"/>
    </row>
    <row r="8612" spans="23:23" x14ac:dyDescent="0.55000000000000004">
      <c r="W8612"/>
    </row>
    <row r="8613" spans="23:23" x14ac:dyDescent="0.55000000000000004">
      <c r="W8613"/>
    </row>
    <row r="8614" spans="23:23" x14ac:dyDescent="0.55000000000000004">
      <c r="W8614"/>
    </row>
    <row r="8615" spans="23:23" x14ac:dyDescent="0.55000000000000004">
      <c r="W8615"/>
    </row>
    <row r="8616" spans="23:23" x14ac:dyDescent="0.55000000000000004">
      <c r="W8616"/>
    </row>
    <row r="8617" spans="23:23" x14ac:dyDescent="0.55000000000000004">
      <c r="W8617"/>
    </row>
    <row r="8618" spans="23:23" x14ac:dyDescent="0.55000000000000004">
      <c r="W8618"/>
    </row>
    <row r="8619" spans="23:23" x14ac:dyDescent="0.55000000000000004">
      <c r="W8619"/>
    </row>
    <row r="8620" spans="23:23" x14ac:dyDescent="0.55000000000000004">
      <c r="W8620"/>
    </row>
    <row r="8621" spans="23:23" x14ac:dyDescent="0.55000000000000004">
      <c r="W8621"/>
    </row>
    <row r="8622" spans="23:23" x14ac:dyDescent="0.55000000000000004">
      <c r="W8622"/>
    </row>
    <row r="8623" spans="23:23" x14ac:dyDescent="0.55000000000000004">
      <c r="W8623"/>
    </row>
    <row r="8624" spans="23:23" x14ac:dyDescent="0.55000000000000004">
      <c r="W8624"/>
    </row>
    <row r="8625" spans="23:23" x14ac:dyDescent="0.55000000000000004">
      <c r="W8625"/>
    </row>
    <row r="8626" spans="23:23" x14ac:dyDescent="0.55000000000000004">
      <c r="W8626"/>
    </row>
    <row r="8627" spans="23:23" x14ac:dyDescent="0.55000000000000004">
      <c r="W8627"/>
    </row>
    <row r="8628" spans="23:23" x14ac:dyDescent="0.55000000000000004">
      <c r="W8628"/>
    </row>
    <row r="8629" spans="23:23" x14ac:dyDescent="0.55000000000000004">
      <c r="W8629"/>
    </row>
    <row r="8630" spans="23:23" x14ac:dyDescent="0.55000000000000004">
      <c r="W8630"/>
    </row>
    <row r="8631" spans="23:23" x14ac:dyDescent="0.55000000000000004">
      <c r="W8631"/>
    </row>
    <row r="8632" spans="23:23" x14ac:dyDescent="0.55000000000000004">
      <c r="W8632"/>
    </row>
    <row r="8633" spans="23:23" x14ac:dyDescent="0.55000000000000004">
      <c r="W8633"/>
    </row>
    <row r="8634" spans="23:23" x14ac:dyDescent="0.55000000000000004">
      <c r="W8634"/>
    </row>
    <row r="8635" spans="23:23" x14ac:dyDescent="0.55000000000000004">
      <c r="W8635"/>
    </row>
    <row r="8636" spans="23:23" x14ac:dyDescent="0.55000000000000004">
      <c r="W8636"/>
    </row>
    <row r="8637" spans="23:23" x14ac:dyDescent="0.55000000000000004">
      <c r="W8637"/>
    </row>
    <row r="8638" spans="23:23" x14ac:dyDescent="0.55000000000000004">
      <c r="W8638"/>
    </row>
    <row r="8639" spans="23:23" x14ac:dyDescent="0.55000000000000004">
      <c r="W8639"/>
    </row>
    <row r="8640" spans="23:23" x14ac:dyDescent="0.55000000000000004">
      <c r="W8640"/>
    </row>
    <row r="8641" spans="23:23" x14ac:dyDescent="0.55000000000000004">
      <c r="W8641"/>
    </row>
    <row r="8642" spans="23:23" x14ac:dyDescent="0.55000000000000004">
      <c r="W8642"/>
    </row>
    <row r="8643" spans="23:23" x14ac:dyDescent="0.55000000000000004">
      <c r="W8643"/>
    </row>
    <row r="8644" spans="23:23" x14ac:dyDescent="0.55000000000000004">
      <c r="W8644"/>
    </row>
    <row r="8645" spans="23:23" x14ac:dyDescent="0.55000000000000004">
      <c r="W8645"/>
    </row>
    <row r="8646" spans="23:23" x14ac:dyDescent="0.55000000000000004">
      <c r="W8646"/>
    </row>
    <row r="8647" spans="23:23" x14ac:dyDescent="0.55000000000000004">
      <c r="W8647"/>
    </row>
    <row r="8648" spans="23:23" x14ac:dyDescent="0.55000000000000004">
      <c r="W8648"/>
    </row>
    <row r="8649" spans="23:23" x14ac:dyDescent="0.55000000000000004">
      <c r="W8649"/>
    </row>
    <row r="8650" spans="23:23" x14ac:dyDescent="0.55000000000000004">
      <c r="W8650"/>
    </row>
    <row r="8651" spans="23:23" x14ac:dyDescent="0.55000000000000004">
      <c r="W8651"/>
    </row>
    <row r="8652" spans="23:23" x14ac:dyDescent="0.55000000000000004">
      <c r="W8652"/>
    </row>
    <row r="8653" spans="23:23" x14ac:dyDescent="0.55000000000000004">
      <c r="W8653"/>
    </row>
    <row r="8654" spans="23:23" x14ac:dyDescent="0.55000000000000004">
      <c r="W8654"/>
    </row>
    <row r="8655" spans="23:23" x14ac:dyDescent="0.55000000000000004">
      <c r="W8655"/>
    </row>
    <row r="8656" spans="23:23" x14ac:dyDescent="0.55000000000000004">
      <c r="W8656"/>
    </row>
    <row r="8657" spans="23:23" x14ac:dyDescent="0.55000000000000004">
      <c r="W8657"/>
    </row>
    <row r="8658" spans="23:23" x14ac:dyDescent="0.55000000000000004">
      <c r="W8658"/>
    </row>
    <row r="8659" spans="23:23" x14ac:dyDescent="0.55000000000000004">
      <c r="W8659"/>
    </row>
    <row r="8660" spans="23:23" x14ac:dyDescent="0.55000000000000004">
      <c r="W8660"/>
    </row>
    <row r="8661" spans="23:23" x14ac:dyDescent="0.55000000000000004">
      <c r="W8661"/>
    </row>
    <row r="8662" spans="23:23" x14ac:dyDescent="0.55000000000000004">
      <c r="W8662"/>
    </row>
    <row r="8663" spans="23:23" x14ac:dyDescent="0.55000000000000004">
      <c r="W8663"/>
    </row>
    <row r="8664" spans="23:23" x14ac:dyDescent="0.55000000000000004">
      <c r="W8664"/>
    </row>
    <row r="8665" spans="23:23" x14ac:dyDescent="0.55000000000000004">
      <c r="W8665"/>
    </row>
    <row r="8666" spans="23:23" x14ac:dyDescent="0.55000000000000004">
      <c r="W8666"/>
    </row>
    <row r="8667" spans="23:23" x14ac:dyDescent="0.55000000000000004">
      <c r="W8667"/>
    </row>
    <row r="8668" spans="23:23" x14ac:dyDescent="0.55000000000000004">
      <c r="W8668"/>
    </row>
    <row r="8669" spans="23:23" x14ac:dyDescent="0.55000000000000004">
      <c r="W8669"/>
    </row>
    <row r="8670" spans="23:23" x14ac:dyDescent="0.55000000000000004">
      <c r="W8670"/>
    </row>
    <row r="8671" spans="23:23" x14ac:dyDescent="0.55000000000000004">
      <c r="W8671"/>
    </row>
    <row r="8672" spans="23:23" x14ac:dyDescent="0.55000000000000004">
      <c r="W8672"/>
    </row>
    <row r="8673" spans="23:23" x14ac:dyDescent="0.55000000000000004">
      <c r="W8673"/>
    </row>
    <row r="8674" spans="23:23" x14ac:dyDescent="0.55000000000000004">
      <c r="W8674"/>
    </row>
    <row r="8675" spans="23:23" x14ac:dyDescent="0.55000000000000004">
      <c r="W8675"/>
    </row>
    <row r="8676" spans="23:23" x14ac:dyDescent="0.55000000000000004">
      <c r="W8676"/>
    </row>
    <row r="8677" spans="23:23" x14ac:dyDescent="0.55000000000000004">
      <c r="W8677"/>
    </row>
    <row r="8678" spans="23:23" x14ac:dyDescent="0.55000000000000004">
      <c r="W8678"/>
    </row>
    <row r="8679" spans="23:23" x14ac:dyDescent="0.55000000000000004">
      <c r="W8679"/>
    </row>
    <row r="8680" spans="23:23" x14ac:dyDescent="0.55000000000000004">
      <c r="W8680"/>
    </row>
    <row r="8681" spans="23:23" x14ac:dyDescent="0.55000000000000004">
      <c r="W8681"/>
    </row>
    <row r="8682" spans="23:23" x14ac:dyDescent="0.55000000000000004">
      <c r="W8682"/>
    </row>
    <row r="8683" spans="23:23" x14ac:dyDescent="0.55000000000000004">
      <c r="W8683"/>
    </row>
    <row r="8684" spans="23:23" x14ac:dyDescent="0.55000000000000004">
      <c r="W8684"/>
    </row>
    <row r="8685" spans="23:23" x14ac:dyDescent="0.55000000000000004">
      <c r="W8685"/>
    </row>
    <row r="8686" spans="23:23" x14ac:dyDescent="0.55000000000000004">
      <c r="W8686"/>
    </row>
    <row r="8687" spans="23:23" x14ac:dyDescent="0.55000000000000004">
      <c r="W8687"/>
    </row>
    <row r="8688" spans="23:23" x14ac:dyDescent="0.55000000000000004">
      <c r="W8688"/>
    </row>
    <row r="8689" spans="23:23" x14ac:dyDescent="0.55000000000000004">
      <c r="W8689"/>
    </row>
    <row r="8690" spans="23:23" x14ac:dyDescent="0.55000000000000004">
      <c r="W8690"/>
    </row>
    <row r="8691" spans="23:23" x14ac:dyDescent="0.55000000000000004">
      <c r="W8691"/>
    </row>
    <row r="8692" spans="23:23" x14ac:dyDescent="0.55000000000000004">
      <c r="W8692"/>
    </row>
    <row r="8693" spans="23:23" x14ac:dyDescent="0.55000000000000004">
      <c r="W8693"/>
    </row>
    <row r="8694" spans="23:23" x14ac:dyDescent="0.55000000000000004">
      <c r="W8694"/>
    </row>
    <row r="8695" spans="23:23" x14ac:dyDescent="0.55000000000000004">
      <c r="W8695"/>
    </row>
    <row r="8696" spans="23:23" x14ac:dyDescent="0.55000000000000004">
      <c r="W8696"/>
    </row>
    <row r="8697" spans="23:23" x14ac:dyDescent="0.55000000000000004">
      <c r="W8697"/>
    </row>
    <row r="8698" spans="23:23" x14ac:dyDescent="0.55000000000000004">
      <c r="W8698"/>
    </row>
    <row r="8699" spans="23:23" x14ac:dyDescent="0.55000000000000004">
      <c r="W8699"/>
    </row>
    <row r="8700" spans="23:23" x14ac:dyDescent="0.55000000000000004">
      <c r="W8700"/>
    </row>
    <row r="8701" spans="23:23" x14ac:dyDescent="0.55000000000000004">
      <c r="W8701"/>
    </row>
    <row r="8702" spans="23:23" x14ac:dyDescent="0.55000000000000004">
      <c r="W8702"/>
    </row>
    <row r="8703" spans="23:23" x14ac:dyDescent="0.55000000000000004">
      <c r="W8703"/>
    </row>
    <row r="8704" spans="23:23" x14ac:dyDescent="0.55000000000000004">
      <c r="W8704"/>
    </row>
    <row r="8705" spans="23:23" x14ac:dyDescent="0.55000000000000004">
      <c r="W8705"/>
    </row>
    <row r="8706" spans="23:23" x14ac:dyDescent="0.55000000000000004">
      <c r="W8706"/>
    </row>
    <row r="8707" spans="23:23" x14ac:dyDescent="0.55000000000000004">
      <c r="W8707"/>
    </row>
    <row r="8708" spans="23:23" x14ac:dyDescent="0.55000000000000004">
      <c r="W8708"/>
    </row>
    <row r="8709" spans="23:23" x14ac:dyDescent="0.55000000000000004">
      <c r="W8709"/>
    </row>
    <row r="8710" spans="23:23" x14ac:dyDescent="0.55000000000000004">
      <c r="W8710"/>
    </row>
    <row r="8711" spans="23:23" x14ac:dyDescent="0.55000000000000004">
      <c r="W8711"/>
    </row>
    <row r="8712" spans="23:23" x14ac:dyDescent="0.55000000000000004">
      <c r="W8712"/>
    </row>
    <row r="8713" spans="23:23" x14ac:dyDescent="0.55000000000000004">
      <c r="W8713"/>
    </row>
    <row r="8714" spans="23:23" x14ac:dyDescent="0.55000000000000004">
      <c r="W8714"/>
    </row>
    <row r="8715" spans="23:23" x14ac:dyDescent="0.55000000000000004">
      <c r="W8715"/>
    </row>
    <row r="8716" spans="23:23" x14ac:dyDescent="0.55000000000000004">
      <c r="W8716"/>
    </row>
    <row r="8717" spans="23:23" x14ac:dyDescent="0.55000000000000004">
      <c r="W8717"/>
    </row>
    <row r="8718" spans="23:23" x14ac:dyDescent="0.55000000000000004">
      <c r="W8718"/>
    </row>
    <row r="8719" spans="23:23" x14ac:dyDescent="0.55000000000000004">
      <c r="W8719"/>
    </row>
    <row r="8720" spans="23:23" x14ac:dyDescent="0.55000000000000004">
      <c r="W8720"/>
    </row>
    <row r="8721" spans="23:23" x14ac:dyDescent="0.55000000000000004">
      <c r="W8721"/>
    </row>
    <row r="8722" spans="23:23" x14ac:dyDescent="0.55000000000000004">
      <c r="W8722"/>
    </row>
    <row r="8723" spans="23:23" x14ac:dyDescent="0.55000000000000004">
      <c r="W8723"/>
    </row>
    <row r="8724" spans="23:23" x14ac:dyDescent="0.55000000000000004">
      <c r="W8724"/>
    </row>
    <row r="8725" spans="23:23" x14ac:dyDescent="0.55000000000000004">
      <c r="W8725"/>
    </row>
    <row r="8726" spans="23:23" x14ac:dyDescent="0.55000000000000004">
      <c r="W8726"/>
    </row>
    <row r="8727" spans="23:23" x14ac:dyDescent="0.55000000000000004">
      <c r="W8727"/>
    </row>
    <row r="8728" spans="23:23" x14ac:dyDescent="0.55000000000000004">
      <c r="W8728"/>
    </row>
    <row r="8729" spans="23:23" x14ac:dyDescent="0.55000000000000004">
      <c r="W8729"/>
    </row>
    <row r="8730" spans="23:23" x14ac:dyDescent="0.55000000000000004">
      <c r="W8730"/>
    </row>
    <row r="8731" spans="23:23" x14ac:dyDescent="0.55000000000000004">
      <c r="W8731"/>
    </row>
    <row r="8732" spans="23:23" x14ac:dyDescent="0.55000000000000004">
      <c r="W8732"/>
    </row>
    <row r="8733" spans="23:23" x14ac:dyDescent="0.55000000000000004">
      <c r="W8733"/>
    </row>
    <row r="8734" spans="23:23" x14ac:dyDescent="0.55000000000000004">
      <c r="W8734"/>
    </row>
    <row r="8735" spans="23:23" x14ac:dyDescent="0.55000000000000004">
      <c r="W8735"/>
    </row>
    <row r="8736" spans="23:23" x14ac:dyDescent="0.55000000000000004">
      <c r="W8736"/>
    </row>
    <row r="8737" spans="23:23" x14ac:dyDescent="0.55000000000000004">
      <c r="W8737"/>
    </row>
    <row r="8738" spans="23:23" x14ac:dyDescent="0.55000000000000004">
      <c r="W8738"/>
    </row>
    <row r="8739" spans="23:23" x14ac:dyDescent="0.55000000000000004">
      <c r="W8739"/>
    </row>
    <row r="8740" spans="23:23" x14ac:dyDescent="0.55000000000000004">
      <c r="W8740"/>
    </row>
    <row r="8741" spans="23:23" x14ac:dyDescent="0.55000000000000004">
      <c r="W8741"/>
    </row>
    <row r="8742" spans="23:23" x14ac:dyDescent="0.55000000000000004">
      <c r="W8742"/>
    </row>
    <row r="8743" spans="23:23" x14ac:dyDescent="0.55000000000000004">
      <c r="W8743"/>
    </row>
    <row r="8744" spans="23:23" x14ac:dyDescent="0.55000000000000004">
      <c r="W8744"/>
    </row>
    <row r="8745" spans="23:23" x14ac:dyDescent="0.55000000000000004">
      <c r="W8745"/>
    </row>
    <row r="8746" spans="23:23" x14ac:dyDescent="0.55000000000000004">
      <c r="W8746"/>
    </row>
    <row r="8747" spans="23:23" x14ac:dyDescent="0.55000000000000004">
      <c r="W8747"/>
    </row>
    <row r="8748" spans="23:23" x14ac:dyDescent="0.55000000000000004">
      <c r="W8748"/>
    </row>
    <row r="8749" spans="23:23" x14ac:dyDescent="0.55000000000000004">
      <c r="W8749"/>
    </row>
    <row r="8750" spans="23:23" x14ac:dyDescent="0.55000000000000004">
      <c r="W8750"/>
    </row>
    <row r="8751" spans="23:23" x14ac:dyDescent="0.55000000000000004">
      <c r="W8751"/>
    </row>
    <row r="8752" spans="23:23" x14ac:dyDescent="0.55000000000000004">
      <c r="W8752"/>
    </row>
    <row r="8753" spans="23:23" x14ac:dyDescent="0.55000000000000004">
      <c r="W8753"/>
    </row>
    <row r="8754" spans="23:23" x14ac:dyDescent="0.55000000000000004">
      <c r="W8754"/>
    </row>
    <row r="8755" spans="23:23" x14ac:dyDescent="0.55000000000000004">
      <c r="W8755"/>
    </row>
    <row r="8756" spans="23:23" x14ac:dyDescent="0.55000000000000004">
      <c r="W8756"/>
    </row>
    <row r="8757" spans="23:23" x14ac:dyDescent="0.55000000000000004">
      <c r="W8757"/>
    </row>
    <row r="8758" spans="23:23" x14ac:dyDescent="0.55000000000000004">
      <c r="W8758"/>
    </row>
    <row r="8759" spans="23:23" x14ac:dyDescent="0.55000000000000004">
      <c r="W8759"/>
    </row>
    <row r="8760" spans="23:23" x14ac:dyDescent="0.55000000000000004">
      <c r="W8760"/>
    </row>
    <row r="8761" spans="23:23" x14ac:dyDescent="0.55000000000000004">
      <c r="W8761"/>
    </row>
    <row r="8762" spans="23:23" x14ac:dyDescent="0.55000000000000004">
      <c r="W8762"/>
    </row>
    <row r="8763" spans="23:23" x14ac:dyDescent="0.55000000000000004">
      <c r="W8763"/>
    </row>
    <row r="8764" spans="23:23" x14ac:dyDescent="0.55000000000000004">
      <c r="W8764"/>
    </row>
    <row r="8765" spans="23:23" x14ac:dyDescent="0.55000000000000004">
      <c r="W8765"/>
    </row>
    <row r="8766" spans="23:23" x14ac:dyDescent="0.55000000000000004">
      <c r="W8766"/>
    </row>
    <row r="8767" spans="23:23" x14ac:dyDescent="0.55000000000000004">
      <c r="W8767"/>
    </row>
    <row r="8768" spans="23:23" x14ac:dyDescent="0.55000000000000004">
      <c r="W8768"/>
    </row>
    <row r="8769" spans="23:23" x14ac:dyDescent="0.55000000000000004">
      <c r="W8769"/>
    </row>
    <row r="8770" spans="23:23" x14ac:dyDescent="0.55000000000000004">
      <c r="W8770"/>
    </row>
    <row r="8771" spans="23:23" x14ac:dyDescent="0.55000000000000004">
      <c r="W8771"/>
    </row>
    <row r="8772" spans="23:23" x14ac:dyDescent="0.55000000000000004">
      <c r="W8772"/>
    </row>
    <row r="8773" spans="23:23" x14ac:dyDescent="0.55000000000000004">
      <c r="W8773"/>
    </row>
    <row r="8774" spans="23:23" x14ac:dyDescent="0.55000000000000004">
      <c r="W8774"/>
    </row>
    <row r="8775" spans="23:23" x14ac:dyDescent="0.55000000000000004">
      <c r="W8775"/>
    </row>
    <row r="8776" spans="23:23" x14ac:dyDescent="0.55000000000000004">
      <c r="W8776"/>
    </row>
    <row r="8777" spans="23:23" x14ac:dyDescent="0.55000000000000004">
      <c r="W8777"/>
    </row>
    <row r="8778" spans="23:23" x14ac:dyDescent="0.55000000000000004">
      <c r="W8778"/>
    </row>
    <row r="8779" spans="23:23" x14ac:dyDescent="0.55000000000000004">
      <c r="W8779"/>
    </row>
    <row r="8780" spans="23:23" x14ac:dyDescent="0.55000000000000004">
      <c r="W8780"/>
    </row>
    <row r="8781" spans="23:23" x14ac:dyDescent="0.55000000000000004">
      <c r="W8781"/>
    </row>
    <row r="8782" spans="23:23" x14ac:dyDescent="0.55000000000000004">
      <c r="W8782"/>
    </row>
    <row r="8783" spans="23:23" x14ac:dyDescent="0.55000000000000004">
      <c r="W8783"/>
    </row>
    <row r="8784" spans="23:23" x14ac:dyDescent="0.55000000000000004">
      <c r="W8784"/>
    </row>
    <row r="8785" spans="23:23" x14ac:dyDescent="0.55000000000000004">
      <c r="W8785"/>
    </row>
    <row r="8786" spans="23:23" x14ac:dyDescent="0.55000000000000004">
      <c r="W8786"/>
    </row>
    <row r="8787" spans="23:23" x14ac:dyDescent="0.55000000000000004">
      <c r="W8787"/>
    </row>
    <row r="8788" spans="23:23" x14ac:dyDescent="0.55000000000000004">
      <c r="W8788"/>
    </row>
    <row r="8789" spans="23:23" x14ac:dyDescent="0.55000000000000004">
      <c r="W8789"/>
    </row>
    <row r="8790" spans="23:23" x14ac:dyDescent="0.55000000000000004">
      <c r="W8790"/>
    </row>
    <row r="8791" spans="23:23" x14ac:dyDescent="0.55000000000000004">
      <c r="W8791"/>
    </row>
    <row r="8792" spans="23:23" x14ac:dyDescent="0.55000000000000004">
      <c r="W8792"/>
    </row>
    <row r="8793" spans="23:23" x14ac:dyDescent="0.55000000000000004">
      <c r="W8793"/>
    </row>
    <row r="8794" spans="23:23" x14ac:dyDescent="0.55000000000000004">
      <c r="W8794"/>
    </row>
    <row r="8795" spans="23:23" x14ac:dyDescent="0.55000000000000004">
      <c r="W8795"/>
    </row>
    <row r="8796" spans="23:23" x14ac:dyDescent="0.55000000000000004">
      <c r="W8796"/>
    </row>
    <row r="8797" spans="23:23" x14ac:dyDescent="0.55000000000000004">
      <c r="W8797"/>
    </row>
    <row r="8798" spans="23:23" x14ac:dyDescent="0.55000000000000004">
      <c r="W8798"/>
    </row>
    <row r="8799" spans="23:23" x14ac:dyDescent="0.55000000000000004">
      <c r="W8799"/>
    </row>
    <row r="8800" spans="23:23" x14ac:dyDescent="0.55000000000000004">
      <c r="W8800"/>
    </row>
    <row r="8801" spans="23:23" x14ac:dyDescent="0.55000000000000004">
      <c r="W8801"/>
    </row>
    <row r="8802" spans="23:23" x14ac:dyDescent="0.55000000000000004">
      <c r="W8802"/>
    </row>
    <row r="8803" spans="23:23" x14ac:dyDescent="0.55000000000000004">
      <c r="W8803"/>
    </row>
    <row r="8804" spans="23:23" x14ac:dyDescent="0.55000000000000004">
      <c r="W8804"/>
    </row>
    <row r="8805" spans="23:23" x14ac:dyDescent="0.55000000000000004">
      <c r="W8805"/>
    </row>
    <row r="8806" spans="23:23" x14ac:dyDescent="0.55000000000000004">
      <c r="W8806"/>
    </row>
    <row r="8807" spans="23:23" x14ac:dyDescent="0.55000000000000004">
      <c r="W8807"/>
    </row>
    <row r="8808" spans="23:23" x14ac:dyDescent="0.55000000000000004">
      <c r="W8808"/>
    </row>
    <row r="8809" spans="23:23" x14ac:dyDescent="0.55000000000000004">
      <c r="W8809"/>
    </row>
    <row r="8810" spans="23:23" x14ac:dyDescent="0.55000000000000004">
      <c r="W8810"/>
    </row>
    <row r="8811" spans="23:23" x14ac:dyDescent="0.55000000000000004">
      <c r="W8811"/>
    </row>
    <row r="8812" spans="23:23" x14ac:dyDescent="0.55000000000000004">
      <c r="W8812"/>
    </row>
    <row r="8813" spans="23:23" x14ac:dyDescent="0.55000000000000004">
      <c r="W8813"/>
    </row>
    <row r="8814" spans="23:23" x14ac:dyDescent="0.55000000000000004">
      <c r="W8814"/>
    </row>
    <row r="8815" spans="23:23" x14ac:dyDescent="0.55000000000000004">
      <c r="W8815"/>
    </row>
    <row r="8816" spans="23:23" x14ac:dyDescent="0.55000000000000004">
      <c r="W8816"/>
    </row>
    <row r="8817" spans="23:23" x14ac:dyDescent="0.55000000000000004">
      <c r="W8817"/>
    </row>
    <row r="8818" spans="23:23" x14ac:dyDescent="0.55000000000000004">
      <c r="W8818"/>
    </row>
    <row r="8819" spans="23:23" x14ac:dyDescent="0.55000000000000004">
      <c r="W8819"/>
    </row>
    <row r="8820" spans="23:23" x14ac:dyDescent="0.55000000000000004">
      <c r="W8820"/>
    </row>
    <row r="8821" spans="23:23" x14ac:dyDescent="0.55000000000000004">
      <c r="W8821"/>
    </row>
    <row r="8822" spans="23:23" x14ac:dyDescent="0.55000000000000004">
      <c r="W8822"/>
    </row>
    <row r="8823" spans="23:23" x14ac:dyDescent="0.55000000000000004">
      <c r="W8823"/>
    </row>
    <row r="8824" spans="23:23" x14ac:dyDescent="0.55000000000000004">
      <c r="W8824"/>
    </row>
    <row r="8825" spans="23:23" x14ac:dyDescent="0.55000000000000004">
      <c r="W8825"/>
    </row>
    <row r="8826" spans="23:23" x14ac:dyDescent="0.55000000000000004">
      <c r="W8826"/>
    </row>
    <row r="8827" spans="23:23" x14ac:dyDescent="0.55000000000000004">
      <c r="W8827"/>
    </row>
    <row r="8828" spans="23:23" x14ac:dyDescent="0.55000000000000004">
      <c r="W8828"/>
    </row>
    <row r="8829" spans="23:23" x14ac:dyDescent="0.55000000000000004">
      <c r="W8829"/>
    </row>
    <row r="8830" spans="23:23" x14ac:dyDescent="0.55000000000000004">
      <c r="W8830"/>
    </row>
    <row r="8831" spans="23:23" x14ac:dyDescent="0.55000000000000004">
      <c r="W8831"/>
    </row>
    <row r="8832" spans="23:23" x14ac:dyDescent="0.55000000000000004">
      <c r="W8832"/>
    </row>
    <row r="8833" spans="23:23" x14ac:dyDescent="0.55000000000000004">
      <c r="W8833"/>
    </row>
    <row r="8834" spans="23:23" x14ac:dyDescent="0.55000000000000004">
      <c r="W8834"/>
    </row>
    <row r="8835" spans="23:23" x14ac:dyDescent="0.55000000000000004">
      <c r="W8835"/>
    </row>
    <row r="8836" spans="23:23" x14ac:dyDescent="0.55000000000000004">
      <c r="W8836"/>
    </row>
    <row r="8837" spans="23:23" x14ac:dyDescent="0.55000000000000004">
      <c r="W8837"/>
    </row>
    <row r="8838" spans="23:23" x14ac:dyDescent="0.55000000000000004">
      <c r="W8838"/>
    </row>
    <row r="8839" spans="23:23" x14ac:dyDescent="0.55000000000000004">
      <c r="W8839"/>
    </row>
    <row r="8840" spans="23:23" x14ac:dyDescent="0.55000000000000004">
      <c r="W8840"/>
    </row>
    <row r="8841" spans="23:23" x14ac:dyDescent="0.55000000000000004">
      <c r="W8841"/>
    </row>
    <row r="8842" spans="23:23" x14ac:dyDescent="0.55000000000000004">
      <c r="W8842"/>
    </row>
    <row r="8843" spans="23:23" x14ac:dyDescent="0.55000000000000004">
      <c r="W8843"/>
    </row>
    <row r="8844" spans="23:23" x14ac:dyDescent="0.55000000000000004">
      <c r="W8844"/>
    </row>
    <row r="8845" spans="23:23" x14ac:dyDescent="0.55000000000000004">
      <c r="W8845"/>
    </row>
    <row r="8846" spans="23:23" x14ac:dyDescent="0.55000000000000004">
      <c r="W8846"/>
    </row>
    <row r="8847" spans="23:23" x14ac:dyDescent="0.55000000000000004">
      <c r="W8847"/>
    </row>
    <row r="8848" spans="23:23" x14ac:dyDescent="0.55000000000000004">
      <c r="W8848"/>
    </row>
    <row r="8849" spans="23:23" x14ac:dyDescent="0.55000000000000004">
      <c r="W8849"/>
    </row>
    <row r="8850" spans="23:23" x14ac:dyDescent="0.55000000000000004">
      <c r="W8850"/>
    </row>
    <row r="8851" spans="23:23" x14ac:dyDescent="0.55000000000000004">
      <c r="W8851"/>
    </row>
    <row r="8852" spans="23:23" x14ac:dyDescent="0.55000000000000004">
      <c r="W8852"/>
    </row>
    <row r="8853" spans="23:23" x14ac:dyDescent="0.55000000000000004">
      <c r="W8853"/>
    </row>
    <row r="8854" spans="23:23" x14ac:dyDescent="0.55000000000000004">
      <c r="W8854"/>
    </row>
    <row r="8855" spans="23:23" x14ac:dyDescent="0.55000000000000004">
      <c r="W8855"/>
    </row>
    <row r="8856" spans="23:23" x14ac:dyDescent="0.55000000000000004">
      <c r="W8856"/>
    </row>
    <row r="8857" spans="23:23" x14ac:dyDescent="0.55000000000000004">
      <c r="W8857"/>
    </row>
    <row r="8858" spans="23:23" x14ac:dyDescent="0.55000000000000004">
      <c r="W8858"/>
    </row>
    <row r="8859" spans="23:23" x14ac:dyDescent="0.55000000000000004">
      <c r="W8859"/>
    </row>
    <row r="8860" spans="23:23" x14ac:dyDescent="0.55000000000000004">
      <c r="W8860"/>
    </row>
    <row r="8861" spans="23:23" x14ac:dyDescent="0.55000000000000004">
      <c r="W8861"/>
    </row>
    <row r="8862" spans="23:23" x14ac:dyDescent="0.55000000000000004">
      <c r="W8862"/>
    </row>
    <row r="8863" spans="23:23" x14ac:dyDescent="0.55000000000000004">
      <c r="W8863"/>
    </row>
    <row r="8864" spans="23:23" x14ac:dyDescent="0.55000000000000004">
      <c r="W8864"/>
    </row>
    <row r="8865" spans="23:23" x14ac:dyDescent="0.55000000000000004">
      <c r="W8865"/>
    </row>
    <row r="8866" spans="23:23" x14ac:dyDescent="0.55000000000000004">
      <c r="W8866"/>
    </row>
    <row r="8867" spans="23:23" x14ac:dyDescent="0.55000000000000004">
      <c r="W8867"/>
    </row>
    <row r="8868" spans="23:23" x14ac:dyDescent="0.55000000000000004">
      <c r="W8868"/>
    </row>
    <row r="8869" spans="23:23" x14ac:dyDescent="0.55000000000000004">
      <c r="W8869"/>
    </row>
    <row r="8870" spans="23:23" x14ac:dyDescent="0.55000000000000004">
      <c r="W8870"/>
    </row>
    <row r="8871" spans="23:23" x14ac:dyDescent="0.55000000000000004">
      <c r="W8871"/>
    </row>
    <row r="8872" spans="23:23" x14ac:dyDescent="0.55000000000000004">
      <c r="W8872"/>
    </row>
    <row r="8873" spans="23:23" x14ac:dyDescent="0.55000000000000004">
      <c r="W8873"/>
    </row>
    <row r="8874" spans="23:23" x14ac:dyDescent="0.55000000000000004">
      <c r="W8874"/>
    </row>
    <row r="8875" spans="23:23" x14ac:dyDescent="0.55000000000000004">
      <c r="W8875"/>
    </row>
    <row r="8876" spans="23:23" x14ac:dyDescent="0.55000000000000004">
      <c r="W8876"/>
    </row>
    <row r="8877" spans="23:23" x14ac:dyDescent="0.55000000000000004">
      <c r="W8877"/>
    </row>
    <row r="8878" spans="23:23" x14ac:dyDescent="0.55000000000000004">
      <c r="W8878"/>
    </row>
    <row r="8879" spans="23:23" x14ac:dyDescent="0.55000000000000004">
      <c r="W8879"/>
    </row>
    <row r="8880" spans="23:23" x14ac:dyDescent="0.55000000000000004">
      <c r="W8880"/>
    </row>
    <row r="8881" spans="23:23" x14ac:dyDescent="0.55000000000000004">
      <c r="W8881"/>
    </row>
    <row r="8882" spans="23:23" x14ac:dyDescent="0.55000000000000004">
      <c r="W8882"/>
    </row>
    <row r="8883" spans="23:23" x14ac:dyDescent="0.55000000000000004">
      <c r="W8883"/>
    </row>
    <row r="8884" spans="23:23" x14ac:dyDescent="0.55000000000000004">
      <c r="W8884"/>
    </row>
    <row r="8885" spans="23:23" x14ac:dyDescent="0.55000000000000004">
      <c r="W8885"/>
    </row>
    <row r="8886" spans="23:23" x14ac:dyDescent="0.55000000000000004">
      <c r="W8886"/>
    </row>
    <row r="8887" spans="23:23" x14ac:dyDescent="0.55000000000000004">
      <c r="W8887"/>
    </row>
    <row r="8888" spans="23:23" x14ac:dyDescent="0.55000000000000004">
      <c r="W8888"/>
    </row>
    <row r="8889" spans="23:23" x14ac:dyDescent="0.55000000000000004">
      <c r="W8889"/>
    </row>
    <row r="8890" spans="23:23" x14ac:dyDescent="0.55000000000000004">
      <c r="W8890"/>
    </row>
    <row r="8891" spans="23:23" x14ac:dyDescent="0.55000000000000004">
      <c r="W8891"/>
    </row>
    <row r="8892" spans="23:23" x14ac:dyDescent="0.55000000000000004">
      <c r="W8892"/>
    </row>
    <row r="8893" spans="23:23" x14ac:dyDescent="0.55000000000000004">
      <c r="W8893"/>
    </row>
    <row r="8894" spans="23:23" x14ac:dyDescent="0.55000000000000004">
      <c r="W8894"/>
    </row>
    <row r="8895" spans="23:23" x14ac:dyDescent="0.55000000000000004">
      <c r="W8895"/>
    </row>
    <row r="8896" spans="23:23" x14ac:dyDescent="0.55000000000000004">
      <c r="W8896"/>
    </row>
    <row r="8897" spans="23:23" x14ac:dyDescent="0.55000000000000004">
      <c r="W8897"/>
    </row>
    <row r="8898" spans="23:23" x14ac:dyDescent="0.55000000000000004">
      <c r="W8898"/>
    </row>
    <row r="8899" spans="23:23" x14ac:dyDescent="0.55000000000000004">
      <c r="W8899"/>
    </row>
    <row r="8900" spans="23:23" x14ac:dyDescent="0.55000000000000004">
      <c r="W8900"/>
    </row>
    <row r="8901" spans="23:23" x14ac:dyDescent="0.55000000000000004">
      <c r="W8901"/>
    </row>
    <row r="8902" spans="23:23" x14ac:dyDescent="0.55000000000000004">
      <c r="W8902"/>
    </row>
    <row r="8903" spans="23:23" x14ac:dyDescent="0.55000000000000004">
      <c r="W8903"/>
    </row>
    <row r="8904" spans="23:23" x14ac:dyDescent="0.55000000000000004">
      <c r="W8904"/>
    </row>
    <row r="8905" spans="23:23" x14ac:dyDescent="0.55000000000000004">
      <c r="W8905"/>
    </row>
    <row r="8906" spans="23:23" x14ac:dyDescent="0.55000000000000004">
      <c r="W8906"/>
    </row>
    <row r="8907" spans="23:23" x14ac:dyDescent="0.55000000000000004">
      <c r="W8907"/>
    </row>
    <row r="8908" spans="23:23" x14ac:dyDescent="0.55000000000000004">
      <c r="W8908"/>
    </row>
    <row r="8909" spans="23:23" x14ac:dyDescent="0.55000000000000004">
      <c r="W8909"/>
    </row>
    <row r="8910" spans="23:23" x14ac:dyDescent="0.55000000000000004">
      <c r="W8910"/>
    </row>
    <row r="8911" spans="23:23" x14ac:dyDescent="0.55000000000000004">
      <c r="W8911"/>
    </row>
    <row r="8912" spans="23:23" x14ac:dyDescent="0.55000000000000004">
      <c r="W8912"/>
    </row>
    <row r="8913" spans="23:23" x14ac:dyDescent="0.55000000000000004">
      <c r="W8913"/>
    </row>
    <row r="8914" spans="23:23" x14ac:dyDescent="0.55000000000000004">
      <c r="W8914"/>
    </row>
    <row r="8915" spans="23:23" x14ac:dyDescent="0.55000000000000004">
      <c r="W8915"/>
    </row>
    <row r="8916" spans="23:23" x14ac:dyDescent="0.55000000000000004">
      <c r="W8916"/>
    </row>
    <row r="8917" spans="23:23" x14ac:dyDescent="0.55000000000000004">
      <c r="W8917"/>
    </row>
    <row r="8918" spans="23:23" x14ac:dyDescent="0.55000000000000004">
      <c r="W8918"/>
    </row>
    <row r="8919" spans="23:23" x14ac:dyDescent="0.55000000000000004">
      <c r="W8919"/>
    </row>
    <row r="8920" spans="23:23" x14ac:dyDescent="0.55000000000000004">
      <c r="W8920"/>
    </row>
    <row r="8921" spans="23:23" x14ac:dyDescent="0.55000000000000004">
      <c r="W8921"/>
    </row>
    <row r="8922" spans="23:23" x14ac:dyDescent="0.55000000000000004">
      <c r="W8922"/>
    </row>
    <row r="8923" spans="23:23" x14ac:dyDescent="0.55000000000000004">
      <c r="W8923"/>
    </row>
    <row r="8924" spans="23:23" x14ac:dyDescent="0.55000000000000004">
      <c r="W8924"/>
    </row>
    <row r="8925" spans="23:23" x14ac:dyDescent="0.55000000000000004">
      <c r="W8925"/>
    </row>
    <row r="8926" spans="23:23" x14ac:dyDescent="0.55000000000000004">
      <c r="W8926"/>
    </row>
    <row r="8927" spans="23:23" x14ac:dyDescent="0.55000000000000004">
      <c r="W8927"/>
    </row>
    <row r="8928" spans="23:23" x14ac:dyDescent="0.55000000000000004">
      <c r="W8928"/>
    </row>
    <row r="8929" spans="23:23" x14ac:dyDescent="0.55000000000000004">
      <c r="W8929"/>
    </row>
    <row r="8930" spans="23:23" x14ac:dyDescent="0.55000000000000004">
      <c r="W8930"/>
    </row>
    <row r="8931" spans="23:23" x14ac:dyDescent="0.55000000000000004">
      <c r="W8931"/>
    </row>
    <row r="8932" spans="23:23" x14ac:dyDescent="0.55000000000000004">
      <c r="W8932"/>
    </row>
    <row r="8933" spans="23:23" x14ac:dyDescent="0.55000000000000004">
      <c r="W8933"/>
    </row>
    <row r="8934" spans="23:23" x14ac:dyDescent="0.55000000000000004">
      <c r="W8934"/>
    </row>
    <row r="8935" spans="23:23" x14ac:dyDescent="0.55000000000000004">
      <c r="W8935"/>
    </row>
    <row r="8936" spans="23:23" x14ac:dyDescent="0.55000000000000004">
      <c r="W8936"/>
    </row>
    <row r="8937" spans="23:23" x14ac:dyDescent="0.55000000000000004">
      <c r="W8937"/>
    </row>
    <row r="8938" spans="23:23" x14ac:dyDescent="0.55000000000000004">
      <c r="W8938"/>
    </row>
    <row r="8939" spans="23:23" x14ac:dyDescent="0.55000000000000004">
      <c r="W8939"/>
    </row>
    <row r="8940" spans="23:23" x14ac:dyDescent="0.55000000000000004">
      <c r="W8940"/>
    </row>
    <row r="8941" spans="23:23" x14ac:dyDescent="0.55000000000000004">
      <c r="W8941"/>
    </row>
    <row r="8942" spans="23:23" x14ac:dyDescent="0.55000000000000004">
      <c r="W8942"/>
    </row>
    <row r="8943" spans="23:23" x14ac:dyDescent="0.55000000000000004">
      <c r="W8943"/>
    </row>
    <row r="8944" spans="23:23" x14ac:dyDescent="0.55000000000000004">
      <c r="W8944"/>
    </row>
    <row r="8945" spans="23:23" x14ac:dyDescent="0.55000000000000004">
      <c r="W8945"/>
    </row>
    <row r="8946" spans="23:23" x14ac:dyDescent="0.55000000000000004">
      <c r="W8946"/>
    </row>
    <row r="8947" spans="23:23" x14ac:dyDescent="0.55000000000000004">
      <c r="W8947"/>
    </row>
    <row r="8948" spans="23:23" x14ac:dyDescent="0.55000000000000004">
      <c r="W8948"/>
    </row>
    <row r="8949" spans="23:23" x14ac:dyDescent="0.55000000000000004">
      <c r="W8949"/>
    </row>
    <row r="8950" spans="23:23" x14ac:dyDescent="0.55000000000000004">
      <c r="W8950"/>
    </row>
    <row r="8951" spans="23:23" x14ac:dyDescent="0.55000000000000004">
      <c r="W8951"/>
    </row>
    <row r="8952" spans="23:23" x14ac:dyDescent="0.55000000000000004">
      <c r="W8952"/>
    </row>
    <row r="8953" spans="23:23" x14ac:dyDescent="0.55000000000000004">
      <c r="W8953"/>
    </row>
    <row r="8954" spans="23:23" x14ac:dyDescent="0.55000000000000004">
      <c r="W8954"/>
    </row>
    <row r="8955" spans="23:23" x14ac:dyDescent="0.55000000000000004">
      <c r="W8955"/>
    </row>
    <row r="8956" spans="23:23" x14ac:dyDescent="0.55000000000000004">
      <c r="W8956"/>
    </row>
    <row r="8957" spans="23:23" x14ac:dyDescent="0.55000000000000004">
      <c r="W8957"/>
    </row>
    <row r="8958" spans="23:23" x14ac:dyDescent="0.55000000000000004">
      <c r="W8958"/>
    </row>
    <row r="8959" spans="23:23" x14ac:dyDescent="0.55000000000000004">
      <c r="W8959"/>
    </row>
    <row r="8960" spans="23:23" x14ac:dyDescent="0.55000000000000004">
      <c r="W8960"/>
    </row>
    <row r="8961" spans="23:23" x14ac:dyDescent="0.55000000000000004">
      <c r="W8961"/>
    </row>
    <row r="8962" spans="23:23" x14ac:dyDescent="0.55000000000000004">
      <c r="W8962"/>
    </row>
    <row r="8963" spans="23:23" x14ac:dyDescent="0.55000000000000004">
      <c r="W8963"/>
    </row>
    <row r="8964" spans="23:23" x14ac:dyDescent="0.55000000000000004">
      <c r="W8964"/>
    </row>
    <row r="8965" spans="23:23" x14ac:dyDescent="0.55000000000000004">
      <c r="W8965"/>
    </row>
    <row r="8966" spans="23:23" x14ac:dyDescent="0.55000000000000004">
      <c r="W8966"/>
    </row>
    <row r="8967" spans="23:23" x14ac:dyDescent="0.55000000000000004">
      <c r="W8967"/>
    </row>
    <row r="8968" spans="23:23" x14ac:dyDescent="0.55000000000000004">
      <c r="W8968"/>
    </row>
    <row r="8969" spans="23:23" x14ac:dyDescent="0.55000000000000004">
      <c r="W8969"/>
    </row>
    <row r="8970" spans="23:23" x14ac:dyDescent="0.55000000000000004">
      <c r="W8970"/>
    </row>
    <row r="8971" spans="23:23" x14ac:dyDescent="0.55000000000000004">
      <c r="W8971"/>
    </row>
    <row r="8972" spans="23:23" x14ac:dyDescent="0.55000000000000004">
      <c r="W8972"/>
    </row>
    <row r="8973" spans="23:23" x14ac:dyDescent="0.55000000000000004">
      <c r="W8973"/>
    </row>
    <row r="8974" spans="23:23" x14ac:dyDescent="0.55000000000000004">
      <c r="W8974"/>
    </row>
    <row r="8975" spans="23:23" x14ac:dyDescent="0.55000000000000004">
      <c r="W8975"/>
    </row>
    <row r="8976" spans="23:23" x14ac:dyDescent="0.55000000000000004">
      <c r="W8976"/>
    </row>
    <row r="8977" spans="23:23" x14ac:dyDescent="0.55000000000000004">
      <c r="W8977"/>
    </row>
    <row r="8978" spans="23:23" x14ac:dyDescent="0.55000000000000004">
      <c r="W8978"/>
    </row>
    <row r="8979" spans="23:23" x14ac:dyDescent="0.55000000000000004">
      <c r="W8979"/>
    </row>
    <row r="8980" spans="23:23" x14ac:dyDescent="0.55000000000000004">
      <c r="W8980"/>
    </row>
    <row r="8981" spans="23:23" x14ac:dyDescent="0.55000000000000004">
      <c r="W8981"/>
    </row>
    <row r="8982" spans="23:23" x14ac:dyDescent="0.55000000000000004">
      <c r="W8982"/>
    </row>
    <row r="8983" spans="23:23" x14ac:dyDescent="0.55000000000000004">
      <c r="W8983"/>
    </row>
    <row r="8984" spans="23:23" x14ac:dyDescent="0.55000000000000004">
      <c r="W8984"/>
    </row>
    <row r="8985" spans="23:23" x14ac:dyDescent="0.55000000000000004">
      <c r="W8985"/>
    </row>
    <row r="8986" spans="23:23" x14ac:dyDescent="0.55000000000000004">
      <c r="W8986"/>
    </row>
    <row r="8987" spans="23:23" x14ac:dyDescent="0.55000000000000004">
      <c r="W8987"/>
    </row>
    <row r="8988" spans="23:23" x14ac:dyDescent="0.55000000000000004">
      <c r="W8988"/>
    </row>
    <row r="8989" spans="23:23" x14ac:dyDescent="0.55000000000000004">
      <c r="W8989"/>
    </row>
    <row r="8990" spans="23:23" x14ac:dyDescent="0.55000000000000004">
      <c r="W8990"/>
    </row>
    <row r="8991" spans="23:23" x14ac:dyDescent="0.55000000000000004">
      <c r="W8991"/>
    </row>
    <row r="8992" spans="23:23" x14ac:dyDescent="0.55000000000000004">
      <c r="W8992"/>
    </row>
    <row r="8993" spans="23:23" x14ac:dyDescent="0.55000000000000004">
      <c r="W8993"/>
    </row>
    <row r="8994" spans="23:23" x14ac:dyDescent="0.55000000000000004">
      <c r="W8994"/>
    </row>
    <row r="8995" spans="23:23" x14ac:dyDescent="0.55000000000000004">
      <c r="W8995"/>
    </row>
    <row r="8996" spans="23:23" x14ac:dyDescent="0.55000000000000004">
      <c r="W8996"/>
    </row>
    <row r="8997" spans="23:23" x14ac:dyDescent="0.55000000000000004">
      <c r="W8997"/>
    </row>
    <row r="8998" spans="23:23" x14ac:dyDescent="0.55000000000000004">
      <c r="W8998"/>
    </row>
    <row r="8999" spans="23:23" x14ac:dyDescent="0.55000000000000004">
      <c r="W8999"/>
    </row>
    <row r="9000" spans="23:23" x14ac:dyDescent="0.55000000000000004">
      <c r="W9000"/>
    </row>
    <row r="9001" spans="23:23" x14ac:dyDescent="0.55000000000000004">
      <c r="W9001"/>
    </row>
    <row r="9002" spans="23:23" x14ac:dyDescent="0.55000000000000004">
      <c r="W9002"/>
    </row>
    <row r="9003" spans="23:23" x14ac:dyDescent="0.55000000000000004">
      <c r="W9003"/>
    </row>
    <row r="9004" spans="23:23" x14ac:dyDescent="0.55000000000000004">
      <c r="W9004"/>
    </row>
    <row r="9005" spans="23:23" x14ac:dyDescent="0.55000000000000004">
      <c r="W9005"/>
    </row>
    <row r="9006" spans="23:23" x14ac:dyDescent="0.55000000000000004">
      <c r="W9006"/>
    </row>
    <row r="9007" spans="23:23" x14ac:dyDescent="0.55000000000000004">
      <c r="W9007"/>
    </row>
    <row r="9008" spans="23:23" x14ac:dyDescent="0.55000000000000004">
      <c r="W9008"/>
    </row>
    <row r="9009" spans="23:23" x14ac:dyDescent="0.55000000000000004">
      <c r="W9009"/>
    </row>
    <row r="9010" spans="23:23" x14ac:dyDescent="0.55000000000000004">
      <c r="W9010"/>
    </row>
    <row r="9011" spans="23:23" x14ac:dyDescent="0.55000000000000004">
      <c r="W9011"/>
    </row>
    <row r="9012" spans="23:23" x14ac:dyDescent="0.55000000000000004">
      <c r="W9012"/>
    </row>
    <row r="9013" spans="23:23" x14ac:dyDescent="0.55000000000000004">
      <c r="W9013"/>
    </row>
    <row r="9014" spans="23:23" x14ac:dyDescent="0.55000000000000004">
      <c r="W9014"/>
    </row>
    <row r="9015" spans="23:23" x14ac:dyDescent="0.55000000000000004">
      <c r="W9015"/>
    </row>
    <row r="9016" spans="23:23" x14ac:dyDescent="0.55000000000000004">
      <c r="W9016"/>
    </row>
    <row r="9017" spans="23:23" x14ac:dyDescent="0.55000000000000004">
      <c r="W9017"/>
    </row>
    <row r="9018" spans="23:23" x14ac:dyDescent="0.55000000000000004">
      <c r="W9018"/>
    </row>
    <row r="9019" spans="23:23" x14ac:dyDescent="0.55000000000000004">
      <c r="W9019"/>
    </row>
    <row r="9020" spans="23:23" x14ac:dyDescent="0.55000000000000004">
      <c r="W9020"/>
    </row>
    <row r="9021" spans="23:23" x14ac:dyDescent="0.55000000000000004">
      <c r="W9021"/>
    </row>
    <row r="9022" spans="23:23" x14ac:dyDescent="0.55000000000000004">
      <c r="W9022"/>
    </row>
    <row r="9023" spans="23:23" x14ac:dyDescent="0.55000000000000004">
      <c r="W9023"/>
    </row>
    <row r="9024" spans="23:23" x14ac:dyDescent="0.55000000000000004">
      <c r="W9024"/>
    </row>
    <row r="9025" spans="23:23" x14ac:dyDescent="0.55000000000000004">
      <c r="W9025"/>
    </row>
    <row r="9026" spans="23:23" x14ac:dyDescent="0.55000000000000004">
      <c r="W9026"/>
    </row>
    <row r="9027" spans="23:23" x14ac:dyDescent="0.55000000000000004">
      <c r="W9027"/>
    </row>
    <row r="9028" spans="23:23" x14ac:dyDescent="0.55000000000000004">
      <c r="W9028"/>
    </row>
    <row r="9029" spans="23:23" x14ac:dyDescent="0.55000000000000004">
      <c r="W9029"/>
    </row>
    <row r="9030" spans="23:23" x14ac:dyDescent="0.55000000000000004">
      <c r="W9030"/>
    </row>
    <row r="9031" spans="23:23" x14ac:dyDescent="0.55000000000000004">
      <c r="W9031"/>
    </row>
    <row r="9032" spans="23:23" x14ac:dyDescent="0.55000000000000004">
      <c r="W9032"/>
    </row>
    <row r="9033" spans="23:23" x14ac:dyDescent="0.55000000000000004">
      <c r="W9033"/>
    </row>
    <row r="9034" spans="23:23" x14ac:dyDescent="0.55000000000000004">
      <c r="W9034"/>
    </row>
    <row r="9035" spans="23:23" x14ac:dyDescent="0.55000000000000004">
      <c r="W9035"/>
    </row>
    <row r="9036" spans="23:23" x14ac:dyDescent="0.55000000000000004">
      <c r="W9036"/>
    </row>
    <row r="9037" spans="23:23" x14ac:dyDescent="0.55000000000000004">
      <c r="W9037"/>
    </row>
    <row r="9038" spans="23:23" x14ac:dyDescent="0.55000000000000004">
      <c r="W9038"/>
    </row>
    <row r="9039" spans="23:23" x14ac:dyDescent="0.55000000000000004">
      <c r="W9039"/>
    </row>
    <row r="9040" spans="23:23" x14ac:dyDescent="0.55000000000000004">
      <c r="W9040"/>
    </row>
    <row r="9041" spans="23:23" x14ac:dyDescent="0.55000000000000004">
      <c r="W9041"/>
    </row>
    <row r="9042" spans="23:23" x14ac:dyDescent="0.55000000000000004">
      <c r="W9042"/>
    </row>
    <row r="9043" spans="23:23" x14ac:dyDescent="0.55000000000000004">
      <c r="W9043"/>
    </row>
    <row r="9044" spans="23:23" x14ac:dyDescent="0.55000000000000004">
      <c r="W9044"/>
    </row>
    <row r="9045" spans="23:23" x14ac:dyDescent="0.55000000000000004">
      <c r="W9045"/>
    </row>
    <row r="9046" spans="23:23" x14ac:dyDescent="0.55000000000000004">
      <c r="W9046"/>
    </row>
    <row r="9047" spans="23:23" x14ac:dyDescent="0.55000000000000004">
      <c r="W9047"/>
    </row>
    <row r="9048" spans="23:23" x14ac:dyDescent="0.55000000000000004">
      <c r="W9048"/>
    </row>
    <row r="9049" spans="23:23" x14ac:dyDescent="0.55000000000000004">
      <c r="W9049"/>
    </row>
    <row r="9050" spans="23:23" x14ac:dyDescent="0.55000000000000004">
      <c r="W9050"/>
    </row>
    <row r="9051" spans="23:23" x14ac:dyDescent="0.55000000000000004">
      <c r="W9051"/>
    </row>
    <row r="9052" spans="23:23" x14ac:dyDescent="0.55000000000000004">
      <c r="W9052"/>
    </row>
    <row r="9053" spans="23:23" x14ac:dyDescent="0.55000000000000004">
      <c r="W9053"/>
    </row>
    <row r="9054" spans="23:23" x14ac:dyDescent="0.55000000000000004">
      <c r="W9054"/>
    </row>
    <row r="9055" spans="23:23" x14ac:dyDescent="0.55000000000000004">
      <c r="W9055"/>
    </row>
    <row r="9056" spans="23:23" x14ac:dyDescent="0.55000000000000004">
      <c r="W9056"/>
    </row>
    <row r="9057" spans="23:23" x14ac:dyDescent="0.55000000000000004">
      <c r="W9057"/>
    </row>
    <row r="9058" spans="23:23" x14ac:dyDescent="0.55000000000000004">
      <c r="W9058"/>
    </row>
    <row r="9059" spans="23:23" x14ac:dyDescent="0.55000000000000004">
      <c r="W9059"/>
    </row>
    <row r="9060" spans="23:23" x14ac:dyDescent="0.55000000000000004">
      <c r="W9060"/>
    </row>
    <row r="9061" spans="23:23" x14ac:dyDescent="0.55000000000000004">
      <c r="W9061"/>
    </row>
    <row r="9062" spans="23:23" x14ac:dyDescent="0.55000000000000004">
      <c r="W9062"/>
    </row>
    <row r="9063" spans="23:23" x14ac:dyDescent="0.55000000000000004">
      <c r="W9063"/>
    </row>
    <row r="9064" spans="23:23" x14ac:dyDescent="0.55000000000000004">
      <c r="W9064"/>
    </row>
    <row r="9065" spans="23:23" x14ac:dyDescent="0.55000000000000004">
      <c r="W9065"/>
    </row>
    <row r="9066" spans="23:23" x14ac:dyDescent="0.55000000000000004">
      <c r="W9066"/>
    </row>
    <row r="9067" spans="23:23" x14ac:dyDescent="0.55000000000000004">
      <c r="W9067"/>
    </row>
    <row r="9068" spans="23:23" x14ac:dyDescent="0.55000000000000004">
      <c r="W9068"/>
    </row>
    <row r="9069" spans="23:23" x14ac:dyDescent="0.55000000000000004">
      <c r="W9069"/>
    </row>
    <row r="9070" spans="23:23" x14ac:dyDescent="0.55000000000000004">
      <c r="W9070"/>
    </row>
    <row r="9071" spans="23:23" x14ac:dyDescent="0.55000000000000004">
      <c r="W9071"/>
    </row>
    <row r="9072" spans="23:23" x14ac:dyDescent="0.55000000000000004">
      <c r="W9072"/>
    </row>
    <row r="9073" spans="23:23" x14ac:dyDescent="0.55000000000000004">
      <c r="W9073"/>
    </row>
    <row r="9074" spans="23:23" x14ac:dyDescent="0.55000000000000004">
      <c r="W9074"/>
    </row>
    <row r="9075" spans="23:23" x14ac:dyDescent="0.55000000000000004">
      <c r="W9075"/>
    </row>
    <row r="9076" spans="23:23" x14ac:dyDescent="0.55000000000000004">
      <c r="W9076"/>
    </row>
    <row r="9077" spans="23:23" x14ac:dyDescent="0.55000000000000004">
      <c r="W9077"/>
    </row>
    <row r="9078" spans="23:23" x14ac:dyDescent="0.55000000000000004">
      <c r="W9078"/>
    </row>
    <row r="9079" spans="23:23" x14ac:dyDescent="0.55000000000000004">
      <c r="W9079"/>
    </row>
    <row r="9080" spans="23:23" x14ac:dyDescent="0.55000000000000004">
      <c r="W9080"/>
    </row>
    <row r="9081" spans="23:23" x14ac:dyDescent="0.55000000000000004">
      <c r="W9081"/>
    </row>
    <row r="9082" spans="23:23" x14ac:dyDescent="0.55000000000000004">
      <c r="W9082"/>
    </row>
    <row r="9083" spans="23:23" x14ac:dyDescent="0.55000000000000004">
      <c r="W9083"/>
    </row>
    <row r="9084" spans="23:23" x14ac:dyDescent="0.55000000000000004">
      <c r="W9084"/>
    </row>
    <row r="9085" spans="23:23" x14ac:dyDescent="0.55000000000000004">
      <c r="W9085"/>
    </row>
    <row r="9086" spans="23:23" x14ac:dyDescent="0.55000000000000004">
      <c r="W9086"/>
    </row>
    <row r="9087" spans="23:23" x14ac:dyDescent="0.55000000000000004">
      <c r="W9087"/>
    </row>
    <row r="9088" spans="23:23" x14ac:dyDescent="0.55000000000000004">
      <c r="W9088"/>
    </row>
    <row r="9089" spans="23:23" x14ac:dyDescent="0.55000000000000004">
      <c r="W9089"/>
    </row>
    <row r="9090" spans="23:23" x14ac:dyDescent="0.55000000000000004">
      <c r="W9090"/>
    </row>
    <row r="9091" spans="23:23" x14ac:dyDescent="0.55000000000000004">
      <c r="W9091"/>
    </row>
    <row r="9092" spans="23:23" x14ac:dyDescent="0.55000000000000004">
      <c r="W9092"/>
    </row>
    <row r="9093" spans="23:23" x14ac:dyDescent="0.55000000000000004">
      <c r="W9093"/>
    </row>
    <row r="9094" spans="23:23" x14ac:dyDescent="0.55000000000000004">
      <c r="W9094"/>
    </row>
    <row r="9095" spans="23:23" x14ac:dyDescent="0.55000000000000004">
      <c r="W9095"/>
    </row>
    <row r="9096" spans="23:23" x14ac:dyDescent="0.55000000000000004">
      <c r="W9096"/>
    </row>
    <row r="9097" spans="23:23" x14ac:dyDescent="0.55000000000000004">
      <c r="W9097"/>
    </row>
    <row r="9098" spans="23:23" x14ac:dyDescent="0.55000000000000004">
      <c r="W9098"/>
    </row>
    <row r="9099" spans="23:23" x14ac:dyDescent="0.55000000000000004">
      <c r="W9099"/>
    </row>
    <row r="9100" spans="23:23" x14ac:dyDescent="0.55000000000000004">
      <c r="W9100"/>
    </row>
    <row r="9101" spans="23:23" x14ac:dyDescent="0.55000000000000004">
      <c r="W9101"/>
    </row>
    <row r="9102" spans="23:23" x14ac:dyDescent="0.55000000000000004">
      <c r="W9102"/>
    </row>
    <row r="9103" spans="23:23" x14ac:dyDescent="0.55000000000000004">
      <c r="W9103"/>
    </row>
    <row r="9104" spans="23:23" x14ac:dyDescent="0.55000000000000004">
      <c r="W9104"/>
    </row>
    <row r="9105" spans="23:23" x14ac:dyDescent="0.55000000000000004">
      <c r="W9105"/>
    </row>
    <row r="9106" spans="23:23" x14ac:dyDescent="0.55000000000000004">
      <c r="W9106"/>
    </row>
    <row r="9107" spans="23:23" x14ac:dyDescent="0.55000000000000004">
      <c r="W9107"/>
    </row>
    <row r="9108" spans="23:23" x14ac:dyDescent="0.55000000000000004">
      <c r="W9108"/>
    </row>
    <row r="9109" spans="23:23" x14ac:dyDescent="0.55000000000000004">
      <c r="W9109"/>
    </row>
    <row r="9110" spans="23:23" x14ac:dyDescent="0.55000000000000004">
      <c r="W9110"/>
    </row>
    <row r="9111" spans="23:23" x14ac:dyDescent="0.55000000000000004">
      <c r="W9111"/>
    </row>
    <row r="9112" spans="23:23" x14ac:dyDescent="0.55000000000000004">
      <c r="W9112"/>
    </row>
    <row r="9113" spans="23:23" x14ac:dyDescent="0.55000000000000004">
      <c r="W9113"/>
    </row>
    <row r="9114" spans="23:23" x14ac:dyDescent="0.55000000000000004">
      <c r="W9114"/>
    </row>
    <row r="9115" spans="23:23" x14ac:dyDescent="0.55000000000000004">
      <c r="W9115"/>
    </row>
    <row r="9116" spans="23:23" x14ac:dyDescent="0.55000000000000004">
      <c r="W9116"/>
    </row>
    <row r="9117" spans="23:23" x14ac:dyDescent="0.55000000000000004">
      <c r="W9117"/>
    </row>
    <row r="9118" spans="23:23" x14ac:dyDescent="0.55000000000000004">
      <c r="W9118"/>
    </row>
    <row r="9119" spans="23:23" x14ac:dyDescent="0.55000000000000004">
      <c r="W9119"/>
    </row>
    <row r="9120" spans="23:23" x14ac:dyDescent="0.55000000000000004">
      <c r="W9120"/>
    </row>
    <row r="9121" spans="23:23" x14ac:dyDescent="0.55000000000000004">
      <c r="W9121"/>
    </row>
    <row r="9122" spans="23:23" x14ac:dyDescent="0.55000000000000004">
      <c r="W9122"/>
    </row>
    <row r="9123" spans="23:23" x14ac:dyDescent="0.55000000000000004">
      <c r="W9123"/>
    </row>
    <row r="9124" spans="23:23" x14ac:dyDescent="0.55000000000000004">
      <c r="W9124"/>
    </row>
    <row r="9125" spans="23:23" x14ac:dyDescent="0.55000000000000004">
      <c r="W9125"/>
    </row>
    <row r="9126" spans="23:23" x14ac:dyDescent="0.55000000000000004">
      <c r="W9126"/>
    </row>
    <row r="9127" spans="23:23" x14ac:dyDescent="0.55000000000000004">
      <c r="W9127"/>
    </row>
    <row r="9128" spans="23:23" x14ac:dyDescent="0.55000000000000004">
      <c r="W9128"/>
    </row>
    <row r="9129" spans="23:23" x14ac:dyDescent="0.55000000000000004">
      <c r="W9129"/>
    </row>
    <row r="9130" spans="23:23" x14ac:dyDescent="0.55000000000000004">
      <c r="W9130"/>
    </row>
    <row r="9131" spans="23:23" x14ac:dyDescent="0.55000000000000004">
      <c r="W9131"/>
    </row>
    <row r="9132" spans="23:23" x14ac:dyDescent="0.55000000000000004">
      <c r="W9132"/>
    </row>
    <row r="9133" spans="23:23" x14ac:dyDescent="0.55000000000000004">
      <c r="W9133"/>
    </row>
    <row r="9134" spans="23:23" x14ac:dyDescent="0.55000000000000004">
      <c r="W9134"/>
    </row>
    <row r="9135" spans="23:23" x14ac:dyDescent="0.55000000000000004">
      <c r="W9135"/>
    </row>
    <row r="9136" spans="23:23" x14ac:dyDescent="0.55000000000000004">
      <c r="W9136"/>
    </row>
    <row r="9137" spans="23:23" x14ac:dyDescent="0.55000000000000004">
      <c r="W9137"/>
    </row>
    <row r="9138" spans="23:23" x14ac:dyDescent="0.55000000000000004">
      <c r="W9138"/>
    </row>
    <row r="9139" spans="23:23" x14ac:dyDescent="0.55000000000000004">
      <c r="W9139"/>
    </row>
    <row r="9140" spans="23:23" x14ac:dyDescent="0.55000000000000004">
      <c r="W9140"/>
    </row>
    <row r="9141" spans="23:23" x14ac:dyDescent="0.55000000000000004">
      <c r="W9141"/>
    </row>
    <row r="9142" spans="23:23" x14ac:dyDescent="0.55000000000000004">
      <c r="W9142"/>
    </row>
    <row r="9143" spans="23:23" x14ac:dyDescent="0.55000000000000004">
      <c r="W9143"/>
    </row>
    <row r="9144" spans="23:23" x14ac:dyDescent="0.55000000000000004">
      <c r="W9144"/>
    </row>
    <row r="9145" spans="23:23" x14ac:dyDescent="0.55000000000000004">
      <c r="W9145"/>
    </row>
    <row r="9146" spans="23:23" x14ac:dyDescent="0.55000000000000004">
      <c r="W9146"/>
    </row>
    <row r="9147" spans="23:23" x14ac:dyDescent="0.55000000000000004">
      <c r="W9147"/>
    </row>
    <row r="9148" spans="23:23" x14ac:dyDescent="0.55000000000000004">
      <c r="W9148"/>
    </row>
    <row r="9149" spans="23:23" x14ac:dyDescent="0.55000000000000004">
      <c r="W9149"/>
    </row>
    <row r="9150" spans="23:23" x14ac:dyDescent="0.55000000000000004">
      <c r="W9150"/>
    </row>
    <row r="9151" spans="23:23" x14ac:dyDescent="0.55000000000000004">
      <c r="W9151"/>
    </row>
    <row r="9152" spans="23:23" x14ac:dyDescent="0.55000000000000004">
      <c r="W9152"/>
    </row>
    <row r="9153" spans="23:23" x14ac:dyDescent="0.55000000000000004">
      <c r="W9153"/>
    </row>
    <row r="9154" spans="23:23" x14ac:dyDescent="0.55000000000000004">
      <c r="W9154"/>
    </row>
    <row r="9155" spans="23:23" x14ac:dyDescent="0.55000000000000004">
      <c r="W9155"/>
    </row>
    <row r="9156" spans="23:23" x14ac:dyDescent="0.55000000000000004">
      <c r="W9156"/>
    </row>
    <row r="9157" spans="23:23" x14ac:dyDescent="0.55000000000000004">
      <c r="W9157"/>
    </row>
    <row r="9158" spans="23:23" x14ac:dyDescent="0.55000000000000004">
      <c r="W9158"/>
    </row>
    <row r="9159" spans="23:23" x14ac:dyDescent="0.55000000000000004">
      <c r="W9159"/>
    </row>
    <row r="9160" spans="23:23" x14ac:dyDescent="0.55000000000000004">
      <c r="W9160"/>
    </row>
    <row r="9161" spans="23:23" x14ac:dyDescent="0.55000000000000004">
      <c r="W9161"/>
    </row>
    <row r="9162" spans="23:23" x14ac:dyDescent="0.55000000000000004">
      <c r="W9162"/>
    </row>
    <row r="9163" spans="23:23" x14ac:dyDescent="0.55000000000000004">
      <c r="W9163"/>
    </row>
    <row r="9164" spans="23:23" x14ac:dyDescent="0.55000000000000004">
      <c r="W9164"/>
    </row>
    <row r="9165" spans="23:23" x14ac:dyDescent="0.55000000000000004">
      <c r="W9165"/>
    </row>
    <row r="9166" spans="23:23" x14ac:dyDescent="0.55000000000000004">
      <c r="W9166"/>
    </row>
    <row r="9167" spans="23:23" x14ac:dyDescent="0.55000000000000004">
      <c r="W9167"/>
    </row>
    <row r="9168" spans="23:23" x14ac:dyDescent="0.55000000000000004">
      <c r="W9168"/>
    </row>
    <row r="9169" spans="23:23" x14ac:dyDescent="0.55000000000000004">
      <c r="W9169"/>
    </row>
    <row r="9170" spans="23:23" x14ac:dyDescent="0.55000000000000004">
      <c r="W9170"/>
    </row>
    <row r="9171" spans="23:23" x14ac:dyDescent="0.55000000000000004">
      <c r="W9171"/>
    </row>
    <row r="9172" spans="23:23" x14ac:dyDescent="0.55000000000000004">
      <c r="W9172"/>
    </row>
    <row r="9173" spans="23:23" x14ac:dyDescent="0.55000000000000004">
      <c r="W9173"/>
    </row>
    <row r="9174" spans="23:23" x14ac:dyDescent="0.55000000000000004">
      <c r="W9174"/>
    </row>
    <row r="9175" spans="23:23" x14ac:dyDescent="0.55000000000000004">
      <c r="W9175"/>
    </row>
    <row r="9176" spans="23:23" x14ac:dyDescent="0.55000000000000004">
      <c r="W9176"/>
    </row>
    <row r="9177" spans="23:23" x14ac:dyDescent="0.55000000000000004">
      <c r="W9177"/>
    </row>
    <row r="9178" spans="23:23" x14ac:dyDescent="0.55000000000000004">
      <c r="W9178"/>
    </row>
    <row r="9179" spans="23:23" x14ac:dyDescent="0.55000000000000004">
      <c r="W9179"/>
    </row>
    <row r="9180" spans="23:23" x14ac:dyDescent="0.55000000000000004">
      <c r="W9180"/>
    </row>
    <row r="9181" spans="23:23" x14ac:dyDescent="0.55000000000000004">
      <c r="W9181"/>
    </row>
    <row r="9182" spans="23:23" x14ac:dyDescent="0.55000000000000004">
      <c r="W9182"/>
    </row>
    <row r="9183" spans="23:23" x14ac:dyDescent="0.55000000000000004">
      <c r="W9183"/>
    </row>
    <row r="9184" spans="23:23" x14ac:dyDescent="0.55000000000000004">
      <c r="W9184"/>
    </row>
    <row r="9185" spans="23:23" x14ac:dyDescent="0.55000000000000004">
      <c r="W9185"/>
    </row>
    <row r="9186" spans="23:23" x14ac:dyDescent="0.55000000000000004">
      <c r="W9186"/>
    </row>
    <row r="9187" spans="23:23" x14ac:dyDescent="0.55000000000000004">
      <c r="W9187"/>
    </row>
    <row r="9188" spans="23:23" x14ac:dyDescent="0.55000000000000004">
      <c r="W9188"/>
    </row>
    <row r="9189" spans="23:23" x14ac:dyDescent="0.55000000000000004">
      <c r="W9189"/>
    </row>
    <row r="9190" spans="23:23" x14ac:dyDescent="0.55000000000000004">
      <c r="W9190"/>
    </row>
    <row r="9191" spans="23:23" x14ac:dyDescent="0.55000000000000004">
      <c r="W9191"/>
    </row>
    <row r="9192" spans="23:23" x14ac:dyDescent="0.55000000000000004">
      <c r="W9192"/>
    </row>
    <row r="9193" spans="23:23" x14ac:dyDescent="0.55000000000000004">
      <c r="W9193"/>
    </row>
    <row r="9194" spans="23:23" x14ac:dyDescent="0.55000000000000004">
      <c r="W9194"/>
    </row>
    <row r="9195" spans="23:23" x14ac:dyDescent="0.55000000000000004">
      <c r="W9195"/>
    </row>
    <row r="9196" spans="23:23" x14ac:dyDescent="0.55000000000000004">
      <c r="W9196"/>
    </row>
    <row r="9197" spans="23:23" x14ac:dyDescent="0.55000000000000004">
      <c r="W9197"/>
    </row>
    <row r="9198" spans="23:23" x14ac:dyDescent="0.55000000000000004">
      <c r="W9198"/>
    </row>
    <row r="9199" spans="23:23" x14ac:dyDescent="0.55000000000000004">
      <c r="W9199"/>
    </row>
    <row r="9200" spans="23:23" x14ac:dyDescent="0.55000000000000004">
      <c r="W9200"/>
    </row>
    <row r="9201" spans="23:23" x14ac:dyDescent="0.55000000000000004">
      <c r="W9201"/>
    </row>
    <row r="9202" spans="23:23" x14ac:dyDescent="0.55000000000000004">
      <c r="W9202"/>
    </row>
    <row r="9203" spans="23:23" x14ac:dyDescent="0.55000000000000004">
      <c r="W9203"/>
    </row>
    <row r="9204" spans="23:23" x14ac:dyDescent="0.55000000000000004">
      <c r="W9204"/>
    </row>
    <row r="9205" spans="23:23" x14ac:dyDescent="0.55000000000000004">
      <c r="W9205"/>
    </row>
    <row r="9206" spans="23:23" x14ac:dyDescent="0.55000000000000004">
      <c r="W9206"/>
    </row>
    <row r="9207" spans="23:23" x14ac:dyDescent="0.55000000000000004">
      <c r="W9207"/>
    </row>
    <row r="9208" spans="23:23" x14ac:dyDescent="0.55000000000000004">
      <c r="W9208"/>
    </row>
    <row r="9209" spans="23:23" x14ac:dyDescent="0.55000000000000004">
      <c r="W9209"/>
    </row>
    <row r="9210" spans="23:23" x14ac:dyDescent="0.55000000000000004">
      <c r="W9210"/>
    </row>
    <row r="9211" spans="23:23" x14ac:dyDescent="0.55000000000000004">
      <c r="W9211"/>
    </row>
    <row r="9212" spans="23:23" x14ac:dyDescent="0.55000000000000004">
      <c r="W9212"/>
    </row>
    <row r="9213" spans="23:23" x14ac:dyDescent="0.55000000000000004">
      <c r="W9213"/>
    </row>
    <row r="9214" spans="23:23" x14ac:dyDescent="0.55000000000000004">
      <c r="W9214"/>
    </row>
    <row r="9215" spans="23:23" x14ac:dyDescent="0.55000000000000004">
      <c r="W9215"/>
    </row>
    <row r="9216" spans="23:23" x14ac:dyDescent="0.55000000000000004">
      <c r="W9216"/>
    </row>
    <row r="9217" spans="23:23" x14ac:dyDescent="0.55000000000000004">
      <c r="W9217"/>
    </row>
    <row r="9218" spans="23:23" x14ac:dyDescent="0.55000000000000004">
      <c r="W9218"/>
    </row>
    <row r="9219" spans="23:23" x14ac:dyDescent="0.55000000000000004">
      <c r="W9219"/>
    </row>
    <row r="9220" spans="23:23" x14ac:dyDescent="0.55000000000000004">
      <c r="W9220"/>
    </row>
    <row r="9221" spans="23:23" x14ac:dyDescent="0.55000000000000004">
      <c r="W9221"/>
    </row>
    <row r="9222" spans="23:23" x14ac:dyDescent="0.55000000000000004">
      <c r="W9222"/>
    </row>
    <row r="9223" spans="23:23" x14ac:dyDescent="0.55000000000000004">
      <c r="W9223"/>
    </row>
    <row r="9224" spans="23:23" x14ac:dyDescent="0.55000000000000004">
      <c r="W9224"/>
    </row>
    <row r="9225" spans="23:23" x14ac:dyDescent="0.55000000000000004">
      <c r="W9225"/>
    </row>
    <row r="9226" spans="23:23" x14ac:dyDescent="0.55000000000000004">
      <c r="W9226"/>
    </row>
    <row r="9227" spans="23:23" x14ac:dyDescent="0.55000000000000004">
      <c r="W9227"/>
    </row>
    <row r="9228" spans="23:23" x14ac:dyDescent="0.55000000000000004">
      <c r="W9228"/>
    </row>
    <row r="9229" spans="23:23" x14ac:dyDescent="0.55000000000000004">
      <c r="W9229"/>
    </row>
    <row r="9230" spans="23:23" x14ac:dyDescent="0.55000000000000004">
      <c r="W9230"/>
    </row>
    <row r="9231" spans="23:23" x14ac:dyDescent="0.55000000000000004">
      <c r="W9231"/>
    </row>
    <row r="9232" spans="23:23" x14ac:dyDescent="0.55000000000000004">
      <c r="W9232"/>
    </row>
    <row r="9233" spans="23:23" x14ac:dyDescent="0.55000000000000004">
      <c r="W9233"/>
    </row>
    <row r="9234" spans="23:23" x14ac:dyDescent="0.55000000000000004">
      <c r="W9234"/>
    </row>
    <row r="9235" spans="23:23" x14ac:dyDescent="0.55000000000000004">
      <c r="W9235"/>
    </row>
    <row r="9236" spans="23:23" x14ac:dyDescent="0.55000000000000004">
      <c r="W9236"/>
    </row>
    <row r="9237" spans="23:23" x14ac:dyDescent="0.55000000000000004">
      <c r="W9237"/>
    </row>
    <row r="9238" spans="23:23" x14ac:dyDescent="0.55000000000000004">
      <c r="W9238"/>
    </row>
    <row r="9239" spans="23:23" x14ac:dyDescent="0.55000000000000004">
      <c r="W9239"/>
    </row>
    <row r="9240" spans="23:23" x14ac:dyDescent="0.55000000000000004">
      <c r="W9240"/>
    </row>
    <row r="9241" spans="23:23" x14ac:dyDescent="0.55000000000000004">
      <c r="W9241"/>
    </row>
    <row r="9242" spans="23:23" x14ac:dyDescent="0.55000000000000004">
      <c r="W9242"/>
    </row>
    <row r="9243" spans="23:23" x14ac:dyDescent="0.55000000000000004">
      <c r="W9243"/>
    </row>
    <row r="9244" spans="23:23" x14ac:dyDescent="0.55000000000000004">
      <c r="W9244"/>
    </row>
    <row r="9245" spans="23:23" x14ac:dyDescent="0.55000000000000004">
      <c r="W9245"/>
    </row>
    <row r="9246" spans="23:23" x14ac:dyDescent="0.55000000000000004">
      <c r="W9246"/>
    </row>
    <row r="9247" spans="23:23" x14ac:dyDescent="0.55000000000000004">
      <c r="W9247"/>
    </row>
    <row r="9248" spans="23:23" x14ac:dyDescent="0.55000000000000004">
      <c r="W9248"/>
    </row>
    <row r="9249" spans="23:23" x14ac:dyDescent="0.55000000000000004">
      <c r="W9249"/>
    </row>
    <row r="9250" spans="23:23" x14ac:dyDescent="0.55000000000000004">
      <c r="W9250"/>
    </row>
    <row r="9251" spans="23:23" x14ac:dyDescent="0.55000000000000004">
      <c r="W9251"/>
    </row>
    <row r="9252" spans="23:23" x14ac:dyDescent="0.55000000000000004">
      <c r="W9252"/>
    </row>
    <row r="9253" spans="23:23" x14ac:dyDescent="0.55000000000000004">
      <c r="W9253"/>
    </row>
    <row r="9254" spans="23:23" x14ac:dyDescent="0.55000000000000004">
      <c r="W9254"/>
    </row>
    <row r="9255" spans="23:23" x14ac:dyDescent="0.55000000000000004">
      <c r="W9255"/>
    </row>
    <row r="9256" spans="23:23" x14ac:dyDescent="0.55000000000000004">
      <c r="W9256"/>
    </row>
    <row r="9257" spans="23:23" x14ac:dyDescent="0.55000000000000004">
      <c r="W9257"/>
    </row>
    <row r="9258" spans="23:23" x14ac:dyDescent="0.55000000000000004">
      <c r="W9258"/>
    </row>
    <row r="9259" spans="23:23" x14ac:dyDescent="0.55000000000000004">
      <c r="W9259"/>
    </row>
    <row r="9260" spans="23:23" x14ac:dyDescent="0.55000000000000004">
      <c r="W9260"/>
    </row>
    <row r="9261" spans="23:23" x14ac:dyDescent="0.55000000000000004">
      <c r="W9261"/>
    </row>
    <row r="9262" spans="23:23" x14ac:dyDescent="0.55000000000000004">
      <c r="W9262"/>
    </row>
    <row r="9263" spans="23:23" x14ac:dyDescent="0.55000000000000004">
      <c r="W9263"/>
    </row>
    <row r="9264" spans="23:23" x14ac:dyDescent="0.55000000000000004">
      <c r="W9264"/>
    </row>
    <row r="9265" spans="23:23" x14ac:dyDescent="0.55000000000000004">
      <c r="W9265"/>
    </row>
    <row r="9266" spans="23:23" x14ac:dyDescent="0.55000000000000004">
      <c r="W9266"/>
    </row>
    <row r="9267" spans="23:23" x14ac:dyDescent="0.55000000000000004">
      <c r="W9267"/>
    </row>
    <row r="9268" spans="23:23" x14ac:dyDescent="0.55000000000000004">
      <c r="W9268"/>
    </row>
    <row r="9269" spans="23:23" x14ac:dyDescent="0.55000000000000004">
      <c r="W9269"/>
    </row>
    <row r="9270" spans="23:23" x14ac:dyDescent="0.55000000000000004">
      <c r="W9270"/>
    </row>
    <row r="9271" spans="23:23" x14ac:dyDescent="0.55000000000000004">
      <c r="W9271"/>
    </row>
    <row r="9272" spans="23:23" x14ac:dyDescent="0.55000000000000004">
      <c r="W9272"/>
    </row>
    <row r="9273" spans="23:23" x14ac:dyDescent="0.55000000000000004">
      <c r="W9273"/>
    </row>
    <row r="9274" spans="23:23" x14ac:dyDescent="0.55000000000000004">
      <c r="W9274"/>
    </row>
    <row r="9275" spans="23:23" x14ac:dyDescent="0.55000000000000004">
      <c r="W9275"/>
    </row>
    <row r="9276" spans="23:23" x14ac:dyDescent="0.55000000000000004">
      <c r="W9276"/>
    </row>
    <row r="9277" spans="23:23" x14ac:dyDescent="0.55000000000000004">
      <c r="W9277"/>
    </row>
    <row r="9278" spans="23:23" x14ac:dyDescent="0.55000000000000004">
      <c r="W9278"/>
    </row>
    <row r="9279" spans="23:23" x14ac:dyDescent="0.55000000000000004">
      <c r="W9279"/>
    </row>
    <row r="9280" spans="23:23" x14ac:dyDescent="0.55000000000000004">
      <c r="W9280"/>
    </row>
    <row r="9281" spans="23:23" x14ac:dyDescent="0.55000000000000004">
      <c r="W9281"/>
    </row>
    <row r="9282" spans="23:23" x14ac:dyDescent="0.55000000000000004">
      <c r="W9282"/>
    </row>
    <row r="9283" spans="23:23" x14ac:dyDescent="0.55000000000000004">
      <c r="W9283"/>
    </row>
    <row r="9284" spans="23:23" x14ac:dyDescent="0.55000000000000004">
      <c r="W9284"/>
    </row>
    <row r="9285" spans="23:23" x14ac:dyDescent="0.55000000000000004">
      <c r="W9285"/>
    </row>
    <row r="9286" spans="23:23" x14ac:dyDescent="0.55000000000000004">
      <c r="W9286"/>
    </row>
    <row r="9287" spans="23:23" x14ac:dyDescent="0.55000000000000004">
      <c r="W9287"/>
    </row>
    <row r="9288" spans="23:23" x14ac:dyDescent="0.55000000000000004">
      <c r="W9288"/>
    </row>
    <row r="9289" spans="23:23" x14ac:dyDescent="0.55000000000000004">
      <c r="W9289"/>
    </row>
    <row r="9290" spans="23:23" x14ac:dyDescent="0.55000000000000004">
      <c r="W9290"/>
    </row>
    <row r="9291" spans="23:23" x14ac:dyDescent="0.55000000000000004">
      <c r="W9291"/>
    </row>
    <row r="9292" spans="23:23" x14ac:dyDescent="0.55000000000000004">
      <c r="W9292"/>
    </row>
    <row r="9293" spans="23:23" x14ac:dyDescent="0.55000000000000004">
      <c r="W9293"/>
    </row>
    <row r="9294" spans="23:23" x14ac:dyDescent="0.55000000000000004">
      <c r="W9294"/>
    </row>
    <row r="9295" spans="23:23" x14ac:dyDescent="0.55000000000000004">
      <c r="W9295"/>
    </row>
    <row r="9296" spans="23:23" x14ac:dyDescent="0.55000000000000004">
      <c r="W9296"/>
    </row>
    <row r="9297" spans="23:23" x14ac:dyDescent="0.55000000000000004">
      <c r="W9297"/>
    </row>
    <row r="9298" spans="23:23" x14ac:dyDescent="0.55000000000000004">
      <c r="W9298"/>
    </row>
    <row r="9299" spans="23:23" x14ac:dyDescent="0.55000000000000004">
      <c r="W9299"/>
    </row>
    <row r="9300" spans="23:23" x14ac:dyDescent="0.55000000000000004">
      <c r="W9300"/>
    </row>
    <row r="9301" spans="23:23" x14ac:dyDescent="0.55000000000000004">
      <c r="W9301"/>
    </row>
    <row r="9302" spans="23:23" x14ac:dyDescent="0.55000000000000004">
      <c r="W9302"/>
    </row>
    <row r="9303" spans="23:23" x14ac:dyDescent="0.55000000000000004">
      <c r="W9303"/>
    </row>
    <row r="9304" spans="23:23" x14ac:dyDescent="0.55000000000000004">
      <c r="W9304"/>
    </row>
    <row r="9305" spans="23:23" x14ac:dyDescent="0.55000000000000004">
      <c r="W9305"/>
    </row>
    <row r="9306" spans="23:23" x14ac:dyDescent="0.55000000000000004">
      <c r="W9306"/>
    </row>
    <row r="9307" spans="23:23" x14ac:dyDescent="0.55000000000000004">
      <c r="W9307"/>
    </row>
    <row r="9308" spans="23:23" x14ac:dyDescent="0.55000000000000004">
      <c r="W9308"/>
    </row>
    <row r="9309" spans="23:23" x14ac:dyDescent="0.55000000000000004">
      <c r="W9309"/>
    </row>
    <row r="9310" spans="23:23" x14ac:dyDescent="0.55000000000000004">
      <c r="W9310"/>
    </row>
    <row r="9311" spans="23:23" x14ac:dyDescent="0.55000000000000004">
      <c r="W9311"/>
    </row>
    <row r="9312" spans="23:23" x14ac:dyDescent="0.55000000000000004">
      <c r="W9312"/>
    </row>
    <row r="9313" spans="23:23" x14ac:dyDescent="0.55000000000000004">
      <c r="W9313"/>
    </row>
    <row r="9314" spans="23:23" x14ac:dyDescent="0.55000000000000004">
      <c r="W9314"/>
    </row>
    <row r="9315" spans="23:23" x14ac:dyDescent="0.55000000000000004">
      <c r="W9315"/>
    </row>
    <row r="9316" spans="23:23" x14ac:dyDescent="0.55000000000000004">
      <c r="W9316"/>
    </row>
    <row r="9317" spans="23:23" x14ac:dyDescent="0.55000000000000004">
      <c r="W9317"/>
    </row>
    <row r="9318" spans="23:23" x14ac:dyDescent="0.55000000000000004">
      <c r="W9318"/>
    </row>
    <row r="9319" spans="23:23" x14ac:dyDescent="0.55000000000000004">
      <c r="W9319"/>
    </row>
    <row r="9320" spans="23:23" x14ac:dyDescent="0.55000000000000004">
      <c r="W9320"/>
    </row>
    <row r="9321" spans="23:23" x14ac:dyDescent="0.55000000000000004">
      <c r="W9321"/>
    </row>
    <row r="9322" spans="23:23" x14ac:dyDescent="0.55000000000000004">
      <c r="W9322"/>
    </row>
    <row r="9323" spans="23:23" x14ac:dyDescent="0.55000000000000004">
      <c r="W9323"/>
    </row>
    <row r="9324" spans="23:23" x14ac:dyDescent="0.55000000000000004">
      <c r="W9324"/>
    </row>
    <row r="9325" spans="23:23" x14ac:dyDescent="0.55000000000000004">
      <c r="W9325"/>
    </row>
    <row r="9326" spans="23:23" x14ac:dyDescent="0.55000000000000004">
      <c r="W9326"/>
    </row>
    <row r="9327" spans="23:23" x14ac:dyDescent="0.55000000000000004">
      <c r="W9327"/>
    </row>
    <row r="9328" spans="23:23" x14ac:dyDescent="0.55000000000000004">
      <c r="W9328"/>
    </row>
    <row r="9329" spans="23:23" x14ac:dyDescent="0.55000000000000004">
      <c r="W9329"/>
    </row>
    <row r="9330" spans="23:23" x14ac:dyDescent="0.55000000000000004">
      <c r="W9330"/>
    </row>
    <row r="9331" spans="23:23" x14ac:dyDescent="0.55000000000000004">
      <c r="W9331"/>
    </row>
    <row r="9332" spans="23:23" x14ac:dyDescent="0.55000000000000004">
      <c r="W9332"/>
    </row>
    <row r="9333" spans="23:23" x14ac:dyDescent="0.55000000000000004">
      <c r="W9333"/>
    </row>
    <row r="9334" spans="23:23" x14ac:dyDescent="0.55000000000000004">
      <c r="W9334"/>
    </row>
    <row r="9335" spans="23:23" x14ac:dyDescent="0.55000000000000004">
      <c r="W9335"/>
    </row>
    <row r="9336" spans="23:23" x14ac:dyDescent="0.55000000000000004">
      <c r="W9336"/>
    </row>
    <row r="9337" spans="23:23" x14ac:dyDescent="0.55000000000000004">
      <c r="W9337"/>
    </row>
    <row r="9338" spans="23:23" x14ac:dyDescent="0.55000000000000004">
      <c r="W9338"/>
    </row>
    <row r="9339" spans="23:23" x14ac:dyDescent="0.55000000000000004">
      <c r="W9339"/>
    </row>
    <row r="9340" spans="23:23" x14ac:dyDescent="0.55000000000000004">
      <c r="W9340"/>
    </row>
    <row r="9341" spans="23:23" x14ac:dyDescent="0.55000000000000004">
      <c r="W9341"/>
    </row>
    <row r="9342" spans="23:23" x14ac:dyDescent="0.55000000000000004">
      <c r="W9342"/>
    </row>
    <row r="9343" spans="23:23" x14ac:dyDescent="0.55000000000000004">
      <c r="W9343"/>
    </row>
    <row r="9344" spans="23:23" x14ac:dyDescent="0.55000000000000004">
      <c r="W9344"/>
    </row>
    <row r="9345" spans="23:23" x14ac:dyDescent="0.55000000000000004">
      <c r="W9345"/>
    </row>
    <row r="9346" spans="23:23" x14ac:dyDescent="0.55000000000000004">
      <c r="W9346"/>
    </row>
    <row r="9347" spans="23:23" x14ac:dyDescent="0.55000000000000004">
      <c r="W9347"/>
    </row>
    <row r="9348" spans="23:23" x14ac:dyDescent="0.55000000000000004">
      <c r="W9348"/>
    </row>
    <row r="9349" spans="23:23" x14ac:dyDescent="0.55000000000000004">
      <c r="W9349"/>
    </row>
    <row r="9350" spans="23:23" x14ac:dyDescent="0.55000000000000004">
      <c r="W9350"/>
    </row>
    <row r="9351" spans="23:23" x14ac:dyDescent="0.55000000000000004">
      <c r="W9351"/>
    </row>
    <row r="9352" spans="23:23" x14ac:dyDescent="0.55000000000000004">
      <c r="W9352"/>
    </row>
    <row r="9353" spans="23:23" x14ac:dyDescent="0.55000000000000004">
      <c r="W9353"/>
    </row>
    <row r="9354" spans="23:23" x14ac:dyDescent="0.55000000000000004">
      <c r="W9354"/>
    </row>
    <row r="9355" spans="23:23" x14ac:dyDescent="0.55000000000000004">
      <c r="W9355"/>
    </row>
    <row r="9356" spans="23:23" x14ac:dyDescent="0.55000000000000004">
      <c r="W9356"/>
    </row>
    <row r="9357" spans="23:23" x14ac:dyDescent="0.55000000000000004">
      <c r="W9357"/>
    </row>
    <row r="9358" spans="23:23" x14ac:dyDescent="0.55000000000000004">
      <c r="W9358"/>
    </row>
    <row r="9359" spans="23:23" x14ac:dyDescent="0.55000000000000004">
      <c r="W9359"/>
    </row>
    <row r="9360" spans="23:23" x14ac:dyDescent="0.55000000000000004">
      <c r="W9360"/>
    </row>
    <row r="9361" spans="23:23" x14ac:dyDescent="0.55000000000000004">
      <c r="W9361"/>
    </row>
    <row r="9362" spans="23:23" x14ac:dyDescent="0.55000000000000004">
      <c r="W9362"/>
    </row>
    <row r="9363" spans="23:23" x14ac:dyDescent="0.55000000000000004">
      <c r="W9363"/>
    </row>
    <row r="9364" spans="23:23" x14ac:dyDescent="0.55000000000000004">
      <c r="W9364"/>
    </row>
    <row r="9365" spans="23:23" x14ac:dyDescent="0.55000000000000004">
      <c r="W9365"/>
    </row>
    <row r="9366" spans="23:23" x14ac:dyDescent="0.55000000000000004">
      <c r="W9366"/>
    </row>
    <row r="9367" spans="23:23" x14ac:dyDescent="0.55000000000000004">
      <c r="W9367"/>
    </row>
    <row r="9368" spans="23:23" x14ac:dyDescent="0.55000000000000004">
      <c r="W9368"/>
    </row>
    <row r="9369" spans="23:23" x14ac:dyDescent="0.55000000000000004">
      <c r="W9369"/>
    </row>
    <row r="9370" spans="23:23" x14ac:dyDescent="0.55000000000000004">
      <c r="W9370"/>
    </row>
    <row r="9371" spans="23:23" x14ac:dyDescent="0.55000000000000004">
      <c r="W9371"/>
    </row>
    <row r="9372" spans="23:23" x14ac:dyDescent="0.55000000000000004">
      <c r="W9372"/>
    </row>
    <row r="9373" spans="23:23" x14ac:dyDescent="0.55000000000000004">
      <c r="W9373"/>
    </row>
    <row r="9374" spans="23:23" x14ac:dyDescent="0.55000000000000004">
      <c r="W9374"/>
    </row>
    <row r="9375" spans="23:23" x14ac:dyDescent="0.55000000000000004">
      <c r="W9375"/>
    </row>
    <row r="9376" spans="23:23" x14ac:dyDescent="0.55000000000000004">
      <c r="W9376"/>
    </row>
    <row r="9377" spans="23:23" x14ac:dyDescent="0.55000000000000004">
      <c r="W9377"/>
    </row>
    <row r="9378" spans="23:23" x14ac:dyDescent="0.55000000000000004">
      <c r="W9378"/>
    </row>
    <row r="9379" spans="23:23" x14ac:dyDescent="0.55000000000000004">
      <c r="W9379"/>
    </row>
    <row r="9380" spans="23:23" x14ac:dyDescent="0.55000000000000004">
      <c r="W9380"/>
    </row>
    <row r="9381" spans="23:23" x14ac:dyDescent="0.55000000000000004">
      <c r="W9381"/>
    </row>
    <row r="9382" spans="23:23" x14ac:dyDescent="0.55000000000000004">
      <c r="W9382"/>
    </row>
    <row r="9383" spans="23:23" x14ac:dyDescent="0.55000000000000004">
      <c r="W9383"/>
    </row>
    <row r="9384" spans="23:23" x14ac:dyDescent="0.55000000000000004">
      <c r="W9384"/>
    </row>
    <row r="9385" spans="23:23" x14ac:dyDescent="0.55000000000000004">
      <c r="W9385"/>
    </row>
    <row r="9386" spans="23:23" x14ac:dyDescent="0.55000000000000004">
      <c r="W9386"/>
    </row>
    <row r="9387" spans="23:23" x14ac:dyDescent="0.55000000000000004">
      <c r="W9387"/>
    </row>
    <row r="9388" spans="23:23" x14ac:dyDescent="0.55000000000000004">
      <c r="W9388"/>
    </row>
    <row r="9389" spans="23:23" x14ac:dyDescent="0.55000000000000004">
      <c r="W9389"/>
    </row>
    <row r="9390" spans="23:23" x14ac:dyDescent="0.55000000000000004">
      <c r="W9390"/>
    </row>
    <row r="9391" spans="23:23" x14ac:dyDescent="0.55000000000000004">
      <c r="W9391"/>
    </row>
    <row r="9392" spans="23:23" x14ac:dyDescent="0.55000000000000004">
      <c r="W9392"/>
    </row>
    <row r="9393" spans="23:23" x14ac:dyDescent="0.55000000000000004">
      <c r="W9393"/>
    </row>
    <row r="9394" spans="23:23" x14ac:dyDescent="0.55000000000000004">
      <c r="W9394"/>
    </row>
    <row r="9395" spans="23:23" x14ac:dyDescent="0.55000000000000004">
      <c r="W9395"/>
    </row>
    <row r="9396" spans="23:23" x14ac:dyDescent="0.55000000000000004">
      <c r="W9396"/>
    </row>
    <row r="9397" spans="23:23" x14ac:dyDescent="0.55000000000000004">
      <c r="W9397"/>
    </row>
    <row r="9398" spans="23:23" x14ac:dyDescent="0.55000000000000004">
      <c r="W9398"/>
    </row>
    <row r="9399" spans="23:23" x14ac:dyDescent="0.55000000000000004">
      <c r="W9399"/>
    </row>
    <row r="9400" spans="23:23" x14ac:dyDescent="0.55000000000000004">
      <c r="W9400"/>
    </row>
    <row r="9401" spans="23:23" x14ac:dyDescent="0.55000000000000004">
      <c r="W9401"/>
    </row>
    <row r="9402" spans="23:23" x14ac:dyDescent="0.55000000000000004">
      <c r="W9402"/>
    </row>
    <row r="9403" spans="23:23" x14ac:dyDescent="0.55000000000000004">
      <c r="W9403"/>
    </row>
    <row r="9404" spans="23:23" x14ac:dyDescent="0.55000000000000004">
      <c r="W9404"/>
    </row>
    <row r="9405" spans="23:23" x14ac:dyDescent="0.55000000000000004">
      <c r="W9405"/>
    </row>
    <row r="9406" spans="23:23" x14ac:dyDescent="0.55000000000000004">
      <c r="W9406"/>
    </row>
    <row r="9407" spans="23:23" x14ac:dyDescent="0.55000000000000004">
      <c r="W9407"/>
    </row>
    <row r="9408" spans="23:23" x14ac:dyDescent="0.55000000000000004">
      <c r="W9408"/>
    </row>
    <row r="9409" spans="23:23" x14ac:dyDescent="0.55000000000000004">
      <c r="W9409"/>
    </row>
    <row r="9410" spans="23:23" x14ac:dyDescent="0.55000000000000004">
      <c r="W9410"/>
    </row>
    <row r="9411" spans="23:23" x14ac:dyDescent="0.55000000000000004">
      <c r="W9411"/>
    </row>
    <row r="9412" spans="23:23" x14ac:dyDescent="0.55000000000000004">
      <c r="W9412"/>
    </row>
    <row r="9413" spans="23:23" x14ac:dyDescent="0.55000000000000004">
      <c r="W9413"/>
    </row>
    <row r="9414" spans="23:23" x14ac:dyDescent="0.55000000000000004">
      <c r="W9414"/>
    </row>
    <row r="9415" spans="23:23" x14ac:dyDescent="0.55000000000000004">
      <c r="W9415"/>
    </row>
    <row r="9416" spans="23:23" x14ac:dyDescent="0.55000000000000004">
      <c r="W9416"/>
    </row>
    <row r="9417" spans="23:23" x14ac:dyDescent="0.55000000000000004">
      <c r="W9417"/>
    </row>
    <row r="9418" spans="23:23" x14ac:dyDescent="0.55000000000000004">
      <c r="W9418"/>
    </row>
    <row r="9419" spans="23:23" x14ac:dyDescent="0.55000000000000004">
      <c r="W9419"/>
    </row>
    <row r="9420" spans="23:23" x14ac:dyDescent="0.55000000000000004">
      <c r="W9420"/>
    </row>
    <row r="9421" spans="23:23" x14ac:dyDescent="0.55000000000000004">
      <c r="W9421"/>
    </row>
    <row r="9422" spans="23:23" x14ac:dyDescent="0.55000000000000004">
      <c r="W9422"/>
    </row>
    <row r="9423" spans="23:23" x14ac:dyDescent="0.55000000000000004">
      <c r="W9423"/>
    </row>
    <row r="9424" spans="23:23" x14ac:dyDescent="0.55000000000000004">
      <c r="W9424"/>
    </row>
    <row r="9425" spans="23:23" x14ac:dyDescent="0.55000000000000004">
      <c r="W9425"/>
    </row>
    <row r="9426" spans="23:23" x14ac:dyDescent="0.55000000000000004">
      <c r="W9426"/>
    </row>
    <row r="9427" spans="23:23" x14ac:dyDescent="0.55000000000000004">
      <c r="W9427"/>
    </row>
    <row r="9428" spans="23:23" x14ac:dyDescent="0.55000000000000004">
      <c r="W9428"/>
    </row>
    <row r="9429" spans="23:23" x14ac:dyDescent="0.55000000000000004">
      <c r="W9429"/>
    </row>
    <row r="9430" spans="23:23" x14ac:dyDescent="0.55000000000000004">
      <c r="W9430"/>
    </row>
    <row r="9431" spans="23:23" x14ac:dyDescent="0.55000000000000004">
      <c r="W9431"/>
    </row>
    <row r="9432" spans="23:23" x14ac:dyDescent="0.55000000000000004">
      <c r="W9432"/>
    </row>
    <row r="9433" spans="23:23" x14ac:dyDescent="0.55000000000000004">
      <c r="W9433"/>
    </row>
    <row r="9434" spans="23:23" x14ac:dyDescent="0.55000000000000004">
      <c r="W9434"/>
    </row>
    <row r="9435" spans="23:23" x14ac:dyDescent="0.55000000000000004">
      <c r="W9435"/>
    </row>
    <row r="9436" spans="23:23" x14ac:dyDescent="0.55000000000000004">
      <c r="W9436"/>
    </row>
    <row r="9437" spans="23:23" x14ac:dyDescent="0.55000000000000004">
      <c r="W9437"/>
    </row>
    <row r="9438" spans="23:23" x14ac:dyDescent="0.55000000000000004">
      <c r="W9438"/>
    </row>
    <row r="9439" spans="23:23" x14ac:dyDescent="0.55000000000000004">
      <c r="W9439"/>
    </row>
    <row r="9440" spans="23:23" x14ac:dyDescent="0.55000000000000004">
      <c r="W9440"/>
    </row>
    <row r="9441" spans="23:23" x14ac:dyDescent="0.55000000000000004">
      <c r="W9441"/>
    </row>
    <row r="9442" spans="23:23" x14ac:dyDescent="0.55000000000000004">
      <c r="W9442"/>
    </row>
    <row r="9443" spans="23:23" x14ac:dyDescent="0.55000000000000004">
      <c r="W9443"/>
    </row>
    <row r="9444" spans="23:23" x14ac:dyDescent="0.55000000000000004">
      <c r="W9444"/>
    </row>
    <row r="9445" spans="23:23" x14ac:dyDescent="0.55000000000000004">
      <c r="W9445"/>
    </row>
    <row r="9446" spans="23:23" x14ac:dyDescent="0.55000000000000004">
      <c r="W9446"/>
    </row>
    <row r="9447" spans="23:23" x14ac:dyDescent="0.55000000000000004">
      <c r="W9447"/>
    </row>
    <row r="9448" spans="23:23" x14ac:dyDescent="0.55000000000000004">
      <c r="W9448"/>
    </row>
    <row r="9449" spans="23:23" x14ac:dyDescent="0.55000000000000004">
      <c r="W9449"/>
    </row>
    <row r="9450" spans="23:23" x14ac:dyDescent="0.55000000000000004">
      <c r="W9450"/>
    </row>
    <row r="9451" spans="23:23" x14ac:dyDescent="0.55000000000000004">
      <c r="W9451"/>
    </row>
    <row r="9452" spans="23:23" x14ac:dyDescent="0.55000000000000004">
      <c r="W9452"/>
    </row>
    <row r="9453" spans="23:23" x14ac:dyDescent="0.55000000000000004">
      <c r="W9453"/>
    </row>
    <row r="9454" spans="23:23" x14ac:dyDescent="0.55000000000000004">
      <c r="W9454"/>
    </row>
    <row r="9455" spans="23:23" x14ac:dyDescent="0.55000000000000004">
      <c r="W9455"/>
    </row>
    <row r="9456" spans="23:23" x14ac:dyDescent="0.55000000000000004">
      <c r="W9456"/>
    </row>
    <row r="9457" spans="23:23" x14ac:dyDescent="0.55000000000000004">
      <c r="W9457"/>
    </row>
    <row r="9458" spans="23:23" x14ac:dyDescent="0.55000000000000004">
      <c r="W9458"/>
    </row>
    <row r="9459" spans="23:23" x14ac:dyDescent="0.55000000000000004">
      <c r="W9459"/>
    </row>
    <row r="9460" spans="23:23" x14ac:dyDescent="0.55000000000000004">
      <c r="W9460"/>
    </row>
    <row r="9461" spans="23:23" x14ac:dyDescent="0.55000000000000004">
      <c r="W9461"/>
    </row>
    <row r="9462" spans="23:23" x14ac:dyDescent="0.55000000000000004">
      <c r="W9462"/>
    </row>
    <row r="9463" spans="23:23" x14ac:dyDescent="0.55000000000000004">
      <c r="W9463"/>
    </row>
    <row r="9464" spans="23:23" x14ac:dyDescent="0.55000000000000004">
      <c r="W9464"/>
    </row>
    <row r="9465" spans="23:23" x14ac:dyDescent="0.55000000000000004">
      <c r="W9465"/>
    </row>
    <row r="9466" spans="23:23" x14ac:dyDescent="0.55000000000000004">
      <c r="W9466"/>
    </row>
    <row r="9467" spans="23:23" x14ac:dyDescent="0.55000000000000004">
      <c r="W9467"/>
    </row>
    <row r="9468" spans="23:23" x14ac:dyDescent="0.55000000000000004">
      <c r="W9468"/>
    </row>
    <row r="9469" spans="23:23" x14ac:dyDescent="0.55000000000000004">
      <c r="W9469"/>
    </row>
    <row r="9470" spans="23:23" x14ac:dyDescent="0.55000000000000004">
      <c r="W9470"/>
    </row>
    <row r="9471" spans="23:23" x14ac:dyDescent="0.55000000000000004">
      <c r="W9471"/>
    </row>
    <row r="9472" spans="23:23" x14ac:dyDescent="0.55000000000000004">
      <c r="W9472"/>
    </row>
    <row r="9473" spans="23:23" x14ac:dyDescent="0.55000000000000004">
      <c r="W9473"/>
    </row>
    <row r="9474" spans="23:23" x14ac:dyDescent="0.55000000000000004">
      <c r="W9474"/>
    </row>
    <row r="9475" spans="23:23" x14ac:dyDescent="0.55000000000000004">
      <c r="W9475"/>
    </row>
    <row r="9476" spans="23:23" x14ac:dyDescent="0.55000000000000004">
      <c r="W9476"/>
    </row>
    <row r="9477" spans="23:23" x14ac:dyDescent="0.55000000000000004">
      <c r="W9477"/>
    </row>
    <row r="9478" spans="23:23" x14ac:dyDescent="0.55000000000000004">
      <c r="W9478"/>
    </row>
    <row r="9479" spans="23:23" x14ac:dyDescent="0.55000000000000004">
      <c r="W9479"/>
    </row>
    <row r="9480" spans="23:23" x14ac:dyDescent="0.55000000000000004">
      <c r="W9480"/>
    </row>
    <row r="9481" spans="23:23" x14ac:dyDescent="0.55000000000000004">
      <c r="W9481"/>
    </row>
    <row r="9482" spans="23:23" x14ac:dyDescent="0.55000000000000004">
      <c r="W9482"/>
    </row>
    <row r="9483" spans="23:23" x14ac:dyDescent="0.55000000000000004">
      <c r="W9483"/>
    </row>
    <row r="9484" spans="23:23" x14ac:dyDescent="0.55000000000000004">
      <c r="W9484"/>
    </row>
    <row r="9485" spans="23:23" x14ac:dyDescent="0.55000000000000004">
      <c r="W9485"/>
    </row>
    <row r="9486" spans="23:23" x14ac:dyDescent="0.55000000000000004">
      <c r="W9486"/>
    </row>
    <row r="9487" spans="23:23" x14ac:dyDescent="0.55000000000000004">
      <c r="W9487"/>
    </row>
    <row r="9488" spans="23:23" x14ac:dyDescent="0.55000000000000004">
      <c r="W9488"/>
    </row>
    <row r="9489" spans="23:23" x14ac:dyDescent="0.55000000000000004">
      <c r="W9489"/>
    </row>
    <row r="9490" spans="23:23" x14ac:dyDescent="0.55000000000000004">
      <c r="W9490"/>
    </row>
    <row r="9491" spans="23:23" x14ac:dyDescent="0.55000000000000004">
      <c r="W9491"/>
    </row>
    <row r="9492" spans="23:23" x14ac:dyDescent="0.55000000000000004">
      <c r="W9492"/>
    </row>
    <row r="9493" spans="23:23" x14ac:dyDescent="0.55000000000000004">
      <c r="W9493"/>
    </row>
    <row r="9494" spans="23:23" x14ac:dyDescent="0.55000000000000004">
      <c r="W9494"/>
    </row>
    <row r="9495" spans="23:23" x14ac:dyDescent="0.55000000000000004">
      <c r="W9495"/>
    </row>
    <row r="9496" spans="23:23" x14ac:dyDescent="0.55000000000000004">
      <c r="W9496"/>
    </row>
    <row r="9497" spans="23:23" x14ac:dyDescent="0.55000000000000004">
      <c r="W9497"/>
    </row>
    <row r="9498" spans="23:23" x14ac:dyDescent="0.55000000000000004">
      <c r="W9498"/>
    </row>
    <row r="9499" spans="23:23" x14ac:dyDescent="0.55000000000000004">
      <c r="W9499"/>
    </row>
    <row r="9500" spans="23:23" x14ac:dyDescent="0.55000000000000004">
      <c r="W9500"/>
    </row>
    <row r="9501" spans="23:23" x14ac:dyDescent="0.55000000000000004">
      <c r="W9501"/>
    </row>
    <row r="9502" spans="23:23" x14ac:dyDescent="0.55000000000000004">
      <c r="W9502"/>
    </row>
    <row r="9503" spans="23:23" x14ac:dyDescent="0.55000000000000004">
      <c r="W9503"/>
    </row>
    <row r="9504" spans="23:23" x14ac:dyDescent="0.55000000000000004">
      <c r="W9504"/>
    </row>
    <row r="9505" spans="23:23" x14ac:dyDescent="0.55000000000000004">
      <c r="W9505"/>
    </row>
    <row r="9506" spans="23:23" x14ac:dyDescent="0.55000000000000004">
      <c r="W9506"/>
    </row>
    <row r="9507" spans="23:23" x14ac:dyDescent="0.55000000000000004">
      <c r="W9507"/>
    </row>
    <row r="9508" spans="23:23" x14ac:dyDescent="0.55000000000000004">
      <c r="W9508"/>
    </row>
    <row r="9509" spans="23:23" x14ac:dyDescent="0.55000000000000004">
      <c r="W9509"/>
    </row>
    <row r="9510" spans="23:23" x14ac:dyDescent="0.55000000000000004">
      <c r="W9510"/>
    </row>
    <row r="9511" spans="23:23" x14ac:dyDescent="0.55000000000000004">
      <c r="W9511"/>
    </row>
    <row r="9512" spans="23:23" x14ac:dyDescent="0.55000000000000004">
      <c r="W9512"/>
    </row>
    <row r="9513" spans="23:23" x14ac:dyDescent="0.55000000000000004">
      <c r="W9513"/>
    </row>
    <row r="9514" spans="23:23" x14ac:dyDescent="0.55000000000000004">
      <c r="W9514"/>
    </row>
    <row r="9515" spans="23:23" x14ac:dyDescent="0.55000000000000004">
      <c r="W9515"/>
    </row>
    <row r="9516" spans="23:23" x14ac:dyDescent="0.55000000000000004">
      <c r="W9516"/>
    </row>
    <row r="9517" spans="23:23" x14ac:dyDescent="0.55000000000000004">
      <c r="W9517"/>
    </row>
    <row r="9518" spans="23:23" x14ac:dyDescent="0.55000000000000004">
      <c r="W9518"/>
    </row>
    <row r="9519" spans="23:23" x14ac:dyDescent="0.55000000000000004">
      <c r="W9519"/>
    </row>
    <row r="9520" spans="23:23" x14ac:dyDescent="0.55000000000000004">
      <c r="W9520"/>
    </row>
    <row r="9521" spans="23:23" x14ac:dyDescent="0.55000000000000004">
      <c r="W9521"/>
    </row>
    <row r="9522" spans="23:23" x14ac:dyDescent="0.55000000000000004">
      <c r="W9522"/>
    </row>
    <row r="9523" spans="23:23" x14ac:dyDescent="0.55000000000000004">
      <c r="W9523"/>
    </row>
    <row r="9524" spans="23:23" x14ac:dyDescent="0.55000000000000004">
      <c r="W9524"/>
    </row>
    <row r="9525" spans="23:23" x14ac:dyDescent="0.55000000000000004">
      <c r="W9525"/>
    </row>
    <row r="9526" spans="23:23" x14ac:dyDescent="0.55000000000000004">
      <c r="W9526"/>
    </row>
    <row r="9527" spans="23:23" x14ac:dyDescent="0.55000000000000004">
      <c r="W9527"/>
    </row>
    <row r="9528" spans="23:23" x14ac:dyDescent="0.55000000000000004">
      <c r="W9528"/>
    </row>
    <row r="9529" spans="23:23" x14ac:dyDescent="0.55000000000000004">
      <c r="W9529"/>
    </row>
    <row r="9530" spans="23:23" x14ac:dyDescent="0.55000000000000004">
      <c r="W9530"/>
    </row>
    <row r="9531" spans="23:23" x14ac:dyDescent="0.55000000000000004">
      <c r="W9531"/>
    </row>
    <row r="9532" spans="23:23" x14ac:dyDescent="0.55000000000000004">
      <c r="W9532"/>
    </row>
    <row r="9533" spans="23:23" x14ac:dyDescent="0.55000000000000004">
      <c r="W9533"/>
    </row>
    <row r="9534" spans="23:23" x14ac:dyDescent="0.55000000000000004">
      <c r="W9534"/>
    </row>
    <row r="9535" spans="23:23" x14ac:dyDescent="0.55000000000000004">
      <c r="W9535"/>
    </row>
    <row r="9536" spans="23:23" x14ac:dyDescent="0.55000000000000004">
      <c r="W9536"/>
    </row>
    <row r="9537" spans="23:23" x14ac:dyDescent="0.55000000000000004">
      <c r="W9537"/>
    </row>
    <row r="9538" spans="23:23" x14ac:dyDescent="0.55000000000000004">
      <c r="W9538"/>
    </row>
    <row r="9539" spans="23:23" x14ac:dyDescent="0.55000000000000004">
      <c r="W9539"/>
    </row>
    <row r="9540" spans="23:23" x14ac:dyDescent="0.55000000000000004">
      <c r="W9540"/>
    </row>
    <row r="9541" spans="23:23" x14ac:dyDescent="0.55000000000000004">
      <c r="W9541"/>
    </row>
    <row r="9542" spans="23:23" x14ac:dyDescent="0.55000000000000004">
      <c r="W9542"/>
    </row>
    <row r="9543" spans="23:23" x14ac:dyDescent="0.55000000000000004">
      <c r="W9543"/>
    </row>
    <row r="9544" spans="23:23" x14ac:dyDescent="0.55000000000000004">
      <c r="W9544"/>
    </row>
    <row r="9545" spans="23:23" x14ac:dyDescent="0.55000000000000004">
      <c r="W9545"/>
    </row>
    <row r="9546" spans="23:23" x14ac:dyDescent="0.55000000000000004">
      <c r="W9546"/>
    </row>
    <row r="9547" spans="23:23" x14ac:dyDescent="0.55000000000000004">
      <c r="W9547"/>
    </row>
    <row r="9548" spans="23:23" x14ac:dyDescent="0.55000000000000004">
      <c r="W9548"/>
    </row>
    <row r="9549" spans="23:23" x14ac:dyDescent="0.55000000000000004">
      <c r="W9549"/>
    </row>
    <row r="9550" spans="23:23" x14ac:dyDescent="0.55000000000000004">
      <c r="W9550"/>
    </row>
    <row r="9551" spans="23:23" x14ac:dyDescent="0.55000000000000004">
      <c r="W9551"/>
    </row>
    <row r="9552" spans="23:23" x14ac:dyDescent="0.55000000000000004">
      <c r="W9552"/>
    </row>
    <row r="9553" spans="23:23" x14ac:dyDescent="0.55000000000000004">
      <c r="W9553"/>
    </row>
    <row r="9554" spans="23:23" x14ac:dyDescent="0.55000000000000004">
      <c r="W9554"/>
    </row>
    <row r="9555" spans="23:23" x14ac:dyDescent="0.55000000000000004">
      <c r="W9555"/>
    </row>
    <row r="9556" spans="23:23" x14ac:dyDescent="0.55000000000000004">
      <c r="W9556"/>
    </row>
    <row r="9557" spans="23:23" x14ac:dyDescent="0.55000000000000004">
      <c r="W9557"/>
    </row>
    <row r="9558" spans="23:23" x14ac:dyDescent="0.55000000000000004">
      <c r="W9558"/>
    </row>
    <row r="9559" spans="23:23" x14ac:dyDescent="0.55000000000000004">
      <c r="W9559"/>
    </row>
    <row r="9560" spans="23:23" x14ac:dyDescent="0.55000000000000004">
      <c r="W9560"/>
    </row>
    <row r="9561" spans="23:23" x14ac:dyDescent="0.55000000000000004">
      <c r="W9561"/>
    </row>
    <row r="9562" spans="23:23" x14ac:dyDescent="0.55000000000000004">
      <c r="W9562"/>
    </row>
    <row r="9563" spans="23:23" x14ac:dyDescent="0.55000000000000004">
      <c r="W9563"/>
    </row>
    <row r="9564" spans="23:23" x14ac:dyDescent="0.55000000000000004">
      <c r="W9564"/>
    </row>
    <row r="9565" spans="23:23" x14ac:dyDescent="0.55000000000000004">
      <c r="W9565"/>
    </row>
    <row r="9566" spans="23:23" x14ac:dyDescent="0.55000000000000004">
      <c r="W9566"/>
    </row>
    <row r="9567" spans="23:23" x14ac:dyDescent="0.55000000000000004">
      <c r="W9567"/>
    </row>
    <row r="9568" spans="23:23" x14ac:dyDescent="0.55000000000000004">
      <c r="W9568"/>
    </row>
    <row r="9569" spans="23:23" x14ac:dyDescent="0.55000000000000004">
      <c r="W9569"/>
    </row>
    <row r="9570" spans="23:23" x14ac:dyDescent="0.55000000000000004">
      <c r="W9570"/>
    </row>
    <row r="9571" spans="23:23" x14ac:dyDescent="0.55000000000000004">
      <c r="W9571"/>
    </row>
    <row r="9572" spans="23:23" x14ac:dyDescent="0.55000000000000004">
      <c r="W9572"/>
    </row>
    <row r="9573" spans="23:23" x14ac:dyDescent="0.55000000000000004">
      <c r="W9573"/>
    </row>
    <row r="9574" spans="23:23" x14ac:dyDescent="0.55000000000000004">
      <c r="W9574"/>
    </row>
    <row r="9575" spans="23:23" x14ac:dyDescent="0.55000000000000004">
      <c r="W9575"/>
    </row>
    <row r="9576" spans="23:23" x14ac:dyDescent="0.55000000000000004">
      <c r="W9576"/>
    </row>
    <row r="9577" spans="23:23" x14ac:dyDescent="0.55000000000000004">
      <c r="W9577"/>
    </row>
    <row r="9578" spans="23:23" x14ac:dyDescent="0.55000000000000004">
      <c r="W9578"/>
    </row>
    <row r="9579" spans="23:23" x14ac:dyDescent="0.55000000000000004">
      <c r="W9579"/>
    </row>
    <row r="9580" spans="23:23" x14ac:dyDescent="0.55000000000000004">
      <c r="W9580"/>
    </row>
    <row r="9581" spans="23:23" x14ac:dyDescent="0.55000000000000004">
      <c r="W9581"/>
    </row>
    <row r="9582" spans="23:23" x14ac:dyDescent="0.55000000000000004">
      <c r="W9582"/>
    </row>
    <row r="9583" spans="23:23" x14ac:dyDescent="0.55000000000000004">
      <c r="W9583"/>
    </row>
    <row r="9584" spans="23:23" x14ac:dyDescent="0.55000000000000004">
      <c r="W9584"/>
    </row>
    <row r="9585" spans="23:23" x14ac:dyDescent="0.55000000000000004">
      <c r="W9585"/>
    </row>
    <row r="9586" spans="23:23" x14ac:dyDescent="0.55000000000000004">
      <c r="W9586"/>
    </row>
    <row r="9587" spans="23:23" x14ac:dyDescent="0.55000000000000004">
      <c r="W9587"/>
    </row>
    <row r="9588" spans="23:23" x14ac:dyDescent="0.55000000000000004">
      <c r="W9588"/>
    </row>
    <row r="9589" spans="23:23" x14ac:dyDescent="0.55000000000000004">
      <c r="W9589"/>
    </row>
    <row r="9590" spans="23:23" x14ac:dyDescent="0.55000000000000004">
      <c r="W9590"/>
    </row>
    <row r="9591" spans="23:23" x14ac:dyDescent="0.55000000000000004">
      <c r="W9591"/>
    </row>
    <row r="9592" spans="23:23" x14ac:dyDescent="0.55000000000000004">
      <c r="W9592"/>
    </row>
    <row r="9593" spans="23:23" x14ac:dyDescent="0.55000000000000004">
      <c r="W9593"/>
    </row>
    <row r="9594" spans="23:23" x14ac:dyDescent="0.55000000000000004">
      <c r="W9594"/>
    </row>
    <row r="9595" spans="23:23" x14ac:dyDescent="0.55000000000000004">
      <c r="W9595"/>
    </row>
    <row r="9596" spans="23:23" x14ac:dyDescent="0.55000000000000004">
      <c r="W9596"/>
    </row>
    <row r="9597" spans="23:23" x14ac:dyDescent="0.55000000000000004">
      <c r="W9597"/>
    </row>
    <row r="9598" spans="23:23" x14ac:dyDescent="0.55000000000000004">
      <c r="W9598"/>
    </row>
    <row r="9599" spans="23:23" x14ac:dyDescent="0.55000000000000004">
      <c r="W9599"/>
    </row>
    <row r="9600" spans="23:23" x14ac:dyDescent="0.55000000000000004">
      <c r="W9600"/>
    </row>
    <row r="9601" spans="23:23" x14ac:dyDescent="0.55000000000000004">
      <c r="W9601"/>
    </row>
    <row r="9602" spans="23:23" x14ac:dyDescent="0.55000000000000004">
      <c r="W9602"/>
    </row>
    <row r="9603" spans="23:23" x14ac:dyDescent="0.55000000000000004">
      <c r="W9603"/>
    </row>
    <row r="9604" spans="23:23" x14ac:dyDescent="0.55000000000000004">
      <c r="W9604"/>
    </row>
    <row r="9605" spans="23:23" x14ac:dyDescent="0.55000000000000004">
      <c r="W9605"/>
    </row>
    <row r="9606" spans="23:23" x14ac:dyDescent="0.55000000000000004">
      <c r="W9606"/>
    </row>
    <row r="9607" spans="23:23" x14ac:dyDescent="0.55000000000000004">
      <c r="W9607"/>
    </row>
    <row r="9608" spans="23:23" x14ac:dyDescent="0.55000000000000004">
      <c r="W9608"/>
    </row>
    <row r="9609" spans="23:23" x14ac:dyDescent="0.55000000000000004">
      <c r="W9609"/>
    </row>
    <row r="9610" spans="23:23" x14ac:dyDescent="0.55000000000000004">
      <c r="W9610"/>
    </row>
    <row r="9611" spans="23:23" x14ac:dyDescent="0.55000000000000004">
      <c r="W9611"/>
    </row>
    <row r="9612" spans="23:23" x14ac:dyDescent="0.55000000000000004">
      <c r="W9612"/>
    </row>
    <row r="9613" spans="23:23" x14ac:dyDescent="0.55000000000000004">
      <c r="W9613"/>
    </row>
    <row r="9614" spans="23:23" x14ac:dyDescent="0.55000000000000004">
      <c r="W9614"/>
    </row>
    <row r="9615" spans="23:23" x14ac:dyDescent="0.55000000000000004">
      <c r="W9615"/>
    </row>
    <row r="9616" spans="23:23" x14ac:dyDescent="0.55000000000000004">
      <c r="W9616"/>
    </row>
    <row r="9617" spans="23:23" x14ac:dyDescent="0.55000000000000004">
      <c r="W9617"/>
    </row>
    <row r="9618" spans="23:23" x14ac:dyDescent="0.55000000000000004">
      <c r="W9618"/>
    </row>
    <row r="9619" spans="23:23" x14ac:dyDescent="0.55000000000000004">
      <c r="W9619"/>
    </row>
    <row r="9620" spans="23:23" x14ac:dyDescent="0.55000000000000004">
      <c r="W9620"/>
    </row>
    <row r="9621" spans="23:23" x14ac:dyDescent="0.55000000000000004">
      <c r="W9621"/>
    </row>
    <row r="9622" spans="23:23" x14ac:dyDescent="0.55000000000000004">
      <c r="W9622"/>
    </row>
    <row r="9623" spans="23:23" x14ac:dyDescent="0.55000000000000004">
      <c r="W9623"/>
    </row>
    <row r="9624" spans="23:23" x14ac:dyDescent="0.55000000000000004">
      <c r="W9624"/>
    </row>
    <row r="9625" spans="23:23" x14ac:dyDescent="0.55000000000000004">
      <c r="W9625"/>
    </row>
    <row r="9626" spans="23:23" x14ac:dyDescent="0.55000000000000004">
      <c r="W9626"/>
    </row>
    <row r="9627" spans="23:23" x14ac:dyDescent="0.55000000000000004">
      <c r="W9627"/>
    </row>
    <row r="9628" spans="23:23" x14ac:dyDescent="0.55000000000000004">
      <c r="W9628"/>
    </row>
    <row r="9629" spans="23:23" x14ac:dyDescent="0.55000000000000004">
      <c r="W9629"/>
    </row>
    <row r="9630" spans="23:23" x14ac:dyDescent="0.55000000000000004">
      <c r="W9630"/>
    </row>
    <row r="9631" spans="23:23" x14ac:dyDescent="0.55000000000000004">
      <c r="W9631"/>
    </row>
    <row r="9632" spans="23:23" x14ac:dyDescent="0.55000000000000004">
      <c r="W9632"/>
    </row>
    <row r="9633" spans="23:23" x14ac:dyDescent="0.55000000000000004">
      <c r="W9633"/>
    </row>
    <row r="9634" spans="23:23" x14ac:dyDescent="0.55000000000000004">
      <c r="W9634"/>
    </row>
    <row r="9635" spans="23:23" x14ac:dyDescent="0.55000000000000004">
      <c r="W9635"/>
    </row>
    <row r="9636" spans="23:23" x14ac:dyDescent="0.55000000000000004">
      <c r="W9636"/>
    </row>
    <row r="9637" spans="23:23" x14ac:dyDescent="0.55000000000000004">
      <c r="W9637"/>
    </row>
    <row r="9638" spans="23:23" x14ac:dyDescent="0.55000000000000004">
      <c r="W9638"/>
    </row>
    <row r="9639" spans="23:23" x14ac:dyDescent="0.55000000000000004">
      <c r="W9639"/>
    </row>
    <row r="9640" spans="23:23" x14ac:dyDescent="0.55000000000000004">
      <c r="W9640"/>
    </row>
    <row r="9641" spans="23:23" x14ac:dyDescent="0.55000000000000004">
      <c r="W9641"/>
    </row>
    <row r="9642" spans="23:23" x14ac:dyDescent="0.55000000000000004">
      <c r="W9642"/>
    </row>
    <row r="9643" spans="23:23" x14ac:dyDescent="0.55000000000000004">
      <c r="W9643"/>
    </row>
    <row r="9644" spans="23:23" x14ac:dyDescent="0.55000000000000004">
      <c r="W9644"/>
    </row>
    <row r="9645" spans="23:23" x14ac:dyDescent="0.55000000000000004">
      <c r="W9645"/>
    </row>
    <row r="9646" spans="23:23" x14ac:dyDescent="0.55000000000000004">
      <c r="W9646"/>
    </row>
    <row r="9647" spans="23:23" x14ac:dyDescent="0.55000000000000004">
      <c r="W9647"/>
    </row>
    <row r="9648" spans="23:23" x14ac:dyDescent="0.55000000000000004">
      <c r="W9648"/>
    </row>
    <row r="9649" spans="23:23" x14ac:dyDescent="0.55000000000000004">
      <c r="W9649"/>
    </row>
    <row r="9650" spans="23:23" x14ac:dyDescent="0.55000000000000004">
      <c r="W9650"/>
    </row>
    <row r="9651" spans="23:23" x14ac:dyDescent="0.55000000000000004">
      <c r="W9651"/>
    </row>
    <row r="9652" spans="23:23" x14ac:dyDescent="0.55000000000000004">
      <c r="W9652"/>
    </row>
    <row r="9653" spans="23:23" x14ac:dyDescent="0.55000000000000004">
      <c r="W9653"/>
    </row>
    <row r="9654" spans="23:23" x14ac:dyDescent="0.55000000000000004">
      <c r="W9654"/>
    </row>
    <row r="9655" spans="23:23" x14ac:dyDescent="0.55000000000000004">
      <c r="W9655"/>
    </row>
    <row r="9656" spans="23:23" x14ac:dyDescent="0.55000000000000004">
      <c r="W9656"/>
    </row>
    <row r="9657" spans="23:23" x14ac:dyDescent="0.55000000000000004">
      <c r="W9657"/>
    </row>
    <row r="9658" spans="23:23" x14ac:dyDescent="0.55000000000000004">
      <c r="W9658"/>
    </row>
    <row r="9659" spans="23:23" x14ac:dyDescent="0.55000000000000004">
      <c r="W9659"/>
    </row>
    <row r="9660" spans="23:23" x14ac:dyDescent="0.55000000000000004">
      <c r="W9660"/>
    </row>
    <row r="9661" spans="23:23" x14ac:dyDescent="0.55000000000000004">
      <c r="W9661"/>
    </row>
    <row r="9662" spans="23:23" x14ac:dyDescent="0.55000000000000004">
      <c r="W9662"/>
    </row>
    <row r="9663" spans="23:23" x14ac:dyDescent="0.55000000000000004">
      <c r="W9663"/>
    </row>
    <row r="9664" spans="23:23" x14ac:dyDescent="0.55000000000000004">
      <c r="W9664"/>
    </row>
    <row r="9665" spans="23:23" x14ac:dyDescent="0.55000000000000004">
      <c r="W9665"/>
    </row>
    <row r="9666" spans="23:23" x14ac:dyDescent="0.55000000000000004">
      <c r="W9666"/>
    </row>
    <row r="9667" spans="23:23" x14ac:dyDescent="0.55000000000000004">
      <c r="W9667"/>
    </row>
    <row r="9668" spans="23:23" x14ac:dyDescent="0.55000000000000004">
      <c r="W9668"/>
    </row>
    <row r="9669" spans="23:23" x14ac:dyDescent="0.55000000000000004">
      <c r="W9669"/>
    </row>
    <row r="9670" spans="23:23" x14ac:dyDescent="0.55000000000000004">
      <c r="W9670"/>
    </row>
    <row r="9671" spans="23:23" x14ac:dyDescent="0.55000000000000004">
      <c r="W9671"/>
    </row>
    <row r="9672" spans="23:23" x14ac:dyDescent="0.55000000000000004">
      <c r="W9672"/>
    </row>
    <row r="9673" spans="23:23" x14ac:dyDescent="0.55000000000000004">
      <c r="W9673"/>
    </row>
    <row r="9674" spans="23:23" x14ac:dyDescent="0.55000000000000004">
      <c r="W9674"/>
    </row>
    <row r="9675" spans="23:23" x14ac:dyDescent="0.55000000000000004">
      <c r="W9675"/>
    </row>
    <row r="9676" spans="23:23" x14ac:dyDescent="0.55000000000000004">
      <c r="W9676"/>
    </row>
    <row r="9677" spans="23:23" x14ac:dyDescent="0.55000000000000004">
      <c r="W9677"/>
    </row>
    <row r="9678" spans="23:23" x14ac:dyDescent="0.55000000000000004">
      <c r="W9678"/>
    </row>
    <row r="9679" spans="23:23" x14ac:dyDescent="0.55000000000000004">
      <c r="W9679"/>
    </row>
    <row r="9680" spans="23:23" x14ac:dyDescent="0.55000000000000004">
      <c r="W9680"/>
    </row>
    <row r="9681" spans="23:23" x14ac:dyDescent="0.55000000000000004">
      <c r="W9681"/>
    </row>
    <row r="9682" spans="23:23" x14ac:dyDescent="0.55000000000000004">
      <c r="W9682"/>
    </row>
    <row r="9683" spans="23:23" x14ac:dyDescent="0.55000000000000004">
      <c r="W9683"/>
    </row>
    <row r="9684" spans="23:23" x14ac:dyDescent="0.55000000000000004">
      <c r="W9684"/>
    </row>
    <row r="9685" spans="23:23" x14ac:dyDescent="0.55000000000000004">
      <c r="W9685"/>
    </row>
    <row r="9686" spans="23:23" x14ac:dyDescent="0.55000000000000004">
      <c r="W9686"/>
    </row>
    <row r="9687" spans="23:23" x14ac:dyDescent="0.55000000000000004">
      <c r="W9687"/>
    </row>
    <row r="9688" spans="23:23" x14ac:dyDescent="0.55000000000000004">
      <c r="W9688"/>
    </row>
    <row r="9689" spans="23:23" x14ac:dyDescent="0.55000000000000004">
      <c r="W9689"/>
    </row>
    <row r="9690" spans="23:23" x14ac:dyDescent="0.55000000000000004">
      <c r="W9690"/>
    </row>
    <row r="9691" spans="23:23" x14ac:dyDescent="0.55000000000000004">
      <c r="W9691"/>
    </row>
    <row r="9692" spans="23:23" x14ac:dyDescent="0.55000000000000004">
      <c r="W9692"/>
    </row>
    <row r="9693" spans="23:23" x14ac:dyDescent="0.55000000000000004">
      <c r="W9693"/>
    </row>
    <row r="9694" spans="23:23" x14ac:dyDescent="0.55000000000000004">
      <c r="W9694"/>
    </row>
    <row r="9695" spans="23:23" x14ac:dyDescent="0.55000000000000004">
      <c r="W9695"/>
    </row>
    <row r="9696" spans="23:23" x14ac:dyDescent="0.55000000000000004">
      <c r="W9696"/>
    </row>
    <row r="9697" spans="23:23" x14ac:dyDescent="0.55000000000000004">
      <c r="W9697"/>
    </row>
    <row r="9698" spans="23:23" x14ac:dyDescent="0.55000000000000004">
      <c r="W9698"/>
    </row>
    <row r="9699" spans="23:23" x14ac:dyDescent="0.55000000000000004">
      <c r="W9699"/>
    </row>
    <row r="9700" spans="23:23" x14ac:dyDescent="0.55000000000000004">
      <c r="W9700"/>
    </row>
    <row r="9701" spans="23:23" x14ac:dyDescent="0.55000000000000004">
      <c r="W9701"/>
    </row>
    <row r="9702" spans="23:23" x14ac:dyDescent="0.55000000000000004">
      <c r="W9702"/>
    </row>
    <row r="9703" spans="23:23" x14ac:dyDescent="0.55000000000000004">
      <c r="W9703"/>
    </row>
    <row r="9704" spans="23:23" x14ac:dyDescent="0.55000000000000004">
      <c r="W9704"/>
    </row>
    <row r="9705" spans="23:23" x14ac:dyDescent="0.55000000000000004">
      <c r="W9705"/>
    </row>
    <row r="9706" spans="23:23" x14ac:dyDescent="0.55000000000000004">
      <c r="W9706"/>
    </row>
    <row r="9707" spans="23:23" x14ac:dyDescent="0.55000000000000004">
      <c r="W9707"/>
    </row>
    <row r="9708" spans="23:23" x14ac:dyDescent="0.55000000000000004">
      <c r="W9708"/>
    </row>
    <row r="9709" spans="23:23" x14ac:dyDescent="0.55000000000000004">
      <c r="W9709"/>
    </row>
    <row r="9710" spans="23:23" x14ac:dyDescent="0.55000000000000004">
      <c r="W9710"/>
    </row>
    <row r="9711" spans="23:23" x14ac:dyDescent="0.55000000000000004">
      <c r="W9711"/>
    </row>
    <row r="9712" spans="23:23" x14ac:dyDescent="0.55000000000000004">
      <c r="W9712"/>
    </row>
    <row r="9713" spans="23:23" x14ac:dyDescent="0.55000000000000004">
      <c r="W9713"/>
    </row>
    <row r="9714" spans="23:23" x14ac:dyDescent="0.55000000000000004">
      <c r="W9714"/>
    </row>
    <row r="9715" spans="23:23" x14ac:dyDescent="0.55000000000000004">
      <c r="W9715"/>
    </row>
    <row r="9716" spans="23:23" x14ac:dyDescent="0.55000000000000004">
      <c r="W9716"/>
    </row>
    <row r="9717" spans="23:23" x14ac:dyDescent="0.55000000000000004">
      <c r="W9717"/>
    </row>
    <row r="9718" spans="23:23" x14ac:dyDescent="0.55000000000000004">
      <c r="W9718"/>
    </row>
    <row r="9719" spans="23:23" x14ac:dyDescent="0.55000000000000004">
      <c r="W9719"/>
    </row>
    <row r="9720" spans="23:23" x14ac:dyDescent="0.55000000000000004">
      <c r="W9720"/>
    </row>
    <row r="9721" spans="23:23" x14ac:dyDescent="0.55000000000000004">
      <c r="W9721"/>
    </row>
    <row r="9722" spans="23:23" x14ac:dyDescent="0.55000000000000004">
      <c r="W9722"/>
    </row>
    <row r="9723" spans="23:23" x14ac:dyDescent="0.55000000000000004">
      <c r="W9723"/>
    </row>
    <row r="9724" spans="23:23" x14ac:dyDescent="0.55000000000000004">
      <c r="W9724"/>
    </row>
    <row r="9725" spans="23:23" x14ac:dyDescent="0.55000000000000004">
      <c r="W9725"/>
    </row>
    <row r="9726" spans="23:23" x14ac:dyDescent="0.55000000000000004">
      <c r="W9726"/>
    </row>
    <row r="9727" spans="23:23" x14ac:dyDescent="0.55000000000000004">
      <c r="W9727"/>
    </row>
    <row r="9728" spans="23:23" x14ac:dyDescent="0.55000000000000004">
      <c r="W9728"/>
    </row>
    <row r="9729" spans="23:23" x14ac:dyDescent="0.55000000000000004">
      <c r="W9729"/>
    </row>
    <row r="9730" spans="23:23" x14ac:dyDescent="0.55000000000000004">
      <c r="W9730"/>
    </row>
    <row r="9731" spans="23:23" x14ac:dyDescent="0.55000000000000004">
      <c r="W9731"/>
    </row>
    <row r="9732" spans="23:23" x14ac:dyDescent="0.55000000000000004">
      <c r="W9732"/>
    </row>
    <row r="9733" spans="23:23" x14ac:dyDescent="0.55000000000000004">
      <c r="W9733"/>
    </row>
    <row r="9734" spans="23:23" x14ac:dyDescent="0.55000000000000004">
      <c r="W9734"/>
    </row>
    <row r="9735" spans="23:23" x14ac:dyDescent="0.55000000000000004">
      <c r="W9735"/>
    </row>
    <row r="9736" spans="23:23" x14ac:dyDescent="0.55000000000000004">
      <c r="W9736"/>
    </row>
    <row r="9737" spans="23:23" x14ac:dyDescent="0.55000000000000004">
      <c r="W9737"/>
    </row>
    <row r="9738" spans="23:23" x14ac:dyDescent="0.55000000000000004">
      <c r="W9738"/>
    </row>
    <row r="9739" spans="23:23" x14ac:dyDescent="0.55000000000000004">
      <c r="W9739"/>
    </row>
    <row r="9740" spans="23:23" x14ac:dyDescent="0.55000000000000004">
      <c r="W9740"/>
    </row>
    <row r="9741" spans="23:23" x14ac:dyDescent="0.55000000000000004">
      <c r="W9741"/>
    </row>
    <row r="9742" spans="23:23" x14ac:dyDescent="0.55000000000000004">
      <c r="W9742"/>
    </row>
    <row r="9743" spans="23:23" x14ac:dyDescent="0.55000000000000004">
      <c r="W9743"/>
    </row>
    <row r="9744" spans="23:23" x14ac:dyDescent="0.55000000000000004">
      <c r="W9744"/>
    </row>
    <row r="9745" spans="23:23" x14ac:dyDescent="0.55000000000000004">
      <c r="W9745"/>
    </row>
    <row r="9746" spans="23:23" x14ac:dyDescent="0.55000000000000004">
      <c r="W9746"/>
    </row>
    <row r="9747" spans="23:23" x14ac:dyDescent="0.55000000000000004">
      <c r="W9747"/>
    </row>
    <row r="9748" spans="23:23" x14ac:dyDescent="0.55000000000000004">
      <c r="W9748"/>
    </row>
    <row r="9749" spans="23:23" x14ac:dyDescent="0.55000000000000004">
      <c r="W9749"/>
    </row>
    <row r="9750" spans="23:23" x14ac:dyDescent="0.55000000000000004">
      <c r="W9750"/>
    </row>
    <row r="9751" spans="23:23" x14ac:dyDescent="0.55000000000000004">
      <c r="W9751"/>
    </row>
    <row r="9752" spans="23:23" x14ac:dyDescent="0.55000000000000004">
      <c r="W9752"/>
    </row>
    <row r="9753" spans="23:23" x14ac:dyDescent="0.55000000000000004">
      <c r="W9753"/>
    </row>
    <row r="9754" spans="23:23" x14ac:dyDescent="0.55000000000000004">
      <c r="W9754"/>
    </row>
    <row r="9755" spans="23:23" x14ac:dyDescent="0.55000000000000004">
      <c r="W9755"/>
    </row>
    <row r="9756" spans="23:23" x14ac:dyDescent="0.55000000000000004">
      <c r="W9756"/>
    </row>
    <row r="9757" spans="23:23" x14ac:dyDescent="0.55000000000000004">
      <c r="W9757"/>
    </row>
    <row r="9758" spans="23:23" x14ac:dyDescent="0.55000000000000004">
      <c r="W9758"/>
    </row>
    <row r="9759" spans="23:23" x14ac:dyDescent="0.55000000000000004">
      <c r="W9759"/>
    </row>
    <row r="9760" spans="23:23" x14ac:dyDescent="0.55000000000000004">
      <c r="W9760"/>
    </row>
    <row r="9761" spans="23:23" x14ac:dyDescent="0.55000000000000004">
      <c r="W9761"/>
    </row>
    <row r="9762" spans="23:23" x14ac:dyDescent="0.55000000000000004">
      <c r="W9762"/>
    </row>
    <row r="9763" spans="23:23" x14ac:dyDescent="0.55000000000000004">
      <c r="W9763"/>
    </row>
    <row r="9764" spans="23:23" x14ac:dyDescent="0.55000000000000004">
      <c r="W9764"/>
    </row>
    <row r="9765" spans="23:23" x14ac:dyDescent="0.55000000000000004">
      <c r="W9765"/>
    </row>
    <row r="9766" spans="23:23" x14ac:dyDescent="0.55000000000000004">
      <c r="W9766"/>
    </row>
    <row r="9767" spans="23:23" x14ac:dyDescent="0.55000000000000004">
      <c r="W9767"/>
    </row>
    <row r="9768" spans="23:23" x14ac:dyDescent="0.55000000000000004">
      <c r="W9768"/>
    </row>
    <row r="9769" spans="23:23" x14ac:dyDescent="0.55000000000000004">
      <c r="W9769"/>
    </row>
    <row r="9770" spans="23:23" x14ac:dyDescent="0.55000000000000004">
      <c r="W9770"/>
    </row>
    <row r="9771" spans="23:23" x14ac:dyDescent="0.55000000000000004">
      <c r="W9771"/>
    </row>
    <row r="9772" spans="23:23" x14ac:dyDescent="0.55000000000000004">
      <c r="W9772"/>
    </row>
    <row r="9773" spans="23:23" x14ac:dyDescent="0.55000000000000004">
      <c r="W9773"/>
    </row>
    <row r="9774" spans="23:23" x14ac:dyDescent="0.55000000000000004">
      <c r="W9774"/>
    </row>
    <row r="9775" spans="23:23" x14ac:dyDescent="0.55000000000000004">
      <c r="W9775"/>
    </row>
    <row r="9776" spans="23:23" x14ac:dyDescent="0.55000000000000004">
      <c r="W9776"/>
    </row>
    <row r="9777" spans="23:23" x14ac:dyDescent="0.55000000000000004">
      <c r="W9777"/>
    </row>
    <row r="9778" spans="23:23" x14ac:dyDescent="0.55000000000000004">
      <c r="W9778"/>
    </row>
    <row r="9779" spans="23:23" x14ac:dyDescent="0.55000000000000004">
      <c r="W9779"/>
    </row>
    <row r="9780" spans="23:23" x14ac:dyDescent="0.55000000000000004">
      <c r="W9780"/>
    </row>
    <row r="9781" spans="23:23" x14ac:dyDescent="0.55000000000000004">
      <c r="W9781"/>
    </row>
    <row r="9782" spans="23:23" x14ac:dyDescent="0.55000000000000004">
      <c r="W9782"/>
    </row>
    <row r="9783" spans="23:23" x14ac:dyDescent="0.55000000000000004">
      <c r="W9783"/>
    </row>
    <row r="9784" spans="23:23" x14ac:dyDescent="0.55000000000000004">
      <c r="W9784"/>
    </row>
    <row r="9785" spans="23:23" x14ac:dyDescent="0.55000000000000004">
      <c r="W9785"/>
    </row>
    <row r="9786" spans="23:23" x14ac:dyDescent="0.55000000000000004">
      <c r="W9786"/>
    </row>
    <row r="9787" spans="23:23" x14ac:dyDescent="0.55000000000000004">
      <c r="W9787"/>
    </row>
    <row r="9788" spans="23:23" x14ac:dyDescent="0.55000000000000004">
      <c r="W9788"/>
    </row>
    <row r="9789" spans="23:23" x14ac:dyDescent="0.55000000000000004">
      <c r="W9789"/>
    </row>
    <row r="9790" spans="23:23" x14ac:dyDescent="0.55000000000000004">
      <c r="W9790"/>
    </row>
    <row r="9791" spans="23:23" x14ac:dyDescent="0.55000000000000004">
      <c r="W9791"/>
    </row>
    <row r="9792" spans="23:23" x14ac:dyDescent="0.55000000000000004">
      <c r="W9792"/>
    </row>
    <row r="9793" spans="23:23" x14ac:dyDescent="0.55000000000000004">
      <c r="W9793"/>
    </row>
    <row r="9794" spans="23:23" x14ac:dyDescent="0.55000000000000004">
      <c r="W9794"/>
    </row>
    <row r="9795" spans="23:23" x14ac:dyDescent="0.55000000000000004">
      <c r="W9795"/>
    </row>
    <row r="9796" spans="23:23" x14ac:dyDescent="0.55000000000000004">
      <c r="W9796"/>
    </row>
    <row r="9797" spans="23:23" x14ac:dyDescent="0.55000000000000004">
      <c r="W9797"/>
    </row>
    <row r="9798" spans="23:23" x14ac:dyDescent="0.55000000000000004">
      <c r="W9798"/>
    </row>
    <row r="9799" spans="23:23" x14ac:dyDescent="0.55000000000000004">
      <c r="W9799"/>
    </row>
    <row r="9800" spans="23:23" x14ac:dyDescent="0.55000000000000004">
      <c r="W9800"/>
    </row>
    <row r="9801" spans="23:23" x14ac:dyDescent="0.55000000000000004">
      <c r="W9801"/>
    </row>
    <row r="9802" spans="23:23" x14ac:dyDescent="0.55000000000000004">
      <c r="W9802"/>
    </row>
    <row r="9803" spans="23:23" x14ac:dyDescent="0.55000000000000004">
      <c r="W9803"/>
    </row>
    <row r="9804" spans="23:23" x14ac:dyDescent="0.55000000000000004">
      <c r="W9804"/>
    </row>
    <row r="9805" spans="23:23" x14ac:dyDescent="0.55000000000000004">
      <c r="W9805"/>
    </row>
    <row r="9806" spans="23:23" x14ac:dyDescent="0.55000000000000004">
      <c r="W9806"/>
    </row>
    <row r="9807" spans="23:23" x14ac:dyDescent="0.55000000000000004">
      <c r="W9807"/>
    </row>
    <row r="9808" spans="23:23" x14ac:dyDescent="0.55000000000000004">
      <c r="W9808"/>
    </row>
    <row r="9809" spans="23:23" x14ac:dyDescent="0.55000000000000004">
      <c r="W9809"/>
    </row>
    <row r="9810" spans="23:23" x14ac:dyDescent="0.55000000000000004">
      <c r="W9810"/>
    </row>
    <row r="9811" spans="23:23" x14ac:dyDescent="0.55000000000000004">
      <c r="W9811"/>
    </row>
    <row r="9812" spans="23:23" x14ac:dyDescent="0.55000000000000004">
      <c r="W9812"/>
    </row>
    <row r="9813" spans="23:23" x14ac:dyDescent="0.55000000000000004">
      <c r="W9813"/>
    </row>
    <row r="9814" spans="23:23" x14ac:dyDescent="0.55000000000000004">
      <c r="W9814"/>
    </row>
    <row r="9815" spans="23:23" x14ac:dyDescent="0.55000000000000004">
      <c r="W9815"/>
    </row>
    <row r="9816" spans="23:23" x14ac:dyDescent="0.55000000000000004">
      <c r="W9816"/>
    </row>
    <row r="9817" spans="23:23" x14ac:dyDescent="0.55000000000000004">
      <c r="W9817"/>
    </row>
    <row r="9818" spans="23:23" x14ac:dyDescent="0.55000000000000004">
      <c r="W9818"/>
    </row>
    <row r="9819" spans="23:23" x14ac:dyDescent="0.55000000000000004">
      <c r="W9819"/>
    </row>
    <row r="9820" spans="23:23" x14ac:dyDescent="0.55000000000000004">
      <c r="W9820"/>
    </row>
    <row r="9821" spans="23:23" x14ac:dyDescent="0.55000000000000004">
      <c r="W9821"/>
    </row>
    <row r="9822" spans="23:23" x14ac:dyDescent="0.55000000000000004">
      <c r="W9822"/>
    </row>
    <row r="9823" spans="23:23" x14ac:dyDescent="0.55000000000000004">
      <c r="W9823"/>
    </row>
    <row r="9824" spans="23:23" x14ac:dyDescent="0.55000000000000004">
      <c r="W9824"/>
    </row>
    <row r="9825" spans="23:23" x14ac:dyDescent="0.55000000000000004">
      <c r="W9825"/>
    </row>
    <row r="9826" spans="23:23" x14ac:dyDescent="0.55000000000000004">
      <c r="W9826"/>
    </row>
    <row r="9827" spans="23:23" x14ac:dyDescent="0.55000000000000004">
      <c r="W9827"/>
    </row>
    <row r="9828" spans="23:23" x14ac:dyDescent="0.55000000000000004">
      <c r="W9828"/>
    </row>
    <row r="9829" spans="23:23" x14ac:dyDescent="0.55000000000000004">
      <c r="W9829"/>
    </row>
    <row r="9830" spans="23:23" x14ac:dyDescent="0.55000000000000004">
      <c r="W9830"/>
    </row>
    <row r="9831" spans="23:23" x14ac:dyDescent="0.55000000000000004">
      <c r="W9831"/>
    </row>
    <row r="9832" spans="23:23" x14ac:dyDescent="0.55000000000000004">
      <c r="W9832"/>
    </row>
    <row r="9833" spans="23:23" x14ac:dyDescent="0.55000000000000004">
      <c r="W9833"/>
    </row>
    <row r="9834" spans="23:23" x14ac:dyDescent="0.55000000000000004">
      <c r="W9834"/>
    </row>
    <row r="9835" spans="23:23" x14ac:dyDescent="0.55000000000000004">
      <c r="W9835"/>
    </row>
    <row r="9836" spans="23:23" x14ac:dyDescent="0.55000000000000004">
      <c r="W9836"/>
    </row>
    <row r="9837" spans="23:23" x14ac:dyDescent="0.55000000000000004">
      <c r="W9837"/>
    </row>
    <row r="9838" spans="23:23" x14ac:dyDescent="0.55000000000000004">
      <c r="W9838"/>
    </row>
    <row r="9839" spans="23:23" x14ac:dyDescent="0.55000000000000004">
      <c r="W9839"/>
    </row>
    <row r="9840" spans="23:23" x14ac:dyDescent="0.55000000000000004">
      <c r="W9840"/>
    </row>
    <row r="9841" spans="23:23" x14ac:dyDescent="0.55000000000000004">
      <c r="W9841"/>
    </row>
    <row r="9842" spans="23:23" x14ac:dyDescent="0.55000000000000004">
      <c r="W9842"/>
    </row>
    <row r="9843" spans="23:23" x14ac:dyDescent="0.55000000000000004">
      <c r="W9843"/>
    </row>
    <row r="9844" spans="23:23" x14ac:dyDescent="0.55000000000000004">
      <c r="W9844"/>
    </row>
    <row r="9845" spans="23:23" x14ac:dyDescent="0.55000000000000004">
      <c r="W9845"/>
    </row>
    <row r="9846" spans="23:23" x14ac:dyDescent="0.55000000000000004">
      <c r="W9846"/>
    </row>
    <row r="9847" spans="23:23" x14ac:dyDescent="0.55000000000000004">
      <c r="W9847"/>
    </row>
    <row r="9848" spans="23:23" x14ac:dyDescent="0.55000000000000004">
      <c r="W9848"/>
    </row>
    <row r="9849" spans="23:23" x14ac:dyDescent="0.55000000000000004">
      <c r="W9849"/>
    </row>
    <row r="9850" spans="23:23" x14ac:dyDescent="0.55000000000000004">
      <c r="W9850"/>
    </row>
    <row r="9851" spans="23:23" x14ac:dyDescent="0.55000000000000004">
      <c r="W9851"/>
    </row>
    <row r="9852" spans="23:23" x14ac:dyDescent="0.55000000000000004">
      <c r="W9852"/>
    </row>
    <row r="9853" spans="23:23" x14ac:dyDescent="0.55000000000000004">
      <c r="W9853"/>
    </row>
    <row r="9854" spans="23:23" x14ac:dyDescent="0.55000000000000004">
      <c r="W9854"/>
    </row>
    <row r="9855" spans="23:23" x14ac:dyDescent="0.55000000000000004">
      <c r="W9855"/>
    </row>
    <row r="9856" spans="23:23" x14ac:dyDescent="0.55000000000000004">
      <c r="W9856"/>
    </row>
    <row r="9857" spans="23:23" x14ac:dyDescent="0.55000000000000004">
      <c r="W9857"/>
    </row>
    <row r="9858" spans="23:23" x14ac:dyDescent="0.55000000000000004">
      <c r="W9858"/>
    </row>
    <row r="9859" spans="23:23" x14ac:dyDescent="0.55000000000000004">
      <c r="W9859"/>
    </row>
    <row r="9860" spans="23:23" x14ac:dyDescent="0.55000000000000004">
      <c r="W9860"/>
    </row>
    <row r="9861" spans="23:23" x14ac:dyDescent="0.55000000000000004">
      <c r="W9861"/>
    </row>
    <row r="9862" spans="23:23" x14ac:dyDescent="0.55000000000000004">
      <c r="W9862"/>
    </row>
    <row r="9863" spans="23:23" x14ac:dyDescent="0.55000000000000004">
      <c r="W9863"/>
    </row>
    <row r="9864" spans="23:23" x14ac:dyDescent="0.55000000000000004">
      <c r="W9864"/>
    </row>
    <row r="9865" spans="23:23" x14ac:dyDescent="0.55000000000000004">
      <c r="W9865"/>
    </row>
    <row r="9866" spans="23:23" x14ac:dyDescent="0.55000000000000004">
      <c r="W9866"/>
    </row>
    <row r="9867" spans="23:23" x14ac:dyDescent="0.55000000000000004">
      <c r="W9867"/>
    </row>
    <row r="9868" spans="23:23" x14ac:dyDescent="0.55000000000000004">
      <c r="W9868"/>
    </row>
    <row r="9869" spans="23:23" x14ac:dyDescent="0.55000000000000004">
      <c r="W9869"/>
    </row>
    <row r="9870" spans="23:23" x14ac:dyDescent="0.55000000000000004">
      <c r="W9870"/>
    </row>
    <row r="9871" spans="23:23" x14ac:dyDescent="0.55000000000000004">
      <c r="W9871"/>
    </row>
    <row r="9872" spans="23:23" x14ac:dyDescent="0.55000000000000004">
      <c r="W9872"/>
    </row>
    <row r="9873" spans="23:23" x14ac:dyDescent="0.55000000000000004">
      <c r="W9873"/>
    </row>
    <row r="9874" spans="23:23" x14ac:dyDescent="0.55000000000000004">
      <c r="W9874"/>
    </row>
    <row r="9875" spans="23:23" x14ac:dyDescent="0.55000000000000004">
      <c r="W9875"/>
    </row>
    <row r="9876" spans="23:23" x14ac:dyDescent="0.55000000000000004">
      <c r="W9876"/>
    </row>
    <row r="9877" spans="23:23" x14ac:dyDescent="0.55000000000000004">
      <c r="W9877"/>
    </row>
    <row r="9878" spans="23:23" x14ac:dyDescent="0.55000000000000004">
      <c r="W9878"/>
    </row>
    <row r="9879" spans="23:23" x14ac:dyDescent="0.55000000000000004">
      <c r="W9879"/>
    </row>
    <row r="9880" spans="23:23" x14ac:dyDescent="0.55000000000000004">
      <c r="W9880"/>
    </row>
    <row r="9881" spans="23:23" x14ac:dyDescent="0.55000000000000004">
      <c r="W9881"/>
    </row>
    <row r="9882" spans="23:23" x14ac:dyDescent="0.55000000000000004">
      <c r="W9882"/>
    </row>
    <row r="9883" spans="23:23" x14ac:dyDescent="0.55000000000000004">
      <c r="W9883"/>
    </row>
    <row r="9884" spans="23:23" x14ac:dyDescent="0.55000000000000004">
      <c r="W9884"/>
    </row>
    <row r="9885" spans="23:23" x14ac:dyDescent="0.55000000000000004">
      <c r="W9885"/>
    </row>
    <row r="9886" spans="23:23" x14ac:dyDescent="0.55000000000000004">
      <c r="W9886"/>
    </row>
    <row r="9887" spans="23:23" x14ac:dyDescent="0.55000000000000004">
      <c r="W9887"/>
    </row>
    <row r="9888" spans="23:23" x14ac:dyDescent="0.55000000000000004">
      <c r="W9888"/>
    </row>
    <row r="9889" spans="23:23" x14ac:dyDescent="0.55000000000000004">
      <c r="W9889"/>
    </row>
    <row r="9890" spans="23:23" x14ac:dyDescent="0.55000000000000004">
      <c r="W9890"/>
    </row>
    <row r="9891" spans="23:23" x14ac:dyDescent="0.55000000000000004">
      <c r="W9891"/>
    </row>
    <row r="9892" spans="23:23" x14ac:dyDescent="0.55000000000000004">
      <c r="W9892"/>
    </row>
    <row r="9893" spans="23:23" x14ac:dyDescent="0.55000000000000004">
      <c r="W9893"/>
    </row>
    <row r="9894" spans="23:23" x14ac:dyDescent="0.55000000000000004">
      <c r="W9894"/>
    </row>
    <row r="9895" spans="23:23" x14ac:dyDescent="0.55000000000000004">
      <c r="W9895"/>
    </row>
    <row r="9896" spans="23:23" x14ac:dyDescent="0.55000000000000004">
      <c r="W9896"/>
    </row>
    <row r="9897" spans="23:23" x14ac:dyDescent="0.55000000000000004">
      <c r="W9897"/>
    </row>
    <row r="9898" spans="23:23" x14ac:dyDescent="0.55000000000000004">
      <c r="W9898"/>
    </row>
    <row r="9899" spans="23:23" x14ac:dyDescent="0.55000000000000004">
      <c r="W9899"/>
    </row>
    <row r="9900" spans="23:23" x14ac:dyDescent="0.55000000000000004">
      <c r="W9900"/>
    </row>
    <row r="9901" spans="23:23" x14ac:dyDescent="0.55000000000000004">
      <c r="W9901"/>
    </row>
    <row r="9902" spans="23:23" x14ac:dyDescent="0.55000000000000004">
      <c r="W9902"/>
    </row>
    <row r="9903" spans="23:23" x14ac:dyDescent="0.55000000000000004">
      <c r="W9903"/>
    </row>
    <row r="9904" spans="23:23" x14ac:dyDescent="0.55000000000000004">
      <c r="W9904"/>
    </row>
    <row r="9905" spans="23:23" x14ac:dyDescent="0.55000000000000004">
      <c r="W9905"/>
    </row>
    <row r="9906" spans="23:23" x14ac:dyDescent="0.55000000000000004">
      <c r="W9906"/>
    </row>
    <row r="9907" spans="23:23" x14ac:dyDescent="0.55000000000000004">
      <c r="W9907"/>
    </row>
    <row r="9908" spans="23:23" x14ac:dyDescent="0.55000000000000004">
      <c r="W9908"/>
    </row>
    <row r="9909" spans="23:23" x14ac:dyDescent="0.55000000000000004">
      <c r="W9909"/>
    </row>
    <row r="9910" spans="23:23" x14ac:dyDescent="0.55000000000000004">
      <c r="W9910"/>
    </row>
    <row r="9911" spans="23:23" x14ac:dyDescent="0.55000000000000004">
      <c r="W9911"/>
    </row>
    <row r="9912" spans="23:23" x14ac:dyDescent="0.55000000000000004">
      <c r="W9912"/>
    </row>
    <row r="9913" spans="23:23" x14ac:dyDescent="0.55000000000000004">
      <c r="W9913"/>
    </row>
    <row r="9914" spans="23:23" x14ac:dyDescent="0.55000000000000004">
      <c r="W9914"/>
    </row>
    <row r="9915" spans="23:23" x14ac:dyDescent="0.55000000000000004">
      <c r="W9915"/>
    </row>
    <row r="9916" spans="23:23" x14ac:dyDescent="0.55000000000000004">
      <c r="W9916"/>
    </row>
    <row r="9917" spans="23:23" x14ac:dyDescent="0.55000000000000004">
      <c r="W9917"/>
    </row>
    <row r="9918" spans="23:23" x14ac:dyDescent="0.55000000000000004">
      <c r="W9918"/>
    </row>
    <row r="9919" spans="23:23" x14ac:dyDescent="0.55000000000000004">
      <c r="W9919"/>
    </row>
    <row r="9920" spans="23:23" x14ac:dyDescent="0.55000000000000004">
      <c r="W9920"/>
    </row>
    <row r="9921" spans="23:23" x14ac:dyDescent="0.55000000000000004">
      <c r="W9921"/>
    </row>
    <row r="9922" spans="23:23" x14ac:dyDescent="0.55000000000000004">
      <c r="W9922"/>
    </row>
    <row r="9923" spans="23:23" x14ac:dyDescent="0.55000000000000004">
      <c r="W9923"/>
    </row>
    <row r="9924" spans="23:23" x14ac:dyDescent="0.55000000000000004">
      <c r="W9924"/>
    </row>
    <row r="9925" spans="23:23" x14ac:dyDescent="0.55000000000000004">
      <c r="W9925"/>
    </row>
    <row r="9926" spans="23:23" x14ac:dyDescent="0.55000000000000004">
      <c r="W9926"/>
    </row>
    <row r="9927" spans="23:23" x14ac:dyDescent="0.55000000000000004">
      <c r="W9927"/>
    </row>
    <row r="9928" spans="23:23" x14ac:dyDescent="0.55000000000000004">
      <c r="W9928"/>
    </row>
    <row r="9929" spans="23:23" x14ac:dyDescent="0.55000000000000004">
      <c r="W9929"/>
    </row>
    <row r="9930" spans="23:23" x14ac:dyDescent="0.55000000000000004">
      <c r="W9930"/>
    </row>
    <row r="9931" spans="23:23" x14ac:dyDescent="0.55000000000000004">
      <c r="W9931"/>
    </row>
    <row r="9932" spans="23:23" x14ac:dyDescent="0.55000000000000004">
      <c r="W9932"/>
    </row>
    <row r="9933" spans="23:23" x14ac:dyDescent="0.55000000000000004">
      <c r="W9933"/>
    </row>
    <row r="9934" spans="23:23" x14ac:dyDescent="0.55000000000000004">
      <c r="W9934"/>
    </row>
    <row r="9935" spans="23:23" x14ac:dyDescent="0.55000000000000004">
      <c r="W9935"/>
    </row>
    <row r="9936" spans="23:23" x14ac:dyDescent="0.55000000000000004">
      <c r="W9936"/>
    </row>
    <row r="9937" spans="23:23" x14ac:dyDescent="0.55000000000000004">
      <c r="W9937"/>
    </row>
    <row r="9938" spans="23:23" x14ac:dyDescent="0.55000000000000004">
      <c r="W9938"/>
    </row>
    <row r="9939" spans="23:23" x14ac:dyDescent="0.55000000000000004">
      <c r="W9939"/>
    </row>
    <row r="9940" spans="23:23" x14ac:dyDescent="0.55000000000000004">
      <c r="W9940"/>
    </row>
    <row r="9941" spans="23:23" x14ac:dyDescent="0.55000000000000004">
      <c r="W9941"/>
    </row>
    <row r="9942" spans="23:23" x14ac:dyDescent="0.55000000000000004">
      <c r="W9942"/>
    </row>
    <row r="9943" spans="23:23" x14ac:dyDescent="0.55000000000000004">
      <c r="W9943"/>
    </row>
    <row r="9944" spans="23:23" x14ac:dyDescent="0.55000000000000004">
      <c r="W9944"/>
    </row>
    <row r="9945" spans="23:23" x14ac:dyDescent="0.55000000000000004">
      <c r="W9945"/>
    </row>
    <row r="9946" spans="23:23" x14ac:dyDescent="0.55000000000000004">
      <c r="W9946"/>
    </row>
    <row r="9947" spans="23:23" x14ac:dyDescent="0.55000000000000004">
      <c r="W9947"/>
    </row>
    <row r="9948" spans="23:23" x14ac:dyDescent="0.55000000000000004">
      <c r="W9948"/>
    </row>
    <row r="9949" spans="23:23" x14ac:dyDescent="0.55000000000000004">
      <c r="W9949"/>
    </row>
    <row r="9950" spans="23:23" x14ac:dyDescent="0.55000000000000004">
      <c r="W9950"/>
    </row>
    <row r="9951" spans="23:23" x14ac:dyDescent="0.55000000000000004">
      <c r="W9951"/>
    </row>
    <row r="9952" spans="23:23" x14ac:dyDescent="0.55000000000000004">
      <c r="W9952"/>
    </row>
    <row r="9953" spans="23:23" x14ac:dyDescent="0.55000000000000004">
      <c r="W9953"/>
    </row>
    <row r="9954" spans="23:23" x14ac:dyDescent="0.55000000000000004">
      <c r="W9954"/>
    </row>
    <row r="9955" spans="23:23" x14ac:dyDescent="0.55000000000000004">
      <c r="W9955"/>
    </row>
    <row r="9956" spans="23:23" x14ac:dyDescent="0.55000000000000004">
      <c r="W9956"/>
    </row>
    <row r="9957" spans="23:23" x14ac:dyDescent="0.55000000000000004">
      <c r="W9957"/>
    </row>
    <row r="9958" spans="23:23" x14ac:dyDescent="0.55000000000000004">
      <c r="W9958"/>
    </row>
    <row r="9959" spans="23:23" x14ac:dyDescent="0.55000000000000004">
      <c r="W9959"/>
    </row>
    <row r="9960" spans="23:23" x14ac:dyDescent="0.55000000000000004">
      <c r="W9960"/>
    </row>
    <row r="9961" spans="23:23" x14ac:dyDescent="0.55000000000000004">
      <c r="W9961"/>
    </row>
    <row r="9962" spans="23:23" x14ac:dyDescent="0.55000000000000004">
      <c r="W9962"/>
    </row>
    <row r="9963" spans="23:23" x14ac:dyDescent="0.55000000000000004">
      <c r="W9963"/>
    </row>
    <row r="9964" spans="23:23" x14ac:dyDescent="0.55000000000000004">
      <c r="W9964"/>
    </row>
    <row r="9965" spans="23:23" x14ac:dyDescent="0.55000000000000004">
      <c r="W9965"/>
    </row>
    <row r="9966" spans="23:23" x14ac:dyDescent="0.55000000000000004">
      <c r="W9966"/>
    </row>
    <row r="9967" spans="23:23" x14ac:dyDescent="0.55000000000000004">
      <c r="W9967"/>
    </row>
    <row r="9968" spans="23:23" x14ac:dyDescent="0.55000000000000004">
      <c r="W9968"/>
    </row>
    <row r="9969" spans="23:23" x14ac:dyDescent="0.55000000000000004">
      <c r="W9969"/>
    </row>
    <row r="9970" spans="23:23" x14ac:dyDescent="0.55000000000000004">
      <c r="W9970"/>
    </row>
    <row r="9971" spans="23:23" x14ac:dyDescent="0.55000000000000004">
      <c r="W9971"/>
    </row>
    <row r="9972" spans="23:23" x14ac:dyDescent="0.55000000000000004">
      <c r="W9972"/>
    </row>
    <row r="9973" spans="23:23" x14ac:dyDescent="0.55000000000000004">
      <c r="W9973"/>
    </row>
    <row r="9974" spans="23:23" x14ac:dyDescent="0.55000000000000004">
      <c r="W9974"/>
    </row>
    <row r="9975" spans="23:23" x14ac:dyDescent="0.55000000000000004">
      <c r="W9975"/>
    </row>
    <row r="9976" spans="23:23" x14ac:dyDescent="0.55000000000000004">
      <c r="W9976"/>
    </row>
    <row r="9977" spans="23:23" x14ac:dyDescent="0.55000000000000004">
      <c r="W9977"/>
    </row>
    <row r="9978" spans="23:23" x14ac:dyDescent="0.55000000000000004">
      <c r="W9978"/>
    </row>
    <row r="9979" spans="23:23" x14ac:dyDescent="0.55000000000000004">
      <c r="W9979"/>
    </row>
    <row r="9980" spans="23:23" x14ac:dyDescent="0.55000000000000004">
      <c r="W9980"/>
    </row>
    <row r="9981" spans="23:23" x14ac:dyDescent="0.55000000000000004">
      <c r="W9981"/>
    </row>
    <row r="9982" spans="23:23" x14ac:dyDescent="0.55000000000000004">
      <c r="W9982"/>
    </row>
    <row r="9983" spans="23:23" x14ac:dyDescent="0.55000000000000004">
      <c r="W9983"/>
    </row>
    <row r="9984" spans="23:23" x14ac:dyDescent="0.55000000000000004">
      <c r="W9984"/>
    </row>
    <row r="9985" spans="23:23" x14ac:dyDescent="0.55000000000000004">
      <c r="W9985"/>
    </row>
    <row r="9986" spans="23:23" x14ac:dyDescent="0.55000000000000004">
      <c r="W9986"/>
    </row>
    <row r="9987" spans="23:23" x14ac:dyDescent="0.55000000000000004">
      <c r="W9987"/>
    </row>
    <row r="9988" spans="23:23" x14ac:dyDescent="0.55000000000000004">
      <c r="W9988"/>
    </row>
    <row r="9989" spans="23:23" x14ac:dyDescent="0.55000000000000004">
      <c r="W9989"/>
    </row>
    <row r="9990" spans="23:23" x14ac:dyDescent="0.55000000000000004">
      <c r="W9990"/>
    </row>
    <row r="9991" spans="23:23" x14ac:dyDescent="0.55000000000000004">
      <c r="W9991"/>
    </row>
    <row r="9992" spans="23:23" x14ac:dyDescent="0.55000000000000004">
      <c r="W9992"/>
    </row>
    <row r="9993" spans="23:23" x14ac:dyDescent="0.55000000000000004">
      <c r="W9993"/>
    </row>
    <row r="9994" spans="23:23" x14ac:dyDescent="0.55000000000000004">
      <c r="W9994"/>
    </row>
    <row r="9995" spans="23:23" x14ac:dyDescent="0.55000000000000004">
      <c r="W9995"/>
    </row>
    <row r="9996" spans="23:23" x14ac:dyDescent="0.55000000000000004">
      <c r="W9996"/>
    </row>
    <row r="9997" spans="23:23" x14ac:dyDescent="0.55000000000000004">
      <c r="W9997"/>
    </row>
    <row r="9998" spans="23:23" x14ac:dyDescent="0.55000000000000004">
      <c r="W9998"/>
    </row>
    <row r="9999" spans="23:23" x14ac:dyDescent="0.55000000000000004">
      <c r="W9999"/>
    </row>
    <row r="10000" spans="23:23" x14ac:dyDescent="0.55000000000000004">
      <c r="W10000"/>
    </row>
    <row r="10001" spans="23:23" x14ac:dyDescent="0.55000000000000004">
      <c r="W10001"/>
    </row>
    <row r="10002" spans="23:23" x14ac:dyDescent="0.55000000000000004">
      <c r="W10002"/>
    </row>
    <row r="10003" spans="23:23" x14ac:dyDescent="0.55000000000000004">
      <c r="W10003"/>
    </row>
    <row r="10004" spans="23:23" x14ac:dyDescent="0.55000000000000004">
      <c r="W10004"/>
    </row>
    <row r="10005" spans="23:23" x14ac:dyDescent="0.55000000000000004">
      <c r="W10005"/>
    </row>
    <row r="10006" spans="23:23" x14ac:dyDescent="0.55000000000000004">
      <c r="W10006"/>
    </row>
    <row r="10007" spans="23:23" x14ac:dyDescent="0.55000000000000004">
      <c r="W10007"/>
    </row>
    <row r="10008" spans="23:23" x14ac:dyDescent="0.55000000000000004">
      <c r="W10008"/>
    </row>
    <row r="10009" spans="23:23" x14ac:dyDescent="0.55000000000000004">
      <c r="W10009"/>
    </row>
    <row r="10010" spans="23:23" x14ac:dyDescent="0.55000000000000004">
      <c r="W10010"/>
    </row>
    <row r="10011" spans="23:23" x14ac:dyDescent="0.55000000000000004">
      <c r="W10011"/>
    </row>
    <row r="10012" spans="23:23" x14ac:dyDescent="0.55000000000000004">
      <c r="W10012"/>
    </row>
    <row r="10013" spans="23:23" x14ac:dyDescent="0.55000000000000004">
      <c r="W10013"/>
    </row>
    <row r="10014" spans="23:23" x14ac:dyDescent="0.55000000000000004">
      <c r="W10014"/>
    </row>
    <row r="10015" spans="23:23" x14ac:dyDescent="0.55000000000000004">
      <c r="W10015"/>
    </row>
    <row r="10016" spans="23:23" x14ac:dyDescent="0.55000000000000004">
      <c r="W10016"/>
    </row>
    <row r="10017" spans="23:23" x14ac:dyDescent="0.55000000000000004">
      <c r="W10017"/>
    </row>
    <row r="10018" spans="23:23" x14ac:dyDescent="0.55000000000000004">
      <c r="W10018"/>
    </row>
    <row r="10019" spans="23:23" x14ac:dyDescent="0.55000000000000004">
      <c r="W10019"/>
    </row>
    <row r="10020" spans="23:23" x14ac:dyDescent="0.55000000000000004">
      <c r="W10020"/>
    </row>
    <row r="10021" spans="23:23" x14ac:dyDescent="0.55000000000000004">
      <c r="W10021"/>
    </row>
    <row r="10022" spans="23:23" x14ac:dyDescent="0.55000000000000004">
      <c r="W10022"/>
    </row>
    <row r="10023" spans="23:23" x14ac:dyDescent="0.55000000000000004">
      <c r="W10023"/>
    </row>
    <row r="10024" spans="23:23" x14ac:dyDescent="0.55000000000000004">
      <c r="W10024"/>
    </row>
    <row r="10025" spans="23:23" x14ac:dyDescent="0.55000000000000004">
      <c r="W10025"/>
    </row>
    <row r="10026" spans="23:23" x14ac:dyDescent="0.55000000000000004">
      <c r="W10026"/>
    </row>
    <row r="10027" spans="23:23" x14ac:dyDescent="0.55000000000000004">
      <c r="W10027"/>
    </row>
    <row r="10028" spans="23:23" x14ac:dyDescent="0.55000000000000004">
      <c r="W10028"/>
    </row>
    <row r="10029" spans="23:23" x14ac:dyDescent="0.55000000000000004">
      <c r="W10029"/>
    </row>
    <row r="10030" spans="23:23" x14ac:dyDescent="0.55000000000000004">
      <c r="W10030"/>
    </row>
    <row r="10031" spans="23:23" x14ac:dyDescent="0.55000000000000004">
      <c r="W10031"/>
    </row>
    <row r="10032" spans="23:23" x14ac:dyDescent="0.55000000000000004">
      <c r="W10032"/>
    </row>
    <row r="10033" spans="23:23" x14ac:dyDescent="0.55000000000000004">
      <c r="W10033"/>
    </row>
    <row r="10034" spans="23:23" x14ac:dyDescent="0.55000000000000004">
      <c r="W10034"/>
    </row>
    <row r="10035" spans="23:23" x14ac:dyDescent="0.55000000000000004">
      <c r="W10035"/>
    </row>
    <row r="10036" spans="23:23" x14ac:dyDescent="0.55000000000000004">
      <c r="W10036"/>
    </row>
    <row r="10037" spans="23:23" x14ac:dyDescent="0.55000000000000004">
      <c r="W10037"/>
    </row>
    <row r="10038" spans="23:23" x14ac:dyDescent="0.55000000000000004">
      <c r="W10038"/>
    </row>
    <row r="10039" spans="23:23" x14ac:dyDescent="0.55000000000000004">
      <c r="W10039"/>
    </row>
    <row r="10040" spans="23:23" x14ac:dyDescent="0.55000000000000004">
      <c r="W10040"/>
    </row>
    <row r="10041" spans="23:23" x14ac:dyDescent="0.55000000000000004">
      <c r="W10041"/>
    </row>
    <row r="10042" spans="23:23" x14ac:dyDescent="0.55000000000000004">
      <c r="W10042"/>
    </row>
    <row r="10043" spans="23:23" x14ac:dyDescent="0.55000000000000004">
      <c r="W10043"/>
    </row>
    <row r="10044" spans="23:23" x14ac:dyDescent="0.55000000000000004">
      <c r="W10044"/>
    </row>
    <row r="10045" spans="23:23" x14ac:dyDescent="0.55000000000000004">
      <c r="W10045"/>
    </row>
    <row r="10046" spans="23:23" x14ac:dyDescent="0.55000000000000004">
      <c r="W10046"/>
    </row>
    <row r="10047" spans="23:23" x14ac:dyDescent="0.55000000000000004">
      <c r="W10047"/>
    </row>
    <row r="10048" spans="23:23" x14ac:dyDescent="0.55000000000000004">
      <c r="W10048"/>
    </row>
    <row r="10049" spans="23:23" x14ac:dyDescent="0.55000000000000004">
      <c r="W10049"/>
    </row>
    <row r="10050" spans="23:23" x14ac:dyDescent="0.55000000000000004">
      <c r="W10050"/>
    </row>
    <row r="10051" spans="23:23" x14ac:dyDescent="0.55000000000000004">
      <c r="W10051"/>
    </row>
    <row r="10052" spans="23:23" x14ac:dyDescent="0.55000000000000004">
      <c r="W10052"/>
    </row>
    <row r="10053" spans="23:23" x14ac:dyDescent="0.55000000000000004">
      <c r="W10053"/>
    </row>
    <row r="10054" spans="23:23" x14ac:dyDescent="0.55000000000000004">
      <c r="W10054"/>
    </row>
    <row r="10055" spans="23:23" x14ac:dyDescent="0.55000000000000004">
      <c r="W10055"/>
    </row>
    <row r="10056" spans="23:23" x14ac:dyDescent="0.55000000000000004">
      <c r="W10056"/>
    </row>
    <row r="10057" spans="23:23" x14ac:dyDescent="0.55000000000000004">
      <c r="W10057"/>
    </row>
    <row r="10058" spans="23:23" x14ac:dyDescent="0.55000000000000004">
      <c r="W10058"/>
    </row>
    <row r="10059" spans="23:23" x14ac:dyDescent="0.55000000000000004">
      <c r="W10059"/>
    </row>
    <row r="10060" spans="23:23" x14ac:dyDescent="0.55000000000000004">
      <c r="W10060"/>
    </row>
    <row r="10061" spans="23:23" x14ac:dyDescent="0.55000000000000004">
      <c r="W10061"/>
    </row>
    <row r="10062" spans="23:23" x14ac:dyDescent="0.55000000000000004">
      <c r="W10062"/>
    </row>
    <row r="10063" spans="23:23" x14ac:dyDescent="0.55000000000000004">
      <c r="W10063"/>
    </row>
    <row r="10064" spans="23:23" x14ac:dyDescent="0.55000000000000004">
      <c r="W10064"/>
    </row>
    <row r="10065" spans="23:23" x14ac:dyDescent="0.55000000000000004">
      <c r="W10065"/>
    </row>
    <row r="10066" spans="23:23" x14ac:dyDescent="0.55000000000000004">
      <c r="W10066"/>
    </row>
    <row r="10067" spans="23:23" x14ac:dyDescent="0.55000000000000004">
      <c r="W10067"/>
    </row>
    <row r="10068" spans="23:23" x14ac:dyDescent="0.55000000000000004">
      <c r="W10068"/>
    </row>
    <row r="10069" spans="23:23" x14ac:dyDescent="0.55000000000000004">
      <c r="W10069"/>
    </row>
    <row r="10070" spans="23:23" x14ac:dyDescent="0.55000000000000004">
      <c r="W10070"/>
    </row>
    <row r="10071" spans="23:23" x14ac:dyDescent="0.55000000000000004">
      <c r="W10071"/>
    </row>
    <row r="10072" spans="23:23" x14ac:dyDescent="0.55000000000000004">
      <c r="W10072"/>
    </row>
    <row r="10073" spans="23:23" x14ac:dyDescent="0.55000000000000004">
      <c r="W10073"/>
    </row>
    <row r="10074" spans="23:23" x14ac:dyDescent="0.55000000000000004">
      <c r="W10074"/>
    </row>
    <row r="10075" spans="23:23" x14ac:dyDescent="0.55000000000000004">
      <c r="W10075"/>
    </row>
    <row r="10076" spans="23:23" x14ac:dyDescent="0.55000000000000004">
      <c r="W10076"/>
    </row>
    <row r="10077" spans="23:23" x14ac:dyDescent="0.55000000000000004">
      <c r="W10077"/>
    </row>
    <row r="10078" spans="23:23" x14ac:dyDescent="0.55000000000000004">
      <c r="W10078"/>
    </row>
    <row r="10079" spans="23:23" x14ac:dyDescent="0.55000000000000004">
      <c r="W10079"/>
    </row>
    <row r="10080" spans="23:23" x14ac:dyDescent="0.55000000000000004">
      <c r="W10080"/>
    </row>
    <row r="10081" spans="23:23" x14ac:dyDescent="0.55000000000000004">
      <c r="W10081"/>
    </row>
    <row r="10082" spans="23:23" x14ac:dyDescent="0.55000000000000004">
      <c r="W10082"/>
    </row>
    <row r="10083" spans="23:23" x14ac:dyDescent="0.55000000000000004">
      <c r="W10083"/>
    </row>
    <row r="10084" spans="23:23" x14ac:dyDescent="0.55000000000000004">
      <c r="W10084"/>
    </row>
    <row r="10085" spans="23:23" x14ac:dyDescent="0.55000000000000004">
      <c r="W10085"/>
    </row>
    <row r="10086" spans="23:23" x14ac:dyDescent="0.55000000000000004">
      <c r="W10086"/>
    </row>
    <row r="10087" spans="23:23" x14ac:dyDescent="0.55000000000000004">
      <c r="W10087"/>
    </row>
    <row r="10088" spans="23:23" x14ac:dyDescent="0.55000000000000004">
      <c r="W10088"/>
    </row>
    <row r="10089" spans="23:23" x14ac:dyDescent="0.55000000000000004">
      <c r="W10089"/>
    </row>
    <row r="10090" spans="23:23" x14ac:dyDescent="0.55000000000000004">
      <c r="W10090"/>
    </row>
    <row r="10091" spans="23:23" x14ac:dyDescent="0.55000000000000004">
      <c r="W10091"/>
    </row>
    <row r="10092" spans="23:23" x14ac:dyDescent="0.55000000000000004">
      <c r="W10092"/>
    </row>
    <row r="10093" spans="23:23" x14ac:dyDescent="0.55000000000000004">
      <c r="W10093"/>
    </row>
    <row r="10094" spans="23:23" x14ac:dyDescent="0.55000000000000004">
      <c r="W10094"/>
    </row>
    <row r="10095" spans="23:23" x14ac:dyDescent="0.55000000000000004">
      <c r="W10095"/>
    </row>
    <row r="10096" spans="23:23" x14ac:dyDescent="0.55000000000000004">
      <c r="W10096"/>
    </row>
    <row r="10097" spans="23:23" x14ac:dyDescent="0.55000000000000004">
      <c r="W10097"/>
    </row>
    <row r="10098" spans="23:23" x14ac:dyDescent="0.55000000000000004">
      <c r="W10098"/>
    </row>
    <row r="10099" spans="23:23" x14ac:dyDescent="0.55000000000000004">
      <c r="W10099"/>
    </row>
    <row r="10100" spans="23:23" x14ac:dyDescent="0.55000000000000004">
      <c r="W10100"/>
    </row>
    <row r="10101" spans="23:23" x14ac:dyDescent="0.55000000000000004">
      <c r="W10101"/>
    </row>
    <row r="10102" spans="23:23" x14ac:dyDescent="0.55000000000000004">
      <c r="W10102"/>
    </row>
    <row r="10103" spans="23:23" x14ac:dyDescent="0.55000000000000004">
      <c r="W10103"/>
    </row>
    <row r="10104" spans="23:23" x14ac:dyDescent="0.55000000000000004">
      <c r="W10104"/>
    </row>
    <row r="10105" spans="23:23" x14ac:dyDescent="0.55000000000000004">
      <c r="W10105"/>
    </row>
    <row r="10106" spans="23:23" x14ac:dyDescent="0.55000000000000004">
      <c r="W10106"/>
    </row>
    <row r="10107" spans="23:23" x14ac:dyDescent="0.55000000000000004">
      <c r="W10107"/>
    </row>
    <row r="10108" spans="23:23" x14ac:dyDescent="0.55000000000000004">
      <c r="W10108"/>
    </row>
    <row r="10109" spans="23:23" x14ac:dyDescent="0.55000000000000004">
      <c r="W10109"/>
    </row>
    <row r="10110" spans="23:23" x14ac:dyDescent="0.55000000000000004">
      <c r="W10110"/>
    </row>
    <row r="10111" spans="23:23" x14ac:dyDescent="0.55000000000000004">
      <c r="W10111"/>
    </row>
    <row r="10112" spans="23:23" x14ac:dyDescent="0.55000000000000004">
      <c r="W10112"/>
    </row>
    <row r="10113" spans="23:23" x14ac:dyDescent="0.55000000000000004">
      <c r="W10113"/>
    </row>
    <row r="10114" spans="23:23" x14ac:dyDescent="0.55000000000000004">
      <c r="W10114"/>
    </row>
    <row r="10115" spans="23:23" x14ac:dyDescent="0.55000000000000004">
      <c r="W10115"/>
    </row>
    <row r="10116" spans="23:23" x14ac:dyDescent="0.55000000000000004">
      <c r="W10116"/>
    </row>
    <row r="10117" spans="23:23" x14ac:dyDescent="0.55000000000000004">
      <c r="W10117"/>
    </row>
    <row r="10118" spans="23:23" x14ac:dyDescent="0.55000000000000004">
      <c r="W10118"/>
    </row>
    <row r="10119" spans="23:23" x14ac:dyDescent="0.55000000000000004">
      <c r="W10119"/>
    </row>
    <row r="10120" spans="23:23" x14ac:dyDescent="0.55000000000000004">
      <c r="W10120"/>
    </row>
    <row r="10121" spans="23:23" x14ac:dyDescent="0.55000000000000004">
      <c r="W10121"/>
    </row>
    <row r="10122" spans="23:23" x14ac:dyDescent="0.55000000000000004">
      <c r="W10122"/>
    </row>
    <row r="10123" spans="23:23" x14ac:dyDescent="0.55000000000000004">
      <c r="W10123"/>
    </row>
    <row r="10124" spans="23:23" x14ac:dyDescent="0.55000000000000004">
      <c r="W10124"/>
    </row>
    <row r="10125" spans="23:23" x14ac:dyDescent="0.55000000000000004">
      <c r="W10125"/>
    </row>
    <row r="10126" spans="23:23" x14ac:dyDescent="0.55000000000000004">
      <c r="W10126"/>
    </row>
    <row r="10127" spans="23:23" x14ac:dyDescent="0.55000000000000004">
      <c r="W10127"/>
    </row>
    <row r="10128" spans="23:23" x14ac:dyDescent="0.55000000000000004">
      <c r="W10128"/>
    </row>
    <row r="10129" spans="23:23" x14ac:dyDescent="0.55000000000000004">
      <c r="W10129"/>
    </row>
    <row r="10130" spans="23:23" x14ac:dyDescent="0.55000000000000004">
      <c r="W10130"/>
    </row>
    <row r="10131" spans="23:23" x14ac:dyDescent="0.55000000000000004">
      <c r="W10131"/>
    </row>
    <row r="10132" spans="23:23" x14ac:dyDescent="0.55000000000000004">
      <c r="W10132"/>
    </row>
    <row r="10133" spans="23:23" x14ac:dyDescent="0.55000000000000004">
      <c r="W10133"/>
    </row>
    <row r="10134" spans="23:23" x14ac:dyDescent="0.55000000000000004">
      <c r="W10134"/>
    </row>
    <row r="10135" spans="23:23" x14ac:dyDescent="0.55000000000000004">
      <c r="W10135"/>
    </row>
    <row r="10136" spans="23:23" x14ac:dyDescent="0.55000000000000004">
      <c r="W10136"/>
    </row>
    <row r="10137" spans="23:23" x14ac:dyDescent="0.55000000000000004">
      <c r="W10137"/>
    </row>
    <row r="10138" spans="23:23" x14ac:dyDescent="0.55000000000000004">
      <c r="W10138"/>
    </row>
    <row r="10139" spans="23:23" x14ac:dyDescent="0.55000000000000004">
      <c r="W10139"/>
    </row>
    <row r="10140" spans="23:23" x14ac:dyDescent="0.55000000000000004">
      <c r="W10140"/>
    </row>
    <row r="10141" spans="23:23" x14ac:dyDescent="0.55000000000000004">
      <c r="W10141"/>
    </row>
    <row r="10142" spans="23:23" x14ac:dyDescent="0.55000000000000004">
      <c r="W10142"/>
    </row>
    <row r="10143" spans="23:23" x14ac:dyDescent="0.55000000000000004">
      <c r="W10143"/>
    </row>
    <row r="10144" spans="23:23" x14ac:dyDescent="0.55000000000000004">
      <c r="W10144"/>
    </row>
    <row r="10145" spans="23:23" x14ac:dyDescent="0.55000000000000004">
      <c r="W10145"/>
    </row>
    <row r="10146" spans="23:23" x14ac:dyDescent="0.55000000000000004">
      <c r="W10146"/>
    </row>
    <row r="10147" spans="23:23" x14ac:dyDescent="0.55000000000000004">
      <c r="W10147"/>
    </row>
    <row r="10148" spans="23:23" x14ac:dyDescent="0.55000000000000004">
      <c r="W10148"/>
    </row>
    <row r="10149" spans="23:23" x14ac:dyDescent="0.55000000000000004">
      <c r="W10149"/>
    </row>
    <row r="10150" spans="23:23" x14ac:dyDescent="0.55000000000000004">
      <c r="W10150"/>
    </row>
    <row r="10151" spans="23:23" x14ac:dyDescent="0.55000000000000004">
      <c r="W10151"/>
    </row>
    <row r="10152" spans="23:23" x14ac:dyDescent="0.55000000000000004">
      <c r="W10152"/>
    </row>
    <row r="10153" spans="23:23" x14ac:dyDescent="0.55000000000000004">
      <c r="W10153"/>
    </row>
    <row r="10154" spans="23:23" x14ac:dyDescent="0.55000000000000004">
      <c r="W10154"/>
    </row>
    <row r="10155" spans="23:23" x14ac:dyDescent="0.55000000000000004">
      <c r="W10155"/>
    </row>
    <row r="10156" spans="23:23" x14ac:dyDescent="0.55000000000000004">
      <c r="W10156"/>
    </row>
    <row r="10157" spans="23:23" x14ac:dyDescent="0.55000000000000004">
      <c r="W10157"/>
    </row>
    <row r="10158" spans="23:23" x14ac:dyDescent="0.55000000000000004">
      <c r="W10158"/>
    </row>
    <row r="10159" spans="23:23" x14ac:dyDescent="0.55000000000000004">
      <c r="W10159"/>
    </row>
    <row r="10160" spans="23:23" x14ac:dyDescent="0.55000000000000004">
      <c r="W10160"/>
    </row>
    <row r="10161" spans="23:23" x14ac:dyDescent="0.55000000000000004">
      <c r="W10161"/>
    </row>
    <row r="10162" spans="23:23" x14ac:dyDescent="0.55000000000000004">
      <c r="W10162"/>
    </row>
    <row r="10163" spans="23:23" x14ac:dyDescent="0.55000000000000004">
      <c r="W10163"/>
    </row>
    <row r="10164" spans="23:23" x14ac:dyDescent="0.55000000000000004">
      <c r="W10164"/>
    </row>
    <row r="10165" spans="23:23" x14ac:dyDescent="0.55000000000000004">
      <c r="W10165"/>
    </row>
    <row r="10166" spans="23:23" x14ac:dyDescent="0.55000000000000004">
      <c r="W10166"/>
    </row>
    <row r="10167" spans="23:23" x14ac:dyDescent="0.55000000000000004">
      <c r="W10167"/>
    </row>
    <row r="10168" spans="23:23" x14ac:dyDescent="0.55000000000000004">
      <c r="W10168"/>
    </row>
    <row r="10169" spans="23:23" x14ac:dyDescent="0.55000000000000004">
      <c r="W10169"/>
    </row>
    <row r="10170" spans="23:23" x14ac:dyDescent="0.55000000000000004">
      <c r="W10170"/>
    </row>
    <row r="10171" spans="23:23" x14ac:dyDescent="0.55000000000000004">
      <c r="W10171"/>
    </row>
    <row r="10172" spans="23:23" x14ac:dyDescent="0.55000000000000004">
      <c r="W10172"/>
    </row>
    <row r="10173" spans="23:23" x14ac:dyDescent="0.55000000000000004">
      <c r="W10173"/>
    </row>
    <row r="10174" spans="23:23" x14ac:dyDescent="0.55000000000000004">
      <c r="W10174"/>
    </row>
    <row r="10175" spans="23:23" x14ac:dyDescent="0.55000000000000004">
      <c r="W10175"/>
    </row>
    <row r="10176" spans="23:23" x14ac:dyDescent="0.55000000000000004">
      <c r="W10176"/>
    </row>
    <row r="10177" spans="23:23" x14ac:dyDescent="0.55000000000000004">
      <c r="W10177"/>
    </row>
    <row r="10178" spans="23:23" x14ac:dyDescent="0.55000000000000004">
      <c r="W10178"/>
    </row>
    <row r="10179" spans="23:23" x14ac:dyDescent="0.55000000000000004">
      <c r="W10179"/>
    </row>
    <row r="10180" spans="23:23" x14ac:dyDescent="0.55000000000000004">
      <c r="W10180"/>
    </row>
    <row r="10181" spans="23:23" x14ac:dyDescent="0.55000000000000004">
      <c r="W10181"/>
    </row>
    <row r="10182" spans="23:23" x14ac:dyDescent="0.55000000000000004">
      <c r="W10182"/>
    </row>
    <row r="10183" spans="23:23" x14ac:dyDescent="0.55000000000000004">
      <c r="W10183"/>
    </row>
    <row r="10184" spans="23:23" x14ac:dyDescent="0.55000000000000004">
      <c r="W10184"/>
    </row>
    <row r="10185" spans="23:23" x14ac:dyDescent="0.55000000000000004">
      <c r="W10185"/>
    </row>
    <row r="10186" spans="23:23" x14ac:dyDescent="0.55000000000000004">
      <c r="W10186"/>
    </row>
    <row r="10187" spans="23:23" x14ac:dyDescent="0.55000000000000004">
      <c r="W10187"/>
    </row>
    <row r="10188" spans="23:23" x14ac:dyDescent="0.55000000000000004">
      <c r="W10188"/>
    </row>
    <row r="10189" spans="23:23" x14ac:dyDescent="0.55000000000000004">
      <c r="W10189"/>
    </row>
    <row r="10190" spans="23:23" x14ac:dyDescent="0.55000000000000004">
      <c r="W10190"/>
    </row>
    <row r="10191" spans="23:23" x14ac:dyDescent="0.55000000000000004">
      <c r="W10191"/>
    </row>
    <row r="10192" spans="23:23" x14ac:dyDescent="0.55000000000000004">
      <c r="W10192"/>
    </row>
    <row r="10193" spans="23:23" x14ac:dyDescent="0.55000000000000004">
      <c r="W10193"/>
    </row>
    <row r="10194" spans="23:23" x14ac:dyDescent="0.55000000000000004">
      <c r="W10194"/>
    </row>
    <row r="10195" spans="23:23" x14ac:dyDescent="0.55000000000000004">
      <c r="W10195"/>
    </row>
    <row r="10196" spans="23:23" x14ac:dyDescent="0.55000000000000004">
      <c r="W10196"/>
    </row>
    <row r="10197" spans="23:23" x14ac:dyDescent="0.55000000000000004">
      <c r="W10197"/>
    </row>
    <row r="10198" spans="23:23" x14ac:dyDescent="0.55000000000000004">
      <c r="W10198"/>
    </row>
    <row r="10199" spans="23:23" x14ac:dyDescent="0.55000000000000004">
      <c r="W10199"/>
    </row>
    <row r="10200" spans="23:23" x14ac:dyDescent="0.55000000000000004">
      <c r="W10200"/>
    </row>
    <row r="10201" spans="23:23" x14ac:dyDescent="0.55000000000000004">
      <c r="W10201"/>
    </row>
    <row r="10202" spans="23:23" x14ac:dyDescent="0.55000000000000004">
      <c r="W10202"/>
    </row>
    <row r="10203" spans="23:23" x14ac:dyDescent="0.55000000000000004">
      <c r="W10203"/>
    </row>
    <row r="10204" spans="23:23" x14ac:dyDescent="0.55000000000000004">
      <c r="W10204"/>
    </row>
    <row r="10205" spans="23:23" x14ac:dyDescent="0.55000000000000004">
      <c r="W10205"/>
    </row>
    <row r="10206" spans="23:23" x14ac:dyDescent="0.55000000000000004">
      <c r="W10206"/>
    </row>
    <row r="10207" spans="23:23" x14ac:dyDescent="0.55000000000000004">
      <c r="W10207"/>
    </row>
    <row r="10208" spans="23:23" x14ac:dyDescent="0.55000000000000004">
      <c r="W10208"/>
    </row>
    <row r="10209" spans="23:23" x14ac:dyDescent="0.55000000000000004">
      <c r="W10209"/>
    </row>
    <row r="10210" spans="23:23" x14ac:dyDescent="0.55000000000000004">
      <c r="W10210"/>
    </row>
    <row r="10211" spans="23:23" x14ac:dyDescent="0.55000000000000004">
      <c r="W10211"/>
    </row>
    <row r="10212" spans="23:23" x14ac:dyDescent="0.55000000000000004">
      <c r="W10212"/>
    </row>
    <row r="10213" spans="23:23" x14ac:dyDescent="0.55000000000000004">
      <c r="W10213"/>
    </row>
    <row r="10214" spans="23:23" x14ac:dyDescent="0.55000000000000004">
      <c r="W10214"/>
    </row>
    <row r="10215" spans="23:23" x14ac:dyDescent="0.55000000000000004">
      <c r="W10215"/>
    </row>
    <row r="10216" spans="23:23" x14ac:dyDescent="0.55000000000000004">
      <c r="W10216"/>
    </row>
    <row r="10217" spans="23:23" x14ac:dyDescent="0.55000000000000004">
      <c r="W10217"/>
    </row>
    <row r="10218" spans="23:23" x14ac:dyDescent="0.55000000000000004">
      <c r="W10218"/>
    </row>
    <row r="10219" spans="23:23" x14ac:dyDescent="0.55000000000000004">
      <c r="W10219"/>
    </row>
    <row r="10220" spans="23:23" x14ac:dyDescent="0.55000000000000004">
      <c r="W10220"/>
    </row>
    <row r="10221" spans="23:23" x14ac:dyDescent="0.55000000000000004">
      <c r="W10221"/>
    </row>
    <row r="10222" spans="23:23" x14ac:dyDescent="0.55000000000000004">
      <c r="W10222"/>
    </row>
    <row r="10223" spans="23:23" x14ac:dyDescent="0.55000000000000004">
      <c r="W10223"/>
    </row>
    <row r="10224" spans="23:23" x14ac:dyDescent="0.55000000000000004">
      <c r="W10224"/>
    </row>
    <row r="10225" spans="23:23" x14ac:dyDescent="0.55000000000000004">
      <c r="W10225"/>
    </row>
    <row r="10226" spans="23:23" x14ac:dyDescent="0.55000000000000004">
      <c r="W10226"/>
    </row>
    <row r="10227" spans="23:23" x14ac:dyDescent="0.55000000000000004">
      <c r="W10227"/>
    </row>
    <row r="10228" spans="23:23" x14ac:dyDescent="0.55000000000000004">
      <c r="W10228"/>
    </row>
    <row r="10229" spans="23:23" x14ac:dyDescent="0.55000000000000004">
      <c r="W10229"/>
    </row>
    <row r="10230" spans="23:23" x14ac:dyDescent="0.55000000000000004">
      <c r="W10230"/>
    </row>
    <row r="10231" spans="23:23" x14ac:dyDescent="0.55000000000000004">
      <c r="W10231"/>
    </row>
    <row r="10232" spans="23:23" x14ac:dyDescent="0.55000000000000004">
      <c r="W10232"/>
    </row>
    <row r="10233" spans="23:23" x14ac:dyDescent="0.55000000000000004">
      <c r="W10233"/>
    </row>
    <row r="10234" spans="23:23" x14ac:dyDescent="0.55000000000000004">
      <c r="W10234"/>
    </row>
    <row r="10235" spans="23:23" x14ac:dyDescent="0.55000000000000004">
      <c r="W10235"/>
    </row>
    <row r="10236" spans="23:23" x14ac:dyDescent="0.55000000000000004">
      <c r="W10236"/>
    </row>
    <row r="10237" spans="23:23" x14ac:dyDescent="0.55000000000000004">
      <c r="W10237"/>
    </row>
    <row r="10238" spans="23:23" x14ac:dyDescent="0.55000000000000004">
      <c r="W10238"/>
    </row>
    <row r="10239" spans="23:23" x14ac:dyDescent="0.55000000000000004">
      <c r="W10239"/>
    </row>
    <row r="10240" spans="23:23" x14ac:dyDescent="0.55000000000000004">
      <c r="W10240"/>
    </row>
    <row r="10241" spans="23:23" x14ac:dyDescent="0.55000000000000004">
      <c r="W10241"/>
    </row>
    <row r="10242" spans="23:23" x14ac:dyDescent="0.55000000000000004">
      <c r="W10242"/>
    </row>
    <row r="10243" spans="23:23" x14ac:dyDescent="0.55000000000000004">
      <c r="W10243"/>
    </row>
    <row r="10244" spans="23:23" x14ac:dyDescent="0.55000000000000004">
      <c r="W10244"/>
    </row>
    <row r="10245" spans="23:23" x14ac:dyDescent="0.55000000000000004">
      <c r="W10245"/>
    </row>
    <row r="10246" spans="23:23" x14ac:dyDescent="0.55000000000000004">
      <c r="W10246"/>
    </row>
    <row r="10247" spans="23:23" x14ac:dyDescent="0.55000000000000004">
      <c r="W10247"/>
    </row>
    <row r="10248" spans="23:23" x14ac:dyDescent="0.55000000000000004">
      <c r="W10248"/>
    </row>
    <row r="10249" spans="23:23" x14ac:dyDescent="0.55000000000000004">
      <c r="W10249"/>
    </row>
    <row r="10250" spans="23:23" x14ac:dyDescent="0.55000000000000004">
      <c r="W10250"/>
    </row>
    <row r="10251" spans="23:23" x14ac:dyDescent="0.55000000000000004">
      <c r="W10251"/>
    </row>
    <row r="10252" spans="23:23" x14ac:dyDescent="0.55000000000000004">
      <c r="W10252"/>
    </row>
    <row r="10253" spans="23:23" x14ac:dyDescent="0.55000000000000004">
      <c r="W10253"/>
    </row>
    <row r="10254" spans="23:23" x14ac:dyDescent="0.55000000000000004">
      <c r="W10254"/>
    </row>
    <row r="10255" spans="23:23" x14ac:dyDescent="0.55000000000000004">
      <c r="W10255"/>
    </row>
    <row r="10256" spans="23:23" x14ac:dyDescent="0.55000000000000004">
      <c r="W10256"/>
    </row>
    <row r="10257" spans="23:23" x14ac:dyDescent="0.55000000000000004">
      <c r="W10257"/>
    </row>
    <row r="10258" spans="23:23" x14ac:dyDescent="0.55000000000000004">
      <c r="W10258"/>
    </row>
    <row r="10259" spans="23:23" x14ac:dyDescent="0.55000000000000004">
      <c r="W10259"/>
    </row>
    <row r="10260" spans="23:23" x14ac:dyDescent="0.55000000000000004">
      <c r="W10260"/>
    </row>
    <row r="10261" spans="23:23" x14ac:dyDescent="0.55000000000000004">
      <c r="W10261"/>
    </row>
    <row r="10262" spans="23:23" x14ac:dyDescent="0.55000000000000004">
      <c r="W10262"/>
    </row>
    <row r="10263" spans="23:23" x14ac:dyDescent="0.55000000000000004">
      <c r="W10263"/>
    </row>
    <row r="10264" spans="23:23" x14ac:dyDescent="0.55000000000000004">
      <c r="W10264"/>
    </row>
    <row r="10265" spans="23:23" x14ac:dyDescent="0.55000000000000004">
      <c r="W10265"/>
    </row>
    <row r="10266" spans="23:23" x14ac:dyDescent="0.55000000000000004">
      <c r="W10266"/>
    </row>
    <row r="10267" spans="23:23" x14ac:dyDescent="0.55000000000000004">
      <c r="W10267"/>
    </row>
    <row r="10268" spans="23:23" x14ac:dyDescent="0.55000000000000004">
      <c r="W10268"/>
    </row>
    <row r="10269" spans="23:23" x14ac:dyDescent="0.55000000000000004">
      <c r="W10269"/>
    </row>
    <row r="10270" spans="23:23" x14ac:dyDescent="0.55000000000000004">
      <c r="W10270"/>
    </row>
    <row r="10271" spans="23:23" x14ac:dyDescent="0.55000000000000004">
      <c r="W10271"/>
    </row>
    <row r="10272" spans="23:23" x14ac:dyDescent="0.55000000000000004">
      <c r="W10272"/>
    </row>
    <row r="10273" spans="23:23" x14ac:dyDescent="0.55000000000000004">
      <c r="W10273"/>
    </row>
    <row r="10274" spans="23:23" x14ac:dyDescent="0.55000000000000004">
      <c r="W10274"/>
    </row>
    <row r="10275" spans="23:23" x14ac:dyDescent="0.55000000000000004">
      <c r="W10275"/>
    </row>
    <row r="10276" spans="23:23" x14ac:dyDescent="0.55000000000000004">
      <c r="W10276"/>
    </row>
    <row r="10277" spans="23:23" x14ac:dyDescent="0.55000000000000004">
      <c r="W10277"/>
    </row>
    <row r="10278" spans="23:23" x14ac:dyDescent="0.55000000000000004">
      <c r="W10278"/>
    </row>
    <row r="10279" spans="23:23" x14ac:dyDescent="0.55000000000000004">
      <c r="W10279"/>
    </row>
    <row r="10280" spans="23:23" x14ac:dyDescent="0.55000000000000004">
      <c r="W10280"/>
    </row>
    <row r="10281" spans="23:23" x14ac:dyDescent="0.55000000000000004">
      <c r="W10281"/>
    </row>
    <row r="10282" spans="23:23" x14ac:dyDescent="0.55000000000000004">
      <c r="W10282"/>
    </row>
    <row r="10283" spans="23:23" x14ac:dyDescent="0.55000000000000004">
      <c r="W10283"/>
    </row>
    <row r="10284" spans="23:23" x14ac:dyDescent="0.55000000000000004">
      <c r="W10284"/>
    </row>
    <row r="10285" spans="23:23" x14ac:dyDescent="0.55000000000000004">
      <c r="W10285"/>
    </row>
    <row r="10286" spans="23:23" x14ac:dyDescent="0.55000000000000004">
      <c r="W10286"/>
    </row>
    <row r="10287" spans="23:23" x14ac:dyDescent="0.55000000000000004">
      <c r="W10287"/>
    </row>
    <row r="10288" spans="23:23" x14ac:dyDescent="0.55000000000000004">
      <c r="W10288"/>
    </row>
    <row r="10289" spans="23:23" x14ac:dyDescent="0.55000000000000004">
      <c r="W10289"/>
    </row>
    <row r="10290" spans="23:23" x14ac:dyDescent="0.55000000000000004">
      <c r="W10290"/>
    </row>
    <row r="10291" spans="23:23" x14ac:dyDescent="0.55000000000000004">
      <c r="W10291"/>
    </row>
    <row r="10292" spans="23:23" x14ac:dyDescent="0.55000000000000004">
      <c r="W10292"/>
    </row>
    <row r="10293" spans="23:23" x14ac:dyDescent="0.55000000000000004">
      <c r="W10293"/>
    </row>
    <row r="10294" spans="23:23" x14ac:dyDescent="0.55000000000000004">
      <c r="W10294"/>
    </row>
    <row r="10295" spans="23:23" x14ac:dyDescent="0.55000000000000004">
      <c r="W10295"/>
    </row>
    <row r="10296" spans="23:23" x14ac:dyDescent="0.55000000000000004">
      <c r="W10296"/>
    </row>
    <row r="10297" spans="23:23" x14ac:dyDescent="0.55000000000000004">
      <c r="W10297"/>
    </row>
    <row r="10298" spans="23:23" x14ac:dyDescent="0.55000000000000004">
      <c r="W10298"/>
    </row>
    <row r="10299" spans="23:23" x14ac:dyDescent="0.55000000000000004">
      <c r="W10299"/>
    </row>
    <row r="10300" spans="23:23" x14ac:dyDescent="0.55000000000000004">
      <c r="W10300"/>
    </row>
    <row r="10301" spans="23:23" x14ac:dyDescent="0.55000000000000004">
      <c r="W10301"/>
    </row>
    <row r="10302" spans="23:23" x14ac:dyDescent="0.55000000000000004">
      <c r="W10302"/>
    </row>
    <row r="10303" spans="23:23" x14ac:dyDescent="0.55000000000000004">
      <c r="W10303"/>
    </row>
    <row r="10304" spans="23:23" x14ac:dyDescent="0.55000000000000004">
      <c r="W10304"/>
    </row>
    <row r="10305" spans="23:23" x14ac:dyDescent="0.55000000000000004">
      <c r="W10305"/>
    </row>
    <row r="10306" spans="23:23" x14ac:dyDescent="0.55000000000000004">
      <c r="W10306"/>
    </row>
    <row r="10307" spans="23:23" x14ac:dyDescent="0.55000000000000004">
      <c r="W10307"/>
    </row>
    <row r="10308" spans="23:23" x14ac:dyDescent="0.55000000000000004">
      <c r="W10308"/>
    </row>
    <row r="10309" spans="23:23" x14ac:dyDescent="0.55000000000000004">
      <c r="W10309"/>
    </row>
    <row r="10310" spans="23:23" x14ac:dyDescent="0.55000000000000004">
      <c r="W10310"/>
    </row>
    <row r="10311" spans="23:23" x14ac:dyDescent="0.55000000000000004">
      <c r="W10311"/>
    </row>
    <row r="10312" spans="23:23" x14ac:dyDescent="0.55000000000000004">
      <c r="W10312"/>
    </row>
    <row r="10313" spans="23:23" x14ac:dyDescent="0.55000000000000004">
      <c r="W10313"/>
    </row>
    <row r="10314" spans="23:23" x14ac:dyDescent="0.55000000000000004">
      <c r="W10314"/>
    </row>
    <row r="10315" spans="23:23" x14ac:dyDescent="0.55000000000000004">
      <c r="W10315"/>
    </row>
    <row r="10316" spans="23:23" x14ac:dyDescent="0.55000000000000004">
      <c r="W10316"/>
    </row>
    <row r="10317" spans="23:23" x14ac:dyDescent="0.55000000000000004">
      <c r="W10317"/>
    </row>
    <row r="10318" spans="23:23" x14ac:dyDescent="0.55000000000000004">
      <c r="W10318"/>
    </row>
    <row r="10319" spans="23:23" x14ac:dyDescent="0.55000000000000004">
      <c r="W10319"/>
    </row>
    <row r="10320" spans="23:23" x14ac:dyDescent="0.55000000000000004">
      <c r="W10320"/>
    </row>
    <row r="10321" spans="23:23" x14ac:dyDescent="0.55000000000000004">
      <c r="W10321"/>
    </row>
    <row r="10322" spans="23:23" x14ac:dyDescent="0.55000000000000004">
      <c r="W10322"/>
    </row>
    <row r="10323" spans="23:23" x14ac:dyDescent="0.55000000000000004">
      <c r="W10323"/>
    </row>
    <row r="10324" spans="23:23" x14ac:dyDescent="0.55000000000000004">
      <c r="W10324"/>
    </row>
    <row r="10325" spans="23:23" x14ac:dyDescent="0.55000000000000004">
      <c r="W10325"/>
    </row>
    <row r="10326" spans="23:23" x14ac:dyDescent="0.55000000000000004">
      <c r="W10326"/>
    </row>
    <row r="10327" spans="23:23" x14ac:dyDescent="0.55000000000000004">
      <c r="W10327"/>
    </row>
    <row r="10328" spans="23:23" x14ac:dyDescent="0.55000000000000004">
      <c r="W10328"/>
    </row>
    <row r="10329" spans="23:23" x14ac:dyDescent="0.55000000000000004">
      <c r="W10329"/>
    </row>
    <row r="10330" spans="23:23" x14ac:dyDescent="0.55000000000000004">
      <c r="W10330"/>
    </row>
    <row r="10331" spans="23:23" x14ac:dyDescent="0.55000000000000004">
      <c r="W10331"/>
    </row>
    <row r="10332" spans="23:23" x14ac:dyDescent="0.55000000000000004">
      <c r="W10332"/>
    </row>
    <row r="10333" spans="23:23" x14ac:dyDescent="0.55000000000000004">
      <c r="W10333"/>
    </row>
    <row r="10334" spans="23:23" x14ac:dyDescent="0.55000000000000004">
      <c r="W10334"/>
    </row>
    <row r="10335" spans="23:23" x14ac:dyDescent="0.55000000000000004">
      <c r="W10335"/>
    </row>
    <row r="10336" spans="23:23" x14ac:dyDescent="0.55000000000000004">
      <c r="W10336"/>
    </row>
    <row r="10337" spans="23:23" x14ac:dyDescent="0.55000000000000004">
      <c r="W10337"/>
    </row>
    <row r="10338" spans="23:23" x14ac:dyDescent="0.55000000000000004">
      <c r="W10338"/>
    </row>
    <row r="10339" spans="23:23" x14ac:dyDescent="0.55000000000000004">
      <c r="W10339"/>
    </row>
    <row r="10340" spans="23:23" x14ac:dyDescent="0.55000000000000004">
      <c r="W10340"/>
    </row>
    <row r="10341" spans="23:23" x14ac:dyDescent="0.55000000000000004">
      <c r="W10341"/>
    </row>
    <row r="10342" spans="23:23" x14ac:dyDescent="0.55000000000000004">
      <c r="W10342"/>
    </row>
    <row r="10343" spans="23:23" x14ac:dyDescent="0.55000000000000004">
      <c r="W10343"/>
    </row>
    <row r="10344" spans="23:23" x14ac:dyDescent="0.55000000000000004">
      <c r="W10344"/>
    </row>
    <row r="10345" spans="23:23" x14ac:dyDescent="0.55000000000000004">
      <c r="W10345"/>
    </row>
    <row r="10346" spans="23:23" x14ac:dyDescent="0.55000000000000004">
      <c r="W10346"/>
    </row>
    <row r="10347" spans="23:23" x14ac:dyDescent="0.55000000000000004">
      <c r="W10347"/>
    </row>
    <row r="10348" spans="23:23" x14ac:dyDescent="0.55000000000000004">
      <c r="W10348"/>
    </row>
    <row r="10349" spans="23:23" x14ac:dyDescent="0.55000000000000004">
      <c r="W10349"/>
    </row>
    <row r="10350" spans="23:23" x14ac:dyDescent="0.55000000000000004">
      <c r="W10350"/>
    </row>
    <row r="10351" spans="23:23" x14ac:dyDescent="0.55000000000000004">
      <c r="W10351"/>
    </row>
    <row r="10352" spans="23:23" x14ac:dyDescent="0.55000000000000004">
      <c r="W10352"/>
    </row>
    <row r="10353" spans="23:23" x14ac:dyDescent="0.55000000000000004">
      <c r="W10353"/>
    </row>
    <row r="10354" spans="23:23" x14ac:dyDescent="0.55000000000000004">
      <c r="W10354"/>
    </row>
    <row r="10355" spans="23:23" x14ac:dyDescent="0.55000000000000004">
      <c r="W10355"/>
    </row>
    <row r="10356" spans="23:23" x14ac:dyDescent="0.55000000000000004">
      <c r="W10356"/>
    </row>
    <row r="10357" spans="23:23" x14ac:dyDescent="0.55000000000000004">
      <c r="W10357"/>
    </row>
    <row r="10358" spans="23:23" x14ac:dyDescent="0.55000000000000004">
      <c r="W10358"/>
    </row>
    <row r="10359" spans="23:23" x14ac:dyDescent="0.55000000000000004">
      <c r="W10359"/>
    </row>
    <row r="10360" spans="23:23" x14ac:dyDescent="0.55000000000000004">
      <c r="W10360"/>
    </row>
    <row r="10361" spans="23:23" x14ac:dyDescent="0.55000000000000004">
      <c r="W10361"/>
    </row>
    <row r="10362" spans="23:23" x14ac:dyDescent="0.55000000000000004">
      <c r="W10362"/>
    </row>
    <row r="10363" spans="23:23" x14ac:dyDescent="0.55000000000000004">
      <c r="W10363"/>
    </row>
    <row r="10364" spans="23:23" x14ac:dyDescent="0.55000000000000004">
      <c r="W10364"/>
    </row>
    <row r="10365" spans="23:23" x14ac:dyDescent="0.55000000000000004">
      <c r="W10365"/>
    </row>
    <row r="10366" spans="23:23" x14ac:dyDescent="0.55000000000000004">
      <c r="W10366"/>
    </row>
    <row r="10367" spans="23:23" x14ac:dyDescent="0.55000000000000004">
      <c r="W10367"/>
    </row>
    <row r="10368" spans="23:23" x14ac:dyDescent="0.55000000000000004">
      <c r="W10368"/>
    </row>
    <row r="10369" spans="23:23" x14ac:dyDescent="0.55000000000000004">
      <c r="W10369"/>
    </row>
    <row r="10370" spans="23:23" x14ac:dyDescent="0.55000000000000004">
      <c r="W10370"/>
    </row>
    <row r="10371" spans="23:23" x14ac:dyDescent="0.55000000000000004">
      <c r="W10371"/>
    </row>
    <row r="10372" spans="23:23" x14ac:dyDescent="0.55000000000000004">
      <c r="W10372"/>
    </row>
    <row r="10373" spans="23:23" x14ac:dyDescent="0.55000000000000004">
      <c r="W10373"/>
    </row>
    <row r="10374" spans="23:23" x14ac:dyDescent="0.55000000000000004">
      <c r="W10374"/>
    </row>
    <row r="10375" spans="23:23" x14ac:dyDescent="0.55000000000000004">
      <c r="W10375"/>
    </row>
    <row r="10376" spans="23:23" x14ac:dyDescent="0.55000000000000004">
      <c r="W10376"/>
    </row>
    <row r="10377" spans="23:23" x14ac:dyDescent="0.55000000000000004">
      <c r="W10377"/>
    </row>
    <row r="10378" spans="23:23" x14ac:dyDescent="0.55000000000000004">
      <c r="W10378"/>
    </row>
    <row r="10379" spans="23:23" x14ac:dyDescent="0.55000000000000004">
      <c r="W10379"/>
    </row>
    <row r="10380" spans="23:23" x14ac:dyDescent="0.55000000000000004">
      <c r="W10380"/>
    </row>
    <row r="10381" spans="23:23" x14ac:dyDescent="0.55000000000000004">
      <c r="W10381"/>
    </row>
    <row r="10382" spans="23:23" x14ac:dyDescent="0.55000000000000004">
      <c r="W10382"/>
    </row>
    <row r="10383" spans="23:23" x14ac:dyDescent="0.55000000000000004">
      <c r="W10383"/>
    </row>
    <row r="10384" spans="23:23" x14ac:dyDescent="0.55000000000000004">
      <c r="W10384"/>
    </row>
    <row r="10385" spans="23:23" x14ac:dyDescent="0.55000000000000004">
      <c r="W10385"/>
    </row>
    <row r="10386" spans="23:23" x14ac:dyDescent="0.55000000000000004">
      <c r="W10386"/>
    </row>
    <row r="10387" spans="23:23" x14ac:dyDescent="0.55000000000000004">
      <c r="W10387"/>
    </row>
    <row r="10388" spans="23:23" x14ac:dyDescent="0.55000000000000004">
      <c r="W10388"/>
    </row>
    <row r="10389" spans="23:23" x14ac:dyDescent="0.55000000000000004">
      <c r="W10389"/>
    </row>
    <row r="10390" spans="23:23" x14ac:dyDescent="0.55000000000000004">
      <c r="W10390"/>
    </row>
    <row r="10391" spans="23:23" x14ac:dyDescent="0.55000000000000004">
      <c r="W10391"/>
    </row>
    <row r="10392" spans="23:23" x14ac:dyDescent="0.55000000000000004">
      <c r="W10392"/>
    </row>
    <row r="10393" spans="23:23" x14ac:dyDescent="0.55000000000000004">
      <c r="W10393"/>
    </row>
    <row r="10394" spans="23:23" x14ac:dyDescent="0.55000000000000004">
      <c r="W10394"/>
    </row>
    <row r="10395" spans="23:23" x14ac:dyDescent="0.55000000000000004">
      <c r="W10395"/>
    </row>
    <row r="10396" spans="23:23" x14ac:dyDescent="0.55000000000000004">
      <c r="W10396"/>
    </row>
    <row r="10397" spans="23:23" x14ac:dyDescent="0.55000000000000004">
      <c r="W10397"/>
    </row>
    <row r="10398" spans="23:23" x14ac:dyDescent="0.55000000000000004">
      <c r="W10398"/>
    </row>
    <row r="10399" spans="23:23" x14ac:dyDescent="0.55000000000000004">
      <c r="W10399"/>
    </row>
    <row r="10400" spans="23:23" x14ac:dyDescent="0.55000000000000004">
      <c r="W10400"/>
    </row>
    <row r="10401" spans="23:23" x14ac:dyDescent="0.55000000000000004">
      <c r="W10401"/>
    </row>
    <row r="10402" spans="23:23" x14ac:dyDescent="0.55000000000000004">
      <c r="W10402"/>
    </row>
    <row r="10403" spans="23:23" x14ac:dyDescent="0.55000000000000004">
      <c r="W10403"/>
    </row>
    <row r="10404" spans="23:23" x14ac:dyDescent="0.55000000000000004">
      <c r="W10404"/>
    </row>
    <row r="10405" spans="23:23" x14ac:dyDescent="0.55000000000000004">
      <c r="W10405"/>
    </row>
    <row r="10406" spans="23:23" x14ac:dyDescent="0.55000000000000004">
      <c r="W10406"/>
    </row>
    <row r="10407" spans="23:23" x14ac:dyDescent="0.55000000000000004">
      <c r="W10407"/>
    </row>
    <row r="10408" spans="23:23" x14ac:dyDescent="0.55000000000000004">
      <c r="W10408"/>
    </row>
    <row r="10409" spans="23:23" x14ac:dyDescent="0.55000000000000004">
      <c r="W10409"/>
    </row>
    <row r="10410" spans="23:23" x14ac:dyDescent="0.55000000000000004">
      <c r="W10410"/>
    </row>
    <row r="10411" spans="23:23" x14ac:dyDescent="0.55000000000000004">
      <c r="W10411"/>
    </row>
    <row r="10412" spans="23:23" x14ac:dyDescent="0.55000000000000004">
      <c r="W10412"/>
    </row>
    <row r="10413" spans="23:23" x14ac:dyDescent="0.55000000000000004">
      <c r="W10413"/>
    </row>
    <row r="10414" spans="23:23" x14ac:dyDescent="0.55000000000000004">
      <c r="W10414"/>
    </row>
    <row r="10415" spans="23:23" x14ac:dyDescent="0.55000000000000004">
      <c r="W10415"/>
    </row>
    <row r="10416" spans="23:23" x14ac:dyDescent="0.55000000000000004">
      <c r="W10416"/>
    </row>
    <row r="10417" spans="23:23" x14ac:dyDescent="0.55000000000000004">
      <c r="W10417"/>
    </row>
    <row r="10418" spans="23:23" x14ac:dyDescent="0.55000000000000004">
      <c r="W10418"/>
    </row>
    <row r="10419" spans="23:23" x14ac:dyDescent="0.55000000000000004">
      <c r="W10419"/>
    </row>
    <row r="10420" spans="23:23" x14ac:dyDescent="0.55000000000000004">
      <c r="W10420"/>
    </row>
    <row r="10421" spans="23:23" x14ac:dyDescent="0.55000000000000004">
      <c r="W10421"/>
    </row>
    <row r="10422" spans="23:23" x14ac:dyDescent="0.55000000000000004">
      <c r="W10422"/>
    </row>
    <row r="10423" spans="23:23" x14ac:dyDescent="0.55000000000000004">
      <c r="W10423"/>
    </row>
    <row r="10424" spans="23:23" x14ac:dyDescent="0.55000000000000004">
      <c r="W10424"/>
    </row>
    <row r="10425" spans="23:23" x14ac:dyDescent="0.55000000000000004">
      <c r="W10425"/>
    </row>
    <row r="10426" spans="23:23" x14ac:dyDescent="0.55000000000000004">
      <c r="W10426"/>
    </row>
    <row r="10427" spans="23:23" x14ac:dyDescent="0.55000000000000004">
      <c r="W10427"/>
    </row>
    <row r="10428" spans="23:23" x14ac:dyDescent="0.55000000000000004">
      <c r="W10428"/>
    </row>
    <row r="10429" spans="23:23" x14ac:dyDescent="0.55000000000000004">
      <c r="W10429"/>
    </row>
    <row r="10430" spans="23:23" x14ac:dyDescent="0.55000000000000004">
      <c r="W10430"/>
    </row>
    <row r="10431" spans="23:23" x14ac:dyDescent="0.55000000000000004">
      <c r="W10431"/>
    </row>
    <row r="10432" spans="23:23" x14ac:dyDescent="0.55000000000000004">
      <c r="W10432"/>
    </row>
    <row r="10433" spans="23:23" x14ac:dyDescent="0.55000000000000004">
      <c r="W10433"/>
    </row>
    <row r="10434" spans="23:23" x14ac:dyDescent="0.55000000000000004">
      <c r="W10434"/>
    </row>
    <row r="10435" spans="23:23" x14ac:dyDescent="0.55000000000000004">
      <c r="W10435"/>
    </row>
    <row r="10436" spans="23:23" x14ac:dyDescent="0.55000000000000004">
      <c r="W10436"/>
    </row>
    <row r="10437" spans="23:23" x14ac:dyDescent="0.55000000000000004">
      <c r="W10437"/>
    </row>
    <row r="10438" spans="23:23" x14ac:dyDescent="0.55000000000000004">
      <c r="W10438"/>
    </row>
    <row r="10439" spans="23:23" x14ac:dyDescent="0.55000000000000004">
      <c r="W10439"/>
    </row>
    <row r="10440" spans="23:23" x14ac:dyDescent="0.55000000000000004">
      <c r="W10440"/>
    </row>
    <row r="10441" spans="23:23" x14ac:dyDescent="0.55000000000000004">
      <c r="W10441"/>
    </row>
    <row r="10442" spans="23:23" x14ac:dyDescent="0.55000000000000004">
      <c r="W10442"/>
    </row>
    <row r="10443" spans="23:23" x14ac:dyDescent="0.55000000000000004">
      <c r="W10443"/>
    </row>
    <row r="10444" spans="23:23" x14ac:dyDescent="0.55000000000000004">
      <c r="W10444"/>
    </row>
    <row r="10445" spans="23:23" x14ac:dyDescent="0.55000000000000004">
      <c r="W10445"/>
    </row>
    <row r="10446" spans="23:23" x14ac:dyDescent="0.55000000000000004">
      <c r="W10446"/>
    </row>
    <row r="10447" spans="23:23" x14ac:dyDescent="0.55000000000000004">
      <c r="W10447"/>
    </row>
    <row r="10448" spans="23:23" x14ac:dyDescent="0.55000000000000004">
      <c r="W10448"/>
    </row>
    <row r="10449" spans="23:23" x14ac:dyDescent="0.55000000000000004">
      <c r="W10449"/>
    </row>
    <row r="10450" spans="23:23" x14ac:dyDescent="0.55000000000000004">
      <c r="W10450"/>
    </row>
    <row r="10451" spans="23:23" x14ac:dyDescent="0.55000000000000004">
      <c r="W10451"/>
    </row>
    <row r="10452" spans="23:23" x14ac:dyDescent="0.55000000000000004">
      <c r="W10452"/>
    </row>
    <row r="10453" spans="23:23" x14ac:dyDescent="0.55000000000000004">
      <c r="W10453"/>
    </row>
    <row r="10454" spans="23:23" x14ac:dyDescent="0.55000000000000004">
      <c r="W10454"/>
    </row>
    <row r="10455" spans="23:23" x14ac:dyDescent="0.55000000000000004">
      <c r="W10455"/>
    </row>
    <row r="10456" spans="23:23" x14ac:dyDescent="0.55000000000000004">
      <c r="W10456"/>
    </row>
    <row r="10457" spans="23:23" x14ac:dyDescent="0.55000000000000004">
      <c r="W10457"/>
    </row>
    <row r="10458" spans="23:23" x14ac:dyDescent="0.55000000000000004">
      <c r="W10458"/>
    </row>
    <row r="10459" spans="23:23" x14ac:dyDescent="0.55000000000000004">
      <c r="W10459"/>
    </row>
    <row r="10460" spans="23:23" x14ac:dyDescent="0.55000000000000004">
      <c r="W10460"/>
    </row>
    <row r="10461" spans="23:23" x14ac:dyDescent="0.55000000000000004">
      <c r="W10461"/>
    </row>
    <row r="10462" spans="23:23" x14ac:dyDescent="0.55000000000000004">
      <c r="W10462"/>
    </row>
    <row r="10463" spans="23:23" x14ac:dyDescent="0.55000000000000004">
      <c r="W10463"/>
    </row>
    <row r="10464" spans="23:23" x14ac:dyDescent="0.55000000000000004">
      <c r="W10464"/>
    </row>
    <row r="10465" spans="23:23" x14ac:dyDescent="0.55000000000000004">
      <c r="W10465"/>
    </row>
    <row r="10466" spans="23:23" x14ac:dyDescent="0.55000000000000004">
      <c r="W10466"/>
    </row>
    <row r="10467" spans="23:23" x14ac:dyDescent="0.55000000000000004">
      <c r="W10467"/>
    </row>
    <row r="10468" spans="23:23" x14ac:dyDescent="0.55000000000000004">
      <c r="W10468"/>
    </row>
    <row r="10469" spans="23:23" x14ac:dyDescent="0.55000000000000004">
      <c r="W10469"/>
    </row>
    <row r="10470" spans="23:23" x14ac:dyDescent="0.55000000000000004">
      <c r="W10470"/>
    </row>
    <row r="10471" spans="23:23" x14ac:dyDescent="0.55000000000000004">
      <c r="W10471"/>
    </row>
    <row r="10472" spans="23:23" x14ac:dyDescent="0.55000000000000004">
      <c r="W10472"/>
    </row>
    <row r="10473" spans="23:23" x14ac:dyDescent="0.55000000000000004">
      <c r="W10473"/>
    </row>
    <row r="10474" spans="23:23" x14ac:dyDescent="0.55000000000000004">
      <c r="W10474"/>
    </row>
    <row r="10475" spans="23:23" x14ac:dyDescent="0.55000000000000004">
      <c r="W10475"/>
    </row>
    <row r="10476" spans="23:23" x14ac:dyDescent="0.55000000000000004">
      <c r="W10476"/>
    </row>
    <row r="10477" spans="23:23" x14ac:dyDescent="0.55000000000000004">
      <c r="W10477"/>
    </row>
    <row r="10478" spans="23:23" x14ac:dyDescent="0.55000000000000004">
      <c r="W10478"/>
    </row>
    <row r="10479" spans="23:23" x14ac:dyDescent="0.55000000000000004">
      <c r="W10479"/>
    </row>
    <row r="10480" spans="23:23" x14ac:dyDescent="0.55000000000000004">
      <c r="W10480"/>
    </row>
    <row r="10481" spans="23:23" x14ac:dyDescent="0.55000000000000004">
      <c r="W10481"/>
    </row>
    <row r="10482" spans="23:23" x14ac:dyDescent="0.55000000000000004">
      <c r="W10482"/>
    </row>
    <row r="10483" spans="23:23" x14ac:dyDescent="0.55000000000000004">
      <c r="W10483"/>
    </row>
    <row r="10484" spans="23:23" x14ac:dyDescent="0.55000000000000004">
      <c r="W10484"/>
    </row>
    <row r="10485" spans="23:23" x14ac:dyDescent="0.55000000000000004">
      <c r="W10485"/>
    </row>
    <row r="10486" spans="23:23" x14ac:dyDescent="0.55000000000000004">
      <c r="W10486"/>
    </row>
    <row r="10487" spans="23:23" x14ac:dyDescent="0.55000000000000004">
      <c r="W10487"/>
    </row>
    <row r="10488" spans="23:23" x14ac:dyDescent="0.55000000000000004">
      <c r="W10488"/>
    </row>
    <row r="10489" spans="23:23" x14ac:dyDescent="0.55000000000000004">
      <c r="W10489"/>
    </row>
    <row r="10490" spans="23:23" x14ac:dyDescent="0.55000000000000004">
      <c r="W10490"/>
    </row>
    <row r="10491" spans="23:23" x14ac:dyDescent="0.55000000000000004">
      <c r="W10491"/>
    </row>
    <row r="10492" spans="23:23" x14ac:dyDescent="0.55000000000000004">
      <c r="W10492"/>
    </row>
    <row r="10493" spans="23:23" x14ac:dyDescent="0.55000000000000004">
      <c r="W10493"/>
    </row>
    <row r="10494" spans="23:23" x14ac:dyDescent="0.55000000000000004">
      <c r="W10494"/>
    </row>
    <row r="10495" spans="23:23" x14ac:dyDescent="0.55000000000000004">
      <c r="W10495"/>
    </row>
    <row r="10496" spans="23:23" x14ac:dyDescent="0.55000000000000004">
      <c r="W10496"/>
    </row>
    <row r="10497" spans="23:23" x14ac:dyDescent="0.55000000000000004">
      <c r="W10497"/>
    </row>
    <row r="10498" spans="23:23" x14ac:dyDescent="0.55000000000000004">
      <c r="W10498"/>
    </row>
    <row r="10499" spans="23:23" x14ac:dyDescent="0.55000000000000004">
      <c r="W10499"/>
    </row>
    <row r="10500" spans="23:23" x14ac:dyDescent="0.55000000000000004">
      <c r="W10500"/>
    </row>
    <row r="10501" spans="23:23" x14ac:dyDescent="0.55000000000000004">
      <c r="W10501"/>
    </row>
    <row r="10502" spans="23:23" x14ac:dyDescent="0.55000000000000004">
      <c r="W10502"/>
    </row>
    <row r="10503" spans="23:23" x14ac:dyDescent="0.55000000000000004">
      <c r="W10503"/>
    </row>
    <row r="10504" spans="23:23" x14ac:dyDescent="0.55000000000000004">
      <c r="W10504"/>
    </row>
    <row r="10505" spans="23:23" x14ac:dyDescent="0.55000000000000004">
      <c r="W10505"/>
    </row>
    <row r="10506" spans="23:23" x14ac:dyDescent="0.55000000000000004">
      <c r="W10506"/>
    </row>
    <row r="10507" spans="23:23" x14ac:dyDescent="0.55000000000000004">
      <c r="W10507"/>
    </row>
    <row r="10508" spans="23:23" x14ac:dyDescent="0.55000000000000004">
      <c r="W10508"/>
    </row>
    <row r="10509" spans="23:23" x14ac:dyDescent="0.55000000000000004">
      <c r="W10509"/>
    </row>
    <row r="10510" spans="23:23" x14ac:dyDescent="0.55000000000000004">
      <c r="W10510"/>
    </row>
    <row r="10511" spans="23:23" x14ac:dyDescent="0.55000000000000004">
      <c r="W10511"/>
    </row>
    <row r="10512" spans="23:23" x14ac:dyDescent="0.55000000000000004">
      <c r="W10512"/>
    </row>
    <row r="10513" spans="23:23" x14ac:dyDescent="0.55000000000000004">
      <c r="W10513"/>
    </row>
    <row r="10514" spans="23:23" x14ac:dyDescent="0.55000000000000004">
      <c r="W10514"/>
    </row>
    <row r="10515" spans="23:23" x14ac:dyDescent="0.55000000000000004">
      <c r="W10515"/>
    </row>
    <row r="10516" spans="23:23" x14ac:dyDescent="0.55000000000000004">
      <c r="W10516"/>
    </row>
    <row r="10517" spans="23:23" x14ac:dyDescent="0.55000000000000004">
      <c r="W10517"/>
    </row>
    <row r="10518" spans="23:23" x14ac:dyDescent="0.55000000000000004">
      <c r="W10518"/>
    </row>
    <row r="10519" spans="23:23" x14ac:dyDescent="0.55000000000000004">
      <c r="W10519"/>
    </row>
    <row r="10520" spans="23:23" x14ac:dyDescent="0.55000000000000004">
      <c r="W10520"/>
    </row>
    <row r="10521" spans="23:23" x14ac:dyDescent="0.55000000000000004">
      <c r="W10521"/>
    </row>
    <row r="10522" spans="23:23" x14ac:dyDescent="0.55000000000000004">
      <c r="W10522"/>
    </row>
    <row r="10523" spans="23:23" x14ac:dyDescent="0.55000000000000004">
      <c r="W10523"/>
    </row>
    <row r="10524" spans="23:23" x14ac:dyDescent="0.55000000000000004">
      <c r="W10524"/>
    </row>
    <row r="10525" spans="23:23" x14ac:dyDescent="0.55000000000000004">
      <c r="W10525"/>
    </row>
    <row r="10526" spans="23:23" x14ac:dyDescent="0.55000000000000004">
      <c r="W10526"/>
    </row>
    <row r="10527" spans="23:23" x14ac:dyDescent="0.55000000000000004">
      <c r="W10527"/>
    </row>
    <row r="10528" spans="23:23" x14ac:dyDescent="0.55000000000000004">
      <c r="W10528"/>
    </row>
    <row r="10529" spans="23:23" x14ac:dyDescent="0.55000000000000004">
      <c r="W10529"/>
    </row>
    <row r="10530" spans="23:23" x14ac:dyDescent="0.55000000000000004">
      <c r="W10530"/>
    </row>
    <row r="10531" spans="23:23" x14ac:dyDescent="0.55000000000000004">
      <c r="W10531"/>
    </row>
    <row r="10532" spans="23:23" x14ac:dyDescent="0.55000000000000004">
      <c r="W10532"/>
    </row>
    <row r="10533" spans="23:23" x14ac:dyDescent="0.55000000000000004">
      <c r="W10533"/>
    </row>
    <row r="10534" spans="23:23" x14ac:dyDescent="0.55000000000000004">
      <c r="W10534"/>
    </row>
    <row r="10535" spans="23:23" x14ac:dyDescent="0.55000000000000004">
      <c r="W10535"/>
    </row>
    <row r="10536" spans="23:23" x14ac:dyDescent="0.55000000000000004">
      <c r="W10536"/>
    </row>
    <row r="10537" spans="23:23" x14ac:dyDescent="0.55000000000000004">
      <c r="W10537"/>
    </row>
    <row r="10538" spans="23:23" x14ac:dyDescent="0.55000000000000004">
      <c r="W10538"/>
    </row>
    <row r="10539" spans="23:23" x14ac:dyDescent="0.55000000000000004">
      <c r="W10539"/>
    </row>
    <row r="10540" spans="23:23" x14ac:dyDescent="0.55000000000000004">
      <c r="W10540"/>
    </row>
    <row r="10541" spans="23:23" x14ac:dyDescent="0.55000000000000004">
      <c r="W10541"/>
    </row>
    <row r="10542" spans="23:23" x14ac:dyDescent="0.55000000000000004">
      <c r="W10542"/>
    </row>
    <row r="10543" spans="23:23" x14ac:dyDescent="0.55000000000000004">
      <c r="W10543"/>
    </row>
    <row r="10544" spans="23:23" x14ac:dyDescent="0.55000000000000004">
      <c r="W10544"/>
    </row>
    <row r="10545" spans="23:23" x14ac:dyDescent="0.55000000000000004">
      <c r="W10545"/>
    </row>
    <row r="10546" spans="23:23" x14ac:dyDescent="0.55000000000000004">
      <c r="W10546"/>
    </row>
    <row r="10547" spans="23:23" x14ac:dyDescent="0.55000000000000004">
      <c r="W10547"/>
    </row>
    <row r="10548" spans="23:23" x14ac:dyDescent="0.55000000000000004">
      <c r="W10548"/>
    </row>
    <row r="10549" spans="23:23" x14ac:dyDescent="0.55000000000000004">
      <c r="W10549"/>
    </row>
    <row r="10550" spans="23:23" x14ac:dyDescent="0.55000000000000004">
      <c r="W10550"/>
    </row>
    <row r="10551" spans="23:23" x14ac:dyDescent="0.55000000000000004">
      <c r="W10551"/>
    </row>
    <row r="10552" spans="23:23" x14ac:dyDescent="0.55000000000000004">
      <c r="W10552"/>
    </row>
    <row r="10553" spans="23:23" x14ac:dyDescent="0.55000000000000004">
      <c r="W10553"/>
    </row>
    <row r="10554" spans="23:23" x14ac:dyDescent="0.55000000000000004">
      <c r="W10554"/>
    </row>
    <row r="10555" spans="23:23" x14ac:dyDescent="0.55000000000000004">
      <c r="W10555"/>
    </row>
    <row r="10556" spans="23:23" x14ac:dyDescent="0.55000000000000004">
      <c r="W10556"/>
    </row>
    <row r="10557" spans="23:23" x14ac:dyDescent="0.55000000000000004">
      <c r="W10557"/>
    </row>
    <row r="10558" spans="23:23" x14ac:dyDescent="0.55000000000000004">
      <c r="W10558"/>
    </row>
    <row r="10559" spans="23:23" x14ac:dyDescent="0.55000000000000004">
      <c r="W10559"/>
    </row>
    <row r="10560" spans="23:23" x14ac:dyDescent="0.55000000000000004">
      <c r="W10560"/>
    </row>
    <row r="10561" spans="23:23" x14ac:dyDescent="0.55000000000000004">
      <c r="W10561"/>
    </row>
    <row r="10562" spans="23:23" x14ac:dyDescent="0.55000000000000004">
      <c r="W10562"/>
    </row>
    <row r="10563" spans="23:23" x14ac:dyDescent="0.55000000000000004">
      <c r="W10563"/>
    </row>
    <row r="10564" spans="23:23" x14ac:dyDescent="0.55000000000000004">
      <c r="W10564"/>
    </row>
    <row r="10565" spans="23:23" x14ac:dyDescent="0.55000000000000004">
      <c r="W10565"/>
    </row>
    <row r="10566" spans="23:23" x14ac:dyDescent="0.55000000000000004">
      <c r="W10566"/>
    </row>
    <row r="10567" spans="23:23" x14ac:dyDescent="0.55000000000000004">
      <c r="W10567"/>
    </row>
    <row r="10568" spans="23:23" x14ac:dyDescent="0.55000000000000004">
      <c r="W10568"/>
    </row>
    <row r="10569" spans="23:23" x14ac:dyDescent="0.55000000000000004">
      <c r="W10569"/>
    </row>
    <row r="10570" spans="23:23" x14ac:dyDescent="0.55000000000000004">
      <c r="W10570"/>
    </row>
    <row r="10571" spans="23:23" x14ac:dyDescent="0.55000000000000004">
      <c r="W10571"/>
    </row>
    <row r="10572" spans="23:23" x14ac:dyDescent="0.55000000000000004">
      <c r="W10572"/>
    </row>
    <row r="10573" spans="23:23" x14ac:dyDescent="0.55000000000000004">
      <c r="W10573"/>
    </row>
    <row r="10574" spans="23:23" x14ac:dyDescent="0.55000000000000004">
      <c r="W10574"/>
    </row>
    <row r="10575" spans="23:23" x14ac:dyDescent="0.55000000000000004">
      <c r="W10575"/>
    </row>
    <row r="10576" spans="23:23" x14ac:dyDescent="0.55000000000000004">
      <c r="W10576"/>
    </row>
    <row r="10577" spans="23:23" x14ac:dyDescent="0.55000000000000004">
      <c r="W10577"/>
    </row>
    <row r="10578" spans="23:23" x14ac:dyDescent="0.55000000000000004">
      <c r="W10578"/>
    </row>
    <row r="10579" spans="23:23" x14ac:dyDescent="0.55000000000000004">
      <c r="W10579"/>
    </row>
    <row r="10580" spans="23:23" x14ac:dyDescent="0.55000000000000004">
      <c r="W10580"/>
    </row>
    <row r="10581" spans="23:23" x14ac:dyDescent="0.55000000000000004">
      <c r="W10581"/>
    </row>
    <row r="10582" spans="23:23" x14ac:dyDescent="0.55000000000000004">
      <c r="W10582"/>
    </row>
    <row r="10583" spans="23:23" x14ac:dyDescent="0.55000000000000004">
      <c r="W10583"/>
    </row>
    <row r="10584" spans="23:23" x14ac:dyDescent="0.55000000000000004">
      <c r="W10584"/>
    </row>
    <row r="10585" spans="23:23" x14ac:dyDescent="0.55000000000000004">
      <c r="W10585"/>
    </row>
    <row r="10586" spans="23:23" x14ac:dyDescent="0.55000000000000004">
      <c r="W10586"/>
    </row>
    <row r="10587" spans="23:23" x14ac:dyDescent="0.55000000000000004">
      <c r="W10587"/>
    </row>
    <row r="10588" spans="23:23" x14ac:dyDescent="0.55000000000000004">
      <c r="W10588"/>
    </row>
    <row r="10589" spans="23:23" x14ac:dyDescent="0.55000000000000004">
      <c r="W10589"/>
    </row>
    <row r="10590" spans="23:23" x14ac:dyDescent="0.55000000000000004">
      <c r="W10590"/>
    </row>
    <row r="10591" spans="23:23" x14ac:dyDescent="0.55000000000000004">
      <c r="W10591"/>
    </row>
    <row r="10592" spans="23:23" x14ac:dyDescent="0.55000000000000004">
      <c r="W10592"/>
    </row>
    <row r="10593" spans="23:23" x14ac:dyDescent="0.55000000000000004">
      <c r="W10593"/>
    </row>
    <row r="10594" spans="23:23" x14ac:dyDescent="0.55000000000000004">
      <c r="W10594"/>
    </row>
    <row r="10595" spans="23:23" x14ac:dyDescent="0.55000000000000004">
      <c r="W10595"/>
    </row>
    <row r="10596" spans="23:23" x14ac:dyDescent="0.55000000000000004">
      <c r="W10596"/>
    </row>
    <row r="10597" spans="23:23" x14ac:dyDescent="0.55000000000000004">
      <c r="W10597"/>
    </row>
    <row r="10598" spans="23:23" x14ac:dyDescent="0.55000000000000004">
      <c r="W10598"/>
    </row>
    <row r="10599" spans="23:23" x14ac:dyDescent="0.55000000000000004">
      <c r="W10599"/>
    </row>
    <row r="10600" spans="23:23" x14ac:dyDescent="0.55000000000000004">
      <c r="W10600"/>
    </row>
    <row r="10601" spans="23:23" x14ac:dyDescent="0.55000000000000004">
      <c r="W10601"/>
    </row>
    <row r="10602" spans="23:23" x14ac:dyDescent="0.55000000000000004">
      <c r="W10602"/>
    </row>
    <row r="10603" spans="23:23" x14ac:dyDescent="0.55000000000000004">
      <c r="W10603"/>
    </row>
    <row r="10604" spans="23:23" x14ac:dyDescent="0.55000000000000004">
      <c r="W10604"/>
    </row>
    <row r="10605" spans="23:23" x14ac:dyDescent="0.55000000000000004">
      <c r="W10605"/>
    </row>
    <row r="10606" spans="23:23" x14ac:dyDescent="0.55000000000000004">
      <c r="W10606"/>
    </row>
    <row r="10607" spans="23:23" x14ac:dyDescent="0.55000000000000004">
      <c r="W10607"/>
    </row>
    <row r="10608" spans="23:23" x14ac:dyDescent="0.55000000000000004">
      <c r="W10608"/>
    </row>
    <row r="10609" spans="23:23" x14ac:dyDescent="0.55000000000000004">
      <c r="W10609"/>
    </row>
    <row r="10610" spans="23:23" x14ac:dyDescent="0.55000000000000004">
      <c r="W10610"/>
    </row>
    <row r="10611" spans="23:23" x14ac:dyDescent="0.55000000000000004">
      <c r="W10611"/>
    </row>
    <row r="10612" spans="23:23" x14ac:dyDescent="0.55000000000000004">
      <c r="W10612"/>
    </row>
    <row r="10613" spans="23:23" x14ac:dyDescent="0.55000000000000004">
      <c r="W10613"/>
    </row>
    <row r="10614" spans="23:23" x14ac:dyDescent="0.55000000000000004">
      <c r="W10614"/>
    </row>
    <row r="10615" spans="23:23" x14ac:dyDescent="0.55000000000000004">
      <c r="W10615"/>
    </row>
    <row r="10616" spans="23:23" x14ac:dyDescent="0.55000000000000004">
      <c r="W10616"/>
    </row>
    <row r="10617" spans="23:23" x14ac:dyDescent="0.55000000000000004">
      <c r="W10617"/>
    </row>
    <row r="10618" spans="23:23" x14ac:dyDescent="0.55000000000000004">
      <c r="W10618"/>
    </row>
    <row r="10619" spans="23:23" x14ac:dyDescent="0.55000000000000004">
      <c r="W10619"/>
    </row>
    <row r="10620" spans="23:23" x14ac:dyDescent="0.55000000000000004">
      <c r="W10620"/>
    </row>
    <row r="10621" spans="23:23" x14ac:dyDescent="0.55000000000000004">
      <c r="W10621"/>
    </row>
    <row r="10622" spans="23:23" x14ac:dyDescent="0.55000000000000004">
      <c r="W10622"/>
    </row>
    <row r="10623" spans="23:23" x14ac:dyDescent="0.55000000000000004">
      <c r="W10623"/>
    </row>
    <row r="10624" spans="23:23" x14ac:dyDescent="0.55000000000000004">
      <c r="W10624"/>
    </row>
    <row r="10625" spans="23:23" x14ac:dyDescent="0.55000000000000004">
      <c r="W10625"/>
    </row>
    <row r="10626" spans="23:23" x14ac:dyDescent="0.55000000000000004">
      <c r="W10626"/>
    </row>
    <row r="10627" spans="23:23" x14ac:dyDescent="0.55000000000000004">
      <c r="W10627"/>
    </row>
    <row r="10628" spans="23:23" x14ac:dyDescent="0.55000000000000004">
      <c r="W10628"/>
    </row>
    <row r="10629" spans="23:23" x14ac:dyDescent="0.55000000000000004">
      <c r="W10629"/>
    </row>
    <row r="10630" spans="23:23" x14ac:dyDescent="0.55000000000000004">
      <c r="W10630"/>
    </row>
    <row r="10631" spans="23:23" x14ac:dyDescent="0.55000000000000004">
      <c r="W10631"/>
    </row>
    <row r="10632" spans="23:23" x14ac:dyDescent="0.55000000000000004">
      <c r="W10632"/>
    </row>
    <row r="10633" spans="23:23" x14ac:dyDescent="0.55000000000000004">
      <c r="W10633"/>
    </row>
    <row r="10634" spans="23:23" x14ac:dyDescent="0.55000000000000004">
      <c r="W10634"/>
    </row>
    <row r="10635" spans="23:23" x14ac:dyDescent="0.55000000000000004">
      <c r="W10635"/>
    </row>
    <row r="10636" spans="23:23" x14ac:dyDescent="0.55000000000000004">
      <c r="W10636"/>
    </row>
    <row r="10637" spans="23:23" x14ac:dyDescent="0.55000000000000004">
      <c r="W10637"/>
    </row>
    <row r="10638" spans="23:23" x14ac:dyDescent="0.55000000000000004">
      <c r="W10638"/>
    </row>
    <row r="10639" spans="23:23" x14ac:dyDescent="0.55000000000000004">
      <c r="W10639"/>
    </row>
    <row r="10640" spans="23:23" x14ac:dyDescent="0.55000000000000004">
      <c r="W10640"/>
    </row>
    <row r="10641" spans="23:23" x14ac:dyDescent="0.55000000000000004">
      <c r="W10641"/>
    </row>
    <row r="10642" spans="23:23" x14ac:dyDescent="0.55000000000000004">
      <c r="W10642"/>
    </row>
    <row r="10643" spans="23:23" x14ac:dyDescent="0.55000000000000004">
      <c r="W10643"/>
    </row>
    <row r="10644" spans="23:23" x14ac:dyDescent="0.55000000000000004">
      <c r="W10644"/>
    </row>
    <row r="10645" spans="23:23" x14ac:dyDescent="0.55000000000000004">
      <c r="W10645"/>
    </row>
    <row r="10646" spans="23:23" x14ac:dyDescent="0.55000000000000004">
      <c r="W10646"/>
    </row>
    <row r="10647" spans="23:23" x14ac:dyDescent="0.55000000000000004">
      <c r="W10647"/>
    </row>
    <row r="10648" spans="23:23" x14ac:dyDescent="0.55000000000000004">
      <c r="W10648"/>
    </row>
    <row r="10649" spans="23:23" x14ac:dyDescent="0.55000000000000004">
      <c r="W10649"/>
    </row>
    <row r="10650" spans="23:23" x14ac:dyDescent="0.55000000000000004">
      <c r="W10650"/>
    </row>
    <row r="10651" spans="23:23" x14ac:dyDescent="0.55000000000000004">
      <c r="W10651"/>
    </row>
    <row r="10652" spans="23:23" x14ac:dyDescent="0.55000000000000004">
      <c r="W10652"/>
    </row>
    <row r="10653" spans="23:23" x14ac:dyDescent="0.55000000000000004">
      <c r="W10653"/>
    </row>
    <row r="10654" spans="23:23" x14ac:dyDescent="0.55000000000000004">
      <c r="W10654"/>
    </row>
    <row r="10655" spans="23:23" x14ac:dyDescent="0.55000000000000004">
      <c r="W10655"/>
    </row>
    <row r="10656" spans="23:23" x14ac:dyDescent="0.55000000000000004">
      <c r="W10656"/>
    </row>
    <row r="10657" spans="23:23" x14ac:dyDescent="0.55000000000000004">
      <c r="W10657"/>
    </row>
    <row r="10658" spans="23:23" x14ac:dyDescent="0.55000000000000004">
      <c r="W10658"/>
    </row>
    <row r="10659" spans="23:23" x14ac:dyDescent="0.55000000000000004">
      <c r="W10659"/>
    </row>
    <row r="10660" spans="23:23" x14ac:dyDescent="0.55000000000000004">
      <c r="W10660"/>
    </row>
    <row r="10661" spans="23:23" x14ac:dyDescent="0.55000000000000004">
      <c r="W10661"/>
    </row>
    <row r="10662" spans="23:23" x14ac:dyDescent="0.55000000000000004">
      <c r="W10662"/>
    </row>
    <row r="10663" spans="23:23" x14ac:dyDescent="0.55000000000000004">
      <c r="W10663"/>
    </row>
    <row r="10664" spans="23:23" x14ac:dyDescent="0.55000000000000004">
      <c r="W10664"/>
    </row>
    <row r="10665" spans="23:23" x14ac:dyDescent="0.55000000000000004">
      <c r="W10665"/>
    </row>
    <row r="10666" spans="23:23" x14ac:dyDescent="0.55000000000000004">
      <c r="W10666"/>
    </row>
    <row r="10667" spans="23:23" x14ac:dyDescent="0.55000000000000004">
      <c r="W10667"/>
    </row>
    <row r="10668" spans="23:23" x14ac:dyDescent="0.55000000000000004">
      <c r="W10668"/>
    </row>
    <row r="10669" spans="23:23" x14ac:dyDescent="0.55000000000000004">
      <c r="W10669"/>
    </row>
    <row r="10670" spans="23:23" x14ac:dyDescent="0.55000000000000004">
      <c r="W10670"/>
    </row>
    <row r="10671" spans="23:23" x14ac:dyDescent="0.55000000000000004">
      <c r="W10671"/>
    </row>
    <row r="10672" spans="23:23" x14ac:dyDescent="0.55000000000000004">
      <c r="W10672"/>
    </row>
    <row r="10673" spans="23:23" x14ac:dyDescent="0.55000000000000004">
      <c r="W10673"/>
    </row>
    <row r="10674" spans="23:23" x14ac:dyDescent="0.55000000000000004">
      <c r="W10674"/>
    </row>
    <row r="10675" spans="23:23" x14ac:dyDescent="0.55000000000000004">
      <c r="W10675"/>
    </row>
    <row r="10676" spans="23:23" x14ac:dyDescent="0.55000000000000004">
      <c r="W10676"/>
    </row>
    <row r="10677" spans="23:23" x14ac:dyDescent="0.55000000000000004">
      <c r="W10677"/>
    </row>
    <row r="10678" spans="23:23" x14ac:dyDescent="0.55000000000000004">
      <c r="W10678"/>
    </row>
    <row r="10679" spans="23:23" x14ac:dyDescent="0.55000000000000004">
      <c r="W10679"/>
    </row>
    <row r="10680" spans="23:23" x14ac:dyDescent="0.55000000000000004">
      <c r="W10680"/>
    </row>
    <row r="10681" spans="23:23" x14ac:dyDescent="0.55000000000000004">
      <c r="W10681"/>
    </row>
    <row r="10682" spans="23:23" x14ac:dyDescent="0.55000000000000004">
      <c r="W10682"/>
    </row>
    <row r="10683" spans="23:23" x14ac:dyDescent="0.55000000000000004">
      <c r="W10683"/>
    </row>
    <row r="10684" spans="23:23" x14ac:dyDescent="0.55000000000000004">
      <c r="W10684"/>
    </row>
    <row r="10685" spans="23:23" x14ac:dyDescent="0.55000000000000004">
      <c r="W10685"/>
    </row>
    <row r="10686" spans="23:23" x14ac:dyDescent="0.55000000000000004">
      <c r="W10686"/>
    </row>
    <row r="10687" spans="23:23" x14ac:dyDescent="0.55000000000000004">
      <c r="W10687"/>
    </row>
    <row r="10688" spans="23:23" x14ac:dyDescent="0.55000000000000004">
      <c r="W10688"/>
    </row>
    <row r="10689" spans="23:23" x14ac:dyDescent="0.55000000000000004">
      <c r="W10689"/>
    </row>
    <row r="10690" spans="23:23" x14ac:dyDescent="0.55000000000000004">
      <c r="W10690"/>
    </row>
    <row r="10691" spans="23:23" x14ac:dyDescent="0.55000000000000004">
      <c r="W10691"/>
    </row>
    <row r="10692" spans="23:23" x14ac:dyDescent="0.55000000000000004">
      <c r="W10692"/>
    </row>
    <row r="10693" spans="23:23" x14ac:dyDescent="0.55000000000000004">
      <c r="W10693"/>
    </row>
    <row r="10694" spans="23:23" x14ac:dyDescent="0.55000000000000004">
      <c r="W10694"/>
    </row>
    <row r="10695" spans="23:23" x14ac:dyDescent="0.55000000000000004">
      <c r="W10695"/>
    </row>
    <row r="10696" spans="23:23" x14ac:dyDescent="0.55000000000000004">
      <c r="W10696"/>
    </row>
    <row r="10697" spans="23:23" x14ac:dyDescent="0.55000000000000004">
      <c r="W10697"/>
    </row>
    <row r="10698" spans="23:23" x14ac:dyDescent="0.55000000000000004">
      <c r="W10698"/>
    </row>
    <row r="10699" spans="23:23" x14ac:dyDescent="0.55000000000000004">
      <c r="W10699"/>
    </row>
    <row r="10700" spans="23:23" x14ac:dyDescent="0.55000000000000004">
      <c r="W10700"/>
    </row>
    <row r="10701" spans="23:23" x14ac:dyDescent="0.55000000000000004">
      <c r="W10701"/>
    </row>
    <row r="10702" spans="23:23" x14ac:dyDescent="0.55000000000000004">
      <c r="W10702"/>
    </row>
    <row r="10703" spans="23:23" x14ac:dyDescent="0.55000000000000004">
      <c r="W10703"/>
    </row>
    <row r="10704" spans="23:23" x14ac:dyDescent="0.55000000000000004">
      <c r="W10704"/>
    </row>
    <row r="10705" spans="23:23" x14ac:dyDescent="0.55000000000000004">
      <c r="W10705"/>
    </row>
    <row r="10706" spans="23:23" x14ac:dyDescent="0.55000000000000004">
      <c r="W10706"/>
    </row>
    <row r="10707" spans="23:23" x14ac:dyDescent="0.55000000000000004">
      <c r="W10707"/>
    </row>
    <row r="10708" spans="23:23" x14ac:dyDescent="0.55000000000000004">
      <c r="W10708"/>
    </row>
    <row r="10709" spans="23:23" x14ac:dyDescent="0.55000000000000004">
      <c r="W10709"/>
    </row>
    <row r="10710" spans="23:23" x14ac:dyDescent="0.55000000000000004">
      <c r="W10710"/>
    </row>
    <row r="10711" spans="23:23" x14ac:dyDescent="0.55000000000000004">
      <c r="W10711"/>
    </row>
    <row r="10712" spans="23:23" x14ac:dyDescent="0.55000000000000004">
      <c r="W10712"/>
    </row>
    <row r="10713" spans="23:23" x14ac:dyDescent="0.55000000000000004">
      <c r="W10713"/>
    </row>
    <row r="10714" spans="23:23" x14ac:dyDescent="0.55000000000000004">
      <c r="W10714"/>
    </row>
    <row r="10715" spans="23:23" x14ac:dyDescent="0.55000000000000004">
      <c r="W10715"/>
    </row>
    <row r="10716" spans="23:23" x14ac:dyDescent="0.55000000000000004">
      <c r="W10716"/>
    </row>
    <row r="10717" spans="23:23" x14ac:dyDescent="0.55000000000000004">
      <c r="W10717"/>
    </row>
    <row r="10718" spans="23:23" x14ac:dyDescent="0.55000000000000004">
      <c r="W10718"/>
    </row>
    <row r="10719" spans="23:23" x14ac:dyDescent="0.55000000000000004">
      <c r="W10719"/>
    </row>
    <row r="10720" spans="23:23" x14ac:dyDescent="0.55000000000000004">
      <c r="W10720"/>
    </row>
    <row r="10721" spans="23:23" x14ac:dyDescent="0.55000000000000004">
      <c r="W10721"/>
    </row>
    <row r="10722" spans="23:23" x14ac:dyDescent="0.55000000000000004">
      <c r="W10722"/>
    </row>
    <row r="10723" spans="23:23" x14ac:dyDescent="0.55000000000000004">
      <c r="W10723"/>
    </row>
    <row r="10724" spans="23:23" x14ac:dyDescent="0.55000000000000004">
      <c r="W10724"/>
    </row>
    <row r="10725" spans="23:23" x14ac:dyDescent="0.55000000000000004">
      <c r="W10725"/>
    </row>
    <row r="10726" spans="23:23" x14ac:dyDescent="0.55000000000000004">
      <c r="W10726"/>
    </row>
    <row r="10727" spans="23:23" x14ac:dyDescent="0.55000000000000004">
      <c r="W10727"/>
    </row>
    <row r="10728" spans="23:23" x14ac:dyDescent="0.55000000000000004">
      <c r="W10728"/>
    </row>
    <row r="10729" spans="23:23" x14ac:dyDescent="0.55000000000000004">
      <c r="W10729"/>
    </row>
    <row r="10730" spans="23:23" x14ac:dyDescent="0.55000000000000004">
      <c r="W10730"/>
    </row>
    <row r="10731" spans="23:23" x14ac:dyDescent="0.55000000000000004">
      <c r="W10731"/>
    </row>
    <row r="10732" spans="23:23" x14ac:dyDescent="0.55000000000000004">
      <c r="W10732"/>
    </row>
    <row r="10733" spans="23:23" x14ac:dyDescent="0.55000000000000004">
      <c r="W10733"/>
    </row>
    <row r="10734" spans="23:23" x14ac:dyDescent="0.55000000000000004">
      <c r="W10734"/>
    </row>
    <row r="10735" spans="23:23" x14ac:dyDescent="0.55000000000000004">
      <c r="W10735"/>
    </row>
    <row r="10736" spans="23:23" x14ac:dyDescent="0.55000000000000004">
      <c r="W10736"/>
    </row>
    <row r="10737" spans="23:23" x14ac:dyDescent="0.55000000000000004">
      <c r="W10737"/>
    </row>
    <row r="10738" spans="23:23" x14ac:dyDescent="0.55000000000000004">
      <c r="W10738"/>
    </row>
    <row r="10739" spans="23:23" x14ac:dyDescent="0.55000000000000004">
      <c r="W10739"/>
    </row>
    <row r="10740" spans="23:23" x14ac:dyDescent="0.55000000000000004">
      <c r="W10740"/>
    </row>
    <row r="10741" spans="23:23" x14ac:dyDescent="0.55000000000000004">
      <c r="W10741"/>
    </row>
    <row r="10742" spans="23:23" x14ac:dyDescent="0.55000000000000004">
      <c r="W10742"/>
    </row>
    <row r="10743" spans="23:23" x14ac:dyDescent="0.55000000000000004">
      <c r="W10743"/>
    </row>
    <row r="10744" spans="23:23" x14ac:dyDescent="0.55000000000000004">
      <c r="W10744"/>
    </row>
    <row r="10745" spans="23:23" x14ac:dyDescent="0.55000000000000004">
      <c r="W10745"/>
    </row>
    <row r="10746" spans="23:23" x14ac:dyDescent="0.55000000000000004">
      <c r="W10746"/>
    </row>
    <row r="10747" spans="23:23" x14ac:dyDescent="0.55000000000000004">
      <c r="W10747"/>
    </row>
    <row r="10748" spans="23:23" x14ac:dyDescent="0.55000000000000004">
      <c r="W10748"/>
    </row>
    <row r="10749" spans="23:23" x14ac:dyDescent="0.55000000000000004">
      <c r="W10749"/>
    </row>
    <row r="10750" spans="23:23" x14ac:dyDescent="0.55000000000000004">
      <c r="W10750"/>
    </row>
    <row r="10751" spans="23:23" x14ac:dyDescent="0.55000000000000004">
      <c r="W10751"/>
    </row>
    <row r="10752" spans="23:23" x14ac:dyDescent="0.55000000000000004">
      <c r="W10752"/>
    </row>
    <row r="10753" spans="23:23" x14ac:dyDescent="0.55000000000000004">
      <c r="W10753"/>
    </row>
    <row r="10754" spans="23:23" x14ac:dyDescent="0.55000000000000004">
      <c r="W10754"/>
    </row>
    <row r="10755" spans="23:23" x14ac:dyDescent="0.55000000000000004">
      <c r="W10755"/>
    </row>
    <row r="10756" spans="23:23" x14ac:dyDescent="0.55000000000000004">
      <c r="W10756"/>
    </row>
    <row r="10757" spans="23:23" x14ac:dyDescent="0.55000000000000004">
      <c r="W10757"/>
    </row>
    <row r="10758" spans="23:23" x14ac:dyDescent="0.55000000000000004">
      <c r="W10758"/>
    </row>
    <row r="10759" spans="23:23" x14ac:dyDescent="0.55000000000000004">
      <c r="W10759"/>
    </row>
    <row r="10760" spans="23:23" x14ac:dyDescent="0.55000000000000004">
      <c r="W10760"/>
    </row>
    <row r="10761" spans="23:23" x14ac:dyDescent="0.55000000000000004">
      <c r="W10761"/>
    </row>
    <row r="10762" spans="23:23" x14ac:dyDescent="0.55000000000000004">
      <c r="W10762"/>
    </row>
    <row r="10763" spans="23:23" x14ac:dyDescent="0.55000000000000004">
      <c r="W10763"/>
    </row>
    <row r="10764" spans="23:23" x14ac:dyDescent="0.55000000000000004">
      <c r="W10764"/>
    </row>
    <row r="10765" spans="23:23" x14ac:dyDescent="0.55000000000000004">
      <c r="W10765"/>
    </row>
    <row r="10766" spans="23:23" x14ac:dyDescent="0.55000000000000004">
      <c r="W10766"/>
    </row>
    <row r="10767" spans="23:23" x14ac:dyDescent="0.55000000000000004">
      <c r="W10767"/>
    </row>
    <row r="10768" spans="23:23" x14ac:dyDescent="0.55000000000000004">
      <c r="W10768"/>
    </row>
    <row r="10769" spans="23:23" x14ac:dyDescent="0.55000000000000004">
      <c r="W10769"/>
    </row>
    <row r="10770" spans="23:23" x14ac:dyDescent="0.55000000000000004">
      <c r="W10770"/>
    </row>
    <row r="10771" spans="23:23" x14ac:dyDescent="0.55000000000000004">
      <c r="W10771"/>
    </row>
    <row r="10772" spans="23:23" x14ac:dyDescent="0.55000000000000004">
      <c r="W10772"/>
    </row>
    <row r="10773" spans="23:23" x14ac:dyDescent="0.55000000000000004">
      <c r="W10773"/>
    </row>
    <row r="10774" spans="23:23" x14ac:dyDescent="0.55000000000000004">
      <c r="W10774"/>
    </row>
    <row r="10775" spans="23:23" x14ac:dyDescent="0.55000000000000004">
      <c r="W10775"/>
    </row>
    <row r="10776" spans="23:23" x14ac:dyDescent="0.55000000000000004">
      <c r="W10776"/>
    </row>
    <row r="10777" spans="23:23" x14ac:dyDescent="0.55000000000000004">
      <c r="W10777"/>
    </row>
    <row r="10778" spans="23:23" x14ac:dyDescent="0.55000000000000004">
      <c r="W10778"/>
    </row>
    <row r="10779" spans="23:23" x14ac:dyDescent="0.55000000000000004">
      <c r="W10779"/>
    </row>
    <row r="10780" spans="23:23" x14ac:dyDescent="0.55000000000000004">
      <c r="W10780"/>
    </row>
    <row r="10781" spans="23:23" x14ac:dyDescent="0.55000000000000004">
      <c r="W10781"/>
    </row>
    <row r="10782" spans="23:23" x14ac:dyDescent="0.55000000000000004">
      <c r="W10782"/>
    </row>
    <row r="10783" spans="23:23" x14ac:dyDescent="0.55000000000000004">
      <c r="W10783"/>
    </row>
    <row r="10784" spans="23:23" x14ac:dyDescent="0.55000000000000004">
      <c r="W10784"/>
    </row>
    <row r="10785" spans="23:23" x14ac:dyDescent="0.55000000000000004">
      <c r="W10785"/>
    </row>
    <row r="10786" spans="23:23" x14ac:dyDescent="0.55000000000000004">
      <c r="W10786"/>
    </row>
    <row r="10787" spans="23:23" x14ac:dyDescent="0.55000000000000004">
      <c r="W10787"/>
    </row>
    <row r="10788" spans="23:23" x14ac:dyDescent="0.55000000000000004">
      <c r="W10788"/>
    </row>
    <row r="10789" spans="23:23" x14ac:dyDescent="0.55000000000000004">
      <c r="W10789"/>
    </row>
    <row r="10790" spans="23:23" x14ac:dyDescent="0.55000000000000004">
      <c r="W10790"/>
    </row>
    <row r="10791" spans="23:23" x14ac:dyDescent="0.55000000000000004">
      <c r="W10791"/>
    </row>
    <row r="10792" spans="23:23" x14ac:dyDescent="0.55000000000000004">
      <c r="W10792"/>
    </row>
    <row r="10793" spans="23:23" x14ac:dyDescent="0.55000000000000004">
      <c r="W10793"/>
    </row>
    <row r="10794" spans="23:23" x14ac:dyDescent="0.55000000000000004">
      <c r="W10794"/>
    </row>
    <row r="10795" spans="23:23" x14ac:dyDescent="0.55000000000000004">
      <c r="W10795"/>
    </row>
    <row r="10796" spans="23:23" x14ac:dyDescent="0.55000000000000004">
      <c r="W10796"/>
    </row>
    <row r="10797" spans="23:23" x14ac:dyDescent="0.55000000000000004">
      <c r="W10797"/>
    </row>
    <row r="10798" spans="23:23" x14ac:dyDescent="0.55000000000000004">
      <c r="W10798"/>
    </row>
    <row r="10799" spans="23:23" x14ac:dyDescent="0.55000000000000004">
      <c r="W10799"/>
    </row>
    <row r="10800" spans="23:23" x14ac:dyDescent="0.55000000000000004">
      <c r="W10800"/>
    </row>
    <row r="10801" spans="23:23" x14ac:dyDescent="0.55000000000000004">
      <c r="W10801"/>
    </row>
    <row r="10802" spans="23:23" x14ac:dyDescent="0.55000000000000004">
      <c r="W10802"/>
    </row>
    <row r="10803" spans="23:23" x14ac:dyDescent="0.55000000000000004">
      <c r="W10803"/>
    </row>
    <row r="10804" spans="23:23" x14ac:dyDescent="0.55000000000000004">
      <c r="W10804"/>
    </row>
    <row r="10805" spans="23:23" x14ac:dyDescent="0.55000000000000004">
      <c r="W10805"/>
    </row>
    <row r="10806" spans="23:23" x14ac:dyDescent="0.55000000000000004">
      <c r="W10806"/>
    </row>
    <row r="10807" spans="23:23" x14ac:dyDescent="0.55000000000000004">
      <c r="W10807"/>
    </row>
    <row r="10808" spans="23:23" x14ac:dyDescent="0.55000000000000004">
      <c r="W10808"/>
    </row>
    <row r="10809" spans="23:23" x14ac:dyDescent="0.55000000000000004">
      <c r="W10809"/>
    </row>
    <row r="10810" spans="23:23" x14ac:dyDescent="0.55000000000000004">
      <c r="W10810"/>
    </row>
    <row r="10811" spans="23:23" x14ac:dyDescent="0.55000000000000004">
      <c r="W10811"/>
    </row>
    <row r="10812" spans="23:23" x14ac:dyDescent="0.55000000000000004">
      <c r="W10812"/>
    </row>
    <row r="10813" spans="23:23" x14ac:dyDescent="0.55000000000000004">
      <c r="W10813"/>
    </row>
    <row r="10814" spans="23:23" x14ac:dyDescent="0.55000000000000004">
      <c r="W10814"/>
    </row>
    <row r="10815" spans="23:23" x14ac:dyDescent="0.55000000000000004">
      <c r="W10815"/>
    </row>
    <row r="10816" spans="23:23" x14ac:dyDescent="0.55000000000000004">
      <c r="W10816"/>
    </row>
    <row r="10817" spans="23:23" x14ac:dyDescent="0.55000000000000004">
      <c r="W10817"/>
    </row>
    <row r="10818" spans="23:23" x14ac:dyDescent="0.55000000000000004">
      <c r="W10818"/>
    </row>
    <row r="10819" spans="23:23" x14ac:dyDescent="0.55000000000000004">
      <c r="W10819"/>
    </row>
    <row r="10820" spans="23:23" x14ac:dyDescent="0.55000000000000004">
      <c r="W10820"/>
    </row>
    <row r="10821" spans="23:23" x14ac:dyDescent="0.55000000000000004">
      <c r="W10821"/>
    </row>
    <row r="10822" spans="23:23" x14ac:dyDescent="0.55000000000000004">
      <c r="W10822"/>
    </row>
    <row r="10823" spans="23:23" x14ac:dyDescent="0.55000000000000004">
      <c r="W10823"/>
    </row>
    <row r="10824" spans="23:23" x14ac:dyDescent="0.55000000000000004">
      <c r="W10824"/>
    </row>
    <row r="10825" spans="23:23" x14ac:dyDescent="0.55000000000000004">
      <c r="W10825"/>
    </row>
    <row r="10826" spans="23:23" x14ac:dyDescent="0.55000000000000004">
      <c r="W10826"/>
    </row>
    <row r="10827" spans="23:23" x14ac:dyDescent="0.55000000000000004">
      <c r="W10827"/>
    </row>
    <row r="10828" spans="23:23" x14ac:dyDescent="0.55000000000000004">
      <c r="W10828"/>
    </row>
    <row r="10829" spans="23:23" x14ac:dyDescent="0.55000000000000004">
      <c r="W10829"/>
    </row>
    <row r="10830" spans="23:23" x14ac:dyDescent="0.55000000000000004">
      <c r="W10830"/>
    </row>
    <row r="10831" spans="23:23" x14ac:dyDescent="0.55000000000000004">
      <c r="W10831"/>
    </row>
    <row r="10832" spans="23:23" x14ac:dyDescent="0.55000000000000004">
      <c r="W10832"/>
    </row>
    <row r="10833" spans="23:23" x14ac:dyDescent="0.55000000000000004">
      <c r="W10833"/>
    </row>
    <row r="10834" spans="23:23" x14ac:dyDescent="0.55000000000000004">
      <c r="W10834"/>
    </row>
    <row r="10835" spans="23:23" x14ac:dyDescent="0.55000000000000004">
      <c r="W10835"/>
    </row>
    <row r="10836" spans="23:23" x14ac:dyDescent="0.55000000000000004">
      <c r="W10836"/>
    </row>
    <row r="10837" spans="23:23" x14ac:dyDescent="0.55000000000000004">
      <c r="W10837"/>
    </row>
    <row r="10838" spans="23:23" x14ac:dyDescent="0.55000000000000004">
      <c r="W10838"/>
    </row>
    <row r="10839" spans="23:23" x14ac:dyDescent="0.55000000000000004">
      <c r="W10839"/>
    </row>
    <row r="10840" spans="23:23" x14ac:dyDescent="0.55000000000000004">
      <c r="W10840"/>
    </row>
    <row r="10841" spans="23:23" x14ac:dyDescent="0.55000000000000004">
      <c r="W10841"/>
    </row>
    <row r="10842" spans="23:23" x14ac:dyDescent="0.55000000000000004">
      <c r="W10842"/>
    </row>
    <row r="10843" spans="23:23" x14ac:dyDescent="0.55000000000000004">
      <c r="W10843"/>
    </row>
    <row r="10844" spans="23:23" x14ac:dyDescent="0.55000000000000004">
      <c r="W10844"/>
    </row>
    <row r="10845" spans="23:23" x14ac:dyDescent="0.55000000000000004">
      <c r="W10845"/>
    </row>
    <row r="10846" spans="23:23" x14ac:dyDescent="0.55000000000000004">
      <c r="W10846"/>
    </row>
    <row r="10847" spans="23:23" x14ac:dyDescent="0.55000000000000004">
      <c r="W10847"/>
    </row>
    <row r="10848" spans="23:23" x14ac:dyDescent="0.55000000000000004">
      <c r="W10848"/>
    </row>
    <row r="10849" spans="23:23" x14ac:dyDescent="0.55000000000000004">
      <c r="W10849"/>
    </row>
    <row r="10850" spans="23:23" x14ac:dyDescent="0.55000000000000004">
      <c r="W10850"/>
    </row>
    <row r="10851" spans="23:23" x14ac:dyDescent="0.55000000000000004">
      <c r="W10851"/>
    </row>
    <row r="10852" spans="23:23" x14ac:dyDescent="0.55000000000000004">
      <c r="W10852"/>
    </row>
    <row r="10853" spans="23:23" x14ac:dyDescent="0.55000000000000004">
      <c r="W10853"/>
    </row>
    <row r="10854" spans="23:23" x14ac:dyDescent="0.55000000000000004">
      <c r="W10854"/>
    </row>
    <row r="10855" spans="23:23" x14ac:dyDescent="0.55000000000000004">
      <c r="W10855"/>
    </row>
    <row r="10856" spans="23:23" x14ac:dyDescent="0.55000000000000004">
      <c r="W10856"/>
    </row>
    <row r="10857" spans="23:23" x14ac:dyDescent="0.55000000000000004">
      <c r="W10857"/>
    </row>
    <row r="10858" spans="23:23" x14ac:dyDescent="0.55000000000000004">
      <c r="W10858"/>
    </row>
    <row r="10859" spans="23:23" x14ac:dyDescent="0.55000000000000004">
      <c r="W10859"/>
    </row>
    <row r="10860" spans="23:23" x14ac:dyDescent="0.55000000000000004">
      <c r="W10860"/>
    </row>
    <row r="10861" spans="23:23" x14ac:dyDescent="0.55000000000000004">
      <c r="W10861"/>
    </row>
    <row r="10862" spans="23:23" x14ac:dyDescent="0.55000000000000004">
      <c r="W10862"/>
    </row>
    <row r="10863" spans="23:23" x14ac:dyDescent="0.55000000000000004">
      <c r="W10863"/>
    </row>
    <row r="10864" spans="23:23" x14ac:dyDescent="0.55000000000000004">
      <c r="W10864"/>
    </row>
    <row r="10865" spans="23:23" x14ac:dyDescent="0.55000000000000004">
      <c r="W10865"/>
    </row>
    <row r="10866" spans="23:23" x14ac:dyDescent="0.55000000000000004">
      <c r="W10866"/>
    </row>
    <row r="10867" spans="23:23" x14ac:dyDescent="0.55000000000000004">
      <c r="W10867"/>
    </row>
    <row r="10868" spans="23:23" x14ac:dyDescent="0.55000000000000004">
      <c r="W10868"/>
    </row>
    <row r="10869" spans="23:23" x14ac:dyDescent="0.55000000000000004">
      <c r="W10869"/>
    </row>
    <row r="10870" spans="23:23" x14ac:dyDescent="0.55000000000000004">
      <c r="W10870"/>
    </row>
    <row r="10871" spans="23:23" x14ac:dyDescent="0.55000000000000004">
      <c r="W10871"/>
    </row>
    <row r="10872" spans="23:23" x14ac:dyDescent="0.55000000000000004">
      <c r="W10872"/>
    </row>
    <row r="10873" spans="23:23" x14ac:dyDescent="0.55000000000000004">
      <c r="W10873"/>
    </row>
    <row r="10874" spans="23:23" x14ac:dyDescent="0.55000000000000004">
      <c r="W10874"/>
    </row>
    <row r="10875" spans="23:23" x14ac:dyDescent="0.55000000000000004">
      <c r="W10875"/>
    </row>
    <row r="10876" spans="23:23" x14ac:dyDescent="0.55000000000000004">
      <c r="W10876"/>
    </row>
    <row r="10877" spans="23:23" x14ac:dyDescent="0.55000000000000004">
      <c r="W10877"/>
    </row>
    <row r="10878" spans="23:23" x14ac:dyDescent="0.55000000000000004">
      <c r="W10878"/>
    </row>
    <row r="10879" spans="23:23" x14ac:dyDescent="0.55000000000000004">
      <c r="W10879"/>
    </row>
    <row r="10880" spans="23:23" x14ac:dyDescent="0.55000000000000004">
      <c r="W10880"/>
    </row>
    <row r="10881" spans="23:23" x14ac:dyDescent="0.55000000000000004">
      <c r="W10881"/>
    </row>
    <row r="10882" spans="23:23" x14ac:dyDescent="0.55000000000000004">
      <c r="W10882"/>
    </row>
    <row r="10883" spans="23:23" x14ac:dyDescent="0.55000000000000004">
      <c r="W10883"/>
    </row>
    <row r="10884" spans="23:23" x14ac:dyDescent="0.55000000000000004">
      <c r="W10884"/>
    </row>
    <row r="10885" spans="23:23" x14ac:dyDescent="0.55000000000000004">
      <c r="W10885"/>
    </row>
    <row r="10886" spans="23:23" x14ac:dyDescent="0.55000000000000004">
      <c r="W10886"/>
    </row>
    <row r="10887" spans="23:23" x14ac:dyDescent="0.55000000000000004">
      <c r="W10887"/>
    </row>
    <row r="10888" spans="23:23" x14ac:dyDescent="0.55000000000000004">
      <c r="W10888"/>
    </row>
    <row r="10889" spans="23:23" x14ac:dyDescent="0.55000000000000004">
      <c r="W10889"/>
    </row>
    <row r="10890" spans="23:23" x14ac:dyDescent="0.55000000000000004">
      <c r="W10890"/>
    </row>
    <row r="10891" spans="23:23" x14ac:dyDescent="0.55000000000000004">
      <c r="W10891"/>
    </row>
    <row r="10892" spans="23:23" x14ac:dyDescent="0.55000000000000004">
      <c r="W10892"/>
    </row>
    <row r="10893" spans="23:23" x14ac:dyDescent="0.55000000000000004">
      <c r="W10893"/>
    </row>
    <row r="10894" spans="23:23" x14ac:dyDescent="0.55000000000000004">
      <c r="W10894"/>
    </row>
    <row r="10895" spans="23:23" x14ac:dyDescent="0.55000000000000004">
      <c r="W10895"/>
    </row>
    <row r="10896" spans="23:23" x14ac:dyDescent="0.55000000000000004">
      <c r="W10896"/>
    </row>
    <row r="10897" spans="23:23" x14ac:dyDescent="0.55000000000000004">
      <c r="W10897"/>
    </row>
    <row r="10898" spans="23:23" x14ac:dyDescent="0.55000000000000004">
      <c r="W10898"/>
    </row>
    <row r="10899" spans="23:23" x14ac:dyDescent="0.55000000000000004">
      <c r="W10899"/>
    </row>
    <row r="10900" spans="23:23" x14ac:dyDescent="0.55000000000000004">
      <c r="W10900"/>
    </row>
    <row r="10901" spans="23:23" x14ac:dyDescent="0.55000000000000004">
      <c r="W10901"/>
    </row>
    <row r="10902" spans="23:23" x14ac:dyDescent="0.55000000000000004">
      <c r="W10902"/>
    </row>
    <row r="10903" spans="23:23" x14ac:dyDescent="0.55000000000000004">
      <c r="W10903"/>
    </row>
    <row r="10904" spans="23:23" x14ac:dyDescent="0.55000000000000004">
      <c r="W10904"/>
    </row>
    <row r="10905" spans="23:23" x14ac:dyDescent="0.55000000000000004">
      <c r="W10905"/>
    </row>
    <row r="10906" spans="23:23" x14ac:dyDescent="0.55000000000000004">
      <c r="W10906"/>
    </row>
    <row r="10907" spans="23:23" x14ac:dyDescent="0.55000000000000004">
      <c r="W10907"/>
    </row>
    <row r="10908" spans="23:23" x14ac:dyDescent="0.55000000000000004">
      <c r="W10908"/>
    </row>
    <row r="10909" spans="23:23" x14ac:dyDescent="0.55000000000000004">
      <c r="W10909"/>
    </row>
    <row r="10910" spans="23:23" x14ac:dyDescent="0.55000000000000004">
      <c r="W10910"/>
    </row>
    <row r="10911" spans="23:23" x14ac:dyDescent="0.55000000000000004">
      <c r="W10911"/>
    </row>
    <row r="10912" spans="23:23" x14ac:dyDescent="0.55000000000000004">
      <c r="W10912"/>
    </row>
    <row r="10913" spans="23:23" x14ac:dyDescent="0.55000000000000004">
      <c r="W10913"/>
    </row>
    <row r="10914" spans="23:23" x14ac:dyDescent="0.55000000000000004">
      <c r="W10914"/>
    </row>
    <row r="10915" spans="23:23" x14ac:dyDescent="0.55000000000000004">
      <c r="W10915"/>
    </row>
    <row r="10916" spans="23:23" x14ac:dyDescent="0.55000000000000004">
      <c r="W10916"/>
    </row>
    <row r="10917" spans="23:23" x14ac:dyDescent="0.55000000000000004">
      <c r="W10917"/>
    </row>
    <row r="10918" spans="23:23" x14ac:dyDescent="0.55000000000000004">
      <c r="W10918"/>
    </row>
    <row r="10919" spans="23:23" x14ac:dyDescent="0.55000000000000004">
      <c r="W10919"/>
    </row>
    <row r="10920" spans="23:23" x14ac:dyDescent="0.55000000000000004">
      <c r="W10920"/>
    </row>
    <row r="10921" spans="23:23" x14ac:dyDescent="0.55000000000000004">
      <c r="W10921"/>
    </row>
    <row r="10922" spans="23:23" x14ac:dyDescent="0.55000000000000004">
      <c r="W10922"/>
    </row>
    <row r="10923" spans="23:23" x14ac:dyDescent="0.55000000000000004">
      <c r="W10923"/>
    </row>
    <row r="10924" spans="23:23" x14ac:dyDescent="0.55000000000000004">
      <c r="W10924"/>
    </row>
    <row r="10925" spans="23:23" x14ac:dyDescent="0.55000000000000004">
      <c r="W10925"/>
    </row>
    <row r="10926" spans="23:23" x14ac:dyDescent="0.55000000000000004">
      <c r="W10926"/>
    </row>
    <row r="10927" spans="23:23" x14ac:dyDescent="0.55000000000000004">
      <c r="W10927"/>
    </row>
    <row r="10928" spans="23:23" x14ac:dyDescent="0.55000000000000004">
      <c r="W10928"/>
    </row>
    <row r="10929" spans="23:23" x14ac:dyDescent="0.55000000000000004">
      <c r="W10929"/>
    </row>
    <row r="10930" spans="23:23" x14ac:dyDescent="0.55000000000000004">
      <c r="W10930"/>
    </row>
    <row r="10931" spans="23:23" x14ac:dyDescent="0.55000000000000004">
      <c r="W10931"/>
    </row>
    <row r="10932" spans="23:23" x14ac:dyDescent="0.55000000000000004">
      <c r="W10932"/>
    </row>
    <row r="10933" spans="23:23" x14ac:dyDescent="0.55000000000000004">
      <c r="W10933"/>
    </row>
    <row r="10934" spans="23:23" x14ac:dyDescent="0.55000000000000004">
      <c r="W10934"/>
    </row>
    <row r="10935" spans="23:23" x14ac:dyDescent="0.55000000000000004">
      <c r="W10935"/>
    </row>
    <row r="10936" spans="23:23" x14ac:dyDescent="0.55000000000000004">
      <c r="W10936"/>
    </row>
    <row r="10937" spans="23:23" x14ac:dyDescent="0.55000000000000004">
      <c r="W10937"/>
    </row>
    <row r="10938" spans="23:23" x14ac:dyDescent="0.55000000000000004">
      <c r="W10938"/>
    </row>
    <row r="10939" spans="23:23" x14ac:dyDescent="0.55000000000000004">
      <c r="W10939"/>
    </row>
    <row r="10940" spans="23:23" x14ac:dyDescent="0.55000000000000004">
      <c r="W10940"/>
    </row>
    <row r="10941" spans="23:23" x14ac:dyDescent="0.55000000000000004">
      <c r="W10941"/>
    </row>
    <row r="10942" spans="23:23" x14ac:dyDescent="0.55000000000000004">
      <c r="W10942"/>
    </row>
    <row r="10943" spans="23:23" x14ac:dyDescent="0.55000000000000004">
      <c r="W10943"/>
    </row>
    <row r="10944" spans="23:23" x14ac:dyDescent="0.55000000000000004">
      <c r="W10944"/>
    </row>
    <row r="10945" spans="23:23" x14ac:dyDescent="0.55000000000000004">
      <c r="W10945"/>
    </row>
    <row r="10946" spans="23:23" x14ac:dyDescent="0.55000000000000004">
      <c r="W10946"/>
    </row>
    <row r="10947" spans="23:23" x14ac:dyDescent="0.55000000000000004">
      <c r="W10947"/>
    </row>
    <row r="10948" spans="23:23" x14ac:dyDescent="0.55000000000000004">
      <c r="W10948"/>
    </row>
    <row r="10949" spans="23:23" x14ac:dyDescent="0.55000000000000004">
      <c r="W10949"/>
    </row>
    <row r="10950" spans="23:23" x14ac:dyDescent="0.55000000000000004">
      <c r="W10950"/>
    </row>
    <row r="10951" spans="23:23" x14ac:dyDescent="0.55000000000000004">
      <c r="W10951"/>
    </row>
    <row r="10952" spans="23:23" x14ac:dyDescent="0.55000000000000004">
      <c r="W10952"/>
    </row>
    <row r="10953" spans="23:23" x14ac:dyDescent="0.55000000000000004">
      <c r="W10953"/>
    </row>
    <row r="10954" spans="23:23" x14ac:dyDescent="0.55000000000000004">
      <c r="W10954"/>
    </row>
    <row r="10955" spans="23:23" x14ac:dyDescent="0.55000000000000004">
      <c r="W10955"/>
    </row>
    <row r="10956" spans="23:23" x14ac:dyDescent="0.55000000000000004">
      <c r="W10956"/>
    </row>
    <row r="10957" spans="23:23" x14ac:dyDescent="0.55000000000000004">
      <c r="W10957"/>
    </row>
    <row r="10958" spans="23:23" x14ac:dyDescent="0.55000000000000004">
      <c r="W10958"/>
    </row>
    <row r="10959" spans="23:23" x14ac:dyDescent="0.55000000000000004">
      <c r="W10959"/>
    </row>
    <row r="10960" spans="23:23" x14ac:dyDescent="0.55000000000000004">
      <c r="W10960"/>
    </row>
    <row r="10961" spans="23:23" x14ac:dyDescent="0.55000000000000004">
      <c r="W10961"/>
    </row>
    <row r="10962" spans="23:23" x14ac:dyDescent="0.55000000000000004">
      <c r="W10962"/>
    </row>
    <row r="10963" spans="23:23" x14ac:dyDescent="0.55000000000000004">
      <c r="W10963"/>
    </row>
    <row r="10964" spans="23:23" x14ac:dyDescent="0.55000000000000004">
      <c r="W10964"/>
    </row>
    <row r="10965" spans="23:23" x14ac:dyDescent="0.55000000000000004">
      <c r="W10965"/>
    </row>
    <row r="10966" spans="23:23" x14ac:dyDescent="0.55000000000000004">
      <c r="W10966"/>
    </row>
    <row r="10967" spans="23:23" x14ac:dyDescent="0.55000000000000004">
      <c r="W10967"/>
    </row>
    <row r="10968" spans="23:23" x14ac:dyDescent="0.55000000000000004">
      <c r="W10968"/>
    </row>
    <row r="10969" spans="23:23" x14ac:dyDescent="0.55000000000000004">
      <c r="W10969"/>
    </row>
    <row r="10970" spans="23:23" x14ac:dyDescent="0.55000000000000004">
      <c r="W10970"/>
    </row>
    <row r="10971" spans="23:23" x14ac:dyDescent="0.55000000000000004">
      <c r="W10971"/>
    </row>
    <row r="10972" spans="23:23" x14ac:dyDescent="0.55000000000000004">
      <c r="W10972"/>
    </row>
    <row r="10973" spans="23:23" x14ac:dyDescent="0.55000000000000004">
      <c r="W10973"/>
    </row>
    <row r="10974" spans="23:23" x14ac:dyDescent="0.55000000000000004">
      <c r="W10974"/>
    </row>
    <row r="10975" spans="23:23" x14ac:dyDescent="0.55000000000000004">
      <c r="W10975"/>
    </row>
    <row r="10976" spans="23:23" x14ac:dyDescent="0.55000000000000004">
      <c r="W10976"/>
    </row>
    <row r="10977" spans="23:23" x14ac:dyDescent="0.55000000000000004">
      <c r="W10977"/>
    </row>
    <row r="10978" spans="23:23" x14ac:dyDescent="0.55000000000000004">
      <c r="W10978"/>
    </row>
    <row r="10979" spans="23:23" x14ac:dyDescent="0.55000000000000004">
      <c r="W10979"/>
    </row>
    <row r="10980" spans="23:23" x14ac:dyDescent="0.55000000000000004">
      <c r="W10980"/>
    </row>
    <row r="10981" spans="23:23" x14ac:dyDescent="0.55000000000000004">
      <c r="W10981"/>
    </row>
    <row r="10982" spans="23:23" x14ac:dyDescent="0.55000000000000004">
      <c r="W10982"/>
    </row>
    <row r="10983" spans="23:23" x14ac:dyDescent="0.55000000000000004">
      <c r="W10983"/>
    </row>
    <row r="10984" spans="23:23" x14ac:dyDescent="0.55000000000000004">
      <c r="W10984"/>
    </row>
    <row r="10985" spans="23:23" x14ac:dyDescent="0.55000000000000004">
      <c r="W10985"/>
    </row>
    <row r="10986" spans="23:23" x14ac:dyDescent="0.55000000000000004">
      <c r="W10986"/>
    </row>
    <row r="10987" spans="23:23" x14ac:dyDescent="0.55000000000000004">
      <c r="W10987"/>
    </row>
    <row r="10988" spans="23:23" x14ac:dyDescent="0.55000000000000004">
      <c r="W10988"/>
    </row>
    <row r="10989" spans="23:23" x14ac:dyDescent="0.55000000000000004">
      <c r="W10989"/>
    </row>
    <row r="10990" spans="23:23" x14ac:dyDescent="0.55000000000000004">
      <c r="W10990"/>
    </row>
    <row r="10991" spans="23:23" x14ac:dyDescent="0.55000000000000004">
      <c r="W10991"/>
    </row>
    <row r="10992" spans="23:23" x14ac:dyDescent="0.55000000000000004">
      <c r="W10992"/>
    </row>
    <row r="10993" spans="23:23" x14ac:dyDescent="0.55000000000000004">
      <c r="W10993"/>
    </row>
    <row r="10994" spans="23:23" x14ac:dyDescent="0.55000000000000004">
      <c r="W10994"/>
    </row>
    <row r="10995" spans="23:23" x14ac:dyDescent="0.55000000000000004">
      <c r="W10995"/>
    </row>
    <row r="10996" spans="23:23" x14ac:dyDescent="0.55000000000000004">
      <c r="W10996"/>
    </row>
    <row r="10997" spans="23:23" x14ac:dyDescent="0.55000000000000004">
      <c r="W10997"/>
    </row>
    <row r="10998" spans="23:23" x14ac:dyDescent="0.55000000000000004">
      <c r="W10998"/>
    </row>
    <row r="10999" spans="23:23" x14ac:dyDescent="0.55000000000000004">
      <c r="W10999"/>
    </row>
    <row r="11000" spans="23:23" x14ac:dyDescent="0.55000000000000004">
      <c r="W11000"/>
    </row>
    <row r="11001" spans="23:23" x14ac:dyDescent="0.55000000000000004">
      <c r="W11001"/>
    </row>
    <row r="11002" spans="23:23" x14ac:dyDescent="0.55000000000000004">
      <c r="W11002"/>
    </row>
    <row r="11003" spans="23:23" x14ac:dyDescent="0.55000000000000004">
      <c r="W11003"/>
    </row>
    <row r="11004" spans="23:23" x14ac:dyDescent="0.55000000000000004">
      <c r="W11004"/>
    </row>
    <row r="11005" spans="23:23" x14ac:dyDescent="0.55000000000000004">
      <c r="W11005"/>
    </row>
    <row r="11006" spans="23:23" x14ac:dyDescent="0.55000000000000004">
      <c r="W11006"/>
    </row>
    <row r="11007" spans="23:23" x14ac:dyDescent="0.55000000000000004">
      <c r="W11007"/>
    </row>
    <row r="11008" spans="23:23" x14ac:dyDescent="0.55000000000000004">
      <c r="W11008"/>
    </row>
    <row r="11009" spans="23:23" x14ac:dyDescent="0.55000000000000004">
      <c r="W11009"/>
    </row>
    <row r="11010" spans="23:23" x14ac:dyDescent="0.55000000000000004">
      <c r="W11010"/>
    </row>
    <row r="11011" spans="23:23" x14ac:dyDescent="0.55000000000000004">
      <c r="W11011"/>
    </row>
    <row r="11012" spans="23:23" x14ac:dyDescent="0.55000000000000004">
      <c r="W11012"/>
    </row>
    <row r="11013" spans="23:23" x14ac:dyDescent="0.55000000000000004">
      <c r="W11013"/>
    </row>
    <row r="11014" spans="23:23" x14ac:dyDescent="0.55000000000000004">
      <c r="W11014"/>
    </row>
    <row r="11015" spans="23:23" x14ac:dyDescent="0.55000000000000004">
      <c r="W11015"/>
    </row>
    <row r="11016" spans="23:23" x14ac:dyDescent="0.55000000000000004">
      <c r="W11016"/>
    </row>
    <row r="11017" spans="23:23" x14ac:dyDescent="0.55000000000000004">
      <c r="W11017"/>
    </row>
    <row r="11018" spans="23:23" x14ac:dyDescent="0.55000000000000004">
      <c r="W11018"/>
    </row>
    <row r="11019" spans="23:23" x14ac:dyDescent="0.55000000000000004">
      <c r="W11019"/>
    </row>
    <row r="11020" spans="23:23" x14ac:dyDescent="0.55000000000000004">
      <c r="W11020"/>
    </row>
    <row r="11021" spans="23:23" x14ac:dyDescent="0.55000000000000004">
      <c r="W11021"/>
    </row>
    <row r="11022" spans="23:23" x14ac:dyDescent="0.55000000000000004">
      <c r="W11022"/>
    </row>
    <row r="11023" spans="23:23" x14ac:dyDescent="0.55000000000000004">
      <c r="W11023"/>
    </row>
    <row r="11024" spans="23:23" x14ac:dyDescent="0.55000000000000004">
      <c r="W11024"/>
    </row>
    <row r="11025" spans="23:23" x14ac:dyDescent="0.55000000000000004">
      <c r="W11025"/>
    </row>
    <row r="11026" spans="23:23" x14ac:dyDescent="0.55000000000000004">
      <c r="W11026"/>
    </row>
    <row r="11027" spans="23:23" x14ac:dyDescent="0.55000000000000004">
      <c r="W11027"/>
    </row>
    <row r="11028" spans="23:23" x14ac:dyDescent="0.55000000000000004">
      <c r="W11028"/>
    </row>
    <row r="11029" spans="23:23" x14ac:dyDescent="0.55000000000000004">
      <c r="W11029"/>
    </row>
    <row r="11030" spans="23:23" x14ac:dyDescent="0.55000000000000004">
      <c r="W11030"/>
    </row>
    <row r="11031" spans="23:23" x14ac:dyDescent="0.55000000000000004">
      <c r="W11031"/>
    </row>
    <row r="11032" spans="23:23" x14ac:dyDescent="0.55000000000000004">
      <c r="W11032"/>
    </row>
    <row r="11033" spans="23:23" x14ac:dyDescent="0.55000000000000004">
      <c r="W11033"/>
    </row>
    <row r="11034" spans="23:23" x14ac:dyDescent="0.55000000000000004">
      <c r="W11034"/>
    </row>
    <row r="11035" spans="23:23" x14ac:dyDescent="0.55000000000000004">
      <c r="W11035"/>
    </row>
    <row r="11036" spans="23:23" x14ac:dyDescent="0.55000000000000004">
      <c r="W11036"/>
    </row>
    <row r="11037" spans="23:23" x14ac:dyDescent="0.55000000000000004">
      <c r="W11037"/>
    </row>
    <row r="11038" spans="23:23" x14ac:dyDescent="0.55000000000000004">
      <c r="W11038"/>
    </row>
    <row r="11039" spans="23:23" x14ac:dyDescent="0.55000000000000004">
      <c r="W11039"/>
    </row>
    <row r="11040" spans="23:23" x14ac:dyDescent="0.55000000000000004">
      <c r="W11040"/>
    </row>
    <row r="11041" spans="23:23" x14ac:dyDescent="0.55000000000000004">
      <c r="W11041"/>
    </row>
    <row r="11042" spans="23:23" x14ac:dyDescent="0.55000000000000004">
      <c r="W11042"/>
    </row>
    <row r="11043" spans="23:23" x14ac:dyDescent="0.55000000000000004">
      <c r="W11043"/>
    </row>
    <row r="11044" spans="23:23" x14ac:dyDescent="0.55000000000000004">
      <c r="W11044"/>
    </row>
    <row r="11045" spans="23:23" x14ac:dyDescent="0.55000000000000004">
      <c r="W11045"/>
    </row>
    <row r="11046" spans="23:23" x14ac:dyDescent="0.55000000000000004">
      <c r="W11046"/>
    </row>
    <row r="11047" spans="23:23" x14ac:dyDescent="0.55000000000000004">
      <c r="W11047"/>
    </row>
    <row r="11048" spans="23:23" x14ac:dyDescent="0.55000000000000004">
      <c r="W11048"/>
    </row>
    <row r="11049" spans="23:23" x14ac:dyDescent="0.55000000000000004">
      <c r="W11049"/>
    </row>
    <row r="11050" spans="23:23" x14ac:dyDescent="0.55000000000000004">
      <c r="W11050"/>
    </row>
    <row r="11051" spans="23:23" x14ac:dyDescent="0.55000000000000004">
      <c r="W11051"/>
    </row>
    <row r="11052" spans="23:23" x14ac:dyDescent="0.55000000000000004">
      <c r="W11052"/>
    </row>
    <row r="11053" spans="23:23" x14ac:dyDescent="0.55000000000000004">
      <c r="W11053"/>
    </row>
    <row r="11054" spans="23:23" x14ac:dyDescent="0.55000000000000004">
      <c r="W11054"/>
    </row>
    <row r="11055" spans="23:23" x14ac:dyDescent="0.55000000000000004">
      <c r="W11055"/>
    </row>
    <row r="11056" spans="23:23" x14ac:dyDescent="0.55000000000000004">
      <c r="W11056"/>
    </row>
    <row r="11057" spans="23:23" x14ac:dyDescent="0.55000000000000004">
      <c r="W11057"/>
    </row>
    <row r="11058" spans="23:23" x14ac:dyDescent="0.55000000000000004">
      <c r="W11058"/>
    </row>
    <row r="11059" spans="23:23" x14ac:dyDescent="0.55000000000000004">
      <c r="W11059"/>
    </row>
    <row r="11060" spans="23:23" x14ac:dyDescent="0.55000000000000004">
      <c r="W11060"/>
    </row>
    <row r="11061" spans="23:23" x14ac:dyDescent="0.55000000000000004">
      <c r="W11061"/>
    </row>
    <row r="11062" spans="23:23" x14ac:dyDescent="0.55000000000000004">
      <c r="W11062"/>
    </row>
    <row r="11063" spans="23:23" x14ac:dyDescent="0.55000000000000004">
      <c r="W11063"/>
    </row>
    <row r="11064" spans="23:23" x14ac:dyDescent="0.55000000000000004">
      <c r="W11064"/>
    </row>
    <row r="11065" spans="23:23" x14ac:dyDescent="0.55000000000000004">
      <c r="W11065"/>
    </row>
    <row r="11066" spans="23:23" x14ac:dyDescent="0.55000000000000004">
      <c r="W11066"/>
    </row>
    <row r="11067" spans="23:23" x14ac:dyDescent="0.55000000000000004">
      <c r="W11067"/>
    </row>
    <row r="11068" spans="23:23" x14ac:dyDescent="0.55000000000000004">
      <c r="W11068"/>
    </row>
    <row r="11069" spans="23:23" x14ac:dyDescent="0.55000000000000004">
      <c r="W11069"/>
    </row>
    <row r="11070" spans="23:23" x14ac:dyDescent="0.55000000000000004">
      <c r="W11070"/>
    </row>
    <row r="11071" spans="23:23" x14ac:dyDescent="0.55000000000000004">
      <c r="W11071"/>
    </row>
    <row r="11072" spans="23:23" x14ac:dyDescent="0.55000000000000004">
      <c r="W11072"/>
    </row>
    <row r="11073" spans="23:23" x14ac:dyDescent="0.55000000000000004">
      <c r="W11073"/>
    </row>
    <row r="11074" spans="23:23" x14ac:dyDescent="0.55000000000000004">
      <c r="W11074"/>
    </row>
    <row r="11075" spans="23:23" x14ac:dyDescent="0.55000000000000004">
      <c r="W11075"/>
    </row>
    <row r="11076" spans="23:23" x14ac:dyDescent="0.55000000000000004">
      <c r="W11076"/>
    </row>
    <row r="11077" spans="23:23" x14ac:dyDescent="0.55000000000000004">
      <c r="W11077"/>
    </row>
    <row r="11078" spans="23:23" x14ac:dyDescent="0.55000000000000004">
      <c r="W11078"/>
    </row>
    <row r="11079" spans="23:23" x14ac:dyDescent="0.55000000000000004">
      <c r="W11079"/>
    </row>
    <row r="11080" spans="23:23" x14ac:dyDescent="0.55000000000000004">
      <c r="W11080"/>
    </row>
    <row r="11081" spans="23:23" x14ac:dyDescent="0.55000000000000004">
      <c r="W11081"/>
    </row>
    <row r="11082" spans="23:23" x14ac:dyDescent="0.55000000000000004">
      <c r="W11082"/>
    </row>
    <row r="11083" spans="23:23" x14ac:dyDescent="0.55000000000000004">
      <c r="W11083"/>
    </row>
    <row r="11084" spans="23:23" x14ac:dyDescent="0.55000000000000004">
      <c r="W11084"/>
    </row>
    <row r="11085" spans="23:23" x14ac:dyDescent="0.55000000000000004">
      <c r="W11085"/>
    </row>
    <row r="11086" spans="23:23" x14ac:dyDescent="0.55000000000000004">
      <c r="W11086"/>
    </row>
    <row r="11087" spans="23:23" x14ac:dyDescent="0.55000000000000004">
      <c r="W11087"/>
    </row>
    <row r="11088" spans="23:23" x14ac:dyDescent="0.55000000000000004">
      <c r="W11088"/>
    </row>
    <row r="11089" spans="23:23" x14ac:dyDescent="0.55000000000000004">
      <c r="W11089"/>
    </row>
    <row r="11090" spans="23:23" x14ac:dyDescent="0.55000000000000004">
      <c r="W11090"/>
    </row>
    <row r="11091" spans="23:23" x14ac:dyDescent="0.55000000000000004">
      <c r="W11091"/>
    </row>
    <row r="11092" spans="23:23" x14ac:dyDescent="0.55000000000000004">
      <c r="W11092"/>
    </row>
    <row r="11093" spans="23:23" x14ac:dyDescent="0.55000000000000004">
      <c r="W11093"/>
    </row>
    <row r="11094" spans="23:23" x14ac:dyDescent="0.55000000000000004">
      <c r="W11094"/>
    </row>
    <row r="11095" spans="23:23" x14ac:dyDescent="0.55000000000000004">
      <c r="W11095"/>
    </row>
    <row r="11096" spans="23:23" x14ac:dyDescent="0.55000000000000004">
      <c r="W11096"/>
    </row>
    <row r="11097" spans="23:23" x14ac:dyDescent="0.55000000000000004">
      <c r="W11097"/>
    </row>
    <row r="11098" spans="23:23" x14ac:dyDescent="0.55000000000000004">
      <c r="W11098"/>
    </row>
    <row r="11099" spans="23:23" x14ac:dyDescent="0.55000000000000004">
      <c r="W11099"/>
    </row>
    <row r="11100" spans="23:23" x14ac:dyDescent="0.55000000000000004">
      <c r="W11100"/>
    </row>
    <row r="11101" spans="23:23" x14ac:dyDescent="0.55000000000000004">
      <c r="W11101"/>
    </row>
    <row r="11102" spans="23:23" x14ac:dyDescent="0.55000000000000004">
      <c r="W11102"/>
    </row>
    <row r="11103" spans="23:23" x14ac:dyDescent="0.55000000000000004">
      <c r="W11103"/>
    </row>
    <row r="11104" spans="23:23" x14ac:dyDescent="0.55000000000000004">
      <c r="W11104"/>
    </row>
    <row r="11105" spans="23:23" x14ac:dyDescent="0.55000000000000004">
      <c r="W11105"/>
    </row>
    <row r="11106" spans="23:23" x14ac:dyDescent="0.55000000000000004">
      <c r="W11106"/>
    </row>
    <row r="11107" spans="23:23" x14ac:dyDescent="0.55000000000000004">
      <c r="W11107"/>
    </row>
    <row r="11108" spans="23:23" x14ac:dyDescent="0.55000000000000004">
      <c r="W11108"/>
    </row>
    <row r="11109" spans="23:23" x14ac:dyDescent="0.55000000000000004">
      <c r="W11109"/>
    </row>
    <row r="11110" spans="23:23" x14ac:dyDescent="0.55000000000000004">
      <c r="W11110"/>
    </row>
    <row r="11111" spans="23:23" x14ac:dyDescent="0.55000000000000004">
      <c r="W11111"/>
    </row>
    <row r="11112" spans="23:23" x14ac:dyDescent="0.55000000000000004">
      <c r="W11112"/>
    </row>
    <row r="11113" spans="23:23" x14ac:dyDescent="0.55000000000000004">
      <c r="W11113"/>
    </row>
    <row r="11114" spans="23:23" x14ac:dyDescent="0.55000000000000004">
      <c r="W11114"/>
    </row>
    <row r="11115" spans="23:23" x14ac:dyDescent="0.55000000000000004">
      <c r="W11115"/>
    </row>
    <row r="11116" spans="23:23" x14ac:dyDescent="0.55000000000000004">
      <c r="W11116"/>
    </row>
    <row r="11117" spans="23:23" x14ac:dyDescent="0.55000000000000004">
      <c r="W11117"/>
    </row>
    <row r="11118" spans="23:23" x14ac:dyDescent="0.55000000000000004">
      <c r="W11118"/>
    </row>
    <row r="11119" spans="23:23" x14ac:dyDescent="0.55000000000000004">
      <c r="W11119"/>
    </row>
    <row r="11120" spans="23:23" x14ac:dyDescent="0.55000000000000004">
      <c r="W11120"/>
    </row>
    <row r="11121" spans="23:23" x14ac:dyDescent="0.55000000000000004">
      <c r="W11121"/>
    </row>
    <row r="11122" spans="23:23" x14ac:dyDescent="0.55000000000000004">
      <c r="W11122"/>
    </row>
    <row r="11123" spans="23:23" x14ac:dyDescent="0.55000000000000004">
      <c r="W11123"/>
    </row>
    <row r="11124" spans="23:23" x14ac:dyDescent="0.55000000000000004">
      <c r="W11124"/>
    </row>
    <row r="11125" spans="23:23" x14ac:dyDescent="0.55000000000000004">
      <c r="W11125"/>
    </row>
    <row r="11126" spans="23:23" x14ac:dyDescent="0.55000000000000004">
      <c r="W11126"/>
    </row>
    <row r="11127" spans="23:23" x14ac:dyDescent="0.55000000000000004">
      <c r="W11127"/>
    </row>
    <row r="11128" spans="23:23" x14ac:dyDescent="0.55000000000000004">
      <c r="W11128"/>
    </row>
    <row r="11129" spans="23:23" x14ac:dyDescent="0.55000000000000004">
      <c r="W11129"/>
    </row>
    <row r="11130" spans="23:23" x14ac:dyDescent="0.55000000000000004">
      <c r="W11130"/>
    </row>
    <row r="11131" spans="23:23" x14ac:dyDescent="0.55000000000000004">
      <c r="W11131"/>
    </row>
    <row r="11132" spans="23:23" x14ac:dyDescent="0.55000000000000004">
      <c r="W11132"/>
    </row>
    <row r="11133" spans="23:23" x14ac:dyDescent="0.55000000000000004">
      <c r="W11133"/>
    </row>
    <row r="11134" spans="23:23" x14ac:dyDescent="0.55000000000000004">
      <c r="W11134"/>
    </row>
    <row r="11135" spans="23:23" x14ac:dyDescent="0.55000000000000004">
      <c r="W11135"/>
    </row>
    <row r="11136" spans="23:23" x14ac:dyDescent="0.55000000000000004">
      <c r="W11136"/>
    </row>
    <row r="11137" spans="23:23" x14ac:dyDescent="0.55000000000000004">
      <c r="W11137"/>
    </row>
    <row r="11138" spans="23:23" x14ac:dyDescent="0.55000000000000004">
      <c r="W11138"/>
    </row>
    <row r="11139" spans="23:23" x14ac:dyDescent="0.55000000000000004">
      <c r="W11139"/>
    </row>
    <row r="11140" spans="23:23" x14ac:dyDescent="0.55000000000000004">
      <c r="W11140"/>
    </row>
    <row r="11141" spans="23:23" x14ac:dyDescent="0.55000000000000004">
      <c r="W11141"/>
    </row>
    <row r="11142" spans="23:23" x14ac:dyDescent="0.55000000000000004">
      <c r="W11142"/>
    </row>
    <row r="11143" spans="23:23" x14ac:dyDescent="0.55000000000000004">
      <c r="W11143"/>
    </row>
    <row r="11144" spans="23:23" x14ac:dyDescent="0.55000000000000004">
      <c r="W11144"/>
    </row>
    <row r="11145" spans="23:23" x14ac:dyDescent="0.55000000000000004">
      <c r="W11145"/>
    </row>
    <row r="11146" spans="23:23" x14ac:dyDescent="0.55000000000000004">
      <c r="W11146"/>
    </row>
    <row r="11147" spans="23:23" x14ac:dyDescent="0.55000000000000004">
      <c r="W11147"/>
    </row>
    <row r="11148" spans="23:23" x14ac:dyDescent="0.55000000000000004">
      <c r="W11148"/>
    </row>
    <row r="11149" spans="23:23" x14ac:dyDescent="0.55000000000000004">
      <c r="W11149"/>
    </row>
    <row r="11150" spans="23:23" x14ac:dyDescent="0.55000000000000004">
      <c r="W11150"/>
    </row>
    <row r="11151" spans="23:23" x14ac:dyDescent="0.55000000000000004">
      <c r="W11151"/>
    </row>
    <row r="11152" spans="23:23" x14ac:dyDescent="0.55000000000000004">
      <c r="W11152"/>
    </row>
    <row r="11153" spans="23:23" x14ac:dyDescent="0.55000000000000004">
      <c r="W11153"/>
    </row>
    <row r="11154" spans="23:23" x14ac:dyDescent="0.55000000000000004">
      <c r="W11154"/>
    </row>
    <row r="11155" spans="23:23" x14ac:dyDescent="0.55000000000000004">
      <c r="W11155"/>
    </row>
    <row r="11156" spans="23:23" x14ac:dyDescent="0.55000000000000004">
      <c r="W11156"/>
    </row>
    <row r="11157" spans="23:23" x14ac:dyDescent="0.55000000000000004">
      <c r="W11157"/>
    </row>
    <row r="11158" spans="23:23" x14ac:dyDescent="0.55000000000000004">
      <c r="W11158"/>
    </row>
    <row r="11159" spans="23:23" x14ac:dyDescent="0.55000000000000004">
      <c r="W11159"/>
    </row>
    <row r="11160" spans="23:23" x14ac:dyDescent="0.55000000000000004">
      <c r="W11160"/>
    </row>
    <row r="11161" spans="23:23" x14ac:dyDescent="0.55000000000000004">
      <c r="W11161"/>
    </row>
    <row r="11162" spans="23:23" x14ac:dyDescent="0.55000000000000004">
      <c r="W11162"/>
    </row>
    <row r="11163" spans="23:23" x14ac:dyDescent="0.55000000000000004">
      <c r="W11163"/>
    </row>
    <row r="11164" spans="23:23" x14ac:dyDescent="0.55000000000000004">
      <c r="W11164"/>
    </row>
    <row r="11165" spans="23:23" x14ac:dyDescent="0.55000000000000004">
      <c r="W11165"/>
    </row>
    <row r="11166" spans="23:23" x14ac:dyDescent="0.55000000000000004">
      <c r="W11166"/>
    </row>
    <row r="11167" spans="23:23" x14ac:dyDescent="0.55000000000000004">
      <c r="W11167"/>
    </row>
    <row r="11168" spans="23:23" x14ac:dyDescent="0.55000000000000004">
      <c r="W11168"/>
    </row>
    <row r="11169" spans="23:23" x14ac:dyDescent="0.55000000000000004">
      <c r="W11169"/>
    </row>
    <row r="11170" spans="23:23" x14ac:dyDescent="0.55000000000000004">
      <c r="W11170"/>
    </row>
    <row r="11171" spans="23:23" x14ac:dyDescent="0.55000000000000004">
      <c r="W11171"/>
    </row>
    <row r="11172" spans="23:23" x14ac:dyDescent="0.55000000000000004">
      <c r="W11172"/>
    </row>
    <row r="11173" spans="23:23" x14ac:dyDescent="0.55000000000000004">
      <c r="W11173"/>
    </row>
    <row r="11174" spans="23:23" x14ac:dyDescent="0.55000000000000004">
      <c r="W11174"/>
    </row>
    <row r="11175" spans="23:23" x14ac:dyDescent="0.55000000000000004">
      <c r="W11175"/>
    </row>
    <row r="11176" spans="23:23" x14ac:dyDescent="0.55000000000000004">
      <c r="W11176"/>
    </row>
    <row r="11177" spans="23:23" x14ac:dyDescent="0.55000000000000004">
      <c r="W11177"/>
    </row>
    <row r="11178" spans="23:23" x14ac:dyDescent="0.55000000000000004">
      <c r="W11178"/>
    </row>
    <row r="11179" spans="23:23" x14ac:dyDescent="0.55000000000000004">
      <c r="W11179"/>
    </row>
    <row r="11180" spans="23:23" x14ac:dyDescent="0.55000000000000004">
      <c r="W11180"/>
    </row>
    <row r="11181" spans="23:23" x14ac:dyDescent="0.55000000000000004">
      <c r="W11181"/>
    </row>
    <row r="11182" spans="23:23" x14ac:dyDescent="0.55000000000000004">
      <c r="W11182"/>
    </row>
    <row r="11183" spans="23:23" x14ac:dyDescent="0.55000000000000004">
      <c r="W11183"/>
    </row>
    <row r="11184" spans="23:23" x14ac:dyDescent="0.55000000000000004">
      <c r="W11184"/>
    </row>
    <row r="11185" spans="23:23" x14ac:dyDescent="0.55000000000000004">
      <c r="W11185"/>
    </row>
    <row r="11186" spans="23:23" x14ac:dyDescent="0.55000000000000004">
      <c r="W11186"/>
    </row>
    <row r="11187" spans="23:23" x14ac:dyDescent="0.55000000000000004">
      <c r="W11187"/>
    </row>
    <row r="11188" spans="23:23" x14ac:dyDescent="0.55000000000000004">
      <c r="W11188"/>
    </row>
    <row r="11189" spans="23:23" x14ac:dyDescent="0.55000000000000004">
      <c r="W11189"/>
    </row>
    <row r="11190" spans="23:23" x14ac:dyDescent="0.55000000000000004">
      <c r="W11190"/>
    </row>
    <row r="11191" spans="23:23" x14ac:dyDescent="0.55000000000000004">
      <c r="W11191"/>
    </row>
    <row r="11192" spans="23:23" x14ac:dyDescent="0.55000000000000004">
      <c r="W11192"/>
    </row>
    <row r="11193" spans="23:23" x14ac:dyDescent="0.55000000000000004">
      <c r="W11193"/>
    </row>
    <row r="11194" spans="23:23" x14ac:dyDescent="0.55000000000000004">
      <c r="W11194"/>
    </row>
    <row r="11195" spans="23:23" x14ac:dyDescent="0.55000000000000004">
      <c r="W11195"/>
    </row>
    <row r="11196" spans="23:23" x14ac:dyDescent="0.55000000000000004">
      <c r="W11196"/>
    </row>
    <row r="11197" spans="23:23" x14ac:dyDescent="0.55000000000000004">
      <c r="W11197"/>
    </row>
    <row r="11198" spans="23:23" x14ac:dyDescent="0.55000000000000004">
      <c r="W11198"/>
    </row>
    <row r="11199" spans="23:23" x14ac:dyDescent="0.55000000000000004">
      <c r="W11199"/>
    </row>
    <row r="11200" spans="23:23" x14ac:dyDescent="0.55000000000000004">
      <c r="W11200"/>
    </row>
    <row r="11201" spans="23:23" x14ac:dyDescent="0.55000000000000004">
      <c r="W11201"/>
    </row>
    <row r="11202" spans="23:23" x14ac:dyDescent="0.55000000000000004">
      <c r="W11202"/>
    </row>
    <row r="11203" spans="23:23" x14ac:dyDescent="0.55000000000000004">
      <c r="W11203"/>
    </row>
    <row r="11204" spans="23:23" x14ac:dyDescent="0.55000000000000004">
      <c r="W11204"/>
    </row>
    <row r="11205" spans="23:23" x14ac:dyDescent="0.55000000000000004">
      <c r="W11205"/>
    </row>
    <row r="11206" spans="23:23" x14ac:dyDescent="0.55000000000000004">
      <c r="W11206"/>
    </row>
    <row r="11207" spans="23:23" x14ac:dyDescent="0.55000000000000004">
      <c r="W11207"/>
    </row>
    <row r="11208" spans="23:23" x14ac:dyDescent="0.55000000000000004">
      <c r="W11208"/>
    </row>
    <row r="11209" spans="23:23" x14ac:dyDescent="0.55000000000000004">
      <c r="W11209"/>
    </row>
    <row r="11210" spans="23:23" x14ac:dyDescent="0.55000000000000004">
      <c r="W11210"/>
    </row>
    <row r="11211" spans="23:23" x14ac:dyDescent="0.55000000000000004">
      <c r="W11211"/>
    </row>
    <row r="11212" spans="23:23" x14ac:dyDescent="0.55000000000000004">
      <c r="W11212"/>
    </row>
    <row r="11213" spans="23:23" x14ac:dyDescent="0.55000000000000004">
      <c r="W11213"/>
    </row>
    <row r="11214" spans="23:23" x14ac:dyDescent="0.55000000000000004">
      <c r="W11214"/>
    </row>
    <row r="11215" spans="23:23" x14ac:dyDescent="0.55000000000000004">
      <c r="W11215"/>
    </row>
    <row r="11216" spans="23:23" x14ac:dyDescent="0.55000000000000004">
      <c r="W11216"/>
    </row>
    <row r="11217" spans="23:23" x14ac:dyDescent="0.55000000000000004">
      <c r="W11217"/>
    </row>
    <row r="11218" spans="23:23" x14ac:dyDescent="0.55000000000000004">
      <c r="W11218"/>
    </row>
    <row r="11219" spans="23:23" x14ac:dyDescent="0.55000000000000004">
      <c r="W11219"/>
    </row>
    <row r="11220" spans="23:23" x14ac:dyDescent="0.55000000000000004">
      <c r="W11220"/>
    </row>
    <row r="11221" spans="23:23" x14ac:dyDescent="0.55000000000000004">
      <c r="W11221"/>
    </row>
    <row r="11222" spans="23:23" x14ac:dyDescent="0.55000000000000004">
      <c r="W11222"/>
    </row>
    <row r="11223" spans="23:23" x14ac:dyDescent="0.55000000000000004">
      <c r="W11223"/>
    </row>
    <row r="11224" spans="23:23" x14ac:dyDescent="0.55000000000000004">
      <c r="W11224"/>
    </row>
    <row r="11225" spans="23:23" x14ac:dyDescent="0.55000000000000004">
      <c r="W11225"/>
    </row>
    <row r="11226" spans="23:23" x14ac:dyDescent="0.55000000000000004">
      <c r="W11226"/>
    </row>
    <row r="11227" spans="23:23" x14ac:dyDescent="0.55000000000000004">
      <c r="W11227"/>
    </row>
    <row r="11228" spans="23:23" x14ac:dyDescent="0.55000000000000004">
      <c r="W11228"/>
    </row>
    <row r="11229" spans="23:23" x14ac:dyDescent="0.55000000000000004">
      <c r="W11229"/>
    </row>
    <row r="11230" spans="23:23" x14ac:dyDescent="0.55000000000000004">
      <c r="W11230"/>
    </row>
    <row r="11231" spans="23:23" x14ac:dyDescent="0.55000000000000004">
      <c r="W11231"/>
    </row>
    <row r="11232" spans="23:23" x14ac:dyDescent="0.55000000000000004">
      <c r="W11232"/>
    </row>
    <row r="11233" spans="23:23" x14ac:dyDescent="0.55000000000000004">
      <c r="W11233"/>
    </row>
    <row r="11234" spans="23:23" x14ac:dyDescent="0.55000000000000004">
      <c r="W11234"/>
    </row>
    <row r="11235" spans="23:23" x14ac:dyDescent="0.55000000000000004">
      <c r="W11235"/>
    </row>
    <row r="11236" spans="23:23" x14ac:dyDescent="0.55000000000000004">
      <c r="W11236"/>
    </row>
    <row r="11237" spans="23:23" x14ac:dyDescent="0.55000000000000004">
      <c r="W11237"/>
    </row>
    <row r="11238" spans="23:23" x14ac:dyDescent="0.55000000000000004">
      <c r="W11238"/>
    </row>
    <row r="11239" spans="23:23" x14ac:dyDescent="0.55000000000000004">
      <c r="W11239"/>
    </row>
    <row r="11240" spans="23:23" x14ac:dyDescent="0.55000000000000004">
      <c r="W11240"/>
    </row>
    <row r="11241" spans="23:23" x14ac:dyDescent="0.55000000000000004">
      <c r="W11241"/>
    </row>
    <row r="11242" spans="23:23" x14ac:dyDescent="0.55000000000000004">
      <c r="W11242"/>
    </row>
    <row r="11243" spans="23:23" x14ac:dyDescent="0.55000000000000004">
      <c r="W11243"/>
    </row>
    <row r="11244" spans="23:23" x14ac:dyDescent="0.55000000000000004">
      <c r="W11244"/>
    </row>
    <row r="11245" spans="23:23" x14ac:dyDescent="0.55000000000000004">
      <c r="W11245"/>
    </row>
    <row r="11246" spans="23:23" x14ac:dyDescent="0.55000000000000004">
      <c r="W11246"/>
    </row>
    <row r="11247" spans="23:23" x14ac:dyDescent="0.55000000000000004">
      <c r="W11247"/>
    </row>
    <row r="11248" spans="23:23" x14ac:dyDescent="0.55000000000000004">
      <c r="W11248"/>
    </row>
    <row r="11249" spans="23:23" x14ac:dyDescent="0.55000000000000004">
      <c r="W11249"/>
    </row>
    <row r="11250" spans="23:23" x14ac:dyDescent="0.55000000000000004">
      <c r="W11250"/>
    </row>
    <row r="11251" spans="23:23" x14ac:dyDescent="0.55000000000000004">
      <c r="W11251"/>
    </row>
    <row r="11252" spans="23:23" x14ac:dyDescent="0.55000000000000004">
      <c r="W11252"/>
    </row>
    <row r="11253" spans="23:23" x14ac:dyDescent="0.55000000000000004">
      <c r="W11253"/>
    </row>
    <row r="11254" spans="23:23" x14ac:dyDescent="0.55000000000000004">
      <c r="W11254"/>
    </row>
    <row r="11255" spans="23:23" x14ac:dyDescent="0.55000000000000004">
      <c r="W11255"/>
    </row>
    <row r="11256" spans="23:23" x14ac:dyDescent="0.55000000000000004">
      <c r="W11256"/>
    </row>
    <row r="11257" spans="23:23" x14ac:dyDescent="0.55000000000000004">
      <c r="W11257"/>
    </row>
    <row r="11258" spans="23:23" x14ac:dyDescent="0.55000000000000004">
      <c r="W11258"/>
    </row>
    <row r="11259" spans="23:23" x14ac:dyDescent="0.55000000000000004">
      <c r="W11259"/>
    </row>
    <row r="11260" spans="23:23" x14ac:dyDescent="0.55000000000000004">
      <c r="W11260"/>
    </row>
    <row r="11261" spans="23:23" x14ac:dyDescent="0.55000000000000004">
      <c r="W11261"/>
    </row>
    <row r="11262" spans="23:23" x14ac:dyDescent="0.55000000000000004">
      <c r="W11262"/>
    </row>
    <row r="11263" spans="23:23" x14ac:dyDescent="0.55000000000000004">
      <c r="W11263"/>
    </row>
    <row r="11264" spans="23:23" x14ac:dyDescent="0.55000000000000004">
      <c r="W11264"/>
    </row>
    <row r="11265" spans="23:23" x14ac:dyDescent="0.55000000000000004">
      <c r="W11265"/>
    </row>
    <row r="11266" spans="23:23" x14ac:dyDescent="0.55000000000000004">
      <c r="W11266"/>
    </row>
    <row r="11267" spans="23:23" x14ac:dyDescent="0.55000000000000004">
      <c r="W11267"/>
    </row>
    <row r="11268" spans="23:23" x14ac:dyDescent="0.55000000000000004">
      <c r="W11268"/>
    </row>
    <row r="11269" spans="23:23" x14ac:dyDescent="0.55000000000000004">
      <c r="W11269"/>
    </row>
    <row r="11270" spans="23:23" x14ac:dyDescent="0.55000000000000004">
      <c r="W11270"/>
    </row>
    <row r="11271" spans="23:23" x14ac:dyDescent="0.55000000000000004">
      <c r="W11271"/>
    </row>
    <row r="11272" spans="23:23" x14ac:dyDescent="0.55000000000000004">
      <c r="W11272"/>
    </row>
    <row r="11273" spans="23:23" x14ac:dyDescent="0.55000000000000004">
      <c r="W11273"/>
    </row>
    <row r="11274" spans="23:23" x14ac:dyDescent="0.55000000000000004">
      <c r="W11274"/>
    </row>
    <row r="11275" spans="23:23" x14ac:dyDescent="0.55000000000000004">
      <c r="W11275"/>
    </row>
    <row r="11276" spans="23:23" x14ac:dyDescent="0.55000000000000004">
      <c r="W11276"/>
    </row>
    <row r="11277" spans="23:23" x14ac:dyDescent="0.55000000000000004">
      <c r="W11277"/>
    </row>
    <row r="11278" spans="23:23" x14ac:dyDescent="0.55000000000000004">
      <c r="W11278"/>
    </row>
    <row r="11279" spans="23:23" x14ac:dyDescent="0.55000000000000004">
      <c r="W11279"/>
    </row>
    <row r="11280" spans="23:23" x14ac:dyDescent="0.55000000000000004">
      <c r="W11280"/>
    </row>
    <row r="11281" spans="23:23" x14ac:dyDescent="0.55000000000000004">
      <c r="W11281"/>
    </row>
    <row r="11282" spans="23:23" x14ac:dyDescent="0.55000000000000004">
      <c r="W11282"/>
    </row>
    <row r="11283" spans="23:23" x14ac:dyDescent="0.55000000000000004">
      <c r="W11283"/>
    </row>
    <row r="11284" spans="23:23" x14ac:dyDescent="0.55000000000000004">
      <c r="W11284"/>
    </row>
    <row r="11285" spans="23:23" x14ac:dyDescent="0.55000000000000004">
      <c r="W11285"/>
    </row>
    <row r="11286" spans="23:23" x14ac:dyDescent="0.55000000000000004">
      <c r="W11286"/>
    </row>
    <row r="11287" spans="23:23" x14ac:dyDescent="0.55000000000000004">
      <c r="W11287"/>
    </row>
    <row r="11288" spans="23:23" x14ac:dyDescent="0.55000000000000004">
      <c r="W11288"/>
    </row>
    <row r="11289" spans="23:23" x14ac:dyDescent="0.55000000000000004">
      <c r="W11289"/>
    </row>
    <row r="11290" spans="23:23" x14ac:dyDescent="0.55000000000000004">
      <c r="W11290"/>
    </row>
    <row r="11291" spans="23:23" x14ac:dyDescent="0.55000000000000004">
      <c r="W11291"/>
    </row>
    <row r="11292" spans="23:23" x14ac:dyDescent="0.55000000000000004">
      <c r="W11292"/>
    </row>
    <row r="11293" spans="23:23" x14ac:dyDescent="0.55000000000000004">
      <c r="W11293"/>
    </row>
    <row r="11294" spans="23:23" x14ac:dyDescent="0.55000000000000004">
      <c r="W11294"/>
    </row>
    <row r="11295" spans="23:23" x14ac:dyDescent="0.55000000000000004">
      <c r="W11295"/>
    </row>
    <row r="11296" spans="23:23" x14ac:dyDescent="0.55000000000000004">
      <c r="W11296"/>
    </row>
    <row r="11297" spans="23:23" x14ac:dyDescent="0.55000000000000004">
      <c r="W11297"/>
    </row>
    <row r="11298" spans="23:23" x14ac:dyDescent="0.55000000000000004">
      <c r="W11298"/>
    </row>
    <row r="11299" spans="23:23" x14ac:dyDescent="0.55000000000000004">
      <c r="W11299"/>
    </row>
    <row r="11300" spans="23:23" x14ac:dyDescent="0.55000000000000004">
      <c r="W11300"/>
    </row>
    <row r="11301" spans="23:23" x14ac:dyDescent="0.55000000000000004">
      <c r="W11301"/>
    </row>
    <row r="11302" spans="23:23" x14ac:dyDescent="0.55000000000000004">
      <c r="W11302"/>
    </row>
    <row r="11303" spans="23:23" x14ac:dyDescent="0.55000000000000004">
      <c r="W11303"/>
    </row>
    <row r="11304" spans="23:23" x14ac:dyDescent="0.55000000000000004">
      <c r="W11304"/>
    </row>
    <row r="11305" spans="23:23" x14ac:dyDescent="0.55000000000000004">
      <c r="W11305"/>
    </row>
    <row r="11306" spans="23:23" x14ac:dyDescent="0.55000000000000004">
      <c r="W11306"/>
    </row>
    <row r="11307" spans="23:23" x14ac:dyDescent="0.55000000000000004">
      <c r="W11307"/>
    </row>
    <row r="11308" spans="23:23" x14ac:dyDescent="0.55000000000000004">
      <c r="W11308"/>
    </row>
    <row r="11309" spans="23:23" x14ac:dyDescent="0.55000000000000004">
      <c r="W11309"/>
    </row>
    <row r="11310" spans="23:23" x14ac:dyDescent="0.55000000000000004">
      <c r="W11310"/>
    </row>
    <row r="11311" spans="23:23" x14ac:dyDescent="0.55000000000000004">
      <c r="W11311"/>
    </row>
    <row r="11312" spans="23:23" x14ac:dyDescent="0.55000000000000004">
      <c r="W11312"/>
    </row>
    <row r="11313" spans="23:23" x14ac:dyDescent="0.55000000000000004">
      <c r="W11313"/>
    </row>
    <row r="11314" spans="23:23" x14ac:dyDescent="0.55000000000000004">
      <c r="W11314"/>
    </row>
    <row r="11315" spans="23:23" x14ac:dyDescent="0.55000000000000004">
      <c r="W11315"/>
    </row>
    <row r="11316" spans="23:23" x14ac:dyDescent="0.55000000000000004">
      <c r="W11316"/>
    </row>
    <row r="11317" spans="23:23" x14ac:dyDescent="0.55000000000000004">
      <c r="W11317"/>
    </row>
    <row r="11318" spans="23:23" x14ac:dyDescent="0.55000000000000004">
      <c r="W11318"/>
    </row>
    <row r="11319" spans="23:23" x14ac:dyDescent="0.55000000000000004">
      <c r="W11319"/>
    </row>
    <row r="11320" spans="23:23" x14ac:dyDescent="0.55000000000000004">
      <c r="W11320"/>
    </row>
    <row r="11321" spans="23:23" x14ac:dyDescent="0.55000000000000004">
      <c r="W11321"/>
    </row>
    <row r="11322" spans="23:23" x14ac:dyDescent="0.55000000000000004">
      <c r="W11322"/>
    </row>
    <row r="11323" spans="23:23" x14ac:dyDescent="0.55000000000000004">
      <c r="W11323"/>
    </row>
    <row r="11324" spans="23:23" x14ac:dyDescent="0.55000000000000004">
      <c r="W11324"/>
    </row>
    <row r="11325" spans="23:23" x14ac:dyDescent="0.55000000000000004">
      <c r="W11325"/>
    </row>
    <row r="11326" spans="23:23" x14ac:dyDescent="0.55000000000000004">
      <c r="W11326"/>
    </row>
    <row r="11327" spans="23:23" x14ac:dyDescent="0.55000000000000004">
      <c r="W11327"/>
    </row>
    <row r="11328" spans="23:23" x14ac:dyDescent="0.55000000000000004">
      <c r="W11328"/>
    </row>
    <row r="11329" spans="23:23" x14ac:dyDescent="0.55000000000000004">
      <c r="W11329"/>
    </row>
    <row r="11330" spans="23:23" x14ac:dyDescent="0.55000000000000004">
      <c r="W11330"/>
    </row>
    <row r="11331" spans="23:23" x14ac:dyDescent="0.55000000000000004">
      <c r="W11331"/>
    </row>
    <row r="11332" spans="23:23" x14ac:dyDescent="0.55000000000000004">
      <c r="W11332"/>
    </row>
    <row r="11333" spans="23:23" x14ac:dyDescent="0.55000000000000004">
      <c r="W11333"/>
    </row>
    <row r="11334" spans="23:23" x14ac:dyDescent="0.55000000000000004">
      <c r="W11334"/>
    </row>
    <row r="11335" spans="23:23" x14ac:dyDescent="0.55000000000000004">
      <c r="W11335"/>
    </row>
    <row r="11336" spans="23:23" x14ac:dyDescent="0.55000000000000004">
      <c r="W11336"/>
    </row>
    <row r="11337" spans="23:23" x14ac:dyDescent="0.55000000000000004">
      <c r="W11337"/>
    </row>
    <row r="11338" spans="23:23" x14ac:dyDescent="0.55000000000000004">
      <c r="W11338"/>
    </row>
    <row r="11339" spans="23:23" x14ac:dyDescent="0.55000000000000004">
      <c r="W11339"/>
    </row>
    <row r="11340" spans="23:23" x14ac:dyDescent="0.55000000000000004">
      <c r="W11340"/>
    </row>
    <row r="11341" spans="23:23" x14ac:dyDescent="0.55000000000000004">
      <c r="W11341"/>
    </row>
    <row r="11342" spans="23:23" x14ac:dyDescent="0.55000000000000004">
      <c r="W11342"/>
    </row>
    <row r="11343" spans="23:23" x14ac:dyDescent="0.55000000000000004">
      <c r="W11343"/>
    </row>
    <row r="11344" spans="23:23" x14ac:dyDescent="0.55000000000000004">
      <c r="W11344"/>
    </row>
    <row r="11345" spans="23:23" x14ac:dyDescent="0.55000000000000004">
      <c r="W11345"/>
    </row>
    <row r="11346" spans="23:23" x14ac:dyDescent="0.55000000000000004">
      <c r="W11346"/>
    </row>
    <row r="11347" spans="23:23" x14ac:dyDescent="0.55000000000000004">
      <c r="W11347"/>
    </row>
    <row r="11348" spans="23:23" x14ac:dyDescent="0.55000000000000004">
      <c r="W11348"/>
    </row>
    <row r="11349" spans="23:23" x14ac:dyDescent="0.55000000000000004">
      <c r="W11349"/>
    </row>
    <row r="11350" spans="23:23" x14ac:dyDescent="0.55000000000000004">
      <c r="W11350"/>
    </row>
    <row r="11351" spans="23:23" x14ac:dyDescent="0.55000000000000004">
      <c r="W11351"/>
    </row>
    <row r="11352" spans="23:23" x14ac:dyDescent="0.55000000000000004">
      <c r="W11352"/>
    </row>
    <row r="11353" spans="23:23" x14ac:dyDescent="0.55000000000000004">
      <c r="W11353"/>
    </row>
    <row r="11354" spans="23:23" x14ac:dyDescent="0.55000000000000004">
      <c r="W11354"/>
    </row>
    <row r="11355" spans="23:23" x14ac:dyDescent="0.55000000000000004">
      <c r="W11355"/>
    </row>
    <row r="11356" spans="23:23" x14ac:dyDescent="0.55000000000000004">
      <c r="W11356"/>
    </row>
    <row r="11357" spans="23:23" x14ac:dyDescent="0.55000000000000004">
      <c r="W11357"/>
    </row>
    <row r="11358" spans="23:23" x14ac:dyDescent="0.55000000000000004">
      <c r="W11358"/>
    </row>
    <row r="11359" spans="23:23" x14ac:dyDescent="0.55000000000000004">
      <c r="W11359"/>
    </row>
    <row r="11360" spans="23:23" x14ac:dyDescent="0.55000000000000004">
      <c r="W11360"/>
    </row>
    <row r="11361" spans="23:23" x14ac:dyDescent="0.55000000000000004">
      <c r="W11361"/>
    </row>
    <row r="11362" spans="23:23" x14ac:dyDescent="0.55000000000000004">
      <c r="W11362"/>
    </row>
    <row r="11363" spans="23:23" x14ac:dyDescent="0.55000000000000004">
      <c r="W11363"/>
    </row>
    <row r="11364" spans="23:23" x14ac:dyDescent="0.55000000000000004">
      <c r="W11364"/>
    </row>
    <row r="11365" spans="23:23" x14ac:dyDescent="0.55000000000000004">
      <c r="W11365"/>
    </row>
    <row r="11366" spans="23:23" x14ac:dyDescent="0.55000000000000004">
      <c r="W11366"/>
    </row>
    <row r="11367" spans="23:23" x14ac:dyDescent="0.55000000000000004">
      <c r="W11367"/>
    </row>
    <row r="11368" spans="23:23" x14ac:dyDescent="0.55000000000000004">
      <c r="W11368"/>
    </row>
    <row r="11369" spans="23:23" x14ac:dyDescent="0.55000000000000004">
      <c r="W11369"/>
    </row>
    <row r="11370" spans="23:23" x14ac:dyDescent="0.55000000000000004">
      <c r="W11370"/>
    </row>
    <row r="11371" spans="23:23" x14ac:dyDescent="0.55000000000000004">
      <c r="W11371"/>
    </row>
    <row r="11372" spans="23:23" x14ac:dyDescent="0.55000000000000004">
      <c r="W11372"/>
    </row>
    <row r="11373" spans="23:23" x14ac:dyDescent="0.55000000000000004">
      <c r="W11373"/>
    </row>
    <row r="11374" spans="23:23" x14ac:dyDescent="0.55000000000000004">
      <c r="W11374"/>
    </row>
    <row r="11375" spans="23:23" x14ac:dyDescent="0.55000000000000004">
      <c r="W11375"/>
    </row>
    <row r="11376" spans="23:23" x14ac:dyDescent="0.55000000000000004">
      <c r="W11376"/>
    </row>
    <row r="11377" spans="23:23" x14ac:dyDescent="0.55000000000000004">
      <c r="W11377"/>
    </row>
    <row r="11378" spans="23:23" x14ac:dyDescent="0.55000000000000004">
      <c r="W11378"/>
    </row>
    <row r="11379" spans="23:23" x14ac:dyDescent="0.55000000000000004">
      <c r="W11379"/>
    </row>
    <row r="11380" spans="23:23" x14ac:dyDescent="0.55000000000000004">
      <c r="W11380"/>
    </row>
    <row r="11381" spans="23:23" x14ac:dyDescent="0.55000000000000004">
      <c r="W11381"/>
    </row>
    <row r="11382" spans="23:23" x14ac:dyDescent="0.55000000000000004">
      <c r="W11382"/>
    </row>
    <row r="11383" spans="23:23" x14ac:dyDescent="0.55000000000000004">
      <c r="W11383"/>
    </row>
    <row r="11384" spans="23:23" x14ac:dyDescent="0.55000000000000004">
      <c r="W11384"/>
    </row>
    <row r="11385" spans="23:23" x14ac:dyDescent="0.55000000000000004">
      <c r="W11385"/>
    </row>
    <row r="11386" spans="23:23" x14ac:dyDescent="0.55000000000000004">
      <c r="W11386"/>
    </row>
    <row r="11387" spans="23:23" x14ac:dyDescent="0.55000000000000004">
      <c r="W11387"/>
    </row>
    <row r="11388" spans="23:23" x14ac:dyDescent="0.55000000000000004">
      <c r="W11388"/>
    </row>
    <row r="11389" spans="23:23" x14ac:dyDescent="0.55000000000000004">
      <c r="W11389"/>
    </row>
    <row r="11390" spans="23:23" x14ac:dyDescent="0.55000000000000004">
      <c r="W11390"/>
    </row>
    <row r="11391" spans="23:23" x14ac:dyDescent="0.55000000000000004">
      <c r="W11391"/>
    </row>
    <row r="11392" spans="23:23" x14ac:dyDescent="0.55000000000000004">
      <c r="W11392"/>
    </row>
    <row r="11393" spans="23:23" x14ac:dyDescent="0.55000000000000004">
      <c r="W11393"/>
    </row>
    <row r="11394" spans="23:23" x14ac:dyDescent="0.55000000000000004">
      <c r="W11394"/>
    </row>
    <row r="11395" spans="23:23" x14ac:dyDescent="0.55000000000000004">
      <c r="W11395"/>
    </row>
    <row r="11396" spans="23:23" x14ac:dyDescent="0.55000000000000004">
      <c r="W11396"/>
    </row>
    <row r="11397" spans="23:23" x14ac:dyDescent="0.55000000000000004">
      <c r="W11397"/>
    </row>
    <row r="11398" spans="23:23" x14ac:dyDescent="0.55000000000000004">
      <c r="W11398"/>
    </row>
    <row r="11399" spans="23:23" x14ac:dyDescent="0.55000000000000004">
      <c r="W11399"/>
    </row>
    <row r="11400" spans="23:23" x14ac:dyDescent="0.55000000000000004">
      <c r="W11400"/>
    </row>
    <row r="11401" spans="23:23" x14ac:dyDescent="0.55000000000000004">
      <c r="W11401"/>
    </row>
    <row r="11402" spans="23:23" x14ac:dyDescent="0.55000000000000004">
      <c r="W11402"/>
    </row>
    <row r="11403" spans="23:23" x14ac:dyDescent="0.55000000000000004">
      <c r="W11403"/>
    </row>
    <row r="11404" spans="23:23" x14ac:dyDescent="0.55000000000000004">
      <c r="W11404"/>
    </row>
    <row r="11405" spans="23:23" x14ac:dyDescent="0.55000000000000004">
      <c r="W11405"/>
    </row>
    <row r="11406" spans="23:23" x14ac:dyDescent="0.55000000000000004">
      <c r="W11406"/>
    </row>
    <row r="11407" spans="23:23" x14ac:dyDescent="0.55000000000000004">
      <c r="W11407"/>
    </row>
    <row r="11408" spans="23:23" x14ac:dyDescent="0.55000000000000004">
      <c r="W11408"/>
    </row>
    <row r="11409" spans="23:23" x14ac:dyDescent="0.55000000000000004">
      <c r="W11409"/>
    </row>
    <row r="11410" spans="23:23" x14ac:dyDescent="0.55000000000000004">
      <c r="W11410"/>
    </row>
    <row r="11411" spans="23:23" x14ac:dyDescent="0.55000000000000004">
      <c r="W11411"/>
    </row>
    <row r="11412" spans="23:23" x14ac:dyDescent="0.55000000000000004">
      <c r="W11412"/>
    </row>
    <row r="11413" spans="23:23" x14ac:dyDescent="0.55000000000000004">
      <c r="W11413"/>
    </row>
    <row r="11414" spans="23:23" x14ac:dyDescent="0.55000000000000004">
      <c r="W11414"/>
    </row>
    <row r="11415" spans="23:23" x14ac:dyDescent="0.55000000000000004">
      <c r="W11415"/>
    </row>
    <row r="11416" spans="23:23" x14ac:dyDescent="0.55000000000000004">
      <c r="W11416"/>
    </row>
    <row r="11417" spans="23:23" x14ac:dyDescent="0.55000000000000004">
      <c r="W11417"/>
    </row>
    <row r="11418" spans="23:23" x14ac:dyDescent="0.55000000000000004">
      <c r="W11418"/>
    </row>
    <row r="11419" spans="23:23" x14ac:dyDescent="0.55000000000000004">
      <c r="W11419"/>
    </row>
    <row r="11420" spans="23:23" x14ac:dyDescent="0.55000000000000004">
      <c r="W11420"/>
    </row>
    <row r="11421" spans="23:23" x14ac:dyDescent="0.55000000000000004">
      <c r="W11421"/>
    </row>
    <row r="11422" spans="23:23" x14ac:dyDescent="0.55000000000000004">
      <c r="W11422"/>
    </row>
    <row r="11423" spans="23:23" x14ac:dyDescent="0.55000000000000004">
      <c r="W11423"/>
    </row>
    <row r="11424" spans="23:23" x14ac:dyDescent="0.55000000000000004">
      <c r="W11424"/>
    </row>
    <row r="11425" spans="23:23" x14ac:dyDescent="0.55000000000000004">
      <c r="W11425"/>
    </row>
    <row r="11426" spans="23:23" x14ac:dyDescent="0.55000000000000004">
      <c r="W11426"/>
    </row>
    <row r="11427" spans="23:23" x14ac:dyDescent="0.55000000000000004">
      <c r="W11427"/>
    </row>
    <row r="11428" spans="23:23" x14ac:dyDescent="0.55000000000000004">
      <c r="W11428"/>
    </row>
    <row r="11429" spans="23:23" x14ac:dyDescent="0.55000000000000004">
      <c r="W11429"/>
    </row>
    <row r="11430" spans="23:23" x14ac:dyDescent="0.55000000000000004">
      <c r="W11430"/>
    </row>
    <row r="11431" spans="23:23" x14ac:dyDescent="0.55000000000000004">
      <c r="W11431"/>
    </row>
    <row r="11432" spans="23:23" x14ac:dyDescent="0.55000000000000004">
      <c r="W11432"/>
    </row>
    <row r="11433" spans="23:23" x14ac:dyDescent="0.55000000000000004">
      <c r="W11433"/>
    </row>
    <row r="11434" spans="23:23" x14ac:dyDescent="0.55000000000000004">
      <c r="W11434"/>
    </row>
    <row r="11435" spans="23:23" x14ac:dyDescent="0.55000000000000004">
      <c r="W11435"/>
    </row>
    <row r="11436" spans="23:23" x14ac:dyDescent="0.55000000000000004">
      <c r="W11436"/>
    </row>
    <row r="11437" spans="23:23" x14ac:dyDescent="0.55000000000000004">
      <c r="W11437"/>
    </row>
    <row r="11438" spans="23:23" x14ac:dyDescent="0.55000000000000004">
      <c r="W11438"/>
    </row>
    <row r="11439" spans="23:23" x14ac:dyDescent="0.55000000000000004">
      <c r="W11439"/>
    </row>
    <row r="11440" spans="23:23" x14ac:dyDescent="0.55000000000000004">
      <c r="W11440"/>
    </row>
    <row r="11441" spans="23:23" x14ac:dyDescent="0.55000000000000004">
      <c r="W11441"/>
    </row>
    <row r="11442" spans="23:23" x14ac:dyDescent="0.55000000000000004">
      <c r="W11442"/>
    </row>
    <row r="11443" spans="23:23" x14ac:dyDescent="0.55000000000000004">
      <c r="W11443"/>
    </row>
    <row r="11444" spans="23:23" x14ac:dyDescent="0.55000000000000004">
      <c r="W11444"/>
    </row>
    <row r="11445" spans="23:23" x14ac:dyDescent="0.55000000000000004">
      <c r="W11445"/>
    </row>
    <row r="11446" spans="23:23" x14ac:dyDescent="0.55000000000000004">
      <c r="W11446"/>
    </row>
    <row r="11447" spans="23:23" x14ac:dyDescent="0.55000000000000004">
      <c r="W11447"/>
    </row>
    <row r="11448" spans="23:23" x14ac:dyDescent="0.55000000000000004">
      <c r="W11448"/>
    </row>
    <row r="11449" spans="23:23" x14ac:dyDescent="0.55000000000000004">
      <c r="W11449"/>
    </row>
    <row r="11450" spans="23:23" x14ac:dyDescent="0.55000000000000004">
      <c r="W11450"/>
    </row>
    <row r="11451" spans="23:23" x14ac:dyDescent="0.55000000000000004">
      <c r="W11451"/>
    </row>
    <row r="11452" spans="23:23" x14ac:dyDescent="0.55000000000000004">
      <c r="W11452"/>
    </row>
    <row r="11453" spans="23:23" x14ac:dyDescent="0.55000000000000004">
      <c r="W11453"/>
    </row>
    <row r="11454" spans="23:23" x14ac:dyDescent="0.55000000000000004">
      <c r="W11454"/>
    </row>
    <row r="11455" spans="23:23" x14ac:dyDescent="0.55000000000000004">
      <c r="W11455"/>
    </row>
    <row r="11456" spans="23:23" x14ac:dyDescent="0.55000000000000004">
      <c r="W11456"/>
    </row>
    <row r="11457" spans="23:23" x14ac:dyDescent="0.55000000000000004">
      <c r="W11457"/>
    </row>
    <row r="11458" spans="23:23" x14ac:dyDescent="0.55000000000000004">
      <c r="W11458"/>
    </row>
    <row r="11459" spans="23:23" x14ac:dyDescent="0.55000000000000004">
      <c r="W11459"/>
    </row>
    <row r="11460" spans="23:23" x14ac:dyDescent="0.55000000000000004">
      <c r="W11460"/>
    </row>
    <row r="11461" spans="23:23" x14ac:dyDescent="0.55000000000000004">
      <c r="W11461"/>
    </row>
    <row r="11462" spans="23:23" x14ac:dyDescent="0.55000000000000004">
      <c r="W11462"/>
    </row>
    <row r="11463" spans="23:23" x14ac:dyDescent="0.55000000000000004">
      <c r="W11463"/>
    </row>
    <row r="11464" spans="23:23" x14ac:dyDescent="0.55000000000000004">
      <c r="W11464"/>
    </row>
    <row r="11465" spans="23:23" x14ac:dyDescent="0.55000000000000004">
      <c r="W11465"/>
    </row>
    <row r="11466" spans="23:23" x14ac:dyDescent="0.55000000000000004">
      <c r="W11466"/>
    </row>
    <row r="11467" spans="23:23" x14ac:dyDescent="0.55000000000000004">
      <c r="W11467"/>
    </row>
    <row r="11468" spans="23:23" x14ac:dyDescent="0.55000000000000004">
      <c r="W11468"/>
    </row>
    <row r="11469" spans="23:23" x14ac:dyDescent="0.55000000000000004">
      <c r="W11469"/>
    </row>
    <row r="11470" spans="23:23" x14ac:dyDescent="0.55000000000000004">
      <c r="W11470"/>
    </row>
    <row r="11471" spans="23:23" x14ac:dyDescent="0.55000000000000004">
      <c r="W11471"/>
    </row>
    <row r="11472" spans="23:23" x14ac:dyDescent="0.55000000000000004">
      <c r="W11472"/>
    </row>
    <row r="11473" spans="23:23" x14ac:dyDescent="0.55000000000000004">
      <c r="W11473"/>
    </row>
    <row r="11474" spans="23:23" x14ac:dyDescent="0.55000000000000004">
      <c r="W11474"/>
    </row>
    <row r="11475" spans="23:23" x14ac:dyDescent="0.55000000000000004">
      <c r="W11475"/>
    </row>
    <row r="11476" spans="23:23" x14ac:dyDescent="0.55000000000000004">
      <c r="W11476"/>
    </row>
    <row r="11477" spans="23:23" x14ac:dyDescent="0.55000000000000004">
      <c r="W11477"/>
    </row>
    <row r="11478" spans="23:23" x14ac:dyDescent="0.55000000000000004">
      <c r="W11478"/>
    </row>
    <row r="11479" spans="23:23" x14ac:dyDescent="0.55000000000000004">
      <c r="W11479"/>
    </row>
    <row r="11480" spans="23:23" x14ac:dyDescent="0.55000000000000004">
      <c r="W11480"/>
    </row>
    <row r="11481" spans="23:23" x14ac:dyDescent="0.55000000000000004">
      <c r="W11481"/>
    </row>
    <row r="11482" spans="23:23" x14ac:dyDescent="0.55000000000000004">
      <c r="W11482"/>
    </row>
    <row r="11483" spans="23:23" x14ac:dyDescent="0.55000000000000004">
      <c r="W11483"/>
    </row>
    <row r="11484" spans="23:23" x14ac:dyDescent="0.55000000000000004">
      <c r="W11484"/>
    </row>
    <row r="11485" spans="23:23" x14ac:dyDescent="0.55000000000000004">
      <c r="W11485"/>
    </row>
    <row r="11486" spans="23:23" x14ac:dyDescent="0.55000000000000004">
      <c r="W11486"/>
    </row>
    <row r="11487" spans="23:23" x14ac:dyDescent="0.55000000000000004">
      <c r="W11487"/>
    </row>
    <row r="11488" spans="23:23" x14ac:dyDescent="0.55000000000000004">
      <c r="W11488"/>
    </row>
    <row r="11489" spans="23:23" x14ac:dyDescent="0.55000000000000004">
      <c r="W11489"/>
    </row>
    <row r="11490" spans="23:23" x14ac:dyDescent="0.55000000000000004">
      <c r="W11490"/>
    </row>
    <row r="11491" spans="23:23" x14ac:dyDescent="0.55000000000000004">
      <c r="W11491"/>
    </row>
    <row r="11492" spans="23:23" x14ac:dyDescent="0.55000000000000004">
      <c r="W11492"/>
    </row>
    <row r="11493" spans="23:23" x14ac:dyDescent="0.55000000000000004">
      <c r="W11493"/>
    </row>
    <row r="11494" spans="23:23" x14ac:dyDescent="0.55000000000000004">
      <c r="W11494"/>
    </row>
    <row r="11495" spans="23:23" x14ac:dyDescent="0.55000000000000004">
      <c r="W11495"/>
    </row>
    <row r="11496" spans="23:23" x14ac:dyDescent="0.55000000000000004">
      <c r="W11496"/>
    </row>
    <row r="11497" spans="23:23" x14ac:dyDescent="0.55000000000000004">
      <c r="W11497"/>
    </row>
    <row r="11498" spans="23:23" x14ac:dyDescent="0.55000000000000004">
      <c r="W11498"/>
    </row>
    <row r="11499" spans="23:23" x14ac:dyDescent="0.55000000000000004">
      <c r="W11499"/>
    </row>
    <row r="11500" spans="23:23" x14ac:dyDescent="0.55000000000000004">
      <c r="W11500"/>
    </row>
    <row r="11501" spans="23:23" x14ac:dyDescent="0.55000000000000004">
      <c r="W11501"/>
    </row>
    <row r="11502" spans="23:23" x14ac:dyDescent="0.55000000000000004">
      <c r="W11502"/>
    </row>
    <row r="11503" spans="23:23" x14ac:dyDescent="0.55000000000000004">
      <c r="W11503"/>
    </row>
    <row r="11504" spans="23:23" x14ac:dyDescent="0.55000000000000004">
      <c r="W11504"/>
    </row>
    <row r="11505" spans="23:23" x14ac:dyDescent="0.55000000000000004">
      <c r="W11505"/>
    </row>
    <row r="11506" spans="23:23" x14ac:dyDescent="0.55000000000000004">
      <c r="W11506"/>
    </row>
    <row r="11507" spans="23:23" x14ac:dyDescent="0.55000000000000004">
      <c r="W11507"/>
    </row>
    <row r="11508" spans="23:23" x14ac:dyDescent="0.55000000000000004">
      <c r="W11508"/>
    </row>
    <row r="11509" spans="23:23" x14ac:dyDescent="0.55000000000000004">
      <c r="W11509"/>
    </row>
    <row r="11510" spans="23:23" x14ac:dyDescent="0.55000000000000004">
      <c r="W11510"/>
    </row>
    <row r="11511" spans="23:23" x14ac:dyDescent="0.55000000000000004">
      <c r="W11511"/>
    </row>
    <row r="11512" spans="23:23" x14ac:dyDescent="0.55000000000000004">
      <c r="W11512"/>
    </row>
    <row r="11513" spans="23:23" x14ac:dyDescent="0.55000000000000004">
      <c r="W11513"/>
    </row>
    <row r="11514" spans="23:23" x14ac:dyDescent="0.55000000000000004">
      <c r="W11514"/>
    </row>
    <row r="11515" spans="23:23" x14ac:dyDescent="0.55000000000000004">
      <c r="W11515"/>
    </row>
    <row r="11516" spans="23:23" x14ac:dyDescent="0.55000000000000004">
      <c r="W11516"/>
    </row>
    <row r="11517" spans="23:23" x14ac:dyDescent="0.55000000000000004">
      <c r="W11517"/>
    </row>
    <row r="11518" spans="23:23" x14ac:dyDescent="0.55000000000000004">
      <c r="W11518"/>
    </row>
    <row r="11519" spans="23:23" x14ac:dyDescent="0.55000000000000004">
      <c r="W11519"/>
    </row>
    <row r="11520" spans="23:23" x14ac:dyDescent="0.55000000000000004">
      <c r="W11520"/>
    </row>
    <row r="11521" spans="23:23" x14ac:dyDescent="0.55000000000000004">
      <c r="W11521"/>
    </row>
    <row r="11522" spans="23:23" x14ac:dyDescent="0.55000000000000004">
      <c r="W11522"/>
    </row>
    <row r="11523" spans="23:23" x14ac:dyDescent="0.55000000000000004">
      <c r="W11523"/>
    </row>
    <row r="11524" spans="23:23" x14ac:dyDescent="0.55000000000000004">
      <c r="W11524"/>
    </row>
    <row r="11525" spans="23:23" x14ac:dyDescent="0.55000000000000004">
      <c r="W11525"/>
    </row>
    <row r="11526" spans="23:23" x14ac:dyDescent="0.55000000000000004">
      <c r="W11526"/>
    </row>
    <row r="11527" spans="23:23" x14ac:dyDescent="0.55000000000000004">
      <c r="W11527"/>
    </row>
    <row r="11528" spans="23:23" x14ac:dyDescent="0.55000000000000004">
      <c r="W11528"/>
    </row>
    <row r="11529" spans="23:23" x14ac:dyDescent="0.55000000000000004">
      <c r="W11529"/>
    </row>
    <row r="11530" spans="23:23" x14ac:dyDescent="0.55000000000000004">
      <c r="W11530"/>
    </row>
    <row r="11531" spans="23:23" x14ac:dyDescent="0.55000000000000004">
      <c r="W11531"/>
    </row>
    <row r="11532" spans="23:23" x14ac:dyDescent="0.55000000000000004">
      <c r="W11532"/>
    </row>
    <row r="11533" spans="23:23" x14ac:dyDescent="0.55000000000000004">
      <c r="W11533"/>
    </row>
    <row r="11534" spans="23:23" x14ac:dyDescent="0.55000000000000004">
      <c r="W11534"/>
    </row>
    <row r="11535" spans="23:23" x14ac:dyDescent="0.55000000000000004">
      <c r="W11535"/>
    </row>
    <row r="11536" spans="23:23" x14ac:dyDescent="0.55000000000000004">
      <c r="W11536"/>
    </row>
    <row r="11537" spans="23:23" x14ac:dyDescent="0.55000000000000004">
      <c r="W11537"/>
    </row>
    <row r="11538" spans="23:23" x14ac:dyDescent="0.55000000000000004">
      <c r="W11538"/>
    </row>
    <row r="11539" spans="23:23" x14ac:dyDescent="0.55000000000000004">
      <c r="W11539"/>
    </row>
    <row r="11540" spans="23:23" x14ac:dyDescent="0.55000000000000004">
      <c r="W11540"/>
    </row>
    <row r="11541" spans="23:23" x14ac:dyDescent="0.55000000000000004">
      <c r="W11541"/>
    </row>
    <row r="11542" spans="23:23" x14ac:dyDescent="0.55000000000000004">
      <c r="W11542"/>
    </row>
    <row r="11543" spans="23:23" x14ac:dyDescent="0.55000000000000004">
      <c r="W11543"/>
    </row>
    <row r="11544" spans="23:23" x14ac:dyDescent="0.55000000000000004">
      <c r="W11544"/>
    </row>
    <row r="11545" spans="23:23" x14ac:dyDescent="0.55000000000000004">
      <c r="W11545"/>
    </row>
    <row r="11546" spans="23:23" x14ac:dyDescent="0.55000000000000004">
      <c r="W11546"/>
    </row>
    <row r="11547" spans="23:23" x14ac:dyDescent="0.55000000000000004">
      <c r="W11547"/>
    </row>
    <row r="11548" spans="23:23" x14ac:dyDescent="0.55000000000000004">
      <c r="W11548"/>
    </row>
    <row r="11549" spans="23:23" x14ac:dyDescent="0.55000000000000004">
      <c r="W11549"/>
    </row>
    <row r="11550" spans="23:23" x14ac:dyDescent="0.55000000000000004">
      <c r="W11550"/>
    </row>
    <row r="11551" spans="23:23" x14ac:dyDescent="0.55000000000000004">
      <c r="W11551"/>
    </row>
    <row r="11552" spans="23:23" x14ac:dyDescent="0.55000000000000004">
      <c r="W11552"/>
    </row>
    <row r="11553" spans="23:23" x14ac:dyDescent="0.55000000000000004">
      <c r="W11553"/>
    </row>
    <row r="11554" spans="23:23" x14ac:dyDescent="0.55000000000000004">
      <c r="W11554"/>
    </row>
    <row r="11555" spans="23:23" x14ac:dyDescent="0.55000000000000004">
      <c r="W11555"/>
    </row>
    <row r="11556" spans="23:23" x14ac:dyDescent="0.55000000000000004">
      <c r="W11556"/>
    </row>
    <row r="11557" spans="23:23" x14ac:dyDescent="0.55000000000000004">
      <c r="W11557"/>
    </row>
    <row r="11558" spans="23:23" x14ac:dyDescent="0.55000000000000004">
      <c r="W11558"/>
    </row>
    <row r="11559" spans="23:23" x14ac:dyDescent="0.55000000000000004">
      <c r="W11559"/>
    </row>
    <row r="11560" spans="23:23" x14ac:dyDescent="0.55000000000000004">
      <c r="W11560"/>
    </row>
    <row r="11561" spans="23:23" x14ac:dyDescent="0.55000000000000004">
      <c r="W11561"/>
    </row>
    <row r="11562" spans="23:23" x14ac:dyDescent="0.55000000000000004">
      <c r="W11562"/>
    </row>
    <row r="11563" spans="23:23" x14ac:dyDescent="0.55000000000000004">
      <c r="W11563"/>
    </row>
    <row r="11564" spans="23:23" x14ac:dyDescent="0.55000000000000004">
      <c r="W11564"/>
    </row>
    <row r="11565" spans="23:23" x14ac:dyDescent="0.55000000000000004">
      <c r="W11565"/>
    </row>
    <row r="11566" spans="23:23" x14ac:dyDescent="0.55000000000000004">
      <c r="W11566"/>
    </row>
    <row r="11567" spans="23:23" x14ac:dyDescent="0.55000000000000004">
      <c r="W11567"/>
    </row>
    <row r="11568" spans="23:23" x14ac:dyDescent="0.55000000000000004">
      <c r="W11568"/>
    </row>
    <row r="11569" spans="23:23" x14ac:dyDescent="0.55000000000000004">
      <c r="W11569"/>
    </row>
    <row r="11570" spans="23:23" x14ac:dyDescent="0.55000000000000004">
      <c r="W11570"/>
    </row>
    <row r="11571" spans="23:23" x14ac:dyDescent="0.55000000000000004">
      <c r="W11571"/>
    </row>
    <row r="11572" spans="23:23" x14ac:dyDescent="0.55000000000000004">
      <c r="W11572"/>
    </row>
    <row r="11573" spans="23:23" x14ac:dyDescent="0.55000000000000004">
      <c r="W11573"/>
    </row>
    <row r="11574" spans="23:23" x14ac:dyDescent="0.55000000000000004">
      <c r="W11574"/>
    </row>
    <row r="11575" spans="23:23" x14ac:dyDescent="0.55000000000000004">
      <c r="W11575"/>
    </row>
    <row r="11576" spans="23:23" x14ac:dyDescent="0.55000000000000004">
      <c r="W11576"/>
    </row>
    <row r="11577" spans="23:23" x14ac:dyDescent="0.55000000000000004">
      <c r="W11577"/>
    </row>
    <row r="11578" spans="23:23" x14ac:dyDescent="0.55000000000000004">
      <c r="W11578"/>
    </row>
    <row r="11579" spans="23:23" x14ac:dyDescent="0.55000000000000004">
      <c r="W11579"/>
    </row>
    <row r="11580" spans="23:23" x14ac:dyDescent="0.55000000000000004">
      <c r="W11580"/>
    </row>
    <row r="11581" spans="23:23" x14ac:dyDescent="0.55000000000000004">
      <c r="W11581"/>
    </row>
    <row r="11582" spans="23:23" x14ac:dyDescent="0.55000000000000004">
      <c r="W11582"/>
    </row>
    <row r="11583" spans="23:23" x14ac:dyDescent="0.55000000000000004">
      <c r="W11583"/>
    </row>
    <row r="11584" spans="23:23" x14ac:dyDescent="0.55000000000000004">
      <c r="W11584"/>
    </row>
    <row r="11585" spans="23:23" x14ac:dyDescent="0.55000000000000004">
      <c r="W11585"/>
    </row>
    <row r="11586" spans="23:23" x14ac:dyDescent="0.55000000000000004">
      <c r="W11586"/>
    </row>
    <row r="11587" spans="23:23" x14ac:dyDescent="0.55000000000000004">
      <c r="W11587"/>
    </row>
    <row r="11588" spans="23:23" x14ac:dyDescent="0.55000000000000004">
      <c r="W11588"/>
    </row>
    <row r="11589" spans="23:23" x14ac:dyDescent="0.55000000000000004">
      <c r="W11589"/>
    </row>
    <row r="11590" spans="23:23" x14ac:dyDescent="0.55000000000000004">
      <c r="W11590"/>
    </row>
    <row r="11591" spans="23:23" x14ac:dyDescent="0.55000000000000004">
      <c r="W11591"/>
    </row>
    <row r="11592" spans="23:23" x14ac:dyDescent="0.55000000000000004">
      <c r="W11592"/>
    </row>
    <row r="11593" spans="23:23" x14ac:dyDescent="0.55000000000000004">
      <c r="W11593"/>
    </row>
    <row r="11594" spans="23:23" x14ac:dyDescent="0.55000000000000004">
      <c r="W11594"/>
    </row>
    <row r="11595" spans="23:23" x14ac:dyDescent="0.55000000000000004">
      <c r="W11595"/>
    </row>
    <row r="11596" spans="23:23" x14ac:dyDescent="0.55000000000000004">
      <c r="W11596"/>
    </row>
    <row r="11597" spans="23:23" x14ac:dyDescent="0.55000000000000004">
      <c r="W11597"/>
    </row>
    <row r="11598" spans="23:23" x14ac:dyDescent="0.55000000000000004">
      <c r="W11598"/>
    </row>
    <row r="11599" spans="23:23" x14ac:dyDescent="0.55000000000000004">
      <c r="W11599"/>
    </row>
    <row r="11600" spans="23:23" x14ac:dyDescent="0.55000000000000004">
      <c r="W11600"/>
    </row>
    <row r="11601" spans="23:23" x14ac:dyDescent="0.55000000000000004">
      <c r="W11601"/>
    </row>
    <row r="11602" spans="23:23" x14ac:dyDescent="0.55000000000000004">
      <c r="W11602"/>
    </row>
    <row r="11603" spans="23:23" x14ac:dyDescent="0.55000000000000004">
      <c r="W11603"/>
    </row>
    <row r="11604" spans="23:23" x14ac:dyDescent="0.55000000000000004">
      <c r="W11604"/>
    </row>
    <row r="11605" spans="23:23" x14ac:dyDescent="0.55000000000000004">
      <c r="W11605"/>
    </row>
    <row r="11606" spans="23:23" x14ac:dyDescent="0.55000000000000004">
      <c r="W11606"/>
    </row>
    <row r="11607" spans="23:23" x14ac:dyDescent="0.55000000000000004">
      <c r="W11607"/>
    </row>
    <row r="11608" spans="23:23" x14ac:dyDescent="0.55000000000000004">
      <c r="W11608"/>
    </row>
    <row r="11609" spans="23:23" x14ac:dyDescent="0.55000000000000004">
      <c r="W11609"/>
    </row>
    <row r="11610" spans="23:23" x14ac:dyDescent="0.55000000000000004">
      <c r="W11610"/>
    </row>
    <row r="11611" spans="23:23" x14ac:dyDescent="0.55000000000000004">
      <c r="W11611"/>
    </row>
    <row r="11612" spans="23:23" x14ac:dyDescent="0.55000000000000004">
      <c r="W11612"/>
    </row>
    <row r="11613" spans="23:23" x14ac:dyDescent="0.55000000000000004">
      <c r="W11613"/>
    </row>
    <row r="11614" spans="23:23" x14ac:dyDescent="0.55000000000000004">
      <c r="W11614"/>
    </row>
    <row r="11615" spans="23:23" x14ac:dyDescent="0.55000000000000004">
      <c r="W11615"/>
    </row>
    <row r="11616" spans="23:23" x14ac:dyDescent="0.55000000000000004">
      <c r="W11616"/>
    </row>
    <row r="11617" spans="23:23" x14ac:dyDescent="0.55000000000000004">
      <c r="W11617"/>
    </row>
    <row r="11618" spans="23:23" x14ac:dyDescent="0.55000000000000004">
      <c r="W11618"/>
    </row>
    <row r="11619" spans="23:23" x14ac:dyDescent="0.55000000000000004">
      <c r="W11619"/>
    </row>
    <row r="11620" spans="23:23" x14ac:dyDescent="0.55000000000000004">
      <c r="W11620"/>
    </row>
    <row r="11621" spans="23:23" x14ac:dyDescent="0.55000000000000004">
      <c r="W11621"/>
    </row>
    <row r="11622" spans="23:23" x14ac:dyDescent="0.55000000000000004">
      <c r="W11622"/>
    </row>
    <row r="11623" spans="23:23" x14ac:dyDescent="0.55000000000000004">
      <c r="W11623"/>
    </row>
    <row r="11624" spans="23:23" x14ac:dyDescent="0.55000000000000004">
      <c r="W11624"/>
    </row>
    <row r="11625" spans="23:23" x14ac:dyDescent="0.55000000000000004">
      <c r="W11625"/>
    </row>
    <row r="11626" spans="23:23" x14ac:dyDescent="0.55000000000000004">
      <c r="W11626"/>
    </row>
    <row r="11627" spans="23:23" x14ac:dyDescent="0.55000000000000004">
      <c r="W11627"/>
    </row>
    <row r="11628" spans="23:23" x14ac:dyDescent="0.55000000000000004">
      <c r="W11628"/>
    </row>
    <row r="11629" spans="23:23" x14ac:dyDescent="0.55000000000000004">
      <c r="W11629"/>
    </row>
    <row r="11630" spans="23:23" x14ac:dyDescent="0.55000000000000004">
      <c r="W11630"/>
    </row>
    <row r="11631" spans="23:23" x14ac:dyDescent="0.55000000000000004">
      <c r="W11631"/>
    </row>
    <row r="11632" spans="23:23" x14ac:dyDescent="0.55000000000000004">
      <c r="W11632"/>
    </row>
    <row r="11633" spans="23:23" x14ac:dyDescent="0.55000000000000004">
      <c r="W11633"/>
    </row>
    <row r="11634" spans="23:23" x14ac:dyDescent="0.55000000000000004">
      <c r="W11634"/>
    </row>
    <row r="11635" spans="23:23" x14ac:dyDescent="0.55000000000000004">
      <c r="W11635"/>
    </row>
    <row r="11636" spans="23:23" x14ac:dyDescent="0.55000000000000004">
      <c r="W11636"/>
    </row>
    <row r="11637" spans="23:23" x14ac:dyDescent="0.55000000000000004">
      <c r="W11637"/>
    </row>
    <row r="11638" spans="23:23" x14ac:dyDescent="0.55000000000000004">
      <c r="W11638"/>
    </row>
    <row r="11639" spans="23:23" x14ac:dyDescent="0.55000000000000004">
      <c r="W11639"/>
    </row>
    <row r="11640" spans="23:23" x14ac:dyDescent="0.55000000000000004">
      <c r="W11640"/>
    </row>
    <row r="11641" spans="23:23" x14ac:dyDescent="0.55000000000000004">
      <c r="W11641"/>
    </row>
    <row r="11642" spans="23:23" x14ac:dyDescent="0.55000000000000004">
      <c r="W11642"/>
    </row>
    <row r="11643" spans="23:23" x14ac:dyDescent="0.55000000000000004">
      <c r="W11643"/>
    </row>
    <row r="11644" spans="23:23" x14ac:dyDescent="0.55000000000000004">
      <c r="W11644"/>
    </row>
    <row r="11645" spans="23:23" x14ac:dyDescent="0.55000000000000004">
      <c r="W11645"/>
    </row>
    <row r="11646" spans="23:23" x14ac:dyDescent="0.55000000000000004">
      <c r="W11646"/>
    </row>
    <row r="11647" spans="23:23" x14ac:dyDescent="0.55000000000000004">
      <c r="W11647"/>
    </row>
    <row r="11648" spans="23:23" x14ac:dyDescent="0.55000000000000004">
      <c r="W11648"/>
    </row>
    <row r="11649" spans="23:23" x14ac:dyDescent="0.55000000000000004">
      <c r="W11649"/>
    </row>
    <row r="11650" spans="23:23" x14ac:dyDescent="0.55000000000000004">
      <c r="W11650"/>
    </row>
    <row r="11651" spans="23:23" x14ac:dyDescent="0.55000000000000004">
      <c r="W11651"/>
    </row>
    <row r="11652" spans="23:23" x14ac:dyDescent="0.55000000000000004">
      <c r="W11652"/>
    </row>
    <row r="11653" spans="23:23" x14ac:dyDescent="0.55000000000000004">
      <c r="W11653"/>
    </row>
    <row r="11654" spans="23:23" x14ac:dyDescent="0.55000000000000004">
      <c r="W11654"/>
    </row>
    <row r="11655" spans="23:23" x14ac:dyDescent="0.55000000000000004">
      <c r="W11655"/>
    </row>
    <row r="11656" spans="23:23" x14ac:dyDescent="0.55000000000000004">
      <c r="W11656"/>
    </row>
    <row r="11657" spans="23:23" x14ac:dyDescent="0.55000000000000004">
      <c r="W11657"/>
    </row>
    <row r="11658" spans="23:23" x14ac:dyDescent="0.55000000000000004">
      <c r="W11658"/>
    </row>
    <row r="11659" spans="23:23" x14ac:dyDescent="0.55000000000000004">
      <c r="W11659"/>
    </row>
    <row r="11660" spans="23:23" x14ac:dyDescent="0.55000000000000004">
      <c r="W11660"/>
    </row>
    <row r="11661" spans="23:23" x14ac:dyDescent="0.55000000000000004">
      <c r="W11661"/>
    </row>
    <row r="11662" spans="23:23" x14ac:dyDescent="0.55000000000000004">
      <c r="W11662"/>
    </row>
    <row r="11663" spans="23:23" x14ac:dyDescent="0.55000000000000004">
      <c r="W11663"/>
    </row>
    <row r="11664" spans="23:23" x14ac:dyDescent="0.55000000000000004">
      <c r="W11664"/>
    </row>
    <row r="11665" spans="23:23" x14ac:dyDescent="0.55000000000000004">
      <c r="W11665"/>
    </row>
    <row r="11666" spans="23:23" x14ac:dyDescent="0.55000000000000004">
      <c r="W11666"/>
    </row>
    <row r="11667" spans="23:23" x14ac:dyDescent="0.55000000000000004">
      <c r="W11667"/>
    </row>
    <row r="11668" spans="23:23" x14ac:dyDescent="0.55000000000000004">
      <c r="W11668"/>
    </row>
    <row r="11669" spans="23:23" x14ac:dyDescent="0.55000000000000004">
      <c r="W11669"/>
    </row>
    <row r="11670" spans="23:23" x14ac:dyDescent="0.55000000000000004">
      <c r="W11670"/>
    </row>
    <row r="11671" spans="23:23" x14ac:dyDescent="0.55000000000000004">
      <c r="W11671"/>
    </row>
    <row r="11672" spans="23:23" x14ac:dyDescent="0.55000000000000004">
      <c r="W11672"/>
    </row>
    <row r="11673" spans="23:23" x14ac:dyDescent="0.55000000000000004">
      <c r="W11673"/>
    </row>
    <row r="11674" spans="23:23" x14ac:dyDescent="0.55000000000000004">
      <c r="W11674"/>
    </row>
    <row r="11675" spans="23:23" x14ac:dyDescent="0.55000000000000004">
      <c r="W11675"/>
    </row>
    <row r="11676" spans="23:23" x14ac:dyDescent="0.55000000000000004">
      <c r="W11676"/>
    </row>
    <row r="11677" spans="23:23" x14ac:dyDescent="0.55000000000000004">
      <c r="W11677"/>
    </row>
    <row r="11678" spans="23:23" x14ac:dyDescent="0.55000000000000004">
      <c r="W11678"/>
    </row>
    <row r="11679" spans="23:23" x14ac:dyDescent="0.55000000000000004">
      <c r="W11679"/>
    </row>
    <row r="11680" spans="23:23" x14ac:dyDescent="0.55000000000000004">
      <c r="W11680"/>
    </row>
    <row r="11681" spans="23:23" x14ac:dyDescent="0.55000000000000004">
      <c r="W11681"/>
    </row>
    <row r="11682" spans="23:23" x14ac:dyDescent="0.55000000000000004">
      <c r="W11682"/>
    </row>
    <row r="11683" spans="23:23" x14ac:dyDescent="0.55000000000000004">
      <c r="W11683"/>
    </row>
    <row r="11684" spans="23:23" x14ac:dyDescent="0.55000000000000004">
      <c r="W11684"/>
    </row>
    <row r="11685" spans="23:23" x14ac:dyDescent="0.55000000000000004">
      <c r="W11685"/>
    </row>
    <row r="11686" spans="23:23" x14ac:dyDescent="0.55000000000000004">
      <c r="W11686"/>
    </row>
    <row r="11687" spans="23:23" x14ac:dyDescent="0.55000000000000004">
      <c r="W11687"/>
    </row>
    <row r="11688" spans="23:23" x14ac:dyDescent="0.55000000000000004">
      <c r="W11688"/>
    </row>
    <row r="11689" spans="23:23" x14ac:dyDescent="0.55000000000000004">
      <c r="W11689"/>
    </row>
    <row r="11690" spans="23:23" x14ac:dyDescent="0.55000000000000004">
      <c r="W11690"/>
    </row>
    <row r="11691" spans="23:23" x14ac:dyDescent="0.55000000000000004">
      <c r="W11691"/>
    </row>
    <row r="11692" spans="23:23" x14ac:dyDescent="0.55000000000000004">
      <c r="W11692"/>
    </row>
    <row r="11693" spans="23:23" x14ac:dyDescent="0.55000000000000004">
      <c r="W11693"/>
    </row>
    <row r="11694" spans="23:23" x14ac:dyDescent="0.55000000000000004">
      <c r="W11694"/>
    </row>
    <row r="11695" spans="23:23" x14ac:dyDescent="0.55000000000000004">
      <c r="W11695"/>
    </row>
    <row r="11696" spans="23:23" x14ac:dyDescent="0.55000000000000004">
      <c r="W11696"/>
    </row>
    <row r="11697" spans="23:23" x14ac:dyDescent="0.55000000000000004">
      <c r="W11697"/>
    </row>
    <row r="11698" spans="23:23" x14ac:dyDescent="0.55000000000000004">
      <c r="W11698"/>
    </row>
    <row r="11699" spans="23:23" x14ac:dyDescent="0.55000000000000004">
      <c r="W11699"/>
    </row>
    <row r="11700" spans="23:23" x14ac:dyDescent="0.55000000000000004">
      <c r="W11700"/>
    </row>
    <row r="11701" spans="23:23" x14ac:dyDescent="0.55000000000000004">
      <c r="W11701"/>
    </row>
    <row r="11702" spans="23:23" x14ac:dyDescent="0.55000000000000004">
      <c r="W11702"/>
    </row>
    <row r="11703" spans="23:23" x14ac:dyDescent="0.55000000000000004">
      <c r="W11703"/>
    </row>
    <row r="11704" spans="23:23" x14ac:dyDescent="0.55000000000000004">
      <c r="W11704"/>
    </row>
    <row r="11705" spans="23:23" x14ac:dyDescent="0.55000000000000004">
      <c r="W11705"/>
    </row>
    <row r="11706" spans="23:23" x14ac:dyDescent="0.55000000000000004">
      <c r="W11706"/>
    </row>
    <row r="11707" spans="23:23" x14ac:dyDescent="0.55000000000000004">
      <c r="W11707"/>
    </row>
    <row r="11708" spans="23:23" x14ac:dyDescent="0.55000000000000004">
      <c r="W11708"/>
    </row>
    <row r="11709" spans="23:23" x14ac:dyDescent="0.55000000000000004">
      <c r="W11709"/>
    </row>
    <row r="11710" spans="23:23" x14ac:dyDescent="0.55000000000000004">
      <c r="W11710"/>
    </row>
    <row r="11711" spans="23:23" x14ac:dyDescent="0.55000000000000004">
      <c r="W11711"/>
    </row>
    <row r="11712" spans="23:23" x14ac:dyDescent="0.55000000000000004">
      <c r="W11712"/>
    </row>
    <row r="11713" spans="23:23" x14ac:dyDescent="0.55000000000000004">
      <c r="W11713"/>
    </row>
    <row r="11714" spans="23:23" x14ac:dyDescent="0.55000000000000004">
      <c r="W11714"/>
    </row>
    <row r="11715" spans="23:23" x14ac:dyDescent="0.55000000000000004">
      <c r="W11715"/>
    </row>
    <row r="11716" spans="23:23" x14ac:dyDescent="0.55000000000000004">
      <c r="W11716"/>
    </row>
    <row r="11717" spans="23:23" x14ac:dyDescent="0.55000000000000004">
      <c r="W11717"/>
    </row>
    <row r="11718" spans="23:23" x14ac:dyDescent="0.55000000000000004">
      <c r="W11718"/>
    </row>
    <row r="11719" spans="23:23" x14ac:dyDescent="0.55000000000000004">
      <c r="W11719"/>
    </row>
    <row r="11720" spans="23:23" x14ac:dyDescent="0.55000000000000004">
      <c r="W11720"/>
    </row>
    <row r="11721" spans="23:23" x14ac:dyDescent="0.55000000000000004">
      <c r="W11721"/>
    </row>
    <row r="11722" spans="23:23" x14ac:dyDescent="0.55000000000000004">
      <c r="W11722"/>
    </row>
    <row r="11723" spans="23:23" x14ac:dyDescent="0.55000000000000004">
      <c r="W11723"/>
    </row>
    <row r="11724" spans="23:23" x14ac:dyDescent="0.55000000000000004">
      <c r="W11724"/>
    </row>
    <row r="11725" spans="23:23" x14ac:dyDescent="0.55000000000000004">
      <c r="W11725"/>
    </row>
    <row r="11726" spans="23:23" x14ac:dyDescent="0.55000000000000004">
      <c r="W11726"/>
    </row>
    <row r="11727" spans="23:23" x14ac:dyDescent="0.55000000000000004">
      <c r="W11727"/>
    </row>
    <row r="11728" spans="23:23" x14ac:dyDescent="0.55000000000000004">
      <c r="W11728"/>
    </row>
    <row r="11729" spans="23:23" x14ac:dyDescent="0.55000000000000004">
      <c r="W11729"/>
    </row>
    <row r="11730" spans="23:23" x14ac:dyDescent="0.55000000000000004">
      <c r="W11730"/>
    </row>
    <row r="11731" spans="23:23" x14ac:dyDescent="0.55000000000000004">
      <c r="W11731"/>
    </row>
    <row r="11732" spans="23:23" x14ac:dyDescent="0.55000000000000004">
      <c r="W11732"/>
    </row>
    <row r="11733" spans="23:23" x14ac:dyDescent="0.55000000000000004">
      <c r="W11733"/>
    </row>
    <row r="11734" spans="23:23" x14ac:dyDescent="0.55000000000000004">
      <c r="W11734"/>
    </row>
    <row r="11735" spans="23:23" x14ac:dyDescent="0.55000000000000004">
      <c r="W11735"/>
    </row>
    <row r="11736" spans="23:23" x14ac:dyDescent="0.55000000000000004">
      <c r="W11736"/>
    </row>
    <row r="11737" spans="23:23" x14ac:dyDescent="0.55000000000000004">
      <c r="W11737"/>
    </row>
    <row r="11738" spans="23:23" x14ac:dyDescent="0.55000000000000004">
      <c r="W11738"/>
    </row>
    <row r="11739" spans="23:23" x14ac:dyDescent="0.55000000000000004">
      <c r="W11739"/>
    </row>
    <row r="11740" spans="23:23" x14ac:dyDescent="0.55000000000000004">
      <c r="W11740"/>
    </row>
    <row r="11741" spans="23:23" x14ac:dyDescent="0.55000000000000004">
      <c r="W11741"/>
    </row>
    <row r="11742" spans="23:23" x14ac:dyDescent="0.55000000000000004">
      <c r="W11742"/>
    </row>
    <row r="11743" spans="23:23" x14ac:dyDescent="0.55000000000000004">
      <c r="W11743"/>
    </row>
    <row r="11744" spans="23:23" x14ac:dyDescent="0.55000000000000004">
      <c r="W11744"/>
    </row>
    <row r="11745" spans="23:23" x14ac:dyDescent="0.55000000000000004">
      <c r="W11745"/>
    </row>
    <row r="11746" spans="23:23" x14ac:dyDescent="0.55000000000000004">
      <c r="W11746"/>
    </row>
    <row r="11747" spans="23:23" x14ac:dyDescent="0.55000000000000004">
      <c r="W11747"/>
    </row>
    <row r="11748" spans="23:23" x14ac:dyDescent="0.55000000000000004">
      <c r="W11748"/>
    </row>
    <row r="11749" spans="23:23" x14ac:dyDescent="0.55000000000000004">
      <c r="W11749"/>
    </row>
    <row r="11750" spans="23:23" x14ac:dyDescent="0.55000000000000004">
      <c r="W11750"/>
    </row>
    <row r="11751" spans="23:23" x14ac:dyDescent="0.55000000000000004">
      <c r="W11751"/>
    </row>
    <row r="11752" spans="23:23" x14ac:dyDescent="0.55000000000000004">
      <c r="W11752"/>
    </row>
    <row r="11753" spans="23:23" x14ac:dyDescent="0.55000000000000004">
      <c r="W11753"/>
    </row>
    <row r="11754" spans="23:23" x14ac:dyDescent="0.55000000000000004">
      <c r="W11754"/>
    </row>
    <row r="11755" spans="23:23" x14ac:dyDescent="0.55000000000000004">
      <c r="W11755"/>
    </row>
    <row r="11756" spans="23:23" x14ac:dyDescent="0.55000000000000004">
      <c r="W11756"/>
    </row>
    <row r="11757" spans="23:23" x14ac:dyDescent="0.55000000000000004">
      <c r="W11757"/>
    </row>
    <row r="11758" spans="23:23" x14ac:dyDescent="0.55000000000000004">
      <c r="W11758"/>
    </row>
    <row r="11759" spans="23:23" x14ac:dyDescent="0.55000000000000004">
      <c r="W11759"/>
    </row>
    <row r="11760" spans="23:23" x14ac:dyDescent="0.55000000000000004">
      <c r="W11760"/>
    </row>
    <row r="11761" spans="23:23" x14ac:dyDescent="0.55000000000000004">
      <c r="W11761"/>
    </row>
    <row r="11762" spans="23:23" x14ac:dyDescent="0.55000000000000004">
      <c r="W11762"/>
    </row>
    <row r="11763" spans="23:23" x14ac:dyDescent="0.55000000000000004">
      <c r="W11763"/>
    </row>
    <row r="11764" spans="23:23" x14ac:dyDescent="0.55000000000000004">
      <c r="W11764"/>
    </row>
    <row r="11765" spans="23:23" x14ac:dyDescent="0.55000000000000004">
      <c r="W11765"/>
    </row>
    <row r="11766" spans="23:23" x14ac:dyDescent="0.55000000000000004">
      <c r="W11766"/>
    </row>
    <row r="11767" spans="23:23" x14ac:dyDescent="0.55000000000000004">
      <c r="W11767"/>
    </row>
    <row r="11768" spans="23:23" x14ac:dyDescent="0.55000000000000004">
      <c r="W11768"/>
    </row>
    <row r="11769" spans="23:23" x14ac:dyDescent="0.55000000000000004">
      <c r="W11769"/>
    </row>
    <row r="11770" spans="23:23" x14ac:dyDescent="0.55000000000000004">
      <c r="W11770"/>
    </row>
    <row r="11771" spans="23:23" x14ac:dyDescent="0.55000000000000004">
      <c r="W11771"/>
    </row>
    <row r="11772" spans="23:23" x14ac:dyDescent="0.55000000000000004">
      <c r="W11772"/>
    </row>
    <row r="11773" spans="23:23" x14ac:dyDescent="0.55000000000000004">
      <c r="W11773"/>
    </row>
    <row r="11774" spans="23:23" x14ac:dyDescent="0.55000000000000004">
      <c r="W11774"/>
    </row>
    <row r="11775" spans="23:23" x14ac:dyDescent="0.55000000000000004">
      <c r="W11775"/>
    </row>
    <row r="11776" spans="23:23" x14ac:dyDescent="0.55000000000000004">
      <c r="W11776"/>
    </row>
    <row r="11777" spans="23:23" x14ac:dyDescent="0.55000000000000004">
      <c r="W11777"/>
    </row>
    <row r="11778" spans="23:23" x14ac:dyDescent="0.55000000000000004">
      <c r="W11778"/>
    </row>
    <row r="11779" spans="23:23" x14ac:dyDescent="0.55000000000000004">
      <c r="W11779"/>
    </row>
    <row r="11780" spans="23:23" x14ac:dyDescent="0.55000000000000004">
      <c r="W11780"/>
    </row>
    <row r="11781" spans="23:23" x14ac:dyDescent="0.55000000000000004">
      <c r="W11781"/>
    </row>
    <row r="11782" spans="23:23" x14ac:dyDescent="0.55000000000000004">
      <c r="W11782"/>
    </row>
    <row r="11783" spans="23:23" x14ac:dyDescent="0.55000000000000004">
      <c r="W11783"/>
    </row>
    <row r="11784" spans="23:23" x14ac:dyDescent="0.55000000000000004">
      <c r="W11784"/>
    </row>
    <row r="11785" spans="23:23" x14ac:dyDescent="0.55000000000000004">
      <c r="W11785"/>
    </row>
    <row r="11786" spans="23:23" x14ac:dyDescent="0.55000000000000004">
      <c r="W11786"/>
    </row>
    <row r="11787" spans="23:23" x14ac:dyDescent="0.55000000000000004">
      <c r="W11787"/>
    </row>
    <row r="11788" spans="23:23" x14ac:dyDescent="0.55000000000000004">
      <c r="W11788"/>
    </row>
    <row r="11789" spans="23:23" x14ac:dyDescent="0.55000000000000004">
      <c r="W11789"/>
    </row>
    <row r="11790" spans="23:23" x14ac:dyDescent="0.55000000000000004">
      <c r="W11790"/>
    </row>
    <row r="11791" spans="23:23" x14ac:dyDescent="0.55000000000000004">
      <c r="W11791"/>
    </row>
    <row r="11792" spans="23:23" x14ac:dyDescent="0.55000000000000004">
      <c r="W11792"/>
    </row>
    <row r="11793" spans="23:23" x14ac:dyDescent="0.55000000000000004">
      <c r="W11793"/>
    </row>
    <row r="11794" spans="23:23" x14ac:dyDescent="0.55000000000000004">
      <c r="W11794"/>
    </row>
    <row r="11795" spans="23:23" x14ac:dyDescent="0.55000000000000004">
      <c r="W11795"/>
    </row>
    <row r="11796" spans="23:23" x14ac:dyDescent="0.55000000000000004">
      <c r="W11796"/>
    </row>
    <row r="11797" spans="23:23" x14ac:dyDescent="0.55000000000000004">
      <c r="W11797"/>
    </row>
    <row r="11798" spans="23:23" x14ac:dyDescent="0.55000000000000004">
      <c r="W11798"/>
    </row>
    <row r="11799" spans="23:23" x14ac:dyDescent="0.55000000000000004">
      <c r="W11799"/>
    </row>
    <row r="11800" spans="23:23" x14ac:dyDescent="0.55000000000000004">
      <c r="W11800"/>
    </row>
    <row r="11801" spans="23:23" x14ac:dyDescent="0.55000000000000004">
      <c r="W11801"/>
    </row>
    <row r="11802" spans="23:23" x14ac:dyDescent="0.55000000000000004">
      <c r="W11802"/>
    </row>
    <row r="11803" spans="23:23" x14ac:dyDescent="0.55000000000000004">
      <c r="W11803"/>
    </row>
    <row r="11804" spans="23:23" x14ac:dyDescent="0.55000000000000004">
      <c r="W11804"/>
    </row>
    <row r="11805" spans="23:23" x14ac:dyDescent="0.55000000000000004">
      <c r="W11805"/>
    </row>
    <row r="11806" spans="23:23" x14ac:dyDescent="0.55000000000000004">
      <c r="W11806"/>
    </row>
    <row r="11807" spans="23:23" x14ac:dyDescent="0.55000000000000004">
      <c r="W11807"/>
    </row>
    <row r="11808" spans="23:23" x14ac:dyDescent="0.55000000000000004">
      <c r="W11808"/>
    </row>
    <row r="11809" spans="23:23" x14ac:dyDescent="0.55000000000000004">
      <c r="W11809"/>
    </row>
    <row r="11810" spans="23:23" x14ac:dyDescent="0.55000000000000004">
      <c r="W11810"/>
    </row>
    <row r="11811" spans="23:23" x14ac:dyDescent="0.55000000000000004">
      <c r="W11811"/>
    </row>
    <row r="11812" spans="23:23" x14ac:dyDescent="0.55000000000000004">
      <c r="W11812"/>
    </row>
    <row r="11813" spans="23:23" x14ac:dyDescent="0.55000000000000004">
      <c r="W11813"/>
    </row>
    <row r="11814" spans="23:23" x14ac:dyDescent="0.55000000000000004">
      <c r="W11814"/>
    </row>
    <row r="11815" spans="23:23" x14ac:dyDescent="0.55000000000000004">
      <c r="W11815"/>
    </row>
    <row r="11816" spans="23:23" x14ac:dyDescent="0.55000000000000004">
      <c r="W11816"/>
    </row>
    <row r="11817" spans="23:23" x14ac:dyDescent="0.55000000000000004">
      <c r="W11817"/>
    </row>
    <row r="11818" spans="23:23" x14ac:dyDescent="0.55000000000000004">
      <c r="W11818"/>
    </row>
    <row r="11819" spans="23:23" x14ac:dyDescent="0.55000000000000004">
      <c r="W11819"/>
    </row>
    <row r="11820" spans="23:23" x14ac:dyDescent="0.55000000000000004">
      <c r="W11820"/>
    </row>
    <row r="11821" spans="23:23" x14ac:dyDescent="0.55000000000000004">
      <c r="W11821"/>
    </row>
    <row r="11822" spans="23:23" x14ac:dyDescent="0.55000000000000004">
      <c r="W11822"/>
    </row>
    <row r="11823" spans="23:23" x14ac:dyDescent="0.55000000000000004">
      <c r="W11823"/>
    </row>
    <row r="11824" spans="23:23" x14ac:dyDescent="0.55000000000000004">
      <c r="W11824"/>
    </row>
    <row r="11825" spans="23:23" x14ac:dyDescent="0.55000000000000004">
      <c r="W11825"/>
    </row>
    <row r="11826" spans="23:23" x14ac:dyDescent="0.55000000000000004">
      <c r="W11826"/>
    </row>
    <row r="11827" spans="23:23" x14ac:dyDescent="0.55000000000000004">
      <c r="W11827"/>
    </row>
    <row r="11828" spans="23:23" x14ac:dyDescent="0.55000000000000004">
      <c r="W11828"/>
    </row>
    <row r="11829" spans="23:23" x14ac:dyDescent="0.55000000000000004">
      <c r="W11829"/>
    </row>
    <row r="11830" spans="23:23" x14ac:dyDescent="0.55000000000000004">
      <c r="W11830"/>
    </row>
    <row r="11831" spans="23:23" x14ac:dyDescent="0.55000000000000004">
      <c r="W11831"/>
    </row>
    <row r="11832" spans="23:23" x14ac:dyDescent="0.55000000000000004">
      <c r="W11832"/>
    </row>
    <row r="11833" spans="23:23" x14ac:dyDescent="0.55000000000000004">
      <c r="W11833"/>
    </row>
    <row r="11834" spans="23:23" x14ac:dyDescent="0.55000000000000004">
      <c r="W11834"/>
    </row>
    <row r="11835" spans="23:23" x14ac:dyDescent="0.55000000000000004">
      <c r="W11835"/>
    </row>
    <row r="11836" spans="23:23" x14ac:dyDescent="0.55000000000000004">
      <c r="W11836"/>
    </row>
    <row r="11837" spans="23:23" x14ac:dyDescent="0.55000000000000004">
      <c r="W11837"/>
    </row>
    <row r="11838" spans="23:23" x14ac:dyDescent="0.55000000000000004">
      <c r="W11838"/>
    </row>
    <row r="11839" spans="23:23" x14ac:dyDescent="0.55000000000000004">
      <c r="W11839"/>
    </row>
    <row r="11840" spans="23:23" x14ac:dyDescent="0.55000000000000004">
      <c r="W11840"/>
    </row>
    <row r="11841" spans="23:23" x14ac:dyDescent="0.55000000000000004">
      <c r="W11841"/>
    </row>
    <row r="11842" spans="23:23" x14ac:dyDescent="0.55000000000000004">
      <c r="W11842"/>
    </row>
    <row r="11843" spans="23:23" x14ac:dyDescent="0.55000000000000004">
      <c r="W11843"/>
    </row>
    <row r="11844" spans="23:23" x14ac:dyDescent="0.55000000000000004">
      <c r="W11844"/>
    </row>
    <row r="11845" spans="23:23" x14ac:dyDescent="0.55000000000000004">
      <c r="W11845"/>
    </row>
    <row r="11846" spans="23:23" x14ac:dyDescent="0.55000000000000004">
      <c r="W11846"/>
    </row>
    <row r="11847" spans="23:23" x14ac:dyDescent="0.55000000000000004">
      <c r="W11847"/>
    </row>
    <row r="11848" spans="23:23" x14ac:dyDescent="0.55000000000000004">
      <c r="W11848"/>
    </row>
    <row r="11849" spans="23:23" x14ac:dyDescent="0.55000000000000004">
      <c r="W11849"/>
    </row>
    <row r="11850" spans="23:23" x14ac:dyDescent="0.55000000000000004">
      <c r="W11850"/>
    </row>
    <row r="11851" spans="23:23" x14ac:dyDescent="0.55000000000000004">
      <c r="W11851"/>
    </row>
    <row r="11852" spans="23:23" x14ac:dyDescent="0.55000000000000004">
      <c r="W11852"/>
    </row>
    <row r="11853" spans="23:23" x14ac:dyDescent="0.55000000000000004">
      <c r="W11853"/>
    </row>
    <row r="11854" spans="23:23" x14ac:dyDescent="0.55000000000000004">
      <c r="W11854"/>
    </row>
    <row r="11855" spans="23:23" x14ac:dyDescent="0.55000000000000004">
      <c r="W11855"/>
    </row>
    <row r="11856" spans="23:23" x14ac:dyDescent="0.55000000000000004">
      <c r="W11856"/>
    </row>
    <row r="11857" spans="23:23" x14ac:dyDescent="0.55000000000000004">
      <c r="W11857"/>
    </row>
    <row r="11858" spans="23:23" x14ac:dyDescent="0.55000000000000004">
      <c r="W11858"/>
    </row>
    <row r="11859" spans="23:23" x14ac:dyDescent="0.55000000000000004">
      <c r="W11859"/>
    </row>
    <row r="11860" spans="23:23" x14ac:dyDescent="0.55000000000000004">
      <c r="W11860"/>
    </row>
    <row r="11861" spans="23:23" x14ac:dyDescent="0.55000000000000004">
      <c r="W11861"/>
    </row>
    <row r="11862" spans="23:23" x14ac:dyDescent="0.55000000000000004">
      <c r="W11862"/>
    </row>
    <row r="11863" spans="23:23" x14ac:dyDescent="0.55000000000000004">
      <c r="W11863"/>
    </row>
    <row r="11864" spans="23:23" x14ac:dyDescent="0.55000000000000004">
      <c r="W11864"/>
    </row>
    <row r="11865" spans="23:23" x14ac:dyDescent="0.55000000000000004">
      <c r="W11865"/>
    </row>
    <row r="11866" spans="23:23" x14ac:dyDescent="0.55000000000000004">
      <c r="W11866"/>
    </row>
    <row r="11867" spans="23:23" x14ac:dyDescent="0.55000000000000004">
      <c r="W11867"/>
    </row>
    <row r="11868" spans="23:23" x14ac:dyDescent="0.55000000000000004">
      <c r="W11868"/>
    </row>
    <row r="11869" spans="23:23" x14ac:dyDescent="0.55000000000000004">
      <c r="W11869"/>
    </row>
    <row r="11870" spans="23:23" x14ac:dyDescent="0.55000000000000004">
      <c r="W11870"/>
    </row>
    <row r="11871" spans="23:23" x14ac:dyDescent="0.55000000000000004">
      <c r="W11871"/>
    </row>
    <row r="11872" spans="23:23" x14ac:dyDescent="0.55000000000000004">
      <c r="W11872"/>
    </row>
    <row r="11873" spans="23:23" x14ac:dyDescent="0.55000000000000004">
      <c r="W11873"/>
    </row>
    <row r="11874" spans="23:23" x14ac:dyDescent="0.55000000000000004">
      <c r="W11874"/>
    </row>
    <row r="11875" spans="23:23" x14ac:dyDescent="0.55000000000000004">
      <c r="W11875"/>
    </row>
    <row r="11876" spans="23:23" x14ac:dyDescent="0.55000000000000004">
      <c r="W11876"/>
    </row>
    <row r="11877" spans="23:23" x14ac:dyDescent="0.55000000000000004">
      <c r="W11877"/>
    </row>
    <row r="11878" spans="23:23" x14ac:dyDescent="0.55000000000000004">
      <c r="W11878"/>
    </row>
    <row r="11879" spans="23:23" x14ac:dyDescent="0.55000000000000004">
      <c r="W11879"/>
    </row>
    <row r="11880" spans="23:23" x14ac:dyDescent="0.55000000000000004">
      <c r="W11880"/>
    </row>
    <row r="11881" spans="23:23" x14ac:dyDescent="0.55000000000000004">
      <c r="W11881"/>
    </row>
    <row r="11882" spans="23:23" x14ac:dyDescent="0.55000000000000004">
      <c r="W11882"/>
    </row>
    <row r="11883" spans="23:23" x14ac:dyDescent="0.55000000000000004">
      <c r="W11883"/>
    </row>
    <row r="11884" spans="23:23" x14ac:dyDescent="0.55000000000000004">
      <c r="W11884"/>
    </row>
    <row r="11885" spans="23:23" x14ac:dyDescent="0.55000000000000004">
      <c r="W11885"/>
    </row>
    <row r="11886" spans="23:23" x14ac:dyDescent="0.55000000000000004">
      <c r="W11886"/>
    </row>
    <row r="11887" spans="23:23" x14ac:dyDescent="0.55000000000000004">
      <c r="W11887"/>
    </row>
    <row r="11888" spans="23:23" x14ac:dyDescent="0.55000000000000004">
      <c r="W11888"/>
    </row>
    <row r="11889" spans="23:23" x14ac:dyDescent="0.55000000000000004">
      <c r="W11889"/>
    </row>
    <row r="11890" spans="23:23" x14ac:dyDescent="0.55000000000000004">
      <c r="W11890"/>
    </row>
    <row r="11891" spans="23:23" x14ac:dyDescent="0.55000000000000004">
      <c r="W11891"/>
    </row>
    <row r="11892" spans="23:23" x14ac:dyDescent="0.55000000000000004">
      <c r="W11892"/>
    </row>
    <row r="11893" spans="23:23" x14ac:dyDescent="0.55000000000000004">
      <c r="W11893"/>
    </row>
    <row r="11894" spans="23:23" x14ac:dyDescent="0.55000000000000004">
      <c r="W11894"/>
    </row>
    <row r="11895" spans="23:23" x14ac:dyDescent="0.55000000000000004">
      <c r="W11895"/>
    </row>
    <row r="11896" spans="23:23" x14ac:dyDescent="0.55000000000000004">
      <c r="W11896"/>
    </row>
    <row r="11897" spans="23:23" x14ac:dyDescent="0.55000000000000004">
      <c r="W11897"/>
    </row>
    <row r="11898" spans="23:23" x14ac:dyDescent="0.55000000000000004">
      <c r="W11898"/>
    </row>
    <row r="11899" spans="23:23" x14ac:dyDescent="0.55000000000000004">
      <c r="W11899"/>
    </row>
    <row r="11900" spans="23:23" x14ac:dyDescent="0.55000000000000004">
      <c r="W11900"/>
    </row>
    <row r="11901" spans="23:23" x14ac:dyDescent="0.55000000000000004">
      <c r="W11901"/>
    </row>
    <row r="11902" spans="23:23" x14ac:dyDescent="0.55000000000000004">
      <c r="W11902"/>
    </row>
    <row r="11903" spans="23:23" x14ac:dyDescent="0.55000000000000004">
      <c r="W11903"/>
    </row>
    <row r="11904" spans="23:23" x14ac:dyDescent="0.55000000000000004">
      <c r="W11904"/>
    </row>
    <row r="11905" spans="23:23" x14ac:dyDescent="0.55000000000000004">
      <c r="W11905"/>
    </row>
    <row r="11906" spans="23:23" x14ac:dyDescent="0.55000000000000004">
      <c r="W11906"/>
    </row>
    <row r="11907" spans="23:23" x14ac:dyDescent="0.55000000000000004">
      <c r="W11907"/>
    </row>
    <row r="11908" spans="23:23" x14ac:dyDescent="0.55000000000000004">
      <c r="W11908"/>
    </row>
    <row r="11909" spans="23:23" x14ac:dyDescent="0.55000000000000004">
      <c r="W11909"/>
    </row>
    <row r="11910" spans="23:23" x14ac:dyDescent="0.55000000000000004">
      <c r="W11910"/>
    </row>
    <row r="11911" spans="23:23" x14ac:dyDescent="0.55000000000000004">
      <c r="W11911"/>
    </row>
    <row r="11912" spans="23:23" x14ac:dyDescent="0.55000000000000004">
      <c r="W11912"/>
    </row>
    <row r="11913" spans="23:23" x14ac:dyDescent="0.55000000000000004">
      <c r="W11913"/>
    </row>
    <row r="11914" spans="23:23" x14ac:dyDescent="0.55000000000000004">
      <c r="W11914"/>
    </row>
    <row r="11915" spans="23:23" x14ac:dyDescent="0.55000000000000004">
      <c r="W11915"/>
    </row>
    <row r="11916" spans="23:23" x14ac:dyDescent="0.55000000000000004">
      <c r="W11916"/>
    </row>
    <row r="11917" spans="23:23" x14ac:dyDescent="0.55000000000000004">
      <c r="W11917"/>
    </row>
    <row r="11918" spans="23:23" x14ac:dyDescent="0.55000000000000004">
      <c r="W11918"/>
    </row>
    <row r="11919" spans="23:23" x14ac:dyDescent="0.55000000000000004">
      <c r="W11919"/>
    </row>
    <row r="11920" spans="23:23" x14ac:dyDescent="0.55000000000000004">
      <c r="W11920"/>
    </row>
    <row r="11921" spans="23:23" x14ac:dyDescent="0.55000000000000004">
      <c r="W11921"/>
    </row>
    <row r="11922" spans="23:23" x14ac:dyDescent="0.55000000000000004">
      <c r="W11922"/>
    </row>
    <row r="11923" spans="23:23" x14ac:dyDescent="0.55000000000000004">
      <c r="W11923"/>
    </row>
    <row r="11924" spans="23:23" x14ac:dyDescent="0.55000000000000004">
      <c r="W11924"/>
    </row>
    <row r="11925" spans="23:23" x14ac:dyDescent="0.55000000000000004">
      <c r="W11925"/>
    </row>
    <row r="11926" spans="23:23" x14ac:dyDescent="0.55000000000000004">
      <c r="W11926"/>
    </row>
    <row r="11927" spans="23:23" x14ac:dyDescent="0.55000000000000004">
      <c r="W11927"/>
    </row>
    <row r="11928" spans="23:23" x14ac:dyDescent="0.55000000000000004">
      <c r="W11928"/>
    </row>
    <row r="11929" spans="23:23" x14ac:dyDescent="0.55000000000000004">
      <c r="W11929"/>
    </row>
    <row r="11930" spans="23:23" x14ac:dyDescent="0.55000000000000004">
      <c r="W11930"/>
    </row>
    <row r="11931" spans="23:23" x14ac:dyDescent="0.55000000000000004">
      <c r="W11931"/>
    </row>
    <row r="11932" spans="23:23" x14ac:dyDescent="0.55000000000000004">
      <c r="W11932"/>
    </row>
    <row r="11933" spans="23:23" x14ac:dyDescent="0.55000000000000004">
      <c r="W11933"/>
    </row>
    <row r="11934" spans="23:23" x14ac:dyDescent="0.55000000000000004">
      <c r="W11934"/>
    </row>
    <row r="11935" spans="23:23" x14ac:dyDescent="0.55000000000000004">
      <c r="W11935"/>
    </row>
    <row r="11936" spans="23:23" x14ac:dyDescent="0.55000000000000004">
      <c r="W11936"/>
    </row>
    <row r="11937" spans="23:23" x14ac:dyDescent="0.55000000000000004">
      <c r="W11937"/>
    </row>
    <row r="11938" spans="23:23" x14ac:dyDescent="0.55000000000000004">
      <c r="W11938"/>
    </row>
    <row r="11939" spans="23:23" x14ac:dyDescent="0.55000000000000004">
      <c r="W11939"/>
    </row>
    <row r="11940" spans="23:23" x14ac:dyDescent="0.55000000000000004">
      <c r="W11940"/>
    </row>
    <row r="11941" spans="23:23" x14ac:dyDescent="0.55000000000000004">
      <c r="W11941"/>
    </row>
    <row r="11942" spans="23:23" x14ac:dyDescent="0.55000000000000004">
      <c r="W11942"/>
    </row>
    <row r="11943" spans="23:23" x14ac:dyDescent="0.55000000000000004">
      <c r="W11943"/>
    </row>
    <row r="11944" spans="23:23" x14ac:dyDescent="0.55000000000000004">
      <c r="W11944"/>
    </row>
    <row r="11945" spans="23:23" x14ac:dyDescent="0.55000000000000004">
      <c r="W11945"/>
    </row>
    <row r="11946" spans="23:23" x14ac:dyDescent="0.55000000000000004">
      <c r="W11946"/>
    </row>
    <row r="11947" spans="23:23" x14ac:dyDescent="0.55000000000000004">
      <c r="W11947"/>
    </row>
    <row r="11948" spans="23:23" x14ac:dyDescent="0.55000000000000004">
      <c r="W11948"/>
    </row>
    <row r="11949" spans="23:23" x14ac:dyDescent="0.55000000000000004">
      <c r="W11949"/>
    </row>
    <row r="11950" spans="23:23" x14ac:dyDescent="0.55000000000000004">
      <c r="W11950"/>
    </row>
    <row r="11951" spans="23:23" x14ac:dyDescent="0.55000000000000004">
      <c r="W11951"/>
    </row>
    <row r="11952" spans="23:23" x14ac:dyDescent="0.55000000000000004">
      <c r="W11952"/>
    </row>
    <row r="11953" spans="23:23" x14ac:dyDescent="0.55000000000000004">
      <c r="W11953"/>
    </row>
    <row r="11954" spans="23:23" x14ac:dyDescent="0.55000000000000004">
      <c r="W11954"/>
    </row>
    <row r="11955" spans="23:23" x14ac:dyDescent="0.55000000000000004">
      <c r="W11955"/>
    </row>
    <row r="11956" spans="23:23" x14ac:dyDescent="0.55000000000000004">
      <c r="W11956"/>
    </row>
    <row r="11957" spans="23:23" x14ac:dyDescent="0.55000000000000004">
      <c r="W11957"/>
    </row>
    <row r="11958" spans="23:23" x14ac:dyDescent="0.55000000000000004">
      <c r="W11958"/>
    </row>
    <row r="11959" spans="23:23" x14ac:dyDescent="0.55000000000000004">
      <c r="W11959"/>
    </row>
    <row r="11960" spans="23:23" x14ac:dyDescent="0.55000000000000004">
      <c r="W11960"/>
    </row>
    <row r="11961" spans="23:23" x14ac:dyDescent="0.55000000000000004">
      <c r="W11961"/>
    </row>
    <row r="11962" spans="23:23" x14ac:dyDescent="0.55000000000000004">
      <c r="W11962"/>
    </row>
    <row r="11963" spans="23:23" x14ac:dyDescent="0.55000000000000004">
      <c r="W11963"/>
    </row>
    <row r="11964" spans="23:23" x14ac:dyDescent="0.55000000000000004">
      <c r="W11964"/>
    </row>
    <row r="11965" spans="23:23" x14ac:dyDescent="0.55000000000000004">
      <c r="W11965"/>
    </row>
    <row r="11966" spans="23:23" x14ac:dyDescent="0.55000000000000004">
      <c r="W11966"/>
    </row>
    <row r="11967" spans="23:23" x14ac:dyDescent="0.55000000000000004">
      <c r="W11967"/>
    </row>
    <row r="11968" spans="23:23" x14ac:dyDescent="0.55000000000000004">
      <c r="W11968"/>
    </row>
    <row r="11969" spans="23:23" x14ac:dyDescent="0.55000000000000004">
      <c r="W11969"/>
    </row>
    <row r="11970" spans="23:23" x14ac:dyDescent="0.55000000000000004">
      <c r="W11970"/>
    </row>
    <row r="11971" spans="23:23" x14ac:dyDescent="0.55000000000000004">
      <c r="W11971"/>
    </row>
    <row r="11972" spans="23:23" x14ac:dyDescent="0.55000000000000004">
      <c r="W11972"/>
    </row>
    <row r="11973" spans="23:23" x14ac:dyDescent="0.55000000000000004">
      <c r="W11973"/>
    </row>
    <row r="11974" spans="23:23" x14ac:dyDescent="0.55000000000000004">
      <c r="W11974"/>
    </row>
    <row r="11975" spans="23:23" x14ac:dyDescent="0.55000000000000004">
      <c r="W11975"/>
    </row>
    <row r="11976" spans="23:23" x14ac:dyDescent="0.55000000000000004">
      <c r="W11976"/>
    </row>
    <row r="11977" spans="23:23" x14ac:dyDescent="0.55000000000000004">
      <c r="W11977"/>
    </row>
    <row r="11978" spans="23:23" x14ac:dyDescent="0.55000000000000004">
      <c r="W11978"/>
    </row>
    <row r="11979" spans="23:23" x14ac:dyDescent="0.55000000000000004">
      <c r="W11979"/>
    </row>
    <row r="11980" spans="23:23" x14ac:dyDescent="0.55000000000000004">
      <c r="W11980"/>
    </row>
    <row r="11981" spans="23:23" x14ac:dyDescent="0.55000000000000004">
      <c r="W11981"/>
    </row>
    <row r="11982" spans="23:23" x14ac:dyDescent="0.55000000000000004">
      <c r="W11982"/>
    </row>
    <row r="11983" spans="23:23" x14ac:dyDescent="0.55000000000000004">
      <c r="W11983"/>
    </row>
    <row r="11984" spans="23:23" x14ac:dyDescent="0.55000000000000004">
      <c r="W11984"/>
    </row>
    <row r="11985" spans="23:23" x14ac:dyDescent="0.55000000000000004">
      <c r="W11985"/>
    </row>
    <row r="11986" spans="23:23" x14ac:dyDescent="0.55000000000000004">
      <c r="W11986"/>
    </row>
    <row r="11987" spans="23:23" x14ac:dyDescent="0.55000000000000004">
      <c r="W11987"/>
    </row>
    <row r="11988" spans="23:23" x14ac:dyDescent="0.55000000000000004">
      <c r="W11988"/>
    </row>
    <row r="11989" spans="23:23" x14ac:dyDescent="0.55000000000000004">
      <c r="W11989"/>
    </row>
    <row r="11990" spans="23:23" x14ac:dyDescent="0.55000000000000004">
      <c r="W11990"/>
    </row>
    <row r="11991" spans="23:23" x14ac:dyDescent="0.55000000000000004">
      <c r="W11991"/>
    </row>
    <row r="11992" spans="23:23" x14ac:dyDescent="0.55000000000000004">
      <c r="W11992"/>
    </row>
    <row r="11993" spans="23:23" x14ac:dyDescent="0.55000000000000004">
      <c r="W11993"/>
    </row>
    <row r="11994" spans="23:23" x14ac:dyDescent="0.55000000000000004">
      <c r="W11994"/>
    </row>
    <row r="11995" spans="23:23" x14ac:dyDescent="0.55000000000000004">
      <c r="W11995"/>
    </row>
    <row r="11996" spans="23:23" x14ac:dyDescent="0.55000000000000004">
      <c r="W11996"/>
    </row>
    <row r="11997" spans="23:23" x14ac:dyDescent="0.55000000000000004">
      <c r="W11997"/>
    </row>
    <row r="11998" spans="23:23" x14ac:dyDescent="0.55000000000000004">
      <c r="W11998"/>
    </row>
    <row r="11999" spans="23:23" x14ac:dyDescent="0.55000000000000004">
      <c r="W11999"/>
    </row>
    <row r="12000" spans="23:23" x14ac:dyDescent="0.55000000000000004">
      <c r="W12000"/>
    </row>
    <row r="12001" spans="23:23" x14ac:dyDescent="0.55000000000000004">
      <c r="W12001"/>
    </row>
    <row r="12002" spans="23:23" x14ac:dyDescent="0.55000000000000004">
      <c r="W12002"/>
    </row>
    <row r="12003" spans="23:23" x14ac:dyDescent="0.55000000000000004">
      <c r="W12003"/>
    </row>
    <row r="12004" spans="23:23" x14ac:dyDescent="0.55000000000000004">
      <c r="W12004"/>
    </row>
    <row r="12005" spans="23:23" x14ac:dyDescent="0.55000000000000004">
      <c r="W12005"/>
    </row>
    <row r="12006" spans="23:23" x14ac:dyDescent="0.55000000000000004">
      <c r="W12006"/>
    </row>
    <row r="12007" spans="23:23" x14ac:dyDescent="0.55000000000000004">
      <c r="W12007"/>
    </row>
    <row r="12008" spans="23:23" x14ac:dyDescent="0.55000000000000004">
      <c r="W12008"/>
    </row>
    <row r="12009" spans="23:23" x14ac:dyDescent="0.55000000000000004">
      <c r="W12009"/>
    </row>
    <row r="12010" spans="23:23" x14ac:dyDescent="0.55000000000000004">
      <c r="W12010"/>
    </row>
    <row r="12011" spans="23:23" x14ac:dyDescent="0.55000000000000004">
      <c r="W12011"/>
    </row>
    <row r="12012" spans="23:23" x14ac:dyDescent="0.55000000000000004">
      <c r="W12012"/>
    </row>
    <row r="12013" spans="23:23" x14ac:dyDescent="0.55000000000000004">
      <c r="W12013"/>
    </row>
    <row r="12014" spans="23:23" x14ac:dyDescent="0.55000000000000004">
      <c r="W12014"/>
    </row>
    <row r="12015" spans="23:23" x14ac:dyDescent="0.55000000000000004">
      <c r="W12015"/>
    </row>
    <row r="12016" spans="23:23" x14ac:dyDescent="0.55000000000000004">
      <c r="W12016"/>
    </row>
    <row r="12017" spans="23:23" x14ac:dyDescent="0.55000000000000004">
      <c r="W12017"/>
    </row>
    <row r="12018" spans="23:23" x14ac:dyDescent="0.55000000000000004">
      <c r="W12018"/>
    </row>
    <row r="12019" spans="23:23" x14ac:dyDescent="0.55000000000000004">
      <c r="W12019"/>
    </row>
    <row r="12020" spans="23:23" x14ac:dyDescent="0.55000000000000004">
      <c r="W12020"/>
    </row>
    <row r="12021" spans="23:23" x14ac:dyDescent="0.55000000000000004">
      <c r="W12021"/>
    </row>
    <row r="12022" spans="23:23" x14ac:dyDescent="0.55000000000000004">
      <c r="W12022"/>
    </row>
    <row r="12023" spans="23:23" x14ac:dyDescent="0.55000000000000004">
      <c r="W12023"/>
    </row>
    <row r="12024" spans="23:23" x14ac:dyDescent="0.55000000000000004">
      <c r="W12024"/>
    </row>
    <row r="12025" spans="23:23" x14ac:dyDescent="0.55000000000000004">
      <c r="W12025"/>
    </row>
    <row r="12026" spans="23:23" x14ac:dyDescent="0.55000000000000004">
      <c r="W12026"/>
    </row>
    <row r="12027" spans="23:23" x14ac:dyDescent="0.55000000000000004">
      <c r="W12027"/>
    </row>
    <row r="12028" spans="23:23" x14ac:dyDescent="0.55000000000000004">
      <c r="W12028"/>
    </row>
    <row r="12029" spans="23:23" x14ac:dyDescent="0.55000000000000004">
      <c r="W12029"/>
    </row>
    <row r="12030" spans="23:23" x14ac:dyDescent="0.55000000000000004">
      <c r="W12030"/>
    </row>
    <row r="12031" spans="23:23" x14ac:dyDescent="0.55000000000000004">
      <c r="W12031"/>
    </row>
    <row r="12032" spans="23:23" x14ac:dyDescent="0.55000000000000004">
      <c r="W12032"/>
    </row>
    <row r="12033" spans="23:23" x14ac:dyDescent="0.55000000000000004">
      <c r="W12033"/>
    </row>
    <row r="12034" spans="23:23" x14ac:dyDescent="0.55000000000000004">
      <c r="W12034"/>
    </row>
    <row r="12035" spans="23:23" x14ac:dyDescent="0.55000000000000004">
      <c r="W12035"/>
    </row>
    <row r="12036" spans="23:23" x14ac:dyDescent="0.55000000000000004">
      <c r="W12036"/>
    </row>
    <row r="12037" spans="23:23" x14ac:dyDescent="0.55000000000000004">
      <c r="W12037"/>
    </row>
    <row r="12038" spans="23:23" x14ac:dyDescent="0.55000000000000004">
      <c r="W12038"/>
    </row>
    <row r="12039" spans="23:23" x14ac:dyDescent="0.55000000000000004">
      <c r="W12039"/>
    </row>
    <row r="12040" spans="23:23" x14ac:dyDescent="0.55000000000000004">
      <c r="W12040"/>
    </row>
    <row r="12041" spans="23:23" x14ac:dyDescent="0.55000000000000004">
      <c r="W12041"/>
    </row>
    <row r="12042" spans="23:23" x14ac:dyDescent="0.55000000000000004">
      <c r="W12042"/>
    </row>
    <row r="12043" spans="23:23" x14ac:dyDescent="0.55000000000000004">
      <c r="W12043"/>
    </row>
    <row r="12044" spans="23:23" x14ac:dyDescent="0.55000000000000004">
      <c r="W12044"/>
    </row>
    <row r="12045" spans="23:23" x14ac:dyDescent="0.55000000000000004">
      <c r="W12045"/>
    </row>
    <row r="12046" spans="23:23" x14ac:dyDescent="0.55000000000000004">
      <c r="W12046"/>
    </row>
    <row r="12047" spans="23:23" x14ac:dyDescent="0.55000000000000004">
      <c r="W12047"/>
    </row>
    <row r="12048" spans="23:23" x14ac:dyDescent="0.55000000000000004">
      <c r="W12048"/>
    </row>
    <row r="12049" spans="23:23" x14ac:dyDescent="0.55000000000000004">
      <c r="W12049"/>
    </row>
    <row r="12050" spans="23:23" x14ac:dyDescent="0.55000000000000004">
      <c r="W12050"/>
    </row>
    <row r="12051" spans="23:23" x14ac:dyDescent="0.55000000000000004">
      <c r="W12051"/>
    </row>
    <row r="12052" spans="23:23" x14ac:dyDescent="0.55000000000000004">
      <c r="W12052"/>
    </row>
    <row r="12053" spans="23:23" x14ac:dyDescent="0.55000000000000004">
      <c r="W12053"/>
    </row>
    <row r="12054" spans="23:23" x14ac:dyDescent="0.55000000000000004">
      <c r="W12054"/>
    </row>
    <row r="12055" spans="23:23" x14ac:dyDescent="0.55000000000000004">
      <c r="W12055"/>
    </row>
    <row r="12056" spans="23:23" x14ac:dyDescent="0.55000000000000004">
      <c r="W12056"/>
    </row>
    <row r="12057" spans="23:23" x14ac:dyDescent="0.55000000000000004">
      <c r="W12057"/>
    </row>
    <row r="12058" spans="23:23" x14ac:dyDescent="0.55000000000000004">
      <c r="W12058"/>
    </row>
    <row r="12059" spans="23:23" x14ac:dyDescent="0.55000000000000004">
      <c r="W12059"/>
    </row>
    <row r="12060" spans="23:23" x14ac:dyDescent="0.55000000000000004">
      <c r="W12060"/>
    </row>
    <row r="12061" spans="23:23" x14ac:dyDescent="0.55000000000000004">
      <c r="W12061"/>
    </row>
    <row r="12062" spans="23:23" x14ac:dyDescent="0.55000000000000004">
      <c r="W12062"/>
    </row>
    <row r="12063" spans="23:23" x14ac:dyDescent="0.55000000000000004">
      <c r="W12063"/>
    </row>
    <row r="12064" spans="23:23" x14ac:dyDescent="0.55000000000000004">
      <c r="W12064"/>
    </row>
    <row r="12065" spans="23:23" x14ac:dyDescent="0.55000000000000004">
      <c r="W12065"/>
    </row>
    <row r="12066" spans="23:23" x14ac:dyDescent="0.55000000000000004">
      <c r="W12066"/>
    </row>
    <row r="12067" spans="23:23" x14ac:dyDescent="0.55000000000000004">
      <c r="W12067"/>
    </row>
    <row r="12068" spans="23:23" x14ac:dyDescent="0.55000000000000004">
      <c r="W12068"/>
    </row>
    <row r="12069" spans="23:23" x14ac:dyDescent="0.55000000000000004">
      <c r="W12069"/>
    </row>
    <row r="12070" spans="23:23" x14ac:dyDescent="0.55000000000000004">
      <c r="W12070"/>
    </row>
    <row r="12071" spans="23:23" x14ac:dyDescent="0.55000000000000004">
      <c r="W12071"/>
    </row>
    <row r="12072" spans="23:23" x14ac:dyDescent="0.55000000000000004">
      <c r="W12072"/>
    </row>
    <row r="12073" spans="23:23" x14ac:dyDescent="0.55000000000000004">
      <c r="W12073"/>
    </row>
    <row r="12074" spans="23:23" x14ac:dyDescent="0.55000000000000004">
      <c r="W12074"/>
    </row>
    <row r="12075" spans="23:23" x14ac:dyDescent="0.55000000000000004">
      <c r="W12075"/>
    </row>
    <row r="12076" spans="23:23" x14ac:dyDescent="0.55000000000000004">
      <c r="W12076"/>
    </row>
    <row r="12077" spans="23:23" x14ac:dyDescent="0.55000000000000004">
      <c r="W12077"/>
    </row>
    <row r="12078" spans="23:23" x14ac:dyDescent="0.55000000000000004">
      <c r="W12078"/>
    </row>
    <row r="12079" spans="23:23" x14ac:dyDescent="0.55000000000000004">
      <c r="W12079"/>
    </row>
    <row r="12080" spans="23:23" x14ac:dyDescent="0.55000000000000004">
      <c r="W12080"/>
    </row>
    <row r="12081" spans="23:23" x14ac:dyDescent="0.55000000000000004">
      <c r="W12081"/>
    </row>
    <row r="12082" spans="23:23" x14ac:dyDescent="0.55000000000000004">
      <c r="W12082"/>
    </row>
    <row r="12083" spans="23:23" x14ac:dyDescent="0.55000000000000004">
      <c r="W12083"/>
    </row>
    <row r="12084" spans="23:23" x14ac:dyDescent="0.55000000000000004">
      <c r="W12084"/>
    </row>
    <row r="12085" spans="23:23" x14ac:dyDescent="0.55000000000000004">
      <c r="W12085"/>
    </row>
    <row r="12086" spans="23:23" x14ac:dyDescent="0.55000000000000004">
      <c r="W12086"/>
    </row>
    <row r="12087" spans="23:23" x14ac:dyDescent="0.55000000000000004">
      <c r="W12087"/>
    </row>
    <row r="12088" spans="23:23" x14ac:dyDescent="0.55000000000000004">
      <c r="W12088"/>
    </row>
    <row r="12089" spans="23:23" x14ac:dyDescent="0.55000000000000004">
      <c r="W12089"/>
    </row>
    <row r="12090" spans="23:23" x14ac:dyDescent="0.55000000000000004">
      <c r="W12090"/>
    </row>
    <row r="12091" spans="23:23" x14ac:dyDescent="0.55000000000000004">
      <c r="W12091"/>
    </row>
    <row r="12092" spans="23:23" x14ac:dyDescent="0.55000000000000004">
      <c r="W12092"/>
    </row>
    <row r="12093" spans="23:23" x14ac:dyDescent="0.55000000000000004">
      <c r="W12093"/>
    </row>
    <row r="12094" spans="23:23" x14ac:dyDescent="0.55000000000000004">
      <c r="W12094"/>
    </row>
    <row r="12095" spans="23:23" x14ac:dyDescent="0.55000000000000004">
      <c r="W12095"/>
    </row>
    <row r="12096" spans="23:23" x14ac:dyDescent="0.55000000000000004">
      <c r="W12096"/>
    </row>
    <row r="12097" spans="23:23" x14ac:dyDescent="0.55000000000000004">
      <c r="W12097"/>
    </row>
    <row r="12098" spans="23:23" x14ac:dyDescent="0.55000000000000004">
      <c r="W12098"/>
    </row>
    <row r="12099" spans="23:23" x14ac:dyDescent="0.55000000000000004">
      <c r="W12099"/>
    </row>
    <row r="12100" spans="23:23" x14ac:dyDescent="0.55000000000000004">
      <c r="W12100"/>
    </row>
    <row r="12101" spans="23:23" x14ac:dyDescent="0.55000000000000004">
      <c r="W12101"/>
    </row>
    <row r="12102" spans="23:23" x14ac:dyDescent="0.55000000000000004">
      <c r="W12102"/>
    </row>
    <row r="12103" spans="23:23" x14ac:dyDescent="0.55000000000000004">
      <c r="W12103"/>
    </row>
    <row r="12104" spans="23:23" x14ac:dyDescent="0.55000000000000004">
      <c r="W12104"/>
    </row>
    <row r="12105" spans="23:23" x14ac:dyDescent="0.55000000000000004">
      <c r="W12105"/>
    </row>
    <row r="12106" spans="23:23" x14ac:dyDescent="0.55000000000000004">
      <c r="W12106"/>
    </row>
    <row r="12107" spans="23:23" x14ac:dyDescent="0.55000000000000004">
      <c r="W12107"/>
    </row>
    <row r="12108" spans="23:23" x14ac:dyDescent="0.55000000000000004">
      <c r="W12108"/>
    </row>
    <row r="12109" spans="23:23" x14ac:dyDescent="0.55000000000000004">
      <c r="W12109"/>
    </row>
    <row r="12110" spans="23:23" x14ac:dyDescent="0.55000000000000004">
      <c r="W12110"/>
    </row>
    <row r="12111" spans="23:23" x14ac:dyDescent="0.55000000000000004">
      <c r="W12111"/>
    </row>
    <row r="12112" spans="23:23" x14ac:dyDescent="0.55000000000000004">
      <c r="W12112"/>
    </row>
    <row r="12113" spans="23:23" x14ac:dyDescent="0.55000000000000004">
      <c r="W12113"/>
    </row>
    <row r="12114" spans="23:23" x14ac:dyDescent="0.55000000000000004">
      <c r="W12114"/>
    </row>
    <row r="12115" spans="23:23" x14ac:dyDescent="0.55000000000000004">
      <c r="W12115"/>
    </row>
    <row r="12116" spans="23:23" x14ac:dyDescent="0.55000000000000004">
      <c r="W12116"/>
    </row>
    <row r="12117" spans="23:23" x14ac:dyDescent="0.55000000000000004">
      <c r="W12117"/>
    </row>
    <row r="12118" spans="23:23" x14ac:dyDescent="0.55000000000000004">
      <c r="W12118"/>
    </row>
    <row r="12119" spans="23:23" x14ac:dyDescent="0.55000000000000004">
      <c r="W12119"/>
    </row>
    <row r="12120" spans="23:23" x14ac:dyDescent="0.55000000000000004">
      <c r="W12120"/>
    </row>
    <row r="12121" spans="23:23" x14ac:dyDescent="0.55000000000000004">
      <c r="W12121"/>
    </row>
    <row r="12122" spans="23:23" x14ac:dyDescent="0.55000000000000004">
      <c r="W12122"/>
    </row>
    <row r="12123" spans="23:23" x14ac:dyDescent="0.55000000000000004">
      <c r="W12123"/>
    </row>
    <row r="12124" spans="23:23" x14ac:dyDescent="0.55000000000000004">
      <c r="W12124"/>
    </row>
    <row r="12125" spans="23:23" x14ac:dyDescent="0.55000000000000004">
      <c r="W12125"/>
    </row>
    <row r="12126" spans="23:23" x14ac:dyDescent="0.55000000000000004">
      <c r="W12126"/>
    </row>
    <row r="12127" spans="23:23" x14ac:dyDescent="0.55000000000000004">
      <c r="W12127"/>
    </row>
    <row r="12128" spans="23:23" x14ac:dyDescent="0.55000000000000004">
      <c r="W12128"/>
    </row>
    <row r="12129" spans="23:23" x14ac:dyDescent="0.55000000000000004">
      <c r="W12129"/>
    </row>
    <row r="12130" spans="23:23" x14ac:dyDescent="0.55000000000000004">
      <c r="W12130"/>
    </row>
    <row r="12131" spans="23:23" x14ac:dyDescent="0.55000000000000004">
      <c r="W12131"/>
    </row>
    <row r="12132" spans="23:23" x14ac:dyDescent="0.55000000000000004">
      <c r="W12132"/>
    </row>
    <row r="12133" spans="23:23" x14ac:dyDescent="0.55000000000000004">
      <c r="W12133"/>
    </row>
    <row r="12134" spans="23:23" x14ac:dyDescent="0.55000000000000004">
      <c r="W12134"/>
    </row>
    <row r="12135" spans="23:23" x14ac:dyDescent="0.55000000000000004">
      <c r="W12135"/>
    </row>
    <row r="12136" spans="23:23" x14ac:dyDescent="0.55000000000000004">
      <c r="W12136"/>
    </row>
    <row r="12137" spans="23:23" x14ac:dyDescent="0.55000000000000004">
      <c r="W12137"/>
    </row>
    <row r="12138" spans="23:23" x14ac:dyDescent="0.55000000000000004">
      <c r="W12138"/>
    </row>
    <row r="12139" spans="23:23" x14ac:dyDescent="0.55000000000000004">
      <c r="W12139"/>
    </row>
    <row r="12140" spans="23:23" x14ac:dyDescent="0.55000000000000004">
      <c r="W12140"/>
    </row>
    <row r="12141" spans="23:23" x14ac:dyDescent="0.55000000000000004">
      <c r="W12141"/>
    </row>
    <row r="12142" spans="23:23" x14ac:dyDescent="0.55000000000000004">
      <c r="W12142"/>
    </row>
    <row r="12143" spans="23:23" x14ac:dyDescent="0.55000000000000004">
      <c r="W12143"/>
    </row>
    <row r="12144" spans="23:23" x14ac:dyDescent="0.55000000000000004">
      <c r="W12144"/>
    </row>
    <row r="12145" spans="23:23" x14ac:dyDescent="0.55000000000000004">
      <c r="W12145"/>
    </row>
    <row r="12146" spans="23:23" x14ac:dyDescent="0.55000000000000004">
      <c r="W12146"/>
    </row>
    <row r="12147" spans="23:23" x14ac:dyDescent="0.55000000000000004">
      <c r="W12147"/>
    </row>
    <row r="12148" spans="23:23" x14ac:dyDescent="0.55000000000000004">
      <c r="W12148"/>
    </row>
    <row r="12149" spans="23:23" x14ac:dyDescent="0.55000000000000004">
      <c r="W12149"/>
    </row>
    <row r="12150" spans="23:23" x14ac:dyDescent="0.55000000000000004">
      <c r="W12150"/>
    </row>
    <row r="12151" spans="23:23" x14ac:dyDescent="0.55000000000000004">
      <c r="W12151"/>
    </row>
    <row r="12152" spans="23:23" x14ac:dyDescent="0.55000000000000004">
      <c r="W12152"/>
    </row>
    <row r="12153" spans="23:23" x14ac:dyDescent="0.55000000000000004">
      <c r="W12153"/>
    </row>
    <row r="12154" spans="23:23" x14ac:dyDescent="0.55000000000000004">
      <c r="W12154"/>
    </row>
    <row r="12155" spans="23:23" x14ac:dyDescent="0.55000000000000004">
      <c r="W12155"/>
    </row>
    <row r="12156" spans="23:23" x14ac:dyDescent="0.55000000000000004">
      <c r="W12156"/>
    </row>
    <row r="12157" spans="23:23" x14ac:dyDescent="0.55000000000000004">
      <c r="W12157"/>
    </row>
    <row r="12158" spans="23:23" x14ac:dyDescent="0.55000000000000004">
      <c r="W12158"/>
    </row>
    <row r="12159" spans="23:23" x14ac:dyDescent="0.55000000000000004">
      <c r="W12159"/>
    </row>
    <row r="12160" spans="23:23" x14ac:dyDescent="0.55000000000000004">
      <c r="W12160"/>
    </row>
    <row r="12161" spans="23:23" x14ac:dyDescent="0.55000000000000004">
      <c r="W12161"/>
    </row>
    <row r="12162" spans="23:23" x14ac:dyDescent="0.55000000000000004">
      <c r="W12162"/>
    </row>
    <row r="12163" spans="23:23" x14ac:dyDescent="0.55000000000000004">
      <c r="W12163"/>
    </row>
    <row r="12164" spans="23:23" x14ac:dyDescent="0.55000000000000004">
      <c r="W12164"/>
    </row>
    <row r="12165" spans="23:23" x14ac:dyDescent="0.55000000000000004">
      <c r="W12165"/>
    </row>
    <row r="12166" spans="23:23" x14ac:dyDescent="0.55000000000000004">
      <c r="W12166"/>
    </row>
    <row r="12167" spans="23:23" x14ac:dyDescent="0.55000000000000004">
      <c r="W12167"/>
    </row>
    <row r="12168" spans="23:23" x14ac:dyDescent="0.55000000000000004">
      <c r="W12168"/>
    </row>
    <row r="12169" spans="23:23" x14ac:dyDescent="0.55000000000000004">
      <c r="W12169"/>
    </row>
    <row r="12170" spans="23:23" x14ac:dyDescent="0.55000000000000004">
      <c r="W12170"/>
    </row>
    <row r="12171" spans="23:23" x14ac:dyDescent="0.55000000000000004">
      <c r="W12171"/>
    </row>
    <row r="12172" spans="23:23" x14ac:dyDescent="0.55000000000000004">
      <c r="W12172"/>
    </row>
    <row r="12173" spans="23:23" x14ac:dyDescent="0.55000000000000004">
      <c r="W12173"/>
    </row>
    <row r="12174" spans="23:23" x14ac:dyDescent="0.55000000000000004">
      <c r="W12174"/>
    </row>
    <row r="12175" spans="23:23" x14ac:dyDescent="0.55000000000000004">
      <c r="W12175"/>
    </row>
    <row r="12176" spans="23:23" x14ac:dyDescent="0.55000000000000004">
      <c r="W12176"/>
    </row>
    <row r="12177" spans="23:23" x14ac:dyDescent="0.55000000000000004">
      <c r="W12177"/>
    </row>
    <row r="12178" spans="23:23" x14ac:dyDescent="0.55000000000000004">
      <c r="W12178"/>
    </row>
    <row r="12179" spans="23:23" x14ac:dyDescent="0.55000000000000004">
      <c r="W12179"/>
    </row>
    <row r="12180" spans="23:23" x14ac:dyDescent="0.55000000000000004">
      <c r="W12180"/>
    </row>
    <row r="12181" spans="23:23" x14ac:dyDescent="0.55000000000000004">
      <c r="W12181"/>
    </row>
    <row r="12182" spans="23:23" x14ac:dyDescent="0.55000000000000004">
      <c r="W12182"/>
    </row>
    <row r="12183" spans="23:23" x14ac:dyDescent="0.55000000000000004">
      <c r="W12183"/>
    </row>
    <row r="12184" spans="23:23" x14ac:dyDescent="0.55000000000000004">
      <c r="W12184"/>
    </row>
    <row r="12185" spans="23:23" x14ac:dyDescent="0.55000000000000004">
      <c r="W12185"/>
    </row>
    <row r="12186" spans="23:23" x14ac:dyDescent="0.55000000000000004">
      <c r="W12186"/>
    </row>
    <row r="12187" spans="23:23" x14ac:dyDescent="0.55000000000000004">
      <c r="W12187"/>
    </row>
    <row r="12188" spans="23:23" x14ac:dyDescent="0.55000000000000004">
      <c r="W12188"/>
    </row>
    <row r="12189" spans="23:23" x14ac:dyDescent="0.55000000000000004">
      <c r="W12189"/>
    </row>
    <row r="12190" spans="23:23" x14ac:dyDescent="0.55000000000000004">
      <c r="W12190"/>
    </row>
    <row r="12191" spans="23:23" x14ac:dyDescent="0.55000000000000004">
      <c r="W12191"/>
    </row>
    <row r="12192" spans="23:23" x14ac:dyDescent="0.55000000000000004">
      <c r="W12192"/>
    </row>
    <row r="12193" spans="23:23" x14ac:dyDescent="0.55000000000000004">
      <c r="W12193"/>
    </row>
    <row r="12194" spans="23:23" x14ac:dyDescent="0.55000000000000004">
      <c r="W12194"/>
    </row>
    <row r="12195" spans="23:23" x14ac:dyDescent="0.55000000000000004">
      <c r="W12195"/>
    </row>
    <row r="12196" spans="23:23" x14ac:dyDescent="0.55000000000000004">
      <c r="W12196"/>
    </row>
    <row r="12197" spans="23:23" x14ac:dyDescent="0.55000000000000004">
      <c r="W12197"/>
    </row>
    <row r="12198" spans="23:23" x14ac:dyDescent="0.55000000000000004">
      <c r="W12198"/>
    </row>
    <row r="12199" spans="23:23" x14ac:dyDescent="0.55000000000000004">
      <c r="W12199"/>
    </row>
    <row r="12200" spans="23:23" x14ac:dyDescent="0.55000000000000004">
      <c r="W12200"/>
    </row>
    <row r="12201" spans="23:23" x14ac:dyDescent="0.55000000000000004">
      <c r="W12201"/>
    </row>
    <row r="12202" spans="23:23" x14ac:dyDescent="0.55000000000000004">
      <c r="W12202"/>
    </row>
    <row r="12203" spans="23:23" x14ac:dyDescent="0.55000000000000004">
      <c r="W12203"/>
    </row>
    <row r="12204" spans="23:23" x14ac:dyDescent="0.55000000000000004">
      <c r="W12204"/>
    </row>
    <row r="12205" spans="23:23" x14ac:dyDescent="0.55000000000000004">
      <c r="W12205"/>
    </row>
    <row r="12206" spans="23:23" x14ac:dyDescent="0.55000000000000004">
      <c r="W12206"/>
    </row>
    <row r="12207" spans="23:23" x14ac:dyDescent="0.55000000000000004">
      <c r="W12207"/>
    </row>
    <row r="12208" spans="23:23" x14ac:dyDescent="0.55000000000000004">
      <c r="W12208"/>
    </row>
    <row r="12209" spans="23:23" x14ac:dyDescent="0.55000000000000004">
      <c r="W12209"/>
    </row>
    <row r="12210" spans="23:23" x14ac:dyDescent="0.55000000000000004">
      <c r="W12210"/>
    </row>
    <row r="12211" spans="23:23" x14ac:dyDescent="0.55000000000000004">
      <c r="W12211"/>
    </row>
    <row r="12212" spans="23:23" x14ac:dyDescent="0.55000000000000004">
      <c r="W12212"/>
    </row>
    <row r="12213" spans="23:23" x14ac:dyDescent="0.55000000000000004">
      <c r="W12213"/>
    </row>
    <row r="12214" spans="23:23" x14ac:dyDescent="0.55000000000000004">
      <c r="W12214"/>
    </row>
    <row r="12215" spans="23:23" x14ac:dyDescent="0.55000000000000004">
      <c r="W12215"/>
    </row>
    <row r="12216" spans="23:23" x14ac:dyDescent="0.55000000000000004">
      <c r="W12216"/>
    </row>
    <row r="12217" spans="23:23" x14ac:dyDescent="0.55000000000000004">
      <c r="W12217"/>
    </row>
    <row r="12218" spans="23:23" x14ac:dyDescent="0.55000000000000004">
      <c r="W12218"/>
    </row>
    <row r="12219" spans="23:23" x14ac:dyDescent="0.55000000000000004">
      <c r="W12219"/>
    </row>
    <row r="12220" spans="23:23" x14ac:dyDescent="0.55000000000000004">
      <c r="W12220"/>
    </row>
    <row r="12221" spans="23:23" x14ac:dyDescent="0.55000000000000004">
      <c r="W12221"/>
    </row>
    <row r="12222" spans="23:23" x14ac:dyDescent="0.55000000000000004">
      <c r="W12222"/>
    </row>
    <row r="12223" spans="23:23" x14ac:dyDescent="0.55000000000000004">
      <c r="W12223"/>
    </row>
    <row r="12224" spans="23:23" x14ac:dyDescent="0.55000000000000004">
      <c r="W12224"/>
    </row>
    <row r="12225" spans="23:23" x14ac:dyDescent="0.55000000000000004">
      <c r="W12225"/>
    </row>
    <row r="12226" spans="23:23" x14ac:dyDescent="0.55000000000000004">
      <c r="W12226"/>
    </row>
    <row r="12227" spans="23:23" x14ac:dyDescent="0.55000000000000004">
      <c r="W12227"/>
    </row>
    <row r="12228" spans="23:23" x14ac:dyDescent="0.55000000000000004">
      <c r="W12228"/>
    </row>
    <row r="12229" spans="23:23" x14ac:dyDescent="0.55000000000000004">
      <c r="W12229"/>
    </row>
    <row r="12230" spans="23:23" x14ac:dyDescent="0.55000000000000004">
      <c r="W12230"/>
    </row>
    <row r="12231" spans="23:23" x14ac:dyDescent="0.55000000000000004">
      <c r="W12231"/>
    </row>
    <row r="12232" spans="23:23" x14ac:dyDescent="0.55000000000000004">
      <c r="W12232"/>
    </row>
    <row r="12233" spans="23:23" x14ac:dyDescent="0.55000000000000004">
      <c r="W12233"/>
    </row>
    <row r="12234" spans="23:23" x14ac:dyDescent="0.55000000000000004">
      <c r="W12234"/>
    </row>
    <row r="12235" spans="23:23" x14ac:dyDescent="0.55000000000000004">
      <c r="W12235"/>
    </row>
    <row r="12236" spans="23:23" x14ac:dyDescent="0.55000000000000004">
      <c r="W12236"/>
    </row>
    <row r="12237" spans="23:23" x14ac:dyDescent="0.55000000000000004">
      <c r="W12237"/>
    </row>
    <row r="12238" spans="23:23" x14ac:dyDescent="0.55000000000000004">
      <c r="W12238"/>
    </row>
    <row r="12239" spans="23:23" x14ac:dyDescent="0.55000000000000004">
      <c r="W12239"/>
    </row>
    <row r="12240" spans="23:23" x14ac:dyDescent="0.55000000000000004">
      <c r="W12240"/>
    </row>
    <row r="12241" spans="23:23" x14ac:dyDescent="0.55000000000000004">
      <c r="W12241"/>
    </row>
    <row r="12242" spans="23:23" x14ac:dyDescent="0.55000000000000004">
      <c r="W12242"/>
    </row>
    <row r="12243" spans="23:23" x14ac:dyDescent="0.55000000000000004">
      <c r="W12243"/>
    </row>
    <row r="12244" spans="23:23" x14ac:dyDescent="0.55000000000000004">
      <c r="W12244"/>
    </row>
    <row r="12245" spans="23:23" x14ac:dyDescent="0.55000000000000004">
      <c r="W12245"/>
    </row>
    <row r="12246" spans="23:23" x14ac:dyDescent="0.55000000000000004">
      <c r="W12246"/>
    </row>
    <row r="12247" spans="23:23" x14ac:dyDescent="0.55000000000000004">
      <c r="W12247"/>
    </row>
    <row r="12248" spans="23:23" x14ac:dyDescent="0.55000000000000004">
      <c r="W12248"/>
    </row>
    <row r="12249" spans="23:23" x14ac:dyDescent="0.55000000000000004">
      <c r="W12249"/>
    </row>
    <row r="12250" spans="23:23" x14ac:dyDescent="0.55000000000000004">
      <c r="W12250"/>
    </row>
    <row r="12251" spans="23:23" x14ac:dyDescent="0.55000000000000004">
      <c r="W12251"/>
    </row>
    <row r="12252" spans="23:23" x14ac:dyDescent="0.55000000000000004">
      <c r="W12252"/>
    </row>
    <row r="12253" spans="23:23" x14ac:dyDescent="0.55000000000000004">
      <c r="W12253"/>
    </row>
    <row r="12254" spans="23:23" x14ac:dyDescent="0.55000000000000004">
      <c r="W12254"/>
    </row>
    <row r="12255" spans="23:23" x14ac:dyDescent="0.55000000000000004">
      <c r="W12255"/>
    </row>
    <row r="12256" spans="23:23" x14ac:dyDescent="0.55000000000000004">
      <c r="W12256"/>
    </row>
    <row r="12257" spans="23:23" x14ac:dyDescent="0.55000000000000004">
      <c r="W12257"/>
    </row>
    <row r="12258" spans="23:23" x14ac:dyDescent="0.55000000000000004">
      <c r="W12258"/>
    </row>
    <row r="12259" spans="23:23" x14ac:dyDescent="0.55000000000000004">
      <c r="W12259"/>
    </row>
    <row r="12260" spans="23:23" x14ac:dyDescent="0.55000000000000004">
      <c r="W12260"/>
    </row>
    <row r="12261" spans="23:23" x14ac:dyDescent="0.55000000000000004">
      <c r="W12261"/>
    </row>
    <row r="12262" spans="23:23" x14ac:dyDescent="0.55000000000000004">
      <c r="W12262"/>
    </row>
    <row r="12263" spans="23:23" x14ac:dyDescent="0.55000000000000004">
      <c r="W12263"/>
    </row>
    <row r="12264" spans="23:23" x14ac:dyDescent="0.55000000000000004">
      <c r="W12264"/>
    </row>
    <row r="12265" spans="23:23" x14ac:dyDescent="0.55000000000000004">
      <c r="W12265"/>
    </row>
    <row r="12266" spans="23:23" x14ac:dyDescent="0.55000000000000004">
      <c r="W12266"/>
    </row>
    <row r="12267" spans="23:23" x14ac:dyDescent="0.55000000000000004">
      <c r="W12267"/>
    </row>
    <row r="12268" spans="23:23" x14ac:dyDescent="0.55000000000000004">
      <c r="W12268"/>
    </row>
    <row r="12269" spans="23:23" x14ac:dyDescent="0.55000000000000004">
      <c r="W12269"/>
    </row>
    <row r="12270" spans="23:23" x14ac:dyDescent="0.55000000000000004">
      <c r="W12270"/>
    </row>
    <row r="12271" spans="23:23" x14ac:dyDescent="0.55000000000000004">
      <c r="W12271"/>
    </row>
    <row r="12272" spans="23:23" x14ac:dyDescent="0.55000000000000004">
      <c r="W12272"/>
    </row>
    <row r="12273" spans="23:23" x14ac:dyDescent="0.55000000000000004">
      <c r="W12273"/>
    </row>
    <row r="12274" spans="23:23" x14ac:dyDescent="0.55000000000000004">
      <c r="W12274"/>
    </row>
    <row r="12275" spans="23:23" x14ac:dyDescent="0.55000000000000004">
      <c r="W12275"/>
    </row>
    <row r="12276" spans="23:23" x14ac:dyDescent="0.55000000000000004">
      <c r="W12276"/>
    </row>
    <row r="12277" spans="23:23" x14ac:dyDescent="0.55000000000000004">
      <c r="W12277"/>
    </row>
    <row r="12278" spans="23:23" x14ac:dyDescent="0.55000000000000004">
      <c r="W12278"/>
    </row>
    <row r="12279" spans="23:23" x14ac:dyDescent="0.55000000000000004">
      <c r="W12279"/>
    </row>
    <row r="12280" spans="23:23" x14ac:dyDescent="0.55000000000000004">
      <c r="W12280"/>
    </row>
    <row r="12281" spans="23:23" x14ac:dyDescent="0.55000000000000004">
      <c r="W12281"/>
    </row>
    <row r="12282" spans="23:23" x14ac:dyDescent="0.55000000000000004">
      <c r="W12282"/>
    </row>
    <row r="12283" spans="23:23" x14ac:dyDescent="0.55000000000000004">
      <c r="W12283"/>
    </row>
    <row r="12284" spans="23:23" x14ac:dyDescent="0.55000000000000004">
      <c r="W12284"/>
    </row>
    <row r="12285" spans="23:23" x14ac:dyDescent="0.55000000000000004">
      <c r="W12285"/>
    </row>
    <row r="12286" spans="23:23" x14ac:dyDescent="0.55000000000000004">
      <c r="W12286"/>
    </row>
    <row r="12287" spans="23:23" x14ac:dyDescent="0.55000000000000004">
      <c r="W12287"/>
    </row>
    <row r="12288" spans="23:23" x14ac:dyDescent="0.55000000000000004">
      <c r="W12288"/>
    </row>
    <row r="12289" spans="23:23" x14ac:dyDescent="0.55000000000000004">
      <c r="W12289"/>
    </row>
    <row r="12290" spans="23:23" x14ac:dyDescent="0.55000000000000004">
      <c r="W12290"/>
    </row>
    <row r="12291" spans="23:23" x14ac:dyDescent="0.55000000000000004">
      <c r="W12291"/>
    </row>
    <row r="12292" spans="23:23" x14ac:dyDescent="0.55000000000000004">
      <c r="W12292"/>
    </row>
    <row r="12293" spans="23:23" x14ac:dyDescent="0.55000000000000004">
      <c r="W12293"/>
    </row>
    <row r="12294" spans="23:23" x14ac:dyDescent="0.55000000000000004">
      <c r="W12294"/>
    </row>
    <row r="12295" spans="23:23" x14ac:dyDescent="0.55000000000000004">
      <c r="W12295"/>
    </row>
    <row r="12296" spans="23:23" x14ac:dyDescent="0.55000000000000004">
      <c r="W12296"/>
    </row>
    <row r="12297" spans="23:23" x14ac:dyDescent="0.55000000000000004">
      <c r="W12297"/>
    </row>
    <row r="12298" spans="23:23" x14ac:dyDescent="0.55000000000000004">
      <c r="W12298"/>
    </row>
    <row r="12299" spans="23:23" x14ac:dyDescent="0.55000000000000004">
      <c r="W12299"/>
    </row>
    <row r="12300" spans="23:23" x14ac:dyDescent="0.55000000000000004">
      <c r="W12300"/>
    </row>
    <row r="12301" spans="23:23" x14ac:dyDescent="0.55000000000000004">
      <c r="W12301"/>
    </row>
    <row r="12302" spans="23:23" x14ac:dyDescent="0.55000000000000004">
      <c r="W12302"/>
    </row>
    <row r="12303" spans="23:23" x14ac:dyDescent="0.55000000000000004">
      <c r="W12303"/>
    </row>
    <row r="12304" spans="23:23" x14ac:dyDescent="0.55000000000000004">
      <c r="W12304"/>
    </row>
    <row r="12305" spans="23:23" x14ac:dyDescent="0.55000000000000004">
      <c r="W12305"/>
    </row>
    <row r="12306" spans="23:23" x14ac:dyDescent="0.55000000000000004">
      <c r="W12306"/>
    </row>
    <row r="12307" spans="23:23" x14ac:dyDescent="0.55000000000000004">
      <c r="W12307"/>
    </row>
    <row r="12308" spans="23:23" x14ac:dyDescent="0.55000000000000004">
      <c r="W12308"/>
    </row>
    <row r="12309" spans="23:23" x14ac:dyDescent="0.55000000000000004">
      <c r="W12309"/>
    </row>
    <row r="12310" spans="23:23" x14ac:dyDescent="0.55000000000000004">
      <c r="W12310"/>
    </row>
    <row r="12311" spans="23:23" x14ac:dyDescent="0.55000000000000004">
      <c r="W12311"/>
    </row>
    <row r="12312" spans="23:23" x14ac:dyDescent="0.55000000000000004">
      <c r="W12312"/>
    </row>
    <row r="12313" spans="23:23" x14ac:dyDescent="0.55000000000000004">
      <c r="W12313"/>
    </row>
    <row r="12314" spans="23:23" x14ac:dyDescent="0.55000000000000004">
      <c r="W12314"/>
    </row>
    <row r="12315" spans="23:23" x14ac:dyDescent="0.55000000000000004">
      <c r="W12315"/>
    </row>
    <row r="12316" spans="23:23" x14ac:dyDescent="0.55000000000000004">
      <c r="W12316"/>
    </row>
    <row r="12317" spans="23:23" x14ac:dyDescent="0.55000000000000004">
      <c r="W12317"/>
    </row>
    <row r="12318" spans="23:23" x14ac:dyDescent="0.55000000000000004">
      <c r="W12318"/>
    </row>
    <row r="12319" spans="23:23" x14ac:dyDescent="0.55000000000000004">
      <c r="W12319"/>
    </row>
    <row r="12320" spans="23:23" x14ac:dyDescent="0.55000000000000004">
      <c r="W12320"/>
    </row>
    <row r="12321" spans="23:23" x14ac:dyDescent="0.55000000000000004">
      <c r="W12321"/>
    </row>
    <row r="12322" spans="23:23" x14ac:dyDescent="0.55000000000000004">
      <c r="W12322"/>
    </row>
    <row r="12323" spans="23:23" x14ac:dyDescent="0.55000000000000004">
      <c r="W12323"/>
    </row>
    <row r="12324" spans="23:23" x14ac:dyDescent="0.55000000000000004">
      <c r="W12324"/>
    </row>
    <row r="12325" spans="23:23" x14ac:dyDescent="0.55000000000000004">
      <c r="W12325"/>
    </row>
    <row r="12326" spans="23:23" x14ac:dyDescent="0.55000000000000004">
      <c r="W12326"/>
    </row>
    <row r="12327" spans="23:23" x14ac:dyDescent="0.55000000000000004">
      <c r="W12327"/>
    </row>
    <row r="12328" spans="23:23" x14ac:dyDescent="0.55000000000000004">
      <c r="W12328"/>
    </row>
    <row r="12329" spans="23:23" x14ac:dyDescent="0.55000000000000004">
      <c r="W12329"/>
    </row>
    <row r="12330" spans="23:23" x14ac:dyDescent="0.55000000000000004">
      <c r="W12330"/>
    </row>
    <row r="12331" spans="23:23" x14ac:dyDescent="0.55000000000000004">
      <c r="W12331"/>
    </row>
    <row r="12332" spans="23:23" x14ac:dyDescent="0.55000000000000004">
      <c r="W12332"/>
    </row>
    <row r="12333" spans="23:23" x14ac:dyDescent="0.55000000000000004">
      <c r="W12333"/>
    </row>
    <row r="12334" spans="23:23" x14ac:dyDescent="0.55000000000000004">
      <c r="W12334"/>
    </row>
    <row r="12335" spans="23:23" x14ac:dyDescent="0.55000000000000004">
      <c r="W12335"/>
    </row>
    <row r="12336" spans="23:23" x14ac:dyDescent="0.55000000000000004">
      <c r="W12336"/>
    </row>
    <row r="12337" spans="23:23" x14ac:dyDescent="0.55000000000000004">
      <c r="W12337"/>
    </row>
    <row r="12338" spans="23:23" x14ac:dyDescent="0.55000000000000004">
      <c r="W12338"/>
    </row>
    <row r="12339" spans="23:23" x14ac:dyDescent="0.55000000000000004">
      <c r="W12339"/>
    </row>
    <row r="12340" spans="23:23" x14ac:dyDescent="0.55000000000000004">
      <c r="W12340"/>
    </row>
    <row r="12341" spans="23:23" x14ac:dyDescent="0.55000000000000004">
      <c r="W12341"/>
    </row>
    <row r="12342" spans="23:23" x14ac:dyDescent="0.55000000000000004">
      <c r="W12342"/>
    </row>
    <row r="12343" spans="23:23" x14ac:dyDescent="0.55000000000000004">
      <c r="W12343"/>
    </row>
    <row r="12344" spans="23:23" x14ac:dyDescent="0.55000000000000004">
      <c r="W12344"/>
    </row>
    <row r="12345" spans="23:23" x14ac:dyDescent="0.55000000000000004">
      <c r="W12345"/>
    </row>
    <row r="12346" spans="23:23" x14ac:dyDescent="0.55000000000000004">
      <c r="W12346"/>
    </row>
    <row r="12347" spans="23:23" x14ac:dyDescent="0.55000000000000004">
      <c r="W12347"/>
    </row>
    <row r="12348" spans="23:23" x14ac:dyDescent="0.55000000000000004">
      <c r="W12348"/>
    </row>
    <row r="12349" spans="23:23" x14ac:dyDescent="0.55000000000000004">
      <c r="W12349"/>
    </row>
    <row r="12350" spans="23:23" x14ac:dyDescent="0.55000000000000004">
      <c r="W12350"/>
    </row>
    <row r="12351" spans="23:23" x14ac:dyDescent="0.55000000000000004">
      <c r="W12351"/>
    </row>
    <row r="12352" spans="23:23" x14ac:dyDescent="0.55000000000000004">
      <c r="W12352"/>
    </row>
    <row r="12353" spans="23:23" x14ac:dyDescent="0.55000000000000004">
      <c r="W12353"/>
    </row>
    <row r="12354" spans="23:23" x14ac:dyDescent="0.55000000000000004">
      <c r="W12354"/>
    </row>
    <row r="12355" spans="23:23" x14ac:dyDescent="0.55000000000000004">
      <c r="W12355"/>
    </row>
    <row r="12356" spans="23:23" x14ac:dyDescent="0.55000000000000004">
      <c r="W12356"/>
    </row>
    <row r="12357" spans="23:23" x14ac:dyDescent="0.55000000000000004">
      <c r="W12357"/>
    </row>
    <row r="12358" spans="23:23" x14ac:dyDescent="0.55000000000000004">
      <c r="W12358"/>
    </row>
    <row r="12359" spans="23:23" x14ac:dyDescent="0.55000000000000004">
      <c r="W12359"/>
    </row>
    <row r="12360" spans="23:23" x14ac:dyDescent="0.55000000000000004">
      <c r="W12360"/>
    </row>
    <row r="12361" spans="23:23" x14ac:dyDescent="0.55000000000000004">
      <c r="W12361"/>
    </row>
    <row r="12362" spans="23:23" x14ac:dyDescent="0.55000000000000004">
      <c r="W12362"/>
    </row>
    <row r="12363" spans="23:23" x14ac:dyDescent="0.55000000000000004">
      <c r="W12363"/>
    </row>
    <row r="12364" spans="23:23" x14ac:dyDescent="0.55000000000000004">
      <c r="W12364"/>
    </row>
    <row r="12365" spans="23:23" x14ac:dyDescent="0.55000000000000004">
      <c r="W12365"/>
    </row>
    <row r="12366" spans="23:23" x14ac:dyDescent="0.55000000000000004">
      <c r="W12366"/>
    </row>
    <row r="12367" spans="23:23" x14ac:dyDescent="0.55000000000000004">
      <c r="W12367"/>
    </row>
    <row r="12368" spans="23:23" x14ac:dyDescent="0.55000000000000004">
      <c r="W12368"/>
    </row>
    <row r="12369" spans="23:23" x14ac:dyDescent="0.55000000000000004">
      <c r="W12369"/>
    </row>
    <row r="12370" spans="23:23" x14ac:dyDescent="0.55000000000000004">
      <c r="W12370"/>
    </row>
    <row r="12371" spans="23:23" x14ac:dyDescent="0.55000000000000004">
      <c r="W12371"/>
    </row>
    <row r="12372" spans="23:23" x14ac:dyDescent="0.55000000000000004">
      <c r="W12372"/>
    </row>
    <row r="12373" spans="23:23" x14ac:dyDescent="0.55000000000000004">
      <c r="W12373"/>
    </row>
    <row r="12374" spans="23:23" x14ac:dyDescent="0.55000000000000004">
      <c r="W12374"/>
    </row>
    <row r="12375" spans="23:23" x14ac:dyDescent="0.55000000000000004">
      <c r="W12375"/>
    </row>
    <row r="12376" spans="23:23" x14ac:dyDescent="0.55000000000000004">
      <c r="W12376"/>
    </row>
    <row r="12377" spans="23:23" x14ac:dyDescent="0.55000000000000004">
      <c r="W12377"/>
    </row>
    <row r="12378" spans="23:23" x14ac:dyDescent="0.55000000000000004">
      <c r="W12378"/>
    </row>
    <row r="12379" spans="23:23" x14ac:dyDescent="0.55000000000000004">
      <c r="W12379"/>
    </row>
    <row r="12380" spans="23:23" x14ac:dyDescent="0.55000000000000004">
      <c r="W12380"/>
    </row>
    <row r="12381" spans="23:23" x14ac:dyDescent="0.55000000000000004">
      <c r="W12381"/>
    </row>
    <row r="12382" spans="23:23" x14ac:dyDescent="0.55000000000000004">
      <c r="W12382"/>
    </row>
    <row r="12383" spans="23:23" x14ac:dyDescent="0.55000000000000004">
      <c r="W12383"/>
    </row>
    <row r="12384" spans="23:23" x14ac:dyDescent="0.55000000000000004">
      <c r="W12384"/>
    </row>
    <row r="12385" spans="23:23" x14ac:dyDescent="0.55000000000000004">
      <c r="W12385"/>
    </row>
    <row r="12386" spans="23:23" x14ac:dyDescent="0.55000000000000004">
      <c r="W12386"/>
    </row>
    <row r="12387" spans="23:23" x14ac:dyDescent="0.55000000000000004">
      <c r="W12387"/>
    </row>
    <row r="12388" spans="23:23" x14ac:dyDescent="0.55000000000000004">
      <c r="W12388"/>
    </row>
    <row r="12389" spans="23:23" x14ac:dyDescent="0.55000000000000004">
      <c r="W12389"/>
    </row>
    <row r="12390" spans="23:23" x14ac:dyDescent="0.55000000000000004">
      <c r="W12390"/>
    </row>
    <row r="12391" spans="23:23" x14ac:dyDescent="0.55000000000000004">
      <c r="W12391"/>
    </row>
    <row r="12392" spans="23:23" x14ac:dyDescent="0.55000000000000004">
      <c r="W12392"/>
    </row>
    <row r="12393" spans="23:23" x14ac:dyDescent="0.55000000000000004">
      <c r="W12393"/>
    </row>
    <row r="12394" spans="23:23" x14ac:dyDescent="0.55000000000000004">
      <c r="W12394"/>
    </row>
    <row r="12395" spans="23:23" x14ac:dyDescent="0.55000000000000004">
      <c r="W12395"/>
    </row>
    <row r="12396" spans="23:23" x14ac:dyDescent="0.55000000000000004">
      <c r="W12396"/>
    </row>
    <row r="12397" spans="23:23" x14ac:dyDescent="0.55000000000000004">
      <c r="W12397"/>
    </row>
    <row r="12398" spans="23:23" x14ac:dyDescent="0.55000000000000004">
      <c r="W12398"/>
    </row>
    <row r="12399" spans="23:23" x14ac:dyDescent="0.55000000000000004">
      <c r="W12399"/>
    </row>
    <row r="12400" spans="23:23" x14ac:dyDescent="0.55000000000000004">
      <c r="W12400"/>
    </row>
    <row r="12401" spans="23:23" x14ac:dyDescent="0.55000000000000004">
      <c r="W12401"/>
    </row>
    <row r="12402" spans="23:23" x14ac:dyDescent="0.55000000000000004">
      <c r="W12402"/>
    </row>
    <row r="12403" spans="23:23" x14ac:dyDescent="0.55000000000000004">
      <c r="W12403"/>
    </row>
    <row r="12404" spans="23:23" x14ac:dyDescent="0.55000000000000004">
      <c r="W12404"/>
    </row>
    <row r="12405" spans="23:23" x14ac:dyDescent="0.55000000000000004">
      <c r="W12405"/>
    </row>
    <row r="12406" spans="23:23" x14ac:dyDescent="0.55000000000000004">
      <c r="W12406"/>
    </row>
    <row r="12407" spans="23:23" x14ac:dyDescent="0.55000000000000004">
      <c r="W12407"/>
    </row>
    <row r="12408" spans="23:23" x14ac:dyDescent="0.55000000000000004">
      <c r="W12408"/>
    </row>
    <row r="12409" spans="23:23" x14ac:dyDescent="0.55000000000000004">
      <c r="W12409"/>
    </row>
    <row r="12410" spans="23:23" x14ac:dyDescent="0.55000000000000004">
      <c r="W12410"/>
    </row>
    <row r="12411" spans="23:23" x14ac:dyDescent="0.55000000000000004">
      <c r="W12411"/>
    </row>
    <row r="12412" spans="23:23" x14ac:dyDescent="0.55000000000000004">
      <c r="W12412"/>
    </row>
    <row r="12413" spans="23:23" x14ac:dyDescent="0.55000000000000004">
      <c r="W12413"/>
    </row>
    <row r="12414" spans="23:23" x14ac:dyDescent="0.55000000000000004">
      <c r="W12414"/>
    </row>
    <row r="12415" spans="23:23" x14ac:dyDescent="0.55000000000000004">
      <c r="W12415"/>
    </row>
    <row r="12416" spans="23:23" x14ac:dyDescent="0.55000000000000004">
      <c r="W12416"/>
    </row>
    <row r="12417" spans="23:23" x14ac:dyDescent="0.55000000000000004">
      <c r="W12417"/>
    </row>
    <row r="12418" spans="23:23" x14ac:dyDescent="0.55000000000000004">
      <c r="W12418"/>
    </row>
    <row r="12419" spans="23:23" x14ac:dyDescent="0.55000000000000004">
      <c r="W12419"/>
    </row>
    <row r="12420" spans="23:23" x14ac:dyDescent="0.55000000000000004">
      <c r="W12420"/>
    </row>
    <row r="12421" spans="23:23" x14ac:dyDescent="0.55000000000000004">
      <c r="W12421"/>
    </row>
    <row r="12422" spans="23:23" x14ac:dyDescent="0.55000000000000004">
      <c r="W12422"/>
    </row>
    <row r="12423" spans="23:23" x14ac:dyDescent="0.55000000000000004">
      <c r="W12423"/>
    </row>
    <row r="12424" spans="23:23" x14ac:dyDescent="0.55000000000000004">
      <c r="W12424"/>
    </row>
    <row r="12425" spans="23:23" x14ac:dyDescent="0.55000000000000004">
      <c r="W12425"/>
    </row>
    <row r="12426" spans="23:23" x14ac:dyDescent="0.55000000000000004">
      <c r="W12426"/>
    </row>
    <row r="12427" spans="23:23" x14ac:dyDescent="0.55000000000000004">
      <c r="W12427"/>
    </row>
    <row r="12428" spans="23:23" x14ac:dyDescent="0.55000000000000004">
      <c r="W12428"/>
    </row>
    <row r="12429" spans="23:23" x14ac:dyDescent="0.55000000000000004">
      <c r="W12429"/>
    </row>
    <row r="12430" spans="23:23" x14ac:dyDescent="0.55000000000000004">
      <c r="W12430"/>
    </row>
    <row r="12431" spans="23:23" x14ac:dyDescent="0.55000000000000004">
      <c r="W12431"/>
    </row>
    <row r="12432" spans="23:23" x14ac:dyDescent="0.55000000000000004">
      <c r="W12432"/>
    </row>
    <row r="12433" spans="23:23" x14ac:dyDescent="0.55000000000000004">
      <c r="W12433"/>
    </row>
    <row r="12434" spans="23:23" x14ac:dyDescent="0.55000000000000004">
      <c r="W12434"/>
    </row>
    <row r="12435" spans="23:23" x14ac:dyDescent="0.55000000000000004">
      <c r="W12435"/>
    </row>
    <row r="12436" spans="23:23" x14ac:dyDescent="0.55000000000000004">
      <c r="W12436"/>
    </row>
    <row r="12437" spans="23:23" x14ac:dyDescent="0.55000000000000004">
      <c r="W12437"/>
    </row>
    <row r="12438" spans="23:23" x14ac:dyDescent="0.55000000000000004">
      <c r="W12438"/>
    </row>
    <row r="12439" spans="23:23" x14ac:dyDescent="0.55000000000000004">
      <c r="W12439"/>
    </row>
    <row r="12440" spans="23:23" x14ac:dyDescent="0.55000000000000004">
      <c r="W12440"/>
    </row>
    <row r="12441" spans="23:23" x14ac:dyDescent="0.55000000000000004">
      <c r="W12441"/>
    </row>
    <row r="12442" spans="23:23" x14ac:dyDescent="0.55000000000000004">
      <c r="W12442"/>
    </row>
    <row r="12443" spans="23:23" x14ac:dyDescent="0.55000000000000004">
      <c r="W12443"/>
    </row>
    <row r="12444" spans="23:23" x14ac:dyDescent="0.55000000000000004">
      <c r="W12444"/>
    </row>
    <row r="12445" spans="23:23" x14ac:dyDescent="0.55000000000000004">
      <c r="W12445"/>
    </row>
    <row r="12446" spans="23:23" x14ac:dyDescent="0.55000000000000004">
      <c r="W12446"/>
    </row>
    <row r="12447" spans="23:23" x14ac:dyDescent="0.55000000000000004">
      <c r="W12447"/>
    </row>
    <row r="12448" spans="23:23" x14ac:dyDescent="0.55000000000000004">
      <c r="W12448"/>
    </row>
    <row r="12449" spans="23:23" x14ac:dyDescent="0.55000000000000004">
      <c r="W12449"/>
    </row>
    <row r="12450" spans="23:23" x14ac:dyDescent="0.55000000000000004">
      <c r="W12450"/>
    </row>
    <row r="12451" spans="23:23" x14ac:dyDescent="0.55000000000000004">
      <c r="W12451"/>
    </row>
    <row r="12452" spans="23:23" x14ac:dyDescent="0.55000000000000004">
      <c r="W12452"/>
    </row>
    <row r="12453" spans="23:23" x14ac:dyDescent="0.55000000000000004">
      <c r="W12453"/>
    </row>
    <row r="12454" spans="23:23" x14ac:dyDescent="0.55000000000000004">
      <c r="W12454"/>
    </row>
    <row r="12455" spans="23:23" x14ac:dyDescent="0.55000000000000004">
      <c r="W12455"/>
    </row>
    <row r="12456" spans="23:23" x14ac:dyDescent="0.55000000000000004">
      <c r="W12456"/>
    </row>
    <row r="12457" spans="23:23" x14ac:dyDescent="0.55000000000000004">
      <c r="W12457"/>
    </row>
    <row r="12458" spans="23:23" x14ac:dyDescent="0.55000000000000004">
      <c r="W12458"/>
    </row>
    <row r="12459" spans="23:23" x14ac:dyDescent="0.55000000000000004">
      <c r="W12459"/>
    </row>
    <row r="12460" spans="23:23" x14ac:dyDescent="0.55000000000000004">
      <c r="W12460"/>
    </row>
    <row r="12461" spans="23:23" x14ac:dyDescent="0.55000000000000004">
      <c r="W12461"/>
    </row>
    <row r="12462" spans="23:23" x14ac:dyDescent="0.55000000000000004">
      <c r="W12462"/>
    </row>
    <row r="12463" spans="23:23" x14ac:dyDescent="0.55000000000000004">
      <c r="W12463"/>
    </row>
    <row r="12464" spans="23:23" x14ac:dyDescent="0.55000000000000004">
      <c r="W12464"/>
    </row>
    <row r="12465" spans="23:23" x14ac:dyDescent="0.55000000000000004">
      <c r="W12465"/>
    </row>
    <row r="12466" spans="23:23" x14ac:dyDescent="0.55000000000000004">
      <c r="W12466"/>
    </row>
    <row r="12467" spans="23:23" x14ac:dyDescent="0.55000000000000004">
      <c r="W12467"/>
    </row>
    <row r="12468" spans="23:23" x14ac:dyDescent="0.55000000000000004">
      <c r="W12468"/>
    </row>
    <row r="12469" spans="23:23" x14ac:dyDescent="0.55000000000000004">
      <c r="W12469"/>
    </row>
    <row r="12470" spans="23:23" x14ac:dyDescent="0.55000000000000004">
      <c r="W12470"/>
    </row>
    <row r="12471" spans="23:23" x14ac:dyDescent="0.55000000000000004">
      <c r="W12471"/>
    </row>
    <row r="12472" spans="23:23" x14ac:dyDescent="0.55000000000000004">
      <c r="W12472"/>
    </row>
    <row r="12473" spans="23:23" x14ac:dyDescent="0.55000000000000004">
      <c r="W12473"/>
    </row>
    <row r="12474" spans="23:23" x14ac:dyDescent="0.55000000000000004">
      <c r="W12474"/>
    </row>
    <row r="12475" spans="23:23" x14ac:dyDescent="0.55000000000000004">
      <c r="W12475"/>
    </row>
    <row r="12476" spans="23:23" x14ac:dyDescent="0.55000000000000004">
      <c r="W12476"/>
    </row>
    <row r="12477" spans="23:23" x14ac:dyDescent="0.55000000000000004">
      <c r="W12477"/>
    </row>
    <row r="12478" spans="23:23" x14ac:dyDescent="0.55000000000000004">
      <c r="W12478"/>
    </row>
    <row r="12479" spans="23:23" x14ac:dyDescent="0.55000000000000004">
      <c r="W12479"/>
    </row>
    <row r="12480" spans="23:23" x14ac:dyDescent="0.55000000000000004">
      <c r="W12480"/>
    </row>
    <row r="12481" spans="23:23" x14ac:dyDescent="0.55000000000000004">
      <c r="W12481"/>
    </row>
    <row r="12482" spans="23:23" x14ac:dyDescent="0.55000000000000004">
      <c r="W12482"/>
    </row>
    <row r="12483" spans="23:23" x14ac:dyDescent="0.55000000000000004">
      <c r="W12483"/>
    </row>
    <row r="12484" spans="23:23" x14ac:dyDescent="0.55000000000000004">
      <c r="W12484"/>
    </row>
    <row r="12485" spans="23:23" x14ac:dyDescent="0.55000000000000004">
      <c r="W12485"/>
    </row>
    <row r="12486" spans="23:23" x14ac:dyDescent="0.55000000000000004">
      <c r="W12486"/>
    </row>
    <row r="12487" spans="23:23" x14ac:dyDescent="0.55000000000000004">
      <c r="W12487"/>
    </row>
    <row r="12488" spans="23:23" x14ac:dyDescent="0.55000000000000004">
      <c r="W12488"/>
    </row>
    <row r="12489" spans="23:23" x14ac:dyDescent="0.55000000000000004">
      <c r="W12489"/>
    </row>
    <row r="12490" spans="23:23" x14ac:dyDescent="0.55000000000000004">
      <c r="W12490"/>
    </row>
    <row r="12491" spans="23:23" x14ac:dyDescent="0.55000000000000004">
      <c r="W12491"/>
    </row>
    <row r="12492" spans="23:23" x14ac:dyDescent="0.55000000000000004">
      <c r="W12492"/>
    </row>
    <row r="12493" spans="23:23" x14ac:dyDescent="0.55000000000000004">
      <c r="W12493"/>
    </row>
    <row r="12494" spans="23:23" x14ac:dyDescent="0.55000000000000004">
      <c r="W12494"/>
    </row>
    <row r="12495" spans="23:23" x14ac:dyDescent="0.55000000000000004">
      <c r="W12495"/>
    </row>
    <row r="12496" spans="23:23" x14ac:dyDescent="0.55000000000000004">
      <c r="W12496"/>
    </row>
    <row r="12497" spans="23:23" x14ac:dyDescent="0.55000000000000004">
      <c r="W12497"/>
    </row>
    <row r="12498" spans="23:23" x14ac:dyDescent="0.55000000000000004">
      <c r="W12498"/>
    </row>
    <row r="12499" spans="23:23" x14ac:dyDescent="0.55000000000000004">
      <c r="W12499"/>
    </row>
    <row r="12500" spans="23:23" x14ac:dyDescent="0.55000000000000004">
      <c r="W12500"/>
    </row>
    <row r="12501" spans="23:23" x14ac:dyDescent="0.55000000000000004">
      <c r="W12501"/>
    </row>
    <row r="12502" spans="23:23" x14ac:dyDescent="0.55000000000000004">
      <c r="W12502"/>
    </row>
    <row r="12503" spans="23:23" x14ac:dyDescent="0.55000000000000004">
      <c r="W12503"/>
    </row>
    <row r="12504" spans="23:23" x14ac:dyDescent="0.55000000000000004">
      <c r="W12504"/>
    </row>
    <row r="12505" spans="23:23" x14ac:dyDescent="0.55000000000000004">
      <c r="W12505"/>
    </row>
    <row r="12506" spans="23:23" x14ac:dyDescent="0.55000000000000004">
      <c r="W12506"/>
    </row>
    <row r="12507" spans="23:23" x14ac:dyDescent="0.55000000000000004">
      <c r="W12507"/>
    </row>
    <row r="12508" spans="23:23" x14ac:dyDescent="0.55000000000000004">
      <c r="W12508"/>
    </row>
    <row r="12509" spans="23:23" x14ac:dyDescent="0.55000000000000004">
      <c r="W12509"/>
    </row>
    <row r="12510" spans="23:23" x14ac:dyDescent="0.55000000000000004">
      <c r="W12510"/>
    </row>
    <row r="12511" spans="23:23" x14ac:dyDescent="0.55000000000000004">
      <c r="W12511"/>
    </row>
    <row r="12512" spans="23:23" x14ac:dyDescent="0.55000000000000004">
      <c r="W12512"/>
    </row>
    <row r="12513" spans="23:23" x14ac:dyDescent="0.55000000000000004">
      <c r="W12513"/>
    </row>
    <row r="12514" spans="23:23" x14ac:dyDescent="0.55000000000000004">
      <c r="W12514"/>
    </row>
    <row r="12515" spans="23:23" x14ac:dyDescent="0.55000000000000004">
      <c r="W12515"/>
    </row>
    <row r="12516" spans="23:23" x14ac:dyDescent="0.55000000000000004">
      <c r="W12516"/>
    </row>
    <row r="12517" spans="23:23" x14ac:dyDescent="0.55000000000000004">
      <c r="W12517"/>
    </row>
    <row r="12518" spans="23:23" x14ac:dyDescent="0.55000000000000004">
      <c r="W12518"/>
    </row>
    <row r="12519" spans="23:23" x14ac:dyDescent="0.55000000000000004">
      <c r="W12519"/>
    </row>
    <row r="12520" spans="23:23" x14ac:dyDescent="0.55000000000000004">
      <c r="W12520"/>
    </row>
    <row r="12521" spans="23:23" x14ac:dyDescent="0.55000000000000004">
      <c r="W12521"/>
    </row>
    <row r="12522" spans="23:23" x14ac:dyDescent="0.55000000000000004">
      <c r="W12522"/>
    </row>
    <row r="12523" spans="23:23" x14ac:dyDescent="0.55000000000000004">
      <c r="W12523"/>
    </row>
    <row r="12524" spans="23:23" x14ac:dyDescent="0.55000000000000004">
      <c r="W12524"/>
    </row>
    <row r="12525" spans="23:23" x14ac:dyDescent="0.55000000000000004">
      <c r="W12525"/>
    </row>
    <row r="12526" spans="23:23" x14ac:dyDescent="0.55000000000000004">
      <c r="W12526"/>
    </row>
    <row r="12527" spans="23:23" x14ac:dyDescent="0.55000000000000004">
      <c r="W12527"/>
    </row>
    <row r="12528" spans="23:23" x14ac:dyDescent="0.55000000000000004">
      <c r="W12528"/>
    </row>
    <row r="12529" spans="23:23" x14ac:dyDescent="0.55000000000000004">
      <c r="W12529"/>
    </row>
    <row r="12530" spans="23:23" x14ac:dyDescent="0.55000000000000004">
      <c r="W12530"/>
    </row>
    <row r="12531" spans="23:23" x14ac:dyDescent="0.55000000000000004">
      <c r="W12531"/>
    </row>
    <row r="12532" spans="23:23" x14ac:dyDescent="0.55000000000000004">
      <c r="W12532"/>
    </row>
    <row r="12533" spans="23:23" x14ac:dyDescent="0.55000000000000004">
      <c r="W12533"/>
    </row>
    <row r="12534" spans="23:23" x14ac:dyDescent="0.55000000000000004">
      <c r="W12534"/>
    </row>
    <row r="12535" spans="23:23" x14ac:dyDescent="0.55000000000000004">
      <c r="W12535"/>
    </row>
    <row r="12536" spans="23:23" x14ac:dyDescent="0.55000000000000004">
      <c r="W12536"/>
    </row>
    <row r="12537" spans="23:23" x14ac:dyDescent="0.55000000000000004">
      <c r="W12537"/>
    </row>
    <row r="12538" spans="23:23" x14ac:dyDescent="0.55000000000000004">
      <c r="W12538"/>
    </row>
    <row r="12539" spans="23:23" x14ac:dyDescent="0.55000000000000004">
      <c r="W12539"/>
    </row>
    <row r="12540" spans="23:23" x14ac:dyDescent="0.55000000000000004">
      <c r="W12540"/>
    </row>
    <row r="12541" spans="23:23" x14ac:dyDescent="0.55000000000000004">
      <c r="W12541"/>
    </row>
    <row r="12542" spans="23:23" x14ac:dyDescent="0.55000000000000004">
      <c r="W12542"/>
    </row>
    <row r="12543" spans="23:23" x14ac:dyDescent="0.55000000000000004">
      <c r="W12543"/>
    </row>
    <row r="12544" spans="23:23" x14ac:dyDescent="0.55000000000000004">
      <c r="W12544"/>
    </row>
    <row r="12545" spans="23:23" x14ac:dyDescent="0.55000000000000004">
      <c r="W12545"/>
    </row>
    <row r="12546" spans="23:23" x14ac:dyDescent="0.55000000000000004">
      <c r="W12546"/>
    </row>
    <row r="12547" spans="23:23" x14ac:dyDescent="0.55000000000000004">
      <c r="W12547"/>
    </row>
    <row r="12548" spans="23:23" x14ac:dyDescent="0.55000000000000004">
      <c r="W12548"/>
    </row>
    <row r="12549" spans="23:23" x14ac:dyDescent="0.55000000000000004">
      <c r="W12549"/>
    </row>
    <row r="12550" spans="23:23" x14ac:dyDescent="0.55000000000000004">
      <c r="W12550"/>
    </row>
    <row r="12551" spans="23:23" x14ac:dyDescent="0.55000000000000004">
      <c r="W12551"/>
    </row>
    <row r="12552" spans="23:23" x14ac:dyDescent="0.55000000000000004">
      <c r="W12552"/>
    </row>
    <row r="12553" spans="23:23" x14ac:dyDescent="0.55000000000000004">
      <c r="W12553"/>
    </row>
    <row r="12554" spans="23:23" x14ac:dyDescent="0.55000000000000004">
      <c r="W12554"/>
    </row>
    <row r="12555" spans="23:23" x14ac:dyDescent="0.55000000000000004">
      <c r="W12555"/>
    </row>
    <row r="12556" spans="23:23" x14ac:dyDescent="0.55000000000000004">
      <c r="W12556"/>
    </row>
    <row r="12557" spans="23:23" x14ac:dyDescent="0.55000000000000004">
      <c r="W12557"/>
    </row>
    <row r="12558" spans="23:23" x14ac:dyDescent="0.55000000000000004">
      <c r="W12558"/>
    </row>
    <row r="12559" spans="23:23" x14ac:dyDescent="0.55000000000000004">
      <c r="W12559"/>
    </row>
    <row r="12560" spans="23:23" x14ac:dyDescent="0.55000000000000004">
      <c r="W12560"/>
    </row>
    <row r="12561" spans="23:23" x14ac:dyDescent="0.55000000000000004">
      <c r="W12561"/>
    </row>
    <row r="12562" spans="23:23" x14ac:dyDescent="0.55000000000000004">
      <c r="W12562"/>
    </row>
    <row r="12563" spans="23:23" x14ac:dyDescent="0.55000000000000004">
      <c r="W12563"/>
    </row>
    <row r="12564" spans="23:23" x14ac:dyDescent="0.55000000000000004">
      <c r="W12564"/>
    </row>
    <row r="12565" spans="23:23" x14ac:dyDescent="0.55000000000000004">
      <c r="W12565"/>
    </row>
    <row r="12566" spans="23:23" x14ac:dyDescent="0.55000000000000004">
      <c r="W12566"/>
    </row>
    <row r="12567" spans="23:23" x14ac:dyDescent="0.55000000000000004">
      <c r="W12567"/>
    </row>
    <row r="12568" spans="23:23" x14ac:dyDescent="0.55000000000000004">
      <c r="W12568"/>
    </row>
    <row r="12569" spans="23:23" x14ac:dyDescent="0.55000000000000004">
      <c r="W12569"/>
    </row>
    <row r="12570" spans="23:23" x14ac:dyDescent="0.55000000000000004">
      <c r="W12570"/>
    </row>
    <row r="12571" spans="23:23" x14ac:dyDescent="0.55000000000000004">
      <c r="W12571"/>
    </row>
    <row r="12572" spans="23:23" x14ac:dyDescent="0.55000000000000004">
      <c r="W12572"/>
    </row>
    <row r="12573" spans="23:23" x14ac:dyDescent="0.55000000000000004">
      <c r="W12573"/>
    </row>
    <row r="12574" spans="23:23" x14ac:dyDescent="0.55000000000000004">
      <c r="W12574"/>
    </row>
    <row r="12575" spans="23:23" x14ac:dyDescent="0.55000000000000004">
      <c r="W12575"/>
    </row>
    <row r="12576" spans="23:23" x14ac:dyDescent="0.55000000000000004">
      <c r="W12576"/>
    </row>
    <row r="12577" spans="23:23" x14ac:dyDescent="0.55000000000000004">
      <c r="W12577"/>
    </row>
    <row r="12578" spans="23:23" x14ac:dyDescent="0.55000000000000004">
      <c r="W12578"/>
    </row>
    <row r="12579" spans="23:23" x14ac:dyDescent="0.55000000000000004">
      <c r="W12579"/>
    </row>
    <row r="12580" spans="23:23" x14ac:dyDescent="0.55000000000000004">
      <c r="W12580"/>
    </row>
    <row r="12581" spans="23:23" x14ac:dyDescent="0.55000000000000004">
      <c r="W12581"/>
    </row>
    <row r="12582" spans="23:23" x14ac:dyDescent="0.55000000000000004">
      <c r="W12582"/>
    </row>
    <row r="12583" spans="23:23" x14ac:dyDescent="0.55000000000000004">
      <c r="W12583"/>
    </row>
    <row r="12584" spans="23:23" x14ac:dyDescent="0.55000000000000004">
      <c r="W12584"/>
    </row>
    <row r="12585" spans="23:23" x14ac:dyDescent="0.55000000000000004">
      <c r="W12585"/>
    </row>
    <row r="12586" spans="23:23" x14ac:dyDescent="0.55000000000000004">
      <c r="W12586"/>
    </row>
    <row r="12587" spans="23:23" x14ac:dyDescent="0.55000000000000004">
      <c r="W12587"/>
    </row>
    <row r="12588" spans="23:23" x14ac:dyDescent="0.55000000000000004">
      <c r="W12588"/>
    </row>
    <row r="12589" spans="23:23" x14ac:dyDescent="0.55000000000000004">
      <c r="W12589"/>
    </row>
    <row r="12590" spans="23:23" x14ac:dyDescent="0.55000000000000004">
      <c r="W12590"/>
    </row>
    <row r="12591" spans="23:23" x14ac:dyDescent="0.55000000000000004">
      <c r="W12591"/>
    </row>
    <row r="12592" spans="23:23" x14ac:dyDescent="0.55000000000000004">
      <c r="W12592"/>
    </row>
    <row r="12593" spans="23:23" x14ac:dyDescent="0.55000000000000004">
      <c r="W12593"/>
    </row>
    <row r="12594" spans="23:23" x14ac:dyDescent="0.55000000000000004">
      <c r="W12594"/>
    </row>
    <row r="12595" spans="23:23" x14ac:dyDescent="0.55000000000000004">
      <c r="W12595"/>
    </row>
    <row r="12596" spans="23:23" x14ac:dyDescent="0.55000000000000004">
      <c r="W12596"/>
    </row>
    <row r="12597" spans="23:23" x14ac:dyDescent="0.55000000000000004">
      <c r="W12597"/>
    </row>
    <row r="12598" spans="23:23" x14ac:dyDescent="0.55000000000000004">
      <c r="W12598"/>
    </row>
    <row r="12599" spans="23:23" x14ac:dyDescent="0.55000000000000004">
      <c r="W12599"/>
    </row>
    <row r="12600" spans="23:23" x14ac:dyDescent="0.55000000000000004">
      <c r="W12600"/>
    </row>
    <row r="12601" spans="23:23" x14ac:dyDescent="0.55000000000000004">
      <c r="W12601"/>
    </row>
    <row r="12602" spans="23:23" x14ac:dyDescent="0.55000000000000004">
      <c r="W12602"/>
    </row>
    <row r="12603" spans="23:23" x14ac:dyDescent="0.55000000000000004">
      <c r="W12603"/>
    </row>
    <row r="12604" spans="23:23" x14ac:dyDescent="0.55000000000000004">
      <c r="W12604"/>
    </row>
    <row r="12605" spans="23:23" x14ac:dyDescent="0.55000000000000004">
      <c r="W12605"/>
    </row>
    <row r="12606" spans="23:23" x14ac:dyDescent="0.55000000000000004">
      <c r="W12606"/>
    </row>
    <row r="12607" spans="23:23" x14ac:dyDescent="0.55000000000000004">
      <c r="W12607"/>
    </row>
    <row r="12608" spans="23:23" x14ac:dyDescent="0.55000000000000004">
      <c r="W12608"/>
    </row>
    <row r="12609" spans="23:23" x14ac:dyDescent="0.55000000000000004">
      <c r="W12609"/>
    </row>
    <row r="12610" spans="23:23" x14ac:dyDescent="0.55000000000000004">
      <c r="W12610"/>
    </row>
    <row r="12611" spans="23:23" x14ac:dyDescent="0.55000000000000004">
      <c r="W12611"/>
    </row>
    <row r="12612" spans="23:23" x14ac:dyDescent="0.55000000000000004">
      <c r="W12612"/>
    </row>
    <row r="12613" spans="23:23" x14ac:dyDescent="0.55000000000000004">
      <c r="W12613"/>
    </row>
    <row r="12614" spans="23:23" x14ac:dyDescent="0.55000000000000004">
      <c r="W12614"/>
    </row>
    <row r="12615" spans="23:23" x14ac:dyDescent="0.55000000000000004">
      <c r="W12615"/>
    </row>
    <row r="12616" spans="23:23" x14ac:dyDescent="0.55000000000000004">
      <c r="W12616"/>
    </row>
    <row r="12617" spans="23:23" x14ac:dyDescent="0.55000000000000004">
      <c r="W12617"/>
    </row>
    <row r="12618" spans="23:23" x14ac:dyDescent="0.55000000000000004">
      <c r="W12618"/>
    </row>
    <row r="12619" spans="23:23" x14ac:dyDescent="0.55000000000000004">
      <c r="W12619"/>
    </row>
    <row r="12620" spans="23:23" x14ac:dyDescent="0.55000000000000004">
      <c r="W12620"/>
    </row>
    <row r="12621" spans="23:23" x14ac:dyDescent="0.55000000000000004">
      <c r="W12621"/>
    </row>
    <row r="12622" spans="23:23" x14ac:dyDescent="0.55000000000000004">
      <c r="W12622"/>
    </row>
    <row r="12623" spans="23:23" x14ac:dyDescent="0.55000000000000004">
      <c r="W12623"/>
    </row>
    <row r="12624" spans="23:23" x14ac:dyDescent="0.55000000000000004">
      <c r="W12624"/>
    </row>
    <row r="12625" spans="23:23" x14ac:dyDescent="0.55000000000000004">
      <c r="W12625"/>
    </row>
    <row r="12626" spans="23:23" x14ac:dyDescent="0.55000000000000004">
      <c r="W12626"/>
    </row>
    <row r="12627" spans="23:23" x14ac:dyDescent="0.55000000000000004">
      <c r="W12627"/>
    </row>
    <row r="12628" spans="23:23" x14ac:dyDescent="0.55000000000000004">
      <c r="W12628"/>
    </row>
    <row r="12629" spans="23:23" x14ac:dyDescent="0.55000000000000004">
      <c r="W12629"/>
    </row>
    <row r="12630" spans="23:23" x14ac:dyDescent="0.55000000000000004">
      <c r="W12630"/>
    </row>
    <row r="12631" spans="23:23" x14ac:dyDescent="0.55000000000000004">
      <c r="W12631"/>
    </row>
    <row r="12632" spans="23:23" x14ac:dyDescent="0.55000000000000004">
      <c r="W12632"/>
    </row>
    <row r="12633" spans="23:23" x14ac:dyDescent="0.55000000000000004">
      <c r="W12633"/>
    </row>
    <row r="12634" spans="23:23" x14ac:dyDescent="0.55000000000000004">
      <c r="W12634"/>
    </row>
    <row r="12635" spans="23:23" x14ac:dyDescent="0.55000000000000004">
      <c r="W12635"/>
    </row>
    <row r="12636" spans="23:23" x14ac:dyDescent="0.55000000000000004">
      <c r="W12636"/>
    </row>
    <row r="12637" spans="23:23" x14ac:dyDescent="0.55000000000000004">
      <c r="W12637"/>
    </row>
    <row r="12638" spans="23:23" x14ac:dyDescent="0.55000000000000004">
      <c r="W12638"/>
    </row>
    <row r="12639" spans="23:23" x14ac:dyDescent="0.55000000000000004">
      <c r="W12639"/>
    </row>
    <row r="12640" spans="23:23" x14ac:dyDescent="0.55000000000000004">
      <c r="W12640"/>
    </row>
    <row r="12641" spans="23:23" x14ac:dyDescent="0.55000000000000004">
      <c r="W12641"/>
    </row>
    <row r="12642" spans="23:23" x14ac:dyDescent="0.55000000000000004">
      <c r="W12642"/>
    </row>
    <row r="12643" spans="23:23" x14ac:dyDescent="0.55000000000000004">
      <c r="W12643"/>
    </row>
    <row r="12644" spans="23:23" x14ac:dyDescent="0.55000000000000004">
      <c r="W12644"/>
    </row>
    <row r="12645" spans="23:23" x14ac:dyDescent="0.55000000000000004">
      <c r="W12645"/>
    </row>
    <row r="12646" spans="23:23" x14ac:dyDescent="0.55000000000000004">
      <c r="W12646"/>
    </row>
    <row r="12647" spans="23:23" x14ac:dyDescent="0.55000000000000004">
      <c r="W12647"/>
    </row>
    <row r="12648" spans="23:23" x14ac:dyDescent="0.55000000000000004">
      <c r="W12648"/>
    </row>
    <row r="12649" spans="23:23" x14ac:dyDescent="0.55000000000000004">
      <c r="W12649"/>
    </row>
    <row r="12650" spans="23:23" x14ac:dyDescent="0.55000000000000004">
      <c r="W12650"/>
    </row>
    <row r="12651" spans="23:23" x14ac:dyDescent="0.55000000000000004">
      <c r="W12651"/>
    </row>
    <row r="12652" spans="23:23" x14ac:dyDescent="0.55000000000000004">
      <c r="W12652"/>
    </row>
    <row r="12653" spans="23:23" x14ac:dyDescent="0.55000000000000004">
      <c r="W12653"/>
    </row>
    <row r="12654" spans="23:23" x14ac:dyDescent="0.55000000000000004">
      <c r="W12654"/>
    </row>
    <row r="12655" spans="23:23" x14ac:dyDescent="0.55000000000000004">
      <c r="W12655"/>
    </row>
    <row r="12656" spans="23:23" x14ac:dyDescent="0.55000000000000004">
      <c r="W12656"/>
    </row>
    <row r="12657" spans="23:23" x14ac:dyDescent="0.55000000000000004">
      <c r="W12657"/>
    </row>
    <row r="12658" spans="23:23" x14ac:dyDescent="0.55000000000000004">
      <c r="W12658"/>
    </row>
    <row r="12659" spans="23:23" x14ac:dyDescent="0.55000000000000004">
      <c r="W12659"/>
    </row>
    <row r="12660" spans="23:23" x14ac:dyDescent="0.55000000000000004">
      <c r="W12660"/>
    </row>
    <row r="12661" spans="23:23" x14ac:dyDescent="0.55000000000000004">
      <c r="W12661"/>
    </row>
    <row r="12662" spans="23:23" x14ac:dyDescent="0.55000000000000004">
      <c r="W12662"/>
    </row>
    <row r="12663" spans="23:23" x14ac:dyDescent="0.55000000000000004">
      <c r="W12663"/>
    </row>
    <row r="12664" spans="23:23" x14ac:dyDescent="0.55000000000000004">
      <c r="W12664"/>
    </row>
    <row r="12665" spans="23:23" x14ac:dyDescent="0.55000000000000004">
      <c r="W12665"/>
    </row>
    <row r="12666" spans="23:23" x14ac:dyDescent="0.55000000000000004">
      <c r="W12666"/>
    </row>
    <row r="12667" spans="23:23" x14ac:dyDescent="0.55000000000000004">
      <c r="W12667"/>
    </row>
    <row r="12668" spans="23:23" x14ac:dyDescent="0.55000000000000004">
      <c r="W12668"/>
    </row>
    <row r="12669" spans="23:23" x14ac:dyDescent="0.55000000000000004">
      <c r="W12669"/>
    </row>
    <row r="12670" spans="23:23" x14ac:dyDescent="0.55000000000000004">
      <c r="W12670"/>
    </row>
    <row r="12671" spans="23:23" x14ac:dyDescent="0.55000000000000004">
      <c r="W12671"/>
    </row>
    <row r="12672" spans="23:23" x14ac:dyDescent="0.55000000000000004">
      <c r="W12672"/>
    </row>
    <row r="12673" spans="23:23" x14ac:dyDescent="0.55000000000000004">
      <c r="W12673"/>
    </row>
    <row r="12674" spans="23:23" x14ac:dyDescent="0.55000000000000004">
      <c r="W12674"/>
    </row>
    <row r="12675" spans="23:23" x14ac:dyDescent="0.55000000000000004">
      <c r="W12675"/>
    </row>
    <row r="12676" spans="23:23" x14ac:dyDescent="0.55000000000000004">
      <c r="W12676"/>
    </row>
    <row r="12677" spans="23:23" x14ac:dyDescent="0.55000000000000004">
      <c r="W12677"/>
    </row>
    <row r="12678" spans="23:23" x14ac:dyDescent="0.55000000000000004">
      <c r="W12678"/>
    </row>
    <row r="12679" spans="23:23" x14ac:dyDescent="0.55000000000000004">
      <c r="W12679"/>
    </row>
    <row r="12680" spans="23:23" x14ac:dyDescent="0.55000000000000004">
      <c r="W12680"/>
    </row>
    <row r="12681" spans="23:23" x14ac:dyDescent="0.55000000000000004">
      <c r="W12681"/>
    </row>
    <row r="12682" spans="23:23" x14ac:dyDescent="0.55000000000000004">
      <c r="W12682"/>
    </row>
    <row r="12683" spans="23:23" x14ac:dyDescent="0.55000000000000004">
      <c r="W12683"/>
    </row>
    <row r="12684" spans="23:23" x14ac:dyDescent="0.55000000000000004">
      <c r="W12684"/>
    </row>
    <row r="12685" spans="23:23" x14ac:dyDescent="0.55000000000000004">
      <c r="W12685"/>
    </row>
    <row r="12686" spans="23:23" x14ac:dyDescent="0.55000000000000004">
      <c r="W12686"/>
    </row>
    <row r="12687" spans="23:23" x14ac:dyDescent="0.55000000000000004">
      <c r="W12687"/>
    </row>
    <row r="12688" spans="23:23" x14ac:dyDescent="0.55000000000000004">
      <c r="W12688"/>
    </row>
    <row r="12689" spans="23:23" x14ac:dyDescent="0.55000000000000004">
      <c r="W12689"/>
    </row>
    <row r="12690" spans="23:23" x14ac:dyDescent="0.55000000000000004">
      <c r="W12690"/>
    </row>
    <row r="12691" spans="23:23" x14ac:dyDescent="0.55000000000000004">
      <c r="W12691"/>
    </row>
    <row r="12692" spans="23:23" x14ac:dyDescent="0.55000000000000004">
      <c r="W12692"/>
    </row>
    <row r="12693" spans="23:23" x14ac:dyDescent="0.55000000000000004">
      <c r="W12693"/>
    </row>
    <row r="12694" spans="23:23" x14ac:dyDescent="0.55000000000000004">
      <c r="W12694"/>
    </row>
    <row r="12695" spans="23:23" x14ac:dyDescent="0.55000000000000004">
      <c r="W12695"/>
    </row>
    <row r="12696" spans="23:23" x14ac:dyDescent="0.55000000000000004">
      <c r="W12696"/>
    </row>
    <row r="12697" spans="23:23" x14ac:dyDescent="0.55000000000000004">
      <c r="W12697"/>
    </row>
    <row r="12698" spans="23:23" x14ac:dyDescent="0.55000000000000004">
      <c r="W12698"/>
    </row>
    <row r="12699" spans="23:23" x14ac:dyDescent="0.55000000000000004">
      <c r="W12699"/>
    </row>
    <row r="12700" spans="23:23" x14ac:dyDescent="0.55000000000000004">
      <c r="W12700"/>
    </row>
    <row r="12701" spans="23:23" x14ac:dyDescent="0.55000000000000004">
      <c r="W12701"/>
    </row>
    <row r="12702" spans="23:23" x14ac:dyDescent="0.55000000000000004">
      <c r="W12702"/>
    </row>
    <row r="12703" spans="23:23" x14ac:dyDescent="0.55000000000000004">
      <c r="W12703"/>
    </row>
    <row r="12704" spans="23:23" x14ac:dyDescent="0.55000000000000004">
      <c r="W12704"/>
    </row>
    <row r="12705" spans="23:23" x14ac:dyDescent="0.55000000000000004">
      <c r="W12705"/>
    </row>
    <row r="12706" spans="23:23" x14ac:dyDescent="0.55000000000000004">
      <c r="W12706"/>
    </row>
    <row r="12707" spans="23:23" x14ac:dyDescent="0.55000000000000004">
      <c r="W12707"/>
    </row>
    <row r="12708" spans="23:23" x14ac:dyDescent="0.55000000000000004">
      <c r="W12708"/>
    </row>
    <row r="12709" spans="23:23" x14ac:dyDescent="0.55000000000000004">
      <c r="W12709"/>
    </row>
    <row r="12710" spans="23:23" x14ac:dyDescent="0.55000000000000004">
      <c r="W12710"/>
    </row>
    <row r="12711" spans="23:23" x14ac:dyDescent="0.55000000000000004">
      <c r="W12711"/>
    </row>
    <row r="12712" spans="23:23" x14ac:dyDescent="0.55000000000000004">
      <c r="W12712"/>
    </row>
    <row r="12713" spans="23:23" x14ac:dyDescent="0.55000000000000004">
      <c r="W12713"/>
    </row>
    <row r="12714" spans="23:23" x14ac:dyDescent="0.55000000000000004">
      <c r="W12714"/>
    </row>
    <row r="12715" spans="23:23" x14ac:dyDescent="0.55000000000000004">
      <c r="W12715"/>
    </row>
    <row r="12716" spans="23:23" x14ac:dyDescent="0.55000000000000004">
      <c r="W12716"/>
    </row>
    <row r="12717" spans="23:23" x14ac:dyDescent="0.55000000000000004">
      <c r="W12717"/>
    </row>
    <row r="12718" spans="23:23" x14ac:dyDescent="0.55000000000000004">
      <c r="W12718"/>
    </row>
    <row r="12719" spans="23:23" x14ac:dyDescent="0.55000000000000004">
      <c r="W12719"/>
    </row>
    <row r="12720" spans="23:23" x14ac:dyDescent="0.55000000000000004">
      <c r="W12720"/>
    </row>
    <row r="12721" spans="23:23" x14ac:dyDescent="0.55000000000000004">
      <c r="W12721"/>
    </row>
    <row r="12722" spans="23:23" x14ac:dyDescent="0.55000000000000004">
      <c r="W12722"/>
    </row>
    <row r="12723" spans="23:23" x14ac:dyDescent="0.55000000000000004">
      <c r="W12723"/>
    </row>
    <row r="12724" spans="23:23" x14ac:dyDescent="0.55000000000000004">
      <c r="W12724"/>
    </row>
    <row r="12725" spans="23:23" x14ac:dyDescent="0.55000000000000004">
      <c r="W12725"/>
    </row>
    <row r="12726" spans="23:23" x14ac:dyDescent="0.55000000000000004">
      <c r="W12726"/>
    </row>
    <row r="12727" spans="23:23" x14ac:dyDescent="0.55000000000000004">
      <c r="W12727"/>
    </row>
    <row r="12728" spans="23:23" x14ac:dyDescent="0.55000000000000004">
      <c r="W12728"/>
    </row>
    <row r="12729" spans="23:23" x14ac:dyDescent="0.55000000000000004">
      <c r="W12729"/>
    </row>
    <row r="12730" spans="23:23" x14ac:dyDescent="0.55000000000000004">
      <c r="W12730"/>
    </row>
    <row r="12731" spans="23:23" x14ac:dyDescent="0.55000000000000004">
      <c r="W12731"/>
    </row>
    <row r="12732" spans="23:23" x14ac:dyDescent="0.55000000000000004">
      <c r="W12732"/>
    </row>
    <row r="12733" spans="23:23" x14ac:dyDescent="0.55000000000000004">
      <c r="W12733"/>
    </row>
    <row r="12734" spans="23:23" x14ac:dyDescent="0.55000000000000004">
      <c r="W12734"/>
    </row>
    <row r="12735" spans="23:23" x14ac:dyDescent="0.55000000000000004">
      <c r="W12735"/>
    </row>
    <row r="12736" spans="23:23" x14ac:dyDescent="0.55000000000000004">
      <c r="W12736"/>
    </row>
    <row r="12737" spans="23:23" x14ac:dyDescent="0.55000000000000004">
      <c r="W12737"/>
    </row>
    <row r="12738" spans="23:23" x14ac:dyDescent="0.55000000000000004">
      <c r="W12738"/>
    </row>
    <row r="12739" spans="23:23" x14ac:dyDescent="0.55000000000000004">
      <c r="W12739"/>
    </row>
    <row r="12740" spans="23:23" x14ac:dyDescent="0.55000000000000004">
      <c r="W12740"/>
    </row>
    <row r="12741" spans="23:23" x14ac:dyDescent="0.55000000000000004">
      <c r="W12741"/>
    </row>
    <row r="12742" spans="23:23" x14ac:dyDescent="0.55000000000000004">
      <c r="W12742"/>
    </row>
    <row r="12743" spans="23:23" x14ac:dyDescent="0.55000000000000004">
      <c r="W12743"/>
    </row>
    <row r="12744" spans="23:23" x14ac:dyDescent="0.55000000000000004">
      <c r="W12744"/>
    </row>
    <row r="12745" spans="23:23" x14ac:dyDescent="0.55000000000000004">
      <c r="W12745"/>
    </row>
    <row r="12746" spans="23:23" x14ac:dyDescent="0.55000000000000004">
      <c r="W12746"/>
    </row>
    <row r="12747" spans="23:23" x14ac:dyDescent="0.55000000000000004">
      <c r="W12747"/>
    </row>
    <row r="12748" spans="23:23" x14ac:dyDescent="0.55000000000000004">
      <c r="W12748"/>
    </row>
    <row r="12749" spans="23:23" x14ac:dyDescent="0.55000000000000004">
      <c r="W12749"/>
    </row>
    <row r="12750" spans="23:23" x14ac:dyDescent="0.55000000000000004">
      <c r="W12750"/>
    </row>
    <row r="12751" spans="23:23" x14ac:dyDescent="0.55000000000000004">
      <c r="W12751"/>
    </row>
    <row r="12752" spans="23:23" x14ac:dyDescent="0.55000000000000004">
      <c r="W12752"/>
    </row>
    <row r="12753" spans="23:23" x14ac:dyDescent="0.55000000000000004">
      <c r="W12753"/>
    </row>
    <row r="12754" spans="23:23" x14ac:dyDescent="0.55000000000000004">
      <c r="W12754"/>
    </row>
    <row r="12755" spans="23:23" x14ac:dyDescent="0.55000000000000004">
      <c r="W12755"/>
    </row>
    <row r="12756" spans="23:23" x14ac:dyDescent="0.55000000000000004">
      <c r="W12756"/>
    </row>
    <row r="12757" spans="23:23" x14ac:dyDescent="0.55000000000000004">
      <c r="W12757"/>
    </row>
    <row r="12758" spans="23:23" x14ac:dyDescent="0.55000000000000004">
      <c r="W12758"/>
    </row>
    <row r="12759" spans="23:23" x14ac:dyDescent="0.55000000000000004">
      <c r="W12759"/>
    </row>
    <row r="12760" spans="23:23" x14ac:dyDescent="0.55000000000000004">
      <c r="W12760"/>
    </row>
    <row r="12761" spans="23:23" x14ac:dyDescent="0.55000000000000004">
      <c r="W12761"/>
    </row>
    <row r="12762" spans="23:23" x14ac:dyDescent="0.55000000000000004">
      <c r="W12762"/>
    </row>
    <row r="12763" spans="23:23" x14ac:dyDescent="0.55000000000000004">
      <c r="W12763"/>
    </row>
    <row r="12764" spans="23:23" x14ac:dyDescent="0.55000000000000004">
      <c r="W12764"/>
    </row>
    <row r="12765" spans="23:23" x14ac:dyDescent="0.55000000000000004">
      <c r="W12765"/>
    </row>
    <row r="12766" spans="23:23" x14ac:dyDescent="0.55000000000000004">
      <c r="W12766"/>
    </row>
    <row r="12767" spans="23:23" x14ac:dyDescent="0.55000000000000004">
      <c r="W12767"/>
    </row>
    <row r="12768" spans="23:23" x14ac:dyDescent="0.55000000000000004">
      <c r="W12768"/>
    </row>
    <row r="12769" spans="23:23" x14ac:dyDescent="0.55000000000000004">
      <c r="W12769"/>
    </row>
    <row r="12770" spans="23:23" x14ac:dyDescent="0.55000000000000004">
      <c r="W12770"/>
    </row>
    <row r="12771" spans="23:23" x14ac:dyDescent="0.55000000000000004">
      <c r="W12771"/>
    </row>
    <row r="12772" spans="23:23" x14ac:dyDescent="0.55000000000000004">
      <c r="W12772"/>
    </row>
    <row r="12773" spans="23:23" x14ac:dyDescent="0.55000000000000004">
      <c r="W12773"/>
    </row>
    <row r="12774" spans="23:23" x14ac:dyDescent="0.55000000000000004">
      <c r="W12774"/>
    </row>
    <row r="12775" spans="23:23" x14ac:dyDescent="0.55000000000000004">
      <c r="W12775"/>
    </row>
    <row r="12776" spans="23:23" x14ac:dyDescent="0.55000000000000004">
      <c r="W12776"/>
    </row>
    <row r="12777" spans="23:23" x14ac:dyDescent="0.55000000000000004">
      <c r="W12777"/>
    </row>
    <row r="12778" spans="23:23" x14ac:dyDescent="0.55000000000000004">
      <c r="W12778"/>
    </row>
    <row r="12779" spans="23:23" x14ac:dyDescent="0.55000000000000004">
      <c r="W12779"/>
    </row>
    <row r="12780" spans="23:23" x14ac:dyDescent="0.55000000000000004">
      <c r="W12780"/>
    </row>
    <row r="12781" spans="23:23" x14ac:dyDescent="0.55000000000000004">
      <c r="W12781"/>
    </row>
    <row r="12782" spans="23:23" x14ac:dyDescent="0.55000000000000004">
      <c r="W12782"/>
    </row>
    <row r="12783" spans="23:23" x14ac:dyDescent="0.55000000000000004">
      <c r="W12783"/>
    </row>
    <row r="12784" spans="23:23" x14ac:dyDescent="0.55000000000000004">
      <c r="W12784"/>
    </row>
    <row r="12785" spans="23:23" x14ac:dyDescent="0.55000000000000004">
      <c r="W12785"/>
    </row>
    <row r="12786" spans="23:23" x14ac:dyDescent="0.55000000000000004">
      <c r="W12786"/>
    </row>
    <row r="12787" spans="23:23" x14ac:dyDescent="0.55000000000000004">
      <c r="W12787"/>
    </row>
    <row r="12788" spans="23:23" x14ac:dyDescent="0.55000000000000004">
      <c r="W12788"/>
    </row>
    <row r="12789" spans="23:23" x14ac:dyDescent="0.55000000000000004">
      <c r="W12789"/>
    </row>
    <row r="12790" spans="23:23" x14ac:dyDescent="0.55000000000000004">
      <c r="W12790"/>
    </row>
    <row r="12791" spans="23:23" x14ac:dyDescent="0.55000000000000004">
      <c r="W12791"/>
    </row>
    <row r="12792" spans="23:23" x14ac:dyDescent="0.55000000000000004">
      <c r="W12792"/>
    </row>
    <row r="12793" spans="23:23" x14ac:dyDescent="0.55000000000000004">
      <c r="W12793"/>
    </row>
    <row r="12794" spans="23:23" x14ac:dyDescent="0.55000000000000004">
      <c r="W12794"/>
    </row>
    <row r="12795" spans="23:23" x14ac:dyDescent="0.55000000000000004">
      <c r="W12795"/>
    </row>
    <row r="12796" spans="23:23" x14ac:dyDescent="0.55000000000000004">
      <c r="W12796"/>
    </row>
    <row r="12797" spans="23:23" x14ac:dyDescent="0.55000000000000004">
      <c r="W12797"/>
    </row>
    <row r="12798" spans="23:23" x14ac:dyDescent="0.55000000000000004">
      <c r="W12798"/>
    </row>
    <row r="12799" spans="23:23" x14ac:dyDescent="0.55000000000000004">
      <c r="W12799"/>
    </row>
    <row r="12800" spans="23:23" x14ac:dyDescent="0.55000000000000004">
      <c r="W12800"/>
    </row>
    <row r="12801" spans="23:23" x14ac:dyDescent="0.55000000000000004">
      <c r="W12801"/>
    </row>
    <row r="12802" spans="23:23" x14ac:dyDescent="0.55000000000000004">
      <c r="W12802"/>
    </row>
    <row r="12803" spans="23:23" x14ac:dyDescent="0.55000000000000004">
      <c r="W12803"/>
    </row>
    <row r="12804" spans="23:23" x14ac:dyDescent="0.55000000000000004">
      <c r="W12804"/>
    </row>
    <row r="12805" spans="23:23" x14ac:dyDescent="0.55000000000000004">
      <c r="W12805"/>
    </row>
    <row r="12806" spans="23:23" x14ac:dyDescent="0.55000000000000004">
      <c r="W12806"/>
    </row>
    <row r="12807" spans="23:23" x14ac:dyDescent="0.55000000000000004">
      <c r="W12807"/>
    </row>
    <row r="12808" spans="23:23" x14ac:dyDescent="0.55000000000000004">
      <c r="W12808"/>
    </row>
    <row r="12809" spans="23:23" x14ac:dyDescent="0.55000000000000004">
      <c r="W12809"/>
    </row>
    <row r="12810" spans="23:23" x14ac:dyDescent="0.55000000000000004">
      <c r="W12810"/>
    </row>
    <row r="12811" spans="23:23" x14ac:dyDescent="0.55000000000000004">
      <c r="W12811"/>
    </row>
    <row r="12812" spans="23:23" x14ac:dyDescent="0.55000000000000004">
      <c r="W12812"/>
    </row>
    <row r="12813" spans="23:23" x14ac:dyDescent="0.55000000000000004">
      <c r="W12813"/>
    </row>
    <row r="12814" spans="23:23" x14ac:dyDescent="0.55000000000000004">
      <c r="W12814"/>
    </row>
    <row r="12815" spans="23:23" x14ac:dyDescent="0.55000000000000004">
      <c r="W12815"/>
    </row>
    <row r="12816" spans="23:23" x14ac:dyDescent="0.55000000000000004">
      <c r="W12816"/>
    </row>
    <row r="12817" spans="23:23" x14ac:dyDescent="0.55000000000000004">
      <c r="W12817"/>
    </row>
    <row r="12818" spans="23:23" x14ac:dyDescent="0.55000000000000004">
      <c r="W12818"/>
    </row>
    <row r="12819" spans="23:23" x14ac:dyDescent="0.55000000000000004">
      <c r="W12819"/>
    </row>
    <row r="12820" spans="23:23" x14ac:dyDescent="0.55000000000000004">
      <c r="W12820"/>
    </row>
    <row r="12821" spans="23:23" x14ac:dyDescent="0.55000000000000004">
      <c r="W12821"/>
    </row>
    <row r="12822" spans="23:23" x14ac:dyDescent="0.55000000000000004">
      <c r="W12822"/>
    </row>
    <row r="12823" spans="23:23" x14ac:dyDescent="0.55000000000000004">
      <c r="W12823"/>
    </row>
    <row r="12824" spans="23:23" x14ac:dyDescent="0.55000000000000004">
      <c r="W12824"/>
    </row>
    <row r="12825" spans="23:23" x14ac:dyDescent="0.55000000000000004">
      <c r="W12825"/>
    </row>
    <row r="12826" spans="23:23" x14ac:dyDescent="0.55000000000000004">
      <c r="W12826"/>
    </row>
    <row r="12827" spans="23:23" x14ac:dyDescent="0.55000000000000004">
      <c r="W12827"/>
    </row>
    <row r="12828" spans="23:23" x14ac:dyDescent="0.55000000000000004">
      <c r="W12828"/>
    </row>
    <row r="12829" spans="23:23" x14ac:dyDescent="0.55000000000000004">
      <c r="W12829"/>
    </row>
    <row r="12830" spans="23:23" x14ac:dyDescent="0.55000000000000004">
      <c r="W12830"/>
    </row>
    <row r="12831" spans="23:23" x14ac:dyDescent="0.55000000000000004">
      <c r="W12831"/>
    </row>
    <row r="12832" spans="23:23" x14ac:dyDescent="0.55000000000000004">
      <c r="W12832"/>
    </row>
    <row r="12833" spans="23:23" x14ac:dyDescent="0.55000000000000004">
      <c r="W12833"/>
    </row>
    <row r="12834" spans="23:23" x14ac:dyDescent="0.55000000000000004">
      <c r="W12834"/>
    </row>
    <row r="12835" spans="23:23" x14ac:dyDescent="0.55000000000000004">
      <c r="W12835"/>
    </row>
    <row r="12836" spans="23:23" x14ac:dyDescent="0.55000000000000004">
      <c r="W12836"/>
    </row>
    <row r="12837" spans="23:23" x14ac:dyDescent="0.55000000000000004">
      <c r="W12837"/>
    </row>
    <row r="12838" spans="23:23" x14ac:dyDescent="0.55000000000000004">
      <c r="W12838"/>
    </row>
    <row r="12839" spans="23:23" x14ac:dyDescent="0.55000000000000004">
      <c r="W12839"/>
    </row>
    <row r="12840" spans="23:23" x14ac:dyDescent="0.55000000000000004">
      <c r="W12840"/>
    </row>
    <row r="12841" spans="23:23" x14ac:dyDescent="0.55000000000000004">
      <c r="W12841"/>
    </row>
    <row r="12842" spans="23:23" x14ac:dyDescent="0.55000000000000004">
      <c r="W12842"/>
    </row>
    <row r="12843" spans="23:23" x14ac:dyDescent="0.55000000000000004">
      <c r="W12843"/>
    </row>
    <row r="12844" spans="23:23" x14ac:dyDescent="0.55000000000000004">
      <c r="W12844"/>
    </row>
    <row r="12845" spans="23:23" x14ac:dyDescent="0.55000000000000004">
      <c r="W12845"/>
    </row>
    <row r="12846" spans="23:23" x14ac:dyDescent="0.55000000000000004">
      <c r="W12846"/>
    </row>
    <row r="12847" spans="23:23" x14ac:dyDescent="0.55000000000000004">
      <c r="W12847"/>
    </row>
    <row r="12848" spans="23:23" x14ac:dyDescent="0.55000000000000004">
      <c r="W12848"/>
    </row>
    <row r="12849" spans="23:23" x14ac:dyDescent="0.55000000000000004">
      <c r="W12849"/>
    </row>
    <row r="12850" spans="23:23" x14ac:dyDescent="0.55000000000000004">
      <c r="W12850"/>
    </row>
    <row r="12851" spans="23:23" x14ac:dyDescent="0.55000000000000004">
      <c r="W12851"/>
    </row>
    <row r="12852" spans="23:23" x14ac:dyDescent="0.55000000000000004">
      <c r="W12852"/>
    </row>
    <row r="12853" spans="23:23" x14ac:dyDescent="0.55000000000000004">
      <c r="W12853"/>
    </row>
    <row r="12854" spans="23:23" x14ac:dyDescent="0.55000000000000004">
      <c r="W12854"/>
    </row>
    <row r="12855" spans="23:23" x14ac:dyDescent="0.55000000000000004">
      <c r="W12855"/>
    </row>
    <row r="12856" spans="23:23" x14ac:dyDescent="0.55000000000000004">
      <c r="W12856"/>
    </row>
    <row r="12857" spans="23:23" x14ac:dyDescent="0.55000000000000004">
      <c r="W12857"/>
    </row>
    <row r="12858" spans="23:23" x14ac:dyDescent="0.55000000000000004">
      <c r="W12858"/>
    </row>
    <row r="12859" spans="23:23" x14ac:dyDescent="0.55000000000000004">
      <c r="W12859"/>
    </row>
    <row r="12860" spans="23:23" x14ac:dyDescent="0.55000000000000004">
      <c r="W12860"/>
    </row>
    <row r="12861" spans="23:23" x14ac:dyDescent="0.55000000000000004">
      <c r="W12861"/>
    </row>
    <row r="12862" spans="23:23" x14ac:dyDescent="0.55000000000000004">
      <c r="W12862"/>
    </row>
    <row r="12863" spans="23:23" x14ac:dyDescent="0.55000000000000004">
      <c r="W12863"/>
    </row>
    <row r="12864" spans="23:23" x14ac:dyDescent="0.55000000000000004">
      <c r="W12864"/>
    </row>
    <row r="12865" spans="23:23" x14ac:dyDescent="0.55000000000000004">
      <c r="W12865"/>
    </row>
    <row r="12866" spans="23:23" x14ac:dyDescent="0.55000000000000004">
      <c r="W12866"/>
    </row>
    <row r="12867" spans="23:23" x14ac:dyDescent="0.55000000000000004">
      <c r="W12867"/>
    </row>
    <row r="12868" spans="23:23" x14ac:dyDescent="0.55000000000000004">
      <c r="W12868"/>
    </row>
    <row r="12869" spans="23:23" x14ac:dyDescent="0.55000000000000004">
      <c r="W12869"/>
    </row>
    <row r="12870" spans="23:23" x14ac:dyDescent="0.55000000000000004">
      <c r="W12870"/>
    </row>
    <row r="12871" spans="23:23" x14ac:dyDescent="0.55000000000000004">
      <c r="W12871"/>
    </row>
    <row r="12872" spans="23:23" x14ac:dyDescent="0.55000000000000004">
      <c r="W12872"/>
    </row>
    <row r="12873" spans="23:23" x14ac:dyDescent="0.55000000000000004">
      <c r="W12873"/>
    </row>
    <row r="12874" spans="23:23" x14ac:dyDescent="0.55000000000000004">
      <c r="W12874"/>
    </row>
    <row r="12875" spans="23:23" x14ac:dyDescent="0.55000000000000004">
      <c r="W12875"/>
    </row>
    <row r="12876" spans="23:23" x14ac:dyDescent="0.55000000000000004">
      <c r="W12876"/>
    </row>
    <row r="12877" spans="23:23" x14ac:dyDescent="0.55000000000000004">
      <c r="W12877"/>
    </row>
    <row r="12878" spans="23:23" x14ac:dyDescent="0.55000000000000004">
      <c r="W12878"/>
    </row>
    <row r="12879" spans="23:23" x14ac:dyDescent="0.55000000000000004">
      <c r="W12879"/>
    </row>
    <row r="12880" spans="23:23" x14ac:dyDescent="0.55000000000000004">
      <c r="W12880"/>
    </row>
    <row r="12881" spans="23:23" x14ac:dyDescent="0.55000000000000004">
      <c r="W12881"/>
    </row>
    <row r="12882" spans="23:23" x14ac:dyDescent="0.55000000000000004">
      <c r="W12882"/>
    </row>
    <row r="12883" spans="23:23" x14ac:dyDescent="0.55000000000000004">
      <c r="W12883"/>
    </row>
    <row r="12884" spans="23:23" x14ac:dyDescent="0.55000000000000004">
      <c r="W12884"/>
    </row>
    <row r="12885" spans="23:23" x14ac:dyDescent="0.55000000000000004">
      <c r="W12885"/>
    </row>
    <row r="12886" spans="23:23" x14ac:dyDescent="0.55000000000000004">
      <c r="W12886"/>
    </row>
    <row r="12887" spans="23:23" x14ac:dyDescent="0.55000000000000004">
      <c r="W12887"/>
    </row>
    <row r="12888" spans="23:23" x14ac:dyDescent="0.55000000000000004">
      <c r="W12888"/>
    </row>
    <row r="12889" spans="23:23" x14ac:dyDescent="0.55000000000000004">
      <c r="W12889"/>
    </row>
    <row r="12890" spans="23:23" x14ac:dyDescent="0.55000000000000004">
      <c r="W12890"/>
    </row>
    <row r="12891" spans="23:23" x14ac:dyDescent="0.55000000000000004">
      <c r="W12891"/>
    </row>
    <row r="12892" spans="23:23" x14ac:dyDescent="0.55000000000000004">
      <c r="W12892"/>
    </row>
    <row r="12893" spans="23:23" x14ac:dyDescent="0.55000000000000004">
      <c r="W12893"/>
    </row>
    <row r="12894" spans="23:23" x14ac:dyDescent="0.55000000000000004">
      <c r="W12894"/>
    </row>
    <row r="12895" spans="23:23" x14ac:dyDescent="0.55000000000000004">
      <c r="W12895"/>
    </row>
    <row r="12896" spans="23:23" x14ac:dyDescent="0.55000000000000004">
      <c r="W12896"/>
    </row>
    <row r="12897" spans="23:23" x14ac:dyDescent="0.55000000000000004">
      <c r="W12897"/>
    </row>
    <row r="12898" spans="23:23" x14ac:dyDescent="0.55000000000000004">
      <c r="W12898"/>
    </row>
    <row r="12899" spans="23:23" x14ac:dyDescent="0.55000000000000004">
      <c r="W12899"/>
    </row>
    <row r="12900" spans="23:23" x14ac:dyDescent="0.55000000000000004">
      <c r="W12900"/>
    </row>
    <row r="12901" spans="23:23" x14ac:dyDescent="0.55000000000000004">
      <c r="W12901"/>
    </row>
    <row r="12902" spans="23:23" x14ac:dyDescent="0.55000000000000004">
      <c r="W12902"/>
    </row>
    <row r="12903" spans="23:23" x14ac:dyDescent="0.55000000000000004">
      <c r="W12903"/>
    </row>
    <row r="12904" spans="23:23" x14ac:dyDescent="0.55000000000000004">
      <c r="W12904"/>
    </row>
    <row r="12905" spans="23:23" x14ac:dyDescent="0.55000000000000004">
      <c r="W12905"/>
    </row>
    <row r="12906" spans="23:23" x14ac:dyDescent="0.55000000000000004">
      <c r="W12906"/>
    </row>
    <row r="12907" spans="23:23" x14ac:dyDescent="0.55000000000000004">
      <c r="W12907"/>
    </row>
    <row r="12908" spans="23:23" x14ac:dyDescent="0.55000000000000004">
      <c r="W12908"/>
    </row>
    <row r="12909" spans="23:23" x14ac:dyDescent="0.55000000000000004">
      <c r="W12909"/>
    </row>
    <row r="12910" spans="23:23" x14ac:dyDescent="0.55000000000000004">
      <c r="W12910"/>
    </row>
    <row r="12911" spans="23:23" x14ac:dyDescent="0.55000000000000004">
      <c r="W12911"/>
    </row>
    <row r="12912" spans="23:23" x14ac:dyDescent="0.55000000000000004">
      <c r="W12912"/>
    </row>
    <row r="12913" spans="23:23" x14ac:dyDescent="0.55000000000000004">
      <c r="W12913"/>
    </row>
    <row r="12914" spans="23:23" x14ac:dyDescent="0.55000000000000004">
      <c r="W12914"/>
    </row>
    <row r="12915" spans="23:23" x14ac:dyDescent="0.55000000000000004">
      <c r="W12915"/>
    </row>
    <row r="12916" spans="23:23" x14ac:dyDescent="0.55000000000000004">
      <c r="W12916"/>
    </row>
    <row r="12917" spans="23:23" x14ac:dyDescent="0.55000000000000004">
      <c r="W12917"/>
    </row>
    <row r="12918" spans="23:23" x14ac:dyDescent="0.55000000000000004">
      <c r="W12918"/>
    </row>
    <row r="12919" spans="23:23" x14ac:dyDescent="0.55000000000000004">
      <c r="W12919"/>
    </row>
    <row r="12920" spans="23:23" x14ac:dyDescent="0.55000000000000004">
      <c r="W12920"/>
    </row>
    <row r="12921" spans="23:23" x14ac:dyDescent="0.55000000000000004">
      <c r="W12921"/>
    </row>
    <row r="12922" spans="23:23" x14ac:dyDescent="0.55000000000000004">
      <c r="W12922"/>
    </row>
    <row r="12923" spans="23:23" x14ac:dyDescent="0.55000000000000004">
      <c r="W12923"/>
    </row>
    <row r="12924" spans="23:23" x14ac:dyDescent="0.55000000000000004">
      <c r="W12924"/>
    </row>
    <row r="12925" spans="23:23" x14ac:dyDescent="0.55000000000000004">
      <c r="W12925"/>
    </row>
    <row r="12926" spans="23:23" x14ac:dyDescent="0.55000000000000004">
      <c r="W12926"/>
    </row>
    <row r="12927" spans="23:23" x14ac:dyDescent="0.55000000000000004">
      <c r="W12927"/>
    </row>
    <row r="12928" spans="23:23" x14ac:dyDescent="0.55000000000000004">
      <c r="W12928"/>
    </row>
    <row r="12929" spans="23:23" x14ac:dyDescent="0.55000000000000004">
      <c r="W12929"/>
    </row>
    <row r="12930" spans="23:23" x14ac:dyDescent="0.55000000000000004">
      <c r="W12930"/>
    </row>
    <row r="12931" spans="23:23" x14ac:dyDescent="0.55000000000000004">
      <c r="W12931"/>
    </row>
    <row r="12932" spans="23:23" x14ac:dyDescent="0.55000000000000004">
      <c r="W12932"/>
    </row>
    <row r="12933" spans="23:23" x14ac:dyDescent="0.55000000000000004">
      <c r="W12933"/>
    </row>
    <row r="12934" spans="23:23" x14ac:dyDescent="0.55000000000000004">
      <c r="W12934"/>
    </row>
    <row r="12935" spans="23:23" x14ac:dyDescent="0.55000000000000004">
      <c r="W12935"/>
    </row>
    <row r="12936" spans="23:23" x14ac:dyDescent="0.55000000000000004">
      <c r="W12936"/>
    </row>
    <row r="12937" spans="23:23" x14ac:dyDescent="0.55000000000000004">
      <c r="W12937"/>
    </row>
    <row r="12938" spans="23:23" x14ac:dyDescent="0.55000000000000004">
      <c r="W12938"/>
    </row>
    <row r="12939" spans="23:23" x14ac:dyDescent="0.55000000000000004">
      <c r="W12939"/>
    </row>
    <row r="12940" spans="23:23" x14ac:dyDescent="0.55000000000000004">
      <c r="W12940"/>
    </row>
    <row r="12941" spans="23:23" x14ac:dyDescent="0.55000000000000004">
      <c r="W12941"/>
    </row>
    <row r="12942" spans="23:23" x14ac:dyDescent="0.55000000000000004">
      <c r="W12942"/>
    </row>
    <row r="12943" spans="23:23" x14ac:dyDescent="0.55000000000000004">
      <c r="W12943"/>
    </row>
    <row r="12944" spans="23:23" x14ac:dyDescent="0.55000000000000004">
      <c r="W12944"/>
    </row>
    <row r="12945" spans="23:23" x14ac:dyDescent="0.55000000000000004">
      <c r="W12945"/>
    </row>
    <row r="12946" spans="23:23" x14ac:dyDescent="0.55000000000000004">
      <c r="W12946"/>
    </row>
    <row r="12947" spans="23:23" x14ac:dyDescent="0.55000000000000004">
      <c r="W12947"/>
    </row>
    <row r="12948" spans="23:23" x14ac:dyDescent="0.55000000000000004">
      <c r="W12948"/>
    </row>
    <row r="12949" spans="23:23" x14ac:dyDescent="0.55000000000000004">
      <c r="W12949"/>
    </row>
    <row r="12950" spans="23:23" x14ac:dyDescent="0.55000000000000004">
      <c r="W12950"/>
    </row>
    <row r="12951" spans="23:23" x14ac:dyDescent="0.55000000000000004">
      <c r="W12951"/>
    </row>
    <row r="12952" spans="23:23" x14ac:dyDescent="0.55000000000000004">
      <c r="W12952"/>
    </row>
    <row r="12953" spans="23:23" x14ac:dyDescent="0.55000000000000004">
      <c r="W12953"/>
    </row>
    <row r="12954" spans="23:23" x14ac:dyDescent="0.55000000000000004">
      <c r="W12954"/>
    </row>
    <row r="12955" spans="23:23" x14ac:dyDescent="0.55000000000000004">
      <c r="W12955"/>
    </row>
    <row r="12956" spans="23:23" x14ac:dyDescent="0.55000000000000004">
      <c r="W12956"/>
    </row>
    <row r="12957" spans="23:23" x14ac:dyDescent="0.55000000000000004">
      <c r="W12957"/>
    </row>
    <row r="12958" spans="23:23" x14ac:dyDescent="0.55000000000000004">
      <c r="W12958"/>
    </row>
    <row r="12959" spans="23:23" x14ac:dyDescent="0.55000000000000004">
      <c r="W12959"/>
    </row>
    <row r="12960" spans="23:23" x14ac:dyDescent="0.55000000000000004">
      <c r="W12960"/>
    </row>
    <row r="12961" spans="23:23" x14ac:dyDescent="0.55000000000000004">
      <c r="W12961"/>
    </row>
    <row r="12962" spans="23:23" x14ac:dyDescent="0.55000000000000004">
      <c r="W12962"/>
    </row>
    <row r="12963" spans="23:23" x14ac:dyDescent="0.55000000000000004">
      <c r="W12963"/>
    </row>
    <row r="12964" spans="23:23" x14ac:dyDescent="0.55000000000000004">
      <c r="W12964"/>
    </row>
    <row r="12965" spans="23:23" x14ac:dyDescent="0.55000000000000004">
      <c r="W12965"/>
    </row>
    <row r="12966" spans="23:23" x14ac:dyDescent="0.55000000000000004">
      <c r="W12966"/>
    </row>
    <row r="12967" spans="23:23" x14ac:dyDescent="0.55000000000000004">
      <c r="W12967"/>
    </row>
    <row r="12968" spans="23:23" x14ac:dyDescent="0.55000000000000004">
      <c r="W12968"/>
    </row>
    <row r="12969" spans="23:23" x14ac:dyDescent="0.55000000000000004">
      <c r="W12969"/>
    </row>
    <row r="12970" spans="23:23" x14ac:dyDescent="0.55000000000000004">
      <c r="W12970"/>
    </row>
    <row r="12971" spans="23:23" x14ac:dyDescent="0.55000000000000004">
      <c r="W12971"/>
    </row>
    <row r="12972" spans="23:23" x14ac:dyDescent="0.55000000000000004">
      <c r="W12972"/>
    </row>
    <row r="12973" spans="23:23" x14ac:dyDescent="0.55000000000000004">
      <c r="W12973"/>
    </row>
    <row r="12974" spans="23:23" x14ac:dyDescent="0.55000000000000004">
      <c r="W12974"/>
    </row>
    <row r="12975" spans="23:23" x14ac:dyDescent="0.55000000000000004">
      <c r="W12975"/>
    </row>
    <row r="12976" spans="23:23" x14ac:dyDescent="0.55000000000000004">
      <c r="W12976"/>
    </row>
    <row r="12977" spans="23:23" x14ac:dyDescent="0.55000000000000004">
      <c r="W12977"/>
    </row>
    <row r="12978" spans="23:23" x14ac:dyDescent="0.55000000000000004">
      <c r="W12978"/>
    </row>
    <row r="12979" spans="23:23" x14ac:dyDescent="0.55000000000000004">
      <c r="W12979"/>
    </row>
    <row r="12980" spans="23:23" x14ac:dyDescent="0.55000000000000004">
      <c r="W12980"/>
    </row>
    <row r="12981" spans="23:23" x14ac:dyDescent="0.55000000000000004">
      <c r="W12981"/>
    </row>
    <row r="12982" spans="23:23" x14ac:dyDescent="0.55000000000000004">
      <c r="W12982"/>
    </row>
    <row r="12983" spans="23:23" x14ac:dyDescent="0.55000000000000004">
      <c r="W12983"/>
    </row>
    <row r="12984" spans="23:23" x14ac:dyDescent="0.55000000000000004">
      <c r="W12984"/>
    </row>
    <row r="12985" spans="23:23" x14ac:dyDescent="0.55000000000000004">
      <c r="W12985"/>
    </row>
    <row r="12986" spans="23:23" x14ac:dyDescent="0.55000000000000004">
      <c r="W12986"/>
    </row>
    <row r="12987" spans="23:23" x14ac:dyDescent="0.55000000000000004">
      <c r="W12987"/>
    </row>
    <row r="12988" spans="23:23" x14ac:dyDescent="0.55000000000000004">
      <c r="W12988"/>
    </row>
    <row r="12989" spans="23:23" x14ac:dyDescent="0.55000000000000004">
      <c r="W12989"/>
    </row>
    <row r="12990" spans="23:23" x14ac:dyDescent="0.55000000000000004">
      <c r="W12990"/>
    </row>
    <row r="12991" spans="23:23" x14ac:dyDescent="0.55000000000000004">
      <c r="W12991"/>
    </row>
    <row r="12992" spans="23:23" x14ac:dyDescent="0.55000000000000004">
      <c r="W12992"/>
    </row>
    <row r="12993" spans="23:23" x14ac:dyDescent="0.55000000000000004">
      <c r="W12993"/>
    </row>
    <row r="12994" spans="23:23" x14ac:dyDescent="0.55000000000000004">
      <c r="W12994"/>
    </row>
    <row r="12995" spans="23:23" x14ac:dyDescent="0.55000000000000004">
      <c r="W12995"/>
    </row>
    <row r="12996" spans="23:23" x14ac:dyDescent="0.55000000000000004">
      <c r="W12996"/>
    </row>
    <row r="12997" spans="23:23" x14ac:dyDescent="0.55000000000000004">
      <c r="W12997"/>
    </row>
    <row r="12998" spans="23:23" x14ac:dyDescent="0.55000000000000004">
      <c r="W12998"/>
    </row>
    <row r="12999" spans="23:23" x14ac:dyDescent="0.55000000000000004">
      <c r="W12999"/>
    </row>
    <row r="13000" spans="23:23" x14ac:dyDescent="0.55000000000000004">
      <c r="W13000"/>
    </row>
    <row r="13001" spans="23:23" x14ac:dyDescent="0.55000000000000004">
      <c r="W13001"/>
    </row>
    <row r="13002" spans="23:23" x14ac:dyDescent="0.55000000000000004">
      <c r="W13002"/>
    </row>
    <row r="13003" spans="23:23" x14ac:dyDescent="0.55000000000000004">
      <c r="W13003"/>
    </row>
    <row r="13004" spans="23:23" x14ac:dyDescent="0.55000000000000004">
      <c r="W13004"/>
    </row>
    <row r="13005" spans="23:23" x14ac:dyDescent="0.55000000000000004">
      <c r="W13005"/>
    </row>
    <row r="13006" spans="23:23" x14ac:dyDescent="0.55000000000000004">
      <c r="W13006"/>
    </row>
    <row r="13007" spans="23:23" x14ac:dyDescent="0.55000000000000004">
      <c r="W13007"/>
    </row>
    <row r="13008" spans="23:23" x14ac:dyDescent="0.55000000000000004">
      <c r="W13008"/>
    </row>
    <row r="13009" spans="23:23" x14ac:dyDescent="0.55000000000000004">
      <c r="W13009"/>
    </row>
    <row r="13010" spans="23:23" x14ac:dyDescent="0.55000000000000004">
      <c r="W13010"/>
    </row>
    <row r="13011" spans="23:23" x14ac:dyDescent="0.55000000000000004">
      <c r="W13011"/>
    </row>
    <row r="13012" spans="23:23" x14ac:dyDescent="0.55000000000000004">
      <c r="W13012"/>
    </row>
    <row r="13013" spans="23:23" x14ac:dyDescent="0.55000000000000004">
      <c r="W13013"/>
    </row>
    <row r="13014" spans="23:23" x14ac:dyDescent="0.55000000000000004">
      <c r="W13014"/>
    </row>
    <row r="13015" spans="23:23" x14ac:dyDescent="0.55000000000000004">
      <c r="W13015"/>
    </row>
    <row r="13016" spans="23:23" x14ac:dyDescent="0.55000000000000004">
      <c r="W13016"/>
    </row>
    <row r="13017" spans="23:23" x14ac:dyDescent="0.55000000000000004">
      <c r="W13017"/>
    </row>
    <row r="13018" spans="23:23" x14ac:dyDescent="0.55000000000000004">
      <c r="W13018"/>
    </row>
    <row r="13019" spans="23:23" x14ac:dyDescent="0.55000000000000004">
      <c r="W13019"/>
    </row>
    <row r="13020" spans="23:23" x14ac:dyDescent="0.55000000000000004">
      <c r="W13020"/>
    </row>
    <row r="13021" spans="23:23" x14ac:dyDescent="0.55000000000000004">
      <c r="W13021"/>
    </row>
    <row r="13022" spans="23:23" x14ac:dyDescent="0.55000000000000004">
      <c r="W13022"/>
    </row>
    <row r="13023" spans="23:23" x14ac:dyDescent="0.55000000000000004">
      <c r="W13023"/>
    </row>
    <row r="13024" spans="23:23" x14ac:dyDescent="0.55000000000000004">
      <c r="W13024"/>
    </row>
    <row r="13025" spans="23:23" x14ac:dyDescent="0.55000000000000004">
      <c r="W13025"/>
    </row>
    <row r="13026" spans="23:23" x14ac:dyDescent="0.55000000000000004">
      <c r="W13026"/>
    </row>
    <row r="13027" spans="23:23" x14ac:dyDescent="0.55000000000000004">
      <c r="W13027"/>
    </row>
    <row r="13028" spans="23:23" x14ac:dyDescent="0.55000000000000004">
      <c r="W13028"/>
    </row>
    <row r="13029" spans="23:23" x14ac:dyDescent="0.55000000000000004">
      <c r="W13029"/>
    </row>
    <row r="13030" spans="23:23" x14ac:dyDescent="0.55000000000000004">
      <c r="W13030"/>
    </row>
    <row r="13031" spans="23:23" x14ac:dyDescent="0.55000000000000004">
      <c r="W13031"/>
    </row>
    <row r="13032" spans="23:23" x14ac:dyDescent="0.55000000000000004">
      <c r="W13032"/>
    </row>
    <row r="13033" spans="23:23" x14ac:dyDescent="0.55000000000000004">
      <c r="W13033"/>
    </row>
    <row r="13034" spans="23:23" x14ac:dyDescent="0.55000000000000004">
      <c r="W13034"/>
    </row>
    <row r="13035" spans="23:23" x14ac:dyDescent="0.55000000000000004">
      <c r="W13035"/>
    </row>
    <row r="13036" spans="23:23" x14ac:dyDescent="0.55000000000000004">
      <c r="W13036"/>
    </row>
    <row r="13037" spans="23:23" x14ac:dyDescent="0.55000000000000004">
      <c r="W13037"/>
    </row>
    <row r="13038" spans="23:23" x14ac:dyDescent="0.55000000000000004">
      <c r="W13038"/>
    </row>
    <row r="13039" spans="23:23" x14ac:dyDescent="0.55000000000000004">
      <c r="W13039"/>
    </row>
    <row r="13040" spans="23:23" x14ac:dyDescent="0.55000000000000004">
      <c r="W13040"/>
    </row>
    <row r="13041" spans="23:23" x14ac:dyDescent="0.55000000000000004">
      <c r="W13041"/>
    </row>
    <row r="13042" spans="23:23" x14ac:dyDescent="0.55000000000000004">
      <c r="W13042"/>
    </row>
    <row r="13043" spans="23:23" x14ac:dyDescent="0.55000000000000004">
      <c r="W13043"/>
    </row>
    <row r="13044" spans="23:23" x14ac:dyDescent="0.55000000000000004">
      <c r="W13044"/>
    </row>
    <row r="13045" spans="23:23" x14ac:dyDescent="0.55000000000000004">
      <c r="W13045"/>
    </row>
    <row r="13046" spans="23:23" x14ac:dyDescent="0.55000000000000004">
      <c r="W13046"/>
    </row>
    <row r="13047" spans="23:23" x14ac:dyDescent="0.55000000000000004">
      <c r="W13047"/>
    </row>
    <row r="13048" spans="23:23" x14ac:dyDescent="0.55000000000000004">
      <c r="W13048"/>
    </row>
    <row r="13049" spans="23:23" x14ac:dyDescent="0.55000000000000004">
      <c r="W13049"/>
    </row>
    <row r="13050" spans="23:23" x14ac:dyDescent="0.55000000000000004">
      <c r="W13050"/>
    </row>
    <row r="13051" spans="23:23" x14ac:dyDescent="0.55000000000000004">
      <c r="W13051"/>
    </row>
    <row r="13052" spans="23:23" x14ac:dyDescent="0.55000000000000004">
      <c r="W13052"/>
    </row>
    <row r="13053" spans="23:23" x14ac:dyDescent="0.55000000000000004">
      <c r="W13053"/>
    </row>
    <row r="13054" spans="23:23" x14ac:dyDescent="0.55000000000000004">
      <c r="W13054"/>
    </row>
    <row r="13055" spans="23:23" x14ac:dyDescent="0.55000000000000004">
      <c r="W13055"/>
    </row>
    <row r="13056" spans="23:23" x14ac:dyDescent="0.55000000000000004">
      <c r="W13056"/>
    </row>
    <row r="13057" spans="23:23" x14ac:dyDescent="0.55000000000000004">
      <c r="W13057"/>
    </row>
    <row r="13058" spans="23:23" x14ac:dyDescent="0.55000000000000004">
      <c r="W13058"/>
    </row>
    <row r="13059" spans="23:23" x14ac:dyDescent="0.55000000000000004">
      <c r="W13059"/>
    </row>
    <row r="13060" spans="23:23" x14ac:dyDescent="0.55000000000000004">
      <c r="W13060"/>
    </row>
    <row r="13061" spans="23:23" x14ac:dyDescent="0.55000000000000004">
      <c r="W13061"/>
    </row>
    <row r="13062" spans="23:23" x14ac:dyDescent="0.55000000000000004">
      <c r="W13062"/>
    </row>
    <row r="13063" spans="23:23" x14ac:dyDescent="0.55000000000000004">
      <c r="W13063"/>
    </row>
    <row r="13064" spans="23:23" x14ac:dyDescent="0.55000000000000004">
      <c r="W13064"/>
    </row>
    <row r="13065" spans="23:23" x14ac:dyDescent="0.55000000000000004">
      <c r="W13065"/>
    </row>
    <row r="13066" spans="23:23" x14ac:dyDescent="0.55000000000000004">
      <c r="W13066"/>
    </row>
    <row r="13067" spans="23:23" x14ac:dyDescent="0.55000000000000004">
      <c r="W13067"/>
    </row>
    <row r="13068" spans="23:23" x14ac:dyDescent="0.55000000000000004">
      <c r="W13068"/>
    </row>
    <row r="13069" spans="23:23" x14ac:dyDescent="0.55000000000000004">
      <c r="W13069"/>
    </row>
    <row r="13070" spans="23:23" x14ac:dyDescent="0.55000000000000004">
      <c r="W13070"/>
    </row>
    <row r="13071" spans="23:23" x14ac:dyDescent="0.55000000000000004">
      <c r="W13071"/>
    </row>
    <row r="13072" spans="23:23" x14ac:dyDescent="0.55000000000000004">
      <c r="W13072"/>
    </row>
    <row r="13073" spans="23:23" x14ac:dyDescent="0.55000000000000004">
      <c r="W13073"/>
    </row>
    <row r="13074" spans="23:23" x14ac:dyDescent="0.55000000000000004">
      <c r="W13074"/>
    </row>
    <row r="13075" spans="23:23" x14ac:dyDescent="0.55000000000000004">
      <c r="W13075"/>
    </row>
    <row r="13076" spans="23:23" x14ac:dyDescent="0.55000000000000004">
      <c r="W13076"/>
    </row>
    <row r="13077" spans="23:23" x14ac:dyDescent="0.55000000000000004">
      <c r="W13077"/>
    </row>
    <row r="13078" spans="23:23" x14ac:dyDescent="0.55000000000000004">
      <c r="W13078"/>
    </row>
    <row r="13079" spans="23:23" x14ac:dyDescent="0.55000000000000004">
      <c r="W13079"/>
    </row>
    <row r="13080" spans="23:23" x14ac:dyDescent="0.55000000000000004">
      <c r="W13080"/>
    </row>
    <row r="13081" spans="23:23" x14ac:dyDescent="0.55000000000000004">
      <c r="W13081"/>
    </row>
    <row r="13082" spans="23:23" x14ac:dyDescent="0.55000000000000004">
      <c r="W13082"/>
    </row>
    <row r="13083" spans="23:23" x14ac:dyDescent="0.55000000000000004">
      <c r="W13083"/>
    </row>
    <row r="13084" spans="23:23" x14ac:dyDescent="0.55000000000000004">
      <c r="W13084"/>
    </row>
    <row r="13085" spans="23:23" x14ac:dyDescent="0.55000000000000004">
      <c r="W13085"/>
    </row>
    <row r="13086" spans="23:23" x14ac:dyDescent="0.55000000000000004">
      <c r="W13086"/>
    </row>
    <row r="13087" spans="23:23" x14ac:dyDescent="0.55000000000000004">
      <c r="W13087"/>
    </row>
    <row r="13088" spans="23:23" x14ac:dyDescent="0.55000000000000004">
      <c r="W13088"/>
    </row>
    <row r="13089" spans="23:23" x14ac:dyDescent="0.55000000000000004">
      <c r="W13089"/>
    </row>
    <row r="13090" spans="23:23" x14ac:dyDescent="0.55000000000000004">
      <c r="W13090"/>
    </row>
    <row r="13091" spans="23:23" x14ac:dyDescent="0.55000000000000004">
      <c r="W13091"/>
    </row>
    <row r="13092" spans="23:23" x14ac:dyDescent="0.55000000000000004">
      <c r="W13092"/>
    </row>
    <row r="13093" spans="23:23" x14ac:dyDescent="0.55000000000000004">
      <c r="W13093"/>
    </row>
    <row r="13094" spans="23:23" x14ac:dyDescent="0.55000000000000004">
      <c r="W13094"/>
    </row>
    <row r="13095" spans="23:23" x14ac:dyDescent="0.55000000000000004">
      <c r="W13095"/>
    </row>
    <row r="13096" spans="23:23" x14ac:dyDescent="0.55000000000000004">
      <c r="W13096"/>
    </row>
    <row r="13097" spans="23:23" x14ac:dyDescent="0.55000000000000004">
      <c r="W13097"/>
    </row>
    <row r="13098" spans="23:23" x14ac:dyDescent="0.55000000000000004">
      <c r="W13098"/>
    </row>
    <row r="13099" spans="23:23" x14ac:dyDescent="0.55000000000000004">
      <c r="W13099"/>
    </row>
    <row r="13100" spans="23:23" x14ac:dyDescent="0.55000000000000004">
      <c r="W13100"/>
    </row>
    <row r="13101" spans="23:23" x14ac:dyDescent="0.55000000000000004">
      <c r="W13101"/>
    </row>
    <row r="13102" spans="23:23" x14ac:dyDescent="0.55000000000000004">
      <c r="W13102"/>
    </row>
    <row r="13103" spans="23:23" x14ac:dyDescent="0.55000000000000004">
      <c r="W13103"/>
    </row>
    <row r="13104" spans="23:23" x14ac:dyDescent="0.55000000000000004">
      <c r="W13104"/>
    </row>
    <row r="13105" spans="23:23" x14ac:dyDescent="0.55000000000000004">
      <c r="W13105"/>
    </row>
    <row r="13106" spans="23:23" x14ac:dyDescent="0.55000000000000004">
      <c r="W13106"/>
    </row>
    <row r="13107" spans="23:23" x14ac:dyDescent="0.55000000000000004">
      <c r="W13107"/>
    </row>
    <row r="13108" spans="23:23" x14ac:dyDescent="0.55000000000000004">
      <c r="W13108"/>
    </row>
    <row r="13109" spans="23:23" x14ac:dyDescent="0.55000000000000004">
      <c r="W13109"/>
    </row>
    <row r="13110" spans="23:23" x14ac:dyDescent="0.55000000000000004">
      <c r="W13110"/>
    </row>
    <row r="13111" spans="23:23" x14ac:dyDescent="0.55000000000000004">
      <c r="W13111"/>
    </row>
    <row r="13112" spans="23:23" x14ac:dyDescent="0.55000000000000004">
      <c r="W13112"/>
    </row>
    <row r="13113" spans="23:23" x14ac:dyDescent="0.55000000000000004">
      <c r="W13113"/>
    </row>
    <row r="13114" spans="23:23" x14ac:dyDescent="0.55000000000000004">
      <c r="W13114"/>
    </row>
    <row r="13115" spans="23:23" x14ac:dyDescent="0.55000000000000004">
      <c r="W13115"/>
    </row>
    <row r="13116" spans="23:23" x14ac:dyDescent="0.55000000000000004">
      <c r="W13116"/>
    </row>
    <row r="13117" spans="23:23" x14ac:dyDescent="0.55000000000000004">
      <c r="W13117"/>
    </row>
    <row r="13118" spans="23:23" x14ac:dyDescent="0.55000000000000004">
      <c r="W13118"/>
    </row>
    <row r="13119" spans="23:23" x14ac:dyDescent="0.55000000000000004">
      <c r="W13119"/>
    </row>
    <row r="13120" spans="23:23" x14ac:dyDescent="0.55000000000000004">
      <c r="W13120"/>
    </row>
    <row r="13121" spans="23:23" x14ac:dyDescent="0.55000000000000004">
      <c r="W13121"/>
    </row>
    <row r="13122" spans="23:23" x14ac:dyDescent="0.55000000000000004">
      <c r="W13122"/>
    </row>
    <row r="13123" spans="23:23" x14ac:dyDescent="0.55000000000000004">
      <c r="W13123"/>
    </row>
    <row r="13124" spans="23:23" x14ac:dyDescent="0.55000000000000004">
      <c r="W13124"/>
    </row>
    <row r="13125" spans="23:23" x14ac:dyDescent="0.55000000000000004">
      <c r="W13125"/>
    </row>
    <row r="13126" spans="23:23" x14ac:dyDescent="0.55000000000000004">
      <c r="W13126"/>
    </row>
    <row r="13127" spans="23:23" x14ac:dyDescent="0.55000000000000004">
      <c r="W13127"/>
    </row>
    <row r="13128" spans="23:23" x14ac:dyDescent="0.55000000000000004">
      <c r="W13128"/>
    </row>
    <row r="13129" spans="23:23" x14ac:dyDescent="0.55000000000000004">
      <c r="W13129"/>
    </row>
    <row r="13130" spans="23:23" x14ac:dyDescent="0.55000000000000004">
      <c r="W13130"/>
    </row>
    <row r="13131" spans="23:23" x14ac:dyDescent="0.55000000000000004">
      <c r="W13131"/>
    </row>
    <row r="13132" spans="23:23" x14ac:dyDescent="0.55000000000000004">
      <c r="W13132"/>
    </row>
    <row r="13133" spans="23:23" x14ac:dyDescent="0.55000000000000004">
      <c r="W13133"/>
    </row>
    <row r="13134" spans="23:23" x14ac:dyDescent="0.55000000000000004">
      <c r="W13134"/>
    </row>
    <row r="13135" spans="23:23" x14ac:dyDescent="0.55000000000000004">
      <c r="W13135"/>
    </row>
    <row r="13136" spans="23:23" x14ac:dyDescent="0.55000000000000004">
      <c r="W13136"/>
    </row>
    <row r="13137" spans="23:23" x14ac:dyDescent="0.55000000000000004">
      <c r="W13137"/>
    </row>
    <row r="13138" spans="23:23" x14ac:dyDescent="0.55000000000000004">
      <c r="W13138"/>
    </row>
    <row r="13139" spans="23:23" x14ac:dyDescent="0.55000000000000004">
      <c r="W13139"/>
    </row>
    <row r="13140" spans="23:23" x14ac:dyDescent="0.55000000000000004">
      <c r="W13140"/>
    </row>
    <row r="13141" spans="23:23" x14ac:dyDescent="0.55000000000000004">
      <c r="W13141"/>
    </row>
    <row r="13142" spans="23:23" x14ac:dyDescent="0.55000000000000004">
      <c r="W13142"/>
    </row>
    <row r="13143" spans="23:23" x14ac:dyDescent="0.55000000000000004">
      <c r="W13143"/>
    </row>
    <row r="13144" spans="23:23" x14ac:dyDescent="0.55000000000000004">
      <c r="W13144"/>
    </row>
    <row r="13145" spans="23:23" x14ac:dyDescent="0.55000000000000004">
      <c r="W13145"/>
    </row>
    <row r="13146" spans="23:23" x14ac:dyDescent="0.55000000000000004">
      <c r="W13146"/>
    </row>
    <row r="13147" spans="23:23" x14ac:dyDescent="0.55000000000000004">
      <c r="W13147"/>
    </row>
    <row r="13148" spans="23:23" x14ac:dyDescent="0.55000000000000004">
      <c r="W13148"/>
    </row>
    <row r="13149" spans="23:23" x14ac:dyDescent="0.55000000000000004">
      <c r="W13149"/>
    </row>
    <row r="13150" spans="23:23" x14ac:dyDescent="0.55000000000000004">
      <c r="W13150"/>
    </row>
    <row r="13151" spans="23:23" x14ac:dyDescent="0.55000000000000004">
      <c r="W13151"/>
    </row>
    <row r="13152" spans="23:23" x14ac:dyDescent="0.55000000000000004">
      <c r="W13152"/>
    </row>
    <row r="13153" spans="23:23" x14ac:dyDescent="0.55000000000000004">
      <c r="W13153"/>
    </row>
    <row r="13154" spans="23:23" x14ac:dyDescent="0.55000000000000004">
      <c r="W13154"/>
    </row>
    <row r="13155" spans="23:23" x14ac:dyDescent="0.55000000000000004">
      <c r="W13155"/>
    </row>
    <row r="13156" spans="23:23" x14ac:dyDescent="0.55000000000000004">
      <c r="W13156"/>
    </row>
    <row r="13157" spans="23:23" x14ac:dyDescent="0.55000000000000004">
      <c r="W13157"/>
    </row>
    <row r="13158" spans="23:23" x14ac:dyDescent="0.55000000000000004">
      <c r="W13158"/>
    </row>
    <row r="13159" spans="23:23" x14ac:dyDescent="0.55000000000000004">
      <c r="W13159"/>
    </row>
    <row r="13160" spans="23:23" x14ac:dyDescent="0.55000000000000004">
      <c r="W13160"/>
    </row>
    <row r="13161" spans="23:23" x14ac:dyDescent="0.55000000000000004">
      <c r="W13161"/>
    </row>
    <row r="13162" spans="23:23" x14ac:dyDescent="0.55000000000000004">
      <c r="W13162"/>
    </row>
    <row r="13163" spans="23:23" x14ac:dyDescent="0.55000000000000004">
      <c r="W13163"/>
    </row>
    <row r="13164" spans="23:23" x14ac:dyDescent="0.55000000000000004">
      <c r="W13164"/>
    </row>
    <row r="13165" spans="23:23" x14ac:dyDescent="0.55000000000000004">
      <c r="W13165"/>
    </row>
    <row r="13166" spans="23:23" x14ac:dyDescent="0.55000000000000004">
      <c r="W13166"/>
    </row>
    <row r="13167" spans="23:23" x14ac:dyDescent="0.55000000000000004">
      <c r="W13167"/>
    </row>
    <row r="13168" spans="23:23" x14ac:dyDescent="0.55000000000000004">
      <c r="W13168"/>
    </row>
    <row r="13169" spans="23:23" x14ac:dyDescent="0.55000000000000004">
      <c r="W13169"/>
    </row>
    <row r="13170" spans="23:23" x14ac:dyDescent="0.55000000000000004">
      <c r="W13170"/>
    </row>
    <row r="13171" spans="23:23" x14ac:dyDescent="0.55000000000000004">
      <c r="W13171"/>
    </row>
    <row r="13172" spans="23:23" x14ac:dyDescent="0.55000000000000004">
      <c r="W13172"/>
    </row>
    <row r="13173" spans="23:23" x14ac:dyDescent="0.55000000000000004">
      <c r="W13173"/>
    </row>
    <row r="13174" spans="23:23" x14ac:dyDescent="0.55000000000000004">
      <c r="W13174"/>
    </row>
    <row r="13175" spans="23:23" x14ac:dyDescent="0.55000000000000004">
      <c r="W13175"/>
    </row>
    <row r="13176" spans="23:23" x14ac:dyDescent="0.55000000000000004">
      <c r="W13176"/>
    </row>
    <row r="13177" spans="23:23" x14ac:dyDescent="0.55000000000000004">
      <c r="W13177"/>
    </row>
    <row r="13178" spans="23:23" x14ac:dyDescent="0.55000000000000004">
      <c r="W13178"/>
    </row>
    <row r="13179" spans="23:23" x14ac:dyDescent="0.55000000000000004">
      <c r="W13179"/>
    </row>
    <row r="13180" spans="23:23" x14ac:dyDescent="0.55000000000000004">
      <c r="W13180"/>
    </row>
    <row r="13181" spans="23:23" x14ac:dyDescent="0.55000000000000004">
      <c r="W13181"/>
    </row>
    <row r="13182" spans="23:23" x14ac:dyDescent="0.55000000000000004">
      <c r="W13182"/>
    </row>
    <row r="13183" spans="23:23" x14ac:dyDescent="0.55000000000000004">
      <c r="W13183"/>
    </row>
    <row r="13184" spans="23:23" x14ac:dyDescent="0.55000000000000004">
      <c r="W13184"/>
    </row>
    <row r="13185" spans="23:23" x14ac:dyDescent="0.55000000000000004">
      <c r="W13185"/>
    </row>
    <row r="13186" spans="23:23" x14ac:dyDescent="0.55000000000000004">
      <c r="W13186"/>
    </row>
    <row r="13187" spans="23:23" x14ac:dyDescent="0.55000000000000004">
      <c r="W13187"/>
    </row>
    <row r="13188" spans="23:23" x14ac:dyDescent="0.55000000000000004">
      <c r="W13188"/>
    </row>
    <row r="13189" spans="23:23" x14ac:dyDescent="0.55000000000000004">
      <c r="W13189"/>
    </row>
    <row r="13190" spans="23:23" x14ac:dyDescent="0.55000000000000004">
      <c r="W13190"/>
    </row>
    <row r="13191" spans="23:23" x14ac:dyDescent="0.55000000000000004">
      <c r="W13191"/>
    </row>
    <row r="13192" spans="23:23" x14ac:dyDescent="0.55000000000000004">
      <c r="W13192"/>
    </row>
    <row r="13193" spans="23:23" x14ac:dyDescent="0.55000000000000004">
      <c r="W13193"/>
    </row>
    <row r="13194" spans="23:23" x14ac:dyDescent="0.55000000000000004">
      <c r="W13194"/>
    </row>
    <row r="13195" spans="23:23" x14ac:dyDescent="0.55000000000000004">
      <c r="W13195"/>
    </row>
    <row r="13196" spans="23:23" x14ac:dyDescent="0.55000000000000004">
      <c r="W13196"/>
    </row>
    <row r="13197" spans="23:23" x14ac:dyDescent="0.55000000000000004">
      <c r="W13197"/>
    </row>
    <row r="13198" spans="23:23" x14ac:dyDescent="0.55000000000000004">
      <c r="W13198"/>
    </row>
    <row r="13199" spans="23:23" x14ac:dyDescent="0.55000000000000004">
      <c r="W13199"/>
    </row>
    <row r="13200" spans="23:23" x14ac:dyDescent="0.55000000000000004">
      <c r="W13200"/>
    </row>
    <row r="13201" spans="23:23" x14ac:dyDescent="0.55000000000000004">
      <c r="W13201"/>
    </row>
    <row r="13202" spans="23:23" x14ac:dyDescent="0.55000000000000004">
      <c r="W13202"/>
    </row>
    <row r="13203" spans="23:23" x14ac:dyDescent="0.55000000000000004">
      <c r="W13203"/>
    </row>
    <row r="13204" spans="23:23" x14ac:dyDescent="0.55000000000000004">
      <c r="W13204"/>
    </row>
    <row r="13205" spans="23:23" x14ac:dyDescent="0.55000000000000004">
      <c r="W13205"/>
    </row>
    <row r="13206" spans="23:23" x14ac:dyDescent="0.55000000000000004">
      <c r="W13206"/>
    </row>
    <row r="13207" spans="23:23" x14ac:dyDescent="0.55000000000000004">
      <c r="W13207"/>
    </row>
    <row r="13208" spans="23:23" x14ac:dyDescent="0.55000000000000004">
      <c r="W13208"/>
    </row>
    <row r="13209" spans="23:23" x14ac:dyDescent="0.55000000000000004">
      <c r="W13209"/>
    </row>
    <row r="13210" spans="23:23" x14ac:dyDescent="0.55000000000000004">
      <c r="W13210"/>
    </row>
    <row r="13211" spans="23:23" x14ac:dyDescent="0.55000000000000004">
      <c r="W13211"/>
    </row>
    <row r="13212" spans="23:23" x14ac:dyDescent="0.55000000000000004">
      <c r="W13212"/>
    </row>
    <row r="13213" spans="23:23" x14ac:dyDescent="0.55000000000000004">
      <c r="W13213"/>
    </row>
    <row r="13214" spans="23:23" x14ac:dyDescent="0.55000000000000004">
      <c r="W13214"/>
    </row>
    <row r="13215" spans="23:23" x14ac:dyDescent="0.55000000000000004">
      <c r="W13215"/>
    </row>
    <row r="13216" spans="23:23" x14ac:dyDescent="0.55000000000000004">
      <c r="W13216"/>
    </row>
    <row r="13217" spans="23:23" x14ac:dyDescent="0.55000000000000004">
      <c r="W13217"/>
    </row>
    <row r="13218" spans="23:23" x14ac:dyDescent="0.55000000000000004">
      <c r="W13218"/>
    </row>
    <row r="13219" spans="23:23" x14ac:dyDescent="0.55000000000000004">
      <c r="W13219"/>
    </row>
    <row r="13220" spans="23:23" x14ac:dyDescent="0.55000000000000004">
      <c r="W13220"/>
    </row>
    <row r="13221" spans="23:23" x14ac:dyDescent="0.55000000000000004">
      <c r="W13221"/>
    </row>
    <row r="13222" spans="23:23" x14ac:dyDescent="0.55000000000000004">
      <c r="W13222"/>
    </row>
    <row r="13223" spans="23:23" x14ac:dyDescent="0.55000000000000004">
      <c r="W13223"/>
    </row>
    <row r="13224" spans="23:23" x14ac:dyDescent="0.55000000000000004">
      <c r="W13224"/>
    </row>
    <row r="13225" spans="23:23" x14ac:dyDescent="0.55000000000000004">
      <c r="W13225"/>
    </row>
    <row r="13226" spans="23:23" x14ac:dyDescent="0.55000000000000004">
      <c r="W13226"/>
    </row>
    <row r="13227" spans="23:23" x14ac:dyDescent="0.55000000000000004">
      <c r="W13227"/>
    </row>
    <row r="13228" spans="23:23" x14ac:dyDescent="0.55000000000000004">
      <c r="W13228"/>
    </row>
    <row r="13229" spans="23:23" x14ac:dyDescent="0.55000000000000004">
      <c r="W13229"/>
    </row>
    <row r="13230" spans="23:23" x14ac:dyDescent="0.55000000000000004">
      <c r="W13230"/>
    </row>
    <row r="13231" spans="23:23" x14ac:dyDescent="0.55000000000000004">
      <c r="W13231"/>
    </row>
    <row r="13232" spans="23:23" x14ac:dyDescent="0.55000000000000004">
      <c r="W13232"/>
    </row>
    <row r="13233" spans="23:23" x14ac:dyDescent="0.55000000000000004">
      <c r="W13233"/>
    </row>
    <row r="13234" spans="23:23" x14ac:dyDescent="0.55000000000000004">
      <c r="W13234"/>
    </row>
    <row r="13235" spans="23:23" x14ac:dyDescent="0.55000000000000004">
      <c r="W13235"/>
    </row>
    <row r="13236" spans="23:23" x14ac:dyDescent="0.55000000000000004">
      <c r="W13236"/>
    </row>
    <row r="13237" spans="23:23" x14ac:dyDescent="0.55000000000000004">
      <c r="W13237"/>
    </row>
    <row r="13238" spans="23:23" x14ac:dyDescent="0.55000000000000004">
      <c r="W13238"/>
    </row>
    <row r="13239" spans="23:23" x14ac:dyDescent="0.55000000000000004">
      <c r="W13239"/>
    </row>
    <row r="13240" spans="23:23" x14ac:dyDescent="0.55000000000000004">
      <c r="W13240"/>
    </row>
    <row r="13241" spans="23:23" x14ac:dyDescent="0.55000000000000004">
      <c r="W13241"/>
    </row>
    <row r="13242" spans="23:23" x14ac:dyDescent="0.55000000000000004">
      <c r="W13242"/>
    </row>
    <row r="13243" spans="23:23" x14ac:dyDescent="0.55000000000000004">
      <c r="W13243"/>
    </row>
    <row r="13244" spans="23:23" x14ac:dyDescent="0.55000000000000004">
      <c r="W13244"/>
    </row>
    <row r="13245" spans="23:23" x14ac:dyDescent="0.55000000000000004">
      <c r="W13245"/>
    </row>
    <row r="13246" spans="23:23" x14ac:dyDescent="0.55000000000000004">
      <c r="W13246"/>
    </row>
    <row r="13247" spans="23:23" x14ac:dyDescent="0.55000000000000004">
      <c r="W13247"/>
    </row>
    <row r="13248" spans="23:23" x14ac:dyDescent="0.55000000000000004">
      <c r="W13248"/>
    </row>
    <row r="13249" spans="23:23" x14ac:dyDescent="0.55000000000000004">
      <c r="W13249"/>
    </row>
    <row r="13250" spans="23:23" x14ac:dyDescent="0.55000000000000004">
      <c r="W13250"/>
    </row>
    <row r="13251" spans="23:23" x14ac:dyDescent="0.55000000000000004">
      <c r="W13251"/>
    </row>
    <row r="13252" spans="23:23" x14ac:dyDescent="0.55000000000000004">
      <c r="W13252"/>
    </row>
    <row r="13253" spans="23:23" x14ac:dyDescent="0.55000000000000004">
      <c r="W13253"/>
    </row>
    <row r="13254" spans="23:23" x14ac:dyDescent="0.55000000000000004">
      <c r="W13254"/>
    </row>
    <row r="13255" spans="23:23" x14ac:dyDescent="0.55000000000000004">
      <c r="W13255"/>
    </row>
    <row r="13256" spans="23:23" x14ac:dyDescent="0.55000000000000004">
      <c r="W13256"/>
    </row>
    <row r="13257" spans="23:23" x14ac:dyDescent="0.55000000000000004">
      <c r="W13257"/>
    </row>
    <row r="13258" spans="23:23" x14ac:dyDescent="0.55000000000000004">
      <c r="W13258"/>
    </row>
    <row r="13259" spans="23:23" x14ac:dyDescent="0.55000000000000004">
      <c r="W13259"/>
    </row>
    <row r="13260" spans="23:23" x14ac:dyDescent="0.55000000000000004">
      <c r="W13260"/>
    </row>
    <row r="13261" spans="23:23" x14ac:dyDescent="0.55000000000000004">
      <c r="W13261"/>
    </row>
    <row r="13262" spans="23:23" x14ac:dyDescent="0.55000000000000004">
      <c r="W13262"/>
    </row>
    <row r="13263" spans="23:23" x14ac:dyDescent="0.55000000000000004">
      <c r="W13263"/>
    </row>
    <row r="13264" spans="23:23" x14ac:dyDescent="0.55000000000000004">
      <c r="W13264"/>
    </row>
    <row r="13265" spans="23:23" x14ac:dyDescent="0.55000000000000004">
      <c r="W13265"/>
    </row>
    <row r="13266" spans="23:23" x14ac:dyDescent="0.55000000000000004">
      <c r="W13266"/>
    </row>
    <row r="13267" spans="23:23" x14ac:dyDescent="0.55000000000000004">
      <c r="W13267"/>
    </row>
    <row r="13268" spans="23:23" x14ac:dyDescent="0.55000000000000004">
      <c r="W13268"/>
    </row>
    <row r="13269" spans="23:23" x14ac:dyDescent="0.55000000000000004">
      <c r="W13269"/>
    </row>
    <row r="13270" spans="23:23" x14ac:dyDescent="0.55000000000000004">
      <c r="W13270"/>
    </row>
    <row r="13271" spans="23:23" x14ac:dyDescent="0.55000000000000004">
      <c r="W13271"/>
    </row>
    <row r="13272" spans="23:23" x14ac:dyDescent="0.55000000000000004">
      <c r="W13272"/>
    </row>
    <row r="13273" spans="23:23" x14ac:dyDescent="0.55000000000000004">
      <c r="W13273"/>
    </row>
    <row r="13274" spans="23:23" x14ac:dyDescent="0.55000000000000004">
      <c r="W13274"/>
    </row>
    <row r="13275" spans="23:23" x14ac:dyDescent="0.55000000000000004">
      <c r="W13275"/>
    </row>
    <row r="13276" spans="23:23" x14ac:dyDescent="0.55000000000000004">
      <c r="W13276"/>
    </row>
    <row r="13277" spans="23:23" x14ac:dyDescent="0.55000000000000004">
      <c r="W13277"/>
    </row>
    <row r="13278" spans="23:23" x14ac:dyDescent="0.55000000000000004">
      <c r="W13278"/>
    </row>
    <row r="13279" spans="23:23" x14ac:dyDescent="0.55000000000000004">
      <c r="W13279"/>
    </row>
    <row r="13280" spans="23:23" x14ac:dyDescent="0.55000000000000004">
      <c r="W13280"/>
    </row>
    <row r="13281" spans="23:23" x14ac:dyDescent="0.55000000000000004">
      <c r="W13281"/>
    </row>
    <row r="13282" spans="23:23" x14ac:dyDescent="0.55000000000000004">
      <c r="W13282"/>
    </row>
    <row r="13283" spans="23:23" x14ac:dyDescent="0.55000000000000004">
      <c r="W13283"/>
    </row>
    <row r="13284" spans="23:23" x14ac:dyDescent="0.55000000000000004">
      <c r="W13284"/>
    </row>
    <row r="13285" spans="23:23" x14ac:dyDescent="0.55000000000000004">
      <c r="W13285"/>
    </row>
    <row r="13286" spans="23:23" x14ac:dyDescent="0.55000000000000004">
      <c r="W13286"/>
    </row>
    <row r="13287" spans="23:23" x14ac:dyDescent="0.55000000000000004">
      <c r="W13287"/>
    </row>
    <row r="13288" spans="23:23" x14ac:dyDescent="0.55000000000000004">
      <c r="W13288"/>
    </row>
    <row r="13289" spans="23:23" x14ac:dyDescent="0.55000000000000004">
      <c r="W13289"/>
    </row>
    <row r="13290" spans="23:23" x14ac:dyDescent="0.55000000000000004">
      <c r="W13290"/>
    </row>
    <row r="13291" spans="23:23" x14ac:dyDescent="0.55000000000000004">
      <c r="W13291"/>
    </row>
    <row r="13292" spans="23:23" x14ac:dyDescent="0.55000000000000004">
      <c r="W13292"/>
    </row>
    <row r="13293" spans="23:23" x14ac:dyDescent="0.55000000000000004">
      <c r="W13293"/>
    </row>
    <row r="13294" spans="23:23" x14ac:dyDescent="0.55000000000000004">
      <c r="W13294"/>
    </row>
    <row r="13295" spans="23:23" x14ac:dyDescent="0.55000000000000004">
      <c r="W13295"/>
    </row>
    <row r="13296" spans="23:23" x14ac:dyDescent="0.55000000000000004">
      <c r="W13296"/>
    </row>
    <row r="13297" spans="23:23" x14ac:dyDescent="0.55000000000000004">
      <c r="W13297"/>
    </row>
    <row r="13298" spans="23:23" x14ac:dyDescent="0.55000000000000004">
      <c r="W13298"/>
    </row>
    <row r="13299" spans="23:23" x14ac:dyDescent="0.55000000000000004">
      <c r="W13299"/>
    </row>
    <row r="13300" spans="23:23" x14ac:dyDescent="0.55000000000000004">
      <c r="W13300"/>
    </row>
    <row r="13301" spans="23:23" x14ac:dyDescent="0.55000000000000004">
      <c r="W13301"/>
    </row>
    <row r="13302" spans="23:23" x14ac:dyDescent="0.55000000000000004">
      <c r="W13302"/>
    </row>
    <row r="13303" spans="23:23" x14ac:dyDescent="0.55000000000000004">
      <c r="W13303"/>
    </row>
    <row r="13304" spans="23:23" x14ac:dyDescent="0.55000000000000004">
      <c r="W13304"/>
    </row>
    <row r="13305" spans="23:23" x14ac:dyDescent="0.55000000000000004">
      <c r="W13305"/>
    </row>
    <row r="13306" spans="23:23" x14ac:dyDescent="0.55000000000000004">
      <c r="W13306"/>
    </row>
    <row r="13307" spans="23:23" x14ac:dyDescent="0.55000000000000004">
      <c r="W13307"/>
    </row>
    <row r="13308" spans="23:23" x14ac:dyDescent="0.55000000000000004">
      <c r="W13308"/>
    </row>
    <row r="13309" spans="23:23" x14ac:dyDescent="0.55000000000000004">
      <c r="W13309"/>
    </row>
    <row r="13310" spans="23:23" x14ac:dyDescent="0.55000000000000004">
      <c r="W13310"/>
    </row>
    <row r="13311" spans="23:23" x14ac:dyDescent="0.55000000000000004">
      <c r="W13311"/>
    </row>
    <row r="13312" spans="23:23" x14ac:dyDescent="0.55000000000000004">
      <c r="W13312"/>
    </row>
    <row r="13313" spans="23:23" x14ac:dyDescent="0.55000000000000004">
      <c r="W13313"/>
    </row>
    <row r="13314" spans="23:23" x14ac:dyDescent="0.55000000000000004">
      <c r="W13314"/>
    </row>
    <row r="13315" spans="23:23" x14ac:dyDescent="0.55000000000000004">
      <c r="W13315"/>
    </row>
    <row r="13316" spans="23:23" x14ac:dyDescent="0.55000000000000004">
      <c r="W13316"/>
    </row>
    <row r="13317" spans="23:23" x14ac:dyDescent="0.55000000000000004">
      <c r="W13317"/>
    </row>
    <row r="13318" spans="23:23" x14ac:dyDescent="0.55000000000000004">
      <c r="W13318"/>
    </row>
    <row r="13319" spans="23:23" x14ac:dyDescent="0.55000000000000004">
      <c r="W13319"/>
    </row>
    <row r="13320" spans="23:23" x14ac:dyDescent="0.55000000000000004">
      <c r="W13320"/>
    </row>
    <row r="13321" spans="23:23" x14ac:dyDescent="0.55000000000000004">
      <c r="W13321"/>
    </row>
    <row r="13322" spans="23:23" x14ac:dyDescent="0.55000000000000004">
      <c r="W13322"/>
    </row>
    <row r="13323" spans="23:23" x14ac:dyDescent="0.55000000000000004">
      <c r="W13323"/>
    </row>
    <row r="13324" spans="23:23" x14ac:dyDescent="0.55000000000000004">
      <c r="W13324"/>
    </row>
    <row r="13325" spans="23:23" x14ac:dyDescent="0.55000000000000004">
      <c r="W13325"/>
    </row>
    <row r="13326" spans="23:23" x14ac:dyDescent="0.55000000000000004">
      <c r="W13326"/>
    </row>
    <row r="13327" spans="23:23" x14ac:dyDescent="0.55000000000000004">
      <c r="W13327"/>
    </row>
    <row r="13328" spans="23:23" x14ac:dyDescent="0.55000000000000004">
      <c r="W13328"/>
    </row>
    <row r="13329" spans="23:23" x14ac:dyDescent="0.55000000000000004">
      <c r="W13329"/>
    </row>
    <row r="13330" spans="23:23" x14ac:dyDescent="0.55000000000000004">
      <c r="W13330"/>
    </row>
    <row r="13331" spans="23:23" x14ac:dyDescent="0.55000000000000004">
      <c r="W13331"/>
    </row>
    <row r="13332" spans="23:23" x14ac:dyDescent="0.55000000000000004">
      <c r="W13332"/>
    </row>
    <row r="13333" spans="23:23" x14ac:dyDescent="0.55000000000000004">
      <c r="W13333"/>
    </row>
    <row r="13334" spans="23:23" x14ac:dyDescent="0.55000000000000004">
      <c r="W13334"/>
    </row>
    <row r="13335" spans="23:23" x14ac:dyDescent="0.55000000000000004">
      <c r="W13335"/>
    </row>
    <row r="13336" spans="23:23" x14ac:dyDescent="0.55000000000000004">
      <c r="W13336"/>
    </row>
    <row r="13337" spans="23:23" x14ac:dyDescent="0.55000000000000004">
      <c r="W13337"/>
    </row>
    <row r="13338" spans="23:23" x14ac:dyDescent="0.55000000000000004">
      <c r="W13338"/>
    </row>
    <row r="13339" spans="23:23" x14ac:dyDescent="0.55000000000000004">
      <c r="W13339"/>
    </row>
    <row r="13340" spans="23:23" x14ac:dyDescent="0.55000000000000004">
      <c r="W13340"/>
    </row>
    <row r="13341" spans="23:23" x14ac:dyDescent="0.55000000000000004">
      <c r="W13341"/>
    </row>
    <row r="13342" spans="23:23" x14ac:dyDescent="0.55000000000000004">
      <c r="W13342"/>
    </row>
    <row r="13343" spans="23:23" x14ac:dyDescent="0.55000000000000004">
      <c r="W13343"/>
    </row>
    <row r="13344" spans="23:23" x14ac:dyDescent="0.55000000000000004">
      <c r="W13344"/>
    </row>
    <row r="13345" spans="23:23" x14ac:dyDescent="0.55000000000000004">
      <c r="W13345"/>
    </row>
    <row r="13346" spans="23:23" x14ac:dyDescent="0.55000000000000004">
      <c r="W13346"/>
    </row>
    <row r="13347" spans="23:23" x14ac:dyDescent="0.55000000000000004">
      <c r="W13347"/>
    </row>
    <row r="13348" spans="23:23" x14ac:dyDescent="0.55000000000000004">
      <c r="W13348"/>
    </row>
    <row r="13349" spans="23:23" x14ac:dyDescent="0.55000000000000004">
      <c r="W13349"/>
    </row>
    <row r="13350" spans="23:23" x14ac:dyDescent="0.55000000000000004">
      <c r="W13350"/>
    </row>
    <row r="13351" spans="23:23" x14ac:dyDescent="0.55000000000000004">
      <c r="W13351"/>
    </row>
    <row r="13352" spans="23:23" x14ac:dyDescent="0.55000000000000004">
      <c r="W13352"/>
    </row>
    <row r="13353" spans="23:23" x14ac:dyDescent="0.55000000000000004">
      <c r="W13353"/>
    </row>
    <row r="13354" spans="23:23" x14ac:dyDescent="0.55000000000000004">
      <c r="W13354"/>
    </row>
    <row r="13355" spans="23:23" x14ac:dyDescent="0.55000000000000004">
      <c r="W13355"/>
    </row>
    <row r="13356" spans="23:23" x14ac:dyDescent="0.55000000000000004">
      <c r="W13356"/>
    </row>
    <row r="13357" spans="23:23" x14ac:dyDescent="0.55000000000000004">
      <c r="W13357"/>
    </row>
    <row r="13358" spans="23:23" x14ac:dyDescent="0.55000000000000004">
      <c r="W13358"/>
    </row>
    <row r="13359" spans="23:23" x14ac:dyDescent="0.55000000000000004">
      <c r="W13359"/>
    </row>
    <row r="13360" spans="23:23" x14ac:dyDescent="0.55000000000000004">
      <c r="W13360"/>
    </row>
    <row r="13361" spans="23:23" x14ac:dyDescent="0.55000000000000004">
      <c r="W13361"/>
    </row>
    <row r="13362" spans="23:23" x14ac:dyDescent="0.55000000000000004">
      <c r="W13362"/>
    </row>
    <row r="13363" spans="23:23" x14ac:dyDescent="0.55000000000000004">
      <c r="W13363"/>
    </row>
    <row r="13364" spans="23:23" x14ac:dyDescent="0.55000000000000004">
      <c r="W13364"/>
    </row>
    <row r="13365" spans="23:23" x14ac:dyDescent="0.55000000000000004">
      <c r="W13365"/>
    </row>
    <row r="13366" spans="23:23" x14ac:dyDescent="0.55000000000000004">
      <c r="W13366"/>
    </row>
    <row r="13367" spans="23:23" x14ac:dyDescent="0.55000000000000004">
      <c r="W13367"/>
    </row>
    <row r="13368" spans="23:23" x14ac:dyDescent="0.55000000000000004">
      <c r="W13368"/>
    </row>
    <row r="13369" spans="23:23" x14ac:dyDescent="0.55000000000000004">
      <c r="W13369"/>
    </row>
    <row r="13370" spans="23:23" x14ac:dyDescent="0.55000000000000004">
      <c r="W13370"/>
    </row>
    <row r="13371" spans="23:23" x14ac:dyDescent="0.55000000000000004">
      <c r="W13371"/>
    </row>
    <row r="13372" spans="23:23" x14ac:dyDescent="0.55000000000000004">
      <c r="W13372"/>
    </row>
    <row r="13373" spans="23:23" x14ac:dyDescent="0.55000000000000004">
      <c r="W13373"/>
    </row>
    <row r="13374" spans="23:23" x14ac:dyDescent="0.55000000000000004">
      <c r="W13374"/>
    </row>
    <row r="13375" spans="23:23" x14ac:dyDescent="0.55000000000000004">
      <c r="W13375"/>
    </row>
    <row r="13376" spans="23:23" x14ac:dyDescent="0.55000000000000004">
      <c r="W13376"/>
    </row>
    <row r="13377" spans="23:23" x14ac:dyDescent="0.55000000000000004">
      <c r="W13377"/>
    </row>
    <row r="13378" spans="23:23" x14ac:dyDescent="0.55000000000000004">
      <c r="W13378"/>
    </row>
    <row r="13379" spans="23:23" x14ac:dyDescent="0.55000000000000004">
      <c r="W13379"/>
    </row>
    <row r="13380" spans="23:23" x14ac:dyDescent="0.55000000000000004">
      <c r="W13380"/>
    </row>
    <row r="13381" spans="23:23" x14ac:dyDescent="0.55000000000000004">
      <c r="W13381"/>
    </row>
    <row r="13382" spans="23:23" x14ac:dyDescent="0.55000000000000004">
      <c r="W13382"/>
    </row>
    <row r="13383" spans="23:23" x14ac:dyDescent="0.55000000000000004">
      <c r="W13383"/>
    </row>
    <row r="13384" spans="23:23" x14ac:dyDescent="0.55000000000000004">
      <c r="W13384"/>
    </row>
    <row r="13385" spans="23:23" x14ac:dyDescent="0.55000000000000004">
      <c r="W13385"/>
    </row>
    <row r="13386" spans="23:23" x14ac:dyDescent="0.55000000000000004">
      <c r="W13386"/>
    </row>
    <row r="13387" spans="23:23" x14ac:dyDescent="0.55000000000000004">
      <c r="W13387"/>
    </row>
    <row r="13388" spans="23:23" x14ac:dyDescent="0.55000000000000004">
      <c r="W13388"/>
    </row>
    <row r="13389" spans="23:23" x14ac:dyDescent="0.55000000000000004">
      <c r="W13389"/>
    </row>
    <row r="13390" spans="23:23" x14ac:dyDescent="0.55000000000000004">
      <c r="W13390"/>
    </row>
    <row r="13391" spans="23:23" x14ac:dyDescent="0.55000000000000004">
      <c r="W13391"/>
    </row>
    <row r="13392" spans="23:23" x14ac:dyDescent="0.55000000000000004">
      <c r="W13392"/>
    </row>
    <row r="13393" spans="23:23" x14ac:dyDescent="0.55000000000000004">
      <c r="W13393"/>
    </row>
    <row r="13394" spans="23:23" x14ac:dyDescent="0.55000000000000004">
      <c r="W13394"/>
    </row>
    <row r="13395" spans="23:23" x14ac:dyDescent="0.55000000000000004">
      <c r="W13395"/>
    </row>
    <row r="13396" spans="23:23" x14ac:dyDescent="0.55000000000000004">
      <c r="W13396"/>
    </row>
    <row r="13397" spans="23:23" x14ac:dyDescent="0.55000000000000004">
      <c r="W13397"/>
    </row>
    <row r="13398" spans="23:23" x14ac:dyDescent="0.55000000000000004">
      <c r="W13398"/>
    </row>
    <row r="13399" spans="23:23" x14ac:dyDescent="0.55000000000000004">
      <c r="W13399"/>
    </row>
    <row r="13400" spans="23:23" x14ac:dyDescent="0.55000000000000004">
      <c r="W13400"/>
    </row>
    <row r="13401" spans="23:23" x14ac:dyDescent="0.55000000000000004">
      <c r="W13401"/>
    </row>
    <row r="13402" spans="23:23" x14ac:dyDescent="0.55000000000000004">
      <c r="W13402"/>
    </row>
    <row r="13403" spans="23:23" x14ac:dyDescent="0.55000000000000004">
      <c r="W13403"/>
    </row>
    <row r="13404" spans="23:23" x14ac:dyDescent="0.55000000000000004">
      <c r="W13404"/>
    </row>
    <row r="13405" spans="23:23" x14ac:dyDescent="0.55000000000000004">
      <c r="W13405"/>
    </row>
    <row r="13406" spans="23:23" x14ac:dyDescent="0.55000000000000004">
      <c r="W13406"/>
    </row>
    <row r="13407" spans="23:23" x14ac:dyDescent="0.55000000000000004">
      <c r="W13407"/>
    </row>
    <row r="13408" spans="23:23" x14ac:dyDescent="0.55000000000000004">
      <c r="W13408"/>
    </row>
    <row r="13409" spans="23:23" x14ac:dyDescent="0.55000000000000004">
      <c r="W13409"/>
    </row>
    <row r="13410" spans="23:23" x14ac:dyDescent="0.55000000000000004">
      <c r="W13410"/>
    </row>
    <row r="13411" spans="23:23" x14ac:dyDescent="0.55000000000000004">
      <c r="W13411"/>
    </row>
    <row r="13412" spans="23:23" x14ac:dyDescent="0.55000000000000004">
      <c r="W13412"/>
    </row>
    <row r="13413" spans="23:23" x14ac:dyDescent="0.55000000000000004">
      <c r="W13413"/>
    </row>
    <row r="13414" spans="23:23" x14ac:dyDescent="0.55000000000000004">
      <c r="W13414"/>
    </row>
    <row r="13415" spans="23:23" x14ac:dyDescent="0.55000000000000004">
      <c r="W13415"/>
    </row>
    <row r="13416" spans="23:23" x14ac:dyDescent="0.55000000000000004">
      <c r="W13416"/>
    </row>
    <row r="13417" spans="23:23" x14ac:dyDescent="0.55000000000000004">
      <c r="W13417"/>
    </row>
    <row r="13418" spans="23:23" x14ac:dyDescent="0.55000000000000004">
      <c r="W13418"/>
    </row>
    <row r="13419" spans="23:23" x14ac:dyDescent="0.55000000000000004">
      <c r="W13419"/>
    </row>
    <row r="13420" spans="23:23" x14ac:dyDescent="0.55000000000000004">
      <c r="W13420"/>
    </row>
    <row r="13421" spans="23:23" x14ac:dyDescent="0.55000000000000004">
      <c r="W13421"/>
    </row>
    <row r="13422" spans="23:23" x14ac:dyDescent="0.55000000000000004">
      <c r="W13422"/>
    </row>
    <row r="13423" spans="23:23" x14ac:dyDescent="0.55000000000000004">
      <c r="W13423"/>
    </row>
    <row r="13424" spans="23:23" x14ac:dyDescent="0.55000000000000004">
      <c r="W13424"/>
    </row>
    <row r="13425" spans="23:23" x14ac:dyDescent="0.55000000000000004">
      <c r="W13425"/>
    </row>
    <row r="13426" spans="23:23" x14ac:dyDescent="0.55000000000000004">
      <c r="W13426"/>
    </row>
    <row r="13427" spans="23:23" x14ac:dyDescent="0.55000000000000004">
      <c r="W13427"/>
    </row>
    <row r="13428" spans="23:23" x14ac:dyDescent="0.55000000000000004">
      <c r="W13428"/>
    </row>
    <row r="13429" spans="23:23" x14ac:dyDescent="0.55000000000000004">
      <c r="W13429"/>
    </row>
    <row r="13430" spans="23:23" x14ac:dyDescent="0.55000000000000004">
      <c r="W13430"/>
    </row>
    <row r="13431" spans="23:23" x14ac:dyDescent="0.55000000000000004">
      <c r="W13431"/>
    </row>
    <row r="13432" spans="23:23" x14ac:dyDescent="0.55000000000000004">
      <c r="W13432"/>
    </row>
    <row r="13433" spans="23:23" x14ac:dyDescent="0.55000000000000004">
      <c r="W13433"/>
    </row>
    <row r="13434" spans="23:23" x14ac:dyDescent="0.55000000000000004">
      <c r="W13434"/>
    </row>
    <row r="13435" spans="23:23" x14ac:dyDescent="0.55000000000000004">
      <c r="W13435"/>
    </row>
    <row r="13436" spans="23:23" x14ac:dyDescent="0.55000000000000004">
      <c r="W13436"/>
    </row>
    <row r="13437" spans="23:23" x14ac:dyDescent="0.55000000000000004">
      <c r="W13437"/>
    </row>
    <row r="13438" spans="23:23" x14ac:dyDescent="0.55000000000000004">
      <c r="W13438"/>
    </row>
    <row r="13439" spans="23:23" x14ac:dyDescent="0.55000000000000004">
      <c r="W13439"/>
    </row>
    <row r="13440" spans="23:23" x14ac:dyDescent="0.55000000000000004">
      <c r="W13440"/>
    </row>
    <row r="13441" spans="23:23" x14ac:dyDescent="0.55000000000000004">
      <c r="W13441"/>
    </row>
    <row r="13442" spans="23:23" x14ac:dyDescent="0.55000000000000004">
      <c r="W13442"/>
    </row>
    <row r="13443" spans="23:23" x14ac:dyDescent="0.55000000000000004">
      <c r="W13443"/>
    </row>
    <row r="13444" spans="23:23" x14ac:dyDescent="0.55000000000000004">
      <c r="W13444"/>
    </row>
    <row r="13445" spans="23:23" x14ac:dyDescent="0.55000000000000004">
      <c r="W13445"/>
    </row>
    <row r="13446" spans="23:23" x14ac:dyDescent="0.55000000000000004">
      <c r="W13446"/>
    </row>
    <row r="13447" spans="23:23" x14ac:dyDescent="0.55000000000000004">
      <c r="W13447"/>
    </row>
    <row r="13448" spans="23:23" x14ac:dyDescent="0.55000000000000004">
      <c r="W13448"/>
    </row>
    <row r="13449" spans="23:23" x14ac:dyDescent="0.55000000000000004">
      <c r="W13449"/>
    </row>
    <row r="13450" spans="23:23" x14ac:dyDescent="0.55000000000000004">
      <c r="W13450"/>
    </row>
    <row r="13451" spans="23:23" x14ac:dyDescent="0.55000000000000004">
      <c r="W13451"/>
    </row>
    <row r="13452" spans="23:23" x14ac:dyDescent="0.55000000000000004">
      <c r="W13452"/>
    </row>
    <row r="13453" spans="23:23" x14ac:dyDescent="0.55000000000000004">
      <c r="W13453"/>
    </row>
    <row r="13454" spans="23:23" x14ac:dyDescent="0.55000000000000004">
      <c r="W13454"/>
    </row>
    <row r="13455" spans="23:23" x14ac:dyDescent="0.55000000000000004">
      <c r="W13455"/>
    </row>
    <row r="13456" spans="23:23" x14ac:dyDescent="0.55000000000000004">
      <c r="W13456"/>
    </row>
    <row r="13457" spans="23:23" x14ac:dyDescent="0.55000000000000004">
      <c r="W13457"/>
    </row>
    <row r="13458" spans="23:23" x14ac:dyDescent="0.55000000000000004">
      <c r="W13458"/>
    </row>
    <row r="13459" spans="23:23" x14ac:dyDescent="0.55000000000000004">
      <c r="W13459"/>
    </row>
    <row r="13460" spans="23:23" x14ac:dyDescent="0.55000000000000004">
      <c r="W13460"/>
    </row>
    <row r="13461" spans="23:23" x14ac:dyDescent="0.55000000000000004">
      <c r="W13461"/>
    </row>
    <row r="13462" spans="23:23" x14ac:dyDescent="0.55000000000000004">
      <c r="W13462"/>
    </row>
    <row r="13463" spans="23:23" x14ac:dyDescent="0.55000000000000004">
      <c r="W13463"/>
    </row>
    <row r="13464" spans="23:23" x14ac:dyDescent="0.55000000000000004">
      <c r="W13464"/>
    </row>
    <row r="13465" spans="23:23" x14ac:dyDescent="0.55000000000000004">
      <c r="W13465"/>
    </row>
    <row r="13466" spans="23:23" x14ac:dyDescent="0.55000000000000004">
      <c r="W13466"/>
    </row>
    <row r="13467" spans="23:23" x14ac:dyDescent="0.55000000000000004">
      <c r="W13467"/>
    </row>
    <row r="13468" spans="23:23" x14ac:dyDescent="0.55000000000000004">
      <c r="W13468"/>
    </row>
    <row r="13469" spans="23:23" x14ac:dyDescent="0.55000000000000004">
      <c r="W13469"/>
    </row>
    <row r="13470" spans="23:23" x14ac:dyDescent="0.55000000000000004">
      <c r="W13470"/>
    </row>
    <row r="13471" spans="23:23" x14ac:dyDescent="0.55000000000000004">
      <c r="W13471"/>
    </row>
    <row r="13472" spans="23:23" x14ac:dyDescent="0.55000000000000004">
      <c r="W13472"/>
    </row>
    <row r="13473" spans="23:23" x14ac:dyDescent="0.55000000000000004">
      <c r="W13473"/>
    </row>
    <row r="13474" spans="23:23" x14ac:dyDescent="0.55000000000000004">
      <c r="W13474"/>
    </row>
    <row r="13475" spans="23:23" x14ac:dyDescent="0.55000000000000004">
      <c r="W13475"/>
    </row>
    <row r="13476" spans="23:23" x14ac:dyDescent="0.55000000000000004">
      <c r="W13476"/>
    </row>
    <row r="13477" spans="23:23" x14ac:dyDescent="0.55000000000000004">
      <c r="W13477"/>
    </row>
    <row r="13478" spans="23:23" x14ac:dyDescent="0.55000000000000004">
      <c r="W13478"/>
    </row>
    <row r="13479" spans="23:23" x14ac:dyDescent="0.55000000000000004">
      <c r="W13479"/>
    </row>
    <row r="13480" spans="23:23" x14ac:dyDescent="0.55000000000000004">
      <c r="W13480"/>
    </row>
    <row r="13481" spans="23:23" x14ac:dyDescent="0.55000000000000004">
      <c r="W13481"/>
    </row>
    <row r="13482" spans="23:23" x14ac:dyDescent="0.55000000000000004">
      <c r="W13482"/>
    </row>
    <row r="13483" spans="23:23" x14ac:dyDescent="0.55000000000000004">
      <c r="W13483"/>
    </row>
    <row r="13484" spans="23:23" x14ac:dyDescent="0.55000000000000004">
      <c r="W13484"/>
    </row>
    <row r="13485" spans="23:23" x14ac:dyDescent="0.55000000000000004">
      <c r="W13485"/>
    </row>
    <row r="13486" spans="23:23" x14ac:dyDescent="0.55000000000000004">
      <c r="W13486"/>
    </row>
    <row r="13487" spans="23:23" x14ac:dyDescent="0.55000000000000004">
      <c r="W13487"/>
    </row>
    <row r="13488" spans="23:23" x14ac:dyDescent="0.55000000000000004">
      <c r="W13488"/>
    </row>
    <row r="13489" spans="23:23" x14ac:dyDescent="0.55000000000000004">
      <c r="W13489"/>
    </row>
    <row r="13490" spans="23:23" x14ac:dyDescent="0.55000000000000004">
      <c r="W13490"/>
    </row>
    <row r="13491" spans="23:23" x14ac:dyDescent="0.55000000000000004">
      <c r="W13491"/>
    </row>
    <row r="13492" spans="23:23" x14ac:dyDescent="0.55000000000000004">
      <c r="W13492"/>
    </row>
    <row r="13493" spans="23:23" x14ac:dyDescent="0.55000000000000004">
      <c r="W13493"/>
    </row>
    <row r="13494" spans="23:23" x14ac:dyDescent="0.55000000000000004">
      <c r="W13494"/>
    </row>
    <row r="13495" spans="23:23" x14ac:dyDescent="0.55000000000000004">
      <c r="W13495"/>
    </row>
    <row r="13496" spans="23:23" x14ac:dyDescent="0.55000000000000004">
      <c r="W13496"/>
    </row>
    <row r="13497" spans="23:23" x14ac:dyDescent="0.55000000000000004">
      <c r="W13497"/>
    </row>
    <row r="13498" spans="23:23" x14ac:dyDescent="0.55000000000000004">
      <c r="W13498"/>
    </row>
    <row r="13499" spans="23:23" x14ac:dyDescent="0.55000000000000004">
      <c r="W13499"/>
    </row>
    <row r="13500" spans="23:23" x14ac:dyDescent="0.55000000000000004">
      <c r="W13500"/>
    </row>
    <row r="13501" spans="23:23" x14ac:dyDescent="0.55000000000000004">
      <c r="W13501"/>
    </row>
    <row r="13502" spans="23:23" x14ac:dyDescent="0.55000000000000004">
      <c r="W13502"/>
    </row>
    <row r="13503" spans="23:23" x14ac:dyDescent="0.55000000000000004">
      <c r="W13503"/>
    </row>
    <row r="13504" spans="23:23" x14ac:dyDescent="0.55000000000000004">
      <c r="W13504"/>
    </row>
    <row r="13505" spans="23:23" x14ac:dyDescent="0.55000000000000004">
      <c r="W13505"/>
    </row>
    <row r="13506" spans="23:23" x14ac:dyDescent="0.55000000000000004">
      <c r="W13506"/>
    </row>
    <row r="13507" spans="23:23" x14ac:dyDescent="0.55000000000000004">
      <c r="W13507"/>
    </row>
    <row r="13508" spans="23:23" x14ac:dyDescent="0.55000000000000004">
      <c r="W13508"/>
    </row>
    <row r="13509" spans="23:23" x14ac:dyDescent="0.55000000000000004">
      <c r="W13509"/>
    </row>
    <row r="13510" spans="23:23" x14ac:dyDescent="0.55000000000000004">
      <c r="W13510"/>
    </row>
    <row r="13511" spans="23:23" x14ac:dyDescent="0.55000000000000004">
      <c r="W13511"/>
    </row>
    <row r="13512" spans="23:23" x14ac:dyDescent="0.55000000000000004">
      <c r="W13512"/>
    </row>
    <row r="13513" spans="23:23" x14ac:dyDescent="0.55000000000000004">
      <c r="W13513"/>
    </row>
    <row r="13514" spans="23:23" x14ac:dyDescent="0.55000000000000004">
      <c r="W13514"/>
    </row>
    <row r="13515" spans="23:23" x14ac:dyDescent="0.55000000000000004">
      <c r="W13515"/>
    </row>
    <row r="13516" spans="23:23" x14ac:dyDescent="0.55000000000000004">
      <c r="W13516"/>
    </row>
    <row r="13517" spans="23:23" x14ac:dyDescent="0.55000000000000004">
      <c r="W13517"/>
    </row>
    <row r="13518" spans="23:23" x14ac:dyDescent="0.55000000000000004">
      <c r="W13518"/>
    </row>
    <row r="13519" spans="23:23" x14ac:dyDescent="0.55000000000000004">
      <c r="W13519"/>
    </row>
    <row r="13520" spans="23:23" x14ac:dyDescent="0.55000000000000004">
      <c r="W13520"/>
    </row>
    <row r="13521" spans="23:23" x14ac:dyDescent="0.55000000000000004">
      <c r="W13521"/>
    </row>
    <row r="13522" spans="23:23" x14ac:dyDescent="0.55000000000000004">
      <c r="W13522"/>
    </row>
    <row r="13523" spans="23:23" x14ac:dyDescent="0.55000000000000004">
      <c r="W13523"/>
    </row>
    <row r="13524" spans="23:23" x14ac:dyDescent="0.55000000000000004">
      <c r="W13524"/>
    </row>
    <row r="13525" spans="23:23" x14ac:dyDescent="0.55000000000000004">
      <c r="W13525"/>
    </row>
    <row r="13526" spans="23:23" x14ac:dyDescent="0.55000000000000004">
      <c r="W13526"/>
    </row>
    <row r="13527" spans="23:23" x14ac:dyDescent="0.55000000000000004">
      <c r="W13527"/>
    </row>
    <row r="13528" spans="23:23" x14ac:dyDescent="0.55000000000000004">
      <c r="W13528"/>
    </row>
    <row r="13529" spans="23:23" x14ac:dyDescent="0.55000000000000004">
      <c r="W13529"/>
    </row>
    <row r="13530" spans="23:23" x14ac:dyDescent="0.55000000000000004">
      <c r="W13530"/>
    </row>
    <row r="13531" spans="23:23" x14ac:dyDescent="0.55000000000000004">
      <c r="W13531"/>
    </row>
    <row r="13532" spans="23:23" x14ac:dyDescent="0.55000000000000004">
      <c r="W13532"/>
    </row>
    <row r="13533" spans="23:23" x14ac:dyDescent="0.55000000000000004">
      <c r="W13533"/>
    </row>
    <row r="13534" spans="23:23" x14ac:dyDescent="0.55000000000000004">
      <c r="W13534"/>
    </row>
    <row r="13535" spans="23:23" x14ac:dyDescent="0.55000000000000004">
      <c r="W13535"/>
    </row>
    <row r="13536" spans="23:23" x14ac:dyDescent="0.55000000000000004">
      <c r="W13536"/>
    </row>
    <row r="13537" spans="23:23" x14ac:dyDescent="0.55000000000000004">
      <c r="W13537"/>
    </row>
    <row r="13538" spans="23:23" x14ac:dyDescent="0.55000000000000004">
      <c r="W13538"/>
    </row>
    <row r="13539" spans="23:23" x14ac:dyDescent="0.55000000000000004">
      <c r="W13539"/>
    </row>
    <row r="13540" spans="23:23" x14ac:dyDescent="0.55000000000000004">
      <c r="W13540"/>
    </row>
    <row r="13541" spans="23:23" x14ac:dyDescent="0.55000000000000004">
      <c r="W13541"/>
    </row>
    <row r="13542" spans="23:23" x14ac:dyDescent="0.55000000000000004">
      <c r="W13542"/>
    </row>
    <row r="13543" spans="23:23" x14ac:dyDescent="0.55000000000000004">
      <c r="W13543"/>
    </row>
    <row r="13544" spans="23:23" x14ac:dyDescent="0.55000000000000004">
      <c r="W13544"/>
    </row>
    <row r="13545" spans="23:23" x14ac:dyDescent="0.55000000000000004">
      <c r="W13545"/>
    </row>
    <row r="13546" spans="23:23" x14ac:dyDescent="0.55000000000000004">
      <c r="W13546"/>
    </row>
    <row r="13547" spans="23:23" x14ac:dyDescent="0.55000000000000004">
      <c r="W13547"/>
    </row>
    <row r="13548" spans="23:23" x14ac:dyDescent="0.55000000000000004">
      <c r="W13548"/>
    </row>
    <row r="13549" spans="23:23" x14ac:dyDescent="0.55000000000000004">
      <c r="W13549"/>
    </row>
    <row r="13550" spans="23:23" x14ac:dyDescent="0.55000000000000004">
      <c r="W13550"/>
    </row>
    <row r="13551" spans="23:23" x14ac:dyDescent="0.55000000000000004">
      <c r="W13551"/>
    </row>
    <row r="13552" spans="23:23" x14ac:dyDescent="0.55000000000000004">
      <c r="W13552"/>
    </row>
    <row r="13553" spans="23:23" x14ac:dyDescent="0.55000000000000004">
      <c r="W13553"/>
    </row>
    <row r="13554" spans="23:23" x14ac:dyDescent="0.55000000000000004">
      <c r="W13554"/>
    </row>
    <row r="13555" spans="23:23" x14ac:dyDescent="0.55000000000000004">
      <c r="W13555"/>
    </row>
    <row r="13556" spans="23:23" x14ac:dyDescent="0.55000000000000004">
      <c r="W13556"/>
    </row>
    <row r="13557" spans="23:23" x14ac:dyDescent="0.55000000000000004">
      <c r="W13557"/>
    </row>
    <row r="13558" spans="23:23" x14ac:dyDescent="0.55000000000000004">
      <c r="W13558"/>
    </row>
    <row r="13559" spans="23:23" x14ac:dyDescent="0.55000000000000004">
      <c r="W13559"/>
    </row>
    <row r="13560" spans="23:23" x14ac:dyDescent="0.55000000000000004">
      <c r="W13560"/>
    </row>
    <row r="13561" spans="23:23" x14ac:dyDescent="0.55000000000000004">
      <c r="W13561"/>
    </row>
    <row r="13562" spans="23:23" x14ac:dyDescent="0.55000000000000004">
      <c r="W13562"/>
    </row>
    <row r="13563" spans="23:23" x14ac:dyDescent="0.55000000000000004">
      <c r="W13563"/>
    </row>
    <row r="13564" spans="23:23" x14ac:dyDescent="0.55000000000000004">
      <c r="W13564"/>
    </row>
    <row r="13565" spans="23:23" x14ac:dyDescent="0.55000000000000004">
      <c r="W13565"/>
    </row>
    <row r="13566" spans="23:23" x14ac:dyDescent="0.55000000000000004">
      <c r="W13566"/>
    </row>
    <row r="13567" spans="23:23" x14ac:dyDescent="0.55000000000000004">
      <c r="W13567"/>
    </row>
    <row r="13568" spans="23:23" x14ac:dyDescent="0.55000000000000004">
      <c r="W13568"/>
    </row>
    <row r="13569" spans="23:23" x14ac:dyDescent="0.55000000000000004">
      <c r="W13569"/>
    </row>
    <row r="13570" spans="23:23" x14ac:dyDescent="0.55000000000000004">
      <c r="W13570"/>
    </row>
    <row r="13571" spans="23:23" x14ac:dyDescent="0.55000000000000004">
      <c r="W13571"/>
    </row>
    <row r="13572" spans="23:23" x14ac:dyDescent="0.55000000000000004">
      <c r="W13572"/>
    </row>
    <row r="13573" spans="23:23" x14ac:dyDescent="0.55000000000000004">
      <c r="W13573"/>
    </row>
    <row r="13574" spans="23:23" x14ac:dyDescent="0.55000000000000004">
      <c r="W13574"/>
    </row>
    <row r="13575" spans="23:23" x14ac:dyDescent="0.55000000000000004">
      <c r="W13575"/>
    </row>
    <row r="13576" spans="23:23" x14ac:dyDescent="0.55000000000000004">
      <c r="W13576"/>
    </row>
    <row r="13577" spans="23:23" x14ac:dyDescent="0.55000000000000004">
      <c r="W13577"/>
    </row>
    <row r="13578" spans="23:23" x14ac:dyDescent="0.55000000000000004">
      <c r="W13578"/>
    </row>
    <row r="13579" spans="23:23" x14ac:dyDescent="0.55000000000000004">
      <c r="W13579"/>
    </row>
    <row r="13580" spans="23:23" x14ac:dyDescent="0.55000000000000004">
      <c r="W13580"/>
    </row>
    <row r="13581" spans="23:23" x14ac:dyDescent="0.55000000000000004">
      <c r="W13581"/>
    </row>
    <row r="13582" spans="23:23" x14ac:dyDescent="0.55000000000000004">
      <c r="W13582"/>
    </row>
    <row r="13583" spans="23:23" x14ac:dyDescent="0.55000000000000004">
      <c r="W13583"/>
    </row>
    <row r="13584" spans="23:23" x14ac:dyDescent="0.55000000000000004">
      <c r="W13584"/>
    </row>
    <row r="13585" spans="23:23" x14ac:dyDescent="0.55000000000000004">
      <c r="W13585"/>
    </row>
    <row r="13586" spans="23:23" x14ac:dyDescent="0.55000000000000004">
      <c r="W13586"/>
    </row>
    <row r="13587" spans="23:23" x14ac:dyDescent="0.55000000000000004">
      <c r="W13587"/>
    </row>
    <row r="13588" spans="23:23" x14ac:dyDescent="0.55000000000000004">
      <c r="W13588"/>
    </row>
    <row r="13589" spans="23:23" x14ac:dyDescent="0.55000000000000004">
      <c r="W13589"/>
    </row>
    <row r="13590" spans="23:23" x14ac:dyDescent="0.55000000000000004">
      <c r="W13590"/>
    </row>
    <row r="13591" spans="23:23" x14ac:dyDescent="0.55000000000000004">
      <c r="W13591"/>
    </row>
    <row r="13592" spans="23:23" x14ac:dyDescent="0.55000000000000004">
      <c r="W13592"/>
    </row>
    <row r="13593" spans="23:23" x14ac:dyDescent="0.55000000000000004">
      <c r="W13593"/>
    </row>
    <row r="13594" spans="23:23" x14ac:dyDescent="0.55000000000000004">
      <c r="W13594"/>
    </row>
    <row r="13595" spans="23:23" x14ac:dyDescent="0.55000000000000004">
      <c r="W13595"/>
    </row>
    <row r="13596" spans="23:23" x14ac:dyDescent="0.55000000000000004">
      <c r="W13596"/>
    </row>
    <row r="13597" spans="23:23" x14ac:dyDescent="0.55000000000000004">
      <c r="W13597"/>
    </row>
    <row r="13598" spans="23:23" x14ac:dyDescent="0.55000000000000004">
      <c r="W13598"/>
    </row>
    <row r="13599" spans="23:23" x14ac:dyDescent="0.55000000000000004">
      <c r="W13599"/>
    </row>
    <row r="13600" spans="23:23" x14ac:dyDescent="0.55000000000000004">
      <c r="W13600"/>
    </row>
    <row r="13601" spans="23:23" x14ac:dyDescent="0.55000000000000004">
      <c r="W13601"/>
    </row>
    <row r="13602" spans="23:23" x14ac:dyDescent="0.55000000000000004">
      <c r="W13602"/>
    </row>
    <row r="13603" spans="23:23" x14ac:dyDescent="0.55000000000000004">
      <c r="W13603"/>
    </row>
    <row r="13604" spans="23:23" x14ac:dyDescent="0.55000000000000004">
      <c r="W13604"/>
    </row>
    <row r="13605" spans="23:23" x14ac:dyDescent="0.55000000000000004">
      <c r="W13605"/>
    </row>
    <row r="13606" spans="23:23" x14ac:dyDescent="0.55000000000000004">
      <c r="W13606"/>
    </row>
    <row r="13607" spans="23:23" x14ac:dyDescent="0.55000000000000004">
      <c r="W13607"/>
    </row>
    <row r="13608" spans="23:23" x14ac:dyDescent="0.55000000000000004">
      <c r="W13608"/>
    </row>
    <row r="13609" spans="23:23" x14ac:dyDescent="0.55000000000000004">
      <c r="W13609"/>
    </row>
    <row r="13610" spans="23:23" x14ac:dyDescent="0.55000000000000004">
      <c r="W13610"/>
    </row>
    <row r="13611" spans="23:23" x14ac:dyDescent="0.55000000000000004">
      <c r="W13611"/>
    </row>
    <row r="13612" spans="23:23" x14ac:dyDescent="0.55000000000000004">
      <c r="W13612"/>
    </row>
    <row r="13613" spans="23:23" x14ac:dyDescent="0.55000000000000004">
      <c r="W13613"/>
    </row>
    <row r="13614" spans="23:23" x14ac:dyDescent="0.55000000000000004">
      <c r="W13614"/>
    </row>
    <row r="13615" spans="23:23" x14ac:dyDescent="0.55000000000000004">
      <c r="W13615"/>
    </row>
    <row r="13616" spans="23:23" x14ac:dyDescent="0.55000000000000004">
      <c r="W13616"/>
    </row>
    <row r="13617" spans="23:23" x14ac:dyDescent="0.55000000000000004">
      <c r="W13617"/>
    </row>
    <row r="13618" spans="23:23" x14ac:dyDescent="0.55000000000000004">
      <c r="W13618"/>
    </row>
    <row r="13619" spans="23:23" x14ac:dyDescent="0.55000000000000004">
      <c r="W13619"/>
    </row>
    <row r="13620" spans="23:23" x14ac:dyDescent="0.55000000000000004">
      <c r="W13620"/>
    </row>
    <row r="13621" spans="23:23" x14ac:dyDescent="0.55000000000000004">
      <c r="W13621"/>
    </row>
    <row r="13622" spans="23:23" x14ac:dyDescent="0.55000000000000004">
      <c r="W13622"/>
    </row>
    <row r="13623" spans="23:23" x14ac:dyDescent="0.55000000000000004">
      <c r="W13623"/>
    </row>
    <row r="13624" spans="23:23" x14ac:dyDescent="0.55000000000000004">
      <c r="W13624"/>
    </row>
    <row r="13625" spans="23:23" x14ac:dyDescent="0.55000000000000004">
      <c r="W13625"/>
    </row>
    <row r="13626" spans="23:23" x14ac:dyDescent="0.55000000000000004">
      <c r="W13626"/>
    </row>
    <row r="13627" spans="23:23" x14ac:dyDescent="0.55000000000000004">
      <c r="W13627"/>
    </row>
    <row r="13628" spans="23:23" x14ac:dyDescent="0.55000000000000004">
      <c r="W13628"/>
    </row>
    <row r="13629" spans="23:23" x14ac:dyDescent="0.55000000000000004">
      <c r="W13629"/>
    </row>
    <row r="13630" spans="23:23" x14ac:dyDescent="0.55000000000000004">
      <c r="W13630"/>
    </row>
    <row r="13631" spans="23:23" x14ac:dyDescent="0.55000000000000004">
      <c r="W13631"/>
    </row>
    <row r="13632" spans="23:23" x14ac:dyDescent="0.55000000000000004">
      <c r="W13632"/>
    </row>
    <row r="13633" spans="23:23" x14ac:dyDescent="0.55000000000000004">
      <c r="W13633"/>
    </row>
    <row r="13634" spans="23:23" x14ac:dyDescent="0.55000000000000004">
      <c r="W13634"/>
    </row>
    <row r="13635" spans="23:23" x14ac:dyDescent="0.55000000000000004">
      <c r="W13635"/>
    </row>
    <row r="13636" spans="23:23" x14ac:dyDescent="0.55000000000000004">
      <c r="W13636"/>
    </row>
    <row r="13637" spans="23:23" x14ac:dyDescent="0.55000000000000004">
      <c r="W13637"/>
    </row>
    <row r="13638" spans="23:23" x14ac:dyDescent="0.55000000000000004">
      <c r="W13638"/>
    </row>
    <row r="13639" spans="23:23" x14ac:dyDescent="0.55000000000000004">
      <c r="W13639"/>
    </row>
    <row r="13640" spans="23:23" x14ac:dyDescent="0.55000000000000004">
      <c r="W13640"/>
    </row>
    <row r="13641" spans="23:23" x14ac:dyDescent="0.55000000000000004">
      <c r="W13641"/>
    </row>
    <row r="13642" spans="23:23" x14ac:dyDescent="0.55000000000000004">
      <c r="W13642"/>
    </row>
    <row r="13643" spans="23:23" x14ac:dyDescent="0.55000000000000004">
      <c r="W13643"/>
    </row>
    <row r="13644" spans="23:23" x14ac:dyDescent="0.55000000000000004">
      <c r="W13644"/>
    </row>
    <row r="13645" spans="23:23" x14ac:dyDescent="0.55000000000000004">
      <c r="W13645"/>
    </row>
    <row r="13646" spans="23:23" x14ac:dyDescent="0.55000000000000004">
      <c r="W13646"/>
    </row>
    <row r="13647" spans="23:23" x14ac:dyDescent="0.55000000000000004">
      <c r="W13647"/>
    </row>
    <row r="13648" spans="23:23" x14ac:dyDescent="0.55000000000000004">
      <c r="W13648"/>
    </row>
    <row r="13649" spans="23:23" x14ac:dyDescent="0.55000000000000004">
      <c r="W13649"/>
    </row>
    <row r="13650" spans="23:23" x14ac:dyDescent="0.55000000000000004">
      <c r="W13650"/>
    </row>
    <row r="13651" spans="23:23" x14ac:dyDescent="0.55000000000000004">
      <c r="W13651"/>
    </row>
    <row r="13652" spans="23:23" x14ac:dyDescent="0.55000000000000004">
      <c r="W13652"/>
    </row>
    <row r="13653" spans="23:23" x14ac:dyDescent="0.55000000000000004">
      <c r="W13653"/>
    </row>
    <row r="13654" spans="23:23" x14ac:dyDescent="0.55000000000000004">
      <c r="W13654"/>
    </row>
    <row r="13655" spans="23:23" x14ac:dyDescent="0.55000000000000004">
      <c r="W13655"/>
    </row>
    <row r="13656" spans="23:23" x14ac:dyDescent="0.55000000000000004">
      <c r="W13656"/>
    </row>
    <row r="13657" spans="23:23" x14ac:dyDescent="0.55000000000000004">
      <c r="W13657"/>
    </row>
    <row r="13658" spans="23:23" x14ac:dyDescent="0.55000000000000004">
      <c r="W13658"/>
    </row>
    <row r="13659" spans="23:23" x14ac:dyDescent="0.55000000000000004">
      <c r="W13659"/>
    </row>
    <row r="13660" spans="23:23" x14ac:dyDescent="0.55000000000000004">
      <c r="W13660"/>
    </row>
    <row r="13661" spans="23:23" x14ac:dyDescent="0.55000000000000004">
      <c r="W13661"/>
    </row>
    <row r="13662" spans="23:23" x14ac:dyDescent="0.55000000000000004">
      <c r="W13662"/>
    </row>
    <row r="13663" spans="23:23" x14ac:dyDescent="0.55000000000000004">
      <c r="W13663"/>
    </row>
    <row r="13664" spans="23:23" x14ac:dyDescent="0.55000000000000004">
      <c r="W13664"/>
    </row>
    <row r="13665" spans="23:23" x14ac:dyDescent="0.55000000000000004">
      <c r="W13665"/>
    </row>
    <row r="13666" spans="23:23" x14ac:dyDescent="0.55000000000000004">
      <c r="W13666"/>
    </row>
    <row r="13667" spans="23:23" x14ac:dyDescent="0.55000000000000004">
      <c r="W13667"/>
    </row>
    <row r="13668" spans="23:23" x14ac:dyDescent="0.55000000000000004">
      <c r="W13668"/>
    </row>
    <row r="13669" spans="23:23" x14ac:dyDescent="0.55000000000000004">
      <c r="W13669"/>
    </row>
    <row r="13670" spans="23:23" x14ac:dyDescent="0.55000000000000004">
      <c r="W13670"/>
    </row>
    <row r="13671" spans="23:23" x14ac:dyDescent="0.55000000000000004">
      <c r="W13671"/>
    </row>
    <row r="13672" spans="23:23" x14ac:dyDescent="0.55000000000000004">
      <c r="W13672"/>
    </row>
    <row r="13673" spans="23:23" x14ac:dyDescent="0.55000000000000004">
      <c r="W13673"/>
    </row>
    <row r="13674" spans="23:23" x14ac:dyDescent="0.55000000000000004">
      <c r="W13674"/>
    </row>
    <row r="13675" spans="23:23" x14ac:dyDescent="0.55000000000000004">
      <c r="W13675"/>
    </row>
    <row r="13676" spans="23:23" x14ac:dyDescent="0.55000000000000004">
      <c r="W13676"/>
    </row>
    <row r="13677" spans="23:23" x14ac:dyDescent="0.55000000000000004">
      <c r="W13677"/>
    </row>
    <row r="13678" spans="23:23" x14ac:dyDescent="0.55000000000000004">
      <c r="W13678"/>
    </row>
    <row r="13679" spans="23:23" x14ac:dyDescent="0.55000000000000004">
      <c r="W13679"/>
    </row>
    <row r="13680" spans="23:23" x14ac:dyDescent="0.55000000000000004">
      <c r="W13680"/>
    </row>
    <row r="13681" spans="23:23" x14ac:dyDescent="0.55000000000000004">
      <c r="W13681"/>
    </row>
    <row r="13682" spans="23:23" x14ac:dyDescent="0.55000000000000004">
      <c r="W13682"/>
    </row>
    <row r="13683" spans="23:23" x14ac:dyDescent="0.55000000000000004">
      <c r="W13683"/>
    </row>
    <row r="13684" spans="23:23" x14ac:dyDescent="0.55000000000000004">
      <c r="W13684"/>
    </row>
    <row r="13685" spans="23:23" x14ac:dyDescent="0.55000000000000004">
      <c r="W13685"/>
    </row>
    <row r="13686" spans="23:23" x14ac:dyDescent="0.55000000000000004">
      <c r="W13686"/>
    </row>
    <row r="13687" spans="23:23" x14ac:dyDescent="0.55000000000000004">
      <c r="W13687"/>
    </row>
    <row r="13688" spans="23:23" x14ac:dyDescent="0.55000000000000004">
      <c r="W13688"/>
    </row>
    <row r="13689" spans="23:23" x14ac:dyDescent="0.55000000000000004">
      <c r="W13689"/>
    </row>
    <row r="13690" spans="23:23" x14ac:dyDescent="0.55000000000000004">
      <c r="W13690"/>
    </row>
    <row r="13691" spans="23:23" x14ac:dyDescent="0.55000000000000004">
      <c r="W13691"/>
    </row>
    <row r="13692" spans="23:23" x14ac:dyDescent="0.55000000000000004">
      <c r="W13692"/>
    </row>
    <row r="13693" spans="23:23" x14ac:dyDescent="0.55000000000000004">
      <c r="W13693"/>
    </row>
    <row r="13694" spans="23:23" x14ac:dyDescent="0.55000000000000004">
      <c r="W13694"/>
    </row>
    <row r="13695" spans="23:23" x14ac:dyDescent="0.55000000000000004">
      <c r="W13695"/>
    </row>
    <row r="13696" spans="23:23" x14ac:dyDescent="0.55000000000000004">
      <c r="W13696"/>
    </row>
    <row r="13697" spans="23:23" x14ac:dyDescent="0.55000000000000004">
      <c r="W13697"/>
    </row>
    <row r="13698" spans="23:23" x14ac:dyDescent="0.55000000000000004">
      <c r="W13698"/>
    </row>
    <row r="13699" spans="23:23" x14ac:dyDescent="0.55000000000000004">
      <c r="W13699"/>
    </row>
    <row r="13700" spans="23:23" x14ac:dyDescent="0.55000000000000004">
      <c r="W13700"/>
    </row>
    <row r="13701" spans="23:23" x14ac:dyDescent="0.55000000000000004">
      <c r="W13701"/>
    </row>
    <row r="13702" spans="23:23" x14ac:dyDescent="0.55000000000000004">
      <c r="W13702"/>
    </row>
    <row r="13703" spans="23:23" x14ac:dyDescent="0.55000000000000004">
      <c r="W13703"/>
    </row>
    <row r="13704" spans="23:23" x14ac:dyDescent="0.55000000000000004">
      <c r="W13704"/>
    </row>
    <row r="13705" spans="23:23" x14ac:dyDescent="0.55000000000000004">
      <c r="W13705"/>
    </row>
    <row r="13706" spans="23:23" x14ac:dyDescent="0.55000000000000004">
      <c r="W13706"/>
    </row>
    <row r="13707" spans="23:23" x14ac:dyDescent="0.55000000000000004">
      <c r="W13707"/>
    </row>
    <row r="13708" spans="23:23" x14ac:dyDescent="0.55000000000000004">
      <c r="W13708"/>
    </row>
    <row r="13709" spans="23:23" x14ac:dyDescent="0.55000000000000004">
      <c r="W13709"/>
    </row>
    <row r="13710" spans="23:23" x14ac:dyDescent="0.55000000000000004">
      <c r="W13710"/>
    </row>
    <row r="13711" spans="23:23" x14ac:dyDescent="0.55000000000000004">
      <c r="W13711"/>
    </row>
    <row r="13712" spans="23:23" x14ac:dyDescent="0.55000000000000004">
      <c r="W13712"/>
    </row>
    <row r="13713" spans="23:23" x14ac:dyDescent="0.55000000000000004">
      <c r="W13713"/>
    </row>
    <row r="13714" spans="23:23" x14ac:dyDescent="0.55000000000000004">
      <c r="W13714"/>
    </row>
    <row r="13715" spans="23:23" x14ac:dyDescent="0.55000000000000004">
      <c r="W13715"/>
    </row>
    <row r="13716" spans="23:23" x14ac:dyDescent="0.55000000000000004">
      <c r="W13716"/>
    </row>
    <row r="13717" spans="23:23" x14ac:dyDescent="0.55000000000000004">
      <c r="W13717"/>
    </row>
    <row r="13718" spans="23:23" x14ac:dyDescent="0.55000000000000004">
      <c r="W13718"/>
    </row>
    <row r="13719" spans="23:23" x14ac:dyDescent="0.55000000000000004">
      <c r="W13719"/>
    </row>
    <row r="13720" spans="23:23" x14ac:dyDescent="0.55000000000000004">
      <c r="W13720"/>
    </row>
    <row r="13721" spans="23:23" x14ac:dyDescent="0.55000000000000004">
      <c r="W13721"/>
    </row>
    <row r="13722" spans="23:23" x14ac:dyDescent="0.55000000000000004">
      <c r="W13722"/>
    </row>
    <row r="13723" spans="23:23" x14ac:dyDescent="0.55000000000000004">
      <c r="W13723"/>
    </row>
    <row r="13724" spans="23:23" x14ac:dyDescent="0.55000000000000004">
      <c r="W13724"/>
    </row>
    <row r="13725" spans="23:23" x14ac:dyDescent="0.55000000000000004">
      <c r="W13725"/>
    </row>
    <row r="13726" spans="23:23" x14ac:dyDescent="0.55000000000000004">
      <c r="W13726"/>
    </row>
    <row r="13727" spans="23:23" x14ac:dyDescent="0.55000000000000004">
      <c r="W13727"/>
    </row>
    <row r="13728" spans="23:23" x14ac:dyDescent="0.55000000000000004">
      <c r="W13728"/>
    </row>
    <row r="13729" spans="23:23" x14ac:dyDescent="0.55000000000000004">
      <c r="W13729"/>
    </row>
    <row r="13730" spans="23:23" x14ac:dyDescent="0.55000000000000004">
      <c r="W13730"/>
    </row>
    <row r="13731" spans="23:23" x14ac:dyDescent="0.55000000000000004">
      <c r="W13731"/>
    </row>
    <row r="13732" spans="23:23" x14ac:dyDescent="0.55000000000000004">
      <c r="W13732"/>
    </row>
    <row r="13733" spans="23:23" x14ac:dyDescent="0.55000000000000004">
      <c r="W13733"/>
    </row>
    <row r="13734" spans="23:23" x14ac:dyDescent="0.55000000000000004">
      <c r="W13734"/>
    </row>
    <row r="13735" spans="23:23" x14ac:dyDescent="0.55000000000000004">
      <c r="W13735"/>
    </row>
    <row r="13736" spans="23:23" x14ac:dyDescent="0.55000000000000004">
      <c r="W13736"/>
    </row>
    <row r="13737" spans="23:23" x14ac:dyDescent="0.55000000000000004">
      <c r="W13737"/>
    </row>
    <row r="13738" spans="23:23" x14ac:dyDescent="0.55000000000000004">
      <c r="W13738"/>
    </row>
    <row r="13739" spans="23:23" x14ac:dyDescent="0.55000000000000004">
      <c r="W13739"/>
    </row>
    <row r="13740" spans="23:23" x14ac:dyDescent="0.55000000000000004">
      <c r="W13740"/>
    </row>
    <row r="13741" spans="23:23" x14ac:dyDescent="0.55000000000000004">
      <c r="W13741"/>
    </row>
    <row r="13742" spans="23:23" x14ac:dyDescent="0.55000000000000004">
      <c r="W13742"/>
    </row>
    <row r="13743" spans="23:23" x14ac:dyDescent="0.55000000000000004">
      <c r="W13743"/>
    </row>
    <row r="13744" spans="23:23" x14ac:dyDescent="0.55000000000000004">
      <c r="W13744"/>
    </row>
    <row r="13745" spans="23:23" x14ac:dyDescent="0.55000000000000004">
      <c r="W13745"/>
    </row>
    <row r="13746" spans="23:23" x14ac:dyDescent="0.55000000000000004">
      <c r="W13746"/>
    </row>
    <row r="13747" spans="23:23" x14ac:dyDescent="0.55000000000000004">
      <c r="W13747"/>
    </row>
    <row r="13748" spans="23:23" x14ac:dyDescent="0.55000000000000004">
      <c r="W13748"/>
    </row>
    <row r="13749" spans="23:23" x14ac:dyDescent="0.55000000000000004">
      <c r="W13749"/>
    </row>
    <row r="13750" spans="23:23" x14ac:dyDescent="0.55000000000000004">
      <c r="W13750"/>
    </row>
    <row r="13751" spans="23:23" x14ac:dyDescent="0.55000000000000004">
      <c r="W13751"/>
    </row>
    <row r="13752" spans="23:23" x14ac:dyDescent="0.55000000000000004">
      <c r="W13752"/>
    </row>
    <row r="13753" spans="23:23" x14ac:dyDescent="0.55000000000000004">
      <c r="W13753"/>
    </row>
    <row r="13754" spans="23:23" x14ac:dyDescent="0.55000000000000004">
      <c r="W13754"/>
    </row>
    <row r="13755" spans="23:23" x14ac:dyDescent="0.55000000000000004">
      <c r="W13755"/>
    </row>
    <row r="13756" spans="23:23" x14ac:dyDescent="0.55000000000000004">
      <c r="W13756"/>
    </row>
    <row r="13757" spans="23:23" x14ac:dyDescent="0.55000000000000004">
      <c r="W13757"/>
    </row>
    <row r="13758" spans="23:23" x14ac:dyDescent="0.55000000000000004">
      <c r="W13758"/>
    </row>
    <row r="13759" spans="23:23" x14ac:dyDescent="0.55000000000000004">
      <c r="W13759"/>
    </row>
    <row r="13760" spans="23:23" x14ac:dyDescent="0.55000000000000004">
      <c r="W13760"/>
    </row>
    <row r="13761" spans="23:23" x14ac:dyDescent="0.55000000000000004">
      <c r="W13761"/>
    </row>
    <row r="13762" spans="23:23" x14ac:dyDescent="0.55000000000000004">
      <c r="W13762"/>
    </row>
    <row r="13763" spans="23:23" x14ac:dyDescent="0.55000000000000004">
      <c r="W13763"/>
    </row>
    <row r="13764" spans="23:23" x14ac:dyDescent="0.55000000000000004">
      <c r="W13764"/>
    </row>
    <row r="13765" spans="23:23" x14ac:dyDescent="0.55000000000000004">
      <c r="W13765"/>
    </row>
    <row r="13766" spans="23:23" x14ac:dyDescent="0.55000000000000004">
      <c r="W13766"/>
    </row>
    <row r="13767" spans="23:23" x14ac:dyDescent="0.55000000000000004">
      <c r="W13767"/>
    </row>
    <row r="13768" spans="23:23" x14ac:dyDescent="0.55000000000000004">
      <c r="W13768"/>
    </row>
    <row r="13769" spans="23:23" x14ac:dyDescent="0.55000000000000004">
      <c r="W13769"/>
    </row>
    <row r="13770" spans="23:23" x14ac:dyDescent="0.55000000000000004">
      <c r="W13770"/>
    </row>
    <row r="13771" spans="23:23" x14ac:dyDescent="0.55000000000000004">
      <c r="W13771"/>
    </row>
    <row r="13772" spans="23:23" x14ac:dyDescent="0.55000000000000004">
      <c r="W13772"/>
    </row>
    <row r="13773" spans="23:23" x14ac:dyDescent="0.55000000000000004">
      <c r="W13773"/>
    </row>
    <row r="13774" spans="23:23" x14ac:dyDescent="0.55000000000000004">
      <c r="W13774"/>
    </row>
    <row r="13775" spans="23:23" x14ac:dyDescent="0.55000000000000004">
      <c r="W13775"/>
    </row>
    <row r="13776" spans="23:23" x14ac:dyDescent="0.55000000000000004">
      <c r="W13776"/>
    </row>
    <row r="13777" spans="23:23" x14ac:dyDescent="0.55000000000000004">
      <c r="W13777"/>
    </row>
    <row r="13778" spans="23:23" x14ac:dyDescent="0.55000000000000004">
      <c r="W13778"/>
    </row>
    <row r="13779" spans="23:23" x14ac:dyDescent="0.55000000000000004">
      <c r="W13779"/>
    </row>
    <row r="13780" spans="23:23" x14ac:dyDescent="0.55000000000000004">
      <c r="W13780"/>
    </row>
    <row r="13781" spans="23:23" x14ac:dyDescent="0.55000000000000004">
      <c r="W13781"/>
    </row>
    <row r="13782" spans="23:23" x14ac:dyDescent="0.55000000000000004">
      <c r="W13782"/>
    </row>
    <row r="13783" spans="23:23" x14ac:dyDescent="0.55000000000000004">
      <c r="W13783"/>
    </row>
    <row r="13784" spans="23:23" x14ac:dyDescent="0.55000000000000004">
      <c r="W13784"/>
    </row>
    <row r="13785" spans="23:23" x14ac:dyDescent="0.55000000000000004">
      <c r="W13785"/>
    </row>
    <row r="13786" spans="23:23" x14ac:dyDescent="0.55000000000000004">
      <c r="W13786"/>
    </row>
    <row r="13787" spans="23:23" x14ac:dyDescent="0.55000000000000004">
      <c r="W13787"/>
    </row>
    <row r="13788" spans="23:23" x14ac:dyDescent="0.55000000000000004">
      <c r="W13788"/>
    </row>
    <row r="13789" spans="23:23" x14ac:dyDescent="0.55000000000000004">
      <c r="W13789"/>
    </row>
    <row r="13790" spans="23:23" x14ac:dyDescent="0.55000000000000004">
      <c r="W13790"/>
    </row>
    <row r="13791" spans="23:23" x14ac:dyDescent="0.55000000000000004">
      <c r="W13791"/>
    </row>
    <row r="13792" spans="23:23" x14ac:dyDescent="0.55000000000000004">
      <c r="W13792"/>
    </row>
    <row r="13793" spans="23:23" x14ac:dyDescent="0.55000000000000004">
      <c r="W13793"/>
    </row>
    <row r="13794" spans="23:23" x14ac:dyDescent="0.55000000000000004">
      <c r="W13794"/>
    </row>
    <row r="13795" spans="23:23" x14ac:dyDescent="0.55000000000000004">
      <c r="W13795"/>
    </row>
    <row r="13796" spans="23:23" x14ac:dyDescent="0.55000000000000004">
      <c r="W13796"/>
    </row>
    <row r="13797" spans="23:23" x14ac:dyDescent="0.55000000000000004">
      <c r="W13797"/>
    </row>
    <row r="13798" spans="23:23" x14ac:dyDescent="0.55000000000000004">
      <c r="W13798"/>
    </row>
    <row r="13799" spans="23:23" x14ac:dyDescent="0.55000000000000004">
      <c r="W13799"/>
    </row>
    <row r="13800" spans="23:23" x14ac:dyDescent="0.55000000000000004">
      <c r="W13800"/>
    </row>
    <row r="13801" spans="23:23" x14ac:dyDescent="0.55000000000000004">
      <c r="W13801"/>
    </row>
    <row r="13802" spans="23:23" x14ac:dyDescent="0.55000000000000004">
      <c r="W13802"/>
    </row>
    <row r="13803" spans="23:23" x14ac:dyDescent="0.55000000000000004">
      <c r="W13803"/>
    </row>
    <row r="13804" spans="23:23" x14ac:dyDescent="0.55000000000000004">
      <c r="W13804"/>
    </row>
    <row r="13805" spans="23:23" x14ac:dyDescent="0.55000000000000004">
      <c r="W13805"/>
    </row>
    <row r="13806" spans="23:23" x14ac:dyDescent="0.55000000000000004">
      <c r="W13806"/>
    </row>
    <row r="13807" spans="23:23" x14ac:dyDescent="0.55000000000000004">
      <c r="W13807"/>
    </row>
    <row r="13808" spans="23:23" x14ac:dyDescent="0.55000000000000004">
      <c r="W13808"/>
    </row>
    <row r="13809" spans="23:23" x14ac:dyDescent="0.55000000000000004">
      <c r="W13809"/>
    </row>
    <row r="13810" spans="23:23" x14ac:dyDescent="0.55000000000000004">
      <c r="W13810"/>
    </row>
    <row r="13811" spans="23:23" x14ac:dyDescent="0.55000000000000004">
      <c r="W13811"/>
    </row>
    <row r="13812" spans="23:23" x14ac:dyDescent="0.55000000000000004">
      <c r="W13812"/>
    </row>
    <row r="13813" spans="23:23" x14ac:dyDescent="0.55000000000000004">
      <c r="W13813"/>
    </row>
    <row r="13814" spans="23:23" x14ac:dyDescent="0.55000000000000004">
      <c r="W13814"/>
    </row>
    <row r="13815" spans="23:23" x14ac:dyDescent="0.55000000000000004">
      <c r="W13815"/>
    </row>
    <row r="13816" spans="23:23" x14ac:dyDescent="0.55000000000000004">
      <c r="W13816"/>
    </row>
    <row r="13817" spans="23:23" x14ac:dyDescent="0.55000000000000004">
      <c r="W13817"/>
    </row>
    <row r="13818" spans="23:23" x14ac:dyDescent="0.55000000000000004">
      <c r="W13818"/>
    </row>
    <row r="13819" spans="23:23" x14ac:dyDescent="0.55000000000000004">
      <c r="W13819"/>
    </row>
    <row r="13820" spans="23:23" x14ac:dyDescent="0.55000000000000004">
      <c r="W13820"/>
    </row>
    <row r="13821" spans="23:23" x14ac:dyDescent="0.55000000000000004">
      <c r="W13821"/>
    </row>
    <row r="13822" spans="23:23" x14ac:dyDescent="0.55000000000000004">
      <c r="W13822"/>
    </row>
    <row r="13823" spans="23:23" x14ac:dyDescent="0.55000000000000004">
      <c r="W13823"/>
    </row>
    <row r="13824" spans="23:23" x14ac:dyDescent="0.55000000000000004">
      <c r="W13824"/>
    </row>
    <row r="13825" spans="23:23" x14ac:dyDescent="0.55000000000000004">
      <c r="W13825"/>
    </row>
    <row r="13826" spans="23:23" x14ac:dyDescent="0.55000000000000004">
      <c r="W13826"/>
    </row>
    <row r="13827" spans="23:23" x14ac:dyDescent="0.55000000000000004">
      <c r="W13827"/>
    </row>
    <row r="13828" spans="23:23" x14ac:dyDescent="0.55000000000000004">
      <c r="W13828"/>
    </row>
    <row r="13829" spans="23:23" x14ac:dyDescent="0.55000000000000004">
      <c r="W13829"/>
    </row>
    <row r="13830" spans="23:23" x14ac:dyDescent="0.55000000000000004">
      <c r="W13830"/>
    </row>
    <row r="13831" spans="23:23" x14ac:dyDescent="0.55000000000000004">
      <c r="W13831"/>
    </row>
    <row r="13832" spans="23:23" x14ac:dyDescent="0.55000000000000004">
      <c r="W13832"/>
    </row>
    <row r="13833" spans="23:23" x14ac:dyDescent="0.55000000000000004">
      <c r="W13833"/>
    </row>
    <row r="13834" spans="23:23" x14ac:dyDescent="0.55000000000000004">
      <c r="W13834"/>
    </row>
    <row r="13835" spans="23:23" x14ac:dyDescent="0.55000000000000004">
      <c r="W13835"/>
    </row>
    <row r="13836" spans="23:23" x14ac:dyDescent="0.55000000000000004">
      <c r="W13836"/>
    </row>
    <row r="13837" spans="23:23" x14ac:dyDescent="0.55000000000000004">
      <c r="W13837"/>
    </row>
    <row r="13838" spans="23:23" x14ac:dyDescent="0.55000000000000004">
      <c r="W13838"/>
    </row>
    <row r="13839" spans="23:23" x14ac:dyDescent="0.55000000000000004">
      <c r="W13839"/>
    </row>
    <row r="13840" spans="23:23" x14ac:dyDescent="0.55000000000000004">
      <c r="W13840"/>
    </row>
    <row r="13841" spans="23:23" x14ac:dyDescent="0.55000000000000004">
      <c r="W13841"/>
    </row>
    <row r="13842" spans="23:23" x14ac:dyDescent="0.55000000000000004">
      <c r="W13842"/>
    </row>
    <row r="13843" spans="23:23" x14ac:dyDescent="0.55000000000000004">
      <c r="W13843"/>
    </row>
    <row r="13844" spans="23:23" x14ac:dyDescent="0.55000000000000004">
      <c r="W13844"/>
    </row>
    <row r="13845" spans="23:23" x14ac:dyDescent="0.55000000000000004">
      <c r="W13845"/>
    </row>
    <row r="13846" spans="23:23" x14ac:dyDescent="0.55000000000000004">
      <c r="W13846"/>
    </row>
    <row r="13847" spans="23:23" x14ac:dyDescent="0.55000000000000004">
      <c r="W13847"/>
    </row>
    <row r="13848" spans="23:23" x14ac:dyDescent="0.55000000000000004">
      <c r="W13848"/>
    </row>
    <row r="13849" spans="23:23" x14ac:dyDescent="0.55000000000000004">
      <c r="W13849"/>
    </row>
    <row r="13850" spans="23:23" x14ac:dyDescent="0.55000000000000004">
      <c r="W13850"/>
    </row>
    <row r="13851" spans="23:23" x14ac:dyDescent="0.55000000000000004">
      <c r="W13851"/>
    </row>
    <row r="13852" spans="23:23" x14ac:dyDescent="0.55000000000000004">
      <c r="W13852"/>
    </row>
    <row r="13853" spans="23:23" x14ac:dyDescent="0.55000000000000004">
      <c r="W13853"/>
    </row>
    <row r="13854" spans="23:23" x14ac:dyDescent="0.55000000000000004">
      <c r="W13854"/>
    </row>
    <row r="13855" spans="23:23" x14ac:dyDescent="0.55000000000000004">
      <c r="W13855"/>
    </row>
    <row r="13856" spans="23:23" x14ac:dyDescent="0.55000000000000004">
      <c r="W13856"/>
    </row>
    <row r="13857" spans="23:23" x14ac:dyDescent="0.55000000000000004">
      <c r="W13857"/>
    </row>
    <row r="13858" spans="23:23" x14ac:dyDescent="0.55000000000000004">
      <c r="W13858"/>
    </row>
    <row r="13859" spans="23:23" x14ac:dyDescent="0.55000000000000004">
      <c r="W13859"/>
    </row>
    <row r="13860" spans="23:23" x14ac:dyDescent="0.55000000000000004">
      <c r="W13860"/>
    </row>
    <row r="13861" spans="23:23" x14ac:dyDescent="0.55000000000000004">
      <c r="W13861"/>
    </row>
    <row r="13862" spans="23:23" x14ac:dyDescent="0.55000000000000004">
      <c r="W13862"/>
    </row>
    <row r="13863" spans="23:23" x14ac:dyDescent="0.55000000000000004">
      <c r="W13863"/>
    </row>
    <row r="13864" spans="23:23" x14ac:dyDescent="0.55000000000000004">
      <c r="W13864"/>
    </row>
    <row r="13865" spans="23:23" x14ac:dyDescent="0.55000000000000004">
      <c r="W13865"/>
    </row>
    <row r="13866" spans="23:23" x14ac:dyDescent="0.55000000000000004">
      <c r="W13866"/>
    </row>
    <row r="13867" spans="23:23" x14ac:dyDescent="0.55000000000000004">
      <c r="W13867"/>
    </row>
    <row r="13868" spans="23:23" x14ac:dyDescent="0.55000000000000004">
      <c r="W13868"/>
    </row>
    <row r="13869" spans="23:23" x14ac:dyDescent="0.55000000000000004">
      <c r="W13869"/>
    </row>
    <row r="13870" spans="23:23" x14ac:dyDescent="0.55000000000000004">
      <c r="W13870"/>
    </row>
    <row r="13871" spans="23:23" x14ac:dyDescent="0.55000000000000004">
      <c r="W13871"/>
    </row>
    <row r="13872" spans="23:23" x14ac:dyDescent="0.55000000000000004">
      <c r="W13872"/>
    </row>
    <row r="13873" spans="23:23" x14ac:dyDescent="0.55000000000000004">
      <c r="W13873"/>
    </row>
    <row r="13874" spans="23:23" x14ac:dyDescent="0.55000000000000004">
      <c r="W13874"/>
    </row>
    <row r="13875" spans="23:23" x14ac:dyDescent="0.55000000000000004">
      <c r="W13875"/>
    </row>
    <row r="13876" spans="23:23" x14ac:dyDescent="0.55000000000000004">
      <c r="W13876"/>
    </row>
    <row r="13877" spans="23:23" x14ac:dyDescent="0.55000000000000004">
      <c r="W13877"/>
    </row>
    <row r="13878" spans="23:23" x14ac:dyDescent="0.55000000000000004">
      <c r="W13878"/>
    </row>
    <row r="13879" spans="23:23" x14ac:dyDescent="0.55000000000000004">
      <c r="W13879"/>
    </row>
    <row r="13880" spans="23:23" x14ac:dyDescent="0.55000000000000004">
      <c r="W13880"/>
    </row>
    <row r="13881" spans="23:23" x14ac:dyDescent="0.55000000000000004">
      <c r="W13881"/>
    </row>
    <row r="13882" spans="23:23" x14ac:dyDescent="0.55000000000000004">
      <c r="W13882"/>
    </row>
    <row r="13883" spans="23:23" x14ac:dyDescent="0.55000000000000004">
      <c r="W13883"/>
    </row>
    <row r="13884" spans="23:23" x14ac:dyDescent="0.55000000000000004">
      <c r="W13884"/>
    </row>
    <row r="13885" spans="23:23" x14ac:dyDescent="0.55000000000000004">
      <c r="W13885"/>
    </row>
    <row r="13886" spans="23:23" x14ac:dyDescent="0.55000000000000004">
      <c r="W13886"/>
    </row>
    <row r="13887" spans="23:23" x14ac:dyDescent="0.55000000000000004">
      <c r="W13887"/>
    </row>
    <row r="13888" spans="23:23" x14ac:dyDescent="0.55000000000000004">
      <c r="W13888"/>
    </row>
    <row r="13889" spans="23:23" x14ac:dyDescent="0.55000000000000004">
      <c r="W13889"/>
    </row>
    <row r="13890" spans="23:23" x14ac:dyDescent="0.55000000000000004">
      <c r="W13890"/>
    </row>
    <row r="13891" spans="23:23" x14ac:dyDescent="0.55000000000000004">
      <c r="W13891"/>
    </row>
    <row r="13892" spans="23:23" x14ac:dyDescent="0.55000000000000004">
      <c r="W13892"/>
    </row>
    <row r="13893" spans="23:23" x14ac:dyDescent="0.55000000000000004">
      <c r="W13893"/>
    </row>
    <row r="13894" spans="23:23" x14ac:dyDescent="0.55000000000000004">
      <c r="W13894"/>
    </row>
    <row r="13895" spans="23:23" x14ac:dyDescent="0.55000000000000004">
      <c r="W13895"/>
    </row>
    <row r="13896" spans="23:23" x14ac:dyDescent="0.55000000000000004">
      <c r="W13896"/>
    </row>
    <row r="13897" spans="23:23" x14ac:dyDescent="0.55000000000000004">
      <c r="W13897"/>
    </row>
    <row r="13898" spans="23:23" x14ac:dyDescent="0.55000000000000004">
      <c r="W13898"/>
    </row>
    <row r="13899" spans="23:23" x14ac:dyDescent="0.55000000000000004">
      <c r="W13899"/>
    </row>
    <row r="13900" spans="23:23" x14ac:dyDescent="0.55000000000000004">
      <c r="W13900"/>
    </row>
    <row r="13901" spans="23:23" x14ac:dyDescent="0.55000000000000004">
      <c r="W13901"/>
    </row>
    <row r="13902" spans="23:23" x14ac:dyDescent="0.55000000000000004">
      <c r="W13902"/>
    </row>
    <row r="13903" spans="23:23" x14ac:dyDescent="0.55000000000000004">
      <c r="W13903"/>
    </row>
    <row r="13904" spans="23:23" x14ac:dyDescent="0.55000000000000004">
      <c r="W13904"/>
    </row>
    <row r="13905" spans="23:23" x14ac:dyDescent="0.55000000000000004">
      <c r="W13905"/>
    </row>
    <row r="13906" spans="23:23" x14ac:dyDescent="0.55000000000000004">
      <c r="W13906"/>
    </row>
    <row r="13907" spans="23:23" x14ac:dyDescent="0.55000000000000004">
      <c r="W13907"/>
    </row>
    <row r="13908" spans="23:23" x14ac:dyDescent="0.55000000000000004">
      <c r="W13908"/>
    </row>
    <row r="13909" spans="23:23" x14ac:dyDescent="0.55000000000000004">
      <c r="W13909"/>
    </row>
    <row r="13910" spans="23:23" x14ac:dyDescent="0.55000000000000004">
      <c r="W13910"/>
    </row>
    <row r="13911" spans="23:23" x14ac:dyDescent="0.55000000000000004">
      <c r="W13911"/>
    </row>
    <row r="13912" spans="23:23" x14ac:dyDescent="0.55000000000000004">
      <c r="W13912"/>
    </row>
    <row r="13913" spans="23:23" x14ac:dyDescent="0.55000000000000004">
      <c r="W13913"/>
    </row>
    <row r="13914" spans="23:23" x14ac:dyDescent="0.55000000000000004">
      <c r="W13914"/>
    </row>
    <row r="13915" spans="23:23" x14ac:dyDescent="0.55000000000000004">
      <c r="W13915"/>
    </row>
    <row r="13916" spans="23:23" x14ac:dyDescent="0.55000000000000004">
      <c r="W13916"/>
    </row>
    <row r="13917" spans="23:23" x14ac:dyDescent="0.55000000000000004">
      <c r="W13917"/>
    </row>
    <row r="13918" spans="23:23" x14ac:dyDescent="0.55000000000000004">
      <c r="W13918"/>
    </row>
    <row r="13919" spans="23:23" x14ac:dyDescent="0.55000000000000004">
      <c r="W13919"/>
    </row>
    <row r="13920" spans="23:23" x14ac:dyDescent="0.55000000000000004">
      <c r="W13920"/>
    </row>
    <row r="13921" spans="23:23" x14ac:dyDescent="0.55000000000000004">
      <c r="W13921"/>
    </row>
    <row r="13922" spans="23:23" x14ac:dyDescent="0.55000000000000004">
      <c r="W13922"/>
    </row>
    <row r="13923" spans="23:23" x14ac:dyDescent="0.55000000000000004">
      <c r="W13923"/>
    </row>
    <row r="13924" spans="23:23" x14ac:dyDescent="0.55000000000000004">
      <c r="W13924"/>
    </row>
    <row r="13925" spans="23:23" x14ac:dyDescent="0.55000000000000004">
      <c r="W13925"/>
    </row>
    <row r="13926" spans="23:23" x14ac:dyDescent="0.55000000000000004">
      <c r="W13926"/>
    </row>
    <row r="13927" spans="23:23" x14ac:dyDescent="0.55000000000000004">
      <c r="W13927"/>
    </row>
    <row r="13928" spans="23:23" x14ac:dyDescent="0.55000000000000004">
      <c r="W13928"/>
    </row>
    <row r="13929" spans="23:23" x14ac:dyDescent="0.55000000000000004">
      <c r="W13929"/>
    </row>
    <row r="13930" spans="23:23" x14ac:dyDescent="0.55000000000000004">
      <c r="W13930"/>
    </row>
    <row r="13931" spans="23:23" x14ac:dyDescent="0.55000000000000004">
      <c r="W13931"/>
    </row>
    <row r="13932" spans="23:23" x14ac:dyDescent="0.55000000000000004">
      <c r="W13932"/>
    </row>
    <row r="13933" spans="23:23" x14ac:dyDescent="0.55000000000000004">
      <c r="W13933"/>
    </row>
    <row r="13934" spans="23:23" x14ac:dyDescent="0.55000000000000004">
      <c r="W13934"/>
    </row>
    <row r="13935" spans="23:23" x14ac:dyDescent="0.55000000000000004">
      <c r="W13935"/>
    </row>
    <row r="13936" spans="23:23" x14ac:dyDescent="0.55000000000000004">
      <c r="W13936"/>
    </row>
    <row r="13937" spans="23:23" x14ac:dyDescent="0.55000000000000004">
      <c r="W13937"/>
    </row>
    <row r="13938" spans="23:23" x14ac:dyDescent="0.55000000000000004">
      <c r="W13938"/>
    </row>
    <row r="13939" spans="23:23" x14ac:dyDescent="0.55000000000000004">
      <c r="W13939"/>
    </row>
    <row r="13940" spans="23:23" x14ac:dyDescent="0.55000000000000004">
      <c r="W13940"/>
    </row>
    <row r="13941" spans="23:23" x14ac:dyDescent="0.55000000000000004">
      <c r="W13941"/>
    </row>
    <row r="13942" spans="23:23" x14ac:dyDescent="0.55000000000000004">
      <c r="W13942"/>
    </row>
    <row r="13943" spans="23:23" x14ac:dyDescent="0.55000000000000004">
      <c r="W13943"/>
    </row>
    <row r="13944" spans="23:23" x14ac:dyDescent="0.55000000000000004">
      <c r="W13944"/>
    </row>
    <row r="13945" spans="23:23" x14ac:dyDescent="0.55000000000000004">
      <c r="W13945"/>
    </row>
    <row r="13946" spans="23:23" x14ac:dyDescent="0.55000000000000004">
      <c r="W13946"/>
    </row>
    <row r="13947" spans="23:23" x14ac:dyDescent="0.55000000000000004">
      <c r="W13947"/>
    </row>
    <row r="13948" spans="23:23" x14ac:dyDescent="0.55000000000000004">
      <c r="W13948"/>
    </row>
    <row r="13949" spans="23:23" x14ac:dyDescent="0.55000000000000004">
      <c r="W13949"/>
    </row>
    <row r="13950" spans="23:23" x14ac:dyDescent="0.55000000000000004">
      <c r="W13950"/>
    </row>
    <row r="13951" spans="23:23" x14ac:dyDescent="0.55000000000000004">
      <c r="W13951"/>
    </row>
    <row r="13952" spans="23:23" x14ac:dyDescent="0.55000000000000004">
      <c r="W13952"/>
    </row>
    <row r="13953" spans="23:23" x14ac:dyDescent="0.55000000000000004">
      <c r="W13953"/>
    </row>
    <row r="13954" spans="23:23" x14ac:dyDescent="0.55000000000000004">
      <c r="W13954"/>
    </row>
    <row r="13955" spans="23:23" x14ac:dyDescent="0.55000000000000004">
      <c r="W13955"/>
    </row>
    <row r="13956" spans="23:23" x14ac:dyDescent="0.55000000000000004">
      <c r="W13956"/>
    </row>
    <row r="13957" spans="23:23" x14ac:dyDescent="0.55000000000000004">
      <c r="W13957"/>
    </row>
    <row r="13958" spans="23:23" x14ac:dyDescent="0.55000000000000004">
      <c r="W13958"/>
    </row>
    <row r="13959" spans="23:23" x14ac:dyDescent="0.55000000000000004">
      <c r="W13959"/>
    </row>
    <row r="13960" spans="23:23" x14ac:dyDescent="0.55000000000000004">
      <c r="W13960"/>
    </row>
    <row r="13961" spans="23:23" x14ac:dyDescent="0.55000000000000004">
      <c r="W13961"/>
    </row>
    <row r="13962" spans="23:23" x14ac:dyDescent="0.55000000000000004">
      <c r="W13962"/>
    </row>
    <row r="13963" spans="23:23" x14ac:dyDescent="0.55000000000000004">
      <c r="W13963"/>
    </row>
    <row r="13964" spans="23:23" x14ac:dyDescent="0.55000000000000004">
      <c r="W13964"/>
    </row>
    <row r="13965" spans="23:23" x14ac:dyDescent="0.55000000000000004">
      <c r="W13965"/>
    </row>
    <row r="13966" spans="23:23" x14ac:dyDescent="0.55000000000000004">
      <c r="W13966"/>
    </row>
    <row r="13967" spans="23:23" x14ac:dyDescent="0.55000000000000004">
      <c r="W13967"/>
    </row>
    <row r="13968" spans="23:23" x14ac:dyDescent="0.55000000000000004">
      <c r="W13968"/>
    </row>
    <row r="13969" spans="23:23" x14ac:dyDescent="0.55000000000000004">
      <c r="W13969"/>
    </row>
    <row r="13970" spans="23:23" x14ac:dyDescent="0.55000000000000004">
      <c r="W13970"/>
    </row>
    <row r="13971" spans="23:23" x14ac:dyDescent="0.55000000000000004">
      <c r="W13971"/>
    </row>
    <row r="13972" spans="23:23" x14ac:dyDescent="0.55000000000000004">
      <c r="W13972"/>
    </row>
    <row r="13973" spans="23:23" x14ac:dyDescent="0.55000000000000004">
      <c r="W13973"/>
    </row>
    <row r="13974" spans="23:23" x14ac:dyDescent="0.55000000000000004">
      <c r="W13974"/>
    </row>
    <row r="13975" spans="23:23" x14ac:dyDescent="0.55000000000000004">
      <c r="W13975"/>
    </row>
    <row r="13976" spans="23:23" x14ac:dyDescent="0.55000000000000004">
      <c r="W13976"/>
    </row>
    <row r="13977" spans="23:23" x14ac:dyDescent="0.55000000000000004">
      <c r="W13977"/>
    </row>
    <row r="13978" spans="23:23" x14ac:dyDescent="0.55000000000000004">
      <c r="W13978"/>
    </row>
    <row r="13979" spans="23:23" x14ac:dyDescent="0.55000000000000004">
      <c r="W13979"/>
    </row>
    <row r="13980" spans="23:23" x14ac:dyDescent="0.55000000000000004">
      <c r="W13980"/>
    </row>
    <row r="13981" spans="23:23" x14ac:dyDescent="0.55000000000000004">
      <c r="W13981"/>
    </row>
    <row r="13982" spans="23:23" x14ac:dyDescent="0.55000000000000004">
      <c r="W13982"/>
    </row>
    <row r="13983" spans="23:23" x14ac:dyDescent="0.55000000000000004">
      <c r="W13983"/>
    </row>
    <row r="13984" spans="23:23" x14ac:dyDescent="0.55000000000000004">
      <c r="W13984"/>
    </row>
    <row r="13985" spans="23:23" x14ac:dyDescent="0.55000000000000004">
      <c r="W13985"/>
    </row>
    <row r="13986" spans="23:23" x14ac:dyDescent="0.55000000000000004">
      <c r="W13986"/>
    </row>
    <row r="13987" spans="23:23" x14ac:dyDescent="0.55000000000000004">
      <c r="W13987"/>
    </row>
    <row r="13988" spans="23:23" x14ac:dyDescent="0.55000000000000004">
      <c r="W13988"/>
    </row>
    <row r="13989" spans="23:23" x14ac:dyDescent="0.55000000000000004">
      <c r="W13989"/>
    </row>
    <row r="13990" spans="23:23" x14ac:dyDescent="0.55000000000000004">
      <c r="W13990"/>
    </row>
    <row r="13991" spans="23:23" x14ac:dyDescent="0.55000000000000004">
      <c r="W13991"/>
    </row>
    <row r="13992" spans="23:23" x14ac:dyDescent="0.55000000000000004">
      <c r="W13992"/>
    </row>
    <row r="13993" spans="23:23" x14ac:dyDescent="0.55000000000000004">
      <c r="W13993"/>
    </row>
    <row r="13994" spans="23:23" x14ac:dyDescent="0.55000000000000004">
      <c r="W13994"/>
    </row>
    <row r="13995" spans="23:23" x14ac:dyDescent="0.55000000000000004">
      <c r="W13995"/>
    </row>
    <row r="13996" spans="23:23" x14ac:dyDescent="0.55000000000000004">
      <c r="W13996"/>
    </row>
    <row r="13997" spans="23:23" x14ac:dyDescent="0.55000000000000004">
      <c r="W13997"/>
    </row>
    <row r="13998" spans="23:23" x14ac:dyDescent="0.55000000000000004">
      <c r="W13998"/>
    </row>
    <row r="13999" spans="23:23" x14ac:dyDescent="0.55000000000000004">
      <c r="W13999"/>
    </row>
    <row r="14000" spans="23:23" x14ac:dyDescent="0.55000000000000004">
      <c r="W14000"/>
    </row>
    <row r="14001" spans="23:23" x14ac:dyDescent="0.55000000000000004">
      <c r="W14001"/>
    </row>
    <row r="14002" spans="23:23" x14ac:dyDescent="0.55000000000000004">
      <c r="W14002"/>
    </row>
    <row r="14003" spans="23:23" x14ac:dyDescent="0.55000000000000004">
      <c r="W14003"/>
    </row>
    <row r="14004" spans="23:23" x14ac:dyDescent="0.55000000000000004">
      <c r="W14004"/>
    </row>
    <row r="14005" spans="23:23" x14ac:dyDescent="0.55000000000000004">
      <c r="W14005"/>
    </row>
    <row r="14006" spans="23:23" x14ac:dyDescent="0.55000000000000004">
      <c r="W14006"/>
    </row>
    <row r="14007" spans="23:23" x14ac:dyDescent="0.55000000000000004">
      <c r="W14007"/>
    </row>
    <row r="14008" spans="23:23" x14ac:dyDescent="0.55000000000000004">
      <c r="W14008"/>
    </row>
    <row r="14009" spans="23:23" x14ac:dyDescent="0.55000000000000004">
      <c r="W14009"/>
    </row>
    <row r="14010" spans="23:23" x14ac:dyDescent="0.55000000000000004">
      <c r="W14010"/>
    </row>
    <row r="14011" spans="23:23" x14ac:dyDescent="0.55000000000000004">
      <c r="W14011"/>
    </row>
    <row r="14012" spans="23:23" x14ac:dyDescent="0.55000000000000004">
      <c r="W14012"/>
    </row>
    <row r="14013" spans="23:23" x14ac:dyDescent="0.55000000000000004">
      <c r="W14013"/>
    </row>
    <row r="14014" spans="23:23" x14ac:dyDescent="0.55000000000000004">
      <c r="W14014"/>
    </row>
    <row r="14015" spans="23:23" x14ac:dyDescent="0.55000000000000004">
      <c r="W14015"/>
    </row>
    <row r="14016" spans="23:23" x14ac:dyDescent="0.55000000000000004">
      <c r="W14016"/>
    </row>
    <row r="14017" spans="23:23" x14ac:dyDescent="0.55000000000000004">
      <c r="W14017"/>
    </row>
    <row r="14018" spans="23:23" x14ac:dyDescent="0.55000000000000004">
      <c r="W14018"/>
    </row>
    <row r="14019" spans="23:23" x14ac:dyDescent="0.55000000000000004">
      <c r="W14019"/>
    </row>
    <row r="14020" spans="23:23" x14ac:dyDescent="0.55000000000000004">
      <c r="W14020"/>
    </row>
    <row r="14021" spans="23:23" x14ac:dyDescent="0.55000000000000004">
      <c r="W14021"/>
    </row>
    <row r="14022" spans="23:23" x14ac:dyDescent="0.55000000000000004">
      <c r="W14022"/>
    </row>
    <row r="14023" spans="23:23" x14ac:dyDescent="0.55000000000000004">
      <c r="W14023"/>
    </row>
    <row r="14024" spans="23:23" x14ac:dyDescent="0.55000000000000004">
      <c r="W14024"/>
    </row>
    <row r="14025" spans="23:23" x14ac:dyDescent="0.55000000000000004">
      <c r="W14025"/>
    </row>
    <row r="14026" spans="23:23" x14ac:dyDescent="0.55000000000000004">
      <c r="W14026"/>
    </row>
    <row r="14027" spans="23:23" x14ac:dyDescent="0.55000000000000004">
      <c r="W14027"/>
    </row>
    <row r="14028" spans="23:23" x14ac:dyDescent="0.55000000000000004">
      <c r="W14028"/>
    </row>
    <row r="14029" spans="23:23" x14ac:dyDescent="0.55000000000000004">
      <c r="W14029"/>
    </row>
    <row r="14030" spans="23:23" x14ac:dyDescent="0.55000000000000004">
      <c r="W14030"/>
    </row>
    <row r="14031" spans="23:23" x14ac:dyDescent="0.55000000000000004">
      <c r="W14031"/>
    </row>
    <row r="14032" spans="23:23" x14ac:dyDescent="0.55000000000000004">
      <c r="W14032"/>
    </row>
    <row r="14033" spans="23:23" x14ac:dyDescent="0.55000000000000004">
      <c r="W14033"/>
    </row>
    <row r="14034" spans="23:23" x14ac:dyDescent="0.55000000000000004">
      <c r="W14034"/>
    </row>
    <row r="14035" spans="23:23" x14ac:dyDescent="0.55000000000000004">
      <c r="W14035"/>
    </row>
    <row r="14036" spans="23:23" x14ac:dyDescent="0.55000000000000004">
      <c r="W14036"/>
    </row>
    <row r="14037" spans="23:23" x14ac:dyDescent="0.55000000000000004">
      <c r="W14037"/>
    </row>
    <row r="14038" spans="23:23" x14ac:dyDescent="0.55000000000000004">
      <c r="W14038"/>
    </row>
    <row r="14039" spans="23:23" x14ac:dyDescent="0.55000000000000004">
      <c r="W14039"/>
    </row>
    <row r="14040" spans="23:23" x14ac:dyDescent="0.55000000000000004">
      <c r="W14040"/>
    </row>
    <row r="14041" spans="23:23" x14ac:dyDescent="0.55000000000000004">
      <c r="W14041"/>
    </row>
    <row r="14042" spans="23:23" x14ac:dyDescent="0.55000000000000004">
      <c r="W14042"/>
    </row>
    <row r="14043" spans="23:23" x14ac:dyDescent="0.55000000000000004">
      <c r="W14043"/>
    </row>
    <row r="14044" spans="23:23" x14ac:dyDescent="0.55000000000000004">
      <c r="W14044"/>
    </row>
    <row r="14045" spans="23:23" x14ac:dyDescent="0.55000000000000004">
      <c r="W14045"/>
    </row>
    <row r="14046" spans="23:23" x14ac:dyDescent="0.55000000000000004">
      <c r="W14046"/>
    </row>
    <row r="14047" spans="23:23" x14ac:dyDescent="0.55000000000000004">
      <c r="W14047"/>
    </row>
    <row r="14048" spans="23:23" x14ac:dyDescent="0.55000000000000004">
      <c r="W14048"/>
    </row>
    <row r="14049" spans="23:23" x14ac:dyDescent="0.55000000000000004">
      <c r="W14049"/>
    </row>
    <row r="14050" spans="23:23" x14ac:dyDescent="0.55000000000000004">
      <c r="W14050"/>
    </row>
    <row r="14051" spans="23:23" x14ac:dyDescent="0.55000000000000004">
      <c r="W14051"/>
    </row>
    <row r="14052" spans="23:23" x14ac:dyDescent="0.55000000000000004">
      <c r="W14052"/>
    </row>
    <row r="14053" spans="23:23" x14ac:dyDescent="0.55000000000000004">
      <c r="W14053"/>
    </row>
    <row r="14054" spans="23:23" x14ac:dyDescent="0.55000000000000004">
      <c r="W14054"/>
    </row>
    <row r="14055" spans="23:23" x14ac:dyDescent="0.55000000000000004">
      <c r="W14055"/>
    </row>
    <row r="14056" spans="23:23" x14ac:dyDescent="0.55000000000000004">
      <c r="W14056"/>
    </row>
    <row r="14057" spans="23:23" x14ac:dyDescent="0.55000000000000004">
      <c r="W14057"/>
    </row>
    <row r="14058" spans="23:23" x14ac:dyDescent="0.55000000000000004">
      <c r="W14058"/>
    </row>
    <row r="14059" spans="23:23" x14ac:dyDescent="0.55000000000000004">
      <c r="W14059"/>
    </row>
    <row r="14060" spans="23:23" x14ac:dyDescent="0.55000000000000004">
      <c r="W14060"/>
    </row>
    <row r="14061" spans="23:23" x14ac:dyDescent="0.55000000000000004">
      <c r="W14061"/>
    </row>
    <row r="14062" spans="23:23" x14ac:dyDescent="0.55000000000000004">
      <c r="W14062"/>
    </row>
    <row r="14063" spans="23:23" x14ac:dyDescent="0.55000000000000004">
      <c r="W14063"/>
    </row>
    <row r="14064" spans="23:23" x14ac:dyDescent="0.55000000000000004">
      <c r="W14064"/>
    </row>
    <row r="14065" spans="23:23" x14ac:dyDescent="0.55000000000000004">
      <c r="W14065"/>
    </row>
    <row r="14066" spans="23:23" x14ac:dyDescent="0.55000000000000004">
      <c r="W14066"/>
    </row>
    <row r="14067" spans="23:23" x14ac:dyDescent="0.55000000000000004">
      <c r="W14067"/>
    </row>
    <row r="14068" spans="23:23" x14ac:dyDescent="0.55000000000000004">
      <c r="W14068"/>
    </row>
    <row r="14069" spans="23:23" x14ac:dyDescent="0.55000000000000004">
      <c r="W14069"/>
    </row>
    <row r="14070" spans="23:23" x14ac:dyDescent="0.55000000000000004">
      <c r="W14070"/>
    </row>
    <row r="14071" spans="23:23" x14ac:dyDescent="0.55000000000000004">
      <c r="W14071"/>
    </row>
    <row r="14072" spans="23:23" x14ac:dyDescent="0.55000000000000004">
      <c r="W14072"/>
    </row>
    <row r="14073" spans="23:23" x14ac:dyDescent="0.55000000000000004">
      <c r="W14073"/>
    </row>
    <row r="14074" spans="23:23" x14ac:dyDescent="0.55000000000000004">
      <c r="W14074"/>
    </row>
    <row r="14075" spans="23:23" x14ac:dyDescent="0.55000000000000004">
      <c r="W14075"/>
    </row>
    <row r="14076" spans="23:23" x14ac:dyDescent="0.55000000000000004">
      <c r="W14076"/>
    </row>
    <row r="14077" spans="23:23" x14ac:dyDescent="0.55000000000000004">
      <c r="W14077"/>
    </row>
    <row r="14078" spans="23:23" x14ac:dyDescent="0.55000000000000004">
      <c r="W14078"/>
    </row>
    <row r="14079" spans="23:23" x14ac:dyDescent="0.55000000000000004">
      <c r="W14079"/>
    </row>
    <row r="14080" spans="23:23" x14ac:dyDescent="0.55000000000000004">
      <c r="W14080"/>
    </row>
    <row r="14081" spans="23:23" x14ac:dyDescent="0.55000000000000004">
      <c r="W14081"/>
    </row>
    <row r="14082" spans="23:23" x14ac:dyDescent="0.55000000000000004">
      <c r="W14082"/>
    </row>
    <row r="14083" spans="23:23" x14ac:dyDescent="0.55000000000000004">
      <c r="W14083"/>
    </row>
    <row r="14084" spans="23:23" x14ac:dyDescent="0.55000000000000004">
      <c r="W14084"/>
    </row>
    <row r="14085" spans="23:23" x14ac:dyDescent="0.55000000000000004">
      <c r="W14085"/>
    </row>
    <row r="14086" spans="23:23" x14ac:dyDescent="0.55000000000000004">
      <c r="W14086"/>
    </row>
    <row r="14087" spans="23:23" x14ac:dyDescent="0.55000000000000004">
      <c r="W14087"/>
    </row>
    <row r="14088" spans="23:23" x14ac:dyDescent="0.55000000000000004">
      <c r="W14088"/>
    </row>
    <row r="14089" spans="23:23" x14ac:dyDescent="0.55000000000000004">
      <c r="W14089"/>
    </row>
    <row r="14090" spans="23:23" x14ac:dyDescent="0.55000000000000004">
      <c r="W14090"/>
    </row>
    <row r="14091" spans="23:23" x14ac:dyDescent="0.55000000000000004">
      <c r="W14091"/>
    </row>
    <row r="14092" spans="23:23" x14ac:dyDescent="0.55000000000000004">
      <c r="W14092"/>
    </row>
    <row r="14093" spans="23:23" x14ac:dyDescent="0.55000000000000004">
      <c r="W14093"/>
    </row>
    <row r="14094" spans="23:23" x14ac:dyDescent="0.55000000000000004">
      <c r="W14094"/>
    </row>
    <row r="14095" spans="23:23" x14ac:dyDescent="0.55000000000000004">
      <c r="W14095"/>
    </row>
    <row r="14096" spans="23:23" x14ac:dyDescent="0.55000000000000004">
      <c r="W14096"/>
    </row>
    <row r="14097" spans="23:23" x14ac:dyDescent="0.55000000000000004">
      <c r="W14097"/>
    </row>
    <row r="14098" spans="23:23" x14ac:dyDescent="0.55000000000000004">
      <c r="W14098"/>
    </row>
    <row r="14099" spans="23:23" x14ac:dyDescent="0.55000000000000004">
      <c r="W14099"/>
    </row>
    <row r="14100" spans="23:23" x14ac:dyDescent="0.55000000000000004">
      <c r="W14100"/>
    </row>
    <row r="14101" spans="23:23" x14ac:dyDescent="0.55000000000000004">
      <c r="W14101"/>
    </row>
    <row r="14102" spans="23:23" x14ac:dyDescent="0.55000000000000004">
      <c r="W14102"/>
    </row>
    <row r="14103" spans="23:23" x14ac:dyDescent="0.55000000000000004">
      <c r="W14103"/>
    </row>
    <row r="14104" spans="23:23" x14ac:dyDescent="0.55000000000000004">
      <c r="W14104"/>
    </row>
    <row r="14105" spans="23:23" x14ac:dyDescent="0.55000000000000004">
      <c r="W14105"/>
    </row>
    <row r="14106" spans="23:23" x14ac:dyDescent="0.55000000000000004">
      <c r="W14106"/>
    </row>
    <row r="14107" spans="23:23" x14ac:dyDescent="0.55000000000000004">
      <c r="W14107"/>
    </row>
    <row r="14108" spans="23:23" x14ac:dyDescent="0.55000000000000004">
      <c r="W14108"/>
    </row>
    <row r="14109" spans="23:23" x14ac:dyDescent="0.55000000000000004">
      <c r="W14109"/>
    </row>
    <row r="14110" spans="23:23" x14ac:dyDescent="0.55000000000000004">
      <c r="W14110"/>
    </row>
    <row r="14111" spans="23:23" x14ac:dyDescent="0.55000000000000004">
      <c r="W14111"/>
    </row>
    <row r="14112" spans="23:23" x14ac:dyDescent="0.55000000000000004">
      <c r="W14112"/>
    </row>
    <row r="14113" spans="23:23" x14ac:dyDescent="0.55000000000000004">
      <c r="W14113"/>
    </row>
    <row r="14114" spans="23:23" x14ac:dyDescent="0.55000000000000004">
      <c r="W14114"/>
    </row>
    <row r="14115" spans="23:23" x14ac:dyDescent="0.55000000000000004">
      <c r="W14115"/>
    </row>
    <row r="14116" spans="23:23" x14ac:dyDescent="0.55000000000000004">
      <c r="W14116"/>
    </row>
    <row r="14117" spans="23:23" x14ac:dyDescent="0.55000000000000004">
      <c r="W14117"/>
    </row>
    <row r="14118" spans="23:23" x14ac:dyDescent="0.55000000000000004">
      <c r="W14118"/>
    </row>
    <row r="14119" spans="23:23" x14ac:dyDescent="0.55000000000000004">
      <c r="W14119"/>
    </row>
    <row r="14120" spans="23:23" x14ac:dyDescent="0.55000000000000004">
      <c r="W14120"/>
    </row>
    <row r="14121" spans="23:23" x14ac:dyDescent="0.55000000000000004">
      <c r="W14121"/>
    </row>
    <row r="14122" spans="23:23" x14ac:dyDescent="0.55000000000000004">
      <c r="W14122"/>
    </row>
    <row r="14123" spans="23:23" x14ac:dyDescent="0.55000000000000004">
      <c r="W14123"/>
    </row>
    <row r="14124" spans="23:23" x14ac:dyDescent="0.55000000000000004">
      <c r="W14124"/>
    </row>
    <row r="14125" spans="23:23" x14ac:dyDescent="0.55000000000000004">
      <c r="W14125"/>
    </row>
    <row r="14126" spans="23:23" x14ac:dyDescent="0.55000000000000004">
      <c r="W14126"/>
    </row>
    <row r="14127" spans="23:23" x14ac:dyDescent="0.55000000000000004">
      <c r="W14127"/>
    </row>
    <row r="14128" spans="23:23" x14ac:dyDescent="0.55000000000000004">
      <c r="W14128"/>
    </row>
    <row r="14129" spans="23:23" x14ac:dyDescent="0.55000000000000004">
      <c r="W14129"/>
    </row>
    <row r="14130" spans="23:23" x14ac:dyDescent="0.55000000000000004">
      <c r="W14130"/>
    </row>
    <row r="14131" spans="23:23" x14ac:dyDescent="0.55000000000000004">
      <c r="W14131"/>
    </row>
    <row r="14132" spans="23:23" x14ac:dyDescent="0.55000000000000004">
      <c r="W14132"/>
    </row>
    <row r="14133" spans="23:23" x14ac:dyDescent="0.55000000000000004">
      <c r="W14133"/>
    </row>
    <row r="14134" spans="23:23" x14ac:dyDescent="0.55000000000000004">
      <c r="W14134"/>
    </row>
    <row r="14135" spans="23:23" x14ac:dyDescent="0.55000000000000004">
      <c r="W14135"/>
    </row>
    <row r="14136" spans="23:23" x14ac:dyDescent="0.55000000000000004">
      <c r="W14136"/>
    </row>
    <row r="14137" spans="23:23" x14ac:dyDescent="0.55000000000000004">
      <c r="W14137"/>
    </row>
    <row r="14138" spans="23:23" x14ac:dyDescent="0.55000000000000004">
      <c r="W14138"/>
    </row>
    <row r="14139" spans="23:23" x14ac:dyDescent="0.55000000000000004">
      <c r="W14139"/>
    </row>
    <row r="14140" spans="23:23" x14ac:dyDescent="0.55000000000000004">
      <c r="W14140"/>
    </row>
    <row r="14141" spans="23:23" x14ac:dyDescent="0.55000000000000004">
      <c r="W14141"/>
    </row>
    <row r="14142" spans="23:23" x14ac:dyDescent="0.55000000000000004">
      <c r="W14142"/>
    </row>
    <row r="14143" spans="23:23" x14ac:dyDescent="0.55000000000000004">
      <c r="W14143"/>
    </row>
    <row r="14144" spans="23:23" x14ac:dyDescent="0.55000000000000004">
      <c r="W14144"/>
    </row>
    <row r="14145" spans="23:23" x14ac:dyDescent="0.55000000000000004">
      <c r="W14145"/>
    </row>
    <row r="14146" spans="23:23" x14ac:dyDescent="0.55000000000000004">
      <c r="W14146"/>
    </row>
    <row r="14147" spans="23:23" x14ac:dyDescent="0.55000000000000004">
      <c r="W14147"/>
    </row>
    <row r="14148" spans="23:23" x14ac:dyDescent="0.55000000000000004">
      <c r="W14148"/>
    </row>
    <row r="14149" spans="23:23" x14ac:dyDescent="0.55000000000000004">
      <c r="W14149"/>
    </row>
    <row r="14150" spans="23:23" x14ac:dyDescent="0.55000000000000004">
      <c r="W14150"/>
    </row>
    <row r="14151" spans="23:23" x14ac:dyDescent="0.55000000000000004">
      <c r="W14151"/>
    </row>
    <row r="14152" spans="23:23" x14ac:dyDescent="0.55000000000000004">
      <c r="W14152"/>
    </row>
    <row r="14153" spans="23:23" x14ac:dyDescent="0.55000000000000004">
      <c r="W14153"/>
    </row>
    <row r="14154" spans="23:23" x14ac:dyDescent="0.55000000000000004">
      <c r="W14154"/>
    </row>
    <row r="14155" spans="23:23" x14ac:dyDescent="0.55000000000000004">
      <c r="W14155"/>
    </row>
    <row r="14156" spans="23:23" x14ac:dyDescent="0.55000000000000004">
      <c r="W14156"/>
    </row>
    <row r="14157" spans="23:23" x14ac:dyDescent="0.55000000000000004">
      <c r="W14157"/>
    </row>
    <row r="14158" spans="23:23" x14ac:dyDescent="0.55000000000000004">
      <c r="W14158"/>
    </row>
    <row r="14159" spans="23:23" x14ac:dyDescent="0.55000000000000004">
      <c r="W14159"/>
    </row>
    <row r="14160" spans="23:23" x14ac:dyDescent="0.55000000000000004">
      <c r="W14160"/>
    </row>
    <row r="14161" spans="23:23" x14ac:dyDescent="0.55000000000000004">
      <c r="W14161"/>
    </row>
    <row r="14162" spans="23:23" x14ac:dyDescent="0.55000000000000004">
      <c r="W14162"/>
    </row>
    <row r="14163" spans="23:23" x14ac:dyDescent="0.55000000000000004">
      <c r="W14163"/>
    </row>
    <row r="14164" spans="23:23" x14ac:dyDescent="0.55000000000000004">
      <c r="W14164"/>
    </row>
    <row r="14165" spans="23:23" x14ac:dyDescent="0.55000000000000004">
      <c r="W14165"/>
    </row>
    <row r="14166" spans="23:23" x14ac:dyDescent="0.55000000000000004">
      <c r="W14166"/>
    </row>
    <row r="14167" spans="23:23" x14ac:dyDescent="0.55000000000000004">
      <c r="W14167"/>
    </row>
    <row r="14168" spans="23:23" x14ac:dyDescent="0.55000000000000004">
      <c r="W14168"/>
    </row>
    <row r="14169" spans="23:23" x14ac:dyDescent="0.55000000000000004">
      <c r="W14169"/>
    </row>
    <row r="14170" spans="23:23" x14ac:dyDescent="0.55000000000000004">
      <c r="W14170"/>
    </row>
    <row r="14171" spans="23:23" x14ac:dyDescent="0.55000000000000004">
      <c r="W14171"/>
    </row>
    <row r="14172" spans="23:23" x14ac:dyDescent="0.55000000000000004">
      <c r="W14172"/>
    </row>
    <row r="14173" spans="23:23" x14ac:dyDescent="0.55000000000000004">
      <c r="W14173"/>
    </row>
    <row r="14174" spans="23:23" x14ac:dyDescent="0.55000000000000004">
      <c r="W14174"/>
    </row>
    <row r="14175" spans="23:23" x14ac:dyDescent="0.55000000000000004">
      <c r="W14175"/>
    </row>
    <row r="14176" spans="23:23" x14ac:dyDescent="0.55000000000000004">
      <c r="W14176"/>
    </row>
    <row r="14177" spans="23:23" x14ac:dyDescent="0.55000000000000004">
      <c r="W14177"/>
    </row>
    <row r="14178" spans="23:23" x14ac:dyDescent="0.55000000000000004">
      <c r="W14178"/>
    </row>
    <row r="14179" spans="23:23" x14ac:dyDescent="0.55000000000000004">
      <c r="W14179"/>
    </row>
    <row r="14180" spans="23:23" x14ac:dyDescent="0.55000000000000004">
      <c r="W14180"/>
    </row>
    <row r="14181" spans="23:23" x14ac:dyDescent="0.55000000000000004">
      <c r="W14181"/>
    </row>
    <row r="14182" spans="23:23" x14ac:dyDescent="0.55000000000000004">
      <c r="W14182"/>
    </row>
    <row r="14183" spans="23:23" x14ac:dyDescent="0.55000000000000004">
      <c r="W14183"/>
    </row>
    <row r="14184" spans="23:23" x14ac:dyDescent="0.55000000000000004">
      <c r="W14184"/>
    </row>
    <row r="14185" spans="23:23" x14ac:dyDescent="0.55000000000000004">
      <c r="W14185"/>
    </row>
    <row r="14186" spans="23:23" x14ac:dyDescent="0.55000000000000004">
      <c r="W14186"/>
    </row>
    <row r="14187" spans="23:23" x14ac:dyDescent="0.55000000000000004">
      <c r="W14187"/>
    </row>
    <row r="14188" spans="23:23" x14ac:dyDescent="0.55000000000000004">
      <c r="W14188"/>
    </row>
    <row r="14189" spans="23:23" x14ac:dyDescent="0.55000000000000004">
      <c r="W14189"/>
    </row>
    <row r="14190" spans="23:23" x14ac:dyDescent="0.55000000000000004">
      <c r="W14190"/>
    </row>
    <row r="14191" spans="23:23" x14ac:dyDescent="0.55000000000000004">
      <c r="W14191"/>
    </row>
    <row r="14192" spans="23:23" x14ac:dyDescent="0.55000000000000004">
      <c r="W14192"/>
    </row>
    <row r="14193" spans="23:23" x14ac:dyDescent="0.55000000000000004">
      <c r="W14193"/>
    </row>
    <row r="14194" spans="23:23" x14ac:dyDescent="0.55000000000000004">
      <c r="W14194"/>
    </row>
    <row r="14195" spans="23:23" x14ac:dyDescent="0.55000000000000004">
      <c r="W14195"/>
    </row>
    <row r="14196" spans="23:23" x14ac:dyDescent="0.55000000000000004">
      <c r="W14196"/>
    </row>
    <row r="14197" spans="23:23" x14ac:dyDescent="0.55000000000000004">
      <c r="W14197"/>
    </row>
    <row r="14198" spans="23:23" x14ac:dyDescent="0.55000000000000004">
      <c r="W14198"/>
    </row>
    <row r="14199" spans="23:23" x14ac:dyDescent="0.55000000000000004">
      <c r="W14199"/>
    </row>
    <row r="14200" spans="23:23" x14ac:dyDescent="0.55000000000000004">
      <c r="W14200"/>
    </row>
    <row r="14201" spans="23:23" x14ac:dyDescent="0.55000000000000004">
      <c r="W14201"/>
    </row>
    <row r="14202" spans="23:23" x14ac:dyDescent="0.55000000000000004">
      <c r="W14202"/>
    </row>
    <row r="14203" spans="23:23" x14ac:dyDescent="0.55000000000000004">
      <c r="W14203"/>
    </row>
    <row r="14204" spans="23:23" x14ac:dyDescent="0.55000000000000004">
      <c r="W14204"/>
    </row>
    <row r="14205" spans="23:23" x14ac:dyDescent="0.55000000000000004">
      <c r="W14205"/>
    </row>
    <row r="14206" spans="23:23" x14ac:dyDescent="0.55000000000000004">
      <c r="W14206"/>
    </row>
    <row r="14207" spans="23:23" x14ac:dyDescent="0.55000000000000004">
      <c r="W14207"/>
    </row>
    <row r="14208" spans="23:23" x14ac:dyDescent="0.55000000000000004">
      <c r="W14208"/>
    </row>
    <row r="14209" spans="23:23" x14ac:dyDescent="0.55000000000000004">
      <c r="W14209"/>
    </row>
    <row r="14210" spans="23:23" x14ac:dyDescent="0.55000000000000004">
      <c r="W14210"/>
    </row>
    <row r="14211" spans="23:23" x14ac:dyDescent="0.55000000000000004">
      <c r="W14211"/>
    </row>
    <row r="14212" spans="23:23" x14ac:dyDescent="0.55000000000000004">
      <c r="W14212"/>
    </row>
    <row r="14213" spans="23:23" x14ac:dyDescent="0.55000000000000004">
      <c r="W14213"/>
    </row>
    <row r="14214" spans="23:23" x14ac:dyDescent="0.55000000000000004">
      <c r="W14214"/>
    </row>
    <row r="14215" spans="23:23" x14ac:dyDescent="0.55000000000000004">
      <c r="W14215"/>
    </row>
    <row r="14216" spans="23:23" x14ac:dyDescent="0.55000000000000004">
      <c r="W14216"/>
    </row>
    <row r="14217" spans="23:23" x14ac:dyDescent="0.55000000000000004">
      <c r="W14217"/>
    </row>
    <row r="14218" spans="23:23" x14ac:dyDescent="0.55000000000000004">
      <c r="W14218"/>
    </row>
    <row r="14219" spans="23:23" x14ac:dyDescent="0.55000000000000004">
      <c r="W14219"/>
    </row>
    <row r="14220" spans="23:23" x14ac:dyDescent="0.55000000000000004">
      <c r="W14220"/>
    </row>
    <row r="14221" spans="23:23" x14ac:dyDescent="0.55000000000000004">
      <c r="W14221"/>
    </row>
    <row r="14222" spans="23:23" x14ac:dyDescent="0.55000000000000004">
      <c r="W14222"/>
    </row>
    <row r="14223" spans="23:23" x14ac:dyDescent="0.55000000000000004">
      <c r="W14223"/>
    </row>
    <row r="14224" spans="23:23" x14ac:dyDescent="0.55000000000000004">
      <c r="W14224"/>
    </row>
    <row r="14225" spans="23:23" x14ac:dyDescent="0.55000000000000004">
      <c r="W14225"/>
    </row>
    <row r="14226" spans="23:23" x14ac:dyDescent="0.55000000000000004">
      <c r="W14226"/>
    </row>
    <row r="14227" spans="23:23" x14ac:dyDescent="0.55000000000000004">
      <c r="W14227"/>
    </row>
    <row r="14228" spans="23:23" x14ac:dyDescent="0.55000000000000004">
      <c r="W14228"/>
    </row>
    <row r="14229" spans="23:23" x14ac:dyDescent="0.55000000000000004">
      <c r="W14229"/>
    </row>
    <row r="14230" spans="23:23" x14ac:dyDescent="0.55000000000000004">
      <c r="W14230"/>
    </row>
    <row r="14231" spans="23:23" x14ac:dyDescent="0.55000000000000004">
      <c r="W14231"/>
    </row>
    <row r="14232" spans="23:23" x14ac:dyDescent="0.55000000000000004">
      <c r="W14232"/>
    </row>
    <row r="14233" spans="23:23" x14ac:dyDescent="0.55000000000000004">
      <c r="W14233"/>
    </row>
    <row r="14234" spans="23:23" x14ac:dyDescent="0.55000000000000004">
      <c r="W14234"/>
    </row>
    <row r="14235" spans="23:23" x14ac:dyDescent="0.55000000000000004">
      <c r="W14235"/>
    </row>
    <row r="14236" spans="23:23" x14ac:dyDescent="0.55000000000000004">
      <c r="W14236"/>
    </row>
    <row r="14237" spans="23:23" x14ac:dyDescent="0.55000000000000004">
      <c r="W14237"/>
    </row>
    <row r="14238" spans="23:23" x14ac:dyDescent="0.55000000000000004">
      <c r="W14238"/>
    </row>
    <row r="14239" spans="23:23" x14ac:dyDescent="0.55000000000000004">
      <c r="W14239"/>
    </row>
    <row r="14240" spans="23:23" x14ac:dyDescent="0.55000000000000004">
      <c r="W14240"/>
    </row>
    <row r="14241" spans="23:23" x14ac:dyDescent="0.55000000000000004">
      <c r="W14241"/>
    </row>
    <row r="14242" spans="23:23" x14ac:dyDescent="0.55000000000000004">
      <c r="W14242"/>
    </row>
    <row r="14243" spans="23:23" x14ac:dyDescent="0.55000000000000004">
      <c r="W14243"/>
    </row>
    <row r="14244" spans="23:23" x14ac:dyDescent="0.55000000000000004">
      <c r="W14244"/>
    </row>
    <row r="14245" spans="23:23" x14ac:dyDescent="0.55000000000000004">
      <c r="W14245"/>
    </row>
    <row r="14246" spans="23:23" x14ac:dyDescent="0.55000000000000004">
      <c r="W14246"/>
    </row>
    <row r="14247" spans="23:23" x14ac:dyDescent="0.55000000000000004">
      <c r="W14247"/>
    </row>
    <row r="14248" spans="23:23" x14ac:dyDescent="0.55000000000000004">
      <c r="W14248"/>
    </row>
    <row r="14249" spans="23:23" x14ac:dyDescent="0.55000000000000004">
      <c r="W14249"/>
    </row>
    <row r="14250" spans="23:23" x14ac:dyDescent="0.55000000000000004">
      <c r="W14250"/>
    </row>
    <row r="14251" spans="23:23" x14ac:dyDescent="0.55000000000000004">
      <c r="W14251"/>
    </row>
    <row r="14252" spans="23:23" x14ac:dyDescent="0.55000000000000004">
      <c r="W14252"/>
    </row>
    <row r="14253" spans="23:23" x14ac:dyDescent="0.55000000000000004">
      <c r="W14253"/>
    </row>
    <row r="14254" spans="23:23" x14ac:dyDescent="0.55000000000000004">
      <c r="W14254"/>
    </row>
    <row r="14255" spans="23:23" x14ac:dyDescent="0.55000000000000004">
      <c r="W14255"/>
    </row>
    <row r="14256" spans="23:23" x14ac:dyDescent="0.55000000000000004">
      <c r="W14256"/>
    </row>
    <row r="14257" spans="23:23" x14ac:dyDescent="0.55000000000000004">
      <c r="W14257"/>
    </row>
    <row r="14258" spans="23:23" x14ac:dyDescent="0.55000000000000004">
      <c r="W14258"/>
    </row>
    <row r="14259" spans="23:23" x14ac:dyDescent="0.55000000000000004">
      <c r="W14259"/>
    </row>
    <row r="14260" spans="23:23" x14ac:dyDescent="0.55000000000000004">
      <c r="W14260"/>
    </row>
    <row r="14261" spans="23:23" x14ac:dyDescent="0.55000000000000004">
      <c r="W14261"/>
    </row>
    <row r="14262" spans="23:23" x14ac:dyDescent="0.55000000000000004">
      <c r="W14262"/>
    </row>
    <row r="14263" spans="23:23" x14ac:dyDescent="0.55000000000000004">
      <c r="W14263"/>
    </row>
    <row r="14264" spans="23:23" x14ac:dyDescent="0.55000000000000004">
      <c r="W14264"/>
    </row>
    <row r="14265" spans="23:23" x14ac:dyDescent="0.55000000000000004">
      <c r="W14265"/>
    </row>
    <row r="14266" spans="23:23" x14ac:dyDescent="0.55000000000000004">
      <c r="W14266"/>
    </row>
    <row r="14267" spans="23:23" x14ac:dyDescent="0.55000000000000004">
      <c r="W14267"/>
    </row>
    <row r="14268" spans="23:23" x14ac:dyDescent="0.55000000000000004">
      <c r="W14268"/>
    </row>
    <row r="14269" spans="23:23" x14ac:dyDescent="0.55000000000000004">
      <c r="W14269"/>
    </row>
    <row r="14270" spans="23:23" x14ac:dyDescent="0.55000000000000004">
      <c r="W14270"/>
    </row>
    <row r="14271" spans="23:23" x14ac:dyDescent="0.55000000000000004">
      <c r="W14271"/>
    </row>
    <row r="14272" spans="23:23" x14ac:dyDescent="0.55000000000000004">
      <c r="W14272"/>
    </row>
    <row r="14273" spans="23:23" x14ac:dyDescent="0.55000000000000004">
      <c r="W14273"/>
    </row>
    <row r="14274" spans="23:23" x14ac:dyDescent="0.55000000000000004">
      <c r="W14274"/>
    </row>
    <row r="14275" spans="23:23" x14ac:dyDescent="0.55000000000000004">
      <c r="W14275"/>
    </row>
    <row r="14276" spans="23:23" x14ac:dyDescent="0.55000000000000004">
      <c r="W14276"/>
    </row>
    <row r="14277" spans="23:23" x14ac:dyDescent="0.55000000000000004">
      <c r="W14277"/>
    </row>
    <row r="14278" spans="23:23" x14ac:dyDescent="0.55000000000000004">
      <c r="W14278"/>
    </row>
    <row r="14279" spans="23:23" x14ac:dyDescent="0.55000000000000004">
      <c r="W14279"/>
    </row>
    <row r="14280" spans="23:23" x14ac:dyDescent="0.55000000000000004">
      <c r="W14280"/>
    </row>
    <row r="14281" spans="23:23" x14ac:dyDescent="0.55000000000000004">
      <c r="W14281"/>
    </row>
    <row r="14282" spans="23:23" x14ac:dyDescent="0.55000000000000004">
      <c r="W14282"/>
    </row>
    <row r="14283" spans="23:23" x14ac:dyDescent="0.55000000000000004">
      <c r="W14283"/>
    </row>
    <row r="14284" spans="23:23" x14ac:dyDescent="0.55000000000000004">
      <c r="W14284"/>
    </row>
    <row r="14285" spans="23:23" x14ac:dyDescent="0.55000000000000004">
      <c r="W14285"/>
    </row>
    <row r="14286" spans="23:23" x14ac:dyDescent="0.55000000000000004">
      <c r="W14286"/>
    </row>
    <row r="14287" spans="23:23" x14ac:dyDescent="0.55000000000000004">
      <c r="W14287"/>
    </row>
    <row r="14288" spans="23:23" x14ac:dyDescent="0.55000000000000004">
      <c r="W14288"/>
    </row>
    <row r="14289" spans="23:23" x14ac:dyDescent="0.55000000000000004">
      <c r="W14289"/>
    </row>
    <row r="14290" spans="23:23" x14ac:dyDescent="0.55000000000000004">
      <c r="W14290"/>
    </row>
    <row r="14291" spans="23:23" x14ac:dyDescent="0.55000000000000004">
      <c r="W14291"/>
    </row>
    <row r="14292" spans="23:23" x14ac:dyDescent="0.55000000000000004">
      <c r="W14292"/>
    </row>
    <row r="14293" spans="23:23" x14ac:dyDescent="0.55000000000000004">
      <c r="W14293"/>
    </row>
    <row r="14294" spans="23:23" x14ac:dyDescent="0.55000000000000004">
      <c r="W14294"/>
    </row>
    <row r="14295" spans="23:23" x14ac:dyDescent="0.55000000000000004">
      <c r="W14295"/>
    </row>
    <row r="14296" spans="23:23" x14ac:dyDescent="0.55000000000000004">
      <c r="W14296"/>
    </row>
    <row r="14297" spans="23:23" x14ac:dyDescent="0.55000000000000004">
      <c r="W14297"/>
    </row>
    <row r="14298" spans="23:23" x14ac:dyDescent="0.55000000000000004">
      <c r="W14298"/>
    </row>
    <row r="14299" spans="23:23" x14ac:dyDescent="0.55000000000000004">
      <c r="W14299"/>
    </row>
    <row r="14300" spans="23:23" x14ac:dyDescent="0.55000000000000004">
      <c r="W14300"/>
    </row>
    <row r="14301" spans="23:23" x14ac:dyDescent="0.55000000000000004">
      <c r="W14301"/>
    </row>
    <row r="14302" spans="23:23" x14ac:dyDescent="0.55000000000000004">
      <c r="W14302"/>
    </row>
    <row r="14303" spans="23:23" x14ac:dyDescent="0.55000000000000004">
      <c r="W14303"/>
    </row>
    <row r="14304" spans="23:23" x14ac:dyDescent="0.55000000000000004">
      <c r="W14304"/>
    </row>
    <row r="14305" spans="23:23" x14ac:dyDescent="0.55000000000000004">
      <c r="W14305"/>
    </row>
    <row r="14306" spans="23:23" x14ac:dyDescent="0.55000000000000004">
      <c r="W14306"/>
    </row>
    <row r="14307" spans="23:23" x14ac:dyDescent="0.55000000000000004">
      <c r="W14307"/>
    </row>
    <row r="14308" spans="23:23" x14ac:dyDescent="0.55000000000000004">
      <c r="W14308"/>
    </row>
    <row r="14309" spans="23:23" x14ac:dyDescent="0.55000000000000004">
      <c r="W14309"/>
    </row>
    <row r="14310" spans="23:23" x14ac:dyDescent="0.55000000000000004">
      <c r="W14310"/>
    </row>
    <row r="14311" spans="23:23" x14ac:dyDescent="0.55000000000000004">
      <c r="W14311"/>
    </row>
    <row r="14312" spans="23:23" x14ac:dyDescent="0.55000000000000004">
      <c r="W14312"/>
    </row>
    <row r="14313" spans="23:23" x14ac:dyDescent="0.55000000000000004">
      <c r="W14313"/>
    </row>
    <row r="14314" spans="23:23" x14ac:dyDescent="0.55000000000000004">
      <c r="W14314"/>
    </row>
    <row r="14315" spans="23:23" x14ac:dyDescent="0.55000000000000004">
      <c r="W14315"/>
    </row>
    <row r="14316" spans="23:23" x14ac:dyDescent="0.55000000000000004">
      <c r="W14316"/>
    </row>
    <row r="14317" spans="23:23" x14ac:dyDescent="0.55000000000000004">
      <c r="W14317"/>
    </row>
    <row r="14318" spans="23:23" x14ac:dyDescent="0.55000000000000004">
      <c r="W14318"/>
    </row>
    <row r="14319" spans="23:23" x14ac:dyDescent="0.55000000000000004">
      <c r="W14319"/>
    </row>
    <row r="14320" spans="23:23" x14ac:dyDescent="0.55000000000000004">
      <c r="W14320"/>
    </row>
    <row r="14321" spans="23:23" x14ac:dyDescent="0.55000000000000004">
      <c r="W14321"/>
    </row>
    <row r="14322" spans="23:23" x14ac:dyDescent="0.55000000000000004">
      <c r="W14322"/>
    </row>
    <row r="14323" spans="23:23" x14ac:dyDescent="0.55000000000000004">
      <c r="W14323"/>
    </row>
    <row r="14324" spans="23:23" x14ac:dyDescent="0.55000000000000004">
      <c r="W14324"/>
    </row>
    <row r="14325" spans="23:23" x14ac:dyDescent="0.55000000000000004">
      <c r="W14325"/>
    </row>
    <row r="14326" spans="23:23" x14ac:dyDescent="0.55000000000000004">
      <c r="W14326"/>
    </row>
    <row r="14327" spans="23:23" x14ac:dyDescent="0.55000000000000004">
      <c r="W14327"/>
    </row>
    <row r="14328" spans="23:23" x14ac:dyDescent="0.55000000000000004">
      <c r="W14328"/>
    </row>
    <row r="14329" spans="23:23" x14ac:dyDescent="0.55000000000000004">
      <c r="W14329"/>
    </row>
    <row r="14330" spans="23:23" x14ac:dyDescent="0.55000000000000004">
      <c r="W14330"/>
    </row>
    <row r="14331" spans="23:23" x14ac:dyDescent="0.55000000000000004">
      <c r="W14331"/>
    </row>
    <row r="14332" spans="23:23" x14ac:dyDescent="0.55000000000000004">
      <c r="W14332"/>
    </row>
    <row r="14333" spans="23:23" x14ac:dyDescent="0.55000000000000004">
      <c r="W14333"/>
    </row>
    <row r="14334" spans="23:23" x14ac:dyDescent="0.55000000000000004">
      <c r="W14334"/>
    </row>
    <row r="14335" spans="23:23" x14ac:dyDescent="0.55000000000000004">
      <c r="W14335"/>
    </row>
    <row r="14336" spans="23:23" x14ac:dyDescent="0.55000000000000004">
      <c r="W14336"/>
    </row>
    <row r="14337" spans="23:23" x14ac:dyDescent="0.55000000000000004">
      <c r="W14337"/>
    </row>
    <row r="14338" spans="23:23" x14ac:dyDescent="0.55000000000000004">
      <c r="W14338"/>
    </row>
    <row r="14339" spans="23:23" x14ac:dyDescent="0.55000000000000004">
      <c r="W14339"/>
    </row>
    <row r="14340" spans="23:23" x14ac:dyDescent="0.55000000000000004">
      <c r="W14340"/>
    </row>
    <row r="14341" spans="23:23" x14ac:dyDescent="0.55000000000000004">
      <c r="W14341"/>
    </row>
    <row r="14342" spans="23:23" x14ac:dyDescent="0.55000000000000004">
      <c r="W14342"/>
    </row>
    <row r="14343" spans="23:23" x14ac:dyDescent="0.55000000000000004">
      <c r="W14343"/>
    </row>
    <row r="14344" spans="23:23" x14ac:dyDescent="0.55000000000000004">
      <c r="W14344"/>
    </row>
    <row r="14345" spans="23:23" x14ac:dyDescent="0.55000000000000004">
      <c r="W14345"/>
    </row>
    <row r="14346" spans="23:23" x14ac:dyDescent="0.55000000000000004">
      <c r="W14346"/>
    </row>
    <row r="14347" spans="23:23" x14ac:dyDescent="0.55000000000000004">
      <c r="W14347"/>
    </row>
    <row r="14348" spans="23:23" x14ac:dyDescent="0.55000000000000004">
      <c r="W14348"/>
    </row>
    <row r="14349" spans="23:23" x14ac:dyDescent="0.55000000000000004">
      <c r="W14349"/>
    </row>
    <row r="14350" spans="23:23" x14ac:dyDescent="0.55000000000000004">
      <c r="W14350"/>
    </row>
    <row r="14351" spans="23:23" x14ac:dyDescent="0.55000000000000004">
      <c r="W14351"/>
    </row>
    <row r="14352" spans="23:23" x14ac:dyDescent="0.55000000000000004">
      <c r="W14352"/>
    </row>
    <row r="14353" spans="23:23" x14ac:dyDescent="0.55000000000000004">
      <c r="W14353"/>
    </row>
    <row r="14354" spans="23:23" x14ac:dyDescent="0.55000000000000004">
      <c r="W14354"/>
    </row>
    <row r="14355" spans="23:23" x14ac:dyDescent="0.55000000000000004">
      <c r="W14355"/>
    </row>
    <row r="14356" spans="23:23" x14ac:dyDescent="0.55000000000000004">
      <c r="W14356"/>
    </row>
    <row r="14357" spans="23:23" x14ac:dyDescent="0.55000000000000004">
      <c r="W14357"/>
    </row>
    <row r="14358" spans="23:23" x14ac:dyDescent="0.55000000000000004">
      <c r="W14358"/>
    </row>
    <row r="14359" spans="23:23" x14ac:dyDescent="0.55000000000000004">
      <c r="W14359"/>
    </row>
    <row r="14360" spans="23:23" x14ac:dyDescent="0.55000000000000004">
      <c r="W14360"/>
    </row>
    <row r="14361" spans="23:23" x14ac:dyDescent="0.55000000000000004">
      <c r="W14361"/>
    </row>
    <row r="14362" spans="23:23" x14ac:dyDescent="0.55000000000000004">
      <c r="W14362"/>
    </row>
    <row r="14363" spans="23:23" x14ac:dyDescent="0.55000000000000004">
      <c r="W14363"/>
    </row>
    <row r="14364" spans="23:23" x14ac:dyDescent="0.55000000000000004">
      <c r="W14364"/>
    </row>
    <row r="14365" spans="23:23" x14ac:dyDescent="0.55000000000000004">
      <c r="W14365"/>
    </row>
    <row r="14366" spans="23:23" x14ac:dyDescent="0.55000000000000004">
      <c r="W14366"/>
    </row>
    <row r="14367" spans="23:23" x14ac:dyDescent="0.55000000000000004">
      <c r="W14367"/>
    </row>
    <row r="14368" spans="23:23" x14ac:dyDescent="0.55000000000000004">
      <c r="W14368"/>
    </row>
    <row r="14369" spans="23:23" x14ac:dyDescent="0.55000000000000004">
      <c r="W14369"/>
    </row>
    <row r="14370" spans="23:23" x14ac:dyDescent="0.55000000000000004">
      <c r="W14370"/>
    </row>
    <row r="14371" spans="23:23" x14ac:dyDescent="0.55000000000000004">
      <c r="W14371"/>
    </row>
    <row r="14372" spans="23:23" x14ac:dyDescent="0.55000000000000004">
      <c r="W14372"/>
    </row>
    <row r="14373" spans="23:23" x14ac:dyDescent="0.55000000000000004">
      <c r="W14373"/>
    </row>
    <row r="14374" spans="23:23" x14ac:dyDescent="0.55000000000000004">
      <c r="W14374"/>
    </row>
    <row r="14375" spans="23:23" x14ac:dyDescent="0.55000000000000004">
      <c r="W14375"/>
    </row>
    <row r="14376" spans="23:23" x14ac:dyDescent="0.55000000000000004">
      <c r="W14376"/>
    </row>
    <row r="14377" spans="23:23" x14ac:dyDescent="0.55000000000000004">
      <c r="W14377"/>
    </row>
    <row r="14378" spans="23:23" x14ac:dyDescent="0.55000000000000004">
      <c r="W14378"/>
    </row>
    <row r="14379" spans="23:23" x14ac:dyDescent="0.55000000000000004">
      <c r="W14379"/>
    </row>
    <row r="14380" spans="23:23" x14ac:dyDescent="0.55000000000000004">
      <c r="W14380"/>
    </row>
    <row r="14381" spans="23:23" x14ac:dyDescent="0.55000000000000004">
      <c r="W14381"/>
    </row>
    <row r="14382" spans="23:23" x14ac:dyDescent="0.55000000000000004">
      <c r="W14382"/>
    </row>
    <row r="14383" spans="23:23" x14ac:dyDescent="0.55000000000000004">
      <c r="W14383"/>
    </row>
    <row r="14384" spans="23:23" x14ac:dyDescent="0.55000000000000004">
      <c r="W14384"/>
    </row>
    <row r="14385" spans="23:23" x14ac:dyDescent="0.55000000000000004">
      <c r="W14385"/>
    </row>
    <row r="14386" spans="23:23" x14ac:dyDescent="0.55000000000000004">
      <c r="W14386"/>
    </row>
    <row r="14387" spans="23:23" x14ac:dyDescent="0.55000000000000004">
      <c r="W14387"/>
    </row>
    <row r="14388" spans="23:23" x14ac:dyDescent="0.55000000000000004">
      <c r="W14388"/>
    </row>
    <row r="14389" spans="23:23" x14ac:dyDescent="0.55000000000000004">
      <c r="W14389"/>
    </row>
    <row r="14390" spans="23:23" x14ac:dyDescent="0.55000000000000004">
      <c r="W14390"/>
    </row>
    <row r="14391" spans="23:23" x14ac:dyDescent="0.55000000000000004">
      <c r="W14391"/>
    </row>
    <row r="14392" spans="23:23" x14ac:dyDescent="0.55000000000000004">
      <c r="W14392"/>
    </row>
    <row r="14393" spans="23:23" x14ac:dyDescent="0.55000000000000004">
      <c r="W14393"/>
    </row>
    <row r="14394" spans="23:23" x14ac:dyDescent="0.55000000000000004">
      <c r="W14394"/>
    </row>
    <row r="14395" spans="23:23" x14ac:dyDescent="0.55000000000000004">
      <c r="W14395"/>
    </row>
    <row r="14396" spans="23:23" x14ac:dyDescent="0.55000000000000004">
      <c r="W14396"/>
    </row>
    <row r="14397" spans="23:23" x14ac:dyDescent="0.55000000000000004">
      <c r="W14397"/>
    </row>
    <row r="14398" spans="23:23" x14ac:dyDescent="0.55000000000000004">
      <c r="W14398"/>
    </row>
    <row r="14399" spans="23:23" x14ac:dyDescent="0.55000000000000004">
      <c r="W14399"/>
    </row>
    <row r="14400" spans="23:23" x14ac:dyDescent="0.55000000000000004">
      <c r="W14400"/>
    </row>
    <row r="14401" spans="23:23" x14ac:dyDescent="0.55000000000000004">
      <c r="W14401"/>
    </row>
    <row r="14402" spans="23:23" x14ac:dyDescent="0.55000000000000004">
      <c r="W14402"/>
    </row>
    <row r="14403" spans="23:23" x14ac:dyDescent="0.55000000000000004">
      <c r="W14403"/>
    </row>
    <row r="14404" spans="23:23" x14ac:dyDescent="0.55000000000000004">
      <c r="W14404"/>
    </row>
    <row r="14405" spans="23:23" x14ac:dyDescent="0.55000000000000004">
      <c r="W14405"/>
    </row>
    <row r="14406" spans="23:23" x14ac:dyDescent="0.55000000000000004">
      <c r="W14406"/>
    </row>
    <row r="14407" spans="23:23" x14ac:dyDescent="0.55000000000000004">
      <c r="W14407"/>
    </row>
    <row r="14408" spans="23:23" x14ac:dyDescent="0.55000000000000004">
      <c r="W14408"/>
    </row>
    <row r="14409" spans="23:23" x14ac:dyDescent="0.55000000000000004">
      <c r="W14409"/>
    </row>
    <row r="14410" spans="23:23" x14ac:dyDescent="0.55000000000000004">
      <c r="W14410"/>
    </row>
    <row r="14411" spans="23:23" x14ac:dyDescent="0.55000000000000004">
      <c r="W14411"/>
    </row>
    <row r="14412" spans="23:23" x14ac:dyDescent="0.55000000000000004">
      <c r="W14412"/>
    </row>
    <row r="14413" spans="23:23" x14ac:dyDescent="0.55000000000000004">
      <c r="W14413"/>
    </row>
    <row r="14414" spans="23:23" x14ac:dyDescent="0.55000000000000004">
      <c r="W14414"/>
    </row>
    <row r="14415" spans="23:23" x14ac:dyDescent="0.55000000000000004">
      <c r="W14415"/>
    </row>
    <row r="14416" spans="23:23" x14ac:dyDescent="0.55000000000000004">
      <c r="W14416"/>
    </row>
    <row r="14417" spans="23:23" x14ac:dyDescent="0.55000000000000004">
      <c r="W14417"/>
    </row>
    <row r="14418" spans="23:23" x14ac:dyDescent="0.55000000000000004">
      <c r="W14418"/>
    </row>
    <row r="14419" spans="23:23" x14ac:dyDescent="0.55000000000000004">
      <c r="W14419"/>
    </row>
    <row r="14420" spans="23:23" x14ac:dyDescent="0.55000000000000004">
      <c r="W14420"/>
    </row>
    <row r="14421" spans="23:23" x14ac:dyDescent="0.55000000000000004">
      <c r="W14421"/>
    </row>
    <row r="14422" spans="23:23" x14ac:dyDescent="0.55000000000000004">
      <c r="W14422"/>
    </row>
    <row r="14423" spans="23:23" x14ac:dyDescent="0.55000000000000004">
      <c r="W14423"/>
    </row>
    <row r="14424" spans="23:23" x14ac:dyDescent="0.55000000000000004">
      <c r="W14424"/>
    </row>
    <row r="14425" spans="23:23" x14ac:dyDescent="0.55000000000000004">
      <c r="W14425"/>
    </row>
    <row r="14426" spans="23:23" x14ac:dyDescent="0.55000000000000004">
      <c r="W14426"/>
    </row>
    <row r="14427" spans="23:23" x14ac:dyDescent="0.55000000000000004">
      <c r="W14427"/>
    </row>
    <row r="14428" spans="23:23" x14ac:dyDescent="0.55000000000000004">
      <c r="W14428"/>
    </row>
    <row r="14429" spans="23:23" x14ac:dyDescent="0.55000000000000004">
      <c r="W14429"/>
    </row>
    <row r="14430" spans="23:23" x14ac:dyDescent="0.55000000000000004">
      <c r="W14430"/>
    </row>
    <row r="14431" spans="23:23" x14ac:dyDescent="0.55000000000000004">
      <c r="W14431"/>
    </row>
    <row r="14432" spans="23:23" x14ac:dyDescent="0.55000000000000004">
      <c r="W14432"/>
    </row>
    <row r="14433" spans="23:23" x14ac:dyDescent="0.55000000000000004">
      <c r="W14433"/>
    </row>
    <row r="14434" spans="23:23" x14ac:dyDescent="0.55000000000000004">
      <c r="W14434"/>
    </row>
    <row r="14435" spans="23:23" x14ac:dyDescent="0.55000000000000004">
      <c r="W14435"/>
    </row>
    <row r="14436" spans="23:23" x14ac:dyDescent="0.55000000000000004">
      <c r="W14436"/>
    </row>
    <row r="14437" spans="23:23" x14ac:dyDescent="0.55000000000000004">
      <c r="W14437"/>
    </row>
    <row r="14438" spans="23:23" x14ac:dyDescent="0.55000000000000004">
      <c r="W14438"/>
    </row>
    <row r="14439" spans="23:23" x14ac:dyDescent="0.55000000000000004">
      <c r="W14439"/>
    </row>
    <row r="14440" spans="23:23" x14ac:dyDescent="0.55000000000000004">
      <c r="W14440"/>
    </row>
    <row r="14441" spans="23:23" x14ac:dyDescent="0.55000000000000004">
      <c r="W14441"/>
    </row>
    <row r="14442" spans="23:23" x14ac:dyDescent="0.55000000000000004">
      <c r="W14442"/>
    </row>
    <row r="14443" spans="23:23" x14ac:dyDescent="0.55000000000000004">
      <c r="W14443"/>
    </row>
    <row r="14444" spans="23:23" x14ac:dyDescent="0.55000000000000004">
      <c r="W14444"/>
    </row>
    <row r="14445" spans="23:23" x14ac:dyDescent="0.55000000000000004">
      <c r="W14445"/>
    </row>
    <row r="14446" spans="23:23" x14ac:dyDescent="0.55000000000000004">
      <c r="W14446"/>
    </row>
    <row r="14447" spans="23:23" x14ac:dyDescent="0.55000000000000004">
      <c r="W14447"/>
    </row>
    <row r="14448" spans="23:23" x14ac:dyDescent="0.55000000000000004">
      <c r="W14448"/>
    </row>
    <row r="14449" spans="23:23" x14ac:dyDescent="0.55000000000000004">
      <c r="W14449"/>
    </row>
    <row r="14450" spans="23:23" x14ac:dyDescent="0.55000000000000004">
      <c r="W14450"/>
    </row>
    <row r="14451" spans="23:23" x14ac:dyDescent="0.55000000000000004">
      <c r="W14451"/>
    </row>
    <row r="14452" spans="23:23" x14ac:dyDescent="0.55000000000000004">
      <c r="W14452"/>
    </row>
    <row r="14453" spans="23:23" x14ac:dyDescent="0.55000000000000004">
      <c r="W14453"/>
    </row>
    <row r="14454" spans="23:23" x14ac:dyDescent="0.55000000000000004">
      <c r="W14454"/>
    </row>
    <row r="14455" spans="23:23" x14ac:dyDescent="0.55000000000000004">
      <c r="W14455"/>
    </row>
    <row r="14456" spans="23:23" x14ac:dyDescent="0.55000000000000004">
      <c r="W14456"/>
    </row>
    <row r="14457" spans="23:23" x14ac:dyDescent="0.55000000000000004">
      <c r="W14457"/>
    </row>
    <row r="14458" spans="23:23" x14ac:dyDescent="0.55000000000000004">
      <c r="W14458"/>
    </row>
    <row r="14459" spans="23:23" x14ac:dyDescent="0.55000000000000004">
      <c r="W14459"/>
    </row>
    <row r="14460" spans="23:23" x14ac:dyDescent="0.55000000000000004">
      <c r="W14460"/>
    </row>
    <row r="14461" spans="23:23" x14ac:dyDescent="0.55000000000000004">
      <c r="W14461"/>
    </row>
    <row r="14462" spans="23:23" x14ac:dyDescent="0.55000000000000004">
      <c r="W14462"/>
    </row>
    <row r="14463" spans="23:23" x14ac:dyDescent="0.55000000000000004">
      <c r="W14463"/>
    </row>
    <row r="14464" spans="23:23" x14ac:dyDescent="0.55000000000000004">
      <c r="W14464"/>
    </row>
    <row r="14465" spans="23:23" x14ac:dyDescent="0.55000000000000004">
      <c r="W14465"/>
    </row>
    <row r="14466" spans="23:23" x14ac:dyDescent="0.55000000000000004">
      <c r="W14466"/>
    </row>
    <row r="14467" spans="23:23" x14ac:dyDescent="0.55000000000000004">
      <c r="W14467"/>
    </row>
    <row r="14468" spans="23:23" x14ac:dyDescent="0.55000000000000004">
      <c r="W14468"/>
    </row>
    <row r="14469" spans="23:23" x14ac:dyDescent="0.55000000000000004">
      <c r="W14469"/>
    </row>
    <row r="14470" spans="23:23" x14ac:dyDescent="0.55000000000000004">
      <c r="W14470"/>
    </row>
    <row r="14471" spans="23:23" x14ac:dyDescent="0.55000000000000004">
      <c r="W14471"/>
    </row>
    <row r="14472" spans="23:23" x14ac:dyDescent="0.55000000000000004">
      <c r="W14472"/>
    </row>
    <row r="14473" spans="23:23" x14ac:dyDescent="0.55000000000000004">
      <c r="W14473"/>
    </row>
    <row r="14474" spans="23:23" x14ac:dyDescent="0.55000000000000004">
      <c r="W14474"/>
    </row>
    <row r="14475" spans="23:23" x14ac:dyDescent="0.55000000000000004">
      <c r="W14475"/>
    </row>
    <row r="14476" spans="23:23" x14ac:dyDescent="0.55000000000000004">
      <c r="W14476"/>
    </row>
    <row r="14477" spans="23:23" x14ac:dyDescent="0.55000000000000004">
      <c r="W14477"/>
    </row>
    <row r="14478" spans="23:23" x14ac:dyDescent="0.55000000000000004">
      <c r="W14478"/>
    </row>
    <row r="14479" spans="23:23" x14ac:dyDescent="0.55000000000000004">
      <c r="W14479"/>
    </row>
    <row r="14480" spans="23:23" x14ac:dyDescent="0.55000000000000004">
      <c r="W14480"/>
    </row>
    <row r="14481" spans="23:23" x14ac:dyDescent="0.55000000000000004">
      <c r="W14481"/>
    </row>
    <row r="14482" spans="23:23" x14ac:dyDescent="0.55000000000000004">
      <c r="W14482"/>
    </row>
    <row r="14483" spans="23:23" x14ac:dyDescent="0.55000000000000004">
      <c r="W14483"/>
    </row>
    <row r="14484" spans="23:23" x14ac:dyDescent="0.55000000000000004">
      <c r="W14484"/>
    </row>
    <row r="14485" spans="23:23" x14ac:dyDescent="0.55000000000000004">
      <c r="W14485"/>
    </row>
    <row r="14486" spans="23:23" x14ac:dyDescent="0.55000000000000004">
      <c r="W14486"/>
    </row>
    <row r="14487" spans="23:23" x14ac:dyDescent="0.55000000000000004">
      <c r="W14487"/>
    </row>
    <row r="14488" spans="23:23" x14ac:dyDescent="0.55000000000000004">
      <c r="W14488"/>
    </row>
    <row r="14489" spans="23:23" x14ac:dyDescent="0.55000000000000004">
      <c r="W14489"/>
    </row>
    <row r="14490" spans="23:23" x14ac:dyDescent="0.55000000000000004">
      <c r="W14490"/>
    </row>
    <row r="14491" spans="23:23" x14ac:dyDescent="0.55000000000000004">
      <c r="W14491"/>
    </row>
    <row r="14492" spans="23:23" x14ac:dyDescent="0.55000000000000004">
      <c r="W14492"/>
    </row>
    <row r="14493" spans="23:23" x14ac:dyDescent="0.55000000000000004">
      <c r="W14493"/>
    </row>
    <row r="14494" spans="23:23" x14ac:dyDescent="0.55000000000000004">
      <c r="W14494"/>
    </row>
    <row r="14495" spans="23:23" x14ac:dyDescent="0.55000000000000004">
      <c r="W14495"/>
    </row>
    <row r="14496" spans="23:23" x14ac:dyDescent="0.55000000000000004">
      <c r="W14496"/>
    </row>
    <row r="14497" spans="23:23" x14ac:dyDescent="0.55000000000000004">
      <c r="W14497"/>
    </row>
    <row r="14498" spans="23:23" x14ac:dyDescent="0.55000000000000004">
      <c r="W14498"/>
    </row>
    <row r="14499" spans="23:23" x14ac:dyDescent="0.55000000000000004">
      <c r="W14499"/>
    </row>
    <row r="14500" spans="23:23" x14ac:dyDescent="0.55000000000000004">
      <c r="W14500"/>
    </row>
    <row r="14501" spans="23:23" x14ac:dyDescent="0.55000000000000004">
      <c r="W14501"/>
    </row>
    <row r="14502" spans="23:23" x14ac:dyDescent="0.55000000000000004">
      <c r="W14502"/>
    </row>
    <row r="14503" spans="23:23" x14ac:dyDescent="0.55000000000000004">
      <c r="W14503"/>
    </row>
    <row r="14504" spans="23:23" x14ac:dyDescent="0.55000000000000004">
      <c r="W14504"/>
    </row>
    <row r="14505" spans="23:23" x14ac:dyDescent="0.55000000000000004">
      <c r="W14505"/>
    </row>
    <row r="14506" spans="23:23" x14ac:dyDescent="0.55000000000000004">
      <c r="W14506"/>
    </row>
    <row r="14507" spans="23:23" x14ac:dyDescent="0.55000000000000004">
      <c r="W14507"/>
    </row>
    <row r="14508" spans="23:23" x14ac:dyDescent="0.55000000000000004">
      <c r="W14508"/>
    </row>
    <row r="14509" spans="23:23" x14ac:dyDescent="0.55000000000000004">
      <c r="W14509"/>
    </row>
    <row r="14510" spans="23:23" x14ac:dyDescent="0.55000000000000004">
      <c r="W14510"/>
    </row>
    <row r="14511" spans="23:23" x14ac:dyDescent="0.55000000000000004">
      <c r="W14511"/>
    </row>
    <row r="14512" spans="23:23" x14ac:dyDescent="0.55000000000000004">
      <c r="W14512"/>
    </row>
    <row r="14513" spans="23:23" x14ac:dyDescent="0.55000000000000004">
      <c r="W14513"/>
    </row>
    <row r="14514" spans="23:23" x14ac:dyDescent="0.55000000000000004">
      <c r="W14514"/>
    </row>
    <row r="14515" spans="23:23" x14ac:dyDescent="0.55000000000000004">
      <c r="W14515"/>
    </row>
    <row r="14516" spans="23:23" x14ac:dyDescent="0.55000000000000004">
      <c r="W14516"/>
    </row>
    <row r="14517" spans="23:23" x14ac:dyDescent="0.55000000000000004">
      <c r="W14517"/>
    </row>
    <row r="14518" spans="23:23" x14ac:dyDescent="0.55000000000000004">
      <c r="W14518"/>
    </row>
    <row r="14519" spans="23:23" x14ac:dyDescent="0.55000000000000004">
      <c r="W14519"/>
    </row>
    <row r="14520" spans="23:23" x14ac:dyDescent="0.55000000000000004">
      <c r="W14520"/>
    </row>
    <row r="14521" spans="23:23" x14ac:dyDescent="0.55000000000000004">
      <c r="W14521"/>
    </row>
    <row r="14522" spans="23:23" x14ac:dyDescent="0.55000000000000004">
      <c r="W14522"/>
    </row>
    <row r="14523" spans="23:23" x14ac:dyDescent="0.55000000000000004">
      <c r="W14523"/>
    </row>
    <row r="14524" spans="23:23" x14ac:dyDescent="0.55000000000000004">
      <c r="W14524"/>
    </row>
    <row r="14525" spans="23:23" x14ac:dyDescent="0.55000000000000004">
      <c r="W14525"/>
    </row>
    <row r="14526" spans="23:23" x14ac:dyDescent="0.55000000000000004">
      <c r="W14526"/>
    </row>
    <row r="14527" spans="23:23" x14ac:dyDescent="0.55000000000000004">
      <c r="W14527"/>
    </row>
    <row r="14528" spans="23:23" x14ac:dyDescent="0.55000000000000004">
      <c r="W14528"/>
    </row>
    <row r="14529" spans="23:23" x14ac:dyDescent="0.55000000000000004">
      <c r="W14529"/>
    </row>
    <row r="14530" spans="23:23" x14ac:dyDescent="0.55000000000000004">
      <c r="W14530"/>
    </row>
    <row r="14531" spans="23:23" x14ac:dyDescent="0.55000000000000004">
      <c r="W14531"/>
    </row>
    <row r="14532" spans="23:23" x14ac:dyDescent="0.55000000000000004">
      <c r="W14532"/>
    </row>
    <row r="14533" spans="23:23" x14ac:dyDescent="0.55000000000000004">
      <c r="W14533"/>
    </row>
    <row r="14534" spans="23:23" x14ac:dyDescent="0.55000000000000004">
      <c r="W14534"/>
    </row>
    <row r="14535" spans="23:23" x14ac:dyDescent="0.55000000000000004">
      <c r="W14535"/>
    </row>
    <row r="14536" spans="23:23" x14ac:dyDescent="0.55000000000000004">
      <c r="W14536"/>
    </row>
    <row r="14537" spans="23:23" x14ac:dyDescent="0.55000000000000004">
      <c r="W14537"/>
    </row>
    <row r="14538" spans="23:23" x14ac:dyDescent="0.55000000000000004">
      <c r="W14538"/>
    </row>
    <row r="14539" spans="23:23" x14ac:dyDescent="0.55000000000000004">
      <c r="W14539"/>
    </row>
    <row r="14540" spans="23:23" x14ac:dyDescent="0.55000000000000004">
      <c r="W14540"/>
    </row>
    <row r="14541" spans="23:23" x14ac:dyDescent="0.55000000000000004">
      <c r="W14541"/>
    </row>
    <row r="14542" spans="23:23" x14ac:dyDescent="0.55000000000000004">
      <c r="W14542"/>
    </row>
    <row r="14543" spans="23:23" x14ac:dyDescent="0.55000000000000004">
      <c r="W14543"/>
    </row>
    <row r="14544" spans="23:23" x14ac:dyDescent="0.55000000000000004">
      <c r="W14544"/>
    </row>
    <row r="14545" spans="23:23" x14ac:dyDescent="0.55000000000000004">
      <c r="W14545"/>
    </row>
    <row r="14546" spans="23:23" x14ac:dyDescent="0.55000000000000004">
      <c r="W14546"/>
    </row>
    <row r="14547" spans="23:23" x14ac:dyDescent="0.55000000000000004">
      <c r="W14547"/>
    </row>
    <row r="14548" spans="23:23" x14ac:dyDescent="0.55000000000000004">
      <c r="W14548"/>
    </row>
    <row r="14549" spans="23:23" x14ac:dyDescent="0.55000000000000004">
      <c r="W14549"/>
    </row>
    <row r="14550" spans="23:23" x14ac:dyDescent="0.55000000000000004">
      <c r="W14550"/>
    </row>
    <row r="14551" spans="23:23" x14ac:dyDescent="0.55000000000000004">
      <c r="W14551"/>
    </row>
    <row r="14552" spans="23:23" x14ac:dyDescent="0.55000000000000004">
      <c r="W14552"/>
    </row>
    <row r="14553" spans="23:23" x14ac:dyDescent="0.55000000000000004">
      <c r="W14553"/>
    </row>
    <row r="14554" spans="23:23" x14ac:dyDescent="0.55000000000000004">
      <c r="W14554"/>
    </row>
    <row r="14555" spans="23:23" x14ac:dyDescent="0.55000000000000004">
      <c r="W14555"/>
    </row>
    <row r="14556" spans="23:23" x14ac:dyDescent="0.55000000000000004">
      <c r="W14556"/>
    </row>
    <row r="14557" spans="23:23" x14ac:dyDescent="0.55000000000000004">
      <c r="W14557"/>
    </row>
    <row r="14558" spans="23:23" x14ac:dyDescent="0.55000000000000004">
      <c r="W14558"/>
    </row>
    <row r="14559" spans="23:23" x14ac:dyDescent="0.55000000000000004">
      <c r="W14559"/>
    </row>
    <row r="14560" spans="23:23" x14ac:dyDescent="0.55000000000000004">
      <c r="W14560"/>
    </row>
    <row r="14561" spans="23:23" x14ac:dyDescent="0.55000000000000004">
      <c r="W14561"/>
    </row>
    <row r="14562" spans="23:23" x14ac:dyDescent="0.55000000000000004">
      <c r="W14562"/>
    </row>
    <row r="14563" spans="23:23" x14ac:dyDescent="0.55000000000000004">
      <c r="W14563"/>
    </row>
    <row r="14564" spans="23:23" x14ac:dyDescent="0.55000000000000004">
      <c r="W14564"/>
    </row>
    <row r="14565" spans="23:23" x14ac:dyDescent="0.55000000000000004">
      <c r="W14565"/>
    </row>
    <row r="14566" spans="23:23" x14ac:dyDescent="0.55000000000000004">
      <c r="W14566"/>
    </row>
    <row r="14567" spans="23:23" x14ac:dyDescent="0.55000000000000004">
      <c r="W14567"/>
    </row>
    <row r="14568" spans="23:23" x14ac:dyDescent="0.55000000000000004">
      <c r="W14568"/>
    </row>
    <row r="14569" spans="23:23" x14ac:dyDescent="0.55000000000000004">
      <c r="W14569"/>
    </row>
    <row r="14570" spans="23:23" x14ac:dyDescent="0.55000000000000004">
      <c r="W14570"/>
    </row>
    <row r="14571" spans="23:23" x14ac:dyDescent="0.55000000000000004">
      <c r="W14571"/>
    </row>
    <row r="14572" spans="23:23" x14ac:dyDescent="0.55000000000000004">
      <c r="W14572"/>
    </row>
    <row r="14573" spans="23:23" x14ac:dyDescent="0.55000000000000004">
      <c r="W14573"/>
    </row>
    <row r="14574" spans="23:23" x14ac:dyDescent="0.55000000000000004">
      <c r="W14574"/>
    </row>
    <row r="14575" spans="23:23" x14ac:dyDescent="0.55000000000000004">
      <c r="W14575"/>
    </row>
    <row r="14576" spans="23:23" x14ac:dyDescent="0.55000000000000004">
      <c r="W14576"/>
    </row>
    <row r="14577" spans="23:23" x14ac:dyDescent="0.55000000000000004">
      <c r="W14577"/>
    </row>
    <row r="14578" spans="23:23" x14ac:dyDescent="0.55000000000000004">
      <c r="W14578"/>
    </row>
    <row r="14579" spans="23:23" x14ac:dyDescent="0.55000000000000004">
      <c r="W14579"/>
    </row>
    <row r="14580" spans="23:23" x14ac:dyDescent="0.55000000000000004">
      <c r="W14580"/>
    </row>
    <row r="14581" spans="23:23" x14ac:dyDescent="0.55000000000000004">
      <c r="W14581"/>
    </row>
    <row r="14582" spans="23:23" x14ac:dyDescent="0.55000000000000004">
      <c r="W14582"/>
    </row>
    <row r="14583" spans="23:23" x14ac:dyDescent="0.55000000000000004">
      <c r="W14583"/>
    </row>
    <row r="14584" spans="23:23" x14ac:dyDescent="0.55000000000000004">
      <c r="W14584"/>
    </row>
    <row r="14585" spans="23:23" x14ac:dyDescent="0.55000000000000004">
      <c r="W14585"/>
    </row>
    <row r="14586" spans="23:23" x14ac:dyDescent="0.55000000000000004">
      <c r="W14586"/>
    </row>
    <row r="14587" spans="23:23" x14ac:dyDescent="0.55000000000000004">
      <c r="W14587"/>
    </row>
    <row r="14588" spans="23:23" x14ac:dyDescent="0.55000000000000004">
      <c r="W14588"/>
    </row>
    <row r="14589" spans="23:23" x14ac:dyDescent="0.55000000000000004">
      <c r="W14589"/>
    </row>
    <row r="14590" spans="23:23" x14ac:dyDescent="0.55000000000000004">
      <c r="W14590"/>
    </row>
    <row r="14591" spans="23:23" x14ac:dyDescent="0.55000000000000004">
      <c r="W14591"/>
    </row>
    <row r="14592" spans="23:23" x14ac:dyDescent="0.55000000000000004">
      <c r="W14592"/>
    </row>
    <row r="14593" spans="23:23" x14ac:dyDescent="0.55000000000000004">
      <c r="W14593"/>
    </row>
    <row r="14594" spans="23:23" x14ac:dyDescent="0.55000000000000004">
      <c r="W14594"/>
    </row>
    <row r="14595" spans="23:23" x14ac:dyDescent="0.55000000000000004">
      <c r="W14595"/>
    </row>
    <row r="14596" spans="23:23" x14ac:dyDescent="0.55000000000000004">
      <c r="W14596"/>
    </row>
    <row r="14597" spans="23:23" x14ac:dyDescent="0.55000000000000004">
      <c r="W14597"/>
    </row>
    <row r="14598" spans="23:23" x14ac:dyDescent="0.55000000000000004">
      <c r="W14598"/>
    </row>
    <row r="14599" spans="23:23" x14ac:dyDescent="0.55000000000000004">
      <c r="W14599"/>
    </row>
    <row r="14600" spans="23:23" x14ac:dyDescent="0.55000000000000004">
      <c r="W14600"/>
    </row>
    <row r="14601" spans="23:23" x14ac:dyDescent="0.55000000000000004">
      <c r="W14601"/>
    </row>
    <row r="14602" spans="23:23" x14ac:dyDescent="0.55000000000000004">
      <c r="W14602"/>
    </row>
    <row r="14603" spans="23:23" x14ac:dyDescent="0.55000000000000004">
      <c r="W14603"/>
    </row>
    <row r="14604" spans="23:23" x14ac:dyDescent="0.55000000000000004">
      <c r="W14604"/>
    </row>
    <row r="14605" spans="23:23" x14ac:dyDescent="0.55000000000000004">
      <c r="W14605"/>
    </row>
    <row r="14606" spans="23:23" x14ac:dyDescent="0.55000000000000004">
      <c r="W14606"/>
    </row>
    <row r="14607" spans="23:23" x14ac:dyDescent="0.55000000000000004">
      <c r="W14607"/>
    </row>
    <row r="14608" spans="23:23" x14ac:dyDescent="0.55000000000000004">
      <c r="W14608"/>
    </row>
    <row r="14609" spans="23:23" x14ac:dyDescent="0.55000000000000004">
      <c r="W14609"/>
    </row>
    <row r="14610" spans="23:23" x14ac:dyDescent="0.55000000000000004">
      <c r="W14610"/>
    </row>
    <row r="14611" spans="23:23" x14ac:dyDescent="0.55000000000000004">
      <c r="W14611"/>
    </row>
    <row r="14612" spans="23:23" x14ac:dyDescent="0.55000000000000004">
      <c r="W14612"/>
    </row>
    <row r="14613" spans="23:23" x14ac:dyDescent="0.55000000000000004">
      <c r="W14613"/>
    </row>
    <row r="14614" spans="23:23" x14ac:dyDescent="0.55000000000000004">
      <c r="W14614"/>
    </row>
    <row r="14615" spans="23:23" x14ac:dyDescent="0.55000000000000004">
      <c r="W14615"/>
    </row>
    <row r="14616" spans="23:23" x14ac:dyDescent="0.55000000000000004">
      <c r="W14616"/>
    </row>
    <row r="14617" spans="23:23" x14ac:dyDescent="0.55000000000000004">
      <c r="W14617"/>
    </row>
    <row r="14618" spans="23:23" x14ac:dyDescent="0.55000000000000004">
      <c r="W14618"/>
    </row>
    <row r="14619" spans="23:23" x14ac:dyDescent="0.55000000000000004">
      <c r="W14619"/>
    </row>
    <row r="14620" spans="23:23" x14ac:dyDescent="0.55000000000000004">
      <c r="W14620"/>
    </row>
    <row r="14621" spans="23:23" x14ac:dyDescent="0.55000000000000004">
      <c r="W14621"/>
    </row>
    <row r="14622" spans="23:23" x14ac:dyDescent="0.55000000000000004">
      <c r="W14622"/>
    </row>
    <row r="14623" spans="23:23" x14ac:dyDescent="0.55000000000000004">
      <c r="W14623"/>
    </row>
    <row r="14624" spans="23:23" x14ac:dyDescent="0.55000000000000004">
      <c r="W14624"/>
    </row>
    <row r="14625" spans="23:23" x14ac:dyDescent="0.55000000000000004">
      <c r="W14625"/>
    </row>
    <row r="14626" spans="23:23" x14ac:dyDescent="0.55000000000000004">
      <c r="W14626"/>
    </row>
    <row r="14627" spans="23:23" x14ac:dyDescent="0.55000000000000004">
      <c r="W14627"/>
    </row>
    <row r="14628" spans="23:23" x14ac:dyDescent="0.55000000000000004">
      <c r="W14628"/>
    </row>
    <row r="14629" spans="23:23" x14ac:dyDescent="0.55000000000000004">
      <c r="W14629"/>
    </row>
    <row r="14630" spans="23:23" x14ac:dyDescent="0.55000000000000004">
      <c r="W14630"/>
    </row>
    <row r="14631" spans="23:23" x14ac:dyDescent="0.55000000000000004">
      <c r="W14631"/>
    </row>
    <row r="14632" spans="23:23" x14ac:dyDescent="0.55000000000000004">
      <c r="W14632"/>
    </row>
    <row r="14633" spans="23:23" x14ac:dyDescent="0.55000000000000004">
      <c r="W14633"/>
    </row>
    <row r="14634" spans="23:23" x14ac:dyDescent="0.55000000000000004">
      <c r="W14634"/>
    </row>
    <row r="14635" spans="23:23" x14ac:dyDescent="0.55000000000000004">
      <c r="W14635"/>
    </row>
    <row r="14636" spans="23:23" x14ac:dyDescent="0.55000000000000004">
      <c r="W14636"/>
    </row>
    <row r="14637" spans="23:23" x14ac:dyDescent="0.55000000000000004">
      <c r="W14637"/>
    </row>
    <row r="14638" spans="23:23" x14ac:dyDescent="0.55000000000000004">
      <c r="W14638"/>
    </row>
    <row r="14639" spans="23:23" x14ac:dyDescent="0.55000000000000004">
      <c r="W14639"/>
    </row>
    <row r="14640" spans="23:23" x14ac:dyDescent="0.55000000000000004">
      <c r="W14640"/>
    </row>
    <row r="14641" spans="23:23" x14ac:dyDescent="0.55000000000000004">
      <c r="W14641"/>
    </row>
    <row r="14642" spans="23:23" x14ac:dyDescent="0.55000000000000004">
      <c r="W14642"/>
    </row>
    <row r="14643" spans="23:23" x14ac:dyDescent="0.55000000000000004">
      <c r="W14643"/>
    </row>
    <row r="14644" spans="23:23" x14ac:dyDescent="0.55000000000000004">
      <c r="W14644"/>
    </row>
    <row r="14645" spans="23:23" x14ac:dyDescent="0.55000000000000004">
      <c r="W14645"/>
    </row>
    <row r="14646" spans="23:23" x14ac:dyDescent="0.55000000000000004">
      <c r="W14646"/>
    </row>
    <row r="14647" spans="23:23" x14ac:dyDescent="0.55000000000000004">
      <c r="W14647"/>
    </row>
    <row r="14648" spans="23:23" x14ac:dyDescent="0.55000000000000004">
      <c r="W14648"/>
    </row>
    <row r="14649" spans="23:23" x14ac:dyDescent="0.55000000000000004">
      <c r="W14649"/>
    </row>
    <row r="14650" spans="23:23" x14ac:dyDescent="0.55000000000000004">
      <c r="W14650"/>
    </row>
    <row r="14651" spans="23:23" x14ac:dyDescent="0.55000000000000004">
      <c r="W14651"/>
    </row>
    <row r="14652" spans="23:23" x14ac:dyDescent="0.55000000000000004">
      <c r="W14652"/>
    </row>
    <row r="14653" spans="23:23" x14ac:dyDescent="0.55000000000000004">
      <c r="W14653"/>
    </row>
    <row r="14654" spans="23:23" x14ac:dyDescent="0.55000000000000004">
      <c r="W14654"/>
    </row>
    <row r="14655" spans="23:23" x14ac:dyDescent="0.55000000000000004">
      <c r="W14655"/>
    </row>
    <row r="14656" spans="23:23" x14ac:dyDescent="0.55000000000000004">
      <c r="W14656"/>
    </row>
    <row r="14657" spans="23:23" x14ac:dyDescent="0.55000000000000004">
      <c r="W14657"/>
    </row>
    <row r="14658" spans="23:23" x14ac:dyDescent="0.55000000000000004">
      <c r="W14658"/>
    </row>
    <row r="14659" spans="23:23" x14ac:dyDescent="0.55000000000000004">
      <c r="W14659"/>
    </row>
    <row r="14660" spans="23:23" x14ac:dyDescent="0.55000000000000004">
      <c r="W14660"/>
    </row>
    <row r="14661" spans="23:23" x14ac:dyDescent="0.55000000000000004">
      <c r="W14661"/>
    </row>
    <row r="14662" spans="23:23" x14ac:dyDescent="0.55000000000000004">
      <c r="W14662"/>
    </row>
    <row r="14663" spans="23:23" x14ac:dyDescent="0.55000000000000004">
      <c r="W14663"/>
    </row>
    <row r="14664" spans="23:23" x14ac:dyDescent="0.55000000000000004">
      <c r="W14664"/>
    </row>
    <row r="14665" spans="23:23" x14ac:dyDescent="0.55000000000000004">
      <c r="W14665"/>
    </row>
    <row r="14666" spans="23:23" x14ac:dyDescent="0.55000000000000004">
      <c r="W14666"/>
    </row>
    <row r="14667" spans="23:23" x14ac:dyDescent="0.55000000000000004">
      <c r="W14667"/>
    </row>
    <row r="14668" spans="23:23" x14ac:dyDescent="0.55000000000000004">
      <c r="W14668"/>
    </row>
    <row r="14669" spans="23:23" x14ac:dyDescent="0.55000000000000004">
      <c r="W14669"/>
    </row>
    <row r="14670" spans="23:23" x14ac:dyDescent="0.55000000000000004">
      <c r="W14670"/>
    </row>
    <row r="14671" spans="23:23" x14ac:dyDescent="0.55000000000000004">
      <c r="W14671"/>
    </row>
    <row r="14672" spans="23:23" x14ac:dyDescent="0.55000000000000004">
      <c r="W14672"/>
    </row>
    <row r="14673" spans="23:23" x14ac:dyDescent="0.55000000000000004">
      <c r="W14673"/>
    </row>
    <row r="14674" spans="23:23" x14ac:dyDescent="0.55000000000000004">
      <c r="W14674"/>
    </row>
    <row r="14675" spans="23:23" x14ac:dyDescent="0.55000000000000004">
      <c r="W14675"/>
    </row>
    <row r="14676" spans="23:23" x14ac:dyDescent="0.55000000000000004">
      <c r="W14676"/>
    </row>
    <row r="14677" spans="23:23" x14ac:dyDescent="0.55000000000000004">
      <c r="W14677"/>
    </row>
    <row r="14678" spans="23:23" x14ac:dyDescent="0.55000000000000004">
      <c r="W14678"/>
    </row>
    <row r="14679" spans="23:23" x14ac:dyDescent="0.55000000000000004">
      <c r="W14679"/>
    </row>
    <row r="14680" spans="23:23" x14ac:dyDescent="0.55000000000000004">
      <c r="W14680"/>
    </row>
    <row r="14681" spans="23:23" x14ac:dyDescent="0.55000000000000004">
      <c r="W14681"/>
    </row>
    <row r="14682" spans="23:23" x14ac:dyDescent="0.55000000000000004">
      <c r="W14682"/>
    </row>
    <row r="14683" spans="23:23" x14ac:dyDescent="0.55000000000000004">
      <c r="W14683"/>
    </row>
    <row r="14684" spans="23:23" x14ac:dyDescent="0.55000000000000004">
      <c r="W14684"/>
    </row>
    <row r="14685" spans="23:23" x14ac:dyDescent="0.55000000000000004">
      <c r="W14685"/>
    </row>
    <row r="14686" spans="23:23" x14ac:dyDescent="0.55000000000000004">
      <c r="W14686"/>
    </row>
    <row r="14687" spans="23:23" x14ac:dyDescent="0.55000000000000004">
      <c r="W14687"/>
    </row>
    <row r="14688" spans="23:23" x14ac:dyDescent="0.55000000000000004">
      <c r="W14688"/>
    </row>
    <row r="14689" spans="23:23" x14ac:dyDescent="0.55000000000000004">
      <c r="W14689"/>
    </row>
    <row r="14690" spans="23:23" x14ac:dyDescent="0.55000000000000004">
      <c r="W14690"/>
    </row>
    <row r="14691" spans="23:23" x14ac:dyDescent="0.55000000000000004">
      <c r="W14691"/>
    </row>
    <row r="14692" spans="23:23" x14ac:dyDescent="0.55000000000000004">
      <c r="W14692"/>
    </row>
    <row r="14693" spans="23:23" x14ac:dyDescent="0.55000000000000004">
      <c r="W14693"/>
    </row>
    <row r="14694" spans="23:23" x14ac:dyDescent="0.55000000000000004">
      <c r="W14694"/>
    </row>
    <row r="14695" spans="23:23" x14ac:dyDescent="0.55000000000000004">
      <c r="W14695"/>
    </row>
    <row r="14696" spans="23:23" x14ac:dyDescent="0.55000000000000004">
      <c r="W14696"/>
    </row>
    <row r="14697" spans="23:23" x14ac:dyDescent="0.55000000000000004">
      <c r="W14697"/>
    </row>
    <row r="14698" spans="23:23" x14ac:dyDescent="0.55000000000000004">
      <c r="W14698"/>
    </row>
    <row r="14699" spans="23:23" x14ac:dyDescent="0.55000000000000004">
      <c r="W14699"/>
    </row>
    <row r="14700" spans="23:23" x14ac:dyDescent="0.55000000000000004">
      <c r="W14700"/>
    </row>
    <row r="14701" spans="23:23" x14ac:dyDescent="0.55000000000000004">
      <c r="W14701"/>
    </row>
    <row r="14702" spans="23:23" x14ac:dyDescent="0.55000000000000004">
      <c r="W14702"/>
    </row>
    <row r="14703" spans="23:23" x14ac:dyDescent="0.55000000000000004">
      <c r="W14703"/>
    </row>
    <row r="14704" spans="23:23" x14ac:dyDescent="0.55000000000000004">
      <c r="W14704"/>
    </row>
    <row r="14705" spans="23:23" x14ac:dyDescent="0.55000000000000004">
      <c r="W14705"/>
    </row>
    <row r="14706" spans="23:23" x14ac:dyDescent="0.55000000000000004">
      <c r="W14706"/>
    </row>
    <row r="14707" spans="23:23" x14ac:dyDescent="0.55000000000000004">
      <c r="W14707"/>
    </row>
    <row r="14708" spans="23:23" x14ac:dyDescent="0.55000000000000004">
      <c r="W14708"/>
    </row>
    <row r="14709" spans="23:23" x14ac:dyDescent="0.55000000000000004">
      <c r="W14709"/>
    </row>
    <row r="14710" spans="23:23" x14ac:dyDescent="0.55000000000000004">
      <c r="W14710"/>
    </row>
    <row r="14711" spans="23:23" x14ac:dyDescent="0.55000000000000004">
      <c r="W14711"/>
    </row>
    <row r="14712" spans="23:23" x14ac:dyDescent="0.55000000000000004">
      <c r="W14712"/>
    </row>
    <row r="14713" spans="23:23" x14ac:dyDescent="0.55000000000000004">
      <c r="W14713"/>
    </row>
    <row r="14714" spans="23:23" x14ac:dyDescent="0.55000000000000004">
      <c r="W14714"/>
    </row>
    <row r="14715" spans="23:23" x14ac:dyDescent="0.55000000000000004">
      <c r="W14715"/>
    </row>
    <row r="14716" spans="23:23" x14ac:dyDescent="0.55000000000000004">
      <c r="W14716"/>
    </row>
    <row r="14717" spans="23:23" x14ac:dyDescent="0.55000000000000004">
      <c r="W14717"/>
    </row>
    <row r="14718" spans="23:23" x14ac:dyDescent="0.55000000000000004">
      <c r="W14718"/>
    </row>
    <row r="14719" spans="23:23" x14ac:dyDescent="0.55000000000000004">
      <c r="W14719"/>
    </row>
    <row r="14720" spans="23:23" x14ac:dyDescent="0.55000000000000004">
      <c r="W14720"/>
    </row>
    <row r="14721" spans="23:23" x14ac:dyDescent="0.55000000000000004">
      <c r="W14721"/>
    </row>
    <row r="14722" spans="23:23" x14ac:dyDescent="0.55000000000000004">
      <c r="W14722"/>
    </row>
    <row r="14723" spans="23:23" x14ac:dyDescent="0.55000000000000004">
      <c r="W14723"/>
    </row>
    <row r="14724" spans="23:23" x14ac:dyDescent="0.55000000000000004">
      <c r="W14724"/>
    </row>
    <row r="14725" spans="23:23" x14ac:dyDescent="0.55000000000000004">
      <c r="W14725"/>
    </row>
    <row r="14726" spans="23:23" x14ac:dyDescent="0.55000000000000004">
      <c r="W14726"/>
    </row>
    <row r="14727" spans="23:23" x14ac:dyDescent="0.55000000000000004">
      <c r="W14727"/>
    </row>
    <row r="14728" spans="23:23" x14ac:dyDescent="0.55000000000000004">
      <c r="W14728"/>
    </row>
    <row r="14729" spans="23:23" x14ac:dyDescent="0.55000000000000004">
      <c r="W14729"/>
    </row>
    <row r="14730" spans="23:23" x14ac:dyDescent="0.55000000000000004">
      <c r="W14730"/>
    </row>
    <row r="14731" spans="23:23" x14ac:dyDescent="0.55000000000000004">
      <c r="W14731"/>
    </row>
    <row r="14732" spans="23:23" x14ac:dyDescent="0.55000000000000004">
      <c r="W14732"/>
    </row>
    <row r="14733" spans="23:23" x14ac:dyDescent="0.55000000000000004">
      <c r="W14733"/>
    </row>
    <row r="14734" spans="23:23" x14ac:dyDescent="0.55000000000000004">
      <c r="W14734"/>
    </row>
    <row r="14735" spans="23:23" x14ac:dyDescent="0.55000000000000004">
      <c r="W14735"/>
    </row>
    <row r="14736" spans="23:23" x14ac:dyDescent="0.55000000000000004">
      <c r="W14736"/>
    </row>
    <row r="14737" spans="23:23" x14ac:dyDescent="0.55000000000000004">
      <c r="W14737"/>
    </row>
    <row r="14738" spans="23:23" x14ac:dyDescent="0.55000000000000004">
      <c r="W14738"/>
    </row>
    <row r="14739" spans="23:23" x14ac:dyDescent="0.55000000000000004">
      <c r="W14739"/>
    </row>
    <row r="14740" spans="23:23" x14ac:dyDescent="0.55000000000000004">
      <c r="W14740"/>
    </row>
    <row r="14741" spans="23:23" x14ac:dyDescent="0.55000000000000004">
      <c r="W14741"/>
    </row>
    <row r="14742" spans="23:23" x14ac:dyDescent="0.55000000000000004">
      <c r="W14742"/>
    </row>
    <row r="14743" spans="23:23" x14ac:dyDescent="0.55000000000000004">
      <c r="W14743"/>
    </row>
    <row r="14744" spans="23:23" x14ac:dyDescent="0.55000000000000004">
      <c r="W14744"/>
    </row>
    <row r="14745" spans="23:23" x14ac:dyDescent="0.55000000000000004">
      <c r="W14745"/>
    </row>
    <row r="14746" spans="23:23" x14ac:dyDescent="0.55000000000000004">
      <c r="W14746"/>
    </row>
    <row r="14747" spans="23:23" x14ac:dyDescent="0.55000000000000004">
      <c r="W14747"/>
    </row>
    <row r="14748" spans="23:23" x14ac:dyDescent="0.55000000000000004">
      <c r="W14748"/>
    </row>
    <row r="14749" spans="23:23" x14ac:dyDescent="0.55000000000000004">
      <c r="W14749"/>
    </row>
    <row r="14750" spans="23:23" x14ac:dyDescent="0.55000000000000004">
      <c r="W14750"/>
    </row>
    <row r="14751" spans="23:23" x14ac:dyDescent="0.55000000000000004">
      <c r="W14751"/>
    </row>
    <row r="14752" spans="23:23" x14ac:dyDescent="0.55000000000000004">
      <c r="W14752"/>
    </row>
    <row r="14753" spans="23:23" x14ac:dyDescent="0.55000000000000004">
      <c r="W14753"/>
    </row>
    <row r="14754" spans="23:23" x14ac:dyDescent="0.55000000000000004">
      <c r="W14754"/>
    </row>
    <row r="14755" spans="23:23" x14ac:dyDescent="0.55000000000000004">
      <c r="W14755"/>
    </row>
    <row r="14756" spans="23:23" x14ac:dyDescent="0.55000000000000004">
      <c r="W14756"/>
    </row>
    <row r="14757" spans="23:23" x14ac:dyDescent="0.55000000000000004">
      <c r="W14757"/>
    </row>
    <row r="14758" spans="23:23" x14ac:dyDescent="0.55000000000000004">
      <c r="W14758"/>
    </row>
    <row r="14759" spans="23:23" x14ac:dyDescent="0.55000000000000004">
      <c r="W14759"/>
    </row>
    <row r="14760" spans="23:23" x14ac:dyDescent="0.55000000000000004">
      <c r="W14760"/>
    </row>
    <row r="14761" spans="23:23" x14ac:dyDescent="0.55000000000000004">
      <c r="W14761"/>
    </row>
    <row r="14762" spans="23:23" x14ac:dyDescent="0.55000000000000004">
      <c r="W14762"/>
    </row>
    <row r="14763" spans="23:23" x14ac:dyDescent="0.55000000000000004">
      <c r="W14763"/>
    </row>
    <row r="14764" spans="23:23" x14ac:dyDescent="0.55000000000000004">
      <c r="W14764"/>
    </row>
    <row r="14765" spans="23:23" x14ac:dyDescent="0.55000000000000004">
      <c r="W14765"/>
    </row>
    <row r="14766" spans="23:23" x14ac:dyDescent="0.55000000000000004">
      <c r="W14766"/>
    </row>
    <row r="14767" spans="23:23" x14ac:dyDescent="0.55000000000000004">
      <c r="W14767"/>
    </row>
    <row r="14768" spans="23:23" x14ac:dyDescent="0.55000000000000004">
      <c r="W14768"/>
    </row>
    <row r="14769" spans="23:23" x14ac:dyDescent="0.55000000000000004">
      <c r="W14769"/>
    </row>
    <row r="14770" spans="23:23" x14ac:dyDescent="0.55000000000000004">
      <c r="W14770"/>
    </row>
    <row r="14771" spans="23:23" x14ac:dyDescent="0.55000000000000004">
      <c r="W14771"/>
    </row>
    <row r="14772" spans="23:23" x14ac:dyDescent="0.55000000000000004">
      <c r="W14772"/>
    </row>
    <row r="14773" spans="23:23" x14ac:dyDescent="0.55000000000000004">
      <c r="W14773"/>
    </row>
    <row r="14774" spans="23:23" x14ac:dyDescent="0.55000000000000004">
      <c r="W14774"/>
    </row>
    <row r="14775" spans="23:23" x14ac:dyDescent="0.55000000000000004">
      <c r="W14775"/>
    </row>
    <row r="14776" spans="23:23" x14ac:dyDescent="0.55000000000000004">
      <c r="W14776"/>
    </row>
    <row r="14777" spans="23:23" x14ac:dyDescent="0.55000000000000004">
      <c r="W14777"/>
    </row>
    <row r="14778" spans="23:23" x14ac:dyDescent="0.55000000000000004">
      <c r="W14778"/>
    </row>
    <row r="14779" spans="23:23" x14ac:dyDescent="0.55000000000000004">
      <c r="W14779"/>
    </row>
    <row r="14780" spans="23:23" x14ac:dyDescent="0.55000000000000004">
      <c r="W14780"/>
    </row>
    <row r="14781" spans="23:23" x14ac:dyDescent="0.55000000000000004">
      <c r="W14781"/>
    </row>
    <row r="14782" spans="23:23" x14ac:dyDescent="0.55000000000000004">
      <c r="W14782"/>
    </row>
    <row r="14783" spans="23:23" x14ac:dyDescent="0.55000000000000004">
      <c r="W14783"/>
    </row>
    <row r="14784" spans="23:23" x14ac:dyDescent="0.55000000000000004">
      <c r="W14784"/>
    </row>
    <row r="14785" spans="23:23" x14ac:dyDescent="0.55000000000000004">
      <c r="W14785"/>
    </row>
    <row r="14786" spans="23:23" x14ac:dyDescent="0.55000000000000004">
      <c r="W14786"/>
    </row>
    <row r="14787" spans="23:23" x14ac:dyDescent="0.55000000000000004">
      <c r="W14787"/>
    </row>
    <row r="14788" spans="23:23" x14ac:dyDescent="0.55000000000000004">
      <c r="W14788"/>
    </row>
    <row r="14789" spans="23:23" x14ac:dyDescent="0.55000000000000004">
      <c r="W14789"/>
    </row>
    <row r="14790" spans="23:23" x14ac:dyDescent="0.55000000000000004">
      <c r="W14790"/>
    </row>
    <row r="14791" spans="23:23" x14ac:dyDescent="0.55000000000000004">
      <c r="W14791"/>
    </row>
    <row r="14792" spans="23:23" x14ac:dyDescent="0.55000000000000004">
      <c r="W14792"/>
    </row>
    <row r="14793" spans="23:23" x14ac:dyDescent="0.55000000000000004">
      <c r="W14793"/>
    </row>
    <row r="14794" spans="23:23" x14ac:dyDescent="0.55000000000000004">
      <c r="W14794"/>
    </row>
    <row r="14795" spans="23:23" x14ac:dyDescent="0.55000000000000004">
      <c r="W14795"/>
    </row>
    <row r="14796" spans="23:23" x14ac:dyDescent="0.55000000000000004">
      <c r="W14796"/>
    </row>
    <row r="14797" spans="23:23" x14ac:dyDescent="0.55000000000000004">
      <c r="W14797"/>
    </row>
    <row r="14798" spans="23:23" x14ac:dyDescent="0.55000000000000004">
      <c r="W14798"/>
    </row>
    <row r="14799" spans="23:23" x14ac:dyDescent="0.55000000000000004">
      <c r="W14799"/>
    </row>
    <row r="14800" spans="23:23" x14ac:dyDescent="0.55000000000000004">
      <c r="W14800"/>
    </row>
    <row r="14801" spans="23:23" x14ac:dyDescent="0.55000000000000004">
      <c r="W14801"/>
    </row>
    <row r="14802" spans="23:23" x14ac:dyDescent="0.55000000000000004">
      <c r="W14802"/>
    </row>
    <row r="14803" spans="23:23" x14ac:dyDescent="0.55000000000000004">
      <c r="W14803"/>
    </row>
    <row r="14804" spans="23:23" x14ac:dyDescent="0.55000000000000004">
      <c r="W14804"/>
    </row>
    <row r="14805" spans="23:23" x14ac:dyDescent="0.55000000000000004">
      <c r="W14805"/>
    </row>
    <row r="14806" spans="23:23" x14ac:dyDescent="0.55000000000000004">
      <c r="W14806"/>
    </row>
    <row r="14807" spans="23:23" x14ac:dyDescent="0.55000000000000004">
      <c r="W14807"/>
    </row>
    <row r="14808" spans="23:23" x14ac:dyDescent="0.55000000000000004">
      <c r="W14808"/>
    </row>
    <row r="14809" spans="23:23" x14ac:dyDescent="0.55000000000000004">
      <c r="W14809"/>
    </row>
    <row r="14810" spans="23:23" x14ac:dyDescent="0.55000000000000004">
      <c r="W14810"/>
    </row>
    <row r="14811" spans="23:23" x14ac:dyDescent="0.55000000000000004">
      <c r="W14811"/>
    </row>
    <row r="14812" spans="23:23" x14ac:dyDescent="0.55000000000000004">
      <c r="W14812"/>
    </row>
    <row r="14813" spans="23:23" x14ac:dyDescent="0.55000000000000004">
      <c r="W14813"/>
    </row>
    <row r="14814" spans="23:23" x14ac:dyDescent="0.55000000000000004">
      <c r="W14814"/>
    </row>
    <row r="14815" spans="23:23" x14ac:dyDescent="0.55000000000000004">
      <c r="W14815"/>
    </row>
    <row r="14816" spans="23:23" x14ac:dyDescent="0.55000000000000004">
      <c r="W14816"/>
    </row>
    <row r="14817" spans="23:23" x14ac:dyDescent="0.55000000000000004">
      <c r="W14817"/>
    </row>
    <row r="14818" spans="23:23" x14ac:dyDescent="0.55000000000000004">
      <c r="W14818"/>
    </row>
    <row r="14819" spans="23:23" x14ac:dyDescent="0.55000000000000004">
      <c r="W14819"/>
    </row>
    <row r="14820" spans="23:23" x14ac:dyDescent="0.55000000000000004">
      <c r="W14820"/>
    </row>
    <row r="14821" spans="23:23" x14ac:dyDescent="0.55000000000000004">
      <c r="W14821"/>
    </row>
    <row r="14822" spans="23:23" x14ac:dyDescent="0.55000000000000004">
      <c r="W14822"/>
    </row>
    <row r="14823" spans="23:23" x14ac:dyDescent="0.55000000000000004">
      <c r="W14823"/>
    </row>
    <row r="14824" spans="23:23" x14ac:dyDescent="0.55000000000000004">
      <c r="W14824"/>
    </row>
    <row r="14825" spans="23:23" x14ac:dyDescent="0.55000000000000004">
      <c r="W14825"/>
    </row>
    <row r="14826" spans="23:23" x14ac:dyDescent="0.55000000000000004">
      <c r="W14826"/>
    </row>
    <row r="14827" spans="23:23" x14ac:dyDescent="0.55000000000000004">
      <c r="W14827"/>
    </row>
    <row r="14828" spans="23:23" x14ac:dyDescent="0.55000000000000004">
      <c r="W14828"/>
    </row>
    <row r="14829" spans="23:23" x14ac:dyDescent="0.55000000000000004">
      <c r="W14829"/>
    </row>
    <row r="14830" spans="23:23" x14ac:dyDescent="0.55000000000000004">
      <c r="W14830"/>
    </row>
    <row r="14831" spans="23:23" x14ac:dyDescent="0.55000000000000004">
      <c r="W14831"/>
    </row>
    <row r="14832" spans="23:23" x14ac:dyDescent="0.55000000000000004">
      <c r="W14832"/>
    </row>
    <row r="14833" spans="23:23" x14ac:dyDescent="0.55000000000000004">
      <c r="W14833"/>
    </row>
    <row r="14834" spans="23:23" x14ac:dyDescent="0.55000000000000004">
      <c r="W14834"/>
    </row>
    <row r="14835" spans="23:23" x14ac:dyDescent="0.55000000000000004">
      <c r="W14835"/>
    </row>
    <row r="14836" spans="23:23" x14ac:dyDescent="0.55000000000000004">
      <c r="W14836"/>
    </row>
    <row r="14837" spans="23:23" x14ac:dyDescent="0.55000000000000004">
      <c r="W14837"/>
    </row>
    <row r="14838" spans="23:23" x14ac:dyDescent="0.55000000000000004">
      <c r="W14838"/>
    </row>
    <row r="14839" spans="23:23" x14ac:dyDescent="0.55000000000000004">
      <c r="W14839"/>
    </row>
    <row r="14840" spans="23:23" x14ac:dyDescent="0.55000000000000004">
      <c r="W14840"/>
    </row>
    <row r="14841" spans="23:23" x14ac:dyDescent="0.55000000000000004">
      <c r="W14841"/>
    </row>
    <row r="14842" spans="23:23" x14ac:dyDescent="0.55000000000000004">
      <c r="W14842"/>
    </row>
    <row r="14843" spans="23:23" x14ac:dyDescent="0.55000000000000004">
      <c r="W14843"/>
    </row>
    <row r="14844" spans="23:23" x14ac:dyDescent="0.55000000000000004">
      <c r="W14844"/>
    </row>
    <row r="14845" spans="23:23" x14ac:dyDescent="0.55000000000000004">
      <c r="W14845"/>
    </row>
    <row r="14846" spans="23:23" x14ac:dyDescent="0.55000000000000004">
      <c r="W14846"/>
    </row>
    <row r="14847" spans="23:23" x14ac:dyDescent="0.55000000000000004">
      <c r="W14847"/>
    </row>
    <row r="14848" spans="23:23" x14ac:dyDescent="0.55000000000000004">
      <c r="W14848"/>
    </row>
    <row r="14849" spans="23:23" x14ac:dyDescent="0.55000000000000004">
      <c r="W14849"/>
    </row>
    <row r="14850" spans="23:23" x14ac:dyDescent="0.55000000000000004">
      <c r="W14850"/>
    </row>
    <row r="14851" spans="23:23" x14ac:dyDescent="0.55000000000000004">
      <c r="W14851"/>
    </row>
    <row r="14852" spans="23:23" x14ac:dyDescent="0.55000000000000004">
      <c r="W14852"/>
    </row>
    <row r="14853" spans="23:23" x14ac:dyDescent="0.55000000000000004">
      <c r="W14853"/>
    </row>
    <row r="14854" spans="23:23" x14ac:dyDescent="0.55000000000000004">
      <c r="W14854"/>
    </row>
    <row r="14855" spans="23:23" x14ac:dyDescent="0.55000000000000004">
      <c r="W14855"/>
    </row>
    <row r="14856" spans="23:23" x14ac:dyDescent="0.55000000000000004">
      <c r="W14856"/>
    </row>
    <row r="14857" spans="23:23" x14ac:dyDescent="0.55000000000000004">
      <c r="W14857"/>
    </row>
    <row r="14858" spans="23:23" x14ac:dyDescent="0.55000000000000004">
      <c r="W14858"/>
    </row>
    <row r="14859" spans="23:23" x14ac:dyDescent="0.55000000000000004">
      <c r="W14859"/>
    </row>
    <row r="14860" spans="23:23" x14ac:dyDescent="0.55000000000000004">
      <c r="W14860"/>
    </row>
    <row r="14861" spans="23:23" x14ac:dyDescent="0.55000000000000004">
      <c r="W14861"/>
    </row>
    <row r="14862" spans="23:23" x14ac:dyDescent="0.55000000000000004">
      <c r="W14862"/>
    </row>
    <row r="14863" spans="23:23" x14ac:dyDescent="0.55000000000000004">
      <c r="W14863"/>
    </row>
    <row r="14864" spans="23:23" x14ac:dyDescent="0.55000000000000004">
      <c r="W14864"/>
    </row>
    <row r="14865" spans="23:23" x14ac:dyDescent="0.55000000000000004">
      <c r="W14865"/>
    </row>
    <row r="14866" spans="23:23" x14ac:dyDescent="0.55000000000000004">
      <c r="W14866"/>
    </row>
    <row r="14867" spans="23:23" x14ac:dyDescent="0.55000000000000004">
      <c r="W14867"/>
    </row>
    <row r="14868" spans="23:23" x14ac:dyDescent="0.55000000000000004">
      <c r="W14868"/>
    </row>
    <row r="14869" spans="23:23" x14ac:dyDescent="0.55000000000000004">
      <c r="W14869"/>
    </row>
    <row r="14870" spans="23:23" x14ac:dyDescent="0.55000000000000004">
      <c r="W14870"/>
    </row>
    <row r="14871" spans="23:23" x14ac:dyDescent="0.55000000000000004">
      <c r="W14871"/>
    </row>
    <row r="14872" spans="23:23" x14ac:dyDescent="0.55000000000000004">
      <c r="W14872"/>
    </row>
    <row r="14873" spans="23:23" x14ac:dyDescent="0.55000000000000004">
      <c r="W14873"/>
    </row>
    <row r="14874" spans="23:23" x14ac:dyDescent="0.55000000000000004">
      <c r="W14874"/>
    </row>
    <row r="14875" spans="23:23" x14ac:dyDescent="0.55000000000000004">
      <c r="W14875"/>
    </row>
    <row r="14876" spans="23:23" x14ac:dyDescent="0.55000000000000004">
      <c r="W14876"/>
    </row>
    <row r="14877" spans="23:23" x14ac:dyDescent="0.55000000000000004">
      <c r="W14877"/>
    </row>
    <row r="14878" spans="23:23" x14ac:dyDescent="0.55000000000000004">
      <c r="W14878"/>
    </row>
    <row r="14879" spans="23:23" x14ac:dyDescent="0.55000000000000004">
      <c r="W14879"/>
    </row>
    <row r="14880" spans="23:23" x14ac:dyDescent="0.55000000000000004">
      <c r="W14880"/>
    </row>
    <row r="14881" spans="23:23" x14ac:dyDescent="0.55000000000000004">
      <c r="W14881"/>
    </row>
    <row r="14882" spans="23:23" x14ac:dyDescent="0.55000000000000004">
      <c r="W14882"/>
    </row>
    <row r="14883" spans="23:23" x14ac:dyDescent="0.55000000000000004">
      <c r="W14883"/>
    </row>
    <row r="14884" spans="23:23" x14ac:dyDescent="0.55000000000000004">
      <c r="W14884"/>
    </row>
    <row r="14885" spans="23:23" x14ac:dyDescent="0.55000000000000004">
      <c r="W14885"/>
    </row>
    <row r="14886" spans="23:23" x14ac:dyDescent="0.55000000000000004">
      <c r="W14886"/>
    </row>
    <row r="14887" spans="23:23" x14ac:dyDescent="0.55000000000000004">
      <c r="W14887"/>
    </row>
    <row r="14888" spans="23:23" x14ac:dyDescent="0.55000000000000004">
      <c r="W14888"/>
    </row>
    <row r="14889" spans="23:23" x14ac:dyDescent="0.55000000000000004">
      <c r="W14889"/>
    </row>
    <row r="14890" spans="23:23" x14ac:dyDescent="0.55000000000000004">
      <c r="W14890"/>
    </row>
    <row r="14891" spans="23:23" x14ac:dyDescent="0.55000000000000004">
      <c r="W14891"/>
    </row>
    <row r="14892" spans="23:23" x14ac:dyDescent="0.55000000000000004">
      <c r="W14892"/>
    </row>
    <row r="14893" spans="23:23" x14ac:dyDescent="0.55000000000000004">
      <c r="W14893"/>
    </row>
    <row r="14894" spans="23:23" x14ac:dyDescent="0.55000000000000004">
      <c r="W14894"/>
    </row>
    <row r="14895" spans="23:23" x14ac:dyDescent="0.55000000000000004">
      <c r="W14895"/>
    </row>
    <row r="14896" spans="23:23" x14ac:dyDescent="0.55000000000000004">
      <c r="W14896"/>
    </row>
    <row r="14897" spans="23:23" x14ac:dyDescent="0.55000000000000004">
      <c r="W14897"/>
    </row>
    <row r="14898" spans="23:23" x14ac:dyDescent="0.55000000000000004">
      <c r="W14898"/>
    </row>
    <row r="14899" spans="23:23" x14ac:dyDescent="0.55000000000000004">
      <c r="W14899"/>
    </row>
    <row r="14900" spans="23:23" x14ac:dyDescent="0.55000000000000004">
      <c r="W14900"/>
    </row>
    <row r="14901" spans="23:23" x14ac:dyDescent="0.55000000000000004">
      <c r="W14901"/>
    </row>
    <row r="14902" spans="23:23" x14ac:dyDescent="0.55000000000000004">
      <c r="W14902"/>
    </row>
    <row r="14903" spans="23:23" x14ac:dyDescent="0.55000000000000004">
      <c r="W14903"/>
    </row>
    <row r="14904" spans="23:23" x14ac:dyDescent="0.55000000000000004">
      <c r="W14904"/>
    </row>
    <row r="14905" spans="23:23" x14ac:dyDescent="0.55000000000000004">
      <c r="W14905"/>
    </row>
    <row r="14906" spans="23:23" x14ac:dyDescent="0.55000000000000004">
      <c r="W14906"/>
    </row>
    <row r="14907" spans="23:23" x14ac:dyDescent="0.55000000000000004">
      <c r="W14907"/>
    </row>
    <row r="14908" spans="23:23" x14ac:dyDescent="0.55000000000000004">
      <c r="W14908"/>
    </row>
    <row r="14909" spans="23:23" x14ac:dyDescent="0.55000000000000004">
      <c r="W14909"/>
    </row>
    <row r="14910" spans="23:23" x14ac:dyDescent="0.55000000000000004">
      <c r="W14910"/>
    </row>
    <row r="14911" spans="23:23" x14ac:dyDescent="0.55000000000000004">
      <c r="W14911"/>
    </row>
    <row r="14912" spans="23:23" x14ac:dyDescent="0.55000000000000004">
      <c r="W14912"/>
    </row>
    <row r="14913" spans="23:23" x14ac:dyDescent="0.55000000000000004">
      <c r="W14913"/>
    </row>
    <row r="14914" spans="23:23" x14ac:dyDescent="0.55000000000000004">
      <c r="W14914"/>
    </row>
    <row r="14915" spans="23:23" x14ac:dyDescent="0.55000000000000004">
      <c r="W14915"/>
    </row>
    <row r="14916" spans="23:23" x14ac:dyDescent="0.55000000000000004">
      <c r="W14916"/>
    </row>
    <row r="14917" spans="23:23" x14ac:dyDescent="0.55000000000000004">
      <c r="W14917"/>
    </row>
    <row r="14918" spans="23:23" x14ac:dyDescent="0.55000000000000004">
      <c r="W14918"/>
    </row>
    <row r="14919" spans="23:23" x14ac:dyDescent="0.55000000000000004">
      <c r="W14919"/>
    </row>
    <row r="14920" spans="23:23" x14ac:dyDescent="0.55000000000000004">
      <c r="W14920"/>
    </row>
    <row r="14921" spans="23:23" x14ac:dyDescent="0.55000000000000004">
      <c r="W14921"/>
    </row>
    <row r="14922" spans="23:23" x14ac:dyDescent="0.55000000000000004">
      <c r="W14922"/>
    </row>
    <row r="14923" spans="23:23" x14ac:dyDescent="0.55000000000000004">
      <c r="W14923"/>
    </row>
    <row r="14924" spans="23:23" x14ac:dyDescent="0.55000000000000004">
      <c r="W14924"/>
    </row>
    <row r="14925" spans="23:23" x14ac:dyDescent="0.55000000000000004">
      <c r="W14925"/>
    </row>
    <row r="14926" spans="23:23" x14ac:dyDescent="0.55000000000000004">
      <c r="W14926"/>
    </row>
    <row r="14927" spans="23:23" x14ac:dyDescent="0.55000000000000004">
      <c r="W14927"/>
    </row>
    <row r="14928" spans="23:23" x14ac:dyDescent="0.55000000000000004">
      <c r="W14928"/>
    </row>
    <row r="14929" spans="23:23" x14ac:dyDescent="0.55000000000000004">
      <c r="W14929"/>
    </row>
    <row r="14930" spans="23:23" x14ac:dyDescent="0.55000000000000004">
      <c r="W14930"/>
    </row>
    <row r="14931" spans="23:23" x14ac:dyDescent="0.55000000000000004">
      <c r="W14931"/>
    </row>
    <row r="14932" spans="23:23" x14ac:dyDescent="0.55000000000000004">
      <c r="W14932"/>
    </row>
    <row r="14933" spans="23:23" x14ac:dyDescent="0.55000000000000004">
      <c r="W14933"/>
    </row>
    <row r="14934" spans="23:23" x14ac:dyDescent="0.55000000000000004">
      <c r="W14934"/>
    </row>
    <row r="14935" spans="23:23" x14ac:dyDescent="0.55000000000000004">
      <c r="W14935"/>
    </row>
    <row r="14936" spans="23:23" x14ac:dyDescent="0.55000000000000004">
      <c r="W14936"/>
    </row>
    <row r="14937" spans="23:23" x14ac:dyDescent="0.55000000000000004">
      <c r="W14937"/>
    </row>
    <row r="14938" spans="23:23" x14ac:dyDescent="0.55000000000000004">
      <c r="W14938"/>
    </row>
    <row r="14939" spans="23:23" x14ac:dyDescent="0.55000000000000004">
      <c r="W14939"/>
    </row>
    <row r="14940" spans="23:23" x14ac:dyDescent="0.55000000000000004">
      <c r="W14940"/>
    </row>
    <row r="14941" spans="23:23" x14ac:dyDescent="0.55000000000000004">
      <c r="W14941"/>
    </row>
    <row r="14942" spans="23:23" x14ac:dyDescent="0.55000000000000004">
      <c r="W14942"/>
    </row>
    <row r="14943" spans="23:23" x14ac:dyDescent="0.55000000000000004">
      <c r="W14943"/>
    </row>
    <row r="14944" spans="23:23" x14ac:dyDescent="0.55000000000000004">
      <c r="W14944"/>
    </row>
    <row r="14945" spans="23:23" x14ac:dyDescent="0.55000000000000004">
      <c r="W14945"/>
    </row>
    <row r="14946" spans="23:23" x14ac:dyDescent="0.55000000000000004">
      <c r="W14946"/>
    </row>
    <row r="14947" spans="23:23" x14ac:dyDescent="0.55000000000000004">
      <c r="W14947"/>
    </row>
    <row r="14948" spans="23:23" x14ac:dyDescent="0.55000000000000004">
      <c r="W14948"/>
    </row>
    <row r="14949" spans="23:23" x14ac:dyDescent="0.55000000000000004">
      <c r="W14949"/>
    </row>
    <row r="14950" spans="23:23" x14ac:dyDescent="0.55000000000000004">
      <c r="W14950"/>
    </row>
    <row r="14951" spans="23:23" x14ac:dyDescent="0.55000000000000004">
      <c r="W14951"/>
    </row>
    <row r="14952" spans="23:23" x14ac:dyDescent="0.55000000000000004">
      <c r="W14952"/>
    </row>
    <row r="14953" spans="23:23" x14ac:dyDescent="0.55000000000000004">
      <c r="W14953"/>
    </row>
    <row r="14954" spans="23:23" x14ac:dyDescent="0.55000000000000004">
      <c r="W14954"/>
    </row>
    <row r="14955" spans="23:23" x14ac:dyDescent="0.55000000000000004">
      <c r="W14955"/>
    </row>
    <row r="14956" spans="23:23" x14ac:dyDescent="0.55000000000000004">
      <c r="W14956"/>
    </row>
    <row r="14957" spans="23:23" x14ac:dyDescent="0.55000000000000004">
      <c r="W14957"/>
    </row>
    <row r="14958" spans="23:23" x14ac:dyDescent="0.55000000000000004">
      <c r="W14958"/>
    </row>
    <row r="14959" spans="23:23" x14ac:dyDescent="0.55000000000000004">
      <c r="W14959"/>
    </row>
    <row r="14960" spans="23:23" x14ac:dyDescent="0.55000000000000004">
      <c r="W14960"/>
    </row>
    <row r="14961" spans="23:23" x14ac:dyDescent="0.55000000000000004">
      <c r="W14961"/>
    </row>
    <row r="14962" spans="23:23" x14ac:dyDescent="0.55000000000000004">
      <c r="W14962"/>
    </row>
    <row r="14963" spans="23:23" x14ac:dyDescent="0.55000000000000004">
      <c r="W14963"/>
    </row>
    <row r="14964" spans="23:23" x14ac:dyDescent="0.55000000000000004">
      <c r="W14964"/>
    </row>
    <row r="14965" spans="23:23" x14ac:dyDescent="0.55000000000000004">
      <c r="W14965"/>
    </row>
    <row r="14966" spans="23:23" x14ac:dyDescent="0.55000000000000004">
      <c r="W14966"/>
    </row>
    <row r="14967" spans="23:23" x14ac:dyDescent="0.55000000000000004">
      <c r="W14967"/>
    </row>
    <row r="14968" spans="23:23" x14ac:dyDescent="0.55000000000000004">
      <c r="W14968"/>
    </row>
    <row r="14969" spans="23:23" x14ac:dyDescent="0.55000000000000004">
      <c r="W14969"/>
    </row>
    <row r="14970" spans="23:23" x14ac:dyDescent="0.55000000000000004">
      <c r="W14970"/>
    </row>
    <row r="14971" spans="23:23" x14ac:dyDescent="0.55000000000000004">
      <c r="W14971"/>
    </row>
    <row r="14972" spans="23:23" x14ac:dyDescent="0.55000000000000004">
      <c r="W14972"/>
    </row>
    <row r="14973" spans="23:23" x14ac:dyDescent="0.55000000000000004">
      <c r="W14973"/>
    </row>
    <row r="14974" spans="23:23" x14ac:dyDescent="0.55000000000000004">
      <c r="W14974"/>
    </row>
    <row r="14975" spans="23:23" x14ac:dyDescent="0.55000000000000004">
      <c r="W14975"/>
    </row>
    <row r="14976" spans="23:23" x14ac:dyDescent="0.55000000000000004">
      <c r="W14976"/>
    </row>
    <row r="14977" spans="23:23" x14ac:dyDescent="0.55000000000000004">
      <c r="W14977"/>
    </row>
    <row r="14978" spans="23:23" x14ac:dyDescent="0.55000000000000004">
      <c r="W14978"/>
    </row>
    <row r="14979" spans="23:23" x14ac:dyDescent="0.55000000000000004">
      <c r="W14979"/>
    </row>
    <row r="14980" spans="23:23" x14ac:dyDescent="0.55000000000000004">
      <c r="W14980"/>
    </row>
    <row r="14981" spans="23:23" x14ac:dyDescent="0.55000000000000004">
      <c r="W14981"/>
    </row>
    <row r="14982" spans="23:23" x14ac:dyDescent="0.55000000000000004">
      <c r="W14982"/>
    </row>
    <row r="14983" spans="23:23" x14ac:dyDescent="0.55000000000000004">
      <c r="W14983"/>
    </row>
    <row r="14984" spans="23:23" x14ac:dyDescent="0.55000000000000004">
      <c r="W14984"/>
    </row>
    <row r="14985" spans="23:23" x14ac:dyDescent="0.55000000000000004">
      <c r="W14985"/>
    </row>
    <row r="14986" spans="23:23" x14ac:dyDescent="0.55000000000000004">
      <c r="W14986"/>
    </row>
    <row r="14987" spans="23:23" x14ac:dyDescent="0.55000000000000004">
      <c r="W14987"/>
    </row>
    <row r="14988" spans="23:23" x14ac:dyDescent="0.55000000000000004">
      <c r="W14988"/>
    </row>
    <row r="14989" spans="23:23" x14ac:dyDescent="0.55000000000000004">
      <c r="W14989"/>
    </row>
    <row r="14990" spans="23:23" x14ac:dyDescent="0.55000000000000004">
      <c r="W14990"/>
    </row>
    <row r="14991" spans="23:23" x14ac:dyDescent="0.55000000000000004">
      <c r="W14991"/>
    </row>
    <row r="14992" spans="23:23" x14ac:dyDescent="0.55000000000000004">
      <c r="W14992"/>
    </row>
    <row r="14993" spans="23:23" x14ac:dyDescent="0.55000000000000004">
      <c r="W14993"/>
    </row>
    <row r="14994" spans="23:23" x14ac:dyDescent="0.55000000000000004">
      <c r="W14994"/>
    </row>
    <row r="14995" spans="23:23" x14ac:dyDescent="0.55000000000000004">
      <c r="W14995"/>
    </row>
    <row r="14996" spans="23:23" x14ac:dyDescent="0.55000000000000004">
      <c r="W14996"/>
    </row>
    <row r="14997" spans="23:23" x14ac:dyDescent="0.55000000000000004">
      <c r="W14997"/>
    </row>
    <row r="14998" spans="23:23" x14ac:dyDescent="0.55000000000000004">
      <c r="W14998"/>
    </row>
    <row r="14999" spans="23:23" x14ac:dyDescent="0.55000000000000004">
      <c r="W14999"/>
    </row>
    <row r="15000" spans="23:23" x14ac:dyDescent="0.55000000000000004">
      <c r="W15000"/>
    </row>
    <row r="15001" spans="23:23" x14ac:dyDescent="0.55000000000000004">
      <c r="W15001"/>
    </row>
    <row r="15002" spans="23:23" x14ac:dyDescent="0.55000000000000004">
      <c r="W15002"/>
    </row>
    <row r="15003" spans="23:23" x14ac:dyDescent="0.55000000000000004">
      <c r="W15003"/>
    </row>
    <row r="15004" spans="23:23" x14ac:dyDescent="0.55000000000000004">
      <c r="W15004"/>
    </row>
    <row r="15005" spans="23:23" x14ac:dyDescent="0.55000000000000004">
      <c r="W15005"/>
    </row>
    <row r="15006" spans="23:23" x14ac:dyDescent="0.55000000000000004">
      <c r="W15006"/>
    </row>
    <row r="15007" spans="23:23" x14ac:dyDescent="0.55000000000000004">
      <c r="W15007"/>
    </row>
    <row r="15008" spans="23:23" x14ac:dyDescent="0.55000000000000004">
      <c r="W15008"/>
    </row>
    <row r="15009" spans="23:23" x14ac:dyDescent="0.55000000000000004">
      <c r="W15009"/>
    </row>
    <row r="15010" spans="23:23" x14ac:dyDescent="0.55000000000000004">
      <c r="W15010"/>
    </row>
    <row r="15011" spans="23:23" x14ac:dyDescent="0.55000000000000004">
      <c r="W15011"/>
    </row>
    <row r="15012" spans="23:23" x14ac:dyDescent="0.55000000000000004">
      <c r="W15012"/>
    </row>
    <row r="15013" spans="23:23" x14ac:dyDescent="0.55000000000000004">
      <c r="W15013"/>
    </row>
    <row r="15014" spans="23:23" x14ac:dyDescent="0.55000000000000004">
      <c r="W15014"/>
    </row>
    <row r="15015" spans="23:23" x14ac:dyDescent="0.55000000000000004">
      <c r="W15015"/>
    </row>
    <row r="15016" spans="23:23" x14ac:dyDescent="0.55000000000000004">
      <c r="W15016"/>
    </row>
    <row r="15017" spans="23:23" x14ac:dyDescent="0.55000000000000004">
      <c r="W15017"/>
    </row>
    <row r="15018" spans="23:23" x14ac:dyDescent="0.55000000000000004">
      <c r="W15018"/>
    </row>
    <row r="15019" spans="23:23" x14ac:dyDescent="0.55000000000000004">
      <c r="W15019"/>
    </row>
    <row r="15020" spans="23:23" x14ac:dyDescent="0.55000000000000004">
      <c r="W15020"/>
    </row>
    <row r="15021" spans="23:23" x14ac:dyDescent="0.55000000000000004">
      <c r="W15021"/>
    </row>
    <row r="15022" spans="23:23" x14ac:dyDescent="0.55000000000000004">
      <c r="W15022"/>
    </row>
    <row r="15023" spans="23:23" x14ac:dyDescent="0.55000000000000004">
      <c r="W15023"/>
    </row>
    <row r="15024" spans="23:23" x14ac:dyDescent="0.55000000000000004">
      <c r="W15024"/>
    </row>
    <row r="15025" spans="23:23" x14ac:dyDescent="0.55000000000000004">
      <c r="W15025"/>
    </row>
    <row r="15026" spans="23:23" x14ac:dyDescent="0.55000000000000004">
      <c r="W15026"/>
    </row>
    <row r="15027" spans="23:23" x14ac:dyDescent="0.55000000000000004">
      <c r="W15027"/>
    </row>
    <row r="15028" spans="23:23" x14ac:dyDescent="0.55000000000000004">
      <c r="W15028"/>
    </row>
    <row r="15029" spans="23:23" x14ac:dyDescent="0.55000000000000004">
      <c r="W15029"/>
    </row>
    <row r="15030" spans="23:23" x14ac:dyDescent="0.55000000000000004">
      <c r="W15030"/>
    </row>
    <row r="15031" spans="23:23" x14ac:dyDescent="0.55000000000000004">
      <c r="W15031"/>
    </row>
    <row r="15032" spans="23:23" x14ac:dyDescent="0.55000000000000004">
      <c r="W15032"/>
    </row>
    <row r="15033" spans="23:23" x14ac:dyDescent="0.55000000000000004">
      <c r="W15033"/>
    </row>
    <row r="15034" spans="23:23" x14ac:dyDescent="0.55000000000000004">
      <c r="W15034"/>
    </row>
    <row r="15035" spans="23:23" x14ac:dyDescent="0.55000000000000004">
      <c r="W15035"/>
    </row>
    <row r="15036" spans="23:23" x14ac:dyDescent="0.55000000000000004">
      <c r="W15036"/>
    </row>
    <row r="15037" spans="23:23" x14ac:dyDescent="0.55000000000000004">
      <c r="W15037"/>
    </row>
    <row r="15038" spans="23:23" x14ac:dyDescent="0.55000000000000004">
      <c r="W15038"/>
    </row>
    <row r="15039" spans="23:23" x14ac:dyDescent="0.55000000000000004">
      <c r="W15039"/>
    </row>
    <row r="15040" spans="23:23" x14ac:dyDescent="0.55000000000000004">
      <c r="W15040"/>
    </row>
    <row r="15041" spans="23:23" x14ac:dyDescent="0.55000000000000004">
      <c r="W15041"/>
    </row>
    <row r="15042" spans="23:23" x14ac:dyDescent="0.55000000000000004">
      <c r="W15042"/>
    </row>
    <row r="15043" spans="23:23" x14ac:dyDescent="0.55000000000000004">
      <c r="W15043"/>
    </row>
    <row r="15044" spans="23:23" x14ac:dyDescent="0.55000000000000004">
      <c r="W15044"/>
    </row>
    <row r="15045" spans="23:23" x14ac:dyDescent="0.55000000000000004">
      <c r="W15045"/>
    </row>
    <row r="15046" spans="23:23" x14ac:dyDescent="0.55000000000000004">
      <c r="W15046"/>
    </row>
    <row r="15047" spans="23:23" x14ac:dyDescent="0.55000000000000004">
      <c r="W15047"/>
    </row>
    <row r="15048" spans="23:23" x14ac:dyDescent="0.55000000000000004">
      <c r="W15048"/>
    </row>
    <row r="15049" spans="23:23" x14ac:dyDescent="0.55000000000000004">
      <c r="W15049"/>
    </row>
    <row r="15050" spans="23:23" x14ac:dyDescent="0.55000000000000004">
      <c r="W15050"/>
    </row>
    <row r="15051" spans="23:23" x14ac:dyDescent="0.55000000000000004">
      <c r="W15051"/>
    </row>
    <row r="15052" spans="23:23" x14ac:dyDescent="0.55000000000000004">
      <c r="W15052"/>
    </row>
    <row r="15053" spans="23:23" x14ac:dyDescent="0.55000000000000004">
      <c r="W15053"/>
    </row>
    <row r="15054" spans="23:23" x14ac:dyDescent="0.55000000000000004">
      <c r="W15054"/>
    </row>
    <row r="15055" spans="23:23" x14ac:dyDescent="0.55000000000000004">
      <c r="W15055"/>
    </row>
    <row r="15056" spans="23:23" x14ac:dyDescent="0.55000000000000004">
      <c r="W15056"/>
    </row>
    <row r="15057" spans="23:23" x14ac:dyDescent="0.55000000000000004">
      <c r="W15057"/>
    </row>
    <row r="15058" spans="23:23" x14ac:dyDescent="0.55000000000000004">
      <c r="W15058"/>
    </row>
    <row r="15059" spans="23:23" x14ac:dyDescent="0.55000000000000004">
      <c r="W15059"/>
    </row>
    <row r="15060" spans="23:23" x14ac:dyDescent="0.55000000000000004">
      <c r="W15060"/>
    </row>
    <row r="15061" spans="23:23" x14ac:dyDescent="0.55000000000000004">
      <c r="W15061"/>
    </row>
    <row r="15062" spans="23:23" x14ac:dyDescent="0.55000000000000004">
      <c r="W15062"/>
    </row>
    <row r="15063" spans="23:23" x14ac:dyDescent="0.55000000000000004">
      <c r="W15063"/>
    </row>
    <row r="15064" spans="23:23" x14ac:dyDescent="0.55000000000000004">
      <c r="W15064"/>
    </row>
    <row r="15065" spans="23:23" x14ac:dyDescent="0.55000000000000004">
      <c r="W15065"/>
    </row>
    <row r="15066" spans="23:23" x14ac:dyDescent="0.55000000000000004">
      <c r="W15066"/>
    </row>
    <row r="15067" spans="23:23" x14ac:dyDescent="0.55000000000000004">
      <c r="W15067"/>
    </row>
    <row r="15068" spans="23:23" x14ac:dyDescent="0.55000000000000004">
      <c r="W15068"/>
    </row>
    <row r="15069" spans="23:23" x14ac:dyDescent="0.55000000000000004">
      <c r="W15069"/>
    </row>
    <row r="15070" spans="23:23" x14ac:dyDescent="0.55000000000000004">
      <c r="W15070"/>
    </row>
    <row r="15071" spans="23:23" x14ac:dyDescent="0.55000000000000004">
      <c r="W15071"/>
    </row>
    <row r="15072" spans="23:23" x14ac:dyDescent="0.55000000000000004">
      <c r="W15072"/>
    </row>
    <row r="15073" spans="23:23" x14ac:dyDescent="0.55000000000000004">
      <c r="W15073"/>
    </row>
    <row r="15074" spans="23:23" x14ac:dyDescent="0.55000000000000004">
      <c r="W15074"/>
    </row>
    <row r="15075" spans="23:23" x14ac:dyDescent="0.55000000000000004">
      <c r="W15075"/>
    </row>
    <row r="15076" spans="23:23" x14ac:dyDescent="0.55000000000000004">
      <c r="W15076"/>
    </row>
    <row r="15077" spans="23:23" x14ac:dyDescent="0.55000000000000004">
      <c r="W15077"/>
    </row>
    <row r="15078" spans="23:23" x14ac:dyDescent="0.55000000000000004">
      <c r="W15078"/>
    </row>
    <row r="15079" spans="23:23" x14ac:dyDescent="0.55000000000000004">
      <c r="W15079"/>
    </row>
    <row r="15080" spans="23:23" x14ac:dyDescent="0.55000000000000004">
      <c r="W15080"/>
    </row>
    <row r="15081" spans="23:23" x14ac:dyDescent="0.55000000000000004">
      <c r="W15081"/>
    </row>
    <row r="15082" spans="23:23" x14ac:dyDescent="0.55000000000000004">
      <c r="W15082"/>
    </row>
    <row r="15083" spans="23:23" x14ac:dyDescent="0.55000000000000004">
      <c r="W15083"/>
    </row>
    <row r="15084" spans="23:23" x14ac:dyDescent="0.55000000000000004">
      <c r="W15084"/>
    </row>
    <row r="15085" spans="23:23" x14ac:dyDescent="0.55000000000000004">
      <c r="W15085"/>
    </row>
    <row r="15086" spans="23:23" x14ac:dyDescent="0.55000000000000004">
      <c r="W15086"/>
    </row>
    <row r="15087" spans="23:23" x14ac:dyDescent="0.55000000000000004">
      <c r="W15087"/>
    </row>
    <row r="15088" spans="23:23" x14ac:dyDescent="0.55000000000000004">
      <c r="W15088"/>
    </row>
    <row r="15089" spans="23:23" x14ac:dyDescent="0.55000000000000004">
      <c r="W15089"/>
    </row>
    <row r="15090" spans="23:23" x14ac:dyDescent="0.55000000000000004">
      <c r="W15090"/>
    </row>
    <row r="15091" spans="23:23" x14ac:dyDescent="0.55000000000000004">
      <c r="W15091"/>
    </row>
    <row r="15092" spans="23:23" x14ac:dyDescent="0.55000000000000004">
      <c r="W15092"/>
    </row>
    <row r="15093" spans="23:23" x14ac:dyDescent="0.55000000000000004">
      <c r="W15093"/>
    </row>
    <row r="15094" spans="23:23" x14ac:dyDescent="0.55000000000000004">
      <c r="W15094"/>
    </row>
    <row r="15095" spans="23:23" x14ac:dyDescent="0.55000000000000004">
      <c r="W15095"/>
    </row>
    <row r="15096" spans="23:23" x14ac:dyDescent="0.55000000000000004">
      <c r="W15096"/>
    </row>
    <row r="15097" spans="23:23" x14ac:dyDescent="0.55000000000000004">
      <c r="W15097"/>
    </row>
    <row r="15098" spans="23:23" x14ac:dyDescent="0.55000000000000004">
      <c r="W15098"/>
    </row>
    <row r="15099" spans="23:23" x14ac:dyDescent="0.55000000000000004">
      <c r="W15099"/>
    </row>
    <row r="15100" spans="23:23" x14ac:dyDescent="0.55000000000000004">
      <c r="W15100"/>
    </row>
    <row r="15101" spans="23:23" x14ac:dyDescent="0.55000000000000004">
      <c r="W15101"/>
    </row>
    <row r="15102" spans="23:23" x14ac:dyDescent="0.55000000000000004">
      <c r="W15102"/>
    </row>
    <row r="15103" spans="23:23" x14ac:dyDescent="0.55000000000000004">
      <c r="W15103"/>
    </row>
    <row r="15104" spans="23:23" x14ac:dyDescent="0.55000000000000004">
      <c r="W15104"/>
    </row>
    <row r="15105" spans="23:23" x14ac:dyDescent="0.55000000000000004">
      <c r="W15105"/>
    </row>
    <row r="15106" spans="23:23" x14ac:dyDescent="0.55000000000000004">
      <c r="W15106"/>
    </row>
    <row r="15107" spans="23:23" x14ac:dyDescent="0.55000000000000004">
      <c r="W15107"/>
    </row>
    <row r="15108" spans="23:23" x14ac:dyDescent="0.55000000000000004">
      <c r="W15108"/>
    </row>
    <row r="15109" spans="23:23" x14ac:dyDescent="0.55000000000000004">
      <c r="W15109"/>
    </row>
    <row r="15110" spans="23:23" x14ac:dyDescent="0.55000000000000004">
      <c r="W15110"/>
    </row>
    <row r="15111" spans="23:23" x14ac:dyDescent="0.55000000000000004">
      <c r="W15111"/>
    </row>
    <row r="15112" spans="23:23" x14ac:dyDescent="0.55000000000000004">
      <c r="W15112"/>
    </row>
    <row r="15113" spans="23:23" x14ac:dyDescent="0.55000000000000004">
      <c r="W15113"/>
    </row>
    <row r="15114" spans="23:23" x14ac:dyDescent="0.55000000000000004">
      <c r="W15114"/>
    </row>
    <row r="15115" spans="23:23" x14ac:dyDescent="0.55000000000000004">
      <c r="W15115"/>
    </row>
    <row r="15116" spans="23:23" x14ac:dyDescent="0.55000000000000004">
      <c r="W15116"/>
    </row>
    <row r="15117" spans="23:23" x14ac:dyDescent="0.55000000000000004">
      <c r="W15117"/>
    </row>
    <row r="15118" spans="23:23" x14ac:dyDescent="0.55000000000000004">
      <c r="W15118"/>
    </row>
    <row r="15119" spans="23:23" x14ac:dyDescent="0.55000000000000004">
      <c r="W15119"/>
    </row>
    <row r="15120" spans="23:23" x14ac:dyDescent="0.55000000000000004">
      <c r="W15120"/>
    </row>
    <row r="15121" spans="23:23" x14ac:dyDescent="0.55000000000000004">
      <c r="W15121"/>
    </row>
    <row r="15122" spans="23:23" x14ac:dyDescent="0.55000000000000004">
      <c r="W15122"/>
    </row>
    <row r="15123" spans="23:23" x14ac:dyDescent="0.55000000000000004">
      <c r="W15123"/>
    </row>
    <row r="15124" spans="23:23" x14ac:dyDescent="0.55000000000000004">
      <c r="W15124"/>
    </row>
    <row r="15125" spans="23:23" x14ac:dyDescent="0.55000000000000004">
      <c r="W15125"/>
    </row>
    <row r="15126" spans="23:23" x14ac:dyDescent="0.55000000000000004">
      <c r="W15126"/>
    </row>
    <row r="15127" spans="23:23" x14ac:dyDescent="0.55000000000000004">
      <c r="W15127"/>
    </row>
    <row r="15128" spans="23:23" x14ac:dyDescent="0.55000000000000004">
      <c r="W15128"/>
    </row>
    <row r="15129" spans="23:23" x14ac:dyDescent="0.55000000000000004">
      <c r="W15129"/>
    </row>
    <row r="15130" spans="23:23" x14ac:dyDescent="0.55000000000000004">
      <c r="W15130"/>
    </row>
    <row r="15131" spans="23:23" x14ac:dyDescent="0.55000000000000004">
      <c r="W15131"/>
    </row>
    <row r="15132" spans="23:23" x14ac:dyDescent="0.55000000000000004">
      <c r="W15132"/>
    </row>
    <row r="15133" spans="23:23" x14ac:dyDescent="0.55000000000000004">
      <c r="W15133"/>
    </row>
    <row r="15134" spans="23:23" x14ac:dyDescent="0.55000000000000004">
      <c r="W15134"/>
    </row>
    <row r="15135" spans="23:23" x14ac:dyDescent="0.55000000000000004">
      <c r="W15135"/>
    </row>
    <row r="15136" spans="23:23" x14ac:dyDescent="0.55000000000000004">
      <c r="W15136"/>
    </row>
    <row r="15137" spans="23:23" x14ac:dyDescent="0.55000000000000004">
      <c r="W15137"/>
    </row>
    <row r="15138" spans="23:23" x14ac:dyDescent="0.55000000000000004">
      <c r="W15138"/>
    </row>
    <row r="15139" spans="23:23" x14ac:dyDescent="0.55000000000000004">
      <c r="W15139"/>
    </row>
    <row r="15140" spans="23:23" x14ac:dyDescent="0.55000000000000004">
      <c r="W15140"/>
    </row>
    <row r="15141" spans="23:23" x14ac:dyDescent="0.55000000000000004">
      <c r="W15141"/>
    </row>
    <row r="15142" spans="23:23" x14ac:dyDescent="0.55000000000000004">
      <c r="W15142"/>
    </row>
    <row r="15143" spans="23:23" x14ac:dyDescent="0.55000000000000004">
      <c r="W15143"/>
    </row>
    <row r="15144" spans="23:23" x14ac:dyDescent="0.55000000000000004">
      <c r="W15144"/>
    </row>
    <row r="15145" spans="23:23" x14ac:dyDescent="0.55000000000000004">
      <c r="W15145"/>
    </row>
    <row r="15146" spans="23:23" x14ac:dyDescent="0.55000000000000004">
      <c r="W15146"/>
    </row>
    <row r="15147" spans="23:23" x14ac:dyDescent="0.55000000000000004">
      <c r="W15147"/>
    </row>
    <row r="15148" spans="23:23" x14ac:dyDescent="0.55000000000000004">
      <c r="W15148"/>
    </row>
    <row r="15149" spans="23:23" x14ac:dyDescent="0.55000000000000004">
      <c r="W15149"/>
    </row>
    <row r="15150" spans="23:23" x14ac:dyDescent="0.55000000000000004">
      <c r="W15150"/>
    </row>
    <row r="15151" spans="23:23" x14ac:dyDescent="0.55000000000000004">
      <c r="W15151"/>
    </row>
    <row r="15152" spans="23:23" x14ac:dyDescent="0.55000000000000004">
      <c r="W15152"/>
    </row>
    <row r="15153" spans="23:23" x14ac:dyDescent="0.55000000000000004">
      <c r="W15153"/>
    </row>
    <row r="15154" spans="23:23" x14ac:dyDescent="0.55000000000000004">
      <c r="W15154"/>
    </row>
    <row r="15155" spans="23:23" x14ac:dyDescent="0.55000000000000004">
      <c r="W15155"/>
    </row>
    <row r="15156" spans="23:23" x14ac:dyDescent="0.55000000000000004">
      <c r="W15156"/>
    </row>
    <row r="15157" spans="23:23" x14ac:dyDescent="0.55000000000000004">
      <c r="W15157"/>
    </row>
    <row r="15158" spans="23:23" x14ac:dyDescent="0.55000000000000004">
      <c r="W15158"/>
    </row>
    <row r="15159" spans="23:23" x14ac:dyDescent="0.55000000000000004">
      <c r="W15159"/>
    </row>
    <row r="15160" spans="23:23" x14ac:dyDescent="0.55000000000000004">
      <c r="W15160"/>
    </row>
    <row r="15161" spans="23:23" x14ac:dyDescent="0.55000000000000004">
      <c r="W15161"/>
    </row>
    <row r="15162" spans="23:23" x14ac:dyDescent="0.55000000000000004">
      <c r="W15162"/>
    </row>
    <row r="15163" spans="23:23" x14ac:dyDescent="0.55000000000000004">
      <c r="W15163"/>
    </row>
    <row r="15164" spans="23:23" x14ac:dyDescent="0.55000000000000004">
      <c r="W15164"/>
    </row>
    <row r="15165" spans="23:23" x14ac:dyDescent="0.55000000000000004">
      <c r="W15165"/>
    </row>
    <row r="15166" spans="23:23" x14ac:dyDescent="0.55000000000000004">
      <c r="W15166"/>
    </row>
    <row r="15167" spans="23:23" x14ac:dyDescent="0.55000000000000004">
      <c r="W15167"/>
    </row>
    <row r="15168" spans="23:23" x14ac:dyDescent="0.55000000000000004">
      <c r="W15168"/>
    </row>
    <row r="15169" spans="23:23" x14ac:dyDescent="0.55000000000000004">
      <c r="W15169"/>
    </row>
    <row r="15170" spans="23:23" x14ac:dyDescent="0.55000000000000004">
      <c r="W15170"/>
    </row>
    <row r="15171" spans="23:23" x14ac:dyDescent="0.55000000000000004">
      <c r="W15171"/>
    </row>
    <row r="15172" spans="23:23" x14ac:dyDescent="0.55000000000000004">
      <c r="W15172"/>
    </row>
    <row r="15173" spans="23:23" x14ac:dyDescent="0.55000000000000004">
      <c r="W15173"/>
    </row>
    <row r="15174" spans="23:23" x14ac:dyDescent="0.55000000000000004">
      <c r="W15174"/>
    </row>
    <row r="15175" spans="23:23" x14ac:dyDescent="0.55000000000000004">
      <c r="W15175"/>
    </row>
    <row r="15176" spans="23:23" x14ac:dyDescent="0.55000000000000004">
      <c r="W15176"/>
    </row>
    <row r="15177" spans="23:23" x14ac:dyDescent="0.55000000000000004">
      <c r="W15177"/>
    </row>
    <row r="15178" spans="23:23" x14ac:dyDescent="0.55000000000000004">
      <c r="W15178"/>
    </row>
    <row r="15179" spans="23:23" x14ac:dyDescent="0.55000000000000004">
      <c r="W15179"/>
    </row>
    <row r="15180" spans="23:23" x14ac:dyDescent="0.55000000000000004">
      <c r="W15180"/>
    </row>
    <row r="15181" spans="23:23" x14ac:dyDescent="0.55000000000000004">
      <c r="W15181"/>
    </row>
    <row r="15182" spans="23:23" x14ac:dyDescent="0.55000000000000004">
      <c r="W15182"/>
    </row>
    <row r="15183" spans="23:23" x14ac:dyDescent="0.55000000000000004">
      <c r="W15183"/>
    </row>
    <row r="15184" spans="23:23" x14ac:dyDescent="0.55000000000000004">
      <c r="W15184"/>
    </row>
    <row r="15185" spans="23:23" x14ac:dyDescent="0.55000000000000004">
      <c r="W15185"/>
    </row>
    <row r="15186" spans="23:23" x14ac:dyDescent="0.55000000000000004">
      <c r="W15186"/>
    </row>
    <row r="15187" spans="23:23" x14ac:dyDescent="0.55000000000000004">
      <c r="W15187"/>
    </row>
    <row r="15188" spans="23:23" x14ac:dyDescent="0.55000000000000004">
      <c r="W15188"/>
    </row>
    <row r="15189" spans="23:23" x14ac:dyDescent="0.55000000000000004">
      <c r="W15189"/>
    </row>
    <row r="15190" spans="23:23" x14ac:dyDescent="0.55000000000000004">
      <c r="W15190"/>
    </row>
    <row r="15191" spans="23:23" x14ac:dyDescent="0.55000000000000004">
      <c r="W15191"/>
    </row>
    <row r="15192" spans="23:23" x14ac:dyDescent="0.55000000000000004">
      <c r="W15192"/>
    </row>
    <row r="15193" spans="23:23" x14ac:dyDescent="0.55000000000000004">
      <c r="W15193"/>
    </row>
    <row r="15194" spans="23:23" x14ac:dyDescent="0.55000000000000004">
      <c r="W15194"/>
    </row>
    <row r="15195" spans="23:23" x14ac:dyDescent="0.55000000000000004">
      <c r="W15195"/>
    </row>
    <row r="15196" spans="23:23" x14ac:dyDescent="0.55000000000000004">
      <c r="W15196"/>
    </row>
    <row r="15197" spans="23:23" x14ac:dyDescent="0.55000000000000004">
      <c r="W15197"/>
    </row>
    <row r="15198" spans="23:23" x14ac:dyDescent="0.55000000000000004">
      <c r="W15198"/>
    </row>
    <row r="15199" spans="23:23" x14ac:dyDescent="0.55000000000000004">
      <c r="W15199"/>
    </row>
    <row r="15200" spans="23:23" x14ac:dyDescent="0.55000000000000004">
      <c r="W15200"/>
    </row>
    <row r="15201" spans="23:23" x14ac:dyDescent="0.55000000000000004">
      <c r="W15201"/>
    </row>
    <row r="15202" spans="23:23" x14ac:dyDescent="0.55000000000000004">
      <c r="W15202"/>
    </row>
    <row r="15203" spans="23:23" x14ac:dyDescent="0.55000000000000004">
      <c r="W15203"/>
    </row>
    <row r="15204" spans="23:23" x14ac:dyDescent="0.55000000000000004">
      <c r="W15204"/>
    </row>
    <row r="15205" spans="23:23" x14ac:dyDescent="0.55000000000000004">
      <c r="W15205"/>
    </row>
    <row r="15206" spans="23:23" x14ac:dyDescent="0.55000000000000004">
      <c r="W15206"/>
    </row>
    <row r="15207" spans="23:23" x14ac:dyDescent="0.55000000000000004">
      <c r="W15207"/>
    </row>
    <row r="15208" spans="23:23" x14ac:dyDescent="0.55000000000000004">
      <c r="W15208"/>
    </row>
    <row r="15209" spans="23:23" x14ac:dyDescent="0.55000000000000004">
      <c r="W15209"/>
    </row>
    <row r="15210" spans="23:23" x14ac:dyDescent="0.55000000000000004">
      <c r="W15210"/>
    </row>
    <row r="15211" spans="23:23" x14ac:dyDescent="0.55000000000000004">
      <c r="W15211"/>
    </row>
    <row r="15212" spans="23:23" x14ac:dyDescent="0.55000000000000004">
      <c r="W15212"/>
    </row>
    <row r="15213" spans="23:23" x14ac:dyDescent="0.55000000000000004">
      <c r="W15213"/>
    </row>
    <row r="15214" spans="23:23" x14ac:dyDescent="0.55000000000000004">
      <c r="W15214"/>
    </row>
    <row r="15215" spans="23:23" x14ac:dyDescent="0.55000000000000004">
      <c r="W15215"/>
    </row>
    <row r="15216" spans="23:23" x14ac:dyDescent="0.55000000000000004">
      <c r="W15216"/>
    </row>
    <row r="15217" spans="23:23" x14ac:dyDescent="0.55000000000000004">
      <c r="W15217"/>
    </row>
    <row r="15218" spans="23:23" x14ac:dyDescent="0.55000000000000004">
      <c r="W15218"/>
    </row>
    <row r="15219" spans="23:23" x14ac:dyDescent="0.55000000000000004">
      <c r="W15219"/>
    </row>
    <row r="15220" spans="23:23" x14ac:dyDescent="0.55000000000000004">
      <c r="W15220"/>
    </row>
    <row r="15221" spans="23:23" x14ac:dyDescent="0.55000000000000004">
      <c r="W15221"/>
    </row>
    <row r="15222" spans="23:23" x14ac:dyDescent="0.55000000000000004">
      <c r="W15222"/>
    </row>
    <row r="15223" spans="23:23" x14ac:dyDescent="0.55000000000000004">
      <c r="W15223"/>
    </row>
    <row r="15224" spans="23:23" x14ac:dyDescent="0.55000000000000004">
      <c r="W15224"/>
    </row>
    <row r="15225" spans="23:23" x14ac:dyDescent="0.55000000000000004">
      <c r="W15225"/>
    </row>
    <row r="15226" spans="23:23" x14ac:dyDescent="0.55000000000000004">
      <c r="W15226"/>
    </row>
    <row r="15227" spans="23:23" x14ac:dyDescent="0.55000000000000004">
      <c r="W15227"/>
    </row>
    <row r="15228" spans="23:23" x14ac:dyDescent="0.55000000000000004">
      <c r="W15228"/>
    </row>
    <row r="15229" spans="23:23" x14ac:dyDescent="0.55000000000000004">
      <c r="W15229"/>
    </row>
    <row r="15230" spans="23:23" x14ac:dyDescent="0.55000000000000004">
      <c r="W15230"/>
    </row>
    <row r="15231" spans="23:23" x14ac:dyDescent="0.55000000000000004">
      <c r="W15231"/>
    </row>
    <row r="15232" spans="23:23" x14ac:dyDescent="0.55000000000000004">
      <c r="W15232"/>
    </row>
    <row r="15233" spans="23:23" x14ac:dyDescent="0.55000000000000004">
      <c r="W15233"/>
    </row>
    <row r="15234" spans="23:23" x14ac:dyDescent="0.55000000000000004">
      <c r="W15234"/>
    </row>
    <row r="15235" spans="23:23" x14ac:dyDescent="0.55000000000000004">
      <c r="W15235"/>
    </row>
    <row r="15236" spans="23:23" x14ac:dyDescent="0.55000000000000004">
      <c r="W15236"/>
    </row>
    <row r="15237" spans="23:23" x14ac:dyDescent="0.55000000000000004">
      <c r="W15237"/>
    </row>
    <row r="15238" spans="23:23" x14ac:dyDescent="0.55000000000000004">
      <c r="W15238"/>
    </row>
    <row r="15239" spans="23:23" x14ac:dyDescent="0.55000000000000004">
      <c r="W15239"/>
    </row>
    <row r="15240" spans="23:23" x14ac:dyDescent="0.55000000000000004">
      <c r="W15240"/>
    </row>
    <row r="15241" spans="23:23" x14ac:dyDescent="0.55000000000000004">
      <c r="W15241"/>
    </row>
    <row r="15242" spans="23:23" x14ac:dyDescent="0.55000000000000004">
      <c r="W15242"/>
    </row>
    <row r="15243" spans="23:23" x14ac:dyDescent="0.55000000000000004">
      <c r="W15243"/>
    </row>
    <row r="15244" spans="23:23" x14ac:dyDescent="0.55000000000000004">
      <c r="W15244"/>
    </row>
    <row r="15245" spans="23:23" x14ac:dyDescent="0.55000000000000004">
      <c r="W15245"/>
    </row>
    <row r="15246" spans="23:23" x14ac:dyDescent="0.55000000000000004">
      <c r="W15246"/>
    </row>
    <row r="15247" spans="23:23" x14ac:dyDescent="0.55000000000000004">
      <c r="W15247"/>
    </row>
    <row r="15248" spans="23:23" x14ac:dyDescent="0.55000000000000004">
      <c r="W15248"/>
    </row>
    <row r="15249" spans="23:23" x14ac:dyDescent="0.55000000000000004">
      <c r="W15249"/>
    </row>
    <row r="15250" spans="23:23" x14ac:dyDescent="0.55000000000000004">
      <c r="W15250"/>
    </row>
    <row r="15251" spans="23:23" x14ac:dyDescent="0.55000000000000004">
      <c r="W15251"/>
    </row>
    <row r="15252" spans="23:23" x14ac:dyDescent="0.55000000000000004">
      <c r="W15252"/>
    </row>
    <row r="15253" spans="23:23" x14ac:dyDescent="0.55000000000000004">
      <c r="W15253"/>
    </row>
    <row r="15254" spans="23:23" x14ac:dyDescent="0.55000000000000004">
      <c r="W15254"/>
    </row>
    <row r="15255" spans="23:23" x14ac:dyDescent="0.55000000000000004">
      <c r="W15255"/>
    </row>
    <row r="15256" spans="23:23" x14ac:dyDescent="0.55000000000000004">
      <c r="W15256"/>
    </row>
    <row r="15257" spans="23:23" x14ac:dyDescent="0.55000000000000004">
      <c r="W15257"/>
    </row>
    <row r="15258" spans="23:23" x14ac:dyDescent="0.55000000000000004">
      <c r="W15258"/>
    </row>
    <row r="15259" spans="23:23" x14ac:dyDescent="0.55000000000000004">
      <c r="W15259"/>
    </row>
    <row r="15260" spans="23:23" x14ac:dyDescent="0.55000000000000004">
      <c r="W15260"/>
    </row>
    <row r="15261" spans="23:23" x14ac:dyDescent="0.55000000000000004">
      <c r="W15261"/>
    </row>
    <row r="15262" spans="23:23" x14ac:dyDescent="0.55000000000000004">
      <c r="W15262"/>
    </row>
    <row r="15263" spans="23:23" x14ac:dyDescent="0.55000000000000004">
      <c r="W15263"/>
    </row>
    <row r="15264" spans="23:23" x14ac:dyDescent="0.55000000000000004">
      <c r="W15264"/>
    </row>
    <row r="15265" spans="23:23" x14ac:dyDescent="0.55000000000000004">
      <c r="W15265"/>
    </row>
    <row r="15266" spans="23:23" x14ac:dyDescent="0.55000000000000004">
      <c r="W15266"/>
    </row>
    <row r="15267" spans="23:23" x14ac:dyDescent="0.55000000000000004">
      <c r="W15267"/>
    </row>
    <row r="15268" spans="23:23" x14ac:dyDescent="0.55000000000000004">
      <c r="W15268"/>
    </row>
    <row r="15269" spans="23:23" x14ac:dyDescent="0.55000000000000004">
      <c r="W15269"/>
    </row>
    <row r="15270" spans="23:23" x14ac:dyDescent="0.55000000000000004">
      <c r="W15270"/>
    </row>
    <row r="15271" spans="23:23" x14ac:dyDescent="0.55000000000000004">
      <c r="W15271"/>
    </row>
    <row r="15272" spans="23:23" x14ac:dyDescent="0.55000000000000004">
      <c r="W15272"/>
    </row>
    <row r="15273" spans="23:23" x14ac:dyDescent="0.55000000000000004">
      <c r="W15273"/>
    </row>
    <row r="15274" spans="23:23" x14ac:dyDescent="0.55000000000000004">
      <c r="W15274"/>
    </row>
    <row r="15275" spans="23:23" x14ac:dyDescent="0.55000000000000004">
      <c r="W15275"/>
    </row>
    <row r="15276" spans="23:23" x14ac:dyDescent="0.55000000000000004">
      <c r="W15276"/>
    </row>
    <row r="15277" spans="23:23" x14ac:dyDescent="0.55000000000000004">
      <c r="W15277"/>
    </row>
    <row r="15278" spans="23:23" x14ac:dyDescent="0.55000000000000004">
      <c r="W15278"/>
    </row>
    <row r="15279" spans="23:23" x14ac:dyDescent="0.55000000000000004">
      <c r="W15279"/>
    </row>
    <row r="15280" spans="23:23" x14ac:dyDescent="0.55000000000000004">
      <c r="W15280"/>
    </row>
    <row r="15281" spans="23:23" x14ac:dyDescent="0.55000000000000004">
      <c r="W15281"/>
    </row>
    <row r="15282" spans="23:23" x14ac:dyDescent="0.55000000000000004">
      <c r="W15282"/>
    </row>
    <row r="15283" spans="23:23" x14ac:dyDescent="0.55000000000000004">
      <c r="W15283"/>
    </row>
    <row r="15284" spans="23:23" x14ac:dyDescent="0.55000000000000004">
      <c r="W15284"/>
    </row>
    <row r="15285" spans="23:23" x14ac:dyDescent="0.55000000000000004">
      <c r="W15285"/>
    </row>
    <row r="15286" spans="23:23" x14ac:dyDescent="0.55000000000000004">
      <c r="W15286"/>
    </row>
    <row r="15287" spans="23:23" x14ac:dyDescent="0.55000000000000004">
      <c r="W15287"/>
    </row>
    <row r="15288" spans="23:23" x14ac:dyDescent="0.55000000000000004">
      <c r="W15288"/>
    </row>
    <row r="15289" spans="23:23" x14ac:dyDescent="0.55000000000000004">
      <c r="W15289"/>
    </row>
    <row r="15290" spans="23:23" x14ac:dyDescent="0.55000000000000004">
      <c r="W15290"/>
    </row>
    <row r="15291" spans="23:23" x14ac:dyDescent="0.55000000000000004">
      <c r="W15291"/>
    </row>
    <row r="15292" spans="23:23" x14ac:dyDescent="0.55000000000000004">
      <c r="W15292"/>
    </row>
    <row r="15293" spans="23:23" x14ac:dyDescent="0.55000000000000004">
      <c r="W15293"/>
    </row>
    <row r="15294" spans="23:23" x14ac:dyDescent="0.55000000000000004">
      <c r="W15294"/>
    </row>
    <row r="15295" spans="23:23" x14ac:dyDescent="0.55000000000000004">
      <c r="W15295"/>
    </row>
    <row r="15296" spans="23:23" x14ac:dyDescent="0.55000000000000004">
      <c r="W15296"/>
    </row>
    <row r="15297" spans="23:23" x14ac:dyDescent="0.55000000000000004">
      <c r="W15297"/>
    </row>
    <row r="15298" spans="23:23" x14ac:dyDescent="0.55000000000000004">
      <c r="W15298"/>
    </row>
    <row r="15299" spans="23:23" x14ac:dyDescent="0.55000000000000004">
      <c r="W15299"/>
    </row>
    <row r="15300" spans="23:23" x14ac:dyDescent="0.55000000000000004">
      <c r="W15300"/>
    </row>
    <row r="15301" spans="23:23" x14ac:dyDescent="0.55000000000000004">
      <c r="W15301"/>
    </row>
    <row r="15302" spans="23:23" x14ac:dyDescent="0.55000000000000004">
      <c r="W15302"/>
    </row>
    <row r="15303" spans="23:23" x14ac:dyDescent="0.55000000000000004">
      <c r="W15303"/>
    </row>
    <row r="15304" spans="23:23" x14ac:dyDescent="0.55000000000000004">
      <c r="W15304"/>
    </row>
    <row r="15305" spans="23:23" x14ac:dyDescent="0.55000000000000004">
      <c r="W15305"/>
    </row>
    <row r="15306" spans="23:23" x14ac:dyDescent="0.55000000000000004">
      <c r="W15306"/>
    </row>
    <row r="15307" spans="23:23" x14ac:dyDescent="0.55000000000000004">
      <c r="W15307"/>
    </row>
    <row r="15308" spans="23:23" x14ac:dyDescent="0.55000000000000004">
      <c r="W15308"/>
    </row>
    <row r="15309" spans="23:23" x14ac:dyDescent="0.55000000000000004">
      <c r="W15309"/>
    </row>
    <row r="15310" spans="23:23" x14ac:dyDescent="0.55000000000000004">
      <c r="W15310"/>
    </row>
    <row r="15311" spans="23:23" x14ac:dyDescent="0.55000000000000004">
      <c r="W15311"/>
    </row>
    <row r="15312" spans="23:23" x14ac:dyDescent="0.55000000000000004">
      <c r="W15312"/>
    </row>
    <row r="15313" spans="23:23" x14ac:dyDescent="0.55000000000000004">
      <c r="W15313"/>
    </row>
    <row r="15314" spans="23:23" x14ac:dyDescent="0.55000000000000004">
      <c r="W15314"/>
    </row>
    <row r="15315" spans="23:23" x14ac:dyDescent="0.55000000000000004">
      <c r="W15315"/>
    </row>
    <row r="15316" spans="23:23" x14ac:dyDescent="0.55000000000000004">
      <c r="W15316"/>
    </row>
    <row r="15317" spans="23:23" x14ac:dyDescent="0.55000000000000004">
      <c r="W15317"/>
    </row>
    <row r="15318" spans="23:23" x14ac:dyDescent="0.55000000000000004">
      <c r="W15318"/>
    </row>
    <row r="15319" spans="23:23" x14ac:dyDescent="0.55000000000000004">
      <c r="W15319"/>
    </row>
    <row r="15320" spans="23:23" x14ac:dyDescent="0.55000000000000004">
      <c r="W15320"/>
    </row>
    <row r="15321" spans="23:23" x14ac:dyDescent="0.55000000000000004">
      <c r="W15321"/>
    </row>
    <row r="15322" spans="23:23" x14ac:dyDescent="0.55000000000000004">
      <c r="W15322"/>
    </row>
    <row r="15323" spans="23:23" x14ac:dyDescent="0.55000000000000004">
      <c r="W15323"/>
    </row>
    <row r="15324" spans="23:23" x14ac:dyDescent="0.55000000000000004">
      <c r="W15324"/>
    </row>
    <row r="15325" spans="23:23" x14ac:dyDescent="0.55000000000000004">
      <c r="W15325"/>
    </row>
    <row r="15326" spans="23:23" x14ac:dyDescent="0.55000000000000004">
      <c r="W15326"/>
    </row>
    <row r="15327" spans="23:23" x14ac:dyDescent="0.55000000000000004">
      <c r="W15327"/>
    </row>
    <row r="15328" spans="23:23" x14ac:dyDescent="0.55000000000000004">
      <c r="W15328"/>
    </row>
    <row r="15329" spans="23:23" x14ac:dyDescent="0.55000000000000004">
      <c r="W15329"/>
    </row>
    <row r="15330" spans="23:23" x14ac:dyDescent="0.55000000000000004">
      <c r="W15330"/>
    </row>
    <row r="15331" spans="23:23" x14ac:dyDescent="0.55000000000000004">
      <c r="W15331"/>
    </row>
    <row r="15332" spans="23:23" x14ac:dyDescent="0.55000000000000004">
      <c r="W15332"/>
    </row>
    <row r="15333" spans="23:23" x14ac:dyDescent="0.55000000000000004">
      <c r="W15333"/>
    </row>
    <row r="15334" spans="23:23" x14ac:dyDescent="0.55000000000000004">
      <c r="W15334"/>
    </row>
    <row r="15335" spans="23:23" x14ac:dyDescent="0.55000000000000004">
      <c r="W15335"/>
    </row>
    <row r="15336" spans="23:23" x14ac:dyDescent="0.55000000000000004">
      <c r="W15336"/>
    </row>
    <row r="15337" spans="23:23" x14ac:dyDescent="0.55000000000000004">
      <c r="W15337"/>
    </row>
    <row r="15338" spans="23:23" x14ac:dyDescent="0.55000000000000004">
      <c r="W15338"/>
    </row>
    <row r="15339" spans="23:23" x14ac:dyDescent="0.55000000000000004">
      <c r="W15339"/>
    </row>
    <row r="15340" spans="23:23" x14ac:dyDescent="0.55000000000000004">
      <c r="W15340"/>
    </row>
    <row r="15341" spans="23:23" x14ac:dyDescent="0.55000000000000004">
      <c r="W15341"/>
    </row>
    <row r="15342" spans="23:23" x14ac:dyDescent="0.55000000000000004">
      <c r="W15342"/>
    </row>
    <row r="15343" spans="23:23" x14ac:dyDescent="0.55000000000000004">
      <c r="W15343"/>
    </row>
    <row r="15344" spans="23:23" x14ac:dyDescent="0.55000000000000004">
      <c r="W15344"/>
    </row>
    <row r="15345" spans="23:23" x14ac:dyDescent="0.55000000000000004">
      <c r="W15345"/>
    </row>
    <row r="15346" spans="23:23" x14ac:dyDescent="0.55000000000000004">
      <c r="W15346"/>
    </row>
    <row r="15347" spans="23:23" x14ac:dyDescent="0.55000000000000004">
      <c r="W15347"/>
    </row>
    <row r="15348" spans="23:23" x14ac:dyDescent="0.55000000000000004">
      <c r="W15348"/>
    </row>
    <row r="15349" spans="23:23" x14ac:dyDescent="0.55000000000000004">
      <c r="W15349"/>
    </row>
    <row r="15350" spans="23:23" x14ac:dyDescent="0.55000000000000004">
      <c r="W15350"/>
    </row>
    <row r="15351" spans="23:23" x14ac:dyDescent="0.55000000000000004">
      <c r="W15351"/>
    </row>
    <row r="15352" spans="23:23" x14ac:dyDescent="0.55000000000000004">
      <c r="W15352"/>
    </row>
    <row r="15353" spans="23:23" x14ac:dyDescent="0.55000000000000004">
      <c r="W15353"/>
    </row>
    <row r="15354" spans="23:23" x14ac:dyDescent="0.55000000000000004">
      <c r="W15354"/>
    </row>
    <row r="15355" spans="23:23" x14ac:dyDescent="0.55000000000000004">
      <c r="W15355"/>
    </row>
    <row r="15356" spans="23:23" x14ac:dyDescent="0.55000000000000004">
      <c r="W15356"/>
    </row>
    <row r="15357" spans="23:23" x14ac:dyDescent="0.55000000000000004">
      <c r="W15357"/>
    </row>
    <row r="15358" spans="23:23" x14ac:dyDescent="0.55000000000000004">
      <c r="W15358"/>
    </row>
    <row r="15359" spans="23:23" x14ac:dyDescent="0.55000000000000004">
      <c r="W15359"/>
    </row>
    <row r="15360" spans="23:23" x14ac:dyDescent="0.55000000000000004">
      <c r="W15360"/>
    </row>
    <row r="15361" spans="23:23" x14ac:dyDescent="0.55000000000000004">
      <c r="W15361"/>
    </row>
    <row r="15362" spans="23:23" x14ac:dyDescent="0.55000000000000004">
      <c r="W15362"/>
    </row>
    <row r="15363" spans="23:23" x14ac:dyDescent="0.55000000000000004">
      <c r="W15363"/>
    </row>
    <row r="15364" spans="23:23" x14ac:dyDescent="0.55000000000000004">
      <c r="W15364"/>
    </row>
    <row r="15365" spans="23:23" x14ac:dyDescent="0.55000000000000004">
      <c r="W15365"/>
    </row>
    <row r="15366" spans="23:23" x14ac:dyDescent="0.55000000000000004">
      <c r="W15366"/>
    </row>
    <row r="15367" spans="23:23" x14ac:dyDescent="0.55000000000000004">
      <c r="W15367"/>
    </row>
    <row r="15368" spans="23:23" x14ac:dyDescent="0.55000000000000004">
      <c r="W15368"/>
    </row>
    <row r="15369" spans="23:23" x14ac:dyDescent="0.55000000000000004">
      <c r="W15369"/>
    </row>
    <row r="15370" spans="23:23" x14ac:dyDescent="0.55000000000000004">
      <c r="W15370"/>
    </row>
    <row r="15371" spans="23:23" x14ac:dyDescent="0.55000000000000004">
      <c r="W15371"/>
    </row>
    <row r="15372" spans="23:23" x14ac:dyDescent="0.55000000000000004">
      <c r="W15372"/>
    </row>
    <row r="15373" spans="23:23" x14ac:dyDescent="0.55000000000000004">
      <c r="W15373"/>
    </row>
    <row r="15374" spans="23:23" x14ac:dyDescent="0.55000000000000004">
      <c r="W15374"/>
    </row>
    <row r="15375" spans="23:23" x14ac:dyDescent="0.55000000000000004">
      <c r="W15375"/>
    </row>
    <row r="15376" spans="23:23" x14ac:dyDescent="0.55000000000000004">
      <c r="W15376"/>
    </row>
    <row r="15377" spans="23:23" x14ac:dyDescent="0.55000000000000004">
      <c r="W15377"/>
    </row>
    <row r="15378" spans="23:23" x14ac:dyDescent="0.55000000000000004">
      <c r="W15378"/>
    </row>
    <row r="15379" spans="23:23" x14ac:dyDescent="0.55000000000000004">
      <c r="W15379"/>
    </row>
    <row r="15380" spans="23:23" x14ac:dyDescent="0.55000000000000004">
      <c r="W15380"/>
    </row>
    <row r="15381" spans="23:23" x14ac:dyDescent="0.55000000000000004">
      <c r="W15381"/>
    </row>
    <row r="15382" spans="23:23" x14ac:dyDescent="0.55000000000000004">
      <c r="W15382"/>
    </row>
    <row r="15383" spans="23:23" x14ac:dyDescent="0.55000000000000004">
      <c r="W15383"/>
    </row>
    <row r="15384" spans="23:23" x14ac:dyDescent="0.55000000000000004">
      <c r="W15384"/>
    </row>
    <row r="15385" spans="23:23" x14ac:dyDescent="0.55000000000000004">
      <c r="W15385"/>
    </row>
    <row r="15386" spans="23:23" x14ac:dyDescent="0.55000000000000004">
      <c r="W15386"/>
    </row>
    <row r="15387" spans="23:23" x14ac:dyDescent="0.55000000000000004">
      <c r="W15387"/>
    </row>
    <row r="15388" spans="23:23" x14ac:dyDescent="0.55000000000000004">
      <c r="W15388"/>
    </row>
    <row r="15389" spans="23:23" x14ac:dyDescent="0.55000000000000004">
      <c r="W15389"/>
    </row>
    <row r="15390" spans="23:23" x14ac:dyDescent="0.55000000000000004">
      <c r="W15390"/>
    </row>
    <row r="15391" spans="23:23" x14ac:dyDescent="0.55000000000000004">
      <c r="W15391"/>
    </row>
    <row r="15392" spans="23:23" x14ac:dyDescent="0.55000000000000004">
      <c r="W15392"/>
    </row>
    <row r="15393" spans="23:23" x14ac:dyDescent="0.55000000000000004">
      <c r="W15393"/>
    </row>
    <row r="15394" spans="23:23" x14ac:dyDescent="0.55000000000000004">
      <c r="W15394"/>
    </row>
    <row r="15395" spans="23:23" x14ac:dyDescent="0.55000000000000004">
      <c r="W15395"/>
    </row>
    <row r="15396" spans="23:23" x14ac:dyDescent="0.55000000000000004">
      <c r="W15396"/>
    </row>
    <row r="15397" spans="23:23" x14ac:dyDescent="0.55000000000000004">
      <c r="W15397"/>
    </row>
    <row r="15398" spans="23:23" x14ac:dyDescent="0.55000000000000004">
      <c r="W15398"/>
    </row>
    <row r="15399" spans="23:23" x14ac:dyDescent="0.55000000000000004">
      <c r="W15399"/>
    </row>
    <row r="15400" spans="23:23" x14ac:dyDescent="0.55000000000000004">
      <c r="W15400"/>
    </row>
    <row r="15401" spans="23:23" x14ac:dyDescent="0.55000000000000004">
      <c r="W15401"/>
    </row>
    <row r="15402" spans="23:23" x14ac:dyDescent="0.55000000000000004">
      <c r="W15402"/>
    </row>
    <row r="15403" spans="23:23" x14ac:dyDescent="0.55000000000000004">
      <c r="W15403"/>
    </row>
    <row r="15404" spans="23:23" x14ac:dyDescent="0.55000000000000004">
      <c r="W15404"/>
    </row>
    <row r="15405" spans="23:23" x14ac:dyDescent="0.55000000000000004">
      <c r="W15405"/>
    </row>
    <row r="15406" spans="23:23" x14ac:dyDescent="0.55000000000000004">
      <c r="W15406"/>
    </row>
    <row r="15407" spans="23:23" x14ac:dyDescent="0.55000000000000004">
      <c r="W15407"/>
    </row>
    <row r="15408" spans="23:23" x14ac:dyDescent="0.55000000000000004">
      <c r="W15408"/>
    </row>
    <row r="15409" spans="23:23" x14ac:dyDescent="0.55000000000000004">
      <c r="W15409"/>
    </row>
    <row r="15410" spans="23:23" x14ac:dyDescent="0.55000000000000004">
      <c r="W15410"/>
    </row>
    <row r="15411" spans="23:23" x14ac:dyDescent="0.55000000000000004">
      <c r="W15411"/>
    </row>
    <row r="15412" spans="23:23" x14ac:dyDescent="0.55000000000000004">
      <c r="W15412"/>
    </row>
    <row r="15413" spans="23:23" x14ac:dyDescent="0.55000000000000004">
      <c r="W15413"/>
    </row>
    <row r="15414" spans="23:23" x14ac:dyDescent="0.55000000000000004">
      <c r="W15414"/>
    </row>
    <row r="15415" spans="23:23" x14ac:dyDescent="0.55000000000000004">
      <c r="W15415"/>
    </row>
    <row r="15416" spans="23:23" x14ac:dyDescent="0.55000000000000004">
      <c r="W15416"/>
    </row>
    <row r="15417" spans="23:23" x14ac:dyDescent="0.55000000000000004">
      <c r="W15417"/>
    </row>
    <row r="15418" spans="23:23" x14ac:dyDescent="0.55000000000000004">
      <c r="W15418"/>
    </row>
    <row r="15419" spans="23:23" x14ac:dyDescent="0.55000000000000004">
      <c r="W15419"/>
    </row>
    <row r="15420" spans="23:23" x14ac:dyDescent="0.55000000000000004">
      <c r="W15420"/>
    </row>
    <row r="15421" spans="23:23" x14ac:dyDescent="0.55000000000000004">
      <c r="W15421"/>
    </row>
    <row r="15422" spans="23:23" x14ac:dyDescent="0.55000000000000004">
      <c r="W15422"/>
    </row>
    <row r="15423" spans="23:23" x14ac:dyDescent="0.55000000000000004">
      <c r="W15423"/>
    </row>
    <row r="15424" spans="23:23" x14ac:dyDescent="0.55000000000000004">
      <c r="W15424"/>
    </row>
    <row r="15425" spans="23:23" x14ac:dyDescent="0.55000000000000004">
      <c r="W15425"/>
    </row>
    <row r="15426" spans="23:23" x14ac:dyDescent="0.55000000000000004">
      <c r="W15426"/>
    </row>
    <row r="15427" spans="23:23" x14ac:dyDescent="0.55000000000000004">
      <c r="W15427"/>
    </row>
    <row r="15428" spans="23:23" x14ac:dyDescent="0.55000000000000004">
      <c r="W15428"/>
    </row>
    <row r="15429" spans="23:23" x14ac:dyDescent="0.55000000000000004">
      <c r="W15429"/>
    </row>
    <row r="15430" spans="23:23" x14ac:dyDescent="0.55000000000000004">
      <c r="W15430"/>
    </row>
    <row r="15431" spans="23:23" x14ac:dyDescent="0.55000000000000004">
      <c r="W15431"/>
    </row>
    <row r="15432" spans="23:23" x14ac:dyDescent="0.55000000000000004">
      <c r="W15432"/>
    </row>
    <row r="15433" spans="23:23" x14ac:dyDescent="0.55000000000000004">
      <c r="W15433"/>
    </row>
    <row r="15434" spans="23:23" x14ac:dyDescent="0.55000000000000004">
      <c r="W15434"/>
    </row>
    <row r="15435" spans="23:23" x14ac:dyDescent="0.55000000000000004">
      <c r="W15435"/>
    </row>
    <row r="15436" spans="23:23" x14ac:dyDescent="0.55000000000000004">
      <c r="W15436"/>
    </row>
    <row r="15437" spans="23:23" x14ac:dyDescent="0.55000000000000004">
      <c r="W15437"/>
    </row>
    <row r="15438" spans="23:23" x14ac:dyDescent="0.55000000000000004">
      <c r="W15438"/>
    </row>
    <row r="15439" spans="23:23" x14ac:dyDescent="0.55000000000000004">
      <c r="W15439"/>
    </row>
    <row r="15440" spans="23:23" x14ac:dyDescent="0.55000000000000004">
      <c r="W15440"/>
    </row>
    <row r="15441" spans="23:23" x14ac:dyDescent="0.55000000000000004">
      <c r="W15441"/>
    </row>
    <row r="15442" spans="23:23" x14ac:dyDescent="0.55000000000000004">
      <c r="W15442"/>
    </row>
    <row r="15443" spans="23:23" x14ac:dyDescent="0.55000000000000004">
      <c r="W15443"/>
    </row>
    <row r="15444" spans="23:23" x14ac:dyDescent="0.55000000000000004">
      <c r="W15444"/>
    </row>
    <row r="15445" spans="23:23" x14ac:dyDescent="0.55000000000000004">
      <c r="W15445"/>
    </row>
    <row r="15446" spans="23:23" x14ac:dyDescent="0.55000000000000004">
      <c r="W15446"/>
    </row>
    <row r="15447" spans="23:23" x14ac:dyDescent="0.55000000000000004">
      <c r="W15447"/>
    </row>
    <row r="15448" spans="23:23" x14ac:dyDescent="0.55000000000000004">
      <c r="W15448"/>
    </row>
    <row r="15449" spans="23:23" x14ac:dyDescent="0.55000000000000004">
      <c r="W15449"/>
    </row>
    <row r="15450" spans="23:23" x14ac:dyDescent="0.55000000000000004">
      <c r="W15450"/>
    </row>
    <row r="15451" spans="23:23" x14ac:dyDescent="0.55000000000000004">
      <c r="W15451"/>
    </row>
    <row r="15452" spans="23:23" x14ac:dyDescent="0.55000000000000004">
      <c r="W15452"/>
    </row>
    <row r="15453" spans="23:23" x14ac:dyDescent="0.55000000000000004">
      <c r="W15453"/>
    </row>
    <row r="15454" spans="23:23" x14ac:dyDescent="0.55000000000000004">
      <c r="W15454"/>
    </row>
    <row r="15455" spans="23:23" x14ac:dyDescent="0.55000000000000004">
      <c r="W15455"/>
    </row>
    <row r="15456" spans="23:23" x14ac:dyDescent="0.55000000000000004">
      <c r="W15456"/>
    </row>
    <row r="15457" spans="23:23" x14ac:dyDescent="0.55000000000000004">
      <c r="W15457"/>
    </row>
    <row r="15458" spans="23:23" x14ac:dyDescent="0.55000000000000004">
      <c r="W15458"/>
    </row>
    <row r="15459" spans="23:23" x14ac:dyDescent="0.55000000000000004">
      <c r="W15459"/>
    </row>
    <row r="15460" spans="23:23" x14ac:dyDescent="0.55000000000000004">
      <c r="W15460"/>
    </row>
    <row r="15461" spans="23:23" x14ac:dyDescent="0.55000000000000004">
      <c r="W15461"/>
    </row>
    <row r="15462" spans="23:23" x14ac:dyDescent="0.55000000000000004">
      <c r="W15462"/>
    </row>
    <row r="15463" spans="23:23" x14ac:dyDescent="0.55000000000000004">
      <c r="W15463"/>
    </row>
    <row r="15464" spans="23:23" x14ac:dyDescent="0.55000000000000004">
      <c r="W15464"/>
    </row>
    <row r="15465" spans="23:23" x14ac:dyDescent="0.55000000000000004">
      <c r="W15465"/>
    </row>
    <row r="15466" spans="23:23" x14ac:dyDescent="0.55000000000000004">
      <c r="W15466"/>
    </row>
    <row r="15467" spans="23:23" x14ac:dyDescent="0.55000000000000004">
      <c r="W15467"/>
    </row>
    <row r="15468" spans="23:23" x14ac:dyDescent="0.55000000000000004">
      <c r="W15468"/>
    </row>
    <row r="15469" spans="23:23" x14ac:dyDescent="0.55000000000000004">
      <c r="W15469"/>
    </row>
    <row r="15470" spans="23:23" x14ac:dyDescent="0.55000000000000004">
      <c r="W15470"/>
    </row>
    <row r="15471" spans="23:23" x14ac:dyDescent="0.55000000000000004">
      <c r="W15471"/>
    </row>
    <row r="15472" spans="23:23" x14ac:dyDescent="0.55000000000000004">
      <c r="W15472"/>
    </row>
    <row r="15473" spans="23:23" x14ac:dyDescent="0.55000000000000004">
      <c r="W15473"/>
    </row>
    <row r="15474" spans="23:23" x14ac:dyDescent="0.55000000000000004">
      <c r="W15474"/>
    </row>
    <row r="15475" spans="23:23" x14ac:dyDescent="0.55000000000000004">
      <c r="W15475"/>
    </row>
    <row r="15476" spans="23:23" x14ac:dyDescent="0.55000000000000004">
      <c r="W15476"/>
    </row>
    <row r="15477" spans="23:23" x14ac:dyDescent="0.55000000000000004">
      <c r="W15477"/>
    </row>
    <row r="15478" spans="23:23" x14ac:dyDescent="0.55000000000000004">
      <c r="W15478"/>
    </row>
    <row r="15479" spans="23:23" x14ac:dyDescent="0.55000000000000004">
      <c r="W15479"/>
    </row>
    <row r="15480" spans="23:23" x14ac:dyDescent="0.55000000000000004">
      <c r="W15480"/>
    </row>
    <row r="15481" spans="23:23" x14ac:dyDescent="0.55000000000000004">
      <c r="W15481"/>
    </row>
    <row r="15482" spans="23:23" x14ac:dyDescent="0.55000000000000004">
      <c r="W15482"/>
    </row>
    <row r="15483" spans="23:23" x14ac:dyDescent="0.55000000000000004">
      <c r="W15483"/>
    </row>
    <row r="15484" spans="23:23" x14ac:dyDescent="0.55000000000000004">
      <c r="W15484"/>
    </row>
    <row r="15485" spans="23:23" x14ac:dyDescent="0.55000000000000004">
      <c r="W15485"/>
    </row>
    <row r="15486" spans="23:23" x14ac:dyDescent="0.55000000000000004">
      <c r="W15486"/>
    </row>
    <row r="15487" spans="23:23" x14ac:dyDescent="0.55000000000000004">
      <c r="W15487"/>
    </row>
    <row r="15488" spans="23:23" x14ac:dyDescent="0.55000000000000004">
      <c r="W15488"/>
    </row>
    <row r="15489" spans="23:23" x14ac:dyDescent="0.55000000000000004">
      <c r="W15489"/>
    </row>
    <row r="15490" spans="23:23" x14ac:dyDescent="0.55000000000000004">
      <c r="W15490"/>
    </row>
    <row r="15491" spans="23:23" x14ac:dyDescent="0.55000000000000004">
      <c r="W15491"/>
    </row>
    <row r="15492" spans="23:23" x14ac:dyDescent="0.55000000000000004">
      <c r="W15492"/>
    </row>
    <row r="15493" spans="23:23" x14ac:dyDescent="0.55000000000000004">
      <c r="W15493"/>
    </row>
    <row r="15494" spans="23:23" x14ac:dyDescent="0.55000000000000004">
      <c r="W15494"/>
    </row>
    <row r="15495" spans="23:23" x14ac:dyDescent="0.55000000000000004">
      <c r="W15495"/>
    </row>
    <row r="15496" spans="23:23" x14ac:dyDescent="0.55000000000000004">
      <c r="W15496"/>
    </row>
    <row r="15497" spans="23:23" x14ac:dyDescent="0.55000000000000004">
      <c r="W15497"/>
    </row>
    <row r="15498" spans="23:23" x14ac:dyDescent="0.55000000000000004">
      <c r="W15498"/>
    </row>
    <row r="15499" spans="23:23" x14ac:dyDescent="0.55000000000000004">
      <c r="W15499"/>
    </row>
    <row r="15500" spans="23:23" x14ac:dyDescent="0.55000000000000004">
      <c r="W15500"/>
    </row>
    <row r="15501" spans="23:23" x14ac:dyDescent="0.55000000000000004">
      <c r="W15501"/>
    </row>
    <row r="15502" spans="23:23" x14ac:dyDescent="0.55000000000000004">
      <c r="W15502"/>
    </row>
    <row r="15503" spans="23:23" x14ac:dyDescent="0.55000000000000004">
      <c r="W15503"/>
    </row>
    <row r="15504" spans="23:23" x14ac:dyDescent="0.55000000000000004">
      <c r="W15504"/>
    </row>
    <row r="15505" spans="23:23" x14ac:dyDescent="0.55000000000000004">
      <c r="W15505"/>
    </row>
    <row r="15506" spans="23:23" x14ac:dyDescent="0.55000000000000004">
      <c r="W15506"/>
    </row>
    <row r="15507" spans="23:23" x14ac:dyDescent="0.55000000000000004">
      <c r="W15507"/>
    </row>
    <row r="15508" spans="23:23" x14ac:dyDescent="0.55000000000000004">
      <c r="W15508"/>
    </row>
    <row r="15509" spans="23:23" x14ac:dyDescent="0.55000000000000004">
      <c r="W15509"/>
    </row>
    <row r="15510" spans="23:23" x14ac:dyDescent="0.55000000000000004">
      <c r="W15510"/>
    </row>
    <row r="15511" spans="23:23" x14ac:dyDescent="0.55000000000000004">
      <c r="W15511"/>
    </row>
    <row r="15512" spans="23:23" x14ac:dyDescent="0.55000000000000004">
      <c r="W15512"/>
    </row>
    <row r="15513" spans="23:23" x14ac:dyDescent="0.55000000000000004">
      <c r="W15513"/>
    </row>
    <row r="15514" spans="23:23" x14ac:dyDescent="0.55000000000000004">
      <c r="W15514"/>
    </row>
    <row r="15515" spans="23:23" x14ac:dyDescent="0.55000000000000004">
      <c r="W15515"/>
    </row>
    <row r="15516" spans="23:23" x14ac:dyDescent="0.55000000000000004">
      <c r="W15516"/>
    </row>
    <row r="15517" spans="23:23" x14ac:dyDescent="0.55000000000000004">
      <c r="W15517"/>
    </row>
    <row r="15518" spans="23:23" x14ac:dyDescent="0.55000000000000004">
      <c r="W15518"/>
    </row>
    <row r="15519" spans="23:23" x14ac:dyDescent="0.55000000000000004">
      <c r="W15519"/>
    </row>
    <row r="15520" spans="23:23" x14ac:dyDescent="0.55000000000000004">
      <c r="W15520"/>
    </row>
    <row r="15521" spans="23:23" x14ac:dyDescent="0.55000000000000004">
      <c r="W15521"/>
    </row>
    <row r="15522" spans="23:23" x14ac:dyDescent="0.55000000000000004">
      <c r="W15522"/>
    </row>
    <row r="15523" spans="23:23" x14ac:dyDescent="0.55000000000000004">
      <c r="W15523"/>
    </row>
    <row r="15524" spans="23:23" x14ac:dyDescent="0.55000000000000004">
      <c r="W15524"/>
    </row>
    <row r="15525" spans="23:23" x14ac:dyDescent="0.55000000000000004">
      <c r="W15525"/>
    </row>
    <row r="15526" spans="23:23" x14ac:dyDescent="0.55000000000000004">
      <c r="W15526"/>
    </row>
    <row r="15527" spans="23:23" x14ac:dyDescent="0.55000000000000004">
      <c r="W15527"/>
    </row>
    <row r="15528" spans="23:23" x14ac:dyDescent="0.55000000000000004">
      <c r="W15528"/>
    </row>
    <row r="15529" spans="23:23" x14ac:dyDescent="0.55000000000000004">
      <c r="W15529"/>
    </row>
    <row r="15530" spans="23:23" x14ac:dyDescent="0.55000000000000004">
      <c r="W15530"/>
    </row>
    <row r="15531" spans="23:23" x14ac:dyDescent="0.55000000000000004">
      <c r="W15531"/>
    </row>
    <row r="15532" spans="23:23" x14ac:dyDescent="0.55000000000000004">
      <c r="W15532"/>
    </row>
    <row r="15533" spans="23:23" x14ac:dyDescent="0.55000000000000004">
      <c r="W15533"/>
    </row>
    <row r="15534" spans="23:23" x14ac:dyDescent="0.55000000000000004">
      <c r="W15534"/>
    </row>
    <row r="15535" spans="23:23" x14ac:dyDescent="0.55000000000000004">
      <c r="W15535"/>
    </row>
    <row r="15536" spans="23:23" x14ac:dyDescent="0.55000000000000004">
      <c r="W15536"/>
    </row>
    <row r="15537" spans="23:23" x14ac:dyDescent="0.55000000000000004">
      <c r="W15537"/>
    </row>
    <row r="15538" spans="23:23" x14ac:dyDescent="0.55000000000000004">
      <c r="W15538"/>
    </row>
    <row r="15539" spans="23:23" x14ac:dyDescent="0.55000000000000004">
      <c r="W15539"/>
    </row>
    <row r="15540" spans="23:23" x14ac:dyDescent="0.55000000000000004">
      <c r="W15540"/>
    </row>
    <row r="15541" spans="23:23" x14ac:dyDescent="0.55000000000000004">
      <c r="W15541"/>
    </row>
    <row r="15542" spans="23:23" x14ac:dyDescent="0.55000000000000004">
      <c r="W15542"/>
    </row>
    <row r="15543" spans="23:23" x14ac:dyDescent="0.55000000000000004">
      <c r="W15543"/>
    </row>
    <row r="15544" spans="23:23" x14ac:dyDescent="0.55000000000000004">
      <c r="W15544"/>
    </row>
    <row r="15545" spans="23:23" x14ac:dyDescent="0.55000000000000004">
      <c r="W15545"/>
    </row>
    <row r="15546" spans="23:23" x14ac:dyDescent="0.55000000000000004">
      <c r="W15546"/>
    </row>
    <row r="15547" spans="23:23" x14ac:dyDescent="0.55000000000000004">
      <c r="W15547"/>
    </row>
    <row r="15548" spans="23:23" x14ac:dyDescent="0.55000000000000004">
      <c r="W15548"/>
    </row>
    <row r="15549" spans="23:23" x14ac:dyDescent="0.55000000000000004">
      <c r="W15549"/>
    </row>
    <row r="15550" spans="23:23" x14ac:dyDescent="0.55000000000000004">
      <c r="W15550"/>
    </row>
    <row r="15551" spans="23:23" x14ac:dyDescent="0.55000000000000004">
      <c r="W15551"/>
    </row>
    <row r="15552" spans="23:23" x14ac:dyDescent="0.55000000000000004">
      <c r="W15552"/>
    </row>
    <row r="15553" spans="23:23" x14ac:dyDescent="0.55000000000000004">
      <c r="W15553"/>
    </row>
    <row r="15554" spans="23:23" x14ac:dyDescent="0.55000000000000004">
      <c r="W15554"/>
    </row>
    <row r="15555" spans="23:23" x14ac:dyDescent="0.55000000000000004">
      <c r="W15555"/>
    </row>
    <row r="15556" spans="23:23" x14ac:dyDescent="0.55000000000000004">
      <c r="W15556"/>
    </row>
    <row r="15557" spans="23:23" x14ac:dyDescent="0.55000000000000004">
      <c r="W15557"/>
    </row>
    <row r="15558" spans="23:23" x14ac:dyDescent="0.55000000000000004">
      <c r="W15558"/>
    </row>
    <row r="15559" spans="23:23" x14ac:dyDescent="0.55000000000000004">
      <c r="W15559"/>
    </row>
    <row r="15560" spans="23:23" x14ac:dyDescent="0.55000000000000004">
      <c r="W15560"/>
    </row>
    <row r="15561" spans="23:23" x14ac:dyDescent="0.55000000000000004">
      <c r="W15561"/>
    </row>
    <row r="15562" spans="23:23" x14ac:dyDescent="0.55000000000000004">
      <c r="W15562"/>
    </row>
    <row r="15563" spans="23:23" x14ac:dyDescent="0.55000000000000004">
      <c r="W15563"/>
    </row>
    <row r="15564" spans="23:23" x14ac:dyDescent="0.55000000000000004">
      <c r="W15564"/>
    </row>
    <row r="15565" spans="23:23" x14ac:dyDescent="0.55000000000000004">
      <c r="W15565"/>
    </row>
    <row r="15566" spans="23:23" x14ac:dyDescent="0.55000000000000004">
      <c r="W15566"/>
    </row>
    <row r="15567" spans="23:23" x14ac:dyDescent="0.55000000000000004">
      <c r="W15567"/>
    </row>
    <row r="15568" spans="23:23" x14ac:dyDescent="0.55000000000000004">
      <c r="W15568"/>
    </row>
    <row r="15569" spans="23:23" x14ac:dyDescent="0.55000000000000004">
      <c r="W15569"/>
    </row>
    <row r="15570" spans="23:23" x14ac:dyDescent="0.55000000000000004">
      <c r="W15570"/>
    </row>
    <row r="15571" spans="23:23" x14ac:dyDescent="0.55000000000000004">
      <c r="W15571"/>
    </row>
    <row r="15572" spans="23:23" x14ac:dyDescent="0.55000000000000004">
      <c r="W15572"/>
    </row>
    <row r="15573" spans="23:23" x14ac:dyDescent="0.55000000000000004">
      <c r="W15573"/>
    </row>
    <row r="15574" spans="23:23" x14ac:dyDescent="0.55000000000000004">
      <c r="W15574"/>
    </row>
    <row r="15575" spans="23:23" x14ac:dyDescent="0.55000000000000004">
      <c r="W15575"/>
    </row>
    <row r="15576" spans="23:23" x14ac:dyDescent="0.55000000000000004">
      <c r="W15576"/>
    </row>
    <row r="15577" spans="23:23" x14ac:dyDescent="0.55000000000000004">
      <c r="W15577"/>
    </row>
    <row r="15578" spans="23:23" x14ac:dyDescent="0.55000000000000004">
      <c r="W15578"/>
    </row>
    <row r="15579" spans="23:23" x14ac:dyDescent="0.55000000000000004">
      <c r="W15579"/>
    </row>
    <row r="15580" spans="23:23" x14ac:dyDescent="0.55000000000000004">
      <c r="W15580"/>
    </row>
    <row r="15581" spans="23:23" x14ac:dyDescent="0.55000000000000004">
      <c r="W15581"/>
    </row>
    <row r="15582" spans="23:23" x14ac:dyDescent="0.55000000000000004">
      <c r="W15582"/>
    </row>
    <row r="15583" spans="23:23" x14ac:dyDescent="0.55000000000000004">
      <c r="W15583"/>
    </row>
    <row r="15584" spans="23:23" x14ac:dyDescent="0.55000000000000004">
      <c r="W15584"/>
    </row>
    <row r="15585" spans="23:23" x14ac:dyDescent="0.55000000000000004">
      <c r="W15585"/>
    </row>
    <row r="15586" spans="23:23" x14ac:dyDescent="0.55000000000000004">
      <c r="W15586"/>
    </row>
    <row r="15587" spans="23:23" x14ac:dyDescent="0.55000000000000004">
      <c r="W15587"/>
    </row>
    <row r="15588" spans="23:23" x14ac:dyDescent="0.55000000000000004">
      <c r="W15588"/>
    </row>
    <row r="15589" spans="23:23" x14ac:dyDescent="0.55000000000000004">
      <c r="W15589"/>
    </row>
    <row r="15590" spans="23:23" x14ac:dyDescent="0.55000000000000004">
      <c r="W15590"/>
    </row>
    <row r="15591" spans="23:23" x14ac:dyDescent="0.55000000000000004">
      <c r="W15591"/>
    </row>
    <row r="15592" spans="23:23" x14ac:dyDescent="0.55000000000000004">
      <c r="W15592"/>
    </row>
    <row r="15593" spans="23:23" x14ac:dyDescent="0.55000000000000004">
      <c r="W15593"/>
    </row>
    <row r="15594" spans="23:23" x14ac:dyDescent="0.55000000000000004">
      <c r="W15594"/>
    </row>
    <row r="15595" spans="23:23" x14ac:dyDescent="0.55000000000000004">
      <c r="W15595"/>
    </row>
    <row r="15596" spans="23:23" x14ac:dyDescent="0.55000000000000004">
      <c r="W15596"/>
    </row>
    <row r="15597" spans="23:23" x14ac:dyDescent="0.55000000000000004">
      <c r="W15597"/>
    </row>
    <row r="15598" spans="23:23" x14ac:dyDescent="0.55000000000000004">
      <c r="W15598"/>
    </row>
    <row r="15599" spans="23:23" x14ac:dyDescent="0.55000000000000004">
      <c r="W15599"/>
    </row>
    <row r="15600" spans="23:23" x14ac:dyDescent="0.55000000000000004">
      <c r="W15600"/>
    </row>
    <row r="15601" spans="23:23" x14ac:dyDescent="0.55000000000000004">
      <c r="W15601"/>
    </row>
    <row r="15602" spans="23:23" x14ac:dyDescent="0.55000000000000004">
      <c r="W15602"/>
    </row>
    <row r="15603" spans="23:23" x14ac:dyDescent="0.55000000000000004">
      <c r="W15603"/>
    </row>
    <row r="15604" spans="23:23" x14ac:dyDescent="0.55000000000000004">
      <c r="W15604"/>
    </row>
    <row r="15605" spans="23:23" x14ac:dyDescent="0.55000000000000004">
      <c r="W15605"/>
    </row>
    <row r="15606" spans="23:23" x14ac:dyDescent="0.55000000000000004">
      <c r="W15606"/>
    </row>
    <row r="15607" spans="23:23" x14ac:dyDescent="0.55000000000000004">
      <c r="W15607"/>
    </row>
    <row r="15608" spans="23:23" x14ac:dyDescent="0.55000000000000004">
      <c r="W15608"/>
    </row>
    <row r="15609" spans="23:23" x14ac:dyDescent="0.55000000000000004">
      <c r="W15609"/>
    </row>
    <row r="15610" spans="23:23" x14ac:dyDescent="0.55000000000000004">
      <c r="W15610"/>
    </row>
    <row r="15611" spans="23:23" x14ac:dyDescent="0.55000000000000004">
      <c r="W15611"/>
    </row>
    <row r="15612" spans="23:23" x14ac:dyDescent="0.55000000000000004">
      <c r="W15612"/>
    </row>
    <row r="15613" spans="23:23" x14ac:dyDescent="0.55000000000000004">
      <c r="W15613"/>
    </row>
    <row r="15614" spans="23:23" x14ac:dyDescent="0.55000000000000004">
      <c r="W15614"/>
    </row>
    <row r="15615" spans="23:23" x14ac:dyDescent="0.55000000000000004">
      <c r="W15615"/>
    </row>
    <row r="15616" spans="23:23" x14ac:dyDescent="0.55000000000000004">
      <c r="W15616"/>
    </row>
    <row r="15617" spans="23:23" x14ac:dyDescent="0.55000000000000004">
      <c r="W15617"/>
    </row>
    <row r="15618" spans="23:23" x14ac:dyDescent="0.55000000000000004">
      <c r="W15618"/>
    </row>
    <row r="15619" spans="23:23" x14ac:dyDescent="0.55000000000000004">
      <c r="W15619"/>
    </row>
    <row r="15620" spans="23:23" x14ac:dyDescent="0.55000000000000004">
      <c r="W15620"/>
    </row>
    <row r="15621" spans="23:23" x14ac:dyDescent="0.55000000000000004">
      <c r="W15621"/>
    </row>
    <row r="15622" spans="23:23" x14ac:dyDescent="0.55000000000000004">
      <c r="W15622"/>
    </row>
    <row r="15623" spans="23:23" x14ac:dyDescent="0.55000000000000004">
      <c r="W15623"/>
    </row>
    <row r="15624" spans="23:23" x14ac:dyDescent="0.55000000000000004">
      <c r="W15624"/>
    </row>
    <row r="15625" spans="23:23" x14ac:dyDescent="0.55000000000000004">
      <c r="W15625"/>
    </row>
    <row r="15626" spans="23:23" x14ac:dyDescent="0.55000000000000004">
      <c r="W15626"/>
    </row>
    <row r="15627" spans="23:23" x14ac:dyDescent="0.55000000000000004">
      <c r="W15627"/>
    </row>
    <row r="15628" spans="23:23" x14ac:dyDescent="0.55000000000000004">
      <c r="W15628"/>
    </row>
    <row r="15629" spans="23:23" x14ac:dyDescent="0.55000000000000004">
      <c r="W15629"/>
    </row>
    <row r="15630" spans="23:23" x14ac:dyDescent="0.55000000000000004">
      <c r="W15630"/>
    </row>
    <row r="15631" spans="23:23" x14ac:dyDescent="0.55000000000000004">
      <c r="W15631"/>
    </row>
    <row r="15632" spans="23:23" x14ac:dyDescent="0.55000000000000004">
      <c r="W15632"/>
    </row>
    <row r="15633" spans="23:23" x14ac:dyDescent="0.55000000000000004">
      <c r="W15633"/>
    </row>
    <row r="15634" spans="23:23" x14ac:dyDescent="0.55000000000000004">
      <c r="W15634"/>
    </row>
    <row r="15635" spans="23:23" x14ac:dyDescent="0.55000000000000004">
      <c r="W15635"/>
    </row>
    <row r="15636" spans="23:23" x14ac:dyDescent="0.55000000000000004">
      <c r="W15636"/>
    </row>
    <row r="15637" spans="23:23" x14ac:dyDescent="0.55000000000000004">
      <c r="W15637"/>
    </row>
    <row r="15638" spans="23:23" x14ac:dyDescent="0.55000000000000004">
      <c r="W15638"/>
    </row>
    <row r="15639" spans="23:23" x14ac:dyDescent="0.55000000000000004">
      <c r="W15639"/>
    </row>
    <row r="15640" spans="23:23" x14ac:dyDescent="0.55000000000000004">
      <c r="W15640"/>
    </row>
    <row r="15641" spans="23:23" x14ac:dyDescent="0.55000000000000004">
      <c r="W15641"/>
    </row>
    <row r="15642" spans="23:23" x14ac:dyDescent="0.55000000000000004">
      <c r="W15642"/>
    </row>
    <row r="15643" spans="23:23" x14ac:dyDescent="0.55000000000000004">
      <c r="W15643"/>
    </row>
    <row r="15644" spans="23:23" x14ac:dyDescent="0.55000000000000004">
      <c r="W15644"/>
    </row>
    <row r="15645" spans="23:23" x14ac:dyDescent="0.55000000000000004">
      <c r="W15645"/>
    </row>
    <row r="15646" spans="23:23" x14ac:dyDescent="0.55000000000000004">
      <c r="W15646"/>
    </row>
    <row r="15647" spans="23:23" x14ac:dyDescent="0.55000000000000004">
      <c r="W15647"/>
    </row>
    <row r="15648" spans="23:23" x14ac:dyDescent="0.55000000000000004">
      <c r="W15648"/>
    </row>
    <row r="15649" spans="23:23" x14ac:dyDescent="0.55000000000000004">
      <c r="W15649"/>
    </row>
    <row r="15650" spans="23:23" x14ac:dyDescent="0.55000000000000004">
      <c r="W15650"/>
    </row>
    <row r="15651" spans="23:23" x14ac:dyDescent="0.55000000000000004">
      <c r="W15651"/>
    </row>
    <row r="15652" spans="23:23" x14ac:dyDescent="0.55000000000000004">
      <c r="W15652"/>
    </row>
    <row r="15653" spans="23:23" x14ac:dyDescent="0.55000000000000004">
      <c r="W15653"/>
    </row>
    <row r="15654" spans="23:23" x14ac:dyDescent="0.55000000000000004">
      <c r="W15654"/>
    </row>
    <row r="15655" spans="23:23" x14ac:dyDescent="0.55000000000000004">
      <c r="W15655"/>
    </row>
    <row r="15656" spans="23:23" x14ac:dyDescent="0.55000000000000004">
      <c r="W15656"/>
    </row>
    <row r="15657" spans="23:23" x14ac:dyDescent="0.55000000000000004">
      <c r="W15657"/>
    </row>
    <row r="15658" spans="23:23" x14ac:dyDescent="0.55000000000000004">
      <c r="W15658"/>
    </row>
    <row r="15659" spans="23:23" x14ac:dyDescent="0.55000000000000004">
      <c r="W15659"/>
    </row>
    <row r="15660" spans="23:23" x14ac:dyDescent="0.55000000000000004">
      <c r="W15660"/>
    </row>
    <row r="15661" spans="23:23" x14ac:dyDescent="0.55000000000000004">
      <c r="W15661"/>
    </row>
    <row r="15662" spans="23:23" x14ac:dyDescent="0.55000000000000004">
      <c r="W15662"/>
    </row>
    <row r="15663" spans="23:23" x14ac:dyDescent="0.55000000000000004">
      <c r="W15663"/>
    </row>
    <row r="15664" spans="23:23" x14ac:dyDescent="0.55000000000000004">
      <c r="W15664"/>
    </row>
    <row r="15665" spans="23:23" x14ac:dyDescent="0.55000000000000004">
      <c r="W15665"/>
    </row>
    <row r="15666" spans="23:23" x14ac:dyDescent="0.55000000000000004">
      <c r="W15666"/>
    </row>
    <row r="15667" spans="23:23" x14ac:dyDescent="0.55000000000000004">
      <c r="W15667"/>
    </row>
    <row r="15668" spans="23:23" x14ac:dyDescent="0.55000000000000004">
      <c r="W15668"/>
    </row>
    <row r="15669" spans="23:23" x14ac:dyDescent="0.55000000000000004">
      <c r="W15669"/>
    </row>
    <row r="15670" spans="23:23" x14ac:dyDescent="0.55000000000000004">
      <c r="W15670"/>
    </row>
    <row r="15671" spans="23:23" x14ac:dyDescent="0.55000000000000004">
      <c r="W15671"/>
    </row>
    <row r="15672" spans="23:23" x14ac:dyDescent="0.55000000000000004">
      <c r="W15672"/>
    </row>
    <row r="15673" spans="23:23" x14ac:dyDescent="0.55000000000000004">
      <c r="W15673"/>
    </row>
    <row r="15674" spans="23:23" x14ac:dyDescent="0.55000000000000004">
      <c r="W15674"/>
    </row>
    <row r="15675" spans="23:23" x14ac:dyDescent="0.55000000000000004">
      <c r="W15675"/>
    </row>
    <row r="15676" spans="23:23" x14ac:dyDescent="0.55000000000000004">
      <c r="W15676"/>
    </row>
    <row r="15677" spans="23:23" x14ac:dyDescent="0.55000000000000004">
      <c r="W15677"/>
    </row>
    <row r="15678" spans="23:23" x14ac:dyDescent="0.55000000000000004">
      <c r="W15678"/>
    </row>
    <row r="15679" spans="23:23" x14ac:dyDescent="0.55000000000000004">
      <c r="W15679"/>
    </row>
    <row r="15680" spans="23:23" x14ac:dyDescent="0.55000000000000004">
      <c r="W15680"/>
    </row>
    <row r="15681" spans="23:23" x14ac:dyDescent="0.55000000000000004">
      <c r="W15681"/>
    </row>
    <row r="15682" spans="23:23" x14ac:dyDescent="0.55000000000000004">
      <c r="W15682"/>
    </row>
    <row r="15683" spans="23:23" x14ac:dyDescent="0.55000000000000004">
      <c r="W15683"/>
    </row>
    <row r="15684" spans="23:23" x14ac:dyDescent="0.55000000000000004">
      <c r="W15684"/>
    </row>
    <row r="15685" spans="23:23" x14ac:dyDescent="0.55000000000000004">
      <c r="W15685"/>
    </row>
    <row r="15686" spans="23:23" x14ac:dyDescent="0.55000000000000004">
      <c r="W15686"/>
    </row>
    <row r="15687" spans="23:23" x14ac:dyDescent="0.55000000000000004">
      <c r="W15687"/>
    </row>
    <row r="15688" spans="23:23" x14ac:dyDescent="0.55000000000000004">
      <c r="W15688"/>
    </row>
    <row r="15689" spans="23:23" x14ac:dyDescent="0.55000000000000004">
      <c r="W15689"/>
    </row>
    <row r="15690" spans="23:23" x14ac:dyDescent="0.55000000000000004">
      <c r="W15690"/>
    </row>
    <row r="15691" spans="23:23" x14ac:dyDescent="0.55000000000000004">
      <c r="W15691"/>
    </row>
    <row r="15692" spans="23:23" x14ac:dyDescent="0.55000000000000004">
      <c r="W15692"/>
    </row>
    <row r="15693" spans="23:23" x14ac:dyDescent="0.55000000000000004">
      <c r="W15693"/>
    </row>
    <row r="15694" spans="23:23" x14ac:dyDescent="0.55000000000000004">
      <c r="W15694"/>
    </row>
    <row r="15695" spans="23:23" x14ac:dyDescent="0.55000000000000004">
      <c r="W15695"/>
    </row>
    <row r="15696" spans="23:23" x14ac:dyDescent="0.55000000000000004">
      <c r="W15696"/>
    </row>
    <row r="15697" spans="23:23" x14ac:dyDescent="0.55000000000000004">
      <c r="W15697"/>
    </row>
    <row r="15698" spans="23:23" x14ac:dyDescent="0.55000000000000004">
      <c r="W15698"/>
    </row>
    <row r="15699" spans="23:23" x14ac:dyDescent="0.55000000000000004">
      <c r="W15699"/>
    </row>
    <row r="15700" spans="23:23" x14ac:dyDescent="0.55000000000000004">
      <c r="W15700"/>
    </row>
    <row r="15701" spans="23:23" x14ac:dyDescent="0.55000000000000004">
      <c r="W15701"/>
    </row>
    <row r="15702" spans="23:23" x14ac:dyDescent="0.55000000000000004">
      <c r="W15702"/>
    </row>
    <row r="15703" spans="23:23" x14ac:dyDescent="0.55000000000000004">
      <c r="W15703"/>
    </row>
    <row r="15704" spans="23:23" x14ac:dyDescent="0.55000000000000004">
      <c r="W15704"/>
    </row>
    <row r="15705" spans="23:23" x14ac:dyDescent="0.55000000000000004">
      <c r="W15705"/>
    </row>
    <row r="15706" spans="23:23" x14ac:dyDescent="0.55000000000000004">
      <c r="W15706"/>
    </row>
    <row r="15707" spans="23:23" x14ac:dyDescent="0.55000000000000004">
      <c r="W15707"/>
    </row>
    <row r="15708" spans="23:23" x14ac:dyDescent="0.55000000000000004">
      <c r="W15708"/>
    </row>
    <row r="15709" spans="23:23" x14ac:dyDescent="0.55000000000000004">
      <c r="W15709"/>
    </row>
    <row r="15710" spans="23:23" x14ac:dyDescent="0.55000000000000004">
      <c r="W15710"/>
    </row>
    <row r="15711" spans="23:23" x14ac:dyDescent="0.55000000000000004">
      <c r="W15711"/>
    </row>
    <row r="15712" spans="23:23" x14ac:dyDescent="0.55000000000000004">
      <c r="W15712"/>
    </row>
    <row r="15713" spans="23:23" x14ac:dyDescent="0.55000000000000004">
      <c r="W15713"/>
    </row>
    <row r="15714" spans="23:23" x14ac:dyDescent="0.55000000000000004">
      <c r="W15714"/>
    </row>
    <row r="15715" spans="23:23" x14ac:dyDescent="0.55000000000000004">
      <c r="W15715"/>
    </row>
    <row r="15716" spans="23:23" x14ac:dyDescent="0.55000000000000004">
      <c r="W15716"/>
    </row>
    <row r="15717" spans="23:23" x14ac:dyDescent="0.55000000000000004">
      <c r="W15717"/>
    </row>
    <row r="15718" spans="23:23" x14ac:dyDescent="0.55000000000000004">
      <c r="W15718"/>
    </row>
    <row r="15719" spans="23:23" x14ac:dyDescent="0.55000000000000004">
      <c r="W15719"/>
    </row>
    <row r="15720" spans="23:23" x14ac:dyDescent="0.55000000000000004">
      <c r="W15720"/>
    </row>
    <row r="15721" spans="23:23" x14ac:dyDescent="0.55000000000000004">
      <c r="W15721"/>
    </row>
    <row r="15722" spans="23:23" x14ac:dyDescent="0.55000000000000004">
      <c r="W15722"/>
    </row>
    <row r="15723" spans="23:23" x14ac:dyDescent="0.55000000000000004">
      <c r="W15723"/>
    </row>
    <row r="15724" spans="23:23" x14ac:dyDescent="0.55000000000000004">
      <c r="W15724"/>
    </row>
    <row r="15725" spans="23:23" x14ac:dyDescent="0.55000000000000004">
      <c r="W15725"/>
    </row>
    <row r="15726" spans="23:23" x14ac:dyDescent="0.55000000000000004">
      <c r="W15726"/>
    </row>
    <row r="15727" spans="23:23" x14ac:dyDescent="0.55000000000000004">
      <c r="W15727"/>
    </row>
    <row r="15728" spans="23:23" x14ac:dyDescent="0.55000000000000004">
      <c r="W15728"/>
    </row>
    <row r="15729" spans="23:23" x14ac:dyDescent="0.55000000000000004">
      <c r="W15729"/>
    </row>
    <row r="15730" spans="23:23" x14ac:dyDescent="0.55000000000000004">
      <c r="W15730"/>
    </row>
    <row r="15731" spans="23:23" x14ac:dyDescent="0.55000000000000004">
      <c r="W15731"/>
    </row>
    <row r="15732" spans="23:23" x14ac:dyDescent="0.55000000000000004">
      <c r="W15732"/>
    </row>
    <row r="15733" spans="23:23" x14ac:dyDescent="0.55000000000000004">
      <c r="W15733"/>
    </row>
    <row r="15734" spans="23:23" x14ac:dyDescent="0.55000000000000004">
      <c r="W15734"/>
    </row>
    <row r="15735" spans="23:23" x14ac:dyDescent="0.55000000000000004">
      <c r="W15735"/>
    </row>
    <row r="15736" spans="23:23" x14ac:dyDescent="0.55000000000000004">
      <c r="W15736"/>
    </row>
    <row r="15737" spans="23:23" x14ac:dyDescent="0.55000000000000004">
      <c r="W15737"/>
    </row>
    <row r="15738" spans="23:23" x14ac:dyDescent="0.55000000000000004">
      <c r="W15738"/>
    </row>
    <row r="15739" spans="23:23" x14ac:dyDescent="0.55000000000000004">
      <c r="W15739"/>
    </row>
    <row r="15740" spans="23:23" x14ac:dyDescent="0.55000000000000004">
      <c r="W15740"/>
    </row>
    <row r="15741" spans="23:23" x14ac:dyDescent="0.55000000000000004">
      <c r="W15741"/>
    </row>
    <row r="15742" spans="23:23" x14ac:dyDescent="0.55000000000000004">
      <c r="W15742"/>
    </row>
    <row r="15743" spans="23:23" x14ac:dyDescent="0.55000000000000004">
      <c r="W15743"/>
    </row>
    <row r="15744" spans="23:23" x14ac:dyDescent="0.55000000000000004">
      <c r="W15744"/>
    </row>
    <row r="15745" spans="23:23" x14ac:dyDescent="0.55000000000000004">
      <c r="W15745"/>
    </row>
    <row r="15746" spans="23:23" x14ac:dyDescent="0.55000000000000004">
      <c r="W15746"/>
    </row>
    <row r="15747" spans="23:23" x14ac:dyDescent="0.55000000000000004">
      <c r="W15747"/>
    </row>
    <row r="15748" spans="23:23" x14ac:dyDescent="0.55000000000000004">
      <c r="W15748"/>
    </row>
    <row r="15749" spans="23:23" x14ac:dyDescent="0.55000000000000004">
      <c r="W15749"/>
    </row>
    <row r="15750" spans="23:23" x14ac:dyDescent="0.55000000000000004">
      <c r="W15750"/>
    </row>
    <row r="15751" spans="23:23" x14ac:dyDescent="0.55000000000000004">
      <c r="W15751"/>
    </row>
    <row r="15752" spans="23:23" x14ac:dyDescent="0.55000000000000004">
      <c r="W15752"/>
    </row>
    <row r="15753" spans="23:23" x14ac:dyDescent="0.55000000000000004">
      <c r="W15753"/>
    </row>
    <row r="15754" spans="23:23" x14ac:dyDescent="0.55000000000000004">
      <c r="W15754"/>
    </row>
    <row r="15755" spans="23:23" x14ac:dyDescent="0.55000000000000004">
      <c r="W15755"/>
    </row>
    <row r="15756" spans="23:23" x14ac:dyDescent="0.55000000000000004">
      <c r="W15756"/>
    </row>
    <row r="15757" spans="23:23" x14ac:dyDescent="0.55000000000000004">
      <c r="W15757"/>
    </row>
    <row r="15758" spans="23:23" x14ac:dyDescent="0.55000000000000004">
      <c r="W15758"/>
    </row>
    <row r="15759" spans="23:23" x14ac:dyDescent="0.55000000000000004">
      <c r="W15759"/>
    </row>
    <row r="15760" spans="23:23" x14ac:dyDescent="0.55000000000000004">
      <c r="W15760"/>
    </row>
    <row r="15761" spans="23:23" x14ac:dyDescent="0.55000000000000004">
      <c r="W15761"/>
    </row>
    <row r="15762" spans="23:23" x14ac:dyDescent="0.55000000000000004">
      <c r="W15762"/>
    </row>
    <row r="15763" spans="23:23" x14ac:dyDescent="0.55000000000000004">
      <c r="W15763"/>
    </row>
    <row r="15764" spans="23:23" x14ac:dyDescent="0.55000000000000004">
      <c r="W15764"/>
    </row>
    <row r="15765" spans="23:23" x14ac:dyDescent="0.55000000000000004">
      <c r="W15765"/>
    </row>
    <row r="15766" spans="23:23" x14ac:dyDescent="0.55000000000000004">
      <c r="W15766"/>
    </row>
    <row r="15767" spans="23:23" x14ac:dyDescent="0.55000000000000004">
      <c r="W15767"/>
    </row>
    <row r="15768" spans="23:23" x14ac:dyDescent="0.55000000000000004">
      <c r="W15768"/>
    </row>
    <row r="15769" spans="23:23" x14ac:dyDescent="0.55000000000000004">
      <c r="W15769"/>
    </row>
    <row r="15770" spans="23:23" x14ac:dyDescent="0.55000000000000004">
      <c r="W15770"/>
    </row>
    <row r="15771" spans="23:23" x14ac:dyDescent="0.55000000000000004">
      <c r="W15771"/>
    </row>
    <row r="15772" spans="23:23" x14ac:dyDescent="0.55000000000000004">
      <c r="W15772"/>
    </row>
    <row r="15773" spans="23:23" x14ac:dyDescent="0.55000000000000004">
      <c r="W15773"/>
    </row>
    <row r="15774" spans="23:23" x14ac:dyDescent="0.55000000000000004">
      <c r="W15774"/>
    </row>
    <row r="15775" spans="23:23" x14ac:dyDescent="0.55000000000000004">
      <c r="W15775"/>
    </row>
    <row r="15776" spans="23:23" x14ac:dyDescent="0.55000000000000004">
      <c r="W15776"/>
    </row>
    <row r="15777" spans="23:23" x14ac:dyDescent="0.55000000000000004">
      <c r="W15777"/>
    </row>
    <row r="15778" spans="23:23" x14ac:dyDescent="0.55000000000000004">
      <c r="W15778"/>
    </row>
    <row r="15779" spans="23:23" x14ac:dyDescent="0.55000000000000004">
      <c r="W15779"/>
    </row>
    <row r="15780" spans="23:23" x14ac:dyDescent="0.55000000000000004">
      <c r="W15780"/>
    </row>
    <row r="15781" spans="23:23" x14ac:dyDescent="0.55000000000000004">
      <c r="W15781"/>
    </row>
    <row r="15782" spans="23:23" x14ac:dyDescent="0.55000000000000004">
      <c r="W15782"/>
    </row>
    <row r="15783" spans="23:23" x14ac:dyDescent="0.55000000000000004">
      <c r="W15783"/>
    </row>
    <row r="15784" spans="23:23" x14ac:dyDescent="0.55000000000000004">
      <c r="W15784"/>
    </row>
    <row r="15785" spans="23:23" x14ac:dyDescent="0.55000000000000004">
      <c r="W15785"/>
    </row>
    <row r="15786" spans="23:23" x14ac:dyDescent="0.55000000000000004">
      <c r="W15786"/>
    </row>
    <row r="15787" spans="23:23" x14ac:dyDescent="0.55000000000000004">
      <c r="W15787"/>
    </row>
    <row r="15788" spans="23:23" x14ac:dyDescent="0.55000000000000004">
      <c r="W15788"/>
    </row>
    <row r="15789" spans="23:23" x14ac:dyDescent="0.55000000000000004">
      <c r="W15789"/>
    </row>
    <row r="15790" spans="23:23" x14ac:dyDescent="0.55000000000000004">
      <c r="W15790"/>
    </row>
    <row r="15791" spans="23:23" x14ac:dyDescent="0.55000000000000004">
      <c r="W15791"/>
    </row>
    <row r="15792" spans="23:23" x14ac:dyDescent="0.55000000000000004">
      <c r="W15792"/>
    </row>
    <row r="15793" spans="23:23" x14ac:dyDescent="0.55000000000000004">
      <c r="W15793"/>
    </row>
    <row r="15794" spans="23:23" x14ac:dyDescent="0.55000000000000004">
      <c r="W15794"/>
    </row>
    <row r="15795" spans="23:23" x14ac:dyDescent="0.55000000000000004">
      <c r="W15795"/>
    </row>
    <row r="15796" spans="23:23" x14ac:dyDescent="0.55000000000000004">
      <c r="W15796"/>
    </row>
    <row r="15797" spans="23:23" x14ac:dyDescent="0.55000000000000004">
      <c r="W15797"/>
    </row>
    <row r="15798" spans="23:23" x14ac:dyDescent="0.55000000000000004">
      <c r="W15798"/>
    </row>
    <row r="15799" spans="23:23" x14ac:dyDescent="0.55000000000000004">
      <c r="W15799"/>
    </row>
    <row r="15800" spans="23:23" x14ac:dyDescent="0.55000000000000004">
      <c r="W15800"/>
    </row>
    <row r="15801" spans="23:23" x14ac:dyDescent="0.55000000000000004">
      <c r="W15801"/>
    </row>
    <row r="15802" spans="23:23" x14ac:dyDescent="0.55000000000000004">
      <c r="W15802"/>
    </row>
    <row r="15803" spans="23:23" x14ac:dyDescent="0.55000000000000004">
      <c r="W15803"/>
    </row>
    <row r="15804" spans="23:23" x14ac:dyDescent="0.55000000000000004">
      <c r="W15804"/>
    </row>
    <row r="15805" spans="23:23" x14ac:dyDescent="0.55000000000000004">
      <c r="W15805"/>
    </row>
    <row r="15806" spans="23:23" x14ac:dyDescent="0.55000000000000004">
      <c r="W15806"/>
    </row>
    <row r="15807" spans="23:23" x14ac:dyDescent="0.55000000000000004">
      <c r="W15807"/>
    </row>
    <row r="15808" spans="23:23" x14ac:dyDescent="0.55000000000000004">
      <c r="W15808"/>
    </row>
    <row r="15809" spans="23:23" x14ac:dyDescent="0.55000000000000004">
      <c r="W15809"/>
    </row>
    <row r="15810" spans="23:23" x14ac:dyDescent="0.55000000000000004">
      <c r="W15810"/>
    </row>
    <row r="15811" spans="23:23" x14ac:dyDescent="0.55000000000000004">
      <c r="W15811"/>
    </row>
    <row r="15812" spans="23:23" x14ac:dyDescent="0.55000000000000004">
      <c r="W15812"/>
    </row>
    <row r="15813" spans="23:23" x14ac:dyDescent="0.55000000000000004">
      <c r="W15813"/>
    </row>
    <row r="15814" spans="23:23" x14ac:dyDescent="0.55000000000000004">
      <c r="W15814"/>
    </row>
    <row r="15815" spans="23:23" x14ac:dyDescent="0.55000000000000004">
      <c r="W15815"/>
    </row>
    <row r="15816" spans="23:23" x14ac:dyDescent="0.55000000000000004">
      <c r="W15816"/>
    </row>
    <row r="15817" spans="23:23" x14ac:dyDescent="0.55000000000000004">
      <c r="W15817"/>
    </row>
    <row r="15818" spans="23:23" x14ac:dyDescent="0.55000000000000004">
      <c r="W15818"/>
    </row>
    <row r="15819" spans="23:23" x14ac:dyDescent="0.55000000000000004">
      <c r="W15819"/>
    </row>
    <row r="15820" spans="23:23" x14ac:dyDescent="0.55000000000000004">
      <c r="W15820"/>
    </row>
    <row r="15821" spans="23:23" x14ac:dyDescent="0.55000000000000004">
      <c r="W15821"/>
    </row>
    <row r="15822" spans="23:23" x14ac:dyDescent="0.55000000000000004">
      <c r="W15822"/>
    </row>
    <row r="15823" spans="23:23" x14ac:dyDescent="0.55000000000000004">
      <c r="W15823"/>
    </row>
    <row r="15824" spans="23:23" x14ac:dyDescent="0.55000000000000004">
      <c r="W15824"/>
    </row>
    <row r="15825" spans="23:23" x14ac:dyDescent="0.55000000000000004">
      <c r="W15825"/>
    </row>
    <row r="15826" spans="23:23" x14ac:dyDescent="0.55000000000000004">
      <c r="W15826"/>
    </row>
    <row r="15827" spans="23:23" x14ac:dyDescent="0.55000000000000004">
      <c r="W15827"/>
    </row>
    <row r="15828" spans="23:23" x14ac:dyDescent="0.55000000000000004">
      <c r="W15828"/>
    </row>
    <row r="15829" spans="23:23" x14ac:dyDescent="0.55000000000000004">
      <c r="W15829"/>
    </row>
    <row r="15830" spans="23:23" x14ac:dyDescent="0.55000000000000004">
      <c r="W15830"/>
    </row>
    <row r="15831" spans="23:23" x14ac:dyDescent="0.55000000000000004">
      <c r="W15831"/>
    </row>
    <row r="15832" spans="23:23" x14ac:dyDescent="0.55000000000000004">
      <c r="W15832"/>
    </row>
    <row r="15833" spans="23:23" x14ac:dyDescent="0.55000000000000004">
      <c r="W15833"/>
    </row>
    <row r="15834" spans="23:23" x14ac:dyDescent="0.55000000000000004">
      <c r="W15834"/>
    </row>
    <row r="15835" spans="23:23" x14ac:dyDescent="0.55000000000000004">
      <c r="W15835"/>
    </row>
    <row r="15836" spans="23:23" x14ac:dyDescent="0.55000000000000004">
      <c r="W15836"/>
    </row>
    <row r="15837" spans="23:23" x14ac:dyDescent="0.55000000000000004">
      <c r="W15837"/>
    </row>
    <row r="15838" spans="23:23" x14ac:dyDescent="0.55000000000000004">
      <c r="W15838"/>
    </row>
    <row r="15839" spans="23:23" x14ac:dyDescent="0.55000000000000004">
      <c r="W15839"/>
    </row>
    <row r="15840" spans="23:23" x14ac:dyDescent="0.55000000000000004">
      <c r="W15840"/>
    </row>
    <row r="15841" spans="23:23" x14ac:dyDescent="0.55000000000000004">
      <c r="W15841"/>
    </row>
    <row r="15842" spans="23:23" x14ac:dyDescent="0.55000000000000004">
      <c r="W15842"/>
    </row>
    <row r="15843" spans="23:23" x14ac:dyDescent="0.55000000000000004">
      <c r="W15843"/>
    </row>
    <row r="15844" spans="23:23" x14ac:dyDescent="0.55000000000000004">
      <c r="W15844"/>
    </row>
    <row r="15845" spans="23:23" x14ac:dyDescent="0.55000000000000004">
      <c r="W15845"/>
    </row>
    <row r="15846" spans="23:23" x14ac:dyDescent="0.55000000000000004">
      <c r="W15846"/>
    </row>
    <row r="15847" spans="23:23" x14ac:dyDescent="0.55000000000000004">
      <c r="W15847"/>
    </row>
    <row r="15848" spans="23:23" x14ac:dyDescent="0.55000000000000004">
      <c r="W15848"/>
    </row>
    <row r="15849" spans="23:23" x14ac:dyDescent="0.55000000000000004">
      <c r="W15849"/>
    </row>
    <row r="15850" spans="23:23" x14ac:dyDescent="0.55000000000000004">
      <c r="W15850"/>
    </row>
    <row r="15851" spans="23:23" x14ac:dyDescent="0.55000000000000004">
      <c r="W15851"/>
    </row>
    <row r="15852" spans="23:23" x14ac:dyDescent="0.55000000000000004">
      <c r="W15852"/>
    </row>
    <row r="15853" spans="23:23" x14ac:dyDescent="0.55000000000000004">
      <c r="W15853"/>
    </row>
    <row r="15854" spans="23:23" x14ac:dyDescent="0.55000000000000004">
      <c r="W15854"/>
    </row>
    <row r="15855" spans="23:23" x14ac:dyDescent="0.55000000000000004">
      <c r="W15855"/>
    </row>
    <row r="15856" spans="23:23" x14ac:dyDescent="0.55000000000000004">
      <c r="W15856"/>
    </row>
    <row r="15857" spans="23:23" x14ac:dyDescent="0.55000000000000004">
      <c r="W15857"/>
    </row>
    <row r="15858" spans="23:23" x14ac:dyDescent="0.55000000000000004">
      <c r="W15858"/>
    </row>
    <row r="15859" spans="23:23" x14ac:dyDescent="0.55000000000000004">
      <c r="W15859"/>
    </row>
    <row r="15860" spans="23:23" x14ac:dyDescent="0.55000000000000004">
      <c r="W15860"/>
    </row>
    <row r="15861" spans="23:23" x14ac:dyDescent="0.55000000000000004">
      <c r="W15861"/>
    </row>
    <row r="15862" spans="23:23" x14ac:dyDescent="0.55000000000000004">
      <c r="W15862"/>
    </row>
    <row r="15863" spans="23:23" x14ac:dyDescent="0.55000000000000004">
      <c r="W15863"/>
    </row>
    <row r="15864" spans="23:23" x14ac:dyDescent="0.55000000000000004">
      <c r="W15864"/>
    </row>
    <row r="15865" spans="23:23" x14ac:dyDescent="0.55000000000000004">
      <c r="W15865"/>
    </row>
    <row r="15866" spans="23:23" x14ac:dyDescent="0.55000000000000004">
      <c r="W15866"/>
    </row>
    <row r="15867" spans="23:23" x14ac:dyDescent="0.55000000000000004">
      <c r="W15867"/>
    </row>
    <row r="15868" spans="23:23" x14ac:dyDescent="0.55000000000000004">
      <c r="W15868"/>
    </row>
    <row r="15869" spans="23:23" x14ac:dyDescent="0.55000000000000004">
      <c r="W15869"/>
    </row>
    <row r="15870" spans="23:23" x14ac:dyDescent="0.55000000000000004">
      <c r="W15870"/>
    </row>
    <row r="15871" spans="23:23" x14ac:dyDescent="0.55000000000000004">
      <c r="W15871"/>
    </row>
    <row r="15872" spans="23:23" x14ac:dyDescent="0.55000000000000004">
      <c r="W15872"/>
    </row>
    <row r="15873" spans="23:23" x14ac:dyDescent="0.55000000000000004">
      <c r="W15873"/>
    </row>
    <row r="15874" spans="23:23" x14ac:dyDescent="0.55000000000000004">
      <c r="W15874"/>
    </row>
    <row r="15875" spans="23:23" x14ac:dyDescent="0.55000000000000004">
      <c r="W15875"/>
    </row>
    <row r="15876" spans="23:23" x14ac:dyDescent="0.55000000000000004">
      <c r="W15876"/>
    </row>
    <row r="15877" spans="23:23" x14ac:dyDescent="0.55000000000000004">
      <c r="W15877"/>
    </row>
    <row r="15878" spans="23:23" x14ac:dyDescent="0.55000000000000004">
      <c r="W15878"/>
    </row>
    <row r="15879" spans="23:23" x14ac:dyDescent="0.55000000000000004">
      <c r="W15879"/>
    </row>
    <row r="15880" spans="23:23" x14ac:dyDescent="0.55000000000000004">
      <c r="W15880"/>
    </row>
    <row r="15881" spans="23:23" x14ac:dyDescent="0.55000000000000004">
      <c r="W15881"/>
    </row>
    <row r="15882" spans="23:23" x14ac:dyDescent="0.55000000000000004">
      <c r="W15882"/>
    </row>
    <row r="15883" spans="23:23" x14ac:dyDescent="0.55000000000000004">
      <c r="W15883"/>
    </row>
    <row r="15884" spans="23:23" x14ac:dyDescent="0.55000000000000004">
      <c r="W15884"/>
    </row>
    <row r="15885" spans="23:23" x14ac:dyDescent="0.55000000000000004">
      <c r="W15885"/>
    </row>
    <row r="15886" spans="23:23" x14ac:dyDescent="0.55000000000000004">
      <c r="W15886"/>
    </row>
    <row r="15887" spans="23:23" x14ac:dyDescent="0.55000000000000004">
      <c r="W15887"/>
    </row>
    <row r="15888" spans="23:23" x14ac:dyDescent="0.55000000000000004">
      <c r="W15888"/>
    </row>
    <row r="15889" spans="23:23" x14ac:dyDescent="0.55000000000000004">
      <c r="W15889"/>
    </row>
    <row r="15890" spans="23:23" x14ac:dyDescent="0.55000000000000004">
      <c r="W15890"/>
    </row>
    <row r="15891" spans="23:23" x14ac:dyDescent="0.55000000000000004">
      <c r="W15891"/>
    </row>
    <row r="15892" spans="23:23" x14ac:dyDescent="0.55000000000000004">
      <c r="W15892"/>
    </row>
    <row r="15893" spans="23:23" x14ac:dyDescent="0.55000000000000004">
      <c r="W15893"/>
    </row>
    <row r="15894" spans="23:23" x14ac:dyDescent="0.55000000000000004">
      <c r="W15894"/>
    </row>
    <row r="15895" spans="23:23" x14ac:dyDescent="0.55000000000000004">
      <c r="W15895"/>
    </row>
    <row r="15896" spans="23:23" x14ac:dyDescent="0.55000000000000004">
      <c r="W15896"/>
    </row>
    <row r="15897" spans="23:23" x14ac:dyDescent="0.55000000000000004">
      <c r="W15897"/>
    </row>
    <row r="15898" spans="23:23" x14ac:dyDescent="0.55000000000000004">
      <c r="W15898"/>
    </row>
    <row r="15899" spans="23:23" x14ac:dyDescent="0.55000000000000004">
      <c r="W15899"/>
    </row>
    <row r="15900" spans="23:23" x14ac:dyDescent="0.55000000000000004">
      <c r="W15900"/>
    </row>
    <row r="15901" spans="23:23" x14ac:dyDescent="0.55000000000000004">
      <c r="W15901"/>
    </row>
    <row r="15902" spans="23:23" x14ac:dyDescent="0.55000000000000004">
      <c r="W15902"/>
    </row>
    <row r="15903" spans="23:23" x14ac:dyDescent="0.55000000000000004">
      <c r="W15903"/>
    </row>
    <row r="15904" spans="23:23" x14ac:dyDescent="0.55000000000000004">
      <c r="W15904"/>
    </row>
    <row r="15905" spans="23:23" x14ac:dyDescent="0.55000000000000004">
      <c r="W15905"/>
    </row>
    <row r="15906" spans="23:23" x14ac:dyDescent="0.55000000000000004">
      <c r="W15906"/>
    </row>
    <row r="15907" spans="23:23" x14ac:dyDescent="0.55000000000000004">
      <c r="W15907"/>
    </row>
    <row r="15908" spans="23:23" x14ac:dyDescent="0.55000000000000004">
      <c r="W15908"/>
    </row>
    <row r="15909" spans="23:23" x14ac:dyDescent="0.55000000000000004">
      <c r="W15909"/>
    </row>
    <row r="15910" spans="23:23" x14ac:dyDescent="0.55000000000000004">
      <c r="W15910"/>
    </row>
    <row r="15911" spans="23:23" x14ac:dyDescent="0.55000000000000004">
      <c r="W15911"/>
    </row>
    <row r="15912" spans="23:23" x14ac:dyDescent="0.55000000000000004">
      <c r="W15912"/>
    </row>
    <row r="15913" spans="23:23" x14ac:dyDescent="0.55000000000000004">
      <c r="W15913"/>
    </row>
    <row r="15914" spans="23:23" x14ac:dyDescent="0.55000000000000004">
      <c r="W15914"/>
    </row>
    <row r="15915" spans="23:23" x14ac:dyDescent="0.55000000000000004">
      <c r="W15915"/>
    </row>
    <row r="15916" spans="23:23" x14ac:dyDescent="0.55000000000000004">
      <c r="W15916"/>
    </row>
    <row r="15917" spans="23:23" x14ac:dyDescent="0.55000000000000004">
      <c r="W15917"/>
    </row>
    <row r="15918" spans="23:23" x14ac:dyDescent="0.55000000000000004">
      <c r="W15918"/>
    </row>
    <row r="15919" spans="23:23" x14ac:dyDescent="0.55000000000000004">
      <c r="W15919"/>
    </row>
    <row r="15920" spans="23:23" x14ac:dyDescent="0.55000000000000004">
      <c r="W15920"/>
    </row>
    <row r="15921" spans="23:23" x14ac:dyDescent="0.55000000000000004">
      <c r="W15921"/>
    </row>
    <row r="15922" spans="23:23" x14ac:dyDescent="0.55000000000000004">
      <c r="W15922"/>
    </row>
    <row r="15923" spans="23:23" x14ac:dyDescent="0.55000000000000004">
      <c r="W15923"/>
    </row>
    <row r="15924" spans="23:23" x14ac:dyDescent="0.55000000000000004">
      <c r="W15924"/>
    </row>
    <row r="15925" spans="23:23" x14ac:dyDescent="0.55000000000000004">
      <c r="W15925"/>
    </row>
    <row r="15926" spans="23:23" x14ac:dyDescent="0.55000000000000004">
      <c r="W15926"/>
    </row>
    <row r="15927" spans="23:23" x14ac:dyDescent="0.55000000000000004">
      <c r="W15927"/>
    </row>
    <row r="15928" spans="23:23" x14ac:dyDescent="0.55000000000000004">
      <c r="W15928"/>
    </row>
    <row r="15929" spans="23:23" x14ac:dyDescent="0.55000000000000004">
      <c r="W15929"/>
    </row>
    <row r="15930" spans="23:23" x14ac:dyDescent="0.55000000000000004">
      <c r="W15930"/>
    </row>
    <row r="15931" spans="23:23" x14ac:dyDescent="0.55000000000000004">
      <c r="W15931"/>
    </row>
    <row r="15932" spans="23:23" x14ac:dyDescent="0.55000000000000004">
      <c r="W15932"/>
    </row>
    <row r="15933" spans="23:23" x14ac:dyDescent="0.55000000000000004">
      <c r="W15933"/>
    </row>
    <row r="15934" spans="23:23" x14ac:dyDescent="0.55000000000000004">
      <c r="W15934"/>
    </row>
    <row r="15935" spans="23:23" x14ac:dyDescent="0.55000000000000004">
      <c r="W15935"/>
    </row>
    <row r="15936" spans="23:23" x14ac:dyDescent="0.55000000000000004">
      <c r="W15936"/>
    </row>
    <row r="15937" spans="23:23" x14ac:dyDescent="0.55000000000000004">
      <c r="W15937"/>
    </row>
    <row r="15938" spans="23:23" x14ac:dyDescent="0.55000000000000004">
      <c r="W15938"/>
    </row>
    <row r="15939" spans="23:23" x14ac:dyDescent="0.55000000000000004">
      <c r="W15939"/>
    </row>
    <row r="15940" spans="23:23" x14ac:dyDescent="0.55000000000000004">
      <c r="W15940"/>
    </row>
    <row r="15941" spans="23:23" x14ac:dyDescent="0.55000000000000004">
      <c r="W15941"/>
    </row>
    <row r="15942" spans="23:23" x14ac:dyDescent="0.55000000000000004">
      <c r="W15942"/>
    </row>
    <row r="15943" spans="23:23" x14ac:dyDescent="0.55000000000000004">
      <c r="W15943"/>
    </row>
    <row r="15944" spans="23:23" x14ac:dyDescent="0.55000000000000004">
      <c r="W15944"/>
    </row>
    <row r="15945" spans="23:23" x14ac:dyDescent="0.55000000000000004">
      <c r="W15945"/>
    </row>
    <row r="15946" spans="23:23" x14ac:dyDescent="0.55000000000000004">
      <c r="W15946"/>
    </row>
    <row r="15947" spans="23:23" x14ac:dyDescent="0.55000000000000004">
      <c r="W15947"/>
    </row>
    <row r="15948" spans="23:23" x14ac:dyDescent="0.55000000000000004">
      <c r="W15948"/>
    </row>
    <row r="15949" spans="23:23" x14ac:dyDescent="0.55000000000000004">
      <c r="W15949"/>
    </row>
    <row r="15950" spans="23:23" x14ac:dyDescent="0.55000000000000004">
      <c r="W15950"/>
    </row>
    <row r="15951" spans="23:23" x14ac:dyDescent="0.55000000000000004">
      <c r="W15951"/>
    </row>
    <row r="15952" spans="23:23" x14ac:dyDescent="0.55000000000000004">
      <c r="W15952"/>
    </row>
    <row r="15953" spans="23:23" x14ac:dyDescent="0.55000000000000004">
      <c r="W15953"/>
    </row>
    <row r="15954" spans="23:23" x14ac:dyDescent="0.55000000000000004">
      <c r="W15954"/>
    </row>
    <row r="15955" spans="23:23" x14ac:dyDescent="0.55000000000000004">
      <c r="W15955"/>
    </row>
    <row r="15956" spans="23:23" x14ac:dyDescent="0.55000000000000004">
      <c r="W15956"/>
    </row>
    <row r="15957" spans="23:23" x14ac:dyDescent="0.55000000000000004">
      <c r="W15957"/>
    </row>
    <row r="15958" spans="23:23" x14ac:dyDescent="0.55000000000000004">
      <c r="W15958"/>
    </row>
    <row r="15959" spans="23:23" x14ac:dyDescent="0.55000000000000004">
      <c r="W15959"/>
    </row>
    <row r="15960" spans="23:23" x14ac:dyDescent="0.55000000000000004">
      <c r="W15960"/>
    </row>
    <row r="15961" spans="23:23" x14ac:dyDescent="0.55000000000000004">
      <c r="W15961"/>
    </row>
    <row r="15962" spans="23:23" x14ac:dyDescent="0.55000000000000004">
      <c r="W15962"/>
    </row>
    <row r="15963" spans="23:23" x14ac:dyDescent="0.55000000000000004">
      <c r="W15963"/>
    </row>
    <row r="15964" spans="23:23" x14ac:dyDescent="0.55000000000000004">
      <c r="W15964"/>
    </row>
    <row r="15965" spans="23:23" x14ac:dyDescent="0.55000000000000004">
      <c r="W15965"/>
    </row>
    <row r="15966" spans="23:23" x14ac:dyDescent="0.55000000000000004">
      <c r="W15966"/>
    </row>
    <row r="15967" spans="23:23" x14ac:dyDescent="0.55000000000000004">
      <c r="W15967"/>
    </row>
    <row r="15968" spans="23:23" x14ac:dyDescent="0.55000000000000004">
      <c r="W15968"/>
    </row>
    <row r="15969" spans="23:23" x14ac:dyDescent="0.55000000000000004">
      <c r="W15969"/>
    </row>
    <row r="15970" spans="23:23" x14ac:dyDescent="0.55000000000000004">
      <c r="W15970"/>
    </row>
    <row r="15971" spans="23:23" x14ac:dyDescent="0.55000000000000004">
      <c r="W15971"/>
    </row>
    <row r="15972" spans="23:23" x14ac:dyDescent="0.55000000000000004">
      <c r="W15972"/>
    </row>
    <row r="15973" spans="23:23" x14ac:dyDescent="0.55000000000000004">
      <c r="W15973"/>
    </row>
    <row r="15974" spans="23:23" x14ac:dyDescent="0.55000000000000004">
      <c r="W15974"/>
    </row>
    <row r="15975" spans="23:23" x14ac:dyDescent="0.55000000000000004">
      <c r="W15975"/>
    </row>
    <row r="15976" spans="23:23" x14ac:dyDescent="0.55000000000000004">
      <c r="W15976"/>
    </row>
    <row r="15977" spans="23:23" x14ac:dyDescent="0.55000000000000004">
      <c r="W15977"/>
    </row>
    <row r="15978" spans="23:23" x14ac:dyDescent="0.55000000000000004">
      <c r="W15978"/>
    </row>
    <row r="15979" spans="23:23" x14ac:dyDescent="0.55000000000000004">
      <c r="W15979"/>
    </row>
    <row r="15980" spans="23:23" x14ac:dyDescent="0.55000000000000004">
      <c r="W15980"/>
    </row>
    <row r="15981" spans="23:23" x14ac:dyDescent="0.55000000000000004">
      <c r="W15981"/>
    </row>
    <row r="15982" spans="23:23" x14ac:dyDescent="0.55000000000000004">
      <c r="W15982"/>
    </row>
    <row r="15983" spans="23:23" x14ac:dyDescent="0.55000000000000004">
      <c r="W15983"/>
    </row>
    <row r="15984" spans="23:23" x14ac:dyDescent="0.55000000000000004">
      <c r="W15984"/>
    </row>
    <row r="15985" spans="23:23" x14ac:dyDescent="0.55000000000000004">
      <c r="W15985"/>
    </row>
    <row r="15986" spans="23:23" x14ac:dyDescent="0.55000000000000004">
      <c r="W15986"/>
    </row>
    <row r="15987" spans="23:23" x14ac:dyDescent="0.55000000000000004">
      <c r="W15987"/>
    </row>
    <row r="15988" spans="23:23" x14ac:dyDescent="0.55000000000000004">
      <c r="W15988"/>
    </row>
    <row r="15989" spans="23:23" x14ac:dyDescent="0.55000000000000004">
      <c r="W15989"/>
    </row>
    <row r="15990" spans="23:23" x14ac:dyDescent="0.55000000000000004">
      <c r="W15990"/>
    </row>
    <row r="15991" spans="23:23" x14ac:dyDescent="0.55000000000000004">
      <c r="W15991"/>
    </row>
    <row r="15992" spans="23:23" x14ac:dyDescent="0.55000000000000004">
      <c r="W15992"/>
    </row>
    <row r="15993" spans="23:23" x14ac:dyDescent="0.55000000000000004">
      <c r="W15993"/>
    </row>
    <row r="15994" spans="23:23" x14ac:dyDescent="0.55000000000000004">
      <c r="W15994"/>
    </row>
    <row r="15995" spans="23:23" x14ac:dyDescent="0.55000000000000004">
      <c r="W15995"/>
    </row>
    <row r="15996" spans="23:23" x14ac:dyDescent="0.55000000000000004">
      <c r="W15996"/>
    </row>
    <row r="15997" spans="23:23" x14ac:dyDescent="0.55000000000000004">
      <c r="W15997"/>
    </row>
    <row r="15998" spans="23:23" x14ac:dyDescent="0.55000000000000004">
      <c r="W15998"/>
    </row>
    <row r="15999" spans="23:23" x14ac:dyDescent="0.55000000000000004">
      <c r="W15999"/>
    </row>
    <row r="16000" spans="23:23" x14ac:dyDescent="0.55000000000000004">
      <c r="W16000"/>
    </row>
    <row r="16001" spans="23:23" x14ac:dyDescent="0.55000000000000004">
      <c r="W16001"/>
    </row>
    <row r="16002" spans="23:23" x14ac:dyDescent="0.55000000000000004">
      <c r="W16002"/>
    </row>
    <row r="16003" spans="23:23" x14ac:dyDescent="0.55000000000000004">
      <c r="W16003"/>
    </row>
    <row r="16004" spans="23:23" x14ac:dyDescent="0.55000000000000004">
      <c r="W16004"/>
    </row>
    <row r="16005" spans="23:23" x14ac:dyDescent="0.55000000000000004">
      <c r="W16005"/>
    </row>
    <row r="16006" spans="23:23" x14ac:dyDescent="0.55000000000000004">
      <c r="W16006"/>
    </row>
    <row r="16007" spans="23:23" x14ac:dyDescent="0.55000000000000004">
      <c r="W16007"/>
    </row>
    <row r="16008" spans="23:23" x14ac:dyDescent="0.55000000000000004">
      <c r="W16008"/>
    </row>
    <row r="16009" spans="23:23" x14ac:dyDescent="0.55000000000000004">
      <c r="W16009"/>
    </row>
    <row r="16010" spans="23:23" x14ac:dyDescent="0.55000000000000004">
      <c r="W16010"/>
    </row>
    <row r="16011" spans="23:23" x14ac:dyDescent="0.55000000000000004">
      <c r="W16011"/>
    </row>
    <row r="16012" spans="23:23" x14ac:dyDescent="0.55000000000000004">
      <c r="W16012"/>
    </row>
    <row r="16013" spans="23:23" x14ac:dyDescent="0.55000000000000004">
      <c r="W16013"/>
    </row>
    <row r="16014" spans="23:23" x14ac:dyDescent="0.55000000000000004">
      <c r="W16014"/>
    </row>
    <row r="16015" spans="23:23" x14ac:dyDescent="0.55000000000000004">
      <c r="W16015"/>
    </row>
    <row r="16016" spans="23:23" x14ac:dyDescent="0.55000000000000004">
      <c r="W16016"/>
    </row>
    <row r="16017" spans="23:23" x14ac:dyDescent="0.55000000000000004">
      <c r="W16017"/>
    </row>
    <row r="16018" spans="23:23" x14ac:dyDescent="0.55000000000000004">
      <c r="W16018"/>
    </row>
    <row r="16019" spans="23:23" x14ac:dyDescent="0.55000000000000004">
      <c r="W16019"/>
    </row>
    <row r="16020" spans="23:23" x14ac:dyDescent="0.55000000000000004">
      <c r="W16020"/>
    </row>
    <row r="16021" spans="23:23" x14ac:dyDescent="0.55000000000000004">
      <c r="W16021"/>
    </row>
    <row r="16022" spans="23:23" x14ac:dyDescent="0.55000000000000004">
      <c r="W16022"/>
    </row>
    <row r="16023" spans="23:23" x14ac:dyDescent="0.55000000000000004">
      <c r="W16023"/>
    </row>
    <row r="16024" spans="23:23" x14ac:dyDescent="0.55000000000000004">
      <c r="W16024"/>
    </row>
    <row r="16025" spans="23:23" x14ac:dyDescent="0.55000000000000004">
      <c r="W16025"/>
    </row>
    <row r="16026" spans="23:23" x14ac:dyDescent="0.55000000000000004">
      <c r="W16026"/>
    </row>
    <row r="16027" spans="23:23" x14ac:dyDescent="0.55000000000000004">
      <c r="W16027"/>
    </row>
    <row r="16028" spans="23:23" x14ac:dyDescent="0.55000000000000004">
      <c r="W16028"/>
    </row>
    <row r="16029" spans="23:23" x14ac:dyDescent="0.55000000000000004">
      <c r="W16029"/>
    </row>
    <row r="16030" spans="23:23" x14ac:dyDescent="0.55000000000000004">
      <c r="W16030"/>
    </row>
    <row r="16031" spans="23:23" x14ac:dyDescent="0.55000000000000004">
      <c r="W16031"/>
    </row>
    <row r="16032" spans="23:23" x14ac:dyDescent="0.55000000000000004">
      <c r="W16032"/>
    </row>
    <row r="16033" spans="23:23" x14ac:dyDescent="0.55000000000000004">
      <c r="W16033"/>
    </row>
    <row r="16034" spans="23:23" x14ac:dyDescent="0.55000000000000004">
      <c r="W16034"/>
    </row>
    <row r="16035" spans="23:23" x14ac:dyDescent="0.55000000000000004">
      <c r="W16035"/>
    </row>
    <row r="16036" spans="23:23" x14ac:dyDescent="0.55000000000000004">
      <c r="W16036"/>
    </row>
    <row r="16037" spans="23:23" x14ac:dyDescent="0.55000000000000004">
      <c r="W16037"/>
    </row>
    <row r="16038" spans="23:23" x14ac:dyDescent="0.55000000000000004">
      <c r="W16038"/>
    </row>
    <row r="16039" spans="23:23" x14ac:dyDescent="0.55000000000000004">
      <c r="W16039"/>
    </row>
    <row r="16040" spans="23:23" x14ac:dyDescent="0.55000000000000004">
      <c r="W16040"/>
    </row>
    <row r="16041" spans="23:23" x14ac:dyDescent="0.55000000000000004">
      <c r="W16041"/>
    </row>
    <row r="16042" spans="23:23" x14ac:dyDescent="0.55000000000000004">
      <c r="W16042"/>
    </row>
    <row r="16043" spans="23:23" x14ac:dyDescent="0.55000000000000004">
      <c r="W16043"/>
    </row>
    <row r="16044" spans="23:23" x14ac:dyDescent="0.55000000000000004">
      <c r="W16044"/>
    </row>
    <row r="16045" spans="23:23" x14ac:dyDescent="0.55000000000000004">
      <c r="W16045"/>
    </row>
    <row r="16046" spans="23:23" x14ac:dyDescent="0.55000000000000004">
      <c r="W16046"/>
    </row>
    <row r="16047" spans="23:23" x14ac:dyDescent="0.55000000000000004">
      <c r="W16047"/>
    </row>
    <row r="16048" spans="23:23" x14ac:dyDescent="0.55000000000000004">
      <c r="W16048"/>
    </row>
    <row r="16049" spans="23:23" x14ac:dyDescent="0.55000000000000004">
      <c r="W16049"/>
    </row>
    <row r="16050" spans="23:23" x14ac:dyDescent="0.55000000000000004">
      <c r="W16050"/>
    </row>
    <row r="16051" spans="23:23" x14ac:dyDescent="0.55000000000000004">
      <c r="W16051"/>
    </row>
    <row r="16052" spans="23:23" x14ac:dyDescent="0.55000000000000004">
      <c r="W16052"/>
    </row>
    <row r="16053" spans="23:23" x14ac:dyDescent="0.55000000000000004">
      <c r="W16053"/>
    </row>
    <row r="16054" spans="23:23" x14ac:dyDescent="0.55000000000000004">
      <c r="W16054"/>
    </row>
    <row r="16055" spans="23:23" x14ac:dyDescent="0.55000000000000004">
      <c r="W16055"/>
    </row>
    <row r="16056" spans="23:23" x14ac:dyDescent="0.55000000000000004">
      <c r="W16056"/>
    </row>
    <row r="16057" spans="23:23" x14ac:dyDescent="0.55000000000000004">
      <c r="W16057"/>
    </row>
    <row r="16058" spans="23:23" x14ac:dyDescent="0.55000000000000004">
      <c r="W16058"/>
    </row>
    <row r="16059" spans="23:23" x14ac:dyDescent="0.55000000000000004">
      <c r="W16059"/>
    </row>
    <row r="16060" spans="23:23" x14ac:dyDescent="0.55000000000000004">
      <c r="W16060"/>
    </row>
    <row r="16061" spans="23:23" x14ac:dyDescent="0.55000000000000004">
      <c r="W16061"/>
    </row>
    <row r="16062" spans="23:23" x14ac:dyDescent="0.55000000000000004">
      <c r="W16062"/>
    </row>
    <row r="16063" spans="23:23" x14ac:dyDescent="0.55000000000000004">
      <c r="W16063"/>
    </row>
    <row r="16064" spans="23:23" x14ac:dyDescent="0.55000000000000004">
      <c r="W16064"/>
    </row>
    <row r="16065" spans="23:23" x14ac:dyDescent="0.55000000000000004">
      <c r="W16065"/>
    </row>
    <row r="16066" spans="23:23" x14ac:dyDescent="0.55000000000000004">
      <c r="W16066"/>
    </row>
    <row r="16067" spans="23:23" x14ac:dyDescent="0.55000000000000004">
      <c r="W16067"/>
    </row>
    <row r="16068" spans="23:23" x14ac:dyDescent="0.55000000000000004">
      <c r="W16068"/>
    </row>
    <row r="16069" spans="23:23" x14ac:dyDescent="0.55000000000000004">
      <c r="W16069"/>
    </row>
    <row r="16070" spans="23:23" x14ac:dyDescent="0.55000000000000004">
      <c r="W16070"/>
    </row>
    <row r="16071" spans="23:23" x14ac:dyDescent="0.55000000000000004">
      <c r="W16071"/>
    </row>
    <row r="16072" spans="23:23" x14ac:dyDescent="0.55000000000000004">
      <c r="W16072"/>
    </row>
    <row r="16073" spans="23:23" x14ac:dyDescent="0.55000000000000004">
      <c r="W16073"/>
    </row>
    <row r="16074" spans="23:23" x14ac:dyDescent="0.55000000000000004">
      <c r="W16074"/>
    </row>
    <row r="16075" spans="23:23" x14ac:dyDescent="0.55000000000000004">
      <c r="W16075"/>
    </row>
    <row r="16076" spans="23:23" x14ac:dyDescent="0.55000000000000004">
      <c r="W16076"/>
    </row>
    <row r="16077" spans="23:23" x14ac:dyDescent="0.55000000000000004">
      <c r="W16077"/>
    </row>
    <row r="16078" spans="23:23" x14ac:dyDescent="0.55000000000000004">
      <c r="W16078"/>
    </row>
    <row r="16079" spans="23:23" x14ac:dyDescent="0.55000000000000004">
      <c r="W16079"/>
    </row>
    <row r="16080" spans="23:23" x14ac:dyDescent="0.55000000000000004">
      <c r="W16080"/>
    </row>
    <row r="16081" spans="23:23" x14ac:dyDescent="0.55000000000000004">
      <c r="W16081"/>
    </row>
    <row r="16082" spans="23:23" x14ac:dyDescent="0.55000000000000004">
      <c r="W16082"/>
    </row>
    <row r="16083" spans="23:23" x14ac:dyDescent="0.55000000000000004">
      <c r="W16083"/>
    </row>
    <row r="16084" spans="23:23" x14ac:dyDescent="0.55000000000000004">
      <c r="W16084"/>
    </row>
    <row r="16085" spans="23:23" x14ac:dyDescent="0.55000000000000004">
      <c r="W16085"/>
    </row>
    <row r="16086" spans="23:23" x14ac:dyDescent="0.55000000000000004">
      <c r="W16086"/>
    </row>
    <row r="16087" spans="23:23" x14ac:dyDescent="0.55000000000000004">
      <c r="W16087"/>
    </row>
    <row r="16088" spans="23:23" x14ac:dyDescent="0.55000000000000004">
      <c r="W16088"/>
    </row>
    <row r="16089" spans="23:23" x14ac:dyDescent="0.55000000000000004">
      <c r="W16089"/>
    </row>
    <row r="16090" spans="23:23" x14ac:dyDescent="0.55000000000000004">
      <c r="W16090"/>
    </row>
    <row r="16091" spans="23:23" x14ac:dyDescent="0.55000000000000004">
      <c r="W16091"/>
    </row>
    <row r="16092" spans="23:23" x14ac:dyDescent="0.55000000000000004">
      <c r="W16092"/>
    </row>
    <row r="16093" spans="23:23" x14ac:dyDescent="0.55000000000000004">
      <c r="W16093"/>
    </row>
    <row r="16094" spans="23:23" x14ac:dyDescent="0.55000000000000004">
      <c r="W16094"/>
    </row>
    <row r="16095" spans="23:23" x14ac:dyDescent="0.55000000000000004">
      <c r="W16095"/>
    </row>
    <row r="16096" spans="23:23" x14ac:dyDescent="0.55000000000000004">
      <c r="W16096"/>
    </row>
    <row r="16097" spans="23:23" x14ac:dyDescent="0.55000000000000004">
      <c r="W16097"/>
    </row>
    <row r="16098" spans="23:23" x14ac:dyDescent="0.55000000000000004">
      <c r="W16098"/>
    </row>
    <row r="16099" spans="23:23" x14ac:dyDescent="0.55000000000000004">
      <c r="W16099"/>
    </row>
    <row r="16100" spans="23:23" x14ac:dyDescent="0.55000000000000004">
      <c r="W16100"/>
    </row>
    <row r="16101" spans="23:23" x14ac:dyDescent="0.55000000000000004">
      <c r="W16101"/>
    </row>
    <row r="16102" spans="23:23" x14ac:dyDescent="0.55000000000000004">
      <c r="W16102"/>
    </row>
    <row r="16103" spans="23:23" x14ac:dyDescent="0.55000000000000004">
      <c r="W16103"/>
    </row>
    <row r="16104" spans="23:23" x14ac:dyDescent="0.55000000000000004">
      <c r="W16104"/>
    </row>
    <row r="16105" spans="23:23" x14ac:dyDescent="0.55000000000000004">
      <c r="W16105"/>
    </row>
    <row r="16106" spans="23:23" x14ac:dyDescent="0.55000000000000004">
      <c r="W16106"/>
    </row>
    <row r="16107" spans="23:23" x14ac:dyDescent="0.55000000000000004">
      <c r="W16107"/>
    </row>
    <row r="16108" spans="23:23" x14ac:dyDescent="0.55000000000000004">
      <c r="W16108"/>
    </row>
    <row r="16109" spans="23:23" x14ac:dyDescent="0.55000000000000004">
      <c r="W16109"/>
    </row>
    <row r="16110" spans="23:23" x14ac:dyDescent="0.55000000000000004">
      <c r="W16110"/>
    </row>
    <row r="16111" spans="23:23" x14ac:dyDescent="0.55000000000000004">
      <c r="W16111"/>
    </row>
    <row r="16112" spans="23:23" x14ac:dyDescent="0.55000000000000004">
      <c r="W16112"/>
    </row>
    <row r="16113" spans="23:23" x14ac:dyDescent="0.55000000000000004">
      <c r="W16113"/>
    </row>
    <row r="16114" spans="23:23" x14ac:dyDescent="0.55000000000000004">
      <c r="W16114"/>
    </row>
    <row r="16115" spans="23:23" x14ac:dyDescent="0.55000000000000004">
      <c r="W16115"/>
    </row>
    <row r="16116" spans="23:23" x14ac:dyDescent="0.55000000000000004">
      <c r="W16116"/>
    </row>
    <row r="16117" spans="23:23" x14ac:dyDescent="0.55000000000000004">
      <c r="W16117"/>
    </row>
    <row r="16118" spans="23:23" x14ac:dyDescent="0.55000000000000004">
      <c r="W16118"/>
    </row>
    <row r="16119" spans="23:23" x14ac:dyDescent="0.55000000000000004">
      <c r="W16119"/>
    </row>
    <row r="16120" spans="23:23" x14ac:dyDescent="0.55000000000000004">
      <c r="W16120"/>
    </row>
    <row r="16121" spans="23:23" x14ac:dyDescent="0.55000000000000004">
      <c r="W16121"/>
    </row>
    <row r="16122" spans="23:23" x14ac:dyDescent="0.55000000000000004">
      <c r="W16122"/>
    </row>
    <row r="16123" spans="23:23" x14ac:dyDescent="0.55000000000000004">
      <c r="W16123"/>
    </row>
    <row r="16124" spans="23:23" x14ac:dyDescent="0.55000000000000004">
      <c r="W16124"/>
    </row>
    <row r="16125" spans="23:23" x14ac:dyDescent="0.55000000000000004">
      <c r="W16125"/>
    </row>
    <row r="16126" spans="23:23" x14ac:dyDescent="0.55000000000000004">
      <c r="W16126"/>
    </row>
    <row r="16127" spans="23:23" x14ac:dyDescent="0.55000000000000004">
      <c r="W16127"/>
    </row>
    <row r="16128" spans="23:23" x14ac:dyDescent="0.55000000000000004">
      <c r="W16128"/>
    </row>
    <row r="16129" spans="23:23" x14ac:dyDescent="0.55000000000000004">
      <c r="W16129"/>
    </row>
    <row r="16130" spans="23:23" x14ac:dyDescent="0.55000000000000004">
      <c r="W16130"/>
    </row>
    <row r="16131" spans="23:23" x14ac:dyDescent="0.55000000000000004">
      <c r="W16131"/>
    </row>
    <row r="16132" spans="23:23" x14ac:dyDescent="0.55000000000000004">
      <c r="W16132"/>
    </row>
    <row r="16133" spans="23:23" x14ac:dyDescent="0.55000000000000004">
      <c r="W16133"/>
    </row>
    <row r="16134" spans="23:23" x14ac:dyDescent="0.55000000000000004">
      <c r="W16134"/>
    </row>
    <row r="16135" spans="23:23" x14ac:dyDescent="0.55000000000000004">
      <c r="W16135"/>
    </row>
    <row r="16136" spans="23:23" x14ac:dyDescent="0.55000000000000004">
      <c r="W16136"/>
    </row>
    <row r="16137" spans="23:23" x14ac:dyDescent="0.55000000000000004">
      <c r="W16137"/>
    </row>
    <row r="16138" spans="23:23" x14ac:dyDescent="0.55000000000000004">
      <c r="W16138"/>
    </row>
    <row r="16139" spans="23:23" x14ac:dyDescent="0.55000000000000004">
      <c r="W16139"/>
    </row>
    <row r="16140" spans="23:23" x14ac:dyDescent="0.55000000000000004">
      <c r="W16140"/>
    </row>
    <row r="16141" spans="23:23" x14ac:dyDescent="0.55000000000000004">
      <c r="W16141"/>
    </row>
    <row r="16142" spans="23:23" x14ac:dyDescent="0.55000000000000004">
      <c r="W16142"/>
    </row>
    <row r="16143" spans="23:23" x14ac:dyDescent="0.55000000000000004">
      <c r="W16143"/>
    </row>
    <row r="16144" spans="23:23" x14ac:dyDescent="0.55000000000000004">
      <c r="W16144"/>
    </row>
    <row r="16145" spans="23:23" x14ac:dyDescent="0.55000000000000004">
      <c r="W16145"/>
    </row>
    <row r="16146" spans="23:23" x14ac:dyDescent="0.55000000000000004">
      <c r="W16146"/>
    </row>
    <row r="16147" spans="23:23" x14ac:dyDescent="0.55000000000000004">
      <c r="W16147"/>
    </row>
    <row r="16148" spans="23:23" x14ac:dyDescent="0.55000000000000004">
      <c r="W16148"/>
    </row>
    <row r="16149" spans="23:23" x14ac:dyDescent="0.55000000000000004">
      <c r="W16149"/>
    </row>
    <row r="16150" spans="23:23" x14ac:dyDescent="0.55000000000000004">
      <c r="W16150"/>
    </row>
    <row r="16151" spans="23:23" x14ac:dyDescent="0.55000000000000004">
      <c r="W16151"/>
    </row>
    <row r="16152" spans="23:23" x14ac:dyDescent="0.55000000000000004">
      <c r="W16152"/>
    </row>
    <row r="16153" spans="23:23" x14ac:dyDescent="0.55000000000000004">
      <c r="W16153"/>
    </row>
    <row r="16154" spans="23:23" x14ac:dyDescent="0.55000000000000004">
      <c r="W16154"/>
    </row>
    <row r="16155" spans="23:23" x14ac:dyDescent="0.55000000000000004">
      <c r="W16155"/>
    </row>
    <row r="16156" spans="23:23" x14ac:dyDescent="0.55000000000000004">
      <c r="W16156"/>
    </row>
    <row r="16157" spans="23:23" x14ac:dyDescent="0.55000000000000004">
      <c r="W16157"/>
    </row>
    <row r="16158" spans="23:23" x14ac:dyDescent="0.55000000000000004">
      <c r="W16158"/>
    </row>
    <row r="16159" spans="23:23" x14ac:dyDescent="0.55000000000000004">
      <c r="W16159"/>
    </row>
    <row r="16160" spans="23:23" x14ac:dyDescent="0.55000000000000004">
      <c r="W16160"/>
    </row>
    <row r="16161" spans="23:23" x14ac:dyDescent="0.55000000000000004">
      <c r="W16161"/>
    </row>
    <row r="16162" spans="23:23" x14ac:dyDescent="0.55000000000000004">
      <c r="W16162"/>
    </row>
    <row r="16163" spans="23:23" x14ac:dyDescent="0.55000000000000004">
      <c r="W16163"/>
    </row>
    <row r="16164" spans="23:23" x14ac:dyDescent="0.55000000000000004">
      <c r="W16164"/>
    </row>
    <row r="16165" spans="23:23" x14ac:dyDescent="0.55000000000000004">
      <c r="W16165"/>
    </row>
    <row r="16166" spans="23:23" x14ac:dyDescent="0.55000000000000004">
      <c r="W16166"/>
    </row>
    <row r="16167" spans="23:23" x14ac:dyDescent="0.55000000000000004">
      <c r="W16167"/>
    </row>
    <row r="16168" spans="23:23" x14ac:dyDescent="0.55000000000000004">
      <c r="W16168"/>
    </row>
    <row r="16169" spans="23:23" x14ac:dyDescent="0.55000000000000004">
      <c r="W16169"/>
    </row>
    <row r="16170" spans="23:23" x14ac:dyDescent="0.55000000000000004">
      <c r="W16170"/>
    </row>
    <row r="16171" spans="23:23" x14ac:dyDescent="0.55000000000000004">
      <c r="W16171"/>
    </row>
    <row r="16172" spans="23:23" x14ac:dyDescent="0.55000000000000004">
      <c r="W16172"/>
    </row>
    <row r="16173" spans="23:23" x14ac:dyDescent="0.55000000000000004">
      <c r="W16173"/>
    </row>
    <row r="16174" spans="23:23" x14ac:dyDescent="0.55000000000000004">
      <c r="W16174"/>
    </row>
    <row r="16175" spans="23:23" x14ac:dyDescent="0.55000000000000004">
      <c r="W16175"/>
    </row>
    <row r="16176" spans="23:23" x14ac:dyDescent="0.55000000000000004">
      <c r="W16176"/>
    </row>
    <row r="16177" spans="23:23" x14ac:dyDescent="0.55000000000000004">
      <c r="W16177"/>
    </row>
    <row r="16178" spans="23:23" x14ac:dyDescent="0.55000000000000004">
      <c r="W16178"/>
    </row>
    <row r="16179" spans="23:23" x14ac:dyDescent="0.55000000000000004">
      <c r="W16179"/>
    </row>
    <row r="16180" spans="23:23" x14ac:dyDescent="0.55000000000000004">
      <c r="W16180"/>
    </row>
    <row r="16181" spans="23:23" x14ac:dyDescent="0.55000000000000004">
      <c r="W16181"/>
    </row>
    <row r="16182" spans="23:23" x14ac:dyDescent="0.55000000000000004">
      <c r="W16182"/>
    </row>
    <row r="16183" spans="23:23" x14ac:dyDescent="0.55000000000000004">
      <c r="W16183"/>
    </row>
    <row r="16184" spans="23:23" x14ac:dyDescent="0.55000000000000004">
      <c r="W16184"/>
    </row>
    <row r="16185" spans="23:23" x14ac:dyDescent="0.55000000000000004">
      <c r="W16185"/>
    </row>
    <row r="16186" spans="23:23" x14ac:dyDescent="0.55000000000000004">
      <c r="W16186"/>
    </row>
    <row r="16187" spans="23:23" x14ac:dyDescent="0.55000000000000004">
      <c r="W16187"/>
    </row>
    <row r="16188" spans="23:23" x14ac:dyDescent="0.55000000000000004">
      <c r="W16188"/>
    </row>
    <row r="16189" spans="23:23" x14ac:dyDescent="0.55000000000000004">
      <c r="W16189"/>
    </row>
    <row r="16190" spans="23:23" x14ac:dyDescent="0.55000000000000004">
      <c r="W16190"/>
    </row>
    <row r="16191" spans="23:23" x14ac:dyDescent="0.55000000000000004">
      <c r="W16191"/>
    </row>
    <row r="16192" spans="23:23" x14ac:dyDescent="0.55000000000000004">
      <c r="W16192"/>
    </row>
    <row r="16193" spans="23:23" x14ac:dyDescent="0.55000000000000004">
      <c r="W16193"/>
    </row>
    <row r="16194" spans="23:23" x14ac:dyDescent="0.55000000000000004">
      <c r="W16194"/>
    </row>
    <row r="16195" spans="23:23" x14ac:dyDescent="0.55000000000000004">
      <c r="W16195"/>
    </row>
    <row r="16196" spans="23:23" x14ac:dyDescent="0.55000000000000004">
      <c r="W16196"/>
    </row>
    <row r="16197" spans="23:23" x14ac:dyDescent="0.55000000000000004">
      <c r="W16197"/>
    </row>
    <row r="16198" spans="23:23" x14ac:dyDescent="0.55000000000000004">
      <c r="W16198"/>
    </row>
    <row r="16199" spans="23:23" x14ac:dyDescent="0.55000000000000004">
      <c r="W16199"/>
    </row>
    <row r="16200" spans="23:23" x14ac:dyDescent="0.55000000000000004">
      <c r="W16200"/>
    </row>
    <row r="16201" spans="23:23" x14ac:dyDescent="0.55000000000000004">
      <c r="W16201"/>
    </row>
    <row r="16202" spans="23:23" x14ac:dyDescent="0.55000000000000004">
      <c r="W16202"/>
    </row>
    <row r="16203" spans="23:23" x14ac:dyDescent="0.55000000000000004">
      <c r="W16203"/>
    </row>
    <row r="16204" spans="23:23" x14ac:dyDescent="0.55000000000000004">
      <c r="W16204"/>
    </row>
    <row r="16205" spans="23:23" x14ac:dyDescent="0.55000000000000004">
      <c r="W16205"/>
    </row>
    <row r="16206" spans="23:23" x14ac:dyDescent="0.55000000000000004">
      <c r="W16206"/>
    </row>
    <row r="16207" spans="23:23" x14ac:dyDescent="0.55000000000000004">
      <c r="W16207"/>
    </row>
    <row r="16208" spans="23:23" x14ac:dyDescent="0.55000000000000004">
      <c r="W16208"/>
    </row>
    <row r="16209" spans="23:23" x14ac:dyDescent="0.55000000000000004">
      <c r="W16209"/>
    </row>
    <row r="16210" spans="23:23" x14ac:dyDescent="0.55000000000000004">
      <c r="W16210"/>
    </row>
    <row r="16211" spans="23:23" x14ac:dyDescent="0.55000000000000004">
      <c r="W16211"/>
    </row>
    <row r="16212" spans="23:23" x14ac:dyDescent="0.55000000000000004">
      <c r="W16212"/>
    </row>
    <row r="16213" spans="23:23" x14ac:dyDescent="0.55000000000000004">
      <c r="W16213"/>
    </row>
    <row r="16214" spans="23:23" x14ac:dyDescent="0.55000000000000004">
      <c r="W16214"/>
    </row>
    <row r="16215" spans="23:23" x14ac:dyDescent="0.55000000000000004">
      <c r="W16215"/>
    </row>
    <row r="16216" spans="23:23" x14ac:dyDescent="0.55000000000000004">
      <c r="W16216"/>
    </row>
    <row r="16217" spans="23:23" x14ac:dyDescent="0.55000000000000004">
      <c r="W16217"/>
    </row>
    <row r="16218" spans="23:23" x14ac:dyDescent="0.55000000000000004">
      <c r="W16218"/>
    </row>
    <row r="16219" spans="23:23" x14ac:dyDescent="0.55000000000000004">
      <c r="W16219"/>
    </row>
    <row r="16220" spans="23:23" x14ac:dyDescent="0.55000000000000004">
      <c r="W16220"/>
    </row>
    <row r="16221" spans="23:23" x14ac:dyDescent="0.55000000000000004">
      <c r="W16221"/>
    </row>
    <row r="16222" spans="23:23" x14ac:dyDescent="0.55000000000000004">
      <c r="W16222"/>
    </row>
    <row r="16223" spans="23:23" x14ac:dyDescent="0.55000000000000004">
      <c r="W16223"/>
    </row>
    <row r="16224" spans="23:23" x14ac:dyDescent="0.55000000000000004">
      <c r="W16224"/>
    </row>
    <row r="16225" spans="23:23" x14ac:dyDescent="0.55000000000000004">
      <c r="W16225"/>
    </row>
    <row r="16226" spans="23:23" x14ac:dyDescent="0.55000000000000004">
      <c r="W16226"/>
    </row>
    <row r="16227" spans="23:23" x14ac:dyDescent="0.55000000000000004">
      <c r="W16227"/>
    </row>
    <row r="16228" spans="23:23" x14ac:dyDescent="0.55000000000000004">
      <c r="W16228"/>
    </row>
    <row r="16229" spans="23:23" x14ac:dyDescent="0.55000000000000004">
      <c r="W16229"/>
    </row>
    <row r="16230" spans="23:23" x14ac:dyDescent="0.55000000000000004">
      <c r="W16230"/>
    </row>
    <row r="16231" spans="23:23" x14ac:dyDescent="0.55000000000000004">
      <c r="W16231"/>
    </row>
    <row r="16232" spans="23:23" x14ac:dyDescent="0.55000000000000004">
      <c r="W16232"/>
    </row>
    <row r="16233" spans="23:23" x14ac:dyDescent="0.55000000000000004">
      <c r="W16233"/>
    </row>
    <row r="16234" spans="23:23" x14ac:dyDescent="0.55000000000000004">
      <c r="W16234"/>
    </row>
    <row r="16235" spans="23:23" x14ac:dyDescent="0.55000000000000004">
      <c r="W16235"/>
    </row>
    <row r="16236" spans="23:23" x14ac:dyDescent="0.55000000000000004">
      <c r="W16236"/>
    </row>
    <row r="16237" spans="23:23" x14ac:dyDescent="0.55000000000000004">
      <c r="W16237"/>
    </row>
    <row r="16238" spans="23:23" x14ac:dyDescent="0.55000000000000004">
      <c r="W16238"/>
    </row>
    <row r="16239" spans="23:23" x14ac:dyDescent="0.55000000000000004">
      <c r="W16239"/>
    </row>
    <row r="16240" spans="23:23" x14ac:dyDescent="0.55000000000000004">
      <c r="W16240"/>
    </row>
    <row r="16241" spans="23:23" x14ac:dyDescent="0.55000000000000004">
      <c r="W16241"/>
    </row>
    <row r="16242" spans="23:23" x14ac:dyDescent="0.55000000000000004">
      <c r="W16242"/>
    </row>
    <row r="16243" spans="23:23" x14ac:dyDescent="0.55000000000000004">
      <c r="W16243"/>
    </row>
    <row r="16244" spans="23:23" x14ac:dyDescent="0.55000000000000004">
      <c r="W16244"/>
    </row>
    <row r="16245" spans="23:23" x14ac:dyDescent="0.55000000000000004">
      <c r="W16245"/>
    </row>
    <row r="16246" spans="23:23" x14ac:dyDescent="0.55000000000000004">
      <c r="W16246"/>
    </row>
    <row r="16247" spans="23:23" x14ac:dyDescent="0.55000000000000004">
      <c r="W16247"/>
    </row>
    <row r="16248" spans="23:23" x14ac:dyDescent="0.55000000000000004">
      <c r="W16248"/>
    </row>
    <row r="16249" spans="23:23" x14ac:dyDescent="0.55000000000000004">
      <c r="W16249"/>
    </row>
    <row r="16250" spans="23:23" x14ac:dyDescent="0.55000000000000004">
      <c r="W16250"/>
    </row>
    <row r="16251" spans="23:23" x14ac:dyDescent="0.55000000000000004">
      <c r="W16251"/>
    </row>
    <row r="16252" spans="23:23" x14ac:dyDescent="0.55000000000000004">
      <c r="W16252"/>
    </row>
    <row r="16253" spans="23:23" x14ac:dyDescent="0.55000000000000004">
      <c r="W16253"/>
    </row>
    <row r="16254" spans="23:23" x14ac:dyDescent="0.55000000000000004">
      <c r="W16254"/>
    </row>
    <row r="16255" spans="23:23" x14ac:dyDescent="0.55000000000000004">
      <c r="W16255"/>
    </row>
    <row r="16256" spans="23:23" x14ac:dyDescent="0.55000000000000004">
      <c r="W16256"/>
    </row>
    <row r="16257" spans="23:23" x14ac:dyDescent="0.55000000000000004">
      <c r="W16257"/>
    </row>
    <row r="16258" spans="23:23" x14ac:dyDescent="0.55000000000000004">
      <c r="W16258"/>
    </row>
    <row r="16259" spans="23:23" x14ac:dyDescent="0.55000000000000004">
      <c r="W16259"/>
    </row>
    <row r="16260" spans="23:23" x14ac:dyDescent="0.55000000000000004">
      <c r="W16260"/>
    </row>
    <row r="16261" spans="23:23" x14ac:dyDescent="0.55000000000000004">
      <c r="W16261"/>
    </row>
    <row r="16262" spans="23:23" x14ac:dyDescent="0.55000000000000004">
      <c r="W16262"/>
    </row>
    <row r="16263" spans="23:23" x14ac:dyDescent="0.55000000000000004">
      <c r="W16263"/>
    </row>
    <row r="16264" spans="23:23" x14ac:dyDescent="0.55000000000000004">
      <c r="W16264"/>
    </row>
    <row r="16265" spans="23:23" x14ac:dyDescent="0.55000000000000004">
      <c r="W16265"/>
    </row>
    <row r="16266" spans="23:23" x14ac:dyDescent="0.55000000000000004">
      <c r="W16266"/>
    </row>
    <row r="16267" spans="23:23" x14ac:dyDescent="0.55000000000000004">
      <c r="W16267"/>
    </row>
    <row r="16268" spans="23:23" x14ac:dyDescent="0.55000000000000004">
      <c r="W16268"/>
    </row>
    <row r="16269" spans="23:23" x14ac:dyDescent="0.55000000000000004">
      <c r="W16269"/>
    </row>
    <row r="16270" spans="23:23" x14ac:dyDescent="0.55000000000000004">
      <c r="W16270"/>
    </row>
    <row r="16271" spans="23:23" x14ac:dyDescent="0.55000000000000004">
      <c r="W16271"/>
    </row>
    <row r="16272" spans="23:23" x14ac:dyDescent="0.55000000000000004">
      <c r="W16272"/>
    </row>
    <row r="16273" spans="23:23" x14ac:dyDescent="0.55000000000000004">
      <c r="W16273"/>
    </row>
    <row r="16274" spans="23:23" x14ac:dyDescent="0.55000000000000004">
      <c r="W16274"/>
    </row>
    <row r="16275" spans="23:23" x14ac:dyDescent="0.55000000000000004">
      <c r="W16275"/>
    </row>
    <row r="16276" spans="23:23" x14ac:dyDescent="0.55000000000000004">
      <c r="W16276"/>
    </row>
    <row r="16277" spans="23:23" x14ac:dyDescent="0.55000000000000004">
      <c r="W16277"/>
    </row>
    <row r="16278" spans="23:23" x14ac:dyDescent="0.55000000000000004">
      <c r="W16278"/>
    </row>
    <row r="16279" spans="23:23" x14ac:dyDescent="0.55000000000000004">
      <c r="W16279"/>
    </row>
    <row r="16280" spans="23:23" x14ac:dyDescent="0.55000000000000004">
      <c r="W16280"/>
    </row>
    <row r="16281" spans="23:23" x14ac:dyDescent="0.55000000000000004">
      <c r="W16281"/>
    </row>
    <row r="16282" spans="23:23" x14ac:dyDescent="0.55000000000000004">
      <c r="W16282"/>
    </row>
    <row r="16283" spans="23:23" x14ac:dyDescent="0.55000000000000004">
      <c r="W16283"/>
    </row>
    <row r="16284" spans="23:23" x14ac:dyDescent="0.55000000000000004">
      <c r="W16284"/>
    </row>
    <row r="16285" spans="23:23" x14ac:dyDescent="0.55000000000000004">
      <c r="W16285"/>
    </row>
    <row r="16286" spans="23:23" x14ac:dyDescent="0.55000000000000004">
      <c r="W16286"/>
    </row>
    <row r="16287" spans="23:23" x14ac:dyDescent="0.55000000000000004">
      <c r="W16287"/>
    </row>
    <row r="16288" spans="23:23" x14ac:dyDescent="0.55000000000000004">
      <c r="W16288"/>
    </row>
    <row r="16289" spans="23:23" x14ac:dyDescent="0.55000000000000004">
      <c r="W16289"/>
    </row>
    <row r="16290" spans="23:23" x14ac:dyDescent="0.55000000000000004">
      <c r="W16290"/>
    </row>
    <row r="16291" spans="23:23" x14ac:dyDescent="0.55000000000000004">
      <c r="W16291"/>
    </row>
    <row r="16292" spans="23:23" x14ac:dyDescent="0.55000000000000004">
      <c r="W16292"/>
    </row>
    <row r="16293" spans="23:23" x14ac:dyDescent="0.55000000000000004">
      <c r="W16293"/>
    </row>
    <row r="16294" spans="23:23" x14ac:dyDescent="0.55000000000000004">
      <c r="W16294"/>
    </row>
    <row r="16295" spans="23:23" x14ac:dyDescent="0.55000000000000004">
      <c r="W16295"/>
    </row>
    <row r="16296" spans="23:23" x14ac:dyDescent="0.55000000000000004">
      <c r="W16296"/>
    </row>
    <row r="16297" spans="23:23" x14ac:dyDescent="0.55000000000000004">
      <c r="W16297"/>
    </row>
    <row r="16298" spans="23:23" x14ac:dyDescent="0.55000000000000004">
      <c r="W16298"/>
    </row>
    <row r="16299" spans="23:23" x14ac:dyDescent="0.55000000000000004">
      <c r="W16299"/>
    </row>
    <row r="16300" spans="23:23" x14ac:dyDescent="0.55000000000000004">
      <c r="W16300"/>
    </row>
    <row r="16301" spans="23:23" x14ac:dyDescent="0.55000000000000004">
      <c r="W16301"/>
    </row>
    <row r="16302" spans="23:23" x14ac:dyDescent="0.55000000000000004">
      <c r="W16302"/>
    </row>
    <row r="16303" spans="23:23" x14ac:dyDescent="0.55000000000000004">
      <c r="W16303"/>
    </row>
    <row r="16304" spans="23:23" x14ac:dyDescent="0.55000000000000004">
      <c r="W16304"/>
    </row>
    <row r="16305" spans="23:23" x14ac:dyDescent="0.55000000000000004">
      <c r="W16305"/>
    </row>
    <row r="16306" spans="23:23" x14ac:dyDescent="0.55000000000000004">
      <c r="W16306"/>
    </row>
    <row r="16307" spans="23:23" x14ac:dyDescent="0.55000000000000004">
      <c r="W16307"/>
    </row>
    <row r="16308" spans="23:23" x14ac:dyDescent="0.55000000000000004">
      <c r="W16308"/>
    </row>
    <row r="16309" spans="23:23" x14ac:dyDescent="0.55000000000000004">
      <c r="W16309"/>
    </row>
    <row r="16310" spans="23:23" x14ac:dyDescent="0.55000000000000004">
      <c r="W16310"/>
    </row>
    <row r="16311" spans="23:23" x14ac:dyDescent="0.55000000000000004">
      <c r="W16311"/>
    </row>
    <row r="16312" spans="23:23" x14ac:dyDescent="0.55000000000000004">
      <c r="W16312"/>
    </row>
    <row r="16313" spans="23:23" x14ac:dyDescent="0.55000000000000004">
      <c r="W16313"/>
    </row>
    <row r="16314" spans="23:23" x14ac:dyDescent="0.55000000000000004">
      <c r="W16314"/>
    </row>
    <row r="16315" spans="23:23" x14ac:dyDescent="0.55000000000000004">
      <c r="W16315"/>
    </row>
    <row r="16316" spans="23:23" x14ac:dyDescent="0.55000000000000004">
      <c r="W16316"/>
    </row>
    <row r="16317" spans="23:23" x14ac:dyDescent="0.55000000000000004">
      <c r="W16317"/>
    </row>
    <row r="16318" spans="23:23" x14ac:dyDescent="0.55000000000000004">
      <c r="W16318"/>
    </row>
    <row r="16319" spans="23:23" x14ac:dyDescent="0.55000000000000004">
      <c r="W16319"/>
    </row>
    <row r="16320" spans="23:23" x14ac:dyDescent="0.55000000000000004">
      <c r="W16320"/>
    </row>
    <row r="16321" spans="23:23" x14ac:dyDescent="0.55000000000000004">
      <c r="W16321"/>
    </row>
    <row r="16322" spans="23:23" x14ac:dyDescent="0.55000000000000004">
      <c r="W16322"/>
    </row>
    <row r="16323" spans="23:23" x14ac:dyDescent="0.55000000000000004">
      <c r="W16323"/>
    </row>
    <row r="16324" spans="23:23" x14ac:dyDescent="0.55000000000000004">
      <c r="W16324"/>
    </row>
    <row r="16325" spans="23:23" x14ac:dyDescent="0.55000000000000004">
      <c r="W16325"/>
    </row>
    <row r="16326" spans="23:23" x14ac:dyDescent="0.55000000000000004">
      <c r="W16326"/>
    </row>
    <row r="16327" spans="23:23" x14ac:dyDescent="0.55000000000000004">
      <c r="W16327"/>
    </row>
    <row r="16328" spans="23:23" x14ac:dyDescent="0.55000000000000004">
      <c r="W16328"/>
    </row>
    <row r="16329" spans="23:23" x14ac:dyDescent="0.55000000000000004">
      <c r="W16329"/>
    </row>
    <row r="16330" spans="23:23" x14ac:dyDescent="0.55000000000000004">
      <c r="W16330"/>
    </row>
    <row r="16331" spans="23:23" x14ac:dyDescent="0.55000000000000004">
      <c r="W16331"/>
    </row>
    <row r="16332" spans="23:23" x14ac:dyDescent="0.55000000000000004">
      <c r="W16332"/>
    </row>
    <row r="16333" spans="23:23" x14ac:dyDescent="0.55000000000000004">
      <c r="W16333"/>
    </row>
    <row r="16334" spans="23:23" x14ac:dyDescent="0.55000000000000004">
      <c r="W16334"/>
    </row>
    <row r="16335" spans="23:23" x14ac:dyDescent="0.55000000000000004">
      <c r="W16335"/>
    </row>
    <row r="16336" spans="23:23" x14ac:dyDescent="0.55000000000000004">
      <c r="W16336"/>
    </row>
    <row r="16337" spans="23:23" x14ac:dyDescent="0.55000000000000004">
      <c r="W16337"/>
    </row>
    <row r="16338" spans="23:23" x14ac:dyDescent="0.55000000000000004">
      <c r="W16338"/>
    </row>
    <row r="16339" spans="23:23" x14ac:dyDescent="0.55000000000000004">
      <c r="W16339"/>
    </row>
    <row r="16340" spans="23:23" x14ac:dyDescent="0.55000000000000004">
      <c r="W16340"/>
    </row>
    <row r="16341" spans="23:23" x14ac:dyDescent="0.55000000000000004">
      <c r="W16341"/>
    </row>
    <row r="16342" spans="23:23" x14ac:dyDescent="0.55000000000000004">
      <c r="W16342"/>
    </row>
    <row r="16343" spans="23:23" x14ac:dyDescent="0.55000000000000004">
      <c r="W16343"/>
    </row>
    <row r="16344" spans="23:23" x14ac:dyDescent="0.55000000000000004">
      <c r="W16344"/>
    </row>
    <row r="16345" spans="23:23" x14ac:dyDescent="0.55000000000000004">
      <c r="W16345"/>
    </row>
    <row r="16346" spans="23:23" x14ac:dyDescent="0.55000000000000004">
      <c r="W16346"/>
    </row>
    <row r="16347" spans="23:23" x14ac:dyDescent="0.55000000000000004">
      <c r="W16347"/>
    </row>
    <row r="16348" spans="23:23" x14ac:dyDescent="0.55000000000000004">
      <c r="W16348"/>
    </row>
    <row r="16349" spans="23:23" x14ac:dyDescent="0.55000000000000004">
      <c r="W16349"/>
    </row>
    <row r="16350" spans="23:23" x14ac:dyDescent="0.55000000000000004">
      <c r="W16350"/>
    </row>
    <row r="16351" spans="23:23" x14ac:dyDescent="0.55000000000000004">
      <c r="W16351"/>
    </row>
    <row r="16352" spans="23:23" x14ac:dyDescent="0.55000000000000004">
      <c r="W16352"/>
    </row>
    <row r="16353" spans="23:23" x14ac:dyDescent="0.55000000000000004">
      <c r="W16353"/>
    </row>
    <row r="16354" spans="23:23" x14ac:dyDescent="0.55000000000000004">
      <c r="W16354"/>
    </row>
    <row r="16355" spans="23:23" x14ac:dyDescent="0.55000000000000004">
      <c r="W16355"/>
    </row>
    <row r="16356" spans="23:23" x14ac:dyDescent="0.55000000000000004">
      <c r="W16356"/>
    </row>
    <row r="16357" spans="23:23" x14ac:dyDescent="0.55000000000000004">
      <c r="W16357"/>
    </row>
    <row r="16358" spans="23:23" x14ac:dyDescent="0.55000000000000004">
      <c r="W16358"/>
    </row>
    <row r="16359" spans="23:23" x14ac:dyDescent="0.55000000000000004">
      <c r="W16359"/>
    </row>
    <row r="16360" spans="23:23" x14ac:dyDescent="0.55000000000000004">
      <c r="W16360"/>
    </row>
    <row r="16361" spans="23:23" x14ac:dyDescent="0.55000000000000004">
      <c r="W16361"/>
    </row>
    <row r="16362" spans="23:23" x14ac:dyDescent="0.55000000000000004">
      <c r="W16362"/>
    </row>
    <row r="16363" spans="23:23" x14ac:dyDescent="0.55000000000000004">
      <c r="W16363"/>
    </row>
    <row r="16364" spans="23:23" x14ac:dyDescent="0.55000000000000004">
      <c r="W16364"/>
    </row>
    <row r="16365" spans="23:23" x14ac:dyDescent="0.55000000000000004">
      <c r="W16365"/>
    </row>
    <row r="16366" spans="23:23" x14ac:dyDescent="0.55000000000000004">
      <c r="W16366"/>
    </row>
    <row r="16367" spans="23:23" x14ac:dyDescent="0.55000000000000004">
      <c r="W16367"/>
    </row>
    <row r="16368" spans="23:23" x14ac:dyDescent="0.55000000000000004">
      <c r="W16368"/>
    </row>
    <row r="16369" spans="23:23" x14ac:dyDescent="0.55000000000000004">
      <c r="W16369"/>
    </row>
    <row r="16370" spans="23:23" x14ac:dyDescent="0.55000000000000004">
      <c r="W16370"/>
    </row>
    <row r="16371" spans="23:23" x14ac:dyDescent="0.55000000000000004">
      <c r="W16371"/>
    </row>
    <row r="16372" spans="23:23" x14ac:dyDescent="0.55000000000000004">
      <c r="W16372"/>
    </row>
    <row r="16373" spans="23:23" x14ac:dyDescent="0.55000000000000004">
      <c r="W16373"/>
    </row>
    <row r="16374" spans="23:23" x14ac:dyDescent="0.55000000000000004">
      <c r="W16374"/>
    </row>
    <row r="16375" spans="23:23" x14ac:dyDescent="0.55000000000000004">
      <c r="W16375"/>
    </row>
    <row r="16376" spans="23:23" x14ac:dyDescent="0.55000000000000004">
      <c r="W16376"/>
    </row>
    <row r="16377" spans="23:23" x14ac:dyDescent="0.55000000000000004">
      <c r="W16377"/>
    </row>
    <row r="16378" spans="23:23" x14ac:dyDescent="0.55000000000000004">
      <c r="W16378"/>
    </row>
    <row r="16379" spans="23:23" x14ac:dyDescent="0.55000000000000004">
      <c r="W16379"/>
    </row>
    <row r="16380" spans="23:23" x14ac:dyDescent="0.55000000000000004">
      <c r="W16380"/>
    </row>
    <row r="16381" spans="23:23" x14ac:dyDescent="0.55000000000000004">
      <c r="W16381"/>
    </row>
    <row r="16382" spans="23:23" x14ac:dyDescent="0.55000000000000004">
      <c r="W16382"/>
    </row>
    <row r="16383" spans="23:23" x14ac:dyDescent="0.55000000000000004">
      <c r="W16383"/>
    </row>
    <row r="16384" spans="23:23" x14ac:dyDescent="0.55000000000000004">
      <c r="W16384"/>
    </row>
    <row r="16385" spans="23:23" x14ac:dyDescent="0.55000000000000004">
      <c r="W16385"/>
    </row>
    <row r="16386" spans="23:23" x14ac:dyDescent="0.55000000000000004">
      <c r="W16386"/>
    </row>
    <row r="16387" spans="23:23" x14ac:dyDescent="0.55000000000000004">
      <c r="W16387"/>
    </row>
    <row r="16388" spans="23:23" x14ac:dyDescent="0.55000000000000004">
      <c r="W16388"/>
    </row>
    <row r="16389" spans="23:23" x14ac:dyDescent="0.55000000000000004">
      <c r="W16389"/>
    </row>
    <row r="16390" spans="23:23" x14ac:dyDescent="0.55000000000000004">
      <c r="W16390"/>
    </row>
    <row r="16391" spans="23:23" x14ac:dyDescent="0.55000000000000004">
      <c r="W16391"/>
    </row>
    <row r="16392" spans="23:23" x14ac:dyDescent="0.55000000000000004">
      <c r="W16392"/>
    </row>
    <row r="16393" spans="23:23" x14ac:dyDescent="0.55000000000000004">
      <c r="W16393"/>
    </row>
    <row r="16394" spans="23:23" x14ac:dyDescent="0.55000000000000004">
      <c r="W16394"/>
    </row>
    <row r="16395" spans="23:23" x14ac:dyDescent="0.55000000000000004">
      <c r="W16395"/>
    </row>
    <row r="16396" spans="23:23" x14ac:dyDescent="0.55000000000000004">
      <c r="W16396"/>
    </row>
    <row r="16397" spans="23:23" x14ac:dyDescent="0.55000000000000004">
      <c r="W16397"/>
    </row>
    <row r="16398" spans="23:23" x14ac:dyDescent="0.55000000000000004">
      <c r="W16398"/>
    </row>
    <row r="16399" spans="23:23" x14ac:dyDescent="0.55000000000000004">
      <c r="W16399"/>
    </row>
    <row r="16400" spans="23:23" x14ac:dyDescent="0.55000000000000004">
      <c r="W16400"/>
    </row>
    <row r="16401" spans="23:23" x14ac:dyDescent="0.55000000000000004">
      <c r="W16401"/>
    </row>
    <row r="16402" spans="23:23" x14ac:dyDescent="0.55000000000000004">
      <c r="W16402"/>
    </row>
    <row r="16403" spans="23:23" x14ac:dyDescent="0.55000000000000004">
      <c r="W16403"/>
    </row>
    <row r="16404" spans="23:23" x14ac:dyDescent="0.55000000000000004">
      <c r="W16404"/>
    </row>
    <row r="16405" spans="23:23" x14ac:dyDescent="0.55000000000000004">
      <c r="W16405"/>
    </row>
    <row r="16406" spans="23:23" x14ac:dyDescent="0.55000000000000004">
      <c r="W16406"/>
    </row>
    <row r="16407" spans="23:23" x14ac:dyDescent="0.55000000000000004">
      <c r="W16407"/>
    </row>
    <row r="16408" spans="23:23" x14ac:dyDescent="0.55000000000000004">
      <c r="W16408"/>
    </row>
    <row r="16409" spans="23:23" x14ac:dyDescent="0.55000000000000004">
      <c r="W16409"/>
    </row>
    <row r="16410" spans="23:23" x14ac:dyDescent="0.55000000000000004">
      <c r="W16410"/>
    </row>
    <row r="16411" spans="23:23" x14ac:dyDescent="0.55000000000000004">
      <c r="W16411"/>
    </row>
    <row r="16412" spans="23:23" x14ac:dyDescent="0.55000000000000004">
      <c r="W16412"/>
    </row>
    <row r="16413" spans="23:23" x14ac:dyDescent="0.55000000000000004">
      <c r="W16413"/>
    </row>
    <row r="16414" spans="23:23" x14ac:dyDescent="0.55000000000000004">
      <c r="W16414"/>
    </row>
    <row r="16415" spans="23:23" x14ac:dyDescent="0.55000000000000004">
      <c r="W16415"/>
    </row>
    <row r="16416" spans="23:23" x14ac:dyDescent="0.55000000000000004">
      <c r="W16416"/>
    </row>
    <row r="16417" spans="23:23" x14ac:dyDescent="0.55000000000000004">
      <c r="W16417"/>
    </row>
    <row r="16418" spans="23:23" x14ac:dyDescent="0.55000000000000004">
      <c r="W16418"/>
    </row>
    <row r="16419" spans="23:23" x14ac:dyDescent="0.55000000000000004">
      <c r="W16419"/>
    </row>
    <row r="16420" spans="23:23" x14ac:dyDescent="0.55000000000000004">
      <c r="W16420"/>
    </row>
    <row r="16421" spans="23:23" x14ac:dyDescent="0.55000000000000004">
      <c r="W16421"/>
    </row>
    <row r="16422" spans="23:23" x14ac:dyDescent="0.55000000000000004">
      <c r="W16422"/>
    </row>
    <row r="16423" spans="23:23" x14ac:dyDescent="0.55000000000000004">
      <c r="W16423"/>
    </row>
    <row r="16424" spans="23:23" x14ac:dyDescent="0.55000000000000004">
      <c r="W16424"/>
    </row>
    <row r="16425" spans="23:23" x14ac:dyDescent="0.55000000000000004">
      <c r="W16425"/>
    </row>
    <row r="16426" spans="23:23" x14ac:dyDescent="0.55000000000000004">
      <c r="W16426"/>
    </row>
    <row r="16427" spans="23:23" x14ac:dyDescent="0.55000000000000004">
      <c r="W16427"/>
    </row>
    <row r="16428" spans="23:23" x14ac:dyDescent="0.55000000000000004">
      <c r="W16428"/>
    </row>
    <row r="16429" spans="23:23" x14ac:dyDescent="0.55000000000000004">
      <c r="W16429"/>
    </row>
    <row r="16430" spans="23:23" x14ac:dyDescent="0.55000000000000004">
      <c r="W16430"/>
    </row>
    <row r="16431" spans="23:23" x14ac:dyDescent="0.55000000000000004">
      <c r="W16431"/>
    </row>
    <row r="16432" spans="23:23" x14ac:dyDescent="0.55000000000000004">
      <c r="W16432"/>
    </row>
    <row r="16433" spans="23:23" x14ac:dyDescent="0.55000000000000004">
      <c r="W16433"/>
    </row>
    <row r="16434" spans="23:23" x14ac:dyDescent="0.55000000000000004">
      <c r="W16434"/>
    </row>
    <row r="16435" spans="23:23" x14ac:dyDescent="0.55000000000000004">
      <c r="W16435"/>
    </row>
    <row r="16436" spans="23:23" x14ac:dyDescent="0.55000000000000004">
      <c r="W16436"/>
    </row>
    <row r="16437" spans="23:23" x14ac:dyDescent="0.55000000000000004">
      <c r="W16437"/>
    </row>
    <row r="16438" spans="23:23" x14ac:dyDescent="0.55000000000000004">
      <c r="W16438"/>
    </row>
    <row r="16439" spans="23:23" x14ac:dyDescent="0.55000000000000004">
      <c r="W16439"/>
    </row>
    <row r="16440" spans="23:23" x14ac:dyDescent="0.55000000000000004">
      <c r="W16440"/>
    </row>
    <row r="16441" spans="23:23" x14ac:dyDescent="0.55000000000000004">
      <c r="W16441"/>
    </row>
    <row r="16442" spans="23:23" x14ac:dyDescent="0.55000000000000004">
      <c r="W16442"/>
    </row>
    <row r="16443" spans="23:23" x14ac:dyDescent="0.55000000000000004">
      <c r="W16443"/>
    </row>
    <row r="16444" spans="23:23" x14ac:dyDescent="0.55000000000000004">
      <c r="W16444"/>
    </row>
    <row r="16445" spans="23:23" x14ac:dyDescent="0.55000000000000004">
      <c r="W16445"/>
    </row>
    <row r="16446" spans="23:23" x14ac:dyDescent="0.55000000000000004">
      <c r="W16446"/>
    </row>
    <row r="16447" spans="23:23" x14ac:dyDescent="0.55000000000000004">
      <c r="W16447"/>
    </row>
    <row r="16448" spans="23:23" x14ac:dyDescent="0.55000000000000004">
      <c r="W16448"/>
    </row>
    <row r="16449" spans="23:23" x14ac:dyDescent="0.55000000000000004">
      <c r="W16449"/>
    </row>
    <row r="16450" spans="23:23" x14ac:dyDescent="0.55000000000000004">
      <c r="W16450"/>
    </row>
    <row r="16451" spans="23:23" x14ac:dyDescent="0.55000000000000004">
      <c r="W16451"/>
    </row>
    <row r="16452" spans="23:23" x14ac:dyDescent="0.55000000000000004">
      <c r="W16452"/>
    </row>
    <row r="16453" spans="23:23" x14ac:dyDescent="0.55000000000000004">
      <c r="W16453"/>
    </row>
    <row r="16454" spans="23:23" x14ac:dyDescent="0.55000000000000004">
      <c r="W16454"/>
    </row>
    <row r="16455" spans="23:23" x14ac:dyDescent="0.55000000000000004">
      <c r="W16455"/>
    </row>
    <row r="16456" spans="23:23" x14ac:dyDescent="0.55000000000000004">
      <c r="W16456"/>
    </row>
    <row r="16457" spans="23:23" x14ac:dyDescent="0.55000000000000004">
      <c r="W16457"/>
    </row>
    <row r="16458" spans="23:23" x14ac:dyDescent="0.55000000000000004">
      <c r="W16458"/>
    </row>
    <row r="16459" spans="23:23" x14ac:dyDescent="0.55000000000000004">
      <c r="W16459"/>
    </row>
    <row r="16460" spans="23:23" x14ac:dyDescent="0.55000000000000004">
      <c r="W16460"/>
    </row>
    <row r="16461" spans="23:23" x14ac:dyDescent="0.55000000000000004">
      <c r="W16461"/>
    </row>
    <row r="16462" spans="23:23" x14ac:dyDescent="0.55000000000000004">
      <c r="W16462"/>
    </row>
    <row r="16463" spans="23:23" x14ac:dyDescent="0.55000000000000004">
      <c r="W16463"/>
    </row>
    <row r="16464" spans="23:23" x14ac:dyDescent="0.55000000000000004">
      <c r="W16464"/>
    </row>
    <row r="16465" spans="23:23" x14ac:dyDescent="0.55000000000000004">
      <c r="W16465"/>
    </row>
    <row r="16466" spans="23:23" x14ac:dyDescent="0.55000000000000004">
      <c r="W16466"/>
    </row>
    <row r="16467" spans="23:23" x14ac:dyDescent="0.55000000000000004">
      <c r="W16467"/>
    </row>
    <row r="16468" spans="23:23" x14ac:dyDescent="0.55000000000000004">
      <c r="W16468"/>
    </row>
    <row r="16469" spans="23:23" x14ac:dyDescent="0.55000000000000004">
      <c r="W16469"/>
    </row>
    <row r="16470" spans="23:23" x14ac:dyDescent="0.55000000000000004">
      <c r="W16470"/>
    </row>
    <row r="16471" spans="23:23" x14ac:dyDescent="0.55000000000000004">
      <c r="W16471"/>
    </row>
    <row r="16472" spans="23:23" x14ac:dyDescent="0.55000000000000004">
      <c r="W16472"/>
    </row>
    <row r="16473" spans="23:23" x14ac:dyDescent="0.55000000000000004">
      <c r="W16473"/>
    </row>
    <row r="16474" spans="23:23" x14ac:dyDescent="0.55000000000000004">
      <c r="W16474"/>
    </row>
    <row r="16475" spans="23:23" x14ac:dyDescent="0.55000000000000004">
      <c r="W16475"/>
    </row>
    <row r="16476" spans="23:23" x14ac:dyDescent="0.55000000000000004">
      <c r="W16476"/>
    </row>
    <row r="16477" spans="23:23" x14ac:dyDescent="0.55000000000000004">
      <c r="W16477"/>
    </row>
    <row r="16478" spans="23:23" x14ac:dyDescent="0.55000000000000004">
      <c r="W16478"/>
    </row>
    <row r="16479" spans="23:23" x14ac:dyDescent="0.55000000000000004">
      <c r="W16479"/>
    </row>
    <row r="16480" spans="23:23" x14ac:dyDescent="0.55000000000000004">
      <c r="W16480"/>
    </row>
    <row r="16481" spans="23:23" x14ac:dyDescent="0.55000000000000004">
      <c r="W16481"/>
    </row>
    <row r="16482" spans="23:23" x14ac:dyDescent="0.55000000000000004">
      <c r="W16482"/>
    </row>
    <row r="16483" spans="23:23" x14ac:dyDescent="0.55000000000000004">
      <c r="W16483"/>
    </row>
    <row r="16484" spans="23:23" x14ac:dyDescent="0.55000000000000004">
      <c r="W16484"/>
    </row>
    <row r="16485" spans="23:23" x14ac:dyDescent="0.55000000000000004">
      <c r="W16485"/>
    </row>
    <row r="16486" spans="23:23" x14ac:dyDescent="0.55000000000000004">
      <c r="W16486"/>
    </row>
    <row r="16487" spans="23:23" x14ac:dyDescent="0.55000000000000004">
      <c r="W16487"/>
    </row>
    <row r="16488" spans="23:23" x14ac:dyDescent="0.55000000000000004">
      <c r="W16488"/>
    </row>
    <row r="16489" spans="23:23" x14ac:dyDescent="0.55000000000000004">
      <c r="W16489"/>
    </row>
    <row r="16490" spans="23:23" x14ac:dyDescent="0.55000000000000004">
      <c r="W16490"/>
    </row>
    <row r="16491" spans="23:23" x14ac:dyDescent="0.55000000000000004">
      <c r="W16491"/>
    </row>
    <row r="16492" spans="23:23" x14ac:dyDescent="0.55000000000000004">
      <c r="W16492"/>
    </row>
    <row r="16493" spans="23:23" x14ac:dyDescent="0.55000000000000004">
      <c r="W16493"/>
    </row>
    <row r="16494" spans="23:23" x14ac:dyDescent="0.55000000000000004">
      <c r="W16494"/>
    </row>
    <row r="16495" spans="23:23" x14ac:dyDescent="0.55000000000000004">
      <c r="W16495"/>
    </row>
    <row r="16496" spans="23:23" x14ac:dyDescent="0.55000000000000004">
      <c r="W16496"/>
    </row>
    <row r="16497" spans="23:23" x14ac:dyDescent="0.55000000000000004">
      <c r="W16497"/>
    </row>
    <row r="16498" spans="23:23" x14ac:dyDescent="0.55000000000000004">
      <c r="W16498"/>
    </row>
    <row r="16499" spans="23:23" x14ac:dyDescent="0.55000000000000004">
      <c r="W16499"/>
    </row>
    <row r="16500" spans="23:23" x14ac:dyDescent="0.55000000000000004">
      <c r="W16500"/>
    </row>
    <row r="16501" spans="23:23" x14ac:dyDescent="0.55000000000000004">
      <c r="W16501"/>
    </row>
    <row r="16502" spans="23:23" x14ac:dyDescent="0.55000000000000004">
      <c r="W16502"/>
    </row>
    <row r="16503" spans="23:23" x14ac:dyDescent="0.55000000000000004">
      <c r="W16503"/>
    </row>
    <row r="16504" spans="23:23" x14ac:dyDescent="0.55000000000000004">
      <c r="W16504"/>
    </row>
    <row r="16505" spans="23:23" x14ac:dyDescent="0.55000000000000004">
      <c r="W16505"/>
    </row>
    <row r="16506" spans="23:23" x14ac:dyDescent="0.55000000000000004">
      <c r="W16506"/>
    </row>
    <row r="16507" spans="23:23" x14ac:dyDescent="0.55000000000000004">
      <c r="W16507"/>
    </row>
    <row r="16508" spans="23:23" x14ac:dyDescent="0.55000000000000004">
      <c r="W16508"/>
    </row>
    <row r="16509" spans="23:23" x14ac:dyDescent="0.55000000000000004">
      <c r="W16509"/>
    </row>
    <row r="16510" spans="23:23" x14ac:dyDescent="0.55000000000000004">
      <c r="W16510"/>
    </row>
    <row r="16511" spans="23:23" x14ac:dyDescent="0.55000000000000004">
      <c r="W16511"/>
    </row>
    <row r="16512" spans="23:23" x14ac:dyDescent="0.55000000000000004">
      <c r="W16512"/>
    </row>
    <row r="16513" spans="23:23" x14ac:dyDescent="0.55000000000000004">
      <c r="W16513"/>
    </row>
    <row r="16514" spans="23:23" x14ac:dyDescent="0.55000000000000004">
      <c r="W16514"/>
    </row>
    <row r="16515" spans="23:23" x14ac:dyDescent="0.55000000000000004">
      <c r="W16515"/>
    </row>
    <row r="16516" spans="23:23" x14ac:dyDescent="0.55000000000000004">
      <c r="W16516"/>
    </row>
    <row r="16517" spans="23:23" x14ac:dyDescent="0.55000000000000004">
      <c r="W16517"/>
    </row>
    <row r="16518" spans="23:23" x14ac:dyDescent="0.55000000000000004">
      <c r="W16518"/>
    </row>
    <row r="16519" spans="23:23" x14ac:dyDescent="0.55000000000000004">
      <c r="W16519"/>
    </row>
    <row r="16520" spans="23:23" x14ac:dyDescent="0.55000000000000004">
      <c r="W16520"/>
    </row>
    <row r="16521" spans="23:23" x14ac:dyDescent="0.55000000000000004">
      <c r="W16521"/>
    </row>
    <row r="16522" spans="23:23" x14ac:dyDescent="0.55000000000000004">
      <c r="W16522"/>
    </row>
    <row r="16523" spans="23:23" x14ac:dyDescent="0.55000000000000004">
      <c r="W16523"/>
    </row>
    <row r="16524" spans="23:23" x14ac:dyDescent="0.55000000000000004">
      <c r="W16524"/>
    </row>
    <row r="16525" spans="23:23" x14ac:dyDescent="0.55000000000000004">
      <c r="W16525"/>
    </row>
    <row r="16526" spans="23:23" x14ac:dyDescent="0.55000000000000004">
      <c r="W16526"/>
    </row>
    <row r="16527" spans="23:23" x14ac:dyDescent="0.55000000000000004">
      <c r="W16527"/>
    </row>
    <row r="16528" spans="23:23" x14ac:dyDescent="0.55000000000000004">
      <c r="W16528"/>
    </row>
    <row r="16529" spans="23:23" x14ac:dyDescent="0.55000000000000004">
      <c r="W16529"/>
    </row>
    <row r="16530" spans="23:23" x14ac:dyDescent="0.55000000000000004">
      <c r="W16530"/>
    </row>
    <row r="16531" spans="23:23" x14ac:dyDescent="0.55000000000000004">
      <c r="W16531"/>
    </row>
    <row r="16532" spans="23:23" x14ac:dyDescent="0.55000000000000004">
      <c r="W16532"/>
    </row>
    <row r="16533" spans="23:23" x14ac:dyDescent="0.55000000000000004">
      <c r="W16533"/>
    </row>
    <row r="16534" spans="23:23" x14ac:dyDescent="0.55000000000000004">
      <c r="W16534"/>
    </row>
    <row r="16535" spans="23:23" x14ac:dyDescent="0.55000000000000004">
      <c r="W16535"/>
    </row>
    <row r="16536" spans="23:23" x14ac:dyDescent="0.55000000000000004">
      <c r="W16536"/>
    </row>
    <row r="16537" spans="23:23" x14ac:dyDescent="0.55000000000000004">
      <c r="W16537"/>
    </row>
    <row r="16538" spans="23:23" x14ac:dyDescent="0.55000000000000004">
      <c r="W16538"/>
    </row>
    <row r="16539" spans="23:23" x14ac:dyDescent="0.55000000000000004">
      <c r="W16539"/>
    </row>
    <row r="16540" spans="23:23" x14ac:dyDescent="0.55000000000000004">
      <c r="W16540"/>
    </row>
    <row r="16541" spans="23:23" x14ac:dyDescent="0.55000000000000004">
      <c r="W16541"/>
    </row>
    <row r="16542" spans="23:23" x14ac:dyDescent="0.55000000000000004">
      <c r="W16542"/>
    </row>
    <row r="16543" spans="23:23" x14ac:dyDescent="0.55000000000000004">
      <c r="W16543"/>
    </row>
    <row r="16544" spans="23:23" x14ac:dyDescent="0.55000000000000004">
      <c r="W16544"/>
    </row>
    <row r="16545" spans="23:23" x14ac:dyDescent="0.55000000000000004">
      <c r="W16545"/>
    </row>
    <row r="16546" spans="23:23" x14ac:dyDescent="0.55000000000000004">
      <c r="W16546"/>
    </row>
    <row r="16547" spans="23:23" x14ac:dyDescent="0.55000000000000004">
      <c r="W16547"/>
    </row>
    <row r="16548" spans="23:23" x14ac:dyDescent="0.55000000000000004">
      <c r="W16548"/>
    </row>
    <row r="16549" spans="23:23" x14ac:dyDescent="0.55000000000000004">
      <c r="W16549"/>
    </row>
    <row r="16550" spans="23:23" x14ac:dyDescent="0.55000000000000004">
      <c r="W16550"/>
    </row>
    <row r="16551" spans="23:23" x14ac:dyDescent="0.55000000000000004">
      <c r="W16551"/>
    </row>
    <row r="16552" spans="23:23" x14ac:dyDescent="0.55000000000000004">
      <c r="W16552"/>
    </row>
    <row r="16553" spans="23:23" x14ac:dyDescent="0.55000000000000004">
      <c r="W16553"/>
    </row>
    <row r="16554" spans="23:23" x14ac:dyDescent="0.55000000000000004">
      <c r="W16554"/>
    </row>
    <row r="16555" spans="23:23" x14ac:dyDescent="0.55000000000000004">
      <c r="W16555"/>
    </row>
    <row r="16556" spans="23:23" x14ac:dyDescent="0.55000000000000004">
      <c r="W16556"/>
    </row>
    <row r="16557" spans="23:23" x14ac:dyDescent="0.55000000000000004">
      <c r="W16557"/>
    </row>
    <row r="16558" spans="23:23" x14ac:dyDescent="0.55000000000000004">
      <c r="W16558"/>
    </row>
    <row r="16559" spans="23:23" x14ac:dyDescent="0.55000000000000004">
      <c r="W16559"/>
    </row>
    <row r="16560" spans="23:23" x14ac:dyDescent="0.55000000000000004">
      <c r="W16560"/>
    </row>
    <row r="16561" spans="23:23" x14ac:dyDescent="0.55000000000000004">
      <c r="W16561"/>
    </row>
    <row r="16562" spans="23:23" x14ac:dyDescent="0.55000000000000004">
      <c r="W16562"/>
    </row>
    <row r="16563" spans="23:23" x14ac:dyDescent="0.55000000000000004">
      <c r="W16563"/>
    </row>
    <row r="16564" spans="23:23" x14ac:dyDescent="0.55000000000000004">
      <c r="W16564"/>
    </row>
    <row r="16565" spans="23:23" x14ac:dyDescent="0.55000000000000004">
      <c r="W16565"/>
    </row>
    <row r="16566" spans="23:23" x14ac:dyDescent="0.55000000000000004">
      <c r="W16566"/>
    </row>
    <row r="16567" spans="23:23" x14ac:dyDescent="0.55000000000000004">
      <c r="W16567"/>
    </row>
    <row r="16568" spans="23:23" x14ac:dyDescent="0.55000000000000004">
      <c r="W16568"/>
    </row>
    <row r="16569" spans="23:23" x14ac:dyDescent="0.55000000000000004">
      <c r="W16569"/>
    </row>
    <row r="16570" spans="23:23" x14ac:dyDescent="0.55000000000000004">
      <c r="W16570"/>
    </row>
    <row r="16571" spans="23:23" x14ac:dyDescent="0.55000000000000004">
      <c r="W16571"/>
    </row>
    <row r="16572" spans="23:23" x14ac:dyDescent="0.55000000000000004">
      <c r="W16572"/>
    </row>
    <row r="16573" spans="23:23" x14ac:dyDescent="0.55000000000000004">
      <c r="W16573"/>
    </row>
    <row r="16574" spans="23:23" x14ac:dyDescent="0.55000000000000004">
      <c r="W16574"/>
    </row>
    <row r="16575" spans="23:23" x14ac:dyDescent="0.55000000000000004">
      <c r="W16575"/>
    </row>
    <row r="16576" spans="23:23" x14ac:dyDescent="0.55000000000000004">
      <c r="W16576"/>
    </row>
    <row r="16577" spans="23:23" x14ac:dyDescent="0.55000000000000004">
      <c r="W16577"/>
    </row>
    <row r="16578" spans="23:23" x14ac:dyDescent="0.55000000000000004">
      <c r="W16578"/>
    </row>
    <row r="16579" spans="23:23" x14ac:dyDescent="0.55000000000000004">
      <c r="W16579"/>
    </row>
    <row r="16580" spans="23:23" x14ac:dyDescent="0.55000000000000004">
      <c r="W16580"/>
    </row>
    <row r="16581" spans="23:23" x14ac:dyDescent="0.55000000000000004">
      <c r="W16581"/>
    </row>
    <row r="16582" spans="23:23" x14ac:dyDescent="0.55000000000000004">
      <c r="W16582"/>
    </row>
    <row r="16583" spans="23:23" x14ac:dyDescent="0.55000000000000004">
      <c r="W16583"/>
    </row>
    <row r="16584" spans="23:23" x14ac:dyDescent="0.55000000000000004">
      <c r="W16584"/>
    </row>
    <row r="16585" spans="23:23" x14ac:dyDescent="0.55000000000000004">
      <c r="W16585"/>
    </row>
    <row r="16586" spans="23:23" x14ac:dyDescent="0.55000000000000004">
      <c r="W16586"/>
    </row>
    <row r="16587" spans="23:23" x14ac:dyDescent="0.55000000000000004">
      <c r="W16587"/>
    </row>
    <row r="16588" spans="23:23" x14ac:dyDescent="0.55000000000000004">
      <c r="W16588"/>
    </row>
    <row r="16589" spans="23:23" x14ac:dyDescent="0.55000000000000004">
      <c r="W16589"/>
    </row>
    <row r="16590" spans="23:23" x14ac:dyDescent="0.55000000000000004">
      <c r="W16590"/>
    </row>
    <row r="16591" spans="23:23" x14ac:dyDescent="0.55000000000000004">
      <c r="W16591"/>
    </row>
    <row r="16592" spans="23:23" x14ac:dyDescent="0.55000000000000004">
      <c r="W16592"/>
    </row>
    <row r="16593" spans="23:23" x14ac:dyDescent="0.55000000000000004">
      <c r="W16593"/>
    </row>
    <row r="16594" spans="23:23" x14ac:dyDescent="0.55000000000000004">
      <c r="W16594"/>
    </row>
    <row r="16595" spans="23:23" x14ac:dyDescent="0.55000000000000004">
      <c r="W16595"/>
    </row>
    <row r="16596" spans="23:23" x14ac:dyDescent="0.55000000000000004">
      <c r="W16596"/>
    </row>
    <row r="16597" spans="23:23" x14ac:dyDescent="0.55000000000000004">
      <c r="W16597"/>
    </row>
    <row r="16598" spans="23:23" x14ac:dyDescent="0.55000000000000004">
      <c r="W16598"/>
    </row>
    <row r="16599" spans="23:23" x14ac:dyDescent="0.55000000000000004">
      <c r="W16599"/>
    </row>
    <row r="16600" spans="23:23" x14ac:dyDescent="0.55000000000000004">
      <c r="W16600"/>
    </row>
    <row r="16601" spans="23:23" x14ac:dyDescent="0.55000000000000004">
      <c r="W16601"/>
    </row>
    <row r="16602" spans="23:23" x14ac:dyDescent="0.55000000000000004">
      <c r="W16602"/>
    </row>
    <row r="16603" spans="23:23" x14ac:dyDescent="0.55000000000000004">
      <c r="W16603"/>
    </row>
    <row r="16604" spans="23:23" x14ac:dyDescent="0.55000000000000004">
      <c r="W16604"/>
    </row>
    <row r="16605" spans="23:23" x14ac:dyDescent="0.55000000000000004">
      <c r="W16605"/>
    </row>
    <row r="16606" spans="23:23" x14ac:dyDescent="0.55000000000000004">
      <c r="W16606"/>
    </row>
    <row r="16607" spans="23:23" x14ac:dyDescent="0.55000000000000004">
      <c r="W16607"/>
    </row>
    <row r="16608" spans="23:23" x14ac:dyDescent="0.55000000000000004">
      <c r="W16608"/>
    </row>
    <row r="16609" spans="23:23" x14ac:dyDescent="0.55000000000000004">
      <c r="W16609"/>
    </row>
    <row r="16610" spans="23:23" x14ac:dyDescent="0.55000000000000004">
      <c r="W16610"/>
    </row>
    <row r="16611" spans="23:23" x14ac:dyDescent="0.55000000000000004">
      <c r="W16611"/>
    </row>
    <row r="16612" spans="23:23" x14ac:dyDescent="0.55000000000000004">
      <c r="W16612"/>
    </row>
    <row r="16613" spans="23:23" x14ac:dyDescent="0.55000000000000004">
      <c r="W16613"/>
    </row>
    <row r="16614" spans="23:23" x14ac:dyDescent="0.55000000000000004">
      <c r="W16614"/>
    </row>
    <row r="16615" spans="23:23" x14ac:dyDescent="0.55000000000000004">
      <c r="W16615"/>
    </row>
    <row r="16616" spans="23:23" x14ac:dyDescent="0.55000000000000004">
      <c r="W16616"/>
    </row>
    <row r="16617" spans="23:23" x14ac:dyDescent="0.55000000000000004">
      <c r="W16617"/>
    </row>
    <row r="16618" spans="23:23" x14ac:dyDescent="0.55000000000000004">
      <c r="W16618"/>
    </row>
    <row r="16619" spans="23:23" x14ac:dyDescent="0.55000000000000004">
      <c r="W16619"/>
    </row>
    <row r="16620" spans="23:23" x14ac:dyDescent="0.55000000000000004">
      <c r="W16620"/>
    </row>
    <row r="16621" spans="23:23" x14ac:dyDescent="0.55000000000000004">
      <c r="W16621"/>
    </row>
    <row r="16622" spans="23:23" x14ac:dyDescent="0.55000000000000004">
      <c r="W16622"/>
    </row>
    <row r="16623" spans="23:23" x14ac:dyDescent="0.55000000000000004">
      <c r="W16623"/>
    </row>
    <row r="16624" spans="23:23" x14ac:dyDescent="0.55000000000000004">
      <c r="W16624"/>
    </row>
    <row r="16625" spans="23:23" x14ac:dyDescent="0.55000000000000004">
      <c r="W16625"/>
    </row>
    <row r="16626" spans="23:23" x14ac:dyDescent="0.55000000000000004">
      <c r="W16626"/>
    </row>
    <row r="16627" spans="23:23" x14ac:dyDescent="0.55000000000000004">
      <c r="W16627"/>
    </row>
    <row r="16628" spans="23:23" x14ac:dyDescent="0.55000000000000004">
      <c r="W16628"/>
    </row>
    <row r="16629" spans="23:23" x14ac:dyDescent="0.55000000000000004">
      <c r="W16629"/>
    </row>
    <row r="16630" spans="23:23" x14ac:dyDescent="0.55000000000000004">
      <c r="W16630"/>
    </row>
    <row r="16631" spans="23:23" x14ac:dyDescent="0.55000000000000004">
      <c r="W16631"/>
    </row>
    <row r="16632" spans="23:23" x14ac:dyDescent="0.55000000000000004">
      <c r="W16632"/>
    </row>
    <row r="16633" spans="23:23" x14ac:dyDescent="0.55000000000000004">
      <c r="W16633"/>
    </row>
    <row r="16634" spans="23:23" x14ac:dyDescent="0.55000000000000004">
      <c r="W16634"/>
    </row>
    <row r="16635" spans="23:23" x14ac:dyDescent="0.55000000000000004">
      <c r="W16635"/>
    </row>
    <row r="16636" spans="23:23" x14ac:dyDescent="0.55000000000000004">
      <c r="W16636"/>
    </row>
    <row r="16637" spans="23:23" x14ac:dyDescent="0.55000000000000004">
      <c r="W16637"/>
    </row>
    <row r="16638" spans="23:23" x14ac:dyDescent="0.55000000000000004">
      <c r="W16638"/>
    </row>
    <row r="16639" spans="23:23" x14ac:dyDescent="0.55000000000000004">
      <c r="W16639"/>
    </row>
    <row r="16640" spans="23:23" x14ac:dyDescent="0.55000000000000004">
      <c r="W16640"/>
    </row>
    <row r="16641" spans="23:23" x14ac:dyDescent="0.55000000000000004">
      <c r="W16641"/>
    </row>
    <row r="16642" spans="23:23" x14ac:dyDescent="0.55000000000000004">
      <c r="W16642"/>
    </row>
    <row r="16643" spans="23:23" x14ac:dyDescent="0.55000000000000004">
      <c r="W16643"/>
    </row>
    <row r="16644" spans="23:23" x14ac:dyDescent="0.55000000000000004">
      <c r="W16644"/>
    </row>
    <row r="16645" spans="23:23" x14ac:dyDescent="0.55000000000000004">
      <c r="W16645"/>
    </row>
    <row r="16646" spans="23:23" x14ac:dyDescent="0.55000000000000004">
      <c r="W16646"/>
    </row>
    <row r="16647" spans="23:23" x14ac:dyDescent="0.55000000000000004">
      <c r="W16647"/>
    </row>
    <row r="16648" spans="23:23" x14ac:dyDescent="0.55000000000000004">
      <c r="W16648"/>
    </row>
    <row r="16649" spans="23:23" x14ac:dyDescent="0.55000000000000004">
      <c r="W16649"/>
    </row>
    <row r="16650" spans="23:23" x14ac:dyDescent="0.55000000000000004">
      <c r="W16650"/>
    </row>
    <row r="16651" spans="23:23" x14ac:dyDescent="0.55000000000000004">
      <c r="W16651"/>
    </row>
    <row r="16652" spans="23:23" x14ac:dyDescent="0.55000000000000004">
      <c r="W16652"/>
    </row>
    <row r="16653" spans="23:23" x14ac:dyDescent="0.55000000000000004">
      <c r="W16653"/>
    </row>
    <row r="16654" spans="23:23" x14ac:dyDescent="0.55000000000000004">
      <c r="W16654"/>
    </row>
    <row r="16655" spans="23:23" x14ac:dyDescent="0.55000000000000004">
      <c r="W16655"/>
    </row>
    <row r="16656" spans="23:23" x14ac:dyDescent="0.55000000000000004">
      <c r="W16656"/>
    </row>
    <row r="16657" spans="23:23" x14ac:dyDescent="0.55000000000000004">
      <c r="W16657"/>
    </row>
    <row r="16658" spans="23:23" x14ac:dyDescent="0.55000000000000004">
      <c r="W16658"/>
    </row>
    <row r="16659" spans="23:23" x14ac:dyDescent="0.55000000000000004">
      <c r="W16659"/>
    </row>
    <row r="16660" spans="23:23" x14ac:dyDescent="0.55000000000000004">
      <c r="W16660"/>
    </row>
    <row r="16661" spans="23:23" x14ac:dyDescent="0.55000000000000004">
      <c r="W16661"/>
    </row>
    <row r="16662" spans="23:23" x14ac:dyDescent="0.55000000000000004">
      <c r="W16662"/>
    </row>
    <row r="16663" spans="23:23" x14ac:dyDescent="0.55000000000000004">
      <c r="W16663"/>
    </row>
    <row r="16664" spans="23:23" x14ac:dyDescent="0.55000000000000004">
      <c r="W16664"/>
    </row>
    <row r="16665" spans="23:23" x14ac:dyDescent="0.55000000000000004">
      <c r="W16665"/>
    </row>
    <row r="16666" spans="23:23" x14ac:dyDescent="0.55000000000000004">
      <c r="W16666"/>
    </row>
    <row r="16667" spans="23:23" x14ac:dyDescent="0.55000000000000004">
      <c r="W16667"/>
    </row>
    <row r="16668" spans="23:23" x14ac:dyDescent="0.55000000000000004">
      <c r="W16668"/>
    </row>
    <row r="16669" spans="23:23" x14ac:dyDescent="0.55000000000000004">
      <c r="W16669"/>
    </row>
    <row r="16670" spans="23:23" x14ac:dyDescent="0.55000000000000004">
      <c r="W16670"/>
    </row>
    <row r="16671" spans="23:23" x14ac:dyDescent="0.55000000000000004">
      <c r="W16671"/>
    </row>
    <row r="16672" spans="23:23" x14ac:dyDescent="0.55000000000000004">
      <c r="W16672"/>
    </row>
    <row r="16673" spans="23:23" x14ac:dyDescent="0.55000000000000004">
      <c r="W16673"/>
    </row>
    <row r="16674" spans="23:23" x14ac:dyDescent="0.55000000000000004">
      <c r="W16674"/>
    </row>
    <row r="16675" spans="23:23" x14ac:dyDescent="0.55000000000000004">
      <c r="W16675"/>
    </row>
    <row r="16676" spans="23:23" x14ac:dyDescent="0.55000000000000004">
      <c r="W16676"/>
    </row>
    <row r="16677" spans="23:23" x14ac:dyDescent="0.55000000000000004">
      <c r="W16677"/>
    </row>
    <row r="16678" spans="23:23" x14ac:dyDescent="0.55000000000000004">
      <c r="W16678"/>
    </row>
    <row r="16679" spans="23:23" x14ac:dyDescent="0.55000000000000004">
      <c r="W16679"/>
    </row>
    <row r="16680" spans="23:23" x14ac:dyDescent="0.55000000000000004">
      <c r="W16680"/>
    </row>
    <row r="16681" spans="23:23" x14ac:dyDescent="0.55000000000000004">
      <c r="W16681"/>
    </row>
    <row r="16682" spans="23:23" x14ac:dyDescent="0.55000000000000004">
      <c r="W16682"/>
    </row>
    <row r="16683" spans="23:23" x14ac:dyDescent="0.55000000000000004">
      <c r="W16683"/>
    </row>
    <row r="16684" spans="23:23" x14ac:dyDescent="0.55000000000000004">
      <c r="W16684"/>
    </row>
    <row r="16685" spans="23:23" x14ac:dyDescent="0.55000000000000004">
      <c r="W16685"/>
    </row>
    <row r="16686" spans="23:23" x14ac:dyDescent="0.55000000000000004">
      <c r="W16686"/>
    </row>
    <row r="16687" spans="23:23" x14ac:dyDescent="0.55000000000000004">
      <c r="W16687"/>
    </row>
    <row r="16688" spans="23:23" x14ac:dyDescent="0.55000000000000004">
      <c r="W16688"/>
    </row>
    <row r="16689" spans="23:23" x14ac:dyDescent="0.55000000000000004">
      <c r="W16689"/>
    </row>
    <row r="16690" spans="23:23" x14ac:dyDescent="0.55000000000000004">
      <c r="W16690"/>
    </row>
    <row r="16691" spans="23:23" x14ac:dyDescent="0.55000000000000004">
      <c r="W16691"/>
    </row>
    <row r="16692" spans="23:23" x14ac:dyDescent="0.55000000000000004">
      <c r="W16692"/>
    </row>
    <row r="16693" spans="23:23" x14ac:dyDescent="0.55000000000000004">
      <c r="W16693"/>
    </row>
    <row r="16694" spans="23:23" x14ac:dyDescent="0.55000000000000004">
      <c r="W16694"/>
    </row>
    <row r="16695" spans="23:23" x14ac:dyDescent="0.55000000000000004">
      <c r="W16695"/>
    </row>
    <row r="16696" spans="23:23" x14ac:dyDescent="0.55000000000000004">
      <c r="W16696"/>
    </row>
    <row r="16697" spans="23:23" x14ac:dyDescent="0.55000000000000004">
      <c r="W16697"/>
    </row>
    <row r="16698" spans="23:23" x14ac:dyDescent="0.55000000000000004">
      <c r="W16698"/>
    </row>
    <row r="16699" spans="23:23" x14ac:dyDescent="0.55000000000000004">
      <c r="W16699"/>
    </row>
    <row r="16700" spans="23:23" x14ac:dyDescent="0.55000000000000004">
      <c r="W16700"/>
    </row>
    <row r="16701" spans="23:23" x14ac:dyDescent="0.55000000000000004">
      <c r="W16701"/>
    </row>
    <row r="16702" spans="23:23" x14ac:dyDescent="0.55000000000000004">
      <c r="W16702"/>
    </row>
    <row r="16703" spans="23:23" x14ac:dyDescent="0.55000000000000004">
      <c r="W16703"/>
    </row>
    <row r="16704" spans="23:23" x14ac:dyDescent="0.55000000000000004">
      <c r="W16704"/>
    </row>
    <row r="16705" spans="23:23" x14ac:dyDescent="0.55000000000000004">
      <c r="W16705"/>
    </row>
    <row r="16706" spans="23:23" x14ac:dyDescent="0.55000000000000004">
      <c r="W16706"/>
    </row>
    <row r="16707" spans="23:23" x14ac:dyDescent="0.55000000000000004">
      <c r="W16707"/>
    </row>
    <row r="16708" spans="23:23" x14ac:dyDescent="0.55000000000000004">
      <c r="W16708"/>
    </row>
    <row r="16709" spans="23:23" x14ac:dyDescent="0.55000000000000004">
      <c r="W16709"/>
    </row>
    <row r="16710" spans="23:23" x14ac:dyDescent="0.55000000000000004">
      <c r="W16710"/>
    </row>
    <row r="16711" spans="23:23" x14ac:dyDescent="0.55000000000000004">
      <c r="W16711"/>
    </row>
    <row r="16712" spans="23:23" x14ac:dyDescent="0.55000000000000004">
      <c r="W16712"/>
    </row>
    <row r="16713" spans="23:23" x14ac:dyDescent="0.55000000000000004">
      <c r="W16713"/>
    </row>
    <row r="16714" spans="23:23" x14ac:dyDescent="0.55000000000000004">
      <c r="W16714"/>
    </row>
    <row r="16715" spans="23:23" x14ac:dyDescent="0.55000000000000004">
      <c r="W16715"/>
    </row>
    <row r="16716" spans="23:23" x14ac:dyDescent="0.55000000000000004">
      <c r="W16716"/>
    </row>
    <row r="16717" spans="23:23" x14ac:dyDescent="0.55000000000000004">
      <c r="W16717"/>
    </row>
    <row r="16718" spans="23:23" x14ac:dyDescent="0.55000000000000004">
      <c r="W16718"/>
    </row>
    <row r="16719" spans="23:23" x14ac:dyDescent="0.55000000000000004">
      <c r="W16719"/>
    </row>
    <row r="16720" spans="23:23" x14ac:dyDescent="0.55000000000000004">
      <c r="W16720"/>
    </row>
    <row r="16721" spans="23:23" x14ac:dyDescent="0.55000000000000004">
      <c r="W16721"/>
    </row>
    <row r="16722" spans="23:23" x14ac:dyDescent="0.55000000000000004">
      <c r="W16722"/>
    </row>
    <row r="16723" spans="23:23" x14ac:dyDescent="0.55000000000000004">
      <c r="W16723"/>
    </row>
    <row r="16724" spans="23:23" x14ac:dyDescent="0.55000000000000004">
      <c r="W16724"/>
    </row>
    <row r="16725" spans="23:23" x14ac:dyDescent="0.55000000000000004">
      <c r="W16725"/>
    </row>
    <row r="16726" spans="23:23" x14ac:dyDescent="0.55000000000000004">
      <c r="W16726"/>
    </row>
    <row r="16727" spans="23:23" x14ac:dyDescent="0.55000000000000004">
      <c r="W16727"/>
    </row>
    <row r="16728" spans="23:23" x14ac:dyDescent="0.55000000000000004">
      <c r="W16728"/>
    </row>
    <row r="16729" spans="23:23" x14ac:dyDescent="0.55000000000000004">
      <c r="W16729"/>
    </row>
    <row r="16730" spans="23:23" x14ac:dyDescent="0.55000000000000004">
      <c r="W16730"/>
    </row>
    <row r="16731" spans="23:23" x14ac:dyDescent="0.55000000000000004">
      <c r="W16731"/>
    </row>
    <row r="16732" spans="23:23" x14ac:dyDescent="0.55000000000000004">
      <c r="W16732"/>
    </row>
    <row r="16733" spans="23:23" x14ac:dyDescent="0.55000000000000004">
      <c r="W16733"/>
    </row>
    <row r="16734" spans="23:23" x14ac:dyDescent="0.55000000000000004">
      <c r="W16734"/>
    </row>
    <row r="16735" spans="23:23" x14ac:dyDescent="0.55000000000000004">
      <c r="W16735"/>
    </row>
    <row r="16736" spans="23:23" x14ac:dyDescent="0.55000000000000004">
      <c r="W16736"/>
    </row>
    <row r="16737" spans="23:23" x14ac:dyDescent="0.55000000000000004">
      <c r="W16737"/>
    </row>
    <row r="16738" spans="23:23" x14ac:dyDescent="0.55000000000000004">
      <c r="W16738"/>
    </row>
    <row r="16739" spans="23:23" x14ac:dyDescent="0.55000000000000004">
      <c r="W16739"/>
    </row>
    <row r="16740" spans="23:23" x14ac:dyDescent="0.55000000000000004">
      <c r="W16740"/>
    </row>
    <row r="16741" spans="23:23" x14ac:dyDescent="0.55000000000000004">
      <c r="W16741"/>
    </row>
    <row r="16742" spans="23:23" x14ac:dyDescent="0.55000000000000004">
      <c r="W16742"/>
    </row>
    <row r="16743" spans="23:23" x14ac:dyDescent="0.55000000000000004">
      <c r="W16743"/>
    </row>
    <row r="16744" spans="23:23" x14ac:dyDescent="0.55000000000000004">
      <c r="W16744"/>
    </row>
    <row r="16745" spans="23:23" x14ac:dyDescent="0.55000000000000004">
      <c r="W16745"/>
    </row>
    <row r="16746" spans="23:23" x14ac:dyDescent="0.55000000000000004">
      <c r="W16746"/>
    </row>
    <row r="16747" spans="23:23" x14ac:dyDescent="0.55000000000000004">
      <c r="W16747"/>
    </row>
    <row r="16748" spans="23:23" x14ac:dyDescent="0.55000000000000004">
      <c r="W16748"/>
    </row>
    <row r="16749" spans="23:23" x14ac:dyDescent="0.55000000000000004">
      <c r="W16749"/>
    </row>
    <row r="16750" spans="23:23" x14ac:dyDescent="0.55000000000000004">
      <c r="W16750"/>
    </row>
    <row r="16751" spans="23:23" x14ac:dyDescent="0.55000000000000004">
      <c r="W16751"/>
    </row>
    <row r="16752" spans="23:23" x14ac:dyDescent="0.55000000000000004">
      <c r="W16752"/>
    </row>
    <row r="16753" spans="23:23" x14ac:dyDescent="0.55000000000000004">
      <c r="W16753"/>
    </row>
    <row r="16754" spans="23:23" x14ac:dyDescent="0.55000000000000004">
      <c r="W16754"/>
    </row>
    <row r="16755" spans="23:23" x14ac:dyDescent="0.55000000000000004">
      <c r="W16755"/>
    </row>
    <row r="16756" spans="23:23" x14ac:dyDescent="0.55000000000000004">
      <c r="W16756"/>
    </row>
    <row r="16757" spans="23:23" x14ac:dyDescent="0.55000000000000004">
      <c r="W16757"/>
    </row>
    <row r="16758" spans="23:23" x14ac:dyDescent="0.55000000000000004">
      <c r="W16758"/>
    </row>
    <row r="16759" spans="23:23" x14ac:dyDescent="0.55000000000000004">
      <c r="W16759"/>
    </row>
    <row r="16760" spans="23:23" x14ac:dyDescent="0.55000000000000004">
      <c r="W16760"/>
    </row>
    <row r="16761" spans="23:23" x14ac:dyDescent="0.55000000000000004">
      <c r="W16761"/>
    </row>
    <row r="16762" spans="23:23" x14ac:dyDescent="0.55000000000000004">
      <c r="W16762"/>
    </row>
    <row r="16763" spans="23:23" x14ac:dyDescent="0.55000000000000004">
      <c r="W16763"/>
    </row>
    <row r="16764" spans="23:23" x14ac:dyDescent="0.55000000000000004">
      <c r="W16764"/>
    </row>
    <row r="16765" spans="23:23" x14ac:dyDescent="0.55000000000000004">
      <c r="W16765"/>
    </row>
    <row r="16766" spans="23:23" x14ac:dyDescent="0.55000000000000004">
      <c r="W16766"/>
    </row>
    <row r="16767" spans="23:23" x14ac:dyDescent="0.55000000000000004">
      <c r="W16767"/>
    </row>
    <row r="16768" spans="23:23" x14ac:dyDescent="0.55000000000000004">
      <c r="W16768"/>
    </row>
    <row r="16769" spans="23:23" x14ac:dyDescent="0.55000000000000004">
      <c r="W16769"/>
    </row>
    <row r="16770" spans="23:23" x14ac:dyDescent="0.55000000000000004">
      <c r="W16770"/>
    </row>
    <row r="16771" spans="23:23" x14ac:dyDescent="0.55000000000000004">
      <c r="W16771"/>
    </row>
    <row r="16772" spans="23:23" x14ac:dyDescent="0.55000000000000004">
      <c r="W16772"/>
    </row>
    <row r="16773" spans="23:23" x14ac:dyDescent="0.55000000000000004">
      <c r="W16773"/>
    </row>
    <row r="16774" spans="23:23" x14ac:dyDescent="0.55000000000000004">
      <c r="W16774"/>
    </row>
    <row r="16775" spans="23:23" x14ac:dyDescent="0.55000000000000004">
      <c r="W16775"/>
    </row>
    <row r="16776" spans="23:23" x14ac:dyDescent="0.55000000000000004">
      <c r="W16776"/>
    </row>
    <row r="16777" spans="23:23" x14ac:dyDescent="0.55000000000000004">
      <c r="W16777"/>
    </row>
    <row r="16778" spans="23:23" x14ac:dyDescent="0.55000000000000004">
      <c r="W16778"/>
    </row>
    <row r="16779" spans="23:23" x14ac:dyDescent="0.55000000000000004">
      <c r="W16779"/>
    </row>
    <row r="16780" spans="23:23" x14ac:dyDescent="0.55000000000000004">
      <c r="W16780"/>
    </row>
    <row r="16781" spans="23:23" x14ac:dyDescent="0.55000000000000004">
      <c r="W16781"/>
    </row>
    <row r="16782" spans="23:23" x14ac:dyDescent="0.55000000000000004">
      <c r="W16782"/>
    </row>
    <row r="16783" spans="23:23" x14ac:dyDescent="0.55000000000000004">
      <c r="W16783"/>
    </row>
    <row r="16784" spans="23:23" x14ac:dyDescent="0.55000000000000004">
      <c r="W16784"/>
    </row>
    <row r="16785" spans="23:23" x14ac:dyDescent="0.55000000000000004">
      <c r="W16785"/>
    </row>
    <row r="16786" spans="23:23" x14ac:dyDescent="0.55000000000000004">
      <c r="W16786"/>
    </row>
    <row r="16787" spans="23:23" x14ac:dyDescent="0.55000000000000004">
      <c r="W16787"/>
    </row>
    <row r="16788" spans="23:23" x14ac:dyDescent="0.55000000000000004">
      <c r="W16788"/>
    </row>
    <row r="16789" spans="23:23" x14ac:dyDescent="0.55000000000000004">
      <c r="W16789"/>
    </row>
    <row r="16790" spans="23:23" x14ac:dyDescent="0.55000000000000004">
      <c r="W16790"/>
    </row>
    <row r="16791" spans="23:23" x14ac:dyDescent="0.55000000000000004">
      <c r="W16791"/>
    </row>
    <row r="16792" spans="23:23" x14ac:dyDescent="0.55000000000000004">
      <c r="W16792"/>
    </row>
    <row r="16793" spans="23:23" x14ac:dyDescent="0.55000000000000004">
      <c r="W16793"/>
    </row>
    <row r="16794" spans="23:23" x14ac:dyDescent="0.55000000000000004">
      <c r="W16794"/>
    </row>
    <row r="16795" spans="23:23" x14ac:dyDescent="0.55000000000000004">
      <c r="W16795"/>
    </row>
    <row r="16796" spans="23:23" x14ac:dyDescent="0.55000000000000004">
      <c r="W16796"/>
    </row>
    <row r="16797" spans="23:23" x14ac:dyDescent="0.55000000000000004">
      <c r="W16797"/>
    </row>
    <row r="16798" spans="23:23" x14ac:dyDescent="0.55000000000000004">
      <c r="W16798"/>
    </row>
    <row r="16799" spans="23:23" x14ac:dyDescent="0.55000000000000004">
      <c r="W16799"/>
    </row>
    <row r="16800" spans="23:23" x14ac:dyDescent="0.55000000000000004">
      <c r="W16800"/>
    </row>
    <row r="16801" spans="23:23" x14ac:dyDescent="0.55000000000000004">
      <c r="W16801"/>
    </row>
    <row r="16802" spans="23:23" x14ac:dyDescent="0.55000000000000004">
      <c r="W16802"/>
    </row>
    <row r="16803" spans="23:23" x14ac:dyDescent="0.55000000000000004">
      <c r="W16803"/>
    </row>
    <row r="16804" spans="23:23" x14ac:dyDescent="0.55000000000000004">
      <c r="W16804"/>
    </row>
    <row r="16805" spans="23:23" x14ac:dyDescent="0.55000000000000004">
      <c r="W16805"/>
    </row>
    <row r="16806" spans="23:23" x14ac:dyDescent="0.55000000000000004">
      <c r="W16806"/>
    </row>
    <row r="16807" spans="23:23" x14ac:dyDescent="0.55000000000000004">
      <c r="W16807"/>
    </row>
    <row r="16808" spans="23:23" x14ac:dyDescent="0.55000000000000004">
      <c r="W16808"/>
    </row>
    <row r="16809" spans="23:23" x14ac:dyDescent="0.55000000000000004">
      <c r="W16809"/>
    </row>
    <row r="16810" spans="23:23" x14ac:dyDescent="0.55000000000000004">
      <c r="W16810"/>
    </row>
    <row r="16811" spans="23:23" x14ac:dyDescent="0.55000000000000004">
      <c r="W16811"/>
    </row>
    <row r="16812" spans="23:23" x14ac:dyDescent="0.55000000000000004">
      <c r="W16812"/>
    </row>
    <row r="16813" spans="23:23" x14ac:dyDescent="0.55000000000000004">
      <c r="W16813"/>
    </row>
    <row r="16814" spans="23:23" x14ac:dyDescent="0.55000000000000004">
      <c r="W16814"/>
    </row>
    <row r="16815" spans="23:23" x14ac:dyDescent="0.55000000000000004">
      <c r="W16815"/>
    </row>
    <row r="16816" spans="23:23" x14ac:dyDescent="0.55000000000000004">
      <c r="W16816"/>
    </row>
    <row r="16817" spans="23:23" x14ac:dyDescent="0.55000000000000004">
      <c r="W16817"/>
    </row>
    <row r="16818" spans="23:23" x14ac:dyDescent="0.55000000000000004">
      <c r="W16818"/>
    </row>
    <row r="16819" spans="23:23" x14ac:dyDescent="0.55000000000000004">
      <c r="W16819"/>
    </row>
    <row r="16820" spans="23:23" x14ac:dyDescent="0.55000000000000004">
      <c r="W16820"/>
    </row>
    <row r="16821" spans="23:23" x14ac:dyDescent="0.55000000000000004">
      <c r="W16821"/>
    </row>
    <row r="16822" spans="23:23" x14ac:dyDescent="0.55000000000000004">
      <c r="W16822"/>
    </row>
    <row r="16823" spans="23:23" x14ac:dyDescent="0.55000000000000004">
      <c r="W16823"/>
    </row>
    <row r="16824" spans="23:23" x14ac:dyDescent="0.55000000000000004">
      <c r="W16824"/>
    </row>
    <row r="16825" spans="23:23" x14ac:dyDescent="0.55000000000000004">
      <c r="W16825"/>
    </row>
    <row r="16826" spans="23:23" x14ac:dyDescent="0.55000000000000004">
      <c r="W16826"/>
    </row>
    <row r="16827" spans="23:23" x14ac:dyDescent="0.55000000000000004">
      <c r="W16827"/>
    </row>
    <row r="16828" spans="23:23" x14ac:dyDescent="0.55000000000000004">
      <c r="W16828"/>
    </row>
    <row r="16829" spans="23:23" x14ac:dyDescent="0.55000000000000004">
      <c r="W16829"/>
    </row>
    <row r="16830" spans="23:23" x14ac:dyDescent="0.55000000000000004">
      <c r="W16830"/>
    </row>
    <row r="16831" spans="23:23" x14ac:dyDescent="0.55000000000000004">
      <c r="W16831"/>
    </row>
    <row r="16832" spans="23:23" x14ac:dyDescent="0.55000000000000004">
      <c r="W16832"/>
    </row>
    <row r="16833" spans="23:23" x14ac:dyDescent="0.55000000000000004">
      <c r="W16833"/>
    </row>
    <row r="16834" spans="23:23" x14ac:dyDescent="0.55000000000000004">
      <c r="W16834"/>
    </row>
    <row r="16835" spans="23:23" x14ac:dyDescent="0.55000000000000004">
      <c r="W16835"/>
    </row>
    <row r="16836" spans="23:23" x14ac:dyDescent="0.55000000000000004">
      <c r="W16836"/>
    </row>
    <row r="16837" spans="23:23" x14ac:dyDescent="0.55000000000000004">
      <c r="W16837"/>
    </row>
    <row r="16838" spans="23:23" x14ac:dyDescent="0.55000000000000004">
      <c r="W16838"/>
    </row>
    <row r="16839" spans="23:23" x14ac:dyDescent="0.55000000000000004">
      <c r="W16839"/>
    </row>
    <row r="16840" spans="23:23" x14ac:dyDescent="0.55000000000000004">
      <c r="W16840"/>
    </row>
    <row r="16841" spans="23:23" x14ac:dyDescent="0.55000000000000004">
      <c r="W16841"/>
    </row>
    <row r="16842" spans="23:23" x14ac:dyDescent="0.55000000000000004">
      <c r="W16842"/>
    </row>
    <row r="16843" spans="23:23" x14ac:dyDescent="0.55000000000000004">
      <c r="W16843"/>
    </row>
    <row r="16844" spans="23:23" x14ac:dyDescent="0.55000000000000004">
      <c r="W16844"/>
    </row>
    <row r="16845" spans="23:23" x14ac:dyDescent="0.55000000000000004">
      <c r="W16845"/>
    </row>
    <row r="16846" spans="23:23" x14ac:dyDescent="0.55000000000000004">
      <c r="W16846"/>
    </row>
    <row r="16847" spans="23:23" x14ac:dyDescent="0.55000000000000004">
      <c r="W16847"/>
    </row>
    <row r="16848" spans="23:23" x14ac:dyDescent="0.55000000000000004">
      <c r="W16848"/>
    </row>
    <row r="16849" spans="23:23" x14ac:dyDescent="0.55000000000000004">
      <c r="W16849"/>
    </row>
    <row r="16850" spans="23:23" x14ac:dyDescent="0.55000000000000004">
      <c r="W16850"/>
    </row>
    <row r="16851" spans="23:23" x14ac:dyDescent="0.55000000000000004">
      <c r="W16851"/>
    </row>
    <row r="16852" spans="23:23" x14ac:dyDescent="0.55000000000000004">
      <c r="W16852"/>
    </row>
    <row r="16853" spans="23:23" x14ac:dyDescent="0.55000000000000004">
      <c r="W16853"/>
    </row>
    <row r="16854" spans="23:23" x14ac:dyDescent="0.55000000000000004">
      <c r="W16854"/>
    </row>
    <row r="16855" spans="23:23" x14ac:dyDescent="0.55000000000000004">
      <c r="W16855"/>
    </row>
    <row r="16856" spans="23:23" x14ac:dyDescent="0.55000000000000004">
      <c r="W16856"/>
    </row>
    <row r="16857" spans="23:23" x14ac:dyDescent="0.55000000000000004">
      <c r="W16857"/>
    </row>
    <row r="16858" spans="23:23" x14ac:dyDescent="0.55000000000000004">
      <c r="W16858"/>
    </row>
    <row r="16859" spans="23:23" x14ac:dyDescent="0.55000000000000004">
      <c r="W16859"/>
    </row>
    <row r="16860" spans="23:23" x14ac:dyDescent="0.55000000000000004">
      <c r="W16860"/>
    </row>
    <row r="16861" spans="23:23" x14ac:dyDescent="0.55000000000000004">
      <c r="W16861"/>
    </row>
    <row r="16862" spans="23:23" x14ac:dyDescent="0.55000000000000004">
      <c r="W16862"/>
    </row>
    <row r="16863" spans="23:23" x14ac:dyDescent="0.55000000000000004">
      <c r="W16863"/>
    </row>
    <row r="16864" spans="23:23" x14ac:dyDescent="0.55000000000000004">
      <c r="W16864"/>
    </row>
    <row r="16865" spans="23:23" x14ac:dyDescent="0.55000000000000004">
      <c r="W16865"/>
    </row>
    <row r="16866" spans="23:23" x14ac:dyDescent="0.55000000000000004">
      <c r="W16866"/>
    </row>
    <row r="16867" spans="23:23" x14ac:dyDescent="0.55000000000000004">
      <c r="W16867"/>
    </row>
    <row r="16868" spans="23:23" x14ac:dyDescent="0.55000000000000004">
      <c r="W16868"/>
    </row>
    <row r="16869" spans="23:23" x14ac:dyDescent="0.55000000000000004">
      <c r="W16869"/>
    </row>
    <row r="16870" spans="23:23" x14ac:dyDescent="0.55000000000000004">
      <c r="W16870"/>
    </row>
    <row r="16871" spans="23:23" x14ac:dyDescent="0.55000000000000004">
      <c r="W16871"/>
    </row>
    <row r="16872" spans="23:23" x14ac:dyDescent="0.55000000000000004">
      <c r="W16872"/>
    </row>
    <row r="16873" spans="23:23" x14ac:dyDescent="0.55000000000000004">
      <c r="W16873"/>
    </row>
    <row r="16874" spans="23:23" x14ac:dyDescent="0.55000000000000004">
      <c r="W16874"/>
    </row>
    <row r="16875" spans="23:23" x14ac:dyDescent="0.55000000000000004">
      <c r="W16875"/>
    </row>
    <row r="16876" spans="23:23" x14ac:dyDescent="0.55000000000000004">
      <c r="W16876"/>
    </row>
    <row r="16877" spans="23:23" x14ac:dyDescent="0.55000000000000004">
      <c r="W16877"/>
    </row>
    <row r="16878" spans="23:23" x14ac:dyDescent="0.55000000000000004">
      <c r="W16878"/>
    </row>
    <row r="16879" spans="23:23" x14ac:dyDescent="0.55000000000000004">
      <c r="W16879"/>
    </row>
    <row r="16880" spans="23:23" x14ac:dyDescent="0.55000000000000004">
      <c r="W16880"/>
    </row>
    <row r="16881" spans="23:23" x14ac:dyDescent="0.55000000000000004">
      <c r="W16881"/>
    </row>
    <row r="16882" spans="23:23" x14ac:dyDescent="0.55000000000000004">
      <c r="W16882"/>
    </row>
    <row r="16883" spans="23:23" x14ac:dyDescent="0.55000000000000004">
      <c r="W16883"/>
    </row>
    <row r="16884" spans="23:23" x14ac:dyDescent="0.55000000000000004">
      <c r="W16884"/>
    </row>
    <row r="16885" spans="23:23" x14ac:dyDescent="0.55000000000000004">
      <c r="W16885"/>
    </row>
    <row r="16886" spans="23:23" x14ac:dyDescent="0.55000000000000004">
      <c r="W16886"/>
    </row>
    <row r="16887" spans="23:23" x14ac:dyDescent="0.55000000000000004">
      <c r="W16887"/>
    </row>
    <row r="16888" spans="23:23" x14ac:dyDescent="0.55000000000000004">
      <c r="W16888"/>
    </row>
    <row r="16889" spans="23:23" x14ac:dyDescent="0.55000000000000004">
      <c r="W16889"/>
    </row>
    <row r="16890" spans="23:23" x14ac:dyDescent="0.55000000000000004">
      <c r="W16890"/>
    </row>
    <row r="16891" spans="23:23" x14ac:dyDescent="0.55000000000000004">
      <c r="W16891"/>
    </row>
    <row r="16892" spans="23:23" x14ac:dyDescent="0.55000000000000004">
      <c r="W16892"/>
    </row>
    <row r="16893" spans="23:23" x14ac:dyDescent="0.55000000000000004">
      <c r="W16893"/>
    </row>
    <row r="16894" spans="23:23" x14ac:dyDescent="0.55000000000000004">
      <c r="W16894"/>
    </row>
    <row r="16895" spans="23:23" x14ac:dyDescent="0.55000000000000004">
      <c r="W16895"/>
    </row>
    <row r="16896" spans="23:23" x14ac:dyDescent="0.55000000000000004">
      <c r="W16896"/>
    </row>
    <row r="16897" spans="23:23" x14ac:dyDescent="0.55000000000000004">
      <c r="W16897"/>
    </row>
    <row r="16898" spans="23:23" x14ac:dyDescent="0.55000000000000004">
      <c r="W16898"/>
    </row>
    <row r="16899" spans="23:23" x14ac:dyDescent="0.55000000000000004">
      <c r="W16899"/>
    </row>
    <row r="16900" spans="23:23" x14ac:dyDescent="0.55000000000000004">
      <c r="W16900"/>
    </row>
    <row r="16901" spans="23:23" x14ac:dyDescent="0.55000000000000004">
      <c r="W16901"/>
    </row>
    <row r="16902" spans="23:23" x14ac:dyDescent="0.55000000000000004">
      <c r="W16902"/>
    </row>
    <row r="16903" spans="23:23" x14ac:dyDescent="0.55000000000000004">
      <c r="W16903"/>
    </row>
    <row r="16904" spans="23:23" x14ac:dyDescent="0.55000000000000004">
      <c r="W16904"/>
    </row>
    <row r="16905" spans="23:23" x14ac:dyDescent="0.55000000000000004">
      <c r="W16905"/>
    </row>
    <row r="16906" spans="23:23" x14ac:dyDescent="0.55000000000000004">
      <c r="W16906"/>
    </row>
    <row r="16907" spans="23:23" x14ac:dyDescent="0.55000000000000004">
      <c r="W16907"/>
    </row>
    <row r="16908" spans="23:23" x14ac:dyDescent="0.55000000000000004">
      <c r="W16908"/>
    </row>
    <row r="16909" spans="23:23" x14ac:dyDescent="0.55000000000000004">
      <c r="W16909"/>
    </row>
    <row r="16910" spans="23:23" x14ac:dyDescent="0.55000000000000004">
      <c r="W16910"/>
    </row>
    <row r="16911" spans="23:23" x14ac:dyDescent="0.55000000000000004">
      <c r="W16911"/>
    </row>
    <row r="16912" spans="23:23" x14ac:dyDescent="0.55000000000000004">
      <c r="W16912"/>
    </row>
    <row r="16913" spans="23:23" x14ac:dyDescent="0.55000000000000004">
      <c r="W16913"/>
    </row>
    <row r="16914" spans="23:23" x14ac:dyDescent="0.55000000000000004">
      <c r="W16914"/>
    </row>
    <row r="16915" spans="23:23" x14ac:dyDescent="0.55000000000000004">
      <c r="W16915"/>
    </row>
    <row r="16916" spans="23:23" x14ac:dyDescent="0.55000000000000004">
      <c r="W16916"/>
    </row>
    <row r="16917" spans="23:23" x14ac:dyDescent="0.55000000000000004">
      <c r="W16917"/>
    </row>
    <row r="16918" spans="23:23" x14ac:dyDescent="0.55000000000000004">
      <c r="W16918"/>
    </row>
    <row r="16919" spans="23:23" x14ac:dyDescent="0.55000000000000004">
      <c r="W16919"/>
    </row>
    <row r="16920" spans="23:23" x14ac:dyDescent="0.55000000000000004">
      <c r="W16920"/>
    </row>
    <row r="16921" spans="23:23" x14ac:dyDescent="0.55000000000000004">
      <c r="W16921"/>
    </row>
    <row r="16922" spans="23:23" x14ac:dyDescent="0.55000000000000004">
      <c r="W16922"/>
    </row>
    <row r="16923" spans="23:23" x14ac:dyDescent="0.55000000000000004">
      <c r="W16923"/>
    </row>
    <row r="16924" spans="23:23" x14ac:dyDescent="0.55000000000000004">
      <c r="W16924"/>
    </row>
    <row r="16925" spans="23:23" x14ac:dyDescent="0.55000000000000004">
      <c r="W16925"/>
    </row>
    <row r="16926" spans="23:23" x14ac:dyDescent="0.55000000000000004">
      <c r="W16926"/>
    </row>
    <row r="16927" spans="23:23" x14ac:dyDescent="0.55000000000000004">
      <c r="W16927"/>
    </row>
    <row r="16928" spans="23:23" x14ac:dyDescent="0.55000000000000004">
      <c r="W16928"/>
    </row>
    <row r="16929" spans="23:23" x14ac:dyDescent="0.55000000000000004">
      <c r="W16929"/>
    </row>
    <row r="16930" spans="23:23" x14ac:dyDescent="0.55000000000000004">
      <c r="W16930"/>
    </row>
    <row r="16931" spans="23:23" x14ac:dyDescent="0.55000000000000004">
      <c r="W16931"/>
    </row>
    <row r="16932" spans="23:23" x14ac:dyDescent="0.55000000000000004">
      <c r="W16932"/>
    </row>
    <row r="16933" spans="23:23" x14ac:dyDescent="0.55000000000000004">
      <c r="W16933"/>
    </row>
    <row r="16934" spans="23:23" x14ac:dyDescent="0.55000000000000004">
      <c r="W16934"/>
    </row>
    <row r="16935" spans="23:23" x14ac:dyDescent="0.55000000000000004">
      <c r="W16935"/>
    </row>
    <row r="16936" spans="23:23" x14ac:dyDescent="0.55000000000000004">
      <c r="W16936"/>
    </row>
    <row r="16937" spans="23:23" x14ac:dyDescent="0.55000000000000004">
      <c r="W16937"/>
    </row>
    <row r="16938" spans="23:23" x14ac:dyDescent="0.55000000000000004">
      <c r="W16938"/>
    </row>
    <row r="16939" spans="23:23" x14ac:dyDescent="0.55000000000000004">
      <c r="W16939"/>
    </row>
    <row r="16940" spans="23:23" x14ac:dyDescent="0.55000000000000004">
      <c r="W16940"/>
    </row>
    <row r="16941" spans="23:23" x14ac:dyDescent="0.55000000000000004">
      <c r="W16941"/>
    </row>
    <row r="16942" spans="23:23" x14ac:dyDescent="0.55000000000000004">
      <c r="W16942"/>
    </row>
    <row r="16943" spans="23:23" x14ac:dyDescent="0.55000000000000004">
      <c r="W16943"/>
    </row>
    <row r="16944" spans="23:23" x14ac:dyDescent="0.55000000000000004">
      <c r="W16944"/>
    </row>
    <row r="16945" spans="23:23" x14ac:dyDescent="0.55000000000000004">
      <c r="W16945"/>
    </row>
    <row r="16946" spans="23:23" x14ac:dyDescent="0.55000000000000004">
      <c r="W16946"/>
    </row>
    <row r="16947" spans="23:23" x14ac:dyDescent="0.55000000000000004">
      <c r="W16947"/>
    </row>
    <row r="16948" spans="23:23" x14ac:dyDescent="0.55000000000000004">
      <c r="W16948"/>
    </row>
    <row r="16949" spans="23:23" x14ac:dyDescent="0.55000000000000004">
      <c r="W16949"/>
    </row>
    <row r="16950" spans="23:23" x14ac:dyDescent="0.55000000000000004">
      <c r="W16950"/>
    </row>
    <row r="16951" spans="23:23" x14ac:dyDescent="0.55000000000000004">
      <c r="W16951"/>
    </row>
    <row r="16952" spans="23:23" x14ac:dyDescent="0.55000000000000004">
      <c r="W16952"/>
    </row>
    <row r="16953" spans="23:23" x14ac:dyDescent="0.55000000000000004">
      <c r="W16953"/>
    </row>
    <row r="16954" spans="23:23" x14ac:dyDescent="0.55000000000000004">
      <c r="W16954"/>
    </row>
    <row r="16955" spans="23:23" x14ac:dyDescent="0.55000000000000004">
      <c r="W16955"/>
    </row>
    <row r="16956" spans="23:23" x14ac:dyDescent="0.55000000000000004">
      <c r="W16956"/>
    </row>
    <row r="16957" spans="23:23" x14ac:dyDescent="0.55000000000000004">
      <c r="W16957"/>
    </row>
    <row r="16958" spans="23:23" x14ac:dyDescent="0.55000000000000004">
      <c r="W16958"/>
    </row>
    <row r="16959" spans="23:23" x14ac:dyDescent="0.55000000000000004">
      <c r="W16959"/>
    </row>
    <row r="16960" spans="23:23" x14ac:dyDescent="0.55000000000000004">
      <c r="W16960"/>
    </row>
    <row r="16961" spans="23:23" x14ac:dyDescent="0.55000000000000004">
      <c r="W16961"/>
    </row>
    <row r="16962" spans="23:23" x14ac:dyDescent="0.55000000000000004">
      <c r="W16962"/>
    </row>
    <row r="16963" spans="23:23" x14ac:dyDescent="0.55000000000000004">
      <c r="W16963"/>
    </row>
    <row r="16964" spans="23:23" x14ac:dyDescent="0.55000000000000004">
      <c r="W16964"/>
    </row>
    <row r="16965" spans="23:23" x14ac:dyDescent="0.55000000000000004">
      <c r="W16965"/>
    </row>
    <row r="16966" spans="23:23" x14ac:dyDescent="0.55000000000000004">
      <c r="W16966"/>
    </row>
    <row r="16967" spans="23:23" x14ac:dyDescent="0.55000000000000004">
      <c r="W16967"/>
    </row>
    <row r="16968" spans="23:23" x14ac:dyDescent="0.55000000000000004">
      <c r="W16968"/>
    </row>
    <row r="16969" spans="23:23" x14ac:dyDescent="0.55000000000000004">
      <c r="W16969"/>
    </row>
    <row r="16970" spans="23:23" x14ac:dyDescent="0.55000000000000004">
      <c r="W16970"/>
    </row>
    <row r="16971" spans="23:23" x14ac:dyDescent="0.55000000000000004">
      <c r="W16971"/>
    </row>
    <row r="16972" spans="23:23" x14ac:dyDescent="0.55000000000000004">
      <c r="W16972"/>
    </row>
    <row r="16973" spans="23:23" x14ac:dyDescent="0.55000000000000004">
      <c r="W16973"/>
    </row>
    <row r="16974" spans="23:23" x14ac:dyDescent="0.55000000000000004">
      <c r="W16974"/>
    </row>
    <row r="16975" spans="23:23" x14ac:dyDescent="0.55000000000000004">
      <c r="W16975"/>
    </row>
    <row r="16976" spans="23:23" x14ac:dyDescent="0.55000000000000004">
      <c r="W16976"/>
    </row>
    <row r="16977" spans="23:23" x14ac:dyDescent="0.55000000000000004">
      <c r="W16977"/>
    </row>
    <row r="16978" spans="23:23" x14ac:dyDescent="0.55000000000000004">
      <c r="W16978"/>
    </row>
    <row r="16979" spans="23:23" x14ac:dyDescent="0.55000000000000004">
      <c r="W16979"/>
    </row>
    <row r="16980" spans="23:23" x14ac:dyDescent="0.55000000000000004">
      <c r="W16980"/>
    </row>
    <row r="16981" spans="23:23" x14ac:dyDescent="0.55000000000000004">
      <c r="W16981"/>
    </row>
    <row r="16982" spans="23:23" x14ac:dyDescent="0.55000000000000004">
      <c r="W16982"/>
    </row>
    <row r="16983" spans="23:23" x14ac:dyDescent="0.55000000000000004">
      <c r="W16983"/>
    </row>
    <row r="16984" spans="23:23" x14ac:dyDescent="0.55000000000000004">
      <c r="W16984"/>
    </row>
    <row r="16985" spans="23:23" x14ac:dyDescent="0.55000000000000004">
      <c r="W16985"/>
    </row>
    <row r="16986" spans="23:23" x14ac:dyDescent="0.55000000000000004">
      <c r="W16986"/>
    </row>
    <row r="16987" spans="23:23" x14ac:dyDescent="0.55000000000000004">
      <c r="W16987"/>
    </row>
    <row r="16988" spans="23:23" x14ac:dyDescent="0.55000000000000004">
      <c r="W16988"/>
    </row>
    <row r="16989" spans="23:23" x14ac:dyDescent="0.55000000000000004">
      <c r="W16989"/>
    </row>
    <row r="16990" spans="23:23" x14ac:dyDescent="0.55000000000000004">
      <c r="W16990"/>
    </row>
    <row r="16991" spans="23:23" x14ac:dyDescent="0.55000000000000004">
      <c r="W16991"/>
    </row>
    <row r="16992" spans="23:23" x14ac:dyDescent="0.55000000000000004">
      <c r="W16992"/>
    </row>
    <row r="16993" spans="23:23" x14ac:dyDescent="0.55000000000000004">
      <c r="W16993"/>
    </row>
    <row r="16994" spans="23:23" x14ac:dyDescent="0.55000000000000004">
      <c r="W16994"/>
    </row>
    <row r="16995" spans="23:23" x14ac:dyDescent="0.55000000000000004">
      <c r="W16995"/>
    </row>
    <row r="16996" spans="23:23" x14ac:dyDescent="0.55000000000000004">
      <c r="W16996"/>
    </row>
    <row r="16997" spans="23:23" x14ac:dyDescent="0.55000000000000004">
      <c r="W16997"/>
    </row>
    <row r="16998" spans="23:23" x14ac:dyDescent="0.55000000000000004">
      <c r="W16998"/>
    </row>
    <row r="16999" spans="23:23" x14ac:dyDescent="0.55000000000000004">
      <c r="W16999"/>
    </row>
    <row r="17000" spans="23:23" x14ac:dyDescent="0.55000000000000004">
      <c r="W17000"/>
    </row>
    <row r="17001" spans="23:23" x14ac:dyDescent="0.55000000000000004">
      <c r="W17001"/>
    </row>
    <row r="17002" spans="23:23" x14ac:dyDescent="0.55000000000000004">
      <c r="W17002"/>
    </row>
    <row r="17003" spans="23:23" x14ac:dyDescent="0.55000000000000004">
      <c r="W17003"/>
    </row>
    <row r="17004" spans="23:23" x14ac:dyDescent="0.55000000000000004">
      <c r="W17004"/>
    </row>
    <row r="17005" spans="23:23" x14ac:dyDescent="0.55000000000000004">
      <c r="W17005"/>
    </row>
    <row r="17006" spans="23:23" x14ac:dyDescent="0.55000000000000004">
      <c r="W17006"/>
    </row>
    <row r="17007" spans="23:23" x14ac:dyDescent="0.55000000000000004">
      <c r="W17007"/>
    </row>
    <row r="17008" spans="23:23" x14ac:dyDescent="0.55000000000000004">
      <c r="W17008"/>
    </row>
    <row r="17009" spans="23:23" x14ac:dyDescent="0.55000000000000004">
      <c r="W17009"/>
    </row>
    <row r="17010" spans="23:23" x14ac:dyDescent="0.55000000000000004">
      <c r="W17010"/>
    </row>
    <row r="17011" spans="23:23" x14ac:dyDescent="0.55000000000000004">
      <c r="W17011"/>
    </row>
    <row r="17012" spans="23:23" x14ac:dyDescent="0.55000000000000004">
      <c r="W17012"/>
    </row>
    <row r="17013" spans="23:23" x14ac:dyDescent="0.55000000000000004">
      <c r="W17013"/>
    </row>
    <row r="17014" spans="23:23" x14ac:dyDescent="0.55000000000000004">
      <c r="W17014"/>
    </row>
    <row r="17015" spans="23:23" x14ac:dyDescent="0.55000000000000004">
      <c r="W17015"/>
    </row>
    <row r="17016" spans="23:23" x14ac:dyDescent="0.55000000000000004">
      <c r="W17016"/>
    </row>
    <row r="17017" spans="23:23" x14ac:dyDescent="0.55000000000000004">
      <c r="W17017"/>
    </row>
    <row r="17018" spans="23:23" x14ac:dyDescent="0.55000000000000004">
      <c r="W17018"/>
    </row>
    <row r="17019" spans="23:23" x14ac:dyDescent="0.55000000000000004">
      <c r="W17019"/>
    </row>
    <row r="17020" spans="23:23" x14ac:dyDescent="0.55000000000000004">
      <c r="W17020"/>
    </row>
    <row r="17021" spans="23:23" x14ac:dyDescent="0.55000000000000004">
      <c r="W17021"/>
    </row>
    <row r="17022" spans="23:23" x14ac:dyDescent="0.55000000000000004">
      <c r="W17022"/>
    </row>
    <row r="17023" spans="23:23" x14ac:dyDescent="0.55000000000000004">
      <c r="W17023"/>
    </row>
    <row r="17024" spans="23:23" x14ac:dyDescent="0.55000000000000004">
      <c r="W17024"/>
    </row>
    <row r="17025" spans="23:23" x14ac:dyDescent="0.55000000000000004">
      <c r="W17025"/>
    </row>
    <row r="17026" spans="23:23" x14ac:dyDescent="0.55000000000000004">
      <c r="W17026"/>
    </row>
    <row r="17027" spans="23:23" x14ac:dyDescent="0.55000000000000004">
      <c r="W17027"/>
    </row>
    <row r="17028" spans="23:23" x14ac:dyDescent="0.55000000000000004">
      <c r="W17028"/>
    </row>
    <row r="17029" spans="23:23" x14ac:dyDescent="0.55000000000000004">
      <c r="W17029"/>
    </row>
    <row r="17030" spans="23:23" x14ac:dyDescent="0.55000000000000004">
      <c r="W17030"/>
    </row>
    <row r="17031" spans="23:23" x14ac:dyDescent="0.55000000000000004">
      <c r="W17031"/>
    </row>
    <row r="17032" spans="23:23" x14ac:dyDescent="0.55000000000000004">
      <c r="W17032"/>
    </row>
    <row r="17033" spans="23:23" x14ac:dyDescent="0.55000000000000004">
      <c r="W17033"/>
    </row>
    <row r="17034" spans="23:23" x14ac:dyDescent="0.55000000000000004">
      <c r="W17034"/>
    </row>
    <row r="17035" spans="23:23" x14ac:dyDescent="0.55000000000000004">
      <c r="W17035"/>
    </row>
    <row r="17036" spans="23:23" x14ac:dyDescent="0.55000000000000004">
      <c r="W17036"/>
    </row>
    <row r="17037" spans="23:23" x14ac:dyDescent="0.55000000000000004">
      <c r="W17037"/>
    </row>
    <row r="17038" spans="23:23" x14ac:dyDescent="0.55000000000000004">
      <c r="W17038"/>
    </row>
    <row r="17039" spans="23:23" x14ac:dyDescent="0.55000000000000004">
      <c r="W17039"/>
    </row>
    <row r="17040" spans="23:23" x14ac:dyDescent="0.55000000000000004">
      <c r="W17040"/>
    </row>
    <row r="17041" spans="23:23" x14ac:dyDescent="0.55000000000000004">
      <c r="W17041"/>
    </row>
    <row r="17042" spans="23:23" x14ac:dyDescent="0.55000000000000004">
      <c r="W17042"/>
    </row>
    <row r="17043" spans="23:23" x14ac:dyDescent="0.55000000000000004">
      <c r="W17043"/>
    </row>
    <row r="17044" spans="23:23" x14ac:dyDescent="0.55000000000000004">
      <c r="W17044"/>
    </row>
    <row r="17045" spans="23:23" x14ac:dyDescent="0.55000000000000004">
      <c r="W17045"/>
    </row>
    <row r="17046" spans="23:23" x14ac:dyDescent="0.55000000000000004">
      <c r="W17046"/>
    </row>
    <row r="17047" spans="23:23" x14ac:dyDescent="0.55000000000000004">
      <c r="W17047"/>
    </row>
    <row r="17048" spans="23:23" x14ac:dyDescent="0.55000000000000004">
      <c r="W17048"/>
    </row>
    <row r="17049" spans="23:23" x14ac:dyDescent="0.55000000000000004">
      <c r="W17049"/>
    </row>
    <row r="17050" spans="23:23" x14ac:dyDescent="0.55000000000000004">
      <c r="W17050"/>
    </row>
    <row r="17051" spans="23:23" x14ac:dyDescent="0.55000000000000004">
      <c r="W17051"/>
    </row>
    <row r="17052" spans="23:23" x14ac:dyDescent="0.55000000000000004">
      <c r="W17052"/>
    </row>
    <row r="17053" spans="23:23" x14ac:dyDescent="0.55000000000000004">
      <c r="W17053"/>
    </row>
    <row r="17054" spans="23:23" x14ac:dyDescent="0.55000000000000004">
      <c r="W17054"/>
    </row>
    <row r="17055" spans="23:23" x14ac:dyDescent="0.55000000000000004">
      <c r="W17055"/>
    </row>
    <row r="17056" spans="23:23" x14ac:dyDescent="0.55000000000000004">
      <c r="W17056"/>
    </row>
    <row r="17057" spans="23:23" x14ac:dyDescent="0.55000000000000004">
      <c r="W17057"/>
    </row>
    <row r="17058" spans="23:23" x14ac:dyDescent="0.55000000000000004">
      <c r="W17058"/>
    </row>
    <row r="17059" spans="23:23" x14ac:dyDescent="0.55000000000000004">
      <c r="W17059"/>
    </row>
    <row r="17060" spans="23:23" x14ac:dyDescent="0.55000000000000004">
      <c r="W17060"/>
    </row>
    <row r="17061" spans="23:23" x14ac:dyDescent="0.55000000000000004">
      <c r="W17061"/>
    </row>
    <row r="17062" spans="23:23" x14ac:dyDescent="0.55000000000000004">
      <c r="W17062"/>
    </row>
    <row r="17063" spans="23:23" x14ac:dyDescent="0.55000000000000004">
      <c r="W17063"/>
    </row>
    <row r="17064" spans="23:23" x14ac:dyDescent="0.55000000000000004">
      <c r="W17064"/>
    </row>
    <row r="17065" spans="23:23" x14ac:dyDescent="0.55000000000000004">
      <c r="W17065"/>
    </row>
    <row r="17066" spans="23:23" x14ac:dyDescent="0.55000000000000004">
      <c r="W17066"/>
    </row>
    <row r="17067" spans="23:23" x14ac:dyDescent="0.55000000000000004">
      <c r="W17067"/>
    </row>
    <row r="17068" spans="23:23" x14ac:dyDescent="0.55000000000000004">
      <c r="W17068"/>
    </row>
    <row r="17069" spans="23:23" x14ac:dyDescent="0.55000000000000004">
      <c r="W17069"/>
    </row>
    <row r="17070" spans="23:23" x14ac:dyDescent="0.55000000000000004">
      <c r="W17070"/>
    </row>
    <row r="17071" spans="23:23" x14ac:dyDescent="0.55000000000000004">
      <c r="W17071"/>
    </row>
    <row r="17072" spans="23:23" x14ac:dyDescent="0.55000000000000004">
      <c r="W17072"/>
    </row>
    <row r="17073" spans="23:23" x14ac:dyDescent="0.55000000000000004">
      <c r="W17073"/>
    </row>
    <row r="17074" spans="23:23" x14ac:dyDescent="0.55000000000000004">
      <c r="W17074"/>
    </row>
    <row r="17075" spans="23:23" x14ac:dyDescent="0.55000000000000004">
      <c r="W17075"/>
    </row>
    <row r="17076" spans="23:23" x14ac:dyDescent="0.55000000000000004">
      <c r="W17076"/>
    </row>
    <row r="17077" spans="23:23" x14ac:dyDescent="0.55000000000000004">
      <c r="W17077"/>
    </row>
    <row r="17078" spans="23:23" x14ac:dyDescent="0.55000000000000004">
      <c r="W17078"/>
    </row>
    <row r="17079" spans="23:23" x14ac:dyDescent="0.55000000000000004">
      <c r="W17079"/>
    </row>
    <row r="17080" spans="23:23" x14ac:dyDescent="0.55000000000000004">
      <c r="W17080"/>
    </row>
    <row r="17081" spans="23:23" x14ac:dyDescent="0.55000000000000004">
      <c r="W17081"/>
    </row>
    <row r="17082" spans="23:23" x14ac:dyDescent="0.55000000000000004">
      <c r="W17082"/>
    </row>
    <row r="17083" spans="23:23" x14ac:dyDescent="0.55000000000000004">
      <c r="W17083"/>
    </row>
    <row r="17084" spans="23:23" x14ac:dyDescent="0.55000000000000004">
      <c r="W17084"/>
    </row>
    <row r="17085" spans="23:23" x14ac:dyDescent="0.55000000000000004">
      <c r="W17085"/>
    </row>
    <row r="17086" spans="23:23" x14ac:dyDescent="0.55000000000000004">
      <c r="W17086"/>
    </row>
    <row r="17087" spans="23:23" x14ac:dyDescent="0.55000000000000004">
      <c r="W17087"/>
    </row>
    <row r="17088" spans="23:23" x14ac:dyDescent="0.55000000000000004">
      <c r="W17088"/>
    </row>
    <row r="17089" spans="23:23" x14ac:dyDescent="0.55000000000000004">
      <c r="W17089"/>
    </row>
    <row r="17090" spans="23:23" x14ac:dyDescent="0.55000000000000004">
      <c r="W17090"/>
    </row>
    <row r="17091" spans="23:23" x14ac:dyDescent="0.55000000000000004">
      <c r="W17091"/>
    </row>
    <row r="17092" spans="23:23" x14ac:dyDescent="0.55000000000000004">
      <c r="W17092"/>
    </row>
    <row r="17093" spans="23:23" x14ac:dyDescent="0.55000000000000004">
      <c r="W17093"/>
    </row>
    <row r="17094" spans="23:23" x14ac:dyDescent="0.55000000000000004">
      <c r="W17094"/>
    </row>
    <row r="17095" spans="23:23" x14ac:dyDescent="0.55000000000000004">
      <c r="W17095"/>
    </row>
    <row r="17096" spans="23:23" x14ac:dyDescent="0.55000000000000004">
      <c r="W17096"/>
    </row>
    <row r="17097" spans="23:23" x14ac:dyDescent="0.55000000000000004">
      <c r="W17097"/>
    </row>
    <row r="17098" spans="23:23" x14ac:dyDescent="0.55000000000000004">
      <c r="W17098"/>
    </row>
    <row r="17099" spans="23:23" x14ac:dyDescent="0.55000000000000004">
      <c r="W17099"/>
    </row>
    <row r="17100" spans="23:23" x14ac:dyDescent="0.55000000000000004">
      <c r="W17100"/>
    </row>
    <row r="17101" spans="23:23" x14ac:dyDescent="0.55000000000000004">
      <c r="W17101"/>
    </row>
    <row r="17102" spans="23:23" x14ac:dyDescent="0.55000000000000004">
      <c r="W17102"/>
    </row>
    <row r="17103" spans="23:23" x14ac:dyDescent="0.55000000000000004">
      <c r="W17103"/>
    </row>
    <row r="17104" spans="23:23" x14ac:dyDescent="0.55000000000000004">
      <c r="W17104"/>
    </row>
    <row r="17105" spans="23:23" x14ac:dyDescent="0.55000000000000004">
      <c r="W17105"/>
    </row>
    <row r="17106" spans="23:23" x14ac:dyDescent="0.55000000000000004">
      <c r="W17106"/>
    </row>
    <row r="17107" spans="23:23" x14ac:dyDescent="0.55000000000000004">
      <c r="W17107"/>
    </row>
    <row r="17108" spans="23:23" x14ac:dyDescent="0.55000000000000004">
      <c r="W17108"/>
    </row>
    <row r="17109" spans="23:23" x14ac:dyDescent="0.55000000000000004">
      <c r="W17109"/>
    </row>
    <row r="17110" spans="23:23" x14ac:dyDescent="0.55000000000000004">
      <c r="W17110"/>
    </row>
    <row r="17111" spans="23:23" x14ac:dyDescent="0.55000000000000004">
      <c r="W17111"/>
    </row>
    <row r="17112" spans="23:23" x14ac:dyDescent="0.55000000000000004">
      <c r="W17112"/>
    </row>
    <row r="17113" spans="23:23" x14ac:dyDescent="0.55000000000000004">
      <c r="W17113"/>
    </row>
    <row r="17114" spans="23:23" x14ac:dyDescent="0.55000000000000004">
      <c r="W17114"/>
    </row>
    <row r="17115" spans="23:23" x14ac:dyDescent="0.55000000000000004">
      <c r="W17115"/>
    </row>
    <row r="17116" spans="23:23" x14ac:dyDescent="0.55000000000000004">
      <c r="W17116"/>
    </row>
    <row r="17117" spans="23:23" x14ac:dyDescent="0.55000000000000004">
      <c r="W17117"/>
    </row>
    <row r="17118" spans="23:23" x14ac:dyDescent="0.55000000000000004">
      <c r="W17118"/>
    </row>
    <row r="17119" spans="23:23" x14ac:dyDescent="0.55000000000000004">
      <c r="W17119"/>
    </row>
    <row r="17120" spans="23:23" x14ac:dyDescent="0.55000000000000004">
      <c r="W17120"/>
    </row>
    <row r="17121" spans="23:23" x14ac:dyDescent="0.55000000000000004">
      <c r="W17121"/>
    </row>
    <row r="17122" spans="23:23" x14ac:dyDescent="0.55000000000000004">
      <c r="W17122"/>
    </row>
    <row r="17123" spans="23:23" x14ac:dyDescent="0.55000000000000004">
      <c r="W17123"/>
    </row>
    <row r="17124" spans="23:23" x14ac:dyDescent="0.55000000000000004">
      <c r="W17124"/>
    </row>
    <row r="17125" spans="23:23" x14ac:dyDescent="0.55000000000000004">
      <c r="W17125"/>
    </row>
    <row r="17126" spans="23:23" x14ac:dyDescent="0.55000000000000004">
      <c r="W17126"/>
    </row>
    <row r="17127" spans="23:23" x14ac:dyDescent="0.55000000000000004">
      <c r="W17127"/>
    </row>
    <row r="17128" spans="23:23" x14ac:dyDescent="0.55000000000000004">
      <c r="W17128"/>
    </row>
    <row r="17129" spans="23:23" x14ac:dyDescent="0.55000000000000004">
      <c r="W17129"/>
    </row>
    <row r="17130" spans="23:23" x14ac:dyDescent="0.55000000000000004">
      <c r="W17130"/>
    </row>
    <row r="17131" spans="23:23" x14ac:dyDescent="0.55000000000000004">
      <c r="W17131"/>
    </row>
    <row r="17132" spans="23:23" x14ac:dyDescent="0.55000000000000004">
      <c r="W17132"/>
    </row>
    <row r="17133" spans="23:23" x14ac:dyDescent="0.55000000000000004">
      <c r="W17133"/>
    </row>
    <row r="17134" spans="23:23" x14ac:dyDescent="0.55000000000000004">
      <c r="W17134"/>
    </row>
    <row r="17135" spans="23:23" x14ac:dyDescent="0.55000000000000004">
      <c r="W17135"/>
    </row>
    <row r="17136" spans="23:23" x14ac:dyDescent="0.55000000000000004">
      <c r="W17136"/>
    </row>
    <row r="17137" spans="23:23" x14ac:dyDescent="0.55000000000000004">
      <c r="W17137"/>
    </row>
    <row r="17138" spans="23:23" x14ac:dyDescent="0.55000000000000004">
      <c r="W17138"/>
    </row>
    <row r="17139" spans="23:23" x14ac:dyDescent="0.55000000000000004">
      <c r="W17139"/>
    </row>
    <row r="17140" spans="23:23" x14ac:dyDescent="0.55000000000000004">
      <c r="W17140"/>
    </row>
    <row r="17141" spans="23:23" x14ac:dyDescent="0.55000000000000004">
      <c r="W17141"/>
    </row>
    <row r="17142" spans="23:23" x14ac:dyDescent="0.55000000000000004">
      <c r="W17142"/>
    </row>
    <row r="17143" spans="23:23" x14ac:dyDescent="0.55000000000000004">
      <c r="W17143"/>
    </row>
    <row r="17144" spans="23:23" x14ac:dyDescent="0.55000000000000004">
      <c r="W17144"/>
    </row>
    <row r="17145" spans="23:23" x14ac:dyDescent="0.55000000000000004">
      <c r="W17145"/>
    </row>
    <row r="17146" spans="23:23" x14ac:dyDescent="0.55000000000000004">
      <c r="W17146"/>
    </row>
    <row r="17147" spans="23:23" x14ac:dyDescent="0.55000000000000004">
      <c r="W17147"/>
    </row>
    <row r="17148" spans="23:23" x14ac:dyDescent="0.55000000000000004">
      <c r="W17148"/>
    </row>
    <row r="17149" spans="23:23" x14ac:dyDescent="0.55000000000000004">
      <c r="W17149"/>
    </row>
    <row r="17150" spans="23:23" x14ac:dyDescent="0.55000000000000004">
      <c r="W17150"/>
    </row>
    <row r="17151" spans="23:23" x14ac:dyDescent="0.55000000000000004">
      <c r="W17151"/>
    </row>
    <row r="17152" spans="23:23" x14ac:dyDescent="0.55000000000000004">
      <c r="W17152"/>
    </row>
    <row r="17153" spans="23:23" x14ac:dyDescent="0.55000000000000004">
      <c r="W17153"/>
    </row>
    <row r="17154" spans="23:23" x14ac:dyDescent="0.55000000000000004">
      <c r="W17154"/>
    </row>
    <row r="17155" spans="23:23" x14ac:dyDescent="0.55000000000000004">
      <c r="W17155"/>
    </row>
    <row r="17156" spans="23:23" x14ac:dyDescent="0.55000000000000004">
      <c r="W17156"/>
    </row>
    <row r="17157" spans="23:23" x14ac:dyDescent="0.55000000000000004">
      <c r="W17157"/>
    </row>
    <row r="17158" spans="23:23" x14ac:dyDescent="0.55000000000000004">
      <c r="W17158"/>
    </row>
    <row r="17159" spans="23:23" x14ac:dyDescent="0.55000000000000004">
      <c r="W17159"/>
    </row>
    <row r="17160" spans="23:23" x14ac:dyDescent="0.55000000000000004">
      <c r="W17160"/>
    </row>
    <row r="17161" spans="23:23" x14ac:dyDescent="0.55000000000000004">
      <c r="W17161"/>
    </row>
    <row r="17162" spans="23:23" x14ac:dyDescent="0.55000000000000004">
      <c r="W17162"/>
    </row>
    <row r="17163" spans="23:23" x14ac:dyDescent="0.55000000000000004">
      <c r="W17163"/>
    </row>
    <row r="17164" spans="23:23" x14ac:dyDescent="0.55000000000000004">
      <c r="W17164"/>
    </row>
    <row r="17165" spans="23:23" x14ac:dyDescent="0.55000000000000004">
      <c r="W17165"/>
    </row>
    <row r="17166" spans="23:23" x14ac:dyDescent="0.55000000000000004">
      <c r="W17166"/>
    </row>
    <row r="17167" spans="23:23" x14ac:dyDescent="0.55000000000000004">
      <c r="W17167"/>
    </row>
    <row r="17168" spans="23:23" x14ac:dyDescent="0.55000000000000004">
      <c r="W17168"/>
    </row>
    <row r="17169" spans="23:23" x14ac:dyDescent="0.55000000000000004">
      <c r="W17169"/>
    </row>
    <row r="17170" spans="23:23" x14ac:dyDescent="0.55000000000000004">
      <c r="W17170"/>
    </row>
    <row r="17171" spans="23:23" x14ac:dyDescent="0.55000000000000004">
      <c r="W17171"/>
    </row>
    <row r="17172" spans="23:23" x14ac:dyDescent="0.55000000000000004">
      <c r="W17172"/>
    </row>
    <row r="17173" spans="23:23" x14ac:dyDescent="0.55000000000000004">
      <c r="W17173"/>
    </row>
    <row r="17174" spans="23:23" x14ac:dyDescent="0.55000000000000004">
      <c r="W17174"/>
    </row>
    <row r="17175" spans="23:23" x14ac:dyDescent="0.55000000000000004">
      <c r="W17175"/>
    </row>
    <row r="17176" spans="23:23" x14ac:dyDescent="0.55000000000000004">
      <c r="W17176"/>
    </row>
    <row r="17177" spans="23:23" x14ac:dyDescent="0.55000000000000004">
      <c r="W17177"/>
    </row>
    <row r="17178" spans="23:23" x14ac:dyDescent="0.55000000000000004">
      <c r="W17178"/>
    </row>
    <row r="17179" spans="23:23" x14ac:dyDescent="0.55000000000000004">
      <c r="W17179"/>
    </row>
    <row r="17180" spans="23:23" x14ac:dyDescent="0.55000000000000004">
      <c r="W17180"/>
    </row>
    <row r="17181" spans="23:23" x14ac:dyDescent="0.55000000000000004">
      <c r="W17181"/>
    </row>
    <row r="17182" spans="23:23" x14ac:dyDescent="0.55000000000000004">
      <c r="W17182"/>
    </row>
    <row r="17183" spans="23:23" x14ac:dyDescent="0.55000000000000004">
      <c r="W17183"/>
    </row>
    <row r="17184" spans="23:23" x14ac:dyDescent="0.55000000000000004">
      <c r="W17184"/>
    </row>
    <row r="17185" spans="23:23" x14ac:dyDescent="0.55000000000000004">
      <c r="W17185"/>
    </row>
    <row r="17186" spans="23:23" x14ac:dyDescent="0.55000000000000004">
      <c r="W17186"/>
    </row>
    <row r="17187" spans="23:23" x14ac:dyDescent="0.55000000000000004">
      <c r="W17187"/>
    </row>
    <row r="17188" spans="23:23" x14ac:dyDescent="0.55000000000000004">
      <c r="W17188"/>
    </row>
    <row r="17189" spans="23:23" x14ac:dyDescent="0.55000000000000004">
      <c r="W17189"/>
    </row>
    <row r="17190" spans="23:23" x14ac:dyDescent="0.55000000000000004">
      <c r="W17190"/>
    </row>
    <row r="17191" spans="23:23" x14ac:dyDescent="0.55000000000000004">
      <c r="W17191"/>
    </row>
    <row r="17192" spans="23:23" x14ac:dyDescent="0.55000000000000004">
      <c r="W17192"/>
    </row>
    <row r="17193" spans="23:23" x14ac:dyDescent="0.55000000000000004">
      <c r="W17193"/>
    </row>
    <row r="17194" spans="23:23" x14ac:dyDescent="0.55000000000000004">
      <c r="W17194"/>
    </row>
    <row r="17195" spans="23:23" x14ac:dyDescent="0.55000000000000004">
      <c r="W17195"/>
    </row>
    <row r="17196" spans="23:23" x14ac:dyDescent="0.55000000000000004">
      <c r="W17196"/>
    </row>
    <row r="17197" spans="23:23" x14ac:dyDescent="0.55000000000000004">
      <c r="W17197"/>
    </row>
    <row r="17198" spans="23:23" x14ac:dyDescent="0.55000000000000004">
      <c r="W17198"/>
    </row>
    <row r="17199" spans="23:23" x14ac:dyDescent="0.55000000000000004">
      <c r="W17199"/>
    </row>
    <row r="17200" spans="23:23" x14ac:dyDescent="0.55000000000000004">
      <c r="W17200"/>
    </row>
    <row r="17201" spans="23:23" x14ac:dyDescent="0.55000000000000004">
      <c r="W17201"/>
    </row>
    <row r="17202" spans="23:23" x14ac:dyDescent="0.55000000000000004">
      <c r="W17202"/>
    </row>
    <row r="17203" spans="23:23" x14ac:dyDescent="0.55000000000000004">
      <c r="W17203"/>
    </row>
    <row r="17204" spans="23:23" x14ac:dyDescent="0.55000000000000004">
      <c r="W17204"/>
    </row>
    <row r="17205" spans="23:23" x14ac:dyDescent="0.55000000000000004">
      <c r="W17205"/>
    </row>
    <row r="17206" spans="23:23" x14ac:dyDescent="0.55000000000000004">
      <c r="W17206"/>
    </row>
    <row r="17207" spans="23:23" x14ac:dyDescent="0.55000000000000004">
      <c r="W17207"/>
    </row>
    <row r="17208" spans="23:23" x14ac:dyDescent="0.55000000000000004">
      <c r="W17208"/>
    </row>
    <row r="17209" spans="23:23" x14ac:dyDescent="0.55000000000000004">
      <c r="W17209"/>
    </row>
    <row r="17210" spans="23:23" x14ac:dyDescent="0.55000000000000004">
      <c r="W17210"/>
    </row>
    <row r="17211" spans="23:23" x14ac:dyDescent="0.55000000000000004">
      <c r="W17211"/>
    </row>
    <row r="17212" spans="23:23" x14ac:dyDescent="0.55000000000000004">
      <c r="W17212"/>
    </row>
    <row r="17213" spans="23:23" x14ac:dyDescent="0.55000000000000004">
      <c r="W17213"/>
    </row>
    <row r="17214" spans="23:23" x14ac:dyDescent="0.55000000000000004">
      <c r="W17214"/>
    </row>
    <row r="17215" spans="23:23" x14ac:dyDescent="0.55000000000000004">
      <c r="W17215"/>
    </row>
    <row r="17216" spans="23:23" x14ac:dyDescent="0.55000000000000004">
      <c r="W17216"/>
    </row>
    <row r="17217" spans="23:23" x14ac:dyDescent="0.55000000000000004">
      <c r="W17217"/>
    </row>
    <row r="17218" spans="23:23" x14ac:dyDescent="0.55000000000000004">
      <c r="W17218"/>
    </row>
    <row r="17219" spans="23:23" x14ac:dyDescent="0.55000000000000004">
      <c r="W17219"/>
    </row>
    <row r="17220" spans="23:23" x14ac:dyDescent="0.55000000000000004">
      <c r="W17220"/>
    </row>
    <row r="17221" spans="23:23" x14ac:dyDescent="0.55000000000000004">
      <c r="W17221"/>
    </row>
    <row r="17222" spans="23:23" x14ac:dyDescent="0.55000000000000004">
      <c r="W17222"/>
    </row>
    <row r="17223" spans="23:23" x14ac:dyDescent="0.55000000000000004">
      <c r="W17223"/>
    </row>
    <row r="17224" spans="23:23" x14ac:dyDescent="0.55000000000000004">
      <c r="W17224"/>
    </row>
    <row r="17225" spans="23:23" x14ac:dyDescent="0.55000000000000004">
      <c r="W17225"/>
    </row>
    <row r="17226" spans="23:23" x14ac:dyDescent="0.55000000000000004">
      <c r="W17226"/>
    </row>
    <row r="17227" spans="23:23" x14ac:dyDescent="0.55000000000000004">
      <c r="W17227"/>
    </row>
    <row r="17228" spans="23:23" x14ac:dyDescent="0.55000000000000004">
      <c r="W17228"/>
    </row>
    <row r="17229" spans="23:23" x14ac:dyDescent="0.55000000000000004">
      <c r="W17229"/>
    </row>
    <row r="17230" spans="23:23" x14ac:dyDescent="0.55000000000000004">
      <c r="W17230"/>
    </row>
    <row r="17231" spans="23:23" x14ac:dyDescent="0.55000000000000004">
      <c r="W17231"/>
    </row>
    <row r="17232" spans="23:23" x14ac:dyDescent="0.55000000000000004">
      <c r="W17232"/>
    </row>
    <row r="17233" spans="23:23" x14ac:dyDescent="0.55000000000000004">
      <c r="W17233"/>
    </row>
    <row r="17234" spans="23:23" x14ac:dyDescent="0.55000000000000004">
      <c r="W17234"/>
    </row>
    <row r="17235" spans="23:23" x14ac:dyDescent="0.55000000000000004">
      <c r="W17235"/>
    </row>
    <row r="17236" spans="23:23" x14ac:dyDescent="0.55000000000000004">
      <c r="W17236"/>
    </row>
    <row r="17237" spans="23:23" x14ac:dyDescent="0.55000000000000004">
      <c r="W17237"/>
    </row>
    <row r="17238" spans="23:23" x14ac:dyDescent="0.55000000000000004">
      <c r="W17238"/>
    </row>
    <row r="17239" spans="23:23" x14ac:dyDescent="0.55000000000000004">
      <c r="W17239"/>
    </row>
    <row r="17240" spans="23:23" x14ac:dyDescent="0.55000000000000004">
      <c r="W17240"/>
    </row>
    <row r="17241" spans="23:23" x14ac:dyDescent="0.55000000000000004">
      <c r="W17241"/>
    </row>
    <row r="17242" spans="23:23" x14ac:dyDescent="0.55000000000000004">
      <c r="W17242"/>
    </row>
    <row r="17243" spans="23:23" x14ac:dyDescent="0.55000000000000004">
      <c r="W17243"/>
    </row>
    <row r="17244" spans="23:23" x14ac:dyDescent="0.55000000000000004">
      <c r="W17244"/>
    </row>
    <row r="17245" spans="23:23" x14ac:dyDescent="0.55000000000000004">
      <c r="W17245"/>
    </row>
    <row r="17246" spans="23:23" x14ac:dyDescent="0.55000000000000004">
      <c r="W17246"/>
    </row>
    <row r="17247" spans="23:23" x14ac:dyDescent="0.55000000000000004">
      <c r="W17247"/>
    </row>
    <row r="17248" spans="23:23" x14ac:dyDescent="0.55000000000000004">
      <c r="W17248"/>
    </row>
    <row r="17249" spans="23:23" x14ac:dyDescent="0.55000000000000004">
      <c r="W17249"/>
    </row>
    <row r="17250" spans="23:23" x14ac:dyDescent="0.55000000000000004">
      <c r="W17250"/>
    </row>
    <row r="17251" spans="23:23" x14ac:dyDescent="0.55000000000000004">
      <c r="W17251"/>
    </row>
    <row r="17252" spans="23:23" x14ac:dyDescent="0.55000000000000004">
      <c r="W17252"/>
    </row>
    <row r="17253" spans="23:23" x14ac:dyDescent="0.55000000000000004">
      <c r="W17253"/>
    </row>
    <row r="17254" spans="23:23" x14ac:dyDescent="0.55000000000000004">
      <c r="W17254"/>
    </row>
    <row r="17255" spans="23:23" x14ac:dyDescent="0.55000000000000004">
      <c r="W17255"/>
    </row>
    <row r="17256" spans="23:23" x14ac:dyDescent="0.55000000000000004">
      <c r="W17256"/>
    </row>
    <row r="17257" spans="23:23" x14ac:dyDescent="0.55000000000000004">
      <c r="W17257"/>
    </row>
    <row r="17258" spans="23:23" x14ac:dyDescent="0.55000000000000004">
      <c r="W17258"/>
    </row>
    <row r="17259" spans="23:23" x14ac:dyDescent="0.55000000000000004">
      <c r="W17259"/>
    </row>
    <row r="17260" spans="23:23" x14ac:dyDescent="0.55000000000000004">
      <c r="W17260"/>
    </row>
    <row r="17261" spans="23:23" x14ac:dyDescent="0.55000000000000004">
      <c r="W17261"/>
    </row>
    <row r="17262" spans="23:23" x14ac:dyDescent="0.55000000000000004">
      <c r="W17262"/>
    </row>
    <row r="17263" spans="23:23" x14ac:dyDescent="0.55000000000000004">
      <c r="W17263"/>
    </row>
    <row r="17264" spans="23:23" x14ac:dyDescent="0.55000000000000004">
      <c r="W17264"/>
    </row>
    <row r="17265" spans="23:23" x14ac:dyDescent="0.55000000000000004">
      <c r="W17265"/>
    </row>
    <row r="17266" spans="23:23" x14ac:dyDescent="0.55000000000000004">
      <c r="W17266"/>
    </row>
    <row r="17267" spans="23:23" x14ac:dyDescent="0.55000000000000004">
      <c r="W17267"/>
    </row>
    <row r="17268" spans="23:23" x14ac:dyDescent="0.55000000000000004">
      <c r="W17268"/>
    </row>
    <row r="17269" spans="23:23" x14ac:dyDescent="0.55000000000000004">
      <c r="W17269"/>
    </row>
    <row r="17270" spans="23:23" x14ac:dyDescent="0.55000000000000004">
      <c r="W17270"/>
    </row>
    <row r="17271" spans="23:23" x14ac:dyDescent="0.55000000000000004">
      <c r="W17271"/>
    </row>
    <row r="17272" spans="23:23" x14ac:dyDescent="0.55000000000000004">
      <c r="W17272"/>
    </row>
    <row r="17273" spans="23:23" x14ac:dyDescent="0.55000000000000004">
      <c r="W17273"/>
    </row>
    <row r="17274" spans="23:23" x14ac:dyDescent="0.55000000000000004">
      <c r="W17274"/>
    </row>
    <row r="17275" spans="23:23" x14ac:dyDescent="0.55000000000000004">
      <c r="W17275"/>
    </row>
    <row r="17276" spans="23:23" x14ac:dyDescent="0.55000000000000004">
      <c r="W17276"/>
    </row>
    <row r="17277" spans="23:23" x14ac:dyDescent="0.55000000000000004">
      <c r="W17277"/>
    </row>
    <row r="17278" spans="23:23" x14ac:dyDescent="0.55000000000000004">
      <c r="W17278"/>
    </row>
    <row r="17279" spans="23:23" x14ac:dyDescent="0.55000000000000004">
      <c r="W17279"/>
    </row>
    <row r="17280" spans="23:23" x14ac:dyDescent="0.55000000000000004">
      <c r="W17280"/>
    </row>
    <row r="17281" spans="23:23" x14ac:dyDescent="0.55000000000000004">
      <c r="W17281"/>
    </row>
    <row r="17282" spans="23:23" x14ac:dyDescent="0.55000000000000004">
      <c r="W17282"/>
    </row>
    <row r="17283" spans="23:23" x14ac:dyDescent="0.55000000000000004">
      <c r="W17283"/>
    </row>
    <row r="17284" spans="23:23" x14ac:dyDescent="0.55000000000000004">
      <c r="W17284"/>
    </row>
    <row r="17285" spans="23:23" x14ac:dyDescent="0.55000000000000004">
      <c r="W17285"/>
    </row>
    <row r="17286" spans="23:23" x14ac:dyDescent="0.55000000000000004">
      <c r="W17286"/>
    </row>
    <row r="17287" spans="23:23" x14ac:dyDescent="0.55000000000000004">
      <c r="W17287"/>
    </row>
    <row r="17288" spans="23:23" x14ac:dyDescent="0.55000000000000004">
      <c r="W17288"/>
    </row>
    <row r="17289" spans="23:23" x14ac:dyDescent="0.55000000000000004">
      <c r="W17289"/>
    </row>
    <row r="17290" spans="23:23" x14ac:dyDescent="0.55000000000000004">
      <c r="W17290"/>
    </row>
    <row r="17291" spans="23:23" x14ac:dyDescent="0.55000000000000004">
      <c r="W17291"/>
    </row>
    <row r="17292" spans="23:23" x14ac:dyDescent="0.55000000000000004">
      <c r="W17292"/>
    </row>
    <row r="17293" spans="23:23" x14ac:dyDescent="0.55000000000000004">
      <c r="W17293"/>
    </row>
    <row r="17294" spans="23:23" x14ac:dyDescent="0.55000000000000004">
      <c r="W17294"/>
    </row>
    <row r="17295" spans="23:23" x14ac:dyDescent="0.55000000000000004">
      <c r="W17295"/>
    </row>
    <row r="17296" spans="23:23" x14ac:dyDescent="0.55000000000000004">
      <c r="W17296"/>
    </row>
    <row r="17297" spans="23:23" x14ac:dyDescent="0.55000000000000004">
      <c r="W17297"/>
    </row>
    <row r="17298" spans="23:23" x14ac:dyDescent="0.55000000000000004">
      <c r="W17298"/>
    </row>
    <row r="17299" spans="23:23" x14ac:dyDescent="0.55000000000000004">
      <c r="W17299"/>
    </row>
    <row r="17300" spans="23:23" x14ac:dyDescent="0.55000000000000004">
      <c r="W17300"/>
    </row>
    <row r="17301" spans="23:23" x14ac:dyDescent="0.55000000000000004">
      <c r="W17301"/>
    </row>
    <row r="17302" spans="23:23" x14ac:dyDescent="0.55000000000000004">
      <c r="W17302"/>
    </row>
    <row r="17303" spans="23:23" x14ac:dyDescent="0.55000000000000004">
      <c r="W17303"/>
    </row>
    <row r="17304" spans="23:23" x14ac:dyDescent="0.55000000000000004">
      <c r="W17304"/>
    </row>
    <row r="17305" spans="23:23" x14ac:dyDescent="0.55000000000000004">
      <c r="W17305"/>
    </row>
    <row r="17306" spans="23:23" x14ac:dyDescent="0.55000000000000004">
      <c r="W17306"/>
    </row>
    <row r="17307" spans="23:23" x14ac:dyDescent="0.55000000000000004">
      <c r="W17307"/>
    </row>
    <row r="17308" spans="23:23" x14ac:dyDescent="0.55000000000000004">
      <c r="W17308"/>
    </row>
    <row r="17309" spans="23:23" x14ac:dyDescent="0.55000000000000004">
      <c r="W17309"/>
    </row>
    <row r="17310" spans="23:23" x14ac:dyDescent="0.55000000000000004">
      <c r="W17310"/>
    </row>
    <row r="17311" spans="23:23" x14ac:dyDescent="0.55000000000000004">
      <c r="W17311"/>
    </row>
    <row r="17312" spans="23:23" x14ac:dyDescent="0.55000000000000004">
      <c r="W17312"/>
    </row>
    <row r="17313" spans="23:23" x14ac:dyDescent="0.55000000000000004">
      <c r="W17313"/>
    </row>
    <row r="17314" spans="23:23" x14ac:dyDescent="0.55000000000000004">
      <c r="W17314"/>
    </row>
    <row r="17315" spans="23:23" x14ac:dyDescent="0.55000000000000004">
      <c r="W17315"/>
    </row>
    <row r="17316" spans="23:23" x14ac:dyDescent="0.55000000000000004">
      <c r="W17316"/>
    </row>
    <row r="17317" spans="23:23" x14ac:dyDescent="0.55000000000000004">
      <c r="W17317"/>
    </row>
    <row r="17318" spans="23:23" x14ac:dyDescent="0.55000000000000004">
      <c r="W17318"/>
    </row>
    <row r="17319" spans="23:23" x14ac:dyDescent="0.55000000000000004">
      <c r="W17319"/>
    </row>
    <row r="17320" spans="23:23" x14ac:dyDescent="0.55000000000000004">
      <c r="W17320"/>
    </row>
    <row r="17321" spans="23:23" x14ac:dyDescent="0.55000000000000004">
      <c r="W17321"/>
    </row>
    <row r="17322" spans="23:23" x14ac:dyDescent="0.55000000000000004">
      <c r="W17322"/>
    </row>
    <row r="17323" spans="23:23" x14ac:dyDescent="0.55000000000000004">
      <c r="W17323"/>
    </row>
    <row r="17324" spans="23:23" x14ac:dyDescent="0.55000000000000004">
      <c r="W17324"/>
    </row>
    <row r="17325" spans="23:23" x14ac:dyDescent="0.55000000000000004">
      <c r="W17325"/>
    </row>
    <row r="17326" spans="23:23" x14ac:dyDescent="0.55000000000000004">
      <c r="W17326"/>
    </row>
    <row r="17327" spans="23:23" x14ac:dyDescent="0.55000000000000004">
      <c r="W17327"/>
    </row>
    <row r="17328" spans="23:23" x14ac:dyDescent="0.55000000000000004">
      <c r="W17328"/>
    </row>
    <row r="17329" spans="23:23" x14ac:dyDescent="0.55000000000000004">
      <c r="W17329"/>
    </row>
    <row r="17330" spans="23:23" x14ac:dyDescent="0.55000000000000004">
      <c r="W17330"/>
    </row>
    <row r="17331" spans="23:23" x14ac:dyDescent="0.55000000000000004">
      <c r="W17331"/>
    </row>
    <row r="17332" spans="23:23" x14ac:dyDescent="0.55000000000000004">
      <c r="W17332"/>
    </row>
    <row r="17333" spans="23:23" x14ac:dyDescent="0.55000000000000004">
      <c r="W17333"/>
    </row>
    <row r="17334" spans="23:23" x14ac:dyDescent="0.55000000000000004">
      <c r="W17334"/>
    </row>
    <row r="17335" spans="23:23" x14ac:dyDescent="0.55000000000000004">
      <c r="W17335"/>
    </row>
    <row r="17336" spans="23:23" x14ac:dyDescent="0.55000000000000004">
      <c r="W17336"/>
    </row>
    <row r="17337" spans="23:23" x14ac:dyDescent="0.55000000000000004">
      <c r="W17337"/>
    </row>
    <row r="17338" spans="23:23" x14ac:dyDescent="0.55000000000000004">
      <c r="W17338"/>
    </row>
    <row r="17339" spans="23:23" x14ac:dyDescent="0.55000000000000004">
      <c r="W17339"/>
    </row>
    <row r="17340" spans="23:23" x14ac:dyDescent="0.55000000000000004">
      <c r="W17340"/>
    </row>
    <row r="17341" spans="23:23" x14ac:dyDescent="0.55000000000000004">
      <c r="W17341"/>
    </row>
    <row r="17342" spans="23:23" x14ac:dyDescent="0.55000000000000004">
      <c r="W17342"/>
    </row>
    <row r="17343" spans="23:23" x14ac:dyDescent="0.55000000000000004">
      <c r="W17343"/>
    </row>
    <row r="17344" spans="23:23" x14ac:dyDescent="0.55000000000000004">
      <c r="W17344"/>
    </row>
    <row r="17345" spans="23:23" x14ac:dyDescent="0.55000000000000004">
      <c r="W17345"/>
    </row>
    <row r="17346" spans="23:23" x14ac:dyDescent="0.55000000000000004">
      <c r="W17346"/>
    </row>
    <row r="17347" spans="23:23" x14ac:dyDescent="0.55000000000000004">
      <c r="W17347"/>
    </row>
    <row r="17348" spans="23:23" x14ac:dyDescent="0.55000000000000004">
      <c r="W17348"/>
    </row>
    <row r="17349" spans="23:23" x14ac:dyDescent="0.55000000000000004">
      <c r="W17349"/>
    </row>
    <row r="17350" spans="23:23" x14ac:dyDescent="0.55000000000000004">
      <c r="W17350"/>
    </row>
    <row r="17351" spans="23:23" x14ac:dyDescent="0.55000000000000004">
      <c r="W17351"/>
    </row>
    <row r="17352" spans="23:23" x14ac:dyDescent="0.55000000000000004">
      <c r="W17352"/>
    </row>
    <row r="17353" spans="23:23" x14ac:dyDescent="0.55000000000000004">
      <c r="W17353"/>
    </row>
    <row r="17354" spans="23:23" x14ac:dyDescent="0.55000000000000004">
      <c r="W17354"/>
    </row>
    <row r="17355" spans="23:23" x14ac:dyDescent="0.55000000000000004">
      <c r="W17355"/>
    </row>
    <row r="17356" spans="23:23" x14ac:dyDescent="0.55000000000000004">
      <c r="W17356"/>
    </row>
    <row r="17357" spans="23:23" x14ac:dyDescent="0.55000000000000004">
      <c r="W17357"/>
    </row>
    <row r="17358" spans="23:23" x14ac:dyDescent="0.55000000000000004">
      <c r="W17358"/>
    </row>
    <row r="17359" spans="23:23" x14ac:dyDescent="0.55000000000000004">
      <c r="W17359"/>
    </row>
    <row r="17360" spans="23:23" x14ac:dyDescent="0.55000000000000004">
      <c r="W17360"/>
    </row>
    <row r="17361" spans="23:23" x14ac:dyDescent="0.55000000000000004">
      <c r="W17361"/>
    </row>
    <row r="17362" spans="23:23" x14ac:dyDescent="0.55000000000000004">
      <c r="W17362"/>
    </row>
    <row r="17363" spans="23:23" x14ac:dyDescent="0.55000000000000004">
      <c r="W17363"/>
    </row>
    <row r="17364" spans="23:23" x14ac:dyDescent="0.55000000000000004">
      <c r="W17364"/>
    </row>
    <row r="17365" spans="23:23" x14ac:dyDescent="0.55000000000000004">
      <c r="W17365"/>
    </row>
    <row r="17366" spans="23:23" x14ac:dyDescent="0.55000000000000004">
      <c r="W17366"/>
    </row>
    <row r="17367" spans="23:23" x14ac:dyDescent="0.55000000000000004">
      <c r="W17367"/>
    </row>
    <row r="17368" spans="23:23" x14ac:dyDescent="0.55000000000000004">
      <c r="W17368"/>
    </row>
    <row r="17369" spans="23:23" x14ac:dyDescent="0.55000000000000004">
      <c r="W17369"/>
    </row>
    <row r="17370" spans="23:23" x14ac:dyDescent="0.55000000000000004">
      <c r="W17370"/>
    </row>
    <row r="17371" spans="23:23" x14ac:dyDescent="0.55000000000000004">
      <c r="W17371"/>
    </row>
    <row r="17372" spans="23:23" x14ac:dyDescent="0.55000000000000004">
      <c r="W17372"/>
    </row>
    <row r="17373" spans="23:23" x14ac:dyDescent="0.55000000000000004">
      <c r="W17373"/>
    </row>
    <row r="17374" spans="23:23" x14ac:dyDescent="0.55000000000000004">
      <c r="W17374"/>
    </row>
    <row r="17375" spans="23:23" x14ac:dyDescent="0.55000000000000004">
      <c r="W17375"/>
    </row>
    <row r="17376" spans="23:23" x14ac:dyDescent="0.55000000000000004">
      <c r="W17376"/>
    </row>
    <row r="17377" spans="23:23" x14ac:dyDescent="0.55000000000000004">
      <c r="W17377"/>
    </row>
    <row r="17378" spans="23:23" x14ac:dyDescent="0.55000000000000004">
      <c r="W17378"/>
    </row>
    <row r="17379" spans="23:23" x14ac:dyDescent="0.55000000000000004">
      <c r="W17379"/>
    </row>
    <row r="17380" spans="23:23" x14ac:dyDescent="0.55000000000000004">
      <c r="W17380"/>
    </row>
    <row r="17381" spans="23:23" x14ac:dyDescent="0.55000000000000004">
      <c r="W17381"/>
    </row>
    <row r="17382" spans="23:23" x14ac:dyDescent="0.55000000000000004">
      <c r="W17382"/>
    </row>
    <row r="17383" spans="23:23" x14ac:dyDescent="0.55000000000000004">
      <c r="W17383"/>
    </row>
    <row r="17384" spans="23:23" x14ac:dyDescent="0.55000000000000004">
      <c r="W17384"/>
    </row>
    <row r="17385" spans="23:23" x14ac:dyDescent="0.55000000000000004">
      <c r="W17385"/>
    </row>
    <row r="17386" spans="23:23" x14ac:dyDescent="0.55000000000000004">
      <c r="W17386"/>
    </row>
    <row r="17387" spans="23:23" x14ac:dyDescent="0.55000000000000004">
      <c r="W17387"/>
    </row>
    <row r="17388" spans="23:23" x14ac:dyDescent="0.55000000000000004">
      <c r="W17388"/>
    </row>
    <row r="17389" spans="23:23" x14ac:dyDescent="0.55000000000000004">
      <c r="W17389"/>
    </row>
    <row r="17390" spans="23:23" x14ac:dyDescent="0.55000000000000004">
      <c r="W17390"/>
    </row>
    <row r="17391" spans="23:23" x14ac:dyDescent="0.55000000000000004">
      <c r="W17391"/>
    </row>
    <row r="17392" spans="23:23" x14ac:dyDescent="0.55000000000000004">
      <c r="W17392"/>
    </row>
    <row r="17393" spans="23:23" x14ac:dyDescent="0.55000000000000004">
      <c r="W17393"/>
    </row>
    <row r="17394" spans="23:23" x14ac:dyDescent="0.55000000000000004">
      <c r="W17394"/>
    </row>
    <row r="17395" spans="23:23" x14ac:dyDescent="0.55000000000000004">
      <c r="W17395"/>
    </row>
    <row r="17396" spans="23:23" x14ac:dyDescent="0.55000000000000004">
      <c r="W17396"/>
    </row>
    <row r="17397" spans="23:23" x14ac:dyDescent="0.55000000000000004">
      <c r="W17397"/>
    </row>
    <row r="17398" spans="23:23" x14ac:dyDescent="0.55000000000000004">
      <c r="W17398"/>
    </row>
    <row r="17399" spans="23:23" x14ac:dyDescent="0.55000000000000004">
      <c r="W17399"/>
    </row>
    <row r="17400" spans="23:23" x14ac:dyDescent="0.55000000000000004">
      <c r="W17400"/>
    </row>
    <row r="17401" spans="23:23" x14ac:dyDescent="0.55000000000000004">
      <c r="W17401"/>
    </row>
    <row r="17402" spans="23:23" x14ac:dyDescent="0.55000000000000004">
      <c r="W17402"/>
    </row>
    <row r="17403" spans="23:23" x14ac:dyDescent="0.55000000000000004">
      <c r="W17403"/>
    </row>
    <row r="17404" spans="23:23" x14ac:dyDescent="0.55000000000000004">
      <c r="W17404"/>
    </row>
    <row r="17405" spans="23:23" x14ac:dyDescent="0.55000000000000004">
      <c r="W17405"/>
    </row>
    <row r="17406" spans="23:23" x14ac:dyDescent="0.55000000000000004">
      <c r="W17406"/>
    </row>
    <row r="17407" spans="23:23" x14ac:dyDescent="0.55000000000000004">
      <c r="W17407"/>
    </row>
    <row r="17408" spans="23:23" x14ac:dyDescent="0.55000000000000004">
      <c r="W17408"/>
    </row>
    <row r="17409" spans="23:23" x14ac:dyDescent="0.55000000000000004">
      <c r="W17409"/>
    </row>
    <row r="17410" spans="23:23" x14ac:dyDescent="0.55000000000000004">
      <c r="W17410"/>
    </row>
    <row r="17411" spans="23:23" x14ac:dyDescent="0.55000000000000004">
      <c r="W17411"/>
    </row>
    <row r="17412" spans="23:23" x14ac:dyDescent="0.55000000000000004">
      <c r="W17412"/>
    </row>
    <row r="17413" spans="23:23" x14ac:dyDescent="0.55000000000000004">
      <c r="W17413"/>
    </row>
    <row r="17414" spans="23:23" x14ac:dyDescent="0.55000000000000004">
      <c r="W17414"/>
    </row>
    <row r="17415" spans="23:23" x14ac:dyDescent="0.55000000000000004">
      <c r="W17415"/>
    </row>
    <row r="17416" spans="23:23" x14ac:dyDescent="0.55000000000000004">
      <c r="W17416"/>
    </row>
    <row r="17417" spans="23:23" x14ac:dyDescent="0.55000000000000004">
      <c r="W17417"/>
    </row>
    <row r="17418" spans="23:23" x14ac:dyDescent="0.55000000000000004">
      <c r="W17418"/>
    </row>
    <row r="17419" spans="23:23" x14ac:dyDescent="0.55000000000000004">
      <c r="W17419"/>
    </row>
    <row r="17420" spans="23:23" x14ac:dyDescent="0.55000000000000004">
      <c r="W17420"/>
    </row>
    <row r="17421" spans="23:23" x14ac:dyDescent="0.55000000000000004">
      <c r="W17421"/>
    </row>
    <row r="17422" spans="23:23" x14ac:dyDescent="0.55000000000000004">
      <c r="W17422"/>
    </row>
    <row r="17423" spans="23:23" x14ac:dyDescent="0.55000000000000004">
      <c r="W17423"/>
    </row>
    <row r="17424" spans="23:23" x14ac:dyDescent="0.55000000000000004">
      <c r="W17424"/>
    </row>
    <row r="17425" spans="23:23" x14ac:dyDescent="0.55000000000000004">
      <c r="W17425"/>
    </row>
    <row r="17426" spans="23:23" x14ac:dyDescent="0.55000000000000004">
      <c r="W17426"/>
    </row>
    <row r="17427" spans="23:23" x14ac:dyDescent="0.55000000000000004">
      <c r="W17427"/>
    </row>
    <row r="17428" spans="23:23" x14ac:dyDescent="0.55000000000000004">
      <c r="W17428"/>
    </row>
    <row r="17429" spans="23:23" x14ac:dyDescent="0.55000000000000004">
      <c r="W17429"/>
    </row>
    <row r="17430" spans="23:23" x14ac:dyDescent="0.55000000000000004">
      <c r="W17430"/>
    </row>
    <row r="17431" spans="23:23" x14ac:dyDescent="0.55000000000000004">
      <c r="W17431"/>
    </row>
    <row r="17432" spans="23:23" x14ac:dyDescent="0.55000000000000004">
      <c r="W17432"/>
    </row>
    <row r="17433" spans="23:23" x14ac:dyDescent="0.55000000000000004">
      <c r="W17433"/>
    </row>
    <row r="17434" spans="23:23" x14ac:dyDescent="0.55000000000000004">
      <c r="W17434"/>
    </row>
    <row r="17435" spans="23:23" x14ac:dyDescent="0.55000000000000004">
      <c r="W17435"/>
    </row>
    <row r="17436" spans="23:23" x14ac:dyDescent="0.55000000000000004">
      <c r="W17436"/>
    </row>
    <row r="17437" spans="23:23" x14ac:dyDescent="0.55000000000000004">
      <c r="W17437"/>
    </row>
    <row r="17438" spans="23:23" x14ac:dyDescent="0.55000000000000004">
      <c r="W17438"/>
    </row>
    <row r="17439" spans="23:23" x14ac:dyDescent="0.55000000000000004">
      <c r="W17439"/>
    </row>
    <row r="17440" spans="23:23" x14ac:dyDescent="0.55000000000000004">
      <c r="W17440"/>
    </row>
    <row r="17441" spans="23:23" x14ac:dyDescent="0.55000000000000004">
      <c r="W17441"/>
    </row>
    <row r="17442" spans="23:23" x14ac:dyDescent="0.55000000000000004">
      <c r="W17442"/>
    </row>
    <row r="17443" spans="23:23" x14ac:dyDescent="0.55000000000000004">
      <c r="W17443"/>
    </row>
    <row r="17444" spans="23:23" x14ac:dyDescent="0.55000000000000004">
      <c r="W17444"/>
    </row>
    <row r="17445" spans="23:23" x14ac:dyDescent="0.55000000000000004">
      <c r="W17445"/>
    </row>
    <row r="17446" spans="23:23" x14ac:dyDescent="0.55000000000000004">
      <c r="W17446"/>
    </row>
    <row r="17447" spans="23:23" x14ac:dyDescent="0.55000000000000004">
      <c r="W17447"/>
    </row>
    <row r="17448" spans="23:23" x14ac:dyDescent="0.55000000000000004">
      <c r="W17448"/>
    </row>
    <row r="17449" spans="23:23" x14ac:dyDescent="0.55000000000000004">
      <c r="W17449"/>
    </row>
    <row r="17450" spans="23:23" x14ac:dyDescent="0.55000000000000004">
      <c r="W17450"/>
    </row>
    <row r="17451" spans="23:23" x14ac:dyDescent="0.55000000000000004">
      <c r="W17451"/>
    </row>
    <row r="17452" spans="23:23" x14ac:dyDescent="0.55000000000000004">
      <c r="W17452"/>
    </row>
    <row r="17453" spans="23:23" x14ac:dyDescent="0.55000000000000004">
      <c r="W17453"/>
    </row>
    <row r="17454" spans="23:23" x14ac:dyDescent="0.55000000000000004">
      <c r="W17454"/>
    </row>
    <row r="17455" spans="23:23" x14ac:dyDescent="0.55000000000000004">
      <c r="W17455"/>
    </row>
    <row r="17456" spans="23:23" x14ac:dyDescent="0.55000000000000004">
      <c r="W17456"/>
    </row>
    <row r="17457" spans="23:23" x14ac:dyDescent="0.55000000000000004">
      <c r="W17457"/>
    </row>
    <row r="17458" spans="23:23" x14ac:dyDescent="0.55000000000000004">
      <c r="W17458"/>
    </row>
    <row r="17459" spans="23:23" x14ac:dyDescent="0.55000000000000004">
      <c r="W17459"/>
    </row>
    <row r="17460" spans="23:23" x14ac:dyDescent="0.55000000000000004">
      <c r="W17460"/>
    </row>
    <row r="17461" spans="23:23" x14ac:dyDescent="0.55000000000000004">
      <c r="W17461"/>
    </row>
    <row r="17462" spans="23:23" x14ac:dyDescent="0.55000000000000004">
      <c r="W17462"/>
    </row>
    <row r="17463" spans="23:23" x14ac:dyDescent="0.55000000000000004">
      <c r="W17463"/>
    </row>
    <row r="17464" spans="23:23" x14ac:dyDescent="0.55000000000000004">
      <c r="W17464"/>
    </row>
    <row r="17465" spans="23:23" x14ac:dyDescent="0.55000000000000004">
      <c r="W17465"/>
    </row>
    <row r="17466" spans="23:23" x14ac:dyDescent="0.55000000000000004">
      <c r="W17466"/>
    </row>
    <row r="17467" spans="23:23" x14ac:dyDescent="0.55000000000000004">
      <c r="W17467"/>
    </row>
    <row r="17468" spans="23:23" x14ac:dyDescent="0.55000000000000004">
      <c r="W17468"/>
    </row>
    <row r="17469" spans="23:23" x14ac:dyDescent="0.55000000000000004">
      <c r="W17469"/>
    </row>
    <row r="17470" spans="23:23" x14ac:dyDescent="0.55000000000000004">
      <c r="W17470"/>
    </row>
    <row r="17471" spans="23:23" x14ac:dyDescent="0.55000000000000004">
      <c r="W17471"/>
    </row>
    <row r="17472" spans="23:23" x14ac:dyDescent="0.55000000000000004">
      <c r="W17472"/>
    </row>
    <row r="17473" spans="23:23" x14ac:dyDescent="0.55000000000000004">
      <c r="W17473"/>
    </row>
    <row r="17474" spans="23:23" x14ac:dyDescent="0.55000000000000004">
      <c r="W17474"/>
    </row>
    <row r="17475" spans="23:23" x14ac:dyDescent="0.55000000000000004">
      <c r="W17475"/>
    </row>
    <row r="17476" spans="23:23" x14ac:dyDescent="0.55000000000000004">
      <c r="W17476"/>
    </row>
    <row r="17477" spans="23:23" x14ac:dyDescent="0.55000000000000004">
      <c r="W17477"/>
    </row>
    <row r="17478" spans="23:23" x14ac:dyDescent="0.55000000000000004">
      <c r="W17478"/>
    </row>
    <row r="17479" spans="23:23" x14ac:dyDescent="0.55000000000000004">
      <c r="W17479"/>
    </row>
    <row r="17480" spans="23:23" x14ac:dyDescent="0.55000000000000004">
      <c r="W17480"/>
    </row>
    <row r="17481" spans="23:23" x14ac:dyDescent="0.55000000000000004">
      <c r="W17481"/>
    </row>
    <row r="17482" spans="23:23" x14ac:dyDescent="0.55000000000000004">
      <c r="W17482"/>
    </row>
    <row r="17483" spans="23:23" x14ac:dyDescent="0.55000000000000004">
      <c r="W17483"/>
    </row>
    <row r="17484" spans="23:23" x14ac:dyDescent="0.55000000000000004">
      <c r="W17484"/>
    </row>
    <row r="17485" spans="23:23" x14ac:dyDescent="0.55000000000000004">
      <c r="W17485"/>
    </row>
    <row r="17486" spans="23:23" x14ac:dyDescent="0.55000000000000004">
      <c r="W17486"/>
    </row>
    <row r="17487" spans="23:23" x14ac:dyDescent="0.55000000000000004">
      <c r="W17487"/>
    </row>
    <row r="17488" spans="23:23" x14ac:dyDescent="0.55000000000000004">
      <c r="W17488"/>
    </row>
    <row r="17489" spans="23:23" x14ac:dyDescent="0.55000000000000004">
      <c r="W17489"/>
    </row>
    <row r="17490" spans="23:23" x14ac:dyDescent="0.55000000000000004">
      <c r="W17490"/>
    </row>
    <row r="17491" spans="23:23" x14ac:dyDescent="0.55000000000000004">
      <c r="W17491"/>
    </row>
    <row r="17492" spans="23:23" x14ac:dyDescent="0.55000000000000004">
      <c r="W17492"/>
    </row>
    <row r="17493" spans="23:23" x14ac:dyDescent="0.55000000000000004">
      <c r="W17493"/>
    </row>
    <row r="17494" spans="23:23" x14ac:dyDescent="0.55000000000000004">
      <c r="W17494"/>
    </row>
    <row r="17495" spans="23:23" x14ac:dyDescent="0.55000000000000004">
      <c r="W17495"/>
    </row>
    <row r="17496" spans="23:23" x14ac:dyDescent="0.55000000000000004">
      <c r="W17496"/>
    </row>
    <row r="17497" spans="23:23" x14ac:dyDescent="0.55000000000000004">
      <c r="W17497"/>
    </row>
    <row r="17498" spans="23:23" x14ac:dyDescent="0.55000000000000004">
      <c r="W17498"/>
    </row>
    <row r="17499" spans="23:23" x14ac:dyDescent="0.55000000000000004">
      <c r="W17499"/>
    </row>
    <row r="17500" spans="23:23" x14ac:dyDescent="0.55000000000000004">
      <c r="W17500"/>
    </row>
    <row r="17501" spans="23:23" x14ac:dyDescent="0.55000000000000004">
      <c r="W17501"/>
    </row>
    <row r="17502" spans="23:23" x14ac:dyDescent="0.55000000000000004">
      <c r="W17502"/>
    </row>
    <row r="17503" spans="23:23" x14ac:dyDescent="0.55000000000000004">
      <c r="W17503"/>
    </row>
    <row r="17504" spans="23:23" x14ac:dyDescent="0.55000000000000004">
      <c r="W17504"/>
    </row>
    <row r="17505" spans="23:23" x14ac:dyDescent="0.55000000000000004">
      <c r="W17505"/>
    </row>
    <row r="17506" spans="23:23" x14ac:dyDescent="0.55000000000000004">
      <c r="W17506"/>
    </row>
    <row r="17507" spans="23:23" x14ac:dyDescent="0.55000000000000004">
      <c r="W17507"/>
    </row>
    <row r="17508" spans="23:23" x14ac:dyDescent="0.55000000000000004">
      <c r="W17508"/>
    </row>
    <row r="17509" spans="23:23" x14ac:dyDescent="0.55000000000000004">
      <c r="W17509"/>
    </row>
    <row r="17510" spans="23:23" x14ac:dyDescent="0.55000000000000004">
      <c r="W17510"/>
    </row>
    <row r="17511" spans="23:23" x14ac:dyDescent="0.55000000000000004">
      <c r="W17511"/>
    </row>
    <row r="17512" spans="23:23" x14ac:dyDescent="0.55000000000000004">
      <c r="W17512"/>
    </row>
    <row r="17513" spans="23:23" x14ac:dyDescent="0.55000000000000004">
      <c r="W17513"/>
    </row>
    <row r="17514" spans="23:23" x14ac:dyDescent="0.55000000000000004">
      <c r="W17514"/>
    </row>
    <row r="17515" spans="23:23" x14ac:dyDescent="0.55000000000000004">
      <c r="W17515"/>
    </row>
    <row r="17516" spans="23:23" x14ac:dyDescent="0.55000000000000004">
      <c r="W17516"/>
    </row>
    <row r="17517" spans="23:23" x14ac:dyDescent="0.55000000000000004">
      <c r="W17517"/>
    </row>
    <row r="17518" spans="23:23" x14ac:dyDescent="0.55000000000000004">
      <c r="W17518"/>
    </row>
    <row r="17519" spans="23:23" x14ac:dyDescent="0.55000000000000004">
      <c r="W17519"/>
    </row>
    <row r="17520" spans="23:23" x14ac:dyDescent="0.55000000000000004">
      <c r="W17520"/>
    </row>
    <row r="17521" spans="23:23" x14ac:dyDescent="0.55000000000000004">
      <c r="W17521"/>
    </row>
    <row r="17522" spans="23:23" x14ac:dyDescent="0.55000000000000004">
      <c r="W17522"/>
    </row>
    <row r="17523" spans="23:23" x14ac:dyDescent="0.55000000000000004">
      <c r="W17523"/>
    </row>
    <row r="17524" spans="23:23" x14ac:dyDescent="0.55000000000000004">
      <c r="W17524"/>
    </row>
    <row r="17525" spans="23:23" x14ac:dyDescent="0.55000000000000004">
      <c r="W17525"/>
    </row>
    <row r="17526" spans="23:23" x14ac:dyDescent="0.55000000000000004">
      <c r="W17526"/>
    </row>
    <row r="17527" spans="23:23" x14ac:dyDescent="0.55000000000000004">
      <c r="W17527"/>
    </row>
    <row r="17528" spans="23:23" x14ac:dyDescent="0.55000000000000004">
      <c r="W17528"/>
    </row>
    <row r="17529" spans="23:23" x14ac:dyDescent="0.55000000000000004">
      <c r="W17529"/>
    </row>
    <row r="17530" spans="23:23" x14ac:dyDescent="0.55000000000000004">
      <c r="W17530"/>
    </row>
    <row r="17531" spans="23:23" x14ac:dyDescent="0.55000000000000004">
      <c r="W17531"/>
    </row>
    <row r="17532" spans="23:23" x14ac:dyDescent="0.55000000000000004">
      <c r="W17532"/>
    </row>
    <row r="17533" spans="23:23" x14ac:dyDescent="0.55000000000000004">
      <c r="W17533"/>
    </row>
    <row r="17534" spans="23:23" x14ac:dyDescent="0.55000000000000004">
      <c r="W17534"/>
    </row>
    <row r="17535" spans="23:23" x14ac:dyDescent="0.55000000000000004">
      <c r="W17535"/>
    </row>
    <row r="17536" spans="23:23" x14ac:dyDescent="0.55000000000000004">
      <c r="W17536"/>
    </row>
    <row r="17537" spans="23:23" x14ac:dyDescent="0.55000000000000004">
      <c r="W17537"/>
    </row>
    <row r="17538" spans="23:23" x14ac:dyDescent="0.55000000000000004">
      <c r="W17538"/>
    </row>
    <row r="17539" spans="23:23" x14ac:dyDescent="0.55000000000000004">
      <c r="W17539"/>
    </row>
    <row r="17540" spans="23:23" x14ac:dyDescent="0.55000000000000004">
      <c r="W17540"/>
    </row>
    <row r="17541" spans="23:23" x14ac:dyDescent="0.55000000000000004">
      <c r="W17541"/>
    </row>
    <row r="17542" spans="23:23" x14ac:dyDescent="0.55000000000000004">
      <c r="W17542"/>
    </row>
    <row r="17543" spans="23:23" x14ac:dyDescent="0.55000000000000004">
      <c r="W17543"/>
    </row>
    <row r="17544" spans="23:23" x14ac:dyDescent="0.55000000000000004">
      <c r="W17544"/>
    </row>
    <row r="17545" spans="23:23" x14ac:dyDescent="0.55000000000000004">
      <c r="W17545"/>
    </row>
    <row r="17546" spans="23:23" x14ac:dyDescent="0.55000000000000004">
      <c r="W17546"/>
    </row>
    <row r="17547" spans="23:23" x14ac:dyDescent="0.55000000000000004">
      <c r="W17547"/>
    </row>
    <row r="17548" spans="23:23" x14ac:dyDescent="0.55000000000000004">
      <c r="W17548"/>
    </row>
    <row r="17549" spans="23:23" x14ac:dyDescent="0.55000000000000004">
      <c r="W17549"/>
    </row>
    <row r="17550" spans="23:23" x14ac:dyDescent="0.55000000000000004">
      <c r="W17550"/>
    </row>
    <row r="17551" spans="23:23" x14ac:dyDescent="0.55000000000000004">
      <c r="W17551"/>
    </row>
    <row r="17552" spans="23:23" x14ac:dyDescent="0.55000000000000004">
      <c r="W17552"/>
    </row>
    <row r="17553" spans="23:23" x14ac:dyDescent="0.55000000000000004">
      <c r="W17553"/>
    </row>
    <row r="17554" spans="23:23" x14ac:dyDescent="0.55000000000000004">
      <c r="W17554"/>
    </row>
    <row r="17555" spans="23:23" x14ac:dyDescent="0.55000000000000004">
      <c r="W17555"/>
    </row>
    <row r="17556" spans="23:23" x14ac:dyDescent="0.55000000000000004">
      <c r="W17556"/>
    </row>
    <row r="17557" spans="23:23" x14ac:dyDescent="0.55000000000000004">
      <c r="W17557"/>
    </row>
    <row r="17558" spans="23:23" x14ac:dyDescent="0.55000000000000004">
      <c r="W17558"/>
    </row>
    <row r="17559" spans="23:23" x14ac:dyDescent="0.55000000000000004">
      <c r="W17559"/>
    </row>
    <row r="17560" spans="23:23" x14ac:dyDescent="0.55000000000000004">
      <c r="W17560"/>
    </row>
    <row r="17561" spans="23:23" x14ac:dyDescent="0.55000000000000004">
      <c r="W17561"/>
    </row>
    <row r="17562" spans="23:23" x14ac:dyDescent="0.55000000000000004">
      <c r="W17562"/>
    </row>
    <row r="17563" spans="23:23" x14ac:dyDescent="0.55000000000000004">
      <c r="W17563"/>
    </row>
    <row r="17564" spans="23:23" x14ac:dyDescent="0.55000000000000004">
      <c r="W17564"/>
    </row>
    <row r="17565" spans="23:23" x14ac:dyDescent="0.55000000000000004">
      <c r="W17565"/>
    </row>
    <row r="17566" spans="23:23" x14ac:dyDescent="0.55000000000000004">
      <c r="W17566"/>
    </row>
    <row r="17567" spans="23:23" x14ac:dyDescent="0.55000000000000004">
      <c r="W17567"/>
    </row>
    <row r="17568" spans="23:23" x14ac:dyDescent="0.55000000000000004">
      <c r="W17568"/>
    </row>
    <row r="17569" spans="23:23" x14ac:dyDescent="0.55000000000000004">
      <c r="W17569"/>
    </row>
    <row r="17570" spans="23:23" x14ac:dyDescent="0.55000000000000004">
      <c r="W17570"/>
    </row>
    <row r="17571" spans="23:23" x14ac:dyDescent="0.55000000000000004">
      <c r="W17571"/>
    </row>
    <row r="17572" spans="23:23" x14ac:dyDescent="0.55000000000000004">
      <c r="W17572"/>
    </row>
    <row r="17573" spans="23:23" x14ac:dyDescent="0.55000000000000004">
      <c r="W17573"/>
    </row>
    <row r="17574" spans="23:23" x14ac:dyDescent="0.55000000000000004">
      <c r="W17574"/>
    </row>
    <row r="17575" spans="23:23" x14ac:dyDescent="0.55000000000000004">
      <c r="W17575"/>
    </row>
    <row r="17576" spans="23:23" x14ac:dyDescent="0.55000000000000004">
      <c r="W17576"/>
    </row>
    <row r="17577" spans="23:23" x14ac:dyDescent="0.55000000000000004">
      <c r="W17577"/>
    </row>
    <row r="17578" spans="23:23" x14ac:dyDescent="0.55000000000000004">
      <c r="W17578"/>
    </row>
    <row r="17579" spans="23:23" x14ac:dyDescent="0.55000000000000004">
      <c r="W17579"/>
    </row>
    <row r="17580" spans="23:23" x14ac:dyDescent="0.55000000000000004">
      <c r="W17580"/>
    </row>
    <row r="17581" spans="23:23" x14ac:dyDescent="0.55000000000000004">
      <c r="W17581"/>
    </row>
    <row r="17582" spans="23:23" x14ac:dyDescent="0.55000000000000004">
      <c r="W17582"/>
    </row>
    <row r="17583" spans="23:23" x14ac:dyDescent="0.55000000000000004">
      <c r="W17583"/>
    </row>
    <row r="17584" spans="23:23" x14ac:dyDescent="0.55000000000000004">
      <c r="W17584"/>
    </row>
    <row r="17585" spans="23:23" x14ac:dyDescent="0.55000000000000004">
      <c r="W17585"/>
    </row>
    <row r="17586" spans="23:23" x14ac:dyDescent="0.55000000000000004">
      <c r="W17586"/>
    </row>
    <row r="17587" spans="23:23" x14ac:dyDescent="0.55000000000000004">
      <c r="W17587"/>
    </row>
    <row r="17588" spans="23:23" x14ac:dyDescent="0.55000000000000004">
      <c r="W17588"/>
    </row>
    <row r="17589" spans="23:23" x14ac:dyDescent="0.55000000000000004">
      <c r="W17589"/>
    </row>
    <row r="17590" spans="23:23" x14ac:dyDescent="0.55000000000000004">
      <c r="W17590"/>
    </row>
    <row r="17591" spans="23:23" x14ac:dyDescent="0.55000000000000004">
      <c r="W17591"/>
    </row>
    <row r="17592" spans="23:23" x14ac:dyDescent="0.55000000000000004">
      <c r="W17592"/>
    </row>
    <row r="17593" spans="23:23" x14ac:dyDescent="0.55000000000000004">
      <c r="W17593"/>
    </row>
    <row r="17594" spans="23:23" x14ac:dyDescent="0.55000000000000004">
      <c r="W17594"/>
    </row>
    <row r="17595" spans="23:23" x14ac:dyDescent="0.55000000000000004">
      <c r="W17595"/>
    </row>
    <row r="17596" spans="23:23" x14ac:dyDescent="0.55000000000000004">
      <c r="W17596"/>
    </row>
    <row r="17597" spans="23:23" x14ac:dyDescent="0.55000000000000004">
      <c r="W17597"/>
    </row>
    <row r="17598" spans="23:23" x14ac:dyDescent="0.55000000000000004">
      <c r="W17598"/>
    </row>
    <row r="17599" spans="23:23" x14ac:dyDescent="0.55000000000000004">
      <c r="W17599"/>
    </row>
    <row r="17600" spans="23:23" x14ac:dyDescent="0.55000000000000004">
      <c r="W17600"/>
    </row>
    <row r="17601" spans="23:23" x14ac:dyDescent="0.55000000000000004">
      <c r="W17601"/>
    </row>
    <row r="17602" spans="23:23" x14ac:dyDescent="0.55000000000000004">
      <c r="W17602"/>
    </row>
    <row r="17603" spans="23:23" x14ac:dyDescent="0.55000000000000004">
      <c r="W17603"/>
    </row>
    <row r="17604" spans="23:23" x14ac:dyDescent="0.55000000000000004">
      <c r="W17604"/>
    </row>
    <row r="17605" spans="23:23" x14ac:dyDescent="0.55000000000000004">
      <c r="W17605"/>
    </row>
    <row r="17606" spans="23:23" x14ac:dyDescent="0.55000000000000004">
      <c r="W17606"/>
    </row>
    <row r="17607" spans="23:23" x14ac:dyDescent="0.55000000000000004">
      <c r="W17607"/>
    </row>
    <row r="17608" spans="23:23" x14ac:dyDescent="0.55000000000000004">
      <c r="W17608"/>
    </row>
    <row r="17609" spans="23:23" x14ac:dyDescent="0.55000000000000004">
      <c r="W17609"/>
    </row>
    <row r="17610" spans="23:23" x14ac:dyDescent="0.55000000000000004">
      <c r="W17610"/>
    </row>
    <row r="17611" spans="23:23" x14ac:dyDescent="0.55000000000000004">
      <c r="W17611"/>
    </row>
    <row r="17612" spans="23:23" x14ac:dyDescent="0.55000000000000004">
      <c r="W17612"/>
    </row>
    <row r="17613" spans="23:23" x14ac:dyDescent="0.55000000000000004">
      <c r="W17613"/>
    </row>
    <row r="17614" spans="23:23" x14ac:dyDescent="0.55000000000000004">
      <c r="W17614"/>
    </row>
    <row r="17615" spans="23:23" x14ac:dyDescent="0.55000000000000004">
      <c r="W17615"/>
    </row>
    <row r="17616" spans="23:23" x14ac:dyDescent="0.55000000000000004">
      <c r="W17616"/>
    </row>
    <row r="17617" spans="23:23" x14ac:dyDescent="0.55000000000000004">
      <c r="W17617"/>
    </row>
    <row r="17618" spans="23:23" x14ac:dyDescent="0.55000000000000004">
      <c r="W17618"/>
    </row>
    <row r="17619" spans="23:23" x14ac:dyDescent="0.55000000000000004">
      <c r="W17619"/>
    </row>
    <row r="17620" spans="23:23" x14ac:dyDescent="0.55000000000000004">
      <c r="W17620"/>
    </row>
    <row r="17621" spans="23:23" x14ac:dyDescent="0.55000000000000004">
      <c r="W17621"/>
    </row>
    <row r="17622" spans="23:23" x14ac:dyDescent="0.55000000000000004">
      <c r="W17622"/>
    </row>
    <row r="17623" spans="23:23" x14ac:dyDescent="0.55000000000000004">
      <c r="W17623"/>
    </row>
    <row r="17624" spans="23:23" x14ac:dyDescent="0.55000000000000004">
      <c r="W17624"/>
    </row>
    <row r="17625" spans="23:23" x14ac:dyDescent="0.55000000000000004">
      <c r="W17625"/>
    </row>
    <row r="17626" spans="23:23" x14ac:dyDescent="0.55000000000000004">
      <c r="W17626"/>
    </row>
    <row r="17627" spans="23:23" x14ac:dyDescent="0.55000000000000004">
      <c r="W17627"/>
    </row>
    <row r="17628" spans="23:23" x14ac:dyDescent="0.55000000000000004">
      <c r="W17628"/>
    </row>
    <row r="17629" spans="23:23" x14ac:dyDescent="0.55000000000000004">
      <c r="W17629"/>
    </row>
    <row r="17630" spans="23:23" x14ac:dyDescent="0.55000000000000004">
      <c r="W17630"/>
    </row>
    <row r="17631" spans="23:23" x14ac:dyDescent="0.55000000000000004">
      <c r="W17631"/>
    </row>
    <row r="17632" spans="23:23" x14ac:dyDescent="0.55000000000000004">
      <c r="W17632"/>
    </row>
    <row r="17633" spans="23:23" x14ac:dyDescent="0.55000000000000004">
      <c r="W17633"/>
    </row>
    <row r="17634" spans="23:23" x14ac:dyDescent="0.55000000000000004">
      <c r="W17634"/>
    </row>
    <row r="17635" spans="23:23" x14ac:dyDescent="0.55000000000000004">
      <c r="W17635"/>
    </row>
    <row r="17636" spans="23:23" x14ac:dyDescent="0.55000000000000004">
      <c r="W17636"/>
    </row>
    <row r="17637" spans="23:23" x14ac:dyDescent="0.55000000000000004">
      <c r="W17637"/>
    </row>
    <row r="17638" spans="23:23" x14ac:dyDescent="0.55000000000000004">
      <c r="W17638"/>
    </row>
    <row r="17639" spans="23:23" x14ac:dyDescent="0.55000000000000004">
      <c r="W17639"/>
    </row>
    <row r="17640" spans="23:23" x14ac:dyDescent="0.55000000000000004">
      <c r="W17640"/>
    </row>
    <row r="17641" spans="23:23" x14ac:dyDescent="0.55000000000000004">
      <c r="W17641"/>
    </row>
    <row r="17642" spans="23:23" x14ac:dyDescent="0.55000000000000004">
      <c r="W17642"/>
    </row>
    <row r="17643" spans="23:23" x14ac:dyDescent="0.55000000000000004">
      <c r="W17643"/>
    </row>
    <row r="17644" spans="23:23" x14ac:dyDescent="0.55000000000000004">
      <c r="W17644"/>
    </row>
    <row r="17645" spans="23:23" x14ac:dyDescent="0.55000000000000004">
      <c r="W17645"/>
    </row>
    <row r="17646" spans="23:23" x14ac:dyDescent="0.55000000000000004">
      <c r="W17646"/>
    </row>
    <row r="17647" spans="23:23" x14ac:dyDescent="0.55000000000000004">
      <c r="W17647"/>
    </row>
    <row r="17648" spans="23:23" x14ac:dyDescent="0.55000000000000004">
      <c r="W17648"/>
    </row>
    <row r="17649" spans="23:23" x14ac:dyDescent="0.55000000000000004">
      <c r="W17649"/>
    </row>
    <row r="17650" spans="23:23" x14ac:dyDescent="0.55000000000000004">
      <c r="W17650"/>
    </row>
    <row r="17651" spans="23:23" x14ac:dyDescent="0.55000000000000004">
      <c r="W17651"/>
    </row>
    <row r="17652" spans="23:23" x14ac:dyDescent="0.55000000000000004">
      <c r="W17652"/>
    </row>
    <row r="17653" spans="23:23" x14ac:dyDescent="0.55000000000000004">
      <c r="W17653"/>
    </row>
    <row r="17654" spans="23:23" x14ac:dyDescent="0.55000000000000004">
      <c r="W17654"/>
    </row>
    <row r="17655" spans="23:23" x14ac:dyDescent="0.55000000000000004">
      <c r="W17655"/>
    </row>
    <row r="17656" spans="23:23" x14ac:dyDescent="0.55000000000000004">
      <c r="W17656"/>
    </row>
    <row r="17657" spans="23:23" x14ac:dyDescent="0.55000000000000004">
      <c r="W17657"/>
    </row>
    <row r="17658" spans="23:23" x14ac:dyDescent="0.55000000000000004">
      <c r="W17658"/>
    </row>
    <row r="17659" spans="23:23" x14ac:dyDescent="0.55000000000000004">
      <c r="W17659"/>
    </row>
    <row r="17660" spans="23:23" x14ac:dyDescent="0.55000000000000004">
      <c r="W17660"/>
    </row>
    <row r="17661" spans="23:23" x14ac:dyDescent="0.55000000000000004">
      <c r="W17661"/>
    </row>
    <row r="17662" spans="23:23" x14ac:dyDescent="0.55000000000000004">
      <c r="W17662"/>
    </row>
    <row r="17663" spans="23:23" x14ac:dyDescent="0.55000000000000004">
      <c r="W17663"/>
    </row>
    <row r="17664" spans="23:23" x14ac:dyDescent="0.55000000000000004">
      <c r="W17664"/>
    </row>
    <row r="17665" spans="23:23" x14ac:dyDescent="0.55000000000000004">
      <c r="W17665"/>
    </row>
    <row r="17666" spans="23:23" x14ac:dyDescent="0.55000000000000004">
      <c r="W17666"/>
    </row>
    <row r="17667" spans="23:23" x14ac:dyDescent="0.55000000000000004">
      <c r="W17667"/>
    </row>
    <row r="17668" spans="23:23" x14ac:dyDescent="0.55000000000000004">
      <c r="W17668"/>
    </row>
    <row r="17669" spans="23:23" x14ac:dyDescent="0.55000000000000004">
      <c r="W17669"/>
    </row>
    <row r="17670" spans="23:23" x14ac:dyDescent="0.55000000000000004">
      <c r="W17670"/>
    </row>
    <row r="17671" spans="23:23" x14ac:dyDescent="0.55000000000000004">
      <c r="W17671"/>
    </row>
    <row r="17672" spans="23:23" x14ac:dyDescent="0.55000000000000004">
      <c r="W17672"/>
    </row>
    <row r="17673" spans="23:23" x14ac:dyDescent="0.55000000000000004">
      <c r="W17673"/>
    </row>
    <row r="17674" spans="23:23" x14ac:dyDescent="0.55000000000000004">
      <c r="W17674"/>
    </row>
    <row r="17675" spans="23:23" x14ac:dyDescent="0.55000000000000004">
      <c r="W17675"/>
    </row>
    <row r="17676" spans="23:23" x14ac:dyDescent="0.55000000000000004">
      <c r="W17676"/>
    </row>
    <row r="17677" spans="23:23" x14ac:dyDescent="0.55000000000000004">
      <c r="W17677"/>
    </row>
    <row r="17678" spans="23:23" x14ac:dyDescent="0.55000000000000004">
      <c r="W17678"/>
    </row>
    <row r="17679" spans="23:23" x14ac:dyDescent="0.55000000000000004">
      <c r="W17679"/>
    </row>
    <row r="17680" spans="23:23" x14ac:dyDescent="0.55000000000000004">
      <c r="W17680"/>
    </row>
    <row r="17681" spans="23:23" x14ac:dyDescent="0.55000000000000004">
      <c r="W17681"/>
    </row>
    <row r="17682" spans="23:23" x14ac:dyDescent="0.55000000000000004">
      <c r="W17682"/>
    </row>
    <row r="17683" spans="23:23" x14ac:dyDescent="0.55000000000000004">
      <c r="W17683"/>
    </row>
    <row r="17684" spans="23:23" x14ac:dyDescent="0.55000000000000004">
      <c r="W17684"/>
    </row>
    <row r="17685" spans="23:23" x14ac:dyDescent="0.55000000000000004">
      <c r="W17685"/>
    </row>
    <row r="17686" spans="23:23" x14ac:dyDescent="0.55000000000000004">
      <c r="W17686"/>
    </row>
    <row r="17687" spans="23:23" x14ac:dyDescent="0.55000000000000004">
      <c r="W17687"/>
    </row>
    <row r="17688" spans="23:23" x14ac:dyDescent="0.55000000000000004">
      <c r="W17688"/>
    </row>
    <row r="17689" spans="23:23" x14ac:dyDescent="0.55000000000000004">
      <c r="W17689"/>
    </row>
    <row r="17690" spans="23:23" x14ac:dyDescent="0.55000000000000004">
      <c r="W17690"/>
    </row>
    <row r="17691" spans="23:23" x14ac:dyDescent="0.55000000000000004">
      <c r="W17691"/>
    </row>
    <row r="17692" spans="23:23" x14ac:dyDescent="0.55000000000000004">
      <c r="W17692"/>
    </row>
    <row r="17693" spans="23:23" x14ac:dyDescent="0.55000000000000004">
      <c r="W17693"/>
    </row>
    <row r="17694" spans="23:23" x14ac:dyDescent="0.55000000000000004">
      <c r="W17694"/>
    </row>
    <row r="17695" spans="23:23" x14ac:dyDescent="0.55000000000000004">
      <c r="W17695"/>
    </row>
    <row r="17696" spans="23:23" x14ac:dyDescent="0.55000000000000004">
      <c r="W17696"/>
    </row>
    <row r="17697" spans="23:23" x14ac:dyDescent="0.55000000000000004">
      <c r="W17697"/>
    </row>
    <row r="17698" spans="23:23" x14ac:dyDescent="0.55000000000000004">
      <c r="W17698"/>
    </row>
    <row r="17699" spans="23:23" x14ac:dyDescent="0.55000000000000004">
      <c r="W17699"/>
    </row>
    <row r="17700" spans="23:23" x14ac:dyDescent="0.55000000000000004">
      <c r="W17700"/>
    </row>
    <row r="17701" spans="23:23" x14ac:dyDescent="0.55000000000000004">
      <c r="W17701"/>
    </row>
    <row r="17702" spans="23:23" x14ac:dyDescent="0.55000000000000004">
      <c r="W17702"/>
    </row>
    <row r="17703" spans="23:23" x14ac:dyDescent="0.55000000000000004">
      <c r="W17703"/>
    </row>
    <row r="17704" spans="23:23" x14ac:dyDescent="0.55000000000000004">
      <c r="W17704"/>
    </row>
    <row r="17705" spans="23:23" x14ac:dyDescent="0.55000000000000004">
      <c r="W17705"/>
    </row>
    <row r="17706" spans="23:23" x14ac:dyDescent="0.55000000000000004">
      <c r="W17706"/>
    </row>
    <row r="17707" spans="23:23" x14ac:dyDescent="0.55000000000000004">
      <c r="W17707"/>
    </row>
    <row r="17708" spans="23:23" x14ac:dyDescent="0.55000000000000004">
      <c r="W17708"/>
    </row>
    <row r="17709" spans="23:23" x14ac:dyDescent="0.55000000000000004">
      <c r="W17709"/>
    </row>
    <row r="17710" spans="23:23" x14ac:dyDescent="0.55000000000000004">
      <c r="W17710"/>
    </row>
    <row r="17711" spans="23:23" x14ac:dyDescent="0.55000000000000004">
      <c r="W17711"/>
    </row>
    <row r="17712" spans="23:23" x14ac:dyDescent="0.55000000000000004">
      <c r="W17712"/>
    </row>
    <row r="17713" spans="23:23" x14ac:dyDescent="0.55000000000000004">
      <c r="W17713"/>
    </row>
    <row r="17714" spans="23:23" x14ac:dyDescent="0.55000000000000004">
      <c r="W17714"/>
    </row>
    <row r="17715" spans="23:23" x14ac:dyDescent="0.55000000000000004">
      <c r="W17715"/>
    </row>
    <row r="17716" spans="23:23" x14ac:dyDescent="0.55000000000000004">
      <c r="W17716"/>
    </row>
    <row r="17717" spans="23:23" x14ac:dyDescent="0.55000000000000004">
      <c r="W17717"/>
    </row>
    <row r="17718" spans="23:23" x14ac:dyDescent="0.55000000000000004">
      <c r="W17718"/>
    </row>
    <row r="17719" spans="23:23" x14ac:dyDescent="0.55000000000000004">
      <c r="W17719"/>
    </row>
    <row r="17720" spans="23:23" x14ac:dyDescent="0.55000000000000004">
      <c r="W17720"/>
    </row>
    <row r="17721" spans="23:23" x14ac:dyDescent="0.55000000000000004">
      <c r="W17721"/>
    </row>
    <row r="17722" spans="23:23" x14ac:dyDescent="0.55000000000000004">
      <c r="W17722"/>
    </row>
    <row r="17723" spans="23:23" x14ac:dyDescent="0.55000000000000004">
      <c r="W17723"/>
    </row>
    <row r="17724" spans="23:23" x14ac:dyDescent="0.55000000000000004">
      <c r="W17724"/>
    </row>
    <row r="17725" spans="23:23" x14ac:dyDescent="0.55000000000000004">
      <c r="W17725"/>
    </row>
    <row r="17726" spans="23:23" x14ac:dyDescent="0.55000000000000004">
      <c r="W17726"/>
    </row>
    <row r="17727" spans="23:23" x14ac:dyDescent="0.55000000000000004">
      <c r="W17727"/>
    </row>
    <row r="17728" spans="23:23" x14ac:dyDescent="0.55000000000000004">
      <c r="W17728"/>
    </row>
    <row r="17729" spans="23:23" x14ac:dyDescent="0.55000000000000004">
      <c r="W17729"/>
    </row>
    <row r="17730" spans="23:23" x14ac:dyDescent="0.55000000000000004">
      <c r="W17730"/>
    </row>
    <row r="17731" spans="23:23" x14ac:dyDescent="0.55000000000000004">
      <c r="W17731"/>
    </row>
    <row r="17732" spans="23:23" x14ac:dyDescent="0.55000000000000004">
      <c r="W17732"/>
    </row>
    <row r="17733" spans="23:23" x14ac:dyDescent="0.55000000000000004">
      <c r="W17733"/>
    </row>
    <row r="17734" spans="23:23" x14ac:dyDescent="0.55000000000000004">
      <c r="W17734"/>
    </row>
    <row r="17735" spans="23:23" x14ac:dyDescent="0.55000000000000004">
      <c r="W17735"/>
    </row>
    <row r="17736" spans="23:23" x14ac:dyDescent="0.55000000000000004">
      <c r="W17736"/>
    </row>
    <row r="17737" spans="23:23" x14ac:dyDescent="0.55000000000000004">
      <c r="W17737"/>
    </row>
    <row r="17738" spans="23:23" x14ac:dyDescent="0.55000000000000004">
      <c r="W17738"/>
    </row>
    <row r="17739" spans="23:23" x14ac:dyDescent="0.55000000000000004">
      <c r="W17739"/>
    </row>
    <row r="17740" spans="23:23" x14ac:dyDescent="0.55000000000000004">
      <c r="W17740"/>
    </row>
    <row r="17741" spans="23:23" x14ac:dyDescent="0.55000000000000004">
      <c r="W17741"/>
    </row>
    <row r="17742" spans="23:23" x14ac:dyDescent="0.55000000000000004">
      <c r="W17742"/>
    </row>
    <row r="17743" spans="23:23" x14ac:dyDescent="0.55000000000000004">
      <c r="W17743"/>
    </row>
    <row r="17744" spans="23:23" x14ac:dyDescent="0.55000000000000004">
      <c r="W17744"/>
    </row>
    <row r="17745" spans="23:23" x14ac:dyDescent="0.55000000000000004">
      <c r="W17745"/>
    </row>
    <row r="17746" spans="23:23" x14ac:dyDescent="0.55000000000000004">
      <c r="W17746"/>
    </row>
    <row r="17747" spans="23:23" x14ac:dyDescent="0.55000000000000004">
      <c r="W17747"/>
    </row>
    <row r="17748" spans="23:23" x14ac:dyDescent="0.55000000000000004">
      <c r="W17748"/>
    </row>
    <row r="17749" spans="23:23" x14ac:dyDescent="0.55000000000000004">
      <c r="W17749"/>
    </row>
    <row r="17750" spans="23:23" x14ac:dyDescent="0.55000000000000004">
      <c r="W17750"/>
    </row>
    <row r="17751" spans="23:23" x14ac:dyDescent="0.55000000000000004">
      <c r="W17751"/>
    </row>
    <row r="17752" spans="23:23" x14ac:dyDescent="0.55000000000000004">
      <c r="W17752"/>
    </row>
    <row r="17753" spans="23:23" x14ac:dyDescent="0.55000000000000004">
      <c r="W17753"/>
    </row>
    <row r="17754" spans="23:23" x14ac:dyDescent="0.55000000000000004">
      <c r="W17754"/>
    </row>
    <row r="17755" spans="23:23" x14ac:dyDescent="0.55000000000000004">
      <c r="W17755"/>
    </row>
    <row r="17756" spans="23:23" x14ac:dyDescent="0.55000000000000004">
      <c r="W17756"/>
    </row>
    <row r="17757" spans="23:23" x14ac:dyDescent="0.55000000000000004">
      <c r="W17757"/>
    </row>
    <row r="17758" spans="23:23" x14ac:dyDescent="0.55000000000000004">
      <c r="W17758"/>
    </row>
    <row r="17759" spans="23:23" x14ac:dyDescent="0.55000000000000004">
      <c r="W17759"/>
    </row>
    <row r="17760" spans="23:23" x14ac:dyDescent="0.55000000000000004">
      <c r="W17760"/>
    </row>
    <row r="17761" spans="23:23" x14ac:dyDescent="0.55000000000000004">
      <c r="W17761"/>
    </row>
    <row r="17762" spans="23:23" x14ac:dyDescent="0.55000000000000004">
      <c r="W17762"/>
    </row>
    <row r="17763" spans="23:23" x14ac:dyDescent="0.55000000000000004">
      <c r="W17763"/>
    </row>
    <row r="17764" spans="23:23" x14ac:dyDescent="0.55000000000000004">
      <c r="W17764"/>
    </row>
    <row r="17765" spans="23:23" x14ac:dyDescent="0.55000000000000004">
      <c r="W17765"/>
    </row>
    <row r="17766" spans="23:23" x14ac:dyDescent="0.55000000000000004">
      <c r="W17766"/>
    </row>
    <row r="17767" spans="23:23" x14ac:dyDescent="0.55000000000000004">
      <c r="W17767"/>
    </row>
    <row r="17768" spans="23:23" x14ac:dyDescent="0.55000000000000004">
      <c r="W17768"/>
    </row>
    <row r="17769" spans="23:23" x14ac:dyDescent="0.55000000000000004">
      <c r="W17769"/>
    </row>
    <row r="17770" spans="23:23" x14ac:dyDescent="0.55000000000000004">
      <c r="W17770"/>
    </row>
    <row r="17771" spans="23:23" x14ac:dyDescent="0.55000000000000004">
      <c r="W17771"/>
    </row>
    <row r="17772" spans="23:23" x14ac:dyDescent="0.55000000000000004">
      <c r="W17772"/>
    </row>
    <row r="17773" spans="23:23" x14ac:dyDescent="0.55000000000000004">
      <c r="W17773"/>
    </row>
    <row r="17774" spans="23:23" x14ac:dyDescent="0.55000000000000004">
      <c r="W17774"/>
    </row>
    <row r="17775" spans="23:23" x14ac:dyDescent="0.55000000000000004">
      <c r="W17775"/>
    </row>
    <row r="17776" spans="23:23" x14ac:dyDescent="0.55000000000000004">
      <c r="W17776"/>
    </row>
    <row r="17777" spans="23:23" x14ac:dyDescent="0.55000000000000004">
      <c r="W17777"/>
    </row>
    <row r="17778" spans="23:23" x14ac:dyDescent="0.55000000000000004">
      <c r="W17778"/>
    </row>
    <row r="17779" spans="23:23" x14ac:dyDescent="0.55000000000000004">
      <c r="W17779"/>
    </row>
    <row r="17780" spans="23:23" x14ac:dyDescent="0.55000000000000004">
      <c r="W17780"/>
    </row>
    <row r="17781" spans="23:23" x14ac:dyDescent="0.55000000000000004">
      <c r="W17781"/>
    </row>
    <row r="17782" spans="23:23" x14ac:dyDescent="0.55000000000000004">
      <c r="W17782"/>
    </row>
    <row r="17783" spans="23:23" x14ac:dyDescent="0.55000000000000004">
      <c r="W17783"/>
    </row>
    <row r="17784" spans="23:23" x14ac:dyDescent="0.55000000000000004">
      <c r="W17784"/>
    </row>
    <row r="17785" spans="23:23" x14ac:dyDescent="0.55000000000000004">
      <c r="W17785"/>
    </row>
    <row r="17786" spans="23:23" x14ac:dyDescent="0.55000000000000004">
      <c r="W17786"/>
    </row>
    <row r="17787" spans="23:23" x14ac:dyDescent="0.55000000000000004">
      <c r="W17787"/>
    </row>
    <row r="17788" spans="23:23" x14ac:dyDescent="0.55000000000000004">
      <c r="W17788"/>
    </row>
    <row r="17789" spans="23:23" x14ac:dyDescent="0.55000000000000004">
      <c r="W17789"/>
    </row>
    <row r="17790" spans="23:23" x14ac:dyDescent="0.55000000000000004">
      <c r="W17790"/>
    </row>
    <row r="17791" spans="23:23" x14ac:dyDescent="0.55000000000000004">
      <c r="W17791"/>
    </row>
    <row r="17792" spans="23:23" x14ac:dyDescent="0.55000000000000004">
      <c r="W17792"/>
    </row>
    <row r="17793" spans="23:23" x14ac:dyDescent="0.55000000000000004">
      <c r="W17793"/>
    </row>
    <row r="17794" spans="23:23" x14ac:dyDescent="0.55000000000000004">
      <c r="W17794"/>
    </row>
    <row r="17795" spans="23:23" x14ac:dyDescent="0.55000000000000004">
      <c r="W17795"/>
    </row>
    <row r="17796" spans="23:23" x14ac:dyDescent="0.55000000000000004">
      <c r="W17796"/>
    </row>
    <row r="17797" spans="23:23" x14ac:dyDescent="0.55000000000000004">
      <c r="W17797"/>
    </row>
    <row r="17798" spans="23:23" x14ac:dyDescent="0.55000000000000004">
      <c r="W17798"/>
    </row>
    <row r="17799" spans="23:23" x14ac:dyDescent="0.55000000000000004">
      <c r="W17799"/>
    </row>
    <row r="17800" spans="23:23" x14ac:dyDescent="0.55000000000000004">
      <c r="W17800"/>
    </row>
    <row r="17801" spans="23:23" x14ac:dyDescent="0.55000000000000004">
      <c r="W17801"/>
    </row>
    <row r="17802" spans="23:23" x14ac:dyDescent="0.55000000000000004">
      <c r="W17802"/>
    </row>
    <row r="17803" spans="23:23" x14ac:dyDescent="0.55000000000000004">
      <c r="W17803"/>
    </row>
    <row r="17804" spans="23:23" x14ac:dyDescent="0.55000000000000004">
      <c r="W17804"/>
    </row>
    <row r="17805" spans="23:23" x14ac:dyDescent="0.55000000000000004">
      <c r="W17805"/>
    </row>
    <row r="17806" spans="23:23" x14ac:dyDescent="0.55000000000000004">
      <c r="W17806"/>
    </row>
    <row r="17807" spans="23:23" x14ac:dyDescent="0.55000000000000004">
      <c r="W17807"/>
    </row>
    <row r="17808" spans="23:23" x14ac:dyDescent="0.55000000000000004">
      <c r="W17808"/>
    </row>
    <row r="17809" spans="23:23" x14ac:dyDescent="0.55000000000000004">
      <c r="W17809"/>
    </row>
    <row r="17810" spans="23:23" x14ac:dyDescent="0.55000000000000004">
      <c r="W17810"/>
    </row>
    <row r="17811" spans="23:23" x14ac:dyDescent="0.55000000000000004">
      <c r="W17811"/>
    </row>
    <row r="17812" spans="23:23" x14ac:dyDescent="0.55000000000000004">
      <c r="W17812"/>
    </row>
    <row r="17813" spans="23:23" x14ac:dyDescent="0.55000000000000004">
      <c r="W17813"/>
    </row>
    <row r="17814" spans="23:23" x14ac:dyDescent="0.55000000000000004">
      <c r="W17814"/>
    </row>
    <row r="17815" spans="23:23" x14ac:dyDescent="0.55000000000000004">
      <c r="W17815"/>
    </row>
    <row r="17816" spans="23:23" x14ac:dyDescent="0.55000000000000004">
      <c r="W17816"/>
    </row>
    <row r="17817" spans="23:23" x14ac:dyDescent="0.55000000000000004">
      <c r="W17817"/>
    </row>
    <row r="17818" spans="23:23" x14ac:dyDescent="0.55000000000000004">
      <c r="W17818"/>
    </row>
    <row r="17819" spans="23:23" x14ac:dyDescent="0.55000000000000004">
      <c r="W17819"/>
    </row>
    <row r="17820" spans="23:23" x14ac:dyDescent="0.55000000000000004">
      <c r="W17820"/>
    </row>
    <row r="17821" spans="23:23" x14ac:dyDescent="0.55000000000000004">
      <c r="W17821"/>
    </row>
    <row r="17822" spans="23:23" x14ac:dyDescent="0.55000000000000004">
      <c r="W17822"/>
    </row>
    <row r="17823" spans="23:23" x14ac:dyDescent="0.55000000000000004">
      <c r="W17823"/>
    </row>
    <row r="17824" spans="23:23" x14ac:dyDescent="0.55000000000000004">
      <c r="W17824"/>
    </row>
    <row r="17825" spans="23:23" x14ac:dyDescent="0.55000000000000004">
      <c r="W17825"/>
    </row>
    <row r="17826" spans="23:23" x14ac:dyDescent="0.55000000000000004">
      <c r="W17826"/>
    </row>
    <row r="17827" spans="23:23" x14ac:dyDescent="0.55000000000000004">
      <c r="W17827"/>
    </row>
    <row r="17828" spans="23:23" x14ac:dyDescent="0.55000000000000004">
      <c r="W17828"/>
    </row>
    <row r="17829" spans="23:23" x14ac:dyDescent="0.55000000000000004">
      <c r="W17829"/>
    </row>
    <row r="17830" spans="23:23" x14ac:dyDescent="0.55000000000000004">
      <c r="W17830"/>
    </row>
    <row r="17831" spans="23:23" x14ac:dyDescent="0.55000000000000004">
      <c r="W17831"/>
    </row>
    <row r="17832" spans="23:23" x14ac:dyDescent="0.55000000000000004">
      <c r="W17832"/>
    </row>
    <row r="17833" spans="23:23" x14ac:dyDescent="0.55000000000000004">
      <c r="W17833"/>
    </row>
    <row r="17834" spans="23:23" x14ac:dyDescent="0.55000000000000004">
      <c r="W17834"/>
    </row>
    <row r="17835" spans="23:23" x14ac:dyDescent="0.55000000000000004">
      <c r="W17835"/>
    </row>
    <row r="17836" spans="23:23" x14ac:dyDescent="0.55000000000000004">
      <c r="W17836"/>
    </row>
    <row r="17837" spans="23:23" x14ac:dyDescent="0.55000000000000004">
      <c r="W17837"/>
    </row>
    <row r="17838" spans="23:23" x14ac:dyDescent="0.55000000000000004">
      <c r="W17838"/>
    </row>
    <row r="17839" spans="23:23" x14ac:dyDescent="0.55000000000000004">
      <c r="W17839"/>
    </row>
    <row r="17840" spans="23:23" x14ac:dyDescent="0.55000000000000004">
      <c r="W17840"/>
    </row>
    <row r="17841" spans="23:23" x14ac:dyDescent="0.55000000000000004">
      <c r="W17841"/>
    </row>
    <row r="17842" spans="23:23" x14ac:dyDescent="0.55000000000000004">
      <c r="W17842"/>
    </row>
    <row r="17843" spans="23:23" x14ac:dyDescent="0.55000000000000004">
      <c r="W17843"/>
    </row>
    <row r="17844" spans="23:23" x14ac:dyDescent="0.55000000000000004">
      <c r="W17844"/>
    </row>
    <row r="17845" spans="23:23" x14ac:dyDescent="0.55000000000000004">
      <c r="W17845"/>
    </row>
    <row r="17846" spans="23:23" x14ac:dyDescent="0.55000000000000004">
      <c r="W17846"/>
    </row>
    <row r="17847" spans="23:23" x14ac:dyDescent="0.55000000000000004">
      <c r="W17847"/>
    </row>
    <row r="17848" spans="23:23" x14ac:dyDescent="0.55000000000000004">
      <c r="W17848"/>
    </row>
    <row r="17849" spans="23:23" x14ac:dyDescent="0.55000000000000004">
      <c r="W17849"/>
    </row>
    <row r="17850" spans="23:23" x14ac:dyDescent="0.55000000000000004">
      <c r="W17850"/>
    </row>
    <row r="17851" spans="23:23" x14ac:dyDescent="0.55000000000000004">
      <c r="W17851"/>
    </row>
    <row r="17852" spans="23:23" x14ac:dyDescent="0.55000000000000004">
      <c r="W17852"/>
    </row>
    <row r="17853" spans="23:23" x14ac:dyDescent="0.55000000000000004">
      <c r="W17853"/>
    </row>
    <row r="17854" spans="23:23" x14ac:dyDescent="0.55000000000000004">
      <c r="W17854"/>
    </row>
    <row r="17855" spans="23:23" x14ac:dyDescent="0.55000000000000004">
      <c r="W17855"/>
    </row>
    <row r="17856" spans="23:23" x14ac:dyDescent="0.55000000000000004">
      <c r="W17856"/>
    </row>
    <row r="17857" spans="23:23" x14ac:dyDescent="0.55000000000000004">
      <c r="W17857"/>
    </row>
    <row r="17858" spans="23:23" x14ac:dyDescent="0.55000000000000004">
      <c r="W17858"/>
    </row>
    <row r="17859" spans="23:23" x14ac:dyDescent="0.55000000000000004">
      <c r="W17859"/>
    </row>
    <row r="17860" spans="23:23" x14ac:dyDescent="0.55000000000000004">
      <c r="W17860"/>
    </row>
    <row r="17861" spans="23:23" x14ac:dyDescent="0.55000000000000004">
      <c r="W17861"/>
    </row>
    <row r="17862" spans="23:23" x14ac:dyDescent="0.55000000000000004">
      <c r="W17862"/>
    </row>
    <row r="17863" spans="23:23" x14ac:dyDescent="0.55000000000000004">
      <c r="W17863"/>
    </row>
    <row r="17864" spans="23:23" x14ac:dyDescent="0.55000000000000004">
      <c r="W17864"/>
    </row>
    <row r="17865" spans="23:23" x14ac:dyDescent="0.55000000000000004">
      <c r="W17865"/>
    </row>
    <row r="17866" spans="23:23" x14ac:dyDescent="0.55000000000000004">
      <c r="W17866"/>
    </row>
    <row r="17867" spans="23:23" x14ac:dyDescent="0.55000000000000004">
      <c r="W17867"/>
    </row>
    <row r="17868" spans="23:23" x14ac:dyDescent="0.55000000000000004">
      <c r="W17868"/>
    </row>
    <row r="17869" spans="23:23" x14ac:dyDescent="0.55000000000000004">
      <c r="W17869"/>
    </row>
    <row r="17870" spans="23:23" x14ac:dyDescent="0.55000000000000004">
      <c r="W17870"/>
    </row>
    <row r="17871" spans="23:23" x14ac:dyDescent="0.55000000000000004">
      <c r="W17871"/>
    </row>
    <row r="17872" spans="23:23" x14ac:dyDescent="0.55000000000000004">
      <c r="W17872"/>
    </row>
    <row r="17873" spans="23:23" x14ac:dyDescent="0.55000000000000004">
      <c r="W17873"/>
    </row>
    <row r="17874" spans="23:23" x14ac:dyDescent="0.55000000000000004">
      <c r="W17874"/>
    </row>
    <row r="17875" spans="23:23" x14ac:dyDescent="0.55000000000000004">
      <c r="W17875"/>
    </row>
    <row r="17876" spans="23:23" x14ac:dyDescent="0.55000000000000004">
      <c r="W17876"/>
    </row>
    <row r="17877" spans="23:23" x14ac:dyDescent="0.55000000000000004">
      <c r="W17877"/>
    </row>
    <row r="17878" spans="23:23" x14ac:dyDescent="0.55000000000000004">
      <c r="W17878"/>
    </row>
    <row r="17879" spans="23:23" x14ac:dyDescent="0.55000000000000004">
      <c r="W17879"/>
    </row>
    <row r="17880" spans="23:23" x14ac:dyDescent="0.55000000000000004">
      <c r="W17880"/>
    </row>
    <row r="17881" spans="23:23" x14ac:dyDescent="0.55000000000000004">
      <c r="W17881"/>
    </row>
    <row r="17882" spans="23:23" x14ac:dyDescent="0.55000000000000004">
      <c r="W17882"/>
    </row>
    <row r="17883" spans="23:23" x14ac:dyDescent="0.55000000000000004">
      <c r="W17883"/>
    </row>
    <row r="17884" spans="23:23" x14ac:dyDescent="0.55000000000000004">
      <c r="W17884"/>
    </row>
    <row r="17885" spans="23:23" x14ac:dyDescent="0.55000000000000004">
      <c r="W17885"/>
    </row>
    <row r="17886" spans="23:23" x14ac:dyDescent="0.55000000000000004">
      <c r="W17886"/>
    </row>
    <row r="17887" spans="23:23" x14ac:dyDescent="0.55000000000000004">
      <c r="W17887"/>
    </row>
    <row r="17888" spans="23:23" x14ac:dyDescent="0.55000000000000004">
      <c r="W17888"/>
    </row>
    <row r="17889" spans="23:23" x14ac:dyDescent="0.55000000000000004">
      <c r="W17889"/>
    </row>
    <row r="17890" spans="23:23" x14ac:dyDescent="0.55000000000000004">
      <c r="W17890"/>
    </row>
    <row r="17891" spans="23:23" x14ac:dyDescent="0.55000000000000004">
      <c r="W17891"/>
    </row>
    <row r="17892" spans="23:23" x14ac:dyDescent="0.55000000000000004">
      <c r="W17892"/>
    </row>
    <row r="17893" spans="23:23" x14ac:dyDescent="0.55000000000000004">
      <c r="W17893"/>
    </row>
    <row r="17894" spans="23:23" x14ac:dyDescent="0.55000000000000004">
      <c r="W17894"/>
    </row>
    <row r="17895" spans="23:23" x14ac:dyDescent="0.55000000000000004">
      <c r="W17895"/>
    </row>
    <row r="17896" spans="23:23" x14ac:dyDescent="0.55000000000000004">
      <c r="W17896"/>
    </row>
    <row r="17897" spans="23:23" x14ac:dyDescent="0.55000000000000004">
      <c r="W17897"/>
    </row>
    <row r="17898" spans="23:23" x14ac:dyDescent="0.55000000000000004">
      <c r="W17898"/>
    </row>
    <row r="17899" spans="23:23" x14ac:dyDescent="0.55000000000000004">
      <c r="W17899"/>
    </row>
    <row r="17900" spans="23:23" x14ac:dyDescent="0.55000000000000004">
      <c r="W17900"/>
    </row>
    <row r="17901" spans="23:23" x14ac:dyDescent="0.55000000000000004">
      <c r="W17901"/>
    </row>
    <row r="17902" spans="23:23" x14ac:dyDescent="0.55000000000000004">
      <c r="W17902"/>
    </row>
    <row r="17903" spans="23:23" x14ac:dyDescent="0.55000000000000004">
      <c r="W17903"/>
    </row>
    <row r="17904" spans="23:23" x14ac:dyDescent="0.55000000000000004">
      <c r="W17904"/>
    </row>
    <row r="17905" spans="23:23" x14ac:dyDescent="0.55000000000000004">
      <c r="W17905"/>
    </row>
    <row r="17906" spans="23:23" x14ac:dyDescent="0.55000000000000004">
      <c r="W17906"/>
    </row>
    <row r="17907" spans="23:23" x14ac:dyDescent="0.55000000000000004">
      <c r="W17907"/>
    </row>
    <row r="17908" spans="23:23" x14ac:dyDescent="0.55000000000000004">
      <c r="W17908"/>
    </row>
    <row r="17909" spans="23:23" x14ac:dyDescent="0.55000000000000004">
      <c r="W17909"/>
    </row>
    <row r="17910" spans="23:23" x14ac:dyDescent="0.55000000000000004">
      <c r="W17910"/>
    </row>
    <row r="17911" spans="23:23" x14ac:dyDescent="0.55000000000000004">
      <c r="W17911"/>
    </row>
    <row r="17912" spans="23:23" x14ac:dyDescent="0.55000000000000004">
      <c r="W17912"/>
    </row>
    <row r="17913" spans="23:23" x14ac:dyDescent="0.55000000000000004">
      <c r="W17913"/>
    </row>
    <row r="17914" spans="23:23" x14ac:dyDescent="0.55000000000000004">
      <c r="W17914"/>
    </row>
    <row r="17915" spans="23:23" x14ac:dyDescent="0.55000000000000004">
      <c r="W17915"/>
    </row>
    <row r="17916" spans="23:23" x14ac:dyDescent="0.55000000000000004">
      <c r="W17916"/>
    </row>
    <row r="17917" spans="23:23" x14ac:dyDescent="0.55000000000000004">
      <c r="W17917"/>
    </row>
    <row r="17918" spans="23:23" x14ac:dyDescent="0.55000000000000004">
      <c r="W17918"/>
    </row>
    <row r="17919" spans="23:23" x14ac:dyDescent="0.55000000000000004">
      <c r="W17919"/>
    </row>
    <row r="17920" spans="23:23" x14ac:dyDescent="0.55000000000000004">
      <c r="W17920"/>
    </row>
    <row r="17921" spans="23:23" x14ac:dyDescent="0.55000000000000004">
      <c r="W17921"/>
    </row>
    <row r="17922" spans="23:23" x14ac:dyDescent="0.55000000000000004">
      <c r="W17922"/>
    </row>
    <row r="17923" spans="23:23" x14ac:dyDescent="0.55000000000000004">
      <c r="W17923"/>
    </row>
    <row r="17924" spans="23:23" x14ac:dyDescent="0.55000000000000004">
      <c r="W17924"/>
    </row>
    <row r="17925" spans="23:23" x14ac:dyDescent="0.55000000000000004">
      <c r="W17925"/>
    </row>
    <row r="17926" spans="23:23" x14ac:dyDescent="0.55000000000000004">
      <c r="W17926"/>
    </row>
    <row r="17927" spans="23:23" x14ac:dyDescent="0.55000000000000004">
      <c r="W17927"/>
    </row>
    <row r="17928" spans="23:23" x14ac:dyDescent="0.55000000000000004">
      <c r="W17928"/>
    </row>
    <row r="17929" spans="23:23" x14ac:dyDescent="0.55000000000000004">
      <c r="W17929"/>
    </row>
    <row r="17930" spans="23:23" x14ac:dyDescent="0.55000000000000004">
      <c r="W17930"/>
    </row>
    <row r="17931" spans="23:23" x14ac:dyDescent="0.55000000000000004">
      <c r="W17931"/>
    </row>
    <row r="17932" spans="23:23" x14ac:dyDescent="0.55000000000000004">
      <c r="W17932"/>
    </row>
    <row r="17933" spans="23:23" x14ac:dyDescent="0.55000000000000004">
      <c r="W17933"/>
    </row>
    <row r="17934" spans="23:23" x14ac:dyDescent="0.55000000000000004">
      <c r="W17934"/>
    </row>
    <row r="17935" spans="23:23" x14ac:dyDescent="0.55000000000000004">
      <c r="W17935"/>
    </row>
    <row r="17936" spans="23:23" x14ac:dyDescent="0.55000000000000004">
      <c r="W17936"/>
    </row>
    <row r="17937" spans="23:23" x14ac:dyDescent="0.55000000000000004">
      <c r="W17937"/>
    </row>
    <row r="17938" spans="23:23" x14ac:dyDescent="0.55000000000000004">
      <c r="W17938"/>
    </row>
    <row r="17939" spans="23:23" x14ac:dyDescent="0.55000000000000004">
      <c r="W17939"/>
    </row>
    <row r="17940" spans="23:23" x14ac:dyDescent="0.55000000000000004">
      <c r="W17940"/>
    </row>
    <row r="17941" spans="23:23" x14ac:dyDescent="0.55000000000000004">
      <c r="W17941"/>
    </row>
    <row r="17942" spans="23:23" x14ac:dyDescent="0.55000000000000004">
      <c r="W17942"/>
    </row>
    <row r="17943" spans="23:23" x14ac:dyDescent="0.55000000000000004">
      <c r="W17943"/>
    </row>
    <row r="17944" spans="23:23" x14ac:dyDescent="0.55000000000000004">
      <c r="W17944"/>
    </row>
    <row r="17945" spans="23:23" x14ac:dyDescent="0.55000000000000004">
      <c r="W17945"/>
    </row>
    <row r="17946" spans="23:23" x14ac:dyDescent="0.55000000000000004">
      <c r="W17946"/>
    </row>
    <row r="17947" spans="23:23" x14ac:dyDescent="0.55000000000000004">
      <c r="W17947"/>
    </row>
    <row r="17948" spans="23:23" x14ac:dyDescent="0.55000000000000004">
      <c r="W17948"/>
    </row>
    <row r="17949" spans="23:23" x14ac:dyDescent="0.55000000000000004">
      <c r="W17949"/>
    </row>
    <row r="17950" spans="23:23" x14ac:dyDescent="0.55000000000000004">
      <c r="W17950"/>
    </row>
    <row r="17951" spans="23:23" x14ac:dyDescent="0.55000000000000004">
      <c r="W17951"/>
    </row>
    <row r="17952" spans="23:23" x14ac:dyDescent="0.55000000000000004">
      <c r="W17952"/>
    </row>
    <row r="17953" spans="23:23" x14ac:dyDescent="0.55000000000000004">
      <c r="W17953"/>
    </row>
    <row r="17954" spans="23:23" x14ac:dyDescent="0.55000000000000004">
      <c r="W17954"/>
    </row>
    <row r="17955" spans="23:23" x14ac:dyDescent="0.55000000000000004">
      <c r="W17955"/>
    </row>
    <row r="17956" spans="23:23" x14ac:dyDescent="0.55000000000000004">
      <c r="W17956"/>
    </row>
    <row r="17957" spans="23:23" x14ac:dyDescent="0.55000000000000004">
      <c r="W17957"/>
    </row>
    <row r="17958" spans="23:23" x14ac:dyDescent="0.55000000000000004">
      <c r="W17958"/>
    </row>
    <row r="17959" spans="23:23" x14ac:dyDescent="0.55000000000000004">
      <c r="W17959"/>
    </row>
    <row r="17960" spans="23:23" x14ac:dyDescent="0.55000000000000004">
      <c r="W17960"/>
    </row>
    <row r="17961" spans="23:23" x14ac:dyDescent="0.55000000000000004">
      <c r="W17961"/>
    </row>
    <row r="17962" spans="23:23" x14ac:dyDescent="0.55000000000000004">
      <c r="W17962"/>
    </row>
    <row r="17963" spans="23:23" x14ac:dyDescent="0.55000000000000004">
      <c r="W17963"/>
    </row>
    <row r="17964" spans="23:23" x14ac:dyDescent="0.55000000000000004">
      <c r="W17964"/>
    </row>
    <row r="17965" spans="23:23" x14ac:dyDescent="0.55000000000000004">
      <c r="W17965"/>
    </row>
    <row r="17966" spans="23:23" x14ac:dyDescent="0.55000000000000004">
      <c r="W17966"/>
    </row>
    <row r="17967" spans="23:23" x14ac:dyDescent="0.55000000000000004">
      <c r="W17967"/>
    </row>
    <row r="17968" spans="23:23" x14ac:dyDescent="0.55000000000000004">
      <c r="W17968"/>
    </row>
    <row r="17969" spans="23:23" x14ac:dyDescent="0.55000000000000004">
      <c r="W17969"/>
    </row>
    <row r="17970" spans="23:23" x14ac:dyDescent="0.55000000000000004">
      <c r="W17970"/>
    </row>
    <row r="17971" spans="23:23" x14ac:dyDescent="0.55000000000000004">
      <c r="W17971"/>
    </row>
    <row r="17972" spans="23:23" x14ac:dyDescent="0.55000000000000004">
      <c r="W17972"/>
    </row>
    <row r="17973" spans="23:23" x14ac:dyDescent="0.55000000000000004">
      <c r="W17973"/>
    </row>
    <row r="17974" spans="23:23" x14ac:dyDescent="0.55000000000000004">
      <c r="W17974"/>
    </row>
    <row r="17975" spans="23:23" x14ac:dyDescent="0.55000000000000004">
      <c r="W17975"/>
    </row>
    <row r="17976" spans="23:23" x14ac:dyDescent="0.55000000000000004">
      <c r="W17976"/>
    </row>
    <row r="17977" spans="23:23" x14ac:dyDescent="0.55000000000000004">
      <c r="W17977"/>
    </row>
    <row r="17978" spans="23:23" x14ac:dyDescent="0.55000000000000004">
      <c r="W17978"/>
    </row>
    <row r="17979" spans="23:23" x14ac:dyDescent="0.55000000000000004">
      <c r="W17979"/>
    </row>
    <row r="17980" spans="23:23" x14ac:dyDescent="0.55000000000000004">
      <c r="W17980"/>
    </row>
    <row r="17981" spans="23:23" x14ac:dyDescent="0.55000000000000004">
      <c r="W17981"/>
    </row>
    <row r="17982" spans="23:23" x14ac:dyDescent="0.55000000000000004">
      <c r="W17982"/>
    </row>
    <row r="17983" spans="23:23" x14ac:dyDescent="0.55000000000000004">
      <c r="W17983"/>
    </row>
    <row r="17984" spans="23:23" x14ac:dyDescent="0.55000000000000004">
      <c r="W17984"/>
    </row>
    <row r="17985" spans="23:23" x14ac:dyDescent="0.55000000000000004">
      <c r="W17985"/>
    </row>
    <row r="17986" spans="23:23" x14ac:dyDescent="0.55000000000000004">
      <c r="W17986"/>
    </row>
    <row r="17987" spans="23:23" x14ac:dyDescent="0.55000000000000004">
      <c r="W17987"/>
    </row>
    <row r="17988" spans="23:23" x14ac:dyDescent="0.55000000000000004">
      <c r="W17988"/>
    </row>
    <row r="17989" spans="23:23" x14ac:dyDescent="0.55000000000000004">
      <c r="W17989"/>
    </row>
    <row r="17990" spans="23:23" x14ac:dyDescent="0.55000000000000004">
      <c r="W17990"/>
    </row>
    <row r="17991" spans="23:23" x14ac:dyDescent="0.55000000000000004">
      <c r="W17991"/>
    </row>
    <row r="17992" spans="23:23" x14ac:dyDescent="0.55000000000000004">
      <c r="W17992"/>
    </row>
    <row r="17993" spans="23:23" x14ac:dyDescent="0.55000000000000004">
      <c r="W17993"/>
    </row>
    <row r="17994" spans="23:23" x14ac:dyDescent="0.55000000000000004">
      <c r="W17994"/>
    </row>
    <row r="17995" spans="23:23" x14ac:dyDescent="0.55000000000000004">
      <c r="W17995"/>
    </row>
    <row r="17996" spans="23:23" x14ac:dyDescent="0.55000000000000004">
      <c r="W17996"/>
    </row>
    <row r="17997" spans="23:23" x14ac:dyDescent="0.55000000000000004">
      <c r="W17997"/>
    </row>
    <row r="17998" spans="23:23" x14ac:dyDescent="0.55000000000000004">
      <c r="W17998"/>
    </row>
    <row r="17999" spans="23:23" x14ac:dyDescent="0.55000000000000004">
      <c r="W17999"/>
    </row>
    <row r="18000" spans="23:23" x14ac:dyDescent="0.55000000000000004">
      <c r="W18000"/>
    </row>
    <row r="18001" spans="23:23" x14ac:dyDescent="0.55000000000000004">
      <c r="W18001"/>
    </row>
    <row r="18002" spans="23:23" x14ac:dyDescent="0.55000000000000004">
      <c r="W18002"/>
    </row>
    <row r="18003" spans="23:23" x14ac:dyDescent="0.55000000000000004">
      <c r="W18003"/>
    </row>
    <row r="18004" spans="23:23" x14ac:dyDescent="0.55000000000000004">
      <c r="W18004"/>
    </row>
    <row r="18005" spans="23:23" x14ac:dyDescent="0.55000000000000004">
      <c r="W18005"/>
    </row>
    <row r="18006" spans="23:23" x14ac:dyDescent="0.55000000000000004">
      <c r="W18006"/>
    </row>
    <row r="18007" spans="23:23" x14ac:dyDescent="0.55000000000000004">
      <c r="W18007"/>
    </row>
    <row r="18008" spans="23:23" x14ac:dyDescent="0.55000000000000004">
      <c r="W18008"/>
    </row>
    <row r="18009" spans="23:23" x14ac:dyDescent="0.55000000000000004">
      <c r="W18009"/>
    </row>
    <row r="18010" spans="23:23" x14ac:dyDescent="0.55000000000000004">
      <c r="W18010"/>
    </row>
    <row r="18011" spans="23:23" x14ac:dyDescent="0.55000000000000004">
      <c r="W18011"/>
    </row>
    <row r="18012" spans="23:23" x14ac:dyDescent="0.55000000000000004">
      <c r="W18012"/>
    </row>
    <row r="18013" spans="23:23" x14ac:dyDescent="0.55000000000000004">
      <c r="W18013"/>
    </row>
    <row r="18014" spans="23:23" x14ac:dyDescent="0.55000000000000004">
      <c r="W18014"/>
    </row>
    <row r="18015" spans="23:23" x14ac:dyDescent="0.55000000000000004">
      <c r="W18015"/>
    </row>
    <row r="18016" spans="23:23" x14ac:dyDescent="0.55000000000000004">
      <c r="W18016"/>
    </row>
    <row r="18017" spans="23:23" x14ac:dyDescent="0.55000000000000004">
      <c r="W18017"/>
    </row>
    <row r="18018" spans="23:23" x14ac:dyDescent="0.55000000000000004">
      <c r="W18018"/>
    </row>
    <row r="18019" spans="23:23" x14ac:dyDescent="0.55000000000000004">
      <c r="W18019"/>
    </row>
    <row r="18020" spans="23:23" x14ac:dyDescent="0.55000000000000004">
      <c r="W18020"/>
    </row>
    <row r="18021" spans="23:23" x14ac:dyDescent="0.55000000000000004">
      <c r="W18021"/>
    </row>
    <row r="18022" spans="23:23" x14ac:dyDescent="0.55000000000000004">
      <c r="W18022"/>
    </row>
    <row r="18023" spans="23:23" x14ac:dyDescent="0.55000000000000004">
      <c r="W18023"/>
    </row>
    <row r="18024" spans="23:23" x14ac:dyDescent="0.55000000000000004">
      <c r="W18024"/>
    </row>
    <row r="18025" spans="23:23" x14ac:dyDescent="0.55000000000000004">
      <c r="W18025"/>
    </row>
    <row r="18026" spans="23:23" x14ac:dyDescent="0.55000000000000004">
      <c r="W18026"/>
    </row>
    <row r="18027" spans="23:23" x14ac:dyDescent="0.55000000000000004">
      <c r="W18027"/>
    </row>
    <row r="18028" spans="23:23" x14ac:dyDescent="0.55000000000000004">
      <c r="W18028"/>
    </row>
    <row r="18029" spans="23:23" x14ac:dyDescent="0.55000000000000004">
      <c r="W18029"/>
    </row>
    <row r="18030" spans="23:23" x14ac:dyDescent="0.55000000000000004">
      <c r="W18030"/>
    </row>
    <row r="18031" spans="23:23" x14ac:dyDescent="0.55000000000000004">
      <c r="W18031"/>
    </row>
    <row r="18032" spans="23:23" x14ac:dyDescent="0.55000000000000004">
      <c r="W18032"/>
    </row>
    <row r="18033" spans="23:23" x14ac:dyDescent="0.55000000000000004">
      <c r="W18033"/>
    </row>
    <row r="18034" spans="23:23" x14ac:dyDescent="0.55000000000000004">
      <c r="W18034"/>
    </row>
    <row r="18035" spans="23:23" x14ac:dyDescent="0.55000000000000004">
      <c r="W18035"/>
    </row>
    <row r="18036" spans="23:23" x14ac:dyDescent="0.55000000000000004">
      <c r="W18036"/>
    </row>
    <row r="18037" spans="23:23" x14ac:dyDescent="0.55000000000000004">
      <c r="W18037"/>
    </row>
    <row r="18038" spans="23:23" x14ac:dyDescent="0.55000000000000004">
      <c r="W18038"/>
    </row>
    <row r="18039" spans="23:23" x14ac:dyDescent="0.55000000000000004">
      <c r="W18039"/>
    </row>
    <row r="18040" spans="23:23" x14ac:dyDescent="0.55000000000000004">
      <c r="W18040"/>
    </row>
    <row r="18041" spans="23:23" x14ac:dyDescent="0.55000000000000004">
      <c r="W18041"/>
    </row>
    <row r="18042" spans="23:23" x14ac:dyDescent="0.55000000000000004">
      <c r="W18042"/>
    </row>
    <row r="18043" spans="23:23" x14ac:dyDescent="0.55000000000000004">
      <c r="W18043"/>
    </row>
    <row r="18044" spans="23:23" x14ac:dyDescent="0.55000000000000004">
      <c r="W18044"/>
    </row>
    <row r="18045" spans="23:23" x14ac:dyDescent="0.55000000000000004">
      <c r="W18045"/>
    </row>
    <row r="18046" spans="23:23" x14ac:dyDescent="0.55000000000000004">
      <c r="W18046"/>
    </row>
    <row r="18047" spans="23:23" x14ac:dyDescent="0.55000000000000004">
      <c r="W18047"/>
    </row>
    <row r="18048" spans="23:23" x14ac:dyDescent="0.55000000000000004">
      <c r="W18048"/>
    </row>
    <row r="18049" spans="23:23" x14ac:dyDescent="0.55000000000000004">
      <c r="W18049"/>
    </row>
    <row r="18050" spans="23:23" x14ac:dyDescent="0.55000000000000004">
      <c r="W18050"/>
    </row>
    <row r="18051" spans="23:23" x14ac:dyDescent="0.55000000000000004">
      <c r="W18051"/>
    </row>
    <row r="18052" spans="23:23" x14ac:dyDescent="0.55000000000000004">
      <c r="W18052"/>
    </row>
    <row r="18053" spans="23:23" x14ac:dyDescent="0.55000000000000004">
      <c r="W18053"/>
    </row>
    <row r="18054" spans="23:23" x14ac:dyDescent="0.55000000000000004">
      <c r="W18054"/>
    </row>
    <row r="18055" spans="23:23" x14ac:dyDescent="0.55000000000000004">
      <c r="W18055"/>
    </row>
    <row r="18056" spans="23:23" x14ac:dyDescent="0.55000000000000004">
      <c r="W18056"/>
    </row>
    <row r="18057" spans="23:23" x14ac:dyDescent="0.55000000000000004">
      <c r="W18057"/>
    </row>
    <row r="18058" spans="23:23" x14ac:dyDescent="0.55000000000000004">
      <c r="W18058"/>
    </row>
    <row r="18059" spans="23:23" x14ac:dyDescent="0.55000000000000004">
      <c r="W18059"/>
    </row>
    <row r="18060" spans="23:23" x14ac:dyDescent="0.55000000000000004">
      <c r="W18060"/>
    </row>
    <row r="18061" spans="23:23" x14ac:dyDescent="0.55000000000000004">
      <c r="W18061"/>
    </row>
    <row r="18062" spans="23:23" x14ac:dyDescent="0.55000000000000004">
      <c r="W18062"/>
    </row>
    <row r="18063" spans="23:23" x14ac:dyDescent="0.55000000000000004">
      <c r="W18063"/>
    </row>
    <row r="18064" spans="23:23" x14ac:dyDescent="0.55000000000000004">
      <c r="W18064"/>
    </row>
    <row r="18065" spans="23:23" x14ac:dyDescent="0.55000000000000004">
      <c r="W18065"/>
    </row>
    <row r="18066" spans="23:23" x14ac:dyDescent="0.55000000000000004">
      <c r="W18066"/>
    </row>
    <row r="18067" spans="23:23" x14ac:dyDescent="0.55000000000000004">
      <c r="W18067"/>
    </row>
    <row r="18068" spans="23:23" x14ac:dyDescent="0.55000000000000004">
      <c r="W18068"/>
    </row>
    <row r="18069" spans="23:23" x14ac:dyDescent="0.55000000000000004">
      <c r="W18069"/>
    </row>
    <row r="18070" spans="23:23" x14ac:dyDescent="0.55000000000000004">
      <c r="W18070"/>
    </row>
    <row r="18071" spans="23:23" x14ac:dyDescent="0.55000000000000004">
      <c r="W18071"/>
    </row>
    <row r="18072" spans="23:23" x14ac:dyDescent="0.55000000000000004">
      <c r="W18072"/>
    </row>
    <row r="18073" spans="23:23" x14ac:dyDescent="0.55000000000000004">
      <c r="W18073"/>
    </row>
    <row r="18074" spans="23:23" x14ac:dyDescent="0.55000000000000004">
      <c r="W18074"/>
    </row>
    <row r="18075" spans="23:23" x14ac:dyDescent="0.55000000000000004">
      <c r="W18075"/>
    </row>
    <row r="18076" spans="23:23" x14ac:dyDescent="0.55000000000000004">
      <c r="W18076"/>
    </row>
    <row r="18077" spans="23:23" x14ac:dyDescent="0.55000000000000004">
      <c r="W18077"/>
    </row>
    <row r="18078" spans="23:23" x14ac:dyDescent="0.55000000000000004">
      <c r="W18078"/>
    </row>
    <row r="18079" spans="23:23" x14ac:dyDescent="0.55000000000000004">
      <c r="W18079"/>
    </row>
    <row r="18080" spans="23:23" x14ac:dyDescent="0.55000000000000004">
      <c r="W18080"/>
    </row>
    <row r="18081" spans="23:23" x14ac:dyDescent="0.55000000000000004">
      <c r="W18081"/>
    </row>
    <row r="18082" spans="23:23" x14ac:dyDescent="0.55000000000000004">
      <c r="W18082"/>
    </row>
    <row r="18083" spans="23:23" x14ac:dyDescent="0.55000000000000004">
      <c r="W18083"/>
    </row>
    <row r="18084" spans="23:23" x14ac:dyDescent="0.55000000000000004">
      <c r="W18084"/>
    </row>
    <row r="18085" spans="23:23" x14ac:dyDescent="0.55000000000000004">
      <c r="W18085"/>
    </row>
    <row r="18086" spans="23:23" x14ac:dyDescent="0.55000000000000004">
      <c r="W18086"/>
    </row>
    <row r="18087" spans="23:23" x14ac:dyDescent="0.55000000000000004">
      <c r="W18087"/>
    </row>
    <row r="18088" spans="23:23" x14ac:dyDescent="0.55000000000000004">
      <c r="W18088"/>
    </row>
    <row r="18089" spans="23:23" x14ac:dyDescent="0.55000000000000004">
      <c r="W18089"/>
    </row>
    <row r="18090" spans="23:23" x14ac:dyDescent="0.55000000000000004">
      <c r="W18090"/>
    </row>
    <row r="18091" spans="23:23" x14ac:dyDescent="0.55000000000000004">
      <c r="W18091"/>
    </row>
    <row r="18092" spans="23:23" x14ac:dyDescent="0.55000000000000004">
      <c r="W18092"/>
    </row>
    <row r="18093" spans="23:23" x14ac:dyDescent="0.55000000000000004">
      <c r="W18093"/>
    </row>
    <row r="18094" spans="23:23" x14ac:dyDescent="0.55000000000000004">
      <c r="W18094"/>
    </row>
    <row r="18095" spans="23:23" x14ac:dyDescent="0.55000000000000004">
      <c r="W18095"/>
    </row>
    <row r="18096" spans="23:23" x14ac:dyDescent="0.55000000000000004">
      <c r="W18096"/>
    </row>
    <row r="18097" spans="23:23" x14ac:dyDescent="0.55000000000000004">
      <c r="W18097"/>
    </row>
    <row r="18098" spans="23:23" x14ac:dyDescent="0.55000000000000004">
      <c r="W18098"/>
    </row>
    <row r="18099" spans="23:23" x14ac:dyDescent="0.55000000000000004">
      <c r="W18099"/>
    </row>
    <row r="18100" spans="23:23" x14ac:dyDescent="0.55000000000000004">
      <c r="W18100"/>
    </row>
    <row r="18101" spans="23:23" x14ac:dyDescent="0.55000000000000004">
      <c r="W18101"/>
    </row>
    <row r="18102" spans="23:23" x14ac:dyDescent="0.55000000000000004">
      <c r="W18102"/>
    </row>
    <row r="18103" spans="23:23" x14ac:dyDescent="0.55000000000000004">
      <c r="W18103"/>
    </row>
    <row r="18104" spans="23:23" x14ac:dyDescent="0.55000000000000004">
      <c r="W18104"/>
    </row>
    <row r="18105" spans="23:23" x14ac:dyDescent="0.55000000000000004">
      <c r="W18105"/>
    </row>
    <row r="18106" spans="23:23" x14ac:dyDescent="0.55000000000000004">
      <c r="W18106"/>
    </row>
    <row r="18107" spans="23:23" x14ac:dyDescent="0.55000000000000004">
      <c r="W18107"/>
    </row>
    <row r="18108" spans="23:23" x14ac:dyDescent="0.55000000000000004">
      <c r="W18108"/>
    </row>
    <row r="18109" spans="23:23" x14ac:dyDescent="0.55000000000000004">
      <c r="W18109"/>
    </row>
    <row r="18110" spans="23:23" x14ac:dyDescent="0.55000000000000004">
      <c r="W18110"/>
    </row>
    <row r="18111" spans="23:23" x14ac:dyDescent="0.55000000000000004">
      <c r="W18111"/>
    </row>
    <row r="18112" spans="23:23" x14ac:dyDescent="0.55000000000000004">
      <c r="W18112"/>
    </row>
    <row r="18113" spans="23:23" x14ac:dyDescent="0.55000000000000004">
      <c r="W18113"/>
    </row>
    <row r="18114" spans="23:23" x14ac:dyDescent="0.55000000000000004">
      <c r="W18114"/>
    </row>
    <row r="18115" spans="23:23" x14ac:dyDescent="0.55000000000000004">
      <c r="W18115"/>
    </row>
    <row r="18116" spans="23:23" x14ac:dyDescent="0.55000000000000004">
      <c r="W18116"/>
    </row>
    <row r="18117" spans="23:23" x14ac:dyDescent="0.55000000000000004">
      <c r="W18117"/>
    </row>
    <row r="18118" spans="23:23" x14ac:dyDescent="0.55000000000000004">
      <c r="W18118"/>
    </row>
    <row r="18119" spans="23:23" x14ac:dyDescent="0.55000000000000004">
      <c r="W18119"/>
    </row>
    <row r="18120" spans="23:23" x14ac:dyDescent="0.55000000000000004">
      <c r="W18120"/>
    </row>
    <row r="18121" spans="23:23" x14ac:dyDescent="0.55000000000000004">
      <c r="W18121"/>
    </row>
    <row r="18122" spans="23:23" x14ac:dyDescent="0.55000000000000004">
      <c r="W18122"/>
    </row>
    <row r="18123" spans="23:23" x14ac:dyDescent="0.55000000000000004">
      <c r="W18123"/>
    </row>
    <row r="18124" spans="23:23" x14ac:dyDescent="0.55000000000000004">
      <c r="W18124"/>
    </row>
    <row r="18125" spans="23:23" x14ac:dyDescent="0.55000000000000004">
      <c r="W18125"/>
    </row>
    <row r="18126" spans="23:23" x14ac:dyDescent="0.55000000000000004">
      <c r="W18126"/>
    </row>
    <row r="18127" spans="23:23" x14ac:dyDescent="0.55000000000000004">
      <c r="W18127"/>
    </row>
    <row r="18128" spans="23:23" x14ac:dyDescent="0.55000000000000004">
      <c r="W18128"/>
    </row>
    <row r="18129" spans="23:23" x14ac:dyDescent="0.55000000000000004">
      <c r="W18129"/>
    </row>
    <row r="18130" spans="23:23" x14ac:dyDescent="0.55000000000000004">
      <c r="W18130"/>
    </row>
    <row r="18131" spans="23:23" x14ac:dyDescent="0.55000000000000004">
      <c r="W18131"/>
    </row>
    <row r="18132" spans="23:23" x14ac:dyDescent="0.55000000000000004">
      <c r="W18132"/>
    </row>
    <row r="18133" spans="23:23" x14ac:dyDescent="0.55000000000000004">
      <c r="W18133"/>
    </row>
    <row r="18134" spans="23:23" x14ac:dyDescent="0.55000000000000004">
      <c r="W18134"/>
    </row>
    <row r="18135" spans="23:23" x14ac:dyDescent="0.55000000000000004">
      <c r="W18135"/>
    </row>
    <row r="18136" spans="23:23" x14ac:dyDescent="0.55000000000000004">
      <c r="W18136"/>
    </row>
    <row r="18137" spans="23:23" x14ac:dyDescent="0.55000000000000004">
      <c r="W18137"/>
    </row>
    <row r="18138" spans="23:23" x14ac:dyDescent="0.55000000000000004">
      <c r="W18138"/>
    </row>
    <row r="18139" spans="23:23" x14ac:dyDescent="0.55000000000000004">
      <c r="W18139"/>
    </row>
    <row r="18140" spans="23:23" x14ac:dyDescent="0.55000000000000004">
      <c r="W18140"/>
    </row>
    <row r="18141" spans="23:23" x14ac:dyDescent="0.55000000000000004">
      <c r="W18141"/>
    </row>
    <row r="18142" spans="23:23" x14ac:dyDescent="0.55000000000000004">
      <c r="W18142"/>
    </row>
    <row r="18143" spans="23:23" x14ac:dyDescent="0.55000000000000004">
      <c r="W18143"/>
    </row>
    <row r="18144" spans="23:23" x14ac:dyDescent="0.55000000000000004">
      <c r="W18144"/>
    </row>
    <row r="18145" spans="23:23" x14ac:dyDescent="0.55000000000000004">
      <c r="W18145"/>
    </row>
    <row r="18146" spans="23:23" x14ac:dyDescent="0.55000000000000004">
      <c r="W18146"/>
    </row>
    <row r="18147" spans="23:23" x14ac:dyDescent="0.55000000000000004">
      <c r="W18147"/>
    </row>
    <row r="18148" spans="23:23" x14ac:dyDescent="0.55000000000000004">
      <c r="W18148"/>
    </row>
    <row r="18149" spans="23:23" x14ac:dyDescent="0.55000000000000004">
      <c r="W18149"/>
    </row>
    <row r="18150" spans="23:23" x14ac:dyDescent="0.55000000000000004">
      <c r="W18150"/>
    </row>
    <row r="18151" spans="23:23" x14ac:dyDescent="0.55000000000000004">
      <c r="W18151"/>
    </row>
    <row r="18152" spans="23:23" x14ac:dyDescent="0.55000000000000004">
      <c r="W18152"/>
    </row>
    <row r="18153" spans="23:23" x14ac:dyDescent="0.55000000000000004">
      <c r="W18153"/>
    </row>
    <row r="18154" spans="23:23" x14ac:dyDescent="0.55000000000000004">
      <c r="W18154"/>
    </row>
    <row r="18155" spans="23:23" x14ac:dyDescent="0.55000000000000004">
      <c r="W18155"/>
    </row>
    <row r="18156" spans="23:23" x14ac:dyDescent="0.55000000000000004">
      <c r="W18156"/>
    </row>
    <row r="18157" spans="23:23" x14ac:dyDescent="0.55000000000000004">
      <c r="W18157"/>
    </row>
    <row r="18158" spans="23:23" x14ac:dyDescent="0.55000000000000004">
      <c r="W18158"/>
    </row>
    <row r="18159" spans="23:23" x14ac:dyDescent="0.55000000000000004">
      <c r="W18159"/>
    </row>
    <row r="18160" spans="23:23" x14ac:dyDescent="0.55000000000000004">
      <c r="W18160"/>
    </row>
    <row r="18161" spans="23:23" x14ac:dyDescent="0.55000000000000004">
      <c r="W18161"/>
    </row>
    <row r="18162" spans="23:23" x14ac:dyDescent="0.55000000000000004">
      <c r="W18162"/>
    </row>
    <row r="18163" spans="23:23" x14ac:dyDescent="0.55000000000000004">
      <c r="W18163"/>
    </row>
    <row r="18164" spans="23:23" x14ac:dyDescent="0.55000000000000004">
      <c r="W18164"/>
    </row>
    <row r="18165" spans="23:23" x14ac:dyDescent="0.55000000000000004">
      <c r="W18165"/>
    </row>
    <row r="18166" spans="23:23" x14ac:dyDescent="0.55000000000000004">
      <c r="W18166"/>
    </row>
    <row r="18167" spans="23:23" x14ac:dyDescent="0.55000000000000004">
      <c r="W18167"/>
    </row>
    <row r="18168" spans="23:23" x14ac:dyDescent="0.55000000000000004">
      <c r="W18168"/>
    </row>
    <row r="18169" spans="23:23" x14ac:dyDescent="0.55000000000000004">
      <c r="W18169"/>
    </row>
    <row r="18170" spans="23:23" x14ac:dyDescent="0.55000000000000004">
      <c r="W18170"/>
    </row>
    <row r="18171" spans="23:23" x14ac:dyDescent="0.55000000000000004">
      <c r="W18171"/>
    </row>
    <row r="18172" spans="23:23" x14ac:dyDescent="0.55000000000000004">
      <c r="W18172"/>
    </row>
    <row r="18173" spans="23:23" x14ac:dyDescent="0.55000000000000004">
      <c r="W18173"/>
    </row>
    <row r="18174" spans="23:23" x14ac:dyDescent="0.55000000000000004">
      <c r="W18174"/>
    </row>
    <row r="18175" spans="23:23" x14ac:dyDescent="0.55000000000000004">
      <c r="W18175"/>
    </row>
    <row r="18176" spans="23:23" x14ac:dyDescent="0.55000000000000004">
      <c r="W18176"/>
    </row>
    <row r="18177" spans="23:23" x14ac:dyDescent="0.55000000000000004">
      <c r="W18177"/>
    </row>
    <row r="18178" spans="23:23" x14ac:dyDescent="0.55000000000000004">
      <c r="W18178"/>
    </row>
    <row r="18179" spans="23:23" x14ac:dyDescent="0.55000000000000004">
      <c r="W18179"/>
    </row>
    <row r="18180" spans="23:23" x14ac:dyDescent="0.55000000000000004">
      <c r="W18180"/>
    </row>
    <row r="18181" spans="23:23" x14ac:dyDescent="0.55000000000000004">
      <c r="W18181"/>
    </row>
    <row r="18182" spans="23:23" x14ac:dyDescent="0.55000000000000004">
      <c r="W18182"/>
    </row>
    <row r="18183" spans="23:23" x14ac:dyDescent="0.55000000000000004">
      <c r="W18183"/>
    </row>
    <row r="18184" spans="23:23" x14ac:dyDescent="0.55000000000000004">
      <c r="W18184"/>
    </row>
    <row r="18185" spans="23:23" x14ac:dyDescent="0.55000000000000004">
      <c r="W18185"/>
    </row>
    <row r="18186" spans="23:23" x14ac:dyDescent="0.55000000000000004">
      <c r="W18186"/>
    </row>
    <row r="18187" spans="23:23" x14ac:dyDescent="0.55000000000000004">
      <c r="W18187"/>
    </row>
    <row r="18188" spans="23:23" x14ac:dyDescent="0.55000000000000004">
      <c r="W18188"/>
    </row>
    <row r="18189" spans="23:23" x14ac:dyDescent="0.55000000000000004">
      <c r="W18189"/>
    </row>
    <row r="18190" spans="23:23" x14ac:dyDescent="0.55000000000000004">
      <c r="W18190"/>
    </row>
    <row r="18191" spans="23:23" x14ac:dyDescent="0.55000000000000004">
      <c r="W18191"/>
    </row>
    <row r="18192" spans="23:23" x14ac:dyDescent="0.55000000000000004">
      <c r="W18192"/>
    </row>
    <row r="18193" spans="23:23" x14ac:dyDescent="0.55000000000000004">
      <c r="W18193"/>
    </row>
    <row r="18194" spans="23:23" x14ac:dyDescent="0.55000000000000004">
      <c r="W18194"/>
    </row>
    <row r="18195" spans="23:23" x14ac:dyDescent="0.55000000000000004">
      <c r="W18195"/>
    </row>
    <row r="18196" spans="23:23" x14ac:dyDescent="0.55000000000000004">
      <c r="W18196"/>
    </row>
    <row r="18197" spans="23:23" x14ac:dyDescent="0.55000000000000004">
      <c r="W18197"/>
    </row>
    <row r="18198" spans="23:23" x14ac:dyDescent="0.55000000000000004">
      <c r="W18198"/>
    </row>
    <row r="18199" spans="23:23" x14ac:dyDescent="0.55000000000000004">
      <c r="W18199"/>
    </row>
    <row r="18200" spans="23:23" x14ac:dyDescent="0.55000000000000004">
      <c r="W18200"/>
    </row>
    <row r="18201" spans="23:23" x14ac:dyDescent="0.55000000000000004">
      <c r="W18201"/>
    </row>
    <row r="18202" spans="23:23" x14ac:dyDescent="0.55000000000000004">
      <c r="W18202"/>
    </row>
    <row r="18203" spans="23:23" x14ac:dyDescent="0.55000000000000004">
      <c r="W18203"/>
    </row>
    <row r="18204" spans="23:23" x14ac:dyDescent="0.55000000000000004">
      <c r="W18204"/>
    </row>
    <row r="18205" spans="23:23" x14ac:dyDescent="0.55000000000000004">
      <c r="W18205"/>
    </row>
    <row r="18206" spans="23:23" x14ac:dyDescent="0.55000000000000004">
      <c r="W18206"/>
    </row>
    <row r="18207" spans="23:23" x14ac:dyDescent="0.55000000000000004">
      <c r="W18207"/>
    </row>
    <row r="18208" spans="23:23" x14ac:dyDescent="0.55000000000000004">
      <c r="W18208"/>
    </row>
    <row r="18209" spans="23:23" x14ac:dyDescent="0.55000000000000004">
      <c r="W18209"/>
    </row>
    <row r="18210" spans="23:23" x14ac:dyDescent="0.55000000000000004">
      <c r="W18210"/>
    </row>
    <row r="18211" spans="23:23" x14ac:dyDescent="0.55000000000000004">
      <c r="W18211"/>
    </row>
    <row r="18212" spans="23:23" x14ac:dyDescent="0.55000000000000004">
      <c r="W18212"/>
    </row>
    <row r="18213" spans="23:23" x14ac:dyDescent="0.55000000000000004">
      <c r="W18213"/>
    </row>
    <row r="18214" spans="23:23" x14ac:dyDescent="0.55000000000000004">
      <c r="W18214"/>
    </row>
    <row r="18215" spans="23:23" x14ac:dyDescent="0.55000000000000004">
      <c r="W18215"/>
    </row>
    <row r="18216" spans="23:23" x14ac:dyDescent="0.55000000000000004">
      <c r="W18216"/>
    </row>
    <row r="18217" spans="23:23" x14ac:dyDescent="0.55000000000000004">
      <c r="W18217"/>
    </row>
    <row r="18218" spans="23:23" x14ac:dyDescent="0.55000000000000004">
      <c r="W18218"/>
    </row>
    <row r="18219" spans="23:23" x14ac:dyDescent="0.55000000000000004">
      <c r="W18219"/>
    </row>
    <row r="18220" spans="23:23" x14ac:dyDescent="0.55000000000000004">
      <c r="W18220"/>
    </row>
    <row r="18221" spans="23:23" x14ac:dyDescent="0.55000000000000004">
      <c r="W18221"/>
    </row>
    <row r="18222" spans="23:23" x14ac:dyDescent="0.55000000000000004">
      <c r="W18222"/>
    </row>
    <row r="18223" spans="23:23" x14ac:dyDescent="0.55000000000000004">
      <c r="W18223"/>
    </row>
    <row r="18224" spans="23:23" x14ac:dyDescent="0.55000000000000004">
      <c r="W18224"/>
    </row>
    <row r="18225" spans="23:23" x14ac:dyDescent="0.55000000000000004">
      <c r="W18225"/>
    </row>
    <row r="18226" spans="23:23" x14ac:dyDescent="0.55000000000000004">
      <c r="W18226"/>
    </row>
    <row r="18227" spans="23:23" x14ac:dyDescent="0.55000000000000004">
      <c r="W18227"/>
    </row>
    <row r="18228" spans="23:23" x14ac:dyDescent="0.55000000000000004">
      <c r="W18228"/>
    </row>
    <row r="18229" spans="23:23" x14ac:dyDescent="0.55000000000000004">
      <c r="W18229"/>
    </row>
    <row r="18230" spans="23:23" x14ac:dyDescent="0.55000000000000004">
      <c r="W18230"/>
    </row>
    <row r="18231" spans="23:23" x14ac:dyDescent="0.55000000000000004">
      <c r="W18231"/>
    </row>
    <row r="18232" spans="23:23" x14ac:dyDescent="0.55000000000000004">
      <c r="W18232"/>
    </row>
    <row r="18233" spans="23:23" x14ac:dyDescent="0.55000000000000004">
      <c r="W18233"/>
    </row>
    <row r="18234" spans="23:23" x14ac:dyDescent="0.55000000000000004">
      <c r="W18234"/>
    </row>
    <row r="18235" spans="23:23" x14ac:dyDescent="0.55000000000000004">
      <c r="W18235"/>
    </row>
    <row r="18236" spans="23:23" x14ac:dyDescent="0.55000000000000004">
      <c r="W18236"/>
    </row>
    <row r="18237" spans="23:23" x14ac:dyDescent="0.55000000000000004">
      <c r="W18237"/>
    </row>
    <row r="18238" spans="23:23" x14ac:dyDescent="0.55000000000000004">
      <c r="W18238"/>
    </row>
    <row r="18239" spans="23:23" x14ac:dyDescent="0.55000000000000004">
      <c r="W18239"/>
    </row>
    <row r="18240" spans="23:23" x14ac:dyDescent="0.55000000000000004">
      <c r="W18240"/>
    </row>
    <row r="18241" spans="23:23" x14ac:dyDescent="0.55000000000000004">
      <c r="W18241"/>
    </row>
    <row r="18242" spans="23:23" x14ac:dyDescent="0.55000000000000004">
      <c r="W18242"/>
    </row>
    <row r="18243" spans="23:23" x14ac:dyDescent="0.55000000000000004">
      <c r="W18243"/>
    </row>
    <row r="18244" spans="23:23" x14ac:dyDescent="0.55000000000000004">
      <c r="W18244"/>
    </row>
    <row r="18245" spans="23:23" x14ac:dyDescent="0.55000000000000004">
      <c r="W18245"/>
    </row>
    <row r="18246" spans="23:23" x14ac:dyDescent="0.55000000000000004">
      <c r="W18246"/>
    </row>
    <row r="18247" spans="23:23" x14ac:dyDescent="0.55000000000000004">
      <c r="W18247"/>
    </row>
    <row r="18248" spans="23:23" x14ac:dyDescent="0.55000000000000004">
      <c r="W18248"/>
    </row>
    <row r="18249" spans="23:23" x14ac:dyDescent="0.55000000000000004">
      <c r="W18249"/>
    </row>
    <row r="18250" spans="23:23" x14ac:dyDescent="0.55000000000000004">
      <c r="W18250"/>
    </row>
    <row r="18251" spans="23:23" x14ac:dyDescent="0.55000000000000004">
      <c r="W18251"/>
    </row>
    <row r="18252" spans="23:23" x14ac:dyDescent="0.55000000000000004">
      <c r="W18252"/>
    </row>
    <row r="18253" spans="23:23" x14ac:dyDescent="0.55000000000000004">
      <c r="W18253"/>
    </row>
    <row r="18254" spans="23:23" x14ac:dyDescent="0.55000000000000004">
      <c r="W18254"/>
    </row>
    <row r="18255" spans="23:23" x14ac:dyDescent="0.55000000000000004">
      <c r="W18255"/>
    </row>
    <row r="18256" spans="23:23" x14ac:dyDescent="0.55000000000000004">
      <c r="W18256"/>
    </row>
    <row r="18257" spans="23:23" x14ac:dyDescent="0.55000000000000004">
      <c r="W18257"/>
    </row>
    <row r="18258" spans="23:23" x14ac:dyDescent="0.55000000000000004">
      <c r="W18258"/>
    </row>
    <row r="18259" spans="23:23" x14ac:dyDescent="0.55000000000000004">
      <c r="W18259"/>
    </row>
    <row r="18260" spans="23:23" x14ac:dyDescent="0.55000000000000004">
      <c r="W18260"/>
    </row>
    <row r="18261" spans="23:23" x14ac:dyDescent="0.55000000000000004">
      <c r="W18261"/>
    </row>
    <row r="18262" spans="23:23" x14ac:dyDescent="0.55000000000000004">
      <c r="W18262"/>
    </row>
    <row r="18263" spans="23:23" x14ac:dyDescent="0.55000000000000004">
      <c r="W18263"/>
    </row>
    <row r="18264" spans="23:23" x14ac:dyDescent="0.55000000000000004">
      <c r="W18264"/>
    </row>
    <row r="18265" spans="23:23" x14ac:dyDescent="0.55000000000000004">
      <c r="W18265"/>
    </row>
    <row r="18266" spans="23:23" x14ac:dyDescent="0.55000000000000004">
      <c r="W18266"/>
    </row>
    <row r="18267" spans="23:23" x14ac:dyDescent="0.55000000000000004">
      <c r="W18267"/>
    </row>
    <row r="18268" spans="23:23" x14ac:dyDescent="0.55000000000000004">
      <c r="W18268"/>
    </row>
    <row r="18269" spans="23:23" x14ac:dyDescent="0.55000000000000004">
      <c r="W18269"/>
    </row>
    <row r="18270" spans="23:23" x14ac:dyDescent="0.55000000000000004">
      <c r="W18270"/>
    </row>
    <row r="18271" spans="23:23" x14ac:dyDescent="0.55000000000000004">
      <c r="W18271"/>
    </row>
    <row r="18272" spans="23:23" x14ac:dyDescent="0.55000000000000004">
      <c r="W18272"/>
    </row>
    <row r="18273" spans="23:23" x14ac:dyDescent="0.55000000000000004">
      <c r="W18273"/>
    </row>
    <row r="18274" spans="23:23" x14ac:dyDescent="0.55000000000000004">
      <c r="W18274"/>
    </row>
    <row r="18275" spans="23:23" x14ac:dyDescent="0.55000000000000004">
      <c r="W18275"/>
    </row>
    <row r="18276" spans="23:23" x14ac:dyDescent="0.55000000000000004">
      <c r="W18276"/>
    </row>
    <row r="18277" spans="23:23" x14ac:dyDescent="0.55000000000000004">
      <c r="W18277"/>
    </row>
    <row r="18278" spans="23:23" x14ac:dyDescent="0.55000000000000004">
      <c r="W18278"/>
    </row>
    <row r="18279" spans="23:23" x14ac:dyDescent="0.55000000000000004">
      <c r="W18279"/>
    </row>
    <row r="18280" spans="23:23" x14ac:dyDescent="0.55000000000000004">
      <c r="W18280"/>
    </row>
    <row r="18281" spans="23:23" x14ac:dyDescent="0.55000000000000004">
      <c r="W18281"/>
    </row>
    <row r="18282" spans="23:23" x14ac:dyDescent="0.55000000000000004">
      <c r="W18282"/>
    </row>
    <row r="18283" spans="23:23" x14ac:dyDescent="0.55000000000000004">
      <c r="W18283"/>
    </row>
    <row r="18284" spans="23:23" x14ac:dyDescent="0.55000000000000004">
      <c r="W18284"/>
    </row>
    <row r="18285" spans="23:23" x14ac:dyDescent="0.55000000000000004">
      <c r="W18285"/>
    </row>
    <row r="18286" spans="23:23" x14ac:dyDescent="0.55000000000000004">
      <c r="W18286"/>
    </row>
    <row r="18287" spans="23:23" x14ac:dyDescent="0.55000000000000004">
      <c r="W18287"/>
    </row>
    <row r="18288" spans="23:23" x14ac:dyDescent="0.55000000000000004">
      <c r="W18288"/>
    </row>
    <row r="18289" spans="23:23" x14ac:dyDescent="0.55000000000000004">
      <c r="W18289"/>
    </row>
    <row r="18290" spans="23:23" x14ac:dyDescent="0.55000000000000004">
      <c r="W18290"/>
    </row>
    <row r="18291" spans="23:23" x14ac:dyDescent="0.55000000000000004">
      <c r="W18291"/>
    </row>
    <row r="18292" spans="23:23" x14ac:dyDescent="0.55000000000000004">
      <c r="W18292"/>
    </row>
    <row r="18293" spans="23:23" x14ac:dyDescent="0.55000000000000004">
      <c r="W18293"/>
    </row>
    <row r="18294" spans="23:23" x14ac:dyDescent="0.55000000000000004">
      <c r="W18294"/>
    </row>
    <row r="18295" spans="23:23" x14ac:dyDescent="0.55000000000000004">
      <c r="W18295"/>
    </row>
    <row r="18296" spans="23:23" x14ac:dyDescent="0.55000000000000004">
      <c r="W18296"/>
    </row>
    <row r="18297" spans="23:23" x14ac:dyDescent="0.55000000000000004">
      <c r="W18297"/>
    </row>
    <row r="18298" spans="23:23" x14ac:dyDescent="0.55000000000000004">
      <c r="W18298"/>
    </row>
    <row r="18299" spans="23:23" x14ac:dyDescent="0.55000000000000004">
      <c r="W18299"/>
    </row>
    <row r="18300" spans="23:23" x14ac:dyDescent="0.55000000000000004">
      <c r="W18300"/>
    </row>
    <row r="18301" spans="23:23" x14ac:dyDescent="0.55000000000000004">
      <c r="W18301"/>
    </row>
    <row r="18302" spans="23:23" x14ac:dyDescent="0.55000000000000004">
      <c r="W18302"/>
    </row>
    <row r="18303" spans="23:23" x14ac:dyDescent="0.55000000000000004">
      <c r="W18303"/>
    </row>
    <row r="18304" spans="23:23" x14ac:dyDescent="0.55000000000000004">
      <c r="W18304"/>
    </row>
    <row r="18305" spans="23:23" x14ac:dyDescent="0.55000000000000004">
      <c r="W18305"/>
    </row>
    <row r="18306" spans="23:23" x14ac:dyDescent="0.55000000000000004">
      <c r="W18306"/>
    </row>
    <row r="18307" spans="23:23" x14ac:dyDescent="0.55000000000000004">
      <c r="W18307"/>
    </row>
    <row r="18308" spans="23:23" x14ac:dyDescent="0.55000000000000004">
      <c r="W18308"/>
    </row>
    <row r="18309" spans="23:23" x14ac:dyDescent="0.55000000000000004">
      <c r="W18309"/>
    </row>
    <row r="18310" spans="23:23" x14ac:dyDescent="0.55000000000000004">
      <c r="W18310"/>
    </row>
    <row r="18311" spans="23:23" x14ac:dyDescent="0.55000000000000004">
      <c r="W18311"/>
    </row>
    <row r="18312" spans="23:23" x14ac:dyDescent="0.55000000000000004">
      <c r="W18312"/>
    </row>
    <row r="18313" spans="23:23" x14ac:dyDescent="0.55000000000000004">
      <c r="W18313"/>
    </row>
    <row r="18314" spans="23:23" x14ac:dyDescent="0.55000000000000004">
      <c r="W18314"/>
    </row>
    <row r="18315" spans="23:23" x14ac:dyDescent="0.55000000000000004">
      <c r="W18315"/>
    </row>
    <row r="18316" spans="23:23" x14ac:dyDescent="0.55000000000000004">
      <c r="W18316"/>
    </row>
    <row r="18317" spans="23:23" x14ac:dyDescent="0.55000000000000004">
      <c r="W18317"/>
    </row>
    <row r="18318" spans="23:23" x14ac:dyDescent="0.55000000000000004">
      <c r="W18318"/>
    </row>
    <row r="18319" spans="23:23" x14ac:dyDescent="0.55000000000000004">
      <c r="W18319"/>
    </row>
    <row r="18320" spans="23:23" x14ac:dyDescent="0.55000000000000004">
      <c r="W18320"/>
    </row>
    <row r="18321" spans="23:23" x14ac:dyDescent="0.55000000000000004">
      <c r="W18321"/>
    </row>
    <row r="18322" spans="23:23" x14ac:dyDescent="0.55000000000000004">
      <c r="W18322"/>
    </row>
    <row r="18323" spans="23:23" x14ac:dyDescent="0.55000000000000004">
      <c r="W18323"/>
    </row>
    <row r="18324" spans="23:23" x14ac:dyDescent="0.55000000000000004">
      <c r="W18324"/>
    </row>
    <row r="18325" spans="23:23" x14ac:dyDescent="0.55000000000000004">
      <c r="W18325"/>
    </row>
    <row r="18326" spans="23:23" x14ac:dyDescent="0.55000000000000004">
      <c r="W18326"/>
    </row>
    <row r="18327" spans="23:23" x14ac:dyDescent="0.55000000000000004">
      <c r="W18327"/>
    </row>
    <row r="18328" spans="23:23" x14ac:dyDescent="0.55000000000000004">
      <c r="W18328"/>
    </row>
    <row r="18329" spans="23:23" x14ac:dyDescent="0.55000000000000004">
      <c r="W18329"/>
    </row>
    <row r="18330" spans="23:23" x14ac:dyDescent="0.55000000000000004">
      <c r="W18330"/>
    </row>
    <row r="18331" spans="23:23" x14ac:dyDescent="0.55000000000000004">
      <c r="W18331"/>
    </row>
    <row r="18332" spans="23:23" x14ac:dyDescent="0.55000000000000004">
      <c r="W18332"/>
    </row>
    <row r="18333" spans="23:23" x14ac:dyDescent="0.55000000000000004">
      <c r="W18333"/>
    </row>
    <row r="18334" spans="23:23" x14ac:dyDescent="0.55000000000000004">
      <c r="W18334"/>
    </row>
    <row r="18335" spans="23:23" x14ac:dyDescent="0.55000000000000004">
      <c r="W18335"/>
    </row>
    <row r="18336" spans="23:23" x14ac:dyDescent="0.55000000000000004">
      <c r="W18336"/>
    </row>
    <row r="18337" spans="23:23" x14ac:dyDescent="0.55000000000000004">
      <c r="W18337"/>
    </row>
    <row r="18338" spans="23:23" x14ac:dyDescent="0.55000000000000004">
      <c r="W18338"/>
    </row>
    <row r="18339" spans="23:23" x14ac:dyDescent="0.55000000000000004">
      <c r="W18339"/>
    </row>
    <row r="18340" spans="23:23" x14ac:dyDescent="0.55000000000000004">
      <c r="W18340"/>
    </row>
    <row r="18341" spans="23:23" x14ac:dyDescent="0.55000000000000004">
      <c r="W18341"/>
    </row>
    <row r="18342" spans="23:23" x14ac:dyDescent="0.55000000000000004">
      <c r="W18342"/>
    </row>
    <row r="18343" spans="23:23" x14ac:dyDescent="0.55000000000000004">
      <c r="W18343"/>
    </row>
    <row r="18344" spans="23:23" x14ac:dyDescent="0.55000000000000004">
      <c r="W18344"/>
    </row>
    <row r="18345" spans="23:23" x14ac:dyDescent="0.55000000000000004">
      <c r="W18345"/>
    </row>
    <row r="18346" spans="23:23" x14ac:dyDescent="0.55000000000000004">
      <c r="W18346"/>
    </row>
    <row r="18347" spans="23:23" x14ac:dyDescent="0.55000000000000004">
      <c r="W18347"/>
    </row>
    <row r="18348" spans="23:23" x14ac:dyDescent="0.55000000000000004">
      <c r="W18348"/>
    </row>
    <row r="18349" spans="23:23" x14ac:dyDescent="0.55000000000000004">
      <c r="W18349"/>
    </row>
    <row r="18350" spans="23:23" x14ac:dyDescent="0.55000000000000004">
      <c r="W18350"/>
    </row>
    <row r="18351" spans="23:23" x14ac:dyDescent="0.55000000000000004">
      <c r="W18351"/>
    </row>
    <row r="18352" spans="23:23" x14ac:dyDescent="0.55000000000000004">
      <c r="W18352"/>
    </row>
    <row r="18353" spans="23:23" x14ac:dyDescent="0.55000000000000004">
      <c r="W18353"/>
    </row>
    <row r="18354" spans="23:23" x14ac:dyDescent="0.55000000000000004">
      <c r="W18354"/>
    </row>
    <row r="18355" spans="23:23" x14ac:dyDescent="0.55000000000000004">
      <c r="W18355"/>
    </row>
    <row r="18356" spans="23:23" x14ac:dyDescent="0.55000000000000004">
      <c r="W18356"/>
    </row>
    <row r="18357" spans="23:23" x14ac:dyDescent="0.55000000000000004">
      <c r="W18357"/>
    </row>
    <row r="18358" spans="23:23" x14ac:dyDescent="0.55000000000000004">
      <c r="W18358"/>
    </row>
    <row r="18359" spans="23:23" x14ac:dyDescent="0.55000000000000004">
      <c r="W18359"/>
    </row>
    <row r="18360" spans="23:23" x14ac:dyDescent="0.55000000000000004">
      <c r="W18360"/>
    </row>
    <row r="18361" spans="23:23" x14ac:dyDescent="0.55000000000000004">
      <c r="W18361"/>
    </row>
    <row r="18362" spans="23:23" x14ac:dyDescent="0.55000000000000004">
      <c r="W18362"/>
    </row>
    <row r="18363" spans="23:23" x14ac:dyDescent="0.55000000000000004">
      <c r="W18363"/>
    </row>
    <row r="18364" spans="23:23" x14ac:dyDescent="0.55000000000000004">
      <c r="W18364"/>
    </row>
    <row r="18365" spans="23:23" x14ac:dyDescent="0.55000000000000004">
      <c r="W18365"/>
    </row>
    <row r="18366" spans="23:23" x14ac:dyDescent="0.55000000000000004">
      <c r="W18366"/>
    </row>
    <row r="18367" spans="23:23" x14ac:dyDescent="0.55000000000000004">
      <c r="W18367"/>
    </row>
    <row r="18368" spans="23:23" x14ac:dyDescent="0.55000000000000004">
      <c r="W18368"/>
    </row>
    <row r="18369" spans="23:23" x14ac:dyDescent="0.55000000000000004">
      <c r="W18369"/>
    </row>
    <row r="18370" spans="23:23" x14ac:dyDescent="0.55000000000000004">
      <c r="W18370"/>
    </row>
    <row r="18371" spans="23:23" x14ac:dyDescent="0.55000000000000004">
      <c r="W18371"/>
    </row>
    <row r="18372" spans="23:23" x14ac:dyDescent="0.55000000000000004">
      <c r="W18372"/>
    </row>
    <row r="18373" spans="23:23" x14ac:dyDescent="0.55000000000000004">
      <c r="W18373"/>
    </row>
    <row r="18374" spans="23:23" x14ac:dyDescent="0.55000000000000004">
      <c r="W18374"/>
    </row>
    <row r="18375" spans="23:23" x14ac:dyDescent="0.55000000000000004">
      <c r="W18375"/>
    </row>
    <row r="18376" spans="23:23" x14ac:dyDescent="0.55000000000000004">
      <c r="W18376"/>
    </row>
    <row r="18377" spans="23:23" x14ac:dyDescent="0.55000000000000004">
      <c r="W18377"/>
    </row>
    <row r="18378" spans="23:23" x14ac:dyDescent="0.55000000000000004">
      <c r="W18378"/>
    </row>
    <row r="18379" spans="23:23" x14ac:dyDescent="0.55000000000000004">
      <c r="W18379"/>
    </row>
    <row r="18380" spans="23:23" x14ac:dyDescent="0.55000000000000004">
      <c r="W18380"/>
    </row>
    <row r="18381" spans="23:23" x14ac:dyDescent="0.55000000000000004">
      <c r="W18381"/>
    </row>
    <row r="18382" spans="23:23" x14ac:dyDescent="0.55000000000000004">
      <c r="W18382"/>
    </row>
    <row r="18383" spans="23:23" x14ac:dyDescent="0.55000000000000004">
      <c r="W18383"/>
    </row>
    <row r="18384" spans="23:23" x14ac:dyDescent="0.55000000000000004">
      <c r="W18384"/>
    </row>
    <row r="18385" spans="23:23" x14ac:dyDescent="0.55000000000000004">
      <c r="W18385"/>
    </row>
    <row r="18386" spans="23:23" x14ac:dyDescent="0.55000000000000004">
      <c r="W18386"/>
    </row>
    <row r="18387" spans="23:23" x14ac:dyDescent="0.55000000000000004">
      <c r="W18387"/>
    </row>
    <row r="18388" spans="23:23" x14ac:dyDescent="0.55000000000000004">
      <c r="W18388"/>
    </row>
    <row r="18389" spans="23:23" x14ac:dyDescent="0.55000000000000004">
      <c r="W18389"/>
    </row>
    <row r="18390" spans="23:23" x14ac:dyDescent="0.55000000000000004">
      <c r="W18390"/>
    </row>
    <row r="18391" spans="23:23" x14ac:dyDescent="0.55000000000000004">
      <c r="W18391"/>
    </row>
    <row r="18392" spans="23:23" x14ac:dyDescent="0.55000000000000004">
      <c r="W18392"/>
    </row>
    <row r="18393" spans="23:23" x14ac:dyDescent="0.55000000000000004">
      <c r="W18393"/>
    </row>
    <row r="18394" spans="23:23" x14ac:dyDescent="0.55000000000000004">
      <c r="W18394"/>
    </row>
    <row r="18395" spans="23:23" x14ac:dyDescent="0.55000000000000004">
      <c r="W18395"/>
    </row>
    <row r="18396" spans="23:23" x14ac:dyDescent="0.55000000000000004">
      <c r="W18396"/>
    </row>
    <row r="18397" spans="23:23" x14ac:dyDescent="0.55000000000000004">
      <c r="W18397"/>
    </row>
    <row r="18398" spans="23:23" x14ac:dyDescent="0.55000000000000004">
      <c r="W18398"/>
    </row>
    <row r="18399" spans="23:23" x14ac:dyDescent="0.55000000000000004">
      <c r="W18399"/>
    </row>
    <row r="18400" spans="23:23" x14ac:dyDescent="0.55000000000000004">
      <c r="W18400"/>
    </row>
    <row r="18401" spans="23:23" x14ac:dyDescent="0.55000000000000004">
      <c r="W18401"/>
    </row>
    <row r="18402" spans="23:23" x14ac:dyDescent="0.55000000000000004">
      <c r="W18402"/>
    </row>
    <row r="18403" spans="23:23" x14ac:dyDescent="0.55000000000000004">
      <c r="W18403"/>
    </row>
    <row r="18404" spans="23:23" x14ac:dyDescent="0.55000000000000004">
      <c r="W18404"/>
    </row>
    <row r="18405" spans="23:23" x14ac:dyDescent="0.55000000000000004">
      <c r="W18405"/>
    </row>
    <row r="18406" spans="23:23" x14ac:dyDescent="0.55000000000000004">
      <c r="W18406"/>
    </row>
    <row r="18407" spans="23:23" x14ac:dyDescent="0.55000000000000004">
      <c r="W18407"/>
    </row>
    <row r="18408" spans="23:23" x14ac:dyDescent="0.55000000000000004">
      <c r="W18408"/>
    </row>
    <row r="18409" spans="23:23" x14ac:dyDescent="0.55000000000000004">
      <c r="W18409"/>
    </row>
    <row r="18410" spans="23:23" x14ac:dyDescent="0.55000000000000004">
      <c r="W18410"/>
    </row>
    <row r="18411" spans="23:23" x14ac:dyDescent="0.55000000000000004">
      <c r="W18411"/>
    </row>
    <row r="18412" spans="23:23" x14ac:dyDescent="0.55000000000000004">
      <c r="W18412"/>
    </row>
    <row r="18413" spans="23:23" x14ac:dyDescent="0.55000000000000004">
      <c r="W18413"/>
    </row>
    <row r="18414" spans="23:23" x14ac:dyDescent="0.55000000000000004">
      <c r="W18414"/>
    </row>
    <row r="18415" spans="23:23" x14ac:dyDescent="0.55000000000000004">
      <c r="W18415"/>
    </row>
    <row r="18416" spans="23:23" x14ac:dyDescent="0.55000000000000004">
      <c r="W18416"/>
    </row>
    <row r="18417" spans="23:23" x14ac:dyDescent="0.55000000000000004">
      <c r="W18417"/>
    </row>
    <row r="18418" spans="23:23" x14ac:dyDescent="0.55000000000000004">
      <c r="W18418"/>
    </row>
    <row r="18419" spans="23:23" x14ac:dyDescent="0.55000000000000004">
      <c r="W18419"/>
    </row>
    <row r="18420" spans="23:23" x14ac:dyDescent="0.55000000000000004">
      <c r="W18420"/>
    </row>
    <row r="18421" spans="23:23" x14ac:dyDescent="0.55000000000000004">
      <c r="W18421"/>
    </row>
    <row r="18422" spans="23:23" x14ac:dyDescent="0.55000000000000004">
      <c r="W18422"/>
    </row>
    <row r="18423" spans="23:23" x14ac:dyDescent="0.55000000000000004">
      <c r="W18423"/>
    </row>
    <row r="18424" spans="23:23" x14ac:dyDescent="0.55000000000000004">
      <c r="W18424"/>
    </row>
    <row r="18425" spans="23:23" x14ac:dyDescent="0.55000000000000004">
      <c r="W18425"/>
    </row>
    <row r="18426" spans="23:23" x14ac:dyDescent="0.55000000000000004">
      <c r="W18426"/>
    </row>
    <row r="18427" spans="23:23" x14ac:dyDescent="0.55000000000000004">
      <c r="W18427"/>
    </row>
    <row r="18428" spans="23:23" x14ac:dyDescent="0.55000000000000004">
      <c r="W18428"/>
    </row>
    <row r="18429" spans="23:23" x14ac:dyDescent="0.55000000000000004">
      <c r="W18429"/>
    </row>
    <row r="18430" spans="23:23" x14ac:dyDescent="0.55000000000000004">
      <c r="W18430"/>
    </row>
    <row r="18431" spans="23:23" x14ac:dyDescent="0.55000000000000004">
      <c r="W18431"/>
    </row>
    <row r="18432" spans="23:23" x14ac:dyDescent="0.55000000000000004">
      <c r="W18432"/>
    </row>
    <row r="18433" spans="23:23" x14ac:dyDescent="0.55000000000000004">
      <c r="W18433"/>
    </row>
    <row r="18434" spans="23:23" x14ac:dyDescent="0.55000000000000004">
      <c r="W18434"/>
    </row>
    <row r="18435" spans="23:23" x14ac:dyDescent="0.55000000000000004">
      <c r="W18435"/>
    </row>
    <row r="18436" spans="23:23" x14ac:dyDescent="0.55000000000000004">
      <c r="W18436"/>
    </row>
    <row r="18437" spans="23:23" x14ac:dyDescent="0.55000000000000004">
      <c r="W18437"/>
    </row>
    <row r="18438" spans="23:23" x14ac:dyDescent="0.55000000000000004">
      <c r="W18438"/>
    </row>
    <row r="18439" spans="23:23" x14ac:dyDescent="0.55000000000000004">
      <c r="W18439"/>
    </row>
    <row r="18440" spans="23:23" x14ac:dyDescent="0.55000000000000004">
      <c r="W18440"/>
    </row>
    <row r="18441" spans="23:23" x14ac:dyDescent="0.55000000000000004">
      <c r="W18441"/>
    </row>
    <row r="18442" spans="23:23" x14ac:dyDescent="0.55000000000000004">
      <c r="W18442"/>
    </row>
    <row r="18443" spans="23:23" x14ac:dyDescent="0.55000000000000004">
      <c r="W18443"/>
    </row>
    <row r="18444" spans="23:23" x14ac:dyDescent="0.55000000000000004">
      <c r="W18444"/>
    </row>
    <row r="18445" spans="23:23" x14ac:dyDescent="0.55000000000000004">
      <c r="W18445"/>
    </row>
    <row r="18446" spans="23:23" x14ac:dyDescent="0.55000000000000004">
      <c r="W18446"/>
    </row>
    <row r="18447" spans="23:23" x14ac:dyDescent="0.55000000000000004">
      <c r="W18447"/>
    </row>
    <row r="18448" spans="23:23" x14ac:dyDescent="0.55000000000000004">
      <c r="W18448"/>
    </row>
    <row r="18449" spans="23:23" x14ac:dyDescent="0.55000000000000004">
      <c r="W18449"/>
    </row>
    <row r="18450" spans="23:23" x14ac:dyDescent="0.55000000000000004">
      <c r="W18450"/>
    </row>
    <row r="18451" spans="23:23" x14ac:dyDescent="0.55000000000000004">
      <c r="W18451"/>
    </row>
    <row r="18452" spans="23:23" x14ac:dyDescent="0.55000000000000004">
      <c r="W18452"/>
    </row>
    <row r="18453" spans="23:23" x14ac:dyDescent="0.55000000000000004">
      <c r="W18453"/>
    </row>
    <row r="18454" spans="23:23" x14ac:dyDescent="0.55000000000000004">
      <c r="W18454"/>
    </row>
    <row r="18455" spans="23:23" x14ac:dyDescent="0.55000000000000004">
      <c r="W18455"/>
    </row>
    <row r="18456" spans="23:23" x14ac:dyDescent="0.55000000000000004">
      <c r="W18456"/>
    </row>
    <row r="18457" spans="23:23" x14ac:dyDescent="0.55000000000000004">
      <c r="W18457"/>
    </row>
    <row r="18458" spans="23:23" x14ac:dyDescent="0.55000000000000004">
      <c r="W18458"/>
    </row>
    <row r="18459" spans="23:23" x14ac:dyDescent="0.55000000000000004">
      <c r="W18459"/>
    </row>
    <row r="18460" spans="23:23" x14ac:dyDescent="0.55000000000000004">
      <c r="W18460"/>
    </row>
    <row r="18461" spans="23:23" x14ac:dyDescent="0.55000000000000004">
      <c r="W18461"/>
    </row>
    <row r="18462" spans="23:23" x14ac:dyDescent="0.55000000000000004">
      <c r="W18462"/>
    </row>
    <row r="18463" spans="23:23" x14ac:dyDescent="0.55000000000000004">
      <c r="W18463"/>
    </row>
    <row r="18464" spans="23:23" x14ac:dyDescent="0.55000000000000004">
      <c r="W18464"/>
    </row>
    <row r="18465" spans="23:23" x14ac:dyDescent="0.55000000000000004">
      <c r="W18465"/>
    </row>
    <row r="18466" spans="23:23" x14ac:dyDescent="0.55000000000000004">
      <c r="W18466"/>
    </row>
    <row r="18467" spans="23:23" x14ac:dyDescent="0.55000000000000004">
      <c r="W18467"/>
    </row>
    <row r="18468" spans="23:23" x14ac:dyDescent="0.55000000000000004">
      <c r="W18468"/>
    </row>
    <row r="18469" spans="23:23" x14ac:dyDescent="0.55000000000000004">
      <c r="W18469"/>
    </row>
    <row r="18470" spans="23:23" x14ac:dyDescent="0.55000000000000004">
      <c r="W18470"/>
    </row>
    <row r="18471" spans="23:23" x14ac:dyDescent="0.55000000000000004">
      <c r="W18471"/>
    </row>
    <row r="18472" spans="23:23" x14ac:dyDescent="0.55000000000000004">
      <c r="W18472"/>
    </row>
    <row r="18473" spans="23:23" x14ac:dyDescent="0.55000000000000004">
      <c r="W18473"/>
    </row>
    <row r="18474" spans="23:23" x14ac:dyDescent="0.55000000000000004">
      <c r="W18474"/>
    </row>
    <row r="18475" spans="23:23" x14ac:dyDescent="0.55000000000000004">
      <c r="W18475"/>
    </row>
    <row r="18476" spans="23:23" x14ac:dyDescent="0.55000000000000004">
      <c r="W18476"/>
    </row>
    <row r="18477" spans="23:23" x14ac:dyDescent="0.55000000000000004">
      <c r="W18477"/>
    </row>
    <row r="18478" spans="23:23" x14ac:dyDescent="0.55000000000000004">
      <c r="W18478"/>
    </row>
    <row r="18479" spans="23:23" x14ac:dyDescent="0.55000000000000004">
      <c r="W18479"/>
    </row>
    <row r="18480" spans="23:23" x14ac:dyDescent="0.55000000000000004">
      <c r="W18480"/>
    </row>
    <row r="18481" spans="23:23" x14ac:dyDescent="0.55000000000000004">
      <c r="W18481"/>
    </row>
    <row r="18482" spans="23:23" x14ac:dyDescent="0.55000000000000004">
      <c r="W18482"/>
    </row>
    <row r="18483" spans="23:23" x14ac:dyDescent="0.55000000000000004">
      <c r="W18483"/>
    </row>
    <row r="18484" spans="23:23" x14ac:dyDescent="0.55000000000000004">
      <c r="W18484"/>
    </row>
    <row r="18485" spans="23:23" x14ac:dyDescent="0.55000000000000004">
      <c r="W18485"/>
    </row>
    <row r="18486" spans="23:23" x14ac:dyDescent="0.55000000000000004">
      <c r="W18486"/>
    </row>
    <row r="18487" spans="23:23" x14ac:dyDescent="0.55000000000000004">
      <c r="W18487"/>
    </row>
    <row r="18488" spans="23:23" x14ac:dyDescent="0.55000000000000004">
      <c r="W18488"/>
    </row>
    <row r="18489" spans="23:23" x14ac:dyDescent="0.55000000000000004">
      <c r="W18489"/>
    </row>
    <row r="18490" spans="23:23" x14ac:dyDescent="0.55000000000000004">
      <c r="W18490"/>
    </row>
    <row r="18491" spans="23:23" x14ac:dyDescent="0.55000000000000004">
      <c r="W18491"/>
    </row>
    <row r="18492" spans="23:23" x14ac:dyDescent="0.55000000000000004">
      <c r="W18492"/>
    </row>
    <row r="18493" spans="23:23" x14ac:dyDescent="0.55000000000000004">
      <c r="W18493"/>
    </row>
    <row r="18494" spans="23:23" x14ac:dyDescent="0.55000000000000004">
      <c r="W18494"/>
    </row>
    <row r="18495" spans="23:23" x14ac:dyDescent="0.55000000000000004">
      <c r="W18495"/>
    </row>
    <row r="18496" spans="23:23" x14ac:dyDescent="0.55000000000000004">
      <c r="W18496"/>
    </row>
    <row r="18497" spans="23:23" x14ac:dyDescent="0.55000000000000004">
      <c r="W18497"/>
    </row>
    <row r="18498" spans="23:23" x14ac:dyDescent="0.55000000000000004">
      <c r="W18498"/>
    </row>
    <row r="18499" spans="23:23" x14ac:dyDescent="0.55000000000000004">
      <c r="W18499"/>
    </row>
    <row r="18500" spans="23:23" x14ac:dyDescent="0.55000000000000004">
      <c r="W18500"/>
    </row>
    <row r="18501" spans="23:23" x14ac:dyDescent="0.55000000000000004">
      <c r="W18501"/>
    </row>
    <row r="18502" spans="23:23" x14ac:dyDescent="0.55000000000000004">
      <c r="W18502"/>
    </row>
    <row r="18503" spans="23:23" x14ac:dyDescent="0.55000000000000004">
      <c r="W18503"/>
    </row>
    <row r="18504" spans="23:23" x14ac:dyDescent="0.55000000000000004">
      <c r="W18504"/>
    </row>
    <row r="18505" spans="23:23" x14ac:dyDescent="0.55000000000000004">
      <c r="W18505"/>
    </row>
    <row r="18506" spans="23:23" x14ac:dyDescent="0.55000000000000004">
      <c r="W18506"/>
    </row>
    <row r="18507" spans="23:23" x14ac:dyDescent="0.55000000000000004">
      <c r="W18507"/>
    </row>
    <row r="18508" spans="23:23" x14ac:dyDescent="0.55000000000000004">
      <c r="W18508"/>
    </row>
    <row r="18509" spans="23:23" x14ac:dyDescent="0.55000000000000004">
      <c r="W18509"/>
    </row>
    <row r="18510" spans="23:23" x14ac:dyDescent="0.55000000000000004">
      <c r="W18510"/>
    </row>
    <row r="18511" spans="23:23" x14ac:dyDescent="0.55000000000000004">
      <c r="W18511"/>
    </row>
    <row r="18512" spans="23:23" x14ac:dyDescent="0.55000000000000004">
      <c r="W18512"/>
    </row>
    <row r="18513" spans="23:23" x14ac:dyDescent="0.55000000000000004">
      <c r="W18513"/>
    </row>
    <row r="18514" spans="23:23" x14ac:dyDescent="0.55000000000000004">
      <c r="W18514"/>
    </row>
    <row r="18515" spans="23:23" x14ac:dyDescent="0.55000000000000004">
      <c r="W18515"/>
    </row>
    <row r="18516" spans="23:23" x14ac:dyDescent="0.55000000000000004">
      <c r="W18516"/>
    </row>
    <row r="18517" spans="23:23" x14ac:dyDescent="0.55000000000000004">
      <c r="W18517"/>
    </row>
    <row r="18518" spans="23:23" x14ac:dyDescent="0.55000000000000004">
      <c r="W18518"/>
    </row>
    <row r="18519" spans="23:23" x14ac:dyDescent="0.55000000000000004">
      <c r="W18519"/>
    </row>
    <row r="18520" spans="23:23" x14ac:dyDescent="0.55000000000000004">
      <c r="W18520"/>
    </row>
    <row r="18521" spans="23:23" x14ac:dyDescent="0.55000000000000004">
      <c r="W18521"/>
    </row>
    <row r="18522" spans="23:23" x14ac:dyDescent="0.55000000000000004">
      <c r="W18522"/>
    </row>
    <row r="18523" spans="23:23" x14ac:dyDescent="0.55000000000000004">
      <c r="W18523"/>
    </row>
    <row r="18524" spans="23:23" x14ac:dyDescent="0.55000000000000004">
      <c r="W18524"/>
    </row>
    <row r="18525" spans="23:23" x14ac:dyDescent="0.55000000000000004">
      <c r="W18525"/>
    </row>
    <row r="18526" spans="23:23" x14ac:dyDescent="0.55000000000000004">
      <c r="W18526"/>
    </row>
    <row r="18527" spans="23:23" x14ac:dyDescent="0.55000000000000004">
      <c r="W18527"/>
    </row>
    <row r="18528" spans="23:23" x14ac:dyDescent="0.55000000000000004">
      <c r="W18528"/>
    </row>
    <row r="18529" spans="23:23" x14ac:dyDescent="0.55000000000000004">
      <c r="W18529"/>
    </row>
    <row r="18530" spans="23:23" x14ac:dyDescent="0.55000000000000004">
      <c r="W18530"/>
    </row>
    <row r="18531" spans="23:23" x14ac:dyDescent="0.55000000000000004">
      <c r="W18531"/>
    </row>
    <row r="18532" spans="23:23" x14ac:dyDescent="0.55000000000000004">
      <c r="W18532"/>
    </row>
    <row r="18533" spans="23:23" x14ac:dyDescent="0.55000000000000004">
      <c r="W18533"/>
    </row>
    <row r="18534" spans="23:23" x14ac:dyDescent="0.55000000000000004">
      <c r="W18534"/>
    </row>
    <row r="18535" spans="23:23" x14ac:dyDescent="0.55000000000000004">
      <c r="W18535"/>
    </row>
    <row r="18536" spans="23:23" x14ac:dyDescent="0.55000000000000004">
      <c r="W18536"/>
    </row>
    <row r="18537" spans="23:23" x14ac:dyDescent="0.55000000000000004">
      <c r="W18537"/>
    </row>
    <row r="18538" spans="23:23" x14ac:dyDescent="0.55000000000000004">
      <c r="W18538"/>
    </row>
    <row r="18539" spans="23:23" x14ac:dyDescent="0.55000000000000004">
      <c r="W18539"/>
    </row>
    <row r="18540" spans="23:23" x14ac:dyDescent="0.55000000000000004">
      <c r="W18540"/>
    </row>
    <row r="18541" spans="23:23" x14ac:dyDescent="0.55000000000000004">
      <c r="W18541"/>
    </row>
    <row r="18542" spans="23:23" x14ac:dyDescent="0.55000000000000004">
      <c r="W18542"/>
    </row>
    <row r="18543" spans="23:23" x14ac:dyDescent="0.55000000000000004">
      <c r="W18543"/>
    </row>
    <row r="18544" spans="23:23" x14ac:dyDescent="0.55000000000000004">
      <c r="W18544"/>
    </row>
    <row r="18545" spans="23:23" x14ac:dyDescent="0.55000000000000004">
      <c r="W18545"/>
    </row>
    <row r="18546" spans="23:23" x14ac:dyDescent="0.55000000000000004">
      <c r="W18546"/>
    </row>
    <row r="18547" spans="23:23" x14ac:dyDescent="0.55000000000000004">
      <c r="W18547"/>
    </row>
    <row r="18548" spans="23:23" x14ac:dyDescent="0.55000000000000004">
      <c r="W18548"/>
    </row>
    <row r="18549" spans="23:23" x14ac:dyDescent="0.55000000000000004">
      <c r="W18549"/>
    </row>
    <row r="18550" spans="23:23" x14ac:dyDescent="0.55000000000000004">
      <c r="W18550"/>
    </row>
    <row r="18551" spans="23:23" x14ac:dyDescent="0.55000000000000004">
      <c r="W18551"/>
    </row>
    <row r="18552" spans="23:23" x14ac:dyDescent="0.55000000000000004">
      <c r="W18552"/>
    </row>
    <row r="18553" spans="23:23" x14ac:dyDescent="0.55000000000000004">
      <c r="W18553"/>
    </row>
    <row r="18554" spans="23:23" x14ac:dyDescent="0.55000000000000004">
      <c r="W18554"/>
    </row>
    <row r="18555" spans="23:23" x14ac:dyDescent="0.55000000000000004">
      <c r="W18555"/>
    </row>
    <row r="18556" spans="23:23" x14ac:dyDescent="0.55000000000000004">
      <c r="W18556"/>
    </row>
    <row r="18557" spans="23:23" x14ac:dyDescent="0.55000000000000004">
      <c r="W18557"/>
    </row>
    <row r="18558" spans="23:23" x14ac:dyDescent="0.55000000000000004">
      <c r="W18558"/>
    </row>
    <row r="18559" spans="23:23" x14ac:dyDescent="0.55000000000000004">
      <c r="W18559"/>
    </row>
    <row r="18560" spans="23:23" x14ac:dyDescent="0.55000000000000004">
      <c r="W18560"/>
    </row>
    <row r="18561" spans="23:23" x14ac:dyDescent="0.55000000000000004">
      <c r="W18561"/>
    </row>
    <row r="18562" spans="23:23" x14ac:dyDescent="0.55000000000000004">
      <c r="W18562"/>
    </row>
    <row r="18563" spans="23:23" x14ac:dyDescent="0.55000000000000004">
      <c r="W18563"/>
    </row>
    <row r="18564" spans="23:23" x14ac:dyDescent="0.55000000000000004">
      <c r="W18564"/>
    </row>
    <row r="18565" spans="23:23" x14ac:dyDescent="0.55000000000000004">
      <c r="W18565"/>
    </row>
    <row r="18566" spans="23:23" x14ac:dyDescent="0.55000000000000004">
      <c r="W18566"/>
    </row>
    <row r="18567" spans="23:23" x14ac:dyDescent="0.55000000000000004">
      <c r="W18567"/>
    </row>
    <row r="18568" spans="23:23" x14ac:dyDescent="0.55000000000000004">
      <c r="W18568"/>
    </row>
    <row r="18569" spans="23:23" x14ac:dyDescent="0.55000000000000004">
      <c r="W18569"/>
    </row>
    <row r="18570" spans="23:23" x14ac:dyDescent="0.55000000000000004">
      <c r="W18570"/>
    </row>
    <row r="18571" spans="23:23" x14ac:dyDescent="0.55000000000000004">
      <c r="W18571"/>
    </row>
    <row r="18572" spans="23:23" x14ac:dyDescent="0.55000000000000004">
      <c r="W18572"/>
    </row>
    <row r="18573" spans="23:23" x14ac:dyDescent="0.55000000000000004">
      <c r="W18573"/>
    </row>
    <row r="18574" spans="23:23" x14ac:dyDescent="0.55000000000000004">
      <c r="W18574"/>
    </row>
    <row r="18575" spans="23:23" x14ac:dyDescent="0.55000000000000004">
      <c r="W18575"/>
    </row>
    <row r="18576" spans="23:23" x14ac:dyDescent="0.55000000000000004">
      <c r="W18576"/>
    </row>
    <row r="18577" spans="23:23" x14ac:dyDescent="0.55000000000000004">
      <c r="W18577"/>
    </row>
    <row r="18578" spans="23:23" x14ac:dyDescent="0.55000000000000004">
      <c r="W18578"/>
    </row>
    <row r="18579" spans="23:23" x14ac:dyDescent="0.55000000000000004">
      <c r="W18579"/>
    </row>
    <row r="18580" spans="23:23" x14ac:dyDescent="0.55000000000000004">
      <c r="W18580"/>
    </row>
    <row r="18581" spans="23:23" x14ac:dyDescent="0.55000000000000004">
      <c r="W18581"/>
    </row>
    <row r="18582" spans="23:23" x14ac:dyDescent="0.55000000000000004">
      <c r="W18582"/>
    </row>
    <row r="18583" spans="23:23" x14ac:dyDescent="0.55000000000000004">
      <c r="W18583"/>
    </row>
    <row r="18584" spans="23:23" x14ac:dyDescent="0.55000000000000004">
      <c r="W18584"/>
    </row>
    <row r="18585" spans="23:23" x14ac:dyDescent="0.55000000000000004">
      <c r="W18585"/>
    </row>
    <row r="18586" spans="23:23" x14ac:dyDescent="0.55000000000000004">
      <c r="W18586"/>
    </row>
    <row r="18587" spans="23:23" x14ac:dyDescent="0.55000000000000004">
      <c r="W18587"/>
    </row>
    <row r="18588" spans="23:23" x14ac:dyDescent="0.55000000000000004">
      <c r="W18588"/>
    </row>
    <row r="18589" spans="23:23" x14ac:dyDescent="0.55000000000000004">
      <c r="W18589"/>
    </row>
    <row r="18590" spans="23:23" x14ac:dyDescent="0.55000000000000004">
      <c r="W18590"/>
    </row>
    <row r="18591" spans="23:23" x14ac:dyDescent="0.55000000000000004">
      <c r="W18591"/>
    </row>
    <row r="18592" spans="23:23" x14ac:dyDescent="0.55000000000000004">
      <c r="W18592"/>
    </row>
    <row r="18593" spans="23:23" x14ac:dyDescent="0.55000000000000004">
      <c r="W18593"/>
    </row>
    <row r="18594" spans="23:23" x14ac:dyDescent="0.55000000000000004">
      <c r="W18594"/>
    </row>
    <row r="18595" spans="23:23" x14ac:dyDescent="0.55000000000000004">
      <c r="W18595"/>
    </row>
    <row r="18596" spans="23:23" x14ac:dyDescent="0.55000000000000004">
      <c r="W18596"/>
    </row>
    <row r="18597" spans="23:23" x14ac:dyDescent="0.55000000000000004">
      <c r="W18597"/>
    </row>
    <row r="18598" spans="23:23" x14ac:dyDescent="0.55000000000000004">
      <c r="W18598"/>
    </row>
    <row r="18599" spans="23:23" x14ac:dyDescent="0.55000000000000004">
      <c r="W18599"/>
    </row>
    <row r="18600" spans="23:23" x14ac:dyDescent="0.55000000000000004">
      <c r="W18600"/>
    </row>
    <row r="18601" spans="23:23" x14ac:dyDescent="0.55000000000000004">
      <c r="W18601"/>
    </row>
    <row r="18602" spans="23:23" x14ac:dyDescent="0.55000000000000004">
      <c r="W18602"/>
    </row>
    <row r="18603" spans="23:23" x14ac:dyDescent="0.55000000000000004">
      <c r="W18603"/>
    </row>
    <row r="18604" spans="23:23" x14ac:dyDescent="0.55000000000000004">
      <c r="W18604"/>
    </row>
    <row r="18605" spans="23:23" x14ac:dyDescent="0.55000000000000004">
      <c r="W18605"/>
    </row>
    <row r="18606" spans="23:23" x14ac:dyDescent="0.55000000000000004">
      <c r="W18606"/>
    </row>
    <row r="18607" spans="23:23" x14ac:dyDescent="0.55000000000000004">
      <c r="W18607"/>
    </row>
    <row r="18608" spans="23:23" x14ac:dyDescent="0.55000000000000004">
      <c r="W18608"/>
    </row>
    <row r="18609" spans="23:23" x14ac:dyDescent="0.55000000000000004">
      <c r="W18609"/>
    </row>
    <row r="18610" spans="23:23" x14ac:dyDescent="0.55000000000000004">
      <c r="W18610"/>
    </row>
    <row r="18611" spans="23:23" x14ac:dyDescent="0.55000000000000004">
      <c r="W18611"/>
    </row>
    <row r="18612" spans="23:23" x14ac:dyDescent="0.55000000000000004">
      <c r="W18612"/>
    </row>
    <row r="18613" spans="23:23" x14ac:dyDescent="0.55000000000000004">
      <c r="W18613"/>
    </row>
    <row r="18614" spans="23:23" x14ac:dyDescent="0.55000000000000004">
      <c r="W18614"/>
    </row>
    <row r="18615" spans="23:23" x14ac:dyDescent="0.55000000000000004">
      <c r="W18615"/>
    </row>
    <row r="18616" spans="23:23" x14ac:dyDescent="0.55000000000000004">
      <c r="W18616"/>
    </row>
    <row r="18617" spans="23:23" x14ac:dyDescent="0.55000000000000004">
      <c r="W18617"/>
    </row>
    <row r="18618" spans="23:23" x14ac:dyDescent="0.55000000000000004">
      <c r="W18618"/>
    </row>
    <row r="18619" spans="23:23" x14ac:dyDescent="0.55000000000000004">
      <c r="W18619"/>
    </row>
    <row r="18620" spans="23:23" x14ac:dyDescent="0.55000000000000004">
      <c r="W18620"/>
    </row>
    <row r="18621" spans="23:23" x14ac:dyDescent="0.55000000000000004">
      <c r="W18621"/>
    </row>
    <row r="18622" spans="23:23" x14ac:dyDescent="0.55000000000000004">
      <c r="W18622"/>
    </row>
    <row r="18623" spans="23:23" x14ac:dyDescent="0.55000000000000004">
      <c r="W18623"/>
    </row>
    <row r="18624" spans="23:23" x14ac:dyDescent="0.55000000000000004">
      <c r="W18624"/>
    </row>
    <row r="18625" spans="23:23" x14ac:dyDescent="0.55000000000000004">
      <c r="W18625"/>
    </row>
    <row r="18626" spans="23:23" x14ac:dyDescent="0.55000000000000004">
      <c r="W18626"/>
    </row>
    <row r="18627" spans="23:23" x14ac:dyDescent="0.55000000000000004">
      <c r="W18627"/>
    </row>
    <row r="18628" spans="23:23" x14ac:dyDescent="0.55000000000000004">
      <c r="W18628"/>
    </row>
    <row r="18629" spans="23:23" x14ac:dyDescent="0.55000000000000004">
      <c r="W18629"/>
    </row>
    <row r="18630" spans="23:23" x14ac:dyDescent="0.55000000000000004">
      <c r="W18630"/>
    </row>
    <row r="18631" spans="23:23" x14ac:dyDescent="0.55000000000000004">
      <c r="W18631"/>
    </row>
    <row r="18632" spans="23:23" x14ac:dyDescent="0.55000000000000004">
      <c r="W18632"/>
    </row>
    <row r="18633" spans="23:23" x14ac:dyDescent="0.55000000000000004">
      <c r="W18633"/>
    </row>
    <row r="18634" spans="23:23" x14ac:dyDescent="0.55000000000000004">
      <c r="W18634"/>
    </row>
    <row r="18635" spans="23:23" x14ac:dyDescent="0.55000000000000004">
      <c r="W18635"/>
    </row>
    <row r="18636" spans="23:23" x14ac:dyDescent="0.55000000000000004">
      <c r="W18636"/>
    </row>
    <row r="18637" spans="23:23" x14ac:dyDescent="0.55000000000000004">
      <c r="W18637"/>
    </row>
    <row r="18638" spans="23:23" x14ac:dyDescent="0.55000000000000004">
      <c r="W18638"/>
    </row>
    <row r="18639" spans="23:23" x14ac:dyDescent="0.55000000000000004">
      <c r="W18639"/>
    </row>
    <row r="18640" spans="23:23" x14ac:dyDescent="0.55000000000000004">
      <c r="W18640"/>
    </row>
    <row r="18641" spans="23:23" x14ac:dyDescent="0.55000000000000004">
      <c r="W18641"/>
    </row>
    <row r="18642" spans="23:23" x14ac:dyDescent="0.55000000000000004">
      <c r="W18642"/>
    </row>
    <row r="18643" spans="23:23" x14ac:dyDescent="0.55000000000000004">
      <c r="W18643"/>
    </row>
    <row r="18644" spans="23:23" x14ac:dyDescent="0.55000000000000004">
      <c r="W18644"/>
    </row>
    <row r="18645" spans="23:23" x14ac:dyDescent="0.55000000000000004">
      <c r="W18645"/>
    </row>
    <row r="18646" spans="23:23" x14ac:dyDescent="0.55000000000000004">
      <c r="W18646"/>
    </row>
    <row r="18647" spans="23:23" x14ac:dyDescent="0.55000000000000004">
      <c r="W18647"/>
    </row>
    <row r="18648" spans="23:23" x14ac:dyDescent="0.55000000000000004">
      <c r="W18648"/>
    </row>
    <row r="18649" spans="23:23" x14ac:dyDescent="0.55000000000000004">
      <c r="W18649"/>
    </row>
    <row r="18650" spans="23:23" x14ac:dyDescent="0.55000000000000004">
      <c r="W18650"/>
    </row>
    <row r="18651" spans="23:23" x14ac:dyDescent="0.55000000000000004">
      <c r="W18651"/>
    </row>
    <row r="18652" spans="23:23" x14ac:dyDescent="0.55000000000000004">
      <c r="W18652"/>
    </row>
    <row r="18653" spans="23:23" x14ac:dyDescent="0.55000000000000004">
      <c r="W18653"/>
    </row>
    <row r="18654" spans="23:23" x14ac:dyDescent="0.55000000000000004">
      <c r="W18654"/>
    </row>
    <row r="18655" spans="23:23" x14ac:dyDescent="0.55000000000000004">
      <c r="W18655"/>
    </row>
    <row r="18656" spans="23:23" x14ac:dyDescent="0.55000000000000004">
      <c r="W18656"/>
    </row>
    <row r="18657" spans="23:23" x14ac:dyDescent="0.55000000000000004">
      <c r="W18657"/>
    </row>
    <row r="18658" spans="23:23" x14ac:dyDescent="0.55000000000000004">
      <c r="W18658"/>
    </row>
    <row r="18659" spans="23:23" x14ac:dyDescent="0.55000000000000004">
      <c r="W18659"/>
    </row>
    <row r="18660" spans="23:23" x14ac:dyDescent="0.55000000000000004">
      <c r="W18660"/>
    </row>
    <row r="18661" spans="23:23" x14ac:dyDescent="0.55000000000000004">
      <c r="W18661"/>
    </row>
    <row r="18662" spans="23:23" x14ac:dyDescent="0.55000000000000004">
      <c r="W18662"/>
    </row>
    <row r="18663" spans="23:23" x14ac:dyDescent="0.55000000000000004">
      <c r="W18663"/>
    </row>
    <row r="18664" spans="23:23" x14ac:dyDescent="0.55000000000000004">
      <c r="W18664"/>
    </row>
    <row r="18665" spans="23:23" x14ac:dyDescent="0.55000000000000004">
      <c r="W18665"/>
    </row>
    <row r="18666" spans="23:23" x14ac:dyDescent="0.55000000000000004">
      <c r="W18666"/>
    </row>
    <row r="18667" spans="23:23" x14ac:dyDescent="0.55000000000000004">
      <c r="W18667"/>
    </row>
    <row r="18668" spans="23:23" x14ac:dyDescent="0.55000000000000004">
      <c r="W18668"/>
    </row>
    <row r="18669" spans="23:23" x14ac:dyDescent="0.55000000000000004">
      <c r="W18669"/>
    </row>
    <row r="18670" spans="23:23" x14ac:dyDescent="0.55000000000000004">
      <c r="W18670"/>
    </row>
    <row r="18671" spans="23:23" x14ac:dyDescent="0.55000000000000004">
      <c r="W18671"/>
    </row>
    <row r="18672" spans="23:23" x14ac:dyDescent="0.55000000000000004">
      <c r="W18672"/>
    </row>
    <row r="18673" spans="23:23" x14ac:dyDescent="0.55000000000000004">
      <c r="W18673"/>
    </row>
    <row r="18674" spans="23:23" x14ac:dyDescent="0.55000000000000004">
      <c r="W18674"/>
    </row>
    <row r="18675" spans="23:23" x14ac:dyDescent="0.55000000000000004">
      <c r="W18675"/>
    </row>
    <row r="18676" spans="23:23" x14ac:dyDescent="0.55000000000000004">
      <c r="W18676"/>
    </row>
    <row r="18677" spans="23:23" x14ac:dyDescent="0.55000000000000004">
      <c r="W18677"/>
    </row>
    <row r="18678" spans="23:23" x14ac:dyDescent="0.55000000000000004">
      <c r="W18678"/>
    </row>
    <row r="18679" spans="23:23" x14ac:dyDescent="0.55000000000000004">
      <c r="W18679"/>
    </row>
    <row r="18680" spans="23:23" x14ac:dyDescent="0.55000000000000004">
      <c r="W18680"/>
    </row>
    <row r="18681" spans="23:23" x14ac:dyDescent="0.55000000000000004">
      <c r="W18681"/>
    </row>
    <row r="18682" spans="23:23" x14ac:dyDescent="0.55000000000000004">
      <c r="W18682"/>
    </row>
    <row r="18683" spans="23:23" x14ac:dyDescent="0.55000000000000004">
      <c r="W18683"/>
    </row>
    <row r="18684" spans="23:23" x14ac:dyDescent="0.55000000000000004">
      <c r="W18684"/>
    </row>
    <row r="18685" spans="23:23" x14ac:dyDescent="0.55000000000000004">
      <c r="W18685"/>
    </row>
    <row r="18686" spans="23:23" x14ac:dyDescent="0.55000000000000004">
      <c r="W18686"/>
    </row>
    <row r="18687" spans="23:23" x14ac:dyDescent="0.55000000000000004">
      <c r="W18687"/>
    </row>
    <row r="18688" spans="23:23" x14ac:dyDescent="0.55000000000000004">
      <c r="W18688"/>
    </row>
    <row r="18689" spans="23:23" x14ac:dyDescent="0.55000000000000004">
      <c r="W18689"/>
    </row>
    <row r="18690" spans="23:23" x14ac:dyDescent="0.55000000000000004">
      <c r="W18690"/>
    </row>
    <row r="18691" spans="23:23" x14ac:dyDescent="0.55000000000000004">
      <c r="W18691"/>
    </row>
    <row r="18692" spans="23:23" x14ac:dyDescent="0.55000000000000004">
      <c r="W18692"/>
    </row>
    <row r="18693" spans="23:23" x14ac:dyDescent="0.55000000000000004">
      <c r="W18693"/>
    </row>
    <row r="18694" spans="23:23" x14ac:dyDescent="0.55000000000000004">
      <c r="W18694"/>
    </row>
    <row r="18695" spans="23:23" x14ac:dyDescent="0.55000000000000004">
      <c r="W18695"/>
    </row>
    <row r="18696" spans="23:23" x14ac:dyDescent="0.55000000000000004">
      <c r="W18696"/>
    </row>
    <row r="18697" spans="23:23" x14ac:dyDescent="0.55000000000000004">
      <c r="W18697"/>
    </row>
    <row r="18698" spans="23:23" x14ac:dyDescent="0.55000000000000004">
      <c r="W18698"/>
    </row>
    <row r="18699" spans="23:23" x14ac:dyDescent="0.55000000000000004">
      <c r="W18699"/>
    </row>
    <row r="18700" spans="23:23" x14ac:dyDescent="0.55000000000000004">
      <c r="W18700"/>
    </row>
    <row r="18701" spans="23:23" x14ac:dyDescent="0.55000000000000004">
      <c r="W18701"/>
    </row>
    <row r="18702" spans="23:23" x14ac:dyDescent="0.55000000000000004">
      <c r="W18702"/>
    </row>
    <row r="18703" spans="23:23" x14ac:dyDescent="0.55000000000000004">
      <c r="W18703"/>
    </row>
    <row r="18704" spans="23:23" x14ac:dyDescent="0.55000000000000004">
      <c r="W18704"/>
    </row>
    <row r="18705" spans="23:23" x14ac:dyDescent="0.55000000000000004">
      <c r="W18705"/>
    </row>
    <row r="18706" spans="23:23" x14ac:dyDescent="0.55000000000000004">
      <c r="W18706"/>
    </row>
    <row r="18707" spans="23:23" x14ac:dyDescent="0.55000000000000004">
      <c r="W18707"/>
    </row>
    <row r="18708" spans="23:23" x14ac:dyDescent="0.55000000000000004">
      <c r="W18708"/>
    </row>
    <row r="18709" spans="23:23" x14ac:dyDescent="0.55000000000000004">
      <c r="W18709"/>
    </row>
    <row r="18710" spans="23:23" x14ac:dyDescent="0.55000000000000004">
      <c r="W18710"/>
    </row>
    <row r="18711" spans="23:23" x14ac:dyDescent="0.55000000000000004">
      <c r="W18711"/>
    </row>
    <row r="18712" spans="23:23" x14ac:dyDescent="0.55000000000000004">
      <c r="W18712"/>
    </row>
    <row r="18713" spans="23:23" x14ac:dyDescent="0.55000000000000004">
      <c r="W18713"/>
    </row>
    <row r="18714" spans="23:23" x14ac:dyDescent="0.55000000000000004">
      <c r="W18714"/>
    </row>
    <row r="18715" spans="23:23" x14ac:dyDescent="0.55000000000000004">
      <c r="W18715"/>
    </row>
    <row r="18716" spans="23:23" x14ac:dyDescent="0.55000000000000004">
      <c r="W18716"/>
    </row>
    <row r="18717" spans="23:23" x14ac:dyDescent="0.55000000000000004">
      <c r="W18717"/>
    </row>
    <row r="18718" spans="23:23" x14ac:dyDescent="0.55000000000000004">
      <c r="W18718"/>
    </row>
    <row r="18719" spans="23:23" x14ac:dyDescent="0.55000000000000004">
      <c r="W18719"/>
    </row>
    <row r="18720" spans="23:23" x14ac:dyDescent="0.55000000000000004">
      <c r="W18720"/>
    </row>
    <row r="18721" spans="23:23" x14ac:dyDescent="0.55000000000000004">
      <c r="W18721"/>
    </row>
    <row r="18722" spans="23:23" x14ac:dyDescent="0.55000000000000004">
      <c r="W18722"/>
    </row>
    <row r="18723" spans="23:23" x14ac:dyDescent="0.55000000000000004">
      <c r="W18723"/>
    </row>
    <row r="18724" spans="23:23" x14ac:dyDescent="0.55000000000000004">
      <c r="W18724"/>
    </row>
    <row r="18725" spans="23:23" x14ac:dyDescent="0.55000000000000004">
      <c r="W18725"/>
    </row>
    <row r="18726" spans="23:23" x14ac:dyDescent="0.55000000000000004">
      <c r="W18726"/>
    </row>
    <row r="18727" spans="23:23" x14ac:dyDescent="0.55000000000000004">
      <c r="W18727"/>
    </row>
    <row r="18728" spans="23:23" x14ac:dyDescent="0.55000000000000004">
      <c r="W18728"/>
    </row>
    <row r="18729" spans="23:23" x14ac:dyDescent="0.55000000000000004">
      <c r="W18729"/>
    </row>
    <row r="18730" spans="23:23" x14ac:dyDescent="0.55000000000000004">
      <c r="W18730"/>
    </row>
    <row r="18731" spans="23:23" x14ac:dyDescent="0.55000000000000004">
      <c r="W18731"/>
    </row>
    <row r="18732" spans="23:23" x14ac:dyDescent="0.55000000000000004">
      <c r="W18732"/>
    </row>
    <row r="18733" spans="23:23" x14ac:dyDescent="0.55000000000000004">
      <c r="W18733"/>
    </row>
    <row r="18734" spans="23:23" x14ac:dyDescent="0.55000000000000004">
      <c r="W18734"/>
    </row>
    <row r="18735" spans="23:23" x14ac:dyDescent="0.55000000000000004">
      <c r="W18735"/>
    </row>
    <row r="18736" spans="23:23" x14ac:dyDescent="0.55000000000000004">
      <c r="W18736"/>
    </row>
    <row r="18737" spans="23:23" x14ac:dyDescent="0.55000000000000004">
      <c r="W18737"/>
    </row>
    <row r="18738" spans="23:23" x14ac:dyDescent="0.55000000000000004">
      <c r="W18738"/>
    </row>
    <row r="18739" spans="23:23" x14ac:dyDescent="0.55000000000000004">
      <c r="W18739"/>
    </row>
    <row r="18740" spans="23:23" x14ac:dyDescent="0.55000000000000004">
      <c r="W18740"/>
    </row>
    <row r="18741" spans="23:23" x14ac:dyDescent="0.55000000000000004">
      <c r="W18741"/>
    </row>
    <row r="18742" spans="23:23" x14ac:dyDescent="0.55000000000000004">
      <c r="W18742"/>
    </row>
    <row r="18743" spans="23:23" x14ac:dyDescent="0.55000000000000004">
      <c r="W18743"/>
    </row>
    <row r="18744" spans="23:23" x14ac:dyDescent="0.55000000000000004">
      <c r="W18744"/>
    </row>
    <row r="18745" spans="23:23" x14ac:dyDescent="0.55000000000000004">
      <c r="W18745"/>
    </row>
    <row r="18746" spans="23:23" x14ac:dyDescent="0.55000000000000004">
      <c r="W18746"/>
    </row>
    <row r="18747" spans="23:23" x14ac:dyDescent="0.55000000000000004">
      <c r="W18747"/>
    </row>
    <row r="18748" spans="23:23" x14ac:dyDescent="0.55000000000000004">
      <c r="W18748"/>
    </row>
    <row r="18749" spans="23:23" x14ac:dyDescent="0.55000000000000004">
      <c r="W18749"/>
    </row>
    <row r="18750" spans="23:23" x14ac:dyDescent="0.55000000000000004">
      <c r="W18750"/>
    </row>
    <row r="18751" spans="23:23" x14ac:dyDescent="0.55000000000000004">
      <c r="W18751"/>
    </row>
    <row r="18752" spans="23:23" x14ac:dyDescent="0.55000000000000004">
      <c r="W18752"/>
    </row>
    <row r="18753" spans="23:23" x14ac:dyDescent="0.55000000000000004">
      <c r="W18753"/>
    </row>
    <row r="18754" spans="23:23" x14ac:dyDescent="0.55000000000000004">
      <c r="W18754"/>
    </row>
    <row r="18755" spans="23:23" x14ac:dyDescent="0.55000000000000004">
      <c r="W18755"/>
    </row>
    <row r="18756" spans="23:23" x14ac:dyDescent="0.55000000000000004">
      <c r="W18756"/>
    </row>
    <row r="18757" spans="23:23" x14ac:dyDescent="0.55000000000000004">
      <c r="W18757"/>
    </row>
    <row r="18758" spans="23:23" x14ac:dyDescent="0.55000000000000004">
      <c r="W18758"/>
    </row>
    <row r="18759" spans="23:23" x14ac:dyDescent="0.55000000000000004">
      <c r="W18759"/>
    </row>
    <row r="18760" spans="23:23" x14ac:dyDescent="0.55000000000000004">
      <c r="W18760"/>
    </row>
    <row r="18761" spans="23:23" x14ac:dyDescent="0.55000000000000004">
      <c r="W18761"/>
    </row>
    <row r="18762" spans="23:23" x14ac:dyDescent="0.55000000000000004">
      <c r="W18762"/>
    </row>
    <row r="18763" spans="23:23" x14ac:dyDescent="0.55000000000000004">
      <c r="W18763"/>
    </row>
    <row r="18764" spans="23:23" x14ac:dyDescent="0.55000000000000004">
      <c r="W18764"/>
    </row>
    <row r="18765" spans="23:23" x14ac:dyDescent="0.55000000000000004">
      <c r="W18765"/>
    </row>
    <row r="18766" spans="23:23" x14ac:dyDescent="0.55000000000000004">
      <c r="W18766"/>
    </row>
    <row r="18767" spans="23:23" x14ac:dyDescent="0.55000000000000004">
      <c r="W18767"/>
    </row>
    <row r="18768" spans="23:23" x14ac:dyDescent="0.55000000000000004">
      <c r="W18768"/>
    </row>
    <row r="18769" spans="23:23" x14ac:dyDescent="0.55000000000000004">
      <c r="W18769"/>
    </row>
    <row r="18770" spans="23:23" x14ac:dyDescent="0.55000000000000004">
      <c r="W18770"/>
    </row>
    <row r="18771" spans="23:23" x14ac:dyDescent="0.55000000000000004">
      <c r="W18771"/>
    </row>
    <row r="18772" spans="23:23" x14ac:dyDescent="0.55000000000000004">
      <c r="W18772"/>
    </row>
    <row r="18773" spans="23:23" x14ac:dyDescent="0.55000000000000004">
      <c r="W18773"/>
    </row>
    <row r="18774" spans="23:23" x14ac:dyDescent="0.55000000000000004">
      <c r="W18774"/>
    </row>
    <row r="18775" spans="23:23" x14ac:dyDescent="0.55000000000000004">
      <c r="W18775"/>
    </row>
    <row r="18776" spans="23:23" x14ac:dyDescent="0.55000000000000004">
      <c r="W18776"/>
    </row>
    <row r="18777" spans="23:23" x14ac:dyDescent="0.55000000000000004">
      <c r="W18777"/>
    </row>
    <row r="18778" spans="23:23" x14ac:dyDescent="0.55000000000000004">
      <c r="W18778"/>
    </row>
    <row r="18779" spans="23:23" x14ac:dyDescent="0.55000000000000004">
      <c r="W18779"/>
    </row>
    <row r="18780" spans="23:23" x14ac:dyDescent="0.55000000000000004">
      <c r="W18780"/>
    </row>
    <row r="18781" spans="23:23" x14ac:dyDescent="0.55000000000000004">
      <c r="W18781"/>
    </row>
    <row r="18782" spans="23:23" x14ac:dyDescent="0.55000000000000004">
      <c r="W18782"/>
    </row>
    <row r="18783" spans="23:23" x14ac:dyDescent="0.55000000000000004">
      <c r="W18783"/>
    </row>
    <row r="18784" spans="23:23" x14ac:dyDescent="0.55000000000000004">
      <c r="W18784"/>
    </row>
    <row r="18785" spans="23:23" x14ac:dyDescent="0.55000000000000004">
      <c r="W18785"/>
    </row>
    <row r="18786" spans="23:23" x14ac:dyDescent="0.55000000000000004">
      <c r="W18786"/>
    </row>
    <row r="18787" spans="23:23" x14ac:dyDescent="0.55000000000000004">
      <c r="W18787"/>
    </row>
    <row r="18788" spans="23:23" x14ac:dyDescent="0.55000000000000004">
      <c r="W18788"/>
    </row>
    <row r="18789" spans="23:23" x14ac:dyDescent="0.55000000000000004">
      <c r="W18789"/>
    </row>
    <row r="18790" spans="23:23" x14ac:dyDescent="0.55000000000000004">
      <c r="W18790"/>
    </row>
    <row r="18791" spans="23:23" x14ac:dyDescent="0.55000000000000004">
      <c r="W18791"/>
    </row>
    <row r="18792" spans="23:23" x14ac:dyDescent="0.55000000000000004">
      <c r="W18792"/>
    </row>
    <row r="18793" spans="23:23" x14ac:dyDescent="0.55000000000000004">
      <c r="W18793"/>
    </row>
    <row r="18794" spans="23:23" x14ac:dyDescent="0.55000000000000004">
      <c r="W18794"/>
    </row>
    <row r="18795" spans="23:23" x14ac:dyDescent="0.55000000000000004">
      <c r="W18795"/>
    </row>
    <row r="18796" spans="23:23" x14ac:dyDescent="0.55000000000000004">
      <c r="W18796"/>
    </row>
    <row r="18797" spans="23:23" x14ac:dyDescent="0.55000000000000004">
      <c r="W18797"/>
    </row>
    <row r="18798" spans="23:23" x14ac:dyDescent="0.55000000000000004">
      <c r="W18798"/>
    </row>
    <row r="18799" spans="23:23" x14ac:dyDescent="0.55000000000000004">
      <c r="W18799"/>
    </row>
    <row r="18800" spans="23:23" x14ac:dyDescent="0.55000000000000004">
      <c r="W18800"/>
    </row>
    <row r="18801" spans="23:23" x14ac:dyDescent="0.55000000000000004">
      <c r="W18801"/>
    </row>
    <row r="18802" spans="23:23" x14ac:dyDescent="0.55000000000000004">
      <c r="W18802"/>
    </row>
    <row r="18803" spans="23:23" x14ac:dyDescent="0.55000000000000004">
      <c r="W18803"/>
    </row>
    <row r="18804" spans="23:23" x14ac:dyDescent="0.55000000000000004">
      <c r="W18804"/>
    </row>
    <row r="18805" spans="23:23" x14ac:dyDescent="0.55000000000000004">
      <c r="W18805"/>
    </row>
    <row r="18806" spans="23:23" x14ac:dyDescent="0.55000000000000004">
      <c r="W18806"/>
    </row>
    <row r="18807" spans="23:23" x14ac:dyDescent="0.55000000000000004">
      <c r="W18807"/>
    </row>
    <row r="18808" spans="23:23" x14ac:dyDescent="0.55000000000000004">
      <c r="W18808"/>
    </row>
    <row r="18809" spans="23:23" x14ac:dyDescent="0.55000000000000004">
      <c r="W18809"/>
    </row>
    <row r="18810" spans="23:23" x14ac:dyDescent="0.55000000000000004">
      <c r="W18810"/>
    </row>
    <row r="18811" spans="23:23" x14ac:dyDescent="0.55000000000000004">
      <c r="W18811"/>
    </row>
    <row r="18812" spans="23:23" x14ac:dyDescent="0.55000000000000004">
      <c r="W18812"/>
    </row>
    <row r="18813" spans="23:23" x14ac:dyDescent="0.55000000000000004">
      <c r="W18813"/>
    </row>
    <row r="18814" spans="23:23" x14ac:dyDescent="0.55000000000000004">
      <c r="W18814"/>
    </row>
    <row r="18815" spans="23:23" x14ac:dyDescent="0.55000000000000004">
      <c r="W18815"/>
    </row>
    <row r="18816" spans="23:23" x14ac:dyDescent="0.55000000000000004">
      <c r="W18816"/>
    </row>
    <row r="18817" spans="23:23" x14ac:dyDescent="0.55000000000000004">
      <c r="W18817"/>
    </row>
    <row r="18818" spans="23:23" x14ac:dyDescent="0.55000000000000004">
      <c r="W18818"/>
    </row>
    <row r="18819" spans="23:23" x14ac:dyDescent="0.55000000000000004">
      <c r="W18819"/>
    </row>
    <row r="18820" spans="23:23" x14ac:dyDescent="0.55000000000000004">
      <c r="W18820"/>
    </row>
    <row r="18821" spans="23:23" x14ac:dyDescent="0.55000000000000004">
      <c r="W18821"/>
    </row>
    <row r="18822" spans="23:23" x14ac:dyDescent="0.55000000000000004">
      <c r="W18822"/>
    </row>
    <row r="18823" spans="23:23" x14ac:dyDescent="0.55000000000000004">
      <c r="W18823"/>
    </row>
    <row r="18824" spans="23:23" x14ac:dyDescent="0.55000000000000004">
      <c r="W18824"/>
    </row>
    <row r="18825" spans="23:23" x14ac:dyDescent="0.55000000000000004">
      <c r="W18825"/>
    </row>
    <row r="18826" spans="23:23" x14ac:dyDescent="0.55000000000000004">
      <c r="W18826"/>
    </row>
    <row r="18827" spans="23:23" x14ac:dyDescent="0.55000000000000004">
      <c r="W18827"/>
    </row>
    <row r="18828" spans="23:23" x14ac:dyDescent="0.55000000000000004">
      <c r="W18828"/>
    </row>
    <row r="18829" spans="23:23" x14ac:dyDescent="0.55000000000000004">
      <c r="W18829"/>
    </row>
    <row r="18830" spans="23:23" x14ac:dyDescent="0.55000000000000004">
      <c r="W18830"/>
    </row>
    <row r="18831" spans="23:23" x14ac:dyDescent="0.55000000000000004">
      <c r="W18831"/>
    </row>
    <row r="18832" spans="23:23" x14ac:dyDescent="0.55000000000000004">
      <c r="W18832"/>
    </row>
    <row r="18833" spans="23:23" x14ac:dyDescent="0.55000000000000004">
      <c r="W18833"/>
    </row>
    <row r="18834" spans="23:23" x14ac:dyDescent="0.55000000000000004">
      <c r="W18834"/>
    </row>
    <row r="18835" spans="23:23" x14ac:dyDescent="0.55000000000000004">
      <c r="W18835"/>
    </row>
    <row r="18836" spans="23:23" x14ac:dyDescent="0.55000000000000004">
      <c r="W18836"/>
    </row>
    <row r="18837" spans="23:23" x14ac:dyDescent="0.55000000000000004">
      <c r="W18837"/>
    </row>
    <row r="18838" spans="23:23" x14ac:dyDescent="0.55000000000000004">
      <c r="W18838"/>
    </row>
    <row r="18839" spans="23:23" x14ac:dyDescent="0.55000000000000004">
      <c r="W18839"/>
    </row>
    <row r="18840" spans="23:23" x14ac:dyDescent="0.55000000000000004">
      <c r="W18840"/>
    </row>
    <row r="18841" spans="23:23" x14ac:dyDescent="0.55000000000000004">
      <c r="W18841"/>
    </row>
    <row r="18842" spans="23:23" x14ac:dyDescent="0.55000000000000004">
      <c r="W18842"/>
    </row>
    <row r="18843" spans="23:23" x14ac:dyDescent="0.55000000000000004">
      <c r="W18843"/>
    </row>
    <row r="18844" spans="23:23" x14ac:dyDescent="0.55000000000000004">
      <c r="W18844"/>
    </row>
    <row r="18845" spans="23:23" x14ac:dyDescent="0.55000000000000004">
      <c r="W18845"/>
    </row>
    <row r="18846" spans="23:23" x14ac:dyDescent="0.55000000000000004">
      <c r="W18846"/>
    </row>
    <row r="18847" spans="23:23" x14ac:dyDescent="0.55000000000000004">
      <c r="W18847"/>
    </row>
    <row r="18848" spans="23:23" x14ac:dyDescent="0.55000000000000004">
      <c r="W18848"/>
    </row>
    <row r="18849" spans="23:23" x14ac:dyDescent="0.55000000000000004">
      <c r="W18849"/>
    </row>
    <row r="18850" spans="23:23" x14ac:dyDescent="0.55000000000000004">
      <c r="W18850"/>
    </row>
    <row r="18851" spans="23:23" x14ac:dyDescent="0.55000000000000004">
      <c r="W18851"/>
    </row>
    <row r="18852" spans="23:23" x14ac:dyDescent="0.55000000000000004">
      <c r="W18852"/>
    </row>
    <row r="18853" spans="23:23" x14ac:dyDescent="0.55000000000000004">
      <c r="W18853"/>
    </row>
    <row r="18854" spans="23:23" x14ac:dyDescent="0.55000000000000004">
      <c r="W18854"/>
    </row>
    <row r="18855" spans="23:23" x14ac:dyDescent="0.55000000000000004">
      <c r="W18855"/>
    </row>
    <row r="18856" spans="23:23" x14ac:dyDescent="0.55000000000000004">
      <c r="W18856"/>
    </row>
    <row r="18857" spans="23:23" x14ac:dyDescent="0.55000000000000004">
      <c r="W18857"/>
    </row>
    <row r="18858" spans="23:23" x14ac:dyDescent="0.55000000000000004">
      <c r="W18858"/>
    </row>
    <row r="18859" spans="23:23" x14ac:dyDescent="0.55000000000000004">
      <c r="W18859"/>
    </row>
    <row r="18860" spans="23:23" x14ac:dyDescent="0.55000000000000004">
      <c r="W18860"/>
    </row>
    <row r="18861" spans="23:23" x14ac:dyDescent="0.55000000000000004">
      <c r="W18861"/>
    </row>
    <row r="18862" spans="23:23" x14ac:dyDescent="0.55000000000000004">
      <c r="W18862"/>
    </row>
    <row r="18863" spans="23:23" x14ac:dyDescent="0.55000000000000004">
      <c r="W18863"/>
    </row>
    <row r="18864" spans="23:23" x14ac:dyDescent="0.55000000000000004">
      <c r="W18864"/>
    </row>
    <row r="18865" spans="23:23" x14ac:dyDescent="0.55000000000000004">
      <c r="W18865"/>
    </row>
    <row r="18866" spans="23:23" x14ac:dyDescent="0.55000000000000004">
      <c r="W18866"/>
    </row>
    <row r="18867" spans="23:23" x14ac:dyDescent="0.55000000000000004">
      <c r="W18867"/>
    </row>
    <row r="18868" spans="23:23" x14ac:dyDescent="0.55000000000000004">
      <c r="W18868"/>
    </row>
    <row r="18869" spans="23:23" x14ac:dyDescent="0.55000000000000004">
      <c r="W18869"/>
    </row>
    <row r="18870" spans="23:23" x14ac:dyDescent="0.55000000000000004">
      <c r="W18870"/>
    </row>
    <row r="18871" spans="23:23" x14ac:dyDescent="0.55000000000000004">
      <c r="W18871"/>
    </row>
    <row r="18872" spans="23:23" x14ac:dyDescent="0.55000000000000004">
      <c r="W18872"/>
    </row>
    <row r="18873" spans="23:23" x14ac:dyDescent="0.55000000000000004">
      <c r="W18873"/>
    </row>
    <row r="18874" spans="23:23" x14ac:dyDescent="0.55000000000000004">
      <c r="W18874"/>
    </row>
    <row r="18875" spans="23:23" x14ac:dyDescent="0.55000000000000004">
      <c r="W18875"/>
    </row>
    <row r="18876" spans="23:23" x14ac:dyDescent="0.55000000000000004">
      <c r="W18876"/>
    </row>
    <row r="18877" spans="23:23" x14ac:dyDescent="0.55000000000000004">
      <c r="W18877"/>
    </row>
    <row r="18878" spans="23:23" x14ac:dyDescent="0.55000000000000004">
      <c r="W18878"/>
    </row>
    <row r="18879" spans="23:23" x14ac:dyDescent="0.55000000000000004">
      <c r="W18879"/>
    </row>
    <row r="18880" spans="23:23" x14ac:dyDescent="0.55000000000000004">
      <c r="W18880"/>
    </row>
    <row r="18881" spans="23:23" x14ac:dyDescent="0.55000000000000004">
      <c r="W18881"/>
    </row>
    <row r="18882" spans="23:23" x14ac:dyDescent="0.55000000000000004">
      <c r="W18882"/>
    </row>
    <row r="18883" spans="23:23" x14ac:dyDescent="0.55000000000000004">
      <c r="W18883"/>
    </row>
    <row r="18884" spans="23:23" x14ac:dyDescent="0.55000000000000004">
      <c r="W18884"/>
    </row>
    <row r="18885" spans="23:23" x14ac:dyDescent="0.55000000000000004">
      <c r="W18885"/>
    </row>
    <row r="18886" spans="23:23" x14ac:dyDescent="0.55000000000000004">
      <c r="W18886"/>
    </row>
    <row r="18887" spans="23:23" x14ac:dyDescent="0.55000000000000004">
      <c r="W18887"/>
    </row>
    <row r="18888" spans="23:23" x14ac:dyDescent="0.55000000000000004">
      <c r="W18888"/>
    </row>
    <row r="18889" spans="23:23" x14ac:dyDescent="0.55000000000000004">
      <c r="W18889"/>
    </row>
    <row r="18890" spans="23:23" x14ac:dyDescent="0.55000000000000004">
      <c r="W18890"/>
    </row>
    <row r="18891" spans="23:23" x14ac:dyDescent="0.55000000000000004">
      <c r="W18891"/>
    </row>
    <row r="18892" spans="23:23" x14ac:dyDescent="0.55000000000000004">
      <c r="W18892"/>
    </row>
    <row r="18893" spans="23:23" x14ac:dyDescent="0.55000000000000004">
      <c r="W18893"/>
    </row>
    <row r="18894" spans="23:23" x14ac:dyDescent="0.55000000000000004">
      <c r="W18894"/>
    </row>
    <row r="18895" spans="23:23" x14ac:dyDescent="0.55000000000000004">
      <c r="W18895"/>
    </row>
    <row r="18896" spans="23:23" x14ac:dyDescent="0.55000000000000004">
      <c r="W18896"/>
    </row>
    <row r="18897" spans="23:23" x14ac:dyDescent="0.55000000000000004">
      <c r="W18897"/>
    </row>
    <row r="18898" spans="23:23" x14ac:dyDescent="0.55000000000000004">
      <c r="W18898"/>
    </row>
    <row r="18899" spans="23:23" x14ac:dyDescent="0.55000000000000004">
      <c r="W18899"/>
    </row>
    <row r="18900" spans="23:23" x14ac:dyDescent="0.55000000000000004">
      <c r="W18900"/>
    </row>
    <row r="18901" spans="23:23" x14ac:dyDescent="0.55000000000000004">
      <c r="W18901"/>
    </row>
    <row r="18902" spans="23:23" x14ac:dyDescent="0.55000000000000004">
      <c r="W18902"/>
    </row>
    <row r="18903" spans="23:23" x14ac:dyDescent="0.55000000000000004">
      <c r="W18903"/>
    </row>
    <row r="18904" spans="23:23" x14ac:dyDescent="0.55000000000000004">
      <c r="W18904"/>
    </row>
    <row r="18905" spans="23:23" x14ac:dyDescent="0.55000000000000004">
      <c r="W18905"/>
    </row>
    <row r="18906" spans="23:23" x14ac:dyDescent="0.55000000000000004">
      <c r="W18906"/>
    </row>
    <row r="18907" spans="23:23" x14ac:dyDescent="0.55000000000000004">
      <c r="W18907"/>
    </row>
    <row r="18908" spans="23:23" x14ac:dyDescent="0.55000000000000004">
      <c r="W18908"/>
    </row>
    <row r="18909" spans="23:23" x14ac:dyDescent="0.55000000000000004">
      <c r="W18909"/>
    </row>
    <row r="18910" spans="23:23" x14ac:dyDescent="0.55000000000000004">
      <c r="W18910"/>
    </row>
    <row r="18911" spans="23:23" x14ac:dyDescent="0.55000000000000004">
      <c r="W18911"/>
    </row>
    <row r="18912" spans="23:23" x14ac:dyDescent="0.55000000000000004">
      <c r="W18912"/>
    </row>
    <row r="18913" spans="23:23" x14ac:dyDescent="0.55000000000000004">
      <c r="W18913"/>
    </row>
    <row r="18914" spans="23:23" x14ac:dyDescent="0.55000000000000004">
      <c r="W18914"/>
    </row>
    <row r="18915" spans="23:23" x14ac:dyDescent="0.55000000000000004">
      <c r="W18915"/>
    </row>
    <row r="18916" spans="23:23" x14ac:dyDescent="0.55000000000000004">
      <c r="W18916"/>
    </row>
    <row r="18917" spans="23:23" x14ac:dyDescent="0.55000000000000004">
      <c r="W18917"/>
    </row>
    <row r="18918" spans="23:23" x14ac:dyDescent="0.55000000000000004">
      <c r="W18918"/>
    </row>
    <row r="18919" spans="23:23" x14ac:dyDescent="0.55000000000000004">
      <c r="W18919"/>
    </row>
    <row r="18920" spans="23:23" x14ac:dyDescent="0.55000000000000004">
      <c r="W18920"/>
    </row>
    <row r="18921" spans="23:23" x14ac:dyDescent="0.55000000000000004">
      <c r="W18921"/>
    </row>
    <row r="18922" spans="23:23" x14ac:dyDescent="0.55000000000000004">
      <c r="W18922"/>
    </row>
    <row r="18923" spans="23:23" x14ac:dyDescent="0.55000000000000004">
      <c r="W18923"/>
    </row>
    <row r="18924" spans="23:23" x14ac:dyDescent="0.55000000000000004">
      <c r="W18924"/>
    </row>
    <row r="18925" spans="23:23" x14ac:dyDescent="0.55000000000000004">
      <c r="W18925"/>
    </row>
    <row r="18926" spans="23:23" x14ac:dyDescent="0.55000000000000004">
      <c r="W18926"/>
    </row>
    <row r="18927" spans="23:23" x14ac:dyDescent="0.55000000000000004">
      <c r="W18927"/>
    </row>
    <row r="18928" spans="23:23" x14ac:dyDescent="0.55000000000000004">
      <c r="W18928"/>
    </row>
    <row r="18929" spans="23:23" x14ac:dyDescent="0.55000000000000004">
      <c r="W18929"/>
    </row>
    <row r="18930" spans="23:23" x14ac:dyDescent="0.55000000000000004">
      <c r="W18930"/>
    </row>
    <row r="18931" spans="23:23" x14ac:dyDescent="0.55000000000000004">
      <c r="W18931"/>
    </row>
    <row r="18932" spans="23:23" x14ac:dyDescent="0.55000000000000004">
      <c r="W18932"/>
    </row>
    <row r="18933" spans="23:23" x14ac:dyDescent="0.55000000000000004">
      <c r="W18933"/>
    </row>
    <row r="18934" spans="23:23" x14ac:dyDescent="0.55000000000000004">
      <c r="W18934"/>
    </row>
    <row r="18935" spans="23:23" x14ac:dyDescent="0.55000000000000004">
      <c r="W18935"/>
    </row>
    <row r="18936" spans="23:23" x14ac:dyDescent="0.55000000000000004">
      <c r="W18936"/>
    </row>
    <row r="18937" spans="23:23" x14ac:dyDescent="0.55000000000000004">
      <c r="W18937"/>
    </row>
    <row r="18938" spans="23:23" x14ac:dyDescent="0.55000000000000004">
      <c r="W18938"/>
    </row>
    <row r="18939" spans="23:23" x14ac:dyDescent="0.55000000000000004">
      <c r="W18939"/>
    </row>
    <row r="18940" spans="23:23" x14ac:dyDescent="0.55000000000000004">
      <c r="W18940"/>
    </row>
    <row r="18941" spans="23:23" x14ac:dyDescent="0.55000000000000004">
      <c r="W18941"/>
    </row>
    <row r="18942" spans="23:23" x14ac:dyDescent="0.55000000000000004">
      <c r="W18942"/>
    </row>
    <row r="18943" spans="23:23" x14ac:dyDescent="0.55000000000000004">
      <c r="W18943"/>
    </row>
    <row r="18944" spans="23:23" x14ac:dyDescent="0.55000000000000004">
      <c r="W18944"/>
    </row>
    <row r="18945" spans="23:23" x14ac:dyDescent="0.55000000000000004">
      <c r="W18945"/>
    </row>
    <row r="18946" spans="23:23" x14ac:dyDescent="0.55000000000000004">
      <c r="W18946"/>
    </row>
    <row r="18947" spans="23:23" x14ac:dyDescent="0.55000000000000004">
      <c r="W18947"/>
    </row>
    <row r="18948" spans="23:23" x14ac:dyDescent="0.55000000000000004">
      <c r="W18948"/>
    </row>
    <row r="18949" spans="23:23" x14ac:dyDescent="0.55000000000000004">
      <c r="W18949"/>
    </row>
    <row r="18950" spans="23:23" x14ac:dyDescent="0.55000000000000004">
      <c r="W18950"/>
    </row>
    <row r="18951" spans="23:23" x14ac:dyDescent="0.55000000000000004">
      <c r="W18951"/>
    </row>
    <row r="18952" spans="23:23" x14ac:dyDescent="0.55000000000000004">
      <c r="W18952"/>
    </row>
    <row r="18953" spans="23:23" x14ac:dyDescent="0.55000000000000004">
      <c r="W18953"/>
    </row>
    <row r="18954" spans="23:23" x14ac:dyDescent="0.55000000000000004">
      <c r="W18954"/>
    </row>
    <row r="18955" spans="23:23" x14ac:dyDescent="0.55000000000000004">
      <c r="W18955"/>
    </row>
    <row r="18956" spans="23:23" x14ac:dyDescent="0.55000000000000004">
      <c r="W18956"/>
    </row>
    <row r="18957" spans="23:23" x14ac:dyDescent="0.55000000000000004">
      <c r="W18957"/>
    </row>
    <row r="18958" spans="23:23" x14ac:dyDescent="0.55000000000000004">
      <c r="W18958"/>
    </row>
    <row r="18959" spans="23:23" x14ac:dyDescent="0.55000000000000004">
      <c r="W18959"/>
    </row>
    <row r="18960" spans="23:23" x14ac:dyDescent="0.55000000000000004">
      <c r="W18960"/>
    </row>
    <row r="18961" spans="23:23" x14ac:dyDescent="0.55000000000000004">
      <c r="W18961"/>
    </row>
    <row r="18962" spans="23:23" x14ac:dyDescent="0.55000000000000004">
      <c r="W18962"/>
    </row>
    <row r="18963" spans="23:23" x14ac:dyDescent="0.55000000000000004">
      <c r="W18963"/>
    </row>
    <row r="18964" spans="23:23" x14ac:dyDescent="0.55000000000000004">
      <c r="W18964"/>
    </row>
    <row r="18965" spans="23:23" x14ac:dyDescent="0.55000000000000004">
      <c r="W18965"/>
    </row>
    <row r="18966" spans="23:23" x14ac:dyDescent="0.55000000000000004">
      <c r="W18966"/>
    </row>
    <row r="18967" spans="23:23" x14ac:dyDescent="0.55000000000000004">
      <c r="W18967"/>
    </row>
    <row r="18968" spans="23:23" x14ac:dyDescent="0.55000000000000004">
      <c r="W18968"/>
    </row>
    <row r="18969" spans="23:23" x14ac:dyDescent="0.55000000000000004">
      <c r="W18969"/>
    </row>
    <row r="18970" spans="23:23" x14ac:dyDescent="0.55000000000000004">
      <c r="W18970"/>
    </row>
    <row r="18971" spans="23:23" x14ac:dyDescent="0.55000000000000004">
      <c r="W18971"/>
    </row>
    <row r="18972" spans="23:23" x14ac:dyDescent="0.55000000000000004">
      <c r="W18972"/>
    </row>
    <row r="18973" spans="23:23" x14ac:dyDescent="0.55000000000000004">
      <c r="W18973"/>
    </row>
    <row r="18974" spans="23:23" x14ac:dyDescent="0.55000000000000004">
      <c r="W18974"/>
    </row>
    <row r="18975" spans="23:23" x14ac:dyDescent="0.55000000000000004">
      <c r="W18975"/>
    </row>
    <row r="18976" spans="23:23" x14ac:dyDescent="0.55000000000000004">
      <c r="W18976"/>
    </row>
    <row r="18977" spans="23:23" x14ac:dyDescent="0.55000000000000004">
      <c r="W18977"/>
    </row>
    <row r="18978" spans="23:23" x14ac:dyDescent="0.55000000000000004">
      <c r="W18978"/>
    </row>
    <row r="18979" spans="23:23" x14ac:dyDescent="0.55000000000000004">
      <c r="W18979"/>
    </row>
    <row r="18980" spans="23:23" x14ac:dyDescent="0.55000000000000004">
      <c r="W18980"/>
    </row>
    <row r="18981" spans="23:23" x14ac:dyDescent="0.55000000000000004">
      <c r="W18981"/>
    </row>
    <row r="18982" spans="23:23" x14ac:dyDescent="0.55000000000000004">
      <c r="W18982"/>
    </row>
    <row r="18983" spans="23:23" x14ac:dyDescent="0.55000000000000004">
      <c r="W18983"/>
    </row>
    <row r="18984" spans="23:23" x14ac:dyDescent="0.55000000000000004">
      <c r="W18984"/>
    </row>
    <row r="18985" spans="23:23" x14ac:dyDescent="0.55000000000000004">
      <c r="W18985"/>
    </row>
    <row r="18986" spans="23:23" x14ac:dyDescent="0.55000000000000004">
      <c r="W18986"/>
    </row>
    <row r="18987" spans="23:23" x14ac:dyDescent="0.55000000000000004">
      <c r="W18987"/>
    </row>
    <row r="18988" spans="23:23" x14ac:dyDescent="0.55000000000000004">
      <c r="W18988"/>
    </row>
    <row r="18989" spans="23:23" x14ac:dyDescent="0.55000000000000004">
      <c r="W18989"/>
    </row>
    <row r="18990" spans="23:23" x14ac:dyDescent="0.55000000000000004">
      <c r="W18990"/>
    </row>
    <row r="18991" spans="23:23" x14ac:dyDescent="0.55000000000000004">
      <c r="W18991"/>
    </row>
    <row r="18992" spans="23:23" x14ac:dyDescent="0.55000000000000004">
      <c r="W18992"/>
    </row>
    <row r="18993" spans="23:23" x14ac:dyDescent="0.55000000000000004">
      <c r="W18993"/>
    </row>
    <row r="18994" spans="23:23" x14ac:dyDescent="0.55000000000000004">
      <c r="W18994"/>
    </row>
    <row r="18995" spans="23:23" x14ac:dyDescent="0.55000000000000004">
      <c r="W18995"/>
    </row>
    <row r="18996" spans="23:23" x14ac:dyDescent="0.55000000000000004">
      <c r="W18996"/>
    </row>
    <row r="18997" spans="23:23" x14ac:dyDescent="0.55000000000000004">
      <c r="W18997"/>
    </row>
    <row r="18998" spans="23:23" x14ac:dyDescent="0.55000000000000004">
      <c r="W18998"/>
    </row>
    <row r="18999" spans="23:23" x14ac:dyDescent="0.55000000000000004">
      <c r="W18999"/>
    </row>
    <row r="19000" spans="23:23" x14ac:dyDescent="0.55000000000000004">
      <c r="W19000"/>
    </row>
    <row r="19001" spans="23:23" x14ac:dyDescent="0.55000000000000004">
      <c r="W19001"/>
    </row>
    <row r="19002" spans="23:23" x14ac:dyDescent="0.55000000000000004">
      <c r="W19002"/>
    </row>
    <row r="19003" spans="23:23" x14ac:dyDescent="0.55000000000000004">
      <c r="W19003"/>
    </row>
    <row r="19004" spans="23:23" x14ac:dyDescent="0.55000000000000004">
      <c r="W19004"/>
    </row>
    <row r="19005" spans="23:23" x14ac:dyDescent="0.55000000000000004">
      <c r="W19005"/>
    </row>
    <row r="19006" spans="23:23" x14ac:dyDescent="0.55000000000000004">
      <c r="W19006"/>
    </row>
    <row r="19007" spans="23:23" x14ac:dyDescent="0.55000000000000004">
      <c r="W19007"/>
    </row>
    <row r="19008" spans="23:23" x14ac:dyDescent="0.55000000000000004">
      <c r="W19008"/>
    </row>
    <row r="19009" spans="23:23" x14ac:dyDescent="0.55000000000000004">
      <c r="W19009"/>
    </row>
    <row r="19010" spans="23:23" x14ac:dyDescent="0.55000000000000004">
      <c r="W19010"/>
    </row>
    <row r="19011" spans="23:23" x14ac:dyDescent="0.55000000000000004">
      <c r="W19011"/>
    </row>
    <row r="19012" spans="23:23" x14ac:dyDescent="0.55000000000000004">
      <c r="W19012"/>
    </row>
    <row r="19013" spans="23:23" x14ac:dyDescent="0.55000000000000004">
      <c r="W19013"/>
    </row>
    <row r="19014" spans="23:23" x14ac:dyDescent="0.55000000000000004">
      <c r="W19014"/>
    </row>
    <row r="19015" spans="23:23" x14ac:dyDescent="0.55000000000000004">
      <c r="W19015"/>
    </row>
    <row r="19016" spans="23:23" x14ac:dyDescent="0.55000000000000004">
      <c r="W19016"/>
    </row>
    <row r="19017" spans="23:23" x14ac:dyDescent="0.55000000000000004">
      <c r="W19017"/>
    </row>
    <row r="19018" spans="23:23" x14ac:dyDescent="0.55000000000000004">
      <c r="W19018"/>
    </row>
    <row r="19019" spans="23:23" x14ac:dyDescent="0.55000000000000004">
      <c r="W19019"/>
    </row>
    <row r="19020" spans="23:23" x14ac:dyDescent="0.55000000000000004">
      <c r="W19020"/>
    </row>
    <row r="19021" spans="23:23" x14ac:dyDescent="0.55000000000000004">
      <c r="W19021"/>
    </row>
    <row r="19022" spans="23:23" x14ac:dyDescent="0.55000000000000004">
      <c r="W19022"/>
    </row>
    <row r="19023" spans="23:23" x14ac:dyDescent="0.55000000000000004">
      <c r="W19023"/>
    </row>
    <row r="19024" spans="23:23" x14ac:dyDescent="0.55000000000000004">
      <c r="W19024"/>
    </row>
    <row r="19025" spans="23:23" x14ac:dyDescent="0.55000000000000004">
      <c r="W19025"/>
    </row>
    <row r="19026" spans="23:23" x14ac:dyDescent="0.55000000000000004">
      <c r="W19026"/>
    </row>
    <row r="19027" spans="23:23" x14ac:dyDescent="0.55000000000000004">
      <c r="W19027"/>
    </row>
    <row r="19028" spans="23:23" x14ac:dyDescent="0.55000000000000004">
      <c r="W19028"/>
    </row>
    <row r="19029" spans="23:23" x14ac:dyDescent="0.55000000000000004">
      <c r="W19029"/>
    </row>
    <row r="19030" spans="23:23" x14ac:dyDescent="0.55000000000000004">
      <c r="W19030"/>
    </row>
    <row r="19031" spans="23:23" x14ac:dyDescent="0.55000000000000004">
      <c r="W19031"/>
    </row>
    <row r="19032" spans="23:23" x14ac:dyDescent="0.55000000000000004">
      <c r="W19032"/>
    </row>
    <row r="19033" spans="23:23" x14ac:dyDescent="0.55000000000000004">
      <c r="W19033"/>
    </row>
    <row r="19034" spans="23:23" x14ac:dyDescent="0.55000000000000004">
      <c r="W19034"/>
    </row>
    <row r="19035" spans="23:23" x14ac:dyDescent="0.55000000000000004">
      <c r="W19035"/>
    </row>
    <row r="19036" spans="23:23" x14ac:dyDescent="0.55000000000000004">
      <c r="W19036"/>
    </row>
    <row r="19037" spans="23:23" x14ac:dyDescent="0.55000000000000004">
      <c r="W19037"/>
    </row>
    <row r="19038" spans="23:23" x14ac:dyDescent="0.55000000000000004">
      <c r="W19038"/>
    </row>
    <row r="19039" spans="23:23" x14ac:dyDescent="0.55000000000000004">
      <c r="W19039"/>
    </row>
    <row r="19040" spans="23:23" x14ac:dyDescent="0.55000000000000004">
      <c r="W19040"/>
    </row>
    <row r="19041" spans="23:23" x14ac:dyDescent="0.55000000000000004">
      <c r="W19041"/>
    </row>
    <row r="19042" spans="23:23" x14ac:dyDescent="0.55000000000000004">
      <c r="W19042"/>
    </row>
    <row r="19043" spans="23:23" x14ac:dyDescent="0.55000000000000004">
      <c r="W19043"/>
    </row>
    <row r="19044" spans="23:23" x14ac:dyDescent="0.55000000000000004">
      <c r="W19044"/>
    </row>
    <row r="19045" spans="23:23" x14ac:dyDescent="0.55000000000000004">
      <c r="W19045"/>
    </row>
    <row r="19046" spans="23:23" x14ac:dyDescent="0.55000000000000004">
      <c r="W19046"/>
    </row>
    <row r="19047" spans="23:23" x14ac:dyDescent="0.55000000000000004">
      <c r="W19047"/>
    </row>
    <row r="19048" spans="23:23" x14ac:dyDescent="0.55000000000000004">
      <c r="W19048"/>
    </row>
    <row r="19049" spans="23:23" x14ac:dyDescent="0.55000000000000004">
      <c r="W19049"/>
    </row>
    <row r="19050" spans="23:23" x14ac:dyDescent="0.55000000000000004">
      <c r="W19050"/>
    </row>
    <row r="19051" spans="23:23" x14ac:dyDescent="0.55000000000000004">
      <c r="W19051"/>
    </row>
    <row r="19052" spans="23:23" x14ac:dyDescent="0.55000000000000004">
      <c r="W19052"/>
    </row>
    <row r="19053" spans="23:23" x14ac:dyDescent="0.55000000000000004">
      <c r="W19053"/>
    </row>
    <row r="19054" spans="23:23" x14ac:dyDescent="0.55000000000000004">
      <c r="W19054"/>
    </row>
    <row r="19055" spans="23:23" x14ac:dyDescent="0.55000000000000004">
      <c r="W19055"/>
    </row>
    <row r="19056" spans="23:23" x14ac:dyDescent="0.55000000000000004">
      <c r="W19056"/>
    </row>
    <row r="19057" spans="23:23" x14ac:dyDescent="0.55000000000000004">
      <c r="W19057"/>
    </row>
    <row r="19058" spans="23:23" x14ac:dyDescent="0.55000000000000004">
      <c r="W19058"/>
    </row>
    <row r="19059" spans="23:23" x14ac:dyDescent="0.55000000000000004">
      <c r="W19059"/>
    </row>
    <row r="19060" spans="23:23" x14ac:dyDescent="0.55000000000000004">
      <c r="W19060"/>
    </row>
    <row r="19061" spans="23:23" x14ac:dyDescent="0.55000000000000004">
      <c r="W19061"/>
    </row>
    <row r="19062" spans="23:23" x14ac:dyDescent="0.55000000000000004">
      <c r="W19062"/>
    </row>
    <row r="19063" spans="23:23" x14ac:dyDescent="0.55000000000000004">
      <c r="W19063"/>
    </row>
    <row r="19064" spans="23:23" x14ac:dyDescent="0.55000000000000004">
      <c r="W19064"/>
    </row>
    <row r="19065" spans="23:23" x14ac:dyDescent="0.55000000000000004">
      <c r="W19065"/>
    </row>
    <row r="19066" spans="23:23" x14ac:dyDescent="0.55000000000000004">
      <c r="W19066"/>
    </row>
    <row r="19067" spans="23:23" x14ac:dyDescent="0.55000000000000004">
      <c r="W19067"/>
    </row>
    <row r="19068" spans="23:23" x14ac:dyDescent="0.55000000000000004">
      <c r="W19068"/>
    </row>
    <row r="19069" spans="23:23" x14ac:dyDescent="0.55000000000000004">
      <c r="W19069"/>
    </row>
    <row r="19070" spans="23:23" x14ac:dyDescent="0.55000000000000004">
      <c r="W19070"/>
    </row>
    <row r="19071" spans="23:23" x14ac:dyDescent="0.55000000000000004">
      <c r="W19071"/>
    </row>
    <row r="19072" spans="23:23" x14ac:dyDescent="0.55000000000000004">
      <c r="W19072"/>
    </row>
    <row r="19073" spans="23:23" x14ac:dyDescent="0.55000000000000004">
      <c r="W19073"/>
    </row>
    <row r="19074" spans="23:23" x14ac:dyDescent="0.55000000000000004">
      <c r="W19074"/>
    </row>
    <row r="19075" spans="23:23" x14ac:dyDescent="0.55000000000000004">
      <c r="W19075"/>
    </row>
    <row r="19076" spans="23:23" x14ac:dyDescent="0.55000000000000004">
      <c r="W19076"/>
    </row>
    <row r="19077" spans="23:23" x14ac:dyDescent="0.55000000000000004">
      <c r="W19077"/>
    </row>
    <row r="19078" spans="23:23" x14ac:dyDescent="0.55000000000000004">
      <c r="W19078"/>
    </row>
    <row r="19079" spans="23:23" x14ac:dyDescent="0.55000000000000004">
      <c r="W19079"/>
    </row>
    <row r="19080" spans="23:23" x14ac:dyDescent="0.55000000000000004">
      <c r="W19080"/>
    </row>
    <row r="19081" spans="23:23" x14ac:dyDescent="0.55000000000000004">
      <c r="W19081"/>
    </row>
    <row r="19082" spans="23:23" x14ac:dyDescent="0.55000000000000004">
      <c r="W19082"/>
    </row>
    <row r="19083" spans="23:23" x14ac:dyDescent="0.55000000000000004">
      <c r="W19083"/>
    </row>
    <row r="19084" spans="23:23" x14ac:dyDescent="0.55000000000000004">
      <c r="W19084"/>
    </row>
    <row r="19085" spans="23:23" x14ac:dyDescent="0.55000000000000004">
      <c r="W19085"/>
    </row>
    <row r="19086" spans="23:23" x14ac:dyDescent="0.55000000000000004">
      <c r="W19086"/>
    </row>
    <row r="19087" spans="23:23" x14ac:dyDescent="0.55000000000000004">
      <c r="W19087"/>
    </row>
    <row r="19088" spans="23:23" x14ac:dyDescent="0.55000000000000004">
      <c r="W19088"/>
    </row>
    <row r="19089" spans="23:23" x14ac:dyDescent="0.55000000000000004">
      <c r="W19089"/>
    </row>
    <row r="19090" spans="23:23" x14ac:dyDescent="0.55000000000000004">
      <c r="W19090"/>
    </row>
    <row r="19091" spans="23:23" x14ac:dyDescent="0.55000000000000004">
      <c r="W19091"/>
    </row>
    <row r="19092" spans="23:23" x14ac:dyDescent="0.55000000000000004">
      <c r="W19092"/>
    </row>
    <row r="19093" spans="23:23" x14ac:dyDescent="0.55000000000000004">
      <c r="W19093"/>
    </row>
    <row r="19094" spans="23:23" x14ac:dyDescent="0.55000000000000004">
      <c r="W19094"/>
    </row>
    <row r="19095" spans="23:23" x14ac:dyDescent="0.55000000000000004">
      <c r="W19095"/>
    </row>
    <row r="19096" spans="23:23" x14ac:dyDescent="0.55000000000000004">
      <c r="W19096"/>
    </row>
    <row r="19097" spans="23:23" x14ac:dyDescent="0.55000000000000004">
      <c r="W19097"/>
    </row>
    <row r="19098" spans="23:23" x14ac:dyDescent="0.55000000000000004">
      <c r="W19098"/>
    </row>
    <row r="19099" spans="23:23" x14ac:dyDescent="0.55000000000000004">
      <c r="W19099"/>
    </row>
    <row r="19100" spans="23:23" x14ac:dyDescent="0.55000000000000004">
      <c r="W19100"/>
    </row>
    <row r="19101" spans="23:23" x14ac:dyDescent="0.55000000000000004">
      <c r="W19101"/>
    </row>
    <row r="19102" spans="23:23" x14ac:dyDescent="0.55000000000000004">
      <c r="W19102"/>
    </row>
    <row r="19103" spans="23:23" x14ac:dyDescent="0.55000000000000004">
      <c r="W19103"/>
    </row>
    <row r="19104" spans="23:23" x14ac:dyDescent="0.55000000000000004">
      <c r="W19104"/>
    </row>
    <row r="19105" spans="23:23" x14ac:dyDescent="0.55000000000000004">
      <c r="W19105"/>
    </row>
    <row r="19106" spans="23:23" x14ac:dyDescent="0.55000000000000004">
      <c r="W19106"/>
    </row>
    <row r="19107" spans="23:23" x14ac:dyDescent="0.55000000000000004">
      <c r="W19107"/>
    </row>
    <row r="19108" spans="23:23" x14ac:dyDescent="0.55000000000000004">
      <c r="W19108"/>
    </row>
    <row r="19109" spans="23:23" x14ac:dyDescent="0.55000000000000004">
      <c r="W19109"/>
    </row>
    <row r="19110" spans="23:23" x14ac:dyDescent="0.55000000000000004">
      <c r="W19110"/>
    </row>
    <row r="19111" spans="23:23" x14ac:dyDescent="0.55000000000000004">
      <c r="W19111"/>
    </row>
    <row r="19112" spans="23:23" x14ac:dyDescent="0.55000000000000004">
      <c r="W19112"/>
    </row>
    <row r="19113" spans="23:23" x14ac:dyDescent="0.55000000000000004">
      <c r="W19113"/>
    </row>
    <row r="19114" spans="23:23" x14ac:dyDescent="0.55000000000000004">
      <c r="W19114"/>
    </row>
    <row r="19115" spans="23:23" x14ac:dyDescent="0.55000000000000004">
      <c r="W19115"/>
    </row>
    <row r="19116" spans="23:23" x14ac:dyDescent="0.55000000000000004">
      <c r="W19116"/>
    </row>
    <row r="19117" spans="23:23" x14ac:dyDescent="0.55000000000000004">
      <c r="W19117"/>
    </row>
    <row r="19118" spans="23:23" x14ac:dyDescent="0.55000000000000004">
      <c r="W19118"/>
    </row>
    <row r="19119" spans="23:23" x14ac:dyDescent="0.55000000000000004">
      <c r="W19119"/>
    </row>
    <row r="19120" spans="23:23" x14ac:dyDescent="0.55000000000000004">
      <c r="W19120"/>
    </row>
    <row r="19121" spans="23:23" x14ac:dyDescent="0.55000000000000004">
      <c r="W19121"/>
    </row>
    <row r="19122" spans="23:23" x14ac:dyDescent="0.55000000000000004">
      <c r="W19122"/>
    </row>
    <row r="19123" spans="23:23" x14ac:dyDescent="0.55000000000000004">
      <c r="W19123"/>
    </row>
    <row r="19124" spans="23:23" x14ac:dyDescent="0.55000000000000004">
      <c r="W19124"/>
    </row>
    <row r="19125" spans="23:23" x14ac:dyDescent="0.55000000000000004">
      <c r="W19125"/>
    </row>
    <row r="19126" spans="23:23" x14ac:dyDescent="0.55000000000000004">
      <c r="W19126"/>
    </row>
    <row r="19127" spans="23:23" x14ac:dyDescent="0.55000000000000004">
      <c r="W19127"/>
    </row>
    <row r="19128" spans="23:23" x14ac:dyDescent="0.55000000000000004">
      <c r="W19128"/>
    </row>
    <row r="19129" spans="23:23" x14ac:dyDescent="0.55000000000000004">
      <c r="W19129"/>
    </row>
    <row r="19130" spans="23:23" x14ac:dyDescent="0.55000000000000004">
      <c r="W19130"/>
    </row>
    <row r="19131" spans="23:23" x14ac:dyDescent="0.55000000000000004">
      <c r="W19131"/>
    </row>
    <row r="19132" spans="23:23" x14ac:dyDescent="0.55000000000000004">
      <c r="W19132"/>
    </row>
    <row r="19133" spans="23:23" x14ac:dyDescent="0.55000000000000004">
      <c r="W19133"/>
    </row>
    <row r="19134" spans="23:23" x14ac:dyDescent="0.55000000000000004">
      <c r="W19134"/>
    </row>
    <row r="19135" spans="23:23" x14ac:dyDescent="0.55000000000000004">
      <c r="W19135"/>
    </row>
    <row r="19136" spans="23:23" x14ac:dyDescent="0.55000000000000004">
      <c r="W19136"/>
    </row>
    <row r="19137" spans="23:23" x14ac:dyDescent="0.55000000000000004">
      <c r="W19137"/>
    </row>
    <row r="19138" spans="23:23" x14ac:dyDescent="0.55000000000000004">
      <c r="W19138"/>
    </row>
    <row r="19139" spans="23:23" x14ac:dyDescent="0.55000000000000004">
      <c r="W19139"/>
    </row>
    <row r="19140" spans="23:23" x14ac:dyDescent="0.55000000000000004">
      <c r="W19140"/>
    </row>
    <row r="19141" spans="23:23" x14ac:dyDescent="0.55000000000000004">
      <c r="W19141"/>
    </row>
    <row r="19142" spans="23:23" x14ac:dyDescent="0.55000000000000004">
      <c r="W19142"/>
    </row>
    <row r="19143" spans="23:23" x14ac:dyDescent="0.55000000000000004">
      <c r="W19143"/>
    </row>
    <row r="19144" spans="23:23" x14ac:dyDescent="0.55000000000000004">
      <c r="W19144"/>
    </row>
    <row r="19145" spans="23:23" x14ac:dyDescent="0.55000000000000004">
      <c r="W19145"/>
    </row>
    <row r="19146" spans="23:23" x14ac:dyDescent="0.55000000000000004">
      <c r="W19146"/>
    </row>
    <row r="19147" spans="23:23" x14ac:dyDescent="0.55000000000000004">
      <c r="W19147"/>
    </row>
    <row r="19148" spans="23:23" x14ac:dyDescent="0.55000000000000004">
      <c r="W19148"/>
    </row>
    <row r="19149" spans="23:23" x14ac:dyDescent="0.55000000000000004">
      <c r="W19149"/>
    </row>
    <row r="19150" spans="23:23" x14ac:dyDescent="0.55000000000000004">
      <c r="W19150"/>
    </row>
    <row r="19151" spans="23:23" x14ac:dyDescent="0.55000000000000004">
      <c r="W19151"/>
    </row>
    <row r="19152" spans="23:23" x14ac:dyDescent="0.55000000000000004">
      <c r="W19152"/>
    </row>
    <row r="19153" spans="23:23" x14ac:dyDescent="0.55000000000000004">
      <c r="W19153"/>
    </row>
    <row r="19154" spans="23:23" x14ac:dyDescent="0.55000000000000004">
      <c r="W19154"/>
    </row>
    <row r="19155" spans="23:23" x14ac:dyDescent="0.55000000000000004">
      <c r="W19155"/>
    </row>
    <row r="19156" spans="23:23" x14ac:dyDescent="0.55000000000000004">
      <c r="W19156"/>
    </row>
    <row r="19157" spans="23:23" x14ac:dyDescent="0.55000000000000004">
      <c r="W19157"/>
    </row>
    <row r="19158" spans="23:23" x14ac:dyDescent="0.55000000000000004">
      <c r="W19158"/>
    </row>
    <row r="19159" spans="23:23" x14ac:dyDescent="0.55000000000000004">
      <c r="W19159"/>
    </row>
    <row r="19160" spans="23:23" x14ac:dyDescent="0.55000000000000004">
      <c r="W19160"/>
    </row>
    <row r="19161" spans="23:23" x14ac:dyDescent="0.55000000000000004">
      <c r="W19161"/>
    </row>
    <row r="19162" spans="23:23" x14ac:dyDescent="0.55000000000000004">
      <c r="W19162"/>
    </row>
    <row r="19163" spans="23:23" x14ac:dyDescent="0.55000000000000004">
      <c r="W19163"/>
    </row>
    <row r="19164" spans="23:23" x14ac:dyDescent="0.55000000000000004">
      <c r="W19164"/>
    </row>
    <row r="19165" spans="23:23" x14ac:dyDescent="0.55000000000000004">
      <c r="W19165"/>
    </row>
    <row r="19166" spans="23:23" x14ac:dyDescent="0.55000000000000004">
      <c r="W19166"/>
    </row>
    <row r="19167" spans="23:23" x14ac:dyDescent="0.55000000000000004">
      <c r="W19167"/>
    </row>
    <row r="19168" spans="23:23" x14ac:dyDescent="0.55000000000000004">
      <c r="W19168"/>
    </row>
    <row r="19169" spans="23:23" x14ac:dyDescent="0.55000000000000004">
      <c r="W19169"/>
    </row>
    <row r="19170" spans="23:23" x14ac:dyDescent="0.55000000000000004">
      <c r="W19170"/>
    </row>
    <row r="19171" spans="23:23" x14ac:dyDescent="0.55000000000000004">
      <c r="W19171"/>
    </row>
    <row r="19172" spans="23:23" x14ac:dyDescent="0.55000000000000004">
      <c r="W19172"/>
    </row>
    <row r="19173" spans="23:23" x14ac:dyDescent="0.55000000000000004">
      <c r="W19173"/>
    </row>
    <row r="19174" spans="23:23" x14ac:dyDescent="0.55000000000000004">
      <c r="W19174"/>
    </row>
    <row r="19175" spans="23:23" x14ac:dyDescent="0.55000000000000004">
      <c r="W19175"/>
    </row>
    <row r="19176" spans="23:23" x14ac:dyDescent="0.55000000000000004">
      <c r="W19176"/>
    </row>
    <row r="19177" spans="23:23" x14ac:dyDescent="0.55000000000000004">
      <c r="W19177"/>
    </row>
    <row r="19178" spans="23:23" x14ac:dyDescent="0.55000000000000004">
      <c r="W19178"/>
    </row>
    <row r="19179" spans="23:23" x14ac:dyDescent="0.55000000000000004">
      <c r="W19179"/>
    </row>
    <row r="19180" spans="23:23" x14ac:dyDescent="0.55000000000000004">
      <c r="W19180"/>
    </row>
    <row r="19181" spans="23:23" x14ac:dyDescent="0.55000000000000004">
      <c r="W19181"/>
    </row>
    <row r="19182" spans="23:23" x14ac:dyDescent="0.55000000000000004">
      <c r="W19182"/>
    </row>
    <row r="19183" spans="23:23" x14ac:dyDescent="0.55000000000000004">
      <c r="W19183"/>
    </row>
    <row r="19184" spans="23:23" x14ac:dyDescent="0.55000000000000004">
      <c r="W19184"/>
    </row>
    <row r="19185" spans="23:23" x14ac:dyDescent="0.55000000000000004">
      <c r="W19185"/>
    </row>
    <row r="19186" spans="23:23" x14ac:dyDescent="0.55000000000000004">
      <c r="W19186"/>
    </row>
    <row r="19187" spans="23:23" x14ac:dyDescent="0.55000000000000004">
      <c r="W19187"/>
    </row>
    <row r="19188" spans="23:23" x14ac:dyDescent="0.55000000000000004">
      <c r="W19188"/>
    </row>
    <row r="19189" spans="23:23" x14ac:dyDescent="0.55000000000000004">
      <c r="W19189"/>
    </row>
    <row r="19190" spans="23:23" x14ac:dyDescent="0.55000000000000004">
      <c r="W19190"/>
    </row>
    <row r="19191" spans="23:23" x14ac:dyDescent="0.55000000000000004">
      <c r="W19191"/>
    </row>
    <row r="19192" spans="23:23" x14ac:dyDescent="0.55000000000000004">
      <c r="W19192"/>
    </row>
    <row r="19193" spans="23:23" x14ac:dyDescent="0.55000000000000004">
      <c r="W19193"/>
    </row>
    <row r="19194" spans="23:23" x14ac:dyDescent="0.55000000000000004">
      <c r="W19194"/>
    </row>
    <row r="19195" spans="23:23" x14ac:dyDescent="0.55000000000000004">
      <c r="W19195"/>
    </row>
    <row r="19196" spans="23:23" x14ac:dyDescent="0.55000000000000004">
      <c r="W19196"/>
    </row>
    <row r="19197" spans="23:23" x14ac:dyDescent="0.55000000000000004">
      <c r="W19197"/>
    </row>
    <row r="19198" spans="23:23" x14ac:dyDescent="0.55000000000000004">
      <c r="W19198"/>
    </row>
    <row r="19199" spans="23:23" x14ac:dyDescent="0.55000000000000004">
      <c r="W19199"/>
    </row>
    <row r="19200" spans="23:23" x14ac:dyDescent="0.55000000000000004">
      <c r="W19200"/>
    </row>
    <row r="19201" spans="23:23" x14ac:dyDescent="0.55000000000000004">
      <c r="W19201"/>
    </row>
    <row r="19202" spans="23:23" x14ac:dyDescent="0.55000000000000004">
      <c r="W19202"/>
    </row>
    <row r="19203" spans="23:23" x14ac:dyDescent="0.55000000000000004">
      <c r="W19203"/>
    </row>
    <row r="19204" spans="23:23" x14ac:dyDescent="0.55000000000000004">
      <c r="W19204"/>
    </row>
    <row r="19205" spans="23:23" x14ac:dyDescent="0.55000000000000004">
      <c r="W19205"/>
    </row>
    <row r="19206" spans="23:23" x14ac:dyDescent="0.55000000000000004">
      <c r="W19206"/>
    </row>
    <row r="19207" spans="23:23" x14ac:dyDescent="0.55000000000000004">
      <c r="W19207"/>
    </row>
    <row r="19208" spans="23:23" x14ac:dyDescent="0.55000000000000004">
      <c r="W19208"/>
    </row>
    <row r="19209" spans="23:23" x14ac:dyDescent="0.55000000000000004">
      <c r="W19209"/>
    </row>
    <row r="19210" spans="23:23" x14ac:dyDescent="0.55000000000000004">
      <c r="W19210"/>
    </row>
    <row r="19211" spans="23:23" x14ac:dyDescent="0.55000000000000004">
      <c r="W19211"/>
    </row>
    <row r="19212" spans="23:23" x14ac:dyDescent="0.55000000000000004">
      <c r="W19212"/>
    </row>
    <row r="19213" spans="23:23" x14ac:dyDescent="0.55000000000000004">
      <c r="W19213"/>
    </row>
    <row r="19214" spans="23:23" x14ac:dyDescent="0.55000000000000004">
      <c r="W19214"/>
    </row>
    <row r="19215" spans="23:23" x14ac:dyDescent="0.55000000000000004">
      <c r="W19215"/>
    </row>
    <row r="19216" spans="23:23" x14ac:dyDescent="0.55000000000000004">
      <c r="W19216"/>
    </row>
    <row r="19217" spans="23:23" x14ac:dyDescent="0.55000000000000004">
      <c r="W19217"/>
    </row>
    <row r="19218" spans="23:23" x14ac:dyDescent="0.55000000000000004">
      <c r="W19218"/>
    </row>
    <row r="19219" spans="23:23" x14ac:dyDescent="0.55000000000000004">
      <c r="W19219"/>
    </row>
    <row r="19220" spans="23:23" x14ac:dyDescent="0.55000000000000004">
      <c r="W19220"/>
    </row>
    <row r="19221" spans="23:23" x14ac:dyDescent="0.55000000000000004">
      <c r="W19221"/>
    </row>
    <row r="19222" spans="23:23" x14ac:dyDescent="0.55000000000000004">
      <c r="W19222"/>
    </row>
    <row r="19223" spans="23:23" x14ac:dyDescent="0.55000000000000004">
      <c r="W19223"/>
    </row>
    <row r="19224" spans="23:23" x14ac:dyDescent="0.55000000000000004">
      <c r="W19224"/>
    </row>
    <row r="19225" spans="23:23" x14ac:dyDescent="0.55000000000000004">
      <c r="W19225"/>
    </row>
    <row r="19226" spans="23:23" x14ac:dyDescent="0.55000000000000004">
      <c r="W19226"/>
    </row>
    <row r="19227" spans="23:23" x14ac:dyDescent="0.55000000000000004">
      <c r="W19227"/>
    </row>
    <row r="19228" spans="23:23" x14ac:dyDescent="0.55000000000000004">
      <c r="W19228"/>
    </row>
    <row r="19229" spans="23:23" x14ac:dyDescent="0.55000000000000004">
      <c r="W19229"/>
    </row>
    <row r="19230" spans="23:23" x14ac:dyDescent="0.55000000000000004">
      <c r="W19230"/>
    </row>
    <row r="19231" spans="23:23" x14ac:dyDescent="0.55000000000000004">
      <c r="W19231"/>
    </row>
    <row r="19232" spans="23:23" x14ac:dyDescent="0.55000000000000004">
      <c r="W19232"/>
    </row>
    <row r="19233" spans="23:23" x14ac:dyDescent="0.55000000000000004">
      <c r="W19233"/>
    </row>
    <row r="19234" spans="23:23" x14ac:dyDescent="0.55000000000000004">
      <c r="W19234"/>
    </row>
    <row r="19235" spans="23:23" x14ac:dyDescent="0.55000000000000004">
      <c r="W19235"/>
    </row>
    <row r="19236" spans="23:23" x14ac:dyDescent="0.55000000000000004">
      <c r="W19236"/>
    </row>
    <row r="19237" spans="23:23" x14ac:dyDescent="0.55000000000000004">
      <c r="W19237"/>
    </row>
    <row r="19238" spans="23:23" x14ac:dyDescent="0.55000000000000004">
      <c r="W19238"/>
    </row>
    <row r="19239" spans="23:23" x14ac:dyDescent="0.55000000000000004">
      <c r="W19239"/>
    </row>
    <row r="19240" spans="23:23" x14ac:dyDescent="0.55000000000000004">
      <c r="W19240"/>
    </row>
    <row r="19241" spans="23:23" x14ac:dyDescent="0.55000000000000004">
      <c r="W19241"/>
    </row>
    <row r="19242" spans="23:23" x14ac:dyDescent="0.55000000000000004">
      <c r="W19242"/>
    </row>
    <row r="19243" spans="23:23" x14ac:dyDescent="0.55000000000000004">
      <c r="W19243"/>
    </row>
    <row r="19244" spans="23:23" x14ac:dyDescent="0.55000000000000004">
      <c r="W19244"/>
    </row>
    <row r="19245" spans="23:23" x14ac:dyDescent="0.55000000000000004">
      <c r="W19245"/>
    </row>
    <row r="19246" spans="23:23" x14ac:dyDescent="0.55000000000000004">
      <c r="W19246"/>
    </row>
    <row r="19247" spans="23:23" x14ac:dyDescent="0.55000000000000004">
      <c r="W19247"/>
    </row>
    <row r="19248" spans="23:23" x14ac:dyDescent="0.55000000000000004">
      <c r="W19248"/>
    </row>
    <row r="19249" spans="23:23" x14ac:dyDescent="0.55000000000000004">
      <c r="W19249"/>
    </row>
    <row r="19250" spans="23:23" x14ac:dyDescent="0.55000000000000004">
      <c r="W19250"/>
    </row>
    <row r="19251" spans="23:23" x14ac:dyDescent="0.55000000000000004">
      <c r="W19251"/>
    </row>
    <row r="19252" spans="23:23" x14ac:dyDescent="0.55000000000000004">
      <c r="W19252"/>
    </row>
    <row r="19253" spans="23:23" x14ac:dyDescent="0.55000000000000004">
      <c r="W19253"/>
    </row>
    <row r="19254" spans="23:23" x14ac:dyDescent="0.55000000000000004">
      <c r="W19254"/>
    </row>
    <row r="19255" spans="23:23" x14ac:dyDescent="0.55000000000000004">
      <c r="W19255"/>
    </row>
    <row r="19256" spans="23:23" x14ac:dyDescent="0.55000000000000004">
      <c r="W19256"/>
    </row>
    <row r="19257" spans="23:23" x14ac:dyDescent="0.55000000000000004">
      <c r="W19257"/>
    </row>
    <row r="19258" spans="23:23" x14ac:dyDescent="0.55000000000000004">
      <c r="W19258"/>
    </row>
    <row r="19259" spans="23:23" x14ac:dyDescent="0.55000000000000004">
      <c r="W19259"/>
    </row>
    <row r="19260" spans="23:23" x14ac:dyDescent="0.55000000000000004">
      <c r="W19260"/>
    </row>
    <row r="19261" spans="23:23" x14ac:dyDescent="0.55000000000000004">
      <c r="W19261"/>
    </row>
    <row r="19262" spans="23:23" x14ac:dyDescent="0.55000000000000004">
      <c r="W19262"/>
    </row>
    <row r="19263" spans="23:23" x14ac:dyDescent="0.55000000000000004">
      <c r="W19263"/>
    </row>
    <row r="19264" spans="23:23" x14ac:dyDescent="0.55000000000000004">
      <c r="W19264"/>
    </row>
    <row r="19265" spans="23:23" x14ac:dyDescent="0.55000000000000004">
      <c r="W19265"/>
    </row>
    <row r="19266" spans="23:23" x14ac:dyDescent="0.55000000000000004">
      <c r="W19266"/>
    </row>
    <row r="19267" spans="23:23" x14ac:dyDescent="0.55000000000000004">
      <c r="W19267"/>
    </row>
    <row r="19268" spans="23:23" x14ac:dyDescent="0.55000000000000004">
      <c r="W19268"/>
    </row>
    <row r="19269" spans="23:23" x14ac:dyDescent="0.55000000000000004">
      <c r="W19269"/>
    </row>
    <row r="19270" spans="23:23" x14ac:dyDescent="0.55000000000000004">
      <c r="W19270"/>
    </row>
    <row r="19271" spans="23:23" x14ac:dyDescent="0.55000000000000004">
      <c r="W19271"/>
    </row>
    <row r="19272" spans="23:23" x14ac:dyDescent="0.55000000000000004">
      <c r="W19272"/>
    </row>
    <row r="19273" spans="23:23" x14ac:dyDescent="0.55000000000000004">
      <c r="W19273"/>
    </row>
    <row r="19274" spans="23:23" x14ac:dyDescent="0.55000000000000004">
      <c r="W19274"/>
    </row>
    <row r="19275" spans="23:23" x14ac:dyDescent="0.55000000000000004">
      <c r="W19275"/>
    </row>
    <row r="19276" spans="23:23" x14ac:dyDescent="0.55000000000000004">
      <c r="W19276"/>
    </row>
    <row r="19277" spans="23:23" x14ac:dyDescent="0.55000000000000004">
      <c r="W19277"/>
    </row>
    <row r="19278" spans="23:23" x14ac:dyDescent="0.55000000000000004">
      <c r="W19278"/>
    </row>
    <row r="19279" spans="23:23" x14ac:dyDescent="0.55000000000000004">
      <c r="W19279"/>
    </row>
    <row r="19280" spans="23:23" x14ac:dyDescent="0.55000000000000004">
      <c r="W19280"/>
    </row>
    <row r="19281" spans="23:23" x14ac:dyDescent="0.55000000000000004">
      <c r="W19281"/>
    </row>
    <row r="19282" spans="23:23" x14ac:dyDescent="0.55000000000000004">
      <c r="W19282"/>
    </row>
    <row r="19283" spans="23:23" x14ac:dyDescent="0.55000000000000004">
      <c r="W19283"/>
    </row>
    <row r="19284" spans="23:23" x14ac:dyDescent="0.55000000000000004">
      <c r="W19284"/>
    </row>
    <row r="19285" spans="23:23" x14ac:dyDescent="0.55000000000000004">
      <c r="W19285"/>
    </row>
    <row r="19286" spans="23:23" x14ac:dyDescent="0.55000000000000004">
      <c r="W19286"/>
    </row>
    <row r="19287" spans="23:23" x14ac:dyDescent="0.55000000000000004">
      <c r="W19287"/>
    </row>
    <row r="19288" spans="23:23" x14ac:dyDescent="0.55000000000000004">
      <c r="W19288"/>
    </row>
    <row r="19289" spans="23:23" x14ac:dyDescent="0.55000000000000004">
      <c r="W19289"/>
    </row>
    <row r="19290" spans="23:23" x14ac:dyDescent="0.55000000000000004">
      <c r="W19290"/>
    </row>
    <row r="19291" spans="23:23" x14ac:dyDescent="0.55000000000000004">
      <c r="W19291"/>
    </row>
    <row r="19292" spans="23:23" x14ac:dyDescent="0.55000000000000004">
      <c r="W19292"/>
    </row>
    <row r="19293" spans="23:23" x14ac:dyDescent="0.55000000000000004">
      <c r="W19293"/>
    </row>
    <row r="19294" spans="23:23" x14ac:dyDescent="0.55000000000000004">
      <c r="W19294"/>
    </row>
    <row r="19295" spans="23:23" x14ac:dyDescent="0.55000000000000004">
      <c r="W19295"/>
    </row>
    <row r="19296" spans="23:23" x14ac:dyDescent="0.55000000000000004">
      <c r="W19296"/>
    </row>
    <row r="19297" spans="23:23" x14ac:dyDescent="0.55000000000000004">
      <c r="W19297"/>
    </row>
    <row r="19298" spans="23:23" x14ac:dyDescent="0.55000000000000004">
      <c r="W19298"/>
    </row>
    <row r="19299" spans="23:23" x14ac:dyDescent="0.55000000000000004">
      <c r="W19299"/>
    </row>
    <row r="19300" spans="23:23" x14ac:dyDescent="0.55000000000000004">
      <c r="W19300"/>
    </row>
    <row r="19301" spans="23:23" x14ac:dyDescent="0.55000000000000004">
      <c r="W19301"/>
    </row>
    <row r="19302" spans="23:23" x14ac:dyDescent="0.55000000000000004">
      <c r="W19302"/>
    </row>
    <row r="19303" spans="23:23" x14ac:dyDescent="0.55000000000000004">
      <c r="W19303"/>
    </row>
    <row r="19304" spans="23:23" x14ac:dyDescent="0.55000000000000004">
      <c r="W19304"/>
    </row>
    <row r="19305" spans="23:23" x14ac:dyDescent="0.55000000000000004">
      <c r="W19305"/>
    </row>
    <row r="19306" spans="23:23" x14ac:dyDescent="0.55000000000000004">
      <c r="W19306"/>
    </row>
    <row r="19307" spans="23:23" x14ac:dyDescent="0.55000000000000004">
      <c r="W19307"/>
    </row>
    <row r="19308" spans="23:23" x14ac:dyDescent="0.55000000000000004">
      <c r="W19308"/>
    </row>
    <row r="19309" spans="23:23" x14ac:dyDescent="0.55000000000000004">
      <c r="W19309"/>
    </row>
    <row r="19310" spans="23:23" x14ac:dyDescent="0.55000000000000004">
      <c r="W19310"/>
    </row>
    <row r="19311" spans="23:23" x14ac:dyDescent="0.55000000000000004">
      <c r="W19311"/>
    </row>
    <row r="19312" spans="23:23" x14ac:dyDescent="0.55000000000000004">
      <c r="W19312"/>
    </row>
    <row r="19313" spans="23:23" x14ac:dyDescent="0.55000000000000004">
      <c r="W19313"/>
    </row>
    <row r="19314" spans="23:23" x14ac:dyDescent="0.55000000000000004">
      <c r="W19314"/>
    </row>
    <row r="19315" spans="23:23" x14ac:dyDescent="0.55000000000000004">
      <c r="W19315"/>
    </row>
    <row r="19316" spans="23:23" x14ac:dyDescent="0.55000000000000004">
      <c r="W19316"/>
    </row>
    <row r="19317" spans="23:23" x14ac:dyDescent="0.55000000000000004">
      <c r="W19317"/>
    </row>
    <row r="19318" spans="23:23" x14ac:dyDescent="0.55000000000000004">
      <c r="W19318"/>
    </row>
    <row r="19319" spans="23:23" x14ac:dyDescent="0.55000000000000004">
      <c r="W19319"/>
    </row>
    <row r="19320" spans="23:23" x14ac:dyDescent="0.55000000000000004">
      <c r="W19320"/>
    </row>
    <row r="19321" spans="23:23" x14ac:dyDescent="0.55000000000000004">
      <c r="W19321"/>
    </row>
    <row r="19322" spans="23:23" x14ac:dyDescent="0.55000000000000004">
      <c r="W19322"/>
    </row>
    <row r="19323" spans="23:23" x14ac:dyDescent="0.55000000000000004">
      <c r="W19323"/>
    </row>
    <row r="19324" spans="23:23" x14ac:dyDescent="0.55000000000000004">
      <c r="W19324"/>
    </row>
    <row r="19325" spans="23:23" x14ac:dyDescent="0.55000000000000004">
      <c r="W19325"/>
    </row>
    <row r="19326" spans="23:23" x14ac:dyDescent="0.55000000000000004">
      <c r="W19326"/>
    </row>
    <row r="19327" spans="23:23" x14ac:dyDescent="0.55000000000000004">
      <c r="W19327"/>
    </row>
    <row r="19328" spans="23:23" x14ac:dyDescent="0.55000000000000004">
      <c r="W19328"/>
    </row>
    <row r="19329" spans="23:23" x14ac:dyDescent="0.55000000000000004">
      <c r="W19329"/>
    </row>
    <row r="19330" spans="23:23" x14ac:dyDescent="0.55000000000000004">
      <c r="W19330"/>
    </row>
    <row r="19331" spans="23:23" x14ac:dyDescent="0.55000000000000004">
      <c r="W19331"/>
    </row>
    <row r="19332" spans="23:23" x14ac:dyDescent="0.55000000000000004">
      <c r="W19332"/>
    </row>
    <row r="19333" spans="23:23" x14ac:dyDescent="0.55000000000000004">
      <c r="W19333"/>
    </row>
    <row r="19334" spans="23:23" x14ac:dyDescent="0.55000000000000004">
      <c r="W19334"/>
    </row>
    <row r="19335" spans="23:23" x14ac:dyDescent="0.55000000000000004">
      <c r="W19335"/>
    </row>
    <row r="19336" spans="23:23" x14ac:dyDescent="0.55000000000000004">
      <c r="W19336"/>
    </row>
    <row r="19337" spans="23:23" x14ac:dyDescent="0.55000000000000004">
      <c r="W19337"/>
    </row>
    <row r="19338" spans="23:23" x14ac:dyDescent="0.55000000000000004">
      <c r="W19338"/>
    </row>
    <row r="19339" spans="23:23" x14ac:dyDescent="0.55000000000000004">
      <c r="W19339"/>
    </row>
    <row r="19340" spans="23:23" x14ac:dyDescent="0.55000000000000004">
      <c r="W19340"/>
    </row>
    <row r="19341" spans="23:23" x14ac:dyDescent="0.55000000000000004">
      <c r="W19341"/>
    </row>
    <row r="19342" spans="23:23" x14ac:dyDescent="0.55000000000000004">
      <c r="W19342"/>
    </row>
    <row r="19343" spans="23:23" x14ac:dyDescent="0.55000000000000004">
      <c r="W19343"/>
    </row>
    <row r="19344" spans="23:23" x14ac:dyDescent="0.55000000000000004">
      <c r="W19344"/>
    </row>
    <row r="19345" spans="23:23" x14ac:dyDescent="0.55000000000000004">
      <c r="W19345"/>
    </row>
    <row r="19346" spans="23:23" x14ac:dyDescent="0.55000000000000004">
      <c r="W19346"/>
    </row>
    <row r="19347" spans="23:23" x14ac:dyDescent="0.55000000000000004">
      <c r="W19347"/>
    </row>
    <row r="19348" spans="23:23" x14ac:dyDescent="0.55000000000000004">
      <c r="W19348"/>
    </row>
    <row r="19349" spans="23:23" x14ac:dyDescent="0.55000000000000004">
      <c r="W19349"/>
    </row>
    <row r="19350" spans="23:23" x14ac:dyDescent="0.55000000000000004">
      <c r="W19350"/>
    </row>
    <row r="19351" spans="23:23" x14ac:dyDescent="0.55000000000000004">
      <c r="W19351"/>
    </row>
    <row r="19352" spans="23:23" x14ac:dyDescent="0.55000000000000004">
      <c r="W19352"/>
    </row>
    <row r="19353" spans="23:23" x14ac:dyDescent="0.55000000000000004">
      <c r="W19353"/>
    </row>
    <row r="19354" spans="23:23" x14ac:dyDescent="0.55000000000000004">
      <c r="W19354"/>
    </row>
    <row r="19355" spans="23:23" x14ac:dyDescent="0.55000000000000004">
      <c r="W19355"/>
    </row>
    <row r="19356" spans="23:23" x14ac:dyDescent="0.55000000000000004">
      <c r="W19356"/>
    </row>
    <row r="19357" spans="23:23" x14ac:dyDescent="0.55000000000000004">
      <c r="W19357"/>
    </row>
    <row r="19358" spans="23:23" x14ac:dyDescent="0.55000000000000004">
      <c r="W19358"/>
    </row>
    <row r="19359" spans="23:23" x14ac:dyDescent="0.55000000000000004">
      <c r="W19359"/>
    </row>
    <row r="19360" spans="23:23" x14ac:dyDescent="0.55000000000000004">
      <c r="W19360"/>
    </row>
    <row r="19361" spans="23:23" x14ac:dyDescent="0.55000000000000004">
      <c r="W19361"/>
    </row>
    <row r="19362" spans="23:23" x14ac:dyDescent="0.55000000000000004">
      <c r="W19362"/>
    </row>
    <row r="19363" spans="23:23" x14ac:dyDescent="0.55000000000000004">
      <c r="W19363"/>
    </row>
    <row r="19364" spans="23:23" x14ac:dyDescent="0.55000000000000004">
      <c r="W19364"/>
    </row>
    <row r="19365" spans="23:23" x14ac:dyDescent="0.55000000000000004">
      <c r="W19365"/>
    </row>
    <row r="19366" spans="23:23" x14ac:dyDescent="0.55000000000000004">
      <c r="W19366"/>
    </row>
    <row r="19367" spans="23:23" x14ac:dyDescent="0.55000000000000004">
      <c r="W19367"/>
    </row>
    <row r="19368" spans="23:23" x14ac:dyDescent="0.55000000000000004">
      <c r="W19368"/>
    </row>
    <row r="19369" spans="23:23" x14ac:dyDescent="0.55000000000000004">
      <c r="W19369"/>
    </row>
    <row r="19370" spans="23:23" x14ac:dyDescent="0.55000000000000004">
      <c r="W19370"/>
    </row>
    <row r="19371" spans="23:23" x14ac:dyDescent="0.55000000000000004">
      <c r="W19371"/>
    </row>
    <row r="19372" spans="23:23" x14ac:dyDescent="0.55000000000000004">
      <c r="W19372"/>
    </row>
    <row r="19373" spans="23:23" x14ac:dyDescent="0.55000000000000004">
      <c r="W19373"/>
    </row>
    <row r="19374" spans="23:23" x14ac:dyDescent="0.55000000000000004">
      <c r="W19374"/>
    </row>
    <row r="19375" spans="23:23" x14ac:dyDescent="0.55000000000000004">
      <c r="W19375"/>
    </row>
    <row r="19376" spans="23:23" x14ac:dyDescent="0.55000000000000004">
      <c r="W19376"/>
    </row>
    <row r="19377" spans="23:23" x14ac:dyDescent="0.55000000000000004">
      <c r="W19377"/>
    </row>
    <row r="19378" spans="23:23" x14ac:dyDescent="0.55000000000000004">
      <c r="W19378"/>
    </row>
    <row r="19379" spans="23:23" x14ac:dyDescent="0.55000000000000004">
      <c r="W19379"/>
    </row>
    <row r="19380" spans="23:23" x14ac:dyDescent="0.55000000000000004">
      <c r="W19380"/>
    </row>
    <row r="19381" spans="23:23" x14ac:dyDescent="0.55000000000000004">
      <c r="W19381"/>
    </row>
    <row r="19382" spans="23:23" x14ac:dyDescent="0.55000000000000004">
      <c r="W19382"/>
    </row>
    <row r="19383" spans="23:23" x14ac:dyDescent="0.55000000000000004">
      <c r="W19383"/>
    </row>
    <row r="19384" spans="23:23" x14ac:dyDescent="0.55000000000000004">
      <c r="W19384"/>
    </row>
    <row r="19385" spans="23:23" x14ac:dyDescent="0.55000000000000004">
      <c r="W19385"/>
    </row>
    <row r="19386" spans="23:23" x14ac:dyDescent="0.55000000000000004">
      <c r="W19386"/>
    </row>
    <row r="19387" spans="23:23" x14ac:dyDescent="0.55000000000000004">
      <c r="W19387"/>
    </row>
    <row r="19388" spans="23:23" x14ac:dyDescent="0.55000000000000004">
      <c r="W19388"/>
    </row>
    <row r="19389" spans="23:23" x14ac:dyDescent="0.55000000000000004">
      <c r="W19389"/>
    </row>
    <row r="19390" spans="23:23" x14ac:dyDescent="0.55000000000000004">
      <c r="W19390"/>
    </row>
    <row r="19391" spans="23:23" x14ac:dyDescent="0.55000000000000004">
      <c r="W19391"/>
    </row>
    <row r="19392" spans="23:23" x14ac:dyDescent="0.55000000000000004">
      <c r="W19392"/>
    </row>
    <row r="19393" spans="23:23" x14ac:dyDescent="0.55000000000000004">
      <c r="W19393"/>
    </row>
    <row r="19394" spans="23:23" x14ac:dyDescent="0.55000000000000004">
      <c r="W19394"/>
    </row>
    <row r="19395" spans="23:23" x14ac:dyDescent="0.55000000000000004">
      <c r="W19395"/>
    </row>
    <row r="19396" spans="23:23" x14ac:dyDescent="0.55000000000000004">
      <c r="W19396"/>
    </row>
    <row r="19397" spans="23:23" x14ac:dyDescent="0.55000000000000004">
      <c r="W19397"/>
    </row>
    <row r="19398" spans="23:23" x14ac:dyDescent="0.55000000000000004">
      <c r="W19398"/>
    </row>
    <row r="19399" spans="23:23" x14ac:dyDescent="0.55000000000000004">
      <c r="W19399"/>
    </row>
    <row r="19400" spans="23:23" x14ac:dyDescent="0.55000000000000004">
      <c r="W19400"/>
    </row>
    <row r="19401" spans="23:23" x14ac:dyDescent="0.55000000000000004">
      <c r="W19401"/>
    </row>
    <row r="19402" spans="23:23" x14ac:dyDescent="0.55000000000000004">
      <c r="W19402"/>
    </row>
    <row r="19403" spans="23:23" x14ac:dyDescent="0.55000000000000004">
      <c r="W19403"/>
    </row>
    <row r="19404" spans="23:23" x14ac:dyDescent="0.55000000000000004">
      <c r="W19404"/>
    </row>
    <row r="19405" spans="23:23" x14ac:dyDescent="0.55000000000000004">
      <c r="W19405"/>
    </row>
    <row r="19406" spans="23:23" x14ac:dyDescent="0.55000000000000004">
      <c r="W19406"/>
    </row>
    <row r="19407" spans="23:23" x14ac:dyDescent="0.55000000000000004">
      <c r="W19407"/>
    </row>
    <row r="19408" spans="23:23" x14ac:dyDescent="0.55000000000000004">
      <c r="W19408"/>
    </row>
    <row r="19409" spans="23:23" x14ac:dyDescent="0.55000000000000004">
      <c r="W19409"/>
    </row>
    <row r="19410" spans="23:23" x14ac:dyDescent="0.55000000000000004">
      <c r="W19410"/>
    </row>
    <row r="19411" spans="23:23" x14ac:dyDescent="0.55000000000000004">
      <c r="W19411"/>
    </row>
    <row r="19412" spans="23:23" x14ac:dyDescent="0.55000000000000004">
      <c r="W19412"/>
    </row>
    <row r="19413" spans="23:23" x14ac:dyDescent="0.55000000000000004">
      <c r="W19413"/>
    </row>
    <row r="19414" spans="23:23" x14ac:dyDescent="0.55000000000000004">
      <c r="W19414"/>
    </row>
    <row r="19415" spans="23:23" x14ac:dyDescent="0.55000000000000004">
      <c r="W19415"/>
    </row>
    <row r="19416" spans="23:23" x14ac:dyDescent="0.55000000000000004">
      <c r="W19416"/>
    </row>
    <row r="19417" spans="23:23" x14ac:dyDescent="0.55000000000000004">
      <c r="W19417"/>
    </row>
    <row r="19418" spans="23:23" x14ac:dyDescent="0.55000000000000004">
      <c r="W19418"/>
    </row>
    <row r="19419" spans="23:23" x14ac:dyDescent="0.55000000000000004">
      <c r="W19419"/>
    </row>
    <row r="19420" spans="23:23" x14ac:dyDescent="0.55000000000000004">
      <c r="W19420"/>
    </row>
    <row r="19421" spans="23:23" x14ac:dyDescent="0.55000000000000004">
      <c r="W19421"/>
    </row>
    <row r="19422" spans="23:23" x14ac:dyDescent="0.55000000000000004">
      <c r="W19422"/>
    </row>
    <row r="19423" spans="23:23" x14ac:dyDescent="0.55000000000000004">
      <c r="W19423"/>
    </row>
    <row r="19424" spans="23:23" x14ac:dyDescent="0.55000000000000004">
      <c r="W19424"/>
    </row>
    <row r="19425" spans="23:23" x14ac:dyDescent="0.55000000000000004">
      <c r="W19425"/>
    </row>
    <row r="19426" spans="23:23" x14ac:dyDescent="0.55000000000000004">
      <c r="W19426"/>
    </row>
    <row r="19427" spans="23:23" x14ac:dyDescent="0.55000000000000004">
      <c r="W19427"/>
    </row>
    <row r="19428" spans="23:23" x14ac:dyDescent="0.55000000000000004">
      <c r="W19428"/>
    </row>
    <row r="19429" spans="23:23" x14ac:dyDescent="0.55000000000000004">
      <c r="W19429"/>
    </row>
    <row r="19430" spans="23:23" x14ac:dyDescent="0.55000000000000004">
      <c r="W19430"/>
    </row>
    <row r="19431" spans="23:23" x14ac:dyDescent="0.55000000000000004">
      <c r="W19431"/>
    </row>
    <row r="19432" spans="23:23" x14ac:dyDescent="0.55000000000000004">
      <c r="W19432"/>
    </row>
    <row r="19433" spans="23:23" x14ac:dyDescent="0.55000000000000004">
      <c r="W19433"/>
    </row>
    <row r="19434" spans="23:23" x14ac:dyDescent="0.55000000000000004">
      <c r="W19434"/>
    </row>
    <row r="19435" spans="23:23" x14ac:dyDescent="0.55000000000000004">
      <c r="W19435"/>
    </row>
    <row r="19436" spans="23:23" x14ac:dyDescent="0.55000000000000004">
      <c r="W19436"/>
    </row>
    <row r="19437" spans="23:23" x14ac:dyDescent="0.55000000000000004">
      <c r="W19437"/>
    </row>
    <row r="19438" spans="23:23" x14ac:dyDescent="0.55000000000000004">
      <c r="W19438"/>
    </row>
    <row r="19439" spans="23:23" x14ac:dyDescent="0.55000000000000004">
      <c r="W19439"/>
    </row>
    <row r="19440" spans="23:23" x14ac:dyDescent="0.55000000000000004">
      <c r="W19440"/>
    </row>
    <row r="19441" spans="23:23" x14ac:dyDescent="0.55000000000000004">
      <c r="W19441"/>
    </row>
    <row r="19442" spans="23:23" x14ac:dyDescent="0.55000000000000004">
      <c r="W19442"/>
    </row>
    <row r="19443" spans="23:23" x14ac:dyDescent="0.55000000000000004">
      <c r="W19443"/>
    </row>
    <row r="19444" spans="23:23" x14ac:dyDescent="0.55000000000000004">
      <c r="W19444"/>
    </row>
    <row r="19445" spans="23:23" x14ac:dyDescent="0.55000000000000004">
      <c r="W19445"/>
    </row>
    <row r="19446" spans="23:23" x14ac:dyDescent="0.55000000000000004">
      <c r="W19446"/>
    </row>
    <row r="19447" spans="23:23" x14ac:dyDescent="0.55000000000000004">
      <c r="W19447"/>
    </row>
    <row r="19448" spans="23:23" x14ac:dyDescent="0.55000000000000004">
      <c r="W19448"/>
    </row>
    <row r="19449" spans="23:23" x14ac:dyDescent="0.55000000000000004">
      <c r="W19449"/>
    </row>
    <row r="19450" spans="23:23" x14ac:dyDescent="0.55000000000000004">
      <c r="W19450"/>
    </row>
    <row r="19451" spans="23:23" x14ac:dyDescent="0.55000000000000004">
      <c r="W19451"/>
    </row>
    <row r="19452" spans="23:23" x14ac:dyDescent="0.55000000000000004">
      <c r="W19452"/>
    </row>
    <row r="19453" spans="23:23" x14ac:dyDescent="0.55000000000000004">
      <c r="W19453"/>
    </row>
    <row r="19454" spans="23:23" x14ac:dyDescent="0.55000000000000004">
      <c r="W19454"/>
    </row>
    <row r="19455" spans="23:23" x14ac:dyDescent="0.55000000000000004">
      <c r="W19455"/>
    </row>
    <row r="19456" spans="23:23" x14ac:dyDescent="0.55000000000000004">
      <c r="W19456"/>
    </row>
    <row r="19457" spans="23:23" x14ac:dyDescent="0.55000000000000004">
      <c r="W19457"/>
    </row>
    <row r="19458" spans="23:23" x14ac:dyDescent="0.55000000000000004">
      <c r="W19458"/>
    </row>
    <row r="19459" spans="23:23" x14ac:dyDescent="0.55000000000000004">
      <c r="W19459"/>
    </row>
    <row r="19460" spans="23:23" x14ac:dyDescent="0.55000000000000004">
      <c r="W19460"/>
    </row>
    <row r="19461" spans="23:23" x14ac:dyDescent="0.55000000000000004">
      <c r="W19461"/>
    </row>
    <row r="19462" spans="23:23" x14ac:dyDescent="0.55000000000000004">
      <c r="W19462"/>
    </row>
    <row r="19463" spans="23:23" x14ac:dyDescent="0.55000000000000004">
      <c r="W19463"/>
    </row>
    <row r="19464" spans="23:23" x14ac:dyDescent="0.55000000000000004">
      <c r="W19464"/>
    </row>
    <row r="19465" spans="23:23" x14ac:dyDescent="0.55000000000000004">
      <c r="W19465"/>
    </row>
    <row r="19466" spans="23:23" x14ac:dyDescent="0.55000000000000004">
      <c r="W19466"/>
    </row>
    <row r="19467" spans="23:23" x14ac:dyDescent="0.55000000000000004">
      <c r="W19467"/>
    </row>
    <row r="19468" spans="23:23" x14ac:dyDescent="0.55000000000000004">
      <c r="W19468"/>
    </row>
    <row r="19469" spans="23:23" x14ac:dyDescent="0.55000000000000004">
      <c r="W19469"/>
    </row>
    <row r="19470" spans="23:23" x14ac:dyDescent="0.55000000000000004">
      <c r="W19470"/>
    </row>
    <row r="19471" spans="23:23" x14ac:dyDescent="0.55000000000000004">
      <c r="W19471"/>
    </row>
    <row r="19472" spans="23:23" x14ac:dyDescent="0.55000000000000004">
      <c r="W19472"/>
    </row>
    <row r="19473" spans="23:23" x14ac:dyDescent="0.55000000000000004">
      <c r="W19473"/>
    </row>
    <row r="19474" spans="23:23" x14ac:dyDescent="0.55000000000000004">
      <c r="W19474"/>
    </row>
    <row r="19475" spans="23:23" x14ac:dyDescent="0.55000000000000004">
      <c r="W19475"/>
    </row>
    <row r="19476" spans="23:23" x14ac:dyDescent="0.55000000000000004">
      <c r="W19476"/>
    </row>
    <row r="19477" spans="23:23" x14ac:dyDescent="0.55000000000000004">
      <c r="W19477"/>
    </row>
    <row r="19478" spans="23:23" x14ac:dyDescent="0.55000000000000004">
      <c r="W19478"/>
    </row>
    <row r="19479" spans="23:23" x14ac:dyDescent="0.55000000000000004">
      <c r="W19479"/>
    </row>
    <row r="19480" spans="23:23" x14ac:dyDescent="0.55000000000000004">
      <c r="W19480"/>
    </row>
    <row r="19481" spans="23:23" x14ac:dyDescent="0.55000000000000004">
      <c r="W19481"/>
    </row>
    <row r="19482" spans="23:23" x14ac:dyDescent="0.55000000000000004">
      <c r="W19482"/>
    </row>
    <row r="19483" spans="23:23" x14ac:dyDescent="0.55000000000000004">
      <c r="W19483"/>
    </row>
    <row r="19484" spans="23:23" x14ac:dyDescent="0.55000000000000004">
      <c r="W19484"/>
    </row>
    <row r="19485" spans="23:23" x14ac:dyDescent="0.55000000000000004">
      <c r="W19485"/>
    </row>
    <row r="19486" spans="23:23" x14ac:dyDescent="0.55000000000000004">
      <c r="W19486"/>
    </row>
    <row r="19487" spans="23:23" x14ac:dyDescent="0.55000000000000004">
      <c r="W19487"/>
    </row>
    <row r="19488" spans="23:23" x14ac:dyDescent="0.55000000000000004">
      <c r="W19488"/>
    </row>
    <row r="19489" spans="23:23" x14ac:dyDescent="0.55000000000000004">
      <c r="W19489"/>
    </row>
    <row r="19490" spans="23:23" x14ac:dyDescent="0.55000000000000004">
      <c r="W19490"/>
    </row>
    <row r="19491" spans="23:23" x14ac:dyDescent="0.55000000000000004">
      <c r="W19491"/>
    </row>
    <row r="19492" spans="23:23" x14ac:dyDescent="0.55000000000000004">
      <c r="W19492"/>
    </row>
    <row r="19493" spans="23:23" x14ac:dyDescent="0.55000000000000004">
      <c r="W19493"/>
    </row>
    <row r="19494" spans="23:23" x14ac:dyDescent="0.55000000000000004">
      <c r="W19494"/>
    </row>
    <row r="19495" spans="23:23" x14ac:dyDescent="0.55000000000000004">
      <c r="W19495"/>
    </row>
    <row r="19496" spans="23:23" x14ac:dyDescent="0.55000000000000004">
      <c r="W19496"/>
    </row>
    <row r="19497" spans="23:23" x14ac:dyDescent="0.55000000000000004">
      <c r="W19497"/>
    </row>
    <row r="19498" spans="23:23" x14ac:dyDescent="0.55000000000000004">
      <c r="W19498"/>
    </row>
    <row r="19499" spans="23:23" x14ac:dyDescent="0.55000000000000004">
      <c r="W19499"/>
    </row>
    <row r="19500" spans="23:23" x14ac:dyDescent="0.55000000000000004">
      <c r="W19500"/>
    </row>
    <row r="19501" spans="23:23" x14ac:dyDescent="0.55000000000000004">
      <c r="W19501"/>
    </row>
    <row r="19502" spans="23:23" x14ac:dyDescent="0.55000000000000004">
      <c r="W19502"/>
    </row>
    <row r="19503" spans="23:23" x14ac:dyDescent="0.55000000000000004">
      <c r="W19503"/>
    </row>
    <row r="19504" spans="23:23" x14ac:dyDescent="0.55000000000000004">
      <c r="W19504"/>
    </row>
    <row r="19505" spans="23:23" x14ac:dyDescent="0.55000000000000004">
      <c r="W19505"/>
    </row>
    <row r="19506" spans="23:23" x14ac:dyDescent="0.55000000000000004">
      <c r="W19506"/>
    </row>
    <row r="19507" spans="23:23" x14ac:dyDescent="0.55000000000000004">
      <c r="W19507"/>
    </row>
    <row r="19508" spans="23:23" x14ac:dyDescent="0.55000000000000004">
      <c r="W19508"/>
    </row>
    <row r="19509" spans="23:23" x14ac:dyDescent="0.55000000000000004">
      <c r="W19509"/>
    </row>
    <row r="19510" spans="23:23" x14ac:dyDescent="0.55000000000000004">
      <c r="W19510"/>
    </row>
    <row r="19511" spans="23:23" x14ac:dyDescent="0.55000000000000004">
      <c r="W19511"/>
    </row>
    <row r="19512" spans="23:23" x14ac:dyDescent="0.55000000000000004">
      <c r="W19512"/>
    </row>
    <row r="19513" spans="23:23" x14ac:dyDescent="0.55000000000000004">
      <c r="W19513"/>
    </row>
    <row r="19514" spans="23:23" x14ac:dyDescent="0.55000000000000004">
      <c r="W19514"/>
    </row>
    <row r="19515" spans="23:23" x14ac:dyDescent="0.55000000000000004">
      <c r="W19515"/>
    </row>
    <row r="19516" spans="23:23" x14ac:dyDescent="0.55000000000000004">
      <c r="W19516"/>
    </row>
    <row r="19517" spans="23:23" x14ac:dyDescent="0.55000000000000004">
      <c r="W19517"/>
    </row>
    <row r="19518" spans="23:23" x14ac:dyDescent="0.55000000000000004">
      <c r="W19518"/>
    </row>
    <row r="19519" spans="23:23" x14ac:dyDescent="0.55000000000000004">
      <c r="W19519"/>
    </row>
    <row r="19520" spans="23:23" x14ac:dyDescent="0.55000000000000004">
      <c r="W19520"/>
    </row>
    <row r="19521" spans="23:23" x14ac:dyDescent="0.55000000000000004">
      <c r="W19521"/>
    </row>
    <row r="19522" spans="23:23" x14ac:dyDescent="0.55000000000000004">
      <c r="W19522"/>
    </row>
    <row r="19523" spans="23:23" x14ac:dyDescent="0.55000000000000004">
      <c r="W19523"/>
    </row>
    <row r="19524" spans="23:23" x14ac:dyDescent="0.55000000000000004">
      <c r="W19524"/>
    </row>
    <row r="19525" spans="23:23" x14ac:dyDescent="0.55000000000000004">
      <c r="W19525"/>
    </row>
    <row r="19526" spans="23:23" x14ac:dyDescent="0.55000000000000004">
      <c r="W19526"/>
    </row>
    <row r="19527" spans="23:23" x14ac:dyDescent="0.55000000000000004">
      <c r="W19527"/>
    </row>
    <row r="19528" spans="23:23" x14ac:dyDescent="0.55000000000000004">
      <c r="W19528"/>
    </row>
    <row r="19529" spans="23:23" x14ac:dyDescent="0.55000000000000004">
      <c r="W19529"/>
    </row>
    <row r="19530" spans="23:23" x14ac:dyDescent="0.55000000000000004">
      <c r="W19530"/>
    </row>
    <row r="19531" spans="23:23" x14ac:dyDescent="0.55000000000000004">
      <c r="W19531"/>
    </row>
    <row r="19532" spans="23:23" x14ac:dyDescent="0.55000000000000004">
      <c r="W19532"/>
    </row>
    <row r="19533" spans="23:23" x14ac:dyDescent="0.55000000000000004">
      <c r="W19533"/>
    </row>
    <row r="19534" spans="23:23" x14ac:dyDescent="0.55000000000000004">
      <c r="W19534"/>
    </row>
    <row r="19535" spans="23:23" x14ac:dyDescent="0.55000000000000004">
      <c r="W19535"/>
    </row>
    <row r="19536" spans="23:23" x14ac:dyDescent="0.55000000000000004">
      <c r="W19536"/>
    </row>
    <row r="19537" spans="23:23" x14ac:dyDescent="0.55000000000000004">
      <c r="W19537"/>
    </row>
    <row r="19538" spans="23:23" x14ac:dyDescent="0.55000000000000004">
      <c r="W19538"/>
    </row>
    <row r="19539" spans="23:23" x14ac:dyDescent="0.55000000000000004">
      <c r="W19539"/>
    </row>
    <row r="19540" spans="23:23" x14ac:dyDescent="0.55000000000000004">
      <c r="W19540"/>
    </row>
    <row r="19541" spans="23:23" x14ac:dyDescent="0.55000000000000004">
      <c r="W19541"/>
    </row>
    <row r="19542" spans="23:23" x14ac:dyDescent="0.55000000000000004">
      <c r="W19542"/>
    </row>
    <row r="19543" spans="23:23" x14ac:dyDescent="0.55000000000000004">
      <c r="W19543"/>
    </row>
    <row r="19544" spans="23:23" x14ac:dyDescent="0.55000000000000004">
      <c r="W19544"/>
    </row>
    <row r="19545" spans="23:23" x14ac:dyDescent="0.55000000000000004">
      <c r="W19545"/>
    </row>
    <row r="19546" spans="23:23" x14ac:dyDescent="0.55000000000000004">
      <c r="W19546"/>
    </row>
    <row r="19547" spans="23:23" x14ac:dyDescent="0.55000000000000004">
      <c r="W19547"/>
    </row>
    <row r="19548" spans="23:23" x14ac:dyDescent="0.55000000000000004">
      <c r="W19548"/>
    </row>
    <row r="19549" spans="23:23" x14ac:dyDescent="0.55000000000000004">
      <c r="W19549"/>
    </row>
    <row r="19550" spans="23:23" x14ac:dyDescent="0.55000000000000004">
      <c r="W19550"/>
    </row>
    <row r="19551" spans="23:23" x14ac:dyDescent="0.55000000000000004">
      <c r="W19551"/>
    </row>
    <row r="19552" spans="23:23" x14ac:dyDescent="0.55000000000000004">
      <c r="W19552"/>
    </row>
    <row r="19553" spans="23:23" x14ac:dyDescent="0.55000000000000004">
      <c r="W19553"/>
    </row>
    <row r="19554" spans="23:23" x14ac:dyDescent="0.55000000000000004">
      <c r="W19554"/>
    </row>
    <row r="19555" spans="23:23" x14ac:dyDescent="0.55000000000000004">
      <c r="W19555"/>
    </row>
    <row r="19556" spans="23:23" x14ac:dyDescent="0.55000000000000004">
      <c r="W19556"/>
    </row>
    <row r="19557" spans="23:23" x14ac:dyDescent="0.55000000000000004">
      <c r="W19557"/>
    </row>
    <row r="19558" spans="23:23" x14ac:dyDescent="0.55000000000000004">
      <c r="W19558"/>
    </row>
    <row r="19559" spans="23:23" x14ac:dyDescent="0.55000000000000004">
      <c r="W19559"/>
    </row>
    <row r="19560" spans="23:23" x14ac:dyDescent="0.55000000000000004">
      <c r="W19560"/>
    </row>
    <row r="19561" spans="23:23" x14ac:dyDescent="0.55000000000000004">
      <c r="W19561"/>
    </row>
    <row r="19562" spans="23:23" x14ac:dyDescent="0.55000000000000004">
      <c r="W19562"/>
    </row>
    <row r="19563" spans="23:23" x14ac:dyDescent="0.55000000000000004">
      <c r="W19563"/>
    </row>
    <row r="19564" spans="23:23" x14ac:dyDescent="0.55000000000000004">
      <c r="W19564"/>
    </row>
    <row r="19565" spans="23:23" x14ac:dyDescent="0.55000000000000004">
      <c r="W19565"/>
    </row>
    <row r="19566" spans="23:23" x14ac:dyDescent="0.55000000000000004">
      <c r="W19566"/>
    </row>
    <row r="19567" spans="23:23" x14ac:dyDescent="0.55000000000000004">
      <c r="W19567"/>
    </row>
    <row r="19568" spans="23:23" x14ac:dyDescent="0.55000000000000004">
      <c r="W19568"/>
    </row>
    <row r="19569" spans="23:23" x14ac:dyDescent="0.55000000000000004">
      <c r="W19569"/>
    </row>
    <row r="19570" spans="23:23" x14ac:dyDescent="0.55000000000000004">
      <c r="W19570"/>
    </row>
    <row r="19571" spans="23:23" x14ac:dyDescent="0.55000000000000004">
      <c r="W19571"/>
    </row>
    <row r="19572" spans="23:23" x14ac:dyDescent="0.55000000000000004">
      <c r="W19572"/>
    </row>
    <row r="19573" spans="23:23" x14ac:dyDescent="0.55000000000000004">
      <c r="W19573"/>
    </row>
    <row r="19574" spans="23:23" x14ac:dyDescent="0.55000000000000004">
      <c r="W19574"/>
    </row>
    <row r="19575" spans="23:23" x14ac:dyDescent="0.55000000000000004">
      <c r="W19575"/>
    </row>
    <row r="19576" spans="23:23" x14ac:dyDescent="0.55000000000000004">
      <c r="W19576"/>
    </row>
    <row r="19577" spans="23:23" x14ac:dyDescent="0.55000000000000004">
      <c r="W19577"/>
    </row>
    <row r="19578" spans="23:23" x14ac:dyDescent="0.55000000000000004">
      <c r="W19578"/>
    </row>
    <row r="19579" spans="23:23" x14ac:dyDescent="0.55000000000000004">
      <c r="W19579"/>
    </row>
    <row r="19580" spans="23:23" x14ac:dyDescent="0.55000000000000004">
      <c r="W19580"/>
    </row>
    <row r="19581" spans="23:23" x14ac:dyDescent="0.55000000000000004">
      <c r="W19581"/>
    </row>
    <row r="19582" spans="23:23" x14ac:dyDescent="0.55000000000000004">
      <c r="W19582"/>
    </row>
    <row r="19583" spans="23:23" x14ac:dyDescent="0.55000000000000004">
      <c r="W19583"/>
    </row>
    <row r="19584" spans="23:23" x14ac:dyDescent="0.55000000000000004">
      <c r="W19584"/>
    </row>
    <row r="19585" spans="23:23" x14ac:dyDescent="0.55000000000000004">
      <c r="W19585"/>
    </row>
    <row r="19586" spans="23:23" x14ac:dyDescent="0.55000000000000004">
      <c r="W19586"/>
    </row>
    <row r="19587" spans="23:23" x14ac:dyDescent="0.55000000000000004">
      <c r="W19587"/>
    </row>
    <row r="19588" spans="23:23" x14ac:dyDescent="0.55000000000000004">
      <c r="W19588"/>
    </row>
    <row r="19589" spans="23:23" x14ac:dyDescent="0.55000000000000004">
      <c r="W19589"/>
    </row>
    <row r="19590" spans="23:23" x14ac:dyDescent="0.55000000000000004">
      <c r="W19590"/>
    </row>
    <row r="19591" spans="23:23" x14ac:dyDescent="0.55000000000000004">
      <c r="W19591"/>
    </row>
    <row r="19592" spans="23:23" x14ac:dyDescent="0.55000000000000004">
      <c r="W19592"/>
    </row>
    <row r="19593" spans="23:23" x14ac:dyDescent="0.55000000000000004">
      <c r="W19593"/>
    </row>
    <row r="19594" spans="23:23" x14ac:dyDescent="0.55000000000000004">
      <c r="W19594"/>
    </row>
    <row r="19595" spans="23:23" x14ac:dyDescent="0.55000000000000004">
      <c r="W19595"/>
    </row>
    <row r="19596" spans="23:23" x14ac:dyDescent="0.55000000000000004">
      <c r="W19596"/>
    </row>
    <row r="19597" spans="23:23" x14ac:dyDescent="0.55000000000000004">
      <c r="W19597"/>
    </row>
    <row r="19598" spans="23:23" x14ac:dyDescent="0.55000000000000004">
      <c r="W19598"/>
    </row>
    <row r="19599" spans="23:23" x14ac:dyDescent="0.55000000000000004">
      <c r="W19599"/>
    </row>
    <row r="19600" spans="23:23" x14ac:dyDescent="0.55000000000000004">
      <c r="W19600"/>
    </row>
    <row r="19601" spans="23:23" x14ac:dyDescent="0.55000000000000004">
      <c r="W19601"/>
    </row>
    <row r="19602" spans="23:23" x14ac:dyDescent="0.55000000000000004">
      <c r="W19602"/>
    </row>
    <row r="19603" spans="23:23" x14ac:dyDescent="0.55000000000000004">
      <c r="W19603"/>
    </row>
    <row r="19604" spans="23:23" x14ac:dyDescent="0.55000000000000004">
      <c r="W19604"/>
    </row>
    <row r="19605" spans="23:23" x14ac:dyDescent="0.55000000000000004">
      <c r="W19605"/>
    </row>
    <row r="19606" spans="23:23" x14ac:dyDescent="0.55000000000000004">
      <c r="W19606"/>
    </row>
    <row r="19607" spans="23:23" x14ac:dyDescent="0.55000000000000004">
      <c r="W19607"/>
    </row>
    <row r="19608" spans="23:23" x14ac:dyDescent="0.55000000000000004">
      <c r="W19608"/>
    </row>
    <row r="19609" spans="23:23" x14ac:dyDescent="0.55000000000000004">
      <c r="W19609"/>
    </row>
    <row r="19610" spans="23:23" x14ac:dyDescent="0.55000000000000004">
      <c r="W19610"/>
    </row>
    <row r="19611" spans="23:23" x14ac:dyDescent="0.55000000000000004">
      <c r="W19611"/>
    </row>
    <row r="19612" spans="23:23" x14ac:dyDescent="0.55000000000000004">
      <c r="W19612"/>
    </row>
    <row r="19613" spans="23:23" x14ac:dyDescent="0.55000000000000004">
      <c r="W19613"/>
    </row>
    <row r="19614" spans="23:23" x14ac:dyDescent="0.55000000000000004">
      <c r="W19614"/>
    </row>
    <row r="19615" spans="23:23" x14ac:dyDescent="0.55000000000000004">
      <c r="W19615"/>
    </row>
    <row r="19616" spans="23:23" x14ac:dyDescent="0.55000000000000004">
      <c r="W19616"/>
    </row>
    <row r="19617" spans="23:23" x14ac:dyDescent="0.55000000000000004">
      <c r="W19617"/>
    </row>
    <row r="19618" spans="23:23" x14ac:dyDescent="0.55000000000000004">
      <c r="W19618"/>
    </row>
    <row r="19619" spans="23:23" x14ac:dyDescent="0.55000000000000004">
      <c r="W19619"/>
    </row>
    <row r="19620" spans="23:23" x14ac:dyDescent="0.55000000000000004">
      <c r="W19620"/>
    </row>
    <row r="19621" spans="23:23" x14ac:dyDescent="0.55000000000000004">
      <c r="W19621"/>
    </row>
    <row r="19622" spans="23:23" x14ac:dyDescent="0.55000000000000004">
      <c r="W19622"/>
    </row>
    <row r="19623" spans="23:23" x14ac:dyDescent="0.55000000000000004">
      <c r="W19623"/>
    </row>
    <row r="19624" spans="23:23" x14ac:dyDescent="0.55000000000000004">
      <c r="W19624"/>
    </row>
    <row r="19625" spans="23:23" x14ac:dyDescent="0.55000000000000004">
      <c r="W19625"/>
    </row>
    <row r="19626" spans="23:23" x14ac:dyDescent="0.55000000000000004">
      <c r="W19626"/>
    </row>
    <row r="19627" spans="23:23" x14ac:dyDescent="0.55000000000000004">
      <c r="W19627"/>
    </row>
    <row r="19628" spans="23:23" x14ac:dyDescent="0.55000000000000004">
      <c r="W19628"/>
    </row>
    <row r="19629" spans="23:23" x14ac:dyDescent="0.55000000000000004">
      <c r="W19629"/>
    </row>
    <row r="19630" spans="23:23" x14ac:dyDescent="0.55000000000000004">
      <c r="W19630"/>
    </row>
    <row r="19631" spans="23:23" x14ac:dyDescent="0.55000000000000004">
      <c r="W19631"/>
    </row>
    <row r="19632" spans="23:23" x14ac:dyDescent="0.55000000000000004">
      <c r="W19632"/>
    </row>
    <row r="19633" spans="23:23" x14ac:dyDescent="0.55000000000000004">
      <c r="W19633"/>
    </row>
    <row r="19634" spans="23:23" x14ac:dyDescent="0.55000000000000004">
      <c r="W19634"/>
    </row>
    <row r="19635" spans="23:23" x14ac:dyDescent="0.55000000000000004">
      <c r="W19635"/>
    </row>
    <row r="19636" spans="23:23" x14ac:dyDescent="0.55000000000000004">
      <c r="W19636"/>
    </row>
    <row r="19637" spans="23:23" x14ac:dyDescent="0.55000000000000004">
      <c r="W19637"/>
    </row>
    <row r="19638" spans="23:23" x14ac:dyDescent="0.55000000000000004">
      <c r="W19638"/>
    </row>
    <row r="19639" spans="23:23" x14ac:dyDescent="0.55000000000000004">
      <c r="W19639"/>
    </row>
    <row r="19640" spans="23:23" x14ac:dyDescent="0.55000000000000004">
      <c r="W19640"/>
    </row>
    <row r="19641" spans="23:23" x14ac:dyDescent="0.55000000000000004">
      <c r="W19641"/>
    </row>
    <row r="19642" spans="23:23" x14ac:dyDescent="0.55000000000000004">
      <c r="W19642"/>
    </row>
    <row r="19643" spans="23:23" x14ac:dyDescent="0.55000000000000004">
      <c r="W19643"/>
    </row>
    <row r="19644" spans="23:23" x14ac:dyDescent="0.55000000000000004">
      <c r="W19644"/>
    </row>
    <row r="19645" spans="23:23" x14ac:dyDescent="0.55000000000000004">
      <c r="W19645"/>
    </row>
    <row r="19646" spans="23:23" x14ac:dyDescent="0.55000000000000004">
      <c r="W19646"/>
    </row>
    <row r="19647" spans="23:23" x14ac:dyDescent="0.55000000000000004">
      <c r="W19647"/>
    </row>
    <row r="19648" spans="23:23" x14ac:dyDescent="0.55000000000000004">
      <c r="W19648"/>
    </row>
    <row r="19649" spans="23:23" x14ac:dyDescent="0.55000000000000004">
      <c r="W19649"/>
    </row>
    <row r="19650" spans="23:23" x14ac:dyDescent="0.55000000000000004">
      <c r="W19650"/>
    </row>
    <row r="19651" spans="23:23" x14ac:dyDescent="0.55000000000000004">
      <c r="W19651"/>
    </row>
    <row r="19652" spans="23:23" x14ac:dyDescent="0.55000000000000004">
      <c r="W19652"/>
    </row>
    <row r="19653" spans="23:23" x14ac:dyDescent="0.55000000000000004">
      <c r="W19653"/>
    </row>
    <row r="19654" spans="23:23" x14ac:dyDescent="0.55000000000000004">
      <c r="W19654"/>
    </row>
    <row r="19655" spans="23:23" x14ac:dyDescent="0.55000000000000004">
      <c r="W19655"/>
    </row>
    <row r="19656" spans="23:23" x14ac:dyDescent="0.55000000000000004">
      <c r="W19656"/>
    </row>
    <row r="19657" spans="23:23" x14ac:dyDescent="0.55000000000000004">
      <c r="W19657"/>
    </row>
    <row r="19658" spans="23:23" x14ac:dyDescent="0.55000000000000004">
      <c r="W19658"/>
    </row>
    <row r="19659" spans="23:23" x14ac:dyDescent="0.55000000000000004">
      <c r="W19659"/>
    </row>
    <row r="19660" spans="23:23" x14ac:dyDescent="0.55000000000000004">
      <c r="W19660"/>
    </row>
    <row r="19661" spans="23:23" x14ac:dyDescent="0.55000000000000004">
      <c r="W19661"/>
    </row>
    <row r="19662" spans="23:23" x14ac:dyDescent="0.55000000000000004">
      <c r="W19662"/>
    </row>
    <row r="19663" spans="23:23" x14ac:dyDescent="0.55000000000000004">
      <c r="W19663"/>
    </row>
    <row r="19664" spans="23:23" x14ac:dyDescent="0.55000000000000004">
      <c r="W19664"/>
    </row>
    <row r="19665" spans="23:23" x14ac:dyDescent="0.55000000000000004">
      <c r="W19665"/>
    </row>
    <row r="19666" spans="23:23" x14ac:dyDescent="0.55000000000000004">
      <c r="W19666"/>
    </row>
    <row r="19667" spans="23:23" x14ac:dyDescent="0.55000000000000004">
      <c r="W19667"/>
    </row>
    <row r="19668" spans="23:23" x14ac:dyDescent="0.55000000000000004">
      <c r="W19668"/>
    </row>
    <row r="19669" spans="23:23" x14ac:dyDescent="0.55000000000000004">
      <c r="W19669"/>
    </row>
    <row r="19670" spans="23:23" x14ac:dyDescent="0.55000000000000004">
      <c r="W19670"/>
    </row>
    <row r="19671" spans="23:23" x14ac:dyDescent="0.55000000000000004">
      <c r="W19671"/>
    </row>
    <row r="19672" spans="23:23" x14ac:dyDescent="0.55000000000000004">
      <c r="W19672"/>
    </row>
    <row r="19673" spans="23:23" x14ac:dyDescent="0.55000000000000004">
      <c r="W19673"/>
    </row>
    <row r="19674" spans="23:23" x14ac:dyDescent="0.55000000000000004">
      <c r="W19674"/>
    </row>
    <row r="19675" spans="23:23" x14ac:dyDescent="0.55000000000000004">
      <c r="W19675"/>
    </row>
    <row r="19676" spans="23:23" x14ac:dyDescent="0.55000000000000004">
      <c r="W19676"/>
    </row>
    <row r="19677" spans="23:23" x14ac:dyDescent="0.55000000000000004">
      <c r="W19677"/>
    </row>
    <row r="19678" spans="23:23" x14ac:dyDescent="0.55000000000000004">
      <c r="W19678"/>
    </row>
    <row r="19679" spans="23:23" x14ac:dyDescent="0.55000000000000004">
      <c r="W19679"/>
    </row>
    <row r="19680" spans="23:23" x14ac:dyDescent="0.55000000000000004">
      <c r="W19680"/>
    </row>
    <row r="19681" spans="23:23" x14ac:dyDescent="0.55000000000000004">
      <c r="W19681"/>
    </row>
    <row r="19682" spans="23:23" x14ac:dyDescent="0.55000000000000004">
      <c r="W19682"/>
    </row>
    <row r="19683" spans="23:23" x14ac:dyDescent="0.55000000000000004">
      <c r="W19683"/>
    </row>
    <row r="19684" spans="23:23" x14ac:dyDescent="0.55000000000000004">
      <c r="W19684"/>
    </row>
    <row r="19685" spans="23:23" x14ac:dyDescent="0.55000000000000004">
      <c r="W19685"/>
    </row>
    <row r="19686" spans="23:23" x14ac:dyDescent="0.55000000000000004">
      <c r="W19686"/>
    </row>
    <row r="19687" spans="23:23" x14ac:dyDescent="0.55000000000000004">
      <c r="W19687"/>
    </row>
    <row r="19688" spans="23:23" x14ac:dyDescent="0.55000000000000004">
      <c r="W19688"/>
    </row>
    <row r="19689" spans="23:23" x14ac:dyDescent="0.55000000000000004">
      <c r="W19689"/>
    </row>
    <row r="19690" spans="23:23" x14ac:dyDescent="0.55000000000000004">
      <c r="W19690"/>
    </row>
    <row r="19691" spans="23:23" x14ac:dyDescent="0.55000000000000004">
      <c r="W19691"/>
    </row>
    <row r="19692" spans="23:23" x14ac:dyDescent="0.55000000000000004">
      <c r="W19692"/>
    </row>
    <row r="19693" spans="23:23" x14ac:dyDescent="0.55000000000000004">
      <c r="W19693"/>
    </row>
    <row r="19694" spans="23:23" x14ac:dyDescent="0.55000000000000004">
      <c r="W19694"/>
    </row>
    <row r="19695" spans="23:23" x14ac:dyDescent="0.55000000000000004">
      <c r="W19695"/>
    </row>
    <row r="19696" spans="23:23" x14ac:dyDescent="0.55000000000000004">
      <c r="W19696"/>
    </row>
    <row r="19697" spans="23:23" x14ac:dyDescent="0.55000000000000004">
      <c r="W19697"/>
    </row>
    <row r="19698" spans="23:23" x14ac:dyDescent="0.55000000000000004">
      <c r="W19698"/>
    </row>
    <row r="19699" spans="23:23" x14ac:dyDescent="0.55000000000000004">
      <c r="W19699"/>
    </row>
    <row r="19700" spans="23:23" x14ac:dyDescent="0.55000000000000004">
      <c r="W19700"/>
    </row>
    <row r="19701" spans="23:23" x14ac:dyDescent="0.55000000000000004">
      <c r="W19701"/>
    </row>
    <row r="19702" spans="23:23" x14ac:dyDescent="0.55000000000000004">
      <c r="W19702"/>
    </row>
    <row r="19703" spans="23:23" x14ac:dyDescent="0.55000000000000004">
      <c r="W19703"/>
    </row>
    <row r="19704" spans="23:23" x14ac:dyDescent="0.55000000000000004">
      <c r="W19704"/>
    </row>
    <row r="19705" spans="23:23" x14ac:dyDescent="0.55000000000000004">
      <c r="W19705"/>
    </row>
    <row r="19706" spans="23:23" x14ac:dyDescent="0.55000000000000004">
      <c r="W19706"/>
    </row>
    <row r="19707" spans="23:23" x14ac:dyDescent="0.55000000000000004">
      <c r="W19707"/>
    </row>
    <row r="19708" spans="23:23" x14ac:dyDescent="0.55000000000000004">
      <c r="W19708"/>
    </row>
    <row r="19709" spans="23:23" x14ac:dyDescent="0.55000000000000004">
      <c r="W19709"/>
    </row>
    <row r="19710" spans="23:23" x14ac:dyDescent="0.55000000000000004">
      <c r="W19710"/>
    </row>
    <row r="19711" spans="23:23" x14ac:dyDescent="0.55000000000000004">
      <c r="W19711"/>
    </row>
    <row r="19712" spans="23:23" x14ac:dyDescent="0.55000000000000004">
      <c r="W19712"/>
    </row>
    <row r="19713" spans="23:23" x14ac:dyDescent="0.55000000000000004">
      <c r="W19713"/>
    </row>
    <row r="19714" spans="23:23" x14ac:dyDescent="0.55000000000000004">
      <c r="W19714"/>
    </row>
    <row r="19715" spans="23:23" x14ac:dyDescent="0.55000000000000004">
      <c r="W19715"/>
    </row>
    <row r="19716" spans="23:23" x14ac:dyDescent="0.55000000000000004">
      <c r="W19716"/>
    </row>
    <row r="19717" spans="23:23" x14ac:dyDescent="0.55000000000000004">
      <c r="W19717"/>
    </row>
    <row r="19718" spans="23:23" x14ac:dyDescent="0.55000000000000004">
      <c r="W19718"/>
    </row>
    <row r="19719" spans="23:23" x14ac:dyDescent="0.55000000000000004">
      <c r="W19719"/>
    </row>
    <row r="19720" spans="23:23" x14ac:dyDescent="0.55000000000000004">
      <c r="W19720"/>
    </row>
    <row r="19721" spans="23:23" x14ac:dyDescent="0.55000000000000004">
      <c r="W19721"/>
    </row>
    <row r="19722" spans="23:23" x14ac:dyDescent="0.55000000000000004">
      <c r="W19722"/>
    </row>
    <row r="19723" spans="23:23" x14ac:dyDescent="0.55000000000000004">
      <c r="W19723"/>
    </row>
    <row r="19724" spans="23:23" x14ac:dyDescent="0.55000000000000004">
      <c r="W19724"/>
    </row>
    <row r="19725" spans="23:23" x14ac:dyDescent="0.55000000000000004">
      <c r="W19725"/>
    </row>
    <row r="19726" spans="23:23" x14ac:dyDescent="0.55000000000000004">
      <c r="W19726"/>
    </row>
    <row r="19727" spans="23:23" x14ac:dyDescent="0.55000000000000004">
      <c r="W19727"/>
    </row>
    <row r="19728" spans="23:23" x14ac:dyDescent="0.55000000000000004">
      <c r="W19728"/>
    </row>
    <row r="19729" spans="23:23" x14ac:dyDescent="0.55000000000000004">
      <c r="W19729"/>
    </row>
    <row r="19730" spans="23:23" x14ac:dyDescent="0.55000000000000004">
      <c r="W19730"/>
    </row>
    <row r="19731" spans="23:23" x14ac:dyDescent="0.55000000000000004">
      <c r="W19731"/>
    </row>
    <row r="19732" spans="23:23" x14ac:dyDescent="0.55000000000000004">
      <c r="W19732"/>
    </row>
    <row r="19733" spans="23:23" x14ac:dyDescent="0.55000000000000004">
      <c r="W19733"/>
    </row>
    <row r="19734" spans="23:23" x14ac:dyDescent="0.55000000000000004">
      <c r="W19734"/>
    </row>
    <row r="19735" spans="23:23" x14ac:dyDescent="0.55000000000000004">
      <c r="W19735"/>
    </row>
    <row r="19736" spans="23:23" x14ac:dyDescent="0.55000000000000004">
      <c r="W19736"/>
    </row>
    <row r="19737" spans="23:23" x14ac:dyDescent="0.55000000000000004">
      <c r="W19737"/>
    </row>
    <row r="19738" spans="23:23" x14ac:dyDescent="0.55000000000000004">
      <c r="W19738"/>
    </row>
    <row r="19739" spans="23:23" x14ac:dyDescent="0.55000000000000004">
      <c r="W19739"/>
    </row>
    <row r="19740" spans="23:23" x14ac:dyDescent="0.55000000000000004">
      <c r="W19740"/>
    </row>
    <row r="19741" spans="23:23" x14ac:dyDescent="0.55000000000000004">
      <c r="W19741"/>
    </row>
    <row r="19742" spans="23:23" x14ac:dyDescent="0.55000000000000004">
      <c r="W19742"/>
    </row>
    <row r="19743" spans="23:23" x14ac:dyDescent="0.55000000000000004">
      <c r="W19743"/>
    </row>
    <row r="19744" spans="23:23" x14ac:dyDescent="0.55000000000000004">
      <c r="W19744"/>
    </row>
    <row r="19745" spans="23:23" x14ac:dyDescent="0.55000000000000004">
      <c r="W19745"/>
    </row>
    <row r="19746" spans="23:23" x14ac:dyDescent="0.55000000000000004">
      <c r="W19746"/>
    </row>
    <row r="19747" spans="23:23" x14ac:dyDescent="0.55000000000000004">
      <c r="W19747"/>
    </row>
    <row r="19748" spans="23:23" x14ac:dyDescent="0.55000000000000004">
      <c r="W19748"/>
    </row>
    <row r="19749" spans="23:23" x14ac:dyDescent="0.55000000000000004">
      <c r="W19749"/>
    </row>
    <row r="19750" spans="23:23" x14ac:dyDescent="0.55000000000000004">
      <c r="W19750"/>
    </row>
    <row r="19751" spans="23:23" x14ac:dyDescent="0.55000000000000004">
      <c r="W19751"/>
    </row>
    <row r="19752" spans="23:23" x14ac:dyDescent="0.55000000000000004">
      <c r="W19752"/>
    </row>
    <row r="19753" spans="23:23" x14ac:dyDescent="0.55000000000000004">
      <c r="W19753"/>
    </row>
    <row r="19754" spans="23:23" x14ac:dyDescent="0.55000000000000004">
      <c r="W19754"/>
    </row>
    <row r="19755" spans="23:23" x14ac:dyDescent="0.55000000000000004">
      <c r="W19755"/>
    </row>
    <row r="19756" spans="23:23" x14ac:dyDescent="0.55000000000000004">
      <c r="W19756"/>
    </row>
    <row r="19757" spans="23:23" x14ac:dyDescent="0.55000000000000004">
      <c r="W19757"/>
    </row>
    <row r="19758" spans="23:23" x14ac:dyDescent="0.55000000000000004">
      <c r="W19758"/>
    </row>
    <row r="19759" spans="23:23" x14ac:dyDescent="0.55000000000000004">
      <c r="W19759"/>
    </row>
    <row r="19760" spans="23:23" x14ac:dyDescent="0.55000000000000004">
      <c r="W19760"/>
    </row>
    <row r="19761" spans="23:23" x14ac:dyDescent="0.55000000000000004">
      <c r="W19761"/>
    </row>
    <row r="19762" spans="23:23" x14ac:dyDescent="0.55000000000000004">
      <c r="W19762"/>
    </row>
    <row r="19763" spans="23:23" x14ac:dyDescent="0.55000000000000004">
      <c r="W19763"/>
    </row>
    <row r="19764" spans="23:23" x14ac:dyDescent="0.55000000000000004">
      <c r="W19764"/>
    </row>
    <row r="19765" spans="23:23" x14ac:dyDescent="0.55000000000000004">
      <c r="W19765"/>
    </row>
    <row r="19766" spans="23:23" x14ac:dyDescent="0.55000000000000004">
      <c r="W19766"/>
    </row>
    <row r="19767" spans="23:23" x14ac:dyDescent="0.55000000000000004">
      <c r="W19767"/>
    </row>
    <row r="19768" spans="23:23" x14ac:dyDescent="0.55000000000000004">
      <c r="W19768"/>
    </row>
    <row r="19769" spans="23:23" x14ac:dyDescent="0.55000000000000004">
      <c r="W19769"/>
    </row>
    <row r="19770" spans="23:23" x14ac:dyDescent="0.55000000000000004">
      <c r="W19770"/>
    </row>
    <row r="19771" spans="23:23" x14ac:dyDescent="0.55000000000000004">
      <c r="W19771"/>
    </row>
    <row r="19772" spans="23:23" x14ac:dyDescent="0.55000000000000004">
      <c r="W19772"/>
    </row>
    <row r="19773" spans="23:23" x14ac:dyDescent="0.55000000000000004">
      <c r="W19773"/>
    </row>
    <row r="19774" spans="23:23" x14ac:dyDescent="0.55000000000000004">
      <c r="W19774"/>
    </row>
    <row r="19775" spans="23:23" x14ac:dyDescent="0.55000000000000004">
      <c r="W19775"/>
    </row>
    <row r="19776" spans="23:23" x14ac:dyDescent="0.55000000000000004">
      <c r="W19776"/>
    </row>
    <row r="19777" spans="23:23" x14ac:dyDescent="0.55000000000000004">
      <c r="W19777"/>
    </row>
    <row r="19778" spans="23:23" x14ac:dyDescent="0.55000000000000004">
      <c r="W19778"/>
    </row>
    <row r="19779" spans="23:23" x14ac:dyDescent="0.55000000000000004">
      <c r="W19779"/>
    </row>
    <row r="19780" spans="23:23" x14ac:dyDescent="0.55000000000000004">
      <c r="W19780"/>
    </row>
    <row r="19781" spans="23:23" x14ac:dyDescent="0.55000000000000004">
      <c r="W19781"/>
    </row>
    <row r="19782" spans="23:23" x14ac:dyDescent="0.55000000000000004">
      <c r="W19782"/>
    </row>
    <row r="19783" spans="23:23" x14ac:dyDescent="0.55000000000000004">
      <c r="W19783"/>
    </row>
    <row r="19784" spans="23:23" x14ac:dyDescent="0.55000000000000004">
      <c r="W19784"/>
    </row>
    <row r="19785" spans="23:23" x14ac:dyDescent="0.55000000000000004">
      <c r="W19785"/>
    </row>
    <row r="19786" spans="23:23" x14ac:dyDescent="0.55000000000000004">
      <c r="W19786"/>
    </row>
    <row r="19787" spans="23:23" x14ac:dyDescent="0.55000000000000004">
      <c r="W19787"/>
    </row>
    <row r="19788" spans="23:23" x14ac:dyDescent="0.55000000000000004">
      <c r="W19788"/>
    </row>
    <row r="19789" spans="23:23" x14ac:dyDescent="0.55000000000000004">
      <c r="W19789"/>
    </row>
    <row r="19790" spans="23:23" x14ac:dyDescent="0.55000000000000004">
      <c r="W19790"/>
    </row>
    <row r="19791" spans="23:23" x14ac:dyDescent="0.55000000000000004">
      <c r="W19791"/>
    </row>
    <row r="19792" spans="23:23" x14ac:dyDescent="0.55000000000000004">
      <c r="W19792"/>
    </row>
    <row r="19793" spans="23:23" x14ac:dyDescent="0.55000000000000004">
      <c r="W19793"/>
    </row>
    <row r="19794" spans="23:23" x14ac:dyDescent="0.55000000000000004">
      <c r="W19794"/>
    </row>
    <row r="19795" spans="23:23" x14ac:dyDescent="0.55000000000000004">
      <c r="W19795"/>
    </row>
    <row r="19796" spans="23:23" x14ac:dyDescent="0.55000000000000004">
      <c r="W19796"/>
    </row>
    <row r="19797" spans="23:23" x14ac:dyDescent="0.55000000000000004">
      <c r="W19797"/>
    </row>
    <row r="19798" spans="23:23" x14ac:dyDescent="0.55000000000000004">
      <c r="W19798"/>
    </row>
    <row r="19799" spans="23:23" x14ac:dyDescent="0.55000000000000004">
      <c r="W19799"/>
    </row>
    <row r="19800" spans="23:23" x14ac:dyDescent="0.55000000000000004">
      <c r="W19800"/>
    </row>
    <row r="19801" spans="23:23" x14ac:dyDescent="0.55000000000000004">
      <c r="W19801"/>
    </row>
    <row r="19802" spans="23:23" x14ac:dyDescent="0.55000000000000004">
      <c r="W19802"/>
    </row>
    <row r="19803" spans="23:23" x14ac:dyDescent="0.55000000000000004">
      <c r="W19803"/>
    </row>
    <row r="19804" spans="23:23" x14ac:dyDescent="0.55000000000000004">
      <c r="W19804"/>
    </row>
    <row r="19805" spans="23:23" x14ac:dyDescent="0.55000000000000004">
      <c r="W19805"/>
    </row>
    <row r="19806" spans="23:23" x14ac:dyDescent="0.55000000000000004">
      <c r="W19806"/>
    </row>
    <row r="19807" spans="23:23" x14ac:dyDescent="0.55000000000000004">
      <c r="W19807"/>
    </row>
    <row r="19808" spans="23:23" x14ac:dyDescent="0.55000000000000004">
      <c r="W19808"/>
    </row>
    <row r="19809" spans="23:23" x14ac:dyDescent="0.55000000000000004">
      <c r="W19809"/>
    </row>
    <row r="19810" spans="23:23" x14ac:dyDescent="0.55000000000000004">
      <c r="W19810"/>
    </row>
    <row r="19811" spans="23:23" x14ac:dyDescent="0.55000000000000004">
      <c r="W19811"/>
    </row>
    <row r="19812" spans="23:23" x14ac:dyDescent="0.55000000000000004">
      <c r="W19812"/>
    </row>
    <row r="19813" spans="23:23" x14ac:dyDescent="0.55000000000000004">
      <c r="W19813"/>
    </row>
    <row r="19814" spans="23:23" x14ac:dyDescent="0.55000000000000004">
      <c r="W19814"/>
    </row>
    <row r="19815" spans="23:23" x14ac:dyDescent="0.55000000000000004">
      <c r="W19815"/>
    </row>
    <row r="19816" spans="23:23" x14ac:dyDescent="0.55000000000000004">
      <c r="W19816"/>
    </row>
    <row r="19817" spans="23:23" x14ac:dyDescent="0.55000000000000004">
      <c r="W19817"/>
    </row>
    <row r="19818" spans="23:23" x14ac:dyDescent="0.55000000000000004">
      <c r="W19818"/>
    </row>
    <row r="19819" spans="23:23" x14ac:dyDescent="0.55000000000000004">
      <c r="W19819"/>
    </row>
    <row r="19820" spans="23:23" x14ac:dyDescent="0.55000000000000004">
      <c r="W19820"/>
    </row>
    <row r="19821" spans="23:23" x14ac:dyDescent="0.55000000000000004">
      <c r="W19821"/>
    </row>
    <row r="19822" spans="23:23" x14ac:dyDescent="0.55000000000000004">
      <c r="W19822"/>
    </row>
    <row r="19823" spans="23:23" x14ac:dyDescent="0.55000000000000004">
      <c r="W19823"/>
    </row>
    <row r="19824" spans="23:23" x14ac:dyDescent="0.55000000000000004">
      <c r="W19824"/>
    </row>
    <row r="19825" spans="23:23" x14ac:dyDescent="0.55000000000000004">
      <c r="W19825"/>
    </row>
    <row r="19826" spans="23:23" x14ac:dyDescent="0.55000000000000004">
      <c r="W19826"/>
    </row>
    <row r="19827" spans="23:23" x14ac:dyDescent="0.55000000000000004">
      <c r="W19827"/>
    </row>
    <row r="19828" spans="23:23" x14ac:dyDescent="0.55000000000000004">
      <c r="W19828"/>
    </row>
    <row r="19829" spans="23:23" x14ac:dyDescent="0.55000000000000004">
      <c r="W19829"/>
    </row>
    <row r="19830" spans="23:23" x14ac:dyDescent="0.55000000000000004">
      <c r="W19830"/>
    </row>
    <row r="19831" spans="23:23" x14ac:dyDescent="0.55000000000000004">
      <c r="W19831"/>
    </row>
    <row r="19832" spans="23:23" x14ac:dyDescent="0.55000000000000004">
      <c r="W19832"/>
    </row>
    <row r="19833" spans="23:23" x14ac:dyDescent="0.55000000000000004">
      <c r="W19833"/>
    </row>
    <row r="19834" spans="23:23" x14ac:dyDescent="0.55000000000000004">
      <c r="W19834"/>
    </row>
    <row r="19835" spans="23:23" x14ac:dyDescent="0.55000000000000004">
      <c r="W19835"/>
    </row>
    <row r="19836" spans="23:23" x14ac:dyDescent="0.55000000000000004">
      <c r="W19836"/>
    </row>
    <row r="19837" spans="23:23" x14ac:dyDescent="0.55000000000000004">
      <c r="W19837"/>
    </row>
    <row r="19838" spans="23:23" x14ac:dyDescent="0.55000000000000004">
      <c r="W19838"/>
    </row>
    <row r="19839" spans="23:23" x14ac:dyDescent="0.55000000000000004">
      <c r="W19839"/>
    </row>
    <row r="19840" spans="23:23" x14ac:dyDescent="0.55000000000000004">
      <c r="W19840"/>
    </row>
    <row r="19841" spans="23:23" x14ac:dyDescent="0.55000000000000004">
      <c r="W19841"/>
    </row>
    <row r="19842" spans="23:23" x14ac:dyDescent="0.55000000000000004">
      <c r="W19842"/>
    </row>
    <row r="19843" spans="23:23" x14ac:dyDescent="0.55000000000000004">
      <c r="W19843"/>
    </row>
    <row r="19844" spans="23:23" x14ac:dyDescent="0.55000000000000004">
      <c r="W19844"/>
    </row>
    <row r="19845" spans="23:23" x14ac:dyDescent="0.55000000000000004">
      <c r="W19845"/>
    </row>
    <row r="19846" spans="23:23" x14ac:dyDescent="0.55000000000000004">
      <c r="W19846"/>
    </row>
    <row r="19847" spans="23:23" x14ac:dyDescent="0.55000000000000004">
      <c r="W19847"/>
    </row>
    <row r="19848" spans="23:23" x14ac:dyDescent="0.55000000000000004">
      <c r="W19848"/>
    </row>
    <row r="19849" spans="23:23" x14ac:dyDescent="0.55000000000000004">
      <c r="W19849"/>
    </row>
    <row r="19850" spans="23:23" x14ac:dyDescent="0.55000000000000004">
      <c r="W19850"/>
    </row>
    <row r="19851" spans="23:23" x14ac:dyDescent="0.55000000000000004">
      <c r="W19851"/>
    </row>
    <row r="19852" spans="23:23" x14ac:dyDescent="0.55000000000000004">
      <c r="W19852"/>
    </row>
    <row r="19853" spans="23:23" x14ac:dyDescent="0.55000000000000004">
      <c r="W19853"/>
    </row>
    <row r="19854" spans="23:23" x14ac:dyDescent="0.55000000000000004">
      <c r="W19854"/>
    </row>
    <row r="19855" spans="23:23" x14ac:dyDescent="0.55000000000000004">
      <c r="W19855"/>
    </row>
    <row r="19856" spans="23:23" x14ac:dyDescent="0.55000000000000004">
      <c r="W19856"/>
    </row>
    <row r="19857" spans="23:23" x14ac:dyDescent="0.55000000000000004">
      <c r="W19857"/>
    </row>
    <row r="19858" spans="23:23" x14ac:dyDescent="0.55000000000000004">
      <c r="W19858"/>
    </row>
    <row r="19859" spans="23:23" x14ac:dyDescent="0.55000000000000004">
      <c r="W19859"/>
    </row>
    <row r="19860" spans="23:23" x14ac:dyDescent="0.55000000000000004">
      <c r="W19860"/>
    </row>
    <row r="19861" spans="23:23" x14ac:dyDescent="0.55000000000000004">
      <c r="W19861"/>
    </row>
    <row r="19862" spans="23:23" x14ac:dyDescent="0.55000000000000004">
      <c r="W19862"/>
    </row>
    <row r="19863" spans="23:23" x14ac:dyDescent="0.55000000000000004">
      <c r="W19863"/>
    </row>
    <row r="19864" spans="23:23" x14ac:dyDescent="0.55000000000000004">
      <c r="W19864"/>
    </row>
    <row r="19865" spans="23:23" x14ac:dyDescent="0.55000000000000004">
      <c r="W19865"/>
    </row>
    <row r="19866" spans="23:23" x14ac:dyDescent="0.55000000000000004">
      <c r="W19866"/>
    </row>
    <row r="19867" spans="23:23" x14ac:dyDescent="0.55000000000000004">
      <c r="W19867"/>
    </row>
    <row r="19868" spans="23:23" x14ac:dyDescent="0.55000000000000004">
      <c r="W19868"/>
    </row>
    <row r="19869" spans="23:23" x14ac:dyDescent="0.55000000000000004">
      <c r="W19869"/>
    </row>
    <row r="19870" spans="23:23" x14ac:dyDescent="0.55000000000000004">
      <c r="W19870"/>
    </row>
    <row r="19871" spans="23:23" x14ac:dyDescent="0.55000000000000004">
      <c r="W19871"/>
    </row>
    <row r="19872" spans="23:23" x14ac:dyDescent="0.55000000000000004">
      <c r="W19872"/>
    </row>
    <row r="19873" spans="23:23" x14ac:dyDescent="0.55000000000000004">
      <c r="W19873"/>
    </row>
    <row r="19874" spans="23:23" x14ac:dyDescent="0.55000000000000004">
      <c r="W19874"/>
    </row>
    <row r="19875" spans="23:23" x14ac:dyDescent="0.55000000000000004">
      <c r="W19875"/>
    </row>
    <row r="19876" spans="23:23" x14ac:dyDescent="0.55000000000000004">
      <c r="W19876"/>
    </row>
    <row r="19877" spans="23:23" x14ac:dyDescent="0.55000000000000004">
      <c r="W19877"/>
    </row>
    <row r="19878" spans="23:23" x14ac:dyDescent="0.55000000000000004">
      <c r="W19878"/>
    </row>
    <row r="19879" spans="23:23" x14ac:dyDescent="0.55000000000000004">
      <c r="W19879"/>
    </row>
    <row r="19880" spans="23:23" x14ac:dyDescent="0.55000000000000004">
      <c r="W19880"/>
    </row>
    <row r="19881" spans="23:23" x14ac:dyDescent="0.55000000000000004">
      <c r="W19881"/>
    </row>
    <row r="19882" spans="23:23" x14ac:dyDescent="0.55000000000000004">
      <c r="W19882"/>
    </row>
    <row r="19883" spans="23:23" x14ac:dyDescent="0.55000000000000004">
      <c r="W19883"/>
    </row>
    <row r="19884" spans="23:23" x14ac:dyDescent="0.55000000000000004">
      <c r="W19884"/>
    </row>
    <row r="19885" spans="23:23" x14ac:dyDescent="0.55000000000000004">
      <c r="W19885"/>
    </row>
    <row r="19886" spans="23:23" x14ac:dyDescent="0.55000000000000004">
      <c r="W19886"/>
    </row>
    <row r="19887" spans="23:23" x14ac:dyDescent="0.55000000000000004">
      <c r="W19887"/>
    </row>
    <row r="19888" spans="23:23" x14ac:dyDescent="0.55000000000000004">
      <c r="W19888"/>
    </row>
    <row r="19889" spans="23:23" x14ac:dyDescent="0.55000000000000004">
      <c r="W19889"/>
    </row>
    <row r="19890" spans="23:23" x14ac:dyDescent="0.55000000000000004">
      <c r="W19890"/>
    </row>
    <row r="19891" spans="23:23" x14ac:dyDescent="0.55000000000000004">
      <c r="W19891"/>
    </row>
    <row r="19892" spans="23:23" x14ac:dyDescent="0.55000000000000004">
      <c r="W19892"/>
    </row>
    <row r="19893" spans="23:23" x14ac:dyDescent="0.55000000000000004">
      <c r="W19893"/>
    </row>
    <row r="19894" spans="23:23" x14ac:dyDescent="0.55000000000000004">
      <c r="W19894"/>
    </row>
    <row r="19895" spans="23:23" x14ac:dyDescent="0.55000000000000004">
      <c r="W19895"/>
    </row>
    <row r="19896" spans="23:23" x14ac:dyDescent="0.55000000000000004">
      <c r="W19896"/>
    </row>
    <row r="19897" spans="23:23" x14ac:dyDescent="0.55000000000000004">
      <c r="W19897"/>
    </row>
    <row r="19898" spans="23:23" x14ac:dyDescent="0.55000000000000004">
      <c r="W19898"/>
    </row>
    <row r="19899" spans="23:23" x14ac:dyDescent="0.55000000000000004">
      <c r="W19899"/>
    </row>
    <row r="19900" spans="23:23" x14ac:dyDescent="0.55000000000000004">
      <c r="W19900"/>
    </row>
    <row r="19901" spans="23:23" x14ac:dyDescent="0.55000000000000004">
      <c r="W19901"/>
    </row>
    <row r="19902" spans="23:23" x14ac:dyDescent="0.55000000000000004">
      <c r="W19902"/>
    </row>
    <row r="19903" spans="23:23" x14ac:dyDescent="0.55000000000000004">
      <c r="W19903"/>
    </row>
    <row r="19904" spans="23:23" x14ac:dyDescent="0.55000000000000004">
      <c r="W19904"/>
    </row>
    <row r="19905" spans="23:23" x14ac:dyDescent="0.55000000000000004">
      <c r="W19905"/>
    </row>
    <row r="19906" spans="23:23" x14ac:dyDescent="0.55000000000000004">
      <c r="W19906"/>
    </row>
    <row r="19907" spans="23:23" x14ac:dyDescent="0.55000000000000004">
      <c r="W19907"/>
    </row>
    <row r="19908" spans="23:23" x14ac:dyDescent="0.55000000000000004">
      <c r="W19908"/>
    </row>
    <row r="19909" spans="23:23" x14ac:dyDescent="0.55000000000000004">
      <c r="W19909"/>
    </row>
    <row r="19910" spans="23:23" x14ac:dyDescent="0.55000000000000004">
      <c r="W19910"/>
    </row>
    <row r="19911" spans="23:23" x14ac:dyDescent="0.55000000000000004">
      <c r="W19911"/>
    </row>
    <row r="19912" spans="23:23" x14ac:dyDescent="0.55000000000000004">
      <c r="W19912"/>
    </row>
    <row r="19913" spans="23:23" x14ac:dyDescent="0.55000000000000004">
      <c r="W19913"/>
    </row>
    <row r="19914" spans="23:23" x14ac:dyDescent="0.55000000000000004">
      <c r="W19914"/>
    </row>
    <row r="19915" spans="23:23" x14ac:dyDescent="0.55000000000000004">
      <c r="W19915"/>
    </row>
    <row r="19916" spans="23:23" x14ac:dyDescent="0.55000000000000004">
      <c r="W19916"/>
    </row>
    <row r="19917" spans="23:23" x14ac:dyDescent="0.55000000000000004">
      <c r="W19917"/>
    </row>
    <row r="19918" spans="23:23" x14ac:dyDescent="0.55000000000000004">
      <c r="W19918"/>
    </row>
    <row r="19919" spans="23:23" x14ac:dyDescent="0.55000000000000004">
      <c r="W19919"/>
    </row>
    <row r="19920" spans="23:23" x14ac:dyDescent="0.55000000000000004">
      <c r="W19920"/>
    </row>
    <row r="19921" spans="23:23" x14ac:dyDescent="0.55000000000000004">
      <c r="W19921"/>
    </row>
    <row r="19922" spans="23:23" x14ac:dyDescent="0.55000000000000004">
      <c r="W19922"/>
    </row>
    <row r="19923" spans="23:23" x14ac:dyDescent="0.55000000000000004">
      <c r="W19923"/>
    </row>
    <row r="19924" spans="23:23" x14ac:dyDescent="0.55000000000000004">
      <c r="W19924"/>
    </row>
    <row r="19925" spans="23:23" x14ac:dyDescent="0.55000000000000004">
      <c r="W19925"/>
    </row>
    <row r="19926" spans="23:23" x14ac:dyDescent="0.55000000000000004">
      <c r="W19926"/>
    </row>
    <row r="19927" spans="23:23" x14ac:dyDescent="0.55000000000000004">
      <c r="W19927"/>
    </row>
    <row r="19928" spans="23:23" x14ac:dyDescent="0.55000000000000004">
      <c r="W19928"/>
    </row>
    <row r="19929" spans="23:23" x14ac:dyDescent="0.55000000000000004">
      <c r="W19929"/>
    </row>
    <row r="19930" spans="23:23" x14ac:dyDescent="0.55000000000000004">
      <c r="W19930"/>
    </row>
    <row r="19931" spans="23:23" x14ac:dyDescent="0.55000000000000004">
      <c r="W19931"/>
    </row>
    <row r="19932" spans="23:23" x14ac:dyDescent="0.55000000000000004">
      <c r="W19932"/>
    </row>
    <row r="19933" spans="23:23" x14ac:dyDescent="0.55000000000000004">
      <c r="W19933"/>
    </row>
    <row r="19934" spans="23:23" x14ac:dyDescent="0.55000000000000004">
      <c r="W19934"/>
    </row>
    <row r="19935" spans="23:23" x14ac:dyDescent="0.55000000000000004">
      <c r="W19935"/>
    </row>
    <row r="19936" spans="23:23" x14ac:dyDescent="0.55000000000000004">
      <c r="W19936"/>
    </row>
    <row r="19937" spans="23:23" x14ac:dyDescent="0.55000000000000004">
      <c r="W19937"/>
    </row>
    <row r="19938" spans="23:23" x14ac:dyDescent="0.55000000000000004">
      <c r="W19938"/>
    </row>
    <row r="19939" spans="23:23" x14ac:dyDescent="0.55000000000000004">
      <c r="W19939"/>
    </row>
    <row r="19940" spans="23:23" x14ac:dyDescent="0.55000000000000004">
      <c r="W19940"/>
    </row>
    <row r="19941" spans="23:23" x14ac:dyDescent="0.55000000000000004">
      <c r="W19941"/>
    </row>
    <row r="19942" spans="23:23" x14ac:dyDescent="0.55000000000000004">
      <c r="W19942"/>
    </row>
    <row r="19943" spans="23:23" x14ac:dyDescent="0.55000000000000004">
      <c r="W19943"/>
    </row>
    <row r="19944" spans="23:23" x14ac:dyDescent="0.55000000000000004">
      <c r="W19944"/>
    </row>
    <row r="19945" spans="23:23" x14ac:dyDescent="0.55000000000000004">
      <c r="W19945"/>
    </row>
    <row r="19946" spans="23:23" x14ac:dyDescent="0.55000000000000004">
      <c r="W19946"/>
    </row>
    <row r="19947" spans="23:23" x14ac:dyDescent="0.55000000000000004">
      <c r="W19947"/>
    </row>
    <row r="19948" spans="23:23" x14ac:dyDescent="0.55000000000000004">
      <c r="W19948"/>
    </row>
    <row r="19949" spans="23:23" x14ac:dyDescent="0.55000000000000004">
      <c r="W19949"/>
    </row>
    <row r="19950" spans="23:23" x14ac:dyDescent="0.55000000000000004">
      <c r="W19950"/>
    </row>
    <row r="19951" spans="23:23" x14ac:dyDescent="0.55000000000000004">
      <c r="W19951"/>
    </row>
    <row r="19952" spans="23:23" x14ac:dyDescent="0.55000000000000004">
      <c r="W19952"/>
    </row>
    <row r="19953" spans="23:23" x14ac:dyDescent="0.55000000000000004">
      <c r="W19953"/>
    </row>
    <row r="19954" spans="23:23" x14ac:dyDescent="0.55000000000000004">
      <c r="W19954"/>
    </row>
    <row r="19955" spans="23:23" x14ac:dyDescent="0.55000000000000004">
      <c r="W19955"/>
    </row>
    <row r="19956" spans="23:23" x14ac:dyDescent="0.55000000000000004">
      <c r="W19956"/>
    </row>
    <row r="19957" spans="23:23" x14ac:dyDescent="0.55000000000000004">
      <c r="W19957"/>
    </row>
    <row r="19958" spans="23:23" x14ac:dyDescent="0.55000000000000004">
      <c r="W19958"/>
    </row>
    <row r="19959" spans="23:23" x14ac:dyDescent="0.55000000000000004">
      <c r="W19959"/>
    </row>
    <row r="19960" spans="23:23" x14ac:dyDescent="0.55000000000000004">
      <c r="W19960"/>
    </row>
    <row r="19961" spans="23:23" x14ac:dyDescent="0.55000000000000004">
      <c r="W19961"/>
    </row>
    <row r="19962" spans="23:23" x14ac:dyDescent="0.55000000000000004">
      <c r="W19962"/>
    </row>
    <row r="19963" spans="23:23" x14ac:dyDescent="0.55000000000000004">
      <c r="W19963"/>
    </row>
    <row r="19964" spans="23:23" x14ac:dyDescent="0.55000000000000004">
      <c r="W19964"/>
    </row>
    <row r="19965" spans="23:23" x14ac:dyDescent="0.55000000000000004">
      <c r="W19965"/>
    </row>
    <row r="19966" spans="23:23" x14ac:dyDescent="0.55000000000000004">
      <c r="W19966"/>
    </row>
    <row r="19967" spans="23:23" x14ac:dyDescent="0.55000000000000004">
      <c r="W19967"/>
    </row>
    <row r="19968" spans="23:23" x14ac:dyDescent="0.55000000000000004">
      <c r="W19968"/>
    </row>
    <row r="19969" spans="23:23" x14ac:dyDescent="0.55000000000000004">
      <c r="W19969"/>
    </row>
    <row r="19970" spans="23:23" x14ac:dyDescent="0.55000000000000004">
      <c r="W19970"/>
    </row>
    <row r="19971" spans="23:23" x14ac:dyDescent="0.55000000000000004">
      <c r="W19971"/>
    </row>
    <row r="19972" spans="23:23" x14ac:dyDescent="0.55000000000000004">
      <c r="W19972"/>
    </row>
    <row r="19973" spans="23:23" x14ac:dyDescent="0.55000000000000004">
      <c r="W19973"/>
    </row>
    <row r="19974" spans="23:23" x14ac:dyDescent="0.55000000000000004">
      <c r="W19974"/>
    </row>
    <row r="19975" spans="23:23" x14ac:dyDescent="0.55000000000000004">
      <c r="W19975"/>
    </row>
    <row r="19976" spans="23:23" x14ac:dyDescent="0.55000000000000004">
      <c r="W19976"/>
    </row>
    <row r="19977" spans="23:23" x14ac:dyDescent="0.55000000000000004">
      <c r="W19977"/>
    </row>
    <row r="19978" spans="23:23" x14ac:dyDescent="0.55000000000000004">
      <c r="W19978"/>
    </row>
    <row r="19979" spans="23:23" x14ac:dyDescent="0.55000000000000004">
      <c r="W19979"/>
    </row>
    <row r="19980" spans="23:23" x14ac:dyDescent="0.55000000000000004">
      <c r="W19980"/>
    </row>
    <row r="19981" spans="23:23" x14ac:dyDescent="0.55000000000000004">
      <c r="W19981"/>
    </row>
    <row r="19982" spans="23:23" x14ac:dyDescent="0.55000000000000004">
      <c r="W19982"/>
    </row>
    <row r="19983" spans="23:23" x14ac:dyDescent="0.55000000000000004">
      <c r="W19983"/>
    </row>
    <row r="19984" spans="23:23" x14ac:dyDescent="0.55000000000000004">
      <c r="W19984"/>
    </row>
    <row r="19985" spans="23:23" x14ac:dyDescent="0.55000000000000004">
      <c r="W19985"/>
    </row>
    <row r="19986" spans="23:23" x14ac:dyDescent="0.55000000000000004">
      <c r="W19986"/>
    </row>
    <row r="19987" spans="23:23" x14ac:dyDescent="0.55000000000000004">
      <c r="W19987"/>
    </row>
    <row r="19988" spans="23:23" x14ac:dyDescent="0.55000000000000004">
      <c r="W19988"/>
    </row>
    <row r="19989" spans="23:23" x14ac:dyDescent="0.55000000000000004">
      <c r="W19989"/>
    </row>
    <row r="19990" spans="23:23" x14ac:dyDescent="0.55000000000000004">
      <c r="W19990"/>
    </row>
    <row r="19991" spans="23:23" x14ac:dyDescent="0.55000000000000004">
      <c r="W19991"/>
    </row>
    <row r="19992" spans="23:23" x14ac:dyDescent="0.55000000000000004">
      <c r="W19992"/>
    </row>
    <row r="19993" spans="23:23" x14ac:dyDescent="0.55000000000000004">
      <c r="W19993"/>
    </row>
    <row r="19994" spans="23:23" x14ac:dyDescent="0.55000000000000004">
      <c r="W19994"/>
    </row>
    <row r="19995" spans="23:23" x14ac:dyDescent="0.55000000000000004">
      <c r="W19995"/>
    </row>
    <row r="19996" spans="23:23" x14ac:dyDescent="0.55000000000000004">
      <c r="W19996"/>
    </row>
    <row r="19997" spans="23:23" x14ac:dyDescent="0.55000000000000004">
      <c r="W19997"/>
    </row>
    <row r="19998" spans="23:23" x14ac:dyDescent="0.55000000000000004">
      <c r="W19998"/>
    </row>
    <row r="19999" spans="23:23" x14ac:dyDescent="0.55000000000000004">
      <c r="W19999"/>
    </row>
    <row r="20000" spans="23:23" x14ac:dyDescent="0.55000000000000004">
      <c r="W20000"/>
    </row>
    <row r="20001" spans="23:23" x14ac:dyDescent="0.55000000000000004">
      <c r="W20001"/>
    </row>
    <row r="20002" spans="23:23" x14ac:dyDescent="0.55000000000000004">
      <c r="W20002"/>
    </row>
    <row r="20003" spans="23:23" x14ac:dyDescent="0.55000000000000004">
      <c r="W20003"/>
    </row>
    <row r="20004" spans="23:23" x14ac:dyDescent="0.55000000000000004">
      <c r="W20004"/>
    </row>
    <row r="20005" spans="23:23" x14ac:dyDescent="0.55000000000000004">
      <c r="W20005"/>
    </row>
    <row r="20006" spans="23:23" x14ac:dyDescent="0.55000000000000004">
      <c r="W20006"/>
    </row>
    <row r="20007" spans="23:23" x14ac:dyDescent="0.55000000000000004">
      <c r="W20007"/>
    </row>
    <row r="20008" spans="23:23" x14ac:dyDescent="0.55000000000000004">
      <c r="W20008"/>
    </row>
    <row r="20009" spans="23:23" x14ac:dyDescent="0.55000000000000004">
      <c r="W20009"/>
    </row>
    <row r="20010" spans="23:23" x14ac:dyDescent="0.55000000000000004">
      <c r="W20010"/>
    </row>
    <row r="20011" spans="23:23" x14ac:dyDescent="0.55000000000000004">
      <c r="W20011"/>
    </row>
    <row r="20012" spans="23:23" x14ac:dyDescent="0.55000000000000004">
      <c r="W20012"/>
    </row>
    <row r="20013" spans="23:23" x14ac:dyDescent="0.55000000000000004">
      <c r="W20013"/>
    </row>
    <row r="20014" spans="23:23" x14ac:dyDescent="0.55000000000000004">
      <c r="W20014"/>
    </row>
    <row r="20015" spans="23:23" x14ac:dyDescent="0.55000000000000004">
      <c r="W20015"/>
    </row>
    <row r="20016" spans="23:23" x14ac:dyDescent="0.55000000000000004">
      <c r="W20016"/>
    </row>
    <row r="20017" spans="23:23" x14ac:dyDescent="0.55000000000000004">
      <c r="W20017"/>
    </row>
    <row r="20018" spans="23:23" x14ac:dyDescent="0.55000000000000004">
      <c r="W20018"/>
    </row>
    <row r="20019" spans="23:23" x14ac:dyDescent="0.55000000000000004">
      <c r="W20019"/>
    </row>
    <row r="20020" spans="23:23" x14ac:dyDescent="0.55000000000000004">
      <c r="W20020"/>
    </row>
    <row r="20021" spans="23:23" x14ac:dyDescent="0.55000000000000004">
      <c r="W20021"/>
    </row>
    <row r="20022" spans="23:23" x14ac:dyDescent="0.55000000000000004">
      <c r="W20022"/>
    </row>
    <row r="20023" spans="23:23" x14ac:dyDescent="0.55000000000000004">
      <c r="W20023"/>
    </row>
    <row r="20024" spans="23:23" x14ac:dyDescent="0.55000000000000004">
      <c r="W20024"/>
    </row>
    <row r="20025" spans="23:23" x14ac:dyDescent="0.55000000000000004">
      <c r="W20025"/>
    </row>
    <row r="20026" spans="23:23" x14ac:dyDescent="0.55000000000000004">
      <c r="W20026"/>
    </row>
    <row r="20027" spans="23:23" x14ac:dyDescent="0.55000000000000004">
      <c r="W20027"/>
    </row>
    <row r="20028" spans="23:23" x14ac:dyDescent="0.55000000000000004">
      <c r="W20028"/>
    </row>
    <row r="20029" spans="23:23" x14ac:dyDescent="0.55000000000000004">
      <c r="W20029"/>
    </row>
    <row r="20030" spans="23:23" x14ac:dyDescent="0.55000000000000004">
      <c r="W20030"/>
    </row>
    <row r="20031" spans="23:23" x14ac:dyDescent="0.55000000000000004">
      <c r="W20031"/>
    </row>
    <row r="20032" spans="23:23" x14ac:dyDescent="0.55000000000000004">
      <c r="W20032"/>
    </row>
    <row r="20033" spans="23:23" x14ac:dyDescent="0.55000000000000004">
      <c r="W20033"/>
    </row>
    <row r="20034" spans="23:23" x14ac:dyDescent="0.55000000000000004">
      <c r="W20034"/>
    </row>
    <row r="20035" spans="23:23" x14ac:dyDescent="0.55000000000000004">
      <c r="W20035"/>
    </row>
    <row r="20036" spans="23:23" x14ac:dyDescent="0.55000000000000004">
      <c r="W20036"/>
    </row>
    <row r="20037" spans="23:23" x14ac:dyDescent="0.55000000000000004">
      <c r="W20037"/>
    </row>
    <row r="20038" spans="23:23" x14ac:dyDescent="0.55000000000000004">
      <c r="W20038"/>
    </row>
    <row r="20039" spans="23:23" x14ac:dyDescent="0.55000000000000004">
      <c r="W20039"/>
    </row>
    <row r="20040" spans="23:23" x14ac:dyDescent="0.55000000000000004">
      <c r="W20040"/>
    </row>
    <row r="20041" spans="23:23" x14ac:dyDescent="0.55000000000000004">
      <c r="W20041"/>
    </row>
    <row r="20042" spans="23:23" x14ac:dyDescent="0.55000000000000004">
      <c r="W20042"/>
    </row>
    <row r="20043" spans="23:23" x14ac:dyDescent="0.55000000000000004">
      <c r="W20043"/>
    </row>
    <row r="20044" spans="23:23" x14ac:dyDescent="0.55000000000000004">
      <c r="W20044"/>
    </row>
    <row r="20045" spans="23:23" x14ac:dyDescent="0.55000000000000004">
      <c r="W20045"/>
    </row>
    <row r="20046" spans="23:23" x14ac:dyDescent="0.55000000000000004">
      <c r="W20046"/>
    </row>
    <row r="20047" spans="23:23" x14ac:dyDescent="0.55000000000000004">
      <c r="W20047"/>
    </row>
    <row r="20048" spans="23:23" x14ac:dyDescent="0.55000000000000004">
      <c r="W20048"/>
    </row>
    <row r="20049" spans="23:23" x14ac:dyDescent="0.55000000000000004">
      <c r="W20049"/>
    </row>
    <row r="20050" spans="23:23" x14ac:dyDescent="0.55000000000000004">
      <c r="W20050"/>
    </row>
    <row r="20051" spans="23:23" x14ac:dyDescent="0.55000000000000004">
      <c r="W20051"/>
    </row>
    <row r="20052" spans="23:23" x14ac:dyDescent="0.55000000000000004">
      <c r="W20052"/>
    </row>
    <row r="20053" spans="23:23" x14ac:dyDescent="0.55000000000000004">
      <c r="W20053"/>
    </row>
    <row r="20054" spans="23:23" x14ac:dyDescent="0.55000000000000004">
      <c r="W20054"/>
    </row>
    <row r="20055" spans="23:23" x14ac:dyDescent="0.55000000000000004">
      <c r="W20055"/>
    </row>
    <row r="20056" spans="23:23" x14ac:dyDescent="0.55000000000000004">
      <c r="W20056"/>
    </row>
    <row r="20057" spans="23:23" x14ac:dyDescent="0.55000000000000004">
      <c r="W20057"/>
    </row>
    <row r="20058" spans="23:23" x14ac:dyDescent="0.55000000000000004">
      <c r="W20058"/>
    </row>
    <row r="20059" spans="23:23" x14ac:dyDescent="0.55000000000000004">
      <c r="W20059"/>
    </row>
    <row r="20060" spans="23:23" x14ac:dyDescent="0.55000000000000004">
      <c r="W20060"/>
    </row>
    <row r="20061" spans="23:23" x14ac:dyDescent="0.55000000000000004">
      <c r="W20061"/>
    </row>
    <row r="20062" spans="23:23" x14ac:dyDescent="0.55000000000000004">
      <c r="W20062"/>
    </row>
    <row r="20063" spans="23:23" x14ac:dyDescent="0.55000000000000004">
      <c r="W20063"/>
    </row>
    <row r="20064" spans="23:23" x14ac:dyDescent="0.55000000000000004">
      <c r="W20064"/>
    </row>
    <row r="20065" spans="23:23" x14ac:dyDescent="0.55000000000000004">
      <c r="W20065"/>
    </row>
    <row r="20066" spans="23:23" x14ac:dyDescent="0.55000000000000004">
      <c r="W20066"/>
    </row>
    <row r="20067" spans="23:23" x14ac:dyDescent="0.55000000000000004">
      <c r="W20067"/>
    </row>
    <row r="20068" spans="23:23" x14ac:dyDescent="0.55000000000000004">
      <c r="W20068"/>
    </row>
    <row r="20069" spans="23:23" x14ac:dyDescent="0.55000000000000004">
      <c r="W20069"/>
    </row>
    <row r="20070" spans="23:23" x14ac:dyDescent="0.55000000000000004">
      <c r="W20070"/>
    </row>
    <row r="20071" spans="23:23" x14ac:dyDescent="0.55000000000000004">
      <c r="W20071"/>
    </row>
    <row r="20072" spans="23:23" x14ac:dyDescent="0.55000000000000004">
      <c r="W20072"/>
    </row>
    <row r="20073" spans="23:23" x14ac:dyDescent="0.55000000000000004">
      <c r="W20073"/>
    </row>
    <row r="20074" spans="23:23" x14ac:dyDescent="0.55000000000000004">
      <c r="W20074"/>
    </row>
    <row r="20075" spans="23:23" x14ac:dyDescent="0.55000000000000004">
      <c r="W20075"/>
    </row>
    <row r="20076" spans="23:23" x14ac:dyDescent="0.55000000000000004">
      <c r="W20076"/>
    </row>
    <row r="20077" spans="23:23" x14ac:dyDescent="0.55000000000000004">
      <c r="W20077"/>
    </row>
    <row r="20078" spans="23:23" x14ac:dyDescent="0.55000000000000004">
      <c r="W20078"/>
    </row>
    <row r="20079" spans="23:23" x14ac:dyDescent="0.55000000000000004">
      <c r="W20079"/>
    </row>
    <row r="20080" spans="23:23" x14ac:dyDescent="0.55000000000000004">
      <c r="W20080"/>
    </row>
    <row r="20081" spans="23:23" x14ac:dyDescent="0.55000000000000004">
      <c r="W20081"/>
    </row>
    <row r="20082" spans="23:23" x14ac:dyDescent="0.55000000000000004">
      <c r="W20082"/>
    </row>
    <row r="20083" spans="23:23" x14ac:dyDescent="0.55000000000000004">
      <c r="W20083"/>
    </row>
    <row r="20084" spans="23:23" x14ac:dyDescent="0.55000000000000004">
      <c r="W20084"/>
    </row>
    <row r="20085" spans="23:23" x14ac:dyDescent="0.55000000000000004">
      <c r="W20085"/>
    </row>
    <row r="20086" spans="23:23" x14ac:dyDescent="0.55000000000000004">
      <c r="W20086"/>
    </row>
    <row r="20087" spans="23:23" x14ac:dyDescent="0.55000000000000004">
      <c r="W20087"/>
    </row>
    <row r="20088" spans="23:23" x14ac:dyDescent="0.55000000000000004">
      <c r="W20088"/>
    </row>
    <row r="20089" spans="23:23" x14ac:dyDescent="0.55000000000000004">
      <c r="W20089"/>
    </row>
    <row r="20090" spans="23:23" x14ac:dyDescent="0.55000000000000004">
      <c r="W20090"/>
    </row>
    <row r="20091" spans="23:23" x14ac:dyDescent="0.55000000000000004">
      <c r="W20091"/>
    </row>
    <row r="20092" spans="23:23" x14ac:dyDescent="0.55000000000000004">
      <c r="W20092"/>
    </row>
    <row r="20093" spans="23:23" x14ac:dyDescent="0.55000000000000004">
      <c r="W20093"/>
    </row>
    <row r="20094" spans="23:23" x14ac:dyDescent="0.55000000000000004">
      <c r="W20094"/>
    </row>
    <row r="20095" spans="23:23" x14ac:dyDescent="0.55000000000000004">
      <c r="W20095"/>
    </row>
    <row r="20096" spans="23:23" x14ac:dyDescent="0.55000000000000004">
      <c r="W20096"/>
    </row>
    <row r="20097" spans="23:23" x14ac:dyDescent="0.55000000000000004">
      <c r="W20097"/>
    </row>
    <row r="20098" spans="23:23" x14ac:dyDescent="0.55000000000000004">
      <c r="W20098"/>
    </row>
    <row r="20099" spans="23:23" x14ac:dyDescent="0.55000000000000004">
      <c r="W20099"/>
    </row>
    <row r="20100" spans="23:23" x14ac:dyDescent="0.55000000000000004">
      <c r="W20100"/>
    </row>
    <row r="20101" spans="23:23" x14ac:dyDescent="0.55000000000000004">
      <c r="W20101"/>
    </row>
    <row r="20102" spans="23:23" x14ac:dyDescent="0.55000000000000004">
      <c r="W20102"/>
    </row>
    <row r="20103" spans="23:23" x14ac:dyDescent="0.55000000000000004">
      <c r="W20103"/>
    </row>
    <row r="20104" spans="23:23" x14ac:dyDescent="0.55000000000000004">
      <c r="W20104"/>
    </row>
    <row r="20105" spans="23:23" x14ac:dyDescent="0.55000000000000004">
      <c r="W20105"/>
    </row>
    <row r="20106" spans="23:23" x14ac:dyDescent="0.55000000000000004">
      <c r="W20106"/>
    </row>
    <row r="20107" spans="23:23" x14ac:dyDescent="0.55000000000000004">
      <c r="W20107"/>
    </row>
    <row r="20108" spans="23:23" x14ac:dyDescent="0.55000000000000004">
      <c r="W20108"/>
    </row>
    <row r="20109" spans="23:23" x14ac:dyDescent="0.55000000000000004">
      <c r="W20109"/>
    </row>
    <row r="20110" spans="23:23" x14ac:dyDescent="0.55000000000000004">
      <c r="W20110"/>
    </row>
    <row r="20111" spans="23:23" x14ac:dyDescent="0.55000000000000004">
      <c r="W20111"/>
    </row>
    <row r="20112" spans="23:23" x14ac:dyDescent="0.55000000000000004">
      <c r="W20112"/>
    </row>
    <row r="20113" spans="23:23" x14ac:dyDescent="0.55000000000000004">
      <c r="W20113"/>
    </row>
    <row r="20114" spans="23:23" x14ac:dyDescent="0.55000000000000004">
      <c r="W20114"/>
    </row>
    <row r="20115" spans="23:23" x14ac:dyDescent="0.55000000000000004">
      <c r="W20115"/>
    </row>
    <row r="20116" spans="23:23" x14ac:dyDescent="0.55000000000000004">
      <c r="W20116"/>
    </row>
    <row r="20117" spans="23:23" x14ac:dyDescent="0.55000000000000004">
      <c r="W20117"/>
    </row>
    <row r="20118" spans="23:23" x14ac:dyDescent="0.55000000000000004">
      <c r="W20118"/>
    </row>
    <row r="20119" spans="23:23" x14ac:dyDescent="0.55000000000000004">
      <c r="W20119"/>
    </row>
    <row r="20120" spans="23:23" x14ac:dyDescent="0.55000000000000004">
      <c r="W20120"/>
    </row>
    <row r="20121" spans="23:23" x14ac:dyDescent="0.55000000000000004">
      <c r="W20121"/>
    </row>
    <row r="20122" spans="23:23" x14ac:dyDescent="0.55000000000000004">
      <c r="W20122"/>
    </row>
    <row r="20123" spans="23:23" x14ac:dyDescent="0.55000000000000004">
      <c r="W20123"/>
    </row>
    <row r="20124" spans="23:23" x14ac:dyDescent="0.55000000000000004">
      <c r="W20124"/>
    </row>
    <row r="20125" spans="23:23" x14ac:dyDescent="0.55000000000000004">
      <c r="W20125"/>
    </row>
    <row r="20126" spans="23:23" x14ac:dyDescent="0.55000000000000004">
      <c r="W20126"/>
    </row>
    <row r="20127" spans="23:23" x14ac:dyDescent="0.55000000000000004">
      <c r="W20127"/>
    </row>
    <row r="20128" spans="23:23" x14ac:dyDescent="0.55000000000000004">
      <c r="W20128"/>
    </row>
    <row r="20129" spans="23:23" x14ac:dyDescent="0.55000000000000004">
      <c r="W20129"/>
    </row>
    <row r="20130" spans="23:23" x14ac:dyDescent="0.55000000000000004">
      <c r="W20130"/>
    </row>
    <row r="20131" spans="23:23" x14ac:dyDescent="0.55000000000000004">
      <c r="W20131"/>
    </row>
    <row r="20132" spans="23:23" x14ac:dyDescent="0.55000000000000004">
      <c r="W20132"/>
    </row>
    <row r="20133" spans="23:23" x14ac:dyDescent="0.55000000000000004">
      <c r="W20133"/>
    </row>
    <row r="20134" spans="23:23" x14ac:dyDescent="0.55000000000000004">
      <c r="W20134"/>
    </row>
    <row r="20135" spans="23:23" x14ac:dyDescent="0.55000000000000004">
      <c r="W20135"/>
    </row>
    <row r="20136" spans="23:23" x14ac:dyDescent="0.55000000000000004">
      <c r="W20136"/>
    </row>
    <row r="20137" spans="23:23" x14ac:dyDescent="0.55000000000000004">
      <c r="W20137"/>
    </row>
    <row r="20138" spans="23:23" x14ac:dyDescent="0.55000000000000004">
      <c r="W20138"/>
    </row>
    <row r="20139" spans="23:23" x14ac:dyDescent="0.55000000000000004">
      <c r="W20139"/>
    </row>
    <row r="20140" spans="23:23" x14ac:dyDescent="0.55000000000000004">
      <c r="W20140"/>
    </row>
    <row r="20141" spans="23:23" x14ac:dyDescent="0.55000000000000004">
      <c r="W20141"/>
    </row>
    <row r="20142" spans="23:23" x14ac:dyDescent="0.55000000000000004">
      <c r="W20142"/>
    </row>
    <row r="20143" spans="23:23" x14ac:dyDescent="0.55000000000000004">
      <c r="W20143"/>
    </row>
    <row r="20144" spans="23:23" x14ac:dyDescent="0.55000000000000004">
      <c r="W20144"/>
    </row>
    <row r="20145" spans="23:23" x14ac:dyDescent="0.55000000000000004">
      <c r="W20145"/>
    </row>
    <row r="20146" spans="23:23" x14ac:dyDescent="0.55000000000000004">
      <c r="W20146"/>
    </row>
    <row r="20147" spans="23:23" x14ac:dyDescent="0.55000000000000004">
      <c r="W20147"/>
    </row>
    <row r="20148" spans="23:23" x14ac:dyDescent="0.55000000000000004">
      <c r="W20148"/>
    </row>
    <row r="20149" spans="23:23" x14ac:dyDescent="0.55000000000000004">
      <c r="W20149"/>
    </row>
    <row r="20150" spans="23:23" x14ac:dyDescent="0.55000000000000004">
      <c r="W20150"/>
    </row>
    <row r="20151" spans="23:23" x14ac:dyDescent="0.55000000000000004">
      <c r="W20151"/>
    </row>
    <row r="20152" spans="23:23" x14ac:dyDescent="0.55000000000000004">
      <c r="W20152"/>
    </row>
    <row r="20153" spans="23:23" x14ac:dyDescent="0.55000000000000004">
      <c r="W20153"/>
    </row>
    <row r="20154" spans="23:23" x14ac:dyDescent="0.55000000000000004">
      <c r="W20154"/>
    </row>
    <row r="20155" spans="23:23" x14ac:dyDescent="0.55000000000000004">
      <c r="W20155"/>
    </row>
    <row r="20156" spans="23:23" x14ac:dyDescent="0.55000000000000004">
      <c r="W20156"/>
    </row>
    <row r="20157" spans="23:23" x14ac:dyDescent="0.55000000000000004">
      <c r="W20157"/>
    </row>
    <row r="20158" spans="23:23" x14ac:dyDescent="0.55000000000000004">
      <c r="W20158"/>
    </row>
    <row r="20159" spans="23:23" x14ac:dyDescent="0.55000000000000004">
      <c r="W20159"/>
    </row>
    <row r="20160" spans="23:23" x14ac:dyDescent="0.55000000000000004">
      <c r="W20160"/>
    </row>
    <row r="20161" spans="23:23" x14ac:dyDescent="0.55000000000000004">
      <c r="W20161"/>
    </row>
    <row r="20162" spans="23:23" x14ac:dyDescent="0.55000000000000004">
      <c r="W20162"/>
    </row>
    <row r="20163" spans="23:23" x14ac:dyDescent="0.55000000000000004">
      <c r="W20163"/>
    </row>
    <row r="20164" spans="23:23" x14ac:dyDescent="0.55000000000000004">
      <c r="W20164"/>
    </row>
    <row r="20165" spans="23:23" x14ac:dyDescent="0.55000000000000004">
      <c r="W20165"/>
    </row>
    <row r="20166" spans="23:23" x14ac:dyDescent="0.55000000000000004">
      <c r="W20166"/>
    </row>
    <row r="20167" spans="23:23" x14ac:dyDescent="0.55000000000000004">
      <c r="W20167"/>
    </row>
    <row r="20168" spans="23:23" x14ac:dyDescent="0.55000000000000004">
      <c r="W20168"/>
    </row>
    <row r="20169" spans="23:23" x14ac:dyDescent="0.55000000000000004">
      <c r="W20169"/>
    </row>
    <row r="20170" spans="23:23" x14ac:dyDescent="0.55000000000000004">
      <c r="W20170"/>
    </row>
    <row r="20171" spans="23:23" x14ac:dyDescent="0.55000000000000004">
      <c r="W20171"/>
    </row>
    <row r="20172" spans="23:23" x14ac:dyDescent="0.55000000000000004">
      <c r="W20172"/>
    </row>
    <row r="20173" spans="23:23" x14ac:dyDescent="0.55000000000000004">
      <c r="W20173"/>
    </row>
    <row r="20174" spans="23:23" x14ac:dyDescent="0.55000000000000004">
      <c r="W20174"/>
    </row>
    <row r="20175" spans="23:23" x14ac:dyDescent="0.55000000000000004">
      <c r="W20175"/>
    </row>
    <row r="20176" spans="23:23" x14ac:dyDescent="0.55000000000000004">
      <c r="W20176"/>
    </row>
    <row r="20177" spans="23:23" x14ac:dyDescent="0.55000000000000004">
      <c r="W20177"/>
    </row>
    <row r="20178" spans="23:23" x14ac:dyDescent="0.55000000000000004">
      <c r="W20178"/>
    </row>
    <row r="20179" spans="23:23" x14ac:dyDescent="0.55000000000000004">
      <c r="W20179"/>
    </row>
    <row r="20180" spans="23:23" x14ac:dyDescent="0.55000000000000004">
      <c r="W20180"/>
    </row>
    <row r="20181" spans="23:23" x14ac:dyDescent="0.55000000000000004">
      <c r="W20181"/>
    </row>
    <row r="20182" spans="23:23" x14ac:dyDescent="0.55000000000000004">
      <c r="W20182"/>
    </row>
    <row r="20183" spans="23:23" x14ac:dyDescent="0.55000000000000004">
      <c r="W20183"/>
    </row>
    <row r="20184" spans="23:23" x14ac:dyDescent="0.55000000000000004">
      <c r="W20184"/>
    </row>
    <row r="20185" spans="23:23" x14ac:dyDescent="0.55000000000000004">
      <c r="W20185"/>
    </row>
    <row r="20186" spans="23:23" x14ac:dyDescent="0.55000000000000004">
      <c r="W20186"/>
    </row>
    <row r="20187" spans="23:23" x14ac:dyDescent="0.55000000000000004">
      <c r="W20187"/>
    </row>
    <row r="20188" spans="23:23" x14ac:dyDescent="0.55000000000000004">
      <c r="W20188"/>
    </row>
    <row r="20189" spans="23:23" x14ac:dyDescent="0.55000000000000004">
      <c r="W20189"/>
    </row>
    <row r="20190" spans="23:23" x14ac:dyDescent="0.55000000000000004">
      <c r="W20190"/>
    </row>
    <row r="20191" spans="23:23" x14ac:dyDescent="0.55000000000000004">
      <c r="W20191"/>
    </row>
    <row r="20192" spans="23:23" x14ac:dyDescent="0.55000000000000004">
      <c r="W20192"/>
    </row>
    <row r="20193" spans="23:23" x14ac:dyDescent="0.55000000000000004">
      <c r="W20193"/>
    </row>
    <row r="20194" spans="23:23" x14ac:dyDescent="0.55000000000000004">
      <c r="W20194"/>
    </row>
    <row r="20195" spans="23:23" x14ac:dyDescent="0.55000000000000004">
      <c r="W20195"/>
    </row>
    <row r="20196" spans="23:23" x14ac:dyDescent="0.55000000000000004">
      <c r="W20196"/>
    </row>
    <row r="20197" spans="23:23" x14ac:dyDescent="0.55000000000000004">
      <c r="W20197"/>
    </row>
    <row r="20198" spans="23:23" x14ac:dyDescent="0.55000000000000004">
      <c r="W20198"/>
    </row>
    <row r="20199" spans="23:23" x14ac:dyDescent="0.55000000000000004">
      <c r="W20199"/>
    </row>
    <row r="20200" spans="23:23" x14ac:dyDescent="0.55000000000000004">
      <c r="W20200"/>
    </row>
    <row r="20201" spans="23:23" x14ac:dyDescent="0.55000000000000004">
      <c r="W20201"/>
    </row>
    <row r="20202" spans="23:23" x14ac:dyDescent="0.55000000000000004">
      <c r="W20202"/>
    </row>
    <row r="20203" spans="23:23" x14ac:dyDescent="0.55000000000000004">
      <c r="W20203"/>
    </row>
    <row r="20204" spans="23:23" x14ac:dyDescent="0.55000000000000004">
      <c r="W20204"/>
    </row>
    <row r="20205" spans="23:23" x14ac:dyDescent="0.55000000000000004">
      <c r="W20205"/>
    </row>
    <row r="20206" spans="23:23" x14ac:dyDescent="0.55000000000000004">
      <c r="W20206"/>
    </row>
    <row r="20207" spans="23:23" x14ac:dyDescent="0.55000000000000004">
      <c r="W20207"/>
    </row>
    <row r="20208" spans="23:23" x14ac:dyDescent="0.55000000000000004">
      <c r="W20208"/>
    </row>
    <row r="20209" spans="23:23" x14ac:dyDescent="0.55000000000000004">
      <c r="W20209"/>
    </row>
    <row r="20210" spans="23:23" x14ac:dyDescent="0.55000000000000004">
      <c r="W20210"/>
    </row>
    <row r="20211" spans="23:23" x14ac:dyDescent="0.55000000000000004">
      <c r="W20211"/>
    </row>
    <row r="20212" spans="23:23" x14ac:dyDescent="0.55000000000000004">
      <c r="W20212"/>
    </row>
    <row r="20213" spans="23:23" x14ac:dyDescent="0.55000000000000004">
      <c r="W20213"/>
    </row>
    <row r="20214" spans="23:23" x14ac:dyDescent="0.55000000000000004">
      <c r="W20214"/>
    </row>
    <row r="20215" spans="23:23" x14ac:dyDescent="0.55000000000000004">
      <c r="W20215"/>
    </row>
    <row r="20216" spans="23:23" x14ac:dyDescent="0.55000000000000004">
      <c r="W20216"/>
    </row>
    <row r="20217" spans="23:23" x14ac:dyDescent="0.55000000000000004">
      <c r="W20217"/>
    </row>
    <row r="20218" spans="23:23" x14ac:dyDescent="0.55000000000000004">
      <c r="W20218"/>
    </row>
    <row r="20219" spans="23:23" x14ac:dyDescent="0.55000000000000004">
      <c r="W20219"/>
    </row>
    <row r="20220" spans="23:23" x14ac:dyDescent="0.55000000000000004">
      <c r="W20220"/>
    </row>
    <row r="20221" spans="23:23" x14ac:dyDescent="0.55000000000000004">
      <c r="W20221"/>
    </row>
    <row r="20222" spans="23:23" x14ac:dyDescent="0.55000000000000004">
      <c r="W20222"/>
    </row>
    <row r="20223" spans="23:23" x14ac:dyDescent="0.55000000000000004">
      <c r="W20223"/>
    </row>
    <row r="20224" spans="23:23" x14ac:dyDescent="0.55000000000000004">
      <c r="W20224"/>
    </row>
    <row r="20225" spans="23:23" x14ac:dyDescent="0.55000000000000004">
      <c r="W20225"/>
    </row>
    <row r="20226" spans="23:23" x14ac:dyDescent="0.55000000000000004">
      <c r="W20226"/>
    </row>
    <row r="20227" spans="23:23" x14ac:dyDescent="0.55000000000000004">
      <c r="W20227"/>
    </row>
    <row r="20228" spans="23:23" x14ac:dyDescent="0.55000000000000004">
      <c r="W20228"/>
    </row>
    <row r="20229" spans="23:23" x14ac:dyDescent="0.55000000000000004">
      <c r="W20229"/>
    </row>
    <row r="20230" spans="23:23" x14ac:dyDescent="0.55000000000000004">
      <c r="W20230"/>
    </row>
    <row r="20231" spans="23:23" x14ac:dyDescent="0.55000000000000004">
      <c r="W20231"/>
    </row>
    <row r="20232" spans="23:23" x14ac:dyDescent="0.55000000000000004">
      <c r="W20232"/>
    </row>
    <row r="20233" spans="23:23" x14ac:dyDescent="0.55000000000000004">
      <c r="W20233"/>
    </row>
    <row r="20234" spans="23:23" x14ac:dyDescent="0.55000000000000004">
      <c r="W20234"/>
    </row>
    <row r="20235" spans="23:23" x14ac:dyDescent="0.55000000000000004">
      <c r="W20235"/>
    </row>
    <row r="20236" spans="23:23" x14ac:dyDescent="0.55000000000000004">
      <c r="W20236"/>
    </row>
    <row r="20237" spans="23:23" x14ac:dyDescent="0.55000000000000004">
      <c r="W20237"/>
    </row>
    <row r="20238" spans="23:23" x14ac:dyDescent="0.55000000000000004">
      <c r="W20238"/>
    </row>
    <row r="20239" spans="23:23" x14ac:dyDescent="0.55000000000000004">
      <c r="W20239"/>
    </row>
    <row r="20240" spans="23:23" x14ac:dyDescent="0.55000000000000004">
      <c r="W20240"/>
    </row>
    <row r="20241" spans="23:23" x14ac:dyDescent="0.55000000000000004">
      <c r="W20241"/>
    </row>
    <row r="20242" spans="23:23" x14ac:dyDescent="0.55000000000000004">
      <c r="W20242"/>
    </row>
    <row r="20243" spans="23:23" x14ac:dyDescent="0.55000000000000004">
      <c r="W20243"/>
    </row>
    <row r="20244" spans="23:23" x14ac:dyDescent="0.55000000000000004">
      <c r="W20244"/>
    </row>
    <row r="20245" spans="23:23" x14ac:dyDescent="0.55000000000000004">
      <c r="W20245"/>
    </row>
    <row r="20246" spans="23:23" x14ac:dyDescent="0.55000000000000004">
      <c r="W20246"/>
    </row>
    <row r="20247" spans="23:23" x14ac:dyDescent="0.55000000000000004">
      <c r="W20247"/>
    </row>
    <row r="20248" spans="23:23" x14ac:dyDescent="0.55000000000000004">
      <c r="W20248"/>
    </row>
    <row r="20249" spans="23:23" x14ac:dyDescent="0.55000000000000004">
      <c r="W20249"/>
    </row>
    <row r="20250" spans="23:23" x14ac:dyDescent="0.55000000000000004">
      <c r="W20250"/>
    </row>
    <row r="20251" spans="23:23" x14ac:dyDescent="0.55000000000000004">
      <c r="W20251"/>
    </row>
    <row r="20252" spans="23:23" x14ac:dyDescent="0.55000000000000004">
      <c r="W20252"/>
    </row>
    <row r="20253" spans="23:23" x14ac:dyDescent="0.55000000000000004">
      <c r="W20253"/>
    </row>
    <row r="20254" spans="23:23" x14ac:dyDescent="0.55000000000000004">
      <c r="W20254"/>
    </row>
    <row r="20255" spans="23:23" x14ac:dyDescent="0.55000000000000004">
      <c r="W20255"/>
    </row>
    <row r="20256" spans="23:23" x14ac:dyDescent="0.55000000000000004">
      <c r="W20256"/>
    </row>
    <row r="20257" spans="23:23" x14ac:dyDescent="0.55000000000000004">
      <c r="W20257"/>
    </row>
    <row r="20258" spans="23:23" x14ac:dyDescent="0.55000000000000004">
      <c r="W20258"/>
    </row>
    <row r="20259" spans="23:23" x14ac:dyDescent="0.55000000000000004">
      <c r="W20259"/>
    </row>
    <row r="20260" spans="23:23" x14ac:dyDescent="0.55000000000000004">
      <c r="W20260"/>
    </row>
    <row r="20261" spans="23:23" x14ac:dyDescent="0.55000000000000004">
      <c r="W20261"/>
    </row>
    <row r="20262" spans="23:23" x14ac:dyDescent="0.55000000000000004">
      <c r="W20262"/>
    </row>
    <row r="20263" spans="23:23" x14ac:dyDescent="0.55000000000000004">
      <c r="W20263"/>
    </row>
    <row r="20264" spans="23:23" x14ac:dyDescent="0.55000000000000004">
      <c r="W20264"/>
    </row>
    <row r="20265" spans="23:23" x14ac:dyDescent="0.55000000000000004">
      <c r="W20265"/>
    </row>
    <row r="20266" spans="23:23" x14ac:dyDescent="0.55000000000000004">
      <c r="W20266"/>
    </row>
    <row r="20267" spans="23:23" x14ac:dyDescent="0.55000000000000004">
      <c r="W20267"/>
    </row>
    <row r="20268" spans="23:23" x14ac:dyDescent="0.55000000000000004">
      <c r="W20268"/>
    </row>
    <row r="20269" spans="23:23" x14ac:dyDescent="0.55000000000000004">
      <c r="W20269"/>
    </row>
    <row r="20270" spans="23:23" x14ac:dyDescent="0.55000000000000004">
      <c r="W20270"/>
    </row>
    <row r="20271" spans="23:23" x14ac:dyDescent="0.55000000000000004">
      <c r="W20271"/>
    </row>
    <row r="20272" spans="23:23" x14ac:dyDescent="0.55000000000000004">
      <c r="W20272"/>
    </row>
    <row r="20273" spans="23:23" x14ac:dyDescent="0.55000000000000004">
      <c r="W20273"/>
    </row>
    <row r="20274" spans="23:23" x14ac:dyDescent="0.55000000000000004">
      <c r="W20274"/>
    </row>
    <row r="20275" spans="23:23" x14ac:dyDescent="0.55000000000000004">
      <c r="W20275"/>
    </row>
    <row r="20276" spans="23:23" x14ac:dyDescent="0.55000000000000004">
      <c r="W20276"/>
    </row>
    <row r="20277" spans="23:23" x14ac:dyDescent="0.55000000000000004">
      <c r="W20277"/>
    </row>
    <row r="20278" spans="23:23" x14ac:dyDescent="0.55000000000000004">
      <c r="W20278"/>
    </row>
    <row r="20279" spans="23:23" x14ac:dyDescent="0.55000000000000004">
      <c r="W20279"/>
    </row>
    <row r="20280" spans="23:23" x14ac:dyDescent="0.55000000000000004">
      <c r="W20280"/>
    </row>
    <row r="20281" spans="23:23" x14ac:dyDescent="0.55000000000000004">
      <c r="W20281"/>
    </row>
    <row r="20282" spans="23:23" x14ac:dyDescent="0.55000000000000004">
      <c r="W20282"/>
    </row>
    <row r="20283" spans="23:23" x14ac:dyDescent="0.55000000000000004">
      <c r="W20283"/>
    </row>
    <row r="20284" spans="23:23" x14ac:dyDescent="0.55000000000000004">
      <c r="W20284"/>
    </row>
    <row r="20285" spans="23:23" x14ac:dyDescent="0.55000000000000004">
      <c r="W20285"/>
    </row>
    <row r="20286" spans="23:23" x14ac:dyDescent="0.55000000000000004">
      <c r="W20286"/>
    </row>
    <row r="20287" spans="23:23" x14ac:dyDescent="0.55000000000000004">
      <c r="W20287"/>
    </row>
    <row r="20288" spans="23:23" x14ac:dyDescent="0.55000000000000004">
      <c r="W20288"/>
    </row>
    <row r="20289" spans="23:23" x14ac:dyDescent="0.55000000000000004">
      <c r="W20289"/>
    </row>
    <row r="20290" spans="23:23" x14ac:dyDescent="0.55000000000000004">
      <c r="W20290"/>
    </row>
    <row r="20291" spans="23:23" x14ac:dyDescent="0.55000000000000004">
      <c r="W20291"/>
    </row>
    <row r="20292" spans="23:23" x14ac:dyDescent="0.55000000000000004">
      <c r="W20292"/>
    </row>
    <row r="20293" spans="23:23" x14ac:dyDescent="0.55000000000000004">
      <c r="W20293"/>
    </row>
    <row r="20294" spans="23:23" x14ac:dyDescent="0.55000000000000004">
      <c r="W20294"/>
    </row>
    <row r="20295" spans="23:23" x14ac:dyDescent="0.55000000000000004">
      <c r="W20295"/>
    </row>
    <row r="20296" spans="23:23" x14ac:dyDescent="0.55000000000000004">
      <c r="W20296"/>
    </row>
    <row r="20297" spans="23:23" x14ac:dyDescent="0.55000000000000004">
      <c r="W20297"/>
    </row>
    <row r="20298" spans="23:23" x14ac:dyDescent="0.55000000000000004">
      <c r="W20298"/>
    </row>
    <row r="20299" spans="23:23" x14ac:dyDescent="0.55000000000000004">
      <c r="W20299"/>
    </row>
    <row r="20300" spans="23:23" x14ac:dyDescent="0.55000000000000004">
      <c r="W20300"/>
    </row>
    <row r="20301" spans="23:23" x14ac:dyDescent="0.55000000000000004">
      <c r="W20301"/>
    </row>
    <row r="20302" spans="23:23" x14ac:dyDescent="0.55000000000000004">
      <c r="W20302"/>
    </row>
    <row r="20303" spans="23:23" x14ac:dyDescent="0.55000000000000004">
      <c r="W20303"/>
    </row>
    <row r="20304" spans="23:23" x14ac:dyDescent="0.55000000000000004">
      <c r="W20304"/>
    </row>
    <row r="20305" spans="23:23" x14ac:dyDescent="0.55000000000000004">
      <c r="W20305"/>
    </row>
    <row r="20306" spans="23:23" x14ac:dyDescent="0.55000000000000004">
      <c r="W20306"/>
    </row>
    <row r="20307" spans="23:23" x14ac:dyDescent="0.55000000000000004">
      <c r="W20307"/>
    </row>
    <row r="20308" spans="23:23" x14ac:dyDescent="0.55000000000000004">
      <c r="W20308"/>
    </row>
    <row r="20309" spans="23:23" x14ac:dyDescent="0.55000000000000004">
      <c r="W20309"/>
    </row>
    <row r="20310" spans="23:23" x14ac:dyDescent="0.55000000000000004">
      <c r="W20310"/>
    </row>
    <row r="20311" spans="23:23" x14ac:dyDescent="0.55000000000000004">
      <c r="W20311"/>
    </row>
    <row r="20312" spans="23:23" x14ac:dyDescent="0.55000000000000004">
      <c r="W20312"/>
    </row>
    <row r="20313" spans="23:23" x14ac:dyDescent="0.55000000000000004">
      <c r="W20313"/>
    </row>
    <row r="20314" spans="23:23" x14ac:dyDescent="0.55000000000000004">
      <c r="W20314"/>
    </row>
    <row r="20315" spans="23:23" x14ac:dyDescent="0.55000000000000004">
      <c r="W20315"/>
    </row>
    <row r="20316" spans="23:23" x14ac:dyDescent="0.55000000000000004">
      <c r="W20316"/>
    </row>
    <row r="20317" spans="23:23" x14ac:dyDescent="0.55000000000000004">
      <c r="W20317"/>
    </row>
    <row r="20318" spans="23:23" x14ac:dyDescent="0.55000000000000004">
      <c r="W20318"/>
    </row>
    <row r="20319" spans="23:23" x14ac:dyDescent="0.55000000000000004">
      <c r="W20319"/>
    </row>
    <row r="20320" spans="23:23" x14ac:dyDescent="0.55000000000000004">
      <c r="W20320"/>
    </row>
    <row r="20321" spans="23:23" x14ac:dyDescent="0.55000000000000004">
      <c r="W20321"/>
    </row>
    <row r="20322" spans="23:23" x14ac:dyDescent="0.55000000000000004">
      <c r="W20322"/>
    </row>
    <row r="20323" spans="23:23" x14ac:dyDescent="0.55000000000000004">
      <c r="W20323"/>
    </row>
    <row r="20324" spans="23:23" x14ac:dyDescent="0.55000000000000004">
      <c r="W20324"/>
    </row>
    <row r="20325" spans="23:23" x14ac:dyDescent="0.55000000000000004">
      <c r="W20325"/>
    </row>
    <row r="20326" spans="23:23" x14ac:dyDescent="0.55000000000000004">
      <c r="W20326"/>
    </row>
    <row r="20327" spans="23:23" x14ac:dyDescent="0.55000000000000004">
      <c r="W20327"/>
    </row>
    <row r="20328" spans="23:23" x14ac:dyDescent="0.55000000000000004">
      <c r="W20328"/>
    </row>
    <row r="20329" spans="23:23" x14ac:dyDescent="0.55000000000000004">
      <c r="W20329"/>
    </row>
    <row r="20330" spans="23:23" x14ac:dyDescent="0.55000000000000004">
      <c r="W20330"/>
    </row>
    <row r="20331" spans="23:23" x14ac:dyDescent="0.55000000000000004">
      <c r="W20331"/>
    </row>
    <row r="20332" spans="23:23" x14ac:dyDescent="0.55000000000000004">
      <c r="W20332"/>
    </row>
    <row r="20333" spans="23:23" x14ac:dyDescent="0.55000000000000004">
      <c r="W20333"/>
    </row>
    <row r="20334" spans="23:23" x14ac:dyDescent="0.55000000000000004">
      <c r="W20334"/>
    </row>
    <row r="20335" spans="23:23" x14ac:dyDescent="0.55000000000000004">
      <c r="W20335"/>
    </row>
    <row r="20336" spans="23:23" x14ac:dyDescent="0.55000000000000004">
      <c r="W20336"/>
    </row>
    <row r="20337" spans="23:23" x14ac:dyDescent="0.55000000000000004">
      <c r="W20337"/>
    </row>
    <row r="20338" spans="23:23" x14ac:dyDescent="0.55000000000000004">
      <c r="W20338"/>
    </row>
    <row r="20339" spans="23:23" x14ac:dyDescent="0.55000000000000004">
      <c r="W20339"/>
    </row>
    <row r="20340" spans="23:23" x14ac:dyDescent="0.55000000000000004">
      <c r="W20340"/>
    </row>
    <row r="20341" spans="23:23" x14ac:dyDescent="0.55000000000000004">
      <c r="W20341"/>
    </row>
    <row r="20342" spans="23:23" x14ac:dyDescent="0.55000000000000004">
      <c r="W20342"/>
    </row>
    <row r="20343" spans="23:23" x14ac:dyDescent="0.55000000000000004">
      <c r="W20343"/>
    </row>
    <row r="20344" spans="23:23" x14ac:dyDescent="0.55000000000000004">
      <c r="W20344"/>
    </row>
    <row r="20345" spans="23:23" x14ac:dyDescent="0.55000000000000004">
      <c r="W20345"/>
    </row>
    <row r="20346" spans="23:23" x14ac:dyDescent="0.55000000000000004">
      <c r="W20346"/>
    </row>
    <row r="20347" spans="23:23" x14ac:dyDescent="0.55000000000000004">
      <c r="W20347"/>
    </row>
    <row r="20348" spans="23:23" x14ac:dyDescent="0.55000000000000004">
      <c r="W20348"/>
    </row>
    <row r="20349" spans="23:23" x14ac:dyDescent="0.55000000000000004">
      <c r="W20349"/>
    </row>
    <row r="20350" spans="23:23" x14ac:dyDescent="0.55000000000000004">
      <c r="W20350"/>
    </row>
    <row r="20351" spans="23:23" x14ac:dyDescent="0.55000000000000004">
      <c r="W20351"/>
    </row>
    <row r="20352" spans="23:23" x14ac:dyDescent="0.55000000000000004">
      <c r="W20352"/>
    </row>
    <row r="20353" spans="23:23" x14ac:dyDescent="0.55000000000000004">
      <c r="W20353"/>
    </row>
    <row r="20354" spans="23:23" x14ac:dyDescent="0.55000000000000004">
      <c r="W20354"/>
    </row>
    <row r="20355" spans="23:23" x14ac:dyDescent="0.55000000000000004">
      <c r="W20355"/>
    </row>
    <row r="20356" spans="23:23" x14ac:dyDescent="0.55000000000000004">
      <c r="W20356"/>
    </row>
    <row r="20357" spans="23:23" x14ac:dyDescent="0.55000000000000004">
      <c r="W20357"/>
    </row>
    <row r="20358" spans="23:23" x14ac:dyDescent="0.55000000000000004">
      <c r="W20358"/>
    </row>
    <row r="20359" spans="23:23" x14ac:dyDescent="0.55000000000000004">
      <c r="W20359"/>
    </row>
    <row r="20360" spans="23:23" x14ac:dyDescent="0.55000000000000004">
      <c r="W20360"/>
    </row>
    <row r="20361" spans="23:23" x14ac:dyDescent="0.55000000000000004">
      <c r="W20361"/>
    </row>
    <row r="20362" spans="23:23" x14ac:dyDescent="0.55000000000000004">
      <c r="W20362"/>
    </row>
    <row r="20363" spans="23:23" x14ac:dyDescent="0.55000000000000004">
      <c r="W20363"/>
    </row>
    <row r="20364" spans="23:23" x14ac:dyDescent="0.55000000000000004">
      <c r="W20364"/>
    </row>
    <row r="20365" spans="23:23" x14ac:dyDescent="0.55000000000000004">
      <c r="W20365"/>
    </row>
    <row r="20366" spans="23:23" x14ac:dyDescent="0.55000000000000004">
      <c r="W20366"/>
    </row>
    <row r="20367" spans="23:23" x14ac:dyDescent="0.55000000000000004">
      <c r="W20367"/>
    </row>
    <row r="20368" spans="23:23" x14ac:dyDescent="0.55000000000000004">
      <c r="W20368"/>
    </row>
    <row r="20369" spans="23:23" x14ac:dyDescent="0.55000000000000004">
      <c r="W20369"/>
    </row>
    <row r="20370" spans="23:23" x14ac:dyDescent="0.55000000000000004">
      <c r="W20370"/>
    </row>
    <row r="20371" spans="23:23" x14ac:dyDescent="0.55000000000000004">
      <c r="W20371"/>
    </row>
    <row r="20372" spans="23:23" x14ac:dyDescent="0.55000000000000004">
      <c r="W20372"/>
    </row>
    <row r="20373" spans="23:23" x14ac:dyDescent="0.55000000000000004">
      <c r="W20373"/>
    </row>
    <row r="20374" spans="23:23" x14ac:dyDescent="0.55000000000000004">
      <c r="W20374"/>
    </row>
    <row r="20375" spans="23:23" x14ac:dyDescent="0.55000000000000004">
      <c r="W20375"/>
    </row>
    <row r="20376" spans="23:23" x14ac:dyDescent="0.55000000000000004">
      <c r="W20376"/>
    </row>
    <row r="20377" spans="23:23" x14ac:dyDescent="0.55000000000000004">
      <c r="W20377"/>
    </row>
    <row r="20378" spans="23:23" x14ac:dyDescent="0.55000000000000004">
      <c r="W20378"/>
    </row>
    <row r="20379" spans="23:23" x14ac:dyDescent="0.55000000000000004">
      <c r="W20379"/>
    </row>
    <row r="20380" spans="23:23" x14ac:dyDescent="0.55000000000000004">
      <c r="W20380"/>
    </row>
    <row r="20381" spans="23:23" x14ac:dyDescent="0.55000000000000004">
      <c r="W20381"/>
    </row>
    <row r="20382" spans="23:23" x14ac:dyDescent="0.55000000000000004">
      <c r="W20382"/>
    </row>
    <row r="20383" spans="23:23" x14ac:dyDescent="0.55000000000000004">
      <c r="W20383"/>
    </row>
    <row r="20384" spans="23:23" x14ac:dyDescent="0.55000000000000004">
      <c r="W20384"/>
    </row>
    <row r="20385" spans="23:23" x14ac:dyDescent="0.55000000000000004">
      <c r="W20385"/>
    </row>
    <row r="20386" spans="23:23" x14ac:dyDescent="0.55000000000000004">
      <c r="W20386"/>
    </row>
    <row r="20387" spans="23:23" x14ac:dyDescent="0.55000000000000004">
      <c r="W20387"/>
    </row>
    <row r="20388" spans="23:23" x14ac:dyDescent="0.55000000000000004">
      <c r="W20388"/>
    </row>
    <row r="20389" spans="23:23" x14ac:dyDescent="0.55000000000000004">
      <c r="W20389"/>
    </row>
    <row r="20390" spans="23:23" x14ac:dyDescent="0.55000000000000004">
      <c r="W20390"/>
    </row>
    <row r="20391" spans="23:23" x14ac:dyDescent="0.55000000000000004">
      <c r="W20391"/>
    </row>
    <row r="20392" spans="23:23" x14ac:dyDescent="0.55000000000000004">
      <c r="W20392"/>
    </row>
    <row r="20393" spans="23:23" x14ac:dyDescent="0.55000000000000004">
      <c r="W20393"/>
    </row>
    <row r="20394" spans="23:23" x14ac:dyDescent="0.55000000000000004">
      <c r="W20394"/>
    </row>
    <row r="20395" spans="23:23" x14ac:dyDescent="0.55000000000000004">
      <c r="W20395"/>
    </row>
    <row r="20396" spans="23:23" x14ac:dyDescent="0.55000000000000004">
      <c r="W20396"/>
    </row>
    <row r="20397" spans="23:23" x14ac:dyDescent="0.55000000000000004">
      <c r="W20397"/>
    </row>
    <row r="20398" spans="23:23" x14ac:dyDescent="0.55000000000000004">
      <c r="W20398"/>
    </row>
    <row r="20399" spans="23:23" x14ac:dyDescent="0.55000000000000004">
      <c r="W20399"/>
    </row>
    <row r="20400" spans="23:23" x14ac:dyDescent="0.55000000000000004">
      <c r="W20400"/>
    </row>
    <row r="20401" spans="23:23" x14ac:dyDescent="0.55000000000000004">
      <c r="W20401"/>
    </row>
    <row r="20402" spans="23:23" x14ac:dyDescent="0.55000000000000004">
      <c r="W20402"/>
    </row>
    <row r="20403" spans="23:23" x14ac:dyDescent="0.55000000000000004">
      <c r="W20403"/>
    </row>
    <row r="20404" spans="23:23" x14ac:dyDescent="0.55000000000000004">
      <c r="W20404"/>
    </row>
    <row r="20405" spans="23:23" x14ac:dyDescent="0.55000000000000004">
      <c r="W20405"/>
    </row>
    <row r="20406" spans="23:23" x14ac:dyDescent="0.55000000000000004">
      <c r="W20406"/>
    </row>
    <row r="20407" spans="23:23" x14ac:dyDescent="0.55000000000000004">
      <c r="W20407"/>
    </row>
    <row r="20408" spans="23:23" x14ac:dyDescent="0.55000000000000004">
      <c r="W20408"/>
    </row>
    <row r="20409" spans="23:23" x14ac:dyDescent="0.55000000000000004">
      <c r="W20409"/>
    </row>
    <row r="20410" spans="23:23" x14ac:dyDescent="0.55000000000000004">
      <c r="W20410"/>
    </row>
    <row r="20411" spans="23:23" x14ac:dyDescent="0.55000000000000004">
      <c r="W20411"/>
    </row>
    <row r="20412" spans="23:23" x14ac:dyDescent="0.55000000000000004">
      <c r="W20412"/>
    </row>
    <row r="20413" spans="23:23" x14ac:dyDescent="0.55000000000000004">
      <c r="W20413"/>
    </row>
    <row r="20414" spans="23:23" x14ac:dyDescent="0.55000000000000004">
      <c r="W20414"/>
    </row>
    <row r="20415" spans="23:23" x14ac:dyDescent="0.55000000000000004">
      <c r="W20415"/>
    </row>
    <row r="20416" spans="23:23" x14ac:dyDescent="0.55000000000000004">
      <c r="W20416"/>
    </row>
    <row r="20417" spans="23:23" x14ac:dyDescent="0.55000000000000004">
      <c r="W20417"/>
    </row>
    <row r="20418" spans="23:23" x14ac:dyDescent="0.55000000000000004">
      <c r="W20418"/>
    </row>
    <row r="20419" spans="23:23" x14ac:dyDescent="0.55000000000000004">
      <c r="W20419"/>
    </row>
    <row r="20420" spans="23:23" x14ac:dyDescent="0.55000000000000004">
      <c r="W20420"/>
    </row>
    <row r="20421" spans="23:23" x14ac:dyDescent="0.55000000000000004">
      <c r="W20421"/>
    </row>
    <row r="20422" spans="23:23" x14ac:dyDescent="0.55000000000000004">
      <c r="W20422"/>
    </row>
    <row r="20423" spans="23:23" x14ac:dyDescent="0.55000000000000004">
      <c r="W20423"/>
    </row>
    <row r="20424" spans="23:23" x14ac:dyDescent="0.55000000000000004">
      <c r="W20424"/>
    </row>
    <row r="20425" spans="23:23" x14ac:dyDescent="0.55000000000000004">
      <c r="W20425"/>
    </row>
    <row r="20426" spans="23:23" x14ac:dyDescent="0.55000000000000004">
      <c r="W20426"/>
    </row>
    <row r="20427" spans="23:23" x14ac:dyDescent="0.55000000000000004">
      <c r="W20427"/>
    </row>
    <row r="20428" spans="23:23" x14ac:dyDescent="0.55000000000000004">
      <c r="W20428"/>
    </row>
    <row r="20429" spans="23:23" x14ac:dyDescent="0.55000000000000004">
      <c r="W20429"/>
    </row>
    <row r="20430" spans="23:23" x14ac:dyDescent="0.55000000000000004">
      <c r="W20430"/>
    </row>
    <row r="20431" spans="23:23" x14ac:dyDescent="0.55000000000000004">
      <c r="W20431"/>
    </row>
    <row r="20432" spans="23:23" x14ac:dyDescent="0.55000000000000004">
      <c r="W20432"/>
    </row>
    <row r="20433" spans="23:23" x14ac:dyDescent="0.55000000000000004">
      <c r="W20433"/>
    </row>
    <row r="20434" spans="23:23" x14ac:dyDescent="0.55000000000000004">
      <c r="W20434"/>
    </row>
    <row r="20435" spans="23:23" x14ac:dyDescent="0.55000000000000004">
      <c r="W20435"/>
    </row>
    <row r="20436" spans="23:23" x14ac:dyDescent="0.55000000000000004">
      <c r="W20436"/>
    </row>
    <row r="20437" spans="23:23" x14ac:dyDescent="0.55000000000000004">
      <c r="W20437"/>
    </row>
    <row r="20438" spans="23:23" x14ac:dyDescent="0.55000000000000004">
      <c r="W20438"/>
    </row>
    <row r="20439" spans="23:23" x14ac:dyDescent="0.55000000000000004">
      <c r="W20439"/>
    </row>
    <row r="20440" spans="23:23" x14ac:dyDescent="0.55000000000000004">
      <c r="W20440"/>
    </row>
    <row r="20441" spans="23:23" x14ac:dyDescent="0.55000000000000004">
      <c r="W20441"/>
    </row>
    <row r="20442" spans="23:23" x14ac:dyDescent="0.55000000000000004">
      <c r="W20442"/>
    </row>
    <row r="20443" spans="23:23" x14ac:dyDescent="0.55000000000000004">
      <c r="W20443"/>
    </row>
    <row r="20444" spans="23:23" x14ac:dyDescent="0.55000000000000004">
      <c r="W20444"/>
    </row>
    <row r="20445" spans="23:23" x14ac:dyDescent="0.55000000000000004">
      <c r="W20445"/>
    </row>
    <row r="20446" spans="23:23" x14ac:dyDescent="0.55000000000000004">
      <c r="W20446"/>
    </row>
    <row r="20447" spans="23:23" x14ac:dyDescent="0.55000000000000004">
      <c r="W20447"/>
    </row>
    <row r="20448" spans="23:23" x14ac:dyDescent="0.55000000000000004">
      <c r="W20448"/>
    </row>
    <row r="20449" spans="23:23" x14ac:dyDescent="0.55000000000000004">
      <c r="W20449"/>
    </row>
    <row r="20450" spans="23:23" x14ac:dyDescent="0.55000000000000004">
      <c r="W20450"/>
    </row>
    <row r="20451" spans="23:23" x14ac:dyDescent="0.55000000000000004">
      <c r="W20451"/>
    </row>
    <row r="20452" spans="23:23" x14ac:dyDescent="0.55000000000000004">
      <c r="W20452"/>
    </row>
    <row r="20453" spans="23:23" x14ac:dyDescent="0.55000000000000004">
      <c r="W20453"/>
    </row>
    <row r="20454" spans="23:23" x14ac:dyDescent="0.55000000000000004">
      <c r="W20454"/>
    </row>
    <row r="20455" spans="23:23" x14ac:dyDescent="0.55000000000000004">
      <c r="W20455"/>
    </row>
    <row r="20456" spans="23:23" x14ac:dyDescent="0.55000000000000004">
      <c r="W20456"/>
    </row>
    <row r="20457" spans="23:23" x14ac:dyDescent="0.55000000000000004">
      <c r="W20457"/>
    </row>
    <row r="20458" spans="23:23" x14ac:dyDescent="0.55000000000000004">
      <c r="W20458"/>
    </row>
    <row r="20459" spans="23:23" x14ac:dyDescent="0.55000000000000004">
      <c r="W20459"/>
    </row>
    <row r="20460" spans="23:23" x14ac:dyDescent="0.55000000000000004">
      <c r="W20460"/>
    </row>
    <row r="20461" spans="23:23" x14ac:dyDescent="0.55000000000000004">
      <c r="W20461"/>
    </row>
    <row r="20462" spans="23:23" x14ac:dyDescent="0.55000000000000004">
      <c r="W20462"/>
    </row>
    <row r="20463" spans="23:23" x14ac:dyDescent="0.55000000000000004">
      <c r="W20463"/>
    </row>
    <row r="20464" spans="23:23" x14ac:dyDescent="0.55000000000000004">
      <c r="W20464"/>
    </row>
    <row r="20465" spans="23:23" x14ac:dyDescent="0.55000000000000004">
      <c r="W20465"/>
    </row>
    <row r="20466" spans="23:23" x14ac:dyDescent="0.55000000000000004">
      <c r="W20466"/>
    </row>
    <row r="20467" spans="23:23" x14ac:dyDescent="0.55000000000000004">
      <c r="W20467"/>
    </row>
    <row r="20468" spans="23:23" x14ac:dyDescent="0.55000000000000004">
      <c r="W20468"/>
    </row>
    <row r="20469" spans="23:23" x14ac:dyDescent="0.55000000000000004">
      <c r="W20469"/>
    </row>
    <row r="20470" spans="23:23" x14ac:dyDescent="0.55000000000000004">
      <c r="W20470"/>
    </row>
    <row r="20471" spans="23:23" x14ac:dyDescent="0.55000000000000004">
      <c r="W20471"/>
    </row>
    <row r="20472" spans="23:23" x14ac:dyDescent="0.55000000000000004">
      <c r="W20472"/>
    </row>
    <row r="20473" spans="23:23" x14ac:dyDescent="0.55000000000000004">
      <c r="W20473"/>
    </row>
    <row r="20474" spans="23:23" x14ac:dyDescent="0.55000000000000004">
      <c r="W20474"/>
    </row>
    <row r="20475" spans="23:23" x14ac:dyDescent="0.55000000000000004">
      <c r="W20475"/>
    </row>
    <row r="20476" spans="23:23" x14ac:dyDescent="0.55000000000000004">
      <c r="W20476"/>
    </row>
    <row r="20477" spans="23:23" x14ac:dyDescent="0.55000000000000004">
      <c r="W20477"/>
    </row>
    <row r="20478" spans="23:23" x14ac:dyDescent="0.55000000000000004">
      <c r="W20478"/>
    </row>
    <row r="20479" spans="23:23" x14ac:dyDescent="0.55000000000000004">
      <c r="W20479"/>
    </row>
    <row r="20480" spans="23:23" x14ac:dyDescent="0.55000000000000004">
      <c r="W20480"/>
    </row>
    <row r="20481" spans="23:23" x14ac:dyDescent="0.55000000000000004">
      <c r="W20481"/>
    </row>
    <row r="20482" spans="23:23" x14ac:dyDescent="0.55000000000000004">
      <c r="W20482"/>
    </row>
    <row r="20483" spans="23:23" x14ac:dyDescent="0.55000000000000004">
      <c r="W20483"/>
    </row>
    <row r="20484" spans="23:23" x14ac:dyDescent="0.55000000000000004">
      <c r="W20484"/>
    </row>
    <row r="20485" spans="23:23" x14ac:dyDescent="0.55000000000000004">
      <c r="W20485"/>
    </row>
    <row r="20486" spans="23:23" x14ac:dyDescent="0.55000000000000004">
      <c r="W20486"/>
    </row>
    <row r="20487" spans="23:23" x14ac:dyDescent="0.55000000000000004">
      <c r="W20487"/>
    </row>
    <row r="20488" spans="23:23" x14ac:dyDescent="0.55000000000000004">
      <c r="W20488"/>
    </row>
    <row r="20489" spans="23:23" x14ac:dyDescent="0.55000000000000004">
      <c r="W20489"/>
    </row>
    <row r="20490" spans="23:23" x14ac:dyDescent="0.55000000000000004">
      <c r="W20490"/>
    </row>
    <row r="20491" spans="23:23" x14ac:dyDescent="0.55000000000000004">
      <c r="W20491"/>
    </row>
    <row r="20492" spans="23:23" x14ac:dyDescent="0.55000000000000004">
      <c r="W20492"/>
    </row>
    <row r="20493" spans="23:23" x14ac:dyDescent="0.55000000000000004">
      <c r="W20493"/>
    </row>
    <row r="20494" spans="23:23" x14ac:dyDescent="0.55000000000000004">
      <c r="W20494"/>
    </row>
    <row r="20495" spans="23:23" x14ac:dyDescent="0.55000000000000004">
      <c r="W20495"/>
    </row>
    <row r="20496" spans="23:23" x14ac:dyDescent="0.55000000000000004">
      <c r="W20496"/>
    </row>
    <row r="20497" spans="23:23" x14ac:dyDescent="0.55000000000000004">
      <c r="W20497"/>
    </row>
    <row r="20498" spans="23:23" x14ac:dyDescent="0.55000000000000004">
      <c r="W20498"/>
    </row>
    <row r="20499" spans="23:23" x14ac:dyDescent="0.55000000000000004">
      <c r="W20499"/>
    </row>
    <row r="20500" spans="23:23" x14ac:dyDescent="0.55000000000000004">
      <c r="W20500"/>
    </row>
    <row r="20501" spans="23:23" x14ac:dyDescent="0.55000000000000004">
      <c r="W20501"/>
    </row>
    <row r="20502" spans="23:23" x14ac:dyDescent="0.55000000000000004">
      <c r="W20502"/>
    </row>
    <row r="20503" spans="23:23" x14ac:dyDescent="0.55000000000000004">
      <c r="W20503"/>
    </row>
    <row r="20504" spans="23:23" x14ac:dyDescent="0.55000000000000004">
      <c r="W20504"/>
    </row>
    <row r="20505" spans="23:23" x14ac:dyDescent="0.55000000000000004">
      <c r="W20505"/>
    </row>
    <row r="20506" spans="23:23" x14ac:dyDescent="0.55000000000000004">
      <c r="W20506"/>
    </row>
    <row r="20507" spans="23:23" x14ac:dyDescent="0.55000000000000004">
      <c r="W20507"/>
    </row>
    <row r="20508" spans="23:23" x14ac:dyDescent="0.55000000000000004">
      <c r="W20508"/>
    </row>
    <row r="20509" spans="23:23" x14ac:dyDescent="0.55000000000000004">
      <c r="W20509"/>
    </row>
    <row r="20510" spans="23:23" x14ac:dyDescent="0.55000000000000004">
      <c r="W20510"/>
    </row>
    <row r="20511" spans="23:23" x14ac:dyDescent="0.55000000000000004">
      <c r="W20511"/>
    </row>
    <row r="20512" spans="23:23" x14ac:dyDescent="0.55000000000000004">
      <c r="W20512"/>
    </row>
    <row r="20513" spans="23:23" x14ac:dyDescent="0.55000000000000004">
      <c r="W20513"/>
    </row>
    <row r="20514" spans="23:23" x14ac:dyDescent="0.55000000000000004">
      <c r="W20514"/>
    </row>
    <row r="20515" spans="23:23" x14ac:dyDescent="0.55000000000000004">
      <c r="W20515"/>
    </row>
    <row r="20516" spans="23:23" x14ac:dyDescent="0.55000000000000004">
      <c r="W20516"/>
    </row>
    <row r="20517" spans="23:23" x14ac:dyDescent="0.55000000000000004">
      <c r="W20517"/>
    </row>
    <row r="20518" spans="23:23" x14ac:dyDescent="0.55000000000000004">
      <c r="W20518"/>
    </row>
    <row r="20519" spans="23:23" x14ac:dyDescent="0.55000000000000004">
      <c r="W20519"/>
    </row>
    <row r="20520" spans="23:23" x14ac:dyDescent="0.55000000000000004">
      <c r="W20520"/>
    </row>
    <row r="20521" spans="23:23" x14ac:dyDescent="0.55000000000000004">
      <c r="W20521"/>
    </row>
    <row r="20522" spans="23:23" x14ac:dyDescent="0.55000000000000004">
      <c r="W20522"/>
    </row>
    <row r="20523" spans="23:23" x14ac:dyDescent="0.55000000000000004">
      <c r="W20523"/>
    </row>
    <row r="20524" spans="23:23" x14ac:dyDescent="0.55000000000000004">
      <c r="W20524"/>
    </row>
    <row r="20525" spans="23:23" x14ac:dyDescent="0.55000000000000004">
      <c r="W20525"/>
    </row>
    <row r="20526" spans="23:23" x14ac:dyDescent="0.55000000000000004">
      <c r="W20526"/>
    </row>
    <row r="20527" spans="23:23" x14ac:dyDescent="0.55000000000000004">
      <c r="W20527"/>
    </row>
    <row r="20528" spans="23:23" x14ac:dyDescent="0.55000000000000004">
      <c r="W20528"/>
    </row>
    <row r="20529" spans="23:23" x14ac:dyDescent="0.55000000000000004">
      <c r="W20529"/>
    </row>
    <row r="20530" spans="23:23" x14ac:dyDescent="0.55000000000000004">
      <c r="W20530"/>
    </row>
    <row r="20531" spans="23:23" x14ac:dyDescent="0.55000000000000004">
      <c r="W20531"/>
    </row>
    <row r="20532" spans="23:23" x14ac:dyDescent="0.55000000000000004">
      <c r="W20532"/>
    </row>
    <row r="20533" spans="23:23" x14ac:dyDescent="0.55000000000000004">
      <c r="W20533"/>
    </row>
    <row r="20534" spans="23:23" x14ac:dyDescent="0.55000000000000004">
      <c r="W20534"/>
    </row>
    <row r="20535" spans="23:23" x14ac:dyDescent="0.55000000000000004">
      <c r="W20535"/>
    </row>
    <row r="20536" spans="23:23" x14ac:dyDescent="0.55000000000000004">
      <c r="W20536"/>
    </row>
    <row r="20537" spans="23:23" x14ac:dyDescent="0.55000000000000004">
      <c r="W20537"/>
    </row>
    <row r="20538" spans="23:23" x14ac:dyDescent="0.55000000000000004">
      <c r="W20538"/>
    </row>
    <row r="20539" spans="23:23" x14ac:dyDescent="0.55000000000000004">
      <c r="W20539"/>
    </row>
    <row r="20540" spans="23:23" x14ac:dyDescent="0.55000000000000004">
      <c r="W20540"/>
    </row>
    <row r="20541" spans="23:23" x14ac:dyDescent="0.55000000000000004">
      <c r="W20541"/>
    </row>
    <row r="20542" spans="23:23" x14ac:dyDescent="0.55000000000000004">
      <c r="W20542"/>
    </row>
    <row r="20543" spans="23:23" x14ac:dyDescent="0.55000000000000004">
      <c r="W20543"/>
    </row>
    <row r="20544" spans="23:23" x14ac:dyDescent="0.55000000000000004">
      <c r="W20544"/>
    </row>
    <row r="20545" spans="23:23" x14ac:dyDescent="0.55000000000000004">
      <c r="W20545"/>
    </row>
    <row r="20546" spans="23:23" x14ac:dyDescent="0.55000000000000004">
      <c r="W20546"/>
    </row>
    <row r="20547" spans="23:23" x14ac:dyDescent="0.55000000000000004">
      <c r="W20547"/>
    </row>
    <row r="20548" spans="23:23" x14ac:dyDescent="0.55000000000000004">
      <c r="W20548"/>
    </row>
    <row r="20549" spans="23:23" x14ac:dyDescent="0.55000000000000004">
      <c r="W20549"/>
    </row>
    <row r="20550" spans="23:23" x14ac:dyDescent="0.55000000000000004">
      <c r="W20550"/>
    </row>
    <row r="20551" spans="23:23" x14ac:dyDescent="0.55000000000000004">
      <c r="W20551"/>
    </row>
    <row r="20552" spans="23:23" x14ac:dyDescent="0.55000000000000004">
      <c r="W20552"/>
    </row>
    <row r="20553" spans="23:23" x14ac:dyDescent="0.55000000000000004">
      <c r="W20553"/>
    </row>
    <row r="20554" spans="23:23" x14ac:dyDescent="0.55000000000000004">
      <c r="W20554"/>
    </row>
    <row r="20555" spans="23:23" x14ac:dyDescent="0.55000000000000004">
      <c r="W20555"/>
    </row>
    <row r="20556" spans="23:23" x14ac:dyDescent="0.55000000000000004">
      <c r="W20556"/>
    </row>
    <row r="20557" spans="23:23" x14ac:dyDescent="0.55000000000000004">
      <c r="W20557"/>
    </row>
    <row r="20558" spans="23:23" x14ac:dyDescent="0.55000000000000004">
      <c r="W20558"/>
    </row>
    <row r="20559" spans="23:23" x14ac:dyDescent="0.55000000000000004">
      <c r="W20559"/>
    </row>
    <row r="20560" spans="23:23" x14ac:dyDescent="0.55000000000000004">
      <c r="W20560"/>
    </row>
    <row r="20561" spans="23:23" x14ac:dyDescent="0.55000000000000004">
      <c r="W20561"/>
    </row>
    <row r="20562" spans="23:23" x14ac:dyDescent="0.55000000000000004">
      <c r="W20562"/>
    </row>
    <row r="20563" spans="23:23" x14ac:dyDescent="0.55000000000000004">
      <c r="W20563"/>
    </row>
    <row r="20564" spans="23:23" x14ac:dyDescent="0.55000000000000004">
      <c r="W20564"/>
    </row>
    <row r="20565" spans="23:23" x14ac:dyDescent="0.55000000000000004">
      <c r="W20565"/>
    </row>
    <row r="20566" spans="23:23" x14ac:dyDescent="0.55000000000000004">
      <c r="W20566"/>
    </row>
    <row r="20567" spans="23:23" x14ac:dyDescent="0.55000000000000004">
      <c r="W20567"/>
    </row>
    <row r="20568" spans="23:23" x14ac:dyDescent="0.55000000000000004">
      <c r="W20568"/>
    </row>
    <row r="20569" spans="23:23" x14ac:dyDescent="0.55000000000000004">
      <c r="W20569"/>
    </row>
    <row r="20570" spans="23:23" x14ac:dyDescent="0.55000000000000004">
      <c r="W20570"/>
    </row>
    <row r="20571" spans="23:23" x14ac:dyDescent="0.55000000000000004">
      <c r="W20571"/>
    </row>
    <row r="20572" spans="23:23" x14ac:dyDescent="0.55000000000000004">
      <c r="W20572"/>
    </row>
    <row r="20573" spans="23:23" x14ac:dyDescent="0.55000000000000004">
      <c r="W20573"/>
    </row>
    <row r="20574" spans="23:23" x14ac:dyDescent="0.55000000000000004">
      <c r="W20574"/>
    </row>
    <row r="20575" spans="23:23" x14ac:dyDescent="0.55000000000000004">
      <c r="W20575"/>
    </row>
    <row r="20576" spans="23:23" x14ac:dyDescent="0.55000000000000004">
      <c r="W20576"/>
    </row>
    <row r="20577" spans="23:23" x14ac:dyDescent="0.55000000000000004">
      <c r="W20577"/>
    </row>
    <row r="20578" spans="23:23" x14ac:dyDescent="0.55000000000000004">
      <c r="W20578"/>
    </row>
    <row r="20579" spans="23:23" x14ac:dyDescent="0.55000000000000004">
      <c r="W20579"/>
    </row>
    <row r="20580" spans="23:23" x14ac:dyDescent="0.55000000000000004">
      <c r="W20580"/>
    </row>
    <row r="20581" spans="23:23" x14ac:dyDescent="0.55000000000000004">
      <c r="W20581"/>
    </row>
    <row r="20582" spans="23:23" x14ac:dyDescent="0.55000000000000004">
      <c r="W20582"/>
    </row>
    <row r="20583" spans="23:23" x14ac:dyDescent="0.55000000000000004">
      <c r="W20583"/>
    </row>
    <row r="20584" spans="23:23" x14ac:dyDescent="0.55000000000000004">
      <c r="W20584"/>
    </row>
    <row r="20585" spans="23:23" x14ac:dyDescent="0.55000000000000004">
      <c r="W20585"/>
    </row>
    <row r="20586" spans="23:23" x14ac:dyDescent="0.55000000000000004">
      <c r="W20586"/>
    </row>
    <row r="20587" spans="23:23" x14ac:dyDescent="0.55000000000000004">
      <c r="W20587"/>
    </row>
    <row r="20588" spans="23:23" x14ac:dyDescent="0.55000000000000004">
      <c r="W20588"/>
    </row>
    <row r="20589" spans="23:23" x14ac:dyDescent="0.55000000000000004">
      <c r="W20589"/>
    </row>
    <row r="20590" spans="23:23" x14ac:dyDescent="0.55000000000000004">
      <c r="W20590"/>
    </row>
    <row r="20591" spans="23:23" x14ac:dyDescent="0.55000000000000004">
      <c r="W20591"/>
    </row>
    <row r="20592" spans="23:23" x14ac:dyDescent="0.55000000000000004">
      <c r="W20592"/>
    </row>
    <row r="20593" spans="23:23" x14ac:dyDescent="0.55000000000000004">
      <c r="W20593"/>
    </row>
    <row r="20594" spans="23:23" x14ac:dyDescent="0.55000000000000004">
      <c r="W20594"/>
    </row>
    <row r="20595" spans="23:23" x14ac:dyDescent="0.55000000000000004">
      <c r="W20595"/>
    </row>
    <row r="20596" spans="23:23" x14ac:dyDescent="0.55000000000000004">
      <c r="W20596"/>
    </row>
    <row r="20597" spans="23:23" x14ac:dyDescent="0.55000000000000004">
      <c r="W20597"/>
    </row>
    <row r="20598" spans="23:23" x14ac:dyDescent="0.55000000000000004">
      <c r="W20598"/>
    </row>
    <row r="20599" spans="23:23" x14ac:dyDescent="0.55000000000000004">
      <c r="W20599"/>
    </row>
    <row r="20600" spans="23:23" x14ac:dyDescent="0.55000000000000004">
      <c r="W20600"/>
    </row>
    <row r="20601" spans="23:23" x14ac:dyDescent="0.55000000000000004">
      <c r="W20601"/>
    </row>
    <row r="20602" spans="23:23" x14ac:dyDescent="0.55000000000000004">
      <c r="W20602"/>
    </row>
    <row r="20603" spans="23:23" x14ac:dyDescent="0.55000000000000004">
      <c r="W20603"/>
    </row>
    <row r="20604" spans="23:23" x14ac:dyDescent="0.55000000000000004">
      <c r="W20604"/>
    </row>
    <row r="20605" spans="23:23" x14ac:dyDescent="0.55000000000000004">
      <c r="W20605"/>
    </row>
    <row r="20606" spans="23:23" x14ac:dyDescent="0.55000000000000004">
      <c r="W20606"/>
    </row>
    <row r="20607" spans="23:23" x14ac:dyDescent="0.55000000000000004">
      <c r="W20607"/>
    </row>
    <row r="20608" spans="23:23" x14ac:dyDescent="0.55000000000000004">
      <c r="W20608"/>
    </row>
    <row r="20609" spans="23:23" x14ac:dyDescent="0.55000000000000004">
      <c r="W20609"/>
    </row>
    <row r="20610" spans="23:23" x14ac:dyDescent="0.55000000000000004">
      <c r="W20610"/>
    </row>
    <row r="20611" spans="23:23" x14ac:dyDescent="0.55000000000000004">
      <c r="W20611"/>
    </row>
    <row r="20612" spans="23:23" x14ac:dyDescent="0.55000000000000004">
      <c r="W20612"/>
    </row>
    <row r="20613" spans="23:23" x14ac:dyDescent="0.55000000000000004">
      <c r="W20613"/>
    </row>
    <row r="20614" spans="23:23" x14ac:dyDescent="0.55000000000000004">
      <c r="W20614"/>
    </row>
    <row r="20615" spans="23:23" x14ac:dyDescent="0.55000000000000004">
      <c r="W20615"/>
    </row>
    <row r="20616" spans="23:23" x14ac:dyDescent="0.55000000000000004">
      <c r="W20616"/>
    </row>
    <row r="20617" spans="23:23" x14ac:dyDescent="0.55000000000000004">
      <c r="W20617"/>
    </row>
    <row r="20618" spans="23:23" x14ac:dyDescent="0.55000000000000004">
      <c r="W20618"/>
    </row>
    <row r="20619" spans="23:23" x14ac:dyDescent="0.55000000000000004">
      <c r="W20619"/>
    </row>
    <row r="20620" spans="23:23" x14ac:dyDescent="0.55000000000000004">
      <c r="W20620"/>
    </row>
    <row r="20621" spans="23:23" x14ac:dyDescent="0.55000000000000004">
      <c r="W20621"/>
    </row>
    <row r="20622" spans="23:23" x14ac:dyDescent="0.55000000000000004">
      <c r="W20622"/>
    </row>
    <row r="20623" spans="23:23" x14ac:dyDescent="0.55000000000000004">
      <c r="W20623"/>
    </row>
    <row r="20624" spans="23:23" x14ac:dyDescent="0.55000000000000004">
      <c r="W20624"/>
    </row>
    <row r="20625" spans="23:23" x14ac:dyDescent="0.55000000000000004">
      <c r="W20625"/>
    </row>
    <row r="20626" spans="23:23" x14ac:dyDescent="0.55000000000000004">
      <c r="W20626"/>
    </row>
    <row r="20627" spans="23:23" x14ac:dyDescent="0.55000000000000004">
      <c r="W20627"/>
    </row>
    <row r="20628" spans="23:23" x14ac:dyDescent="0.55000000000000004">
      <c r="W20628"/>
    </row>
    <row r="20629" spans="23:23" x14ac:dyDescent="0.55000000000000004">
      <c r="W20629"/>
    </row>
    <row r="20630" spans="23:23" x14ac:dyDescent="0.55000000000000004">
      <c r="W20630"/>
    </row>
    <row r="20631" spans="23:23" x14ac:dyDescent="0.55000000000000004">
      <c r="W20631"/>
    </row>
    <row r="20632" spans="23:23" x14ac:dyDescent="0.55000000000000004">
      <c r="W20632"/>
    </row>
    <row r="20633" spans="23:23" x14ac:dyDescent="0.55000000000000004">
      <c r="W20633"/>
    </row>
    <row r="20634" spans="23:23" x14ac:dyDescent="0.55000000000000004">
      <c r="W20634"/>
    </row>
    <row r="20635" spans="23:23" x14ac:dyDescent="0.55000000000000004">
      <c r="W20635"/>
    </row>
    <row r="20636" spans="23:23" x14ac:dyDescent="0.55000000000000004">
      <c r="W20636"/>
    </row>
    <row r="20637" spans="23:23" x14ac:dyDescent="0.55000000000000004">
      <c r="W20637"/>
    </row>
    <row r="20638" spans="23:23" x14ac:dyDescent="0.55000000000000004">
      <c r="W20638"/>
    </row>
    <row r="20639" spans="23:23" x14ac:dyDescent="0.55000000000000004">
      <c r="W20639"/>
    </row>
    <row r="20640" spans="23:23" x14ac:dyDescent="0.55000000000000004">
      <c r="W20640"/>
    </row>
    <row r="20641" spans="23:23" x14ac:dyDescent="0.55000000000000004">
      <c r="W20641"/>
    </row>
    <row r="20642" spans="23:23" x14ac:dyDescent="0.55000000000000004">
      <c r="W20642"/>
    </row>
    <row r="20643" spans="23:23" x14ac:dyDescent="0.55000000000000004">
      <c r="W20643"/>
    </row>
    <row r="20644" spans="23:23" x14ac:dyDescent="0.55000000000000004">
      <c r="W20644"/>
    </row>
    <row r="20645" spans="23:23" x14ac:dyDescent="0.55000000000000004">
      <c r="W20645"/>
    </row>
    <row r="20646" spans="23:23" x14ac:dyDescent="0.55000000000000004">
      <c r="W20646"/>
    </row>
    <row r="20647" spans="23:23" x14ac:dyDescent="0.55000000000000004">
      <c r="W20647"/>
    </row>
    <row r="20648" spans="23:23" x14ac:dyDescent="0.55000000000000004">
      <c r="W20648"/>
    </row>
    <row r="20649" spans="23:23" x14ac:dyDescent="0.55000000000000004">
      <c r="W20649"/>
    </row>
    <row r="20650" spans="23:23" x14ac:dyDescent="0.55000000000000004">
      <c r="W20650"/>
    </row>
    <row r="20651" spans="23:23" x14ac:dyDescent="0.55000000000000004">
      <c r="W20651"/>
    </row>
    <row r="20652" spans="23:23" x14ac:dyDescent="0.55000000000000004">
      <c r="W20652"/>
    </row>
    <row r="20653" spans="23:23" x14ac:dyDescent="0.55000000000000004">
      <c r="W20653"/>
    </row>
    <row r="20654" spans="23:23" x14ac:dyDescent="0.55000000000000004">
      <c r="W20654"/>
    </row>
    <row r="20655" spans="23:23" x14ac:dyDescent="0.55000000000000004">
      <c r="W20655"/>
    </row>
    <row r="20656" spans="23:23" x14ac:dyDescent="0.55000000000000004">
      <c r="W20656"/>
    </row>
    <row r="20657" spans="23:23" x14ac:dyDescent="0.55000000000000004">
      <c r="W20657"/>
    </row>
    <row r="20658" spans="23:23" x14ac:dyDescent="0.55000000000000004">
      <c r="W20658"/>
    </row>
    <row r="20659" spans="23:23" x14ac:dyDescent="0.55000000000000004">
      <c r="W20659"/>
    </row>
    <row r="20660" spans="23:23" x14ac:dyDescent="0.55000000000000004">
      <c r="W20660"/>
    </row>
    <row r="20661" spans="23:23" x14ac:dyDescent="0.55000000000000004">
      <c r="W20661"/>
    </row>
    <row r="20662" spans="23:23" x14ac:dyDescent="0.55000000000000004">
      <c r="W20662"/>
    </row>
    <row r="20663" spans="23:23" x14ac:dyDescent="0.55000000000000004">
      <c r="W20663"/>
    </row>
    <row r="20664" spans="23:23" x14ac:dyDescent="0.55000000000000004">
      <c r="W20664"/>
    </row>
    <row r="20665" spans="23:23" x14ac:dyDescent="0.55000000000000004">
      <c r="W20665"/>
    </row>
    <row r="20666" spans="23:23" x14ac:dyDescent="0.55000000000000004">
      <c r="W20666"/>
    </row>
    <row r="20667" spans="23:23" x14ac:dyDescent="0.55000000000000004">
      <c r="W20667"/>
    </row>
    <row r="20668" spans="23:23" x14ac:dyDescent="0.55000000000000004">
      <c r="W20668"/>
    </row>
    <row r="20669" spans="23:23" x14ac:dyDescent="0.55000000000000004">
      <c r="W20669"/>
    </row>
    <row r="20670" spans="23:23" x14ac:dyDescent="0.55000000000000004">
      <c r="W20670"/>
    </row>
    <row r="20671" spans="23:23" x14ac:dyDescent="0.55000000000000004">
      <c r="W20671"/>
    </row>
    <row r="20672" spans="23:23" x14ac:dyDescent="0.55000000000000004">
      <c r="W20672"/>
    </row>
    <row r="20673" spans="23:23" x14ac:dyDescent="0.55000000000000004">
      <c r="W20673"/>
    </row>
    <row r="20674" spans="23:23" x14ac:dyDescent="0.55000000000000004">
      <c r="W20674"/>
    </row>
    <row r="20675" spans="23:23" x14ac:dyDescent="0.55000000000000004">
      <c r="W20675"/>
    </row>
    <row r="20676" spans="23:23" x14ac:dyDescent="0.55000000000000004">
      <c r="W20676"/>
    </row>
    <row r="20677" spans="23:23" x14ac:dyDescent="0.55000000000000004">
      <c r="W20677"/>
    </row>
    <row r="20678" spans="23:23" x14ac:dyDescent="0.55000000000000004">
      <c r="W20678"/>
    </row>
    <row r="20679" spans="23:23" x14ac:dyDescent="0.55000000000000004">
      <c r="W20679"/>
    </row>
    <row r="20680" spans="23:23" x14ac:dyDescent="0.55000000000000004">
      <c r="W20680"/>
    </row>
    <row r="20681" spans="23:23" x14ac:dyDescent="0.55000000000000004">
      <c r="W20681"/>
    </row>
    <row r="20682" spans="23:23" x14ac:dyDescent="0.55000000000000004">
      <c r="W20682"/>
    </row>
    <row r="20683" spans="23:23" x14ac:dyDescent="0.55000000000000004">
      <c r="W20683"/>
    </row>
    <row r="20684" spans="23:23" x14ac:dyDescent="0.55000000000000004">
      <c r="W20684"/>
    </row>
    <row r="20685" spans="23:23" x14ac:dyDescent="0.55000000000000004">
      <c r="W20685"/>
    </row>
    <row r="20686" spans="23:23" x14ac:dyDescent="0.55000000000000004">
      <c r="W20686"/>
    </row>
    <row r="20687" spans="23:23" x14ac:dyDescent="0.55000000000000004">
      <c r="W20687"/>
    </row>
    <row r="20688" spans="23:23" x14ac:dyDescent="0.55000000000000004">
      <c r="W20688"/>
    </row>
    <row r="20689" spans="23:23" x14ac:dyDescent="0.55000000000000004">
      <c r="W20689"/>
    </row>
    <row r="20690" spans="23:23" x14ac:dyDescent="0.55000000000000004">
      <c r="W20690"/>
    </row>
    <row r="20691" spans="23:23" x14ac:dyDescent="0.55000000000000004">
      <c r="W20691"/>
    </row>
    <row r="20692" spans="23:23" x14ac:dyDescent="0.55000000000000004">
      <c r="W20692"/>
    </row>
    <row r="20693" spans="23:23" x14ac:dyDescent="0.55000000000000004">
      <c r="W20693"/>
    </row>
    <row r="20694" spans="23:23" x14ac:dyDescent="0.55000000000000004">
      <c r="W20694"/>
    </row>
    <row r="20695" spans="23:23" x14ac:dyDescent="0.55000000000000004">
      <c r="W20695"/>
    </row>
    <row r="20696" spans="23:23" x14ac:dyDescent="0.55000000000000004">
      <c r="W20696"/>
    </row>
    <row r="20697" spans="23:23" x14ac:dyDescent="0.55000000000000004">
      <c r="W20697"/>
    </row>
    <row r="20698" spans="23:23" x14ac:dyDescent="0.55000000000000004">
      <c r="W20698"/>
    </row>
    <row r="20699" spans="23:23" x14ac:dyDescent="0.55000000000000004">
      <c r="W20699"/>
    </row>
    <row r="20700" spans="23:23" x14ac:dyDescent="0.55000000000000004">
      <c r="W20700"/>
    </row>
    <row r="20701" spans="23:23" x14ac:dyDescent="0.55000000000000004">
      <c r="W20701"/>
    </row>
    <row r="20702" spans="23:23" x14ac:dyDescent="0.55000000000000004">
      <c r="W20702"/>
    </row>
    <row r="20703" spans="23:23" x14ac:dyDescent="0.55000000000000004">
      <c r="W20703"/>
    </row>
    <row r="20704" spans="23:23" x14ac:dyDescent="0.55000000000000004">
      <c r="W20704"/>
    </row>
    <row r="20705" spans="23:23" x14ac:dyDescent="0.55000000000000004">
      <c r="W20705"/>
    </row>
    <row r="20706" spans="23:23" x14ac:dyDescent="0.55000000000000004">
      <c r="W20706"/>
    </row>
    <row r="20707" spans="23:23" x14ac:dyDescent="0.55000000000000004">
      <c r="W20707"/>
    </row>
    <row r="20708" spans="23:23" x14ac:dyDescent="0.55000000000000004">
      <c r="W20708"/>
    </row>
    <row r="20709" spans="23:23" x14ac:dyDescent="0.55000000000000004">
      <c r="W20709"/>
    </row>
    <row r="20710" spans="23:23" x14ac:dyDescent="0.55000000000000004">
      <c r="W20710"/>
    </row>
    <row r="20711" spans="23:23" x14ac:dyDescent="0.55000000000000004">
      <c r="W20711"/>
    </row>
    <row r="20712" spans="23:23" x14ac:dyDescent="0.55000000000000004">
      <c r="W20712"/>
    </row>
    <row r="20713" spans="23:23" x14ac:dyDescent="0.55000000000000004">
      <c r="W20713"/>
    </row>
    <row r="20714" spans="23:23" x14ac:dyDescent="0.55000000000000004">
      <c r="W20714"/>
    </row>
    <row r="20715" spans="23:23" x14ac:dyDescent="0.55000000000000004">
      <c r="W20715"/>
    </row>
    <row r="20716" spans="23:23" x14ac:dyDescent="0.55000000000000004">
      <c r="W20716"/>
    </row>
    <row r="20717" spans="23:23" x14ac:dyDescent="0.55000000000000004">
      <c r="W20717"/>
    </row>
    <row r="20718" spans="23:23" x14ac:dyDescent="0.55000000000000004">
      <c r="W20718"/>
    </row>
    <row r="20719" spans="23:23" x14ac:dyDescent="0.55000000000000004">
      <c r="W20719"/>
    </row>
    <row r="20720" spans="23:23" x14ac:dyDescent="0.55000000000000004">
      <c r="W20720"/>
    </row>
    <row r="20721" spans="23:23" x14ac:dyDescent="0.55000000000000004">
      <c r="W20721"/>
    </row>
    <row r="20722" spans="23:23" x14ac:dyDescent="0.55000000000000004">
      <c r="W20722"/>
    </row>
    <row r="20723" spans="23:23" x14ac:dyDescent="0.55000000000000004">
      <c r="W20723"/>
    </row>
    <row r="20724" spans="23:23" x14ac:dyDescent="0.55000000000000004">
      <c r="W20724"/>
    </row>
    <row r="20725" spans="23:23" x14ac:dyDescent="0.55000000000000004">
      <c r="W20725"/>
    </row>
    <row r="20726" spans="23:23" x14ac:dyDescent="0.55000000000000004">
      <c r="W20726"/>
    </row>
    <row r="20727" spans="23:23" x14ac:dyDescent="0.55000000000000004">
      <c r="W20727"/>
    </row>
    <row r="20728" spans="23:23" x14ac:dyDescent="0.55000000000000004">
      <c r="W20728"/>
    </row>
    <row r="20729" spans="23:23" x14ac:dyDescent="0.55000000000000004">
      <c r="W20729"/>
    </row>
    <row r="20730" spans="23:23" x14ac:dyDescent="0.55000000000000004">
      <c r="W20730"/>
    </row>
    <row r="20731" spans="23:23" x14ac:dyDescent="0.55000000000000004">
      <c r="W20731"/>
    </row>
    <row r="20732" spans="23:23" x14ac:dyDescent="0.55000000000000004">
      <c r="W20732"/>
    </row>
    <row r="20733" spans="23:23" x14ac:dyDescent="0.55000000000000004">
      <c r="W20733"/>
    </row>
    <row r="20734" spans="23:23" x14ac:dyDescent="0.55000000000000004">
      <c r="W20734"/>
    </row>
    <row r="20735" spans="23:23" x14ac:dyDescent="0.55000000000000004">
      <c r="W20735"/>
    </row>
    <row r="20736" spans="23:23" x14ac:dyDescent="0.55000000000000004">
      <c r="W20736"/>
    </row>
    <row r="20737" spans="23:23" x14ac:dyDescent="0.55000000000000004">
      <c r="W20737"/>
    </row>
    <row r="20738" spans="23:23" x14ac:dyDescent="0.55000000000000004">
      <c r="W20738"/>
    </row>
    <row r="20739" spans="23:23" x14ac:dyDescent="0.55000000000000004">
      <c r="W20739"/>
    </row>
    <row r="20740" spans="23:23" x14ac:dyDescent="0.55000000000000004">
      <c r="W20740"/>
    </row>
    <row r="20741" spans="23:23" x14ac:dyDescent="0.55000000000000004">
      <c r="W20741"/>
    </row>
    <row r="20742" spans="23:23" x14ac:dyDescent="0.55000000000000004">
      <c r="W20742"/>
    </row>
    <row r="20743" spans="23:23" x14ac:dyDescent="0.55000000000000004">
      <c r="W20743"/>
    </row>
    <row r="20744" spans="23:23" x14ac:dyDescent="0.55000000000000004">
      <c r="W20744"/>
    </row>
    <row r="20745" spans="23:23" x14ac:dyDescent="0.55000000000000004">
      <c r="W20745"/>
    </row>
    <row r="20746" spans="23:23" x14ac:dyDescent="0.55000000000000004">
      <c r="W20746"/>
    </row>
    <row r="20747" spans="23:23" x14ac:dyDescent="0.55000000000000004">
      <c r="W20747"/>
    </row>
    <row r="20748" spans="23:23" x14ac:dyDescent="0.55000000000000004">
      <c r="W20748"/>
    </row>
    <row r="20749" spans="23:23" x14ac:dyDescent="0.55000000000000004">
      <c r="W20749"/>
    </row>
    <row r="20750" spans="23:23" x14ac:dyDescent="0.55000000000000004">
      <c r="W20750"/>
    </row>
    <row r="20751" spans="23:23" x14ac:dyDescent="0.55000000000000004">
      <c r="W20751"/>
    </row>
    <row r="20752" spans="23:23" x14ac:dyDescent="0.55000000000000004">
      <c r="W20752"/>
    </row>
    <row r="20753" spans="23:23" x14ac:dyDescent="0.55000000000000004">
      <c r="W20753"/>
    </row>
    <row r="20754" spans="23:23" x14ac:dyDescent="0.55000000000000004">
      <c r="W20754"/>
    </row>
    <row r="20755" spans="23:23" x14ac:dyDescent="0.55000000000000004">
      <c r="W20755"/>
    </row>
    <row r="20756" spans="23:23" x14ac:dyDescent="0.55000000000000004">
      <c r="W20756"/>
    </row>
    <row r="20757" spans="23:23" x14ac:dyDescent="0.55000000000000004">
      <c r="W20757"/>
    </row>
    <row r="20758" spans="23:23" x14ac:dyDescent="0.55000000000000004">
      <c r="W20758"/>
    </row>
    <row r="20759" spans="23:23" x14ac:dyDescent="0.55000000000000004">
      <c r="W20759"/>
    </row>
    <row r="20760" spans="23:23" x14ac:dyDescent="0.55000000000000004">
      <c r="W20760"/>
    </row>
    <row r="20761" spans="23:23" x14ac:dyDescent="0.55000000000000004">
      <c r="W20761"/>
    </row>
    <row r="20762" spans="23:23" x14ac:dyDescent="0.55000000000000004">
      <c r="W20762"/>
    </row>
    <row r="20763" spans="23:23" x14ac:dyDescent="0.55000000000000004">
      <c r="W20763"/>
    </row>
    <row r="20764" spans="23:23" x14ac:dyDescent="0.55000000000000004">
      <c r="W20764"/>
    </row>
    <row r="20765" spans="23:23" x14ac:dyDescent="0.55000000000000004">
      <c r="W20765"/>
    </row>
    <row r="20766" spans="23:23" x14ac:dyDescent="0.55000000000000004">
      <c r="W20766"/>
    </row>
    <row r="20767" spans="23:23" x14ac:dyDescent="0.55000000000000004">
      <c r="W20767"/>
    </row>
    <row r="20768" spans="23:23" x14ac:dyDescent="0.55000000000000004">
      <c r="W20768"/>
    </row>
    <row r="20769" spans="23:23" x14ac:dyDescent="0.55000000000000004">
      <c r="W20769"/>
    </row>
    <row r="20770" spans="23:23" x14ac:dyDescent="0.55000000000000004">
      <c r="W20770"/>
    </row>
    <row r="20771" spans="23:23" x14ac:dyDescent="0.55000000000000004">
      <c r="W20771"/>
    </row>
    <row r="20772" spans="23:23" x14ac:dyDescent="0.55000000000000004">
      <c r="W20772"/>
    </row>
    <row r="20773" spans="23:23" x14ac:dyDescent="0.55000000000000004">
      <c r="W20773"/>
    </row>
    <row r="20774" spans="23:23" x14ac:dyDescent="0.55000000000000004">
      <c r="W20774"/>
    </row>
    <row r="20775" spans="23:23" x14ac:dyDescent="0.55000000000000004">
      <c r="W20775"/>
    </row>
    <row r="20776" spans="23:23" x14ac:dyDescent="0.55000000000000004">
      <c r="W20776"/>
    </row>
    <row r="20777" spans="23:23" x14ac:dyDescent="0.55000000000000004">
      <c r="W20777"/>
    </row>
    <row r="20778" spans="23:23" x14ac:dyDescent="0.55000000000000004">
      <c r="W20778"/>
    </row>
    <row r="20779" spans="23:23" x14ac:dyDescent="0.55000000000000004">
      <c r="W20779"/>
    </row>
    <row r="20780" spans="23:23" x14ac:dyDescent="0.55000000000000004">
      <c r="W20780"/>
    </row>
    <row r="20781" spans="23:23" x14ac:dyDescent="0.55000000000000004">
      <c r="W20781"/>
    </row>
    <row r="20782" spans="23:23" x14ac:dyDescent="0.55000000000000004">
      <c r="W20782"/>
    </row>
    <row r="20783" spans="23:23" x14ac:dyDescent="0.55000000000000004">
      <c r="W20783"/>
    </row>
    <row r="20784" spans="23:23" x14ac:dyDescent="0.55000000000000004">
      <c r="W20784"/>
    </row>
    <row r="20785" spans="23:23" x14ac:dyDescent="0.55000000000000004">
      <c r="W20785"/>
    </row>
    <row r="20786" spans="23:23" x14ac:dyDescent="0.55000000000000004">
      <c r="W20786"/>
    </row>
    <row r="20787" spans="23:23" x14ac:dyDescent="0.55000000000000004">
      <c r="W20787"/>
    </row>
    <row r="20788" spans="23:23" x14ac:dyDescent="0.55000000000000004">
      <c r="W20788"/>
    </row>
    <row r="20789" spans="23:23" x14ac:dyDescent="0.55000000000000004">
      <c r="W20789"/>
    </row>
    <row r="20790" spans="23:23" x14ac:dyDescent="0.55000000000000004">
      <c r="W20790"/>
    </row>
    <row r="20791" spans="23:23" x14ac:dyDescent="0.55000000000000004">
      <c r="W20791"/>
    </row>
    <row r="20792" spans="23:23" x14ac:dyDescent="0.55000000000000004">
      <c r="W20792"/>
    </row>
    <row r="20793" spans="23:23" x14ac:dyDescent="0.55000000000000004">
      <c r="W20793"/>
    </row>
    <row r="20794" spans="23:23" x14ac:dyDescent="0.55000000000000004">
      <c r="W20794"/>
    </row>
    <row r="20795" spans="23:23" x14ac:dyDescent="0.55000000000000004">
      <c r="W20795"/>
    </row>
    <row r="20796" spans="23:23" x14ac:dyDescent="0.55000000000000004">
      <c r="W20796"/>
    </row>
    <row r="20797" spans="23:23" x14ac:dyDescent="0.55000000000000004">
      <c r="W20797"/>
    </row>
    <row r="20798" spans="23:23" x14ac:dyDescent="0.55000000000000004">
      <c r="W20798"/>
    </row>
    <row r="20799" spans="23:23" x14ac:dyDescent="0.55000000000000004">
      <c r="W20799"/>
    </row>
    <row r="20800" spans="23:23" x14ac:dyDescent="0.55000000000000004">
      <c r="W20800"/>
    </row>
    <row r="20801" spans="23:23" x14ac:dyDescent="0.55000000000000004">
      <c r="W20801"/>
    </row>
    <row r="20802" spans="23:23" x14ac:dyDescent="0.55000000000000004">
      <c r="W20802"/>
    </row>
    <row r="20803" spans="23:23" x14ac:dyDescent="0.55000000000000004">
      <c r="W20803"/>
    </row>
    <row r="20804" spans="23:23" x14ac:dyDescent="0.55000000000000004">
      <c r="W20804"/>
    </row>
    <row r="20805" spans="23:23" x14ac:dyDescent="0.55000000000000004">
      <c r="W20805"/>
    </row>
    <row r="20806" spans="23:23" x14ac:dyDescent="0.55000000000000004">
      <c r="W20806"/>
    </row>
    <row r="20807" spans="23:23" x14ac:dyDescent="0.55000000000000004">
      <c r="W20807"/>
    </row>
    <row r="20808" spans="23:23" x14ac:dyDescent="0.55000000000000004">
      <c r="W20808"/>
    </row>
    <row r="20809" spans="23:23" x14ac:dyDescent="0.55000000000000004">
      <c r="W20809"/>
    </row>
    <row r="20810" spans="23:23" x14ac:dyDescent="0.55000000000000004">
      <c r="W20810"/>
    </row>
    <row r="20811" spans="23:23" x14ac:dyDescent="0.55000000000000004">
      <c r="W20811"/>
    </row>
    <row r="20812" spans="23:23" x14ac:dyDescent="0.55000000000000004">
      <c r="W20812"/>
    </row>
    <row r="20813" spans="23:23" x14ac:dyDescent="0.55000000000000004">
      <c r="W20813"/>
    </row>
    <row r="20814" spans="23:23" x14ac:dyDescent="0.55000000000000004">
      <c r="W20814"/>
    </row>
    <row r="20815" spans="23:23" x14ac:dyDescent="0.55000000000000004">
      <c r="W20815"/>
    </row>
    <row r="20816" spans="23:23" x14ac:dyDescent="0.55000000000000004">
      <c r="W20816"/>
    </row>
    <row r="20817" spans="23:23" x14ac:dyDescent="0.55000000000000004">
      <c r="W20817"/>
    </row>
    <row r="20818" spans="23:23" x14ac:dyDescent="0.55000000000000004">
      <c r="W20818"/>
    </row>
    <row r="20819" spans="23:23" x14ac:dyDescent="0.55000000000000004">
      <c r="W20819"/>
    </row>
    <row r="20820" spans="23:23" x14ac:dyDescent="0.55000000000000004">
      <c r="W20820"/>
    </row>
    <row r="20821" spans="23:23" x14ac:dyDescent="0.55000000000000004">
      <c r="W20821"/>
    </row>
    <row r="20822" spans="23:23" x14ac:dyDescent="0.55000000000000004">
      <c r="W20822"/>
    </row>
    <row r="20823" spans="23:23" x14ac:dyDescent="0.55000000000000004">
      <c r="W20823"/>
    </row>
    <row r="20824" spans="23:23" x14ac:dyDescent="0.55000000000000004">
      <c r="W20824"/>
    </row>
    <row r="20825" spans="23:23" x14ac:dyDescent="0.55000000000000004">
      <c r="W20825"/>
    </row>
    <row r="20826" spans="23:23" x14ac:dyDescent="0.55000000000000004">
      <c r="W20826"/>
    </row>
    <row r="20827" spans="23:23" x14ac:dyDescent="0.55000000000000004">
      <c r="W20827"/>
    </row>
    <row r="20828" spans="23:23" x14ac:dyDescent="0.55000000000000004">
      <c r="W20828"/>
    </row>
    <row r="20829" spans="23:23" x14ac:dyDescent="0.55000000000000004">
      <c r="W20829"/>
    </row>
    <row r="20830" spans="23:23" x14ac:dyDescent="0.55000000000000004">
      <c r="W20830"/>
    </row>
    <row r="20831" spans="23:23" x14ac:dyDescent="0.55000000000000004">
      <c r="W20831"/>
    </row>
    <row r="20832" spans="23:23" x14ac:dyDescent="0.55000000000000004">
      <c r="W20832"/>
    </row>
    <row r="20833" spans="23:23" x14ac:dyDescent="0.55000000000000004">
      <c r="W20833"/>
    </row>
    <row r="20834" spans="23:23" x14ac:dyDescent="0.55000000000000004">
      <c r="W20834"/>
    </row>
    <row r="20835" spans="23:23" x14ac:dyDescent="0.55000000000000004">
      <c r="W20835"/>
    </row>
    <row r="20836" spans="23:23" x14ac:dyDescent="0.55000000000000004">
      <c r="W20836"/>
    </row>
    <row r="20837" spans="23:23" x14ac:dyDescent="0.55000000000000004">
      <c r="W20837"/>
    </row>
    <row r="20838" spans="23:23" x14ac:dyDescent="0.55000000000000004">
      <c r="W20838"/>
    </row>
    <row r="20839" spans="23:23" x14ac:dyDescent="0.55000000000000004">
      <c r="W20839"/>
    </row>
    <row r="20840" spans="23:23" x14ac:dyDescent="0.55000000000000004">
      <c r="W20840"/>
    </row>
    <row r="20841" spans="23:23" x14ac:dyDescent="0.55000000000000004">
      <c r="W20841"/>
    </row>
    <row r="20842" spans="23:23" x14ac:dyDescent="0.55000000000000004">
      <c r="W20842"/>
    </row>
    <row r="20843" spans="23:23" x14ac:dyDescent="0.55000000000000004">
      <c r="W20843"/>
    </row>
    <row r="20844" spans="23:23" x14ac:dyDescent="0.55000000000000004">
      <c r="W20844"/>
    </row>
    <row r="20845" spans="23:23" x14ac:dyDescent="0.55000000000000004">
      <c r="W20845"/>
    </row>
    <row r="20846" spans="23:23" x14ac:dyDescent="0.55000000000000004">
      <c r="W20846"/>
    </row>
    <row r="20847" spans="23:23" x14ac:dyDescent="0.55000000000000004">
      <c r="W20847"/>
    </row>
    <row r="20848" spans="23:23" x14ac:dyDescent="0.55000000000000004">
      <c r="W20848"/>
    </row>
    <row r="20849" spans="23:23" x14ac:dyDescent="0.55000000000000004">
      <c r="W20849"/>
    </row>
    <row r="20850" spans="23:23" x14ac:dyDescent="0.55000000000000004">
      <c r="W20850"/>
    </row>
    <row r="20851" spans="23:23" x14ac:dyDescent="0.55000000000000004">
      <c r="W20851"/>
    </row>
    <row r="20852" spans="23:23" x14ac:dyDescent="0.55000000000000004">
      <c r="W20852"/>
    </row>
    <row r="20853" spans="23:23" x14ac:dyDescent="0.55000000000000004">
      <c r="W20853"/>
    </row>
    <row r="20854" spans="23:23" x14ac:dyDescent="0.55000000000000004">
      <c r="W20854"/>
    </row>
    <row r="20855" spans="23:23" x14ac:dyDescent="0.55000000000000004">
      <c r="W20855"/>
    </row>
    <row r="20856" spans="23:23" x14ac:dyDescent="0.55000000000000004">
      <c r="W20856"/>
    </row>
    <row r="20857" spans="23:23" x14ac:dyDescent="0.55000000000000004">
      <c r="W20857"/>
    </row>
    <row r="20858" spans="23:23" x14ac:dyDescent="0.55000000000000004">
      <c r="W20858"/>
    </row>
    <row r="20859" spans="23:23" x14ac:dyDescent="0.55000000000000004">
      <c r="W20859"/>
    </row>
    <row r="20860" spans="23:23" x14ac:dyDescent="0.55000000000000004">
      <c r="W20860"/>
    </row>
    <row r="20861" spans="23:23" x14ac:dyDescent="0.55000000000000004">
      <c r="W20861"/>
    </row>
    <row r="20862" spans="23:23" x14ac:dyDescent="0.55000000000000004">
      <c r="W20862"/>
    </row>
    <row r="20863" spans="23:23" x14ac:dyDescent="0.55000000000000004">
      <c r="W20863"/>
    </row>
    <row r="20864" spans="23:23" x14ac:dyDescent="0.55000000000000004">
      <c r="W20864"/>
    </row>
    <row r="20865" spans="23:23" x14ac:dyDescent="0.55000000000000004">
      <c r="W20865"/>
    </row>
    <row r="20866" spans="23:23" x14ac:dyDescent="0.55000000000000004">
      <c r="W20866"/>
    </row>
    <row r="20867" spans="23:23" x14ac:dyDescent="0.55000000000000004">
      <c r="W20867"/>
    </row>
    <row r="20868" spans="23:23" x14ac:dyDescent="0.55000000000000004">
      <c r="W20868"/>
    </row>
    <row r="20869" spans="23:23" x14ac:dyDescent="0.55000000000000004">
      <c r="W20869"/>
    </row>
    <row r="20870" spans="23:23" x14ac:dyDescent="0.55000000000000004">
      <c r="W20870"/>
    </row>
    <row r="20871" spans="23:23" x14ac:dyDescent="0.55000000000000004">
      <c r="W20871"/>
    </row>
    <row r="20872" spans="23:23" x14ac:dyDescent="0.55000000000000004">
      <c r="W20872"/>
    </row>
    <row r="20873" spans="23:23" x14ac:dyDescent="0.55000000000000004">
      <c r="W20873"/>
    </row>
    <row r="20874" spans="23:23" x14ac:dyDescent="0.55000000000000004">
      <c r="W20874"/>
    </row>
    <row r="20875" spans="23:23" x14ac:dyDescent="0.55000000000000004">
      <c r="W20875"/>
    </row>
    <row r="20876" spans="23:23" x14ac:dyDescent="0.55000000000000004">
      <c r="W20876"/>
    </row>
    <row r="20877" spans="23:23" x14ac:dyDescent="0.55000000000000004">
      <c r="W20877"/>
    </row>
    <row r="20878" spans="23:23" x14ac:dyDescent="0.55000000000000004">
      <c r="W20878"/>
    </row>
    <row r="20879" spans="23:23" x14ac:dyDescent="0.55000000000000004">
      <c r="W20879"/>
    </row>
    <row r="20880" spans="23:23" x14ac:dyDescent="0.55000000000000004">
      <c r="W20880"/>
    </row>
    <row r="20881" spans="23:23" x14ac:dyDescent="0.55000000000000004">
      <c r="W20881"/>
    </row>
    <row r="20882" spans="23:23" x14ac:dyDescent="0.55000000000000004">
      <c r="W20882"/>
    </row>
    <row r="20883" spans="23:23" x14ac:dyDescent="0.55000000000000004">
      <c r="W20883"/>
    </row>
    <row r="20884" spans="23:23" x14ac:dyDescent="0.55000000000000004">
      <c r="W20884"/>
    </row>
    <row r="20885" spans="23:23" x14ac:dyDescent="0.55000000000000004">
      <c r="W20885"/>
    </row>
    <row r="20886" spans="23:23" x14ac:dyDescent="0.55000000000000004">
      <c r="W20886"/>
    </row>
    <row r="20887" spans="23:23" x14ac:dyDescent="0.55000000000000004">
      <c r="W20887"/>
    </row>
    <row r="20888" spans="23:23" x14ac:dyDescent="0.55000000000000004">
      <c r="W20888"/>
    </row>
    <row r="20889" spans="23:23" x14ac:dyDescent="0.55000000000000004">
      <c r="W20889"/>
    </row>
    <row r="20890" spans="23:23" x14ac:dyDescent="0.55000000000000004">
      <c r="W20890"/>
    </row>
    <row r="20891" spans="23:23" x14ac:dyDescent="0.55000000000000004">
      <c r="W20891"/>
    </row>
    <row r="20892" spans="23:23" x14ac:dyDescent="0.55000000000000004">
      <c r="W20892"/>
    </row>
    <row r="20893" spans="23:23" x14ac:dyDescent="0.55000000000000004">
      <c r="W20893"/>
    </row>
    <row r="20894" spans="23:23" x14ac:dyDescent="0.55000000000000004">
      <c r="W20894"/>
    </row>
    <row r="20895" spans="23:23" x14ac:dyDescent="0.55000000000000004">
      <c r="W20895"/>
    </row>
    <row r="20896" spans="23:23" x14ac:dyDescent="0.55000000000000004">
      <c r="W20896"/>
    </row>
    <row r="20897" spans="23:23" x14ac:dyDescent="0.55000000000000004">
      <c r="W20897"/>
    </row>
    <row r="20898" spans="23:23" x14ac:dyDescent="0.55000000000000004">
      <c r="W20898"/>
    </row>
    <row r="20899" spans="23:23" x14ac:dyDescent="0.55000000000000004">
      <c r="W20899"/>
    </row>
    <row r="20900" spans="23:23" x14ac:dyDescent="0.55000000000000004">
      <c r="W20900"/>
    </row>
    <row r="20901" spans="23:23" x14ac:dyDescent="0.55000000000000004">
      <c r="W20901"/>
    </row>
    <row r="20902" spans="23:23" x14ac:dyDescent="0.55000000000000004">
      <c r="W20902"/>
    </row>
    <row r="20903" spans="23:23" x14ac:dyDescent="0.55000000000000004">
      <c r="W20903"/>
    </row>
    <row r="20904" spans="23:23" x14ac:dyDescent="0.55000000000000004">
      <c r="W20904"/>
    </row>
    <row r="20905" spans="23:23" x14ac:dyDescent="0.55000000000000004">
      <c r="W20905"/>
    </row>
    <row r="20906" spans="23:23" x14ac:dyDescent="0.55000000000000004">
      <c r="W20906"/>
    </row>
    <row r="20907" spans="23:23" x14ac:dyDescent="0.55000000000000004">
      <c r="W20907"/>
    </row>
    <row r="20908" spans="23:23" x14ac:dyDescent="0.55000000000000004">
      <c r="W20908"/>
    </row>
    <row r="20909" spans="23:23" x14ac:dyDescent="0.55000000000000004">
      <c r="W20909"/>
    </row>
    <row r="20910" spans="23:23" x14ac:dyDescent="0.55000000000000004">
      <c r="W20910"/>
    </row>
    <row r="20911" spans="23:23" x14ac:dyDescent="0.55000000000000004">
      <c r="W20911"/>
    </row>
    <row r="20912" spans="23:23" x14ac:dyDescent="0.55000000000000004">
      <c r="W20912"/>
    </row>
    <row r="20913" spans="23:23" x14ac:dyDescent="0.55000000000000004">
      <c r="W20913"/>
    </row>
    <row r="20914" spans="23:23" x14ac:dyDescent="0.55000000000000004">
      <c r="W20914"/>
    </row>
    <row r="20915" spans="23:23" x14ac:dyDescent="0.55000000000000004">
      <c r="W20915"/>
    </row>
    <row r="20916" spans="23:23" x14ac:dyDescent="0.55000000000000004">
      <c r="W20916"/>
    </row>
    <row r="20917" spans="23:23" x14ac:dyDescent="0.55000000000000004">
      <c r="W20917"/>
    </row>
    <row r="20918" spans="23:23" x14ac:dyDescent="0.55000000000000004">
      <c r="W20918"/>
    </row>
    <row r="20919" spans="23:23" x14ac:dyDescent="0.55000000000000004">
      <c r="W20919"/>
    </row>
    <row r="20920" spans="23:23" x14ac:dyDescent="0.55000000000000004">
      <c r="W20920"/>
    </row>
    <row r="20921" spans="23:23" x14ac:dyDescent="0.55000000000000004">
      <c r="W20921"/>
    </row>
    <row r="20922" spans="23:23" x14ac:dyDescent="0.55000000000000004">
      <c r="W20922"/>
    </row>
    <row r="20923" spans="23:23" x14ac:dyDescent="0.55000000000000004">
      <c r="W20923"/>
    </row>
    <row r="20924" spans="23:23" x14ac:dyDescent="0.55000000000000004">
      <c r="W20924"/>
    </row>
    <row r="20925" spans="23:23" x14ac:dyDescent="0.55000000000000004">
      <c r="W20925"/>
    </row>
    <row r="20926" spans="23:23" x14ac:dyDescent="0.55000000000000004">
      <c r="W20926"/>
    </row>
    <row r="20927" spans="23:23" x14ac:dyDescent="0.55000000000000004">
      <c r="W20927"/>
    </row>
    <row r="20928" spans="23:23" x14ac:dyDescent="0.55000000000000004">
      <c r="W20928"/>
    </row>
    <row r="20929" spans="23:23" x14ac:dyDescent="0.55000000000000004">
      <c r="W20929"/>
    </row>
    <row r="20930" spans="23:23" x14ac:dyDescent="0.55000000000000004">
      <c r="W20930"/>
    </row>
    <row r="20931" spans="23:23" x14ac:dyDescent="0.55000000000000004">
      <c r="W20931"/>
    </row>
    <row r="20932" spans="23:23" x14ac:dyDescent="0.55000000000000004">
      <c r="W20932"/>
    </row>
    <row r="20933" spans="23:23" x14ac:dyDescent="0.55000000000000004">
      <c r="W20933"/>
    </row>
    <row r="20934" spans="23:23" x14ac:dyDescent="0.55000000000000004">
      <c r="W20934"/>
    </row>
    <row r="20935" spans="23:23" x14ac:dyDescent="0.55000000000000004">
      <c r="W20935"/>
    </row>
    <row r="20936" spans="23:23" x14ac:dyDescent="0.55000000000000004">
      <c r="W20936"/>
    </row>
    <row r="20937" spans="23:23" x14ac:dyDescent="0.55000000000000004">
      <c r="W20937"/>
    </row>
    <row r="20938" spans="23:23" x14ac:dyDescent="0.55000000000000004">
      <c r="W20938"/>
    </row>
    <row r="20939" spans="23:23" x14ac:dyDescent="0.55000000000000004">
      <c r="W20939"/>
    </row>
    <row r="20940" spans="23:23" x14ac:dyDescent="0.55000000000000004">
      <c r="W20940"/>
    </row>
    <row r="20941" spans="23:23" x14ac:dyDescent="0.55000000000000004">
      <c r="W20941"/>
    </row>
    <row r="20942" spans="23:23" x14ac:dyDescent="0.55000000000000004">
      <c r="W20942"/>
    </row>
    <row r="20943" spans="23:23" x14ac:dyDescent="0.55000000000000004">
      <c r="W20943"/>
    </row>
    <row r="20944" spans="23:23" x14ac:dyDescent="0.55000000000000004">
      <c r="W20944"/>
    </row>
    <row r="20945" spans="23:23" x14ac:dyDescent="0.55000000000000004">
      <c r="W20945"/>
    </row>
    <row r="20946" spans="23:23" x14ac:dyDescent="0.55000000000000004">
      <c r="W20946"/>
    </row>
    <row r="20947" spans="23:23" x14ac:dyDescent="0.55000000000000004">
      <c r="W20947"/>
    </row>
    <row r="20948" spans="23:23" x14ac:dyDescent="0.55000000000000004">
      <c r="W20948"/>
    </row>
    <row r="20949" spans="23:23" x14ac:dyDescent="0.55000000000000004">
      <c r="W20949"/>
    </row>
    <row r="20950" spans="23:23" x14ac:dyDescent="0.55000000000000004">
      <c r="W20950"/>
    </row>
    <row r="20951" spans="23:23" x14ac:dyDescent="0.55000000000000004">
      <c r="W20951"/>
    </row>
    <row r="20952" spans="23:23" x14ac:dyDescent="0.55000000000000004">
      <c r="W20952"/>
    </row>
    <row r="20953" spans="23:23" x14ac:dyDescent="0.55000000000000004">
      <c r="W20953"/>
    </row>
    <row r="20954" spans="23:23" x14ac:dyDescent="0.55000000000000004">
      <c r="W20954"/>
    </row>
    <row r="20955" spans="23:23" x14ac:dyDescent="0.55000000000000004">
      <c r="W20955"/>
    </row>
    <row r="20956" spans="23:23" x14ac:dyDescent="0.55000000000000004">
      <c r="W20956"/>
    </row>
    <row r="20957" spans="23:23" x14ac:dyDescent="0.55000000000000004">
      <c r="W20957"/>
    </row>
    <row r="20958" spans="23:23" x14ac:dyDescent="0.55000000000000004">
      <c r="W20958"/>
    </row>
    <row r="20959" spans="23:23" x14ac:dyDescent="0.55000000000000004">
      <c r="W20959"/>
    </row>
    <row r="20960" spans="23:23" x14ac:dyDescent="0.55000000000000004">
      <c r="W20960"/>
    </row>
    <row r="20961" spans="23:23" x14ac:dyDescent="0.55000000000000004">
      <c r="W20961"/>
    </row>
    <row r="20962" spans="23:23" x14ac:dyDescent="0.55000000000000004">
      <c r="W20962"/>
    </row>
    <row r="20963" spans="23:23" x14ac:dyDescent="0.55000000000000004">
      <c r="W20963"/>
    </row>
    <row r="20964" spans="23:23" x14ac:dyDescent="0.55000000000000004">
      <c r="W20964"/>
    </row>
    <row r="20965" spans="23:23" x14ac:dyDescent="0.55000000000000004">
      <c r="W20965"/>
    </row>
    <row r="20966" spans="23:23" x14ac:dyDescent="0.55000000000000004">
      <c r="W20966"/>
    </row>
    <row r="20967" spans="23:23" x14ac:dyDescent="0.55000000000000004">
      <c r="W20967"/>
    </row>
    <row r="20968" spans="23:23" x14ac:dyDescent="0.55000000000000004">
      <c r="W20968"/>
    </row>
    <row r="20969" spans="23:23" x14ac:dyDescent="0.55000000000000004">
      <c r="W20969"/>
    </row>
    <row r="20970" spans="23:23" x14ac:dyDescent="0.55000000000000004">
      <c r="W20970"/>
    </row>
    <row r="20971" spans="23:23" x14ac:dyDescent="0.55000000000000004">
      <c r="W20971"/>
    </row>
    <row r="20972" spans="23:23" x14ac:dyDescent="0.55000000000000004">
      <c r="W20972"/>
    </row>
    <row r="20973" spans="23:23" x14ac:dyDescent="0.55000000000000004">
      <c r="W20973"/>
    </row>
    <row r="20974" spans="23:23" x14ac:dyDescent="0.55000000000000004">
      <c r="W20974"/>
    </row>
    <row r="20975" spans="23:23" x14ac:dyDescent="0.55000000000000004">
      <c r="W20975"/>
    </row>
    <row r="20976" spans="23:23" x14ac:dyDescent="0.55000000000000004">
      <c r="W20976"/>
    </row>
    <row r="20977" spans="23:23" x14ac:dyDescent="0.55000000000000004">
      <c r="W20977"/>
    </row>
    <row r="20978" spans="23:23" x14ac:dyDescent="0.55000000000000004">
      <c r="W20978"/>
    </row>
    <row r="20979" spans="23:23" x14ac:dyDescent="0.55000000000000004">
      <c r="W20979"/>
    </row>
    <row r="20980" spans="23:23" x14ac:dyDescent="0.55000000000000004">
      <c r="W20980"/>
    </row>
    <row r="20981" spans="23:23" x14ac:dyDescent="0.55000000000000004">
      <c r="W20981"/>
    </row>
    <row r="20982" spans="23:23" x14ac:dyDescent="0.55000000000000004">
      <c r="W20982"/>
    </row>
    <row r="20983" spans="23:23" x14ac:dyDescent="0.55000000000000004">
      <c r="W20983"/>
    </row>
    <row r="20984" spans="23:23" x14ac:dyDescent="0.55000000000000004">
      <c r="W20984"/>
    </row>
    <row r="20985" spans="23:23" x14ac:dyDescent="0.55000000000000004">
      <c r="W20985"/>
    </row>
    <row r="20986" spans="23:23" x14ac:dyDescent="0.55000000000000004">
      <c r="W20986"/>
    </row>
    <row r="20987" spans="23:23" x14ac:dyDescent="0.55000000000000004">
      <c r="W20987"/>
    </row>
    <row r="20988" spans="23:23" x14ac:dyDescent="0.55000000000000004">
      <c r="W20988"/>
    </row>
    <row r="20989" spans="23:23" x14ac:dyDescent="0.55000000000000004">
      <c r="W20989"/>
    </row>
    <row r="20990" spans="23:23" x14ac:dyDescent="0.55000000000000004">
      <c r="W20990"/>
    </row>
    <row r="20991" spans="23:23" x14ac:dyDescent="0.55000000000000004">
      <c r="W20991"/>
    </row>
    <row r="20992" spans="23:23" x14ac:dyDescent="0.55000000000000004">
      <c r="W20992"/>
    </row>
    <row r="20993" spans="23:23" x14ac:dyDescent="0.55000000000000004">
      <c r="W20993"/>
    </row>
    <row r="20994" spans="23:23" x14ac:dyDescent="0.55000000000000004">
      <c r="W20994"/>
    </row>
    <row r="20995" spans="23:23" x14ac:dyDescent="0.55000000000000004">
      <c r="W20995"/>
    </row>
    <row r="20996" spans="23:23" x14ac:dyDescent="0.55000000000000004">
      <c r="W20996"/>
    </row>
    <row r="20997" spans="23:23" x14ac:dyDescent="0.55000000000000004">
      <c r="W20997"/>
    </row>
    <row r="20998" spans="23:23" x14ac:dyDescent="0.55000000000000004">
      <c r="W20998"/>
    </row>
    <row r="20999" spans="23:23" x14ac:dyDescent="0.55000000000000004">
      <c r="W20999"/>
    </row>
    <row r="21000" spans="23:23" x14ac:dyDescent="0.55000000000000004">
      <c r="W21000"/>
    </row>
    <row r="21001" spans="23:23" x14ac:dyDescent="0.55000000000000004">
      <c r="W21001"/>
    </row>
    <row r="21002" spans="23:23" x14ac:dyDescent="0.55000000000000004">
      <c r="W21002"/>
    </row>
    <row r="21003" spans="23:23" x14ac:dyDescent="0.55000000000000004">
      <c r="W21003"/>
    </row>
    <row r="21004" spans="23:23" x14ac:dyDescent="0.55000000000000004">
      <c r="W21004"/>
    </row>
    <row r="21005" spans="23:23" x14ac:dyDescent="0.55000000000000004">
      <c r="W21005"/>
    </row>
    <row r="21006" spans="23:23" x14ac:dyDescent="0.55000000000000004">
      <c r="W21006"/>
    </row>
    <row r="21007" spans="23:23" x14ac:dyDescent="0.55000000000000004">
      <c r="W21007"/>
    </row>
    <row r="21008" spans="23:23" x14ac:dyDescent="0.55000000000000004">
      <c r="W21008"/>
    </row>
    <row r="21009" spans="23:23" x14ac:dyDescent="0.55000000000000004">
      <c r="W21009"/>
    </row>
    <row r="21010" spans="23:23" x14ac:dyDescent="0.55000000000000004">
      <c r="W21010"/>
    </row>
    <row r="21011" spans="23:23" x14ac:dyDescent="0.55000000000000004">
      <c r="W21011"/>
    </row>
    <row r="21012" spans="23:23" x14ac:dyDescent="0.55000000000000004">
      <c r="W21012"/>
    </row>
    <row r="21013" spans="23:23" x14ac:dyDescent="0.55000000000000004">
      <c r="W21013"/>
    </row>
    <row r="21014" spans="23:23" x14ac:dyDescent="0.55000000000000004">
      <c r="W21014"/>
    </row>
    <row r="21015" spans="23:23" x14ac:dyDescent="0.55000000000000004">
      <c r="W21015"/>
    </row>
    <row r="21016" spans="23:23" x14ac:dyDescent="0.55000000000000004">
      <c r="W21016"/>
    </row>
    <row r="21017" spans="23:23" x14ac:dyDescent="0.55000000000000004">
      <c r="W21017"/>
    </row>
    <row r="21018" spans="23:23" x14ac:dyDescent="0.55000000000000004">
      <c r="W21018"/>
    </row>
    <row r="21019" spans="23:23" x14ac:dyDescent="0.55000000000000004">
      <c r="W21019"/>
    </row>
    <row r="21020" spans="23:23" x14ac:dyDescent="0.55000000000000004">
      <c r="W21020"/>
    </row>
    <row r="21021" spans="23:23" x14ac:dyDescent="0.55000000000000004">
      <c r="W21021"/>
    </row>
    <row r="21022" spans="23:23" x14ac:dyDescent="0.55000000000000004">
      <c r="W21022"/>
    </row>
    <row r="21023" spans="23:23" x14ac:dyDescent="0.55000000000000004">
      <c r="W21023"/>
    </row>
    <row r="21024" spans="23:23" x14ac:dyDescent="0.55000000000000004">
      <c r="W21024"/>
    </row>
    <row r="21025" spans="23:23" x14ac:dyDescent="0.55000000000000004">
      <c r="W21025"/>
    </row>
    <row r="21026" spans="23:23" x14ac:dyDescent="0.55000000000000004">
      <c r="W21026"/>
    </row>
    <row r="21027" spans="23:23" x14ac:dyDescent="0.55000000000000004">
      <c r="W21027"/>
    </row>
    <row r="21028" spans="23:23" x14ac:dyDescent="0.55000000000000004">
      <c r="W21028"/>
    </row>
    <row r="21029" spans="23:23" x14ac:dyDescent="0.55000000000000004">
      <c r="W21029"/>
    </row>
    <row r="21030" spans="23:23" x14ac:dyDescent="0.55000000000000004">
      <c r="W21030"/>
    </row>
    <row r="21031" spans="23:23" x14ac:dyDescent="0.55000000000000004">
      <c r="W21031"/>
    </row>
    <row r="21032" spans="23:23" x14ac:dyDescent="0.55000000000000004">
      <c r="W21032"/>
    </row>
    <row r="21033" spans="23:23" x14ac:dyDescent="0.55000000000000004">
      <c r="W21033"/>
    </row>
    <row r="21034" spans="23:23" x14ac:dyDescent="0.55000000000000004">
      <c r="W21034"/>
    </row>
    <row r="21035" spans="23:23" x14ac:dyDescent="0.55000000000000004">
      <c r="W21035"/>
    </row>
    <row r="21036" spans="23:23" x14ac:dyDescent="0.55000000000000004">
      <c r="W21036"/>
    </row>
    <row r="21037" spans="23:23" x14ac:dyDescent="0.55000000000000004">
      <c r="W21037"/>
    </row>
    <row r="21038" spans="23:23" x14ac:dyDescent="0.55000000000000004">
      <c r="W21038"/>
    </row>
    <row r="21039" spans="23:23" x14ac:dyDescent="0.55000000000000004">
      <c r="W21039"/>
    </row>
    <row r="21040" spans="23:23" x14ac:dyDescent="0.55000000000000004">
      <c r="W21040"/>
    </row>
    <row r="21041" spans="23:23" x14ac:dyDescent="0.55000000000000004">
      <c r="W21041"/>
    </row>
    <row r="21042" spans="23:23" x14ac:dyDescent="0.55000000000000004">
      <c r="W21042"/>
    </row>
    <row r="21043" spans="23:23" x14ac:dyDescent="0.55000000000000004">
      <c r="W21043"/>
    </row>
    <row r="21044" spans="23:23" x14ac:dyDescent="0.55000000000000004">
      <c r="W21044"/>
    </row>
    <row r="21045" spans="23:23" x14ac:dyDescent="0.55000000000000004">
      <c r="W21045"/>
    </row>
    <row r="21046" spans="23:23" x14ac:dyDescent="0.55000000000000004">
      <c r="W21046"/>
    </row>
    <row r="21047" spans="23:23" x14ac:dyDescent="0.55000000000000004">
      <c r="W21047"/>
    </row>
    <row r="21048" spans="23:23" x14ac:dyDescent="0.55000000000000004">
      <c r="W21048"/>
    </row>
    <row r="21049" spans="23:23" x14ac:dyDescent="0.55000000000000004">
      <c r="W21049"/>
    </row>
    <row r="21050" spans="23:23" x14ac:dyDescent="0.55000000000000004">
      <c r="W21050"/>
    </row>
    <row r="21051" spans="23:23" x14ac:dyDescent="0.55000000000000004">
      <c r="W21051"/>
    </row>
    <row r="21052" spans="23:23" x14ac:dyDescent="0.55000000000000004">
      <c r="W21052"/>
    </row>
    <row r="21053" spans="23:23" x14ac:dyDescent="0.55000000000000004">
      <c r="W21053"/>
    </row>
    <row r="21054" spans="23:23" x14ac:dyDescent="0.55000000000000004">
      <c r="W21054"/>
    </row>
    <row r="21055" spans="23:23" x14ac:dyDescent="0.55000000000000004">
      <c r="W21055"/>
    </row>
    <row r="21056" spans="23:23" x14ac:dyDescent="0.55000000000000004">
      <c r="W21056"/>
    </row>
    <row r="21057" spans="23:23" x14ac:dyDescent="0.55000000000000004">
      <c r="W21057"/>
    </row>
    <row r="21058" spans="23:23" x14ac:dyDescent="0.55000000000000004">
      <c r="W21058"/>
    </row>
    <row r="21059" spans="23:23" x14ac:dyDescent="0.55000000000000004">
      <c r="W21059"/>
    </row>
    <row r="21060" spans="23:23" x14ac:dyDescent="0.55000000000000004">
      <c r="W21060"/>
    </row>
    <row r="21061" spans="23:23" x14ac:dyDescent="0.55000000000000004">
      <c r="W21061"/>
    </row>
    <row r="21062" spans="23:23" x14ac:dyDescent="0.55000000000000004">
      <c r="W21062"/>
    </row>
    <row r="21063" spans="23:23" x14ac:dyDescent="0.55000000000000004">
      <c r="W21063"/>
    </row>
    <row r="21064" spans="23:23" x14ac:dyDescent="0.55000000000000004">
      <c r="W21064"/>
    </row>
    <row r="21065" spans="23:23" x14ac:dyDescent="0.55000000000000004">
      <c r="W21065"/>
    </row>
    <row r="21066" spans="23:23" x14ac:dyDescent="0.55000000000000004">
      <c r="W21066"/>
    </row>
    <row r="21067" spans="23:23" x14ac:dyDescent="0.55000000000000004">
      <c r="W21067"/>
    </row>
    <row r="21068" spans="23:23" x14ac:dyDescent="0.55000000000000004">
      <c r="W21068"/>
    </row>
    <row r="21069" spans="23:23" x14ac:dyDescent="0.55000000000000004">
      <c r="W21069"/>
    </row>
    <row r="21070" spans="23:23" x14ac:dyDescent="0.55000000000000004">
      <c r="W21070"/>
    </row>
    <row r="21071" spans="23:23" x14ac:dyDescent="0.55000000000000004">
      <c r="W21071"/>
    </row>
    <row r="21072" spans="23:23" x14ac:dyDescent="0.55000000000000004">
      <c r="W21072"/>
    </row>
    <row r="21073" spans="23:23" x14ac:dyDescent="0.55000000000000004">
      <c r="W21073"/>
    </row>
    <row r="21074" spans="23:23" x14ac:dyDescent="0.55000000000000004">
      <c r="W21074"/>
    </row>
    <row r="21075" spans="23:23" x14ac:dyDescent="0.55000000000000004">
      <c r="W21075"/>
    </row>
    <row r="21076" spans="23:23" x14ac:dyDescent="0.55000000000000004">
      <c r="W21076"/>
    </row>
    <row r="21077" spans="23:23" x14ac:dyDescent="0.55000000000000004">
      <c r="W21077"/>
    </row>
    <row r="21078" spans="23:23" x14ac:dyDescent="0.55000000000000004">
      <c r="W21078"/>
    </row>
    <row r="21079" spans="23:23" x14ac:dyDescent="0.55000000000000004">
      <c r="W21079"/>
    </row>
    <row r="21080" spans="23:23" x14ac:dyDescent="0.55000000000000004">
      <c r="W21080"/>
    </row>
    <row r="21081" spans="23:23" x14ac:dyDescent="0.55000000000000004">
      <c r="W21081"/>
    </row>
    <row r="21082" spans="23:23" x14ac:dyDescent="0.55000000000000004">
      <c r="W21082"/>
    </row>
    <row r="21083" spans="23:23" x14ac:dyDescent="0.55000000000000004">
      <c r="W21083"/>
    </row>
    <row r="21084" spans="23:23" x14ac:dyDescent="0.55000000000000004">
      <c r="W21084"/>
    </row>
    <row r="21085" spans="23:23" x14ac:dyDescent="0.55000000000000004">
      <c r="W21085"/>
    </row>
    <row r="21086" spans="23:23" x14ac:dyDescent="0.55000000000000004">
      <c r="W21086"/>
    </row>
    <row r="21087" spans="23:23" x14ac:dyDescent="0.55000000000000004">
      <c r="W21087"/>
    </row>
    <row r="21088" spans="23:23" x14ac:dyDescent="0.55000000000000004">
      <c r="W21088"/>
    </row>
    <row r="21089" spans="23:23" x14ac:dyDescent="0.55000000000000004">
      <c r="W21089"/>
    </row>
    <row r="21090" spans="23:23" x14ac:dyDescent="0.55000000000000004">
      <c r="W21090"/>
    </row>
    <row r="21091" spans="23:23" x14ac:dyDescent="0.55000000000000004">
      <c r="W21091"/>
    </row>
    <row r="21092" spans="23:23" x14ac:dyDescent="0.55000000000000004">
      <c r="W21092"/>
    </row>
    <row r="21093" spans="23:23" x14ac:dyDescent="0.55000000000000004">
      <c r="W21093"/>
    </row>
    <row r="21094" spans="23:23" x14ac:dyDescent="0.55000000000000004">
      <c r="W21094"/>
    </row>
    <row r="21095" spans="23:23" x14ac:dyDescent="0.55000000000000004">
      <c r="W21095"/>
    </row>
    <row r="21096" spans="23:23" x14ac:dyDescent="0.55000000000000004">
      <c r="W21096"/>
    </row>
    <row r="21097" spans="23:23" x14ac:dyDescent="0.55000000000000004">
      <c r="W21097"/>
    </row>
    <row r="21098" spans="23:23" x14ac:dyDescent="0.55000000000000004">
      <c r="W21098"/>
    </row>
    <row r="21099" spans="23:23" x14ac:dyDescent="0.55000000000000004">
      <c r="W21099"/>
    </row>
    <row r="21100" spans="23:23" x14ac:dyDescent="0.55000000000000004">
      <c r="W21100"/>
    </row>
    <row r="21101" spans="23:23" x14ac:dyDescent="0.55000000000000004">
      <c r="W21101"/>
    </row>
    <row r="21102" spans="23:23" x14ac:dyDescent="0.55000000000000004">
      <c r="W21102"/>
    </row>
    <row r="21103" spans="23:23" x14ac:dyDescent="0.55000000000000004">
      <c r="W21103"/>
    </row>
    <row r="21104" spans="23:23" x14ac:dyDescent="0.55000000000000004">
      <c r="W21104"/>
    </row>
    <row r="21105" spans="23:23" x14ac:dyDescent="0.55000000000000004">
      <c r="W21105"/>
    </row>
    <row r="21106" spans="23:23" x14ac:dyDescent="0.55000000000000004">
      <c r="W21106"/>
    </row>
    <row r="21107" spans="23:23" x14ac:dyDescent="0.55000000000000004">
      <c r="W21107"/>
    </row>
    <row r="21108" spans="23:23" x14ac:dyDescent="0.55000000000000004">
      <c r="W21108"/>
    </row>
    <row r="21109" spans="23:23" x14ac:dyDescent="0.55000000000000004">
      <c r="W21109"/>
    </row>
    <row r="21110" spans="23:23" x14ac:dyDescent="0.55000000000000004">
      <c r="W21110"/>
    </row>
    <row r="21111" spans="23:23" x14ac:dyDescent="0.55000000000000004">
      <c r="W21111"/>
    </row>
    <row r="21112" spans="23:23" x14ac:dyDescent="0.55000000000000004">
      <c r="W21112"/>
    </row>
    <row r="21113" spans="23:23" x14ac:dyDescent="0.55000000000000004">
      <c r="W21113"/>
    </row>
    <row r="21114" spans="23:23" x14ac:dyDescent="0.55000000000000004">
      <c r="W21114"/>
    </row>
    <row r="21115" spans="23:23" x14ac:dyDescent="0.55000000000000004">
      <c r="W21115"/>
    </row>
    <row r="21116" spans="23:23" x14ac:dyDescent="0.55000000000000004">
      <c r="W21116"/>
    </row>
    <row r="21117" spans="23:23" x14ac:dyDescent="0.55000000000000004">
      <c r="W21117"/>
    </row>
    <row r="21118" spans="23:23" x14ac:dyDescent="0.55000000000000004">
      <c r="W21118"/>
    </row>
    <row r="21119" spans="23:23" x14ac:dyDescent="0.55000000000000004">
      <c r="W21119"/>
    </row>
    <row r="21120" spans="23:23" x14ac:dyDescent="0.55000000000000004">
      <c r="W21120"/>
    </row>
    <row r="21121" spans="23:23" x14ac:dyDescent="0.55000000000000004">
      <c r="W21121"/>
    </row>
    <row r="21122" spans="23:23" x14ac:dyDescent="0.55000000000000004">
      <c r="W21122"/>
    </row>
    <row r="21123" spans="23:23" x14ac:dyDescent="0.55000000000000004">
      <c r="W21123"/>
    </row>
    <row r="21124" spans="23:23" x14ac:dyDescent="0.55000000000000004">
      <c r="W21124"/>
    </row>
    <row r="21125" spans="23:23" x14ac:dyDescent="0.55000000000000004">
      <c r="W21125"/>
    </row>
    <row r="21126" spans="23:23" x14ac:dyDescent="0.55000000000000004">
      <c r="W21126"/>
    </row>
    <row r="21127" spans="23:23" x14ac:dyDescent="0.55000000000000004">
      <c r="W21127"/>
    </row>
    <row r="21128" spans="23:23" x14ac:dyDescent="0.55000000000000004">
      <c r="W21128"/>
    </row>
    <row r="21129" spans="23:23" x14ac:dyDescent="0.55000000000000004">
      <c r="W21129"/>
    </row>
    <row r="21130" spans="23:23" x14ac:dyDescent="0.55000000000000004">
      <c r="W21130"/>
    </row>
    <row r="21131" spans="23:23" x14ac:dyDescent="0.55000000000000004">
      <c r="W21131"/>
    </row>
    <row r="21132" spans="23:23" x14ac:dyDescent="0.55000000000000004">
      <c r="W21132"/>
    </row>
    <row r="21133" spans="23:23" x14ac:dyDescent="0.55000000000000004">
      <c r="W21133"/>
    </row>
    <row r="21134" spans="23:23" x14ac:dyDescent="0.55000000000000004">
      <c r="W21134"/>
    </row>
    <row r="21135" spans="23:23" x14ac:dyDescent="0.55000000000000004">
      <c r="W21135"/>
    </row>
    <row r="21136" spans="23:23" x14ac:dyDescent="0.55000000000000004">
      <c r="W21136"/>
    </row>
    <row r="21137" spans="23:23" x14ac:dyDescent="0.55000000000000004">
      <c r="W21137"/>
    </row>
    <row r="21138" spans="23:23" x14ac:dyDescent="0.55000000000000004">
      <c r="W21138"/>
    </row>
    <row r="21139" spans="23:23" x14ac:dyDescent="0.55000000000000004">
      <c r="W21139"/>
    </row>
    <row r="21140" spans="23:23" x14ac:dyDescent="0.55000000000000004">
      <c r="W21140"/>
    </row>
    <row r="21141" spans="23:23" x14ac:dyDescent="0.55000000000000004">
      <c r="W21141"/>
    </row>
    <row r="21142" spans="23:23" x14ac:dyDescent="0.55000000000000004">
      <c r="W21142"/>
    </row>
    <row r="21143" spans="23:23" x14ac:dyDescent="0.55000000000000004">
      <c r="W21143"/>
    </row>
    <row r="21144" spans="23:23" x14ac:dyDescent="0.55000000000000004">
      <c r="W21144"/>
    </row>
    <row r="21145" spans="23:23" x14ac:dyDescent="0.55000000000000004">
      <c r="W21145"/>
    </row>
    <row r="21146" spans="23:23" x14ac:dyDescent="0.55000000000000004">
      <c r="W21146"/>
    </row>
    <row r="21147" spans="23:23" x14ac:dyDescent="0.55000000000000004">
      <c r="W21147"/>
    </row>
    <row r="21148" spans="23:23" x14ac:dyDescent="0.55000000000000004">
      <c r="W21148"/>
    </row>
    <row r="21149" spans="23:23" x14ac:dyDescent="0.55000000000000004">
      <c r="W21149"/>
    </row>
    <row r="21150" spans="23:23" x14ac:dyDescent="0.55000000000000004">
      <c r="W21150"/>
    </row>
    <row r="21151" spans="23:23" x14ac:dyDescent="0.55000000000000004">
      <c r="W21151"/>
    </row>
    <row r="21152" spans="23:23" x14ac:dyDescent="0.55000000000000004">
      <c r="W21152"/>
    </row>
    <row r="21153" spans="23:23" x14ac:dyDescent="0.55000000000000004">
      <c r="W21153"/>
    </row>
    <row r="21154" spans="23:23" x14ac:dyDescent="0.55000000000000004">
      <c r="W21154"/>
    </row>
    <row r="21155" spans="23:23" x14ac:dyDescent="0.55000000000000004">
      <c r="W21155"/>
    </row>
    <row r="21156" spans="23:23" x14ac:dyDescent="0.55000000000000004">
      <c r="W21156"/>
    </row>
    <row r="21157" spans="23:23" x14ac:dyDescent="0.55000000000000004">
      <c r="W21157"/>
    </row>
    <row r="21158" spans="23:23" x14ac:dyDescent="0.55000000000000004">
      <c r="W21158"/>
    </row>
    <row r="21159" spans="23:23" x14ac:dyDescent="0.55000000000000004">
      <c r="W21159"/>
    </row>
    <row r="21160" spans="23:23" x14ac:dyDescent="0.55000000000000004">
      <c r="W21160"/>
    </row>
    <row r="21161" spans="23:23" x14ac:dyDescent="0.55000000000000004">
      <c r="W21161"/>
    </row>
    <row r="21162" spans="23:23" x14ac:dyDescent="0.55000000000000004">
      <c r="W21162"/>
    </row>
    <row r="21163" spans="23:23" x14ac:dyDescent="0.55000000000000004">
      <c r="W21163"/>
    </row>
    <row r="21164" spans="23:23" x14ac:dyDescent="0.55000000000000004">
      <c r="W21164"/>
    </row>
    <row r="21165" spans="23:23" x14ac:dyDescent="0.55000000000000004">
      <c r="W21165"/>
    </row>
    <row r="21166" spans="23:23" x14ac:dyDescent="0.55000000000000004">
      <c r="W21166"/>
    </row>
    <row r="21167" spans="23:23" x14ac:dyDescent="0.55000000000000004">
      <c r="W21167"/>
    </row>
    <row r="21168" spans="23:23" x14ac:dyDescent="0.55000000000000004">
      <c r="W21168"/>
    </row>
    <row r="21169" spans="23:23" x14ac:dyDescent="0.55000000000000004">
      <c r="W21169"/>
    </row>
    <row r="21170" spans="23:23" x14ac:dyDescent="0.55000000000000004">
      <c r="W21170"/>
    </row>
    <row r="21171" spans="23:23" x14ac:dyDescent="0.55000000000000004">
      <c r="W21171"/>
    </row>
    <row r="21172" spans="23:23" x14ac:dyDescent="0.55000000000000004">
      <c r="W21172"/>
    </row>
    <row r="21173" spans="23:23" x14ac:dyDescent="0.55000000000000004">
      <c r="W21173"/>
    </row>
    <row r="21174" spans="23:23" x14ac:dyDescent="0.55000000000000004">
      <c r="W21174"/>
    </row>
    <row r="21175" spans="23:23" x14ac:dyDescent="0.55000000000000004">
      <c r="W21175"/>
    </row>
    <row r="21176" spans="23:23" x14ac:dyDescent="0.55000000000000004">
      <c r="W21176"/>
    </row>
    <row r="21177" spans="23:23" x14ac:dyDescent="0.55000000000000004">
      <c r="W21177"/>
    </row>
    <row r="21178" spans="23:23" x14ac:dyDescent="0.55000000000000004">
      <c r="W21178"/>
    </row>
    <row r="21179" spans="23:23" x14ac:dyDescent="0.55000000000000004">
      <c r="W21179"/>
    </row>
    <row r="21180" spans="23:23" x14ac:dyDescent="0.55000000000000004">
      <c r="W21180"/>
    </row>
    <row r="21181" spans="23:23" x14ac:dyDescent="0.55000000000000004">
      <c r="W21181"/>
    </row>
    <row r="21182" spans="23:23" x14ac:dyDescent="0.55000000000000004">
      <c r="W21182"/>
    </row>
    <row r="21183" spans="23:23" x14ac:dyDescent="0.55000000000000004">
      <c r="W21183"/>
    </row>
    <row r="21184" spans="23:23" x14ac:dyDescent="0.55000000000000004">
      <c r="W21184"/>
    </row>
    <row r="21185" spans="23:23" x14ac:dyDescent="0.55000000000000004">
      <c r="W21185"/>
    </row>
    <row r="21186" spans="23:23" x14ac:dyDescent="0.55000000000000004">
      <c r="W21186"/>
    </row>
    <row r="21187" spans="23:23" x14ac:dyDescent="0.55000000000000004">
      <c r="W21187"/>
    </row>
    <row r="21188" spans="23:23" x14ac:dyDescent="0.55000000000000004">
      <c r="W21188"/>
    </row>
    <row r="21189" spans="23:23" x14ac:dyDescent="0.55000000000000004">
      <c r="W21189"/>
    </row>
    <row r="21190" spans="23:23" x14ac:dyDescent="0.55000000000000004">
      <c r="W21190"/>
    </row>
    <row r="21191" spans="23:23" x14ac:dyDescent="0.55000000000000004">
      <c r="W21191"/>
    </row>
    <row r="21192" spans="23:23" x14ac:dyDescent="0.55000000000000004">
      <c r="W21192"/>
    </row>
    <row r="21193" spans="23:23" x14ac:dyDescent="0.55000000000000004">
      <c r="W21193"/>
    </row>
    <row r="21194" spans="23:23" x14ac:dyDescent="0.55000000000000004">
      <c r="W21194"/>
    </row>
    <row r="21195" spans="23:23" x14ac:dyDescent="0.55000000000000004">
      <c r="W21195"/>
    </row>
    <row r="21196" spans="23:23" x14ac:dyDescent="0.55000000000000004">
      <c r="W21196"/>
    </row>
    <row r="21197" spans="23:23" x14ac:dyDescent="0.55000000000000004">
      <c r="W21197"/>
    </row>
    <row r="21198" spans="23:23" x14ac:dyDescent="0.55000000000000004">
      <c r="W21198"/>
    </row>
    <row r="21199" spans="23:23" x14ac:dyDescent="0.55000000000000004">
      <c r="W21199"/>
    </row>
    <row r="21200" spans="23:23" x14ac:dyDescent="0.55000000000000004">
      <c r="W21200"/>
    </row>
    <row r="21201" spans="23:23" x14ac:dyDescent="0.55000000000000004">
      <c r="W21201"/>
    </row>
    <row r="21202" spans="23:23" x14ac:dyDescent="0.55000000000000004">
      <c r="W21202"/>
    </row>
    <row r="21203" spans="23:23" x14ac:dyDescent="0.55000000000000004">
      <c r="W21203"/>
    </row>
    <row r="21204" spans="23:23" x14ac:dyDescent="0.55000000000000004">
      <c r="W21204"/>
    </row>
    <row r="21205" spans="23:23" x14ac:dyDescent="0.55000000000000004">
      <c r="W21205"/>
    </row>
    <row r="21206" spans="23:23" x14ac:dyDescent="0.55000000000000004">
      <c r="W21206"/>
    </row>
    <row r="21207" spans="23:23" x14ac:dyDescent="0.55000000000000004">
      <c r="W21207"/>
    </row>
    <row r="21208" spans="23:23" x14ac:dyDescent="0.55000000000000004">
      <c r="W21208"/>
    </row>
    <row r="21209" spans="23:23" x14ac:dyDescent="0.55000000000000004">
      <c r="W21209"/>
    </row>
    <row r="21210" spans="23:23" x14ac:dyDescent="0.55000000000000004">
      <c r="W21210"/>
    </row>
    <row r="21211" spans="23:23" x14ac:dyDescent="0.55000000000000004">
      <c r="W21211"/>
    </row>
    <row r="21212" spans="23:23" x14ac:dyDescent="0.55000000000000004">
      <c r="W21212"/>
    </row>
    <row r="21213" spans="23:23" x14ac:dyDescent="0.55000000000000004">
      <c r="W21213"/>
    </row>
    <row r="21214" spans="23:23" x14ac:dyDescent="0.55000000000000004">
      <c r="W21214"/>
    </row>
    <row r="21215" spans="23:23" x14ac:dyDescent="0.55000000000000004">
      <c r="W21215"/>
    </row>
    <row r="21216" spans="23:23" x14ac:dyDescent="0.55000000000000004">
      <c r="W21216"/>
    </row>
    <row r="21217" spans="23:23" x14ac:dyDescent="0.55000000000000004">
      <c r="W21217"/>
    </row>
    <row r="21218" spans="23:23" x14ac:dyDescent="0.55000000000000004">
      <c r="W21218"/>
    </row>
    <row r="21219" spans="23:23" x14ac:dyDescent="0.55000000000000004">
      <c r="W21219"/>
    </row>
    <row r="21220" spans="23:23" x14ac:dyDescent="0.55000000000000004">
      <c r="W21220"/>
    </row>
    <row r="21221" spans="23:23" x14ac:dyDescent="0.55000000000000004">
      <c r="W21221"/>
    </row>
    <row r="21222" spans="23:23" x14ac:dyDescent="0.55000000000000004">
      <c r="W21222"/>
    </row>
    <row r="21223" spans="23:23" x14ac:dyDescent="0.55000000000000004">
      <c r="W21223"/>
    </row>
    <row r="21224" spans="23:23" x14ac:dyDescent="0.55000000000000004">
      <c r="W21224"/>
    </row>
    <row r="21225" spans="23:23" x14ac:dyDescent="0.55000000000000004">
      <c r="W21225"/>
    </row>
    <row r="21226" spans="23:23" x14ac:dyDescent="0.55000000000000004">
      <c r="W21226"/>
    </row>
    <row r="21227" spans="23:23" x14ac:dyDescent="0.55000000000000004">
      <c r="W21227"/>
    </row>
    <row r="21228" spans="23:23" x14ac:dyDescent="0.55000000000000004">
      <c r="W21228"/>
    </row>
    <row r="21229" spans="23:23" x14ac:dyDescent="0.55000000000000004">
      <c r="W21229"/>
    </row>
    <row r="21230" spans="23:23" x14ac:dyDescent="0.55000000000000004">
      <c r="W21230"/>
    </row>
    <row r="21231" spans="23:23" x14ac:dyDescent="0.55000000000000004">
      <c r="W21231"/>
    </row>
    <row r="21232" spans="23:23" x14ac:dyDescent="0.55000000000000004">
      <c r="W21232"/>
    </row>
    <row r="21233" spans="23:23" x14ac:dyDescent="0.55000000000000004">
      <c r="W21233"/>
    </row>
    <row r="21234" spans="23:23" x14ac:dyDescent="0.55000000000000004">
      <c r="W21234"/>
    </row>
    <row r="21235" spans="23:23" x14ac:dyDescent="0.55000000000000004">
      <c r="W21235"/>
    </row>
    <row r="21236" spans="23:23" x14ac:dyDescent="0.55000000000000004">
      <c r="W21236"/>
    </row>
    <row r="21237" spans="23:23" x14ac:dyDescent="0.55000000000000004">
      <c r="W21237"/>
    </row>
    <row r="21238" spans="23:23" x14ac:dyDescent="0.55000000000000004">
      <c r="W21238"/>
    </row>
    <row r="21239" spans="23:23" x14ac:dyDescent="0.55000000000000004">
      <c r="W21239"/>
    </row>
    <row r="21240" spans="23:23" x14ac:dyDescent="0.55000000000000004">
      <c r="W21240"/>
    </row>
    <row r="21241" spans="23:23" x14ac:dyDescent="0.55000000000000004">
      <c r="W21241"/>
    </row>
    <row r="21242" spans="23:23" x14ac:dyDescent="0.55000000000000004">
      <c r="W21242"/>
    </row>
    <row r="21243" spans="23:23" x14ac:dyDescent="0.55000000000000004">
      <c r="W21243"/>
    </row>
    <row r="21244" spans="23:23" x14ac:dyDescent="0.55000000000000004">
      <c r="W21244"/>
    </row>
    <row r="21245" spans="23:23" x14ac:dyDescent="0.55000000000000004">
      <c r="W21245"/>
    </row>
    <row r="21246" spans="23:23" x14ac:dyDescent="0.55000000000000004">
      <c r="W21246"/>
    </row>
    <row r="21247" spans="23:23" x14ac:dyDescent="0.55000000000000004">
      <c r="W21247"/>
    </row>
    <row r="21248" spans="23:23" x14ac:dyDescent="0.55000000000000004">
      <c r="W21248"/>
    </row>
    <row r="21249" spans="23:23" x14ac:dyDescent="0.55000000000000004">
      <c r="W21249"/>
    </row>
    <row r="21250" spans="23:23" x14ac:dyDescent="0.55000000000000004">
      <c r="W21250"/>
    </row>
    <row r="21251" spans="23:23" x14ac:dyDescent="0.55000000000000004">
      <c r="W21251"/>
    </row>
    <row r="21252" spans="23:23" x14ac:dyDescent="0.55000000000000004">
      <c r="W21252"/>
    </row>
    <row r="21253" spans="23:23" x14ac:dyDescent="0.55000000000000004">
      <c r="W21253"/>
    </row>
    <row r="21254" spans="23:23" x14ac:dyDescent="0.55000000000000004">
      <c r="W21254"/>
    </row>
    <row r="21255" spans="23:23" x14ac:dyDescent="0.55000000000000004">
      <c r="W21255"/>
    </row>
    <row r="21256" spans="23:23" x14ac:dyDescent="0.55000000000000004">
      <c r="W21256"/>
    </row>
    <row r="21257" spans="23:23" x14ac:dyDescent="0.55000000000000004">
      <c r="W21257"/>
    </row>
    <row r="21258" spans="23:23" x14ac:dyDescent="0.55000000000000004">
      <c r="W21258"/>
    </row>
    <row r="21259" spans="23:23" x14ac:dyDescent="0.55000000000000004">
      <c r="W21259"/>
    </row>
    <row r="21260" spans="23:23" x14ac:dyDescent="0.55000000000000004">
      <c r="W21260"/>
    </row>
    <row r="21261" spans="23:23" x14ac:dyDescent="0.55000000000000004">
      <c r="W21261"/>
    </row>
    <row r="21262" spans="23:23" x14ac:dyDescent="0.55000000000000004">
      <c r="W21262"/>
    </row>
    <row r="21263" spans="23:23" x14ac:dyDescent="0.55000000000000004">
      <c r="W21263"/>
    </row>
    <row r="21264" spans="23:23" x14ac:dyDescent="0.55000000000000004">
      <c r="W21264"/>
    </row>
    <row r="21265" spans="23:23" x14ac:dyDescent="0.55000000000000004">
      <c r="W21265"/>
    </row>
    <row r="21266" spans="23:23" x14ac:dyDescent="0.55000000000000004">
      <c r="W21266"/>
    </row>
    <row r="21267" spans="23:23" x14ac:dyDescent="0.55000000000000004">
      <c r="W21267"/>
    </row>
    <row r="21268" spans="23:23" x14ac:dyDescent="0.55000000000000004">
      <c r="W21268"/>
    </row>
    <row r="21269" spans="23:23" x14ac:dyDescent="0.55000000000000004">
      <c r="W21269"/>
    </row>
    <row r="21270" spans="23:23" x14ac:dyDescent="0.55000000000000004">
      <c r="W21270"/>
    </row>
    <row r="21271" spans="23:23" x14ac:dyDescent="0.55000000000000004">
      <c r="W21271"/>
    </row>
    <row r="21272" spans="23:23" x14ac:dyDescent="0.55000000000000004">
      <c r="W21272"/>
    </row>
    <row r="21273" spans="23:23" x14ac:dyDescent="0.55000000000000004">
      <c r="W21273"/>
    </row>
    <row r="21274" spans="23:23" x14ac:dyDescent="0.55000000000000004">
      <c r="W21274"/>
    </row>
    <row r="21275" spans="23:23" x14ac:dyDescent="0.55000000000000004">
      <c r="W21275"/>
    </row>
    <row r="21276" spans="23:23" x14ac:dyDescent="0.55000000000000004">
      <c r="W21276"/>
    </row>
    <row r="21277" spans="23:23" x14ac:dyDescent="0.55000000000000004">
      <c r="W21277"/>
    </row>
    <row r="21278" spans="23:23" x14ac:dyDescent="0.55000000000000004">
      <c r="W21278"/>
    </row>
    <row r="21279" spans="23:23" x14ac:dyDescent="0.55000000000000004">
      <c r="W21279"/>
    </row>
    <row r="21280" spans="23:23" x14ac:dyDescent="0.55000000000000004">
      <c r="W21280"/>
    </row>
    <row r="21281" spans="23:23" x14ac:dyDescent="0.55000000000000004">
      <c r="W21281"/>
    </row>
    <row r="21282" spans="23:23" x14ac:dyDescent="0.55000000000000004">
      <c r="W21282"/>
    </row>
    <row r="21283" spans="23:23" x14ac:dyDescent="0.55000000000000004">
      <c r="W21283"/>
    </row>
    <row r="21284" spans="23:23" x14ac:dyDescent="0.55000000000000004">
      <c r="W21284"/>
    </row>
    <row r="21285" spans="23:23" x14ac:dyDescent="0.55000000000000004">
      <c r="W21285"/>
    </row>
    <row r="21286" spans="23:23" x14ac:dyDescent="0.55000000000000004">
      <c r="W21286"/>
    </row>
    <row r="21287" spans="23:23" x14ac:dyDescent="0.55000000000000004">
      <c r="W21287"/>
    </row>
    <row r="21288" spans="23:23" x14ac:dyDescent="0.55000000000000004">
      <c r="W21288"/>
    </row>
    <row r="21289" spans="23:23" x14ac:dyDescent="0.55000000000000004">
      <c r="W21289"/>
    </row>
    <row r="21290" spans="23:23" x14ac:dyDescent="0.55000000000000004">
      <c r="W21290"/>
    </row>
    <row r="21291" spans="23:23" x14ac:dyDescent="0.55000000000000004">
      <c r="W21291"/>
    </row>
    <row r="21292" spans="23:23" x14ac:dyDescent="0.55000000000000004">
      <c r="W21292"/>
    </row>
    <row r="21293" spans="23:23" x14ac:dyDescent="0.55000000000000004">
      <c r="W21293"/>
    </row>
    <row r="21294" spans="23:23" x14ac:dyDescent="0.55000000000000004">
      <c r="W21294"/>
    </row>
    <row r="21295" spans="23:23" x14ac:dyDescent="0.55000000000000004">
      <c r="W21295"/>
    </row>
    <row r="21296" spans="23:23" x14ac:dyDescent="0.55000000000000004">
      <c r="W21296"/>
    </row>
    <row r="21297" spans="23:23" x14ac:dyDescent="0.55000000000000004">
      <c r="W21297"/>
    </row>
    <row r="21298" spans="23:23" x14ac:dyDescent="0.55000000000000004">
      <c r="W21298"/>
    </row>
    <row r="21299" spans="23:23" x14ac:dyDescent="0.55000000000000004">
      <c r="W21299"/>
    </row>
    <row r="21300" spans="23:23" x14ac:dyDescent="0.55000000000000004">
      <c r="W21300"/>
    </row>
    <row r="21301" spans="23:23" x14ac:dyDescent="0.55000000000000004">
      <c r="W21301"/>
    </row>
    <row r="21302" spans="23:23" x14ac:dyDescent="0.55000000000000004">
      <c r="W21302"/>
    </row>
    <row r="21303" spans="23:23" x14ac:dyDescent="0.55000000000000004">
      <c r="W21303"/>
    </row>
    <row r="21304" spans="23:23" x14ac:dyDescent="0.55000000000000004">
      <c r="W21304"/>
    </row>
    <row r="21305" spans="23:23" x14ac:dyDescent="0.55000000000000004">
      <c r="W21305"/>
    </row>
    <row r="21306" spans="23:23" x14ac:dyDescent="0.55000000000000004">
      <c r="W21306"/>
    </row>
    <row r="21307" spans="23:23" x14ac:dyDescent="0.55000000000000004">
      <c r="W21307"/>
    </row>
    <row r="21308" spans="23:23" x14ac:dyDescent="0.55000000000000004">
      <c r="W21308"/>
    </row>
    <row r="21309" spans="23:23" x14ac:dyDescent="0.55000000000000004">
      <c r="W21309"/>
    </row>
    <row r="21310" spans="23:23" x14ac:dyDescent="0.55000000000000004">
      <c r="W21310"/>
    </row>
    <row r="21311" spans="23:23" x14ac:dyDescent="0.55000000000000004">
      <c r="W21311"/>
    </row>
    <row r="21312" spans="23:23" x14ac:dyDescent="0.55000000000000004">
      <c r="W21312"/>
    </row>
    <row r="21313" spans="23:23" x14ac:dyDescent="0.55000000000000004">
      <c r="W21313"/>
    </row>
    <row r="21314" spans="23:23" x14ac:dyDescent="0.55000000000000004">
      <c r="W21314"/>
    </row>
    <row r="21315" spans="23:23" x14ac:dyDescent="0.55000000000000004">
      <c r="W21315"/>
    </row>
    <row r="21316" spans="23:23" x14ac:dyDescent="0.55000000000000004">
      <c r="W21316"/>
    </row>
    <row r="21317" spans="23:23" x14ac:dyDescent="0.55000000000000004">
      <c r="W21317"/>
    </row>
    <row r="21318" spans="23:23" x14ac:dyDescent="0.55000000000000004">
      <c r="W21318"/>
    </row>
    <row r="21319" spans="23:23" x14ac:dyDescent="0.55000000000000004">
      <c r="W21319"/>
    </row>
    <row r="21320" spans="23:23" x14ac:dyDescent="0.55000000000000004">
      <c r="W21320"/>
    </row>
    <row r="21321" spans="23:23" x14ac:dyDescent="0.55000000000000004">
      <c r="W21321"/>
    </row>
    <row r="21322" spans="23:23" x14ac:dyDescent="0.55000000000000004">
      <c r="W21322"/>
    </row>
    <row r="21323" spans="23:23" x14ac:dyDescent="0.55000000000000004">
      <c r="W21323"/>
    </row>
    <row r="21324" spans="23:23" x14ac:dyDescent="0.55000000000000004">
      <c r="W21324"/>
    </row>
    <row r="21325" spans="23:23" x14ac:dyDescent="0.55000000000000004">
      <c r="W21325"/>
    </row>
    <row r="21326" spans="23:23" x14ac:dyDescent="0.55000000000000004">
      <c r="W21326"/>
    </row>
    <row r="21327" spans="23:23" x14ac:dyDescent="0.55000000000000004">
      <c r="W21327"/>
    </row>
    <row r="21328" spans="23:23" x14ac:dyDescent="0.55000000000000004">
      <c r="W21328"/>
    </row>
    <row r="21329" spans="23:23" x14ac:dyDescent="0.55000000000000004">
      <c r="W21329"/>
    </row>
    <row r="21330" spans="23:23" x14ac:dyDescent="0.55000000000000004">
      <c r="W21330"/>
    </row>
    <row r="21331" spans="23:23" x14ac:dyDescent="0.55000000000000004">
      <c r="W21331"/>
    </row>
    <row r="21332" spans="23:23" x14ac:dyDescent="0.55000000000000004">
      <c r="W21332"/>
    </row>
    <row r="21333" spans="23:23" x14ac:dyDescent="0.55000000000000004">
      <c r="W21333"/>
    </row>
    <row r="21334" spans="23:23" x14ac:dyDescent="0.55000000000000004">
      <c r="W21334"/>
    </row>
    <row r="21335" spans="23:23" x14ac:dyDescent="0.55000000000000004">
      <c r="W21335"/>
    </row>
    <row r="21336" spans="23:23" x14ac:dyDescent="0.55000000000000004">
      <c r="W21336"/>
    </row>
    <row r="21337" spans="23:23" x14ac:dyDescent="0.55000000000000004">
      <c r="W21337"/>
    </row>
    <row r="21338" spans="23:23" x14ac:dyDescent="0.55000000000000004">
      <c r="W21338"/>
    </row>
    <row r="21339" spans="23:23" x14ac:dyDescent="0.55000000000000004">
      <c r="W21339"/>
    </row>
    <row r="21340" spans="23:23" x14ac:dyDescent="0.55000000000000004">
      <c r="W21340"/>
    </row>
    <row r="21341" spans="23:23" x14ac:dyDescent="0.55000000000000004">
      <c r="W21341"/>
    </row>
    <row r="21342" spans="23:23" x14ac:dyDescent="0.55000000000000004">
      <c r="W21342"/>
    </row>
    <row r="21343" spans="23:23" x14ac:dyDescent="0.55000000000000004">
      <c r="W21343"/>
    </row>
    <row r="21344" spans="23:23" x14ac:dyDescent="0.55000000000000004">
      <c r="W21344"/>
    </row>
    <row r="21345" spans="23:23" x14ac:dyDescent="0.55000000000000004">
      <c r="W21345"/>
    </row>
    <row r="21346" spans="23:23" x14ac:dyDescent="0.55000000000000004">
      <c r="W21346"/>
    </row>
    <row r="21347" spans="23:23" x14ac:dyDescent="0.55000000000000004">
      <c r="W21347"/>
    </row>
    <row r="21348" spans="23:23" x14ac:dyDescent="0.55000000000000004">
      <c r="W21348"/>
    </row>
    <row r="21349" spans="23:23" x14ac:dyDescent="0.55000000000000004">
      <c r="W21349"/>
    </row>
    <row r="21350" spans="23:23" x14ac:dyDescent="0.55000000000000004">
      <c r="W21350"/>
    </row>
    <row r="21351" spans="23:23" x14ac:dyDescent="0.55000000000000004">
      <c r="W21351"/>
    </row>
    <row r="21352" spans="23:23" x14ac:dyDescent="0.55000000000000004">
      <c r="W21352"/>
    </row>
    <row r="21353" spans="23:23" x14ac:dyDescent="0.55000000000000004">
      <c r="W21353"/>
    </row>
    <row r="21354" spans="23:23" x14ac:dyDescent="0.55000000000000004">
      <c r="W21354"/>
    </row>
    <row r="21355" spans="23:23" x14ac:dyDescent="0.55000000000000004">
      <c r="W21355"/>
    </row>
    <row r="21356" spans="23:23" x14ac:dyDescent="0.55000000000000004">
      <c r="W21356"/>
    </row>
    <row r="21357" spans="23:23" x14ac:dyDescent="0.55000000000000004">
      <c r="W21357"/>
    </row>
    <row r="21358" spans="23:23" x14ac:dyDescent="0.55000000000000004">
      <c r="W21358"/>
    </row>
    <row r="21359" spans="23:23" x14ac:dyDescent="0.55000000000000004">
      <c r="W21359"/>
    </row>
    <row r="21360" spans="23:23" x14ac:dyDescent="0.55000000000000004">
      <c r="W21360"/>
    </row>
    <row r="21361" spans="23:23" x14ac:dyDescent="0.55000000000000004">
      <c r="W21361"/>
    </row>
    <row r="21362" spans="23:23" x14ac:dyDescent="0.55000000000000004">
      <c r="W21362"/>
    </row>
    <row r="21363" spans="23:23" x14ac:dyDescent="0.55000000000000004">
      <c r="W21363"/>
    </row>
    <row r="21364" spans="23:23" x14ac:dyDescent="0.55000000000000004">
      <c r="W21364"/>
    </row>
    <row r="21365" spans="23:23" x14ac:dyDescent="0.55000000000000004">
      <c r="W21365"/>
    </row>
    <row r="21366" spans="23:23" x14ac:dyDescent="0.55000000000000004">
      <c r="W21366"/>
    </row>
    <row r="21367" spans="23:23" x14ac:dyDescent="0.55000000000000004">
      <c r="W21367"/>
    </row>
    <row r="21368" spans="23:23" x14ac:dyDescent="0.55000000000000004">
      <c r="W21368"/>
    </row>
    <row r="21369" spans="23:23" x14ac:dyDescent="0.55000000000000004">
      <c r="W21369"/>
    </row>
    <row r="21370" spans="23:23" x14ac:dyDescent="0.55000000000000004">
      <c r="W21370"/>
    </row>
    <row r="21371" spans="23:23" x14ac:dyDescent="0.55000000000000004">
      <c r="W21371"/>
    </row>
    <row r="21372" spans="23:23" x14ac:dyDescent="0.55000000000000004">
      <c r="W21372"/>
    </row>
    <row r="21373" spans="23:23" x14ac:dyDescent="0.55000000000000004">
      <c r="W21373"/>
    </row>
    <row r="21374" spans="23:23" x14ac:dyDescent="0.55000000000000004">
      <c r="W21374"/>
    </row>
    <row r="21375" spans="23:23" x14ac:dyDescent="0.55000000000000004">
      <c r="W21375"/>
    </row>
    <row r="21376" spans="23:23" x14ac:dyDescent="0.55000000000000004">
      <c r="W21376"/>
    </row>
    <row r="21377" spans="23:23" x14ac:dyDescent="0.55000000000000004">
      <c r="W21377"/>
    </row>
    <row r="21378" spans="23:23" x14ac:dyDescent="0.55000000000000004">
      <c r="W21378"/>
    </row>
    <row r="21379" spans="23:23" x14ac:dyDescent="0.55000000000000004">
      <c r="W21379"/>
    </row>
    <row r="21380" spans="23:23" x14ac:dyDescent="0.55000000000000004">
      <c r="W21380"/>
    </row>
    <row r="21381" spans="23:23" x14ac:dyDescent="0.55000000000000004">
      <c r="W21381"/>
    </row>
    <row r="21382" spans="23:23" x14ac:dyDescent="0.55000000000000004">
      <c r="W21382"/>
    </row>
    <row r="21383" spans="23:23" x14ac:dyDescent="0.55000000000000004">
      <c r="W21383"/>
    </row>
    <row r="21384" spans="23:23" x14ac:dyDescent="0.55000000000000004">
      <c r="W21384"/>
    </row>
    <row r="21385" spans="23:23" x14ac:dyDescent="0.55000000000000004">
      <c r="W21385"/>
    </row>
    <row r="21386" spans="23:23" x14ac:dyDescent="0.55000000000000004">
      <c r="W21386"/>
    </row>
    <row r="21387" spans="23:23" x14ac:dyDescent="0.55000000000000004">
      <c r="W21387"/>
    </row>
    <row r="21388" spans="23:23" x14ac:dyDescent="0.55000000000000004">
      <c r="W21388"/>
    </row>
    <row r="21389" spans="23:23" x14ac:dyDescent="0.55000000000000004">
      <c r="W21389"/>
    </row>
    <row r="21390" spans="23:23" x14ac:dyDescent="0.55000000000000004">
      <c r="W21390"/>
    </row>
    <row r="21391" spans="23:23" x14ac:dyDescent="0.55000000000000004">
      <c r="W21391"/>
    </row>
    <row r="21392" spans="23:23" x14ac:dyDescent="0.55000000000000004">
      <c r="W21392"/>
    </row>
    <row r="21393" spans="23:23" x14ac:dyDescent="0.55000000000000004">
      <c r="W21393"/>
    </row>
    <row r="21394" spans="23:23" x14ac:dyDescent="0.55000000000000004">
      <c r="W21394"/>
    </row>
    <row r="21395" spans="23:23" x14ac:dyDescent="0.55000000000000004">
      <c r="W21395"/>
    </row>
    <row r="21396" spans="23:23" x14ac:dyDescent="0.55000000000000004">
      <c r="W21396"/>
    </row>
    <row r="21397" spans="23:23" x14ac:dyDescent="0.55000000000000004">
      <c r="W21397"/>
    </row>
    <row r="21398" spans="23:23" x14ac:dyDescent="0.55000000000000004">
      <c r="W21398"/>
    </row>
    <row r="21399" spans="23:23" x14ac:dyDescent="0.55000000000000004">
      <c r="W21399"/>
    </row>
    <row r="21400" spans="23:23" x14ac:dyDescent="0.55000000000000004">
      <c r="W21400"/>
    </row>
    <row r="21401" spans="23:23" x14ac:dyDescent="0.55000000000000004">
      <c r="W21401"/>
    </row>
    <row r="21402" spans="23:23" x14ac:dyDescent="0.55000000000000004">
      <c r="W21402"/>
    </row>
    <row r="21403" spans="23:23" x14ac:dyDescent="0.55000000000000004">
      <c r="W21403"/>
    </row>
    <row r="21404" spans="23:23" x14ac:dyDescent="0.55000000000000004">
      <c r="W21404"/>
    </row>
    <row r="21405" spans="23:23" x14ac:dyDescent="0.55000000000000004">
      <c r="W21405"/>
    </row>
    <row r="21406" spans="23:23" x14ac:dyDescent="0.55000000000000004">
      <c r="W21406"/>
    </row>
    <row r="21407" spans="23:23" x14ac:dyDescent="0.55000000000000004">
      <c r="W21407"/>
    </row>
    <row r="21408" spans="23:23" x14ac:dyDescent="0.55000000000000004">
      <c r="W21408"/>
    </row>
    <row r="21409" spans="23:23" x14ac:dyDescent="0.55000000000000004">
      <c r="W21409"/>
    </row>
    <row r="21410" spans="23:23" x14ac:dyDescent="0.55000000000000004">
      <c r="W21410"/>
    </row>
    <row r="21411" spans="23:23" x14ac:dyDescent="0.55000000000000004">
      <c r="W21411"/>
    </row>
    <row r="21412" spans="23:23" x14ac:dyDescent="0.55000000000000004">
      <c r="W21412"/>
    </row>
    <row r="21413" spans="23:23" x14ac:dyDescent="0.55000000000000004">
      <c r="W21413"/>
    </row>
    <row r="21414" spans="23:23" x14ac:dyDescent="0.55000000000000004">
      <c r="W21414"/>
    </row>
    <row r="21415" spans="23:23" x14ac:dyDescent="0.55000000000000004">
      <c r="W21415"/>
    </row>
    <row r="21416" spans="23:23" x14ac:dyDescent="0.55000000000000004">
      <c r="W21416"/>
    </row>
    <row r="21417" spans="23:23" x14ac:dyDescent="0.55000000000000004">
      <c r="W21417"/>
    </row>
    <row r="21418" spans="23:23" x14ac:dyDescent="0.55000000000000004">
      <c r="W21418"/>
    </row>
    <row r="21419" spans="23:23" x14ac:dyDescent="0.55000000000000004">
      <c r="W21419"/>
    </row>
    <row r="21420" spans="23:23" x14ac:dyDescent="0.55000000000000004">
      <c r="W21420"/>
    </row>
    <row r="21421" spans="23:23" x14ac:dyDescent="0.55000000000000004">
      <c r="W21421"/>
    </row>
    <row r="21422" spans="23:23" x14ac:dyDescent="0.55000000000000004">
      <c r="W21422"/>
    </row>
    <row r="21423" spans="23:23" x14ac:dyDescent="0.55000000000000004">
      <c r="W21423"/>
    </row>
    <row r="21424" spans="23:23" x14ac:dyDescent="0.55000000000000004">
      <c r="W21424"/>
    </row>
    <row r="21425" spans="23:23" x14ac:dyDescent="0.55000000000000004">
      <c r="W21425"/>
    </row>
    <row r="21426" spans="23:23" x14ac:dyDescent="0.55000000000000004">
      <c r="W21426"/>
    </row>
    <row r="21427" spans="23:23" x14ac:dyDescent="0.55000000000000004">
      <c r="W21427"/>
    </row>
    <row r="21428" spans="23:23" x14ac:dyDescent="0.55000000000000004">
      <c r="W21428"/>
    </row>
    <row r="21429" spans="23:23" x14ac:dyDescent="0.55000000000000004">
      <c r="W21429"/>
    </row>
    <row r="21430" spans="23:23" x14ac:dyDescent="0.55000000000000004">
      <c r="W21430"/>
    </row>
    <row r="21431" spans="23:23" x14ac:dyDescent="0.55000000000000004">
      <c r="W21431"/>
    </row>
    <row r="21432" spans="23:23" x14ac:dyDescent="0.55000000000000004">
      <c r="W21432"/>
    </row>
    <row r="21433" spans="23:23" x14ac:dyDescent="0.55000000000000004">
      <c r="W21433"/>
    </row>
    <row r="21434" spans="23:23" x14ac:dyDescent="0.55000000000000004">
      <c r="W21434"/>
    </row>
    <row r="21435" spans="23:23" x14ac:dyDescent="0.55000000000000004">
      <c r="W21435"/>
    </row>
    <row r="21436" spans="23:23" x14ac:dyDescent="0.55000000000000004">
      <c r="W21436"/>
    </row>
    <row r="21437" spans="23:23" x14ac:dyDescent="0.55000000000000004">
      <c r="W21437"/>
    </row>
    <row r="21438" spans="23:23" x14ac:dyDescent="0.55000000000000004">
      <c r="W21438"/>
    </row>
    <row r="21439" spans="23:23" x14ac:dyDescent="0.55000000000000004">
      <c r="W21439"/>
    </row>
    <row r="21440" spans="23:23" x14ac:dyDescent="0.55000000000000004">
      <c r="W21440"/>
    </row>
    <row r="21441" spans="23:23" x14ac:dyDescent="0.55000000000000004">
      <c r="W21441"/>
    </row>
    <row r="21442" spans="23:23" x14ac:dyDescent="0.55000000000000004">
      <c r="W21442"/>
    </row>
    <row r="21443" spans="23:23" x14ac:dyDescent="0.55000000000000004">
      <c r="W21443"/>
    </row>
    <row r="21444" spans="23:23" x14ac:dyDescent="0.55000000000000004">
      <c r="W21444"/>
    </row>
    <row r="21445" spans="23:23" x14ac:dyDescent="0.55000000000000004">
      <c r="W21445"/>
    </row>
    <row r="21446" spans="23:23" x14ac:dyDescent="0.55000000000000004">
      <c r="W21446"/>
    </row>
    <row r="21447" spans="23:23" x14ac:dyDescent="0.55000000000000004">
      <c r="W21447"/>
    </row>
    <row r="21448" spans="23:23" x14ac:dyDescent="0.55000000000000004">
      <c r="W21448"/>
    </row>
    <row r="21449" spans="23:23" x14ac:dyDescent="0.55000000000000004">
      <c r="W21449"/>
    </row>
    <row r="21450" spans="23:23" x14ac:dyDescent="0.55000000000000004">
      <c r="W21450"/>
    </row>
    <row r="21451" spans="23:23" x14ac:dyDescent="0.55000000000000004">
      <c r="W21451"/>
    </row>
    <row r="21452" spans="23:23" x14ac:dyDescent="0.55000000000000004">
      <c r="W21452"/>
    </row>
    <row r="21453" spans="23:23" x14ac:dyDescent="0.55000000000000004">
      <c r="W21453"/>
    </row>
    <row r="21454" spans="23:23" x14ac:dyDescent="0.55000000000000004">
      <c r="W21454"/>
    </row>
    <row r="21455" spans="23:23" x14ac:dyDescent="0.55000000000000004">
      <c r="W21455"/>
    </row>
    <row r="21456" spans="23:23" x14ac:dyDescent="0.55000000000000004">
      <c r="W21456"/>
    </row>
    <row r="21457" spans="23:23" x14ac:dyDescent="0.55000000000000004">
      <c r="W21457"/>
    </row>
    <row r="21458" spans="23:23" x14ac:dyDescent="0.55000000000000004">
      <c r="W21458"/>
    </row>
    <row r="21459" spans="23:23" x14ac:dyDescent="0.55000000000000004">
      <c r="W21459"/>
    </row>
    <row r="21460" spans="23:23" x14ac:dyDescent="0.55000000000000004">
      <c r="W21460"/>
    </row>
    <row r="21461" spans="23:23" x14ac:dyDescent="0.55000000000000004">
      <c r="W21461"/>
    </row>
    <row r="21462" spans="23:23" x14ac:dyDescent="0.55000000000000004">
      <c r="W21462"/>
    </row>
    <row r="21463" spans="23:23" x14ac:dyDescent="0.55000000000000004">
      <c r="W21463"/>
    </row>
    <row r="21464" spans="23:23" x14ac:dyDescent="0.55000000000000004">
      <c r="W21464"/>
    </row>
    <row r="21465" spans="23:23" x14ac:dyDescent="0.55000000000000004">
      <c r="W21465"/>
    </row>
    <row r="21466" spans="23:23" x14ac:dyDescent="0.55000000000000004">
      <c r="W21466"/>
    </row>
    <row r="21467" spans="23:23" x14ac:dyDescent="0.55000000000000004">
      <c r="W21467"/>
    </row>
    <row r="21468" spans="23:23" x14ac:dyDescent="0.55000000000000004">
      <c r="W21468"/>
    </row>
    <row r="21469" spans="23:23" x14ac:dyDescent="0.55000000000000004">
      <c r="W21469"/>
    </row>
    <row r="21470" spans="23:23" x14ac:dyDescent="0.55000000000000004">
      <c r="W21470"/>
    </row>
    <row r="21471" spans="23:23" x14ac:dyDescent="0.55000000000000004">
      <c r="W21471"/>
    </row>
    <row r="21472" spans="23:23" x14ac:dyDescent="0.55000000000000004">
      <c r="W21472"/>
    </row>
    <row r="21473" spans="23:23" x14ac:dyDescent="0.55000000000000004">
      <c r="W21473"/>
    </row>
    <row r="21474" spans="23:23" x14ac:dyDescent="0.55000000000000004">
      <c r="W21474"/>
    </row>
    <row r="21475" spans="23:23" x14ac:dyDescent="0.55000000000000004">
      <c r="W21475"/>
    </row>
    <row r="21476" spans="23:23" x14ac:dyDescent="0.55000000000000004">
      <c r="W21476"/>
    </row>
    <row r="21477" spans="23:23" x14ac:dyDescent="0.55000000000000004">
      <c r="W21477"/>
    </row>
    <row r="21478" spans="23:23" x14ac:dyDescent="0.55000000000000004">
      <c r="W21478"/>
    </row>
    <row r="21479" spans="23:23" x14ac:dyDescent="0.55000000000000004">
      <c r="W21479"/>
    </row>
    <row r="21480" spans="23:23" x14ac:dyDescent="0.55000000000000004">
      <c r="W21480"/>
    </row>
    <row r="21481" spans="23:23" x14ac:dyDescent="0.55000000000000004">
      <c r="W21481"/>
    </row>
    <row r="21482" spans="23:23" x14ac:dyDescent="0.55000000000000004">
      <c r="W21482"/>
    </row>
    <row r="21483" spans="23:23" x14ac:dyDescent="0.55000000000000004">
      <c r="W21483"/>
    </row>
    <row r="21484" spans="23:23" x14ac:dyDescent="0.55000000000000004">
      <c r="W21484"/>
    </row>
    <row r="21485" spans="23:23" x14ac:dyDescent="0.55000000000000004">
      <c r="W21485"/>
    </row>
    <row r="21486" spans="23:23" x14ac:dyDescent="0.55000000000000004">
      <c r="W21486"/>
    </row>
    <row r="21487" spans="23:23" x14ac:dyDescent="0.55000000000000004">
      <c r="W21487"/>
    </row>
    <row r="21488" spans="23:23" x14ac:dyDescent="0.55000000000000004">
      <c r="W21488"/>
    </row>
    <row r="21489" spans="23:23" x14ac:dyDescent="0.55000000000000004">
      <c r="W21489"/>
    </row>
    <row r="21490" spans="23:23" x14ac:dyDescent="0.55000000000000004">
      <c r="W21490"/>
    </row>
    <row r="21491" spans="23:23" x14ac:dyDescent="0.55000000000000004">
      <c r="W21491"/>
    </row>
    <row r="21492" spans="23:23" x14ac:dyDescent="0.55000000000000004">
      <c r="W21492"/>
    </row>
    <row r="21493" spans="23:23" x14ac:dyDescent="0.55000000000000004">
      <c r="W21493"/>
    </row>
    <row r="21494" spans="23:23" x14ac:dyDescent="0.55000000000000004">
      <c r="W21494"/>
    </row>
    <row r="21495" spans="23:23" x14ac:dyDescent="0.55000000000000004">
      <c r="W21495"/>
    </row>
    <row r="21496" spans="23:23" x14ac:dyDescent="0.55000000000000004">
      <c r="W21496"/>
    </row>
    <row r="21497" spans="23:23" x14ac:dyDescent="0.55000000000000004">
      <c r="W21497"/>
    </row>
    <row r="21498" spans="23:23" x14ac:dyDescent="0.55000000000000004">
      <c r="W21498"/>
    </row>
    <row r="21499" spans="23:23" x14ac:dyDescent="0.55000000000000004">
      <c r="W21499"/>
    </row>
    <row r="21500" spans="23:23" x14ac:dyDescent="0.55000000000000004">
      <c r="W21500"/>
    </row>
    <row r="21501" spans="23:23" x14ac:dyDescent="0.55000000000000004">
      <c r="W21501"/>
    </row>
    <row r="21502" spans="23:23" x14ac:dyDescent="0.55000000000000004">
      <c r="W21502"/>
    </row>
    <row r="21503" spans="23:23" x14ac:dyDescent="0.55000000000000004">
      <c r="W21503"/>
    </row>
    <row r="21504" spans="23:23" x14ac:dyDescent="0.55000000000000004">
      <c r="W21504"/>
    </row>
    <row r="21505" spans="23:23" x14ac:dyDescent="0.55000000000000004">
      <c r="W21505"/>
    </row>
    <row r="21506" spans="23:23" x14ac:dyDescent="0.55000000000000004">
      <c r="W21506"/>
    </row>
    <row r="21507" spans="23:23" x14ac:dyDescent="0.55000000000000004">
      <c r="W21507"/>
    </row>
    <row r="21508" spans="23:23" x14ac:dyDescent="0.55000000000000004">
      <c r="W21508"/>
    </row>
    <row r="21509" spans="23:23" x14ac:dyDescent="0.55000000000000004">
      <c r="W21509"/>
    </row>
    <row r="21510" spans="23:23" x14ac:dyDescent="0.55000000000000004">
      <c r="W21510"/>
    </row>
    <row r="21511" spans="23:23" x14ac:dyDescent="0.55000000000000004">
      <c r="W21511"/>
    </row>
    <row r="21512" spans="23:23" x14ac:dyDescent="0.55000000000000004">
      <c r="W21512"/>
    </row>
    <row r="21513" spans="23:23" x14ac:dyDescent="0.55000000000000004">
      <c r="W21513"/>
    </row>
    <row r="21514" spans="23:23" x14ac:dyDescent="0.55000000000000004">
      <c r="W21514"/>
    </row>
    <row r="21515" spans="23:23" x14ac:dyDescent="0.55000000000000004">
      <c r="W21515"/>
    </row>
    <row r="21516" spans="23:23" x14ac:dyDescent="0.55000000000000004">
      <c r="W21516"/>
    </row>
    <row r="21517" spans="23:23" x14ac:dyDescent="0.55000000000000004">
      <c r="W21517"/>
    </row>
    <row r="21518" spans="23:23" x14ac:dyDescent="0.55000000000000004">
      <c r="W21518"/>
    </row>
    <row r="21519" spans="23:23" x14ac:dyDescent="0.55000000000000004">
      <c r="W21519"/>
    </row>
    <row r="21520" spans="23:23" x14ac:dyDescent="0.55000000000000004">
      <c r="W21520"/>
    </row>
    <row r="21521" spans="23:23" x14ac:dyDescent="0.55000000000000004">
      <c r="W21521"/>
    </row>
    <row r="21522" spans="23:23" x14ac:dyDescent="0.55000000000000004">
      <c r="W21522"/>
    </row>
    <row r="21523" spans="23:23" x14ac:dyDescent="0.55000000000000004">
      <c r="W21523"/>
    </row>
    <row r="21524" spans="23:23" x14ac:dyDescent="0.55000000000000004">
      <c r="W21524"/>
    </row>
    <row r="21525" spans="23:23" x14ac:dyDescent="0.55000000000000004">
      <c r="W21525"/>
    </row>
    <row r="21526" spans="23:23" x14ac:dyDescent="0.55000000000000004">
      <c r="W21526"/>
    </row>
    <row r="21527" spans="23:23" x14ac:dyDescent="0.55000000000000004">
      <c r="W21527"/>
    </row>
    <row r="21528" spans="23:23" x14ac:dyDescent="0.55000000000000004">
      <c r="W21528"/>
    </row>
    <row r="21529" spans="23:23" x14ac:dyDescent="0.55000000000000004">
      <c r="W21529"/>
    </row>
    <row r="21530" spans="23:23" x14ac:dyDescent="0.55000000000000004">
      <c r="W21530"/>
    </row>
    <row r="21531" spans="23:23" x14ac:dyDescent="0.55000000000000004">
      <c r="W21531"/>
    </row>
    <row r="21532" spans="23:23" x14ac:dyDescent="0.55000000000000004">
      <c r="W21532"/>
    </row>
    <row r="21533" spans="23:23" x14ac:dyDescent="0.55000000000000004">
      <c r="W21533"/>
    </row>
    <row r="21534" spans="23:23" x14ac:dyDescent="0.55000000000000004">
      <c r="W21534"/>
    </row>
    <row r="21535" spans="23:23" x14ac:dyDescent="0.55000000000000004">
      <c r="W21535"/>
    </row>
    <row r="21536" spans="23:23" x14ac:dyDescent="0.55000000000000004">
      <c r="W21536"/>
    </row>
    <row r="21537" spans="23:23" x14ac:dyDescent="0.55000000000000004">
      <c r="W21537"/>
    </row>
    <row r="21538" spans="23:23" x14ac:dyDescent="0.55000000000000004">
      <c r="W21538"/>
    </row>
    <row r="21539" spans="23:23" x14ac:dyDescent="0.55000000000000004">
      <c r="W21539"/>
    </row>
    <row r="21540" spans="23:23" x14ac:dyDescent="0.55000000000000004">
      <c r="W21540"/>
    </row>
    <row r="21541" spans="23:23" x14ac:dyDescent="0.55000000000000004">
      <c r="W21541"/>
    </row>
    <row r="21542" spans="23:23" x14ac:dyDescent="0.55000000000000004">
      <c r="W21542"/>
    </row>
    <row r="21543" spans="23:23" x14ac:dyDescent="0.55000000000000004">
      <c r="W21543"/>
    </row>
    <row r="21544" spans="23:23" x14ac:dyDescent="0.55000000000000004">
      <c r="W21544"/>
    </row>
    <row r="21545" spans="23:23" x14ac:dyDescent="0.55000000000000004">
      <c r="W21545"/>
    </row>
    <row r="21546" spans="23:23" x14ac:dyDescent="0.55000000000000004">
      <c r="W21546"/>
    </row>
    <row r="21547" spans="23:23" x14ac:dyDescent="0.55000000000000004">
      <c r="W21547"/>
    </row>
    <row r="21548" spans="23:23" x14ac:dyDescent="0.55000000000000004">
      <c r="W21548"/>
    </row>
    <row r="21549" spans="23:23" x14ac:dyDescent="0.55000000000000004">
      <c r="W21549"/>
    </row>
    <row r="21550" spans="23:23" x14ac:dyDescent="0.55000000000000004">
      <c r="W21550"/>
    </row>
    <row r="21551" spans="23:23" x14ac:dyDescent="0.55000000000000004">
      <c r="W21551"/>
    </row>
    <row r="21552" spans="23:23" x14ac:dyDescent="0.55000000000000004">
      <c r="W21552"/>
    </row>
    <row r="21553" spans="23:23" x14ac:dyDescent="0.55000000000000004">
      <c r="W21553"/>
    </row>
    <row r="21554" spans="23:23" x14ac:dyDescent="0.55000000000000004">
      <c r="W21554"/>
    </row>
    <row r="21555" spans="23:23" x14ac:dyDescent="0.55000000000000004">
      <c r="W21555"/>
    </row>
    <row r="21556" spans="23:23" x14ac:dyDescent="0.55000000000000004">
      <c r="W21556"/>
    </row>
    <row r="21557" spans="23:23" x14ac:dyDescent="0.55000000000000004">
      <c r="W21557"/>
    </row>
    <row r="21558" spans="23:23" x14ac:dyDescent="0.55000000000000004">
      <c r="W21558"/>
    </row>
    <row r="21559" spans="23:23" x14ac:dyDescent="0.55000000000000004">
      <c r="W21559"/>
    </row>
    <row r="21560" spans="23:23" x14ac:dyDescent="0.55000000000000004">
      <c r="W21560"/>
    </row>
    <row r="21561" spans="23:23" x14ac:dyDescent="0.55000000000000004">
      <c r="W21561"/>
    </row>
    <row r="21562" spans="23:23" x14ac:dyDescent="0.55000000000000004">
      <c r="W21562"/>
    </row>
    <row r="21563" spans="23:23" x14ac:dyDescent="0.55000000000000004">
      <c r="W21563"/>
    </row>
    <row r="21564" spans="23:23" x14ac:dyDescent="0.55000000000000004">
      <c r="W21564"/>
    </row>
    <row r="21565" spans="23:23" x14ac:dyDescent="0.55000000000000004">
      <c r="W21565"/>
    </row>
    <row r="21566" spans="23:23" x14ac:dyDescent="0.55000000000000004">
      <c r="W21566"/>
    </row>
    <row r="21567" spans="23:23" x14ac:dyDescent="0.55000000000000004">
      <c r="W21567"/>
    </row>
    <row r="21568" spans="23:23" x14ac:dyDescent="0.55000000000000004">
      <c r="W21568"/>
    </row>
    <row r="21569" spans="23:23" x14ac:dyDescent="0.55000000000000004">
      <c r="W21569"/>
    </row>
    <row r="21570" spans="23:23" x14ac:dyDescent="0.55000000000000004">
      <c r="W21570"/>
    </row>
    <row r="21571" spans="23:23" x14ac:dyDescent="0.55000000000000004">
      <c r="W21571"/>
    </row>
    <row r="21572" spans="23:23" x14ac:dyDescent="0.55000000000000004">
      <c r="W21572"/>
    </row>
    <row r="21573" spans="23:23" x14ac:dyDescent="0.55000000000000004">
      <c r="W21573"/>
    </row>
    <row r="21574" spans="23:23" x14ac:dyDescent="0.55000000000000004">
      <c r="W21574"/>
    </row>
    <row r="21575" spans="23:23" x14ac:dyDescent="0.55000000000000004">
      <c r="W21575"/>
    </row>
    <row r="21576" spans="23:23" x14ac:dyDescent="0.55000000000000004">
      <c r="W21576"/>
    </row>
    <row r="21577" spans="23:23" x14ac:dyDescent="0.55000000000000004">
      <c r="W21577"/>
    </row>
    <row r="21578" spans="23:23" x14ac:dyDescent="0.55000000000000004">
      <c r="W21578"/>
    </row>
    <row r="21579" spans="23:23" x14ac:dyDescent="0.55000000000000004">
      <c r="W21579"/>
    </row>
    <row r="21580" spans="23:23" x14ac:dyDescent="0.55000000000000004">
      <c r="W21580"/>
    </row>
    <row r="21581" spans="23:23" x14ac:dyDescent="0.55000000000000004">
      <c r="W21581"/>
    </row>
    <row r="21582" spans="23:23" x14ac:dyDescent="0.55000000000000004">
      <c r="W21582"/>
    </row>
    <row r="21583" spans="23:23" x14ac:dyDescent="0.55000000000000004">
      <c r="W21583"/>
    </row>
    <row r="21584" spans="23:23" x14ac:dyDescent="0.55000000000000004">
      <c r="W21584"/>
    </row>
    <row r="21585" spans="23:23" x14ac:dyDescent="0.55000000000000004">
      <c r="W21585"/>
    </row>
    <row r="21586" spans="23:23" x14ac:dyDescent="0.55000000000000004">
      <c r="W21586"/>
    </row>
    <row r="21587" spans="23:23" x14ac:dyDescent="0.55000000000000004">
      <c r="W21587"/>
    </row>
    <row r="21588" spans="23:23" x14ac:dyDescent="0.55000000000000004">
      <c r="W21588"/>
    </row>
    <row r="21589" spans="23:23" x14ac:dyDescent="0.55000000000000004">
      <c r="W21589"/>
    </row>
    <row r="21590" spans="23:23" x14ac:dyDescent="0.55000000000000004">
      <c r="W21590"/>
    </row>
    <row r="21591" spans="23:23" x14ac:dyDescent="0.55000000000000004">
      <c r="W21591"/>
    </row>
    <row r="21592" spans="23:23" x14ac:dyDescent="0.55000000000000004">
      <c r="W21592"/>
    </row>
    <row r="21593" spans="23:23" x14ac:dyDescent="0.55000000000000004">
      <c r="W21593"/>
    </row>
    <row r="21594" spans="23:23" x14ac:dyDescent="0.55000000000000004">
      <c r="W21594"/>
    </row>
    <row r="21595" spans="23:23" x14ac:dyDescent="0.55000000000000004">
      <c r="W21595"/>
    </row>
    <row r="21596" spans="23:23" x14ac:dyDescent="0.55000000000000004">
      <c r="W21596"/>
    </row>
    <row r="21597" spans="23:23" x14ac:dyDescent="0.55000000000000004">
      <c r="W21597"/>
    </row>
    <row r="21598" spans="23:23" x14ac:dyDescent="0.55000000000000004">
      <c r="W21598"/>
    </row>
    <row r="21599" spans="23:23" x14ac:dyDescent="0.55000000000000004">
      <c r="W21599"/>
    </row>
    <row r="21600" spans="23:23" x14ac:dyDescent="0.55000000000000004">
      <c r="W21600"/>
    </row>
    <row r="21601" spans="23:23" x14ac:dyDescent="0.55000000000000004">
      <c r="W21601"/>
    </row>
    <row r="21602" spans="23:23" x14ac:dyDescent="0.55000000000000004">
      <c r="W21602"/>
    </row>
    <row r="21603" spans="23:23" x14ac:dyDescent="0.55000000000000004">
      <c r="W21603"/>
    </row>
    <row r="21604" spans="23:23" x14ac:dyDescent="0.55000000000000004">
      <c r="W21604"/>
    </row>
    <row r="21605" spans="23:23" x14ac:dyDescent="0.55000000000000004">
      <c r="W21605"/>
    </row>
    <row r="21606" spans="23:23" x14ac:dyDescent="0.55000000000000004">
      <c r="W21606"/>
    </row>
    <row r="21607" spans="23:23" x14ac:dyDescent="0.55000000000000004">
      <c r="W21607"/>
    </row>
    <row r="21608" spans="23:23" x14ac:dyDescent="0.55000000000000004">
      <c r="W21608"/>
    </row>
    <row r="21609" spans="23:23" x14ac:dyDescent="0.55000000000000004">
      <c r="W21609"/>
    </row>
    <row r="21610" spans="23:23" x14ac:dyDescent="0.55000000000000004">
      <c r="W21610"/>
    </row>
    <row r="21611" spans="23:23" x14ac:dyDescent="0.55000000000000004">
      <c r="W21611"/>
    </row>
    <row r="21612" spans="23:23" x14ac:dyDescent="0.55000000000000004">
      <c r="W21612"/>
    </row>
    <row r="21613" spans="23:23" x14ac:dyDescent="0.55000000000000004">
      <c r="W21613"/>
    </row>
    <row r="21614" spans="23:23" x14ac:dyDescent="0.55000000000000004">
      <c r="W21614"/>
    </row>
    <row r="21615" spans="23:23" x14ac:dyDescent="0.55000000000000004">
      <c r="W21615"/>
    </row>
    <row r="21616" spans="23:23" x14ac:dyDescent="0.55000000000000004">
      <c r="W21616"/>
    </row>
    <row r="21617" spans="23:23" x14ac:dyDescent="0.55000000000000004">
      <c r="W21617"/>
    </row>
    <row r="21618" spans="23:23" x14ac:dyDescent="0.55000000000000004">
      <c r="W21618"/>
    </row>
    <row r="21619" spans="23:23" x14ac:dyDescent="0.55000000000000004">
      <c r="W21619"/>
    </row>
    <row r="21620" spans="23:23" x14ac:dyDescent="0.55000000000000004">
      <c r="W21620"/>
    </row>
    <row r="21621" spans="23:23" x14ac:dyDescent="0.55000000000000004">
      <c r="W21621"/>
    </row>
    <row r="21622" spans="23:23" x14ac:dyDescent="0.55000000000000004">
      <c r="W21622"/>
    </row>
    <row r="21623" spans="23:23" x14ac:dyDescent="0.55000000000000004">
      <c r="W21623"/>
    </row>
    <row r="21624" spans="23:23" x14ac:dyDescent="0.55000000000000004">
      <c r="W21624"/>
    </row>
    <row r="21625" spans="23:23" x14ac:dyDescent="0.55000000000000004">
      <c r="W21625"/>
    </row>
    <row r="21626" spans="23:23" x14ac:dyDescent="0.55000000000000004">
      <c r="W21626"/>
    </row>
    <row r="21627" spans="23:23" x14ac:dyDescent="0.55000000000000004">
      <c r="W21627"/>
    </row>
    <row r="21628" spans="23:23" x14ac:dyDescent="0.55000000000000004">
      <c r="W21628"/>
    </row>
    <row r="21629" spans="23:23" x14ac:dyDescent="0.55000000000000004">
      <c r="W21629"/>
    </row>
    <row r="21630" spans="23:23" x14ac:dyDescent="0.55000000000000004">
      <c r="W21630"/>
    </row>
    <row r="21631" spans="23:23" x14ac:dyDescent="0.55000000000000004">
      <c r="W21631"/>
    </row>
    <row r="21632" spans="23:23" x14ac:dyDescent="0.55000000000000004">
      <c r="W21632"/>
    </row>
    <row r="21633" spans="23:23" x14ac:dyDescent="0.55000000000000004">
      <c r="W21633"/>
    </row>
    <row r="21634" spans="23:23" x14ac:dyDescent="0.55000000000000004">
      <c r="W21634"/>
    </row>
    <row r="21635" spans="23:23" x14ac:dyDescent="0.55000000000000004">
      <c r="W21635"/>
    </row>
    <row r="21636" spans="23:23" x14ac:dyDescent="0.55000000000000004">
      <c r="W21636"/>
    </row>
    <row r="21637" spans="23:23" x14ac:dyDescent="0.55000000000000004">
      <c r="W21637"/>
    </row>
    <row r="21638" spans="23:23" x14ac:dyDescent="0.55000000000000004">
      <c r="W21638"/>
    </row>
    <row r="21639" spans="23:23" x14ac:dyDescent="0.55000000000000004">
      <c r="W21639"/>
    </row>
    <row r="21640" spans="23:23" x14ac:dyDescent="0.55000000000000004">
      <c r="W21640"/>
    </row>
    <row r="21641" spans="23:23" x14ac:dyDescent="0.55000000000000004">
      <c r="W21641"/>
    </row>
    <row r="21642" spans="23:23" x14ac:dyDescent="0.55000000000000004">
      <c r="W21642"/>
    </row>
    <row r="21643" spans="23:23" x14ac:dyDescent="0.55000000000000004">
      <c r="W21643"/>
    </row>
    <row r="21644" spans="23:23" x14ac:dyDescent="0.55000000000000004">
      <c r="W21644"/>
    </row>
    <row r="21645" spans="23:23" x14ac:dyDescent="0.55000000000000004">
      <c r="W21645"/>
    </row>
    <row r="21646" spans="23:23" x14ac:dyDescent="0.55000000000000004">
      <c r="W21646"/>
    </row>
    <row r="21647" spans="23:23" x14ac:dyDescent="0.55000000000000004">
      <c r="W21647"/>
    </row>
    <row r="21648" spans="23:23" x14ac:dyDescent="0.55000000000000004">
      <c r="W21648"/>
    </row>
    <row r="21649" spans="23:23" x14ac:dyDescent="0.55000000000000004">
      <c r="W21649"/>
    </row>
    <row r="21650" spans="23:23" x14ac:dyDescent="0.55000000000000004">
      <c r="W21650"/>
    </row>
    <row r="21651" spans="23:23" x14ac:dyDescent="0.55000000000000004">
      <c r="W21651"/>
    </row>
    <row r="21652" spans="23:23" x14ac:dyDescent="0.55000000000000004">
      <c r="W21652"/>
    </row>
    <row r="21653" spans="23:23" x14ac:dyDescent="0.55000000000000004">
      <c r="W21653"/>
    </row>
    <row r="21654" spans="23:23" x14ac:dyDescent="0.55000000000000004">
      <c r="W21654"/>
    </row>
    <row r="21655" spans="23:23" x14ac:dyDescent="0.55000000000000004">
      <c r="W21655"/>
    </row>
    <row r="21656" spans="23:23" x14ac:dyDescent="0.55000000000000004">
      <c r="W21656"/>
    </row>
    <row r="21657" spans="23:23" x14ac:dyDescent="0.55000000000000004">
      <c r="W21657"/>
    </row>
    <row r="21658" spans="23:23" x14ac:dyDescent="0.55000000000000004">
      <c r="W21658"/>
    </row>
    <row r="21659" spans="23:23" x14ac:dyDescent="0.55000000000000004">
      <c r="W21659"/>
    </row>
    <row r="21660" spans="23:23" x14ac:dyDescent="0.55000000000000004">
      <c r="W21660"/>
    </row>
    <row r="21661" spans="23:23" x14ac:dyDescent="0.55000000000000004">
      <c r="W21661"/>
    </row>
    <row r="21662" spans="23:23" x14ac:dyDescent="0.55000000000000004">
      <c r="W21662"/>
    </row>
    <row r="21663" spans="23:23" x14ac:dyDescent="0.55000000000000004">
      <c r="W21663"/>
    </row>
    <row r="21664" spans="23:23" x14ac:dyDescent="0.55000000000000004">
      <c r="W21664"/>
    </row>
    <row r="21665" spans="23:23" x14ac:dyDescent="0.55000000000000004">
      <c r="W21665"/>
    </row>
    <row r="21666" spans="23:23" x14ac:dyDescent="0.55000000000000004">
      <c r="W21666"/>
    </row>
    <row r="21667" spans="23:23" x14ac:dyDescent="0.55000000000000004">
      <c r="W21667"/>
    </row>
    <row r="21668" spans="23:23" x14ac:dyDescent="0.55000000000000004">
      <c r="W21668"/>
    </row>
    <row r="21669" spans="23:23" x14ac:dyDescent="0.55000000000000004">
      <c r="W21669"/>
    </row>
    <row r="21670" spans="23:23" x14ac:dyDescent="0.55000000000000004">
      <c r="W21670"/>
    </row>
    <row r="21671" spans="23:23" x14ac:dyDescent="0.55000000000000004">
      <c r="W21671"/>
    </row>
    <row r="21672" spans="23:23" x14ac:dyDescent="0.55000000000000004">
      <c r="W21672"/>
    </row>
    <row r="21673" spans="23:23" x14ac:dyDescent="0.55000000000000004">
      <c r="W21673"/>
    </row>
    <row r="21674" spans="23:23" x14ac:dyDescent="0.55000000000000004">
      <c r="W21674"/>
    </row>
    <row r="21675" spans="23:23" x14ac:dyDescent="0.55000000000000004">
      <c r="W21675"/>
    </row>
    <row r="21676" spans="23:23" x14ac:dyDescent="0.55000000000000004">
      <c r="W21676"/>
    </row>
    <row r="21677" spans="23:23" x14ac:dyDescent="0.55000000000000004">
      <c r="W21677"/>
    </row>
    <row r="21678" spans="23:23" x14ac:dyDescent="0.55000000000000004">
      <c r="W21678"/>
    </row>
    <row r="21679" spans="23:23" x14ac:dyDescent="0.55000000000000004">
      <c r="W21679"/>
    </row>
    <row r="21680" spans="23:23" x14ac:dyDescent="0.55000000000000004">
      <c r="W21680"/>
    </row>
    <row r="21681" spans="23:23" x14ac:dyDescent="0.55000000000000004">
      <c r="W21681"/>
    </row>
    <row r="21682" spans="23:23" x14ac:dyDescent="0.55000000000000004">
      <c r="W21682"/>
    </row>
    <row r="21683" spans="23:23" x14ac:dyDescent="0.55000000000000004">
      <c r="W21683"/>
    </row>
    <row r="21684" spans="23:23" x14ac:dyDescent="0.55000000000000004">
      <c r="W21684"/>
    </row>
    <row r="21685" spans="23:23" x14ac:dyDescent="0.55000000000000004">
      <c r="W21685"/>
    </row>
    <row r="21686" spans="23:23" x14ac:dyDescent="0.55000000000000004">
      <c r="W21686"/>
    </row>
    <row r="21687" spans="23:23" x14ac:dyDescent="0.55000000000000004">
      <c r="W21687"/>
    </row>
    <row r="21688" spans="23:23" x14ac:dyDescent="0.55000000000000004">
      <c r="W21688"/>
    </row>
    <row r="21689" spans="23:23" x14ac:dyDescent="0.55000000000000004">
      <c r="W21689"/>
    </row>
    <row r="21690" spans="23:23" x14ac:dyDescent="0.55000000000000004">
      <c r="W21690"/>
    </row>
    <row r="21691" spans="23:23" x14ac:dyDescent="0.55000000000000004">
      <c r="W21691"/>
    </row>
    <row r="21692" spans="23:23" x14ac:dyDescent="0.55000000000000004">
      <c r="W21692"/>
    </row>
    <row r="21693" spans="23:23" x14ac:dyDescent="0.55000000000000004">
      <c r="W21693"/>
    </row>
    <row r="21694" spans="23:23" x14ac:dyDescent="0.55000000000000004">
      <c r="W21694"/>
    </row>
    <row r="21695" spans="23:23" x14ac:dyDescent="0.55000000000000004">
      <c r="W21695"/>
    </row>
    <row r="21696" spans="23:23" x14ac:dyDescent="0.55000000000000004">
      <c r="W21696"/>
    </row>
    <row r="21697" spans="23:23" x14ac:dyDescent="0.55000000000000004">
      <c r="W21697"/>
    </row>
    <row r="21698" spans="23:23" x14ac:dyDescent="0.55000000000000004">
      <c r="W21698"/>
    </row>
    <row r="21699" spans="23:23" x14ac:dyDescent="0.55000000000000004">
      <c r="W21699"/>
    </row>
    <row r="21700" spans="23:23" x14ac:dyDescent="0.55000000000000004">
      <c r="W21700"/>
    </row>
    <row r="21701" spans="23:23" x14ac:dyDescent="0.55000000000000004">
      <c r="W21701"/>
    </row>
    <row r="21702" spans="23:23" x14ac:dyDescent="0.55000000000000004">
      <c r="W21702"/>
    </row>
    <row r="21703" spans="23:23" x14ac:dyDescent="0.55000000000000004">
      <c r="W21703"/>
    </row>
    <row r="21704" spans="23:23" x14ac:dyDescent="0.55000000000000004">
      <c r="W21704"/>
    </row>
    <row r="21705" spans="23:23" x14ac:dyDescent="0.55000000000000004">
      <c r="W21705"/>
    </row>
    <row r="21706" spans="23:23" x14ac:dyDescent="0.55000000000000004">
      <c r="W21706"/>
    </row>
    <row r="21707" spans="23:23" x14ac:dyDescent="0.55000000000000004">
      <c r="W21707"/>
    </row>
    <row r="21708" spans="23:23" x14ac:dyDescent="0.55000000000000004">
      <c r="W21708"/>
    </row>
    <row r="21709" spans="23:23" x14ac:dyDescent="0.55000000000000004">
      <c r="W21709"/>
    </row>
    <row r="21710" spans="23:23" x14ac:dyDescent="0.55000000000000004">
      <c r="W21710"/>
    </row>
    <row r="21711" spans="23:23" x14ac:dyDescent="0.55000000000000004">
      <c r="W21711"/>
    </row>
    <row r="21712" spans="23:23" x14ac:dyDescent="0.55000000000000004">
      <c r="W21712"/>
    </row>
    <row r="21713" spans="23:23" x14ac:dyDescent="0.55000000000000004">
      <c r="W21713"/>
    </row>
    <row r="21714" spans="23:23" x14ac:dyDescent="0.55000000000000004">
      <c r="W21714"/>
    </row>
    <row r="21715" spans="23:23" x14ac:dyDescent="0.55000000000000004">
      <c r="W21715"/>
    </row>
    <row r="21716" spans="23:23" x14ac:dyDescent="0.55000000000000004">
      <c r="W21716"/>
    </row>
    <row r="21717" spans="23:23" x14ac:dyDescent="0.55000000000000004">
      <c r="W21717"/>
    </row>
    <row r="21718" spans="23:23" x14ac:dyDescent="0.55000000000000004">
      <c r="W21718"/>
    </row>
    <row r="21719" spans="23:23" x14ac:dyDescent="0.55000000000000004">
      <c r="W21719"/>
    </row>
    <row r="21720" spans="23:23" x14ac:dyDescent="0.55000000000000004">
      <c r="W21720"/>
    </row>
    <row r="21721" spans="23:23" x14ac:dyDescent="0.55000000000000004">
      <c r="W21721"/>
    </row>
    <row r="21722" spans="23:23" x14ac:dyDescent="0.55000000000000004">
      <c r="W21722"/>
    </row>
    <row r="21723" spans="23:23" x14ac:dyDescent="0.55000000000000004">
      <c r="W21723"/>
    </row>
    <row r="21724" spans="23:23" x14ac:dyDescent="0.55000000000000004">
      <c r="W21724"/>
    </row>
    <row r="21725" spans="23:23" x14ac:dyDescent="0.55000000000000004">
      <c r="W21725"/>
    </row>
    <row r="21726" spans="23:23" x14ac:dyDescent="0.55000000000000004">
      <c r="W21726"/>
    </row>
    <row r="21727" spans="23:23" x14ac:dyDescent="0.55000000000000004">
      <c r="W21727"/>
    </row>
    <row r="21728" spans="23:23" x14ac:dyDescent="0.55000000000000004">
      <c r="W21728"/>
    </row>
    <row r="21729" spans="23:23" x14ac:dyDescent="0.55000000000000004">
      <c r="W21729"/>
    </row>
    <row r="21730" spans="23:23" x14ac:dyDescent="0.55000000000000004">
      <c r="W21730"/>
    </row>
    <row r="21731" spans="23:23" x14ac:dyDescent="0.55000000000000004">
      <c r="W21731"/>
    </row>
    <row r="21732" spans="23:23" x14ac:dyDescent="0.55000000000000004">
      <c r="W21732"/>
    </row>
    <row r="21733" spans="23:23" x14ac:dyDescent="0.55000000000000004">
      <c r="W21733"/>
    </row>
    <row r="21734" spans="23:23" x14ac:dyDescent="0.55000000000000004">
      <c r="W21734"/>
    </row>
    <row r="21735" spans="23:23" x14ac:dyDescent="0.55000000000000004">
      <c r="W21735"/>
    </row>
    <row r="21736" spans="23:23" x14ac:dyDescent="0.55000000000000004">
      <c r="W21736"/>
    </row>
    <row r="21737" spans="23:23" x14ac:dyDescent="0.55000000000000004">
      <c r="W21737"/>
    </row>
    <row r="21738" spans="23:23" x14ac:dyDescent="0.55000000000000004">
      <c r="W21738"/>
    </row>
    <row r="21739" spans="23:23" x14ac:dyDescent="0.55000000000000004">
      <c r="W21739"/>
    </row>
    <row r="21740" spans="23:23" x14ac:dyDescent="0.55000000000000004">
      <c r="W21740"/>
    </row>
    <row r="21741" spans="23:23" x14ac:dyDescent="0.55000000000000004">
      <c r="W21741"/>
    </row>
    <row r="21742" spans="23:23" x14ac:dyDescent="0.55000000000000004">
      <c r="W21742"/>
    </row>
    <row r="21743" spans="23:23" x14ac:dyDescent="0.55000000000000004">
      <c r="W21743"/>
    </row>
    <row r="21744" spans="23:23" x14ac:dyDescent="0.55000000000000004">
      <c r="W21744"/>
    </row>
    <row r="21745" spans="23:23" x14ac:dyDescent="0.55000000000000004">
      <c r="W21745"/>
    </row>
    <row r="21746" spans="23:23" x14ac:dyDescent="0.55000000000000004">
      <c r="W21746"/>
    </row>
    <row r="21747" spans="23:23" x14ac:dyDescent="0.55000000000000004">
      <c r="W21747"/>
    </row>
    <row r="21748" spans="23:23" x14ac:dyDescent="0.55000000000000004">
      <c r="W21748"/>
    </row>
    <row r="21749" spans="23:23" x14ac:dyDescent="0.55000000000000004">
      <c r="W21749"/>
    </row>
    <row r="21750" spans="23:23" x14ac:dyDescent="0.55000000000000004">
      <c r="W21750"/>
    </row>
    <row r="21751" spans="23:23" x14ac:dyDescent="0.55000000000000004">
      <c r="W21751"/>
    </row>
    <row r="21752" spans="23:23" x14ac:dyDescent="0.55000000000000004">
      <c r="W21752"/>
    </row>
    <row r="21753" spans="23:23" x14ac:dyDescent="0.55000000000000004">
      <c r="W21753"/>
    </row>
    <row r="21754" spans="23:23" x14ac:dyDescent="0.55000000000000004">
      <c r="W21754"/>
    </row>
    <row r="21755" spans="23:23" x14ac:dyDescent="0.55000000000000004">
      <c r="W21755"/>
    </row>
    <row r="21756" spans="23:23" x14ac:dyDescent="0.55000000000000004">
      <c r="W21756"/>
    </row>
    <row r="21757" spans="23:23" x14ac:dyDescent="0.55000000000000004">
      <c r="W21757"/>
    </row>
    <row r="21758" spans="23:23" x14ac:dyDescent="0.55000000000000004">
      <c r="W21758"/>
    </row>
    <row r="21759" spans="23:23" x14ac:dyDescent="0.55000000000000004">
      <c r="W21759"/>
    </row>
    <row r="21760" spans="23:23" x14ac:dyDescent="0.55000000000000004">
      <c r="W21760"/>
    </row>
    <row r="21761" spans="23:23" x14ac:dyDescent="0.55000000000000004">
      <c r="W21761"/>
    </row>
    <row r="21762" spans="23:23" x14ac:dyDescent="0.55000000000000004">
      <c r="W21762"/>
    </row>
    <row r="21763" spans="23:23" x14ac:dyDescent="0.55000000000000004">
      <c r="W21763"/>
    </row>
    <row r="21764" spans="23:23" x14ac:dyDescent="0.55000000000000004">
      <c r="W21764"/>
    </row>
    <row r="21765" spans="23:23" x14ac:dyDescent="0.55000000000000004">
      <c r="W21765"/>
    </row>
    <row r="21766" spans="23:23" x14ac:dyDescent="0.55000000000000004">
      <c r="W21766"/>
    </row>
    <row r="21767" spans="23:23" x14ac:dyDescent="0.55000000000000004">
      <c r="W21767"/>
    </row>
    <row r="21768" spans="23:23" x14ac:dyDescent="0.55000000000000004">
      <c r="W21768"/>
    </row>
    <row r="21769" spans="23:23" x14ac:dyDescent="0.55000000000000004">
      <c r="W21769"/>
    </row>
    <row r="21770" spans="23:23" x14ac:dyDescent="0.55000000000000004">
      <c r="W21770"/>
    </row>
    <row r="21771" spans="23:23" x14ac:dyDescent="0.55000000000000004">
      <c r="W21771"/>
    </row>
    <row r="21772" spans="23:23" x14ac:dyDescent="0.55000000000000004">
      <c r="W21772"/>
    </row>
    <row r="21773" spans="23:23" x14ac:dyDescent="0.55000000000000004">
      <c r="W21773"/>
    </row>
    <row r="21774" spans="23:23" x14ac:dyDescent="0.55000000000000004">
      <c r="W21774"/>
    </row>
    <row r="21775" spans="23:23" x14ac:dyDescent="0.55000000000000004">
      <c r="W21775"/>
    </row>
    <row r="21776" spans="23:23" x14ac:dyDescent="0.55000000000000004">
      <c r="W21776"/>
    </row>
    <row r="21777" spans="23:23" x14ac:dyDescent="0.55000000000000004">
      <c r="W21777"/>
    </row>
    <row r="21778" spans="23:23" x14ac:dyDescent="0.55000000000000004">
      <c r="W21778"/>
    </row>
    <row r="21779" spans="23:23" x14ac:dyDescent="0.55000000000000004">
      <c r="W21779"/>
    </row>
    <row r="21780" spans="23:23" x14ac:dyDescent="0.55000000000000004">
      <c r="W21780"/>
    </row>
    <row r="21781" spans="23:23" x14ac:dyDescent="0.55000000000000004">
      <c r="W21781"/>
    </row>
    <row r="21782" spans="23:23" x14ac:dyDescent="0.55000000000000004">
      <c r="W21782"/>
    </row>
    <row r="21783" spans="23:23" x14ac:dyDescent="0.55000000000000004">
      <c r="W21783"/>
    </row>
    <row r="21784" spans="23:23" x14ac:dyDescent="0.55000000000000004">
      <c r="W21784"/>
    </row>
    <row r="21785" spans="23:23" x14ac:dyDescent="0.55000000000000004">
      <c r="W21785"/>
    </row>
    <row r="21786" spans="23:23" x14ac:dyDescent="0.55000000000000004">
      <c r="W21786"/>
    </row>
    <row r="21787" spans="23:23" x14ac:dyDescent="0.55000000000000004">
      <c r="W21787"/>
    </row>
    <row r="21788" spans="23:23" x14ac:dyDescent="0.55000000000000004">
      <c r="W21788"/>
    </row>
    <row r="21789" spans="23:23" x14ac:dyDescent="0.55000000000000004">
      <c r="W21789"/>
    </row>
    <row r="21790" spans="23:23" x14ac:dyDescent="0.55000000000000004">
      <c r="W21790"/>
    </row>
    <row r="21791" spans="23:23" x14ac:dyDescent="0.55000000000000004">
      <c r="W21791"/>
    </row>
    <row r="21792" spans="23:23" x14ac:dyDescent="0.55000000000000004">
      <c r="W21792"/>
    </row>
    <row r="21793" spans="23:23" x14ac:dyDescent="0.55000000000000004">
      <c r="W21793"/>
    </row>
    <row r="21794" spans="23:23" x14ac:dyDescent="0.55000000000000004">
      <c r="W21794"/>
    </row>
    <row r="21795" spans="23:23" x14ac:dyDescent="0.55000000000000004">
      <c r="W21795"/>
    </row>
    <row r="21796" spans="23:23" x14ac:dyDescent="0.55000000000000004">
      <c r="W21796"/>
    </row>
    <row r="21797" spans="23:23" x14ac:dyDescent="0.55000000000000004">
      <c r="W21797"/>
    </row>
    <row r="21798" spans="23:23" x14ac:dyDescent="0.55000000000000004">
      <c r="W21798"/>
    </row>
    <row r="21799" spans="23:23" x14ac:dyDescent="0.55000000000000004">
      <c r="W21799"/>
    </row>
    <row r="21800" spans="23:23" x14ac:dyDescent="0.55000000000000004">
      <c r="W21800"/>
    </row>
    <row r="21801" spans="23:23" x14ac:dyDescent="0.55000000000000004">
      <c r="W21801"/>
    </row>
    <row r="21802" spans="23:23" x14ac:dyDescent="0.55000000000000004">
      <c r="W21802"/>
    </row>
    <row r="21803" spans="23:23" x14ac:dyDescent="0.55000000000000004">
      <c r="W21803"/>
    </row>
    <row r="21804" spans="23:23" x14ac:dyDescent="0.55000000000000004">
      <c r="W21804"/>
    </row>
    <row r="21805" spans="23:23" x14ac:dyDescent="0.55000000000000004">
      <c r="W21805"/>
    </row>
    <row r="21806" spans="23:23" x14ac:dyDescent="0.55000000000000004">
      <c r="W21806"/>
    </row>
    <row r="21807" spans="23:23" x14ac:dyDescent="0.55000000000000004">
      <c r="W21807"/>
    </row>
    <row r="21808" spans="23:23" x14ac:dyDescent="0.55000000000000004">
      <c r="W21808"/>
    </row>
    <row r="21809" spans="23:23" x14ac:dyDescent="0.55000000000000004">
      <c r="W21809"/>
    </row>
    <row r="21810" spans="23:23" x14ac:dyDescent="0.55000000000000004">
      <c r="W21810"/>
    </row>
    <row r="21811" spans="23:23" x14ac:dyDescent="0.55000000000000004">
      <c r="W21811"/>
    </row>
    <row r="21812" spans="23:23" x14ac:dyDescent="0.55000000000000004">
      <c r="W21812"/>
    </row>
    <row r="21813" spans="23:23" x14ac:dyDescent="0.55000000000000004">
      <c r="W21813"/>
    </row>
    <row r="21814" spans="23:23" x14ac:dyDescent="0.55000000000000004">
      <c r="W21814"/>
    </row>
    <row r="21815" spans="23:23" x14ac:dyDescent="0.55000000000000004">
      <c r="W21815"/>
    </row>
    <row r="21816" spans="23:23" x14ac:dyDescent="0.55000000000000004">
      <c r="W21816"/>
    </row>
    <row r="21817" spans="23:23" x14ac:dyDescent="0.55000000000000004">
      <c r="W21817"/>
    </row>
    <row r="21818" spans="23:23" x14ac:dyDescent="0.55000000000000004">
      <c r="W21818"/>
    </row>
    <row r="21819" spans="23:23" x14ac:dyDescent="0.55000000000000004">
      <c r="W21819"/>
    </row>
    <row r="21820" spans="23:23" x14ac:dyDescent="0.55000000000000004">
      <c r="W21820"/>
    </row>
    <row r="21821" spans="23:23" x14ac:dyDescent="0.55000000000000004">
      <c r="W21821"/>
    </row>
    <row r="21822" spans="23:23" x14ac:dyDescent="0.55000000000000004">
      <c r="W21822"/>
    </row>
    <row r="21823" spans="23:23" x14ac:dyDescent="0.55000000000000004">
      <c r="W21823"/>
    </row>
    <row r="21824" spans="23:23" x14ac:dyDescent="0.55000000000000004">
      <c r="W21824"/>
    </row>
    <row r="21825" spans="23:23" x14ac:dyDescent="0.55000000000000004">
      <c r="W21825"/>
    </row>
    <row r="21826" spans="23:23" x14ac:dyDescent="0.55000000000000004">
      <c r="W21826"/>
    </row>
    <row r="21827" spans="23:23" x14ac:dyDescent="0.55000000000000004">
      <c r="W21827"/>
    </row>
    <row r="21828" spans="23:23" x14ac:dyDescent="0.55000000000000004">
      <c r="W21828"/>
    </row>
    <row r="21829" spans="23:23" x14ac:dyDescent="0.55000000000000004">
      <c r="W21829"/>
    </row>
    <row r="21830" spans="23:23" x14ac:dyDescent="0.55000000000000004">
      <c r="W21830"/>
    </row>
    <row r="21831" spans="23:23" x14ac:dyDescent="0.55000000000000004">
      <c r="W21831"/>
    </row>
    <row r="21832" spans="23:23" x14ac:dyDescent="0.55000000000000004">
      <c r="W21832"/>
    </row>
    <row r="21833" spans="23:23" x14ac:dyDescent="0.55000000000000004">
      <c r="W21833"/>
    </row>
    <row r="21834" spans="23:23" x14ac:dyDescent="0.55000000000000004">
      <c r="W21834"/>
    </row>
    <row r="21835" spans="23:23" x14ac:dyDescent="0.55000000000000004">
      <c r="W21835"/>
    </row>
    <row r="21836" spans="23:23" x14ac:dyDescent="0.55000000000000004">
      <c r="W21836"/>
    </row>
    <row r="21837" spans="23:23" x14ac:dyDescent="0.55000000000000004">
      <c r="W21837"/>
    </row>
    <row r="21838" spans="23:23" x14ac:dyDescent="0.55000000000000004">
      <c r="W21838"/>
    </row>
    <row r="21839" spans="23:23" x14ac:dyDescent="0.55000000000000004">
      <c r="W21839"/>
    </row>
    <row r="21840" spans="23:23" x14ac:dyDescent="0.55000000000000004">
      <c r="W21840"/>
    </row>
    <row r="21841" spans="23:23" x14ac:dyDescent="0.55000000000000004">
      <c r="W21841"/>
    </row>
    <row r="21842" spans="23:23" x14ac:dyDescent="0.55000000000000004">
      <c r="W21842"/>
    </row>
    <row r="21843" spans="23:23" x14ac:dyDescent="0.55000000000000004">
      <c r="W21843"/>
    </row>
    <row r="21844" spans="23:23" x14ac:dyDescent="0.55000000000000004">
      <c r="W21844"/>
    </row>
    <row r="21845" spans="23:23" x14ac:dyDescent="0.55000000000000004">
      <c r="W21845"/>
    </row>
    <row r="21846" spans="23:23" x14ac:dyDescent="0.55000000000000004">
      <c r="W21846"/>
    </row>
    <row r="21847" spans="23:23" x14ac:dyDescent="0.55000000000000004">
      <c r="W21847"/>
    </row>
    <row r="21848" spans="23:23" x14ac:dyDescent="0.55000000000000004">
      <c r="W21848"/>
    </row>
    <row r="21849" spans="23:23" x14ac:dyDescent="0.55000000000000004">
      <c r="W21849"/>
    </row>
    <row r="21850" spans="23:23" x14ac:dyDescent="0.55000000000000004">
      <c r="W21850"/>
    </row>
    <row r="21851" spans="23:23" x14ac:dyDescent="0.55000000000000004">
      <c r="W21851"/>
    </row>
    <row r="21852" spans="23:23" x14ac:dyDescent="0.55000000000000004">
      <c r="W21852"/>
    </row>
    <row r="21853" spans="23:23" x14ac:dyDescent="0.55000000000000004">
      <c r="W21853"/>
    </row>
    <row r="21854" spans="23:23" x14ac:dyDescent="0.55000000000000004">
      <c r="W21854"/>
    </row>
    <row r="21855" spans="23:23" x14ac:dyDescent="0.55000000000000004">
      <c r="W21855"/>
    </row>
    <row r="21856" spans="23:23" x14ac:dyDescent="0.55000000000000004">
      <c r="W21856"/>
    </row>
    <row r="21857" spans="23:23" x14ac:dyDescent="0.55000000000000004">
      <c r="W21857"/>
    </row>
    <row r="21858" spans="23:23" x14ac:dyDescent="0.55000000000000004">
      <c r="W21858"/>
    </row>
    <row r="21859" spans="23:23" x14ac:dyDescent="0.55000000000000004">
      <c r="W21859"/>
    </row>
    <row r="21860" spans="23:23" x14ac:dyDescent="0.55000000000000004">
      <c r="W21860"/>
    </row>
    <row r="21861" spans="23:23" x14ac:dyDescent="0.55000000000000004">
      <c r="W21861"/>
    </row>
    <row r="21862" spans="23:23" x14ac:dyDescent="0.55000000000000004">
      <c r="W21862"/>
    </row>
    <row r="21863" spans="23:23" x14ac:dyDescent="0.55000000000000004">
      <c r="W21863"/>
    </row>
    <row r="21864" spans="23:23" x14ac:dyDescent="0.55000000000000004">
      <c r="W21864"/>
    </row>
    <row r="21865" spans="23:23" x14ac:dyDescent="0.55000000000000004">
      <c r="W21865"/>
    </row>
    <row r="21866" spans="23:23" x14ac:dyDescent="0.55000000000000004">
      <c r="W21866"/>
    </row>
    <row r="21867" spans="23:23" x14ac:dyDescent="0.55000000000000004">
      <c r="W21867"/>
    </row>
    <row r="21868" spans="23:23" x14ac:dyDescent="0.55000000000000004">
      <c r="W21868"/>
    </row>
    <row r="21869" spans="23:23" x14ac:dyDescent="0.55000000000000004">
      <c r="W21869"/>
    </row>
    <row r="21870" spans="23:23" x14ac:dyDescent="0.55000000000000004">
      <c r="W21870"/>
    </row>
    <row r="21871" spans="23:23" x14ac:dyDescent="0.55000000000000004">
      <c r="W21871"/>
    </row>
    <row r="21872" spans="23:23" x14ac:dyDescent="0.55000000000000004">
      <c r="W21872"/>
    </row>
    <row r="21873" spans="23:23" x14ac:dyDescent="0.55000000000000004">
      <c r="W21873"/>
    </row>
    <row r="21874" spans="23:23" x14ac:dyDescent="0.55000000000000004">
      <c r="W21874"/>
    </row>
    <row r="21875" spans="23:23" x14ac:dyDescent="0.55000000000000004">
      <c r="W21875"/>
    </row>
    <row r="21876" spans="23:23" x14ac:dyDescent="0.55000000000000004">
      <c r="W21876"/>
    </row>
    <row r="21877" spans="23:23" x14ac:dyDescent="0.55000000000000004">
      <c r="W21877"/>
    </row>
    <row r="21878" spans="23:23" x14ac:dyDescent="0.55000000000000004">
      <c r="W21878"/>
    </row>
    <row r="21879" spans="23:23" x14ac:dyDescent="0.55000000000000004">
      <c r="W21879"/>
    </row>
    <row r="21880" spans="23:23" x14ac:dyDescent="0.55000000000000004">
      <c r="W21880"/>
    </row>
    <row r="21881" spans="23:23" x14ac:dyDescent="0.55000000000000004">
      <c r="W21881"/>
    </row>
    <row r="21882" spans="23:23" x14ac:dyDescent="0.55000000000000004">
      <c r="W21882"/>
    </row>
    <row r="21883" spans="23:23" x14ac:dyDescent="0.55000000000000004">
      <c r="W21883"/>
    </row>
    <row r="21884" spans="23:23" x14ac:dyDescent="0.55000000000000004">
      <c r="W21884"/>
    </row>
    <row r="21885" spans="23:23" x14ac:dyDescent="0.55000000000000004">
      <c r="W21885"/>
    </row>
    <row r="21886" spans="23:23" x14ac:dyDescent="0.55000000000000004">
      <c r="W21886"/>
    </row>
    <row r="21887" spans="23:23" x14ac:dyDescent="0.55000000000000004">
      <c r="W21887"/>
    </row>
    <row r="21888" spans="23:23" x14ac:dyDescent="0.55000000000000004">
      <c r="W21888"/>
    </row>
    <row r="21889" spans="23:23" x14ac:dyDescent="0.55000000000000004">
      <c r="W21889"/>
    </row>
    <row r="21890" spans="23:23" x14ac:dyDescent="0.55000000000000004">
      <c r="W21890"/>
    </row>
    <row r="21891" spans="23:23" x14ac:dyDescent="0.55000000000000004">
      <c r="W21891"/>
    </row>
    <row r="21892" spans="23:23" x14ac:dyDescent="0.55000000000000004">
      <c r="W21892"/>
    </row>
    <row r="21893" spans="23:23" x14ac:dyDescent="0.55000000000000004">
      <c r="W21893"/>
    </row>
    <row r="21894" spans="23:23" x14ac:dyDescent="0.55000000000000004">
      <c r="W21894"/>
    </row>
    <row r="21895" spans="23:23" x14ac:dyDescent="0.55000000000000004">
      <c r="W21895"/>
    </row>
    <row r="21896" spans="23:23" x14ac:dyDescent="0.55000000000000004">
      <c r="W21896"/>
    </row>
    <row r="21897" spans="23:23" x14ac:dyDescent="0.55000000000000004">
      <c r="W21897"/>
    </row>
    <row r="21898" spans="23:23" x14ac:dyDescent="0.55000000000000004">
      <c r="W21898"/>
    </row>
    <row r="21899" spans="23:23" x14ac:dyDescent="0.55000000000000004">
      <c r="W21899"/>
    </row>
    <row r="21900" spans="23:23" x14ac:dyDescent="0.55000000000000004">
      <c r="W21900"/>
    </row>
    <row r="21901" spans="23:23" x14ac:dyDescent="0.55000000000000004">
      <c r="W21901"/>
    </row>
    <row r="21902" spans="23:23" x14ac:dyDescent="0.55000000000000004">
      <c r="W21902"/>
    </row>
    <row r="21903" spans="23:23" x14ac:dyDescent="0.55000000000000004">
      <c r="W21903"/>
    </row>
    <row r="21904" spans="23:23" x14ac:dyDescent="0.55000000000000004">
      <c r="W21904"/>
    </row>
    <row r="21905" spans="23:23" x14ac:dyDescent="0.55000000000000004">
      <c r="W21905"/>
    </row>
    <row r="21906" spans="23:23" x14ac:dyDescent="0.55000000000000004">
      <c r="W21906"/>
    </row>
    <row r="21907" spans="23:23" x14ac:dyDescent="0.55000000000000004">
      <c r="W21907"/>
    </row>
    <row r="21908" spans="23:23" x14ac:dyDescent="0.55000000000000004">
      <c r="W21908"/>
    </row>
    <row r="21909" spans="23:23" x14ac:dyDescent="0.55000000000000004">
      <c r="W21909"/>
    </row>
    <row r="21910" spans="23:23" x14ac:dyDescent="0.55000000000000004">
      <c r="W21910"/>
    </row>
    <row r="21911" spans="23:23" x14ac:dyDescent="0.55000000000000004">
      <c r="W21911"/>
    </row>
    <row r="21912" spans="23:23" x14ac:dyDescent="0.55000000000000004">
      <c r="W21912"/>
    </row>
    <row r="21913" spans="23:23" x14ac:dyDescent="0.55000000000000004">
      <c r="W21913"/>
    </row>
    <row r="21914" spans="23:23" x14ac:dyDescent="0.55000000000000004">
      <c r="W21914"/>
    </row>
    <row r="21915" spans="23:23" x14ac:dyDescent="0.55000000000000004">
      <c r="W21915"/>
    </row>
    <row r="21916" spans="23:23" x14ac:dyDescent="0.55000000000000004">
      <c r="W21916"/>
    </row>
    <row r="21917" spans="23:23" x14ac:dyDescent="0.55000000000000004">
      <c r="W21917"/>
    </row>
    <row r="21918" spans="23:23" x14ac:dyDescent="0.55000000000000004">
      <c r="W21918"/>
    </row>
    <row r="21919" spans="23:23" x14ac:dyDescent="0.55000000000000004">
      <c r="W21919"/>
    </row>
    <row r="21920" spans="23:23" x14ac:dyDescent="0.55000000000000004">
      <c r="W21920"/>
    </row>
    <row r="21921" spans="23:23" x14ac:dyDescent="0.55000000000000004">
      <c r="W21921"/>
    </row>
    <row r="21922" spans="23:23" x14ac:dyDescent="0.55000000000000004">
      <c r="W21922"/>
    </row>
    <row r="21923" spans="23:23" x14ac:dyDescent="0.55000000000000004">
      <c r="W21923"/>
    </row>
    <row r="21924" spans="23:23" x14ac:dyDescent="0.55000000000000004">
      <c r="W21924"/>
    </row>
    <row r="21925" spans="23:23" x14ac:dyDescent="0.55000000000000004">
      <c r="W21925"/>
    </row>
    <row r="21926" spans="23:23" x14ac:dyDescent="0.55000000000000004">
      <c r="W21926"/>
    </row>
    <row r="21927" spans="23:23" x14ac:dyDescent="0.55000000000000004">
      <c r="W21927"/>
    </row>
    <row r="21928" spans="23:23" x14ac:dyDescent="0.55000000000000004">
      <c r="W21928"/>
    </row>
    <row r="21929" spans="23:23" x14ac:dyDescent="0.55000000000000004">
      <c r="W21929"/>
    </row>
    <row r="21930" spans="23:23" x14ac:dyDescent="0.55000000000000004">
      <c r="W21930"/>
    </row>
    <row r="21931" spans="23:23" x14ac:dyDescent="0.55000000000000004">
      <c r="W21931"/>
    </row>
    <row r="21932" spans="23:23" x14ac:dyDescent="0.55000000000000004">
      <c r="W21932"/>
    </row>
    <row r="21933" spans="23:23" x14ac:dyDescent="0.55000000000000004">
      <c r="W21933"/>
    </row>
    <row r="21934" spans="23:23" x14ac:dyDescent="0.55000000000000004">
      <c r="W21934"/>
    </row>
    <row r="21935" spans="23:23" x14ac:dyDescent="0.55000000000000004">
      <c r="W21935"/>
    </row>
    <row r="21936" spans="23:23" x14ac:dyDescent="0.55000000000000004">
      <c r="W21936"/>
    </row>
    <row r="21937" spans="23:23" x14ac:dyDescent="0.55000000000000004">
      <c r="W21937"/>
    </row>
    <row r="21938" spans="23:23" x14ac:dyDescent="0.55000000000000004">
      <c r="W21938"/>
    </row>
    <row r="21939" spans="23:23" x14ac:dyDescent="0.55000000000000004">
      <c r="W21939"/>
    </row>
    <row r="21940" spans="23:23" x14ac:dyDescent="0.55000000000000004">
      <c r="W21940"/>
    </row>
    <row r="21941" spans="23:23" x14ac:dyDescent="0.55000000000000004">
      <c r="W21941"/>
    </row>
    <row r="21942" spans="23:23" x14ac:dyDescent="0.55000000000000004">
      <c r="W21942"/>
    </row>
    <row r="21943" spans="23:23" x14ac:dyDescent="0.55000000000000004">
      <c r="W21943"/>
    </row>
    <row r="21944" spans="23:23" x14ac:dyDescent="0.55000000000000004">
      <c r="W21944"/>
    </row>
    <row r="21945" spans="23:23" x14ac:dyDescent="0.55000000000000004">
      <c r="W21945"/>
    </row>
    <row r="21946" spans="23:23" x14ac:dyDescent="0.55000000000000004">
      <c r="W21946"/>
    </row>
    <row r="21947" spans="23:23" x14ac:dyDescent="0.55000000000000004">
      <c r="W21947"/>
    </row>
    <row r="21948" spans="23:23" x14ac:dyDescent="0.55000000000000004">
      <c r="W21948"/>
    </row>
    <row r="21949" spans="23:23" x14ac:dyDescent="0.55000000000000004">
      <c r="W21949"/>
    </row>
    <row r="21950" spans="23:23" x14ac:dyDescent="0.55000000000000004">
      <c r="W21950"/>
    </row>
    <row r="21951" spans="23:23" x14ac:dyDescent="0.55000000000000004">
      <c r="W21951"/>
    </row>
    <row r="21952" spans="23:23" x14ac:dyDescent="0.55000000000000004">
      <c r="W21952"/>
    </row>
    <row r="21953" spans="23:23" x14ac:dyDescent="0.55000000000000004">
      <c r="W21953"/>
    </row>
    <row r="21954" spans="23:23" x14ac:dyDescent="0.55000000000000004">
      <c r="W21954"/>
    </row>
    <row r="21955" spans="23:23" x14ac:dyDescent="0.55000000000000004">
      <c r="W21955"/>
    </row>
    <row r="21956" spans="23:23" x14ac:dyDescent="0.55000000000000004">
      <c r="W21956"/>
    </row>
    <row r="21957" spans="23:23" x14ac:dyDescent="0.55000000000000004">
      <c r="W21957"/>
    </row>
    <row r="21958" spans="23:23" x14ac:dyDescent="0.55000000000000004">
      <c r="W21958"/>
    </row>
    <row r="21959" spans="23:23" x14ac:dyDescent="0.55000000000000004">
      <c r="W21959"/>
    </row>
    <row r="21960" spans="23:23" x14ac:dyDescent="0.55000000000000004">
      <c r="W21960"/>
    </row>
    <row r="21961" spans="23:23" x14ac:dyDescent="0.55000000000000004">
      <c r="W21961"/>
    </row>
    <row r="21962" spans="23:23" x14ac:dyDescent="0.55000000000000004">
      <c r="W21962"/>
    </row>
    <row r="21963" spans="23:23" x14ac:dyDescent="0.55000000000000004">
      <c r="W21963"/>
    </row>
    <row r="21964" spans="23:23" x14ac:dyDescent="0.55000000000000004">
      <c r="W21964"/>
    </row>
    <row r="21965" spans="23:23" x14ac:dyDescent="0.55000000000000004">
      <c r="W21965"/>
    </row>
    <row r="21966" spans="23:23" x14ac:dyDescent="0.55000000000000004">
      <c r="W21966"/>
    </row>
    <row r="21967" spans="23:23" x14ac:dyDescent="0.55000000000000004">
      <c r="W21967"/>
    </row>
    <row r="21968" spans="23:23" x14ac:dyDescent="0.55000000000000004">
      <c r="W21968"/>
    </row>
    <row r="21969" spans="23:23" x14ac:dyDescent="0.55000000000000004">
      <c r="W21969"/>
    </row>
    <row r="21970" spans="23:23" x14ac:dyDescent="0.55000000000000004">
      <c r="W21970"/>
    </row>
    <row r="21971" spans="23:23" x14ac:dyDescent="0.55000000000000004">
      <c r="W21971"/>
    </row>
    <row r="21972" spans="23:23" x14ac:dyDescent="0.55000000000000004">
      <c r="W21972"/>
    </row>
    <row r="21973" spans="23:23" x14ac:dyDescent="0.55000000000000004">
      <c r="W21973"/>
    </row>
    <row r="21974" spans="23:23" x14ac:dyDescent="0.55000000000000004">
      <c r="W21974"/>
    </row>
    <row r="21975" spans="23:23" x14ac:dyDescent="0.55000000000000004">
      <c r="W21975"/>
    </row>
    <row r="21976" spans="23:23" x14ac:dyDescent="0.55000000000000004">
      <c r="W21976"/>
    </row>
    <row r="21977" spans="23:23" x14ac:dyDescent="0.55000000000000004">
      <c r="W21977"/>
    </row>
    <row r="21978" spans="23:23" x14ac:dyDescent="0.55000000000000004">
      <c r="W21978"/>
    </row>
    <row r="21979" spans="23:23" x14ac:dyDescent="0.55000000000000004">
      <c r="W21979"/>
    </row>
    <row r="21980" spans="23:23" x14ac:dyDescent="0.55000000000000004">
      <c r="W21980"/>
    </row>
    <row r="21981" spans="23:23" x14ac:dyDescent="0.55000000000000004">
      <c r="W21981"/>
    </row>
    <row r="21982" spans="23:23" x14ac:dyDescent="0.55000000000000004">
      <c r="W21982"/>
    </row>
    <row r="21983" spans="23:23" x14ac:dyDescent="0.55000000000000004">
      <c r="W21983"/>
    </row>
    <row r="21984" spans="23:23" x14ac:dyDescent="0.55000000000000004">
      <c r="W21984"/>
    </row>
    <row r="21985" spans="23:23" x14ac:dyDescent="0.55000000000000004">
      <c r="W21985"/>
    </row>
    <row r="21986" spans="23:23" x14ac:dyDescent="0.55000000000000004">
      <c r="W21986"/>
    </row>
    <row r="21987" spans="23:23" x14ac:dyDescent="0.55000000000000004">
      <c r="W21987"/>
    </row>
    <row r="21988" spans="23:23" x14ac:dyDescent="0.55000000000000004">
      <c r="W21988"/>
    </row>
    <row r="21989" spans="23:23" x14ac:dyDescent="0.55000000000000004">
      <c r="W21989"/>
    </row>
    <row r="21990" spans="23:23" x14ac:dyDescent="0.55000000000000004">
      <c r="W21990"/>
    </row>
    <row r="21991" spans="23:23" x14ac:dyDescent="0.55000000000000004">
      <c r="W21991"/>
    </row>
    <row r="21992" spans="23:23" x14ac:dyDescent="0.55000000000000004">
      <c r="W21992"/>
    </row>
    <row r="21993" spans="23:23" x14ac:dyDescent="0.55000000000000004">
      <c r="W21993"/>
    </row>
    <row r="21994" spans="23:23" x14ac:dyDescent="0.55000000000000004">
      <c r="W21994"/>
    </row>
    <row r="21995" spans="23:23" x14ac:dyDescent="0.55000000000000004">
      <c r="W21995"/>
    </row>
    <row r="21996" spans="23:23" x14ac:dyDescent="0.55000000000000004">
      <c r="W21996"/>
    </row>
    <row r="21997" spans="23:23" x14ac:dyDescent="0.55000000000000004">
      <c r="W21997"/>
    </row>
    <row r="21998" spans="23:23" x14ac:dyDescent="0.55000000000000004">
      <c r="W21998"/>
    </row>
    <row r="21999" spans="23:23" x14ac:dyDescent="0.55000000000000004">
      <c r="W21999"/>
    </row>
    <row r="22000" spans="23:23" x14ac:dyDescent="0.55000000000000004">
      <c r="W22000"/>
    </row>
    <row r="22001" spans="23:23" x14ac:dyDescent="0.55000000000000004">
      <c r="W22001"/>
    </row>
    <row r="22002" spans="23:23" x14ac:dyDescent="0.55000000000000004">
      <c r="W22002"/>
    </row>
    <row r="22003" spans="23:23" x14ac:dyDescent="0.55000000000000004">
      <c r="W22003"/>
    </row>
    <row r="22004" spans="23:23" x14ac:dyDescent="0.55000000000000004">
      <c r="W22004"/>
    </row>
    <row r="22005" spans="23:23" x14ac:dyDescent="0.55000000000000004">
      <c r="W22005"/>
    </row>
    <row r="22006" spans="23:23" x14ac:dyDescent="0.55000000000000004">
      <c r="W22006"/>
    </row>
    <row r="22007" spans="23:23" x14ac:dyDescent="0.55000000000000004">
      <c r="W22007"/>
    </row>
    <row r="22008" spans="23:23" x14ac:dyDescent="0.55000000000000004">
      <c r="W22008"/>
    </row>
    <row r="22009" spans="23:23" x14ac:dyDescent="0.55000000000000004">
      <c r="W22009"/>
    </row>
    <row r="22010" spans="23:23" x14ac:dyDescent="0.55000000000000004">
      <c r="W22010"/>
    </row>
    <row r="22011" spans="23:23" x14ac:dyDescent="0.55000000000000004">
      <c r="W22011"/>
    </row>
    <row r="22012" spans="23:23" x14ac:dyDescent="0.55000000000000004">
      <c r="W22012"/>
    </row>
    <row r="22013" spans="23:23" x14ac:dyDescent="0.55000000000000004">
      <c r="W22013"/>
    </row>
    <row r="22014" spans="23:23" x14ac:dyDescent="0.55000000000000004">
      <c r="W22014"/>
    </row>
    <row r="22015" spans="23:23" x14ac:dyDescent="0.55000000000000004">
      <c r="W22015"/>
    </row>
    <row r="22016" spans="23:23" x14ac:dyDescent="0.55000000000000004">
      <c r="W22016"/>
    </row>
    <row r="22017" spans="23:23" x14ac:dyDescent="0.55000000000000004">
      <c r="W22017"/>
    </row>
    <row r="22018" spans="23:23" x14ac:dyDescent="0.55000000000000004">
      <c r="W22018"/>
    </row>
    <row r="22019" spans="23:23" x14ac:dyDescent="0.55000000000000004">
      <c r="W22019"/>
    </row>
    <row r="22020" spans="23:23" x14ac:dyDescent="0.55000000000000004">
      <c r="W22020"/>
    </row>
    <row r="22021" spans="23:23" x14ac:dyDescent="0.55000000000000004">
      <c r="W22021"/>
    </row>
    <row r="22022" spans="23:23" x14ac:dyDescent="0.55000000000000004">
      <c r="W22022"/>
    </row>
    <row r="22023" spans="23:23" x14ac:dyDescent="0.55000000000000004">
      <c r="W22023"/>
    </row>
    <row r="22024" spans="23:23" x14ac:dyDescent="0.55000000000000004">
      <c r="W22024"/>
    </row>
    <row r="22025" spans="23:23" x14ac:dyDescent="0.55000000000000004">
      <c r="W22025"/>
    </row>
    <row r="22026" spans="23:23" x14ac:dyDescent="0.55000000000000004">
      <c r="W22026"/>
    </row>
    <row r="22027" spans="23:23" x14ac:dyDescent="0.55000000000000004">
      <c r="W22027"/>
    </row>
    <row r="22028" spans="23:23" x14ac:dyDescent="0.55000000000000004">
      <c r="W22028"/>
    </row>
    <row r="22029" spans="23:23" x14ac:dyDescent="0.55000000000000004">
      <c r="W22029"/>
    </row>
    <row r="22030" spans="23:23" x14ac:dyDescent="0.55000000000000004">
      <c r="W22030"/>
    </row>
    <row r="22031" spans="23:23" x14ac:dyDescent="0.55000000000000004">
      <c r="W22031"/>
    </row>
    <row r="22032" spans="23:23" x14ac:dyDescent="0.55000000000000004">
      <c r="W22032"/>
    </row>
    <row r="22033" spans="23:23" x14ac:dyDescent="0.55000000000000004">
      <c r="W22033"/>
    </row>
    <row r="22034" spans="23:23" x14ac:dyDescent="0.55000000000000004">
      <c r="W22034"/>
    </row>
    <row r="22035" spans="23:23" x14ac:dyDescent="0.55000000000000004">
      <c r="W22035"/>
    </row>
    <row r="22036" spans="23:23" x14ac:dyDescent="0.55000000000000004">
      <c r="W22036"/>
    </row>
    <row r="22037" spans="23:23" x14ac:dyDescent="0.55000000000000004">
      <c r="W22037"/>
    </row>
    <row r="22038" spans="23:23" x14ac:dyDescent="0.55000000000000004">
      <c r="W22038"/>
    </row>
    <row r="22039" spans="23:23" x14ac:dyDescent="0.55000000000000004">
      <c r="W22039"/>
    </row>
    <row r="22040" spans="23:23" x14ac:dyDescent="0.55000000000000004">
      <c r="W22040"/>
    </row>
    <row r="22041" spans="23:23" x14ac:dyDescent="0.55000000000000004">
      <c r="W22041"/>
    </row>
    <row r="22042" spans="23:23" x14ac:dyDescent="0.55000000000000004">
      <c r="W22042"/>
    </row>
    <row r="22043" spans="23:23" x14ac:dyDescent="0.55000000000000004">
      <c r="W22043"/>
    </row>
    <row r="22044" spans="23:23" x14ac:dyDescent="0.55000000000000004">
      <c r="W22044"/>
    </row>
    <row r="22045" spans="23:23" x14ac:dyDescent="0.55000000000000004">
      <c r="W22045"/>
    </row>
    <row r="22046" spans="23:23" x14ac:dyDescent="0.55000000000000004">
      <c r="W22046"/>
    </row>
    <row r="22047" spans="23:23" x14ac:dyDescent="0.55000000000000004">
      <c r="W22047"/>
    </row>
    <row r="22048" spans="23:23" x14ac:dyDescent="0.55000000000000004">
      <c r="W22048"/>
    </row>
    <row r="22049" spans="23:23" x14ac:dyDescent="0.55000000000000004">
      <c r="W22049"/>
    </row>
    <row r="22050" spans="23:23" x14ac:dyDescent="0.55000000000000004">
      <c r="W22050"/>
    </row>
    <row r="22051" spans="23:23" x14ac:dyDescent="0.55000000000000004">
      <c r="W22051"/>
    </row>
    <row r="22052" spans="23:23" x14ac:dyDescent="0.55000000000000004">
      <c r="W22052"/>
    </row>
    <row r="22053" spans="23:23" x14ac:dyDescent="0.55000000000000004">
      <c r="W22053"/>
    </row>
    <row r="22054" spans="23:23" x14ac:dyDescent="0.55000000000000004">
      <c r="W22054"/>
    </row>
    <row r="22055" spans="23:23" x14ac:dyDescent="0.55000000000000004">
      <c r="W22055"/>
    </row>
    <row r="22056" spans="23:23" x14ac:dyDescent="0.55000000000000004">
      <c r="W22056"/>
    </row>
    <row r="22057" spans="23:23" x14ac:dyDescent="0.55000000000000004">
      <c r="W22057"/>
    </row>
    <row r="22058" spans="23:23" x14ac:dyDescent="0.55000000000000004">
      <c r="W22058"/>
    </row>
    <row r="22059" spans="23:23" x14ac:dyDescent="0.55000000000000004">
      <c r="W22059"/>
    </row>
    <row r="22060" spans="23:23" x14ac:dyDescent="0.55000000000000004">
      <c r="W22060"/>
    </row>
    <row r="22061" spans="23:23" x14ac:dyDescent="0.55000000000000004">
      <c r="W22061"/>
    </row>
    <row r="22062" spans="23:23" x14ac:dyDescent="0.55000000000000004">
      <c r="W22062"/>
    </row>
    <row r="22063" spans="23:23" x14ac:dyDescent="0.55000000000000004">
      <c r="W22063"/>
    </row>
    <row r="22064" spans="23:23" x14ac:dyDescent="0.55000000000000004">
      <c r="W22064"/>
    </row>
    <row r="22065" spans="23:23" x14ac:dyDescent="0.55000000000000004">
      <c r="W22065"/>
    </row>
    <row r="22066" spans="23:23" x14ac:dyDescent="0.55000000000000004">
      <c r="W22066"/>
    </row>
    <row r="22067" spans="23:23" x14ac:dyDescent="0.55000000000000004">
      <c r="W22067"/>
    </row>
    <row r="22068" spans="23:23" x14ac:dyDescent="0.55000000000000004">
      <c r="W22068"/>
    </row>
    <row r="22069" spans="23:23" x14ac:dyDescent="0.55000000000000004">
      <c r="W22069"/>
    </row>
    <row r="22070" spans="23:23" x14ac:dyDescent="0.55000000000000004">
      <c r="W22070"/>
    </row>
    <row r="22071" spans="23:23" x14ac:dyDescent="0.55000000000000004">
      <c r="W22071"/>
    </row>
    <row r="22072" spans="23:23" x14ac:dyDescent="0.55000000000000004">
      <c r="W22072"/>
    </row>
    <row r="22073" spans="23:23" x14ac:dyDescent="0.55000000000000004">
      <c r="W22073"/>
    </row>
    <row r="22074" spans="23:23" x14ac:dyDescent="0.55000000000000004">
      <c r="W22074"/>
    </row>
    <row r="22075" spans="23:23" x14ac:dyDescent="0.55000000000000004">
      <c r="W22075"/>
    </row>
    <row r="22076" spans="23:23" x14ac:dyDescent="0.55000000000000004">
      <c r="W22076"/>
    </row>
    <row r="22077" spans="23:23" x14ac:dyDescent="0.55000000000000004">
      <c r="W22077"/>
    </row>
    <row r="22078" spans="23:23" x14ac:dyDescent="0.55000000000000004">
      <c r="W22078"/>
    </row>
    <row r="22079" spans="23:23" x14ac:dyDescent="0.55000000000000004">
      <c r="W22079"/>
    </row>
    <row r="22080" spans="23:23" x14ac:dyDescent="0.55000000000000004">
      <c r="W22080"/>
    </row>
    <row r="22081" spans="23:23" x14ac:dyDescent="0.55000000000000004">
      <c r="W22081"/>
    </row>
    <row r="22082" spans="23:23" x14ac:dyDescent="0.55000000000000004">
      <c r="W22082"/>
    </row>
    <row r="22083" spans="23:23" x14ac:dyDescent="0.55000000000000004">
      <c r="W22083"/>
    </row>
    <row r="22084" spans="23:23" x14ac:dyDescent="0.55000000000000004">
      <c r="W22084"/>
    </row>
    <row r="22085" spans="23:23" x14ac:dyDescent="0.55000000000000004">
      <c r="W22085"/>
    </row>
    <row r="22086" spans="23:23" x14ac:dyDescent="0.55000000000000004">
      <c r="W22086"/>
    </row>
    <row r="22087" spans="23:23" x14ac:dyDescent="0.55000000000000004">
      <c r="W22087"/>
    </row>
    <row r="22088" spans="23:23" x14ac:dyDescent="0.55000000000000004">
      <c r="W22088"/>
    </row>
    <row r="22089" spans="23:23" x14ac:dyDescent="0.55000000000000004">
      <c r="W22089"/>
    </row>
    <row r="22090" spans="23:23" x14ac:dyDescent="0.55000000000000004">
      <c r="W22090"/>
    </row>
    <row r="22091" spans="23:23" x14ac:dyDescent="0.55000000000000004">
      <c r="W22091"/>
    </row>
    <row r="22092" spans="23:23" x14ac:dyDescent="0.55000000000000004">
      <c r="W22092"/>
    </row>
    <row r="22093" spans="23:23" x14ac:dyDescent="0.55000000000000004">
      <c r="W22093"/>
    </row>
    <row r="22094" spans="23:23" x14ac:dyDescent="0.55000000000000004">
      <c r="W22094"/>
    </row>
    <row r="22095" spans="23:23" x14ac:dyDescent="0.55000000000000004">
      <c r="W22095"/>
    </row>
    <row r="22096" spans="23:23" x14ac:dyDescent="0.55000000000000004">
      <c r="W22096"/>
    </row>
    <row r="22097" spans="23:23" x14ac:dyDescent="0.55000000000000004">
      <c r="W22097"/>
    </row>
    <row r="22098" spans="23:23" x14ac:dyDescent="0.55000000000000004">
      <c r="W22098"/>
    </row>
    <row r="22099" spans="23:23" x14ac:dyDescent="0.55000000000000004">
      <c r="W22099"/>
    </row>
    <row r="22100" spans="23:23" x14ac:dyDescent="0.55000000000000004">
      <c r="W22100"/>
    </row>
    <row r="22101" spans="23:23" x14ac:dyDescent="0.55000000000000004">
      <c r="W22101"/>
    </row>
    <row r="22102" spans="23:23" x14ac:dyDescent="0.55000000000000004">
      <c r="W22102"/>
    </row>
    <row r="22103" spans="23:23" x14ac:dyDescent="0.55000000000000004">
      <c r="W22103"/>
    </row>
    <row r="22104" spans="23:23" x14ac:dyDescent="0.55000000000000004">
      <c r="W22104"/>
    </row>
    <row r="22105" spans="23:23" x14ac:dyDescent="0.55000000000000004">
      <c r="W22105"/>
    </row>
    <row r="22106" spans="23:23" x14ac:dyDescent="0.55000000000000004">
      <c r="W22106"/>
    </row>
    <row r="22107" spans="23:23" x14ac:dyDescent="0.55000000000000004">
      <c r="W22107"/>
    </row>
    <row r="22108" spans="23:23" x14ac:dyDescent="0.55000000000000004">
      <c r="W22108"/>
    </row>
    <row r="22109" spans="23:23" x14ac:dyDescent="0.55000000000000004">
      <c r="W22109"/>
    </row>
    <row r="22110" spans="23:23" x14ac:dyDescent="0.55000000000000004">
      <c r="W22110"/>
    </row>
    <row r="22111" spans="23:23" x14ac:dyDescent="0.55000000000000004">
      <c r="W22111"/>
    </row>
    <row r="22112" spans="23:23" x14ac:dyDescent="0.55000000000000004">
      <c r="W22112"/>
    </row>
    <row r="22113" spans="23:23" x14ac:dyDescent="0.55000000000000004">
      <c r="W22113"/>
    </row>
    <row r="22114" spans="23:23" x14ac:dyDescent="0.55000000000000004">
      <c r="W22114"/>
    </row>
    <row r="22115" spans="23:23" x14ac:dyDescent="0.55000000000000004">
      <c r="W22115"/>
    </row>
    <row r="22116" spans="23:23" x14ac:dyDescent="0.55000000000000004">
      <c r="W22116"/>
    </row>
    <row r="22117" spans="23:23" x14ac:dyDescent="0.55000000000000004">
      <c r="W22117"/>
    </row>
    <row r="22118" spans="23:23" x14ac:dyDescent="0.55000000000000004">
      <c r="W22118"/>
    </row>
    <row r="22119" spans="23:23" x14ac:dyDescent="0.55000000000000004">
      <c r="W22119"/>
    </row>
    <row r="22120" spans="23:23" x14ac:dyDescent="0.55000000000000004">
      <c r="W22120"/>
    </row>
    <row r="22121" spans="23:23" x14ac:dyDescent="0.55000000000000004">
      <c r="W22121"/>
    </row>
    <row r="22122" spans="23:23" x14ac:dyDescent="0.55000000000000004">
      <c r="W22122"/>
    </row>
    <row r="22123" spans="23:23" x14ac:dyDescent="0.55000000000000004">
      <c r="W22123"/>
    </row>
    <row r="22124" spans="23:23" x14ac:dyDescent="0.55000000000000004">
      <c r="W22124"/>
    </row>
    <row r="22125" spans="23:23" x14ac:dyDescent="0.55000000000000004">
      <c r="W22125"/>
    </row>
    <row r="22126" spans="23:23" x14ac:dyDescent="0.55000000000000004">
      <c r="W22126"/>
    </row>
    <row r="22127" spans="23:23" x14ac:dyDescent="0.55000000000000004">
      <c r="W22127"/>
    </row>
    <row r="22128" spans="23:23" x14ac:dyDescent="0.55000000000000004">
      <c r="W22128"/>
    </row>
    <row r="22129" spans="23:23" x14ac:dyDescent="0.55000000000000004">
      <c r="W22129"/>
    </row>
    <row r="22130" spans="23:23" x14ac:dyDescent="0.55000000000000004">
      <c r="W22130"/>
    </row>
    <row r="22131" spans="23:23" x14ac:dyDescent="0.55000000000000004">
      <c r="W22131"/>
    </row>
    <row r="22132" spans="23:23" x14ac:dyDescent="0.55000000000000004">
      <c r="W22132"/>
    </row>
    <row r="22133" spans="23:23" x14ac:dyDescent="0.55000000000000004">
      <c r="W22133"/>
    </row>
    <row r="22134" spans="23:23" x14ac:dyDescent="0.55000000000000004">
      <c r="W22134"/>
    </row>
    <row r="22135" spans="23:23" x14ac:dyDescent="0.55000000000000004">
      <c r="W22135"/>
    </row>
    <row r="22136" spans="23:23" x14ac:dyDescent="0.55000000000000004">
      <c r="W22136"/>
    </row>
    <row r="22137" spans="23:23" x14ac:dyDescent="0.55000000000000004">
      <c r="W22137"/>
    </row>
    <row r="22138" spans="23:23" x14ac:dyDescent="0.55000000000000004">
      <c r="W22138"/>
    </row>
    <row r="22139" spans="23:23" x14ac:dyDescent="0.55000000000000004">
      <c r="W22139"/>
    </row>
    <row r="22140" spans="23:23" x14ac:dyDescent="0.55000000000000004">
      <c r="W22140"/>
    </row>
    <row r="22141" spans="23:23" x14ac:dyDescent="0.55000000000000004">
      <c r="W22141"/>
    </row>
    <row r="22142" spans="23:23" x14ac:dyDescent="0.55000000000000004">
      <c r="W22142"/>
    </row>
    <row r="22143" spans="23:23" x14ac:dyDescent="0.55000000000000004">
      <c r="W22143"/>
    </row>
    <row r="22144" spans="23:23" x14ac:dyDescent="0.55000000000000004">
      <c r="W22144"/>
    </row>
    <row r="22145" spans="23:23" x14ac:dyDescent="0.55000000000000004">
      <c r="W22145"/>
    </row>
    <row r="22146" spans="23:23" x14ac:dyDescent="0.55000000000000004">
      <c r="W22146"/>
    </row>
    <row r="22147" spans="23:23" x14ac:dyDescent="0.55000000000000004">
      <c r="W22147"/>
    </row>
    <row r="22148" spans="23:23" x14ac:dyDescent="0.55000000000000004">
      <c r="W22148"/>
    </row>
    <row r="22149" spans="23:23" x14ac:dyDescent="0.55000000000000004">
      <c r="W22149"/>
    </row>
    <row r="22150" spans="23:23" x14ac:dyDescent="0.55000000000000004">
      <c r="W22150"/>
    </row>
    <row r="22151" spans="23:23" x14ac:dyDescent="0.55000000000000004">
      <c r="W22151"/>
    </row>
    <row r="22152" spans="23:23" x14ac:dyDescent="0.55000000000000004">
      <c r="W22152"/>
    </row>
    <row r="22153" spans="23:23" x14ac:dyDescent="0.55000000000000004">
      <c r="W22153"/>
    </row>
    <row r="22154" spans="23:23" x14ac:dyDescent="0.55000000000000004">
      <c r="W22154"/>
    </row>
    <row r="22155" spans="23:23" x14ac:dyDescent="0.55000000000000004">
      <c r="W22155"/>
    </row>
    <row r="22156" spans="23:23" x14ac:dyDescent="0.55000000000000004">
      <c r="W22156"/>
    </row>
    <row r="22157" spans="23:23" x14ac:dyDescent="0.55000000000000004">
      <c r="W22157"/>
    </row>
    <row r="22158" spans="23:23" x14ac:dyDescent="0.55000000000000004">
      <c r="W22158"/>
    </row>
    <row r="22159" spans="23:23" x14ac:dyDescent="0.55000000000000004">
      <c r="W22159"/>
    </row>
    <row r="22160" spans="23:23" x14ac:dyDescent="0.55000000000000004">
      <c r="W22160"/>
    </row>
    <row r="22161" spans="23:23" x14ac:dyDescent="0.55000000000000004">
      <c r="W22161"/>
    </row>
    <row r="22162" spans="23:23" x14ac:dyDescent="0.55000000000000004">
      <c r="W22162"/>
    </row>
    <row r="22163" spans="23:23" x14ac:dyDescent="0.55000000000000004">
      <c r="W22163"/>
    </row>
    <row r="22164" spans="23:23" x14ac:dyDescent="0.55000000000000004">
      <c r="W22164"/>
    </row>
    <row r="22165" spans="23:23" x14ac:dyDescent="0.55000000000000004">
      <c r="W22165"/>
    </row>
    <row r="22166" spans="23:23" x14ac:dyDescent="0.55000000000000004">
      <c r="W22166"/>
    </row>
    <row r="22167" spans="23:23" x14ac:dyDescent="0.55000000000000004">
      <c r="W22167"/>
    </row>
    <row r="22168" spans="23:23" x14ac:dyDescent="0.55000000000000004">
      <c r="W22168"/>
    </row>
    <row r="22169" spans="23:23" x14ac:dyDescent="0.55000000000000004">
      <c r="W22169"/>
    </row>
    <row r="22170" spans="23:23" x14ac:dyDescent="0.55000000000000004">
      <c r="W22170"/>
    </row>
    <row r="22171" spans="23:23" x14ac:dyDescent="0.55000000000000004">
      <c r="W22171"/>
    </row>
    <row r="22172" spans="23:23" x14ac:dyDescent="0.55000000000000004">
      <c r="W22172"/>
    </row>
    <row r="22173" spans="23:23" x14ac:dyDescent="0.55000000000000004">
      <c r="W22173"/>
    </row>
    <row r="22174" spans="23:23" x14ac:dyDescent="0.55000000000000004">
      <c r="W22174"/>
    </row>
    <row r="22175" spans="23:23" x14ac:dyDescent="0.55000000000000004">
      <c r="W22175"/>
    </row>
    <row r="22176" spans="23:23" x14ac:dyDescent="0.55000000000000004">
      <c r="W22176"/>
    </row>
    <row r="22177" spans="23:23" x14ac:dyDescent="0.55000000000000004">
      <c r="W22177"/>
    </row>
    <row r="22178" spans="23:23" x14ac:dyDescent="0.55000000000000004">
      <c r="W22178"/>
    </row>
    <row r="22179" spans="23:23" x14ac:dyDescent="0.55000000000000004">
      <c r="W22179"/>
    </row>
    <row r="22180" spans="23:23" x14ac:dyDescent="0.55000000000000004">
      <c r="W22180"/>
    </row>
    <row r="22181" spans="23:23" x14ac:dyDescent="0.55000000000000004">
      <c r="W22181"/>
    </row>
    <row r="22182" spans="23:23" x14ac:dyDescent="0.55000000000000004">
      <c r="W22182"/>
    </row>
    <row r="22183" spans="23:23" x14ac:dyDescent="0.55000000000000004">
      <c r="W22183"/>
    </row>
    <row r="22184" spans="23:23" x14ac:dyDescent="0.55000000000000004">
      <c r="W22184"/>
    </row>
    <row r="22185" spans="23:23" x14ac:dyDescent="0.55000000000000004">
      <c r="W22185"/>
    </row>
    <row r="22186" spans="23:23" x14ac:dyDescent="0.55000000000000004">
      <c r="W22186"/>
    </row>
    <row r="22187" spans="23:23" x14ac:dyDescent="0.55000000000000004">
      <c r="W22187"/>
    </row>
    <row r="22188" spans="23:23" x14ac:dyDescent="0.55000000000000004">
      <c r="W22188"/>
    </row>
    <row r="22189" spans="23:23" x14ac:dyDescent="0.55000000000000004">
      <c r="W22189"/>
    </row>
    <row r="22190" spans="23:23" x14ac:dyDescent="0.55000000000000004">
      <c r="W22190"/>
    </row>
    <row r="22191" spans="23:23" x14ac:dyDescent="0.55000000000000004">
      <c r="W22191"/>
    </row>
    <row r="22192" spans="23:23" x14ac:dyDescent="0.55000000000000004">
      <c r="W22192"/>
    </row>
    <row r="22193" spans="23:23" x14ac:dyDescent="0.55000000000000004">
      <c r="W22193"/>
    </row>
    <row r="22194" spans="23:23" x14ac:dyDescent="0.55000000000000004">
      <c r="W22194"/>
    </row>
    <row r="22195" spans="23:23" x14ac:dyDescent="0.55000000000000004">
      <c r="W22195"/>
    </row>
    <row r="22196" spans="23:23" x14ac:dyDescent="0.55000000000000004">
      <c r="W22196"/>
    </row>
    <row r="22197" spans="23:23" x14ac:dyDescent="0.55000000000000004">
      <c r="W22197"/>
    </row>
    <row r="22198" spans="23:23" x14ac:dyDescent="0.55000000000000004">
      <c r="W22198"/>
    </row>
    <row r="22199" spans="23:23" x14ac:dyDescent="0.55000000000000004">
      <c r="W22199"/>
    </row>
    <row r="22200" spans="23:23" x14ac:dyDescent="0.55000000000000004">
      <c r="W22200"/>
    </row>
    <row r="22201" spans="23:23" x14ac:dyDescent="0.55000000000000004">
      <c r="W22201"/>
    </row>
    <row r="22202" spans="23:23" x14ac:dyDescent="0.55000000000000004">
      <c r="W22202"/>
    </row>
    <row r="22203" spans="23:23" x14ac:dyDescent="0.55000000000000004">
      <c r="W22203"/>
    </row>
    <row r="22204" spans="23:23" x14ac:dyDescent="0.55000000000000004">
      <c r="W22204"/>
    </row>
    <row r="22205" spans="23:23" x14ac:dyDescent="0.55000000000000004">
      <c r="W22205"/>
    </row>
    <row r="22206" spans="23:23" x14ac:dyDescent="0.55000000000000004">
      <c r="W22206"/>
    </row>
    <row r="22207" spans="23:23" x14ac:dyDescent="0.55000000000000004">
      <c r="W22207"/>
    </row>
    <row r="22208" spans="23:23" x14ac:dyDescent="0.55000000000000004">
      <c r="W22208"/>
    </row>
    <row r="22209" spans="23:23" x14ac:dyDescent="0.55000000000000004">
      <c r="W22209"/>
    </row>
    <row r="22210" spans="23:23" x14ac:dyDescent="0.55000000000000004">
      <c r="W22210"/>
    </row>
    <row r="22211" spans="23:23" x14ac:dyDescent="0.55000000000000004">
      <c r="W22211"/>
    </row>
    <row r="22212" spans="23:23" x14ac:dyDescent="0.55000000000000004">
      <c r="W22212"/>
    </row>
    <row r="22213" spans="23:23" x14ac:dyDescent="0.55000000000000004">
      <c r="W22213"/>
    </row>
    <row r="22214" spans="23:23" x14ac:dyDescent="0.55000000000000004">
      <c r="W22214"/>
    </row>
    <row r="22215" spans="23:23" x14ac:dyDescent="0.55000000000000004">
      <c r="W22215"/>
    </row>
    <row r="22216" spans="23:23" x14ac:dyDescent="0.55000000000000004">
      <c r="W22216"/>
    </row>
    <row r="22217" spans="23:23" x14ac:dyDescent="0.55000000000000004">
      <c r="W22217"/>
    </row>
    <row r="22218" spans="23:23" x14ac:dyDescent="0.55000000000000004">
      <c r="W22218"/>
    </row>
    <row r="22219" spans="23:23" x14ac:dyDescent="0.55000000000000004">
      <c r="W22219"/>
    </row>
    <row r="22220" spans="23:23" x14ac:dyDescent="0.55000000000000004">
      <c r="W22220"/>
    </row>
    <row r="22221" spans="23:23" x14ac:dyDescent="0.55000000000000004">
      <c r="W22221"/>
    </row>
    <row r="22222" spans="23:23" x14ac:dyDescent="0.55000000000000004">
      <c r="W22222"/>
    </row>
    <row r="22223" spans="23:23" x14ac:dyDescent="0.55000000000000004">
      <c r="W22223"/>
    </row>
    <row r="22224" spans="23:23" x14ac:dyDescent="0.55000000000000004">
      <c r="W22224"/>
    </row>
    <row r="22225" spans="23:23" x14ac:dyDescent="0.55000000000000004">
      <c r="W22225"/>
    </row>
    <row r="22226" spans="23:23" x14ac:dyDescent="0.55000000000000004">
      <c r="W22226"/>
    </row>
    <row r="22227" spans="23:23" x14ac:dyDescent="0.55000000000000004">
      <c r="W22227"/>
    </row>
    <row r="22228" spans="23:23" x14ac:dyDescent="0.55000000000000004">
      <c r="W22228"/>
    </row>
    <row r="22229" spans="23:23" x14ac:dyDescent="0.55000000000000004">
      <c r="W22229"/>
    </row>
    <row r="22230" spans="23:23" x14ac:dyDescent="0.55000000000000004">
      <c r="W22230"/>
    </row>
    <row r="22231" spans="23:23" x14ac:dyDescent="0.55000000000000004">
      <c r="W22231"/>
    </row>
    <row r="22232" spans="23:23" x14ac:dyDescent="0.55000000000000004">
      <c r="W22232"/>
    </row>
    <row r="22233" spans="23:23" x14ac:dyDescent="0.55000000000000004">
      <c r="W22233"/>
    </row>
    <row r="22234" spans="23:23" x14ac:dyDescent="0.55000000000000004">
      <c r="W22234"/>
    </row>
    <row r="22235" spans="23:23" x14ac:dyDescent="0.55000000000000004">
      <c r="W22235"/>
    </row>
    <row r="22236" spans="23:23" x14ac:dyDescent="0.55000000000000004">
      <c r="W22236"/>
    </row>
    <row r="22237" spans="23:23" x14ac:dyDescent="0.55000000000000004">
      <c r="W22237"/>
    </row>
    <row r="22238" spans="23:23" x14ac:dyDescent="0.55000000000000004">
      <c r="W22238"/>
    </row>
    <row r="22239" spans="23:23" x14ac:dyDescent="0.55000000000000004">
      <c r="W22239"/>
    </row>
    <row r="22240" spans="23:23" x14ac:dyDescent="0.55000000000000004">
      <c r="W22240"/>
    </row>
    <row r="22241" spans="23:23" x14ac:dyDescent="0.55000000000000004">
      <c r="W22241"/>
    </row>
    <row r="22242" spans="23:23" x14ac:dyDescent="0.55000000000000004">
      <c r="W22242"/>
    </row>
    <row r="22243" spans="23:23" x14ac:dyDescent="0.55000000000000004">
      <c r="W22243"/>
    </row>
    <row r="22244" spans="23:23" x14ac:dyDescent="0.55000000000000004">
      <c r="W22244"/>
    </row>
    <row r="22245" spans="23:23" x14ac:dyDescent="0.55000000000000004">
      <c r="W22245"/>
    </row>
    <row r="22246" spans="23:23" x14ac:dyDescent="0.55000000000000004">
      <c r="W22246"/>
    </row>
    <row r="22247" spans="23:23" x14ac:dyDescent="0.55000000000000004">
      <c r="W22247"/>
    </row>
    <row r="22248" spans="23:23" x14ac:dyDescent="0.55000000000000004">
      <c r="W22248"/>
    </row>
    <row r="22249" spans="23:23" x14ac:dyDescent="0.55000000000000004">
      <c r="W22249"/>
    </row>
    <row r="22250" spans="23:23" x14ac:dyDescent="0.55000000000000004">
      <c r="W22250"/>
    </row>
    <row r="22251" spans="23:23" x14ac:dyDescent="0.55000000000000004">
      <c r="W22251"/>
    </row>
    <row r="22252" spans="23:23" x14ac:dyDescent="0.55000000000000004">
      <c r="W22252"/>
    </row>
    <row r="22253" spans="23:23" x14ac:dyDescent="0.55000000000000004">
      <c r="W22253"/>
    </row>
    <row r="22254" spans="23:23" x14ac:dyDescent="0.55000000000000004">
      <c r="W22254"/>
    </row>
    <row r="22255" spans="23:23" x14ac:dyDescent="0.55000000000000004">
      <c r="W22255"/>
    </row>
    <row r="22256" spans="23:23" x14ac:dyDescent="0.55000000000000004">
      <c r="W22256"/>
    </row>
    <row r="22257" spans="23:23" x14ac:dyDescent="0.55000000000000004">
      <c r="W22257"/>
    </row>
    <row r="22258" spans="23:23" x14ac:dyDescent="0.55000000000000004">
      <c r="W22258"/>
    </row>
    <row r="22259" spans="23:23" x14ac:dyDescent="0.55000000000000004">
      <c r="W22259"/>
    </row>
    <row r="22260" spans="23:23" x14ac:dyDescent="0.55000000000000004">
      <c r="W22260"/>
    </row>
    <row r="22261" spans="23:23" x14ac:dyDescent="0.55000000000000004">
      <c r="W22261"/>
    </row>
    <row r="22262" spans="23:23" x14ac:dyDescent="0.55000000000000004">
      <c r="W22262"/>
    </row>
    <row r="22263" spans="23:23" x14ac:dyDescent="0.55000000000000004">
      <c r="W22263"/>
    </row>
    <row r="22264" spans="23:23" x14ac:dyDescent="0.55000000000000004">
      <c r="W22264"/>
    </row>
    <row r="22265" spans="23:23" x14ac:dyDescent="0.55000000000000004">
      <c r="W22265"/>
    </row>
    <row r="22266" spans="23:23" x14ac:dyDescent="0.55000000000000004">
      <c r="W22266"/>
    </row>
    <row r="22267" spans="23:23" x14ac:dyDescent="0.55000000000000004">
      <c r="W22267"/>
    </row>
    <row r="22268" spans="23:23" x14ac:dyDescent="0.55000000000000004">
      <c r="W22268"/>
    </row>
    <row r="22269" spans="23:23" x14ac:dyDescent="0.55000000000000004">
      <c r="W22269"/>
    </row>
    <row r="22270" spans="23:23" x14ac:dyDescent="0.55000000000000004">
      <c r="W22270"/>
    </row>
    <row r="22271" spans="23:23" x14ac:dyDescent="0.55000000000000004">
      <c r="W22271"/>
    </row>
    <row r="22272" spans="23:23" x14ac:dyDescent="0.55000000000000004">
      <c r="W22272"/>
    </row>
    <row r="22273" spans="23:23" x14ac:dyDescent="0.55000000000000004">
      <c r="W22273"/>
    </row>
    <row r="22274" spans="23:23" x14ac:dyDescent="0.55000000000000004">
      <c r="W22274"/>
    </row>
    <row r="22275" spans="23:23" x14ac:dyDescent="0.55000000000000004">
      <c r="W22275"/>
    </row>
    <row r="22276" spans="23:23" x14ac:dyDescent="0.55000000000000004">
      <c r="W22276"/>
    </row>
    <row r="22277" spans="23:23" x14ac:dyDescent="0.55000000000000004">
      <c r="W22277"/>
    </row>
    <row r="22278" spans="23:23" x14ac:dyDescent="0.55000000000000004">
      <c r="W22278"/>
    </row>
    <row r="22279" spans="23:23" x14ac:dyDescent="0.55000000000000004">
      <c r="W22279"/>
    </row>
    <row r="22280" spans="23:23" x14ac:dyDescent="0.55000000000000004">
      <c r="W22280"/>
    </row>
    <row r="22281" spans="23:23" x14ac:dyDescent="0.55000000000000004">
      <c r="W22281"/>
    </row>
    <row r="22282" spans="23:23" x14ac:dyDescent="0.55000000000000004">
      <c r="W22282"/>
    </row>
    <row r="22283" spans="23:23" x14ac:dyDescent="0.55000000000000004">
      <c r="W22283"/>
    </row>
    <row r="22284" spans="23:23" x14ac:dyDescent="0.55000000000000004">
      <c r="W22284"/>
    </row>
    <row r="22285" spans="23:23" x14ac:dyDescent="0.55000000000000004">
      <c r="W22285"/>
    </row>
    <row r="22286" spans="23:23" x14ac:dyDescent="0.55000000000000004">
      <c r="W22286"/>
    </row>
    <row r="22287" spans="23:23" x14ac:dyDescent="0.55000000000000004">
      <c r="W22287"/>
    </row>
    <row r="22288" spans="23:23" x14ac:dyDescent="0.55000000000000004">
      <c r="W22288"/>
    </row>
    <row r="22289" spans="23:23" x14ac:dyDescent="0.55000000000000004">
      <c r="W22289"/>
    </row>
    <row r="22290" spans="23:23" x14ac:dyDescent="0.55000000000000004">
      <c r="W22290"/>
    </row>
    <row r="22291" spans="23:23" x14ac:dyDescent="0.55000000000000004">
      <c r="W22291"/>
    </row>
    <row r="22292" spans="23:23" x14ac:dyDescent="0.55000000000000004">
      <c r="W22292"/>
    </row>
    <row r="22293" spans="23:23" x14ac:dyDescent="0.55000000000000004">
      <c r="W22293"/>
    </row>
    <row r="22294" spans="23:23" x14ac:dyDescent="0.55000000000000004">
      <c r="W22294"/>
    </row>
    <row r="22295" spans="23:23" x14ac:dyDescent="0.55000000000000004">
      <c r="W22295"/>
    </row>
    <row r="22296" spans="23:23" x14ac:dyDescent="0.55000000000000004">
      <c r="W22296"/>
    </row>
    <row r="22297" spans="23:23" x14ac:dyDescent="0.55000000000000004">
      <c r="W22297"/>
    </row>
    <row r="22298" spans="23:23" x14ac:dyDescent="0.55000000000000004">
      <c r="W22298"/>
    </row>
    <row r="22299" spans="23:23" x14ac:dyDescent="0.55000000000000004">
      <c r="W22299"/>
    </row>
    <row r="22300" spans="23:23" x14ac:dyDescent="0.55000000000000004">
      <c r="W22300"/>
    </row>
    <row r="22301" spans="23:23" x14ac:dyDescent="0.55000000000000004">
      <c r="W22301"/>
    </row>
    <row r="22302" spans="23:23" x14ac:dyDescent="0.55000000000000004">
      <c r="W22302"/>
    </row>
    <row r="22303" spans="23:23" x14ac:dyDescent="0.55000000000000004">
      <c r="W22303"/>
    </row>
    <row r="22304" spans="23:23" x14ac:dyDescent="0.55000000000000004">
      <c r="W22304"/>
    </row>
    <row r="22305" spans="23:23" x14ac:dyDescent="0.55000000000000004">
      <c r="W22305"/>
    </row>
    <row r="22306" spans="23:23" x14ac:dyDescent="0.55000000000000004">
      <c r="W22306"/>
    </row>
    <row r="22307" spans="23:23" x14ac:dyDescent="0.55000000000000004">
      <c r="W22307"/>
    </row>
    <row r="22308" spans="23:23" x14ac:dyDescent="0.55000000000000004">
      <c r="W22308"/>
    </row>
    <row r="22309" spans="23:23" x14ac:dyDescent="0.55000000000000004">
      <c r="W22309"/>
    </row>
    <row r="22310" spans="23:23" x14ac:dyDescent="0.55000000000000004">
      <c r="W22310"/>
    </row>
    <row r="22311" spans="23:23" x14ac:dyDescent="0.55000000000000004">
      <c r="W22311"/>
    </row>
    <row r="22312" spans="23:23" x14ac:dyDescent="0.55000000000000004">
      <c r="W22312"/>
    </row>
    <row r="22313" spans="23:23" x14ac:dyDescent="0.55000000000000004">
      <c r="W22313"/>
    </row>
    <row r="22314" spans="23:23" x14ac:dyDescent="0.55000000000000004">
      <c r="W22314"/>
    </row>
    <row r="22315" spans="23:23" x14ac:dyDescent="0.55000000000000004">
      <c r="W22315"/>
    </row>
    <row r="22316" spans="23:23" x14ac:dyDescent="0.55000000000000004">
      <c r="W22316"/>
    </row>
    <row r="22317" spans="23:23" x14ac:dyDescent="0.55000000000000004">
      <c r="W22317"/>
    </row>
    <row r="22318" spans="23:23" x14ac:dyDescent="0.55000000000000004">
      <c r="W22318"/>
    </row>
    <row r="22319" spans="23:23" x14ac:dyDescent="0.55000000000000004">
      <c r="W22319"/>
    </row>
    <row r="22320" spans="23:23" x14ac:dyDescent="0.55000000000000004">
      <c r="W22320"/>
    </row>
    <row r="22321" spans="23:23" x14ac:dyDescent="0.55000000000000004">
      <c r="W22321"/>
    </row>
    <row r="22322" spans="23:23" x14ac:dyDescent="0.55000000000000004">
      <c r="W22322"/>
    </row>
    <row r="22323" spans="23:23" x14ac:dyDescent="0.55000000000000004">
      <c r="W22323"/>
    </row>
    <row r="22324" spans="23:23" x14ac:dyDescent="0.55000000000000004">
      <c r="W22324"/>
    </row>
    <row r="22325" spans="23:23" x14ac:dyDescent="0.55000000000000004">
      <c r="W22325"/>
    </row>
    <row r="22326" spans="23:23" x14ac:dyDescent="0.55000000000000004">
      <c r="W22326"/>
    </row>
    <row r="22327" spans="23:23" x14ac:dyDescent="0.55000000000000004">
      <c r="W22327"/>
    </row>
    <row r="22328" spans="23:23" x14ac:dyDescent="0.55000000000000004">
      <c r="W22328"/>
    </row>
    <row r="22329" spans="23:23" x14ac:dyDescent="0.55000000000000004">
      <c r="W22329"/>
    </row>
    <row r="22330" spans="23:23" x14ac:dyDescent="0.55000000000000004">
      <c r="W22330"/>
    </row>
    <row r="22331" spans="23:23" x14ac:dyDescent="0.55000000000000004">
      <c r="W22331"/>
    </row>
    <row r="22332" spans="23:23" x14ac:dyDescent="0.55000000000000004">
      <c r="W22332"/>
    </row>
    <row r="22333" spans="23:23" x14ac:dyDescent="0.55000000000000004">
      <c r="W22333"/>
    </row>
    <row r="22334" spans="23:23" x14ac:dyDescent="0.55000000000000004">
      <c r="W22334"/>
    </row>
    <row r="22335" spans="23:23" x14ac:dyDescent="0.55000000000000004">
      <c r="W22335"/>
    </row>
    <row r="22336" spans="23:23" x14ac:dyDescent="0.55000000000000004">
      <c r="W22336"/>
    </row>
    <row r="22337" spans="23:23" x14ac:dyDescent="0.55000000000000004">
      <c r="W22337"/>
    </row>
    <row r="22338" spans="23:23" x14ac:dyDescent="0.55000000000000004">
      <c r="W22338"/>
    </row>
    <row r="22339" spans="23:23" x14ac:dyDescent="0.55000000000000004">
      <c r="W22339"/>
    </row>
    <row r="22340" spans="23:23" x14ac:dyDescent="0.55000000000000004">
      <c r="W22340"/>
    </row>
    <row r="22341" spans="23:23" x14ac:dyDescent="0.55000000000000004">
      <c r="W22341"/>
    </row>
    <row r="22342" spans="23:23" x14ac:dyDescent="0.55000000000000004">
      <c r="W22342"/>
    </row>
    <row r="22343" spans="23:23" x14ac:dyDescent="0.55000000000000004">
      <c r="W22343"/>
    </row>
    <row r="22344" spans="23:23" x14ac:dyDescent="0.55000000000000004">
      <c r="W22344"/>
    </row>
    <row r="22345" spans="23:23" x14ac:dyDescent="0.55000000000000004">
      <c r="W22345"/>
    </row>
    <row r="22346" spans="23:23" x14ac:dyDescent="0.55000000000000004">
      <c r="W22346"/>
    </row>
    <row r="22347" spans="23:23" x14ac:dyDescent="0.55000000000000004">
      <c r="W22347"/>
    </row>
    <row r="22348" spans="23:23" x14ac:dyDescent="0.55000000000000004">
      <c r="W22348"/>
    </row>
    <row r="22349" spans="23:23" x14ac:dyDescent="0.55000000000000004">
      <c r="W22349"/>
    </row>
    <row r="22350" spans="23:23" x14ac:dyDescent="0.55000000000000004">
      <c r="W22350"/>
    </row>
    <row r="22351" spans="23:23" x14ac:dyDescent="0.55000000000000004">
      <c r="W22351"/>
    </row>
    <row r="22352" spans="23:23" x14ac:dyDescent="0.55000000000000004">
      <c r="W22352"/>
    </row>
    <row r="22353" spans="23:23" x14ac:dyDescent="0.55000000000000004">
      <c r="W22353"/>
    </row>
    <row r="22354" spans="23:23" x14ac:dyDescent="0.55000000000000004">
      <c r="W22354"/>
    </row>
    <row r="22355" spans="23:23" x14ac:dyDescent="0.55000000000000004">
      <c r="W22355"/>
    </row>
    <row r="22356" spans="23:23" x14ac:dyDescent="0.55000000000000004">
      <c r="W22356"/>
    </row>
    <row r="22357" spans="23:23" x14ac:dyDescent="0.55000000000000004">
      <c r="W22357"/>
    </row>
    <row r="22358" spans="23:23" x14ac:dyDescent="0.55000000000000004">
      <c r="W22358"/>
    </row>
    <row r="22359" spans="23:23" x14ac:dyDescent="0.55000000000000004">
      <c r="W22359"/>
    </row>
    <row r="22360" spans="23:23" x14ac:dyDescent="0.55000000000000004">
      <c r="W22360"/>
    </row>
    <row r="22361" spans="23:23" x14ac:dyDescent="0.55000000000000004">
      <c r="W22361"/>
    </row>
    <row r="22362" spans="23:23" x14ac:dyDescent="0.55000000000000004">
      <c r="W22362"/>
    </row>
    <row r="22363" spans="23:23" x14ac:dyDescent="0.55000000000000004">
      <c r="W22363"/>
    </row>
    <row r="22364" spans="23:23" x14ac:dyDescent="0.55000000000000004">
      <c r="W22364"/>
    </row>
    <row r="22365" spans="23:23" x14ac:dyDescent="0.55000000000000004">
      <c r="W22365"/>
    </row>
    <row r="22366" spans="23:23" x14ac:dyDescent="0.55000000000000004">
      <c r="W22366"/>
    </row>
    <row r="22367" spans="23:23" x14ac:dyDescent="0.55000000000000004">
      <c r="W22367"/>
    </row>
    <row r="22368" spans="23:23" x14ac:dyDescent="0.55000000000000004">
      <c r="W22368"/>
    </row>
    <row r="22369" spans="23:23" x14ac:dyDescent="0.55000000000000004">
      <c r="W22369"/>
    </row>
    <row r="22370" spans="23:23" x14ac:dyDescent="0.55000000000000004">
      <c r="W22370"/>
    </row>
    <row r="22371" spans="23:23" x14ac:dyDescent="0.55000000000000004">
      <c r="W22371"/>
    </row>
    <row r="22372" spans="23:23" x14ac:dyDescent="0.55000000000000004">
      <c r="W22372"/>
    </row>
    <row r="22373" spans="23:23" x14ac:dyDescent="0.55000000000000004">
      <c r="W22373"/>
    </row>
    <row r="22374" spans="23:23" x14ac:dyDescent="0.55000000000000004">
      <c r="W22374"/>
    </row>
    <row r="22375" spans="23:23" x14ac:dyDescent="0.55000000000000004">
      <c r="W22375"/>
    </row>
    <row r="22376" spans="23:23" x14ac:dyDescent="0.55000000000000004">
      <c r="W22376"/>
    </row>
    <row r="22377" spans="23:23" x14ac:dyDescent="0.55000000000000004">
      <c r="W22377"/>
    </row>
    <row r="22378" spans="23:23" x14ac:dyDescent="0.55000000000000004">
      <c r="W22378"/>
    </row>
    <row r="22379" spans="23:23" x14ac:dyDescent="0.55000000000000004">
      <c r="W22379"/>
    </row>
    <row r="22380" spans="23:23" x14ac:dyDescent="0.55000000000000004">
      <c r="W22380"/>
    </row>
    <row r="22381" spans="23:23" x14ac:dyDescent="0.55000000000000004">
      <c r="W22381"/>
    </row>
    <row r="22382" spans="23:23" x14ac:dyDescent="0.55000000000000004">
      <c r="W22382"/>
    </row>
    <row r="22383" spans="23:23" x14ac:dyDescent="0.55000000000000004">
      <c r="W22383"/>
    </row>
    <row r="22384" spans="23:23" x14ac:dyDescent="0.55000000000000004">
      <c r="W22384"/>
    </row>
    <row r="22385" spans="23:23" x14ac:dyDescent="0.55000000000000004">
      <c r="W22385"/>
    </row>
    <row r="22386" spans="23:23" x14ac:dyDescent="0.55000000000000004">
      <c r="W22386"/>
    </row>
    <row r="22387" spans="23:23" x14ac:dyDescent="0.55000000000000004">
      <c r="W22387"/>
    </row>
    <row r="22388" spans="23:23" x14ac:dyDescent="0.55000000000000004">
      <c r="W22388"/>
    </row>
    <row r="22389" spans="23:23" x14ac:dyDescent="0.55000000000000004">
      <c r="W22389"/>
    </row>
    <row r="22390" spans="23:23" x14ac:dyDescent="0.55000000000000004">
      <c r="W22390"/>
    </row>
    <row r="22391" spans="23:23" x14ac:dyDescent="0.55000000000000004">
      <c r="W22391"/>
    </row>
    <row r="22392" spans="23:23" x14ac:dyDescent="0.55000000000000004">
      <c r="W22392"/>
    </row>
    <row r="22393" spans="23:23" x14ac:dyDescent="0.55000000000000004">
      <c r="W22393"/>
    </row>
    <row r="22394" spans="23:23" x14ac:dyDescent="0.55000000000000004">
      <c r="W22394"/>
    </row>
    <row r="22395" spans="23:23" x14ac:dyDescent="0.55000000000000004">
      <c r="W22395"/>
    </row>
    <row r="22396" spans="23:23" x14ac:dyDescent="0.55000000000000004">
      <c r="W22396"/>
    </row>
    <row r="22397" spans="23:23" x14ac:dyDescent="0.55000000000000004">
      <c r="W22397"/>
    </row>
    <row r="22398" spans="23:23" x14ac:dyDescent="0.55000000000000004">
      <c r="W22398"/>
    </row>
    <row r="22399" spans="23:23" x14ac:dyDescent="0.55000000000000004">
      <c r="W22399"/>
    </row>
    <row r="22400" spans="23:23" x14ac:dyDescent="0.55000000000000004">
      <c r="W22400"/>
    </row>
    <row r="22401" spans="23:23" x14ac:dyDescent="0.55000000000000004">
      <c r="W22401"/>
    </row>
    <row r="22402" spans="23:23" x14ac:dyDescent="0.55000000000000004">
      <c r="W22402"/>
    </row>
    <row r="22403" spans="23:23" x14ac:dyDescent="0.55000000000000004">
      <c r="W22403"/>
    </row>
    <row r="22404" spans="23:23" x14ac:dyDescent="0.55000000000000004">
      <c r="W22404"/>
    </row>
    <row r="22405" spans="23:23" x14ac:dyDescent="0.55000000000000004">
      <c r="W22405"/>
    </row>
    <row r="22406" spans="23:23" x14ac:dyDescent="0.55000000000000004">
      <c r="W22406"/>
    </row>
    <row r="22407" spans="23:23" x14ac:dyDescent="0.55000000000000004">
      <c r="W22407"/>
    </row>
    <row r="22408" spans="23:23" x14ac:dyDescent="0.55000000000000004">
      <c r="W22408"/>
    </row>
    <row r="22409" spans="23:23" x14ac:dyDescent="0.55000000000000004">
      <c r="W22409"/>
    </row>
    <row r="22410" spans="23:23" x14ac:dyDescent="0.55000000000000004">
      <c r="W22410"/>
    </row>
    <row r="22411" spans="23:23" x14ac:dyDescent="0.55000000000000004">
      <c r="W22411"/>
    </row>
    <row r="22412" spans="23:23" x14ac:dyDescent="0.55000000000000004">
      <c r="W22412"/>
    </row>
    <row r="22413" spans="23:23" x14ac:dyDescent="0.55000000000000004">
      <c r="W22413"/>
    </row>
    <row r="22414" spans="23:23" x14ac:dyDescent="0.55000000000000004">
      <c r="W22414"/>
    </row>
    <row r="22415" spans="23:23" x14ac:dyDescent="0.55000000000000004">
      <c r="W22415"/>
    </row>
    <row r="22416" spans="23:23" x14ac:dyDescent="0.55000000000000004">
      <c r="W22416"/>
    </row>
    <row r="22417" spans="23:23" x14ac:dyDescent="0.55000000000000004">
      <c r="W22417"/>
    </row>
    <row r="22418" spans="23:23" x14ac:dyDescent="0.55000000000000004">
      <c r="W22418"/>
    </row>
    <row r="22419" spans="23:23" x14ac:dyDescent="0.55000000000000004">
      <c r="W22419"/>
    </row>
    <row r="22420" spans="23:23" x14ac:dyDescent="0.55000000000000004">
      <c r="W22420"/>
    </row>
    <row r="22421" spans="23:23" x14ac:dyDescent="0.55000000000000004">
      <c r="W22421"/>
    </row>
    <row r="22422" spans="23:23" x14ac:dyDescent="0.55000000000000004">
      <c r="W22422"/>
    </row>
    <row r="22423" spans="23:23" x14ac:dyDescent="0.55000000000000004">
      <c r="W22423"/>
    </row>
    <row r="22424" spans="23:23" x14ac:dyDescent="0.55000000000000004">
      <c r="W22424"/>
    </row>
    <row r="22425" spans="23:23" x14ac:dyDescent="0.55000000000000004">
      <c r="W22425"/>
    </row>
    <row r="22426" spans="23:23" x14ac:dyDescent="0.55000000000000004">
      <c r="W22426"/>
    </row>
    <row r="22427" spans="23:23" x14ac:dyDescent="0.55000000000000004">
      <c r="W22427"/>
    </row>
    <row r="22428" spans="23:23" x14ac:dyDescent="0.55000000000000004">
      <c r="W22428"/>
    </row>
    <row r="22429" spans="23:23" x14ac:dyDescent="0.55000000000000004">
      <c r="W22429"/>
    </row>
    <row r="22430" spans="23:23" x14ac:dyDescent="0.55000000000000004">
      <c r="W22430"/>
    </row>
    <row r="22431" spans="23:23" x14ac:dyDescent="0.55000000000000004">
      <c r="W22431"/>
    </row>
    <row r="22432" spans="23:23" x14ac:dyDescent="0.55000000000000004">
      <c r="W22432"/>
    </row>
    <row r="22433" spans="23:23" x14ac:dyDescent="0.55000000000000004">
      <c r="W22433"/>
    </row>
    <row r="22434" spans="23:23" x14ac:dyDescent="0.55000000000000004">
      <c r="W22434"/>
    </row>
    <row r="22435" spans="23:23" x14ac:dyDescent="0.55000000000000004">
      <c r="W22435"/>
    </row>
    <row r="22436" spans="23:23" x14ac:dyDescent="0.55000000000000004">
      <c r="W22436"/>
    </row>
    <row r="22437" spans="23:23" x14ac:dyDescent="0.55000000000000004">
      <c r="W22437"/>
    </row>
    <row r="22438" spans="23:23" x14ac:dyDescent="0.55000000000000004">
      <c r="W22438"/>
    </row>
    <row r="22439" spans="23:23" x14ac:dyDescent="0.55000000000000004">
      <c r="W22439"/>
    </row>
    <row r="22440" spans="23:23" x14ac:dyDescent="0.55000000000000004">
      <c r="W22440"/>
    </row>
    <row r="22441" spans="23:23" x14ac:dyDescent="0.55000000000000004">
      <c r="W22441"/>
    </row>
    <row r="22442" spans="23:23" x14ac:dyDescent="0.55000000000000004">
      <c r="W22442"/>
    </row>
    <row r="22443" spans="23:23" x14ac:dyDescent="0.55000000000000004">
      <c r="W22443"/>
    </row>
    <row r="22444" spans="23:23" x14ac:dyDescent="0.55000000000000004">
      <c r="W22444"/>
    </row>
    <row r="22445" spans="23:23" x14ac:dyDescent="0.55000000000000004">
      <c r="W22445"/>
    </row>
    <row r="22446" spans="23:23" x14ac:dyDescent="0.55000000000000004">
      <c r="W22446"/>
    </row>
    <row r="22447" spans="23:23" x14ac:dyDescent="0.55000000000000004">
      <c r="W22447"/>
    </row>
    <row r="22448" spans="23:23" x14ac:dyDescent="0.55000000000000004">
      <c r="W22448"/>
    </row>
    <row r="22449" spans="23:23" x14ac:dyDescent="0.55000000000000004">
      <c r="W22449"/>
    </row>
    <row r="22450" spans="23:23" x14ac:dyDescent="0.55000000000000004">
      <c r="W22450"/>
    </row>
    <row r="22451" spans="23:23" x14ac:dyDescent="0.55000000000000004">
      <c r="W22451"/>
    </row>
    <row r="22452" spans="23:23" x14ac:dyDescent="0.55000000000000004">
      <c r="W22452"/>
    </row>
    <row r="22453" spans="23:23" x14ac:dyDescent="0.55000000000000004">
      <c r="W22453"/>
    </row>
    <row r="22454" spans="23:23" x14ac:dyDescent="0.55000000000000004">
      <c r="W22454"/>
    </row>
    <row r="22455" spans="23:23" x14ac:dyDescent="0.55000000000000004">
      <c r="W22455"/>
    </row>
    <row r="22456" spans="23:23" x14ac:dyDescent="0.55000000000000004">
      <c r="W22456"/>
    </row>
    <row r="22457" spans="23:23" x14ac:dyDescent="0.55000000000000004">
      <c r="W22457"/>
    </row>
    <row r="22458" spans="23:23" x14ac:dyDescent="0.55000000000000004">
      <c r="W22458"/>
    </row>
    <row r="22459" spans="23:23" x14ac:dyDescent="0.55000000000000004">
      <c r="W22459"/>
    </row>
    <row r="22460" spans="23:23" x14ac:dyDescent="0.55000000000000004">
      <c r="W22460"/>
    </row>
    <row r="22461" spans="23:23" x14ac:dyDescent="0.55000000000000004">
      <c r="W22461"/>
    </row>
    <row r="22462" spans="23:23" x14ac:dyDescent="0.55000000000000004">
      <c r="W22462"/>
    </row>
    <row r="22463" spans="23:23" x14ac:dyDescent="0.55000000000000004">
      <c r="W22463"/>
    </row>
    <row r="22464" spans="23:23" x14ac:dyDescent="0.55000000000000004">
      <c r="W22464"/>
    </row>
    <row r="22465" spans="23:23" x14ac:dyDescent="0.55000000000000004">
      <c r="W22465"/>
    </row>
    <row r="22466" spans="23:23" x14ac:dyDescent="0.55000000000000004">
      <c r="W22466"/>
    </row>
    <row r="22467" spans="23:23" x14ac:dyDescent="0.55000000000000004">
      <c r="W22467"/>
    </row>
    <row r="22468" spans="23:23" x14ac:dyDescent="0.55000000000000004">
      <c r="W22468"/>
    </row>
    <row r="22469" spans="23:23" x14ac:dyDescent="0.55000000000000004">
      <c r="W22469"/>
    </row>
    <row r="22470" spans="23:23" x14ac:dyDescent="0.55000000000000004">
      <c r="W22470"/>
    </row>
    <row r="22471" spans="23:23" x14ac:dyDescent="0.55000000000000004">
      <c r="W22471"/>
    </row>
    <row r="22472" spans="23:23" x14ac:dyDescent="0.55000000000000004">
      <c r="W22472"/>
    </row>
    <row r="22473" spans="23:23" x14ac:dyDescent="0.55000000000000004">
      <c r="W22473"/>
    </row>
    <row r="22474" spans="23:23" x14ac:dyDescent="0.55000000000000004">
      <c r="W22474"/>
    </row>
    <row r="22475" spans="23:23" x14ac:dyDescent="0.55000000000000004">
      <c r="W22475"/>
    </row>
    <row r="22476" spans="23:23" x14ac:dyDescent="0.55000000000000004">
      <c r="W22476"/>
    </row>
    <row r="22477" spans="23:23" x14ac:dyDescent="0.55000000000000004">
      <c r="W22477"/>
    </row>
    <row r="22478" spans="23:23" x14ac:dyDescent="0.55000000000000004">
      <c r="W22478"/>
    </row>
    <row r="22479" spans="23:23" x14ac:dyDescent="0.55000000000000004">
      <c r="W22479"/>
    </row>
    <row r="22480" spans="23:23" x14ac:dyDescent="0.55000000000000004">
      <c r="W22480"/>
    </row>
    <row r="22481" spans="23:23" x14ac:dyDescent="0.55000000000000004">
      <c r="W22481"/>
    </row>
    <row r="22482" spans="23:23" x14ac:dyDescent="0.55000000000000004">
      <c r="W22482"/>
    </row>
    <row r="22483" spans="23:23" x14ac:dyDescent="0.55000000000000004">
      <c r="W22483"/>
    </row>
    <row r="22484" spans="23:23" x14ac:dyDescent="0.55000000000000004">
      <c r="W22484"/>
    </row>
    <row r="22485" spans="23:23" x14ac:dyDescent="0.55000000000000004">
      <c r="W22485"/>
    </row>
    <row r="22486" spans="23:23" x14ac:dyDescent="0.55000000000000004">
      <c r="W22486"/>
    </row>
    <row r="22487" spans="23:23" x14ac:dyDescent="0.55000000000000004">
      <c r="W22487"/>
    </row>
    <row r="22488" spans="23:23" x14ac:dyDescent="0.55000000000000004">
      <c r="W22488"/>
    </row>
    <row r="22489" spans="23:23" x14ac:dyDescent="0.55000000000000004">
      <c r="W22489"/>
    </row>
    <row r="22490" spans="23:23" x14ac:dyDescent="0.55000000000000004">
      <c r="W22490"/>
    </row>
    <row r="22491" spans="23:23" x14ac:dyDescent="0.55000000000000004">
      <c r="W22491"/>
    </row>
    <row r="22492" spans="23:23" x14ac:dyDescent="0.55000000000000004">
      <c r="W22492"/>
    </row>
    <row r="22493" spans="23:23" x14ac:dyDescent="0.55000000000000004">
      <c r="W22493"/>
    </row>
    <row r="22494" spans="23:23" x14ac:dyDescent="0.55000000000000004">
      <c r="W22494"/>
    </row>
    <row r="22495" spans="23:23" x14ac:dyDescent="0.55000000000000004">
      <c r="W22495"/>
    </row>
    <row r="22496" spans="23:23" x14ac:dyDescent="0.55000000000000004">
      <c r="W22496"/>
    </row>
    <row r="22497" spans="23:23" x14ac:dyDescent="0.55000000000000004">
      <c r="W22497"/>
    </row>
    <row r="22498" spans="23:23" x14ac:dyDescent="0.55000000000000004">
      <c r="W22498"/>
    </row>
    <row r="22499" spans="23:23" x14ac:dyDescent="0.55000000000000004">
      <c r="W22499"/>
    </row>
    <row r="22500" spans="23:23" x14ac:dyDescent="0.55000000000000004">
      <c r="W22500"/>
    </row>
    <row r="22501" spans="23:23" x14ac:dyDescent="0.55000000000000004">
      <c r="W22501"/>
    </row>
    <row r="22502" spans="23:23" x14ac:dyDescent="0.55000000000000004">
      <c r="W22502"/>
    </row>
    <row r="22503" spans="23:23" x14ac:dyDescent="0.55000000000000004">
      <c r="W22503"/>
    </row>
    <row r="22504" spans="23:23" x14ac:dyDescent="0.55000000000000004">
      <c r="W22504"/>
    </row>
    <row r="22505" spans="23:23" x14ac:dyDescent="0.55000000000000004">
      <c r="W22505"/>
    </row>
    <row r="22506" spans="23:23" x14ac:dyDescent="0.55000000000000004">
      <c r="W22506"/>
    </row>
    <row r="22507" spans="23:23" x14ac:dyDescent="0.55000000000000004">
      <c r="W22507"/>
    </row>
    <row r="22508" spans="23:23" x14ac:dyDescent="0.55000000000000004">
      <c r="W22508"/>
    </row>
    <row r="22509" spans="23:23" x14ac:dyDescent="0.55000000000000004">
      <c r="W22509"/>
    </row>
    <row r="22510" spans="23:23" x14ac:dyDescent="0.55000000000000004">
      <c r="W22510"/>
    </row>
    <row r="22511" spans="23:23" x14ac:dyDescent="0.55000000000000004">
      <c r="W22511"/>
    </row>
    <row r="22512" spans="23:23" x14ac:dyDescent="0.55000000000000004">
      <c r="W22512"/>
    </row>
    <row r="22513" spans="23:23" x14ac:dyDescent="0.55000000000000004">
      <c r="W22513"/>
    </row>
    <row r="22514" spans="23:23" x14ac:dyDescent="0.55000000000000004">
      <c r="W22514"/>
    </row>
    <row r="22515" spans="23:23" x14ac:dyDescent="0.55000000000000004">
      <c r="W22515"/>
    </row>
    <row r="22516" spans="23:23" x14ac:dyDescent="0.55000000000000004">
      <c r="W22516"/>
    </row>
    <row r="22517" spans="23:23" x14ac:dyDescent="0.55000000000000004">
      <c r="W22517"/>
    </row>
    <row r="22518" spans="23:23" x14ac:dyDescent="0.55000000000000004">
      <c r="W22518"/>
    </row>
    <row r="22519" spans="23:23" x14ac:dyDescent="0.55000000000000004">
      <c r="W22519"/>
    </row>
    <row r="22520" spans="23:23" x14ac:dyDescent="0.55000000000000004">
      <c r="W22520"/>
    </row>
    <row r="22521" spans="23:23" x14ac:dyDescent="0.55000000000000004">
      <c r="W22521"/>
    </row>
    <row r="22522" spans="23:23" x14ac:dyDescent="0.55000000000000004">
      <c r="W22522"/>
    </row>
    <row r="22523" spans="23:23" x14ac:dyDescent="0.55000000000000004">
      <c r="W22523"/>
    </row>
    <row r="22524" spans="23:23" x14ac:dyDescent="0.55000000000000004">
      <c r="W22524"/>
    </row>
    <row r="22525" spans="23:23" x14ac:dyDescent="0.55000000000000004">
      <c r="W22525"/>
    </row>
    <row r="22526" spans="23:23" x14ac:dyDescent="0.55000000000000004">
      <c r="W22526"/>
    </row>
    <row r="22527" spans="23:23" x14ac:dyDescent="0.55000000000000004">
      <c r="W22527"/>
    </row>
    <row r="22528" spans="23:23" x14ac:dyDescent="0.55000000000000004">
      <c r="W22528"/>
    </row>
    <row r="22529" spans="23:23" x14ac:dyDescent="0.55000000000000004">
      <c r="W22529"/>
    </row>
    <row r="22530" spans="23:23" x14ac:dyDescent="0.55000000000000004">
      <c r="W22530"/>
    </row>
    <row r="22531" spans="23:23" x14ac:dyDescent="0.55000000000000004">
      <c r="W22531"/>
    </row>
    <row r="22532" spans="23:23" x14ac:dyDescent="0.55000000000000004">
      <c r="W22532"/>
    </row>
    <row r="22533" spans="23:23" x14ac:dyDescent="0.55000000000000004">
      <c r="W22533"/>
    </row>
    <row r="22534" spans="23:23" x14ac:dyDescent="0.55000000000000004">
      <c r="W22534"/>
    </row>
    <row r="22535" spans="23:23" x14ac:dyDescent="0.55000000000000004">
      <c r="W22535"/>
    </row>
    <row r="22536" spans="23:23" x14ac:dyDescent="0.55000000000000004">
      <c r="W22536"/>
    </row>
    <row r="22537" spans="23:23" x14ac:dyDescent="0.55000000000000004">
      <c r="W22537"/>
    </row>
    <row r="22538" spans="23:23" x14ac:dyDescent="0.55000000000000004">
      <c r="W22538"/>
    </row>
    <row r="22539" spans="23:23" x14ac:dyDescent="0.55000000000000004">
      <c r="W22539"/>
    </row>
    <row r="22540" spans="23:23" x14ac:dyDescent="0.55000000000000004">
      <c r="W22540"/>
    </row>
    <row r="22541" spans="23:23" x14ac:dyDescent="0.55000000000000004">
      <c r="W22541"/>
    </row>
    <row r="22542" spans="23:23" x14ac:dyDescent="0.55000000000000004">
      <c r="W22542"/>
    </row>
    <row r="22543" spans="23:23" x14ac:dyDescent="0.55000000000000004">
      <c r="W22543"/>
    </row>
    <row r="22544" spans="23:23" x14ac:dyDescent="0.55000000000000004">
      <c r="W22544"/>
    </row>
    <row r="22545" spans="23:23" x14ac:dyDescent="0.55000000000000004">
      <c r="W22545"/>
    </row>
    <row r="22546" spans="23:23" x14ac:dyDescent="0.55000000000000004">
      <c r="W22546"/>
    </row>
    <row r="22547" spans="23:23" x14ac:dyDescent="0.55000000000000004">
      <c r="W22547"/>
    </row>
    <row r="22548" spans="23:23" x14ac:dyDescent="0.55000000000000004">
      <c r="W22548"/>
    </row>
    <row r="22549" spans="23:23" x14ac:dyDescent="0.55000000000000004">
      <c r="W22549"/>
    </row>
    <row r="22550" spans="23:23" x14ac:dyDescent="0.55000000000000004">
      <c r="W22550"/>
    </row>
    <row r="22551" spans="23:23" x14ac:dyDescent="0.55000000000000004">
      <c r="W22551"/>
    </row>
    <row r="22552" spans="23:23" x14ac:dyDescent="0.55000000000000004">
      <c r="W22552"/>
    </row>
    <row r="22553" spans="23:23" x14ac:dyDescent="0.55000000000000004">
      <c r="W22553"/>
    </row>
    <row r="22554" spans="23:23" x14ac:dyDescent="0.55000000000000004">
      <c r="W22554"/>
    </row>
    <row r="22555" spans="23:23" x14ac:dyDescent="0.55000000000000004">
      <c r="W22555"/>
    </row>
    <row r="22556" spans="23:23" x14ac:dyDescent="0.55000000000000004">
      <c r="W22556"/>
    </row>
    <row r="22557" spans="23:23" x14ac:dyDescent="0.55000000000000004">
      <c r="W22557"/>
    </row>
    <row r="22558" spans="23:23" x14ac:dyDescent="0.55000000000000004">
      <c r="W22558"/>
    </row>
    <row r="22559" spans="23:23" x14ac:dyDescent="0.55000000000000004">
      <c r="W22559"/>
    </row>
    <row r="22560" spans="23:23" x14ac:dyDescent="0.55000000000000004">
      <c r="W22560"/>
    </row>
    <row r="22561" spans="23:23" x14ac:dyDescent="0.55000000000000004">
      <c r="W22561"/>
    </row>
    <row r="22562" spans="23:23" x14ac:dyDescent="0.55000000000000004">
      <c r="W22562"/>
    </row>
    <row r="22563" spans="23:23" x14ac:dyDescent="0.55000000000000004">
      <c r="W22563"/>
    </row>
    <row r="22564" spans="23:23" x14ac:dyDescent="0.55000000000000004">
      <c r="W22564"/>
    </row>
    <row r="22565" spans="23:23" x14ac:dyDescent="0.55000000000000004">
      <c r="W22565"/>
    </row>
    <row r="22566" spans="23:23" x14ac:dyDescent="0.55000000000000004">
      <c r="W22566"/>
    </row>
    <row r="22567" spans="23:23" x14ac:dyDescent="0.55000000000000004">
      <c r="W22567"/>
    </row>
    <row r="22568" spans="23:23" x14ac:dyDescent="0.55000000000000004">
      <c r="W22568"/>
    </row>
    <row r="22569" spans="23:23" x14ac:dyDescent="0.55000000000000004">
      <c r="W22569"/>
    </row>
    <row r="22570" spans="23:23" x14ac:dyDescent="0.55000000000000004">
      <c r="W22570"/>
    </row>
    <row r="22571" spans="23:23" x14ac:dyDescent="0.55000000000000004">
      <c r="W22571"/>
    </row>
    <row r="22572" spans="23:23" x14ac:dyDescent="0.55000000000000004">
      <c r="W22572"/>
    </row>
    <row r="22573" spans="23:23" x14ac:dyDescent="0.55000000000000004">
      <c r="W22573"/>
    </row>
    <row r="22574" spans="23:23" x14ac:dyDescent="0.55000000000000004">
      <c r="W22574"/>
    </row>
    <row r="22575" spans="23:23" x14ac:dyDescent="0.55000000000000004">
      <c r="W22575"/>
    </row>
    <row r="22576" spans="23:23" x14ac:dyDescent="0.55000000000000004">
      <c r="W22576"/>
    </row>
    <row r="22577" spans="23:23" x14ac:dyDescent="0.55000000000000004">
      <c r="W22577"/>
    </row>
    <row r="22578" spans="23:23" x14ac:dyDescent="0.55000000000000004">
      <c r="W22578"/>
    </row>
    <row r="22579" spans="23:23" x14ac:dyDescent="0.55000000000000004">
      <c r="W22579"/>
    </row>
    <row r="22580" spans="23:23" x14ac:dyDescent="0.55000000000000004">
      <c r="W22580"/>
    </row>
    <row r="22581" spans="23:23" x14ac:dyDescent="0.55000000000000004">
      <c r="W22581"/>
    </row>
    <row r="22582" spans="23:23" x14ac:dyDescent="0.55000000000000004">
      <c r="W22582"/>
    </row>
    <row r="22583" spans="23:23" x14ac:dyDescent="0.55000000000000004">
      <c r="W22583"/>
    </row>
    <row r="22584" spans="23:23" x14ac:dyDescent="0.55000000000000004">
      <c r="W22584"/>
    </row>
    <row r="22585" spans="23:23" x14ac:dyDescent="0.55000000000000004">
      <c r="W22585"/>
    </row>
    <row r="22586" spans="23:23" x14ac:dyDescent="0.55000000000000004">
      <c r="W22586"/>
    </row>
    <row r="22587" spans="23:23" x14ac:dyDescent="0.55000000000000004">
      <c r="W22587"/>
    </row>
    <row r="22588" spans="23:23" x14ac:dyDescent="0.55000000000000004">
      <c r="W22588"/>
    </row>
    <row r="22589" spans="23:23" x14ac:dyDescent="0.55000000000000004">
      <c r="W22589"/>
    </row>
    <row r="22590" spans="23:23" x14ac:dyDescent="0.55000000000000004">
      <c r="W22590"/>
    </row>
    <row r="22591" spans="23:23" x14ac:dyDescent="0.55000000000000004">
      <c r="W22591"/>
    </row>
    <row r="22592" spans="23:23" x14ac:dyDescent="0.55000000000000004">
      <c r="W22592"/>
    </row>
    <row r="22593" spans="23:23" x14ac:dyDescent="0.55000000000000004">
      <c r="W22593"/>
    </row>
    <row r="22594" spans="23:23" x14ac:dyDescent="0.55000000000000004">
      <c r="W22594"/>
    </row>
    <row r="22595" spans="23:23" x14ac:dyDescent="0.55000000000000004">
      <c r="W22595"/>
    </row>
    <row r="22596" spans="23:23" x14ac:dyDescent="0.55000000000000004">
      <c r="W22596"/>
    </row>
    <row r="22597" spans="23:23" x14ac:dyDescent="0.55000000000000004">
      <c r="W22597"/>
    </row>
    <row r="22598" spans="23:23" x14ac:dyDescent="0.55000000000000004">
      <c r="W22598"/>
    </row>
    <row r="22599" spans="23:23" x14ac:dyDescent="0.55000000000000004">
      <c r="W22599"/>
    </row>
    <row r="22600" spans="23:23" x14ac:dyDescent="0.55000000000000004">
      <c r="W22600"/>
    </row>
    <row r="22601" spans="23:23" x14ac:dyDescent="0.55000000000000004">
      <c r="W22601"/>
    </row>
    <row r="22602" spans="23:23" x14ac:dyDescent="0.55000000000000004">
      <c r="W22602"/>
    </row>
    <row r="22603" spans="23:23" x14ac:dyDescent="0.55000000000000004">
      <c r="W22603"/>
    </row>
    <row r="22604" spans="23:23" x14ac:dyDescent="0.55000000000000004">
      <c r="W22604"/>
    </row>
    <row r="22605" spans="23:23" x14ac:dyDescent="0.55000000000000004">
      <c r="W22605"/>
    </row>
    <row r="22606" spans="23:23" x14ac:dyDescent="0.55000000000000004">
      <c r="W22606"/>
    </row>
    <row r="22607" spans="23:23" x14ac:dyDescent="0.55000000000000004">
      <c r="W22607"/>
    </row>
    <row r="22608" spans="23:23" x14ac:dyDescent="0.55000000000000004">
      <c r="W22608"/>
    </row>
    <row r="22609" spans="23:23" x14ac:dyDescent="0.55000000000000004">
      <c r="W22609"/>
    </row>
    <row r="22610" spans="23:23" x14ac:dyDescent="0.55000000000000004">
      <c r="W22610"/>
    </row>
    <row r="22611" spans="23:23" x14ac:dyDescent="0.55000000000000004">
      <c r="W22611"/>
    </row>
    <row r="22612" spans="23:23" x14ac:dyDescent="0.55000000000000004">
      <c r="W22612"/>
    </row>
    <row r="22613" spans="23:23" x14ac:dyDescent="0.55000000000000004">
      <c r="W22613"/>
    </row>
    <row r="22614" spans="23:23" x14ac:dyDescent="0.55000000000000004">
      <c r="W22614"/>
    </row>
    <row r="22615" spans="23:23" x14ac:dyDescent="0.55000000000000004">
      <c r="W22615"/>
    </row>
    <row r="22616" spans="23:23" x14ac:dyDescent="0.55000000000000004">
      <c r="W22616"/>
    </row>
    <row r="22617" spans="23:23" x14ac:dyDescent="0.55000000000000004">
      <c r="W22617"/>
    </row>
    <row r="22618" spans="23:23" x14ac:dyDescent="0.55000000000000004">
      <c r="W22618"/>
    </row>
    <row r="22619" spans="23:23" x14ac:dyDescent="0.55000000000000004">
      <c r="W22619"/>
    </row>
    <row r="22620" spans="23:23" x14ac:dyDescent="0.55000000000000004">
      <c r="W22620"/>
    </row>
    <row r="22621" spans="23:23" x14ac:dyDescent="0.55000000000000004">
      <c r="W22621"/>
    </row>
    <row r="22622" spans="23:23" x14ac:dyDescent="0.55000000000000004">
      <c r="W22622"/>
    </row>
    <row r="22623" spans="23:23" x14ac:dyDescent="0.55000000000000004">
      <c r="W22623"/>
    </row>
    <row r="22624" spans="23:23" x14ac:dyDescent="0.55000000000000004">
      <c r="W22624"/>
    </row>
    <row r="22625" spans="23:23" x14ac:dyDescent="0.55000000000000004">
      <c r="W22625"/>
    </row>
    <row r="22626" spans="23:23" x14ac:dyDescent="0.55000000000000004">
      <c r="W22626"/>
    </row>
    <row r="22627" spans="23:23" x14ac:dyDescent="0.55000000000000004">
      <c r="W22627"/>
    </row>
    <row r="22628" spans="23:23" x14ac:dyDescent="0.55000000000000004">
      <c r="W22628"/>
    </row>
    <row r="22629" spans="23:23" x14ac:dyDescent="0.55000000000000004">
      <c r="W22629"/>
    </row>
    <row r="22630" spans="23:23" x14ac:dyDescent="0.55000000000000004">
      <c r="W22630"/>
    </row>
    <row r="22631" spans="23:23" x14ac:dyDescent="0.55000000000000004">
      <c r="W22631"/>
    </row>
    <row r="22632" spans="23:23" x14ac:dyDescent="0.55000000000000004">
      <c r="W22632"/>
    </row>
    <row r="22633" spans="23:23" x14ac:dyDescent="0.55000000000000004">
      <c r="W22633"/>
    </row>
    <row r="22634" spans="23:23" x14ac:dyDescent="0.55000000000000004">
      <c r="W22634"/>
    </row>
    <row r="22635" spans="23:23" x14ac:dyDescent="0.55000000000000004">
      <c r="W22635"/>
    </row>
    <row r="22636" spans="23:23" x14ac:dyDescent="0.55000000000000004">
      <c r="W22636"/>
    </row>
    <row r="22637" spans="23:23" x14ac:dyDescent="0.55000000000000004">
      <c r="W22637"/>
    </row>
    <row r="22638" spans="23:23" x14ac:dyDescent="0.55000000000000004">
      <c r="W22638"/>
    </row>
    <row r="22639" spans="23:23" x14ac:dyDescent="0.55000000000000004">
      <c r="W22639"/>
    </row>
    <row r="22640" spans="23:23" x14ac:dyDescent="0.55000000000000004">
      <c r="W22640"/>
    </row>
    <row r="22641" spans="23:23" x14ac:dyDescent="0.55000000000000004">
      <c r="W22641"/>
    </row>
    <row r="22642" spans="23:23" x14ac:dyDescent="0.55000000000000004">
      <c r="W22642"/>
    </row>
    <row r="22643" spans="23:23" x14ac:dyDescent="0.55000000000000004">
      <c r="W22643"/>
    </row>
    <row r="22644" spans="23:23" x14ac:dyDescent="0.55000000000000004">
      <c r="W22644"/>
    </row>
    <row r="22645" spans="23:23" x14ac:dyDescent="0.55000000000000004">
      <c r="W22645"/>
    </row>
    <row r="22646" spans="23:23" x14ac:dyDescent="0.55000000000000004">
      <c r="W22646"/>
    </row>
    <row r="22647" spans="23:23" x14ac:dyDescent="0.55000000000000004">
      <c r="W22647"/>
    </row>
    <row r="22648" spans="23:23" x14ac:dyDescent="0.55000000000000004">
      <c r="W22648"/>
    </row>
    <row r="22649" spans="23:23" x14ac:dyDescent="0.55000000000000004">
      <c r="W22649"/>
    </row>
    <row r="22650" spans="23:23" x14ac:dyDescent="0.55000000000000004">
      <c r="W22650"/>
    </row>
    <row r="22651" spans="23:23" x14ac:dyDescent="0.55000000000000004">
      <c r="W22651"/>
    </row>
    <row r="22652" spans="23:23" x14ac:dyDescent="0.55000000000000004">
      <c r="W22652"/>
    </row>
    <row r="22653" spans="23:23" x14ac:dyDescent="0.55000000000000004">
      <c r="W22653"/>
    </row>
    <row r="22654" spans="23:23" x14ac:dyDescent="0.55000000000000004">
      <c r="W22654"/>
    </row>
    <row r="22655" spans="23:23" x14ac:dyDescent="0.55000000000000004">
      <c r="W22655"/>
    </row>
    <row r="22656" spans="23:23" x14ac:dyDescent="0.55000000000000004">
      <c r="W22656"/>
    </row>
    <row r="22657" spans="23:23" x14ac:dyDescent="0.55000000000000004">
      <c r="W22657"/>
    </row>
    <row r="22658" spans="23:23" x14ac:dyDescent="0.55000000000000004">
      <c r="W22658"/>
    </row>
    <row r="22659" spans="23:23" x14ac:dyDescent="0.55000000000000004">
      <c r="W22659"/>
    </row>
    <row r="22660" spans="23:23" x14ac:dyDescent="0.55000000000000004">
      <c r="W22660"/>
    </row>
    <row r="22661" spans="23:23" x14ac:dyDescent="0.55000000000000004">
      <c r="W22661"/>
    </row>
    <row r="22662" spans="23:23" x14ac:dyDescent="0.55000000000000004">
      <c r="W22662"/>
    </row>
    <row r="22663" spans="23:23" x14ac:dyDescent="0.55000000000000004">
      <c r="W22663"/>
    </row>
    <row r="22664" spans="23:23" x14ac:dyDescent="0.55000000000000004">
      <c r="W22664"/>
    </row>
    <row r="22665" spans="23:23" x14ac:dyDescent="0.55000000000000004">
      <c r="W22665"/>
    </row>
    <row r="22666" spans="23:23" x14ac:dyDescent="0.55000000000000004">
      <c r="W22666"/>
    </row>
    <row r="22667" spans="23:23" x14ac:dyDescent="0.55000000000000004">
      <c r="W22667"/>
    </row>
    <row r="22668" spans="23:23" x14ac:dyDescent="0.55000000000000004">
      <c r="W22668"/>
    </row>
    <row r="22669" spans="23:23" x14ac:dyDescent="0.55000000000000004">
      <c r="W22669"/>
    </row>
    <row r="22670" spans="23:23" x14ac:dyDescent="0.55000000000000004">
      <c r="W22670"/>
    </row>
    <row r="22671" spans="23:23" x14ac:dyDescent="0.55000000000000004">
      <c r="W22671"/>
    </row>
    <row r="22672" spans="23:23" x14ac:dyDescent="0.55000000000000004">
      <c r="W22672"/>
    </row>
    <row r="22673" spans="23:23" x14ac:dyDescent="0.55000000000000004">
      <c r="W22673"/>
    </row>
    <row r="22674" spans="23:23" x14ac:dyDescent="0.55000000000000004">
      <c r="W22674"/>
    </row>
    <row r="22675" spans="23:23" x14ac:dyDescent="0.55000000000000004">
      <c r="W22675"/>
    </row>
    <row r="22676" spans="23:23" x14ac:dyDescent="0.55000000000000004">
      <c r="W22676"/>
    </row>
    <row r="22677" spans="23:23" x14ac:dyDescent="0.55000000000000004">
      <c r="W22677"/>
    </row>
    <row r="22678" spans="23:23" x14ac:dyDescent="0.55000000000000004">
      <c r="W22678"/>
    </row>
    <row r="22679" spans="23:23" x14ac:dyDescent="0.55000000000000004">
      <c r="W22679"/>
    </row>
    <row r="22680" spans="23:23" x14ac:dyDescent="0.55000000000000004">
      <c r="W22680"/>
    </row>
    <row r="22681" spans="23:23" x14ac:dyDescent="0.55000000000000004">
      <c r="W22681"/>
    </row>
    <row r="22682" spans="23:23" x14ac:dyDescent="0.55000000000000004">
      <c r="W22682"/>
    </row>
    <row r="22683" spans="23:23" x14ac:dyDescent="0.55000000000000004">
      <c r="W22683"/>
    </row>
    <row r="22684" spans="23:23" x14ac:dyDescent="0.55000000000000004">
      <c r="W22684"/>
    </row>
    <row r="22685" spans="23:23" x14ac:dyDescent="0.55000000000000004">
      <c r="W22685"/>
    </row>
    <row r="22686" spans="23:23" x14ac:dyDescent="0.55000000000000004">
      <c r="W22686"/>
    </row>
    <row r="22687" spans="23:23" x14ac:dyDescent="0.55000000000000004">
      <c r="W22687"/>
    </row>
    <row r="22688" spans="23:23" x14ac:dyDescent="0.55000000000000004">
      <c r="W22688"/>
    </row>
    <row r="22689" spans="23:23" x14ac:dyDescent="0.55000000000000004">
      <c r="W22689"/>
    </row>
    <row r="22690" spans="23:23" x14ac:dyDescent="0.55000000000000004">
      <c r="W22690"/>
    </row>
    <row r="22691" spans="23:23" x14ac:dyDescent="0.55000000000000004">
      <c r="W22691"/>
    </row>
    <row r="22692" spans="23:23" x14ac:dyDescent="0.55000000000000004">
      <c r="W22692"/>
    </row>
    <row r="22693" spans="23:23" x14ac:dyDescent="0.55000000000000004">
      <c r="W22693"/>
    </row>
    <row r="22694" spans="23:23" x14ac:dyDescent="0.55000000000000004">
      <c r="W22694"/>
    </row>
    <row r="22695" spans="23:23" x14ac:dyDescent="0.55000000000000004">
      <c r="W22695"/>
    </row>
    <row r="22696" spans="23:23" x14ac:dyDescent="0.55000000000000004">
      <c r="W22696"/>
    </row>
    <row r="22697" spans="23:23" x14ac:dyDescent="0.55000000000000004">
      <c r="W22697"/>
    </row>
    <row r="22698" spans="23:23" x14ac:dyDescent="0.55000000000000004">
      <c r="W22698"/>
    </row>
    <row r="22699" spans="23:23" x14ac:dyDescent="0.55000000000000004">
      <c r="W22699"/>
    </row>
    <row r="22700" spans="23:23" x14ac:dyDescent="0.55000000000000004">
      <c r="W22700"/>
    </row>
    <row r="22701" spans="23:23" x14ac:dyDescent="0.55000000000000004">
      <c r="W22701"/>
    </row>
    <row r="22702" spans="23:23" x14ac:dyDescent="0.55000000000000004">
      <c r="W22702"/>
    </row>
    <row r="22703" spans="23:23" x14ac:dyDescent="0.55000000000000004">
      <c r="W22703"/>
    </row>
    <row r="22704" spans="23:23" x14ac:dyDescent="0.55000000000000004">
      <c r="W22704"/>
    </row>
    <row r="22705" spans="23:23" x14ac:dyDescent="0.55000000000000004">
      <c r="W22705"/>
    </row>
    <row r="22706" spans="23:23" x14ac:dyDescent="0.55000000000000004">
      <c r="W22706"/>
    </row>
    <row r="22707" spans="23:23" x14ac:dyDescent="0.55000000000000004">
      <c r="W22707"/>
    </row>
    <row r="22708" spans="23:23" x14ac:dyDescent="0.55000000000000004">
      <c r="W22708"/>
    </row>
    <row r="22709" spans="23:23" x14ac:dyDescent="0.55000000000000004">
      <c r="W22709"/>
    </row>
    <row r="22710" spans="23:23" x14ac:dyDescent="0.55000000000000004">
      <c r="W22710"/>
    </row>
    <row r="22711" spans="23:23" x14ac:dyDescent="0.55000000000000004">
      <c r="W22711"/>
    </row>
    <row r="22712" spans="23:23" x14ac:dyDescent="0.55000000000000004">
      <c r="W22712"/>
    </row>
    <row r="22713" spans="23:23" x14ac:dyDescent="0.55000000000000004">
      <c r="W22713"/>
    </row>
    <row r="22714" spans="23:23" x14ac:dyDescent="0.55000000000000004">
      <c r="W22714"/>
    </row>
    <row r="22715" spans="23:23" x14ac:dyDescent="0.55000000000000004">
      <c r="W22715"/>
    </row>
    <row r="22716" spans="23:23" x14ac:dyDescent="0.55000000000000004">
      <c r="W22716"/>
    </row>
    <row r="22717" spans="23:23" x14ac:dyDescent="0.55000000000000004">
      <c r="W22717"/>
    </row>
    <row r="22718" spans="23:23" x14ac:dyDescent="0.55000000000000004">
      <c r="W22718"/>
    </row>
    <row r="22719" spans="23:23" x14ac:dyDescent="0.55000000000000004">
      <c r="W22719"/>
    </row>
    <row r="22720" spans="23:23" x14ac:dyDescent="0.55000000000000004">
      <c r="W22720"/>
    </row>
    <row r="22721" spans="23:23" x14ac:dyDescent="0.55000000000000004">
      <c r="W22721"/>
    </row>
    <row r="22722" spans="23:23" x14ac:dyDescent="0.55000000000000004">
      <c r="W22722"/>
    </row>
    <row r="22723" spans="23:23" x14ac:dyDescent="0.55000000000000004">
      <c r="W22723"/>
    </row>
    <row r="22724" spans="23:23" x14ac:dyDescent="0.55000000000000004">
      <c r="W22724"/>
    </row>
    <row r="22725" spans="23:23" x14ac:dyDescent="0.55000000000000004">
      <c r="W22725"/>
    </row>
    <row r="22726" spans="23:23" x14ac:dyDescent="0.55000000000000004">
      <c r="W22726"/>
    </row>
    <row r="22727" spans="23:23" x14ac:dyDescent="0.55000000000000004">
      <c r="W22727"/>
    </row>
    <row r="22728" spans="23:23" x14ac:dyDescent="0.55000000000000004">
      <c r="W22728"/>
    </row>
    <row r="22729" spans="23:23" x14ac:dyDescent="0.55000000000000004">
      <c r="W22729"/>
    </row>
    <row r="22730" spans="23:23" x14ac:dyDescent="0.55000000000000004">
      <c r="W22730"/>
    </row>
    <row r="22731" spans="23:23" x14ac:dyDescent="0.55000000000000004">
      <c r="W22731"/>
    </row>
    <row r="22732" spans="23:23" x14ac:dyDescent="0.55000000000000004">
      <c r="W22732"/>
    </row>
    <row r="22733" spans="23:23" x14ac:dyDescent="0.55000000000000004">
      <c r="W22733"/>
    </row>
    <row r="22734" spans="23:23" x14ac:dyDescent="0.55000000000000004">
      <c r="W22734"/>
    </row>
    <row r="22735" spans="23:23" x14ac:dyDescent="0.55000000000000004">
      <c r="W22735"/>
    </row>
    <row r="22736" spans="23:23" x14ac:dyDescent="0.55000000000000004">
      <c r="W22736"/>
    </row>
    <row r="22737" spans="23:23" x14ac:dyDescent="0.55000000000000004">
      <c r="W22737"/>
    </row>
    <row r="22738" spans="23:23" x14ac:dyDescent="0.55000000000000004">
      <c r="W22738"/>
    </row>
    <row r="22739" spans="23:23" x14ac:dyDescent="0.55000000000000004">
      <c r="W22739"/>
    </row>
    <row r="22740" spans="23:23" x14ac:dyDescent="0.55000000000000004">
      <c r="W22740"/>
    </row>
    <row r="22741" spans="23:23" x14ac:dyDescent="0.55000000000000004">
      <c r="W22741"/>
    </row>
    <row r="22742" spans="23:23" x14ac:dyDescent="0.55000000000000004">
      <c r="W22742"/>
    </row>
    <row r="22743" spans="23:23" x14ac:dyDescent="0.55000000000000004">
      <c r="W22743"/>
    </row>
    <row r="22744" spans="23:23" x14ac:dyDescent="0.55000000000000004">
      <c r="W22744"/>
    </row>
    <row r="22745" spans="23:23" x14ac:dyDescent="0.55000000000000004">
      <c r="W22745"/>
    </row>
    <row r="22746" spans="23:23" x14ac:dyDescent="0.55000000000000004">
      <c r="W22746"/>
    </row>
    <row r="22747" spans="23:23" x14ac:dyDescent="0.55000000000000004">
      <c r="W22747"/>
    </row>
    <row r="22748" spans="23:23" x14ac:dyDescent="0.55000000000000004">
      <c r="W22748"/>
    </row>
    <row r="22749" spans="23:23" x14ac:dyDescent="0.55000000000000004">
      <c r="W22749"/>
    </row>
    <row r="22750" spans="23:23" x14ac:dyDescent="0.55000000000000004">
      <c r="W22750"/>
    </row>
    <row r="22751" spans="23:23" x14ac:dyDescent="0.55000000000000004">
      <c r="W22751"/>
    </row>
    <row r="22752" spans="23:23" x14ac:dyDescent="0.55000000000000004">
      <c r="W22752"/>
    </row>
    <row r="22753" spans="23:23" x14ac:dyDescent="0.55000000000000004">
      <c r="W22753"/>
    </row>
    <row r="22754" spans="23:23" x14ac:dyDescent="0.55000000000000004">
      <c r="W22754"/>
    </row>
    <row r="22755" spans="23:23" x14ac:dyDescent="0.55000000000000004">
      <c r="W22755"/>
    </row>
    <row r="22756" spans="23:23" x14ac:dyDescent="0.55000000000000004">
      <c r="W22756"/>
    </row>
    <row r="22757" spans="23:23" x14ac:dyDescent="0.55000000000000004">
      <c r="W22757"/>
    </row>
    <row r="22758" spans="23:23" x14ac:dyDescent="0.55000000000000004">
      <c r="W22758"/>
    </row>
    <row r="22759" spans="23:23" x14ac:dyDescent="0.55000000000000004">
      <c r="W22759"/>
    </row>
    <row r="22760" spans="23:23" x14ac:dyDescent="0.55000000000000004">
      <c r="W22760"/>
    </row>
    <row r="22761" spans="23:23" x14ac:dyDescent="0.55000000000000004">
      <c r="W22761"/>
    </row>
    <row r="22762" spans="23:23" x14ac:dyDescent="0.55000000000000004">
      <c r="W22762"/>
    </row>
    <row r="22763" spans="23:23" x14ac:dyDescent="0.55000000000000004">
      <c r="W22763"/>
    </row>
    <row r="22764" spans="23:23" x14ac:dyDescent="0.55000000000000004">
      <c r="W22764"/>
    </row>
    <row r="22765" spans="23:23" x14ac:dyDescent="0.55000000000000004">
      <c r="W22765"/>
    </row>
    <row r="22766" spans="23:23" x14ac:dyDescent="0.55000000000000004">
      <c r="W22766"/>
    </row>
    <row r="22767" spans="23:23" x14ac:dyDescent="0.55000000000000004">
      <c r="W22767"/>
    </row>
    <row r="22768" spans="23:23" x14ac:dyDescent="0.55000000000000004">
      <c r="W22768"/>
    </row>
    <row r="22769" spans="23:23" x14ac:dyDescent="0.55000000000000004">
      <c r="W22769"/>
    </row>
    <row r="22770" spans="23:23" x14ac:dyDescent="0.55000000000000004">
      <c r="W22770"/>
    </row>
    <row r="22771" spans="23:23" x14ac:dyDescent="0.55000000000000004">
      <c r="W22771"/>
    </row>
    <row r="22772" spans="23:23" x14ac:dyDescent="0.55000000000000004">
      <c r="W22772"/>
    </row>
    <row r="22773" spans="23:23" x14ac:dyDescent="0.55000000000000004">
      <c r="W22773"/>
    </row>
    <row r="22774" spans="23:23" x14ac:dyDescent="0.55000000000000004">
      <c r="W22774"/>
    </row>
    <row r="22775" spans="23:23" x14ac:dyDescent="0.55000000000000004">
      <c r="W22775"/>
    </row>
    <row r="22776" spans="23:23" x14ac:dyDescent="0.55000000000000004">
      <c r="W22776"/>
    </row>
    <row r="22777" spans="23:23" x14ac:dyDescent="0.55000000000000004">
      <c r="W22777"/>
    </row>
    <row r="22778" spans="23:23" x14ac:dyDescent="0.55000000000000004">
      <c r="W22778"/>
    </row>
    <row r="22779" spans="23:23" x14ac:dyDescent="0.55000000000000004">
      <c r="W22779"/>
    </row>
    <row r="22780" spans="23:23" x14ac:dyDescent="0.55000000000000004">
      <c r="W22780"/>
    </row>
    <row r="22781" spans="23:23" x14ac:dyDescent="0.55000000000000004">
      <c r="W22781"/>
    </row>
    <row r="22782" spans="23:23" x14ac:dyDescent="0.55000000000000004">
      <c r="W22782"/>
    </row>
    <row r="22783" spans="23:23" x14ac:dyDescent="0.55000000000000004">
      <c r="W22783"/>
    </row>
    <row r="22784" spans="23:23" x14ac:dyDescent="0.55000000000000004">
      <c r="W22784"/>
    </row>
    <row r="22785" spans="23:23" x14ac:dyDescent="0.55000000000000004">
      <c r="W22785"/>
    </row>
    <row r="22786" spans="23:23" x14ac:dyDescent="0.55000000000000004">
      <c r="W22786"/>
    </row>
    <row r="22787" spans="23:23" x14ac:dyDescent="0.55000000000000004">
      <c r="W22787"/>
    </row>
    <row r="22788" spans="23:23" x14ac:dyDescent="0.55000000000000004">
      <c r="W22788"/>
    </row>
    <row r="22789" spans="23:23" x14ac:dyDescent="0.55000000000000004">
      <c r="W22789"/>
    </row>
    <row r="22790" spans="23:23" x14ac:dyDescent="0.55000000000000004">
      <c r="W22790"/>
    </row>
    <row r="22791" spans="23:23" x14ac:dyDescent="0.55000000000000004">
      <c r="W22791"/>
    </row>
    <row r="22792" spans="23:23" x14ac:dyDescent="0.55000000000000004">
      <c r="W22792"/>
    </row>
    <row r="22793" spans="23:23" x14ac:dyDescent="0.55000000000000004">
      <c r="W22793"/>
    </row>
    <row r="22794" spans="23:23" x14ac:dyDescent="0.55000000000000004">
      <c r="W22794"/>
    </row>
    <row r="22795" spans="23:23" x14ac:dyDescent="0.55000000000000004">
      <c r="W22795"/>
    </row>
    <row r="22796" spans="23:23" x14ac:dyDescent="0.55000000000000004">
      <c r="W22796"/>
    </row>
    <row r="22797" spans="23:23" x14ac:dyDescent="0.55000000000000004">
      <c r="W22797"/>
    </row>
    <row r="22798" spans="23:23" x14ac:dyDescent="0.55000000000000004">
      <c r="W22798"/>
    </row>
    <row r="22799" spans="23:23" x14ac:dyDescent="0.55000000000000004">
      <c r="W22799"/>
    </row>
    <row r="22800" spans="23:23" x14ac:dyDescent="0.55000000000000004">
      <c r="W22800"/>
    </row>
    <row r="22801" spans="23:23" x14ac:dyDescent="0.55000000000000004">
      <c r="W22801"/>
    </row>
    <row r="22802" spans="23:23" x14ac:dyDescent="0.55000000000000004">
      <c r="W22802"/>
    </row>
    <row r="22803" spans="23:23" x14ac:dyDescent="0.55000000000000004">
      <c r="W22803"/>
    </row>
    <row r="22804" spans="23:23" x14ac:dyDescent="0.55000000000000004">
      <c r="W22804"/>
    </row>
    <row r="22805" spans="23:23" x14ac:dyDescent="0.55000000000000004">
      <c r="W22805"/>
    </row>
    <row r="22806" spans="23:23" x14ac:dyDescent="0.55000000000000004">
      <c r="W22806"/>
    </row>
    <row r="22807" spans="23:23" x14ac:dyDescent="0.55000000000000004">
      <c r="W22807"/>
    </row>
    <row r="22808" spans="23:23" x14ac:dyDescent="0.55000000000000004">
      <c r="W22808"/>
    </row>
    <row r="22809" spans="23:23" x14ac:dyDescent="0.55000000000000004">
      <c r="W22809"/>
    </row>
    <row r="22810" spans="23:23" x14ac:dyDescent="0.55000000000000004">
      <c r="W22810"/>
    </row>
    <row r="22811" spans="23:23" x14ac:dyDescent="0.55000000000000004">
      <c r="W22811"/>
    </row>
    <row r="22812" spans="23:23" x14ac:dyDescent="0.55000000000000004">
      <c r="W22812"/>
    </row>
    <row r="22813" spans="23:23" x14ac:dyDescent="0.55000000000000004">
      <c r="W22813"/>
    </row>
    <row r="22814" spans="23:23" x14ac:dyDescent="0.55000000000000004">
      <c r="W22814"/>
    </row>
    <row r="22815" spans="23:23" x14ac:dyDescent="0.55000000000000004">
      <c r="W22815"/>
    </row>
    <row r="22816" spans="23:23" x14ac:dyDescent="0.55000000000000004">
      <c r="W22816"/>
    </row>
    <row r="22817" spans="23:23" x14ac:dyDescent="0.55000000000000004">
      <c r="W22817"/>
    </row>
    <row r="22818" spans="23:23" x14ac:dyDescent="0.55000000000000004">
      <c r="W22818"/>
    </row>
    <row r="22819" spans="23:23" x14ac:dyDescent="0.55000000000000004">
      <c r="W22819"/>
    </row>
    <row r="22820" spans="23:23" x14ac:dyDescent="0.55000000000000004">
      <c r="W22820"/>
    </row>
    <row r="22821" spans="23:23" x14ac:dyDescent="0.55000000000000004">
      <c r="W22821"/>
    </row>
    <row r="22822" spans="23:23" x14ac:dyDescent="0.55000000000000004">
      <c r="W22822"/>
    </row>
    <row r="22823" spans="23:23" x14ac:dyDescent="0.55000000000000004">
      <c r="W22823"/>
    </row>
    <row r="22824" spans="23:23" x14ac:dyDescent="0.55000000000000004">
      <c r="W22824"/>
    </row>
    <row r="22825" spans="23:23" x14ac:dyDescent="0.55000000000000004">
      <c r="W22825"/>
    </row>
    <row r="22826" spans="23:23" x14ac:dyDescent="0.55000000000000004">
      <c r="W22826"/>
    </row>
    <row r="22827" spans="23:23" x14ac:dyDescent="0.55000000000000004">
      <c r="W22827"/>
    </row>
    <row r="22828" spans="23:23" x14ac:dyDescent="0.55000000000000004">
      <c r="W22828"/>
    </row>
    <row r="22829" spans="23:23" x14ac:dyDescent="0.55000000000000004">
      <c r="W22829"/>
    </row>
    <row r="22830" spans="23:23" x14ac:dyDescent="0.55000000000000004">
      <c r="W22830"/>
    </row>
    <row r="22831" spans="23:23" x14ac:dyDescent="0.55000000000000004">
      <c r="W22831"/>
    </row>
    <row r="22832" spans="23:23" x14ac:dyDescent="0.55000000000000004">
      <c r="W22832"/>
    </row>
    <row r="22833" spans="23:23" x14ac:dyDescent="0.55000000000000004">
      <c r="W22833"/>
    </row>
    <row r="22834" spans="23:23" x14ac:dyDescent="0.55000000000000004">
      <c r="W22834"/>
    </row>
    <row r="22835" spans="23:23" x14ac:dyDescent="0.55000000000000004">
      <c r="W22835"/>
    </row>
    <row r="22836" spans="23:23" x14ac:dyDescent="0.55000000000000004">
      <c r="W22836"/>
    </row>
    <row r="22837" spans="23:23" x14ac:dyDescent="0.55000000000000004">
      <c r="W22837"/>
    </row>
    <row r="22838" spans="23:23" x14ac:dyDescent="0.55000000000000004">
      <c r="W22838"/>
    </row>
    <row r="22839" spans="23:23" x14ac:dyDescent="0.55000000000000004">
      <c r="W22839"/>
    </row>
    <row r="22840" spans="23:23" x14ac:dyDescent="0.55000000000000004">
      <c r="W22840"/>
    </row>
    <row r="22841" spans="23:23" x14ac:dyDescent="0.55000000000000004">
      <c r="W22841"/>
    </row>
    <row r="22842" spans="23:23" x14ac:dyDescent="0.55000000000000004">
      <c r="W22842"/>
    </row>
    <row r="22843" spans="23:23" x14ac:dyDescent="0.55000000000000004">
      <c r="W22843"/>
    </row>
    <row r="22844" spans="23:23" x14ac:dyDescent="0.55000000000000004">
      <c r="W22844"/>
    </row>
    <row r="22845" spans="23:23" x14ac:dyDescent="0.55000000000000004">
      <c r="W22845"/>
    </row>
    <row r="22846" spans="23:23" x14ac:dyDescent="0.55000000000000004">
      <c r="W22846"/>
    </row>
    <row r="22847" spans="23:23" x14ac:dyDescent="0.55000000000000004">
      <c r="W22847"/>
    </row>
    <row r="22848" spans="23:23" x14ac:dyDescent="0.55000000000000004">
      <c r="W22848"/>
    </row>
    <row r="22849" spans="23:23" x14ac:dyDescent="0.55000000000000004">
      <c r="W22849"/>
    </row>
    <row r="22850" spans="23:23" x14ac:dyDescent="0.55000000000000004">
      <c r="W22850"/>
    </row>
    <row r="22851" spans="23:23" x14ac:dyDescent="0.55000000000000004">
      <c r="W22851"/>
    </row>
    <row r="22852" spans="23:23" x14ac:dyDescent="0.55000000000000004">
      <c r="W22852"/>
    </row>
    <row r="22853" spans="23:23" x14ac:dyDescent="0.55000000000000004">
      <c r="W22853"/>
    </row>
    <row r="22854" spans="23:23" x14ac:dyDescent="0.55000000000000004">
      <c r="W22854"/>
    </row>
    <row r="22855" spans="23:23" x14ac:dyDescent="0.55000000000000004">
      <c r="W22855"/>
    </row>
    <row r="22856" spans="23:23" x14ac:dyDescent="0.55000000000000004">
      <c r="W22856"/>
    </row>
    <row r="22857" spans="23:23" x14ac:dyDescent="0.55000000000000004">
      <c r="W22857"/>
    </row>
    <row r="22858" spans="23:23" x14ac:dyDescent="0.55000000000000004">
      <c r="W22858"/>
    </row>
    <row r="22859" spans="23:23" x14ac:dyDescent="0.55000000000000004">
      <c r="W22859"/>
    </row>
    <row r="22860" spans="23:23" x14ac:dyDescent="0.55000000000000004">
      <c r="W22860"/>
    </row>
    <row r="22861" spans="23:23" x14ac:dyDescent="0.55000000000000004">
      <c r="W22861"/>
    </row>
    <row r="22862" spans="23:23" x14ac:dyDescent="0.55000000000000004">
      <c r="W22862"/>
    </row>
    <row r="22863" spans="23:23" x14ac:dyDescent="0.55000000000000004">
      <c r="W22863"/>
    </row>
    <row r="22864" spans="23:23" x14ac:dyDescent="0.55000000000000004">
      <c r="W22864"/>
    </row>
    <row r="22865" spans="23:23" x14ac:dyDescent="0.55000000000000004">
      <c r="W22865"/>
    </row>
    <row r="22866" spans="23:23" x14ac:dyDescent="0.55000000000000004">
      <c r="W22866"/>
    </row>
    <row r="22867" spans="23:23" x14ac:dyDescent="0.55000000000000004">
      <c r="W22867"/>
    </row>
    <row r="22868" spans="23:23" x14ac:dyDescent="0.55000000000000004">
      <c r="W22868"/>
    </row>
    <row r="22869" spans="23:23" x14ac:dyDescent="0.55000000000000004">
      <c r="W22869"/>
    </row>
    <row r="22870" spans="23:23" x14ac:dyDescent="0.55000000000000004">
      <c r="W22870"/>
    </row>
    <row r="22871" spans="23:23" x14ac:dyDescent="0.55000000000000004">
      <c r="W22871"/>
    </row>
    <row r="22872" spans="23:23" x14ac:dyDescent="0.55000000000000004">
      <c r="W22872"/>
    </row>
    <row r="22873" spans="23:23" x14ac:dyDescent="0.55000000000000004">
      <c r="W22873"/>
    </row>
    <row r="22874" spans="23:23" x14ac:dyDescent="0.55000000000000004">
      <c r="W22874"/>
    </row>
    <row r="22875" spans="23:23" x14ac:dyDescent="0.55000000000000004">
      <c r="W22875"/>
    </row>
    <row r="22876" spans="23:23" x14ac:dyDescent="0.55000000000000004">
      <c r="W22876"/>
    </row>
    <row r="22877" spans="23:23" x14ac:dyDescent="0.55000000000000004">
      <c r="W22877"/>
    </row>
    <row r="22878" spans="23:23" x14ac:dyDescent="0.55000000000000004">
      <c r="W22878"/>
    </row>
    <row r="22879" spans="23:23" x14ac:dyDescent="0.55000000000000004">
      <c r="W22879"/>
    </row>
    <row r="22880" spans="23:23" x14ac:dyDescent="0.55000000000000004">
      <c r="W22880"/>
    </row>
    <row r="22881" spans="23:23" x14ac:dyDescent="0.55000000000000004">
      <c r="W22881"/>
    </row>
    <row r="22882" spans="23:23" x14ac:dyDescent="0.55000000000000004">
      <c r="W22882"/>
    </row>
    <row r="22883" spans="23:23" x14ac:dyDescent="0.55000000000000004">
      <c r="W22883"/>
    </row>
    <row r="22884" spans="23:23" x14ac:dyDescent="0.55000000000000004">
      <c r="W22884"/>
    </row>
    <row r="22885" spans="23:23" x14ac:dyDescent="0.55000000000000004">
      <c r="W22885"/>
    </row>
    <row r="22886" spans="23:23" x14ac:dyDescent="0.55000000000000004">
      <c r="W22886"/>
    </row>
    <row r="22887" spans="23:23" x14ac:dyDescent="0.55000000000000004">
      <c r="W22887"/>
    </row>
    <row r="22888" spans="23:23" x14ac:dyDescent="0.55000000000000004">
      <c r="W22888"/>
    </row>
    <row r="22889" spans="23:23" x14ac:dyDescent="0.55000000000000004">
      <c r="W22889"/>
    </row>
    <row r="22890" spans="23:23" x14ac:dyDescent="0.55000000000000004">
      <c r="W22890"/>
    </row>
    <row r="22891" spans="23:23" x14ac:dyDescent="0.55000000000000004">
      <c r="W22891"/>
    </row>
    <row r="22892" spans="23:23" x14ac:dyDescent="0.55000000000000004">
      <c r="W22892"/>
    </row>
    <row r="22893" spans="23:23" x14ac:dyDescent="0.55000000000000004">
      <c r="W22893"/>
    </row>
    <row r="22894" spans="23:23" x14ac:dyDescent="0.55000000000000004">
      <c r="W22894"/>
    </row>
    <row r="22895" spans="23:23" x14ac:dyDescent="0.55000000000000004">
      <c r="W22895"/>
    </row>
    <row r="22896" spans="23:23" x14ac:dyDescent="0.55000000000000004">
      <c r="W22896"/>
    </row>
    <row r="22897" spans="23:23" x14ac:dyDescent="0.55000000000000004">
      <c r="W22897"/>
    </row>
    <row r="22898" spans="23:23" x14ac:dyDescent="0.55000000000000004">
      <c r="W22898"/>
    </row>
    <row r="22899" spans="23:23" x14ac:dyDescent="0.55000000000000004">
      <c r="W22899"/>
    </row>
    <row r="22900" spans="23:23" x14ac:dyDescent="0.55000000000000004">
      <c r="W22900"/>
    </row>
    <row r="22901" spans="23:23" x14ac:dyDescent="0.55000000000000004">
      <c r="W22901"/>
    </row>
    <row r="22902" spans="23:23" x14ac:dyDescent="0.55000000000000004">
      <c r="W22902"/>
    </row>
    <row r="22903" spans="23:23" x14ac:dyDescent="0.55000000000000004">
      <c r="W22903"/>
    </row>
    <row r="22904" spans="23:23" x14ac:dyDescent="0.55000000000000004">
      <c r="W22904"/>
    </row>
    <row r="22905" spans="23:23" x14ac:dyDescent="0.55000000000000004">
      <c r="W22905"/>
    </row>
    <row r="22906" spans="23:23" x14ac:dyDescent="0.55000000000000004">
      <c r="W22906"/>
    </row>
    <row r="22907" spans="23:23" x14ac:dyDescent="0.55000000000000004">
      <c r="W22907"/>
    </row>
    <row r="22908" spans="23:23" x14ac:dyDescent="0.55000000000000004">
      <c r="W22908"/>
    </row>
    <row r="22909" spans="23:23" x14ac:dyDescent="0.55000000000000004">
      <c r="W22909"/>
    </row>
    <row r="22910" spans="23:23" x14ac:dyDescent="0.55000000000000004">
      <c r="W22910"/>
    </row>
    <row r="22911" spans="23:23" x14ac:dyDescent="0.55000000000000004">
      <c r="W22911"/>
    </row>
    <row r="22912" spans="23:23" x14ac:dyDescent="0.55000000000000004">
      <c r="W22912"/>
    </row>
    <row r="22913" spans="23:23" x14ac:dyDescent="0.55000000000000004">
      <c r="W22913"/>
    </row>
    <row r="22914" spans="23:23" x14ac:dyDescent="0.55000000000000004">
      <c r="W22914"/>
    </row>
    <row r="22915" spans="23:23" x14ac:dyDescent="0.55000000000000004">
      <c r="W22915"/>
    </row>
    <row r="22916" spans="23:23" x14ac:dyDescent="0.55000000000000004">
      <c r="W22916"/>
    </row>
    <row r="22917" spans="23:23" x14ac:dyDescent="0.55000000000000004">
      <c r="W22917"/>
    </row>
    <row r="22918" spans="23:23" x14ac:dyDescent="0.55000000000000004">
      <c r="W22918"/>
    </row>
    <row r="22919" spans="23:23" x14ac:dyDescent="0.55000000000000004">
      <c r="W22919"/>
    </row>
    <row r="22920" spans="23:23" x14ac:dyDescent="0.55000000000000004">
      <c r="W22920"/>
    </row>
    <row r="22921" spans="23:23" x14ac:dyDescent="0.55000000000000004">
      <c r="W22921"/>
    </row>
    <row r="22922" spans="23:23" x14ac:dyDescent="0.55000000000000004">
      <c r="W22922"/>
    </row>
    <row r="22923" spans="23:23" x14ac:dyDescent="0.55000000000000004">
      <c r="W22923"/>
    </row>
    <row r="22924" spans="23:23" x14ac:dyDescent="0.55000000000000004">
      <c r="W22924"/>
    </row>
    <row r="22925" spans="23:23" x14ac:dyDescent="0.55000000000000004">
      <c r="W22925"/>
    </row>
    <row r="22926" spans="23:23" x14ac:dyDescent="0.55000000000000004">
      <c r="W22926"/>
    </row>
    <row r="22927" spans="23:23" x14ac:dyDescent="0.55000000000000004">
      <c r="W22927"/>
    </row>
    <row r="22928" spans="23:23" x14ac:dyDescent="0.55000000000000004">
      <c r="W22928"/>
    </row>
    <row r="22929" spans="23:23" x14ac:dyDescent="0.55000000000000004">
      <c r="W22929"/>
    </row>
    <row r="22930" spans="23:23" x14ac:dyDescent="0.55000000000000004">
      <c r="W22930"/>
    </row>
    <row r="22931" spans="23:23" x14ac:dyDescent="0.55000000000000004">
      <c r="W22931"/>
    </row>
    <row r="22932" spans="23:23" x14ac:dyDescent="0.55000000000000004">
      <c r="W22932"/>
    </row>
    <row r="22933" spans="23:23" x14ac:dyDescent="0.55000000000000004">
      <c r="W22933"/>
    </row>
    <row r="22934" spans="23:23" x14ac:dyDescent="0.55000000000000004">
      <c r="W22934"/>
    </row>
    <row r="22935" spans="23:23" x14ac:dyDescent="0.55000000000000004">
      <c r="W22935"/>
    </row>
    <row r="22936" spans="23:23" x14ac:dyDescent="0.55000000000000004">
      <c r="W22936"/>
    </row>
    <row r="22937" spans="23:23" x14ac:dyDescent="0.55000000000000004">
      <c r="W22937"/>
    </row>
    <row r="22938" spans="23:23" x14ac:dyDescent="0.55000000000000004">
      <c r="W22938"/>
    </row>
    <row r="22939" spans="23:23" x14ac:dyDescent="0.55000000000000004">
      <c r="W22939"/>
    </row>
    <row r="22940" spans="23:23" x14ac:dyDescent="0.55000000000000004">
      <c r="W22940"/>
    </row>
    <row r="22941" spans="23:23" x14ac:dyDescent="0.55000000000000004">
      <c r="W22941"/>
    </row>
    <row r="22942" spans="23:23" x14ac:dyDescent="0.55000000000000004">
      <c r="W22942"/>
    </row>
    <row r="22943" spans="23:23" x14ac:dyDescent="0.55000000000000004">
      <c r="W22943"/>
    </row>
    <row r="22944" spans="23:23" x14ac:dyDescent="0.55000000000000004">
      <c r="W22944"/>
    </row>
    <row r="22945" spans="23:23" x14ac:dyDescent="0.55000000000000004">
      <c r="W22945"/>
    </row>
    <row r="22946" spans="23:23" x14ac:dyDescent="0.55000000000000004">
      <c r="W22946"/>
    </row>
    <row r="22947" spans="23:23" x14ac:dyDescent="0.55000000000000004">
      <c r="W22947"/>
    </row>
    <row r="22948" spans="23:23" x14ac:dyDescent="0.55000000000000004">
      <c r="W22948"/>
    </row>
    <row r="22949" spans="23:23" x14ac:dyDescent="0.55000000000000004">
      <c r="W22949"/>
    </row>
    <row r="22950" spans="23:23" x14ac:dyDescent="0.55000000000000004">
      <c r="W22950"/>
    </row>
    <row r="22951" spans="23:23" x14ac:dyDescent="0.55000000000000004">
      <c r="W22951"/>
    </row>
    <row r="22952" spans="23:23" x14ac:dyDescent="0.55000000000000004">
      <c r="W22952"/>
    </row>
    <row r="22953" spans="23:23" x14ac:dyDescent="0.55000000000000004">
      <c r="W22953"/>
    </row>
    <row r="22954" spans="23:23" x14ac:dyDescent="0.55000000000000004">
      <c r="W22954"/>
    </row>
    <row r="22955" spans="23:23" x14ac:dyDescent="0.55000000000000004">
      <c r="W22955"/>
    </row>
    <row r="22956" spans="23:23" x14ac:dyDescent="0.55000000000000004">
      <c r="W22956"/>
    </row>
    <row r="22957" spans="23:23" x14ac:dyDescent="0.55000000000000004">
      <c r="W22957"/>
    </row>
    <row r="22958" spans="23:23" x14ac:dyDescent="0.55000000000000004">
      <c r="W22958"/>
    </row>
    <row r="22959" spans="23:23" x14ac:dyDescent="0.55000000000000004">
      <c r="W22959"/>
    </row>
    <row r="22960" spans="23:23" x14ac:dyDescent="0.55000000000000004">
      <c r="W22960"/>
    </row>
    <row r="22961" spans="23:23" x14ac:dyDescent="0.55000000000000004">
      <c r="W22961"/>
    </row>
    <row r="22962" spans="23:23" x14ac:dyDescent="0.55000000000000004">
      <c r="W22962"/>
    </row>
    <row r="22963" spans="23:23" x14ac:dyDescent="0.55000000000000004">
      <c r="W22963"/>
    </row>
    <row r="22964" spans="23:23" x14ac:dyDescent="0.55000000000000004">
      <c r="W22964"/>
    </row>
    <row r="22965" spans="23:23" x14ac:dyDescent="0.55000000000000004">
      <c r="W22965"/>
    </row>
    <row r="22966" spans="23:23" x14ac:dyDescent="0.55000000000000004">
      <c r="W22966"/>
    </row>
    <row r="22967" spans="23:23" x14ac:dyDescent="0.55000000000000004">
      <c r="W22967"/>
    </row>
    <row r="22968" spans="23:23" x14ac:dyDescent="0.55000000000000004">
      <c r="W22968"/>
    </row>
    <row r="22969" spans="23:23" x14ac:dyDescent="0.55000000000000004">
      <c r="W22969"/>
    </row>
    <row r="22970" spans="23:23" x14ac:dyDescent="0.55000000000000004">
      <c r="W22970"/>
    </row>
    <row r="22971" spans="23:23" x14ac:dyDescent="0.55000000000000004">
      <c r="W22971"/>
    </row>
    <row r="22972" spans="23:23" x14ac:dyDescent="0.55000000000000004">
      <c r="W22972"/>
    </row>
    <row r="22973" spans="23:23" x14ac:dyDescent="0.55000000000000004">
      <c r="W22973"/>
    </row>
    <row r="22974" spans="23:23" x14ac:dyDescent="0.55000000000000004">
      <c r="W22974"/>
    </row>
    <row r="22975" spans="23:23" x14ac:dyDescent="0.55000000000000004">
      <c r="W22975"/>
    </row>
    <row r="22976" spans="23:23" x14ac:dyDescent="0.55000000000000004">
      <c r="W22976"/>
    </row>
    <row r="22977" spans="23:23" x14ac:dyDescent="0.55000000000000004">
      <c r="W22977"/>
    </row>
    <row r="22978" spans="23:23" x14ac:dyDescent="0.55000000000000004">
      <c r="W22978"/>
    </row>
    <row r="22979" spans="23:23" x14ac:dyDescent="0.55000000000000004">
      <c r="W22979"/>
    </row>
    <row r="22980" spans="23:23" x14ac:dyDescent="0.55000000000000004">
      <c r="W22980"/>
    </row>
    <row r="22981" spans="23:23" x14ac:dyDescent="0.55000000000000004">
      <c r="W22981"/>
    </row>
    <row r="22982" spans="23:23" x14ac:dyDescent="0.55000000000000004">
      <c r="W22982"/>
    </row>
    <row r="22983" spans="23:23" x14ac:dyDescent="0.55000000000000004">
      <c r="W22983"/>
    </row>
    <row r="22984" spans="23:23" x14ac:dyDescent="0.55000000000000004">
      <c r="W22984"/>
    </row>
    <row r="22985" spans="23:23" x14ac:dyDescent="0.55000000000000004">
      <c r="W22985"/>
    </row>
    <row r="22986" spans="23:23" x14ac:dyDescent="0.55000000000000004">
      <c r="W22986"/>
    </row>
    <row r="22987" spans="23:23" x14ac:dyDescent="0.55000000000000004">
      <c r="W22987"/>
    </row>
    <row r="22988" spans="23:23" x14ac:dyDescent="0.55000000000000004">
      <c r="W22988"/>
    </row>
    <row r="22989" spans="23:23" x14ac:dyDescent="0.55000000000000004">
      <c r="W22989"/>
    </row>
    <row r="22990" spans="23:23" x14ac:dyDescent="0.55000000000000004">
      <c r="W22990"/>
    </row>
    <row r="22991" spans="23:23" x14ac:dyDescent="0.55000000000000004">
      <c r="W22991"/>
    </row>
    <row r="22992" spans="23:23" x14ac:dyDescent="0.55000000000000004">
      <c r="W22992"/>
    </row>
    <row r="22993" spans="23:23" x14ac:dyDescent="0.55000000000000004">
      <c r="W22993"/>
    </row>
    <row r="22994" spans="23:23" x14ac:dyDescent="0.55000000000000004">
      <c r="W22994"/>
    </row>
    <row r="22995" spans="23:23" x14ac:dyDescent="0.55000000000000004">
      <c r="W22995"/>
    </row>
    <row r="22996" spans="23:23" x14ac:dyDescent="0.55000000000000004">
      <c r="W22996"/>
    </row>
    <row r="22997" spans="23:23" x14ac:dyDescent="0.55000000000000004">
      <c r="W22997"/>
    </row>
    <row r="22998" spans="23:23" x14ac:dyDescent="0.55000000000000004">
      <c r="W22998"/>
    </row>
    <row r="22999" spans="23:23" x14ac:dyDescent="0.55000000000000004">
      <c r="W22999"/>
    </row>
    <row r="23000" spans="23:23" x14ac:dyDescent="0.55000000000000004">
      <c r="W23000"/>
    </row>
    <row r="23001" spans="23:23" x14ac:dyDescent="0.55000000000000004">
      <c r="W23001"/>
    </row>
    <row r="23002" spans="23:23" x14ac:dyDescent="0.55000000000000004">
      <c r="W23002"/>
    </row>
    <row r="23003" spans="23:23" x14ac:dyDescent="0.55000000000000004">
      <c r="W23003"/>
    </row>
    <row r="23004" spans="23:23" x14ac:dyDescent="0.55000000000000004">
      <c r="W23004"/>
    </row>
    <row r="23005" spans="23:23" x14ac:dyDescent="0.55000000000000004">
      <c r="W23005"/>
    </row>
    <row r="23006" spans="23:23" x14ac:dyDescent="0.55000000000000004">
      <c r="W23006"/>
    </row>
    <row r="23007" spans="23:23" x14ac:dyDescent="0.55000000000000004">
      <c r="W23007"/>
    </row>
    <row r="23008" spans="23:23" x14ac:dyDescent="0.55000000000000004">
      <c r="W23008"/>
    </row>
    <row r="23009" spans="23:23" x14ac:dyDescent="0.55000000000000004">
      <c r="W23009"/>
    </row>
    <row r="23010" spans="23:23" x14ac:dyDescent="0.55000000000000004">
      <c r="W23010"/>
    </row>
    <row r="23011" spans="23:23" x14ac:dyDescent="0.55000000000000004">
      <c r="W23011"/>
    </row>
    <row r="23012" spans="23:23" x14ac:dyDescent="0.55000000000000004">
      <c r="W23012"/>
    </row>
    <row r="23013" spans="23:23" x14ac:dyDescent="0.55000000000000004">
      <c r="W23013"/>
    </row>
    <row r="23014" spans="23:23" x14ac:dyDescent="0.55000000000000004">
      <c r="W23014"/>
    </row>
    <row r="23015" spans="23:23" x14ac:dyDescent="0.55000000000000004">
      <c r="W23015"/>
    </row>
    <row r="23016" spans="23:23" x14ac:dyDescent="0.55000000000000004">
      <c r="W23016"/>
    </row>
    <row r="23017" spans="23:23" x14ac:dyDescent="0.55000000000000004">
      <c r="W23017"/>
    </row>
    <row r="23018" spans="23:23" x14ac:dyDescent="0.55000000000000004">
      <c r="W23018"/>
    </row>
    <row r="23019" spans="23:23" x14ac:dyDescent="0.55000000000000004">
      <c r="W23019"/>
    </row>
    <row r="23020" spans="23:23" x14ac:dyDescent="0.55000000000000004">
      <c r="W23020"/>
    </row>
    <row r="23021" spans="23:23" x14ac:dyDescent="0.55000000000000004">
      <c r="W23021"/>
    </row>
    <row r="23022" spans="23:23" x14ac:dyDescent="0.55000000000000004">
      <c r="W23022"/>
    </row>
    <row r="23023" spans="23:23" x14ac:dyDescent="0.55000000000000004">
      <c r="W23023"/>
    </row>
    <row r="23024" spans="23:23" x14ac:dyDescent="0.55000000000000004">
      <c r="W23024"/>
    </row>
    <row r="23025" spans="23:23" x14ac:dyDescent="0.55000000000000004">
      <c r="W23025"/>
    </row>
    <row r="23026" spans="23:23" x14ac:dyDescent="0.55000000000000004">
      <c r="W23026"/>
    </row>
    <row r="23027" spans="23:23" x14ac:dyDescent="0.55000000000000004">
      <c r="W23027"/>
    </row>
    <row r="23028" spans="23:23" x14ac:dyDescent="0.55000000000000004">
      <c r="W23028"/>
    </row>
    <row r="23029" spans="23:23" x14ac:dyDescent="0.55000000000000004">
      <c r="W23029"/>
    </row>
    <row r="23030" spans="23:23" x14ac:dyDescent="0.55000000000000004">
      <c r="W23030"/>
    </row>
    <row r="23031" spans="23:23" x14ac:dyDescent="0.55000000000000004">
      <c r="W23031"/>
    </row>
    <row r="23032" spans="23:23" x14ac:dyDescent="0.55000000000000004">
      <c r="W23032"/>
    </row>
    <row r="23033" spans="23:23" x14ac:dyDescent="0.55000000000000004">
      <c r="W23033"/>
    </row>
    <row r="23034" spans="23:23" x14ac:dyDescent="0.55000000000000004">
      <c r="W23034"/>
    </row>
    <row r="23035" spans="23:23" x14ac:dyDescent="0.55000000000000004">
      <c r="W23035"/>
    </row>
    <row r="23036" spans="23:23" x14ac:dyDescent="0.55000000000000004">
      <c r="W23036"/>
    </row>
    <row r="23037" spans="23:23" x14ac:dyDescent="0.55000000000000004">
      <c r="W23037"/>
    </row>
    <row r="23038" spans="23:23" x14ac:dyDescent="0.55000000000000004">
      <c r="W23038"/>
    </row>
    <row r="23039" spans="23:23" x14ac:dyDescent="0.55000000000000004">
      <c r="W23039"/>
    </row>
    <row r="23040" spans="23:23" x14ac:dyDescent="0.55000000000000004">
      <c r="W23040"/>
    </row>
    <row r="23041" spans="23:23" x14ac:dyDescent="0.55000000000000004">
      <c r="W23041"/>
    </row>
    <row r="23042" spans="23:23" x14ac:dyDescent="0.55000000000000004">
      <c r="W23042"/>
    </row>
    <row r="23043" spans="23:23" x14ac:dyDescent="0.55000000000000004">
      <c r="W23043"/>
    </row>
    <row r="23044" spans="23:23" x14ac:dyDescent="0.55000000000000004">
      <c r="W23044"/>
    </row>
    <row r="23045" spans="23:23" x14ac:dyDescent="0.55000000000000004">
      <c r="W23045"/>
    </row>
    <row r="23046" spans="23:23" x14ac:dyDescent="0.55000000000000004">
      <c r="W23046"/>
    </row>
    <row r="23047" spans="23:23" x14ac:dyDescent="0.55000000000000004">
      <c r="W23047"/>
    </row>
    <row r="23048" spans="23:23" x14ac:dyDescent="0.55000000000000004">
      <c r="W23048"/>
    </row>
    <row r="23049" spans="23:23" x14ac:dyDescent="0.55000000000000004">
      <c r="W23049"/>
    </row>
    <row r="23050" spans="23:23" x14ac:dyDescent="0.55000000000000004">
      <c r="W23050"/>
    </row>
    <row r="23051" spans="23:23" x14ac:dyDescent="0.55000000000000004">
      <c r="W23051"/>
    </row>
    <row r="23052" spans="23:23" x14ac:dyDescent="0.55000000000000004">
      <c r="W23052"/>
    </row>
    <row r="23053" spans="23:23" x14ac:dyDescent="0.55000000000000004">
      <c r="W23053"/>
    </row>
    <row r="23054" spans="23:23" x14ac:dyDescent="0.55000000000000004">
      <c r="W23054"/>
    </row>
    <row r="23055" spans="23:23" x14ac:dyDescent="0.55000000000000004">
      <c r="W23055"/>
    </row>
    <row r="23056" spans="23:23" x14ac:dyDescent="0.55000000000000004">
      <c r="W23056"/>
    </row>
    <row r="23057" spans="23:23" x14ac:dyDescent="0.55000000000000004">
      <c r="W23057"/>
    </row>
    <row r="23058" spans="23:23" x14ac:dyDescent="0.55000000000000004">
      <c r="W23058"/>
    </row>
    <row r="23059" spans="23:23" x14ac:dyDescent="0.55000000000000004">
      <c r="W23059"/>
    </row>
    <row r="23060" spans="23:23" x14ac:dyDescent="0.55000000000000004">
      <c r="W23060"/>
    </row>
    <row r="23061" spans="23:23" x14ac:dyDescent="0.55000000000000004">
      <c r="W23061"/>
    </row>
    <row r="23062" spans="23:23" x14ac:dyDescent="0.55000000000000004">
      <c r="W23062"/>
    </row>
    <row r="23063" spans="23:23" x14ac:dyDescent="0.55000000000000004">
      <c r="W23063"/>
    </row>
    <row r="23064" spans="23:23" x14ac:dyDescent="0.55000000000000004">
      <c r="W23064"/>
    </row>
    <row r="23065" spans="23:23" x14ac:dyDescent="0.55000000000000004">
      <c r="W23065"/>
    </row>
    <row r="23066" spans="23:23" x14ac:dyDescent="0.55000000000000004">
      <c r="W23066"/>
    </row>
    <row r="23067" spans="23:23" x14ac:dyDescent="0.55000000000000004">
      <c r="W23067"/>
    </row>
    <row r="23068" spans="23:23" x14ac:dyDescent="0.55000000000000004">
      <c r="W23068"/>
    </row>
    <row r="23069" spans="23:23" x14ac:dyDescent="0.55000000000000004">
      <c r="W23069"/>
    </row>
    <row r="23070" spans="23:23" x14ac:dyDescent="0.55000000000000004">
      <c r="W23070"/>
    </row>
    <row r="23071" spans="23:23" x14ac:dyDescent="0.55000000000000004">
      <c r="W23071"/>
    </row>
    <row r="23072" spans="23:23" x14ac:dyDescent="0.55000000000000004">
      <c r="W23072"/>
    </row>
    <row r="23073" spans="23:23" x14ac:dyDescent="0.55000000000000004">
      <c r="W23073"/>
    </row>
    <row r="23074" spans="23:23" x14ac:dyDescent="0.55000000000000004">
      <c r="W23074"/>
    </row>
    <row r="23075" spans="23:23" x14ac:dyDescent="0.55000000000000004">
      <c r="W23075"/>
    </row>
    <row r="23076" spans="23:23" x14ac:dyDescent="0.55000000000000004">
      <c r="W23076"/>
    </row>
    <row r="23077" spans="23:23" x14ac:dyDescent="0.55000000000000004">
      <c r="W23077"/>
    </row>
    <row r="23078" spans="23:23" x14ac:dyDescent="0.55000000000000004">
      <c r="W23078"/>
    </row>
    <row r="23079" spans="23:23" x14ac:dyDescent="0.55000000000000004">
      <c r="W23079"/>
    </row>
    <row r="23080" spans="23:23" x14ac:dyDescent="0.55000000000000004">
      <c r="W23080"/>
    </row>
    <row r="23081" spans="23:23" x14ac:dyDescent="0.55000000000000004">
      <c r="W23081"/>
    </row>
    <row r="23082" spans="23:23" x14ac:dyDescent="0.55000000000000004">
      <c r="W23082"/>
    </row>
    <row r="23083" spans="23:23" x14ac:dyDescent="0.55000000000000004">
      <c r="W23083"/>
    </row>
    <row r="23084" spans="23:23" x14ac:dyDescent="0.55000000000000004">
      <c r="W23084"/>
    </row>
    <row r="23085" spans="23:23" x14ac:dyDescent="0.55000000000000004">
      <c r="W23085"/>
    </row>
    <row r="23086" spans="23:23" x14ac:dyDescent="0.55000000000000004">
      <c r="W23086"/>
    </row>
    <row r="23087" spans="23:23" x14ac:dyDescent="0.55000000000000004">
      <c r="W23087"/>
    </row>
    <row r="23088" spans="23:23" x14ac:dyDescent="0.55000000000000004">
      <c r="W23088"/>
    </row>
    <row r="23089" spans="23:23" x14ac:dyDescent="0.55000000000000004">
      <c r="W23089"/>
    </row>
    <row r="23090" spans="23:23" x14ac:dyDescent="0.55000000000000004">
      <c r="W23090"/>
    </row>
    <row r="23091" spans="23:23" x14ac:dyDescent="0.55000000000000004">
      <c r="W23091"/>
    </row>
    <row r="23092" spans="23:23" x14ac:dyDescent="0.55000000000000004">
      <c r="W23092"/>
    </row>
    <row r="23093" spans="23:23" x14ac:dyDescent="0.55000000000000004">
      <c r="W23093"/>
    </row>
    <row r="23094" spans="23:23" x14ac:dyDescent="0.55000000000000004">
      <c r="W23094"/>
    </row>
    <row r="23095" spans="23:23" x14ac:dyDescent="0.55000000000000004">
      <c r="W23095"/>
    </row>
    <row r="23096" spans="23:23" x14ac:dyDescent="0.55000000000000004">
      <c r="W23096"/>
    </row>
    <row r="23097" spans="23:23" x14ac:dyDescent="0.55000000000000004">
      <c r="W23097"/>
    </row>
    <row r="23098" spans="23:23" x14ac:dyDescent="0.55000000000000004">
      <c r="W23098"/>
    </row>
    <row r="23099" spans="23:23" x14ac:dyDescent="0.55000000000000004">
      <c r="W23099"/>
    </row>
    <row r="23100" spans="23:23" x14ac:dyDescent="0.55000000000000004">
      <c r="W23100"/>
    </row>
    <row r="23101" spans="23:23" x14ac:dyDescent="0.55000000000000004">
      <c r="W23101"/>
    </row>
    <row r="23102" spans="23:23" x14ac:dyDescent="0.55000000000000004">
      <c r="W23102"/>
    </row>
    <row r="23103" spans="23:23" x14ac:dyDescent="0.55000000000000004">
      <c r="W23103"/>
    </row>
    <row r="23104" spans="23:23" x14ac:dyDescent="0.55000000000000004">
      <c r="W23104"/>
    </row>
    <row r="23105" spans="23:23" x14ac:dyDescent="0.55000000000000004">
      <c r="W23105"/>
    </row>
    <row r="23106" spans="23:23" x14ac:dyDescent="0.55000000000000004">
      <c r="W23106"/>
    </row>
    <row r="23107" spans="23:23" x14ac:dyDescent="0.55000000000000004">
      <c r="W23107"/>
    </row>
    <row r="23108" spans="23:23" x14ac:dyDescent="0.55000000000000004">
      <c r="W23108"/>
    </row>
    <row r="23109" spans="23:23" x14ac:dyDescent="0.55000000000000004">
      <c r="W23109"/>
    </row>
    <row r="23110" spans="23:23" x14ac:dyDescent="0.55000000000000004">
      <c r="W23110"/>
    </row>
    <row r="23111" spans="23:23" x14ac:dyDescent="0.55000000000000004">
      <c r="W23111"/>
    </row>
    <row r="23112" spans="23:23" x14ac:dyDescent="0.55000000000000004">
      <c r="W23112"/>
    </row>
    <row r="23113" spans="23:23" x14ac:dyDescent="0.55000000000000004">
      <c r="W23113"/>
    </row>
    <row r="23114" spans="23:23" x14ac:dyDescent="0.55000000000000004">
      <c r="W23114"/>
    </row>
    <row r="23115" spans="23:23" x14ac:dyDescent="0.55000000000000004">
      <c r="W23115"/>
    </row>
    <row r="23116" spans="23:23" x14ac:dyDescent="0.55000000000000004">
      <c r="W23116"/>
    </row>
    <row r="23117" spans="23:23" x14ac:dyDescent="0.55000000000000004">
      <c r="W23117"/>
    </row>
    <row r="23118" spans="23:23" x14ac:dyDescent="0.55000000000000004">
      <c r="W23118"/>
    </row>
    <row r="23119" spans="23:23" x14ac:dyDescent="0.55000000000000004">
      <c r="W23119"/>
    </row>
    <row r="23120" spans="23:23" x14ac:dyDescent="0.55000000000000004">
      <c r="W23120"/>
    </row>
    <row r="23121" spans="23:23" x14ac:dyDescent="0.55000000000000004">
      <c r="W23121"/>
    </row>
    <row r="23122" spans="23:23" x14ac:dyDescent="0.55000000000000004">
      <c r="W23122"/>
    </row>
    <row r="23123" spans="23:23" x14ac:dyDescent="0.55000000000000004">
      <c r="W23123"/>
    </row>
    <row r="23124" spans="23:23" x14ac:dyDescent="0.55000000000000004">
      <c r="W23124"/>
    </row>
    <row r="23125" spans="23:23" x14ac:dyDescent="0.55000000000000004">
      <c r="W23125"/>
    </row>
    <row r="23126" spans="23:23" x14ac:dyDescent="0.55000000000000004">
      <c r="W23126"/>
    </row>
    <row r="23127" spans="23:23" x14ac:dyDescent="0.55000000000000004">
      <c r="W23127"/>
    </row>
    <row r="23128" spans="23:23" x14ac:dyDescent="0.55000000000000004">
      <c r="W23128"/>
    </row>
    <row r="23129" spans="23:23" x14ac:dyDescent="0.55000000000000004">
      <c r="W23129"/>
    </row>
    <row r="23130" spans="23:23" x14ac:dyDescent="0.55000000000000004">
      <c r="W23130"/>
    </row>
    <row r="23131" spans="23:23" x14ac:dyDescent="0.55000000000000004">
      <c r="W23131"/>
    </row>
    <row r="23132" spans="23:23" x14ac:dyDescent="0.55000000000000004">
      <c r="W23132"/>
    </row>
    <row r="23133" spans="23:23" x14ac:dyDescent="0.55000000000000004">
      <c r="W23133"/>
    </row>
    <row r="23134" spans="23:23" x14ac:dyDescent="0.55000000000000004">
      <c r="W23134"/>
    </row>
    <row r="23135" spans="23:23" x14ac:dyDescent="0.55000000000000004">
      <c r="W23135"/>
    </row>
    <row r="23136" spans="23:23" x14ac:dyDescent="0.55000000000000004">
      <c r="W23136"/>
    </row>
    <row r="23137" spans="23:23" x14ac:dyDescent="0.55000000000000004">
      <c r="W23137"/>
    </row>
    <row r="23138" spans="23:23" x14ac:dyDescent="0.55000000000000004">
      <c r="W23138"/>
    </row>
    <row r="23139" spans="23:23" x14ac:dyDescent="0.55000000000000004">
      <c r="W23139"/>
    </row>
    <row r="23140" spans="23:23" x14ac:dyDescent="0.55000000000000004">
      <c r="W23140"/>
    </row>
    <row r="23141" spans="23:23" x14ac:dyDescent="0.55000000000000004">
      <c r="W23141"/>
    </row>
    <row r="23142" spans="23:23" x14ac:dyDescent="0.55000000000000004">
      <c r="W23142"/>
    </row>
    <row r="23143" spans="23:23" x14ac:dyDescent="0.55000000000000004">
      <c r="W23143"/>
    </row>
    <row r="23144" spans="23:23" x14ac:dyDescent="0.55000000000000004">
      <c r="W23144"/>
    </row>
    <row r="23145" spans="23:23" x14ac:dyDescent="0.55000000000000004">
      <c r="W23145"/>
    </row>
    <row r="23146" spans="23:23" x14ac:dyDescent="0.55000000000000004">
      <c r="W23146"/>
    </row>
    <row r="23147" spans="23:23" x14ac:dyDescent="0.55000000000000004">
      <c r="W23147"/>
    </row>
    <row r="23148" spans="23:23" x14ac:dyDescent="0.55000000000000004">
      <c r="W23148"/>
    </row>
    <row r="23149" spans="23:23" x14ac:dyDescent="0.55000000000000004">
      <c r="W23149"/>
    </row>
    <row r="23150" spans="23:23" x14ac:dyDescent="0.55000000000000004">
      <c r="W23150"/>
    </row>
    <row r="23151" spans="23:23" x14ac:dyDescent="0.55000000000000004">
      <c r="W23151"/>
    </row>
    <row r="23152" spans="23:23" x14ac:dyDescent="0.55000000000000004">
      <c r="W23152"/>
    </row>
    <row r="23153" spans="23:23" x14ac:dyDescent="0.55000000000000004">
      <c r="W23153"/>
    </row>
    <row r="23154" spans="23:23" x14ac:dyDescent="0.55000000000000004">
      <c r="W23154"/>
    </row>
    <row r="23155" spans="23:23" x14ac:dyDescent="0.55000000000000004">
      <c r="W23155"/>
    </row>
    <row r="23156" spans="23:23" x14ac:dyDescent="0.55000000000000004">
      <c r="W23156"/>
    </row>
    <row r="23157" spans="23:23" x14ac:dyDescent="0.55000000000000004">
      <c r="W23157"/>
    </row>
    <row r="23158" spans="23:23" x14ac:dyDescent="0.55000000000000004">
      <c r="W23158"/>
    </row>
    <row r="23159" spans="23:23" x14ac:dyDescent="0.55000000000000004">
      <c r="W23159"/>
    </row>
    <row r="23160" spans="23:23" x14ac:dyDescent="0.55000000000000004">
      <c r="W23160"/>
    </row>
    <row r="23161" spans="23:23" x14ac:dyDescent="0.55000000000000004">
      <c r="W23161"/>
    </row>
    <row r="23162" spans="23:23" x14ac:dyDescent="0.55000000000000004">
      <c r="W23162"/>
    </row>
    <row r="23163" spans="23:23" x14ac:dyDescent="0.55000000000000004">
      <c r="W23163"/>
    </row>
    <row r="23164" spans="23:23" x14ac:dyDescent="0.55000000000000004">
      <c r="W23164"/>
    </row>
    <row r="23165" spans="23:23" x14ac:dyDescent="0.55000000000000004">
      <c r="W23165"/>
    </row>
    <row r="23166" spans="23:23" x14ac:dyDescent="0.55000000000000004">
      <c r="W23166"/>
    </row>
    <row r="23167" spans="23:23" x14ac:dyDescent="0.55000000000000004">
      <c r="W23167"/>
    </row>
    <row r="23168" spans="23:23" x14ac:dyDescent="0.55000000000000004">
      <c r="W23168"/>
    </row>
    <row r="23169" spans="23:23" x14ac:dyDescent="0.55000000000000004">
      <c r="W23169"/>
    </row>
    <row r="23170" spans="23:23" x14ac:dyDescent="0.55000000000000004">
      <c r="W23170"/>
    </row>
    <row r="23171" spans="23:23" x14ac:dyDescent="0.55000000000000004">
      <c r="W23171"/>
    </row>
    <row r="23172" spans="23:23" x14ac:dyDescent="0.55000000000000004">
      <c r="W23172"/>
    </row>
    <row r="23173" spans="23:23" x14ac:dyDescent="0.55000000000000004">
      <c r="W23173"/>
    </row>
    <row r="23174" spans="23:23" x14ac:dyDescent="0.55000000000000004">
      <c r="W23174"/>
    </row>
    <row r="23175" spans="23:23" x14ac:dyDescent="0.55000000000000004">
      <c r="W23175"/>
    </row>
    <row r="23176" spans="23:23" x14ac:dyDescent="0.55000000000000004">
      <c r="W23176"/>
    </row>
    <row r="23177" spans="23:23" x14ac:dyDescent="0.55000000000000004">
      <c r="W23177"/>
    </row>
    <row r="23178" spans="23:23" x14ac:dyDescent="0.55000000000000004">
      <c r="W23178"/>
    </row>
    <row r="23179" spans="23:23" x14ac:dyDescent="0.55000000000000004">
      <c r="W23179"/>
    </row>
    <row r="23180" spans="23:23" x14ac:dyDescent="0.55000000000000004">
      <c r="W23180"/>
    </row>
    <row r="23181" spans="23:23" x14ac:dyDescent="0.55000000000000004">
      <c r="W23181"/>
    </row>
    <row r="23182" spans="23:23" x14ac:dyDescent="0.55000000000000004">
      <c r="W23182"/>
    </row>
    <row r="23183" spans="23:23" x14ac:dyDescent="0.55000000000000004">
      <c r="W23183"/>
    </row>
    <row r="23184" spans="23:23" x14ac:dyDescent="0.55000000000000004">
      <c r="W23184"/>
    </row>
    <row r="23185" spans="23:23" x14ac:dyDescent="0.55000000000000004">
      <c r="W23185"/>
    </row>
    <row r="23186" spans="23:23" x14ac:dyDescent="0.55000000000000004">
      <c r="W23186"/>
    </row>
    <row r="23187" spans="23:23" x14ac:dyDescent="0.55000000000000004">
      <c r="W23187"/>
    </row>
    <row r="23188" spans="23:23" x14ac:dyDescent="0.55000000000000004">
      <c r="W23188"/>
    </row>
    <row r="23189" spans="23:23" x14ac:dyDescent="0.55000000000000004">
      <c r="W23189"/>
    </row>
    <row r="23190" spans="23:23" x14ac:dyDescent="0.55000000000000004">
      <c r="W23190"/>
    </row>
    <row r="23191" spans="23:23" x14ac:dyDescent="0.55000000000000004">
      <c r="W23191"/>
    </row>
    <row r="23192" spans="23:23" x14ac:dyDescent="0.55000000000000004">
      <c r="W23192"/>
    </row>
    <row r="23193" spans="23:23" x14ac:dyDescent="0.55000000000000004">
      <c r="W23193"/>
    </row>
    <row r="23194" spans="23:23" x14ac:dyDescent="0.55000000000000004">
      <c r="W23194"/>
    </row>
    <row r="23195" spans="23:23" x14ac:dyDescent="0.55000000000000004">
      <c r="W23195"/>
    </row>
    <row r="23196" spans="23:23" x14ac:dyDescent="0.55000000000000004">
      <c r="W23196"/>
    </row>
    <row r="23197" spans="23:23" x14ac:dyDescent="0.55000000000000004">
      <c r="W23197"/>
    </row>
    <row r="23198" spans="23:23" x14ac:dyDescent="0.55000000000000004">
      <c r="W23198"/>
    </row>
    <row r="23199" spans="23:23" x14ac:dyDescent="0.55000000000000004">
      <c r="W23199"/>
    </row>
    <row r="23200" spans="23:23" x14ac:dyDescent="0.55000000000000004">
      <c r="W23200"/>
    </row>
    <row r="23201" spans="23:23" x14ac:dyDescent="0.55000000000000004">
      <c r="W23201"/>
    </row>
    <row r="23202" spans="23:23" x14ac:dyDescent="0.55000000000000004">
      <c r="W23202"/>
    </row>
    <row r="23203" spans="23:23" x14ac:dyDescent="0.55000000000000004">
      <c r="W23203"/>
    </row>
    <row r="23204" spans="23:23" x14ac:dyDescent="0.55000000000000004">
      <c r="W23204"/>
    </row>
    <row r="23205" spans="23:23" x14ac:dyDescent="0.55000000000000004">
      <c r="W23205"/>
    </row>
    <row r="23206" spans="23:23" x14ac:dyDescent="0.55000000000000004">
      <c r="W23206"/>
    </row>
    <row r="23207" spans="23:23" x14ac:dyDescent="0.55000000000000004">
      <c r="W23207"/>
    </row>
    <row r="23208" spans="23:23" x14ac:dyDescent="0.55000000000000004">
      <c r="W23208"/>
    </row>
    <row r="23209" spans="23:23" x14ac:dyDescent="0.55000000000000004">
      <c r="W23209"/>
    </row>
    <row r="23210" spans="23:23" x14ac:dyDescent="0.55000000000000004">
      <c r="W23210"/>
    </row>
    <row r="23211" spans="23:23" x14ac:dyDescent="0.55000000000000004">
      <c r="W23211"/>
    </row>
    <row r="23212" spans="23:23" x14ac:dyDescent="0.55000000000000004">
      <c r="W23212"/>
    </row>
    <row r="23213" spans="23:23" x14ac:dyDescent="0.55000000000000004">
      <c r="W23213"/>
    </row>
    <row r="23214" spans="23:23" x14ac:dyDescent="0.55000000000000004">
      <c r="W23214"/>
    </row>
    <row r="23215" spans="23:23" x14ac:dyDescent="0.55000000000000004">
      <c r="W23215"/>
    </row>
    <row r="23216" spans="23:23" x14ac:dyDescent="0.55000000000000004">
      <c r="W23216"/>
    </row>
    <row r="23217" spans="23:23" x14ac:dyDescent="0.55000000000000004">
      <c r="W23217"/>
    </row>
    <row r="23218" spans="23:23" x14ac:dyDescent="0.55000000000000004">
      <c r="W23218"/>
    </row>
    <row r="23219" spans="23:23" x14ac:dyDescent="0.55000000000000004">
      <c r="W23219"/>
    </row>
    <row r="23220" spans="23:23" x14ac:dyDescent="0.55000000000000004">
      <c r="W23220"/>
    </row>
    <row r="23221" spans="23:23" x14ac:dyDescent="0.55000000000000004">
      <c r="W23221"/>
    </row>
    <row r="23222" spans="23:23" x14ac:dyDescent="0.55000000000000004">
      <c r="W23222"/>
    </row>
    <row r="23223" spans="23:23" x14ac:dyDescent="0.55000000000000004">
      <c r="W23223"/>
    </row>
    <row r="23224" spans="23:23" x14ac:dyDescent="0.55000000000000004">
      <c r="W23224"/>
    </row>
    <row r="23225" spans="23:23" x14ac:dyDescent="0.55000000000000004">
      <c r="W23225"/>
    </row>
    <row r="23226" spans="23:23" x14ac:dyDescent="0.55000000000000004">
      <c r="W23226"/>
    </row>
    <row r="23227" spans="23:23" x14ac:dyDescent="0.55000000000000004">
      <c r="W23227"/>
    </row>
    <row r="23228" spans="23:23" x14ac:dyDescent="0.55000000000000004">
      <c r="W23228"/>
    </row>
    <row r="23229" spans="23:23" x14ac:dyDescent="0.55000000000000004">
      <c r="W23229"/>
    </row>
    <row r="23230" spans="23:23" x14ac:dyDescent="0.55000000000000004">
      <c r="W23230"/>
    </row>
    <row r="23231" spans="23:23" x14ac:dyDescent="0.55000000000000004">
      <c r="W23231"/>
    </row>
    <row r="23232" spans="23:23" x14ac:dyDescent="0.55000000000000004">
      <c r="W23232"/>
    </row>
    <row r="23233" spans="23:23" x14ac:dyDescent="0.55000000000000004">
      <c r="W23233"/>
    </row>
    <row r="23234" spans="23:23" x14ac:dyDescent="0.55000000000000004">
      <c r="W23234"/>
    </row>
    <row r="23235" spans="23:23" x14ac:dyDescent="0.55000000000000004">
      <c r="W23235"/>
    </row>
    <row r="23236" spans="23:23" x14ac:dyDescent="0.55000000000000004">
      <c r="W23236"/>
    </row>
    <row r="23237" spans="23:23" x14ac:dyDescent="0.55000000000000004">
      <c r="W23237"/>
    </row>
    <row r="23238" spans="23:23" x14ac:dyDescent="0.55000000000000004">
      <c r="W23238"/>
    </row>
    <row r="23239" spans="23:23" x14ac:dyDescent="0.55000000000000004">
      <c r="W23239"/>
    </row>
    <row r="23240" spans="23:23" x14ac:dyDescent="0.55000000000000004">
      <c r="W23240"/>
    </row>
    <row r="23241" spans="23:23" x14ac:dyDescent="0.55000000000000004">
      <c r="W23241"/>
    </row>
    <row r="23242" spans="23:23" x14ac:dyDescent="0.55000000000000004">
      <c r="W23242"/>
    </row>
    <row r="23243" spans="23:23" x14ac:dyDescent="0.55000000000000004">
      <c r="W23243"/>
    </row>
    <row r="23244" spans="23:23" x14ac:dyDescent="0.55000000000000004">
      <c r="W23244"/>
    </row>
    <row r="23245" spans="23:23" x14ac:dyDescent="0.55000000000000004">
      <c r="W23245"/>
    </row>
    <row r="23246" spans="23:23" x14ac:dyDescent="0.55000000000000004">
      <c r="W23246"/>
    </row>
    <row r="23247" spans="23:23" x14ac:dyDescent="0.55000000000000004">
      <c r="W23247"/>
    </row>
    <row r="23248" spans="23:23" x14ac:dyDescent="0.55000000000000004">
      <c r="W23248"/>
    </row>
    <row r="23249" spans="23:23" x14ac:dyDescent="0.55000000000000004">
      <c r="W23249"/>
    </row>
    <row r="23250" spans="23:23" x14ac:dyDescent="0.55000000000000004">
      <c r="W23250"/>
    </row>
    <row r="23251" spans="23:23" x14ac:dyDescent="0.55000000000000004">
      <c r="W23251"/>
    </row>
    <row r="23252" spans="23:23" x14ac:dyDescent="0.55000000000000004">
      <c r="W23252"/>
    </row>
    <row r="23253" spans="23:23" x14ac:dyDescent="0.55000000000000004">
      <c r="W23253"/>
    </row>
    <row r="23254" spans="23:23" x14ac:dyDescent="0.55000000000000004">
      <c r="W23254"/>
    </row>
    <row r="23255" spans="23:23" x14ac:dyDescent="0.55000000000000004">
      <c r="W23255"/>
    </row>
    <row r="23256" spans="23:23" x14ac:dyDescent="0.55000000000000004">
      <c r="W23256"/>
    </row>
    <row r="23257" spans="23:23" x14ac:dyDescent="0.55000000000000004">
      <c r="W23257"/>
    </row>
    <row r="23258" spans="23:23" x14ac:dyDescent="0.55000000000000004">
      <c r="W23258"/>
    </row>
    <row r="23259" spans="23:23" x14ac:dyDescent="0.55000000000000004">
      <c r="W23259"/>
    </row>
    <row r="23260" spans="23:23" x14ac:dyDescent="0.55000000000000004">
      <c r="W23260"/>
    </row>
    <row r="23261" spans="23:23" x14ac:dyDescent="0.55000000000000004">
      <c r="W23261"/>
    </row>
    <row r="23262" spans="23:23" x14ac:dyDescent="0.55000000000000004">
      <c r="W23262"/>
    </row>
    <row r="23263" spans="23:23" x14ac:dyDescent="0.55000000000000004">
      <c r="W23263"/>
    </row>
    <row r="23264" spans="23:23" x14ac:dyDescent="0.55000000000000004">
      <c r="W23264"/>
    </row>
    <row r="23265" spans="23:23" x14ac:dyDescent="0.55000000000000004">
      <c r="W23265"/>
    </row>
    <row r="23266" spans="23:23" x14ac:dyDescent="0.55000000000000004">
      <c r="W23266"/>
    </row>
    <row r="23267" spans="23:23" x14ac:dyDescent="0.55000000000000004">
      <c r="W23267"/>
    </row>
    <row r="23268" spans="23:23" x14ac:dyDescent="0.55000000000000004">
      <c r="W23268"/>
    </row>
    <row r="23269" spans="23:23" x14ac:dyDescent="0.55000000000000004">
      <c r="W23269"/>
    </row>
    <row r="23270" spans="23:23" x14ac:dyDescent="0.55000000000000004">
      <c r="W23270"/>
    </row>
    <row r="23271" spans="23:23" x14ac:dyDescent="0.55000000000000004">
      <c r="W23271"/>
    </row>
    <row r="23272" spans="23:23" x14ac:dyDescent="0.55000000000000004">
      <c r="W23272"/>
    </row>
    <row r="23273" spans="23:23" x14ac:dyDescent="0.55000000000000004">
      <c r="W23273"/>
    </row>
    <row r="23274" spans="23:23" x14ac:dyDescent="0.55000000000000004">
      <c r="W23274"/>
    </row>
    <row r="23275" spans="23:23" x14ac:dyDescent="0.55000000000000004">
      <c r="W23275"/>
    </row>
    <row r="23276" spans="23:23" x14ac:dyDescent="0.55000000000000004">
      <c r="W23276"/>
    </row>
    <row r="23277" spans="23:23" x14ac:dyDescent="0.55000000000000004">
      <c r="W23277"/>
    </row>
    <row r="23278" spans="23:23" x14ac:dyDescent="0.55000000000000004">
      <c r="W23278"/>
    </row>
    <row r="23279" spans="23:23" x14ac:dyDescent="0.55000000000000004">
      <c r="W23279"/>
    </row>
    <row r="23280" spans="23:23" x14ac:dyDescent="0.55000000000000004">
      <c r="W23280"/>
    </row>
    <row r="23281" spans="23:23" x14ac:dyDescent="0.55000000000000004">
      <c r="W23281"/>
    </row>
    <row r="23282" spans="23:23" x14ac:dyDescent="0.55000000000000004">
      <c r="W23282"/>
    </row>
    <row r="23283" spans="23:23" x14ac:dyDescent="0.55000000000000004">
      <c r="W23283"/>
    </row>
    <row r="23284" spans="23:23" x14ac:dyDescent="0.55000000000000004">
      <c r="W23284"/>
    </row>
    <row r="23285" spans="23:23" x14ac:dyDescent="0.55000000000000004">
      <c r="W23285"/>
    </row>
    <row r="23286" spans="23:23" x14ac:dyDescent="0.55000000000000004">
      <c r="W23286"/>
    </row>
    <row r="23287" spans="23:23" x14ac:dyDescent="0.55000000000000004">
      <c r="W23287"/>
    </row>
    <row r="23288" spans="23:23" x14ac:dyDescent="0.55000000000000004">
      <c r="W23288"/>
    </row>
    <row r="23289" spans="23:23" x14ac:dyDescent="0.55000000000000004">
      <c r="W23289"/>
    </row>
    <row r="23290" spans="23:23" x14ac:dyDescent="0.55000000000000004">
      <c r="W23290"/>
    </row>
    <row r="23291" spans="23:23" x14ac:dyDescent="0.55000000000000004">
      <c r="W23291"/>
    </row>
    <row r="23292" spans="23:23" x14ac:dyDescent="0.55000000000000004">
      <c r="W23292"/>
    </row>
    <row r="23293" spans="23:23" x14ac:dyDescent="0.55000000000000004">
      <c r="W23293"/>
    </row>
    <row r="23294" spans="23:23" x14ac:dyDescent="0.55000000000000004">
      <c r="W23294"/>
    </row>
    <row r="23295" spans="23:23" x14ac:dyDescent="0.55000000000000004">
      <c r="W23295"/>
    </row>
    <row r="23296" spans="23:23" x14ac:dyDescent="0.55000000000000004">
      <c r="W23296"/>
    </row>
    <row r="23297" spans="23:23" x14ac:dyDescent="0.55000000000000004">
      <c r="W23297"/>
    </row>
    <row r="23298" spans="23:23" x14ac:dyDescent="0.55000000000000004">
      <c r="W23298"/>
    </row>
    <row r="23299" spans="23:23" x14ac:dyDescent="0.55000000000000004">
      <c r="W23299"/>
    </row>
    <row r="23300" spans="23:23" x14ac:dyDescent="0.55000000000000004">
      <c r="W23300"/>
    </row>
    <row r="23301" spans="23:23" x14ac:dyDescent="0.55000000000000004">
      <c r="W23301"/>
    </row>
    <row r="23302" spans="23:23" x14ac:dyDescent="0.55000000000000004">
      <c r="W23302"/>
    </row>
    <row r="23303" spans="23:23" x14ac:dyDescent="0.55000000000000004">
      <c r="W23303"/>
    </row>
    <row r="23304" spans="23:23" x14ac:dyDescent="0.55000000000000004">
      <c r="W23304"/>
    </row>
    <row r="23305" spans="23:23" x14ac:dyDescent="0.55000000000000004">
      <c r="W23305"/>
    </row>
    <row r="23306" spans="23:23" x14ac:dyDescent="0.55000000000000004">
      <c r="W23306"/>
    </row>
    <row r="23307" spans="23:23" x14ac:dyDescent="0.55000000000000004">
      <c r="W23307"/>
    </row>
    <row r="23308" spans="23:23" x14ac:dyDescent="0.55000000000000004">
      <c r="W23308"/>
    </row>
    <row r="23309" spans="23:23" x14ac:dyDescent="0.55000000000000004">
      <c r="W23309"/>
    </row>
    <row r="23310" spans="23:23" x14ac:dyDescent="0.55000000000000004">
      <c r="W23310"/>
    </row>
    <row r="23311" spans="23:23" x14ac:dyDescent="0.55000000000000004">
      <c r="W23311"/>
    </row>
    <row r="23312" spans="23:23" x14ac:dyDescent="0.55000000000000004">
      <c r="W23312"/>
    </row>
    <row r="23313" spans="23:23" x14ac:dyDescent="0.55000000000000004">
      <c r="W23313"/>
    </row>
    <row r="23314" spans="23:23" x14ac:dyDescent="0.55000000000000004">
      <c r="W23314"/>
    </row>
    <row r="23315" spans="23:23" x14ac:dyDescent="0.55000000000000004">
      <c r="W23315"/>
    </row>
    <row r="23316" spans="23:23" x14ac:dyDescent="0.55000000000000004">
      <c r="W23316"/>
    </row>
    <row r="23317" spans="23:23" x14ac:dyDescent="0.55000000000000004">
      <c r="W23317"/>
    </row>
    <row r="23318" spans="23:23" x14ac:dyDescent="0.55000000000000004">
      <c r="W23318"/>
    </row>
    <row r="23319" spans="23:23" x14ac:dyDescent="0.55000000000000004">
      <c r="W23319"/>
    </row>
    <row r="23320" spans="23:23" x14ac:dyDescent="0.55000000000000004">
      <c r="W23320"/>
    </row>
    <row r="23321" spans="23:23" x14ac:dyDescent="0.55000000000000004">
      <c r="W23321"/>
    </row>
    <row r="23322" spans="23:23" x14ac:dyDescent="0.55000000000000004">
      <c r="W23322"/>
    </row>
    <row r="23323" spans="23:23" x14ac:dyDescent="0.55000000000000004">
      <c r="W23323"/>
    </row>
    <row r="23324" spans="23:23" x14ac:dyDescent="0.55000000000000004">
      <c r="W23324"/>
    </row>
    <row r="23325" spans="23:23" x14ac:dyDescent="0.55000000000000004">
      <c r="W23325"/>
    </row>
    <row r="23326" spans="23:23" x14ac:dyDescent="0.55000000000000004">
      <c r="W23326"/>
    </row>
    <row r="23327" spans="23:23" x14ac:dyDescent="0.55000000000000004">
      <c r="W23327"/>
    </row>
    <row r="23328" spans="23:23" x14ac:dyDescent="0.55000000000000004">
      <c r="W23328"/>
    </row>
    <row r="23329" spans="23:23" x14ac:dyDescent="0.55000000000000004">
      <c r="W23329"/>
    </row>
    <row r="23330" spans="23:23" x14ac:dyDescent="0.55000000000000004">
      <c r="W23330"/>
    </row>
    <row r="23331" spans="23:23" x14ac:dyDescent="0.55000000000000004">
      <c r="W23331"/>
    </row>
    <row r="23332" spans="23:23" x14ac:dyDescent="0.55000000000000004">
      <c r="W23332"/>
    </row>
    <row r="23333" spans="23:23" x14ac:dyDescent="0.55000000000000004">
      <c r="W23333"/>
    </row>
    <row r="23334" spans="23:23" x14ac:dyDescent="0.55000000000000004">
      <c r="W23334"/>
    </row>
    <row r="23335" spans="23:23" x14ac:dyDescent="0.55000000000000004">
      <c r="W23335"/>
    </row>
    <row r="23336" spans="23:23" x14ac:dyDescent="0.55000000000000004">
      <c r="W23336"/>
    </row>
    <row r="23337" spans="23:23" x14ac:dyDescent="0.55000000000000004">
      <c r="W23337"/>
    </row>
    <row r="23338" spans="23:23" x14ac:dyDescent="0.55000000000000004">
      <c r="W23338"/>
    </row>
    <row r="23339" spans="23:23" x14ac:dyDescent="0.55000000000000004">
      <c r="W23339"/>
    </row>
    <row r="23340" spans="23:23" x14ac:dyDescent="0.55000000000000004">
      <c r="W23340"/>
    </row>
    <row r="23341" spans="23:23" x14ac:dyDescent="0.55000000000000004">
      <c r="W23341"/>
    </row>
    <row r="23342" spans="23:23" x14ac:dyDescent="0.55000000000000004">
      <c r="W23342"/>
    </row>
    <row r="23343" spans="23:23" x14ac:dyDescent="0.55000000000000004">
      <c r="W23343"/>
    </row>
    <row r="23344" spans="23:23" x14ac:dyDescent="0.55000000000000004">
      <c r="W23344"/>
    </row>
    <row r="23345" spans="23:23" x14ac:dyDescent="0.55000000000000004">
      <c r="W23345"/>
    </row>
    <row r="23346" spans="23:23" x14ac:dyDescent="0.55000000000000004">
      <c r="W23346"/>
    </row>
    <row r="23347" spans="23:23" x14ac:dyDescent="0.55000000000000004">
      <c r="W23347"/>
    </row>
    <row r="23348" spans="23:23" x14ac:dyDescent="0.55000000000000004">
      <c r="W23348"/>
    </row>
    <row r="23349" spans="23:23" x14ac:dyDescent="0.55000000000000004">
      <c r="W23349"/>
    </row>
    <row r="23350" spans="23:23" x14ac:dyDescent="0.55000000000000004">
      <c r="W23350"/>
    </row>
    <row r="23351" spans="23:23" x14ac:dyDescent="0.55000000000000004">
      <c r="W23351"/>
    </row>
    <row r="23352" spans="23:23" x14ac:dyDescent="0.55000000000000004">
      <c r="W23352"/>
    </row>
    <row r="23353" spans="23:23" x14ac:dyDescent="0.55000000000000004">
      <c r="W23353"/>
    </row>
    <row r="23354" spans="23:23" x14ac:dyDescent="0.55000000000000004">
      <c r="W23354"/>
    </row>
    <row r="23355" spans="23:23" x14ac:dyDescent="0.55000000000000004">
      <c r="W23355"/>
    </row>
    <row r="23356" spans="23:23" x14ac:dyDescent="0.55000000000000004">
      <c r="W23356"/>
    </row>
    <row r="23357" spans="23:23" x14ac:dyDescent="0.55000000000000004">
      <c r="W23357"/>
    </row>
    <row r="23358" spans="23:23" x14ac:dyDescent="0.55000000000000004">
      <c r="W23358"/>
    </row>
    <row r="23359" spans="23:23" x14ac:dyDescent="0.55000000000000004">
      <c r="W23359"/>
    </row>
    <row r="23360" spans="23:23" x14ac:dyDescent="0.55000000000000004">
      <c r="W23360"/>
    </row>
    <row r="23361" spans="23:23" x14ac:dyDescent="0.55000000000000004">
      <c r="W23361"/>
    </row>
    <row r="23362" spans="23:23" x14ac:dyDescent="0.55000000000000004">
      <c r="W23362"/>
    </row>
    <row r="23363" spans="23:23" x14ac:dyDescent="0.55000000000000004">
      <c r="W23363"/>
    </row>
    <row r="23364" spans="23:23" x14ac:dyDescent="0.55000000000000004">
      <c r="W23364"/>
    </row>
    <row r="23365" spans="23:23" x14ac:dyDescent="0.55000000000000004">
      <c r="W23365"/>
    </row>
    <row r="23366" spans="23:23" x14ac:dyDescent="0.55000000000000004">
      <c r="W23366"/>
    </row>
    <row r="23367" spans="23:23" x14ac:dyDescent="0.55000000000000004">
      <c r="W23367"/>
    </row>
    <row r="23368" spans="23:23" x14ac:dyDescent="0.55000000000000004">
      <c r="W23368"/>
    </row>
    <row r="23369" spans="23:23" x14ac:dyDescent="0.55000000000000004">
      <c r="W23369"/>
    </row>
    <row r="23370" spans="23:23" x14ac:dyDescent="0.55000000000000004">
      <c r="W23370"/>
    </row>
    <row r="23371" spans="23:23" x14ac:dyDescent="0.55000000000000004">
      <c r="W23371"/>
    </row>
    <row r="23372" spans="23:23" x14ac:dyDescent="0.55000000000000004">
      <c r="W23372"/>
    </row>
    <row r="23373" spans="23:23" x14ac:dyDescent="0.55000000000000004">
      <c r="W23373"/>
    </row>
    <row r="23374" spans="23:23" x14ac:dyDescent="0.55000000000000004">
      <c r="W23374"/>
    </row>
    <row r="23375" spans="23:23" x14ac:dyDescent="0.55000000000000004">
      <c r="W23375"/>
    </row>
    <row r="23376" spans="23:23" x14ac:dyDescent="0.55000000000000004">
      <c r="W23376"/>
    </row>
    <row r="23377" spans="23:23" x14ac:dyDescent="0.55000000000000004">
      <c r="W23377"/>
    </row>
    <row r="23378" spans="23:23" x14ac:dyDescent="0.55000000000000004">
      <c r="W23378"/>
    </row>
    <row r="23379" spans="23:23" x14ac:dyDescent="0.55000000000000004">
      <c r="W23379"/>
    </row>
    <row r="23380" spans="23:23" x14ac:dyDescent="0.55000000000000004">
      <c r="W23380"/>
    </row>
    <row r="23381" spans="23:23" x14ac:dyDescent="0.55000000000000004">
      <c r="W23381"/>
    </row>
    <row r="23382" spans="23:23" x14ac:dyDescent="0.55000000000000004">
      <c r="W23382"/>
    </row>
    <row r="23383" spans="23:23" x14ac:dyDescent="0.55000000000000004">
      <c r="W23383"/>
    </row>
    <row r="23384" spans="23:23" x14ac:dyDescent="0.55000000000000004">
      <c r="W23384"/>
    </row>
    <row r="23385" spans="23:23" x14ac:dyDescent="0.55000000000000004">
      <c r="W23385"/>
    </row>
    <row r="23386" spans="23:23" x14ac:dyDescent="0.55000000000000004">
      <c r="W23386"/>
    </row>
    <row r="23387" spans="23:23" x14ac:dyDescent="0.55000000000000004">
      <c r="W23387"/>
    </row>
    <row r="23388" spans="23:23" x14ac:dyDescent="0.55000000000000004">
      <c r="W23388"/>
    </row>
    <row r="23389" spans="23:23" x14ac:dyDescent="0.55000000000000004">
      <c r="W23389"/>
    </row>
    <row r="23390" spans="23:23" x14ac:dyDescent="0.55000000000000004">
      <c r="W23390"/>
    </row>
    <row r="23391" spans="23:23" x14ac:dyDescent="0.55000000000000004">
      <c r="W23391"/>
    </row>
    <row r="23392" spans="23:23" x14ac:dyDescent="0.55000000000000004">
      <c r="W23392"/>
    </row>
    <row r="23393" spans="23:23" x14ac:dyDescent="0.55000000000000004">
      <c r="W23393"/>
    </row>
    <row r="23394" spans="23:23" x14ac:dyDescent="0.55000000000000004">
      <c r="W23394"/>
    </row>
    <row r="23395" spans="23:23" x14ac:dyDescent="0.55000000000000004">
      <c r="W23395"/>
    </row>
    <row r="23396" spans="23:23" x14ac:dyDescent="0.55000000000000004">
      <c r="W23396"/>
    </row>
    <row r="23397" spans="23:23" x14ac:dyDescent="0.55000000000000004">
      <c r="W23397"/>
    </row>
    <row r="23398" spans="23:23" x14ac:dyDescent="0.55000000000000004">
      <c r="W23398"/>
    </row>
    <row r="23399" spans="23:23" x14ac:dyDescent="0.55000000000000004">
      <c r="W23399"/>
    </row>
    <row r="23400" spans="23:23" x14ac:dyDescent="0.55000000000000004">
      <c r="W23400"/>
    </row>
    <row r="23401" spans="23:23" x14ac:dyDescent="0.55000000000000004">
      <c r="W23401"/>
    </row>
    <row r="23402" spans="23:23" x14ac:dyDescent="0.55000000000000004">
      <c r="W23402"/>
    </row>
    <row r="23403" spans="23:23" x14ac:dyDescent="0.55000000000000004">
      <c r="W23403"/>
    </row>
    <row r="23404" spans="23:23" x14ac:dyDescent="0.55000000000000004">
      <c r="W23404"/>
    </row>
    <row r="23405" spans="23:23" x14ac:dyDescent="0.55000000000000004">
      <c r="W23405"/>
    </row>
    <row r="23406" spans="23:23" x14ac:dyDescent="0.55000000000000004">
      <c r="W23406"/>
    </row>
    <row r="23407" spans="23:23" x14ac:dyDescent="0.55000000000000004">
      <c r="W23407"/>
    </row>
    <row r="23408" spans="23:23" x14ac:dyDescent="0.55000000000000004">
      <c r="W23408"/>
    </row>
    <row r="23409" spans="23:23" x14ac:dyDescent="0.55000000000000004">
      <c r="W23409"/>
    </row>
    <row r="23410" spans="23:23" x14ac:dyDescent="0.55000000000000004">
      <c r="W23410"/>
    </row>
    <row r="23411" spans="23:23" x14ac:dyDescent="0.55000000000000004">
      <c r="W23411"/>
    </row>
    <row r="23412" spans="23:23" x14ac:dyDescent="0.55000000000000004">
      <c r="W23412"/>
    </row>
    <row r="23413" spans="23:23" x14ac:dyDescent="0.55000000000000004">
      <c r="W23413"/>
    </row>
    <row r="23414" spans="23:23" x14ac:dyDescent="0.55000000000000004">
      <c r="W23414"/>
    </row>
    <row r="23415" spans="23:23" x14ac:dyDescent="0.55000000000000004">
      <c r="W23415"/>
    </row>
    <row r="23416" spans="23:23" x14ac:dyDescent="0.55000000000000004">
      <c r="W23416"/>
    </row>
    <row r="23417" spans="23:23" x14ac:dyDescent="0.55000000000000004">
      <c r="W23417"/>
    </row>
    <row r="23418" spans="23:23" x14ac:dyDescent="0.55000000000000004">
      <c r="W23418"/>
    </row>
    <row r="23419" spans="23:23" x14ac:dyDescent="0.55000000000000004">
      <c r="W23419"/>
    </row>
    <row r="23420" spans="23:23" x14ac:dyDescent="0.55000000000000004">
      <c r="W23420"/>
    </row>
    <row r="23421" spans="23:23" x14ac:dyDescent="0.55000000000000004">
      <c r="W23421"/>
    </row>
    <row r="23422" spans="23:23" x14ac:dyDescent="0.55000000000000004">
      <c r="W23422"/>
    </row>
    <row r="23423" spans="23:23" x14ac:dyDescent="0.55000000000000004">
      <c r="W23423"/>
    </row>
    <row r="23424" spans="23:23" x14ac:dyDescent="0.55000000000000004">
      <c r="W23424"/>
    </row>
    <row r="23425" spans="23:23" x14ac:dyDescent="0.55000000000000004">
      <c r="W23425"/>
    </row>
    <row r="23426" spans="23:23" x14ac:dyDescent="0.55000000000000004">
      <c r="W23426"/>
    </row>
    <row r="23427" spans="23:23" x14ac:dyDescent="0.55000000000000004">
      <c r="W23427"/>
    </row>
    <row r="23428" spans="23:23" x14ac:dyDescent="0.55000000000000004">
      <c r="W23428"/>
    </row>
    <row r="23429" spans="23:23" x14ac:dyDescent="0.55000000000000004">
      <c r="W23429"/>
    </row>
    <row r="23430" spans="23:23" x14ac:dyDescent="0.55000000000000004">
      <c r="W23430"/>
    </row>
    <row r="23431" spans="23:23" x14ac:dyDescent="0.55000000000000004">
      <c r="W23431"/>
    </row>
    <row r="23432" spans="23:23" x14ac:dyDescent="0.55000000000000004">
      <c r="W23432"/>
    </row>
    <row r="23433" spans="23:23" x14ac:dyDescent="0.55000000000000004">
      <c r="W23433"/>
    </row>
    <row r="23434" spans="23:23" x14ac:dyDescent="0.55000000000000004">
      <c r="W23434"/>
    </row>
    <row r="23435" spans="23:23" x14ac:dyDescent="0.55000000000000004">
      <c r="W23435"/>
    </row>
    <row r="23436" spans="23:23" x14ac:dyDescent="0.55000000000000004">
      <c r="W23436"/>
    </row>
    <row r="23437" spans="23:23" x14ac:dyDescent="0.55000000000000004">
      <c r="W23437"/>
    </row>
    <row r="23438" spans="23:23" x14ac:dyDescent="0.55000000000000004">
      <c r="W23438"/>
    </row>
    <row r="23439" spans="23:23" x14ac:dyDescent="0.55000000000000004">
      <c r="W23439"/>
    </row>
    <row r="23440" spans="23:23" x14ac:dyDescent="0.55000000000000004">
      <c r="W23440"/>
    </row>
    <row r="23441" spans="23:23" x14ac:dyDescent="0.55000000000000004">
      <c r="W23441"/>
    </row>
    <row r="23442" spans="23:23" x14ac:dyDescent="0.55000000000000004">
      <c r="W23442"/>
    </row>
    <row r="23443" spans="23:23" x14ac:dyDescent="0.55000000000000004">
      <c r="W23443"/>
    </row>
    <row r="23444" spans="23:23" x14ac:dyDescent="0.55000000000000004">
      <c r="W23444"/>
    </row>
    <row r="23445" spans="23:23" x14ac:dyDescent="0.55000000000000004">
      <c r="W23445"/>
    </row>
    <row r="23446" spans="23:23" x14ac:dyDescent="0.55000000000000004">
      <c r="W23446"/>
    </row>
    <row r="23447" spans="23:23" x14ac:dyDescent="0.55000000000000004">
      <c r="W23447"/>
    </row>
    <row r="23448" spans="23:23" x14ac:dyDescent="0.55000000000000004">
      <c r="W23448"/>
    </row>
    <row r="23449" spans="23:23" x14ac:dyDescent="0.55000000000000004">
      <c r="W23449"/>
    </row>
    <row r="23450" spans="23:23" x14ac:dyDescent="0.55000000000000004">
      <c r="W23450"/>
    </row>
    <row r="23451" spans="23:23" x14ac:dyDescent="0.55000000000000004">
      <c r="W23451"/>
    </row>
    <row r="23452" spans="23:23" x14ac:dyDescent="0.55000000000000004">
      <c r="W23452"/>
    </row>
    <row r="23453" spans="23:23" x14ac:dyDescent="0.55000000000000004">
      <c r="W23453"/>
    </row>
    <row r="23454" spans="23:23" x14ac:dyDescent="0.55000000000000004">
      <c r="W23454"/>
    </row>
    <row r="23455" spans="23:23" x14ac:dyDescent="0.55000000000000004">
      <c r="W23455"/>
    </row>
    <row r="23456" spans="23:23" x14ac:dyDescent="0.55000000000000004">
      <c r="W23456"/>
    </row>
    <row r="23457" spans="23:23" x14ac:dyDescent="0.55000000000000004">
      <c r="W23457"/>
    </row>
    <row r="23458" spans="23:23" x14ac:dyDescent="0.55000000000000004">
      <c r="W23458"/>
    </row>
    <row r="23459" spans="23:23" x14ac:dyDescent="0.55000000000000004">
      <c r="W23459"/>
    </row>
    <row r="23460" spans="23:23" x14ac:dyDescent="0.55000000000000004">
      <c r="W23460"/>
    </row>
    <row r="23461" spans="23:23" x14ac:dyDescent="0.55000000000000004">
      <c r="W23461"/>
    </row>
    <row r="23462" spans="23:23" x14ac:dyDescent="0.55000000000000004">
      <c r="W23462"/>
    </row>
    <row r="23463" spans="23:23" x14ac:dyDescent="0.55000000000000004">
      <c r="W23463"/>
    </row>
    <row r="23464" spans="23:23" x14ac:dyDescent="0.55000000000000004">
      <c r="W23464"/>
    </row>
    <row r="23465" spans="23:23" x14ac:dyDescent="0.55000000000000004">
      <c r="W23465"/>
    </row>
    <row r="23466" spans="23:23" x14ac:dyDescent="0.55000000000000004">
      <c r="W23466"/>
    </row>
    <row r="23467" spans="23:23" x14ac:dyDescent="0.55000000000000004">
      <c r="W23467"/>
    </row>
    <row r="23468" spans="23:23" x14ac:dyDescent="0.55000000000000004">
      <c r="W23468"/>
    </row>
    <row r="23469" spans="23:23" x14ac:dyDescent="0.55000000000000004">
      <c r="W23469"/>
    </row>
    <row r="23470" spans="23:23" x14ac:dyDescent="0.55000000000000004">
      <c r="W23470"/>
    </row>
    <row r="23471" spans="23:23" x14ac:dyDescent="0.55000000000000004">
      <c r="W23471"/>
    </row>
    <row r="23472" spans="23:23" x14ac:dyDescent="0.55000000000000004">
      <c r="W23472"/>
    </row>
    <row r="23473" spans="23:23" x14ac:dyDescent="0.55000000000000004">
      <c r="W23473"/>
    </row>
    <row r="23474" spans="23:23" x14ac:dyDescent="0.55000000000000004">
      <c r="W23474"/>
    </row>
    <row r="23475" spans="23:23" x14ac:dyDescent="0.55000000000000004">
      <c r="W23475"/>
    </row>
    <row r="23476" spans="23:23" x14ac:dyDescent="0.55000000000000004">
      <c r="W23476"/>
    </row>
    <row r="23477" spans="23:23" x14ac:dyDescent="0.55000000000000004">
      <c r="W23477"/>
    </row>
    <row r="23478" spans="23:23" x14ac:dyDescent="0.55000000000000004">
      <c r="W23478"/>
    </row>
    <row r="23479" spans="23:23" x14ac:dyDescent="0.55000000000000004">
      <c r="W23479"/>
    </row>
    <row r="23480" spans="23:23" x14ac:dyDescent="0.55000000000000004">
      <c r="W23480"/>
    </row>
    <row r="23481" spans="23:23" x14ac:dyDescent="0.55000000000000004">
      <c r="W23481"/>
    </row>
    <row r="23482" spans="23:23" x14ac:dyDescent="0.55000000000000004">
      <c r="W23482"/>
    </row>
    <row r="23483" spans="23:23" x14ac:dyDescent="0.55000000000000004">
      <c r="W23483"/>
    </row>
    <row r="23484" spans="23:23" x14ac:dyDescent="0.55000000000000004">
      <c r="W23484"/>
    </row>
    <row r="23485" spans="23:23" x14ac:dyDescent="0.55000000000000004">
      <c r="W23485"/>
    </row>
    <row r="23486" spans="23:23" x14ac:dyDescent="0.55000000000000004">
      <c r="W23486"/>
    </row>
    <row r="23487" spans="23:23" x14ac:dyDescent="0.55000000000000004">
      <c r="W23487"/>
    </row>
    <row r="23488" spans="23:23" x14ac:dyDescent="0.55000000000000004">
      <c r="W23488"/>
    </row>
    <row r="23489" spans="23:23" x14ac:dyDescent="0.55000000000000004">
      <c r="W23489"/>
    </row>
    <row r="23490" spans="23:23" x14ac:dyDescent="0.55000000000000004">
      <c r="W23490"/>
    </row>
    <row r="23491" spans="23:23" x14ac:dyDescent="0.55000000000000004">
      <c r="W23491"/>
    </row>
    <row r="23492" spans="23:23" x14ac:dyDescent="0.55000000000000004">
      <c r="W23492"/>
    </row>
    <row r="23493" spans="23:23" x14ac:dyDescent="0.55000000000000004">
      <c r="W23493"/>
    </row>
    <row r="23494" spans="23:23" x14ac:dyDescent="0.55000000000000004">
      <c r="W23494"/>
    </row>
    <row r="23495" spans="23:23" x14ac:dyDescent="0.55000000000000004">
      <c r="W23495"/>
    </row>
    <row r="23496" spans="23:23" x14ac:dyDescent="0.55000000000000004">
      <c r="W23496"/>
    </row>
    <row r="23497" spans="23:23" x14ac:dyDescent="0.55000000000000004">
      <c r="W23497"/>
    </row>
    <row r="23498" spans="23:23" x14ac:dyDescent="0.55000000000000004">
      <c r="W23498"/>
    </row>
    <row r="23499" spans="23:23" x14ac:dyDescent="0.55000000000000004">
      <c r="W23499"/>
    </row>
    <row r="23500" spans="23:23" x14ac:dyDescent="0.55000000000000004">
      <c r="W23500"/>
    </row>
    <row r="23501" spans="23:23" x14ac:dyDescent="0.55000000000000004">
      <c r="W23501"/>
    </row>
    <row r="23502" spans="23:23" x14ac:dyDescent="0.55000000000000004">
      <c r="W23502"/>
    </row>
    <row r="23503" spans="23:23" x14ac:dyDescent="0.55000000000000004">
      <c r="W23503"/>
    </row>
    <row r="23504" spans="23:23" x14ac:dyDescent="0.55000000000000004">
      <c r="W23504"/>
    </row>
    <row r="23505" spans="23:23" x14ac:dyDescent="0.55000000000000004">
      <c r="W23505"/>
    </row>
    <row r="23506" spans="23:23" x14ac:dyDescent="0.55000000000000004">
      <c r="W23506"/>
    </row>
    <row r="23507" spans="23:23" x14ac:dyDescent="0.55000000000000004">
      <c r="W23507"/>
    </row>
    <row r="23508" spans="23:23" x14ac:dyDescent="0.55000000000000004">
      <c r="W23508"/>
    </row>
    <row r="23509" spans="23:23" x14ac:dyDescent="0.55000000000000004">
      <c r="W23509"/>
    </row>
    <row r="23510" spans="23:23" x14ac:dyDescent="0.55000000000000004">
      <c r="W23510"/>
    </row>
    <row r="23511" spans="23:23" x14ac:dyDescent="0.55000000000000004">
      <c r="W23511"/>
    </row>
    <row r="23512" spans="23:23" x14ac:dyDescent="0.55000000000000004">
      <c r="W23512"/>
    </row>
    <row r="23513" spans="23:23" x14ac:dyDescent="0.55000000000000004">
      <c r="W23513"/>
    </row>
    <row r="23514" spans="23:23" x14ac:dyDescent="0.55000000000000004">
      <c r="W23514"/>
    </row>
    <row r="23515" spans="23:23" x14ac:dyDescent="0.55000000000000004">
      <c r="W23515"/>
    </row>
    <row r="23516" spans="23:23" x14ac:dyDescent="0.55000000000000004">
      <c r="W23516"/>
    </row>
    <row r="23517" spans="23:23" x14ac:dyDescent="0.55000000000000004">
      <c r="W23517"/>
    </row>
    <row r="23518" spans="23:23" x14ac:dyDescent="0.55000000000000004">
      <c r="W23518"/>
    </row>
    <row r="23519" spans="23:23" x14ac:dyDescent="0.55000000000000004">
      <c r="W23519"/>
    </row>
    <row r="23520" spans="23:23" x14ac:dyDescent="0.55000000000000004">
      <c r="W23520"/>
    </row>
    <row r="23521" spans="23:23" x14ac:dyDescent="0.55000000000000004">
      <c r="W23521"/>
    </row>
    <row r="23522" spans="23:23" x14ac:dyDescent="0.55000000000000004">
      <c r="W23522"/>
    </row>
    <row r="23523" spans="23:23" x14ac:dyDescent="0.55000000000000004">
      <c r="W23523"/>
    </row>
    <row r="23524" spans="23:23" x14ac:dyDescent="0.55000000000000004">
      <c r="W23524"/>
    </row>
    <row r="23525" spans="23:23" x14ac:dyDescent="0.55000000000000004">
      <c r="W23525"/>
    </row>
    <row r="23526" spans="23:23" x14ac:dyDescent="0.55000000000000004">
      <c r="W23526"/>
    </row>
    <row r="23527" spans="23:23" x14ac:dyDescent="0.55000000000000004">
      <c r="W23527"/>
    </row>
    <row r="23528" spans="23:23" x14ac:dyDescent="0.55000000000000004">
      <c r="W23528"/>
    </row>
    <row r="23529" spans="23:23" x14ac:dyDescent="0.55000000000000004">
      <c r="W23529"/>
    </row>
    <row r="23530" spans="23:23" x14ac:dyDescent="0.55000000000000004">
      <c r="W23530"/>
    </row>
    <row r="23531" spans="23:23" x14ac:dyDescent="0.55000000000000004">
      <c r="W23531"/>
    </row>
    <row r="23532" spans="23:23" x14ac:dyDescent="0.55000000000000004">
      <c r="W23532"/>
    </row>
    <row r="23533" spans="23:23" x14ac:dyDescent="0.55000000000000004">
      <c r="W23533"/>
    </row>
    <row r="23534" spans="23:23" x14ac:dyDescent="0.55000000000000004">
      <c r="W23534"/>
    </row>
    <row r="23535" spans="23:23" x14ac:dyDescent="0.55000000000000004">
      <c r="W23535"/>
    </row>
    <row r="23536" spans="23:23" x14ac:dyDescent="0.55000000000000004">
      <c r="W23536"/>
    </row>
    <row r="23537" spans="23:23" x14ac:dyDescent="0.55000000000000004">
      <c r="W23537"/>
    </row>
    <row r="23538" spans="23:23" x14ac:dyDescent="0.55000000000000004">
      <c r="W23538"/>
    </row>
    <row r="23539" spans="23:23" x14ac:dyDescent="0.55000000000000004">
      <c r="W23539"/>
    </row>
    <row r="23540" spans="23:23" x14ac:dyDescent="0.55000000000000004">
      <c r="W23540"/>
    </row>
    <row r="23541" spans="23:23" x14ac:dyDescent="0.55000000000000004">
      <c r="W23541"/>
    </row>
    <row r="23542" spans="23:23" x14ac:dyDescent="0.55000000000000004">
      <c r="W23542"/>
    </row>
    <row r="23543" spans="23:23" x14ac:dyDescent="0.55000000000000004">
      <c r="W23543"/>
    </row>
    <row r="23544" spans="23:23" x14ac:dyDescent="0.55000000000000004">
      <c r="W23544"/>
    </row>
    <row r="23545" spans="23:23" x14ac:dyDescent="0.55000000000000004">
      <c r="W23545"/>
    </row>
    <row r="23546" spans="23:23" x14ac:dyDescent="0.55000000000000004">
      <c r="W23546"/>
    </row>
    <row r="23547" spans="23:23" x14ac:dyDescent="0.55000000000000004">
      <c r="W23547"/>
    </row>
    <row r="23548" spans="23:23" x14ac:dyDescent="0.55000000000000004">
      <c r="W23548"/>
    </row>
    <row r="23549" spans="23:23" x14ac:dyDescent="0.55000000000000004">
      <c r="W23549"/>
    </row>
    <row r="23550" spans="23:23" x14ac:dyDescent="0.55000000000000004">
      <c r="W23550"/>
    </row>
    <row r="23551" spans="23:23" x14ac:dyDescent="0.55000000000000004">
      <c r="W23551"/>
    </row>
    <row r="23552" spans="23:23" x14ac:dyDescent="0.55000000000000004">
      <c r="W23552"/>
    </row>
    <row r="23553" spans="23:23" x14ac:dyDescent="0.55000000000000004">
      <c r="W23553"/>
    </row>
    <row r="23554" spans="23:23" x14ac:dyDescent="0.55000000000000004">
      <c r="W23554"/>
    </row>
    <row r="23555" spans="23:23" x14ac:dyDescent="0.55000000000000004">
      <c r="W23555"/>
    </row>
    <row r="23556" spans="23:23" x14ac:dyDescent="0.55000000000000004">
      <c r="W23556"/>
    </row>
    <row r="23557" spans="23:23" x14ac:dyDescent="0.55000000000000004">
      <c r="W23557"/>
    </row>
    <row r="23558" spans="23:23" x14ac:dyDescent="0.55000000000000004">
      <c r="W23558"/>
    </row>
    <row r="23559" spans="23:23" x14ac:dyDescent="0.55000000000000004">
      <c r="W23559"/>
    </row>
    <row r="23560" spans="23:23" x14ac:dyDescent="0.55000000000000004">
      <c r="W23560"/>
    </row>
    <row r="23561" spans="23:23" x14ac:dyDescent="0.55000000000000004">
      <c r="W23561"/>
    </row>
    <row r="23562" spans="23:23" x14ac:dyDescent="0.55000000000000004">
      <c r="W23562"/>
    </row>
    <row r="23563" spans="23:23" x14ac:dyDescent="0.55000000000000004">
      <c r="W23563"/>
    </row>
    <row r="23564" spans="23:23" x14ac:dyDescent="0.55000000000000004">
      <c r="W23564"/>
    </row>
    <row r="23565" spans="23:23" x14ac:dyDescent="0.55000000000000004">
      <c r="W23565"/>
    </row>
    <row r="23566" spans="23:23" x14ac:dyDescent="0.55000000000000004">
      <c r="W23566"/>
    </row>
    <row r="23567" spans="23:23" x14ac:dyDescent="0.55000000000000004">
      <c r="W23567"/>
    </row>
    <row r="23568" spans="23:23" x14ac:dyDescent="0.55000000000000004">
      <c r="W23568"/>
    </row>
    <row r="23569" spans="23:23" x14ac:dyDescent="0.55000000000000004">
      <c r="W23569"/>
    </row>
    <row r="23570" spans="23:23" x14ac:dyDescent="0.55000000000000004">
      <c r="W23570"/>
    </row>
    <row r="23571" spans="23:23" x14ac:dyDescent="0.55000000000000004">
      <c r="W23571"/>
    </row>
    <row r="23572" spans="23:23" x14ac:dyDescent="0.55000000000000004">
      <c r="W23572"/>
    </row>
    <row r="23573" spans="23:23" x14ac:dyDescent="0.55000000000000004">
      <c r="W23573"/>
    </row>
    <row r="23574" spans="23:23" x14ac:dyDescent="0.55000000000000004">
      <c r="W23574"/>
    </row>
    <row r="23575" spans="23:23" x14ac:dyDescent="0.55000000000000004">
      <c r="W23575"/>
    </row>
    <row r="23576" spans="23:23" x14ac:dyDescent="0.55000000000000004">
      <c r="W23576"/>
    </row>
    <row r="23577" spans="23:23" x14ac:dyDescent="0.55000000000000004">
      <c r="W23577"/>
    </row>
    <row r="23578" spans="23:23" x14ac:dyDescent="0.55000000000000004">
      <c r="W23578"/>
    </row>
    <row r="23579" spans="23:23" x14ac:dyDescent="0.55000000000000004">
      <c r="W23579"/>
    </row>
    <row r="23580" spans="23:23" x14ac:dyDescent="0.55000000000000004">
      <c r="W23580"/>
    </row>
    <row r="23581" spans="23:23" x14ac:dyDescent="0.55000000000000004">
      <c r="W23581"/>
    </row>
    <row r="23582" spans="23:23" x14ac:dyDescent="0.55000000000000004">
      <c r="W23582"/>
    </row>
    <row r="23583" spans="23:23" x14ac:dyDescent="0.55000000000000004">
      <c r="W23583"/>
    </row>
    <row r="23584" spans="23:23" x14ac:dyDescent="0.55000000000000004">
      <c r="W23584"/>
    </row>
    <row r="23585" spans="23:23" x14ac:dyDescent="0.55000000000000004">
      <c r="W23585"/>
    </row>
    <row r="23586" spans="23:23" x14ac:dyDescent="0.55000000000000004">
      <c r="W23586"/>
    </row>
    <row r="23587" spans="23:23" x14ac:dyDescent="0.55000000000000004">
      <c r="W23587"/>
    </row>
    <row r="23588" spans="23:23" x14ac:dyDescent="0.55000000000000004">
      <c r="W23588"/>
    </row>
    <row r="23589" spans="23:23" x14ac:dyDescent="0.55000000000000004">
      <c r="W23589"/>
    </row>
    <row r="23590" spans="23:23" x14ac:dyDescent="0.55000000000000004">
      <c r="W23590"/>
    </row>
    <row r="23591" spans="23:23" x14ac:dyDescent="0.55000000000000004">
      <c r="W23591"/>
    </row>
    <row r="23592" spans="23:23" x14ac:dyDescent="0.55000000000000004">
      <c r="W23592"/>
    </row>
    <row r="23593" spans="23:23" x14ac:dyDescent="0.55000000000000004">
      <c r="W23593"/>
    </row>
    <row r="23594" spans="23:23" x14ac:dyDescent="0.55000000000000004">
      <c r="W23594"/>
    </row>
    <row r="23595" spans="23:23" x14ac:dyDescent="0.55000000000000004">
      <c r="W23595"/>
    </row>
    <row r="23596" spans="23:23" x14ac:dyDescent="0.55000000000000004">
      <c r="W23596"/>
    </row>
    <row r="23597" spans="23:23" x14ac:dyDescent="0.55000000000000004">
      <c r="W23597"/>
    </row>
    <row r="23598" spans="23:23" x14ac:dyDescent="0.55000000000000004">
      <c r="W23598"/>
    </row>
    <row r="23599" spans="23:23" x14ac:dyDescent="0.55000000000000004">
      <c r="W23599"/>
    </row>
    <row r="23600" spans="23:23" x14ac:dyDescent="0.55000000000000004">
      <c r="W23600"/>
    </row>
    <row r="23601" spans="23:23" x14ac:dyDescent="0.55000000000000004">
      <c r="W23601"/>
    </row>
    <row r="23602" spans="23:23" x14ac:dyDescent="0.55000000000000004">
      <c r="W23602"/>
    </row>
    <row r="23603" spans="23:23" x14ac:dyDescent="0.55000000000000004">
      <c r="W23603"/>
    </row>
    <row r="23604" spans="23:23" x14ac:dyDescent="0.55000000000000004">
      <c r="W23604"/>
    </row>
    <row r="23605" spans="23:23" x14ac:dyDescent="0.55000000000000004">
      <c r="W23605"/>
    </row>
    <row r="23606" spans="23:23" x14ac:dyDescent="0.55000000000000004">
      <c r="W23606"/>
    </row>
    <row r="23607" spans="23:23" x14ac:dyDescent="0.55000000000000004">
      <c r="W23607"/>
    </row>
    <row r="23608" spans="23:23" x14ac:dyDescent="0.55000000000000004">
      <c r="W23608"/>
    </row>
    <row r="23609" spans="23:23" x14ac:dyDescent="0.55000000000000004">
      <c r="W23609"/>
    </row>
    <row r="23610" spans="23:23" x14ac:dyDescent="0.55000000000000004">
      <c r="W23610"/>
    </row>
    <row r="23611" spans="23:23" x14ac:dyDescent="0.55000000000000004">
      <c r="W23611"/>
    </row>
    <row r="23612" spans="23:23" x14ac:dyDescent="0.55000000000000004">
      <c r="W23612"/>
    </row>
    <row r="23613" spans="23:23" x14ac:dyDescent="0.55000000000000004">
      <c r="W23613"/>
    </row>
    <row r="23614" spans="23:23" x14ac:dyDescent="0.55000000000000004">
      <c r="W23614"/>
    </row>
    <row r="23615" spans="23:23" x14ac:dyDescent="0.55000000000000004">
      <c r="W23615"/>
    </row>
    <row r="23616" spans="23:23" x14ac:dyDescent="0.55000000000000004">
      <c r="W23616"/>
    </row>
    <row r="23617" spans="23:23" x14ac:dyDescent="0.55000000000000004">
      <c r="W23617"/>
    </row>
    <row r="23618" spans="23:23" x14ac:dyDescent="0.55000000000000004">
      <c r="W23618"/>
    </row>
    <row r="23619" spans="23:23" x14ac:dyDescent="0.55000000000000004">
      <c r="W23619"/>
    </row>
    <row r="23620" spans="23:23" x14ac:dyDescent="0.55000000000000004">
      <c r="W23620"/>
    </row>
    <row r="23621" spans="23:23" x14ac:dyDescent="0.55000000000000004">
      <c r="W23621"/>
    </row>
    <row r="23622" spans="23:23" x14ac:dyDescent="0.55000000000000004">
      <c r="W23622"/>
    </row>
    <row r="23623" spans="23:23" x14ac:dyDescent="0.55000000000000004">
      <c r="W23623"/>
    </row>
    <row r="23624" spans="23:23" x14ac:dyDescent="0.55000000000000004">
      <c r="W23624"/>
    </row>
    <row r="23625" spans="23:23" x14ac:dyDescent="0.55000000000000004">
      <c r="W23625"/>
    </row>
    <row r="23626" spans="23:23" x14ac:dyDescent="0.55000000000000004">
      <c r="W23626"/>
    </row>
    <row r="23627" spans="23:23" x14ac:dyDescent="0.55000000000000004">
      <c r="W23627"/>
    </row>
    <row r="23628" spans="23:23" x14ac:dyDescent="0.55000000000000004">
      <c r="W23628"/>
    </row>
    <row r="23629" spans="23:23" x14ac:dyDescent="0.55000000000000004">
      <c r="W23629"/>
    </row>
    <row r="23630" spans="23:23" x14ac:dyDescent="0.55000000000000004">
      <c r="W23630"/>
    </row>
    <row r="23631" spans="23:23" x14ac:dyDescent="0.55000000000000004">
      <c r="W23631"/>
    </row>
    <row r="23632" spans="23:23" x14ac:dyDescent="0.55000000000000004">
      <c r="W23632"/>
    </row>
    <row r="23633" spans="23:23" x14ac:dyDescent="0.55000000000000004">
      <c r="W23633"/>
    </row>
    <row r="23634" spans="23:23" x14ac:dyDescent="0.55000000000000004">
      <c r="W23634"/>
    </row>
    <row r="23635" spans="23:23" x14ac:dyDescent="0.55000000000000004">
      <c r="W23635"/>
    </row>
    <row r="23636" spans="23:23" x14ac:dyDescent="0.55000000000000004">
      <c r="W23636"/>
    </row>
    <row r="23637" spans="23:23" x14ac:dyDescent="0.55000000000000004">
      <c r="W23637"/>
    </row>
    <row r="23638" spans="23:23" x14ac:dyDescent="0.55000000000000004">
      <c r="W23638"/>
    </row>
    <row r="23639" spans="23:23" x14ac:dyDescent="0.55000000000000004">
      <c r="W23639"/>
    </row>
    <row r="23640" spans="23:23" x14ac:dyDescent="0.55000000000000004">
      <c r="W23640"/>
    </row>
    <row r="23641" spans="23:23" x14ac:dyDescent="0.55000000000000004">
      <c r="W23641"/>
    </row>
    <row r="23642" spans="23:23" x14ac:dyDescent="0.55000000000000004">
      <c r="W23642"/>
    </row>
    <row r="23643" spans="23:23" x14ac:dyDescent="0.55000000000000004">
      <c r="W23643"/>
    </row>
    <row r="23644" spans="23:23" x14ac:dyDescent="0.55000000000000004">
      <c r="W23644"/>
    </row>
    <row r="23645" spans="23:23" x14ac:dyDescent="0.55000000000000004">
      <c r="W23645"/>
    </row>
    <row r="23646" spans="23:23" x14ac:dyDescent="0.55000000000000004">
      <c r="W23646"/>
    </row>
    <row r="23647" spans="23:23" x14ac:dyDescent="0.55000000000000004">
      <c r="W23647"/>
    </row>
    <row r="23648" spans="23:23" x14ac:dyDescent="0.55000000000000004">
      <c r="W23648"/>
    </row>
    <row r="23649" spans="23:23" x14ac:dyDescent="0.55000000000000004">
      <c r="W23649"/>
    </row>
    <row r="23650" spans="23:23" x14ac:dyDescent="0.55000000000000004">
      <c r="W23650"/>
    </row>
    <row r="23651" spans="23:23" x14ac:dyDescent="0.55000000000000004">
      <c r="W23651"/>
    </row>
    <row r="23652" spans="23:23" x14ac:dyDescent="0.55000000000000004">
      <c r="W23652"/>
    </row>
    <row r="23653" spans="23:23" x14ac:dyDescent="0.55000000000000004">
      <c r="W23653"/>
    </row>
    <row r="23654" spans="23:23" x14ac:dyDescent="0.55000000000000004">
      <c r="W23654"/>
    </row>
    <row r="23655" spans="23:23" x14ac:dyDescent="0.55000000000000004">
      <c r="W23655"/>
    </row>
    <row r="23656" spans="23:23" x14ac:dyDescent="0.55000000000000004">
      <c r="W23656"/>
    </row>
    <row r="23657" spans="23:23" x14ac:dyDescent="0.55000000000000004">
      <c r="W23657"/>
    </row>
    <row r="23658" spans="23:23" x14ac:dyDescent="0.55000000000000004">
      <c r="W23658"/>
    </row>
    <row r="23659" spans="23:23" x14ac:dyDescent="0.55000000000000004">
      <c r="W23659"/>
    </row>
    <row r="23660" spans="23:23" x14ac:dyDescent="0.55000000000000004">
      <c r="W23660"/>
    </row>
    <row r="23661" spans="23:23" x14ac:dyDescent="0.55000000000000004">
      <c r="W23661"/>
    </row>
    <row r="23662" spans="23:23" x14ac:dyDescent="0.55000000000000004">
      <c r="W23662"/>
    </row>
    <row r="23663" spans="23:23" x14ac:dyDescent="0.55000000000000004">
      <c r="W23663"/>
    </row>
    <row r="23664" spans="23:23" x14ac:dyDescent="0.55000000000000004">
      <c r="W23664"/>
    </row>
    <row r="23665" spans="23:23" x14ac:dyDescent="0.55000000000000004">
      <c r="W23665"/>
    </row>
    <row r="23666" spans="23:23" x14ac:dyDescent="0.55000000000000004">
      <c r="W23666"/>
    </row>
    <row r="23667" spans="23:23" x14ac:dyDescent="0.55000000000000004">
      <c r="W23667"/>
    </row>
    <row r="23668" spans="23:23" x14ac:dyDescent="0.55000000000000004">
      <c r="W23668"/>
    </row>
    <row r="23669" spans="23:23" x14ac:dyDescent="0.55000000000000004">
      <c r="W23669"/>
    </row>
    <row r="23670" spans="23:23" x14ac:dyDescent="0.55000000000000004">
      <c r="W23670"/>
    </row>
    <row r="23671" spans="23:23" x14ac:dyDescent="0.55000000000000004">
      <c r="W23671"/>
    </row>
    <row r="23672" spans="23:23" x14ac:dyDescent="0.55000000000000004">
      <c r="W23672"/>
    </row>
    <row r="23673" spans="23:23" x14ac:dyDescent="0.55000000000000004">
      <c r="W23673"/>
    </row>
    <row r="23674" spans="23:23" x14ac:dyDescent="0.55000000000000004">
      <c r="W23674"/>
    </row>
    <row r="23675" spans="23:23" x14ac:dyDescent="0.55000000000000004">
      <c r="W23675"/>
    </row>
    <row r="23676" spans="23:23" x14ac:dyDescent="0.55000000000000004">
      <c r="W23676"/>
    </row>
    <row r="23677" spans="23:23" x14ac:dyDescent="0.55000000000000004">
      <c r="W23677"/>
    </row>
    <row r="23678" spans="23:23" x14ac:dyDescent="0.55000000000000004">
      <c r="W23678"/>
    </row>
    <row r="23679" spans="23:23" x14ac:dyDescent="0.55000000000000004">
      <c r="W23679"/>
    </row>
    <row r="23680" spans="23:23" x14ac:dyDescent="0.55000000000000004">
      <c r="W23680"/>
    </row>
    <row r="23681" spans="23:23" x14ac:dyDescent="0.55000000000000004">
      <c r="W23681"/>
    </row>
    <row r="23682" spans="23:23" x14ac:dyDescent="0.55000000000000004">
      <c r="W23682"/>
    </row>
    <row r="23683" spans="23:23" x14ac:dyDescent="0.55000000000000004">
      <c r="W23683"/>
    </row>
    <row r="23684" spans="23:23" x14ac:dyDescent="0.55000000000000004">
      <c r="W23684"/>
    </row>
    <row r="23685" spans="23:23" x14ac:dyDescent="0.55000000000000004">
      <c r="W23685"/>
    </row>
    <row r="23686" spans="23:23" x14ac:dyDescent="0.55000000000000004">
      <c r="W23686"/>
    </row>
    <row r="23687" spans="23:23" x14ac:dyDescent="0.55000000000000004">
      <c r="W23687"/>
    </row>
    <row r="23688" spans="23:23" x14ac:dyDescent="0.55000000000000004">
      <c r="W23688"/>
    </row>
    <row r="23689" spans="23:23" x14ac:dyDescent="0.55000000000000004">
      <c r="W23689"/>
    </row>
    <row r="23690" spans="23:23" x14ac:dyDescent="0.55000000000000004">
      <c r="W23690"/>
    </row>
    <row r="23691" spans="23:23" x14ac:dyDescent="0.55000000000000004">
      <c r="W23691"/>
    </row>
    <row r="23692" spans="23:23" x14ac:dyDescent="0.55000000000000004">
      <c r="W23692"/>
    </row>
    <row r="23693" spans="23:23" x14ac:dyDescent="0.55000000000000004">
      <c r="W23693"/>
    </row>
    <row r="23694" spans="23:23" x14ac:dyDescent="0.55000000000000004">
      <c r="W23694"/>
    </row>
    <row r="23695" spans="23:23" x14ac:dyDescent="0.55000000000000004">
      <c r="W23695"/>
    </row>
    <row r="23696" spans="23:23" x14ac:dyDescent="0.55000000000000004">
      <c r="W23696"/>
    </row>
    <row r="23697" spans="23:23" x14ac:dyDescent="0.55000000000000004">
      <c r="W23697"/>
    </row>
    <row r="23698" spans="23:23" x14ac:dyDescent="0.55000000000000004">
      <c r="W23698"/>
    </row>
    <row r="23699" spans="23:23" x14ac:dyDescent="0.55000000000000004">
      <c r="W23699"/>
    </row>
    <row r="23700" spans="23:23" x14ac:dyDescent="0.55000000000000004">
      <c r="W23700"/>
    </row>
    <row r="23701" spans="23:23" x14ac:dyDescent="0.55000000000000004">
      <c r="W23701"/>
    </row>
    <row r="23702" spans="23:23" x14ac:dyDescent="0.55000000000000004">
      <c r="W23702"/>
    </row>
    <row r="23703" spans="23:23" x14ac:dyDescent="0.55000000000000004">
      <c r="W23703"/>
    </row>
    <row r="23704" spans="23:23" x14ac:dyDescent="0.55000000000000004">
      <c r="W23704"/>
    </row>
    <row r="23705" spans="23:23" x14ac:dyDescent="0.55000000000000004">
      <c r="W23705"/>
    </row>
    <row r="23706" spans="23:23" x14ac:dyDescent="0.55000000000000004">
      <c r="W23706"/>
    </row>
    <row r="23707" spans="23:23" x14ac:dyDescent="0.55000000000000004">
      <c r="W23707"/>
    </row>
    <row r="23708" spans="23:23" x14ac:dyDescent="0.55000000000000004">
      <c r="W23708"/>
    </row>
    <row r="23709" spans="23:23" x14ac:dyDescent="0.55000000000000004">
      <c r="W23709"/>
    </row>
    <row r="23710" spans="23:23" x14ac:dyDescent="0.55000000000000004">
      <c r="W23710"/>
    </row>
    <row r="23711" spans="23:23" x14ac:dyDescent="0.55000000000000004">
      <c r="W23711"/>
    </row>
    <row r="23712" spans="23:23" x14ac:dyDescent="0.55000000000000004">
      <c r="W23712"/>
    </row>
    <row r="23713" spans="23:23" x14ac:dyDescent="0.55000000000000004">
      <c r="W23713"/>
    </row>
    <row r="23714" spans="23:23" x14ac:dyDescent="0.55000000000000004">
      <c r="W23714"/>
    </row>
    <row r="23715" spans="23:23" x14ac:dyDescent="0.55000000000000004">
      <c r="W23715"/>
    </row>
    <row r="23716" spans="23:23" x14ac:dyDescent="0.55000000000000004">
      <c r="W23716"/>
    </row>
    <row r="23717" spans="23:23" x14ac:dyDescent="0.55000000000000004">
      <c r="W23717"/>
    </row>
    <row r="23718" spans="23:23" x14ac:dyDescent="0.55000000000000004">
      <c r="W23718"/>
    </row>
    <row r="23719" spans="23:23" x14ac:dyDescent="0.55000000000000004">
      <c r="W23719"/>
    </row>
    <row r="23720" spans="23:23" x14ac:dyDescent="0.55000000000000004">
      <c r="W23720"/>
    </row>
    <row r="23721" spans="23:23" x14ac:dyDescent="0.55000000000000004">
      <c r="W23721"/>
    </row>
    <row r="23722" spans="23:23" x14ac:dyDescent="0.55000000000000004">
      <c r="W23722"/>
    </row>
    <row r="23723" spans="23:23" x14ac:dyDescent="0.55000000000000004">
      <c r="W23723"/>
    </row>
    <row r="23724" spans="23:23" x14ac:dyDescent="0.55000000000000004">
      <c r="W23724"/>
    </row>
    <row r="23725" spans="23:23" x14ac:dyDescent="0.55000000000000004">
      <c r="W23725"/>
    </row>
    <row r="23726" spans="23:23" x14ac:dyDescent="0.55000000000000004">
      <c r="W23726"/>
    </row>
    <row r="23727" spans="23:23" x14ac:dyDescent="0.55000000000000004">
      <c r="W23727"/>
    </row>
    <row r="23728" spans="23:23" x14ac:dyDescent="0.55000000000000004">
      <c r="W23728"/>
    </row>
    <row r="23729" spans="23:23" x14ac:dyDescent="0.55000000000000004">
      <c r="W23729"/>
    </row>
    <row r="23730" spans="23:23" x14ac:dyDescent="0.55000000000000004">
      <c r="W23730"/>
    </row>
    <row r="23731" spans="23:23" x14ac:dyDescent="0.55000000000000004">
      <c r="W23731"/>
    </row>
    <row r="23732" spans="23:23" x14ac:dyDescent="0.55000000000000004">
      <c r="W23732"/>
    </row>
    <row r="23733" spans="23:23" x14ac:dyDescent="0.55000000000000004">
      <c r="W23733"/>
    </row>
    <row r="23734" spans="23:23" x14ac:dyDescent="0.55000000000000004">
      <c r="W23734"/>
    </row>
    <row r="23735" spans="23:23" x14ac:dyDescent="0.55000000000000004">
      <c r="W23735"/>
    </row>
    <row r="23736" spans="23:23" x14ac:dyDescent="0.55000000000000004">
      <c r="W23736"/>
    </row>
    <row r="23737" spans="23:23" x14ac:dyDescent="0.55000000000000004">
      <c r="W23737"/>
    </row>
    <row r="23738" spans="23:23" x14ac:dyDescent="0.55000000000000004">
      <c r="W23738"/>
    </row>
    <row r="23739" spans="23:23" x14ac:dyDescent="0.55000000000000004">
      <c r="W23739"/>
    </row>
    <row r="23740" spans="23:23" x14ac:dyDescent="0.55000000000000004">
      <c r="W23740"/>
    </row>
    <row r="23741" spans="23:23" x14ac:dyDescent="0.55000000000000004">
      <c r="W23741"/>
    </row>
    <row r="23742" spans="23:23" x14ac:dyDescent="0.55000000000000004">
      <c r="W23742"/>
    </row>
    <row r="23743" spans="23:23" x14ac:dyDescent="0.55000000000000004">
      <c r="W23743"/>
    </row>
    <row r="23744" spans="23:23" x14ac:dyDescent="0.55000000000000004">
      <c r="W23744"/>
    </row>
    <row r="23745" spans="23:23" x14ac:dyDescent="0.55000000000000004">
      <c r="W23745"/>
    </row>
    <row r="23746" spans="23:23" x14ac:dyDescent="0.55000000000000004">
      <c r="W23746"/>
    </row>
    <row r="23747" spans="23:23" x14ac:dyDescent="0.55000000000000004">
      <c r="W23747"/>
    </row>
    <row r="23748" spans="23:23" x14ac:dyDescent="0.55000000000000004">
      <c r="W23748"/>
    </row>
    <row r="23749" spans="23:23" x14ac:dyDescent="0.55000000000000004">
      <c r="W23749"/>
    </row>
    <row r="23750" spans="23:23" x14ac:dyDescent="0.55000000000000004">
      <c r="W23750"/>
    </row>
    <row r="23751" spans="23:23" x14ac:dyDescent="0.55000000000000004">
      <c r="W23751"/>
    </row>
    <row r="23752" spans="23:23" x14ac:dyDescent="0.55000000000000004">
      <c r="W23752"/>
    </row>
    <row r="23753" spans="23:23" x14ac:dyDescent="0.55000000000000004">
      <c r="W23753"/>
    </row>
    <row r="23754" spans="23:23" x14ac:dyDescent="0.55000000000000004">
      <c r="W23754"/>
    </row>
    <row r="23755" spans="23:23" x14ac:dyDescent="0.55000000000000004">
      <c r="W23755"/>
    </row>
    <row r="23756" spans="23:23" x14ac:dyDescent="0.55000000000000004">
      <c r="W23756"/>
    </row>
    <row r="23757" spans="23:23" x14ac:dyDescent="0.55000000000000004">
      <c r="W23757"/>
    </row>
    <row r="23758" spans="23:23" x14ac:dyDescent="0.55000000000000004">
      <c r="W23758"/>
    </row>
    <row r="23759" spans="23:23" x14ac:dyDescent="0.55000000000000004">
      <c r="W23759"/>
    </row>
    <row r="23760" spans="23:23" x14ac:dyDescent="0.55000000000000004">
      <c r="W23760"/>
    </row>
    <row r="23761" spans="23:23" x14ac:dyDescent="0.55000000000000004">
      <c r="W23761"/>
    </row>
    <row r="23762" spans="23:23" x14ac:dyDescent="0.55000000000000004">
      <c r="W23762"/>
    </row>
    <row r="23763" spans="23:23" x14ac:dyDescent="0.55000000000000004">
      <c r="W23763"/>
    </row>
    <row r="23764" spans="23:23" x14ac:dyDescent="0.55000000000000004">
      <c r="W23764"/>
    </row>
    <row r="23765" spans="23:23" x14ac:dyDescent="0.55000000000000004">
      <c r="W23765"/>
    </row>
    <row r="23766" spans="23:23" x14ac:dyDescent="0.55000000000000004">
      <c r="W23766"/>
    </row>
    <row r="23767" spans="23:23" x14ac:dyDescent="0.55000000000000004">
      <c r="W23767"/>
    </row>
    <row r="23768" spans="23:23" x14ac:dyDescent="0.55000000000000004">
      <c r="W23768"/>
    </row>
    <row r="23769" spans="23:23" x14ac:dyDescent="0.55000000000000004">
      <c r="W23769"/>
    </row>
    <row r="23770" spans="23:23" x14ac:dyDescent="0.55000000000000004">
      <c r="W23770"/>
    </row>
    <row r="23771" spans="23:23" x14ac:dyDescent="0.55000000000000004">
      <c r="W23771"/>
    </row>
    <row r="23772" spans="23:23" x14ac:dyDescent="0.55000000000000004">
      <c r="W23772"/>
    </row>
    <row r="23773" spans="23:23" x14ac:dyDescent="0.55000000000000004">
      <c r="W23773"/>
    </row>
    <row r="23774" spans="23:23" x14ac:dyDescent="0.55000000000000004">
      <c r="W23774"/>
    </row>
    <row r="23775" spans="23:23" x14ac:dyDescent="0.55000000000000004">
      <c r="W23775"/>
    </row>
    <row r="23776" spans="23:23" x14ac:dyDescent="0.55000000000000004">
      <c r="W23776"/>
    </row>
    <row r="23777" spans="23:23" x14ac:dyDescent="0.55000000000000004">
      <c r="W23777"/>
    </row>
    <row r="23778" spans="23:23" x14ac:dyDescent="0.55000000000000004">
      <c r="W23778"/>
    </row>
    <row r="23779" spans="23:23" x14ac:dyDescent="0.55000000000000004">
      <c r="W23779"/>
    </row>
    <row r="23780" spans="23:23" x14ac:dyDescent="0.55000000000000004">
      <c r="W23780"/>
    </row>
    <row r="23781" spans="23:23" x14ac:dyDescent="0.55000000000000004">
      <c r="W23781"/>
    </row>
    <row r="23782" spans="23:23" x14ac:dyDescent="0.55000000000000004">
      <c r="W23782"/>
    </row>
    <row r="23783" spans="23:23" x14ac:dyDescent="0.55000000000000004">
      <c r="W23783"/>
    </row>
    <row r="23784" spans="23:23" x14ac:dyDescent="0.55000000000000004">
      <c r="W23784"/>
    </row>
    <row r="23785" spans="23:23" x14ac:dyDescent="0.55000000000000004">
      <c r="W23785"/>
    </row>
    <row r="23786" spans="23:23" x14ac:dyDescent="0.55000000000000004">
      <c r="W23786"/>
    </row>
    <row r="23787" spans="23:23" x14ac:dyDescent="0.55000000000000004">
      <c r="W23787"/>
    </row>
    <row r="23788" spans="23:23" x14ac:dyDescent="0.55000000000000004">
      <c r="W23788"/>
    </row>
    <row r="23789" spans="23:23" x14ac:dyDescent="0.55000000000000004">
      <c r="W23789"/>
    </row>
    <row r="23790" spans="23:23" x14ac:dyDescent="0.55000000000000004">
      <c r="W23790"/>
    </row>
    <row r="23791" spans="23:23" x14ac:dyDescent="0.55000000000000004">
      <c r="W23791"/>
    </row>
    <row r="23792" spans="23:23" x14ac:dyDescent="0.55000000000000004">
      <c r="W23792"/>
    </row>
    <row r="23793" spans="23:23" x14ac:dyDescent="0.55000000000000004">
      <c r="W23793"/>
    </row>
    <row r="23794" spans="23:23" x14ac:dyDescent="0.55000000000000004">
      <c r="W23794"/>
    </row>
    <row r="23795" spans="23:23" x14ac:dyDescent="0.55000000000000004">
      <c r="W23795"/>
    </row>
    <row r="23796" spans="23:23" x14ac:dyDescent="0.55000000000000004">
      <c r="W23796"/>
    </row>
    <row r="23797" spans="23:23" x14ac:dyDescent="0.55000000000000004">
      <c r="W23797"/>
    </row>
    <row r="23798" spans="23:23" x14ac:dyDescent="0.55000000000000004">
      <c r="W23798"/>
    </row>
    <row r="23799" spans="23:23" x14ac:dyDescent="0.55000000000000004">
      <c r="W23799"/>
    </row>
    <row r="23800" spans="23:23" x14ac:dyDescent="0.55000000000000004">
      <c r="W23800"/>
    </row>
    <row r="23801" spans="23:23" x14ac:dyDescent="0.55000000000000004">
      <c r="W23801"/>
    </row>
    <row r="23802" spans="23:23" x14ac:dyDescent="0.55000000000000004">
      <c r="W23802"/>
    </row>
    <row r="23803" spans="23:23" x14ac:dyDescent="0.55000000000000004">
      <c r="W23803"/>
    </row>
    <row r="23804" spans="23:23" x14ac:dyDescent="0.55000000000000004">
      <c r="W23804"/>
    </row>
    <row r="23805" spans="23:23" x14ac:dyDescent="0.55000000000000004">
      <c r="W23805"/>
    </row>
    <row r="23806" spans="23:23" x14ac:dyDescent="0.55000000000000004">
      <c r="W23806"/>
    </row>
    <row r="23807" spans="23:23" x14ac:dyDescent="0.55000000000000004">
      <c r="W23807"/>
    </row>
    <row r="23808" spans="23:23" x14ac:dyDescent="0.55000000000000004">
      <c r="W23808"/>
    </row>
    <row r="23809" spans="23:23" x14ac:dyDescent="0.55000000000000004">
      <c r="W23809"/>
    </row>
    <row r="23810" spans="23:23" x14ac:dyDescent="0.55000000000000004">
      <c r="W23810"/>
    </row>
    <row r="23811" spans="23:23" x14ac:dyDescent="0.55000000000000004">
      <c r="W23811"/>
    </row>
    <row r="23812" spans="23:23" x14ac:dyDescent="0.55000000000000004">
      <c r="W23812"/>
    </row>
    <row r="23813" spans="23:23" x14ac:dyDescent="0.55000000000000004">
      <c r="W23813"/>
    </row>
    <row r="23814" spans="23:23" x14ac:dyDescent="0.55000000000000004">
      <c r="W23814"/>
    </row>
    <row r="23815" spans="23:23" x14ac:dyDescent="0.55000000000000004">
      <c r="W23815"/>
    </row>
    <row r="23816" spans="23:23" x14ac:dyDescent="0.55000000000000004">
      <c r="W23816"/>
    </row>
    <row r="23817" spans="23:23" x14ac:dyDescent="0.55000000000000004">
      <c r="W23817"/>
    </row>
    <row r="23818" spans="23:23" x14ac:dyDescent="0.55000000000000004">
      <c r="W23818"/>
    </row>
    <row r="23819" spans="23:23" x14ac:dyDescent="0.55000000000000004">
      <c r="W23819"/>
    </row>
    <row r="23820" spans="23:23" x14ac:dyDescent="0.55000000000000004">
      <c r="W23820"/>
    </row>
    <row r="23821" spans="23:23" x14ac:dyDescent="0.55000000000000004">
      <c r="W23821"/>
    </row>
    <row r="23822" spans="23:23" x14ac:dyDescent="0.55000000000000004">
      <c r="W23822"/>
    </row>
    <row r="23823" spans="23:23" x14ac:dyDescent="0.55000000000000004">
      <c r="W23823"/>
    </row>
    <row r="23824" spans="23:23" x14ac:dyDescent="0.55000000000000004">
      <c r="W23824"/>
    </row>
    <row r="23825" spans="23:23" x14ac:dyDescent="0.55000000000000004">
      <c r="W23825"/>
    </row>
    <row r="23826" spans="23:23" x14ac:dyDescent="0.55000000000000004">
      <c r="W23826"/>
    </row>
    <row r="23827" spans="23:23" x14ac:dyDescent="0.55000000000000004">
      <c r="W23827"/>
    </row>
    <row r="23828" spans="23:23" x14ac:dyDescent="0.55000000000000004">
      <c r="W23828"/>
    </row>
    <row r="23829" spans="23:23" x14ac:dyDescent="0.55000000000000004">
      <c r="W23829"/>
    </row>
    <row r="23830" spans="23:23" x14ac:dyDescent="0.55000000000000004">
      <c r="W23830"/>
    </row>
    <row r="23831" spans="23:23" x14ac:dyDescent="0.55000000000000004">
      <c r="W23831"/>
    </row>
    <row r="23832" spans="23:23" x14ac:dyDescent="0.55000000000000004">
      <c r="W23832"/>
    </row>
    <row r="23833" spans="23:23" x14ac:dyDescent="0.55000000000000004">
      <c r="W23833"/>
    </row>
    <row r="23834" spans="23:23" x14ac:dyDescent="0.55000000000000004">
      <c r="W23834"/>
    </row>
    <row r="23835" spans="23:23" x14ac:dyDescent="0.55000000000000004">
      <c r="W23835"/>
    </row>
    <row r="23836" spans="23:23" x14ac:dyDescent="0.55000000000000004">
      <c r="W23836"/>
    </row>
    <row r="23837" spans="23:23" x14ac:dyDescent="0.55000000000000004">
      <c r="W23837"/>
    </row>
    <row r="23838" spans="23:23" x14ac:dyDescent="0.55000000000000004">
      <c r="W23838"/>
    </row>
    <row r="23839" spans="23:23" x14ac:dyDescent="0.55000000000000004">
      <c r="W23839"/>
    </row>
    <row r="23840" spans="23:23" x14ac:dyDescent="0.55000000000000004">
      <c r="W23840"/>
    </row>
    <row r="23841" spans="23:23" x14ac:dyDescent="0.55000000000000004">
      <c r="W23841"/>
    </row>
    <row r="23842" spans="23:23" x14ac:dyDescent="0.55000000000000004">
      <c r="W23842"/>
    </row>
    <row r="23843" spans="23:23" x14ac:dyDescent="0.55000000000000004">
      <c r="W23843"/>
    </row>
    <row r="23844" spans="23:23" x14ac:dyDescent="0.55000000000000004">
      <c r="W23844"/>
    </row>
    <row r="23845" spans="23:23" x14ac:dyDescent="0.55000000000000004">
      <c r="W23845"/>
    </row>
    <row r="23846" spans="23:23" x14ac:dyDescent="0.55000000000000004">
      <c r="W23846"/>
    </row>
    <row r="23847" spans="23:23" x14ac:dyDescent="0.55000000000000004">
      <c r="W23847"/>
    </row>
    <row r="23848" spans="23:23" x14ac:dyDescent="0.55000000000000004">
      <c r="W23848"/>
    </row>
    <row r="23849" spans="23:23" x14ac:dyDescent="0.55000000000000004">
      <c r="W23849"/>
    </row>
    <row r="23850" spans="23:23" x14ac:dyDescent="0.55000000000000004">
      <c r="W23850"/>
    </row>
    <row r="23851" spans="23:23" x14ac:dyDescent="0.55000000000000004">
      <c r="W23851"/>
    </row>
    <row r="23852" spans="23:23" x14ac:dyDescent="0.55000000000000004">
      <c r="W23852"/>
    </row>
    <row r="23853" spans="23:23" x14ac:dyDescent="0.55000000000000004">
      <c r="W23853"/>
    </row>
    <row r="23854" spans="23:23" x14ac:dyDescent="0.55000000000000004">
      <c r="W23854"/>
    </row>
    <row r="23855" spans="23:23" x14ac:dyDescent="0.55000000000000004">
      <c r="W23855"/>
    </row>
    <row r="23856" spans="23:23" x14ac:dyDescent="0.55000000000000004">
      <c r="W23856"/>
    </row>
    <row r="23857" spans="23:23" x14ac:dyDescent="0.55000000000000004">
      <c r="W23857"/>
    </row>
    <row r="23858" spans="23:23" x14ac:dyDescent="0.55000000000000004">
      <c r="W23858"/>
    </row>
    <row r="23859" spans="23:23" x14ac:dyDescent="0.55000000000000004">
      <c r="W23859"/>
    </row>
    <row r="23860" spans="23:23" x14ac:dyDescent="0.55000000000000004">
      <c r="W23860"/>
    </row>
    <row r="23861" spans="23:23" x14ac:dyDescent="0.55000000000000004">
      <c r="W23861"/>
    </row>
    <row r="23862" spans="23:23" x14ac:dyDescent="0.55000000000000004">
      <c r="W23862"/>
    </row>
    <row r="23863" spans="23:23" x14ac:dyDescent="0.55000000000000004">
      <c r="W23863"/>
    </row>
    <row r="23864" spans="23:23" x14ac:dyDescent="0.55000000000000004">
      <c r="W23864"/>
    </row>
    <row r="23865" spans="23:23" x14ac:dyDescent="0.55000000000000004">
      <c r="W23865"/>
    </row>
    <row r="23866" spans="23:23" x14ac:dyDescent="0.55000000000000004">
      <c r="W23866"/>
    </row>
    <row r="23867" spans="23:23" x14ac:dyDescent="0.55000000000000004">
      <c r="W23867"/>
    </row>
    <row r="23868" spans="23:23" x14ac:dyDescent="0.55000000000000004">
      <c r="W23868"/>
    </row>
    <row r="23869" spans="23:23" x14ac:dyDescent="0.55000000000000004">
      <c r="W23869"/>
    </row>
    <row r="23870" spans="23:23" x14ac:dyDescent="0.55000000000000004">
      <c r="W23870"/>
    </row>
    <row r="23871" spans="23:23" x14ac:dyDescent="0.55000000000000004">
      <c r="W23871"/>
    </row>
    <row r="23872" spans="23:23" x14ac:dyDescent="0.55000000000000004">
      <c r="W23872"/>
    </row>
    <row r="23873" spans="23:23" x14ac:dyDescent="0.55000000000000004">
      <c r="W23873"/>
    </row>
    <row r="23874" spans="23:23" x14ac:dyDescent="0.55000000000000004">
      <c r="W23874"/>
    </row>
    <row r="23875" spans="23:23" x14ac:dyDescent="0.55000000000000004">
      <c r="W23875"/>
    </row>
    <row r="23876" spans="23:23" x14ac:dyDescent="0.55000000000000004">
      <c r="W23876"/>
    </row>
    <row r="23877" spans="23:23" x14ac:dyDescent="0.55000000000000004">
      <c r="W23877"/>
    </row>
    <row r="23878" spans="23:23" x14ac:dyDescent="0.55000000000000004">
      <c r="W23878"/>
    </row>
    <row r="23879" spans="23:23" x14ac:dyDescent="0.55000000000000004">
      <c r="W23879"/>
    </row>
    <row r="23880" spans="23:23" x14ac:dyDescent="0.55000000000000004">
      <c r="W23880"/>
    </row>
    <row r="23881" spans="23:23" x14ac:dyDescent="0.55000000000000004">
      <c r="W23881"/>
    </row>
    <row r="23882" spans="23:23" x14ac:dyDescent="0.55000000000000004">
      <c r="W23882"/>
    </row>
    <row r="23883" spans="23:23" x14ac:dyDescent="0.55000000000000004">
      <c r="W23883"/>
    </row>
    <row r="23884" spans="23:23" x14ac:dyDescent="0.55000000000000004">
      <c r="W23884"/>
    </row>
    <row r="23885" spans="23:23" x14ac:dyDescent="0.55000000000000004">
      <c r="W23885"/>
    </row>
    <row r="23886" spans="23:23" x14ac:dyDescent="0.55000000000000004">
      <c r="W23886"/>
    </row>
    <row r="23887" spans="23:23" x14ac:dyDescent="0.55000000000000004">
      <c r="W23887"/>
    </row>
    <row r="23888" spans="23:23" x14ac:dyDescent="0.55000000000000004">
      <c r="W23888"/>
    </row>
    <row r="23889" spans="23:23" x14ac:dyDescent="0.55000000000000004">
      <c r="W23889"/>
    </row>
    <row r="23890" spans="23:23" x14ac:dyDescent="0.55000000000000004">
      <c r="W23890"/>
    </row>
    <row r="23891" spans="23:23" x14ac:dyDescent="0.55000000000000004">
      <c r="W23891"/>
    </row>
    <row r="23892" spans="23:23" x14ac:dyDescent="0.55000000000000004">
      <c r="W23892"/>
    </row>
    <row r="23893" spans="23:23" x14ac:dyDescent="0.55000000000000004">
      <c r="W23893"/>
    </row>
    <row r="23894" spans="23:23" x14ac:dyDescent="0.55000000000000004">
      <c r="W23894"/>
    </row>
    <row r="23895" spans="23:23" x14ac:dyDescent="0.55000000000000004">
      <c r="W23895"/>
    </row>
    <row r="23896" spans="23:23" x14ac:dyDescent="0.55000000000000004">
      <c r="W23896"/>
    </row>
    <row r="23897" spans="23:23" x14ac:dyDescent="0.55000000000000004">
      <c r="W23897"/>
    </row>
    <row r="23898" spans="23:23" x14ac:dyDescent="0.55000000000000004">
      <c r="W23898"/>
    </row>
    <row r="23899" spans="23:23" x14ac:dyDescent="0.55000000000000004">
      <c r="W23899"/>
    </row>
    <row r="23900" spans="23:23" x14ac:dyDescent="0.55000000000000004">
      <c r="W23900"/>
    </row>
    <row r="23901" spans="23:23" x14ac:dyDescent="0.55000000000000004">
      <c r="W23901"/>
    </row>
    <row r="23902" spans="23:23" x14ac:dyDescent="0.55000000000000004">
      <c r="W23902"/>
    </row>
    <row r="23903" spans="23:23" x14ac:dyDescent="0.55000000000000004">
      <c r="W23903"/>
    </row>
    <row r="23904" spans="23:23" x14ac:dyDescent="0.55000000000000004">
      <c r="W23904"/>
    </row>
    <row r="23905" spans="23:23" x14ac:dyDescent="0.55000000000000004">
      <c r="W23905"/>
    </row>
    <row r="23906" spans="23:23" x14ac:dyDescent="0.55000000000000004">
      <c r="W23906"/>
    </row>
    <row r="23907" spans="23:23" x14ac:dyDescent="0.55000000000000004">
      <c r="W23907"/>
    </row>
    <row r="23908" spans="23:23" x14ac:dyDescent="0.55000000000000004">
      <c r="W23908"/>
    </row>
    <row r="23909" spans="23:23" x14ac:dyDescent="0.55000000000000004">
      <c r="W23909"/>
    </row>
    <row r="23910" spans="23:23" x14ac:dyDescent="0.55000000000000004">
      <c r="W23910"/>
    </row>
    <row r="23911" spans="23:23" x14ac:dyDescent="0.55000000000000004">
      <c r="W23911"/>
    </row>
    <row r="23912" spans="23:23" x14ac:dyDescent="0.55000000000000004">
      <c r="W23912"/>
    </row>
    <row r="23913" spans="23:23" x14ac:dyDescent="0.55000000000000004">
      <c r="W23913"/>
    </row>
    <row r="23914" spans="23:23" x14ac:dyDescent="0.55000000000000004">
      <c r="W23914"/>
    </row>
    <row r="23915" spans="23:23" x14ac:dyDescent="0.55000000000000004">
      <c r="W23915"/>
    </row>
    <row r="23916" spans="23:23" x14ac:dyDescent="0.55000000000000004">
      <c r="W23916"/>
    </row>
    <row r="23917" spans="23:23" x14ac:dyDescent="0.55000000000000004">
      <c r="W23917"/>
    </row>
    <row r="23918" spans="23:23" x14ac:dyDescent="0.55000000000000004">
      <c r="W23918"/>
    </row>
    <row r="23919" spans="23:23" x14ac:dyDescent="0.55000000000000004">
      <c r="W23919"/>
    </row>
    <row r="23920" spans="23:23" x14ac:dyDescent="0.55000000000000004">
      <c r="W23920"/>
    </row>
    <row r="23921" spans="23:23" x14ac:dyDescent="0.55000000000000004">
      <c r="W23921"/>
    </row>
    <row r="23922" spans="23:23" x14ac:dyDescent="0.55000000000000004">
      <c r="W23922"/>
    </row>
    <row r="23923" spans="23:23" x14ac:dyDescent="0.55000000000000004">
      <c r="W23923"/>
    </row>
    <row r="23924" spans="23:23" x14ac:dyDescent="0.55000000000000004">
      <c r="W23924"/>
    </row>
    <row r="23925" spans="23:23" x14ac:dyDescent="0.55000000000000004">
      <c r="W23925"/>
    </row>
    <row r="23926" spans="23:23" x14ac:dyDescent="0.55000000000000004">
      <c r="W23926"/>
    </row>
    <row r="23927" spans="23:23" x14ac:dyDescent="0.55000000000000004">
      <c r="W23927"/>
    </row>
    <row r="23928" spans="23:23" x14ac:dyDescent="0.55000000000000004">
      <c r="W23928"/>
    </row>
    <row r="23929" spans="23:23" x14ac:dyDescent="0.55000000000000004">
      <c r="W23929"/>
    </row>
    <row r="23930" spans="23:23" x14ac:dyDescent="0.55000000000000004">
      <c r="W23930"/>
    </row>
    <row r="23931" spans="23:23" x14ac:dyDescent="0.55000000000000004">
      <c r="W23931"/>
    </row>
    <row r="23932" spans="23:23" x14ac:dyDescent="0.55000000000000004">
      <c r="W23932"/>
    </row>
    <row r="23933" spans="23:23" x14ac:dyDescent="0.55000000000000004">
      <c r="W23933"/>
    </row>
    <row r="23934" spans="23:23" x14ac:dyDescent="0.55000000000000004">
      <c r="W23934"/>
    </row>
    <row r="23935" spans="23:23" x14ac:dyDescent="0.55000000000000004">
      <c r="W23935"/>
    </row>
    <row r="23936" spans="23:23" x14ac:dyDescent="0.55000000000000004">
      <c r="W23936"/>
    </row>
    <row r="23937" spans="23:23" x14ac:dyDescent="0.55000000000000004">
      <c r="W23937"/>
    </row>
    <row r="23938" spans="23:23" x14ac:dyDescent="0.55000000000000004">
      <c r="W23938"/>
    </row>
    <row r="23939" spans="23:23" x14ac:dyDescent="0.55000000000000004">
      <c r="W23939"/>
    </row>
    <row r="23940" spans="23:23" x14ac:dyDescent="0.55000000000000004">
      <c r="W23940"/>
    </row>
    <row r="23941" spans="23:23" x14ac:dyDescent="0.55000000000000004">
      <c r="W23941"/>
    </row>
    <row r="23942" spans="23:23" x14ac:dyDescent="0.55000000000000004">
      <c r="W23942"/>
    </row>
    <row r="23943" spans="23:23" x14ac:dyDescent="0.55000000000000004">
      <c r="W23943"/>
    </row>
    <row r="23944" spans="23:23" x14ac:dyDescent="0.55000000000000004">
      <c r="W23944"/>
    </row>
    <row r="23945" spans="23:23" x14ac:dyDescent="0.55000000000000004">
      <c r="W23945"/>
    </row>
    <row r="23946" spans="23:23" x14ac:dyDescent="0.55000000000000004">
      <c r="W23946"/>
    </row>
    <row r="23947" spans="23:23" x14ac:dyDescent="0.55000000000000004">
      <c r="W23947"/>
    </row>
    <row r="23948" spans="23:23" x14ac:dyDescent="0.55000000000000004">
      <c r="W23948"/>
    </row>
    <row r="23949" spans="23:23" x14ac:dyDescent="0.55000000000000004">
      <c r="W23949"/>
    </row>
    <row r="23950" spans="23:23" x14ac:dyDescent="0.55000000000000004">
      <c r="W23950"/>
    </row>
    <row r="23951" spans="23:23" x14ac:dyDescent="0.55000000000000004">
      <c r="W23951"/>
    </row>
    <row r="23952" spans="23:23" x14ac:dyDescent="0.55000000000000004">
      <c r="W23952"/>
    </row>
    <row r="23953" spans="23:23" x14ac:dyDescent="0.55000000000000004">
      <c r="W23953"/>
    </row>
    <row r="23954" spans="23:23" x14ac:dyDescent="0.55000000000000004">
      <c r="W23954"/>
    </row>
    <row r="23955" spans="23:23" x14ac:dyDescent="0.55000000000000004">
      <c r="W23955"/>
    </row>
    <row r="23956" spans="23:23" x14ac:dyDescent="0.55000000000000004">
      <c r="W23956"/>
    </row>
    <row r="23957" spans="23:23" x14ac:dyDescent="0.55000000000000004">
      <c r="W23957"/>
    </row>
    <row r="23958" spans="23:23" x14ac:dyDescent="0.55000000000000004">
      <c r="W23958"/>
    </row>
    <row r="23959" spans="23:23" x14ac:dyDescent="0.55000000000000004">
      <c r="W23959"/>
    </row>
    <row r="23960" spans="23:23" x14ac:dyDescent="0.55000000000000004">
      <c r="W23960"/>
    </row>
    <row r="23961" spans="23:23" x14ac:dyDescent="0.55000000000000004">
      <c r="W23961"/>
    </row>
    <row r="23962" spans="23:23" x14ac:dyDescent="0.55000000000000004">
      <c r="W23962"/>
    </row>
    <row r="23963" spans="23:23" x14ac:dyDescent="0.55000000000000004">
      <c r="W23963"/>
    </row>
    <row r="23964" spans="23:23" x14ac:dyDescent="0.55000000000000004">
      <c r="W23964"/>
    </row>
    <row r="23965" spans="23:23" x14ac:dyDescent="0.55000000000000004">
      <c r="W23965"/>
    </row>
    <row r="23966" spans="23:23" x14ac:dyDescent="0.55000000000000004">
      <c r="W23966"/>
    </row>
    <row r="23967" spans="23:23" x14ac:dyDescent="0.55000000000000004">
      <c r="W23967"/>
    </row>
    <row r="23968" spans="23:23" x14ac:dyDescent="0.55000000000000004">
      <c r="W23968"/>
    </row>
    <row r="23969" spans="23:23" x14ac:dyDescent="0.55000000000000004">
      <c r="W23969"/>
    </row>
    <row r="23970" spans="23:23" x14ac:dyDescent="0.55000000000000004">
      <c r="W23970"/>
    </row>
    <row r="23971" spans="23:23" x14ac:dyDescent="0.55000000000000004">
      <c r="W23971"/>
    </row>
    <row r="23972" spans="23:23" x14ac:dyDescent="0.55000000000000004">
      <c r="W23972"/>
    </row>
    <row r="23973" spans="23:23" x14ac:dyDescent="0.55000000000000004">
      <c r="W23973"/>
    </row>
    <row r="23974" spans="23:23" x14ac:dyDescent="0.55000000000000004">
      <c r="W23974"/>
    </row>
    <row r="23975" spans="23:23" x14ac:dyDescent="0.55000000000000004">
      <c r="W23975"/>
    </row>
    <row r="23976" spans="23:23" x14ac:dyDescent="0.55000000000000004">
      <c r="W23976"/>
    </row>
    <row r="23977" spans="23:23" x14ac:dyDescent="0.55000000000000004">
      <c r="W23977"/>
    </row>
    <row r="23978" spans="23:23" x14ac:dyDescent="0.55000000000000004">
      <c r="W23978"/>
    </row>
    <row r="23979" spans="23:23" x14ac:dyDescent="0.55000000000000004">
      <c r="W23979"/>
    </row>
    <row r="23980" spans="23:23" x14ac:dyDescent="0.55000000000000004">
      <c r="W23980"/>
    </row>
    <row r="23981" spans="23:23" x14ac:dyDescent="0.55000000000000004">
      <c r="W23981"/>
    </row>
    <row r="23982" spans="23:23" x14ac:dyDescent="0.55000000000000004">
      <c r="W23982"/>
    </row>
    <row r="23983" spans="23:23" x14ac:dyDescent="0.55000000000000004">
      <c r="W23983"/>
    </row>
    <row r="23984" spans="23:23" x14ac:dyDescent="0.55000000000000004">
      <c r="W23984"/>
    </row>
    <row r="23985" spans="23:23" x14ac:dyDescent="0.55000000000000004">
      <c r="W23985"/>
    </row>
    <row r="23986" spans="23:23" x14ac:dyDescent="0.55000000000000004">
      <c r="W23986"/>
    </row>
    <row r="23987" spans="23:23" x14ac:dyDescent="0.55000000000000004">
      <c r="W23987"/>
    </row>
    <row r="23988" spans="23:23" x14ac:dyDescent="0.55000000000000004">
      <c r="W23988"/>
    </row>
    <row r="23989" spans="23:23" x14ac:dyDescent="0.55000000000000004">
      <c r="W23989"/>
    </row>
    <row r="23990" spans="23:23" x14ac:dyDescent="0.55000000000000004">
      <c r="W23990"/>
    </row>
    <row r="23991" spans="23:23" x14ac:dyDescent="0.55000000000000004">
      <c r="W23991"/>
    </row>
    <row r="23992" spans="23:23" x14ac:dyDescent="0.55000000000000004">
      <c r="W23992"/>
    </row>
    <row r="23993" spans="23:23" x14ac:dyDescent="0.55000000000000004">
      <c r="W23993"/>
    </row>
    <row r="23994" spans="23:23" x14ac:dyDescent="0.55000000000000004">
      <c r="W23994"/>
    </row>
    <row r="23995" spans="23:23" x14ac:dyDescent="0.55000000000000004">
      <c r="W23995"/>
    </row>
    <row r="23996" spans="23:23" x14ac:dyDescent="0.55000000000000004">
      <c r="W23996"/>
    </row>
    <row r="23997" spans="23:23" x14ac:dyDescent="0.55000000000000004">
      <c r="W23997"/>
    </row>
    <row r="23998" spans="23:23" x14ac:dyDescent="0.55000000000000004">
      <c r="W23998"/>
    </row>
    <row r="23999" spans="23:23" x14ac:dyDescent="0.55000000000000004">
      <c r="W23999"/>
    </row>
    <row r="24000" spans="23:23" x14ac:dyDescent="0.55000000000000004">
      <c r="W24000"/>
    </row>
    <row r="24001" spans="23:23" x14ac:dyDescent="0.55000000000000004">
      <c r="W24001"/>
    </row>
    <row r="24002" spans="23:23" x14ac:dyDescent="0.55000000000000004">
      <c r="W24002"/>
    </row>
    <row r="24003" spans="23:23" x14ac:dyDescent="0.55000000000000004">
      <c r="W24003"/>
    </row>
    <row r="24004" spans="23:23" x14ac:dyDescent="0.55000000000000004">
      <c r="W24004"/>
    </row>
    <row r="24005" spans="23:23" x14ac:dyDescent="0.55000000000000004">
      <c r="W24005"/>
    </row>
    <row r="24006" spans="23:23" x14ac:dyDescent="0.55000000000000004">
      <c r="W24006"/>
    </row>
    <row r="24007" spans="23:23" x14ac:dyDescent="0.55000000000000004">
      <c r="W24007"/>
    </row>
    <row r="24008" spans="23:23" x14ac:dyDescent="0.55000000000000004">
      <c r="W24008"/>
    </row>
    <row r="24009" spans="23:23" x14ac:dyDescent="0.55000000000000004">
      <c r="W24009"/>
    </row>
    <row r="24010" spans="23:23" x14ac:dyDescent="0.55000000000000004">
      <c r="W24010"/>
    </row>
    <row r="24011" spans="23:23" x14ac:dyDescent="0.55000000000000004">
      <c r="W24011"/>
    </row>
    <row r="24012" spans="23:23" x14ac:dyDescent="0.55000000000000004">
      <c r="W24012"/>
    </row>
    <row r="24013" spans="23:23" x14ac:dyDescent="0.55000000000000004">
      <c r="W24013"/>
    </row>
    <row r="24014" spans="23:23" x14ac:dyDescent="0.55000000000000004">
      <c r="W24014"/>
    </row>
    <row r="24015" spans="23:23" x14ac:dyDescent="0.55000000000000004">
      <c r="W24015"/>
    </row>
    <row r="24016" spans="23:23" x14ac:dyDescent="0.55000000000000004">
      <c r="W24016"/>
    </row>
    <row r="24017" spans="23:23" x14ac:dyDescent="0.55000000000000004">
      <c r="W24017"/>
    </row>
    <row r="24018" spans="23:23" x14ac:dyDescent="0.55000000000000004">
      <c r="W24018"/>
    </row>
    <row r="24019" spans="23:23" x14ac:dyDescent="0.55000000000000004">
      <c r="W24019"/>
    </row>
    <row r="24020" spans="23:23" x14ac:dyDescent="0.55000000000000004">
      <c r="W24020"/>
    </row>
    <row r="24021" spans="23:23" x14ac:dyDescent="0.55000000000000004">
      <c r="W24021"/>
    </row>
    <row r="24022" spans="23:23" x14ac:dyDescent="0.55000000000000004">
      <c r="W24022"/>
    </row>
    <row r="24023" spans="23:23" x14ac:dyDescent="0.55000000000000004">
      <c r="W24023"/>
    </row>
    <row r="24024" spans="23:23" x14ac:dyDescent="0.55000000000000004">
      <c r="W24024"/>
    </row>
    <row r="24025" spans="23:23" x14ac:dyDescent="0.55000000000000004">
      <c r="W24025"/>
    </row>
    <row r="24026" spans="23:23" x14ac:dyDescent="0.55000000000000004">
      <c r="W24026"/>
    </row>
    <row r="24027" spans="23:23" x14ac:dyDescent="0.55000000000000004">
      <c r="W24027"/>
    </row>
    <row r="24028" spans="23:23" x14ac:dyDescent="0.55000000000000004">
      <c r="W24028"/>
    </row>
    <row r="24029" spans="23:23" x14ac:dyDescent="0.55000000000000004">
      <c r="W24029"/>
    </row>
    <row r="24030" spans="23:23" x14ac:dyDescent="0.55000000000000004">
      <c r="W24030"/>
    </row>
    <row r="24031" spans="23:23" x14ac:dyDescent="0.55000000000000004">
      <c r="W24031"/>
    </row>
    <row r="24032" spans="23:23" x14ac:dyDescent="0.55000000000000004">
      <c r="W24032"/>
    </row>
    <row r="24033" spans="23:23" x14ac:dyDescent="0.55000000000000004">
      <c r="W24033"/>
    </row>
    <row r="24034" spans="23:23" x14ac:dyDescent="0.55000000000000004">
      <c r="W24034"/>
    </row>
    <row r="24035" spans="23:23" x14ac:dyDescent="0.55000000000000004">
      <c r="W24035"/>
    </row>
    <row r="24036" spans="23:23" x14ac:dyDescent="0.55000000000000004">
      <c r="W24036"/>
    </row>
    <row r="24037" spans="23:23" x14ac:dyDescent="0.55000000000000004">
      <c r="W24037"/>
    </row>
    <row r="24038" spans="23:23" x14ac:dyDescent="0.55000000000000004">
      <c r="W24038"/>
    </row>
    <row r="24039" spans="23:23" x14ac:dyDescent="0.55000000000000004">
      <c r="W24039"/>
    </row>
    <row r="24040" spans="23:23" x14ac:dyDescent="0.55000000000000004">
      <c r="W24040"/>
    </row>
    <row r="24041" spans="23:23" x14ac:dyDescent="0.55000000000000004">
      <c r="W24041"/>
    </row>
    <row r="24042" spans="23:23" x14ac:dyDescent="0.55000000000000004">
      <c r="W24042"/>
    </row>
    <row r="24043" spans="23:23" x14ac:dyDescent="0.55000000000000004">
      <c r="W24043"/>
    </row>
    <row r="24044" spans="23:23" x14ac:dyDescent="0.55000000000000004">
      <c r="W24044"/>
    </row>
    <row r="24045" spans="23:23" x14ac:dyDescent="0.55000000000000004">
      <c r="W24045"/>
    </row>
    <row r="24046" spans="23:23" x14ac:dyDescent="0.55000000000000004">
      <c r="W24046"/>
    </row>
    <row r="24047" spans="23:23" x14ac:dyDescent="0.55000000000000004">
      <c r="W24047"/>
    </row>
    <row r="24048" spans="23:23" x14ac:dyDescent="0.55000000000000004">
      <c r="W24048"/>
    </row>
    <row r="24049" spans="23:23" x14ac:dyDescent="0.55000000000000004">
      <c r="W24049"/>
    </row>
    <row r="24050" spans="23:23" x14ac:dyDescent="0.55000000000000004">
      <c r="W24050"/>
    </row>
    <row r="24051" spans="23:23" x14ac:dyDescent="0.55000000000000004">
      <c r="W24051"/>
    </row>
    <row r="24052" spans="23:23" x14ac:dyDescent="0.55000000000000004">
      <c r="W24052"/>
    </row>
    <row r="24053" spans="23:23" x14ac:dyDescent="0.55000000000000004">
      <c r="W24053"/>
    </row>
    <row r="24054" spans="23:23" x14ac:dyDescent="0.55000000000000004">
      <c r="W24054"/>
    </row>
    <row r="24055" spans="23:23" x14ac:dyDescent="0.55000000000000004">
      <c r="W24055"/>
    </row>
    <row r="24056" spans="23:23" x14ac:dyDescent="0.55000000000000004">
      <c r="W24056"/>
    </row>
    <row r="24057" spans="23:23" x14ac:dyDescent="0.55000000000000004">
      <c r="W24057"/>
    </row>
    <row r="24058" spans="23:23" x14ac:dyDescent="0.55000000000000004">
      <c r="W24058"/>
    </row>
    <row r="24059" spans="23:23" x14ac:dyDescent="0.55000000000000004">
      <c r="W24059"/>
    </row>
    <row r="24060" spans="23:23" x14ac:dyDescent="0.55000000000000004">
      <c r="W24060"/>
    </row>
    <row r="24061" spans="23:23" x14ac:dyDescent="0.55000000000000004">
      <c r="W24061"/>
    </row>
    <row r="24062" spans="23:23" x14ac:dyDescent="0.55000000000000004">
      <c r="W24062"/>
    </row>
    <row r="24063" spans="23:23" x14ac:dyDescent="0.55000000000000004">
      <c r="W24063"/>
    </row>
    <row r="24064" spans="23:23" x14ac:dyDescent="0.55000000000000004">
      <c r="W24064"/>
    </row>
    <row r="24065" spans="23:23" x14ac:dyDescent="0.55000000000000004">
      <c r="W24065"/>
    </row>
    <row r="24066" spans="23:23" x14ac:dyDescent="0.55000000000000004">
      <c r="W24066"/>
    </row>
    <row r="24067" spans="23:23" x14ac:dyDescent="0.55000000000000004">
      <c r="W24067"/>
    </row>
    <row r="24068" spans="23:23" x14ac:dyDescent="0.55000000000000004">
      <c r="W24068"/>
    </row>
    <row r="24069" spans="23:23" x14ac:dyDescent="0.55000000000000004">
      <c r="W24069"/>
    </row>
    <row r="24070" spans="23:23" x14ac:dyDescent="0.55000000000000004">
      <c r="W24070"/>
    </row>
    <row r="24071" spans="23:23" x14ac:dyDescent="0.55000000000000004">
      <c r="W24071"/>
    </row>
    <row r="24072" spans="23:23" x14ac:dyDescent="0.55000000000000004">
      <c r="W24072"/>
    </row>
    <row r="24073" spans="23:23" x14ac:dyDescent="0.55000000000000004">
      <c r="W24073"/>
    </row>
    <row r="24074" spans="23:23" x14ac:dyDescent="0.55000000000000004">
      <c r="W24074"/>
    </row>
    <row r="24075" spans="23:23" x14ac:dyDescent="0.55000000000000004">
      <c r="W24075"/>
    </row>
    <row r="24076" spans="23:23" x14ac:dyDescent="0.55000000000000004">
      <c r="W24076"/>
    </row>
    <row r="24077" spans="23:23" x14ac:dyDescent="0.55000000000000004">
      <c r="W24077"/>
    </row>
    <row r="24078" spans="23:23" x14ac:dyDescent="0.55000000000000004">
      <c r="W24078"/>
    </row>
    <row r="24079" spans="23:23" x14ac:dyDescent="0.55000000000000004">
      <c r="W24079"/>
    </row>
    <row r="24080" spans="23:23" x14ac:dyDescent="0.55000000000000004">
      <c r="W24080"/>
    </row>
    <row r="24081" spans="23:23" x14ac:dyDescent="0.55000000000000004">
      <c r="W24081"/>
    </row>
    <row r="24082" spans="23:23" x14ac:dyDescent="0.55000000000000004">
      <c r="W24082"/>
    </row>
    <row r="24083" spans="23:23" x14ac:dyDescent="0.55000000000000004">
      <c r="W24083"/>
    </row>
    <row r="24084" spans="23:23" x14ac:dyDescent="0.55000000000000004">
      <c r="W24084"/>
    </row>
    <row r="24085" spans="23:23" x14ac:dyDescent="0.55000000000000004">
      <c r="W24085"/>
    </row>
    <row r="24086" spans="23:23" x14ac:dyDescent="0.55000000000000004">
      <c r="W24086"/>
    </row>
    <row r="24087" spans="23:23" x14ac:dyDescent="0.55000000000000004">
      <c r="W24087"/>
    </row>
    <row r="24088" spans="23:23" x14ac:dyDescent="0.55000000000000004">
      <c r="W24088"/>
    </row>
    <row r="24089" spans="23:23" x14ac:dyDescent="0.55000000000000004">
      <c r="W24089"/>
    </row>
    <row r="24090" spans="23:23" x14ac:dyDescent="0.55000000000000004">
      <c r="W24090"/>
    </row>
    <row r="24091" spans="23:23" x14ac:dyDescent="0.55000000000000004">
      <c r="W24091"/>
    </row>
    <row r="24092" spans="23:23" x14ac:dyDescent="0.55000000000000004">
      <c r="W24092"/>
    </row>
    <row r="24093" spans="23:23" x14ac:dyDescent="0.55000000000000004">
      <c r="W24093"/>
    </row>
    <row r="24094" spans="23:23" x14ac:dyDescent="0.55000000000000004">
      <c r="W24094"/>
    </row>
    <row r="24095" spans="23:23" x14ac:dyDescent="0.55000000000000004">
      <c r="W24095"/>
    </row>
    <row r="24096" spans="23:23" x14ac:dyDescent="0.55000000000000004">
      <c r="W24096"/>
    </row>
    <row r="24097" spans="23:23" x14ac:dyDescent="0.55000000000000004">
      <c r="W24097"/>
    </row>
    <row r="24098" spans="23:23" x14ac:dyDescent="0.55000000000000004">
      <c r="W24098"/>
    </row>
    <row r="24099" spans="23:23" x14ac:dyDescent="0.55000000000000004">
      <c r="W24099"/>
    </row>
    <row r="24100" spans="23:23" x14ac:dyDescent="0.55000000000000004">
      <c r="W24100"/>
    </row>
    <row r="24101" spans="23:23" x14ac:dyDescent="0.55000000000000004">
      <c r="W24101"/>
    </row>
    <row r="24102" spans="23:23" x14ac:dyDescent="0.55000000000000004">
      <c r="W24102"/>
    </row>
    <row r="24103" spans="23:23" x14ac:dyDescent="0.55000000000000004">
      <c r="W24103"/>
    </row>
    <row r="24104" spans="23:23" x14ac:dyDescent="0.55000000000000004">
      <c r="W24104"/>
    </row>
    <row r="24105" spans="23:23" x14ac:dyDescent="0.55000000000000004">
      <c r="W24105"/>
    </row>
    <row r="24106" spans="23:23" x14ac:dyDescent="0.55000000000000004">
      <c r="W24106"/>
    </row>
    <row r="24107" spans="23:23" x14ac:dyDescent="0.55000000000000004">
      <c r="W24107"/>
    </row>
    <row r="24108" spans="23:23" x14ac:dyDescent="0.55000000000000004">
      <c r="W24108"/>
    </row>
    <row r="24109" spans="23:23" x14ac:dyDescent="0.55000000000000004">
      <c r="W24109"/>
    </row>
    <row r="24110" spans="23:23" x14ac:dyDescent="0.55000000000000004">
      <c r="W24110"/>
    </row>
    <row r="24111" spans="23:23" x14ac:dyDescent="0.55000000000000004">
      <c r="W24111"/>
    </row>
    <row r="24112" spans="23:23" x14ac:dyDescent="0.55000000000000004">
      <c r="W24112"/>
    </row>
    <row r="24113" spans="23:23" x14ac:dyDescent="0.55000000000000004">
      <c r="W24113"/>
    </row>
    <row r="24114" spans="23:23" x14ac:dyDescent="0.55000000000000004">
      <c r="W24114"/>
    </row>
    <row r="24115" spans="23:23" x14ac:dyDescent="0.55000000000000004">
      <c r="W24115"/>
    </row>
    <row r="24116" spans="23:23" x14ac:dyDescent="0.55000000000000004">
      <c r="W24116"/>
    </row>
    <row r="24117" spans="23:23" x14ac:dyDescent="0.55000000000000004">
      <c r="W24117"/>
    </row>
    <row r="24118" spans="23:23" x14ac:dyDescent="0.55000000000000004">
      <c r="W24118"/>
    </row>
    <row r="24119" spans="23:23" x14ac:dyDescent="0.55000000000000004">
      <c r="W24119"/>
    </row>
    <row r="24120" spans="23:23" x14ac:dyDescent="0.55000000000000004">
      <c r="W24120"/>
    </row>
    <row r="24121" spans="23:23" x14ac:dyDescent="0.55000000000000004">
      <c r="W24121"/>
    </row>
    <row r="24122" spans="23:23" x14ac:dyDescent="0.55000000000000004">
      <c r="W24122"/>
    </row>
    <row r="24123" spans="23:23" x14ac:dyDescent="0.55000000000000004">
      <c r="W24123"/>
    </row>
    <row r="24124" spans="23:23" x14ac:dyDescent="0.55000000000000004">
      <c r="W24124"/>
    </row>
    <row r="24125" spans="23:23" x14ac:dyDescent="0.55000000000000004">
      <c r="W24125"/>
    </row>
    <row r="24126" spans="23:23" x14ac:dyDescent="0.55000000000000004">
      <c r="W24126"/>
    </row>
    <row r="24127" spans="23:23" x14ac:dyDescent="0.55000000000000004">
      <c r="W24127"/>
    </row>
    <row r="24128" spans="23:23" x14ac:dyDescent="0.55000000000000004">
      <c r="W24128"/>
    </row>
    <row r="24129" spans="23:23" x14ac:dyDescent="0.55000000000000004">
      <c r="W24129"/>
    </row>
    <row r="24130" spans="23:23" x14ac:dyDescent="0.55000000000000004">
      <c r="W24130"/>
    </row>
    <row r="24131" spans="23:23" x14ac:dyDescent="0.55000000000000004">
      <c r="W24131"/>
    </row>
    <row r="24132" spans="23:23" x14ac:dyDescent="0.55000000000000004">
      <c r="W24132"/>
    </row>
    <row r="24133" spans="23:23" x14ac:dyDescent="0.55000000000000004">
      <c r="W24133"/>
    </row>
    <row r="24134" spans="23:23" x14ac:dyDescent="0.55000000000000004">
      <c r="W24134"/>
    </row>
    <row r="24135" spans="23:23" x14ac:dyDescent="0.55000000000000004">
      <c r="W24135"/>
    </row>
    <row r="24136" spans="23:23" x14ac:dyDescent="0.55000000000000004">
      <c r="W24136"/>
    </row>
    <row r="24137" spans="23:23" x14ac:dyDescent="0.55000000000000004">
      <c r="W24137"/>
    </row>
    <row r="24138" spans="23:23" x14ac:dyDescent="0.55000000000000004">
      <c r="W24138"/>
    </row>
    <row r="24139" spans="23:23" x14ac:dyDescent="0.55000000000000004">
      <c r="W24139"/>
    </row>
    <row r="24140" spans="23:23" x14ac:dyDescent="0.55000000000000004">
      <c r="W24140"/>
    </row>
    <row r="24141" spans="23:23" x14ac:dyDescent="0.55000000000000004">
      <c r="W24141"/>
    </row>
    <row r="24142" spans="23:23" x14ac:dyDescent="0.55000000000000004">
      <c r="W24142"/>
    </row>
    <row r="24143" spans="23:23" x14ac:dyDescent="0.55000000000000004">
      <c r="W24143"/>
    </row>
    <row r="24144" spans="23:23" x14ac:dyDescent="0.55000000000000004">
      <c r="W24144"/>
    </row>
    <row r="24145" spans="23:23" x14ac:dyDescent="0.55000000000000004">
      <c r="W24145"/>
    </row>
    <row r="24146" spans="23:23" x14ac:dyDescent="0.55000000000000004">
      <c r="W24146"/>
    </row>
    <row r="24147" spans="23:23" x14ac:dyDescent="0.55000000000000004">
      <c r="W24147"/>
    </row>
    <row r="24148" spans="23:23" x14ac:dyDescent="0.55000000000000004">
      <c r="W24148"/>
    </row>
    <row r="24149" spans="23:23" x14ac:dyDescent="0.55000000000000004">
      <c r="W24149"/>
    </row>
    <row r="24150" spans="23:23" x14ac:dyDescent="0.55000000000000004">
      <c r="W24150"/>
    </row>
    <row r="24151" spans="23:23" x14ac:dyDescent="0.55000000000000004">
      <c r="W24151"/>
    </row>
    <row r="24152" spans="23:23" x14ac:dyDescent="0.55000000000000004">
      <c r="W24152"/>
    </row>
    <row r="24153" spans="23:23" x14ac:dyDescent="0.55000000000000004">
      <c r="W24153"/>
    </row>
    <row r="24154" spans="23:23" x14ac:dyDescent="0.55000000000000004">
      <c r="W24154"/>
    </row>
    <row r="24155" spans="23:23" x14ac:dyDescent="0.55000000000000004">
      <c r="W24155"/>
    </row>
    <row r="24156" spans="23:23" x14ac:dyDescent="0.55000000000000004">
      <c r="W24156"/>
    </row>
    <row r="24157" spans="23:23" x14ac:dyDescent="0.55000000000000004">
      <c r="W24157"/>
    </row>
    <row r="24158" spans="23:23" x14ac:dyDescent="0.55000000000000004">
      <c r="W24158"/>
    </row>
    <row r="24159" spans="23:23" x14ac:dyDescent="0.55000000000000004">
      <c r="W24159"/>
    </row>
    <row r="24160" spans="23:23" x14ac:dyDescent="0.55000000000000004">
      <c r="W24160"/>
    </row>
    <row r="24161" spans="23:23" x14ac:dyDescent="0.55000000000000004">
      <c r="W24161"/>
    </row>
    <row r="24162" spans="23:23" x14ac:dyDescent="0.55000000000000004">
      <c r="W24162"/>
    </row>
    <row r="24163" spans="23:23" x14ac:dyDescent="0.55000000000000004">
      <c r="W24163"/>
    </row>
    <row r="24164" spans="23:23" x14ac:dyDescent="0.55000000000000004">
      <c r="W24164"/>
    </row>
    <row r="24165" spans="23:23" x14ac:dyDescent="0.55000000000000004">
      <c r="W24165"/>
    </row>
    <row r="24166" spans="23:23" x14ac:dyDescent="0.55000000000000004">
      <c r="W24166"/>
    </row>
    <row r="24167" spans="23:23" x14ac:dyDescent="0.55000000000000004">
      <c r="W24167"/>
    </row>
    <row r="24168" spans="23:23" x14ac:dyDescent="0.55000000000000004">
      <c r="W24168"/>
    </row>
    <row r="24169" spans="23:23" x14ac:dyDescent="0.55000000000000004">
      <c r="W24169"/>
    </row>
    <row r="24170" spans="23:23" x14ac:dyDescent="0.55000000000000004">
      <c r="W24170"/>
    </row>
    <row r="24171" spans="23:23" x14ac:dyDescent="0.55000000000000004">
      <c r="W24171"/>
    </row>
    <row r="24172" spans="23:23" x14ac:dyDescent="0.55000000000000004">
      <c r="W24172"/>
    </row>
    <row r="24173" spans="23:23" x14ac:dyDescent="0.55000000000000004">
      <c r="W24173"/>
    </row>
    <row r="24174" spans="23:23" x14ac:dyDescent="0.55000000000000004">
      <c r="W24174"/>
    </row>
    <row r="24175" spans="23:23" x14ac:dyDescent="0.55000000000000004">
      <c r="W24175"/>
    </row>
    <row r="24176" spans="23:23" x14ac:dyDescent="0.55000000000000004">
      <c r="W24176"/>
    </row>
    <row r="24177" spans="23:23" x14ac:dyDescent="0.55000000000000004">
      <c r="W24177"/>
    </row>
    <row r="24178" spans="23:23" x14ac:dyDescent="0.55000000000000004">
      <c r="W24178"/>
    </row>
    <row r="24179" spans="23:23" x14ac:dyDescent="0.55000000000000004">
      <c r="W24179"/>
    </row>
    <row r="24180" spans="23:23" x14ac:dyDescent="0.55000000000000004">
      <c r="W24180"/>
    </row>
    <row r="24181" spans="23:23" x14ac:dyDescent="0.55000000000000004">
      <c r="W24181"/>
    </row>
    <row r="24182" spans="23:23" x14ac:dyDescent="0.55000000000000004">
      <c r="W24182"/>
    </row>
    <row r="24183" spans="23:23" x14ac:dyDescent="0.55000000000000004">
      <c r="W24183"/>
    </row>
    <row r="24184" spans="23:23" x14ac:dyDescent="0.55000000000000004">
      <c r="W24184"/>
    </row>
    <row r="24185" spans="23:23" x14ac:dyDescent="0.55000000000000004">
      <c r="W24185"/>
    </row>
    <row r="24186" spans="23:23" x14ac:dyDescent="0.55000000000000004">
      <c r="W24186"/>
    </row>
    <row r="24187" spans="23:23" x14ac:dyDescent="0.55000000000000004">
      <c r="W24187"/>
    </row>
    <row r="24188" spans="23:23" x14ac:dyDescent="0.55000000000000004">
      <c r="W24188"/>
    </row>
    <row r="24189" spans="23:23" x14ac:dyDescent="0.55000000000000004">
      <c r="W24189"/>
    </row>
    <row r="24190" spans="23:23" x14ac:dyDescent="0.55000000000000004">
      <c r="W24190"/>
    </row>
    <row r="24191" spans="23:23" x14ac:dyDescent="0.55000000000000004">
      <c r="W24191"/>
    </row>
    <row r="24192" spans="23:23" x14ac:dyDescent="0.55000000000000004">
      <c r="W24192"/>
    </row>
    <row r="24193" spans="23:23" x14ac:dyDescent="0.55000000000000004">
      <c r="W24193"/>
    </row>
    <row r="24194" spans="23:23" x14ac:dyDescent="0.55000000000000004">
      <c r="W24194"/>
    </row>
    <row r="24195" spans="23:23" x14ac:dyDescent="0.55000000000000004">
      <c r="W24195"/>
    </row>
    <row r="24196" spans="23:23" x14ac:dyDescent="0.55000000000000004">
      <c r="W24196"/>
    </row>
    <row r="24197" spans="23:23" x14ac:dyDescent="0.55000000000000004">
      <c r="W24197"/>
    </row>
    <row r="24198" spans="23:23" x14ac:dyDescent="0.55000000000000004">
      <c r="W24198"/>
    </row>
    <row r="24199" spans="23:23" x14ac:dyDescent="0.55000000000000004">
      <c r="W24199"/>
    </row>
    <row r="24200" spans="23:23" x14ac:dyDescent="0.55000000000000004">
      <c r="W24200"/>
    </row>
    <row r="24201" spans="23:23" x14ac:dyDescent="0.55000000000000004">
      <c r="W24201"/>
    </row>
    <row r="24202" spans="23:23" x14ac:dyDescent="0.55000000000000004">
      <c r="W24202"/>
    </row>
    <row r="24203" spans="23:23" x14ac:dyDescent="0.55000000000000004">
      <c r="W24203"/>
    </row>
    <row r="24204" spans="23:23" x14ac:dyDescent="0.55000000000000004">
      <c r="W24204"/>
    </row>
    <row r="24205" spans="23:23" x14ac:dyDescent="0.55000000000000004">
      <c r="W24205"/>
    </row>
    <row r="24206" spans="23:23" x14ac:dyDescent="0.55000000000000004">
      <c r="W24206"/>
    </row>
    <row r="24207" spans="23:23" x14ac:dyDescent="0.55000000000000004">
      <c r="W24207"/>
    </row>
    <row r="24208" spans="23:23" x14ac:dyDescent="0.55000000000000004">
      <c r="W24208"/>
    </row>
    <row r="24209" spans="23:23" x14ac:dyDescent="0.55000000000000004">
      <c r="W24209"/>
    </row>
    <row r="24210" spans="23:23" x14ac:dyDescent="0.55000000000000004">
      <c r="W24210"/>
    </row>
    <row r="24211" spans="23:23" x14ac:dyDescent="0.55000000000000004">
      <c r="W24211"/>
    </row>
    <row r="24212" spans="23:23" x14ac:dyDescent="0.55000000000000004">
      <c r="W24212"/>
    </row>
    <row r="24213" spans="23:23" x14ac:dyDescent="0.55000000000000004">
      <c r="W24213"/>
    </row>
    <row r="24214" spans="23:23" x14ac:dyDescent="0.55000000000000004">
      <c r="W24214"/>
    </row>
    <row r="24215" spans="23:23" x14ac:dyDescent="0.55000000000000004">
      <c r="W24215"/>
    </row>
    <row r="24216" spans="23:23" x14ac:dyDescent="0.55000000000000004">
      <c r="W24216"/>
    </row>
    <row r="24217" spans="23:23" x14ac:dyDescent="0.55000000000000004">
      <c r="W24217"/>
    </row>
    <row r="24218" spans="23:23" x14ac:dyDescent="0.55000000000000004">
      <c r="W24218"/>
    </row>
    <row r="24219" spans="23:23" x14ac:dyDescent="0.55000000000000004">
      <c r="W24219"/>
    </row>
    <row r="24220" spans="23:23" x14ac:dyDescent="0.55000000000000004">
      <c r="W24220"/>
    </row>
    <row r="24221" spans="23:23" x14ac:dyDescent="0.55000000000000004">
      <c r="W24221"/>
    </row>
    <row r="24222" spans="23:23" x14ac:dyDescent="0.55000000000000004">
      <c r="W24222"/>
    </row>
    <row r="24223" spans="23:23" x14ac:dyDescent="0.55000000000000004">
      <c r="W24223"/>
    </row>
    <row r="24224" spans="23:23" x14ac:dyDescent="0.55000000000000004">
      <c r="W24224"/>
    </row>
    <row r="24225" spans="23:23" x14ac:dyDescent="0.55000000000000004">
      <c r="W24225"/>
    </row>
    <row r="24226" spans="23:23" x14ac:dyDescent="0.55000000000000004">
      <c r="W24226"/>
    </row>
    <row r="24227" spans="23:23" x14ac:dyDescent="0.55000000000000004">
      <c r="W24227"/>
    </row>
    <row r="24228" spans="23:23" x14ac:dyDescent="0.55000000000000004">
      <c r="W24228"/>
    </row>
    <row r="24229" spans="23:23" x14ac:dyDescent="0.55000000000000004">
      <c r="W24229"/>
    </row>
    <row r="24230" spans="23:23" x14ac:dyDescent="0.55000000000000004">
      <c r="W24230"/>
    </row>
    <row r="24231" spans="23:23" x14ac:dyDescent="0.55000000000000004">
      <c r="W24231"/>
    </row>
    <row r="24232" spans="23:23" x14ac:dyDescent="0.55000000000000004">
      <c r="W24232"/>
    </row>
    <row r="24233" spans="23:23" x14ac:dyDescent="0.55000000000000004">
      <c r="W24233"/>
    </row>
    <row r="24234" spans="23:23" x14ac:dyDescent="0.55000000000000004">
      <c r="W24234"/>
    </row>
    <row r="24235" spans="23:23" x14ac:dyDescent="0.55000000000000004">
      <c r="W24235"/>
    </row>
    <row r="24236" spans="23:23" x14ac:dyDescent="0.55000000000000004">
      <c r="W24236"/>
    </row>
    <row r="24237" spans="23:23" x14ac:dyDescent="0.55000000000000004">
      <c r="W24237"/>
    </row>
    <row r="24238" spans="23:23" x14ac:dyDescent="0.55000000000000004">
      <c r="W24238"/>
    </row>
    <row r="24239" spans="23:23" x14ac:dyDescent="0.55000000000000004">
      <c r="W24239"/>
    </row>
    <row r="24240" spans="23:23" x14ac:dyDescent="0.55000000000000004">
      <c r="W24240"/>
    </row>
    <row r="24241" spans="23:23" x14ac:dyDescent="0.55000000000000004">
      <c r="W24241"/>
    </row>
    <row r="24242" spans="23:23" x14ac:dyDescent="0.55000000000000004">
      <c r="W24242"/>
    </row>
    <row r="24243" spans="23:23" x14ac:dyDescent="0.55000000000000004">
      <c r="W24243"/>
    </row>
    <row r="24244" spans="23:23" x14ac:dyDescent="0.55000000000000004">
      <c r="W24244"/>
    </row>
    <row r="24245" spans="23:23" x14ac:dyDescent="0.55000000000000004">
      <c r="W24245"/>
    </row>
    <row r="24246" spans="23:23" x14ac:dyDescent="0.55000000000000004">
      <c r="W24246"/>
    </row>
    <row r="24247" spans="23:23" x14ac:dyDescent="0.55000000000000004">
      <c r="W24247"/>
    </row>
    <row r="24248" spans="23:23" x14ac:dyDescent="0.55000000000000004">
      <c r="W24248"/>
    </row>
    <row r="24249" spans="23:23" x14ac:dyDescent="0.55000000000000004">
      <c r="W24249"/>
    </row>
    <row r="24250" spans="23:23" x14ac:dyDescent="0.55000000000000004">
      <c r="W24250"/>
    </row>
    <row r="24251" spans="23:23" x14ac:dyDescent="0.55000000000000004">
      <c r="W24251"/>
    </row>
    <row r="24252" spans="23:23" x14ac:dyDescent="0.55000000000000004">
      <c r="W24252"/>
    </row>
    <row r="24253" spans="23:23" x14ac:dyDescent="0.55000000000000004">
      <c r="W24253"/>
    </row>
    <row r="24254" spans="23:23" x14ac:dyDescent="0.55000000000000004">
      <c r="W24254"/>
    </row>
    <row r="24255" spans="23:23" x14ac:dyDescent="0.55000000000000004">
      <c r="W24255"/>
    </row>
    <row r="24256" spans="23:23" x14ac:dyDescent="0.55000000000000004">
      <c r="W24256"/>
    </row>
    <row r="24257" spans="23:23" x14ac:dyDescent="0.55000000000000004">
      <c r="W24257"/>
    </row>
    <row r="24258" spans="23:23" x14ac:dyDescent="0.55000000000000004">
      <c r="W24258"/>
    </row>
    <row r="24259" spans="23:23" x14ac:dyDescent="0.55000000000000004">
      <c r="W24259"/>
    </row>
    <row r="24260" spans="23:23" x14ac:dyDescent="0.55000000000000004">
      <c r="W24260"/>
    </row>
    <row r="24261" spans="23:23" x14ac:dyDescent="0.55000000000000004">
      <c r="W24261"/>
    </row>
    <row r="24262" spans="23:23" x14ac:dyDescent="0.55000000000000004">
      <c r="W24262"/>
    </row>
    <row r="24263" spans="23:23" x14ac:dyDescent="0.55000000000000004">
      <c r="W24263"/>
    </row>
    <row r="24264" spans="23:23" x14ac:dyDescent="0.55000000000000004">
      <c r="W24264"/>
    </row>
    <row r="24265" spans="23:23" x14ac:dyDescent="0.55000000000000004">
      <c r="W24265"/>
    </row>
    <row r="24266" spans="23:23" x14ac:dyDescent="0.55000000000000004">
      <c r="W24266"/>
    </row>
    <row r="24267" spans="23:23" x14ac:dyDescent="0.55000000000000004">
      <c r="W24267"/>
    </row>
    <row r="24268" spans="23:23" x14ac:dyDescent="0.55000000000000004">
      <c r="W24268"/>
    </row>
    <row r="24269" spans="23:23" x14ac:dyDescent="0.55000000000000004">
      <c r="W24269"/>
    </row>
    <row r="24270" spans="23:23" x14ac:dyDescent="0.55000000000000004">
      <c r="W24270"/>
    </row>
    <row r="24271" spans="23:23" x14ac:dyDescent="0.55000000000000004">
      <c r="W24271"/>
    </row>
    <row r="24272" spans="23:23" x14ac:dyDescent="0.55000000000000004">
      <c r="W24272"/>
    </row>
    <row r="24273" spans="23:23" x14ac:dyDescent="0.55000000000000004">
      <c r="W24273"/>
    </row>
    <row r="24274" spans="23:23" x14ac:dyDescent="0.55000000000000004">
      <c r="W24274"/>
    </row>
    <row r="24275" spans="23:23" x14ac:dyDescent="0.55000000000000004">
      <c r="W24275"/>
    </row>
    <row r="24276" spans="23:23" x14ac:dyDescent="0.55000000000000004">
      <c r="W24276"/>
    </row>
    <row r="24277" spans="23:23" x14ac:dyDescent="0.55000000000000004">
      <c r="W24277"/>
    </row>
    <row r="24278" spans="23:23" x14ac:dyDescent="0.55000000000000004">
      <c r="W24278"/>
    </row>
    <row r="24279" spans="23:23" x14ac:dyDescent="0.55000000000000004">
      <c r="W24279"/>
    </row>
    <row r="24280" spans="23:23" x14ac:dyDescent="0.55000000000000004">
      <c r="W24280"/>
    </row>
    <row r="24281" spans="23:23" x14ac:dyDescent="0.55000000000000004">
      <c r="W24281"/>
    </row>
    <row r="24282" spans="23:23" x14ac:dyDescent="0.55000000000000004">
      <c r="W24282"/>
    </row>
    <row r="24283" spans="23:23" x14ac:dyDescent="0.55000000000000004">
      <c r="W24283"/>
    </row>
    <row r="24284" spans="23:23" x14ac:dyDescent="0.55000000000000004">
      <c r="W24284"/>
    </row>
    <row r="24285" spans="23:23" x14ac:dyDescent="0.55000000000000004">
      <c r="W24285"/>
    </row>
    <row r="24286" spans="23:23" x14ac:dyDescent="0.55000000000000004">
      <c r="W24286"/>
    </row>
    <row r="24287" spans="23:23" x14ac:dyDescent="0.55000000000000004">
      <c r="W24287"/>
    </row>
    <row r="24288" spans="23:23" x14ac:dyDescent="0.55000000000000004">
      <c r="W24288"/>
    </row>
    <row r="24289" spans="23:23" x14ac:dyDescent="0.55000000000000004">
      <c r="W24289"/>
    </row>
    <row r="24290" spans="23:23" x14ac:dyDescent="0.55000000000000004">
      <c r="W24290"/>
    </row>
    <row r="24291" spans="23:23" x14ac:dyDescent="0.55000000000000004">
      <c r="W24291"/>
    </row>
    <row r="24292" spans="23:23" x14ac:dyDescent="0.55000000000000004">
      <c r="W24292"/>
    </row>
    <row r="24293" spans="23:23" x14ac:dyDescent="0.55000000000000004">
      <c r="W24293"/>
    </row>
    <row r="24294" spans="23:23" x14ac:dyDescent="0.55000000000000004">
      <c r="W24294"/>
    </row>
    <row r="24295" spans="23:23" x14ac:dyDescent="0.55000000000000004">
      <c r="W24295"/>
    </row>
    <row r="24296" spans="23:23" x14ac:dyDescent="0.55000000000000004">
      <c r="W24296"/>
    </row>
    <row r="24297" spans="23:23" x14ac:dyDescent="0.55000000000000004">
      <c r="W24297"/>
    </row>
    <row r="24298" spans="23:23" x14ac:dyDescent="0.55000000000000004">
      <c r="W24298"/>
    </row>
    <row r="24299" spans="23:23" x14ac:dyDescent="0.55000000000000004">
      <c r="W24299"/>
    </row>
    <row r="24300" spans="23:23" x14ac:dyDescent="0.55000000000000004">
      <c r="W24300"/>
    </row>
    <row r="24301" spans="23:23" x14ac:dyDescent="0.55000000000000004">
      <c r="W24301"/>
    </row>
    <row r="24302" spans="23:23" x14ac:dyDescent="0.55000000000000004">
      <c r="W24302"/>
    </row>
    <row r="24303" spans="23:23" x14ac:dyDescent="0.55000000000000004">
      <c r="W24303"/>
    </row>
    <row r="24304" spans="23:23" x14ac:dyDescent="0.55000000000000004">
      <c r="W24304"/>
    </row>
    <row r="24305" spans="23:23" x14ac:dyDescent="0.55000000000000004">
      <c r="W24305"/>
    </row>
    <row r="24306" spans="23:23" x14ac:dyDescent="0.55000000000000004">
      <c r="W24306"/>
    </row>
    <row r="24307" spans="23:23" x14ac:dyDescent="0.55000000000000004">
      <c r="W24307"/>
    </row>
    <row r="24308" spans="23:23" x14ac:dyDescent="0.55000000000000004">
      <c r="W24308"/>
    </row>
    <row r="24309" spans="23:23" x14ac:dyDescent="0.55000000000000004">
      <c r="W24309"/>
    </row>
    <row r="24310" spans="23:23" x14ac:dyDescent="0.55000000000000004">
      <c r="W24310"/>
    </row>
    <row r="24311" spans="23:23" x14ac:dyDescent="0.55000000000000004">
      <c r="W24311"/>
    </row>
    <row r="24312" spans="23:23" x14ac:dyDescent="0.55000000000000004">
      <c r="W24312"/>
    </row>
    <row r="24313" spans="23:23" x14ac:dyDescent="0.55000000000000004">
      <c r="W24313"/>
    </row>
    <row r="24314" spans="23:23" x14ac:dyDescent="0.55000000000000004">
      <c r="W24314"/>
    </row>
    <row r="24315" spans="23:23" x14ac:dyDescent="0.55000000000000004">
      <c r="W24315"/>
    </row>
    <row r="24316" spans="23:23" x14ac:dyDescent="0.55000000000000004">
      <c r="W24316"/>
    </row>
    <row r="24317" spans="23:23" x14ac:dyDescent="0.55000000000000004">
      <c r="W24317"/>
    </row>
    <row r="24318" spans="23:23" x14ac:dyDescent="0.55000000000000004">
      <c r="W24318"/>
    </row>
    <row r="24319" spans="23:23" x14ac:dyDescent="0.55000000000000004">
      <c r="W24319"/>
    </row>
    <row r="24320" spans="23:23" x14ac:dyDescent="0.55000000000000004">
      <c r="W24320"/>
    </row>
    <row r="24321" spans="23:23" x14ac:dyDescent="0.55000000000000004">
      <c r="W24321"/>
    </row>
    <row r="24322" spans="23:23" x14ac:dyDescent="0.55000000000000004">
      <c r="W24322"/>
    </row>
    <row r="24323" spans="23:23" x14ac:dyDescent="0.55000000000000004">
      <c r="W24323"/>
    </row>
    <row r="24324" spans="23:23" x14ac:dyDescent="0.55000000000000004">
      <c r="W24324"/>
    </row>
    <row r="24325" spans="23:23" x14ac:dyDescent="0.55000000000000004">
      <c r="W24325"/>
    </row>
    <row r="24326" spans="23:23" x14ac:dyDescent="0.55000000000000004">
      <c r="W24326"/>
    </row>
    <row r="24327" spans="23:23" x14ac:dyDescent="0.55000000000000004">
      <c r="W24327"/>
    </row>
    <row r="24328" spans="23:23" x14ac:dyDescent="0.55000000000000004">
      <c r="W24328"/>
    </row>
    <row r="24329" spans="23:23" x14ac:dyDescent="0.55000000000000004">
      <c r="W24329"/>
    </row>
    <row r="24330" spans="23:23" x14ac:dyDescent="0.55000000000000004">
      <c r="W24330"/>
    </row>
    <row r="24331" spans="23:23" x14ac:dyDescent="0.55000000000000004">
      <c r="W24331"/>
    </row>
    <row r="24332" spans="23:23" x14ac:dyDescent="0.55000000000000004">
      <c r="W24332"/>
    </row>
    <row r="24333" spans="23:23" x14ac:dyDescent="0.55000000000000004">
      <c r="W24333"/>
    </row>
    <row r="24334" spans="23:23" x14ac:dyDescent="0.55000000000000004">
      <c r="W24334"/>
    </row>
    <row r="24335" spans="23:23" x14ac:dyDescent="0.55000000000000004">
      <c r="W24335"/>
    </row>
    <row r="24336" spans="23:23" x14ac:dyDescent="0.55000000000000004">
      <c r="W24336"/>
    </row>
    <row r="24337" spans="23:23" x14ac:dyDescent="0.55000000000000004">
      <c r="W24337"/>
    </row>
    <row r="24338" spans="23:23" x14ac:dyDescent="0.55000000000000004">
      <c r="W24338"/>
    </row>
    <row r="24339" spans="23:23" x14ac:dyDescent="0.55000000000000004">
      <c r="W24339"/>
    </row>
    <row r="24340" spans="23:23" x14ac:dyDescent="0.55000000000000004">
      <c r="W24340"/>
    </row>
    <row r="24341" spans="23:23" x14ac:dyDescent="0.55000000000000004">
      <c r="W24341"/>
    </row>
    <row r="24342" spans="23:23" x14ac:dyDescent="0.55000000000000004">
      <c r="W24342"/>
    </row>
    <row r="24343" spans="23:23" x14ac:dyDescent="0.55000000000000004">
      <c r="W24343"/>
    </row>
    <row r="24344" spans="23:23" x14ac:dyDescent="0.55000000000000004">
      <c r="W24344"/>
    </row>
    <row r="24345" spans="23:23" x14ac:dyDescent="0.55000000000000004">
      <c r="W24345"/>
    </row>
    <row r="24346" spans="23:23" x14ac:dyDescent="0.55000000000000004">
      <c r="W24346"/>
    </row>
    <row r="24347" spans="23:23" x14ac:dyDescent="0.55000000000000004">
      <c r="W24347"/>
    </row>
    <row r="24348" spans="23:23" x14ac:dyDescent="0.55000000000000004">
      <c r="W24348"/>
    </row>
    <row r="24349" spans="23:23" x14ac:dyDescent="0.55000000000000004">
      <c r="W24349"/>
    </row>
    <row r="24350" spans="23:23" x14ac:dyDescent="0.55000000000000004">
      <c r="W24350"/>
    </row>
    <row r="24351" spans="23:23" x14ac:dyDescent="0.55000000000000004">
      <c r="W24351"/>
    </row>
    <row r="24352" spans="23:23" x14ac:dyDescent="0.55000000000000004">
      <c r="W24352"/>
    </row>
    <row r="24353" spans="23:23" x14ac:dyDescent="0.55000000000000004">
      <c r="W24353"/>
    </row>
    <row r="24354" spans="23:23" x14ac:dyDescent="0.55000000000000004">
      <c r="W24354"/>
    </row>
    <row r="24355" spans="23:23" x14ac:dyDescent="0.55000000000000004">
      <c r="W24355"/>
    </row>
    <row r="24356" spans="23:23" x14ac:dyDescent="0.55000000000000004">
      <c r="W24356"/>
    </row>
    <row r="24357" spans="23:23" x14ac:dyDescent="0.55000000000000004">
      <c r="W24357"/>
    </row>
    <row r="24358" spans="23:23" x14ac:dyDescent="0.55000000000000004">
      <c r="W24358"/>
    </row>
    <row r="24359" spans="23:23" x14ac:dyDescent="0.55000000000000004">
      <c r="W24359"/>
    </row>
    <row r="24360" spans="23:23" x14ac:dyDescent="0.55000000000000004">
      <c r="W24360"/>
    </row>
    <row r="24361" spans="23:23" x14ac:dyDescent="0.55000000000000004">
      <c r="W24361"/>
    </row>
    <row r="24362" spans="23:23" x14ac:dyDescent="0.55000000000000004">
      <c r="W24362"/>
    </row>
    <row r="24363" spans="23:23" x14ac:dyDescent="0.55000000000000004">
      <c r="W24363"/>
    </row>
    <row r="24364" spans="23:23" x14ac:dyDescent="0.55000000000000004">
      <c r="W24364"/>
    </row>
    <row r="24365" spans="23:23" x14ac:dyDescent="0.55000000000000004">
      <c r="W24365"/>
    </row>
    <row r="24366" spans="23:23" x14ac:dyDescent="0.55000000000000004">
      <c r="W24366"/>
    </row>
    <row r="24367" spans="23:23" x14ac:dyDescent="0.55000000000000004">
      <c r="W24367"/>
    </row>
    <row r="24368" spans="23:23" x14ac:dyDescent="0.55000000000000004">
      <c r="W24368"/>
    </row>
    <row r="24369" spans="23:23" x14ac:dyDescent="0.55000000000000004">
      <c r="W24369"/>
    </row>
    <row r="24370" spans="23:23" x14ac:dyDescent="0.55000000000000004">
      <c r="W24370"/>
    </row>
    <row r="24371" spans="23:23" x14ac:dyDescent="0.55000000000000004">
      <c r="W24371"/>
    </row>
    <row r="24372" spans="23:23" x14ac:dyDescent="0.55000000000000004">
      <c r="W24372"/>
    </row>
    <row r="24373" spans="23:23" x14ac:dyDescent="0.55000000000000004">
      <c r="W24373"/>
    </row>
    <row r="24374" spans="23:23" x14ac:dyDescent="0.55000000000000004">
      <c r="W24374"/>
    </row>
    <row r="24375" spans="23:23" x14ac:dyDescent="0.55000000000000004">
      <c r="W24375"/>
    </row>
    <row r="24376" spans="23:23" x14ac:dyDescent="0.55000000000000004">
      <c r="W24376"/>
    </row>
    <row r="24377" spans="23:23" x14ac:dyDescent="0.55000000000000004">
      <c r="W24377"/>
    </row>
    <row r="24378" spans="23:23" x14ac:dyDescent="0.55000000000000004">
      <c r="W24378"/>
    </row>
    <row r="24379" spans="23:23" x14ac:dyDescent="0.55000000000000004">
      <c r="W24379"/>
    </row>
    <row r="24380" spans="23:23" x14ac:dyDescent="0.55000000000000004">
      <c r="W24380"/>
    </row>
    <row r="24381" spans="23:23" x14ac:dyDescent="0.55000000000000004">
      <c r="W24381"/>
    </row>
    <row r="24382" spans="23:23" x14ac:dyDescent="0.55000000000000004">
      <c r="W24382"/>
    </row>
    <row r="24383" spans="23:23" x14ac:dyDescent="0.55000000000000004">
      <c r="W24383"/>
    </row>
    <row r="24384" spans="23:23" x14ac:dyDescent="0.55000000000000004">
      <c r="W24384"/>
    </row>
    <row r="24385" spans="23:23" x14ac:dyDescent="0.55000000000000004">
      <c r="W24385"/>
    </row>
    <row r="24386" spans="23:23" x14ac:dyDescent="0.55000000000000004">
      <c r="W24386"/>
    </row>
    <row r="24387" spans="23:23" x14ac:dyDescent="0.55000000000000004">
      <c r="W24387"/>
    </row>
    <row r="24388" spans="23:23" x14ac:dyDescent="0.55000000000000004">
      <c r="W24388"/>
    </row>
    <row r="24389" spans="23:23" x14ac:dyDescent="0.55000000000000004">
      <c r="W24389"/>
    </row>
    <row r="24390" spans="23:23" x14ac:dyDescent="0.55000000000000004">
      <c r="W24390"/>
    </row>
    <row r="24391" spans="23:23" x14ac:dyDescent="0.55000000000000004">
      <c r="W24391"/>
    </row>
    <row r="24392" spans="23:23" x14ac:dyDescent="0.55000000000000004">
      <c r="W24392"/>
    </row>
    <row r="24393" spans="23:23" x14ac:dyDescent="0.55000000000000004">
      <c r="W24393"/>
    </row>
    <row r="24394" spans="23:23" x14ac:dyDescent="0.55000000000000004">
      <c r="W24394"/>
    </row>
    <row r="24395" spans="23:23" x14ac:dyDescent="0.55000000000000004">
      <c r="W24395"/>
    </row>
    <row r="24396" spans="23:23" x14ac:dyDescent="0.55000000000000004">
      <c r="W24396"/>
    </row>
    <row r="24397" spans="23:23" x14ac:dyDescent="0.55000000000000004">
      <c r="W24397"/>
    </row>
    <row r="24398" spans="23:23" x14ac:dyDescent="0.55000000000000004">
      <c r="W24398"/>
    </row>
    <row r="24399" spans="23:23" x14ac:dyDescent="0.55000000000000004">
      <c r="W24399"/>
    </row>
    <row r="24400" spans="23:23" x14ac:dyDescent="0.55000000000000004">
      <c r="W24400"/>
    </row>
    <row r="24401" spans="23:23" x14ac:dyDescent="0.55000000000000004">
      <c r="W24401"/>
    </row>
    <row r="24402" spans="23:23" x14ac:dyDescent="0.55000000000000004">
      <c r="W24402"/>
    </row>
    <row r="24403" spans="23:23" x14ac:dyDescent="0.55000000000000004">
      <c r="W24403"/>
    </row>
    <row r="24404" spans="23:23" x14ac:dyDescent="0.55000000000000004">
      <c r="W24404"/>
    </row>
    <row r="24405" spans="23:23" x14ac:dyDescent="0.55000000000000004">
      <c r="W24405"/>
    </row>
    <row r="24406" spans="23:23" x14ac:dyDescent="0.55000000000000004">
      <c r="W24406"/>
    </row>
    <row r="24407" spans="23:23" x14ac:dyDescent="0.55000000000000004">
      <c r="W24407"/>
    </row>
    <row r="24408" spans="23:23" x14ac:dyDescent="0.55000000000000004">
      <c r="W24408"/>
    </row>
    <row r="24409" spans="23:23" x14ac:dyDescent="0.55000000000000004">
      <c r="W24409"/>
    </row>
    <row r="24410" spans="23:23" x14ac:dyDescent="0.55000000000000004">
      <c r="W24410"/>
    </row>
    <row r="24411" spans="23:23" x14ac:dyDescent="0.55000000000000004">
      <c r="W24411"/>
    </row>
    <row r="24412" spans="23:23" x14ac:dyDescent="0.55000000000000004">
      <c r="W24412"/>
    </row>
    <row r="24413" spans="23:23" x14ac:dyDescent="0.55000000000000004">
      <c r="W24413"/>
    </row>
    <row r="24414" spans="23:23" x14ac:dyDescent="0.55000000000000004">
      <c r="W24414"/>
    </row>
    <row r="24415" spans="23:23" x14ac:dyDescent="0.55000000000000004">
      <c r="W24415"/>
    </row>
    <row r="24416" spans="23:23" x14ac:dyDescent="0.55000000000000004">
      <c r="W24416"/>
    </row>
    <row r="24417" spans="23:23" x14ac:dyDescent="0.55000000000000004">
      <c r="W24417"/>
    </row>
    <row r="24418" spans="23:23" x14ac:dyDescent="0.55000000000000004">
      <c r="W24418"/>
    </row>
    <row r="24419" spans="23:23" x14ac:dyDescent="0.55000000000000004">
      <c r="W24419"/>
    </row>
    <row r="24420" spans="23:23" x14ac:dyDescent="0.55000000000000004">
      <c r="W24420"/>
    </row>
    <row r="24421" spans="23:23" x14ac:dyDescent="0.55000000000000004">
      <c r="W24421"/>
    </row>
    <row r="24422" spans="23:23" x14ac:dyDescent="0.55000000000000004">
      <c r="W24422"/>
    </row>
    <row r="24423" spans="23:23" x14ac:dyDescent="0.55000000000000004">
      <c r="W24423"/>
    </row>
    <row r="24424" spans="23:23" x14ac:dyDescent="0.55000000000000004">
      <c r="W24424"/>
    </row>
    <row r="24425" spans="23:23" x14ac:dyDescent="0.55000000000000004">
      <c r="W24425"/>
    </row>
    <row r="24426" spans="23:23" x14ac:dyDescent="0.55000000000000004">
      <c r="W24426"/>
    </row>
    <row r="24427" spans="23:23" x14ac:dyDescent="0.55000000000000004">
      <c r="W24427"/>
    </row>
    <row r="24428" spans="23:23" x14ac:dyDescent="0.55000000000000004">
      <c r="W24428"/>
    </row>
    <row r="24429" spans="23:23" x14ac:dyDescent="0.55000000000000004">
      <c r="W24429"/>
    </row>
    <row r="24430" spans="23:23" x14ac:dyDescent="0.55000000000000004">
      <c r="W24430"/>
    </row>
    <row r="24431" spans="23:23" x14ac:dyDescent="0.55000000000000004">
      <c r="W24431"/>
    </row>
    <row r="24432" spans="23:23" x14ac:dyDescent="0.55000000000000004">
      <c r="W24432"/>
    </row>
    <row r="24433" spans="23:23" x14ac:dyDescent="0.55000000000000004">
      <c r="W24433"/>
    </row>
    <row r="24434" spans="23:23" x14ac:dyDescent="0.55000000000000004">
      <c r="W24434"/>
    </row>
    <row r="24435" spans="23:23" x14ac:dyDescent="0.55000000000000004">
      <c r="W24435"/>
    </row>
    <row r="24436" spans="23:23" x14ac:dyDescent="0.55000000000000004">
      <c r="W24436"/>
    </row>
    <row r="24437" spans="23:23" x14ac:dyDescent="0.55000000000000004">
      <c r="W24437"/>
    </row>
    <row r="24438" spans="23:23" x14ac:dyDescent="0.55000000000000004">
      <c r="W24438"/>
    </row>
    <row r="24439" spans="23:23" x14ac:dyDescent="0.55000000000000004">
      <c r="W24439"/>
    </row>
    <row r="24440" spans="23:23" x14ac:dyDescent="0.55000000000000004">
      <c r="W24440"/>
    </row>
    <row r="24441" spans="23:23" x14ac:dyDescent="0.55000000000000004">
      <c r="W24441"/>
    </row>
    <row r="24442" spans="23:23" x14ac:dyDescent="0.55000000000000004">
      <c r="W24442"/>
    </row>
    <row r="24443" spans="23:23" x14ac:dyDescent="0.55000000000000004">
      <c r="W24443"/>
    </row>
    <row r="24444" spans="23:23" x14ac:dyDescent="0.55000000000000004">
      <c r="W24444"/>
    </row>
    <row r="24445" spans="23:23" x14ac:dyDescent="0.55000000000000004">
      <c r="W24445"/>
    </row>
    <row r="24446" spans="23:23" x14ac:dyDescent="0.55000000000000004">
      <c r="W24446"/>
    </row>
    <row r="24447" spans="23:23" x14ac:dyDescent="0.55000000000000004">
      <c r="W24447"/>
    </row>
    <row r="24448" spans="23:23" x14ac:dyDescent="0.55000000000000004">
      <c r="W24448"/>
    </row>
    <row r="24449" spans="23:23" x14ac:dyDescent="0.55000000000000004">
      <c r="W24449"/>
    </row>
    <row r="24450" spans="23:23" x14ac:dyDescent="0.55000000000000004">
      <c r="W24450"/>
    </row>
    <row r="24451" spans="23:23" x14ac:dyDescent="0.55000000000000004">
      <c r="W24451"/>
    </row>
    <row r="24452" spans="23:23" x14ac:dyDescent="0.55000000000000004">
      <c r="W24452"/>
    </row>
    <row r="24453" spans="23:23" x14ac:dyDescent="0.55000000000000004">
      <c r="W24453"/>
    </row>
    <row r="24454" spans="23:23" x14ac:dyDescent="0.55000000000000004">
      <c r="W24454"/>
    </row>
    <row r="24455" spans="23:23" x14ac:dyDescent="0.55000000000000004">
      <c r="W24455"/>
    </row>
    <row r="24456" spans="23:23" x14ac:dyDescent="0.55000000000000004">
      <c r="W24456"/>
    </row>
    <row r="24457" spans="23:23" x14ac:dyDescent="0.55000000000000004">
      <c r="W24457"/>
    </row>
    <row r="24458" spans="23:23" x14ac:dyDescent="0.55000000000000004">
      <c r="W24458"/>
    </row>
    <row r="24459" spans="23:23" x14ac:dyDescent="0.55000000000000004">
      <c r="W24459"/>
    </row>
    <row r="24460" spans="23:23" x14ac:dyDescent="0.55000000000000004">
      <c r="W24460"/>
    </row>
    <row r="24461" spans="23:23" x14ac:dyDescent="0.55000000000000004">
      <c r="W24461"/>
    </row>
    <row r="24462" spans="23:23" x14ac:dyDescent="0.55000000000000004">
      <c r="W24462"/>
    </row>
    <row r="24463" spans="23:23" x14ac:dyDescent="0.55000000000000004">
      <c r="W24463"/>
    </row>
    <row r="24464" spans="23:23" x14ac:dyDescent="0.55000000000000004">
      <c r="W24464"/>
    </row>
    <row r="24465" spans="23:23" x14ac:dyDescent="0.55000000000000004">
      <c r="W24465"/>
    </row>
    <row r="24466" spans="23:23" x14ac:dyDescent="0.55000000000000004">
      <c r="W24466"/>
    </row>
    <row r="24467" spans="23:23" x14ac:dyDescent="0.55000000000000004">
      <c r="W24467"/>
    </row>
    <row r="24468" spans="23:23" x14ac:dyDescent="0.55000000000000004">
      <c r="W24468"/>
    </row>
    <row r="24469" spans="23:23" x14ac:dyDescent="0.55000000000000004">
      <c r="W24469"/>
    </row>
    <row r="24470" spans="23:23" x14ac:dyDescent="0.55000000000000004">
      <c r="W24470"/>
    </row>
    <row r="24471" spans="23:23" x14ac:dyDescent="0.55000000000000004">
      <c r="W24471"/>
    </row>
    <row r="24472" spans="23:23" x14ac:dyDescent="0.55000000000000004">
      <c r="W24472"/>
    </row>
    <row r="24473" spans="23:23" x14ac:dyDescent="0.55000000000000004">
      <c r="W24473"/>
    </row>
    <row r="24474" spans="23:23" x14ac:dyDescent="0.55000000000000004">
      <c r="W24474"/>
    </row>
    <row r="24475" spans="23:23" x14ac:dyDescent="0.55000000000000004">
      <c r="W24475"/>
    </row>
    <row r="24476" spans="23:23" x14ac:dyDescent="0.55000000000000004">
      <c r="W24476"/>
    </row>
    <row r="24477" spans="23:23" x14ac:dyDescent="0.55000000000000004">
      <c r="W24477"/>
    </row>
    <row r="24478" spans="23:23" x14ac:dyDescent="0.55000000000000004">
      <c r="W24478"/>
    </row>
    <row r="24479" spans="23:23" x14ac:dyDescent="0.55000000000000004">
      <c r="W24479"/>
    </row>
    <row r="24480" spans="23:23" x14ac:dyDescent="0.55000000000000004">
      <c r="W24480"/>
    </row>
    <row r="24481" spans="23:23" x14ac:dyDescent="0.55000000000000004">
      <c r="W24481"/>
    </row>
    <row r="24482" spans="23:23" x14ac:dyDescent="0.55000000000000004">
      <c r="W24482"/>
    </row>
    <row r="24483" spans="23:23" x14ac:dyDescent="0.55000000000000004">
      <c r="W24483"/>
    </row>
    <row r="24484" spans="23:23" x14ac:dyDescent="0.55000000000000004">
      <c r="W24484"/>
    </row>
    <row r="24485" spans="23:23" x14ac:dyDescent="0.55000000000000004">
      <c r="W24485"/>
    </row>
    <row r="24486" spans="23:23" x14ac:dyDescent="0.55000000000000004">
      <c r="W24486"/>
    </row>
    <row r="24487" spans="23:23" x14ac:dyDescent="0.55000000000000004">
      <c r="W24487"/>
    </row>
    <row r="24488" spans="23:23" x14ac:dyDescent="0.55000000000000004">
      <c r="W24488"/>
    </row>
    <row r="24489" spans="23:23" x14ac:dyDescent="0.55000000000000004">
      <c r="W24489"/>
    </row>
    <row r="24490" spans="23:23" x14ac:dyDescent="0.55000000000000004">
      <c r="W24490"/>
    </row>
    <row r="24491" spans="23:23" x14ac:dyDescent="0.55000000000000004">
      <c r="W24491"/>
    </row>
    <row r="24492" spans="23:23" x14ac:dyDescent="0.55000000000000004">
      <c r="W24492"/>
    </row>
    <row r="24493" spans="23:23" x14ac:dyDescent="0.55000000000000004">
      <c r="W24493"/>
    </row>
    <row r="24494" spans="23:23" x14ac:dyDescent="0.55000000000000004">
      <c r="W24494"/>
    </row>
    <row r="24495" spans="23:23" x14ac:dyDescent="0.55000000000000004">
      <c r="W24495"/>
    </row>
    <row r="24496" spans="23:23" x14ac:dyDescent="0.55000000000000004">
      <c r="W24496"/>
    </row>
    <row r="24497" spans="23:23" x14ac:dyDescent="0.55000000000000004">
      <c r="W24497"/>
    </row>
    <row r="24498" spans="23:23" x14ac:dyDescent="0.55000000000000004">
      <c r="W24498"/>
    </row>
    <row r="24499" spans="23:23" x14ac:dyDescent="0.55000000000000004">
      <c r="W24499"/>
    </row>
    <row r="24500" spans="23:23" x14ac:dyDescent="0.55000000000000004">
      <c r="W24500"/>
    </row>
    <row r="24501" spans="23:23" x14ac:dyDescent="0.55000000000000004">
      <c r="W24501"/>
    </row>
    <row r="24502" spans="23:23" x14ac:dyDescent="0.55000000000000004">
      <c r="W24502"/>
    </row>
    <row r="24503" spans="23:23" x14ac:dyDescent="0.55000000000000004">
      <c r="W24503"/>
    </row>
    <row r="24504" spans="23:23" x14ac:dyDescent="0.55000000000000004">
      <c r="W24504"/>
    </row>
    <row r="24505" spans="23:23" x14ac:dyDescent="0.55000000000000004">
      <c r="W24505"/>
    </row>
    <row r="24506" spans="23:23" x14ac:dyDescent="0.55000000000000004">
      <c r="W24506"/>
    </row>
    <row r="24507" spans="23:23" x14ac:dyDescent="0.55000000000000004">
      <c r="W24507"/>
    </row>
    <row r="24508" spans="23:23" x14ac:dyDescent="0.55000000000000004">
      <c r="W24508"/>
    </row>
    <row r="24509" spans="23:23" x14ac:dyDescent="0.55000000000000004">
      <c r="W24509"/>
    </row>
    <row r="24510" spans="23:23" x14ac:dyDescent="0.55000000000000004">
      <c r="W24510"/>
    </row>
    <row r="24511" spans="23:23" x14ac:dyDescent="0.55000000000000004">
      <c r="W24511"/>
    </row>
    <row r="24512" spans="23:23" x14ac:dyDescent="0.55000000000000004">
      <c r="W24512"/>
    </row>
    <row r="24513" spans="23:23" x14ac:dyDescent="0.55000000000000004">
      <c r="W24513"/>
    </row>
    <row r="24514" spans="23:23" x14ac:dyDescent="0.55000000000000004">
      <c r="W24514"/>
    </row>
    <row r="24515" spans="23:23" x14ac:dyDescent="0.55000000000000004">
      <c r="W24515"/>
    </row>
    <row r="24516" spans="23:23" x14ac:dyDescent="0.55000000000000004">
      <c r="W24516"/>
    </row>
    <row r="24517" spans="23:23" x14ac:dyDescent="0.55000000000000004">
      <c r="W24517"/>
    </row>
    <row r="24518" spans="23:23" x14ac:dyDescent="0.55000000000000004">
      <c r="W24518"/>
    </row>
    <row r="24519" spans="23:23" x14ac:dyDescent="0.55000000000000004">
      <c r="W24519"/>
    </row>
    <row r="24520" spans="23:23" x14ac:dyDescent="0.55000000000000004">
      <c r="W24520"/>
    </row>
    <row r="24521" spans="23:23" x14ac:dyDescent="0.55000000000000004">
      <c r="W24521"/>
    </row>
    <row r="24522" spans="23:23" x14ac:dyDescent="0.55000000000000004">
      <c r="W24522"/>
    </row>
    <row r="24523" spans="23:23" x14ac:dyDescent="0.55000000000000004">
      <c r="W24523"/>
    </row>
    <row r="24524" spans="23:23" x14ac:dyDescent="0.55000000000000004">
      <c r="W24524"/>
    </row>
    <row r="24525" spans="23:23" x14ac:dyDescent="0.55000000000000004">
      <c r="W24525"/>
    </row>
    <row r="24526" spans="23:23" x14ac:dyDescent="0.55000000000000004">
      <c r="W24526"/>
    </row>
    <row r="24527" spans="23:23" x14ac:dyDescent="0.55000000000000004">
      <c r="W24527"/>
    </row>
    <row r="24528" spans="23:23" x14ac:dyDescent="0.55000000000000004">
      <c r="W24528"/>
    </row>
    <row r="24529" spans="23:23" x14ac:dyDescent="0.55000000000000004">
      <c r="W24529"/>
    </row>
    <row r="24530" spans="23:23" x14ac:dyDescent="0.55000000000000004">
      <c r="W24530"/>
    </row>
    <row r="24531" spans="23:23" x14ac:dyDescent="0.55000000000000004">
      <c r="W24531"/>
    </row>
    <row r="24532" spans="23:23" x14ac:dyDescent="0.55000000000000004">
      <c r="W24532"/>
    </row>
    <row r="24533" spans="23:23" x14ac:dyDescent="0.55000000000000004">
      <c r="W24533"/>
    </row>
    <row r="24534" spans="23:23" x14ac:dyDescent="0.55000000000000004">
      <c r="W24534"/>
    </row>
    <row r="24535" spans="23:23" x14ac:dyDescent="0.55000000000000004">
      <c r="W24535"/>
    </row>
    <row r="24536" spans="23:23" x14ac:dyDescent="0.55000000000000004">
      <c r="W24536"/>
    </row>
    <row r="24537" spans="23:23" x14ac:dyDescent="0.55000000000000004">
      <c r="W24537"/>
    </row>
    <row r="24538" spans="23:23" x14ac:dyDescent="0.55000000000000004">
      <c r="W24538"/>
    </row>
    <row r="24539" spans="23:23" x14ac:dyDescent="0.55000000000000004">
      <c r="W24539"/>
    </row>
    <row r="24540" spans="23:23" x14ac:dyDescent="0.55000000000000004">
      <c r="W24540"/>
    </row>
    <row r="24541" spans="23:23" x14ac:dyDescent="0.55000000000000004">
      <c r="W24541"/>
    </row>
    <row r="24542" spans="23:23" x14ac:dyDescent="0.55000000000000004">
      <c r="W24542"/>
    </row>
    <row r="24543" spans="23:23" x14ac:dyDescent="0.55000000000000004">
      <c r="W24543"/>
    </row>
    <row r="24544" spans="23:23" x14ac:dyDescent="0.55000000000000004">
      <c r="W24544"/>
    </row>
    <row r="24545" spans="23:23" x14ac:dyDescent="0.55000000000000004">
      <c r="W24545"/>
    </row>
    <row r="24546" spans="23:23" x14ac:dyDescent="0.55000000000000004">
      <c r="W24546"/>
    </row>
    <row r="24547" spans="23:23" x14ac:dyDescent="0.55000000000000004">
      <c r="W24547"/>
    </row>
    <row r="24548" spans="23:23" x14ac:dyDescent="0.55000000000000004">
      <c r="W24548"/>
    </row>
    <row r="24549" spans="23:23" x14ac:dyDescent="0.55000000000000004">
      <c r="W24549"/>
    </row>
    <row r="24550" spans="23:23" x14ac:dyDescent="0.55000000000000004">
      <c r="W24550"/>
    </row>
    <row r="24551" spans="23:23" x14ac:dyDescent="0.55000000000000004">
      <c r="W24551"/>
    </row>
    <row r="24552" spans="23:23" x14ac:dyDescent="0.55000000000000004">
      <c r="W24552"/>
    </row>
    <row r="24553" spans="23:23" x14ac:dyDescent="0.55000000000000004">
      <c r="W24553"/>
    </row>
    <row r="24554" spans="23:23" x14ac:dyDescent="0.55000000000000004">
      <c r="W24554"/>
    </row>
    <row r="24555" spans="23:23" x14ac:dyDescent="0.55000000000000004">
      <c r="W24555"/>
    </row>
    <row r="24556" spans="23:23" x14ac:dyDescent="0.55000000000000004">
      <c r="W24556"/>
    </row>
    <row r="24557" spans="23:23" x14ac:dyDescent="0.55000000000000004">
      <c r="W24557"/>
    </row>
    <row r="24558" spans="23:23" x14ac:dyDescent="0.55000000000000004">
      <c r="W24558"/>
    </row>
    <row r="24559" spans="23:23" x14ac:dyDescent="0.55000000000000004">
      <c r="W24559"/>
    </row>
    <row r="24560" spans="23:23" x14ac:dyDescent="0.55000000000000004">
      <c r="W24560"/>
    </row>
    <row r="24561" spans="23:23" x14ac:dyDescent="0.55000000000000004">
      <c r="W24561"/>
    </row>
    <row r="24562" spans="23:23" x14ac:dyDescent="0.55000000000000004">
      <c r="W24562"/>
    </row>
    <row r="24563" spans="23:23" x14ac:dyDescent="0.55000000000000004">
      <c r="W24563"/>
    </row>
    <row r="24564" spans="23:23" x14ac:dyDescent="0.55000000000000004">
      <c r="W24564"/>
    </row>
    <row r="24565" spans="23:23" x14ac:dyDescent="0.55000000000000004">
      <c r="W24565"/>
    </row>
    <row r="24566" spans="23:23" x14ac:dyDescent="0.55000000000000004">
      <c r="W24566"/>
    </row>
    <row r="24567" spans="23:23" x14ac:dyDescent="0.55000000000000004">
      <c r="W24567"/>
    </row>
    <row r="24568" spans="23:23" x14ac:dyDescent="0.55000000000000004">
      <c r="W24568"/>
    </row>
    <row r="24569" spans="23:23" x14ac:dyDescent="0.55000000000000004">
      <c r="W24569"/>
    </row>
    <row r="24570" spans="23:23" x14ac:dyDescent="0.55000000000000004">
      <c r="W24570"/>
    </row>
    <row r="24571" spans="23:23" x14ac:dyDescent="0.55000000000000004">
      <c r="W24571"/>
    </row>
    <row r="24572" spans="23:23" x14ac:dyDescent="0.55000000000000004">
      <c r="W24572"/>
    </row>
    <row r="24573" spans="23:23" x14ac:dyDescent="0.55000000000000004">
      <c r="W24573"/>
    </row>
    <row r="24574" spans="23:23" x14ac:dyDescent="0.55000000000000004">
      <c r="W24574"/>
    </row>
    <row r="24575" spans="23:23" x14ac:dyDescent="0.55000000000000004">
      <c r="W24575"/>
    </row>
    <row r="24576" spans="23:23" x14ac:dyDescent="0.55000000000000004">
      <c r="W24576"/>
    </row>
    <row r="24577" spans="23:23" x14ac:dyDescent="0.55000000000000004">
      <c r="W24577"/>
    </row>
    <row r="24578" spans="23:23" x14ac:dyDescent="0.55000000000000004">
      <c r="W24578"/>
    </row>
    <row r="24579" spans="23:23" x14ac:dyDescent="0.55000000000000004">
      <c r="W24579"/>
    </row>
    <row r="24580" spans="23:23" x14ac:dyDescent="0.55000000000000004">
      <c r="W24580"/>
    </row>
    <row r="24581" spans="23:23" x14ac:dyDescent="0.55000000000000004">
      <c r="W24581"/>
    </row>
    <row r="24582" spans="23:23" x14ac:dyDescent="0.55000000000000004">
      <c r="W24582"/>
    </row>
    <row r="24583" spans="23:23" x14ac:dyDescent="0.55000000000000004">
      <c r="W24583"/>
    </row>
    <row r="24584" spans="23:23" x14ac:dyDescent="0.55000000000000004">
      <c r="W24584"/>
    </row>
    <row r="24585" spans="23:23" x14ac:dyDescent="0.55000000000000004">
      <c r="W24585"/>
    </row>
    <row r="24586" spans="23:23" x14ac:dyDescent="0.55000000000000004">
      <c r="W24586"/>
    </row>
    <row r="24587" spans="23:23" x14ac:dyDescent="0.55000000000000004">
      <c r="W24587"/>
    </row>
    <row r="24588" spans="23:23" x14ac:dyDescent="0.55000000000000004">
      <c r="W24588"/>
    </row>
    <row r="24589" spans="23:23" x14ac:dyDescent="0.55000000000000004">
      <c r="W24589"/>
    </row>
    <row r="24590" spans="23:23" x14ac:dyDescent="0.55000000000000004">
      <c r="W24590"/>
    </row>
    <row r="24591" spans="23:23" x14ac:dyDescent="0.55000000000000004">
      <c r="W24591"/>
    </row>
    <row r="24592" spans="23:23" x14ac:dyDescent="0.55000000000000004">
      <c r="W24592"/>
    </row>
    <row r="24593" spans="23:23" x14ac:dyDescent="0.55000000000000004">
      <c r="W24593"/>
    </row>
    <row r="24594" spans="23:23" x14ac:dyDescent="0.55000000000000004">
      <c r="W24594"/>
    </row>
    <row r="24595" spans="23:23" x14ac:dyDescent="0.55000000000000004">
      <c r="W24595"/>
    </row>
    <row r="24596" spans="23:23" x14ac:dyDescent="0.55000000000000004">
      <c r="W24596"/>
    </row>
    <row r="24597" spans="23:23" x14ac:dyDescent="0.55000000000000004">
      <c r="W24597"/>
    </row>
    <row r="24598" spans="23:23" x14ac:dyDescent="0.55000000000000004">
      <c r="W24598"/>
    </row>
    <row r="24599" spans="23:23" x14ac:dyDescent="0.55000000000000004">
      <c r="W24599"/>
    </row>
    <row r="24600" spans="23:23" x14ac:dyDescent="0.55000000000000004">
      <c r="W24600"/>
    </row>
    <row r="24601" spans="23:23" x14ac:dyDescent="0.55000000000000004">
      <c r="W24601"/>
    </row>
    <row r="24602" spans="23:23" x14ac:dyDescent="0.55000000000000004">
      <c r="W24602"/>
    </row>
    <row r="24603" spans="23:23" x14ac:dyDescent="0.55000000000000004">
      <c r="W24603"/>
    </row>
    <row r="24604" spans="23:23" x14ac:dyDescent="0.55000000000000004">
      <c r="W24604"/>
    </row>
    <row r="24605" spans="23:23" x14ac:dyDescent="0.55000000000000004">
      <c r="W24605"/>
    </row>
    <row r="24606" spans="23:23" x14ac:dyDescent="0.55000000000000004">
      <c r="W24606"/>
    </row>
    <row r="24607" spans="23:23" x14ac:dyDescent="0.55000000000000004">
      <c r="W24607"/>
    </row>
    <row r="24608" spans="23:23" x14ac:dyDescent="0.55000000000000004">
      <c r="W24608"/>
    </row>
    <row r="24609" spans="23:23" x14ac:dyDescent="0.55000000000000004">
      <c r="W24609"/>
    </row>
    <row r="24610" spans="23:23" x14ac:dyDescent="0.55000000000000004">
      <c r="W24610"/>
    </row>
    <row r="24611" spans="23:23" x14ac:dyDescent="0.55000000000000004">
      <c r="W24611"/>
    </row>
    <row r="24612" spans="23:23" x14ac:dyDescent="0.55000000000000004">
      <c r="W24612"/>
    </row>
    <row r="24613" spans="23:23" x14ac:dyDescent="0.55000000000000004">
      <c r="W24613"/>
    </row>
    <row r="24614" spans="23:23" x14ac:dyDescent="0.55000000000000004">
      <c r="W24614"/>
    </row>
    <row r="24615" spans="23:23" x14ac:dyDescent="0.55000000000000004">
      <c r="W24615"/>
    </row>
    <row r="24616" spans="23:23" x14ac:dyDescent="0.55000000000000004">
      <c r="W24616"/>
    </row>
    <row r="24617" spans="23:23" x14ac:dyDescent="0.55000000000000004">
      <c r="W24617"/>
    </row>
    <row r="24618" spans="23:23" x14ac:dyDescent="0.55000000000000004">
      <c r="W24618"/>
    </row>
    <row r="24619" spans="23:23" x14ac:dyDescent="0.55000000000000004">
      <c r="W24619"/>
    </row>
    <row r="24620" spans="23:23" x14ac:dyDescent="0.55000000000000004">
      <c r="W24620"/>
    </row>
    <row r="24621" spans="23:23" x14ac:dyDescent="0.55000000000000004">
      <c r="W24621"/>
    </row>
    <row r="24622" spans="23:23" x14ac:dyDescent="0.55000000000000004">
      <c r="W24622"/>
    </row>
    <row r="24623" spans="23:23" x14ac:dyDescent="0.55000000000000004">
      <c r="W24623"/>
    </row>
    <row r="24624" spans="23:23" x14ac:dyDescent="0.55000000000000004">
      <c r="W24624"/>
    </row>
    <row r="24625" spans="23:23" x14ac:dyDescent="0.55000000000000004">
      <c r="W24625"/>
    </row>
    <row r="24626" spans="23:23" x14ac:dyDescent="0.55000000000000004">
      <c r="W24626"/>
    </row>
    <row r="24627" spans="23:23" x14ac:dyDescent="0.55000000000000004">
      <c r="W24627"/>
    </row>
    <row r="24628" spans="23:23" x14ac:dyDescent="0.55000000000000004">
      <c r="W24628"/>
    </row>
    <row r="24629" spans="23:23" x14ac:dyDescent="0.55000000000000004">
      <c r="W24629"/>
    </row>
    <row r="24630" spans="23:23" x14ac:dyDescent="0.55000000000000004">
      <c r="W24630"/>
    </row>
    <row r="24631" spans="23:23" x14ac:dyDescent="0.55000000000000004">
      <c r="W24631"/>
    </row>
    <row r="24632" spans="23:23" x14ac:dyDescent="0.55000000000000004">
      <c r="W24632"/>
    </row>
    <row r="24633" spans="23:23" x14ac:dyDescent="0.55000000000000004">
      <c r="W24633"/>
    </row>
    <row r="24634" spans="23:23" x14ac:dyDescent="0.55000000000000004">
      <c r="W24634"/>
    </row>
    <row r="24635" spans="23:23" x14ac:dyDescent="0.55000000000000004">
      <c r="W24635"/>
    </row>
    <row r="24636" spans="23:23" x14ac:dyDescent="0.55000000000000004">
      <c r="W24636"/>
    </row>
    <row r="24637" spans="23:23" x14ac:dyDescent="0.55000000000000004">
      <c r="W24637"/>
    </row>
    <row r="24638" spans="23:23" x14ac:dyDescent="0.55000000000000004">
      <c r="W24638"/>
    </row>
    <row r="24639" spans="23:23" x14ac:dyDescent="0.55000000000000004">
      <c r="W24639"/>
    </row>
    <row r="24640" spans="23:23" x14ac:dyDescent="0.55000000000000004">
      <c r="W24640"/>
    </row>
    <row r="24641" spans="23:23" x14ac:dyDescent="0.55000000000000004">
      <c r="W24641"/>
    </row>
    <row r="24642" spans="23:23" x14ac:dyDescent="0.55000000000000004">
      <c r="W24642"/>
    </row>
    <row r="24643" spans="23:23" x14ac:dyDescent="0.55000000000000004">
      <c r="W24643"/>
    </row>
    <row r="24644" spans="23:23" x14ac:dyDescent="0.55000000000000004">
      <c r="W24644"/>
    </row>
    <row r="24645" spans="23:23" x14ac:dyDescent="0.55000000000000004">
      <c r="W24645"/>
    </row>
    <row r="24646" spans="23:23" x14ac:dyDescent="0.55000000000000004">
      <c r="W24646"/>
    </row>
    <row r="24647" spans="23:23" x14ac:dyDescent="0.55000000000000004">
      <c r="W24647"/>
    </row>
    <row r="24648" spans="23:23" x14ac:dyDescent="0.55000000000000004">
      <c r="W24648"/>
    </row>
    <row r="24649" spans="23:23" x14ac:dyDescent="0.55000000000000004">
      <c r="W24649"/>
    </row>
    <row r="24650" spans="23:23" x14ac:dyDescent="0.55000000000000004">
      <c r="W24650"/>
    </row>
    <row r="24651" spans="23:23" x14ac:dyDescent="0.55000000000000004">
      <c r="W24651"/>
    </row>
    <row r="24652" spans="23:23" x14ac:dyDescent="0.55000000000000004">
      <c r="W24652"/>
    </row>
    <row r="24653" spans="23:23" x14ac:dyDescent="0.55000000000000004">
      <c r="W24653"/>
    </row>
    <row r="24654" spans="23:23" x14ac:dyDescent="0.55000000000000004">
      <c r="W24654"/>
    </row>
    <row r="24655" spans="23:23" x14ac:dyDescent="0.55000000000000004">
      <c r="W24655"/>
    </row>
    <row r="24656" spans="23:23" x14ac:dyDescent="0.55000000000000004">
      <c r="W24656"/>
    </row>
    <row r="24657" spans="23:23" x14ac:dyDescent="0.55000000000000004">
      <c r="W24657"/>
    </row>
    <row r="24658" spans="23:23" x14ac:dyDescent="0.55000000000000004">
      <c r="W24658"/>
    </row>
    <row r="24659" spans="23:23" x14ac:dyDescent="0.55000000000000004">
      <c r="W24659"/>
    </row>
    <row r="24660" spans="23:23" x14ac:dyDescent="0.55000000000000004">
      <c r="W24660"/>
    </row>
    <row r="24661" spans="23:23" x14ac:dyDescent="0.55000000000000004">
      <c r="W24661"/>
    </row>
    <row r="24662" spans="23:23" x14ac:dyDescent="0.55000000000000004">
      <c r="W24662"/>
    </row>
    <row r="24663" spans="23:23" x14ac:dyDescent="0.55000000000000004">
      <c r="W24663"/>
    </row>
    <row r="24664" spans="23:23" x14ac:dyDescent="0.55000000000000004">
      <c r="W24664"/>
    </row>
    <row r="24665" spans="23:23" x14ac:dyDescent="0.55000000000000004">
      <c r="W24665"/>
    </row>
    <row r="24666" spans="23:23" x14ac:dyDescent="0.55000000000000004">
      <c r="W24666"/>
    </row>
    <row r="24667" spans="23:23" x14ac:dyDescent="0.55000000000000004">
      <c r="W24667"/>
    </row>
    <row r="24668" spans="23:23" x14ac:dyDescent="0.55000000000000004">
      <c r="W24668"/>
    </row>
    <row r="24669" spans="23:23" x14ac:dyDescent="0.55000000000000004">
      <c r="W24669"/>
    </row>
    <row r="24670" spans="23:23" x14ac:dyDescent="0.55000000000000004">
      <c r="W24670"/>
    </row>
    <row r="24671" spans="23:23" x14ac:dyDescent="0.55000000000000004">
      <c r="W24671"/>
    </row>
    <row r="24672" spans="23:23" x14ac:dyDescent="0.55000000000000004">
      <c r="W24672"/>
    </row>
    <row r="24673" spans="23:23" x14ac:dyDescent="0.55000000000000004">
      <c r="W24673"/>
    </row>
    <row r="24674" spans="23:23" x14ac:dyDescent="0.55000000000000004">
      <c r="W24674"/>
    </row>
    <row r="24675" spans="23:23" x14ac:dyDescent="0.55000000000000004">
      <c r="W24675"/>
    </row>
    <row r="24676" spans="23:23" x14ac:dyDescent="0.55000000000000004">
      <c r="W24676"/>
    </row>
    <row r="24677" spans="23:23" x14ac:dyDescent="0.55000000000000004">
      <c r="W24677"/>
    </row>
    <row r="24678" spans="23:23" x14ac:dyDescent="0.55000000000000004">
      <c r="W24678"/>
    </row>
    <row r="24679" spans="23:23" x14ac:dyDescent="0.55000000000000004">
      <c r="W24679"/>
    </row>
    <row r="24680" spans="23:23" x14ac:dyDescent="0.55000000000000004">
      <c r="W24680"/>
    </row>
    <row r="24681" spans="23:23" x14ac:dyDescent="0.55000000000000004">
      <c r="W24681"/>
    </row>
    <row r="24682" spans="23:23" x14ac:dyDescent="0.55000000000000004">
      <c r="W24682"/>
    </row>
    <row r="24683" spans="23:23" x14ac:dyDescent="0.55000000000000004">
      <c r="W24683"/>
    </row>
    <row r="24684" spans="23:23" x14ac:dyDescent="0.55000000000000004">
      <c r="W24684"/>
    </row>
    <row r="24685" spans="23:23" x14ac:dyDescent="0.55000000000000004">
      <c r="W24685"/>
    </row>
    <row r="24686" spans="23:23" x14ac:dyDescent="0.55000000000000004">
      <c r="W24686"/>
    </row>
    <row r="24687" spans="23:23" x14ac:dyDescent="0.55000000000000004">
      <c r="W24687"/>
    </row>
    <row r="24688" spans="23:23" x14ac:dyDescent="0.55000000000000004">
      <c r="W24688"/>
    </row>
    <row r="24689" spans="23:23" x14ac:dyDescent="0.55000000000000004">
      <c r="W24689"/>
    </row>
    <row r="24690" spans="23:23" x14ac:dyDescent="0.55000000000000004">
      <c r="W24690"/>
    </row>
    <row r="24691" spans="23:23" x14ac:dyDescent="0.55000000000000004">
      <c r="W24691"/>
    </row>
    <row r="24692" spans="23:23" x14ac:dyDescent="0.55000000000000004">
      <c r="W24692"/>
    </row>
    <row r="24693" spans="23:23" x14ac:dyDescent="0.55000000000000004">
      <c r="W24693"/>
    </row>
    <row r="24694" spans="23:23" x14ac:dyDescent="0.55000000000000004">
      <c r="W24694"/>
    </row>
    <row r="24695" spans="23:23" x14ac:dyDescent="0.55000000000000004">
      <c r="W24695"/>
    </row>
    <row r="24696" spans="23:23" x14ac:dyDescent="0.55000000000000004">
      <c r="W24696"/>
    </row>
    <row r="24697" spans="23:23" x14ac:dyDescent="0.55000000000000004">
      <c r="W24697"/>
    </row>
    <row r="24698" spans="23:23" x14ac:dyDescent="0.55000000000000004">
      <c r="W24698"/>
    </row>
    <row r="24699" spans="23:23" x14ac:dyDescent="0.55000000000000004">
      <c r="W24699"/>
    </row>
    <row r="24700" spans="23:23" x14ac:dyDescent="0.55000000000000004">
      <c r="W24700"/>
    </row>
    <row r="24701" spans="23:23" x14ac:dyDescent="0.55000000000000004">
      <c r="W24701"/>
    </row>
    <row r="24702" spans="23:23" x14ac:dyDescent="0.55000000000000004">
      <c r="W24702"/>
    </row>
    <row r="24703" spans="23:23" x14ac:dyDescent="0.55000000000000004">
      <c r="W24703"/>
    </row>
    <row r="24704" spans="23:23" x14ac:dyDescent="0.55000000000000004">
      <c r="W24704"/>
    </row>
    <row r="24705" spans="23:23" x14ac:dyDescent="0.55000000000000004">
      <c r="W24705"/>
    </row>
    <row r="24706" spans="23:23" x14ac:dyDescent="0.55000000000000004">
      <c r="W24706"/>
    </row>
    <row r="24707" spans="23:23" x14ac:dyDescent="0.55000000000000004">
      <c r="W24707"/>
    </row>
    <row r="24708" spans="23:23" x14ac:dyDescent="0.55000000000000004">
      <c r="W24708"/>
    </row>
    <row r="24709" spans="23:23" x14ac:dyDescent="0.55000000000000004">
      <c r="W24709"/>
    </row>
    <row r="24710" spans="23:23" x14ac:dyDescent="0.55000000000000004">
      <c r="W24710"/>
    </row>
    <row r="24711" spans="23:23" x14ac:dyDescent="0.55000000000000004">
      <c r="W24711"/>
    </row>
    <row r="24712" spans="23:23" x14ac:dyDescent="0.55000000000000004">
      <c r="W24712"/>
    </row>
    <row r="24713" spans="23:23" x14ac:dyDescent="0.55000000000000004">
      <c r="W24713"/>
    </row>
    <row r="24714" spans="23:23" x14ac:dyDescent="0.55000000000000004">
      <c r="W24714"/>
    </row>
    <row r="24715" spans="23:23" x14ac:dyDescent="0.55000000000000004">
      <c r="W24715"/>
    </row>
    <row r="24716" spans="23:23" x14ac:dyDescent="0.55000000000000004">
      <c r="W24716"/>
    </row>
    <row r="24717" spans="23:23" x14ac:dyDescent="0.55000000000000004">
      <c r="W24717"/>
    </row>
    <row r="24718" spans="23:23" x14ac:dyDescent="0.55000000000000004">
      <c r="W24718"/>
    </row>
    <row r="24719" spans="23:23" x14ac:dyDescent="0.55000000000000004">
      <c r="W24719"/>
    </row>
    <row r="24720" spans="23:23" x14ac:dyDescent="0.55000000000000004">
      <c r="W24720"/>
    </row>
    <row r="24721" spans="23:23" x14ac:dyDescent="0.55000000000000004">
      <c r="W24721"/>
    </row>
    <row r="24722" spans="23:23" x14ac:dyDescent="0.55000000000000004">
      <c r="W24722"/>
    </row>
    <row r="24723" spans="23:23" x14ac:dyDescent="0.55000000000000004">
      <c r="W24723"/>
    </row>
    <row r="24724" spans="23:23" x14ac:dyDescent="0.55000000000000004">
      <c r="W24724"/>
    </row>
    <row r="24725" spans="23:23" x14ac:dyDescent="0.55000000000000004">
      <c r="W24725"/>
    </row>
    <row r="24726" spans="23:23" x14ac:dyDescent="0.55000000000000004">
      <c r="W24726"/>
    </row>
    <row r="24727" spans="23:23" x14ac:dyDescent="0.55000000000000004">
      <c r="W24727"/>
    </row>
    <row r="24728" spans="23:23" x14ac:dyDescent="0.55000000000000004">
      <c r="W24728"/>
    </row>
    <row r="24729" spans="23:23" x14ac:dyDescent="0.55000000000000004">
      <c r="W24729"/>
    </row>
    <row r="24730" spans="23:23" x14ac:dyDescent="0.55000000000000004">
      <c r="W24730"/>
    </row>
    <row r="24731" spans="23:23" x14ac:dyDescent="0.55000000000000004">
      <c r="W24731"/>
    </row>
    <row r="24732" spans="23:23" x14ac:dyDescent="0.55000000000000004">
      <c r="W24732"/>
    </row>
    <row r="24733" spans="23:23" x14ac:dyDescent="0.55000000000000004">
      <c r="W24733"/>
    </row>
    <row r="24734" spans="23:23" x14ac:dyDescent="0.55000000000000004">
      <c r="W24734"/>
    </row>
    <row r="24735" spans="23:23" x14ac:dyDescent="0.55000000000000004">
      <c r="W24735"/>
    </row>
    <row r="24736" spans="23:23" x14ac:dyDescent="0.55000000000000004">
      <c r="W24736"/>
    </row>
    <row r="24737" spans="23:23" x14ac:dyDescent="0.55000000000000004">
      <c r="W24737"/>
    </row>
    <row r="24738" spans="23:23" x14ac:dyDescent="0.55000000000000004">
      <c r="W24738"/>
    </row>
    <row r="24739" spans="23:23" x14ac:dyDescent="0.55000000000000004">
      <c r="W24739"/>
    </row>
    <row r="24740" spans="23:23" x14ac:dyDescent="0.55000000000000004">
      <c r="W24740"/>
    </row>
    <row r="24741" spans="23:23" x14ac:dyDescent="0.55000000000000004">
      <c r="W24741"/>
    </row>
    <row r="24742" spans="23:23" x14ac:dyDescent="0.55000000000000004">
      <c r="W24742"/>
    </row>
    <row r="24743" spans="23:23" x14ac:dyDescent="0.55000000000000004">
      <c r="W24743"/>
    </row>
    <row r="24744" spans="23:23" x14ac:dyDescent="0.55000000000000004">
      <c r="W24744"/>
    </row>
    <row r="24745" spans="23:23" x14ac:dyDescent="0.55000000000000004">
      <c r="W24745"/>
    </row>
    <row r="24746" spans="23:23" x14ac:dyDescent="0.55000000000000004">
      <c r="W24746"/>
    </row>
    <row r="24747" spans="23:23" x14ac:dyDescent="0.55000000000000004">
      <c r="W24747"/>
    </row>
    <row r="24748" spans="23:23" x14ac:dyDescent="0.55000000000000004">
      <c r="W24748"/>
    </row>
    <row r="24749" spans="23:23" x14ac:dyDescent="0.55000000000000004">
      <c r="W24749"/>
    </row>
    <row r="24750" spans="23:23" x14ac:dyDescent="0.55000000000000004">
      <c r="W24750"/>
    </row>
    <row r="24751" spans="23:23" x14ac:dyDescent="0.55000000000000004">
      <c r="W24751"/>
    </row>
    <row r="24752" spans="23:23" x14ac:dyDescent="0.55000000000000004">
      <c r="W24752"/>
    </row>
    <row r="24753" spans="23:23" x14ac:dyDescent="0.55000000000000004">
      <c r="W24753"/>
    </row>
    <row r="24754" spans="23:23" x14ac:dyDescent="0.55000000000000004">
      <c r="W24754"/>
    </row>
    <row r="24755" spans="23:23" x14ac:dyDescent="0.55000000000000004">
      <c r="W24755"/>
    </row>
    <row r="24756" spans="23:23" x14ac:dyDescent="0.55000000000000004">
      <c r="W24756"/>
    </row>
    <row r="24757" spans="23:23" x14ac:dyDescent="0.55000000000000004">
      <c r="W24757"/>
    </row>
    <row r="24758" spans="23:23" x14ac:dyDescent="0.55000000000000004">
      <c r="W24758"/>
    </row>
    <row r="24759" spans="23:23" x14ac:dyDescent="0.55000000000000004">
      <c r="W24759"/>
    </row>
    <row r="24760" spans="23:23" x14ac:dyDescent="0.55000000000000004">
      <c r="W24760"/>
    </row>
    <row r="24761" spans="23:23" x14ac:dyDescent="0.55000000000000004">
      <c r="W24761"/>
    </row>
    <row r="24762" spans="23:23" x14ac:dyDescent="0.55000000000000004">
      <c r="W24762"/>
    </row>
    <row r="24763" spans="23:23" x14ac:dyDescent="0.55000000000000004">
      <c r="W24763"/>
    </row>
    <row r="24764" spans="23:23" x14ac:dyDescent="0.55000000000000004">
      <c r="W24764"/>
    </row>
    <row r="24765" spans="23:23" x14ac:dyDescent="0.55000000000000004">
      <c r="W24765"/>
    </row>
    <row r="24766" spans="23:23" x14ac:dyDescent="0.55000000000000004">
      <c r="W24766"/>
    </row>
    <row r="24767" spans="23:23" x14ac:dyDescent="0.55000000000000004">
      <c r="W24767"/>
    </row>
    <row r="24768" spans="23:23" x14ac:dyDescent="0.55000000000000004">
      <c r="W24768"/>
    </row>
    <row r="24769" spans="23:23" x14ac:dyDescent="0.55000000000000004">
      <c r="W24769"/>
    </row>
    <row r="24770" spans="23:23" x14ac:dyDescent="0.55000000000000004">
      <c r="W24770"/>
    </row>
    <row r="24771" spans="23:23" x14ac:dyDescent="0.55000000000000004">
      <c r="W24771"/>
    </row>
    <row r="24772" spans="23:23" x14ac:dyDescent="0.55000000000000004">
      <c r="W24772"/>
    </row>
    <row r="24773" spans="23:23" x14ac:dyDescent="0.55000000000000004">
      <c r="W24773"/>
    </row>
    <row r="24774" spans="23:23" x14ac:dyDescent="0.55000000000000004">
      <c r="W24774"/>
    </row>
    <row r="24775" spans="23:23" x14ac:dyDescent="0.55000000000000004">
      <c r="W24775"/>
    </row>
    <row r="24776" spans="23:23" x14ac:dyDescent="0.55000000000000004">
      <c r="W24776"/>
    </row>
    <row r="24777" spans="23:23" x14ac:dyDescent="0.55000000000000004">
      <c r="W24777"/>
    </row>
    <row r="24778" spans="23:23" x14ac:dyDescent="0.55000000000000004">
      <c r="W24778"/>
    </row>
    <row r="24779" spans="23:23" x14ac:dyDescent="0.55000000000000004">
      <c r="W24779"/>
    </row>
    <row r="24780" spans="23:23" x14ac:dyDescent="0.55000000000000004">
      <c r="W24780"/>
    </row>
    <row r="24781" spans="23:23" x14ac:dyDescent="0.55000000000000004">
      <c r="W24781"/>
    </row>
    <row r="24782" spans="23:23" x14ac:dyDescent="0.55000000000000004">
      <c r="W24782"/>
    </row>
    <row r="24783" spans="23:23" x14ac:dyDescent="0.55000000000000004">
      <c r="W24783"/>
    </row>
    <row r="24784" spans="23:23" x14ac:dyDescent="0.55000000000000004">
      <c r="W24784"/>
    </row>
    <row r="24785" spans="23:23" x14ac:dyDescent="0.55000000000000004">
      <c r="W24785"/>
    </row>
    <row r="24786" spans="23:23" x14ac:dyDescent="0.55000000000000004">
      <c r="W24786"/>
    </row>
    <row r="24787" spans="23:23" x14ac:dyDescent="0.55000000000000004">
      <c r="W24787"/>
    </row>
    <row r="24788" spans="23:23" x14ac:dyDescent="0.55000000000000004">
      <c r="W24788"/>
    </row>
    <row r="24789" spans="23:23" x14ac:dyDescent="0.55000000000000004">
      <c r="W24789"/>
    </row>
    <row r="24790" spans="23:23" x14ac:dyDescent="0.55000000000000004">
      <c r="W24790"/>
    </row>
    <row r="24791" spans="23:23" x14ac:dyDescent="0.55000000000000004">
      <c r="W24791"/>
    </row>
    <row r="24792" spans="23:23" x14ac:dyDescent="0.55000000000000004">
      <c r="W24792"/>
    </row>
    <row r="24793" spans="23:23" x14ac:dyDescent="0.55000000000000004">
      <c r="W24793"/>
    </row>
    <row r="24794" spans="23:23" x14ac:dyDescent="0.55000000000000004">
      <c r="W24794"/>
    </row>
    <row r="24795" spans="23:23" x14ac:dyDescent="0.55000000000000004">
      <c r="W24795"/>
    </row>
    <row r="24796" spans="23:23" x14ac:dyDescent="0.55000000000000004">
      <c r="W24796"/>
    </row>
    <row r="24797" spans="23:23" x14ac:dyDescent="0.55000000000000004">
      <c r="W24797"/>
    </row>
    <row r="24798" spans="23:23" x14ac:dyDescent="0.55000000000000004">
      <c r="W24798"/>
    </row>
    <row r="24799" spans="23:23" x14ac:dyDescent="0.55000000000000004">
      <c r="W24799"/>
    </row>
    <row r="24800" spans="23:23" x14ac:dyDescent="0.55000000000000004">
      <c r="W24800"/>
    </row>
    <row r="24801" spans="23:23" x14ac:dyDescent="0.55000000000000004">
      <c r="W24801"/>
    </row>
    <row r="24802" spans="23:23" x14ac:dyDescent="0.55000000000000004">
      <c r="W24802"/>
    </row>
    <row r="24803" spans="23:23" x14ac:dyDescent="0.55000000000000004">
      <c r="W24803"/>
    </row>
    <row r="24804" spans="23:23" x14ac:dyDescent="0.55000000000000004">
      <c r="W24804"/>
    </row>
    <row r="24805" spans="23:23" x14ac:dyDescent="0.55000000000000004">
      <c r="W24805"/>
    </row>
    <row r="24806" spans="23:23" x14ac:dyDescent="0.55000000000000004">
      <c r="W24806"/>
    </row>
    <row r="24807" spans="23:23" x14ac:dyDescent="0.55000000000000004">
      <c r="W24807"/>
    </row>
    <row r="24808" spans="23:23" x14ac:dyDescent="0.55000000000000004">
      <c r="W24808"/>
    </row>
    <row r="24809" spans="23:23" x14ac:dyDescent="0.55000000000000004">
      <c r="W24809"/>
    </row>
    <row r="24810" spans="23:23" x14ac:dyDescent="0.55000000000000004">
      <c r="W24810"/>
    </row>
    <row r="24811" spans="23:23" x14ac:dyDescent="0.55000000000000004">
      <c r="W24811"/>
    </row>
    <row r="24812" spans="23:23" x14ac:dyDescent="0.55000000000000004">
      <c r="W24812"/>
    </row>
    <row r="24813" spans="23:23" x14ac:dyDescent="0.55000000000000004">
      <c r="W24813"/>
    </row>
    <row r="24814" spans="23:23" x14ac:dyDescent="0.55000000000000004">
      <c r="W24814"/>
    </row>
    <row r="24815" spans="23:23" x14ac:dyDescent="0.55000000000000004">
      <c r="W24815"/>
    </row>
    <row r="24816" spans="23:23" x14ac:dyDescent="0.55000000000000004">
      <c r="W24816"/>
    </row>
    <row r="24817" spans="23:23" x14ac:dyDescent="0.55000000000000004">
      <c r="W24817"/>
    </row>
    <row r="24818" spans="23:23" x14ac:dyDescent="0.55000000000000004">
      <c r="W24818"/>
    </row>
    <row r="24819" spans="23:23" x14ac:dyDescent="0.55000000000000004">
      <c r="W24819"/>
    </row>
    <row r="24820" spans="23:23" x14ac:dyDescent="0.55000000000000004">
      <c r="W24820"/>
    </row>
    <row r="24821" spans="23:23" x14ac:dyDescent="0.55000000000000004">
      <c r="W24821"/>
    </row>
    <row r="24822" spans="23:23" x14ac:dyDescent="0.55000000000000004">
      <c r="W24822"/>
    </row>
    <row r="24823" spans="23:23" x14ac:dyDescent="0.55000000000000004">
      <c r="W24823"/>
    </row>
    <row r="24824" spans="23:23" x14ac:dyDescent="0.55000000000000004">
      <c r="W24824"/>
    </row>
    <row r="24825" spans="23:23" x14ac:dyDescent="0.55000000000000004">
      <c r="W24825"/>
    </row>
    <row r="24826" spans="23:23" x14ac:dyDescent="0.55000000000000004">
      <c r="W24826"/>
    </row>
    <row r="24827" spans="23:23" x14ac:dyDescent="0.55000000000000004">
      <c r="W24827"/>
    </row>
    <row r="24828" spans="23:23" x14ac:dyDescent="0.55000000000000004">
      <c r="W24828"/>
    </row>
    <row r="24829" spans="23:23" x14ac:dyDescent="0.55000000000000004">
      <c r="W24829"/>
    </row>
    <row r="24830" spans="23:23" x14ac:dyDescent="0.55000000000000004">
      <c r="W24830"/>
    </row>
    <row r="24831" spans="23:23" x14ac:dyDescent="0.55000000000000004">
      <c r="W24831"/>
    </row>
    <row r="24832" spans="23:23" x14ac:dyDescent="0.55000000000000004">
      <c r="W24832"/>
    </row>
    <row r="24833" spans="23:23" x14ac:dyDescent="0.55000000000000004">
      <c r="W24833"/>
    </row>
    <row r="24834" spans="23:23" x14ac:dyDescent="0.55000000000000004">
      <c r="W24834"/>
    </row>
    <row r="24835" spans="23:23" x14ac:dyDescent="0.55000000000000004">
      <c r="W24835"/>
    </row>
    <row r="24836" spans="23:23" x14ac:dyDescent="0.55000000000000004">
      <c r="W24836"/>
    </row>
    <row r="24837" spans="23:23" x14ac:dyDescent="0.55000000000000004">
      <c r="W24837"/>
    </row>
    <row r="24838" spans="23:23" x14ac:dyDescent="0.55000000000000004">
      <c r="W24838"/>
    </row>
    <row r="24839" spans="23:23" x14ac:dyDescent="0.55000000000000004">
      <c r="W24839"/>
    </row>
    <row r="24840" spans="23:23" x14ac:dyDescent="0.55000000000000004">
      <c r="W24840"/>
    </row>
    <row r="24841" spans="23:23" x14ac:dyDescent="0.55000000000000004">
      <c r="W24841"/>
    </row>
    <row r="24842" spans="23:23" x14ac:dyDescent="0.55000000000000004">
      <c r="W24842"/>
    </row>
    <row r="24843" spans="23:23" x14ac:dyDescent="0.55000000000000004">
      <c r="W24843"/>
    </row>
    <row r="24844" spans="23:23" x14ac:dyDescent="0.55000000000000004">
      <c r="W24844"/>
    </row>
    <row r="24845" spans="23:23" x14ac:dyDescent="0.55000000000000004">
      <c r="W24845"/>
    </row>
    <row r="24846" spans="23:23" x14ac:dyDescent="0.55000000000000004">
      <c r="W24846"/>
    </row>
    <row r="24847" spans="23:23" x14ac:dyDescent="0.55000000000000004">
      <c r="W24847"/>
    </row>
    <row r="24848" spans="23:23" x14ac:dyDescent="0.55000000000000004">
      <c r="W24848"/>
    </row>
    <row r="24849" spans="23:23" x14ac:dyDescent="0.55000000000000004">
      <c r="W24849"/>
    </row>
    <row r="24850" spans="23:23" x14ac:dyDescent="0.55000000000000004">
      <c r="W24850"/>
    </row>
    <row r="24851" spans="23:23" x14ac:dyDescent="0.55000000000000004">
      <c r="W24851"/>
    </row>
    <row r="24852" spans="23:23" x14ac:dyDescent="0.55000000000000004">
      <c r="W24852"/>
    </row>
    <row r="24853" spans="23:23" x14ac:dyDescent="0.55000000000000004">
      <c r="W24853"/>
    </row>
    <row r="24854" spans="23:23" x14ac:dyDescent="0.55000000000000004">
      <c r="W24854"/>
    </row>
    <row r="24855" spans="23:23" x14ac:dyDescent="0.55000000000000004">
      <c r="W24855"/>
    </row>
    <row r="24856" spans="23:23" x14ac:dyDescent="0.55000000000000004">
      <c r="W24856"/>
    </row>
    <row r="24857" spans="23:23" x14ac:dyDescent="0.55000000000000004">
      <c r="W24857"/>
    </row>
    <row r="24858" spans="23:23" x14ac:dyDescent="0.55000000000000004">
      <c r="W24858"/>
    </row>
    <row r="24859" spans="23:23" x14ac:dyDescent="0.55000000000000004">
      <c r="W24859"/>
    </row>
    <row r="24860" spans="23:23" x14ac:dyDescent="0.55000000000000004">
      <c r="W24860"/>
    </row>
    <row r="24861" spans="23:23" x14ac:dyDescent="0.55000000000000004">
      <c r="W24861"/>
    </row>
    <row r="24862" spans="23:23" x14ac:dyDescent="0.55000000000000004">
      <c r="W24862"/>
    </row>
    <row r="24863" spans="23:23" x14ac:dyDescent="0.55000000000000004">
      <c r="W24863"/>
    </row>
    <row r="24864" spans="23:23" x14ac:dyDescent="0.55000000000000004">
      <c r="W24864"/>
    </row>
    <row r="24865" spans="23:23" x14ac:dyDescent="0.55000000000000004">
      <c r="W24865"/>
    </row>
    <row r="24866" spans="23:23" x14ac:dyDescent="0.55000000000000004">
      <c r="W24866"/>
    </row>
    <row r="24867" spans="23:23" x14ac:dyDescent="0.55000000000000004">
      <c r="W24867"/>
    </row>
    <row r="24868" spans="23:23" x14ac:dyDescent="0.55000000000000004">
      <c r="W24868"/>
    </row>
    <row r="24869" spans="23:23" x14ac:dyDescent="0.55000000000000004">
      <c r="W24869"/>
    </row>
    <row r="24870" spans="23:23" x14ac:dyDescent="0.55000000000000004">
      <c r="W24870"/>
    </row>
    <row r="24871" spans="23:23" x14ac:dyDescent="0.55000000000000004">
      <c r="W24871"/>
    </row>
    <row r="24872" spans="23:23" x14ac:dyDescent="0.55000000000000004">
      <c r="W24872"/>
    </row>
    <row r="24873" spans="23:23" x14ac:dyDescent="0.55000000000000004">
      <c r="W24873"/>
    </row>
    <row r="24874" spans="23:23" x14ac:dyDescent="0.55000000000000004">
      <c r="W24874"/>
    </row>
    <row r="24875" spans="23:23" x14ac:dyDescent="0.55000000000000004">
      <c r="W24875"/>
    </row>
    <row r="24876" spans="23:23" x14ac:dyDescent="0.55000000000000004">
      <c r="W24876"/>
    </row>
    <row r="24877" spans="23:23" x14ac:dyDescent="0.55000000000000004">
      <c r="W24877"/>
    </row>
    <row r="24878" spans="23:23" x14ac:dyDescent="0.55000000000000004">
      <c r="W24878"/>
    </row>
    <row r="24879" spans="23:23" x14ac:dyDescent="0.55000000000000004">
      <c r="W24879"/>
    </row>
    <row r="24880" spans="23:23" x14ac:dyDescent="0.55000000000000004">
      <c r="W24880"/>
    </row>
    <row r="24881" spans="23:23" x14ac:dyDescent="0.55000000000000004">
      <c r="W24881"/>
    </row>
    <row r="24882" spans="23:23" x14ac:dyDescent="0.55000000000000004">
      <c r="W24882"/>
    </row>
    <row r="24883" spans="23:23" x14ac:dyDescent="0.55000000000000004">
      <c r="W24883"/>
    </row>
    <row r="24884" spans="23:23" x14ac:dyDescent="0.55000000000000004">
      <c r="W24884"/>
    </row>
    <row r="24885" spans="23:23" x14ac:dyDescent="0.55000000000000004">
      <c r="W24885"/>
    </row>
    <row r="24886" spans="23:23" x14ac:dyDescent="0.55000000000000004">
      <c r="W24886"/>
    </row>
    <row r="24887" spans="23:23" x14ac:dyDescent="0.55000000000000004">
      <c r="W24887"/>
    </row>
    <row r="24888" spans="23:23" x14ac:dyDescent="0.55000000000000004">
      <c r="W24888"/>
    </row>
    <row r="24889" spans="23:23" x14ac:dyDescent="0.55000000000000004">
      <c r="W24889"/>
    </row>
    <row r="24890" spans="23:23" x14ac:dyDescent="0.55000000000000004">
      <c r="W24890"/>
    </row>
    <row r="24891" spans="23:23" x14ac:dyDescent="0.55000000000000004">
      <c r="W24891"/>
    </row>
    <row r="24892" spans="23:23" x14ac:dyDescent="0.55000000000000004">
      <c r="W24892"/>
    </row>
    <row r="24893" spans="23:23" x14ac:dyDescent="0.55000000000000004">
      <c r="W24893"/>
    </row>
    <row r="24894" spans="23:23" x14ac:dyDescent="0.55000000000000004">
      <c r="W24894"/>
    </row>
    <row r="24895" spans="23:23" x14ac:dyDescent="0.55000000000000004">
      <c r="W24895"/>
    </row>
    <row r="24896" spans="23:23" x14ac:dyDescent="0.55000000000000004">
      <c r="W24896"/>
    </row>
    <row r="24897" spans="23:23" x14ac:dyDescent="0.55000000000000004">
      <c r="W24897"/>
    </row>
    <row r="24898" spans="23:23" x14ac:dyDescent="0.55000000000000004">
      <c r="W24898"/>
    </row>
    <row r="24899" spans="23:23" x14ac:dyDescent="0.55000000000000004">
      <c r="W24899"/>
    </row>
    <row r="24900" spans="23:23" x14ac:dyDescent="0.55000000000000004">
      <c r="W24900"/>
    </row>
    <row r="24901" spans="23:23" x14ac:dyDescent="0.55000000000000004">
      <c r="W24901"/>
    </row>
    <row r="24902" spans="23:23" x14ac:dyDescent="0.55000000000000004">
      <c r="W24902"/>
    </row>
    <row r="24903" spans="23:23" x14ac:dyDescent="0.55000000000000004">
      <c r="W24903"/>
    </row>
    <row r="24904" spans="23:23" x14ac:dyDescent="0.55000000000000004">
      <c r="W24904"/>
    </row>
    <row r="24905" spans="23:23" x14ac:dyDescent="0.55000000000000004">
      <c r="W24905"/>
    </row>
    <row r="24906" spans="23:23" x14ac:dyDescent="0.55000000000000004">
      <c r="W24906"/>
    </row>
    <row r="24907" spans="23:23" x14ac:dyDescent="0.55000000000000004">
      <c r="W24907"/>
    </row>
    <row r="24908" spans="23:23" x14ac:dyDescent="0.55000000000000004">
      <c r="W24908"/>
    </row>
    <row r="24909" spans="23:23" x14ac:dyDescent="0.55000000000000004">
      <c r="W24909"/>
    </row>
    <row r="24910" spans="23:23" x14ac:dyDescent="0.55000000000000004">
      <c r="W24910"/>
    </row>
    <row r="24911" spans="23:23" x14ac:dyDescent="0.55000000000000004">
      <c r="W24911"/>
    </row>
    <row r="24912" spans="23:23" x14ac:dyDescent="0.55000000000000004">
      <c r="W24912"/>
    </row>
    <row r="24913" spans="23:23" x14ac:dyDescent="0.55000000000000004">
      <c r="W24913"/>
    </row>
    <row r="24914" spans="23:23" x14ac:dyDescent="0.55000000000000004">
      <c r="W24914"/>
    </row>
    <row r="24915" spans="23:23" x14ac:dyDescent="0.55000000000000004">
      <c r="W24915"/>
    </row>
    <row r="24916" spans="23:23" x14ac:dyDescent="0.55000000000000004">
      <c r="W24916"/>
    </row>
    <row r="24917" spans="23:23" x14ac:dyDescent="0.55000000000000004">
      <c r="W24917"/>
    </row>
    <row r="24918" spans="23:23" x14ac:dyDescent="0.55000000000000004">
      <c r="W24918"/>
    </row>
    <row r="24919" spans="23:23" x14ac:dyDescent="0.55000000000000004">
      <c r="W24919"/>
    </row>
    <row r="24920" spans="23:23" x14ac:dyDescent="0.55000000000000004">
      <c r="W24920"/>
    </row>
    <row r="24921" spans="23:23" x14ac:dyDescent="0.55000000000000004">
      <c r="W24921"/>
    </row>
    <row r="24922" spans="23:23" x14ac:dyDescent="0.55000000000000004">
      <c r="W24922"/>
    </row>
    <row r="24923" spans="23:23" x14ac:dyDescent="0.55000000000000004">
      <c r="W24923"/>
    </row>
    <row r="24924" spans="23:23" x14ac:dyDescent="0.55000000000000004">
      <c r="W24924"/>
    </row>
    <row r="24925" spans="23:23" x14ac:dyDescent="0.55000000000000004">
      <c r="W24925"/>
    </row>
    <row r="24926" spans="23:23" x14ac:dyDescent="0.55000000000000004">
      <c r="W24926"/>
    </row>
    <row r="24927" spans="23:23" x14ac:dyDescent="0.55000000000000004">
      <c r="W24927"/>
    </row>
    <row r="24928" spans="23:23" x14ac:dyDescent="0.55000000000000004">
      <c r="W24928"/>
    </row>
    <row r="24929" spans="23:23" x14ac:dyDescent="0.55000000000000004">
      <c r="W24929"/>
    </row>
    <row r="24930" spans="23:23" x14ac:dyDescent="0.55000000000000004">
      <c r="W24930"/>
    </row>
    <row r="24931" spans="23:23" x14ac:dyDescent="0.55000000000000004">
      <c r="W24931"/>
    </row>
    <row r="24932" spans="23:23" x14ac:dyDescent="0.55000000000000004">
      <c r="W24932"/>
    </row>
    <row r="24933" spans="23:23" x14ac:dyDescent="0.55000000000000004">
      <c r="W24933"/>
    </row>
    <row r="24934" spans="23:23" x14ac:dyDescent="0.55000000000000004">
      <c r="W24934"/>
    </row>
    <row r="24935" spans="23:23" x14ac:dyDescent="0.55000000000000004">
      <c r="W24935"/>
    </row>
    <row r="24936" spans="23:23" x14ac:dyDescent="0.55000000000000004">
      <c r="W24936"/>
    </row>
    <row r="24937" spans="23:23" x14ac:dyDescent="0.55000000000000004">
      <c r="W24937"/>
    </row>
    <row r="24938" spans="23:23" x14ac:dyDescent="0.55000000000000004">
      <c r="W24938"/>
    </row>
    <row r="24939" spans="23:23" x14ac:dyDescent="0.55000000000000004">
      <c r="W24939"/>
    </row>
    <row r="24940" spans="23:23" x14ac:dyDescent="0.55000000000000004">
      <c r="W24940"/>
    </row>
    <row r="24941" spans="23:23" x14ac:dyDescent="0.55000000000000004">
      <c r="W24941"/>
    </row>
    <row r="24942" spans="23:23" x14ac:dyDescent="0.55000000000000004">
      <c r="W24942"/>
    </row>
    <row r="24943" spans="23:23" x14ac:dyDescent="0.55000000000000004">
      <c r="W24943"/>
    </row>
    <row r="24944" spans="23:23" x14ac:dyDescent="0.55000000000000004">
      <c r="W24944"/>
    </row>
    <row r="24945" spans="23:23" x14ac:dyDescent="0.55000000000000004">
      <c r="W24945"/>
    </row>
    <row r="24946" spans="23:23" x14ac:dyDescent="0.55000000000000004">
      <c r="W24946"/>
    </row>
    <row r="24947" spans="23:23" x14ac:dyDescent="0.55000000000000004">
      <c r="W24947"/>
    </row>
    <row r="24948" spans="23:23" x14ac:dyDescent="0.55000000000000004">
      <c r="W24948"/>
    </row>
    <row r="24949" spans="23:23" x14ac:dyDescent="0.55000000000000004">
      <c r="W24949"/>
    </row>
    <row r="24950" spans="23:23" x14ac:dyDescent="0.55000000000000004">
      <c r="W24950"/>
    </row>
    <row r="24951" spans="23:23" x14ac:dyDescent="0.55000000000000004">
      <c r="W24951"/>
    </row>
    <row r="24952" spans="23:23" x14ac:dyDescent="0.55000000000000004">
      <c r="W24952"/>
    </row>
    <row r="24953" spans="23:23" x14ac:dyDescent="0.55000000000000004">
      <c r="W24953"/>
    </row>
    <row r="24954" spans="23:23" x14ac:dyDescent="0.55000000000000004">
      <c r="W24954"/>
    </row>
    <row r="24955" spans="23:23" x14ac:dyDescent="0.55000000000000004">
      <c r="W24955"/>
    </row>
    <row r="24956" spans="23:23" x14ac:dyDescent="0.55000000000000004">
      <c r="W24956"/>
    </row>
    <row r="24957" spans="23:23" x14ac:dyDescent="0.55000000000000004">
      <c r="W24957"/>
    </row>
    <row r="24958" spans="23:23" x14ac:dyDescent="0.55000000000000004">
      <c r="W24958"/>
    </row>
    <row r="24959" spans="23:23" x14ac:dyDescent="0.55000000000000004">
      <c r="W24959"/>
    </row>
    <row r="24960" spans="23:23" x14ac:dyDescent="0.55000000000000004">
      <c r="W24960"/>
    </row>
    <row r="24961" spans="23:23" x14ac:dyDescent="0.55000000000000004">
      <c r="W24961"/>
    </row>
    <row r="24962" spans="23:23" x14ac:dyDescent="0.55000000000000004">
      <c r="W24962"/>
    </row>
    <row r="24963" spans="23:23" x14ac:dyDescent="0.55000000000000004">
      <c r="W24963"/>
    </row>
    <row r="24964" spans="23:23" x14ac:dyDescent="0.55000000000000004">
      <c r="W24964"/>
    </row>
    <row r="24965" spans="23:23" x14ac:dyDescent="0.55000000000000004">
      <c r="W24965"/>
    </row>
    <row r="24966" spans="23:23" x14ac:dyDescent="0.55000000000000004">
      <c r="W24966"/>
    </row>
    <row r="24967" spans="23:23" x14ac:dyDescent="0.55000000000000004">
      <c r="W24967"/>
    </row>
    <row r="24968" spans="23:23" x14ac:dyDescent="0.55000000000000004">
      <c r="W24968"/>
    </row>
    <row r="24969" spans="23:23" x14ac:dyDescent="0.55000000000000004">
      <c r="W24969"/>
    </row>
    <row r="24970" spans="23:23" x14ac:dyDescent="0.55000000000000004">
      <c r="W24970"/>
    </row>
    <row r="24971" spans="23:23" x14ac:dyDescent="0.55000000000000004">
      <c r="W24971"/>
    </row>
    <row r="24972" spans="23:23" x14ac:dyDescent="0.55000000000000004">
      <c r="W24972"/>
    </row>
    <row r="24973" spans="23:23" x14ac:dyDescent="0.55000000000000004">
      <c r="W24973"/>
    </row>
    <row r="24974" spans="23:23" x14ac:dyDescent="0.55000000000000004">
      <c r="W24974"/>
    </row>
    <row r="24975" spans="23:23" x14ac:dyDescent="0.55000000000000004">
      <c r="W24975"/>
    </row>
    <row r="24976" spans="23:23" x14ac:dyDescent="0.55000000000000004">
      <c r="W24976"/>
    </row>
    <row r="24977" spans="23:23" x14ac:dyDescent="0.55000000000000004">
      <c r="W24977"/>
    </row>
    <row r="24978" spans="23:23" x14ac:dyDescent="0.55000000000000004">
      <c r="W24978"/>
    </row>
    <row r="24979" spans="23:23" x14ac:dyDescent="0.55000000000000004">
      <c r="W24979"/>
    </row>
    <row r="24980" spans="23:23" x14ac:dyDescent="0.55000000000000004">
      <c r="W24980"/>
    </row>
    <row r="24981" spans="23:23" x14ac:dyDescent="0.55000000000000004">
      <c r="W24981"/>
    </row>
    <row r="24982" spans="23:23" x14ac:dyDescent="0.55000000000000004">
      <c r="W24982"/>
    </row>
    <row r="24983" spans="23:23" x14ac:dyDescent="0.55000000000000004">
      <c r="W24983"/>
    </row>
    <row r="24984" spans="23:23" x14ac:dyDescent="0.55000000000000004">
      <c r="W24984"/>
    </row>
    <row r="24985" spans="23:23" x14ac:dyDescent="0.55000000000000004">
      <c r="W24985"/>
    </row>
    <row r="24986" spans="23:23" x14ac:dyDescent="0.55000000000000004">
      <c r="W24986"/>
    </row>
    <row r="24987" spans="23:23" x14ac:dyDescent="0.55000000000000004">
      <c r="W24987"/>
    </row>
    <row r="24988" spans="23:23" x14ac:dyDescent="0.55000000000000004">
      <c r="W24988"/>
    </row>
    <row r="24989" spans="23:23" x14ac:dyDescent="0.55000000000000004">
      <c r="W24989"/>
    </row>
    <row r="24990" spans="23:23" x14ac:dyDescent="0.55000000000000004">
      <c r="W24990"/>
    </row>
    <row r="24991" spans="23:23" x14ac:dyDescent="0.55000000000000004">
      <c r="W24991"/>
    </row>
    <row r="24992" spans="23:23" x14ac:dyDescent="0.55000000000000004">
      <c r="W24992"/>
    </row>
    <row r="24993" spans="23:23" x14ac:dyDescent="0.55000000000000004">
      <c r="W24993"/>
    </row>
    <row r="24994" spans="23:23" x14ac:dyDescent="0.55000000000000004">
      <c r="W24994"/>
    </row>
    <row r="24995" spans="23:23" x14ac:dyDescent="0.55000000000000004">
      <c r="W24995"/>
    </row>
    <row r="24996" spans="23:23" x14ac:dyDescent="0.55000000000000004">
      <c r="W24996"/>
    </row>
    <row r="24997" spans="23:23" x14ac:dyDescent="0.55000000000000004">
      <c r="W24997"/>
    </row>
    <row r="24998" spans="23:23" x14ac:dyDescent="0.55000000000000004">
      <c r="W24998"/>
    </row>
    <row r="24999" spans="23:23" x14ac:dyDescent="0.55000000000000004">
      <c r="W24999"/>
    </row>
    <row r="25000" spans="23:23" x14ac:dyDescent="0.55000000000000004">
      <c r="W25000"/>
    </row>
    <row r="25001" spans="23:23" x14ac:dyDescent="0.55000000000000004">
      <c r="W25001"/>
    </row>
    <row r="25002" spans="23:23" x14ac:dyDescent="0.55000000000000004">
      <c r="W25002"/>
    </row>
    <row r="25003" spans="23:23" x14ac:dyDescent="0.55000000000000004">
      <c r="W25003"/>
    </row>
    <row r="25004" spans="23:23" x14ac:dyDescent="0.55000000000000004">
      <c r="W25004"/>
    </row>
    <row r="25005" spans="23:23" x14ac:dyDescent="0.55000000000000004">
      <c r="W25005"/>
    </row>
    <row r="25006" spans="23:23" x14ac:dyDescent="0.55000000000000004">
      <c r="W25006"/>
    </row>
    <row r="25007" spans="23:23" x14ac:dyDescent="0.55000000000000004">
      <c r="W25007"/>
    </row>
    <row r="25008" spans="23:23" x14ac:dyDescent="0.55000000000000004">
      <c r="W25008"/>
    </row>
    <row r="25009" spans="23:23" x14ac:dyDescent="0.55000000000000004">
      <c r="W25009"/>
    </row>
    <row r="25010" spans="23:23" x14ac:dyDescent="0.55000000000000004">
      <c r="W25010"/>
    </row>
    <row r="25011" spans="23:23" x14ac:dyDescent="0.55000000000000004">
      <c r="W25011"/>
    </row>
    <row r="25012" spans="23:23" x14ac:dyDescent="0.55000000000000004">
      <c r="W25012"/>
    </row>
    <row r="25013" spans="23:23" x14ac:dyDescent="0.55000000000000004">
      <c r="W25013"/>
    </row>
    <row r="25014" spans="23:23" x14ac:dyDescent="0.55000000000000004">
      <c r="W25014"/>
    </row>
    <row r="25015" spans="23:23" x14ac:dyDescent="0.55000000000000004">
      <c r="W25015"/>
    </row>
    <row r="25016" spans="23:23" x14ac:dyDescent="0.55000000000000004">
      <c r="W25016"/>
    </row>
    <row r="25017" spans="23:23" x14ac:dyDescent="0.55000000000000004">
      <c r="W25017"/>
    </row>
    <row r="25018" spans="23:23" x14ac:dyDescent="0.55000000000000004">
      <c r="W25018"/>
    </row>
    <row r="25019" spans="23:23" x14ac:dyDescent="0.55000000000000004">
      <c r="W25019"/>
    </row>
    <row r="25020" spans="23:23" x14ac:dyDescent="0.55000000000000004">
      <c r="W25020"/>
    </row>
    <row r="25021" spans="23:23" x14ac:dyDescent="0.55000000000000004">
      <c r="W25021"/>
    </row>
    <row r="25022" spans="23:23" x14ac:dyDescent="0.55000000000000004">
      <c r="W25022"/>
    </row>
    <row r="25023" spans="23:23" x14ac:dyDescent="0.55000000000000004">
      <c r="W25023"/>
    </row>
    <row r="25024" spans="23:23" x14ac:dyDescent="0.55000000000000004">
      <c r="W25024"/>
    </row>
    <row r="25025" spans="23:23" x14ac:dyDescent="0.55000000000000004">
      <c r="W25025"/>
    </row>
    <row r="25026" spans="23:23" x14ac:dyDescent="0.55000000000000004">
      <c r="W25026"/>
    </row>
    <row r="25027" spans="23:23" x14ac:dyDescent="0.55000000000000004">
      <c r="W25027"/>
    </row>
    <row r="25028" spans="23:23" x14ac:dyDescent="0.55000000000000004">
      <c r="W25028"/>
    </row>
    <row r="25029" spans="23:23" x14ac:dyDescent="0.55000000000000004">
      <c r="W25029"/>
    </row>
    <row r="25030" spans="23:23" x14ac:dyDescent="0.55000000000000004">
      <c r="W25030"/>
    </row>
    <row r="25031" spans="23:23" x14ac:dyDescent="0.55000000000000004">
      <c r="W25031"/>
    </row>
    <row r="25032" spans="23:23" x14ac:dyDescent="0.55000000000000004">
      <c r="W25032"/>
    </row>
    <row r="25033" spans="23:23" x14ac:dyDescent="0.55000000000000004">
      <c r="W25033"/>
    </row>
    <row r="25034" spans="23:23" x14ac:dyDescent="0.55000000000000004">
      <c r="W25034"/>
    </row>
    <row r="25035" spans="23:23" x14ac:dyDescent="0.55000000000000004">
      <c r="W25035"/>
    </row>
    <row r="25036" spans="23:23" x14ac:dyDescent="0.55000000000000004">
      <c r="W25036"/>
    </row>
    <row r="25037" spans="23:23" x14ac:dyDescent="0.55000000000000004">
      <c r="W25037"/>
    </row>
    <row r="25038" spans="23:23" x14ac:dyDescent="0.55000000000000004">
      <c r="W25038"/>
    </row>
    <row r="25039" spans="23:23" x14ac:dyDescent="0.55000000000000004">
      <c r="W25039"/>
    </row>
    <row r="25040" spans="23:23" x14ac:dyDescent="0.55000000000000004">
      <c r="W25040"/>
    </row>
    <row r="25041" spans="23:23" x14ac:dyDescent="0.55000000000000004">
      <c r="W25041"/>
    </row>
    <row r="25042" spans="23:23" x14ac:dyDescent="0.55000000000000004">
      <c r="W25042"/>
    </row>
    <row r="25043" spans="23:23" x14ac:dyDescent="0.55000000000000004">
      <c r="W25043"/>
    </row>
    <row r="25044" spans="23:23" x14ac:dyDescent="0.55000000000000004">
      <c r="W25044"/>
    </row>
    <row r="25045" spans="23:23" x14ac:dyDescent="0.55000000000000004">
      <c r="W25045"/>
    </row>
    <row r="25046" spans="23:23" x14ac:dyDescent="0.55000000000000004">
      <c r="W25046"/>
    </row>
    <row r="25047" spans="23:23" x14ac:dyDescent="0.55000000000000004">
      <c r="W25047"/>
    </row>
    <row r="25048" spans="23:23" x14ac:dyDescent="0.55000000000000004">
      <c r="W25048"/>
    </row>
    <row r="25049" spans="23:23" x14ac:dyDescent="0.55000000000000004">
      <c r="W25049"/>
    </row>
    <row r="25050" spans="23:23" x14ac:dyDescent="0.55000000000000004">
      <c r="W25050"/>
    </row>
    <row r="25051" spans="23:23" x14ac:dyDescent="0.55000000000000004">
      <c r="W25051"/>
    </row>
    <row r="25052" spans="23:23" x14ac:dyDescent="0.55000000000000004">
      <c r="W25052"/>
    </row>
    <row r="25053" spans="23:23" x14ac:dyDescent="0.55000000000000004">
      <c r="W25053"/>
    </row>
    <row r="25054" spans="23:23" x14ac:dyDescent="0.55000000000000004">
      <c r="W25054"/>
    </row>
    <row r="25055" spans="23:23" x14ac:dyDescent="0.55000000000000004">
      <c r="W25055"/>
    </row>
    <row r="25056" spans="23:23" x14ac:dyDescent="0.55000000000000004">
      <c r="W25056"/>
    </row>
    <row r="25057" spans="23:23" x14ac:dyDescent="0.55000000000000004">
      <c r="W25057"/>
    </row>
    <row r="25058" spans="23:23" x14ac:dyDescent="0.55000000000000004">
      <c r="W25058"/>
    </row>
    <row r="25059" spans="23:23" x14ac:dyDescent="0.55000000000000004">
      <c r="W25059"/>
    </row>
    <row r="25060" spans="23:23" x14ac:dyDescent="0.55000000000000004">
      <c r="W25060"/>
    </row>
    <row r="25061" spans="23:23" x14ac:dyDescent="0.55000000000000004">
      <c r="W25061"/>
    </row>
    <row r="25062" spans="23:23" x14ac:dyDescent="0.55000000000000004">
      <c r="W25062"/>
    </row>
    <row r="25063" spans="23:23" x14ac:dyDescent="0.55000000000000004">
      <c r="W25063"/>
    </row>
    <row r="25064" spans="23:23" x14ac:dyDescent="0.55000000000000004">
      <c r="W25064"/>
    </row>
    <row r="25065" spans="23:23" x14ac:dyDescent="0.55000000000000004">
      <c r="W25065"/>
    </row>
    <row r="25066" spans="23:23" x14ac:dyDescent="0.55000000000000004">
      <c r="W25066"/>
    </row>
    <row r="25067" spans="23:23" x14ac:dyDescent="0.55000000000000004">
      <c r="W25067"/>
    </row>
    <row r="25068" spans="23:23" x14ac:dyDescent="0.55000000000000004">
      <c r="W25068"/>
    </row>
    <row r="25069" spans="23:23" x14ac:dyDescent="0.55000000000000004">
      <c r="W25069"/>
    </row>
    <row r="25070" spans="23:23" x14ac:dyDescent="0.55000000000000004">
      <c r="W25070"/>
    </row>
    <row r="25071" spans="23:23" x14ac:dyDescent="0.55000000000000004">
      <c r="W25071"/>
    </row>
    <row r="25072" spans="23:23" x14ac:dyDescent="0.55000000000000004">
      <c r="W25072"/>
    </row>
    <row r="25073" spans="23:23" x14ac:dyDescent="0.55000000000000004">
      <c r="W25073"/>
    </row>
    <row r="25074" spans="23:23" x14ac:dyDescent="0.55000000000000004">
      <c r="W25074"/>
    </row>
    <row r="25075" spans="23:23" x14ac:dyDescent="0.55000000000000004">
      <c r="W25075"/>
    </row>
    <row r="25076" spans="23:23" x14ac:dyDescent="0.55000000000000004">
      <c r="W25076"/>
    </row>
    <row r="25077" spans="23:23" x14ac:dyDescent="0.55000000000000004">
      <c r="W25077"/>
    </row>
    <row r="25078" spans="23:23" x14ac:dyDescent="0.55000000000000004">
      <c r="W25078"/>
    </row>
    <row r="25079" spans="23:23" x14ac:dyDescent="0.55000000000000004">
      <c r="W25079"/>
    </row>
    <row r="25080" spans="23:23" x14ac:dyDescent="0.55000000000000004">
      <c r="W25080"/>
    </row>
    <row r="25081" spans="23:23" x14ac:dyDescent="0.55000000000000004">
      <c r="W25081"/>
    </row>
    <row r="25082" spans="23:23" x14ac:dyDescent="0.55000000000000004">
      <c r="W25082"/>
    </row>
    <row r="25083" spans="23:23" x14ac:dyDescent="0.55000000000000004">
      <c r="W25083"/>
    </row>
    <row r="25084" spans="23:23" x14ac:dyDescent="0.55000000000000004">
      <c r="W25084"/>
    </row>
    <row r="25085" spans="23:23" x14ac:dyDescent="0.55000000000000004">
      <c r="W25085"/>
    </row>
    <row r="25086" spans="23:23" x14ac:dyDescent="0.55000000000000004">
      <c r="W25086"/>
    </row>
    <row r="25087" spans="23:23" x14ac:dyDescent="0.55000000000000004">
      <c r="W25087"/>
    </row>
    <row r="25088" spans="23:23" x14ac:dyDescent="0.55000000000000004">
      <c r="W25088"/>
    </row>
    <row r="25089" spans="23:23" x14ac:dyDescent="0.55000000000000004">
      <c r="W25089"/>
    </row>
    <row r="25090" spans="23:23" x14ac:dyDescent="0.55000000000000004">
      <c r="W25090"/>
    </row>
    <row r="25091" spans="23:23" x14ac:dyDescent="0.55000000000000004">
      <c r="W25091"/>
    </row>
    <row r="25092" spans="23:23" x14ac:dyDescent="0.55000000000000004">
      <c r="W25092"/>
    </row>
    <row r="25093" spans="23:23" x14ac:dyDescent="0.55000000000000004">
      <c r="W25093"/>
    </row>
    <row r="25094" spans="23:23" x14ac:dyDescent="0.55000000000000004">
      <c r="W25094"/>
    </row>
    <row r="25095" spans="23:23" x14ac:dyDescent="0.55000000000000004">
      <c r="W25095"/>
    </row>
    <row r="25096" spans="23:23" x14ac:dyDescent="0.55000000000000004">
      <c r="W25096"/>
    </row>
    <row r="25097" spans="23:23" x14ac:dyDescent="0.55000000000000004">
      <c r="W25097"/>
    </row>
    <row r="25098" spans="23:23" x14ac:dyDescent="0.55000000000000004">
      <c r="W25098"/>
    </row>
    <row r="25099" spans="23:23" x14ac:dyDescent="0.55000000000000004">
      <c r="W25099"/>
    </row>
    <row r="25100" spans="23:23" x14ac:dyDescent="0.55000000000000004">
      <c r="W25100"/>
    </row>
    <row r="25101" spans="23:23" x14ac:dyDescent="0.55000000000000004">
      <c r="W25101"/>
    </row>
    <row r="25102" spans="23:23" x14ac:dyDescent="0.55000000000000004">
      <c r="W25102"/>
    </row>
    <row r="25103" spans="23:23" x14ac:dyDescent="0.55000000000000004">
      <c r="W25103"/>
    </row>
    <row r="25104" spans="23:23" x14ac:dyDescent="0.55000000000000004">
      <c r="W25104"/>
    </row>
    <row r="25105" spans="23:23" x14ac:dyDescent="0.55000000000000004">
      <c r="W25105"/>
    </row>
    <row r="25106" spans="23:23" x14ac:dyDescent="0.55000000000000004">
      <c r="W25106"/>
    </row>
    <row r="25107" spans="23:23" x14ac:dyDescent="0.55000000000000004">
      <c r="W25107"/>
    </row>
    <row r="25108" spans="23:23" x14ac:dyDescent="0.55000000000000004">
      <c r="W25108"/>
    </row>
    <row r="25109" spans="23:23" x14ac:dyDescent="0.55000000000000004">
      <c r="W25109"/>
    </row>
    <row r="25110" spans="23:23" x14ac:dyDescent="0.55000000000000004">
      <c r="W25110"/>
    </row>
    <row r="25111" spans="23:23" x14ac:dyDescent="0.55000000000000004">
      <c r="W25111"/>
    </row>
    <row r="25112" spans="23:23" x14ac:dyDescent="0.55000000000000004">
      <c r="W25112"/>
    </row>
    <row r="25113" spans="23:23" x14ac:dyDescent="0.55000000000000004">
      <c r="W25113"/>
    </row>
    <row r="25114" spans="23:23" x14ac:dyDescent="0.55000000000000004">
      <c r="W25114"/>
    </row>
    <row r="25115" spans="23:23" x14ac:dyDescent="0.55000000000000004">
      <c r="W25115"/>
    </row>
    <row r="25116" spans="23:23" x14ac:dyDescent="0.55000000000000004">
      <c r="W25116"/>
    </row>
    <row r="25117" spans="23:23" x14ac:dyDescent="0.55000000000000004">
      <c r="W25117"/>
    </row>
    <row r="25118" spans="23:23" x14ac:dyDescent="0.55000000000000004">
      <c r="W25118"/>
    </row>
    <row r="25119" spans="23:23" x14ac:dyDescent="0.55000000000000004">
      <c r="W25119"/>
    </row>
    <row r="25120" spans="23:23" x14ac:dyDescent="0.55000000000000004">
      <c r="W25120"/>
    </row>
    <row r="25121" spans="23:23" x14ac:dyDescent="0.55000000000000004">
      <c r="W25121"/>
    </row>
    <row r="25122" spans="23:23" x14ac:dyDescent="0.55000000000000004">
      <c r="W25122"/>
    </row>
    <row r="25123" spans="23:23" x14ac:dyDescent="0.55000000000000004">
      <c r="W25123"/>
    </row>
    <row r="25124" spans="23:23" x14ac:dyDescent="0.55000000000000004">
      <c r="W25124"/>
    </row>
    <row r="25125" spans="23:23" x14ac:dyDescent="0.55000000000000004">
      <c r="W25125"/>
    </row>
    <row r="25126" spans="23:23" x14ac:dyDescent="0.55000000000000004">
      <c r="W25126"/>
    </row>
    <row r="25127" spans="23:23" x14ac:dyDescent="0.55000000000000004">
      <c r="W25127"/>
    </row>
    <row r="25128" spans="23:23" x14ac:dyDescent="0.55000000000000004">
      <c r="W25128"/>
    </row>
    <row r="25129" spans="23:23" x14ac:dyDescent="0.55000000000000004">
      <c r="W25129"/>
    </row>
    <row r="25130" spans="23:23" x14ac:dyDescent="0.55000000000000004">
      <c r="W25130"/>
    </row>
    <row r="25131" spans="23:23" x14ac:dyDescent="0.55000000000000004">
      <c r="W25131"/>
    </row>
    <row r="25132" spans="23:23" x14ac:dyDescent="0.55000000000000004">
      <c r="W25132"/>
    </row>
    <row r="25133" spans="23:23" x14ac:dyDescent="0.55000000000000004">
      <c r="W25133"/>
    </row>
    <row r="25134" spans="23:23" x14ac:dyDescent="0.55000000000000004">
      <c r="W25134"/>
    </row>
    <row r="25135" spans="23:23" x14ac:dyDescent="0.55000000000000004">
      <c r="W25135"/>
    </row>
    <row r="25136" spans="23:23" x14ac:dyDescent="0.55000000000000004">
      <c r="W25136"/>
    </row>
    <row r="25137" spans="23:23" x14ac:dyDescent="0.55000000000000004">
      <c r="W25137"/>
    </row>
    <row r="25138" spans="23:23" x14ac:dyDescent="0.55000000000000004">
      <c r="W25138"/>
    </row>
    <row r="25139" spans="23:23" x14ac:dyDescent="0.55000000000000004">
      <c r="W25139"/>
    </row>
    <row r="25140" spans="23:23" x14ac:dyDescent="0.55000000000000004">
      <c r="W25140"/>
    </row>
    <row r="25141" spans="23:23" x14ac:dyDescent="0.55000000000000004">
      <c r="W25141"/>
    </row>
    <row r="25142" spans="23:23" x14ac:dyDescent="0.55000000000000004">
      <c r="W25142"/>
    </row>
    <row r="25143" spans="23:23" x14ac:dyDescent="0.55000000000000004">
      <c r="W25143"/>
    </row>
    <row r="25144" spans="23:23" x14ac:dyDescent="0.55000000000000004">
      <c r="W25144"/>
    </row>
    <row r="25145" spans="23:23" x14ac:dyDescent="0.55000000000000004">
      <c r="W25145"/>
    </row>
    <row r="25146" spans="23:23" x14ac:dyDescent="0.55000000000000004">
      <c r="W25146"/>
    </row>
    <row r="25147" spans="23:23" x14ac:dyDescent="0.55000000000000004">
      <c r="W25147"/>
    </row>
    <row r="25148" spans="23:23" x14ac:dyDescent="0.55000000000000004">
      <c r="W25148"/>
    </row>
    <row r="25149" spans="23:23" x14ac:dyDescent="0.55000000000000004">
      <c r="W25149"/>
    </row>
    <row r="25150" spans="23:23" x14ac:dyDescent="0.55000000000000004">
      <c r="W25150"/>
    </row>
    <row r="25151" spans="23:23" x14ac:dyDescent="0.55000000000000004">
      <c r="W25151"/>
    </row>
    <row r="25152" spans="23:23" x14ac:dyDescent="0.55000000000000004">
      <c r="W25152"/>
    </row>
    <row r="25153" spans="23:23" x14ac:dyDescent="0.55000000000000004">
      <c r="W25153"/>
    </row>
    <row r="25154" spans="23:23" x14ac:dyDescent="0.55000000000000004">
      <c r="W25154"/>
    </row>
    <row r="25155" spans="23:23" x14ac:dyDescent="0.55000000000000004">
      <c r="W25155"/>
    </row>
    <row r="25156" spans="23:23" x14ac:dyDescent="0.55000000000000004">
      <c r="W25156"/>
    </row>
    <row r="25157" spans="23:23" x14ac:dyDescent="0.55000000000000004">
      <c r="W25157"/>
    </row>
    <row r="25158" spans="23:23" x14ac:dyDescent="0.55000000000000004">
      <c r="W25158"/>
    </row>
    <row r="25159" spans="23:23" x14ac:dyDescent="0.55000000000000004">
      <c r="W25159"/>
    </row>
    <row r="25160" spans="23:23" x14ac:dyDescent="0.55000000000000004">
      <c r="W25160"/>
    </row>
    <row r="25161" spans="23:23" x14ac:dyDescent="0.55000000000000004">
      <c r="W25161"/>
    </row>
    <row r="25162" spans="23:23" x14ac:dyDescent="0.55000000000000004">
      <c r="W25162"/>
    </row>
    <row r="25163" spans="23:23" x14ac:dyDescent="0.55000000000000004">
      <c r="W25163"/>
    </row>
    <row r="25164" spans="23:23" x14ac:dyDescent="0.55000000000000004">
      <c r="W25164"/>
    </row>
    <row r="25165" spans="23:23" x14ac:dyDescent="0.55000000000000004">
      <c r="W25165"/>
    </row>
    <row r="25166" spans="23:23" x14ac:dyDescent="0.55000000000000004">
      <c r="W25166"/>
    </row>
    <row r="25167" spans="23:23" x14ac:dyDescent="0.55000000000000004">
      <c r="W25167"/>
    </row>
    <row r="25168" spans="23:23" x14ac:dyDescent="0.55000000000000004">
      <c r="W25168"/>
    </row>
    <row r="25169" spans="23:23" x14ac:dyDescent="0.55000000000000004">
      <c r="W25169"/>
    </row>
    <row r="25170" spans="23:23" x14ac:dyDescent="0.55000000000000004">
      <c r="W25170"/>
    </row>
    <row r="25171" spans="23:23" x14ac:dyDescent="0.55000000000000004">
      <c r="W25171"/>
    </row>
    <row r="25172" spans="23:23" x14ac:dyDescent="0.55000000000000004">
      <c r="W25172"/>
    </row>
    <row r="25173" spans="23:23" x14ac:dyDescent="0.55000000000000004">
      <c r="W25173"/>
    </row>
    <row r="25174" spans="23:23" x14ac:dyDescent="0.55000000000000004">
      <c r="W25174"/>
    </row>
    <row r="25175" spans="23:23" x14ac:dyDescent="0.55000000000000004">
      <c r="W25175"/>
    </row>
    <row r="25176" spans="23:23" x14ac:dyDescent="0.55000000000000004">
      <c r="W25176"/>
    </row>
    <row r="25177" spans="23:23" x14ac:dyDescent="0.55000000000000004">
      <c r="W25177"/>
    </row>
    <row r="25178" spans="23:23" x14ac:dyDescent="0.55000000000000004">
      <c r="W25178"/>
    </row>
    <row r="25179" spans="23:23" x14ac:dyDescent="0.55000000000000004">
      <c r="W25179"/>
    </row>
    <row r="25180" spans="23:23" x14ac:dyDescent="0.55000000000000004">
      <c r="W25180"/>
    </row>
    <row r="25181" spans="23:23" x14ac:dyDescent="0.55000000000000004">
      <c r="W25181"/>
    </row>
    <row r="25182" spans="23:23" x14ac:dyDescent="0.55000000000000004">
      <c r="W25182"/>
    </row>
    <row r="25183" spans="23:23" x14ac:dyDescent="0.55000000000000004">
      <c r="W25183"/>
    </row>
    <row r="25184" spans="23:23" x14ac:dyDescent="0.55000000000000004">
      <c r="W25184"/>
    </row>
    <row r="25185" spans="23:23" x14ac:dyDescent="0.55000000000000004">
      <c r="W25185"/>
    </row>
    <row r="25186" spans="23:23" x14ac:dyDescent="0.55000000000000004">
      <c r="W25186"/>
    </row>
    <row r="25187" spans="23:23" x14ac:dyDescent="0.55000000000000004">
      <c r="W25187"/>
    </row>
    <row r="25188" spans="23:23" x14ac:dyDescent="0.55000000000000004">
      <c r="W25188"/>
    </row>
    <row r="25189" spans="23:23" x14ac:dyDescent="0.55000000000000004">
      <c r="W25189"/>
    </row>
    <row r="25190" spans="23:23" x14ac:dyDescent="0.55000000000000004">
      <c r="W25190"/>
    </row>
    <row r="25191" spans="23:23" x14ac:dyDescent="0.55000000000000004">
      <c r="W25191"/>
    </row>
    <row r="25192" spans="23:23" x14ac:dyDescent="0.55000000000000004">
      <c r="W25192"/>
    </row>
    <row r="25193" spans="23:23" x14ac:dyDescent="0.55000000000000004">
      <c r="W25193"/>
    </row>
    <row r="25194" spans="23:23" x14ac:dyDescent="0.55000000000000004">
      <c r="W25194"/>
    </row>
    <row r="25195" spans="23:23" x14ac:dyDescent="0.55000000000000004">
      <c r="W25195"/>
    </row>
    <row r="25196" spans="23:23" x14ac:dyDescent="0.55000000000000004">
      <c r="W25196"/>
    </row>
    <row r="25197" spans="23:23" x14ac:dyDescent="0.55000000000000004">
      <c r="W25197"/>
    </row>
    <row r="25198" spans="23:23" x14ac:dyDescent="0.55000000000000004">
      <c r="W25198"/>
    </row>
    <row r="25199" spans="23:23" x14ac:dyDescent="0.55000000000000004">
      <c r="W25199"/>
    </row>
    <row r="25200" spans="23:23" x14ac:dyDescent="0.55000000000000004">
      <c r="W25200"/>
    </row>
    <row r="25201" spans="23:23" x14ac:dyDescent="0.55000000000000004">
      <c r="W25201"/>
    </row>
    <row r="25202" spans="23:23" x14ac:dyDescent="0.55000000000000004">
      <c r="W25202"/>
    </row>
    <row r="25203" spans="23:23" x14ac:dyDescent="0.55000000000000004">
      <c r="W25203"/>
    </row>
    <row r="25204" spans="23:23" x14ac:dyDescent="0.55000000000000004">
      <c r="W25204"/>
    </row>
    <row r="25205" spans="23:23" x14ac:dyDescent="0.55000000000000004">
      <c r="W25205"/>
    </row>
    <row r="25206" spans="23:23" x14ac:dyDescent="0.55000000000000004">
      <c r="W25206"/>
    </row>
    <row r="25207" spans="23:23" x14ac:dyDescent="0.55000000000000004">
      <c r="W25207"/>
    </row>
    <row r="25208" spans="23:23" x14ac:dyDescent="0.55000000000000004">
      <c r="W25208"/>
    </row>
    <row r="25209" spans="23:23" x14ac:dyDescent="0.55000000000000004">
      <c r="W25209"/>
    </row>
    <row r="25210" spans="23:23" x14ac:dyDescent="0.55000000000000004">
      <c r="W25210"/>
    </row>
    <row r="25211" spans="23:23" x14ac:dyDescent="0.55000000000000004">
      <c r="W25211"/>
    </row>
    <row r="25212" spans="23:23" x14ac:dyDescent="0.55000000000000004">
      <c r="W25212"/>
    </row>
    <row r="25213" spans="23:23" x14ac:dyDescent="0.55000000000000004">
      <c r="W25213"/>
    </row>
    <row r="25214" spans="23:23" x14ac:dyDescent="0.55000000000000004">
      <c r="W25214"/>
    </row>
    <row r="25215" spans="23:23" x14ac:dyDescent="0.55000000000000004">
      <c r="W25215"/>
    </row>
    <row r="25216" spans="23:23" x14ac:dyDescent="0.55000000000000004">
      <c r="W25216"/>
    </row>
    <row r="25217" spans="23:23" x14ac:dyDescent="0.55000000000000004">
      <c r="W25217"/>
    </row>
    <row r="25218" spans="23:23" x14ac:dyDescent="0.55000000000000004">
      <c r="W25218"/>
    </row>
    <row r="25219" spans="23:23" x14ac:dyDescent="0.55000000000000004">
      <c r="W25219"/>
    </row>
    <row r="25220" spans="23:23" x14ac:dyDescent="0.55000000000000004">
      <c r="W25220"/>
    </row>
    <row r="25221" spans="23:23" x14ac:dyDescent="0.55000000000000004">
      <c r="W25221"/>
    </row>
    <row r="25222" spans="23:23" x14ac:dyDescent="0.55000000000000004">
      <c r="W25222"/>
    </row>
    <row r="25223" spans="23:23" x14ac:dyDescent="0.55000000000000004">
      <c r="W25223"/>
    </row>
    <row r="25224" spans="23:23" x14ac:dyDescent="0.55000000000000004">
      <c r="W25224"/>
    </row>
    <row r="25225" spans="23:23" x14ac:dyDescent="0.55000000000000004">
      <c r="W25225"/>
    </row>
    <row r="25226" spans="23:23" x14ac:dyDescent="0.55000000000000004">
      <c r="W25226"/>
    </row>
    <row r="25227" spans="23:23" x14ac:dyDescent="0.55000000000000004">
      <c r="W25227"/>
    </row>
    <row r="25228" spans="23:23" x14ac:dyDescent="0.55000000000000004">
      <c r="W25228"/>
    </row>
    <row r="25229" spans="23:23" x14ac:dyDescent="0.55000000000000004">
      <c r="W25229"/>
    </row>
    <row r="25230" spans="23:23" x14ac:dyDescent="0.55000000000000004">
      <c r="W25230"/>
    </row>
    <row r="25231" spans="23:23" x14ac:dyDescent="0.55000000000000004">
      <c r="W25231"/>
    </row>
    <row r="25232" spans="23:23" x14ac:dyDescent="0.55000000000000004">
      <c r="W25232"/>
    </row>
    <row r="25233" spans="23:23" x14ac:dyDescent="0.55000000000000004">
      <c r="W25233"/>
    </row>
    <row r="25234" spans="23:23" x14ac:dyDescent="0.55000000000000004">
      <c r="W25234"/>
    </row>
    <row r="25235" spans="23:23" x14ac:dyDescent="0.55000000000000004">
      <c r="W25235"/>
    </row>
    <row r="25236" spans="23:23" x14ac:dyDescent="0.55000000000000004">
      <c r="W25236"/>
    </row>
    <row r="25237" spans="23:23" x14ac:dyDescent="0.55000000000000004">
      <c r="W25237"/>
    </row>
    <row r="25238" spans="23:23" x14ac:dyDescent="0.55000000000000004">
      <c r="W25238"/>
    </row>
    <row r="25239" spans="23:23" x14ac:dyDescent="0.55000000000000004">
      <c r="W25239"/>
    </row>
    <row r="25240" spans="23:23" x14ac:dyDescent="0.55000000000000004">
      <c r="W25240"/>
    </row>
    <row r="25241" spans="23:23" x14ac:dyDescent="0.55000000000000004">
      <c r="W25241"/>
    </row>
    <row r="25242" spans="23:23" x14ac:dyDescent="0.55000000000000004">
      <c r="W25242"/>
    </row>
    <row r="25243" spans="23:23" x14ac:dyDescent="0.55000000000000004">
      <c r="W25243"/>
    </row>
    <row r="25244" spans="23:23" x14ac:dyDescent="0.55000000000000004">
      <c r="W25244"/>
    </row>
    <row r="25245" spans="23:23" x14ac:dyDescent="0.55000000000000004">
      <c r="W25245"/>
    </row>
    <row r="25246" spans="23:23" x14ac:dyDescent="0.55000000000000004">
      <c r="W25246"/>
    </row>
    <row r="25247" spans="23:23" x14ac:dyDescent="0.55000000000000004">
      <c r="W25247"/>
    </row>
    <row r="25248" spans="23:23" x14ac:dyDescent="0.55000000000000004">
      <c r="W25248"/>
    </row>
    <row r="25249" spans="23:23" x14ac:dyDescent="0.55000000000000004">
      <c r="W25249"/>
    </row>
    <row r="25250" spans="23:23" x14ac:dyDescent="0.55000000000000004">
      <c r="W25250"/>
    </row>
    <row r="25251" spans="23:23" x14ac:dyDescent="0.55000000000000004">
      <c r="W25251"/>
    </row>
    <row r="25252" spans="23:23" x14ac:dyDescent="0.55000000000000004">
      <c r="W25252"/>
    </row>
    <row r="25253" spans="23:23" x14ac:dyDescent="0.55000000000000004">
      <c r="W25253"/>
    </row>
    <row r="25254" spans="23:23" x14ac:dyDescent="0.55000000000000004">
      <c r="W25254"/>
    </row>
    <row r="25255" spans="23:23" x14ac:dyDescent="0.55000000000000004">
      <c r="W25255"/>
    </row>
    <row r="25256" spans="23:23" x14ac:dyDescent="0.55000000000000004">
      <c r="W25256"/>
    </row>
    <row r="25257" spans="23:23" x14ac:dyDescent="0.55000000000000004">
      <c r="W25257"/>
    </row>
    <row r="25258" spans="23:23" x14ac:dyDescent="0.55000000000000004">
      <c r="W25258"/>
    </row>
    <row r="25259" spans="23:23" x14ac:dyDescent="0.55000000000000004">
      <c r="W25259"/>
    </row>
    <row r="25260" spans="23:23" x14ac:dyDescent="0.55000000000000004">
      <c r="W25260"/>
    </row>
    <row r="25261" spans="23:23" x14ac:dyDescent="0.55000000000000004">
      <c r="W25261"/>
    </row>
    <row r="25262" spans="23:23" x14ac:dyDescent="0.55000000000000004">
      <c r="W25262"/>
    </row>
    <row r="25263" spans="23:23" x14ac:dyDescent="0.55000000000000004">
      <c r="W25263"/>
    </row>
    <row r="25264" spans="23:23" x14ac:dyDescent="0.55000000000000004">
      <c r="W25264"/>
    </row>
    <row r="25265" spans="23:23" x14ac:dyDescent="0.55000000000000004">
      <c r="W25265"/>
    </row>
    <row r="25266" spans="23:23" x14ac:dyDescent="0.55000000000000004">
      <c r="W25266"/>
    </row>
    <row r="25267" spans="23:23" x14ac:dyDescent="0.55000000000000004">
      <c r="W25267"/>
    </row>
    <row r="25268" spans="23:23" x14ac:dyDescent="0.55000000000000004">
      <c r="W25268"/>
    </row>
    <row r="25269" spans="23:23" x14ac:dyDescent="0.55000000000000004">
      <c r="W25269"/>
    </row>
    <row r="25270" spans="23:23" x14ac:dyDescent="0.55000000000000004">
      <c r="W25270"/>
    </row>
    <row r="25271" spans="23:23" x14ac:dyDescent="0.55000000000000004">
      <c r="W25271"/>
    </row>
    <row r="25272" spans="23:23" x14ac:dyDescent="0.55000000000000004">
      <c r="W25272"/>
    </row>
    <row r="25273" spans="23:23" x14ac:dyDescent="0.55000000000000004">
      <c r="W25273"/>
    </row>
    <row r="25274" spans="23:23" x14ac:dyDescent="0.55000000000000004">
      <c r="W25274"/>
    </row>
    <row r="25275" spans="23:23" x14ac:dyDescent="0.55000000000000004">
      <c r="W25275"/>
    </row>
    <row r="25276" spans="23:23" x14ac:dyDescent="0.55000000000000004">
      <c r="W25276"/>
    </row>
    <row r="25277" spans="23:23" x14ac:dyDescent="0.55000000000000004">
      <c r="W25277"/>
    </row>
    <row r="25278" spans="23:23" x14ac:dyDescent="0.55000000000000004">
      <c r="W25278"/>
    </row>
    <row r="25279" spans="23:23" x14ac:dyDescent="0.55000000000000004">
      <c r="W25279"/>
    </row>
    <row r="25280" spans="23:23" x14ac:dyDescent="0.55000000000000004">
      <c r="W25280"/>
    </row>
    <row r="25281" spans="23:23" x14ac:dyDescent="0.55000000000000004">
      <c r="W25281"/>
    </row>
    <row r="25282" spans="23:23" x14ac:dyDescent="0.55000000000000004">
      <c r="W25282"/>
    </row>
    <row r="25283" spans="23:23" x14ac:dyDescent="0.55000000000000004">
      <c r="W25283"/>
    </row>
    <row r="25284" spans="23:23" x14ac:dyDescent="0.55000000000000004">
      <c r="W25284"/>
    </row>
    <row r="25285" spans="23:23" x14ac:dyDescent="0.55000000000000004">
      <c r="W25285"/>
    </row>
    <row r="25286" spans="23:23" x14ac:dyDescent="0.55000000000000004">
      <c r="W25286"/>
    </row>
    <row r="25287" spans="23:23" x14ac:dyDescent="0.55000000000000004">
      <c r="W25287"/>
    </row>
    <row r="25288" spans="23:23" x14ac:dyDescent="0.55000000000000004">
      <c r="W25288"/>
    </row>
    <row r="25289" spans="23:23" x14ac:dyDescent="0.55000000000000004">
      <c r="W25289"/>
    </row>
    <row r="25290" spans="23:23" x14ac:dyDescent="0.55000000000000004">
      <c r="W25290"/>
    </row>
    <row r="25291" spans="23:23" x14ac:dyDescent="0.55000000000000004">
      <c r="W25291"/>
    </row>
    <row r="25292" spans="23:23" x14ac:dyDescent="0.55000000000000004">
      <c r="W25292"/>
    </row>
    <row r="25293" spans="23:23" x14ac:dyDescent="0.55000000000000004">
      <c r="W25293"/>
    </row>
    <row r="25294" spans="23:23" x14ac:dyDescent="0.55000000000000004">
      <c r="W25294"/>
    </row>
    <row r="25295" spans="23:23" x14ac:dyDescent="0.55000000000000004">
      <c r="W25295"/>
    </row>
    <row r="25296" spans="23:23" x14ac:dyDescent="0.55000000000000004">
      <c r="W25296"/>
    </row>
    <row r="25297" spans="23:23" x14ac:dyDescent="0.55000000000000004">
      <c r="W25297"/>
    </row>
    <row r="25298" spans="23:23" x14ac:dyDescent="0.55000000000000004">
      <c r="W25298"/>
    </row>
    <row r="25299" spans="23:23" x14ac:dyDescent="0.55000000000000004">
      <c r="W25299"/>
    </row>
    <row r="25300" spans="23:23" x14ac:dyDescent="0.55000000000000004">
      <c r="W25300"/>
    </row>
    <row r="25301" spans="23:23" x14ac:dyDescent="0.55000000000000004">
      <c r="W25301"/>
    </row>
    <row r="25302" spans="23:23" x14ac:dyDescent="0.55000000000000004">
      <c r="W25302"/>
    </row>
    <row r="25303" spans="23:23" x14ac:dyDescent="0.55000000000000004">
      <c r="W25303"/>
    </row>
    <row r="25304" spans="23:23" x14ac:dyDescent="0.55000000000000004">
      <c r="W25304"/>
    </row>
    <row r="25305" spans="23:23" x14ac:dyDescent="0.55000000000000004">
      <c r="W25305"/>
    </row>
    <row r="25306" spans="23:23" x14ac:dyDescent="0.55000000000000004">
      <c r="W25306"/>
    </row>
    <row r="25307" spans="23:23" x14ac:dyDescent="0.55000000000000004">
      <c r="W25307"/>
    </row>
    <row r="25308" spans="23:23" x14ac:dyDescent="0.55000000000000004">
      <c r="W25308"/>
    </row>
    <row r="25309" spans="23:23" x14ac:dyDescent="0.55000000000000004">
      <c r="W25309"/>
    </row>
    <row r="25310" spans="23:23" x14ac:dyDescent="0.55000000000000004">
      <c r="W25310"/>
    </row>
    <row r="25311" spans="23:23" x14ac:dyDescent="0.55000000000000004">
      <c r="W25311"/>
    </row>
    <row r="25312" spans="23:23" x14ac:dyDescent="0.55000000000000004">
      <c r="W25312"/>
    </row>
    <row r="25313" spans="23:23" x14ac:dyDescent="0.55000000000000004">
      <c r="W25313"/>
    </row>
    <row r="25314" spans="23:23" x14ac:dyDescent="0.55000000000000004">
      <c r="W25314"/>
    </row>
    <row r="25315" spans="23:23" x14ac:dyDescent="0.55000000000000004">
      <c r="W25315"/>
    </row>
    <row r="25316" spans="23:23" x14ac:dyDescent="0.55000000000000004">
      <c r="W25316"/>
    </row>
    <row r="25317" spans="23:23" x14ac:dyDescent="0.55000000000000004">
      <c r="W25317"/>
    </row>
    <row r="25318" spans="23:23" x14ac:dyDescent="0.55000000000000004">
      <c r="W25318"/>
    </row>
    <row r="25319" spans="23:23" x14ac:dyDescent="0.55000000000000004">
      <c r="W25319"/>
    </row>
    <row r="25320" spans="23:23" x14ac:dyDescent="0.55000000000000004">
      <c r="W25320"/>
    </row>
    <row r="25321" spans="23:23" x14ac:dyDescent="0.55000000000000004">
      <c r="W25321"/>
    </row>
    <row r="25322" spans="23:23" x14ac:dyDescent="0.55000000000000004">
      <c r="W25322"/>
    </row>
    <row r="25323" spans="23:23" x14ac:dyDescent="0.55000000000000004">
      <c r="W25323"/>
    </row>
    <row r="25324" spans="23:23" x14ac:dyDescent="0.55000000000000004">
      <c r="W25324"/>
    </row>
    <row r="25325" spans="23:23" x14ac:dyDescent="0.55000000000000004">
      <c r="W25325"/>
    </row>
    <row r="25326" spans="23:23" x14ac:dyDescent="0.55000000000000004">
      <c r="W25326"/>
    </row>
    <row r="25327" spans="23:23" x14ac:dyDescent="0.55000000000000004">
      <c r="W25327"/>
    </row>
    <row r="25328" spans="23:23" x14ac:dyDescent="0.55000000000000004">
      <c r="W25328"/>
    </row>
    <row r="25329" spans="23:23" x14ac:dyDescent="0.55000000000000004">
      <c r="W25329"/>
    </row>
    <row r="25330" spans="23:23" x14ac:dyDescent="0.55000000000000004">
      <c r="W25330"/>
    </row>
    <row r="25331" spans="23:23" x14ac:dyDescent="0.55000000000000004">
      <c r="W25331"/>
    </row>
    <row r="25332" spans="23:23" x14ac:dyDescent="0.55000000000000004">
      <c r="W25332"/>
    </row>
    <row r="25333" spans="23:23" x14ac:dyDescent="0.55000000000000004">
      <c r="W25333"/>
    </row>
    <row r="25334" spans="23:23" x14ac:dyDescent="0.55000000000000004">
      <c r="W25334"/>
    </row>
    <row r="25335" spans="23:23" x14ac:dyDescent="0.55000000000000004">
      <c r="W25335"/>
    </row>
    <row r="25336" spans="23:23" x14ac:dyDescent="0.55000000000000004">
      <c r="W25336"/>
    </row>
    <row r="25337" spans="23:23" x14ac:dyDescent="0.55000000000000004">
      <c r="W25337"/>
    </row>
    <row r="25338" spans="23:23" x14ac:dyDescent="0.55000000000000004">
      <c r="W25338"/>
    </row>
    <row r="25339" spans="23:23" x14ac:dyDescent="0.55000000000000004">
      <c r="W25339"/>
    </row>
    <row r="25340" spans="23:23" x14ac:dyDescent="0.55000000000000004">
      <c r="W25340"/>
    </row>
    <row r="25341" spans="23:23" x14ac:dyDescent="0.55000000000000004">
      <c r="W25341"/>
    </row>
    <row r="25342" spans="23:23" x14ac:dyDescent="0.55000000000000004">
      <c r="W25342"/>
    </row>
    <row r="25343" spans="23:23" x14ac:dyDescent="0.55000000000000004">
      <c r="W25343"/>
    </row>
    <row r="25344" spans="23:23" x14ac:dyDescent="0.55000000000000004">
      <c r="W25344"/>
    </row>
    <row r="25345" spans="23:23" x14ac:dyDescent="0.55000000000000004">
      <c r="W25345"/>
    </row>
    <row r="25346" spans="23:23" x14ac:dyDescent="0.55000000000000004">
      <c r="W25346"/>
    </row>
    <row r="25347" spans="23:23" x14ac:dyDescent="0.55000000000000004">
      <c r="W25347"/>
    </row>
    <row r="25348" spans="23:23" x14ac:dyDescent="0.55000000000000004">
      <c r="W25348"/>
    </row>
    <row r="25349" spans="23:23" x14ac:dyDescent="0.55000000000000004">
      <c r="W25349"/>
    </row>
    <row r="25350" spans="23:23" x14ac:dyDescent="0.55000000000000004">
      <c r="W25350"/>
    </row>
    <row r="25351" spans="23:23" x14ac:dyDescent="0.55000000000000004">
      <c r="W25351"/>
    </row>
    <row r="25352" spans="23:23" x14ac:dyDescent="0.55000000000000004">
      <c r="W25352"/>
    </row>
    <row r="25353" spans="23:23" x14ac:dyDescent="0.55000000000000004">
      <c r="W25353"/>
    </row>
    <row r="25354" spans="23:23" x14ac:dyDescent="0.55000000000000004">
      <c r="W25354"/>
    </row>
    <row r="25355" spans="23:23" x14ac:dyDescent="0.55000000000000004">
      <c r="W25355"/>
    </row>
    <row r="25356" spans="23:23" x14ac:dyDescent="0.55000000000000004">
      <c r="W25356"/>
    </row>
    <row r="25357" spans="23:23" x14ac:dyDescent="0.55000000000000004">
      <c r="W25357"/>
    </row>
    <row r="25358" spans="23:23" x14ac:dyDescent="0.55000000000000004">
      <c r="W25358"/>
    </row>
    <row r="25359" spans="23:23" x14ac:dyDescent="0.55000000000000004">
      <c r="W25359"/>
    </row>
    <row r="25360" spans="23:23" x14ac:dyDescent="0.55000000000000004">
      <c r="W25360"/>
    </row>
    <row r="25361" spans="23:23" x14ac:dyDescent="0.55000000000000004">
      <c r="W25361"/>
    </row>
    <row r="25362" spans="23:23" x14ac:dyDescent="0.55000000000000004">
      <c r="W25362"/>
    </row>
    <row r="25363" spans="23:23" x14ac:dyDescent="0.55000000000000004">
      <c r="W25363"/>
    </row>
    <row r="25364" spans="23:23" x14ac:dyDescent="0.55000000000000004">
      <c r="W25364"/>
    </row>
    <row r="25365" spans="23:23" x14ac:dyDescent="0.55000000000000004">
      <c r="W25365"/>
    </row>
    <row r="25366" spans="23:23" x14ac:dyDescent="0.55000000000000004">
      <c r="W25366"/>
    </row>
    <row r="25367" spans="23:23" x14ac:dyDescent="0.55000000000000004">
      <c r="W25367"/>
    </row>
    <row r="25368" spans="23:23" x14ac:dyDescent="0.55000000000000004">
      <c r="W25368"/>
    </row>
    <row r="25369" spans="23:23" x14ac:dyDescent="0.55000000000000004">
      <c r="W25369"/>
    </row>
    <row r="25370" spans="23:23" x14ac:dyDescent="0.55000000000000004">
      <c r="W25370"/>
    </row>
    <row r="25371" spans="23:23" x14ac:dyDescent="0.55000000000000004">
      <c r="W25371"/>
    </row>
    <row r="25372" spans="23:23" x14ac:dyDescent="0.55000000000000004">
      <c r="W25372"/>
    </row>
    <row r="25373" spans="23:23" x14ac:dyDescent="0.55000000000000004">
      <c r="W25373"/>
    </row>
    <row r="25374" spans="23:23" x14ac:dyDescent="0.55000000000000004">
      <c r="W25374"/>
    </row>
    <row r="25375" spans="23:23" x14ac:dyDescent="0.55000000000000004">
      <c r="W25375"/>
    </row>
    <row r="25376" spans="23:23" x14ac:dyDescent="0.55000000000000004">
      <c r="W25376"/>
    </row>
    <row r="25377" spans="23:23" x14ac:dyDescent="0.55000000000000004">
      <c r="W25377"/>
    </row>
    <row r="25378" spans="23:23" x14ac:dyDescent="0.55000000000000004">
      <c r="W25378"/>
    </row>
    <row r="25379" spans="23:23" x14ac:dyDescent="0.55000000000000004">
      <c r="W25379"/>
    </row>
    <row r="25380" spans="23:23" x14ac:dyDescent="0.55000000000000004">
      <c r="W25380"/>
    </row>
    <row r="25381" spans="23:23" x14ac:dyDescent="0.55000000000000004">
      <c r="W25381"/>
    </row>
    <row r="25382" spans="23:23" x14ac:dyDescent="0.55000000000000004">
      <c r="W25382"/>
    </row>
    <row r="25383" spans="23:23" x14ac:dyDescent="0.55000000000000004">
      <c r="W25383"/>
    </row>
    <row r="25384" spans="23:23" x14ac:dyDescent="0.55000000000000004">
      <c r="W25384"/>
    </row>
    <row r="25385" spans="23:23" x14ac:dyDescent="0.55000000000000004">
      <c r="W25385"/>
    </row>
    <row r="25386" spans="23:23" x14ac:dyDescent="0.55000000000000004">
      <c r="W25386"/>
    </row>
    <row r="25387" spans="23:23" x14ac:dyDescent="0.55000000000000004">
      <c r="W25387"/>
    </row>
    <row r="25388" spans="23:23" x14ac:dyDescent="0.55000000000000004">
      <c r="W25388"/>
    </row>
    <row r="25389" spans="23:23" x14ac:dyDescent="0.55000000000000004">
      <c r="W25389"/>
    </row>
    <row r="25390" spans="23:23" x14ac:dyDescent="0.55000000000000004">
      <c r="W25390"/>
    </row>
    <row r="25391" spans="23:23" x14ac:dyDescent="0.55000000000000004">
      <c r="W25391"/>
    </row>
    <row r="25392" spans="23:23" x14ac:dyDescent="0.55000000000000004">
      <c r="W25392"/>
    </row>
    <row r="25393" spans="23:23" x14ac:dyDescent="0.55000000000000004">
      <c r="W25393"/>
    </row>
    <row r="25394" spans="23:23" x14ac:dyDescent="0.55000000000000004">
      <c r="W25394"/>
    </row>
    <row r="25395" spans="23:23" x14ac:dyDescent="0.55000000000000004">
      <c r="W25395"/>
    </row>
    <row r="25396" spans="23:23" x14ac:dyDescent="0.55000000000000004">
      <c r="W25396"/>
    </row>
    <row r="25397" spans="23:23" x14ac:dyDescent="0.55000000000000004">
      <c r="W25397"/>
    </row>
    <row r="25398" spans="23:23" x14ac:dyDescent="0.55000000000000004">
      <c r="W25398"/>
    </row>
    <row r="25399" spans="23:23" x14ac:dyDescent="0.55000000000000004">
      <c r="W25399"/>
    </row>
    <row r="25400" spans="23:23" x14ac:dyDescent="0.55000000000000004">
      <c r="W25400"/>
    </row>
    <row r="25401" spans="23:23" x14ac:dyDescent="0.55000000000000004">
      <c r="W25401"/>
    </row>
    <row r="25402" spans="23:23" x14ac:dyDescent="0.55000000000000004">
      <c r="W25402"/>
    </row>
    <row r="25403" spans="23:23" x14ac:dyDescent="0.55000000000000004">
      <c r="W25403"/>
    </row>
    <row r="25404" spans="23:23" x14ac:dyDescent="0.55000000000000004">
      <c r="W25404"/>
    </row>
    <row r="25405" spans="23:23" x14ac:dyDescent="0.55000000000000004">
      <c r="W25405"/>
    </row>
    <row r="25406" spans="23:23" x14ac:dyDescent="0.55000000000000004">
      <c r="W25406"/>
    </row>
    <row r="25407" spans="23:23" x14ac:dyDescent="0.55000000000000004">
      <c r="W25407"/>
    </row>
    <row r="25408" spans="23:23" x14ac:dyDescent="0.55000000000000004">
      <c r="W25408"/>
    </row>
    <row r="25409" spans="23:23" x14ac:dyDescent="0.55000000000000004">
      <c r="W25409"/>
    </row>
    <row r="25410" spans="23:23" x14ac:dyDescent="0.55000000000000004">
      <c r="W25410"/>
    </row>
    <row r="25411" spans="23:23" x14ac:dyDescent="0.55000000000000004">
      <c r="W25411"/>
    </row>
    <row r="25412" spans="23:23" x14ac:dyDescent="0.55000000000000004">
      <c r="W25412"/>
    </row>
    <row r="25413" spans="23:23" x14ac:dyDescent="0.55000000000000004">
      <c r="W25413"/>
    </row>
    <row r="25414" spans="23:23" x14ac:dyDescent="0.55000000000000004">
      <c r="W25414"/>
    </row>
    <row r="25415" spans="23:23" x14ac:dyDescent="0.55000000000000004">
      <c r="W25415"/>
    </row>
    <row r="25416" spans="23:23" x14ac:dyDescent="0.55000000000000004">
      <c r="W25416"/>
    </row>
    <row r="25417" spans="23:23" x14ac:dyDescent="0.55000000000000004">
      <c r="W25417"/>
    </row>
    <row r="25418" spans="23:23" x14ac:dyDescent="0.55000000000000004">
      <c r="W25418"/>
    </row>
    <row r="25419" spans="23:23" x14ac:dyDescent="0.55000000000000004">
      <c r="W25419"/>
    </row>
    <row r="25420" spans="23:23" x14ac:dyDescent="0.55000000000000004">
      <c r="W25420"/>
    </row>
    <row r="25421" spans="23:23" x14ac:dyDescent="0.55000000000000004">
      <c r="W25421"/>
    </row>
    <row r="25422" spans="23:23" x14ac:dyDescent="0.55000000000000004">
      <c r="W25422"/>
    </row>
    <row r="25423" spans="23:23" x14ac:dyDescent="0.55000000000000004">
      <c r="W25423"/>
    </row>
    <row r="25424" spans="23:23" x14ac:dyDescent="0.55000000000000004">
      <c r="W25424"/>
    </row>
    <row r="25425" spans="23:23" x14ac:dyDescent="0.55000000000000004">
      <c r="W25425"/>
    </row>
    <row r="25426" spans="23:23" x14ac:dyDescent="0.55000000000000004">
      <c r="W25426"/>
    </row>
    <row r="25427" spans="23:23" x14ac:dyDescent="0.55000000000000004">
      <c r="W25427"/>
    </row>
    <row r="25428" spans="23:23" x14ac:dyDescent="0.55000000000000004">
      <c r="W25428"/>
    </row>
    <row r="25429" spans="23:23" x14ac:dyDescent="0.55000000000000004">
      <c r="W25429"/>
    </row>
    <row r="25430" spans="23:23" x14ac:dyDescent="0.55000000000000004">
      <c r="W25430"/>
    </row>
    <row r="25431" spans="23:23" x14ac:dyDescent="0.55000000000000004">
      <c r="W25431"/>
    </row>
    <row r="25432" spans="23:23" x14ac:dyDescent="0.55000000000000004">
      <c r="W25432"/>
    </row>
    <row r="25433" spans="23:23" x14ac:dyDescent="0.55000000000000004">
      <c r="W25433"/>
    </row>
    <row r="25434" spans="23:23" x14ac:dyDescent="0.55000000000000004">
      <c r="W25434"/>
    </row>
    <row r="25435" spans="23:23" x14ac:dyDescent="0.55000000000000004">
      <c r="W25435"/>
    </row>
    <row r="25436" spans="23:23" x14ac:dyDescent="0.55000000000000004">
      <c r="W25436"/>
    </row>
    <row r="25437" spans="23:23" x14ac:dyDescent="0.55000000000000004">
      <c r="W25437"/>
    </row>
    <row r="25438" spans="23:23" x14ac:dyDescent="0.55000000000000004">
      <c r="W25438"/>
    </row>
    <row r="25439" spans="23:23" x14ac:dyDescent="0.55000000000000004">
      <c r="W25439"/>
    </row>
    <row r="25440" spans="23:23" x14ac:dyDescent="0.55000000000000004">
      <c r="W25440"/>
    </row>
    <row r="25441" spans="23:23" x14ac:dyDescent="0.55000000000000004">
      <c r="W25441"/>
    </row>
    <row r="25442" spans="23:23" x14ac:dyDescent="0.55000000000000004">
      <c r="W25442"/>
    </row>
    <row r="25443" spans="23:23" x14ac:dyDescent="0.55000000000000004">
      <c r="W25443"/>
    </row>
    <row r="25444" spans="23:23" x14ac:dyDescent="0.55000000000000004">
      <c r="W25444"/>
    </row>
    <row r="25445" spans="23:23" x14ac:dyDescent="0.55000000000000004">
      <c r="W25445"/>
    </row>
    <row r="25446" spans="23:23" x14ac:dyDescent="0.55000000000000004">
      <c r="W25446"/>
    </row>
    <row r="25447" spans="23:23" x14ac:dyDescent="0.55000000000000004">
      <c r="W25447"/>
    </row>
    <row r="25448" spans="23:23" x14ac:dyDescent="0.55000000000000004">
      <c r="W25448"/>
    </row>
    <row r="25449" spans="23:23" x14ac:dyDescent="0.55000000000000004">
      <c r="W25449"/>
    </row>
    <row r="25450" spans="23:23" x14ac:dyDescent="0.55000000000000004">
      <c r="W25450"/>
    </row>
    <row r="25451" spans="23:23" x14ac:dyDescent="0.55000000000000004">
      <c r="W25451"/>
    </row>
    <row r="25452" spans="23:23" x14ac:dyDescent="0.55000000000000004">
      <c r="W25452"/>
    </row>
    <row r="25453" spans="23:23" x14ac:dyDescent="0.55000000000000004">
      <c r="W25453"/>
    </row>
    <row r="25454" spans="23:23" x14ac:dyDescent="0.55000000000000004">
      <c r="W25454"/>
    </row>
    <row r="25455" spans="23:23" x14ac:dyDescent="0.55000000000000004">
      <c r="W25455"/>
    </row>
    <row r="25456" spans="23:23" x14ac:dyDescent="0.55000000000000004">
      <c r="W25456"/>
    </row>
    <row r="25457" spans="23:23" x14ac:dyDescent="0.55000000000000004">
      <c r="W25457"/>
    </row>
    <row r="25458" spans="23:23" x14ac:dyDescent="0.55000000000000004">
      <c r="W25458"/>
    </row>
    <row r="25459" spans="23:23" x14ac:dyDescent="0.55000000000000004">
      <c r="W25459"/>
    </row>
    <row r="25460" spans="23:23" x14ac:dyDescent="0.55000000000000004">
      <c r="W25460"/>
    </row>
    <row r="25461" spans="23:23" x14ac:dyDescent="0.55000000000000004">
      <c r="W25461"/>
    </row>
    <row r="25462" spans="23:23" x14ac:dyDescent="0.55000000000000004">
      <c r="W25462"/>
    </row>
    <row r="25463" spans="23:23" x14ac:dyDescent="0.55000000000000004">
      <c r="W25463"/>
    </row>
    <row r="25464" spans="23:23" x14ac:dyDescent="0.55000000000000004">
      <c r="W25464"/>
    </row>
    <row r="25465" spans="23:23" x14ac:dyDescent="0.55000000000000004">
      <c r="W25465"/>
    </row>
    <row r="25466" spans="23:23" x14ac:dyDescent="0.55000000000000004">
      <c r="W25466"/>
    </row>
    <row r="25467" spans="23:23" x14ac:dyDescent="0.55000000000000004">
      <c r="W25467"/>
    </row>
    <row r="25468" spans="23:23" x14ac:dyDescent="0.55000000000000004">
      <c r="W25468"/>
    </row>
    <row r="25469" spans="23:23" x14ac:dyDescent="0.55000000000000004">
      <c r="W25469"/>
    </row>
    <row r="25470" spans="23:23" x14ac:dyDescent="0.55000000000000004">
      <c r="W25470"/>
    </row>
    <row r="25471" spans="23:23" x14ac:dyDescent="0.55000000000000004">
      <c r="W25471"/>
    </row>
    <row r="25472" spans="23:23" x14ac:dyDescent="0.55000000000000004">
      <c r="W25472"/>
    </row>
    <row r="25473" spans="23:23" x14ac:dyDescent="0.55000000000000004">
      <c r="W25473"/>
    </row>
    <row r="25474" spans="23:23" x14ac:dyDescent="0.55000000000000004">
      <c r="W25474"/>
    </row>
    <row r="25475" spans="23:23" x14ac:dyDescent="0.55000000000000004">
      <c r="W25475"/>
    </row>
    <row r="25476" spans="23:23" x14ac:dyDescent="0.55000000000000004">
      <c r="W25476"/>
    </row>
    <row r="25477" spans="23:23" x14ac:dyDescent="0.55000000000000004">
      <c r="W25477"/>
    </row>
    <row r="25478" spans="23:23" x14ac:dyDescent="0.55000000000000004">
      <c r="W25478"/>
    </row>
    <row r="25479" spans="23:23" x14ac:dyDescent="0.55000000000000004">
      <c r="W25479"/>
    </row>
    <row r="25480" spans="23:23" x14ac:dyDescent="0.55000000000000004">
      <c r="W25480"/>
    </row>
    <row r="25481" spans="23:23" x14ac:dyDescent="0.55000000000000004">
      <c r="W25481"/>
    </row>
    <row r="25482" spans="23:23" x14ac:dyDescent="0.55000000000000004">
      <c r="W25482"/>
    </row>
    <row r="25483" spans="23:23" x14ac:dyDescent="0.55000000000000004">
      <c r="W25483"/>
    </row>
    <row r="25484" spans="23:23" x14ac:dyDescent="0.55000000000000004">
      <c r="W25484"/>
    </row>
    <row r="25485" spans="23:23" x14ac:dyDescent="0.55000000000000004">
      <c r="W25485"/>
    </row>
    <row r="25486" spans="23:23" x14ac:dyDescent="0.55000000000000004">
      <c r="W25486"/>
    </row>
    <row r="25487" spans="23:23" x14ac:dyDescent="0.55000000000000004">
      <c r="W25487"/>
    </row>
    <row r="25488" spans="23:23" x14ac:dyDescent="0.55000000000000004">
      <c r="W25488"/>
    </row>
    <row r="25489" spans="23:23" x14ac:dyDescent="0.55000000000000004">
      <c r="W25489"/>
    </row>
    <row r="25490" spans="23:23" x14ac:dyDescent="0.55000000000000004">
      <c r="W25490"/>
    </row>
    <row r="25491" spans="23:23" x14ac:dyDescent="0.55000000000000004">
      <c r="W25491"/>
    </row>
    <row r="25492" spans="23:23" x14ac:dyDescent="0.55000000000000004">
      <c r="W25492"/>
    </row>
    <row r="25493" spans="23:23" x14ac:dyDescent="0.55000000000000004">
      <c r="W25493"/>
    </row>
    <row r="25494" spans="23:23" x14ac:dyDescent="0.55000000000000004">
      <c r="W25494"/>
    </row>
    <row r="25495" spans="23:23" x14ac:dyDescent="0.55000000000000004">
      <c r="W25495"/>
    </row>
    <row r="25496" spans="23:23" x14ac:dyDescent="0.55000000000000004">
      <c r="W25496"/>
    </row>
    <row r="25497" spans="23:23" x14ac:dyDescent="0.55000000000000004">
      <c r="W25497"/>
    </row>
    <row r="25498" spans="23:23" x14ac:dyDescent="0.55000000000000004">
      <c r="W25498"/>
    </row>
    <row r="25499" spans="23:23" x14ac:dyDescent="0.55000000000000004">
      <c r="W25499"/>
    </row>
    <row r="25500" spans="23:23" x14ac:dyDescent="0.55000000000000004">
      <c r="W25500"/>
    </row>
    <row r="25501" spans="23:23" x14ac:dyDescent="0.55000000000000004">
      <c r="W25501"/>
    </row>
    <row r="25502" spans="23:23" x14ac:dyDescent="0.55000000000000004">
      <c r="W25502"/>
    </row>
    <row r="25503" spans="23:23" x14ac:dyDescent="0.55000000000000004">
      <c r="W25503"/>
    </row>
    <row r="25504" spans="23:23" x14ac:dyDescent="0.55000000000000004">
      <c r="W25504"/>
    </row>
    <row r="25505" spans="23:23" x14ac:dyDescent="0.55000000000000004">
      <c r="W25505"/>
    </row>
    <row r="25506" spans="23:23" x14ac:dyDescent="0.55000000000000004">
      <c r="W25506"/>
    </row>
    <row r="25507" spans="23:23" x14ac:dyDescent="0.55000000000000004">
      <c r="W25507"/>
    </row>
    <row r="25508" spans="23:23" x14ac:dyDescent="0.55000000000000004">
      <c r="W25508"/>
    </row>
    <row r="25509" spans="23:23" x14ac:dyDescent="0.55000000000000004">
      <c r="W25509"/>
    </row>
    <row r="25510" spans="23:23" x14ac:dyDescent="0.55000000000000004">
      <c r="W25510"/>
    </row>
    <row r="25511" spans="23:23" x14ac:dyDescent="0.55000000000000004">
      <c r="W25511"/>
    </row>
    <row r="25512" spans="23:23" x14ac:dyDescent="0.55000000000000004">
      <c r="W25512"/>
    </row>
    <row r="25513" spans="23:23" x14ac:dyDescent="0.55000000000000004">
      <c r="W25513"/>
    </row>
    <row r="25514" spans="23:23" x14ac:dyDescent="0.55000000000000004">
      <c r="W25514"/>
    </row>
    <row r="25515" spans="23:23" x14ac:dyDescent="0.55000000000000004">
      <c r="W25515"/>
    </row>
    <row r="25516" spans="23:23" x14ac:dyDescent="0.55000000000000004">
      <c r="W25516"/>
    </row>
    <row r="25517" spans="23:23" x14ac:dyDescent="0.55000000000000004">
      <c r="W25517"/>
    </row>
    <row r="25518" spans="23:23" x14ac:dyDescent="0.55000000000000004">
      <c r="W25518"/>
    </row>
    <row r="25519" spans="23:23" x14ac:dyDescent="0.55000000000000004">
      <c r="W25519"/>
    </row>
    <row r="25520" spans="23:23" x14ac:dyDescent="0.55000000000000004">
      <c r="W25520"/>
    </row>
    <row r="25521" spans="23:23" x14ac:dyDescent="0.55000000000000004">
      <c r="W25521"/>
    </row>
    <row r="25522" spans="23:23" x14ac:dyDescent="0.55000000000000004">
      <c r="W25522"/>
    </row>
    <row r="25523" spans="23:23" x14ac:dyDescent="0.55000000000000004">
      <c r="W25523"/>
    </row>
    <row r="25524" spans="23:23" x14ac:dyDescent="0.55000000000000004">
      <c r="W25524"/>
    </row>
    <row r="25525" spans="23:23" x14ac:dyDescent="0.55000000000000004">
      <c r="W25525"/>
    </row>
    <row r="25526" spans="23:23" x14ac:dyDescent="0.55000000000000004">
      <c r="W25526"/>
    </row>
    <row r="25527" spans="23:23" x14ac:dyDescent="0.55000000000000004">
      <c r="W25527"/>
    </row>
    <row r="25528" spans="23:23" x14ac:dyDescent="0.55000000000000004">
      <c r="W25528"/>
    </row>
    <row r="25529" spans="23:23" x14ac:dyDescent="0.55000000000000004">
      <c r="W25529"/>
    </row>
    <row r="25530" spans="23:23" x14ac:dyDescent="0.55000000000000004">
      <c r="W25530"/>
    </row>
    <row r="25531" spans="23:23" x14ac:dyDescent="0.55000000000000004">
      <c r="W25531"/>
    </row>
    <row r="25532" spans="23:23" x14ac:dyDescent="0.55000000000000004">
      <c r="W25532"/>
    </row>
    <row r="25533" spans="23:23" x14ac:dyDescent="0.55000000000000004">
      <c r="W25533"/>
    </row>
    <row r="25534" spans="23:23" x14ac:dyDescent="0.55000000000000004">
      <c r="W25534"/>
    </row>
    <row r="25535" spans="23:23" x14ac:dyDescent="0.55000000000000004">
      <c r="W25535"/>
    </row>
    <row r="25536" spans="23:23" x14ac:dyDescent="0.55000000000000004">
      <c r="W25536"/>
    </row>
    <row r="25537" spans="23:23" x14ac:dyDescent="0.55000000000000004">
      <c r="W25537"/>
    </row>
    <row r="25538" spans="23:23" x14ac:dyDescent="0.55000000000000004">
      <c r="W25538"/>
    </row>
    <row r="25539" spans="23:23" x14ac:dyDescent="0.55000000000000004">
      <c r="W25539"/>
    </row>
    <row r="25540" spans="23:23" x14ac:dyDescent="0.55000000000000004">
      <c r="W25540"/>
    </row>
    <row r="25541" spans="23:23" x14ac:dyDescent="0.55000000000000004">
      <c r="W25541"/>
    </row>
    <row r="25542" spans="23:23" x14ac:dyDescent="0.55000000000000004">
      <c r="W25542"/>
    </row>
    <row r="25543" spans="23:23" x14ac:dyDescent="0.55000000000000004">
      <c r="W25543"/>
    </row>
    <row r="25544" spans="23:23" x14ac:dyDescent="0.55000000000000004">
      <c r="W25544"/>
    </row>
    <row r="25545" spans="23:23" x14ac:dyDescent="0.55000000000000004">
      <c r="W25545"/>
    </row>
    <row r="25546" spans="23:23" x14ac:dyDescent="0.55000000000000004">
      <c r="W25546"/>
    </row>
    <row r="25547" spans="23:23" x14ac:dyDescent="0.55000000000000004">
      <c r="W25547"/>
    </row>
    <row r="25548" spans="23:23" x14ac:dyDescent="0.55000000000000004">
      <c r="W25548"/>
    </row>
    <row r="25549" spans="23:23" x14ac:dyDescent="0.55000000000000004">
      <c r="W25549"/>
    </row>
    <row r="25550" spans="23:23" x14ac:dyDescent="0.55000000000000004">
      <c r="W25550"/>
    </row>
    <row r="25551" spans="23:23" x14ac:dyDescent="0.55000000000000004">
      <c r="W25551"/>
    </row>
    <row r="25552" spans="23:23" x14ac:dyDescent="0.55000000000000004">
      <c r="W25552"/>
    </row>
    <row r="25553" spans="23:23" x14ac:dyDescent="0.55000000000000004">
      <c r="W25553"/>
    </row>
    <row r="25554" spans="23:23" x14ac:dyDescent="0.55000000000000004">
      <c r="W25554"/>
    </row>
    <row r="25555" spans="23:23" x14ac:dyDescent="0.55000000000000004">
      <c r="W25555"/>
    </row>
    <row r="25556" spans="23:23" x14ac:dyDescent="0.55000000000000004">
      <c r="W25556"/>
    </row>
    <row r="25557" spans="23:23" x14ac:dyDescent="0.55000000000000004">
      <c r="W25557"/>
    </row>
    <row r="25558" spans="23:23" x14ac:dyDescent="0.55000000000000004">
      <c r="W25558"/>
    </row>
    <row r="25559" spans="23:23" x14ac:dyDescent="0.55000000000000004">
      <c r="W25559"/>
    </row>
    <row r="25560" spans="23:23" x14ac:dyDescent="0.55000000000000004">
      <c r="W25560"/>
    </row>
    <row r="25561" spans="23:23" x14ac:dyDescent="0.55000000000000004">
      <c r="W25561"/>
    </row>
    <row r="25562" spans="23:23" x14ac:dyDescent="0.55000000000000004">
      <c r="W25562"/>
    </row>
    <row r="25563" spans="23:23" x14ac:dyDescent="0.55000000000000004">
      <c r="W25563"/>
    </row>
    <row r="25564" spans="23:23" x14ac:dyDescent="0.55000000000000004">
      <c r="W25564"/>
    </row>
    <row r="25565" spans="23:23" x14ac:dyDescent="0.55000000000000004">
      <c r="W25565"/>
    </row>
    <row r="25566" spans="23:23" x14ac:dyDescent="0.55000000000000004">
      <c r="W25566"/>
    </row>
    <row r="25567" spans="23:23" x14ac:dyDescent="0.55000000000000004">
      <c r="W25567"/>
    </row>
    <row r="25568" spans="23:23" x14ac:dyDescent="0.55000000000000004">
      <c r="W25568"/>
    </row>
    <row r="25569" spans="23:23" x14ac:dyDescent="0.55000000000000004">
      <c r="W25569"/>
    </row>
    <row r="25570" spans="23:23" x14ac:dyDescent="0.55000000000000004">
      <c r="W25570"/>
    </row>
    <row r="25571" spans="23:23" x14ac:dyDescent="0.55000000000000004">
      <c r="W25571"/>
    </row>
    <row r="25572" spans="23:23" x14ac:dyDescent="0.55000000000000004">
      <c r="W25572"/>
    </row>
    <row r="25573" spans="23:23" x14ac:dyDescent="0.55000000000000004">
      <c r="W25573"/>
    </row>
    <row r="25574" spans="23:23" x14ac:dyDescent="0.55000000000000004">
      <c r="W25574"/>
    </row>
    <row r="25575" spans="23:23" x14ac:dyDescent="0.55000000000000004">
      <c r="W25575"/>
    </row>
    <row r="25576" spans="23:23" x14ac:dyDescent="0.55000000000000004">
      <c r="W25576"/>
    </row>
    <row r="25577" spans="23:23" x14ac:dyDescent="0.55000000000000004">
      <c r="W25577"/>
    </row>
    <row r="25578" spans="23:23" x14ac:dyDescent="0.55000000000000004">
      <c r="W25578"/>
    </row>
    <row r="25579" spans="23:23" x14ac:dyDescent="0.55000000000000004">
      <c r="W25579"/>
    </row>
    <row r="25580" spans="23:23" x14ac:dyDescent="0.55000000000000004">
      <c r="W25580"/>
    </row>
    <row r="25581" spans="23:23" x14ac:dyDescent="0.55000000000000004">
      <c r="W25581"/>
    </row>
    <row r="25582" spans="23:23" x14ac:dyDescent="0.55000000000000004">
      <c r="W25582"/>
    </row>
    <row r="25583" spans="23:23" x14ac:dyDescent="0.55000000000000004">
      <c r="W25583"/>
    </row>
    <row r="25584" spans="23:23" x14ac:dyDescent="0.55000000000000004">
      <c r="W25584"/>
    </row>
    <row r="25585" spans="23:23" x14ac:dyDescent="0.55000000000000004">
      <c r="W25585"/>
    </row>
    <row r="25586" spans="23:23" x14ac:dyDescent="0.55000000000000004">
      <c r="W25586"/>
    </row>
    <row r="25587" spans="23:23" x14ac:dyDescent="0.55000000000000004">
      <c r="W25587"/>
    </row>
    <row r="25588" spans="23:23" x14ac:dyDescent="0.55000000000000004">
      <c r="W25588"/>
    </row>
    <row r="25589" spans="23:23" x14ac:dyDescent="0.55000000000000004">
      <c r="W25589"/>
    </row>
    <row r="25590" spans="23:23" x14ac:dyDescent="0.55000000000000004">
      <c r="W25590"/>
    </row>
    <row r="25591" spans="23:23" x14ac:dyDescent="0.55000000000000004">
      <c r="W25591"/>
    </row>
    <row r="25592" spans="23:23" x14ac:dyDescent="0.55000000000000004">
      <c r="W25592"/>
    </row>
    <row r="25593" spans="23:23" x14ac:dyDescent="0.55000000000000004">
      <c r="W25593"/>
    </row>
    <row r="25594" spans="23:23" x14ac:dyDescent="0.55000000000000004">
      <c r="W25594"/>
    </row>
    <row r="25595" spans="23:23" x14ac:dyDescent="0.55000000000000004">
      <c r="W25595"/>
    </row>
    <row r="25596" spans="23:23" x14ac:dyDescent="0.55000000000000004">
      <c r="W25596"/>
    </row>
    <row r="25597" spans="23:23" x14ac:dyDescent="0.55000000000000004">
      <c r="W25597"/>
    </row>
    <row r="25598" spans="23:23" x14ac:dyDescent="0.55000000000000004">
      <c r="W25598"/>
    </row>
    <row r="25599" spans="23:23" x14ac:dyDescent="0.55000000000000004">
      <c r="W25599"/>
    </row>
    <row r="25600" spans="23:23" x14ac:dyDescent="0.55000000000000004">
      <c r="W25600"/>
    </row>
    <row r="25601" spans="23:23" x14ac:dyDescent="0.55000000000000004">
      <c r="W25601"/>
    </row>
    <row r="25602" spans="23:23" x14ac:dyDescent="0.55000000000000004">
      <c r="W25602"/>
    </row>
    <row r="25603" spans="23:23" x14ac:dyDescent="0.55000000000000004">
      <c r="W25603"/>
    </row>
    <row r="25604" spans="23:23" x14ac:dyDescent="0.55000000000000004">
      <c r="W25604"/>
    </row>
    <row r="25605" spans="23:23" x14ac:dyDescent="0.55000000000000004">
      <c r="W25605"/>
    </row>
    <row r="25606" spans="23:23" x14ac:dyDescent="0.55000000000000004">
      <c r="W25606"/>
    </row>
    <row r="25607" spans="23:23" x14ac:dyDescent="0.55000000000000004">
      <c r="W25607"/>
    </row>
    <row r="25608" spans="23:23" x14ac:dyDescent="0.55000000000000004">
      <c r="W25608"/>
    </row>
    <row r="25609" spans="23:23" x14ac:dyDescent="0.55000000000000004">
      <c r="W25609"/>
    </row>
    <row r="25610" spans="23:23" x14ac:dyDescent="0.55000000000000004">
      <c r="W25610"/>
    </row>
    <row r="25611" spans="23:23" x14ac:dyDescent="0.55000000000000004">
      <c r="W25611"/>
    </row>
    <row r="25612" spans="23:23" x14ac:dyDescent="0.55000000000000004">
      <c r="W25612"/>
    </row>
    <row r="25613" spans="23:23" x14ac:dyDescent="0.55000000000000004">
      <c r="W25613"/>
    </row>
    <row r="25614" spans="23:23" x14ac:dyDescent="0.55000000000000004">
      <c r="W25614"/>
    </row>
    <row r="25615" spans="23:23" x14ac:dyDescent="0.55000000000000004">
      <c r="W25615"/>
    </row>
    <row r="25616" spans="23:23" x14ac:dyDescent="0.55000000000000004">
      <c r="W25616"/>
    </row>
    <row r="25617" spans="23:23" x14ac:dyDescent="0.55000000000000004">
      <c r="W25617"/>
    </row>
    <row r="25618" spans="23:23" x14ac:dyDescent="0.55000000000000004">
      <c r="W25618"/>
    </row>
    <row r="25619" spans="23:23" x14ac:dyDescent="0.55000000000000004">
      <c r="W25619"/>
    </row>
    <row r="25620" spans="23:23" x14ac:dyDescent="0.55000000000000004">
      <c r="W25620"/>
    </row>
    <row r="25621" spans="23:23" x14ac:dyDescent="0.55000000000000004">
      <c r="W25621"/>
    </row>
    <row r="25622" spans="23:23" x14ac:dyDescent="0.55000000000000004">
      <c r="W25622"/>
    </row>
    <row r="25623" spans="23:23" x14ac:dyDescent="0.55000000000000004">
      <c r="W25623"/>
    </row>
    <row r="25624" spans="23:23" x14ac:dyDescent="0.55000000000000004">
      <c r="W25624"/>
    </row>
    <row r="25625" spans="23:23" x14ac:dyDescent="0.55000000000000004">
      <c r="W25625"/>
    </row>
    <row r="25626" spans="23:23" x14ac:dyDescent="0.55000000000000004">
      <c r="W25626"/>
    </row>
    <row r="25627" spans="23:23" x14ac:dyDescent="0.55000000000000004">
      <c r="W25627"/>
    </row>
    <row r="25628" spans="23:23" x14ac:dyDescent="0.55000000000000004">
      <c r="W25628"/>
    </row>
    <row r="25629" spans="23:23" x14ac:dyDescent="0.55000000000000004">
      <c r="W25629"/>
    </row>
    <row r="25630" spans="23:23" x14ac:dyDescent="0.55000000000000004">
      <c r="W25630"/>
    </row>
    <row r="25631" spans="23:23" x14ac:dyDescent="0.55000000000000004">
      <c r="W25631"/>
    </row>
    <row r="25632" spans="23:23" x14ac:dyDescent="0.55000000000000004">
      <c r="W25632"/>
    </row>
    <row r="25633" spans="23:23" x14ac:dyDescent="0.55000000000000004">
      <c r="W25633"/>
    </row>
    <row r="25634" spans="23:23" x14ac:dyDescent="0.55000000000000004">
      <c r="W25634"/>
    </row>
    <row r="25635" spans="23:23" x14ac:dyDescent="0.55000000000000004">
      <c r="W25635"/>
    </row>
    <row r="25636" spans="23:23" x14ac:dyDescent="0.55000000000000004">
      <c r="W25636"/>
    </row>
    <row r="25637" spans="23:23" x14ac:dyDescent="0.55000000000000004">
      <c r="W25637"/>
    </row>
    <row r="25638" spans="23:23" x14ac:dyDescent="0.55000000000000004">
      <c r="W25638"/>
    </row>
    <row r="25639" spans="23:23" x14ac:dyDescent="0.55000000000000004">
      <c r="W25639"/>
    </row>
    <row r="25640" spans="23:23" x14ac:dyDescent="0.55000000000000004">
      <c r="W25640"/>
    </row>
    <row r="25641" spans="23:23" x14ac:dyDescent="0.55000000000000004">
      <c r="W25641"/>
    </row>
    <row r="25642" spans="23:23" x14ac:dyDescent="0.55000000000000004">
      <c r="W25642"/>
    </row>
    <row r="25643" spans="23:23" x14ac:dyDescent="0.55000000000000004">
      <c r="W25643"/>
    </row>
    <row r="25644" spans="23:23" x14ac:dyDescent="0.55000000000000004">
      <c r="W25644"/>
    </row>
    <row r="25645" spans="23:23" x14ac:dyDescent="0.55000000000000004">
      <c r="W25645"/>
    </row>
    <row r="25646" spans="23:23" x14ac:dyDescent="0.55000000000000004">
      <c r="W25646"/>
    </row>
    <row r="25647" spans="23:23" x14ac:dyDescent="0.55000000000000004">
      <c r="W25647"/>
    </row>
    <row r="25648" spans="23:23" x14ac:dyDescent="0.55000000000000004">
      <c r="W25648"/>
    </row>
    <row r="25649" spans="23:23" x14ac:dyDescent="0.55000000000000004">
      <c r="W25649"/>
    </row>
    <row r="25650" spans="23:23" x14ac:dyDescent="0.55000000000000004">
      <c r="W25650"/>
    </row>
    <row r="25651" spans="23:23" x14ac:dyDescent="0.55000000000000004">
      <c r="W25651"/>
    </row>
    <row r="25652" spans="23:23" x14ac:dyDescent="0.55000000000000004">
      <c r="W25652"/>
    </row>
    <row r="25653" spans="23:23" x14ac:dyDescent="0.55000000000000004">
      <c r="W25653"/>
    </row>
    <row r="25654" spans="23:23" x14ac:dyDescent="0.55000000000000004">
      <c r="W25654"/>
    </row>
    <row r="25655" spans="23:23" x14ac:dyDescent="0.55000000000000004">
      <c r="W25655"/>
    </row>
    <row r="25656" spans="23:23" x14ac:dyDescent="0.55000000000000004">
      <c r="W25656"/>
    </row>
    <row r="25657" spans="23:23" x14ac:dyDescent="0.55000000000000004">
      <c r="W25657"/>
    </row>
    <row r="25658" spans="23:23" x14ac:dyDescent="0.55000000000000004">
      <c r="W25658"/>
    </row>
    <row r="25659" spans="23:23" x14ac:dyDescent="0.55000000000000004">
      <c r="W25659"/>
    </row>
    <row r="25660" spans="23:23" x14ac:dyDescent="0.55000000000000004">
      <c r="W25660"/>
    </row>
    <row r="25661" spans="23:23" x14ac:dyDescent="0.55000000000000004">
      <c r="W25661"/>
    </row>
    <row r="25662" spans="23:23" x14ac:dyDescent="0.55000000000000004">
      <c r="W25662"/>
    </row>
    <row r="25663" spans="23:23" x14ac:dyDescent="0.55000000000000004">
      <c r="W25663"/>
    </row>
    <row r="25664" spans="23:23" x14ac:dyDescent="0.55000000000000004">
      <c r="W25664"/>
    </row>
    <row r="25665" spans="23:23" x14ac:dyDescent="0.55000000000000004">
      <c r="W25665"/>
    </row>
    <row r="25666" spans="23:23" x14ac:dyDescent="0.55000000000000004">
      <c r="W25666"/>
    </row>
    <row r="25667" spans="23:23" x14ac:dyDescent="0.55000000000000004">
      <c r="W25667"/>
    </row>
    <row r="25668" spans="23:23" x14ac:dyDescent="0.55000000000000004">
      <c r="W25668"/>
    </row>
    <row r="25669" spans="23:23" x14ac:dyDescent="0.55000000000000004">
      <c r="W25669"/>
    </row>
    <row r="25670" spans="23:23" x14ac:dyDescent="0.55000000000000004">
      <c r="W25670"/>
    </row>
    <row r="25671" spans="23:23" x14ac:dyDescent="0.55000000000000004">
      <c r="W25671"/>
    </row>
    <row r="25672" spans="23:23" x14ac:dyDescent="0.55000000000000004">
      <c r="W25672"/>
    </row>
    <row r="25673" spans="23:23" x14ac:dyDescent="0.55000000000000004">
      <c r="W25673"/>
    </row>
    <row r="25674" spans="23:23" x14ac:dyDescent="0.55000000000000004">
      <c r="W25674"/>
    </row>
    <row r="25675" spans="23:23" x14ac:dyDescent="0.55000000000000004">
      <c r="W25675"/>
    </row>
    <row r="25676" spans="23:23" x14ac:dyDescent="0.55000000000000004">
      <c r="W25676"/>
    </row>
    <row r="25677" spans="23:23" x14ac:dyDescent="0.55000000000000004">
      <c r="W25677"/>
    </row>
    <row r="25678" spans="23:23" x14ac:dyDescent="0.55000000000000004">
      <c r="W25678"/>
    </row>
    <row r="25679" spans="23:23" x14ac:dyDescent="0.55000000000000004">
      <c r="W25679"/>
    </row>
    <row r="25680" spans="23:23" x14ac:dyDescent="0.55000000000000004">
      <c r="W25680"/>
    </row>
    <row r="25681" spans="23:23" x14ac:dyDescent="0.55000000000000004">
      <c r="W25681"/>
    </row>
    <row r="25682" spans="23:23" x14ac:dyDescent="0.55000000000000004">
      <c r="W25682"/>
    </row>
    <row r="25683" spans="23:23" x14ac:dyDescent="0.55000000000000004">
      <c r="W25683"/>
    </row>
    <row r="25684" spans="23:23" x14ac:dyDescent="0.55000000000000004">
      <c r="W25684"/>
    </row>
    <row r="25685" spans="23:23" x14ac:dyDescent="0.55000000000000004">
      <c r="W25685"/>
    </row>
    <row r="25686" spans="23:23" x14ac:dyDescent="0.55000000000000004">
      <c r="W25686"/>
    </row>
    <row r="25687" spans="23:23" x14ac:dyDescent="0.55000000000000004">
      <c r="W25687"/>
    </row>
    <row r="25688" spans="23:23" x14ac:dyDescent="0.55000000000000004">
      <c r="W25688"/>
    </row>
    <row r="25689" spans="23:23" x14ac:dyDescent="0.55000000000000004">
      <c r="W25689"/>
    </row>
    <row r="25690" spans="23:23" x14ac:dyDescent="0.55000000000000004">
      <c r="W25690"/>
    </row>
    <row r="25691" spans="23:23" x14ac:dyDescent="0.55000000000000004">
      <c r="W25691"/>
    </row>
    <row r="25692" spans="23:23" x14ac:dyDescent="0.55000000000000004">
      <c r="W25692"/>
    </row>
    <row r="25693" spans="23:23" x14ac:dyDescent="0.55000000000000004">
      <c r="W25693"/>
    </row>
    <row r="25694" spans="23:23" x14ac:dyDescent="0.55000000000000004">
      <c r="W25694"/>
    </row>
    <row r="25695" spans="23:23" x14ac:dyDescent="0.55000000000000004">
      <c r="W25695"/>
    </row>
    <row r="25696" spans="23:23" x14ac:dyDescent="0.55000000000000004">
      <c r="W25696"/>
    </row>
    <row r="25697" spans="23:23" x14ac:dyDescent="0.55000000000000004">
      <c r="W25697"/>
    </row>
    <row r="25698" spans="23:23" x14ac:dyDescent="0.55000000000000004">
      <c r="W25698"/>
    </row>
    <row r="25699" spans="23:23" x14ac:dyDescent="0.55000000000000004">
      <c r="W25699"/>
    </row>
    <row r="25700" spans="23:23" x14ac:dyDescent="0.55000000000000004">
      <c r="W25700"/>
    </row>
    <row r="25701" spans="23:23" x14ac:dyDescent="0.55000000000000004">
      <c r="W25701"/>
    </row>
    <row r="25702" spans="23:23" x14ac:dyDescent="0.55000000000000004">
      <c r="W25702"/>
    </row>
    <row r="25703" spans="23:23" x14ac:dyDescent="0.55000000000000004">
      <c r="W25703"/>
    </row>
    <row r="25704" spans="23:23" x14ac:dyDescent="0.55000000000000004">
      <c r="W25704"/>
    </row>
    <row r="25705" spans="23:23" x14ac:dyDescent="0.55000000000000004">
      <c r="W25705"/>
    </row>
    <row r="25706" spans="23:23" x14ac:dyDescent="0.55000000000000004">
      <c r="W25706"/>
    </row>
    <row r="25707" spans="23:23" x14ac:dyDescent="0.55000000000000004">
      <c r="W25707"/>
    </row>
    <row r="25708" spans="23:23" x14ac:dyDescent="0.55000000000000004">
      <c r="W25708"/>
    </row>
    <row r="25709" spans="23:23" x14ac:dyDescent="0.55000000000000004">
      <c r="W25709"/>
    </row>
    <row r="25710" spans="23:23" x14ac:dyDescent="0.55000000000000004">
      <c r="W25710"/>
    </row>
    <row r="25711" spans="23:23" x14ac:dyDescent="0.55000000000000004">
      <c r="W25711"/>
    </row>
    <row r="25712" spans="23:23" x14ac:dyDescent="0.55000000000000004">
      <c r="W25712"/>
    </row>
    <row r="25713" spans="23:23" x14ac:dyDescent="0.55000000000000004">
      <c r="W25713"/>
    </row>
    <row r="25714" spans="23:23" x14ac:dyDescent="0.55000000000000004">
      <c r="W25714"/>
    </row>
    <row r="25715" spans="23:23" x14ac:dyDescent="0.55000000000000004">
      <c r="W25715"/>
    </row>
    <row r="25716" spans="23:23" x14ac:dyDescent="0.55000000000000004">
      <c r="W25716"/>
    </row>
    <row r="25717" spans="23:23" x14ac:dyDescent="0.55000000000000004">
      <c r="W25717"/>
    </row>
    <row r="25718" spans="23:23" x14ac:dyDescent="0.55000000000000004">
      <c r="W25718"/>
    </row>
    <row r="25719" spans="23:23" x14ac:dyDescent="0.55000000000000004">
      <c r="W25719"/>
    </row>
    <row r="25720" spans="23:23" x14ac:dyDescent="0.55000000000000004">
      <c r="W25720"/>
    </row>
    <row r="25721" spans="23:23" x14ac:dyDescent="0.55000000000000004">
      <c r="W25721"/>
    </row>
    <row r="25722" spans="23:23" x14ac:dyDescent="0.55000000000000004">
      <c r="W25722"/>
    </row>
    <row r="25723" spans="23:23" x14ac:dyDescent="0.55000000000000004">
      <c r="W25723"/>
    </row>
    <row r="25724" spans="23:23" x14ac:dyDescent="0.55000000000000004">
      <c r="W25724"/>
    </row>
    <row r="25725" spans="23:23" x14ac:dyDescent="0.55000000000000004">
      <c r="W25725"/>
    </row>
    <row r="25726" spans="23:23" x14ac:dyDescent="0.55000000000000004">
      <c r="W25726"/>
    </row>
    <row r="25727" spans="23:23" x14ac:dyDescent="0.55000000000000004">
      <c r="W25727"/>
    </row>
    <row r="25728" spans="23:23" x14ac:dyDescent="0.55000000000000004">
      <c r="W25728"/>
    </row>
    <row r="25729" spans="23:23" x14ac:dyDescent="0.55000000000000004">
      <c r="W25729"/>
    </row>
    <row r="25730" spans="23:23" x14ac:dyDescent="0.55000000000000004">
      <c r="W25730"/>
    </row>
    <row r="25731" spans="23:23" x14ac:dyDescent="0.55000000000000004">
      <c r="W25731"/>
    </row>
    <row r="25732" spans="23:23" x14ac:dyDescent="0.55000000000000004">
      <c r="W25732"/>
    </row>
    <row r="25733" spans="23:23" x14ac:dyDescent="0.55000000000000004">
      <c r="W25733"/>
    </row>
    <row r="25734" spans="23:23" x14ac:dyDescent="0.55000000000000004">
      <c r="W25734"/>
    </row>
    <row r="25735" spans="23:23" x14ac:dyDescent="0.55000000000000004">
      <c r="W25735"/>
    </row>
    <row r="25736" spans="23:23" x14ac:dyDescent="0.55000000000000004">
      <c r="W25736"/>
    </row>
    <row r="25737" spans="23:23" x14ac:dyDescent="0.55000000000000004">
      <c r="W25737"/>
    </row>
    <row r="25738" spans="23:23" x14ac:dyDescent="0.55000000000000004">
      <c r="W25738"/>
    </row>
    <row r="25739" spans="23:23" x14ac:dyDescent="0.55000000000000004">
      <c r="W25739"/>
    </row>
    <row r="25740" spans="23:23" x14ac:dyDescent="0.55000000000000004">
      <c r="W25740"/>
    </row>
    <row r="25741" spans="23:23" x14ac:dyDescent="0.55000000000000004">
      <c r="W25741"/>
    </row>
    <row r="25742" spans="23:23" x14ac:dyDescent="0.55000000000000004">
      <c r="W25742"/>
    </row>
    <row r="25743" spans="23:23" x14ac:dyDescent="0.55000000000000004">
      <c r="W25743"/>
    </row>
    <row r="25744" spans="23:23" x14ac:dyDescent="0.55000000000000004">
      <c r="W25744"/>
    </row>
    <row r="25745" spans="23:23" x14ac:dyDescent="0.55000000000000004">
      <c r="W25745"/>
    </row>
    <row r="25746" spans="23:23" x14ac:dyDescent="0.55000000000000004">
      <c r="W25746"/>
    </row>
    <row r="25747" spans="23:23" x14ac:dyDescent="0.55000000000000004">
      <c r="W25747"/>
    </row>
    <row r="25748" spans="23:23" x14ac:dyDescent="0.55000000000000004">
      <c r="W25748"/>
    </row>
    <row r="25749" spans="23:23" x14ac:dyDescent="0.55000000000000004">
      <c r="W25749"/>
    </row>
    <row r="25750" spans="23:23" x14ac:dyDescent="0.55000000000000004">
      <c r="W25750"/>
    </row>
    <row r="25751" spans="23:23" x14ac:dyDescent="0.55000000000000004">
      <c r="W25751"/>
    </row>
    <row r="25752" spans="23:23" x14ac:dyDescent="0.55000000000000004">
      <c r="W25752"/>
    </row>
    <row r="25753" spans="23:23" x14ac:dyDescent="0.55000000000000004">
      <c r="W25753"/>
    </row>
    <row r="25754" spans="23:23" x14ac:dyDescent="0.55000000000000004">
      <c r="W25754"/>
    </row>
    <row r="25755" spans="23:23" x14ac:dyDescent="0.55000000000000004">
      <c r="W25755"/>
    </row>
    <row r="25756" spans="23:23" x14ac:dyDescent="0.55000000000000004">
      <c r="W25756"/>
    </row>
    <row r="25757" spans="23:23" x14ac:dyDescent="0.55000000000000004">
      <c r="W25757"/>
    </row>
    <row r="25758" spans="23:23" x14ac:dyDescent="0.55000000000000004">
      <c r="W25758"/>
    </row>
    <row r="25759" spans="23:23" x14ac:dyDescent="0.55000000000000004">
      <c r="W25759"/>
    </row>
    <row r="25760" spans="23:23" x14ac:dyDescent="0.55000000000000004">
      <c r="W25760"/>
    </row>
    <row r="25761" spans="23:23" x14ac:dyDescent="0.55000000000000004">
      <c r="W25761"/>
    </row>
    <row r="25762" spans="23:23" x14ac:dyDescent="0.55000000000000004">
      <c r="W25762"/>
    </row>
    <row r="25763" spans="23:23" x14ac:dyDescent="0.55000000000000004">
      <c r="W25763"/>
    </row>
    <row r="25764" spans="23:23" x14ac:dyDescent="0.55000000000000004">
      <c r="W25764"/>
    </row>
    <row r="25765" spans="23:23" x14ac:dyDescent="0.55000000000000004">
      <c r="W25765"/>
    </row>
    <row r="25766" spans="23:23" x14ac:dyDescent="0.55000000000000004">
      <c r="W25766"/>
    </row>
    <row r="25767" spans="23:23" x14ac:dyDescent="0.55000000000000004">
      <c r="W25767"/>
    </row>
    <row r="25768" spans="23:23" x14ac:dyDescent="0.55000000000000004">
      <c r="W25768"/>
    </row>
    <row r="25769" spans="23:23" x14ac:dyDescent="0.55000000000000004">
      <c r="W25769"/>
    </row>
    <row r="25770" spans="23:23" x14ac:dyDescent="0.55000000000000004">
      <c r="W25770"/>
    </row>
    <row r="25771" spans="23:23" x14ac:dyDescent="0.55000000000000004">
      <c r="W25771"/>
    </row>
    <row r="25772" spans="23:23" x14ac:dyDescent="0.55000000000000004">
      <c r="W25772"/>
    </row>
    <row r="25773" spans="23:23" x14ac:dyDescent="0.55000000000000004">
      <c r="W25773"/>
    </row>
    <row r="25774" spans="23:23" x14ac:dyDescent="0.55000000000000004">
      <c r="W25774"/>
    </row>
    <row r="25775" spans="23:23" x14ac:dyDescent="0.55000000000000004">
      <c r="W25775"/>
    </row>
    <row r="25776" spans="23:23" x14ac:dyDescent="0.55000000000000004">
      <c r="W25776"/>
    </row>
    <row r="25777" spans="23:23" x14ac:dyDescent="0.55000000000000004">
      <c r="W25777"/>
    </row>
    <row r="25778" spans="23:23" x14ac:dyDescent="0.55000000000000004">
      <c r="W25778"/>
    </row>
    <row r="25779" spans="23:23" x14ac:dyDescent="0.55000000000000004">
      <c r="W25779"/>
    </row>
    <row r="25780" spans="23:23" x14ac:dyDescent="0.55000000000000004">
      <c r="W25780"/>
    </row>
    <row r="25781" spans="23:23" x14ac:dyDescent="0.55000000000000004">
      <c r="W25781"/>
    </row>
    <row r="25782" spans="23:23" x14ac:dyDescent="0.55000000000000004">
      <c r="W25782"/>
    </row>
    <row r="25783" spans="23:23" x14ac:dyDescent="0.55000000000000004">
      <c r="W25783"/>
    </row>
    <row r="25784" spans="23:23" x14ac:dyDescent="0.55000000000000004">
      <c r="W25784"/>
    </row>
    <row r="25785" spans="23:23" x14ac:dyDescent="0.55000000000000004">
      <c r="W25785"/>
    </row>
    <row r="25786" spans="23:23" x14ac:dyDescent="0.55000000000000004">
      <c r="W25786"/>
    </row>
    <row r="25787" spans="23:23" x14ac:dyDescent="0.55000000000000004">
      <c r="W25787"/>
    </row>
    <row r="25788" spans="23:23" x14ac:dyDescent="0.55000000000000004">
      <c r="W25788"/>
    </row>
    <row r="25789" spans="23:23" x14ac:dyDescent="0.55000000000000004">
      <c r="W25789"/>
    </row>
    <row r="25790" spans="23:23" x14ac:dyDescent="0.55000000000000004">
      <c r="W25790"/>
    </row>
    <row r="25791" spans="23:23" x14ac:dyDescent="0.55000000000000004">
      <c r="W25791"/>
    </row>
    <row r="25792" spans="23:23" x14ac:dyDescent="0.55000000000000004">
      <c r="W25792"/>
    </row>
    <row r="25793" spans="23:23" x14ac:dyDescent="0.55000000000000004">
      <c r="W25793"/>
    </row>
    <row r="25794" spans="23:23" x14ac:dyDescent="0.55000000000000004">
      <c r="W25794"/>
    </row>
    <row r="25795" spans="23:23" x14ac:dyDescent="0.55000000000000004">
      <c r="W25795"/>
    </row>
    <row r="25796" spans="23:23" x14ac:dyDescent="0.55000000000000004">
      <c r="W25796"/>
    </row>
    <row r="25797" spans="23:23" x14ac:dyDescent="0.55000000000000004">
      <c r="W25797"/>
    </row>
    <row r="25798" spans="23:23" x14ac:dyDescent="0.55000000000000004">
      <c r="W25798"/>
    </row>
    <row r="25799" spans="23:23" x14ac:dyDescent="0.55000000000000004">
      <c r="W25799"/>
    </row>
    <row r="25800" spans="23:23" x14ac:dyDescent="0.55000000000000004">
      <c r="W25800"/>
    </row>
    <row r="25801" spans="23:23" x14ac:dyDescent="0.55000000000000004">
      <c r="W25801"/>
    </row>
    <row r="25802" spans="23:23" x14ac:dyDescent="0.55000000000000004">
      <c r="W25802"/>
    </row>
    <row r="25803" spans="23:23" x14ac:dyDescent="0.55000000000000004">
      <c r="W25803"/>
    </row>
    <row r="25804" spans="23:23" x14ac:dyDescent="0.55000000000000004">
      <c r="W25804"/>
    </row>
    <row r="25805" spans="23:23" x14ac:dyDescent="0.55000000000000004">
      <c r="W25805"/>
    </row>
    <row r="25806" spans="23:23" x14ac:dyDescent="0.55000000000000004">
      <c r="W25806"/>
    </row>
    <row r="25807" spans="23:23" x14ac:dyDescent="0.55000000000000004">
      <c r="W25807"/>
    </row>
    <row r="25808" spans="23:23" x14ac:dyDescent="0.55000000000000004">
      <c r="W25808"/>
    </row>
    <row r="25809" spans="23:23" x14ac:dyDescent="0.55000000000000004">
      <c r="W25809"/>
    </row>
    <row r="25810" spans="23:23" x14ac:dyDescent="0.55000000000000004">
      <c r="W25810"/>
    </row>
    <row r="25811" spans="23:23" x14ac:dyDescent="0.55000000000000004">
      <c r="W25811"/>
    </row>
    <row r="25812" spans="23:23" x14ac:dyDescent="0.55000000000000004">
      <c r="W25812"/>
    </row>
    <row r="25813" spans="23:23" x14ac:dyDescent="0.55000000000000004">
      <c r="W25813"/>
    </row>
    <row r="25814" spans="23:23" x14ac:dyDescent="0.55000000000000004">
      <c r="W25814"/>
    </row>
    <row r="25815" spans="23:23" x14ac:dyDescent="0.55000000000000004">
      <c r="W25815"/>
    </row>
    <row r="25816" spans="23:23" x14ac:dyDescent="0.55000000000000004">
      <c r="W25816"/>
    </row>
    <row r="25817" spans="23:23" x14ac:dyDescent="0.55000000000000004">
      <c r="W25817"/>
    </row>
    <row r="25818" spans="23:23" x14ac:dyDescent="0.55000000000000004">
      <c r="W25818"/>
    </row>
    <row r="25819" spans="23:23" x14ac:dyDescent="0.55000000000000004">
      <c r="W25819"/>
    </row>
    <row r="25820" spans="23:23" x14ac:dyDescent="0.55000000000000004">
      <c r="W25820"/>
    </row>
    <row r="25821" spans="23:23" x14ac:dyDescent="0.55000000000000004">
      <c r="W25821"/>
    </row>
    <row r="25822" spans="23:23" x14ac:dyDescent="0.55000000000000004">
      <c r="W25822"/>
    </row>
    <row r="25823" spans="23:23" x14ac:dyDescent="0.55000000000000004">
      <c r="W25823"/>
    </row>
    <row r="25824" spans="23:23" x14ac:dyDescent="0.55000000000000004">
      <c r="W25824"/>
    </row>
    <row r="25825" spans="23:23" x14ac:dyDescent="0.55000000000000004">
      <c r="W25825"/>
    </row>
    <row r="25826" spans="23:23" x14ac:dyDescent="0.55000000000000004">
      <c r="W25826"/>
    </row>
    <row r="25827" spans="23:23" x14ac:dyDescent="0.55000000000000004">
      <c r="W25827"/>
    </row>
    <row r="25828" spans="23:23" x14ac:dyDescent="0.55000000000000004">
      <c r="W25828"/>
    </row>
    <row r="25829" spans="23:23" x14ac:dyDescent="0.55000000000000004">
      <c r="W25829"/>
    </row>
    <row r="25830" spans="23:23" x14ac:dyDescent="0.55000000000000004">
      <c r="W25830"/>
    </row>
    <row r="25831" spans="23:23" x14ac:dyDescent="0.55000000000000004">
      <c r="W25831"/>
    </row>
    <row r="25832" spans="23:23" x14ac:dyDescent="0.55000000000000004">
      <c r="W25832"/>
    </row>
    <row r="25833" spans="23:23" x14ac:dyDescent="0.55000000000000004">
      <c r="W25833"/>
    </row>
    <row r="25834" spans="23:23" x14ac:dyDescent="0.55000000000000004">
      <c r="W25834"/>
    </row>
    <row r="25835" spans="23:23" x14ac:dyDescent="0.55000000000000004">
      <c r="W25835"/>
    </row>
    <row r="25836" spans="23:23" x14ac:dyDescent="0.55000000000000004">
      <c r="W25836"/>
    </row>
    <row r="25837" spans="23:23" x14ac:dyDescent="0.55000000000000004">
      <c r="W25837"/>
    </row>
    <row r="25838" spans="23:23" x14ac:dyDescent="0.55000000000000004">
      <c r="W25838"/>
    </row>
    <row r="25839" spans="23:23" x14ac:dyDescent="0.55000000000000004">
      <c r="W25839"/>
    </row>
    <row r="25840" spans="23:23" x14ac:dyDescent="0.55000000000000004">
      <c r="W25840"/>
    </row>
    <row r="25841" spans="23:23" x14ac:dyDescent="0.55000000000000004">
      <c r="W25841"/>
    </row>
    <row r="25842" spans="23:23" x14ac:dyDescent="0.55000000000000004">
      <c r="W25842"/>
    </row>
    <row r="25843" spans="23:23" x14ac:dyDescent="0.55000000000000004">
      <c r="W25843"/>
    </row>
    <row r="25844" spans="23:23" x14ac:dyDescent="0.55000000000000004">
      <c r="W25844"/>
    </row>
    <row r="25845" spans="23:23" x14ac:dyDescent="0.55000000000000004">
      <c r="W25845"/>
    </row>
    <row r="25846" spans="23:23" x14ac:dyDescent="0.55000000000000004">
      <c r="W25846"/>
    </row>
    <row r="25847" spans="23:23" x14ac:dyDescent="0.55000000000000004">
      <c r="W25847"/>
    </row>
    <row r="25848" spans="23:23" x14ac:dyDescent="0.55000000000000004">
      <c r="W25848"/>
    </row>
    <row r="25849" spans="23:23" x14ac:dyDescent="0.55000000000000004">
      <c r="W25849"/>
    </row>
    <row r="25850" spans="23:23" x14ac:dyDescent="0.55000000000000004">
      <c r="W25850"/>
    </row>
    <row r="25851" spans="23:23" x14ac:dyDescent="0.55000000000000004">
      <c r="W25851"/>
    </row>
    <row r="25852" spans="23:23" x14ac:dyDescent="0.55000000000000004">
      <c r="W25852"/>
    </row>
    <row r="25853" spans="23:23" x14ac:dyDescent="0.55000000000000004">
      <c r="W25853"/>
    </row>
    <row r="25854" spans="23:23" x14ac:dyDescent="0.55000000000000004">
      <c r="W25854"/>
    </row>
    <row r="25855" spans="23:23" x14ac:dyDescent="0.55000000000000004">
      <c r="W25855"/>
    </row>
    <row r="25856" spans="23:23" x14ac:dyDescent="0.55000000000000004">
      <c r="W25856"/>
    </row>
    <row r="25857" spans="23:23" x14ac:dyDescent="0.55000000000000004">
      <c r="W25857"/>
    </row>
    <row r="25858" spans="23:23" x14ac:dyDescent="0.55000000000000004">
      <c r="W25858"/>
    </row>
    <row r="25859" spans="23:23" x14ac:dyDescent="0.55000000000000004">
      <c r="W25859"/>
    </row>
    <row r="25860" spans="23:23" x14ac:dyDescent="0.55000000000000004">
      <c r="W25860"/>
    </row>
    <row r="25861" spans="23:23" x14ac:dyDescent="0.55000000000000004">
      <c r="W25861"/>
    </row>
    <row r="25862" spans="23:23" x14ac:dyDescent="0.55000000000000004">
      <c r="W25862"/>
    </row>
    <row r="25863" spans="23:23" x14ac:dyDescent="0.55000000000000004">
      <c r="W25863"/>
    </row>
    <row r="25864" spans="23:23" x14ac:dyDescent="0.55000000000000004">
      <c r="W25864"/>
    </row>
    <row r="25865" spans="23:23" x14ac:dyDescent="0.55000000000000004">
      <c r="W25865"/>
    </row>
    <row r="25866" spans="23:23" x14ac:dyDescent="0.55000000000000004">
      <c r="W25866"/>
    </row>
    <row r="25867" spans="23:23" x14ac:dyDescent="0.55000000000000004">
      <c r="W25867"/>
    </row>
    <row r="25868" spans="23:23" x14ac:dyDescent="0.55000000000000004">
      <c r="W25868"/>
    </row>
    <row r="25869" spans="23:23" x14ac:dyDescent="0.55000000000000004">
      <c r="W25869"/>
    </row>
    <row r="25870" spans="23:23" x14ac:dyDescent="0.55000000000000004">
      <c r="W25870"/>
    </row>
    <row r="25871" spans="23:23" x14ac:dyDescent="0.55000000000000004">
      <c r="W25871"/>
    </row>
    <row r="25872" spans="23:23" x14ac:dyDescent="0.55000000000000004">
      <c r="W25872"/>
    </row>
    <row r="25873" spans="23:23" x14ac:dyDescent="0.55000000000000004">
      <c r="W25873"/>
    </row>
    <row r="25874" spans="23:23" x14ac:dyDescent="0.55000000000000004">
      <c r="W25874"/>
    </row>
    <row r="25875" spans="23:23" x14ac:dyDescent="0.55000000000000004">
      <c r="W25875"/>
    </row>
    <row r="25876" spans="23:23" x14ac:dyDescent="0.55000000000000004">
      <c r="W25876"/>
    </row>
    <row r="25877" spans="23:23" x14ac:dyDescent="0.55000000000000004">
      <c r="W25877"/>
    </row>
    <row r="25878" spans="23:23" x14ac:dyDescent="0.55000000000000004">
      <c r="W25878"/>
    </row>
    <row r="25879" spans="23:23" x14ac:dyDescent="0.55000000000000004">
      <c r="W25879"/>
    </row>
    <row r="25880" spans="23:23" x14ac:dyDescent="0.55000000000000004">
      <c r="W25880"/>
    </row>
    <row r="25881" spans="23:23" x14ac:dyDescent="0.55000000000000004">
      <c r="W25881"/>
    </row>
    <row r="25882" spans="23:23" x14ac:dyDescent="0.55000000000000004">
      <c r="W25882"/>
    </row>
    <row r="25883" spans="23:23" x14ac:dyDescent="0.55000000000000004">
      <c r="W25883"/>
    </row>
    <row r="25884" spans="23:23" x14ac:dyDescent="0.55000000000000004">
      <c r="W25884"/>
    </row>
    <row r="25885" spans="23:23" x14ac:dyDescent="0.55000000000000004">
      <c r="W25885"/>
    </row>
    <row r="25886" spans="23:23" x14ac:dyDescent="0.55000000000000004">
      <c r="W25886"/>
    </row>
    <row r="25887" spans="23:23" x14ac:dyDescent="0.55000000000000004">
      <c r="W25887"/>
    </row>
    <row r="25888" spans="23:23" x14ac:dyDescent="0.55000000000000004">
      <c r="W25888"/>
    </row>
    <row r="25889" spans="23:23" x14ac:dyDescent="0.55000000000000004">
      <c r="W25889"/>
    </row>
    <row r="25890" spans="23:23" x14ac:dyDescent="0.55000000000000004">
      <c r="W25890"/>
    </row>
    <row r="25891" spans="23:23" x14ac:dyDescent="0.55000000000000004">
      <c r="W25891"/>
    </row>
    <row r="25892" spans="23:23" x14ac:dyDescent="0.55000000000000004">
      <c r="W25892"/>
    </row>
    <row r="25893" spans="23:23" x14ac:dyDescent="0.55000000000000004">
      <c r="W25893"/>
    </row>
    <row r="25894" spans="23:23" x14ac:dyDescent="0.55000000000000004">
      <c r="W25894"/>
    </row>
    <row r="25895" spans="23:23" x14ac:dyDescent="0.55000000000000004">
      <c r="W25895"/>
    </row>
    <row r="25896" spans="23:23" x14ac:dyDescent="0.55000000000000004">
      <c r="W25896"/>
    </row>
    <row r="25897" spans="23:23" x14ac:dyDescent="0.55000000000000004">
      <c r="W25897"/>
    </row>
    <row r="25898" spans="23:23" x14ac:dyDescent="0.55000000000000004">
      <c r="W25898"/>
    </row>
    <row r="25899" spans="23:23" x14ac:dyDescent="0.55000000000000004">
      <c r="W25899"/>
    </row>
    <row r="25900" spans="23:23" x14ac:dyDescent="0.55000000000000004">
      <c r="W25900"/>
    </row>
    <row r="25901" spans="23:23" x14ac:dyDescent="0.55000000000000004">
      <c r="W25901"/>
    </row>
    <row r="25902" spans="23:23" x14ac:dyDescent="0.55000000000000004">
      <c r="W25902"/>
    </row>
    <row r="25903" spans="23:23" x14ac:dyDescent="0.55000000000000004">
      <c r="W25903"/>
    </row>
    <row r="25904" spans="23:23" x14ac:dyDescent="0.55000000000000004">
      <c r="W25904"/>
    </row>
    <row r="25905" spans="23:23" x14ac:dyDescent="0.55000000000000004">
      <c r="W25905"/>
    </row>
    <row r="25906" spans="23:23" x14ac:dyDescent="0.55000000000000004">
      <c r="W25906"/>
    </row>
    <row r="25907" spans="23:23" x14ac:dyDescent="0.55000000000000004">
      <c r="W25907"/>
    </row>
    <row r="25908" spans="23:23" x14ac:dyDescent="0.55000000000000004">
      <c r="W25908"/>
    </row>
    <row r="25909" spans="23:23" x14ac:dyDescent="0.55000000000000004">
      <c r="W25909"/>
    </row>
    <row r="25910" spans="23:23" x14ac:dyDescent="0.55000000000000004">
      <c r="W25910"/>
    </row>
    <row r="25911" spans="23:23" x14ac:dyDescent="0.55000000000000004">
      <c r="W25911"/>
    </row>
    <row r="25912" spans="23:23" x14ac:dyDescent="0.55000000000000004">
      <c r="W25912"/>
    </row>
    <row r="25913" spans="23:23" x14ac:dyDescent="0.55000000000000004">
      <c r="W25913"/>
    </row>
    <row r="25914" spans="23:23" x14ac:dyDescent="0.55000000000000004">
      <c r="W25914"/>
    </row>
    <row r="25915" spans="23:23" x14ac:dyDescent="0.55000000000000004">
      <c r="W25915"/>
    </row>
    <row r="25916" spans="23:23" x14ac:dyDescent="0.55000000000000004">
      <c r="W25916"/>
    </row>
    <row r="25917" spans="23:23" x14ac:dyDescent="0.55000000000000004">
      <c r="W25917"/>
    </row>
    <row r="25918" spans="23:23" x14ac:dyDescent="0.55000000000000004">
      <c r="W25918"/>
    </row>
    <row r="25919" spans="23:23" x14ac:dyDescent="0.55000000000000004">
      <c r="W25919"/>
    </row>
    <row r="25920" spans="23:23" x14ac:dyDescent="0.55000000000000004">
      <c r="W25920"/>
    </row>
    <row r="25921" spans="23:23" x14ac:dyDescent="0.55000000000000004">
      <c r="W25921"/>
    </row>
    <row r="25922" spans="23:23" x14ac:dyDescent="0.55000000000000004">
      <c r="W25922"/>
    </row>
    <row r="25923" spans="23:23" x14ac:dyDescent="0.55000000000000004">
      <c r="W25923"/>
    </row>
    <row r="25924" spans="23:23" x14ac:dyDescent="0.55000000000000004">
      <c r="W25924"/>
    </row>
    <row r="25925" spans="23:23" x14ac:dyDescent="0.55000000000000004">
      <c r="W25925"/>
    </row>
    <row r="25926" spans="23:23" x14ac:dyDescent="0.55000000000000004">
      <c r="W25926"/>
    </row>
    <row r="25927" spans="23:23" x14ac:dyDescent="0.55000000000000004">
      <c r="W25927"/>
    </row>
    <row r="25928" spans="23:23" x14ac:dyDescent="0.55000000000000004">
      <c r="W25928"/>
    </row>
    <row r="25929" spans="23:23" x14ac:dyDescent="0.55000000000000004">
      <c r="W25929"/>
    </row>
    <row r="25930" spans="23:23" x14ac:dyDescent="0.55000000000000004">
      <c r="W25930"/>
    </row>
    <row r="25931" spans="23:23" x14ac:dyDescent="0.55000000000000004">
      <c r="W25931"/>
    </row>
    <row r="25932" spans="23:23" x14ac:dyDescent="0.55000000000000004">
      <c r="W25932"/>
    </row>
    <row r="25933" spans="23:23" x14ac:dyDescent="0.55000000000000004">
      <c r="W25933"/>
    </row>
    <row r="25934" spans="23:23" x14ac:dyDescent="0.55000000000000004">
      <c r="W25934"/>
    </row>
    <row r="25935" spans="23:23" x14ac:dyDescent="0.55000000000000004">
      <c r="W25935"/>
    </row>
    <row r="25936" spans="23:23" x14ac:dyDescent="0.55000000000000004">
      <c r="W25936"/>
    </row>
    <row r="25937" spans="23:23" x14ac:dyDescent="0.55000000000000004">
      <c r="W25937"/>
    </row>
    <row r="25938" spans="23:23" x14ac:dyDescent="0.55000000000000004">
      <c r="W25938"/>
    </row>
    <row r="25939" spans="23:23" x14ac:dyDescent="0.55000000000000004">
      <c r="W25939"/>
    </row>
    <row r="25940" spans="23:23" x14ac:dyDescent="0.55000000000000004">
      <c r="W25940"/>
    </row>
    <row r="25941" spans="23:23" x14ac:dyDescent="0.55000000000000004">
      <c r="W25941"/>
    </row>
    <row r="25942" spans="23:23" x14ac:dyDescent="0.55000000000000004">
      <c r="W25942"/>
    </row>
    <row r="25943" spans="23:23" x14ac:dyDescent="0.55000000000000004">
      <c r="W25943"/>
    </row>
    <row r="25944" spans="23:23" x14ac:dyDescent="0.55000000000000004">
      <c r="W25944"/>
    </row>
    <row r="25945" spans="23:23" x14ac:dyDescent="0.55000000000000004">
      <c r="W25945"/>
    </row>
    <row r="25946" spans="23:23" x14ac:dyDescent="0.55000000000000004">
      <c r="W25946"/>
    </row>
    <row r="25947" spans="23:23" x14ac:dyDescent="0.55000000000000004">
      <c r="W25947"/>
    </row>
    <row r="25948" spans="23:23" x14ac:dyDescent="0.55000000000000004">
      <c r="W25948"/>
    </row>
    <row r="25949" spans="23:23" x14ac:dyDescent="0.55000000000000004">
      <c r="W25949"/>
    </row>
    <row r="25950" spans="23:23" x14ac:dyDescent="0.55000000000000004">
      <c r="W25950"/>
    </row>
    <row r="25951" spans="23:23" x14ac:dyDescent="0.55000000000000004">
      <c r="W25951"/>
    </row>
    <row r="25952" spans="23:23" x14ac:dyDescent="0.55000000000000004">
      <c r="W25952"/>
    </row>
    <row r="25953" spans="23:23" x14ac:dyDescent="0.55000000000000004">
      <c r="W25953"/>
    </row>
    <row r="25954" spans="23:23" x14ac:dyDescent="0.55000000000000004">
      <c r="W25954"/>
    </row>
    <row r="25955" spans="23:23" x14ac:dyDescent="0.55000000000000004">
      <c r="W25955"/>
    </row>
    <row r="25956" spans="23:23" x14ac:dyDescent="0.55000000000000004">
      <c r="W25956"/>
    </row>
    <row r="25957" spans="23:23" x14ac:dyDescent="0.55000000000000004">
      <c r="W25957"/>
    </row>
    <row r="25958" spans="23:23" x14ac:dyDescent="0.55000000000000004">
      <c r="W25958"/>
    </row>
    <row r="25959" spans="23:23" x14ac:dyDescent="0.55000000000000004">
      <c r="W25959"/>
    </row>
    <row r="25960" spans="23:23" x14ac:dyDescent="0.55000000000000004">
      <c r="W25960"/>
    </row>
    <row r="25961" spans="23:23" x14ac:dyDescent="0.55000000000000004">
      <c r="W25961"/>
    </row>
    <row r="25962" spans="23:23" x14ac:dyDescent="0.55000000000000004">
      <c r="W25962"/>
    </row>
    <row r="25963" spans="23:23" x14ac:dyDescent="0.55000000000000004">
      <c r="W25963"/>
    </row>
    <row r="25964" spans="23:23" x14ac:dyDescent="0.55000000000000004">
      <c r="W25964"/>
    </row>
    <row r="25965" spans="23:23" x14ac:dyDescent="0.55000000000000004">
      <c r="W25965"/>
    </row>
    <row r="25966" spans="23:23" x14ac:dyDescent="0.55000000000000004">
      <c r="W25966"/>
    </row>
    <row r="25967" spans="23:23" x14ac:dyDescent="0.55000000000000004">
      <c r="W25967"/>
    </row>
    <row r="25968" spans="23:23" x14ac:dyDescent="0.55000000000000004">
      <c r="W25968"/>
    </row>
    <row r="25969" spans="23:23" x14ac:dyDescent="0.55000000000000004">
      <c r="W25969"/>
    </row>
    <row r="25970" spans="23:23" x14ac:dyDescent="0.55000000000000004">
      <c r="W25970"/>
    </row>
    <row r="25971" spans="23:23" x14ac:dyDescent="0.55000000000000004">
      <c r="W25971"/>
    </row>
    <row r="25972" spans="23:23" x14ac:dyDescent="0.55000000000000004">
      <c r="W25972"/>
    </row>
    <row r="25973" spans="23:23" x14ac:dyDescent="0.55000000000000004">
      <c r="W25973"/>
    </row>
    <row r="25974" spans="23:23" x14ac:dyDescent="0.55000000000000004">
      <c r="W25974"/>
    </row>
    <row r="25975" spans="23:23" x14ac:dyDescent="0.55000000000000004">
      <c r="W25975"/>
    </row>
    <row r="25976" spans="23:23" x14ac:dyDescent="0.55000000000000004">
      <c r="W25976"/>
    </row>
    <row r="25977" spans="23:23" x14ac:dyDescent="0.55000000000000004">
      <c r="W25977"/>
    </row>
    <row r="25978" spans="23:23" x14ac:dyDescent="0.55000000000000004">
      <c r="W25978"/>
    </row>
    <row r="25979" spans="23:23" x14ac:dyDescent="0.55000000000000004">
      <c r="W25979"/>
    </row>
    <row r="25980" spans="23:23" x14ac:dyDescent="0.55000000000000004">
      <c r="W25980"/>
    </row>
    <row r="25981" spans="23:23" x14ac:dyDescent="0.55000000000000004">
      <c r="W25981"/>
    </row>
    <row r="25982" spans="23:23" x14ac:dyDescent="0.55000000000000004">
      <c r="W25982"/>
    </row>
    <row r="25983" spans="23:23" x14ac:dyDescent="0.55000000000000004">
      <c r="W25983"/>
    </row>
    <row r="25984" spans="23:23" x14ac:dyDescent="0.55000000000000004">
      <c r="W25984"/>
    </row>
    <row r="25985" spans="23:23" x14ac:dyDescent="0.55000000000000004">
      <c r="W25985"/>
    </row>
    <row r="25986" spans="23:23" x14ac:dyDescent="0.55000000000000004">
      <c r="W25986"/>
    </row>
    <row r="25987" spans="23:23" x14ac:dyDescent="0.55000000000000004">
      <c r="W25987"/>
    </row>
    <row r="25988" spans="23:23" x14ac:dyDescent="0.55000000000000004">
      <c r="W25988"/>
    </row>
    <row r="25989" spans="23:23" x14ac:dyDescent="0.55000000000000004">
      <c r="W25989"/>
    </row>
    <row r="25990" spans="23:23" x14ac:dyDescent="0.55000000000000004">
      <c r="W25990"/>
    </row>
    <row r="25991" spans="23:23" x14ac:dyDescent="0.55000000000000004">
      <c r="W25991"/>
    </row>
    <row r="25992" spans="23:23" x14ac:dyDescent="0.55000000000000004">
      <c r="W25992"/>
    </row>
    <row r="25993" spans="23:23" x14ac:dyDescent="0.55000000000000004">
      <c r="W25993"/>
    </row>
    <row r="25994" spans="23:23" x14ac:dyDescent="0.55000000000000004">
      <c r="W25994"/>
    </row>
    <row r="25995" spans="23:23" x14ac:dyDescent="0.55000000000000004">
      <c r="W25995"/>
    </row>
    <row r="25996" spans="23:23" x14ac:dyDescent="0.55000000000000004">
      <c r="W25996"/>
    </row>
    <row r="25997" spans="23:23" x14ac:dyDescent="0.55000000000000004">
      <c r="W25997"/>
    </row>
    <row r="25998" spans="23:23" x14ac:dyDescent="0.55000000000000004">
      <c r="W25998"/>
    </row>
    <row r="25999" spans="23:23" x14ac:dyDescent="0.55000000000000004">
      <c r="W25999"/>
    </row>
    <row r="26000" spans="23:23" x14ac:dyDescent="0.55000000000000004">
      <c r="W26000"/>
    </row>
    <row r="26001" spans="23:23" x14ac:dyDescent="0.55000000000000004">
      <c r="W26001"/>
    </row>
    <row r="26002" spans="23:23" x14ac:dyDescent="0.55000000000000004">
      <c r="W26002"/>
    </row>
    <row r="26003" spans="23:23" x14ac:dyDescent="0.55000000000000004">
      <c r="W26003"/>
    </row>
    <row r="26004" spans="23:23" x14ac:dyDescent="0.55000000000000004">
      <c r="W26004"/>
    </row>
    <row r="26005" spans="23:23" x14ac:dyDescent="0.55000000000000004">
      <c r="W26005"/>
    </row>
    <row r="26006" spans="23:23" x14ac:dyDescent="0.55000000000000004">
      <c r="W26006"/>
    </row>
    <row r="26007" spans="23:23" x14ac:dyDescent="0.55000000000000004">
      <c r="W26007"/>
    </row>
    <row r="26008" spans="23:23" x14ac:dyDescent="0.55000000000000004">
      <c r="W26008"/>
    </row>
    <row r="26009" spans="23:23" x14ac:dyDescent="0.55000000000000004">
      <c r="W26009"/>
    </row>
    <row r="26010" spans="23:23" x14ac:dyDescent="0.55000000000000004">
      <c r="W26010"/>
    </row>
    <row r="26011" spans="23:23" x14ac:dyDescent="0.55000000000000004">
      <c r="W26011"/>
    </row>
    <row r="26012" spans="23:23" x14ac:dyDescent="0.55000000000000004">
      <c r="W26012"/>
    </row>
    <row r="26013" spans="23:23" x14ac:dyDescent="0.55000000000000004">
      <c r="W26013"/>
    </row>
    <row r="26014" spans="23:23" x14ac:dyDescent="0.55000000000000004">
      <c r="W26014"/>
    </row>
    <row r="26015" spans="23:23" x14ac:dyDescent="0.55000000000000004">
      <c r="W26015"/>
    </row>
    <row r="26016" spans="23:23" x14ac:dyDescent="0.55000000000000004">
      <c r="W26016"/>
    </row>
    <row r="26017" spans="23:23" x14ac:dyDescent="0.55000000000000004">
      <c r="W26017"/>
    </row>
    <row r="26018" spans="23:23" x14ac:dyDescent="0.55000000000000004">
      <c r="W26018"/>
    </row>
    <row r="26019" spans="23:23" x14ac:dyDescent="0.55000000000000004">
      <c r="W26019"/>
    </row>
    <row r="26020" spans="23:23" x14ac:dyDescent="0.55000000000000004">
      <c r="W26020"/>
    </row>
    <row r="26021" spans="23:23" x14ac:dyDescent="0.55000000000000004">
      <c r="W26021"/>
    </row>
    <row r="26022" spans="23:23" x14ac:dyDescent="0.55000000000000004">
      <c r="W26022"/>
    </row>
    <row r="26023" spans="23:23" x14ac:dyDescent="0.55000000000000004">
      <c r="W26023"/>
    </row>
    <row r="26024" spans="23:23" x14ac:dyDescent="0.55000000000000004">
      <c r="W26024"/>
    </row>
    <row r="26025" spans="23:23" x14ac:dyDescent="0.55000000000000004">
      <c r="W26025"/>
    </row>
    <row r="26026" spans="23:23" x14ac:dyDescent="0.55000000000000004">
      <c r="W26026"/>
    </row>
    <row r="26027" spans="23:23" x14ac:dyDescent="0.55000000000000004">
      <c r="W26027"/>
    </row>
    <row r="26028" spans="23:23" x14ac:dyDescent="0.55000000000000004">
      <c r="W26028"/>
    </row>
    <row r="26029" spans="23:23" x14ac:dyDescent="0.55000000000000004">
      <c r="W26029"/>
    </row>
    <row r="26030" spans="23:23" x14ac:dyDescent="0.55000000000000004">
      <c r="W26030"/>
    </row>
    <row r="26031" spans="23:23" x14ac:dyDescent="0.55000000000000004">
      <c r="W26031"/>
    </row>
    <row r="26032" spans="23:23" x14ac:dyDescent="0.55000000000000004">
      <c r="W26032"/>
    </row>
    <row r="26033" spans="23:23" x14ac:dyDescent="0.55000000000000004">
      <c r="W26033"/>
    </row>
    <row r="26034" spans="23:23" x14ac:dyDescent="0.55000000000000004">
      <c r="W26034"/>
    </row>
    <row r="26035" spans="23:23" x14ac:dyDescent="0.55000000000000004">
      <c r="W26035"/>
    </row>
    <row r="26036" spans="23:23" x14ac:dyDescent="0.55000000000000004">
      <c r="W26036"/>
    </row>
    <row r="26037" spans="23:23" x14ac:dyDescent="0.55000000000000004">
      <c r="W26037"/>
    </row>
    <row r="26038" spans="23:23" x14ac:dyDescent="0.55000000000000004">
      <c r="W26038"/>
    </row>
    <row r="26039" spans="23:23" x14ac:dyDescent="0.55000000000000004">
      <c r="W26039"/>
    </row>
    <row r="26040" spans="23:23" x14ac:dyDescent="0.55000000000000004">
      <c r="W26040"/>
    </row>
    <row r="26041" spans="23:23" x14ac:dyDescent="0.55000000000000004">
      <c r="W26041"/>
    </row>
    <row r="26042" spans="23:23" x14ac:dyDescent="0.55000000000000004">
      <c r="W26042"/>
    </row>
    <row r="26043" spans="23:23" x14ac:dyDescent="0.55000000000000004">
      <c r="W26043"/>
    </row>
    <row r="26044" spans="23:23" x14ac:dyDescent="0.55000000000000004">
      <c r="W26044"/>
    </row>
    <row r="26045" spans="23:23" x14ac:dyDescent="0.55000000000000004">
      <c r="W26045"/>
    </row>
    <row r="26046" spans="23:23" x14ac:dyDescent="0.55000000000000004">
      <c r="W26046"/>
    </row>
    <row r="26047" spans="23:23" x14ac:dyDescent="0.55000000000000004">
      <c r="W26047"/>
    </row>
    <row r="26048" spans="23:23" x14ac:dyDescent="0.55000000000000004">
      <c r="W26048"/>
    </row>
    <row r="26049" spans="23:23" x14ac:dyDescent="0.55000000000000004">
      <c r="W26049"/>
    </row>
    <row r="26050" spans="23:23" x14ac:dyDescent="0.55000000000000004">
      <c r="W26050"/>
    </row>
    <row r="26051" spans="23:23" x14ac:dyDescent="0.55000000000000004">
      <c r="W26051"/>
    </row>
    <row r="26052" spans="23:23" x14ac:dyDescent="0.55000000000000004">
      <c r="W26052"/>
    </row>
    <row r="26053" spans="23:23" x14ac:dyDescent="0.55000000000000004">
      <c r="W26053"/>
    </row>
    <row r="26054" spans="23:23" x14ac:dyDescent="0.55000000000000004">
      <c r="W26054"/>
    </row>
    <row r="26055" spans="23:23" x14ac:dyDescent="0.55000000000000004">
      <c r="W26055"/>
    </row>
    <row r="26056" spans="23:23" x14ac:dyDescent="0.55000000000000004">
      <c r="W26056"/>
    </row>
    <row r="26057" spans="23:23" x14ac:dyDescent="0.55000000000000004">
      <c r="W26057"/>
    </row>
    <row r="26058" spans="23:23" x14ac:dyDescent="0.55000000000000004">
      <c r="W26058"/>
    </row>
    <row r="26059" spans="23:23" x14ac:dyDescent="0.55000000000000004">
      <c r="W26059"/>
    </row>
    <row r="26060" spans="23:23" x14ac:dyDescent="0.55000000000000004">
      <c r="W26060"/>
    </row>
    <row r="26061" spans="23:23" x14ac:dyDescent="0.55000000000000004">
      <c r="W26061"/>
    </row>
    <row r="26062" spans="23:23" x14ac:dyDescent="0.55000000000000004">
      <c r="W26062"/>
    </row>
    <row r="26063" spans="23:23" x14ac:dyDescent="0.55000000000000004">
      <c r="W26063"/>
    </row>
    <row r="26064" spans="23:23" x14ac:dyDescent="0.55000000000000004">
      <c r="W26064"/>
    </row>
    <row r="26065" spans="23:23" x14ac:dyDescent="0.55000000000000004">
      <c r="W26065"/>
    </row>
    <row r="26066" spans="23:23" x14ac:dyDescent="0.55000000000000004">
      <c r="W26066"/>
    </row>
    <row r="26067" spans="23:23" x14ac:dyDescent="0.55000000000000004">
      <c r="W26067"/>
    </row>
    <row r="26068" spans="23:23" x14ac:dyDescent="0.55000000000000004">
      <c r="W26068"/>
    </row>
    <row r="26069" spans="23:23" x14ac:dyDescent="0.55000000000000004">
      <c r="W26069"/>
    </row>
    <row r="26070" spans="23:23" x14ac:dyDescent="0.55000000000000004">
      <c r="W26070"/>
    </row>
    <row r="26071" spans="23:23" x14ac:dyDescent="0.55000000000000004">
      <c r="W26071"/>
    </row>
    <row r="26072" spans="23:23" x14ac:dyDescent="0.55000000000000004">
      <c r="W26072"/>
    </row>
    <row r="26073" spans="23:23" x14ac:dyDescent="0.55000000000000004">
      <c r="W26073"/>
    </row>
    <row r="26074" spans="23:23" x14ac:dyDescent="0.55000000000000004">
      <c r="W26074"/>
    </row>
    <row r="26075" spans="23:23" x14ac:dyDescent="0.55000000000000004">
      <c r="W26075"/>
    </row>
    <row r="26076" spans="23:23" x14ac:dyDescent="0.55000000000000004">
      <c r="W26076"/>
    </row>
    <row r="26077" spans="23:23" x14ac:dyDescent="0.55000000000000004">
      <c r="W26077"/>
    </row>
    <row r="26078" spans="23:23" x14ac:dyDescent="0.55000000000000004">
      <c r="W26078"/>
    </row>
    <row r="26079" spans="23:23" x14ac:dyDescent="0.55000000000000004">
      <c r="W26079"/>
    </row>
    <row r="26080" spans="23:23" x14ac:dyDescent="0.55000000000000004">
      <c r="W26080"/>
    </row>
    <row r="26081" spans="23:23" x14ac:dyDescent="0.55000000000000004">
      <c r="W26081"/>
    </row>
    <row r="26082" spans="23:23" x14ac:dyDescent="0.55000000000000004">
      <c r="W26082"/>
    </row>
    <row r="26083" spans="23:23" x14ac:dyDescent="0.55000000000000004">
      <c r="W26083"/>
    </row>
    <row r="26084" spans="23:23" x14ac:dyDescent="0.55000000000000004">
      <c r="W26084"/>
    </row>
    <row r="26085" spans="23:23" x14ac:dyDescent="0.55000000000000004">
      <c r="W26085"/>
    </row>
    <row r="26086" spans="23:23" x14ac:dyDescent="0.55000000000000004">
      <c r="W26086"/>
    </row>
    <row r="26087" spans="23:23" x14ac:dyDescent="0.55000000000000004">
      <c r="W26087"/>
    </row>
    <row r="26088" spans="23:23" x14ac:dyDescent="0.55000000000000004">
      <c r="W26088"/>
    </row>
    <row r="26089" spans="23:23" x14ac:dyDescent="0.55000000000000004">
      <c r="W26089"/>
    </row>
    <row r="26090" spans="23:23" x14ac:dyDescent="0.55000000000000004">
      <c r="W26090"/>
    </row>
    <row r="26091" spans="23:23" x14ac:dyDescent="0.55000000000000004">
      <c r="W26091"/>
    </row>
    <row r="26092" spans="23:23" x14ac:dyDescent="0.55000000000000004">
      <c r="W26092"/>
    </row>
    <row r="26093" spans="23:23" x14ac:dyDescent="0.55000000000000004">
      <c r="W26093"/>
    </row>
    <row r="26094" spans="23:23" x14ac:dyDescent="0.55000000000000004">
      <c r="W26094"/>
    </row>
    <row r="26095" spans="23:23" x14ac:dyDescent="0.55000000000000004">
      <c r="W26095"/>
    </row>
    <row r="26096" spans="23:23" x14ac:dyDescent="0.55000000000000004">
      <c r="W26096"/>
    </row>
    <row r="26097" spans="23:23" x14ac:dyDescent="0.55000000000000004">
      <c r="W26097"/>
    </row>
    <row r="26098" spans="23:23" x14ac:dyDescent="0.55000000000000004">
      <c r="W26098"/>
    </row>
    <row r="26099" spans="23:23" x14ac:dyDescent="0.55000000000000004">
      <c r="W26099"/>
    </row>
    <row r="26100" spans="23:23" x14ac:dyDescent="0.55000000000000004">
      <c r="W26100"/>
    </row>
    <row r="26101" spans="23:23" x14ac:dyDescent="0.55000000000000004">
      <c r="W26101"/>
    </row>
    <row r="26102" spans="23:23" x14ac:dyDescent="0.55000000000000004">
      <c r="W26102"/>
    </row>
    <row r="26103" spans="23:23" x14ac:dyDescent="0.55000000000000004">
      <c r="W26103"/>
    </row>
    <row r="26104" spans="23:23" x14ac:dyDescent="0.55000000000000004">
      <c r="W26104"/>
    </row>
    <row r="26105" spans="23:23" x14ac:dyDescent="0.55000000000000004">
      <c r="W26105"/>
    </row>
    <row r="26106" spans="23:23" x14ac:dyDescent="0.55000000000000004">
      <c r="W26106"/>
    </row>
    <row r="26107" spans="23:23" x14ac:dyDescent="0.55000000000000004">
      <c r="W26107"/>
    </row>
    <row r="26108" spans="23:23" x14ac:dyDescent="0.55000000000000004">
      <c r="W26108"/>
    </row>
    <row r="26109" spans="23:23" x14ac:dyDescent="0.55000000000000004">
      <c r="W26109"/>
    </row>
    <row r="26110" spans="23:23" x14ac:dyDescent="0.55000000000000004">
      <c r="W26110"/>
    </row>
    <row r="26111" spans="23:23" x14ac:dyDescent="0.55000000000000004">
      <c r="W26111"/>
    </row>
    <row r="26112" spans="23:23" x14ac:dyDescent="0.55000000000000004">
      <c r="W26112"/>
    </row>
    <row r="26113" spans="23:23" x14ac:dyDescent="0.55000000000000004">
      <c r="W26113"/>
    </row>
    <row r="26114" spans="23:23" x14ac:dyDescent="0.55000000000000004">
      <c r="W26114"/>
    </row>
    <row r="26115" spans="23:23" x14ac:dyDescent="0.55000000000000004">
      <c r="W26115"/>
    </row>
    <row r="26116" spans="23:23" x14ac:dyDescent="0.55000000000000004">
      <c r="W26116"/>
    </row>
    <row r="26117" spans="23:23" x14ac:dyDescent="0.55000000000000004">
      <c r="W26117"/>
    </row>
    <row r="26118" spans="23:23" x14ac:dyDescent="0.55000000000000004">
      <c r="W26118"/>
    </row>
    <row r="26119" spans="23:23" x14ac:dyDescent="0.55000000000000004">
      <c r="W26119"/>
    </row>
    <row r="26120" spans="23:23" x14ac:dyDescent="0.55000000000000004">
      <c r="W26120"/>
    </row>
    <row r="26121" spans="23:23" x14ac:dyDescent="0.55000000000000004">
      <c r="W26121"/>
    </row>
    <row r="26122" spans="23:23" x14ac:dyDescent="0.55000000000000004">
      <c r="W26122"/>
    </row>
    <row r="26123" spans="23:23" x14ac:dyDescent="0.55000000000000004">
      <c r="W26123"/>
    </row>
    <row r="26124" spans="23:23" x14ac:dyDescent="0.55000000000000004">
      <c r="W26124"/>
    </row>
    <row r="26125" spans="23:23" x14ac:dyDescent="0.55000000000000004">
      <c r="W26125"/>
    </row>
    <row r="26126" spans="23:23" x14ac:dyDescent="0.55000000000000004">
      <c r="W26126"/>
    </row>
    <row r="26127" spans="23:23" x14ac:dyDescent="0.55000000000000004">
      <c r="W26127"/>
    </row>
    <row r="26128" spans="23:23" x14ac:dyDescent="0.55000000000000004">
      <c r="W26128"/>
    </row>
    <row r="26129" spans="23:23" x14ac:dyDescent="0.55000000000000004">
      <c r="W26129"/>
    </row>
    <row r="26130" spans="23:23" x14ac:dyDescent="0.55000000000000004">
      <c r="W26130"/>
    </row>
    <row r="26131" spans="23:23" x14ac:dyDescent="0.55000000000000004">
      <c r="W26131"/>
    </row>
    <row r="26132" spans="23:23" x14ac:dyDescent="0.55000000000000004">
      <c r="W26132"/>
    </row>
    <row r="26133" spans="23:23" x14ac:dyDescent="0.55000000000000004">
      <c r="W26133"/>
    </row>
    <row r="26134" spans="23:23" x14ac:dyDescent="0.55000000000000004">
      <c r="W26134"/>
    </row>
    <row r="26135" spans="23:23" x14ac:dyDescent="0.55000000000000004">
      <c r="W26135"/>
    </row>
    <row r="26136" spans="23:23" x14ac:dyDescent="0.55000000000000004">
      <c r="W26136"/>
    </row>
    <row r="26137" spans="23:23" x14ac:dyDescent="0.55000000000000004">
      <c r="W26137"/>
    </row>
    <row r="26138" spans="23:23" x14ac:dyDescent="0.55000000000000004">
      <c r="W26138"/>
    </row>
    <row r="26139" spans="23:23" x14ac:dyDescent="0.55000000000000004">
      <c r="W26139"/>
    </row>
    <row r="26140" spans="23:23" x14ac:dyDescent="0.55000000000000004">
      <c r="W26140"/>
    </row>
    <row r="26141" spans="23:23" x14ac:dyDescent="0.55000000000000004">
      <c r="W26141"/>
    </row>
    <row r="26142" spans="23:23" x14ac:dyDescent="0.55000000000000004">
      <c r="W26142"/>
    </row>
    <row r="26143" spans="23:23" x14ac:dyDescent="0.55000000000000004">
      <c r="W26143"/>
    </row>
    <row r="26144" spans="23:23" x14ac:dyDescent="0.55000000000000004">
      <c r="W26144"/>
    </row>
    <row r="26145" spans="23:23" x14ac:dyDescent="0.55000000000000004">
      <c r="W26145"/>
    </row>
    <row r="26146" spans="23:23" x14ac:dyDescent="0.55000000000000004">
      <c r="W26146"/>
    </row>
    <row r="26147" spans="23:23" x14ac:dyDescent="0.55000000000000004">
      <c r="W26147"/>
    </row>
    <row r="26148" spans="23:23" x14ac:dyDescent="0.55000000000000004">
      <c r="W26148"/>
    </row>
    <row r="26149" spans="23:23" x14ac:dyDescent="0.55000000000000004">
      <c r="W26149"/>
    </row>
    <row r="26150" spans="23:23" x14ac:dyDescent="0.55000000000000004">
      <c r="W26150"/>
    </row>
    <row r="26151" spans="23:23" x14ac:dyDescent="0.55000000000000004">
      <c r="W26151"/>
    </row>
    <row r="26152" spans="23:23" x14ac:dyDescent="0.55000000000000004">
      <c r="W26152"/>
    </row>
    <row r="26153" spans="23:23" x14ac:dyDescent="0.55000000000000004">
      <c r="W26153"/>
    </row>
    <row r="26154" spans="23:23" x14ac:dyDescent="0.55000000000000004">
      <c r="W26154"/>
    </row>
    <row r="26155" spans="23:23" x14ac:dyDescent="0.55000000000000004">
      <c r="W26155"/>
    </row>
    <row r="26156" spans="23:23" x14ac:dyDescent="0.55000000000000004">
      <c r="W26156"/>
    </row>
    <row r="26157" spans="23:23" x14ac:dyDescent="0.55000000000000004">
      <c r="W26157"/>
    </row>
    <row r="26158" spans="23:23" x14ac:dyDescent="0.55000000000000004">
      <c r="W26158"/>
    </row>
    <row r="26159" spans="23:23" x14ac:dyDescent="0.55000000000000004">
      <c r="W26159"/>
    </row>
    <row r="26160" spans="23:23" x14ac:dyDescent="0.55000000000000004">
      <c r="W26160"/>
    </row>
    <row r="26161" spans="23:23" x14ac:dyDescent="0.55000000000000004">
      <c r="W26161"/>
    </row>
    <row r="26162" spans="23:23" x14ac:dyDescent="0.55000000000000004">
      <c r="W26162"/>
    </row>
    <row r="26163" spans="23:23" x14ac:dyDescent="0.55000000000000004">
      <c r="W26163"/>
    </row>
    <row r="26164" spans="23:23" x14ac:dyDescent="0.55000000000000004">
      <c r="W26164"/>
    </row>
    <row r="26165" spans="23:23" x14ac:dyDescent="0.55000000000000004">
      <c r="W26165"/>
    </row>
    <row r="26166" spans="23:23" x14ac:dyDescent="0.55000000000000004">
      <c r="W26166"/>
    </row>
    <row r="26167" spans="23:23" x14ac:dyDescent="0.55000000000000004">
      <c r="W26167"/>
    </row>
    <row r="26168" spans="23:23" x14ac:dyDescent="0.55000000000000004">
      <c r="W26168"/>
    </row>
    <row r="26169" spans="23:23" x14ac:dyDescent="0.55000000000000004">
      <c r="W26169"/>
    </row>
    <row r="26170" spans="23:23" x14ac:dyDescent="0.55000000000000004">
      <c r="W26170"/>
    </row>
    <row r="26171" spans="23:23" x14ac:dyDescent="0.55000000000000004">
      <c r="W26171"/>
    </row>
    <row r="26172" spans="23:23" x14ac:dyDescent="0.55000000000000004">
      <c r="W26172"/>
    </row>
    <row r="26173" spans="23:23" x14ac:dyDescent="0.55000000000000004">
      <c r="W26173"/>
    </row>
    <row r="26174" spans="23:23" x14ac:dyDescent="0.55000000000000004">
      <c r="W26174"/>
    </row>
    <row r="26175" spans="23:23" x14ac:dyDescent="0.55000000000000004">
      <c r="W26175"/>
    </row>
    <row r="26176" spans="23:23" x14ac:dyDescent="0.55000000000000004">
      <c r="W26176"/>
    </row>
    <row r="26177" spans="23:23" x14ac:dyDescent="0.55000000000000004">
      <c r="W26177"/>
    </row>
    <row r="26178" spans="23:23" x14ac:dyDescent="0.55000000000000004">
      <c r="W26178"/>
    </row>
    <row r="26179" spans="23:23" x14ac:dyDescent="0.55000000000000004">
      <c r="W26179"/>
    </row>
    <row r="26180" spans="23:23" x14ac:dyDescent="0.55000000000000004">
      <c r="W26180"/>
    </row>
    <row r="26181" spans="23:23" x14ac:dyDescent="0.55000000000000004">
      <c r="W26181"/>
    </row>
    <row r="26182" spans="23:23" x14ac:dyDescent="0.55000000000000004">
      <c r="W26182"/>
    </row>
    <row r="26183" spans="23:23" x14ac:dyDescent="0.55000000000000004">
      <c r="W26183"/>
    </row>
    <row r="26184" spans="23:23" x14ac:dyDescent="0.55000000000000004">
      <c r="W26184"/>
    </row>
    <row r="26185" spans="23:23" x14ac:dyDescent="0.55000000000000004">
      <c r="W26185"/>
    </row>
    <row r="26186" spans="23:23" x14ac:dyDescent="0.55000000000000004">
      <c r="W26186"/>
    </row>
    <row r="26187" spans="23:23" x14ac:dyDescent="0.55000000000000004">
      <c r="W26187"/>
    </row>
    <row r="26188" spans="23:23" x14ac:dyDescent="0.55000000000000004">
      <c r="W26188"/>
    </row>
    <row r="26189" spans="23:23" x14ac:dyDescent="0.55000000000000004">
      <c r="W26189"/>
    </row>
    <row r="26190" spans="23:23" x14ac:dyDescent="0.55000000000000004">
      <c r="W26190"/>
    </row>
    <row r="26191" spans="23:23" x14ac:dyDescent="0.55000000000000004">
      <c r="W26191"/>
    </row>
    <row r="26192" spans="23:23" x14ac:dyDescent="0.55000000000000004">
      <c r="W26192"/>
    </row>
    <row r="26193" spans="23:23" x14ac:dyDescent="0.55000000000000004">
      <c r="W26193"/>
    </row>
    <row r="26194" spans="23:23" x14ac:dyDescent="0.55000000000000004">
      <c r="W26194"/>
    </row>
    <row r="26195" spans="23:23" x14ac:dyDescent="0.55000000000000004">
      <c r="W26195"/>
    </row>
    <row r="26196" spans="23:23" x14ac:dyDescent="0.55000000000000004">
      <c r="W26196"/>
    </row>
    <row r="26197" spans="23:23" x14ac:dyDescent="0.55000000000000004">
      <c r="W26197"/>
    </row>
    <row r="26198" spans="23:23" x14ac:dyDescent="0.55000000000000004">
      <c r="W26198"/>
    </row>
    <row r="26199" spans="23:23" x14ac:dyDescent="0.55000000000000004">
      <c r="W26199"/>
    </row>
    <row r="26200" spans="23:23" x14ac:dyDescent="0.55000000000000004">
      <c r="W26200"/>
    </row>
    <row r="26201" spans="23:23" x14ac:dyDescent="0.55000000000000004">
      <c r="W26201"/>
    </row>
    <row r="26202" spans="23:23" x14ac:dyDescent="0.55000000000000004">
      <c r="W26202"/>
    </row>
    <row r="26203" spans="23:23" x14ac:dyDescent="0.55000000000000004">
      <c r="W26203"/>
    </row>
    <row r="26204" spans="23:23" x14ac:dyDescent="0.55000000000000004">
      <c r="W26204"/>
    </row>
    <row r="26205" spans="23:23" x14ac:dyDescent="0.55000000000000004">
      <c r="W26205"/>
    </row>
    <row r="26206" spans="23:23" x14ac:dyDescent="0.55000000000000004">
      <c r="W26206"/>
    </row>
    <row r="26207" spans="23:23" x14ac:dyDescent="0.55000000000000004">
      <c r="W26207"/>
    </row>
    <row r="26208" spans="23:23" x14ac:dyDescent="0.55000000000000004">
      <c r="W26208"/>
    </row>
    <row r="26209" spans="23:23" x14ac:dyDescent="0.55000000000000004">
      <c r="W26209"/>
    </row>
    <row r="26210" spans="23:23" x14ac:dyDescent="0.55000000000000004">
      <c r="W26210"/>
    </row>
    <row r="26211" spans="23:23" x14ac:dyDescent="0.55000000000000004">
      <c r="W26211"/>
    </row>
    <row r="26212" spans="23:23" x14ac:dyDescent="0.55000000000000004">
      <c r="W26212"/>
    </row>
    <row r="26213" spans="23:23" x14ac:dyDescent="0.55000000000000004">
      <c r="W26213"/>
    </row>
    <row r="26214" spans="23:23" x14ac:dyDescent="0.55000000000000004">
      <c r="W26214"/>
    </row>
    <row r="26215" spans="23:23" x14ac:dyDescent="0.55000000000000004">
      <c r="W26215"/>
    </row>
    <row r="26216" spans="23:23" x14ac:dyDescent="0.55000000000000004">
      <c r="W26216"/>
    </row>
    <row r="26217" spans="23:23" x14ac:dyDescent="0.55000000000000004">
      <c r="W26217"/>
    </row>
    <row r="26218" spans="23:23" x14ac:dyDescent="0.55000000000000004">
      <c r="W26218"/>
    </row>
    <row r="26219" spans="23:23" x14ac:dyDescent="0.55000000000000004">
      <c r="W26219"/>
    </row>
    <row r="26220" spans="23:23" x14ac:dyDescent="0.55000000000000004">
      <c r="W26220"/>
    </row>
    <row r="26221" spans="23:23" x14ac:dyDescent="0.55000000000000004">
      <c r="W26221"/>
    </row>
    <row r="26222" spans="23:23" x14ac:dyDescent="0.55000000000000004">
      <c r="W26222"/>
    </row>
    <row r="26223" spans="23:23" x14ac:dyDescent="0.55000000000000004">
      <c r="W26223"/>
    </row>
    <row r="26224" spans="23:23" x14ac:dyDescent="0.55000000000000004">
      <c r="W26224"/>
    </row>
    <row r="26225" spans="23:23" x14ac:dyDescent="0.55000000000000004">
      <c r="W26225"/>
    </row>
    <row r="26226" spans="23:23" x14ac:dyDescent="0.55000000000000004">
      <c r="W26226"/>
    </row>
    <row r="26227" spans="23:23" x14ac:dyDescent="0.55000000000000004">
      <c r="W26227"/>
    </row>
    <row r="26228" spans="23:23" x14ac:dyDescent="0.55000000000000004">
      <c r="W26228"/>
    </row>
    <row r="26229" spans="23:23" x14ac:dyDescent="0.55000000000000004">
      <c r="W26229"/>
    </row>
    <row r="26230" spans="23:23" x14ac:dyDescent="0.55000000000000004">
      <c r="W26230"/>
    </row>
    <row r="26231" spans="23:23" x14ac:dyDescent="0.55000000000000004">
      <c r="W26231"/>
    </row>
    <row r="26232" spans="23:23" x14ac:dyDescent="0.55000000000000004">
      <c r="W26232"/>
    </row>
    <row r="26233" spans="23:23" x14ac:dyDescent="0.55000000000000004">
      <c r="W26233"/>
    </row>
    <row r="26234" spans="23:23" x14ac:dyDescent="0.55000000000000004">
      <c r="W26234"/>
    </row>
    <row r="26235" spans="23:23" x14ac:dyDescent="0.55000000000000004">
      <c r="W26235"/>
    </row>
    <row r="26236" spans="23:23" x14ac:dyDescent="0.55000000000000004">
      <c r="W26236"/>
    </row>
    <row r="26237" spans="23:23" x14ac:dyDescent="0.55000000000000004">
      <c r="W26237"/>
    </row>
    <row r="26238" spans="23:23" x14ac:dyDescent="0.55000000000000004">
      <c r="W26238"/>
    </row>
    <row r="26239" spans="23:23" x14ac:dyDescent="0.55000000000000004">
      <c r="W26239"/>
    </row>
    <row r="26240" spans="23:23" x14ac:dyDescent="0.55000000000000004">
      <c r="W26240"/>
    </row>
    <row r="26241" spans="23:23" x14ac:dyDescent="0.55000000000000004">
      <c r="W26241"/>
    </row>
    <row r="26242" spans="23:23" x14ac:dyDescent="0.55000000000000004">
      <c r="W26242"/>
    </row>
    <row r="26243" spans="23:23" x14ac:dyDescent="0.55000000000000004">
      <c r="W26243"/>
    </row>
    <row r="26244" spans="23:23" x14ac:dyDescent="0.55000000000000004">
      <c r="W26244"/>
    </row>
    <row r="26245" spans="23:23" x14ac:dyDescent="0.55000000000000004">
      <c r="W26245"/>
    </row>
    <row r="26246" spans="23:23" x14ac:dyDescent="0.55000000000000004">
      <c r="W26246"/>
    </row>
    <row r="26247" spans="23:23" x14ac:dyDescent="0.55000000000000004">
      <c r="W26247"/>
    </row>
    <row r="26248" spans="23:23" x14ac:dyDescent="0.55000000000000004">
      <c r="W26248"/>
    </row>
    <row r="26249" spans="23:23" x14ac:dyDescent="0.55000000000000004">
      <c r="W26249"/>
    </row>
    <row r="26250" spans="23:23" x14ac:dyDescent="0.55000000000000004">
      <c r="W26250"/>
    </row>
    <row r="26251" spans="23:23" x14ac:dyDescent="0.55000000000000004">
      <c r="W26251"/>
    </row>
    <row r="26252" spans="23:23" x14ac:dyDescent="0.55000000000000004">
      <c r="W26252"/>
    </row>
    <row r="26253" spans="23:23" x14ac:dyDescent="0.55000000000000004">
      <c r="W26253"/>
    </row>
    <row r="26254" spans="23:23" x14ac:dyDescent="0.55000000000000004">
      <c r="W26254"/>
    </row>
    <row r="26255" spans="23:23" x14ac:dyDescent="0.55000000000000004">
      <c r="W26255"/>
    </row>
    <row r="26256" spans="23:23" x14ac:dyDescent="0.55000000000000004">
      <c r="W26256"/>
    </row>
    <row r="26257" spans="23:23" x14ac:dyDescent="0.55000000000000004">
      <c r="W26257"/>
    </row>
    <row r="26258" spans="23:23" x14ac:dyDescent="0.55000000000000004">
      <c r="W26258"/>
    </row>
    <row r="26259" spans="23:23" x14ac:dyDescent="0.55000000000000004">
      <c r="W26259"/>
    </row>
    <row r="26260" spans="23:23" x14ac:dyDescent="0.55000000000000004">
      <c r="W26260"/>
    </row>
    <row r="26261" spans="23:23" x14ac:dyDescent="0.55000000000000004">
      <c r="W26261"/>
    </row>
    <row r="26262" spans="23:23" x14ac:dyDescent="0.55000000000000004">
      <c r="W26262"/>
    </row>
    <row r="26263" spans="23:23" x14ac:dyDescent="0.55000000000000004">
      <c r="W26263"/>
    </row>
    <row r="26264" spans="23:23" x14ac:dyDescent="0.55000000000000004">
      <c r="W26264"/>
    </row>
    <row r="26265" spans="23:23" x14ac:dyDescent="0.55000000000000004">
      <c r="W26265"/>
    </row>
    <row r="26266" spans="23:23" x14ac:dyDescent="0.55000000000000004">
      <c r="W26266"/>
    </row>
    <row r="26267" spans="23:23" x14ac:dyDescent="0.55000000000000004">
      <c r="W26267"/>
    </row>
    <row r="26268" spans="23:23" x14ac:dyDescent="0.55000000000000004">
      <c r="W26268"/>
    </row>
    <row r="26269" spans="23:23" x14ac:dyDescent="0.55000000000000004">
      <c r="W26269"/>
    </row>
    <row r="26270" spans="23:23" x14ac:dyDescent="0.55000000000000004">
      <c r="W26270"/>
    </row>
    <row r="26271" spans="23:23" x14ac:dyDescent="0.55000000000000004">
      <c r="W26271"/>
    </row>
    <row r="26272" spans="23:23" x14ac:dyDescent="0.55000000000000004">
      <c r="W26272"/>
    </row>
    <row r="26273" spans="23:23" x14ac:dyDescent="0.55000000000000004">
      <c r="W26273"/>
    </row>
    <row r="26274" spans="23:23" x14ac:dyDescent="0.55000000000000004">
      <c r="W26274"/>
    </row>
    <row r="26275" spans="23:23" x14ac:dyDescent="0.55000000000000004">
      <c r="W26275"/>
    </row>
    <row r="26276" spans="23:23" x14ac:dyDescent="0.55000000000000004">
      <c r="W26276"/>
    </row>
    <row r="26277" spans="23:23" x14ac:dyDescent="0.55000000000000004">
      <c r="W26277"/>
    </row>
    <row r="26278" spans="23:23" x14ac:dyDescent="0.55000000000000004">
      <c r="W26278"/>
    </row>
    <row r="26279" spans="23:23" x14ac:dyDescent="0.55000000000000004">
      <c r="W26279"/>
    </row>
    <row r="26280" spans="23:23" x14ac:dyDescent="0.55000000000000004">
      <c r="W26280"/>
    </row>
    <row r="26281" spans="23:23" x14ac:dyDescent="0.55000000000000004">
      <c r="W26281"/>
    </row>
    <row r="26282" spans="23:23" x14ac:dyDescent="0.55000000000000004">
      <c r="W26282"/>
    </row>
    <row r="26283" spans="23:23" x14ac:dyDescent="0.55000000000000004">
      <c r="W26283"/>
    </row>
    <row r="26284" spans="23:23" x14ac:dyDescent="0.55000000000000004">
      <c r="W26284"/>
    </row>
    <row r="26285" spans="23:23" x14ac:dyDescent="0.55000000000000004">
      <c r="W26285"/>
    </row>
    <row r="26286" spans="23:23" x14ac:dyDescent="0.55000000000000004">
      <c r="W26286"/>
    </row>
    <row r="26287" spans="23:23" x14ac:dyDescent="0.55000000000000004">
      <c r="W26287"/>
    </row>
    <row r="26288" spans="23:23" x14ac:dyDescent="0.55000000000000004">
      <c r="W26288"/>
    </row>
    <row r="26289" spans="23:23" x14ac:dyDescent="0.55000000000000004">
      <c r="W26289"/>
    </row>
    <row r="26290" spans="23:23" x14ac:dyDescent="0.55000000000000004">
      <c r="W26290"/>
    </row>
    <row r="26291" spans="23:23" x14ac:dyDescent="0.55000000000000004">
      <c r="W26291"/>
    </row>
    <row r="26292" spans="23:23" x14ac:dyDescent="0.55000000000000004">
      <c r="W26292"/>
    </row>
    <row r="26293" spans="23:23" x14ac:dyDescent="0.55000000000000004">
      <c r="W26293"/>
    </row>
    <row r="26294" spans="23:23" x14ac:dyDescent="0.55000000000000004">
      <c r="W26294"/>
    </row>
    <row r="26295" spans="23:23" x14ac:dyDescent="0.55000000000000004">
      <c r="W26295"/>
    </row>
    <row r="26296" spans="23:23" x14ac:dyDescent="0.55000000000000004">
      <c r="W26296"/>
    </row>
    <row r="26297" spans="23:23" x14ac:dyDescent="0.55000000000000004">
      <c r="W26297"/>
    </row>
    <row r="26298" spans="23:23" x14ac:dyDescent="0.55000000000000004">
      <c r="W26298"/>
    </row>
    <row r="26299" spans="23:23" x14ac:dyDescent="0.55000000000000004">
      <c r="W26299"/>
    </row>
    <row r="26300" spans="23:23" x14ac:dyDescent="0.55000000000000004">
      <c r="W26300"/>
    </row>
    <row r="26301" spans="23:23" x14ac:dyDescent="0.55000000000000004">
      <c r="W26301"/>
    </row>
    <row r="26302" spans="23:23" x14ac:dyDescent="0.55000000000000004">
      <c r="W26302"/>
    </row>
    <row r="26303" spans="23:23" x14ac:dyDescent="0.55000000000000004">
      <c r="W26303"/>
    </row>
    <row r="26304" spans="23:23" x14ac:dyDescent="0.55000000000000004">
      <c r="W26304"/>
    </row>
    <row r="26305" spans="23:23" x14ac:dyDescent="0.55000000000000004">
      <c r="W26305"/>
    </row>
    <row r="26306" spans="23:23" x14ac:dyDescent="0.55000000000000004">
      <c r="W26306"/>
    </row>
    <row r="26307" spans="23:23" x14ac:dyDescent="0.55000000000000004">
      <c r="W26307"/>
    </row>
    <row r="26308" spans="23:23" x14ac:dyDescent="0.55000000000000004">
      <c r="W26308"/>
    </row>
    <row r="26309" spans="23:23" x14ac:dyDescent="0.55000000000000004">
      <c r="W26309"/>
    </row>
    <row r="26310" spans="23:23" x14ac:dyDescent="0.55000000000000004">
      <c r="W26310"/>
    </row>
    <row r="26311" spans="23:23" x14ac:dyDescent="0.55000000000000004">
      <c r="W26311"/>
    </row>
    <row r="26312" spans="23:23" x14ac:dyDescent="0.55000000000000004">
      <c r="W26312"/>
    </row>
    <row r="26313" spans="23:23" x14ac:dyDescent="0.55000000000000004">
      <c r="W26313"/>
    </row>
    <row r="26314" spans="23:23" x14ac:dyDescent="0.55000000000000004">
      <c r="W26314"/>
    </row>
    <row r="26315" spans="23:23" x14ac:dyDescent="0.55000000000000004">
      <c r="W26315"/>
    </row>
    <row r="26316" spans="23:23" x14ac:dyDescent="0.55000000000000004">
      <c r="W26316"/>
    </row>
    <row r="26317" spans="23:23" x14ac:dyDescent="0.55000000000000004">
      <c r="W26317"/>
    </row>
    <row r="26318" spans="23:23" x14ac:dyDescent="0.55000000000000004">
      <c r="W26318"/>
    </row>
    <row r="26319" spans="23:23" x14ac:dyDescent="0.55000000000000004">
      <c r="W26319"/>
    </row>
    <row r="26320" spans="23:23" x14ac:dyDescent="0.55000000000000004">
      <c r="W26320"/>
    </row>
    <row r="26321" spans="23:23" x14ac:dyDescent="0.55000000000000004">
      <c r="W26321"/>
    </row>
    <row r="26322" spans="23:23" x14ac:dyDescent="0.55000000000000004">
      <c r="W26322"/>
    </row>
    <row r="26323" spans="23:23" x14ac:dyDescent="0.55000000000000004">
      <c r="W26323"/>
    </row>
    <row r="26324" spans="23:23" x14ac:dyDescent="0.55000000000000004">
      <c r="W26324"/>
    </row>
    <row r="26325" spans="23:23" x14ac:dyDescent="0.55000000000000004">
      <c r="W26325"/>
    </row>
    <row r="26326" spans="23:23" x14ac:dyDescent="0.55000000000000004">
      <c r="W26326"/>
    </row>
    <row r="26327" spans="23:23" x14ac:dyDescent="0.55000000000000004">
      <c r="W26327"/>
    </row>
    <row r="26328" spans="23:23" x14ac:dyDescent="0.55000000000000004">
      <c r="W26328"/>
    </row>
    <row r="26329" spans="23:23" x14ac:dyDescent="0.55000000000000004">
      <c r="W26329"/>
    </row>
    <row r="26330" spans="23:23" x14ac:dyDescent="0.55000000000000004">
      <c r="W26330"/>
    </row>
    <row r="26331" spans="23:23" x14ac:dyDescent="0.55000000000000004">
      <c r="W26331"/>
    </row>
    <row r="26332" spans="23:23" x14ac:dyDescent="0.55000000000000004">
      <c r="W26332"/>
    </row>
    <row r="26333" spans="23:23" x14ac:dyDescent="0.55000000000000004">
      <c r="W26333"/>
    </row>
    <row r="26334" spans="23:23" x14ac:dyDescent="0.55000000000000004">
      <c r="W26334"/>
    </row>
    <row r="26335" spans="23:23" x14ac:dyDescent="0.55000000000000004">
      <c r="W26335"/>
    </row>
    <row r="26336" spans="23:23" x14ac:dyDescent="0.55000000000000004">
      <c r="W26336"/>
    </row>
    <row r="26337" spans="23:23" x14ac:dyDescent="0.55000000000000004">
      <c r="W26337"/>
    </row>
    <row r="26338" spans="23:23" x14ac:dyDescent="0.55000000000000004">
      <c r="W26338"/>
    </row>
    <row r="26339" spans="23:23" x14ac:dyDescent="0.55000000000000004">
      <c r="W26339"/>
    </row>
    <row r="26340" spans="23:23" x14ac:dyDescent="0.55000000000000004">
      <c r="W26340"/>
    </row>
    <row r="26341" spans="23:23" x14ac:dyDescent="0.55000000000000004">
      <c r="W26341"/>
    </row>
    <row r="26342" spans="23:23" x14ac:dyDescent="0.55000000000000004">
      <c r="W26342"/>
    </row>
    <row r="26343" spans="23:23" x14ac:dyDescent="0.55000000000000004">
      <c r="W26343"/>
    </row>
    <row r="26344" spans="23:23" x14ac:dyDescent="0.55000000000000004">
      <c r="W26344"/>
    </row>
    <row r="26345" spans="23:23" x14ac:dyDescent="0.55000000000000004">
      <c r="W26345"/>
    </row>
    <row r="26346" spans="23:23" x14ac:dyDescent="0.55000000000000004">
      <c r="W26346"/>
    </row>
    <row r="26347" spans="23:23" x14ac:dyDescent="0.55000000000000004">
      <c r="W26347"/>
    </row>
    <row r="26348" spans="23:23" x14ac:dyDescent="0.55000000000000004">
      <c r="W26348"/>
    </row>
    <row r="26349" spans="23:23" x14ac:dyDescent="0.55000000000000004">
      <c r="W26349"/>
    </row>
    <row r="26350" spans="23:23" x14ac:dyDescent="0.55000000000000004">
      <c r="W26350"/>
    </row>
    <row r="26351" spans="23:23" x14ac:dyDescent="0.55000000000000004">
      <c r="W26351"/>
    </row>
    <row r="26352" spans="23:23" x14ac:dyDescent="0.55000000000000004">
      <c r="W26352"/>
    </row>
    <row r="26353" spans="23:23" x14ac:dyDescent="0.55000000000000004">
      <c r="W26353"/>
    </row>
    <row r="26354" spans="23:23" x14ac:dyDescent="0.55000000000000004">
      <c r="W26354"/>
    </row>
    <row r="26355" spans="23:23" x14ac:dyDescent="0.55000000000000004">
      <c r="W26355"/>
    </row>
    <row r="26356" spans="23:23" x14ac:dyDescent="0.55000000000000004">
      <c r="W26356"/>
    </row>
    <row r="26357" spans="23:23" x14ac:dyDescent="0.55000000000000004">
      <c r="W26357"/>
    </row>
    <row r="26358" spans="23:23" x14ac:dyDescent="0.55000000000000004">
      <c r="W26358"/>
    </row>
    <row r="26359" spans="23:23" x14ac:dyDescent="0.55000000000000004">
      <c r="W26359"/>
    </row>
    <row r="26360" spans="23:23" x14ac:dyDescent="0.55000000000000004">
      <c r="W26360"/>
    </row>
    <row r="26361" spans="23:23" x14ac:dyDescent="0.55000000000000004">
      <c r="W26361"/>
    </row>
    <row r="26362" spans="23:23" x14ac:dyDescent="0.55000000000000004">
      <c r="W26362"/>
    </row>
    <row r="26363" spans="23:23" x14ac:dyDescent="0.55000000000000004">
      <c r="W26363"/>
    </row>
    <row r="26364" spans="23:23" x14ac:dyDescent="0.55000000000000004">
      <c r="W26364"/>
    </row>
    <row r="26365" spans="23:23" x14ac:dyDescent="0.55000000000000004">
      <c r="W26365"/>
    </row>
    <row r="26366" spans="23:23" x14ac:dyDescent="0.55000000000000004">
      <c r="W26366"/>
    </row>
    <row r="26367" spans="23:23" x14ac:dyDescent="0.55000000000000004">
      <c r="W26367"/>
    </row>
    <row r="26368" spans="23:23" x14ac:dyDescent="0.55000000000000004">
      <c r="W26368"/>
    </row>
    <row r="26369" spans="23:23" x14ac:dyDescent="0.55000000000000004">
      <c r="W26369"/>
    </row>
    <row r="26370" spans="23:23" x14ac:dyDescent="0.55000000000000004">
      <c r="W26370"/>
    </row>
    <row r="26371" spans="23:23" x14ac:dyDescent="0.55000000000000004">
      <c r="W26371"/>
    </row>
    <row r="26372" spans="23:23" x14ac:dyDescent="0.55000000000000004">
      <c r="W26372"/>
    </row>
    <row r="26373" spans="23:23" x14ac:dyDescent="0.55000000000000004">
      <c r="W26373"/>
    </row>
    <row r="26374" spans="23:23" x14ac:dyDescent="0.55000000000000004">
      <c r="W26374"/>
    </row>
    <row r="26375" spans="23:23" x14ac:dyDescent="0.55000000000000004">
      <c r="W26375"/>
    </row>
    <row r="26376" spans="23:23" x14ac:dyDescent="0.55000000000000004">
      <c r="W26376"/>
    </row>
    <row r="26377" spans="23:23" x14ac:dyDescent="0.55000000000000004">
      <c r="W26377"/>
    </row>
    <row r="26378" spans="23:23" x14ac:dyDescent="0.55000000000000004">
      <c r="W26378"/>
    </row>
    <row r="26379" spans="23:23" x14ac:dyDescent="0.55000000000000004">
      <c r="W26379"/>
    </row>
    <row r="26380" spans="23:23" x14ac:dyDescent="0.55000000000000004">
      <c r="W26380"/>
    </row>
    <row r="26381" spans="23:23" x14ac:dyDescent="0.55000000000000004">
      <c r="W26381"/>
    </row>
    <row r="26382" spans="23:23" x14ac:dyDescent="0.55000000000000004">
      <c r="W26382"/>
    </row>
    <row r="26383" spans="23:23" x14ac:dyDescent="0.55000000000000004">
      <c r="W26383"/>
    </row>
    <row r="26384" spans="23:23" x14ac:dyDescent="0.55000000000000004">
      <c r="W26384"/>
    </row>
    <row r="26385" spans="23:23" x14ac:dyDescent="0.55000000000000004">
      <c r="W26385"/>
    </row>
    <row r="26386" spans="23:23" x14ac:dyDescent="0.55000000000000004">
      <c r="W26386"/>
    </row>
    <row r="26387" spans="23:23" x14ac:dyDescent="0.55000000000000004">
      <c r="W26387"/>
    </row>
    <row r="26388" spans="23:23" x14ac:dyDescent="0.55000000000000004">
      <c r="W26388"/>
    </row>
    <row r="26389" spans="23:23" x14ac:dyDescent="0.55000000000000004">
      <c r="W26389"/>
    </row>
    <row r="26390" spans="23:23" x14ac:dyDescent="0.55000000000000004">
      <c r="W26390"/>
    </row>
    <row r="26391" spans="23:23" x14ac:dyDescent="0.55000000000000004">
      <c r="W26391"/>
    </row>
    <row r="26392" spans="23:23" x14ac:dyDescent="0.55000000000000004">
      <c r="W26392"/>
    </row>
    <row r="26393" spans="23:23" x14ac:dyDescent="0.55000000000000004">
      <c r="W26393"/>
    </row>
    <row r="26394" spans="23:23" x14ac:dyDescent="0.55000000000000004">
      <c r="W26394"/>
    </row>
    <row r="26395" spans="23:23" x14ac:dyDescent="0.55000000000000004">
      <c r="W26395"/>
    </row>
    <row r="26396" spans="23:23" x14ac:dyDescent="0.55000000000000004">
      <c r="W26396"/>
    </row>
    <row r="26397" spans="23:23" x14ac:dyDescent="0.55000000000000004">
      <c r="W26397"/>
    </row>
    <row r="26398" spans="23:23" x14ac:dyDescent="0.55000000000000004">
      <c r="W26398"/>
    </row>
    <row r="26399" spans="23:23" x14ac:dyDescent="0.55000000000000004">
      <c r="W26399"/>
    </row>
    <row r="26400" spans="23:23" x14ac:dyDescent="0.55000000000000004">
      <c r="W26400"/>
    </row>
    <row r="26401" spans="23:23" x14ac:dyDescent="0.55000000000000004">
      <c r="W26401"/>
    </row>
    <row r="26402" spans="23:23" x14ac:dyDescent="0.55000000000000004">
      <c r="W26402"/>
    </row>
    <row r="26403" spans="23:23" x14ac:dyDescent="0.55000000000000004">
      <c r="W26403"/>
    </row>
    <row r="26404" spans="23:23" x14ac:dyDescent="0.55000000000000004">
      <c r="W26404"/>
    </row>
    <row r="26405" spans="23:23" x14ac:dyDescent="0.55000000000000004">
      <c r="W26405"/>
    </row>
    <row r="26406" spans="23:23" x14ac:dyDescent="0.55000000000000004">
      <c r="W26406"/>
    </row>
    <row r="26407" spans="23:23" x14ac:dyDescent="0.55000000000000004">
      <c r="W26407"/>
    </row>
    <row r="26408" spans="23:23" x14ac:dyDescent="0.55000000000000004">
      <c r="W26408"/>
    </row>
    <row r="26409" spans="23:23" x14ac:dyDescent="0.55000000000000004">
      <c r="W26409"/>
    </row>
    <row r="26410" spans="23:23" x14ac:dyDescent="0.55000000000000004">
      <c r="W26410"/>
    </row>
    <row r="26411" spans="23:23" x14ac:dyDescent="0.55000000000000004">
      <c r="W26411"/>
    </row>
    <row r="26412" spans="23:23" x14ac:dyDescent="0.55000000000000004">
      <c r="W26412"/>
    </row>
    <row r="26413" spans="23:23" x14ac:dyDescent="0.55000000000000004">
      <c r="W26413"/>
    </row>
    <row r="26414" spans="23:23" x14ac:dyDescent="0.55000000000000004">
      <c r="W26414"/>
    </row>
    <row r="26415" spans="23:23" x14ac:dyDescent="0.55000000000000004">
      <c r="W26415"/>
    </row>
    <row r="26416" spans="23:23" x14ac:dyDescent="0.55000000000000004">
      <c r="W26416"/>
    </row>
    <row r="26417" spans="23:23" x14ac:dyDescent="0.55000000000000004">
      <c r="W26417"/>
    </row>
    <row r="26418" spans="23:23" x14ac:dyDescent="0.55000000000000004">
      <c r="W26418"/>
    </row>
    <row r="26419" spans="23:23" x14ac:dyDescent="0.55000000000000004">
      <c r="W26419"/>
    </row>
    <row r="26420" spans="23:23" x14ac:dyDescent="0.55000000000000004">
      <c r="W26420"/>
    </row>
    <row r="26421" spans="23:23" x14ac:dyDescent="0.55000000000000004">
      <c r="W26421"/>
    </row>
    <row r="26422" spans="23:23" x14ac:dyDescent="0.55000000000000004">
      <c r="W26422"/>
    </row>
    <row r="26423" spans="23:23" x14ac:dyDescent="0.55000000000000004">
      <c r="W26423"/>
    </row>
    <row r="26424" spans="23:23" x14ac:dyDescent="0.55000000000000004">
      <c r="W26424"/>
    </row>
    <row r="26425" spans="23:23" x14ac:dyDescent="0.55000000000000004">
      <c r="W26425"/>
    </row>
    <row r="26426" spans="23:23" x14ac:dyDescent="0.55000000000000004">
      <c r="W26426"/>
    </row>
    <row r="26427" spans="23:23" x14ac:dyDescent="0.55000000000000004">
      <c r="W26427"/>
    </row>
    <row r="26428" spans="23:23" x14ac:dyDescent="0.55000000000000004">
      <c r="W26428"/>
    </row>
    <row r="26429" spans="23:23" x14ac:dyDescent="0.55000000000000004">
      <c r="W26429"/>
    </row>
    <row r="26430" spans="23:23" x14ac:dyDescent="0.55000000000000004">
      <c r="W26430"/>
    </row>
    <row r="26431" spans="23:23" x14ac:dyDescent="0.55000000000000004">
      <c r="W26431"/>
    </row>
    <row r="26432" spans="23:23" x14ac:dyDescent="0.55000000000000004">
      <c r="W26432"/>
    </row>
    <row r="26433" spans="23:23" x14ac:dyDescent="0.55000000000000004">
      <c r="W26433"/>
    </row>
    <row r="26434" spans="23:23" x14ac:dyDescent="0.55000000000000004">
      <c r="W26434"/>
    </row>
    <row r="26435" spans="23:23" x14ac:dyDescent="0.55000000000000004">
      <c r="W26435"/>
    </row>
    <row r="26436" spans="23:23" x14ac:dyDescent="0.55000000000000004">
      <c r="W26436"/>
    </row>
    <row r="26437" spans="23:23" x14ac:dyDescent="0.55000000000000004">
      <c r="W26437"/>
    </row>
    <row r="26438" spans="23:23" x14ac:dyDescent="0.55000000000000004">
      <c r="W26438"/>
    </row>
    <row r="26439" spans="23:23" x14ac:dyDescent="0.55000000000000004">
      <c r="W26439"/>
    </row>
    <row r="26440" spans="23:23" x14ac:dyDescent="0.55000000000000004">
      <c r="W26440"/>
    </row>
    <row r="26441" spans="23:23" x14ac:dyDescent="0.55000000000000004">
      <c r="W26441"/>
    </row>
    <row r="26442" spans="23:23" x14ac:dyDescent="0.55000000000000004">
      <c r="W26442"/>
    </row>
    <row r="26443" spans="23:23" x14ac:dyDescent="0.55000000000000004">
      <c r="W26443"/>
    </row>
    <row r="26444" spans="23:23" x14ac:dyDescent="0.55000000000000004">
      <c r="W26444"/>
    </row>
    <row r="26445" spans="23:23" x14ac:dyDescent="0.55000000000000004">
      <c r="W26445"/>
    </row>
    <row r="26446" spans="23:23" x14ac:dyDescent="0.55000000000000004">
      <c r="W26446"/>
    </row>
    <row r="26447" spans="23:23" x14ac:dyDescent="0.55000000000000004">
      <c r="W26447"/>
    </row>
    <row r="26448" spans="23:23" x14ac:dyDescent="0.55000000000000004">
      <c r="W26448"/>
    </row>
    <row r="26449" spans="23:23" x14ac:dyDescent="0.55000000000000004">
      <c r="W26449"/>
    </row>
    <row r="26450" spans="23:23" x14ac:dyDescent="0.55000000000000004">
      <c r="W26450"/>
    </row>
    <row r="26451" spans="23:23" x14ac:dyDescent="0.55000000000000004">
      <c r="W26451"/>
    </row>
    <row r="26452" spans="23:23" x14ac:dyDescent="0.55000000000000004">
      <c r="W26452"/>
    </row>
    <row r="26453" spans="23:23" x14ac:dyDescent="0.55000000000000004">
      <c r="W26453"/>
    </row>
    <row r="26454" spans="23:23" x14ac:dyDescent="0.55000000000000004">
      <c r="W26454"/>
    </row>
    <row r="26455" spans="23:23" x14ac:dyDescent="0.55000000000000004">
      <c r="W26455"/>
    </row>
    <row r="26456" spans="23:23" x14ac:dyDescent="0.55000000000000004">
      <c r="W26456"/>
    </row>
    <row r="26457" spans="23:23" x14ac:dyDescent="0.55000000000000004">
      <c r="W26457"/>
    </row>
    <row r="26458" spans="23:23" x14ac:dyDescent="0.55000000000000004">
      <c r="W26458"/>
    </row>
    <row r="26459" spans="23:23" x14ac:dyDescent="0.55000000000000004">
      <c r="W26459"/>
    </row>
    <row r="26460" spans="23:23" x14ac:dyDescent="0.55000000000000004">
      <c r="W26460"/>
    </row>
    <row r="26461" spans="23:23" x14ac:dyDescent="0.55000000000000004">
      <c r="W26461"/>
    </row>
    <row r="26462" spans="23:23" x14ac:dyDescent="0.55000000000000004">
      <c r="W26462"/>
    </row>
    <row r="26463" spans="23:23" x14ac:dyDescent="0.55000000000000004">
      <c r="W26463"/>
    </row>
    <row r="26464" spans="23:23" x14ac:dyDescent="0.55000000000000004">
      <c r="W26464"/>
    </row>
    <row r="26465" spans="23:23" x14ac:dyDescent="0.55000000000000004">
      <c r="W26465"/>
    </row>
    <row r="26466" spans="23:23" x14ac:dyDescent="0.55000000000000004">
      <c r="W26466"/>
    </row>
    <row r="26467" spans="23:23" x14ac:dyDescent="0.55000000000000004">
      <c r="W26467"/>
    </row>
    <row r="26468" spans="23:23" x14ac:dyDescent="0.55000000000000004">
      <c r="W26468"/>
    </row>
    <row r="26469" spans="23:23" x14ac:dyDescent="0.55000000000000004">
      <c r="W26469"/>
    </row>
    <row r="26470" spans="23:23" x14ac:dyDescent="0.55000000000000004">
      <c r="W26470"/>
    </row>
    <row r="26471" spans="23:23" x14ac:dyDescent="0.55000000000000004">
      <c r="W26471"/>
    </row>
    <row r="26472" spans="23:23" x14ac:dyDescent="0.55000000000000004">
      <c r="W26472"/>
    </row>
    <row r="26473" spans="23:23" x14ac:dyDescent="0.55000000000000004">
      <c r="W26473"/>
    </row>
    <row r="26474" spans="23:23" x14ac:dyDescent="0.55000000000000004">
      <c r="W26474"/>
    </row>
    <row r="26475" spans="23:23" x14ac:dyDescent="0.55000000000000004">
      <c r="W26475"/>
    </row>
    <row r="26476" spans="23:23" x14ac:dyDescent="0.55000000000000004">
      <c r="W26476"/>
    </row>
    <row r="26477" spans="23:23" x14ac:dyDescent="0.55000000000000004">
      <c r="W26477"/>
    </row>
    <row r="26478" spans="23:23" x14ac:dyDescent="0.55000000000000004">
      <c r="W26478"/>
    </row>
    <row r="26479" spans="23:23" x14ac:dyDescent="0.55000000000000004">
      <c r="W26479"/>
    </row>
    <row r="26480" spans="23:23" x14ac:dyDescent="0.55000000000000004">
      <c r="W26480"/>
    </row>
    <row r="26481" spans="23:23" x14ac:dyDescent="0.55000000000000004">
      <c r="W26481"/>
    </row>
    <row r="26482" spans="23:23" x14ac:dyDescent="0.55000000000000004">
      <c r="W26482"/>
    </row>
    <row r="26483" spans="23:23" x14ac:dyDescent="0.55000000000000004">
      <c r="W26483"/>
    </row>
    <row r="26484" spans="23:23" x14ac:dyDescent="0.55000000000000004">
      <c r="W26484"/>
    </row>
    <row r="26485" spans="23:23" x14ac:dyDescent="0.55000000000000004">
      <c r="W26485"/>
    </row>
    <row r="26486" spans="23:23" x14ac:dyDescent="0.55000000000000004">
      <c r="W26486"/>
    </row>
    <row r="26487" spans="23:23" x14ac:dyDescent="0.55000000000000004">
      <c r="W26487"/>
    </row>
    <row r="26488" spans="23:23" x14ac:dyDescent="0.55000000000000004">
      <c r="W26488"/>
    </row>
    <row r="26489" spans="23:23" x14ac:dyDescent="0.55000000000000004">
      <c r="W26489"/>
    </row>
    <row r="26490" spans="23:23" x14ac:dyDescent="0.55000000000000004">
      <c r="W26490"/>
    </row>
    <row r="26491" spans="23:23" x14ac:dyDescent="0.55000000000000004">
      <c r="W26491"/>
    </row>
    <row r="26492" spans="23:23" x14ac:dyDescent="0.55000000000000004">
      <c r="W26492"/>
    </row>
    <row r="26493" spans="23:23" x14ac:dyDescent="0.55000000000000004">
      <c r="W26493"/>
    </row>
    <row r="26494" spans="23:23" x14ac:dyDescent="0.55000000000000004">
      <c r="W26494"/>
    </row>
    <row r="26495" spans="23:23" x14ac:dyDescent="0.55000000000000004">
      <c r="W26495"/>
    </row>
    <row r="26496" spans="23:23" x14ac:dyDescent="0.55000000000000004">
      <c r="W26496"/>
    </row>
    <row r="26497" spans="23:23" x14ac:dyDescent="0.55000000000000004">
      <c r="W26497"/>
    </row>
    <row r="26498" spans="23:23" x14ac:dyDescent="0.55000000000000004">
      <c r="W26498"/>
    </row>
    <row r="26499" spans="23:23" x14ac:dyDescent="0.55000000000000004">
      <c r="W26499"/>
    </row>
    <row r="26500" spans="23:23" x14ac:dyDescent="0.55000000000000004">
      <c r="W26500"/>
    </row>
    <row r="26501" spans="23:23" x14ac:dyDescent="0.55000000000000004">
      <c r="W26501"/>
    </row>
    <row r="26502" spans="23:23" x14ac:dyDescent="0.55000000000000004">
      <c r="W26502"/>
    </row>
    <row r="26503" spans="23:23" x14ac:dyDescent="0.55000000000000004">
      <c r="W26503"/>
    </row>
    <row r="26504" spans="23:23" x14ac:dyDescent="0.55000000000000004">
      <c r="W26504"/>
    </row>
    <row r="26505" spans="23:23" x14ac:dyDescent="0.55000000000000004">
      <c r="W26505"/>
    </row>
    <row r="26506" spans="23:23" x14ac:dyDescent="0.55000000000000004">
      <c r="W26506"/>
    </row>
    <row r="26507" spans="23:23" x14ac:dyDescent="0.55000000000000004">
      <c r="W26507"/>
    </row>
    <row r="26508" spans="23:23" x14ac:dyDescent="0.55000000000000004">
      <c r="W26508"/>
    </row>
    <row r="26509" spans="23:23" x14ac:dyDescent="0.55000000000000004">
      <c r="W26509"/>
    </row>
    <row r="26510" spans="23:23" x14ac:dyDescent="0.55000000000000004">
      <c r="W26510"/>
    </row>
    <row r="26511" spans="23:23" x14ac:dyDescent="0.55000000000000004">
      <c r="W26511"/>
    </row>
    <row r="26512" spans="23:23" x14ac:dyDescent="0.55000000000000004">
      <c r="W26512"/>
    </row>
    <row r="26513" spans="23:23" x14ac:dyDescent="0.55000000000000004">
      <c r="W26513"/>
    </row>
    <row r="26514" spans="23:23" x14ac:dyDescent="0.55000000000000004">
      <c r="W26514"/>
    </row>
    <row r="26515" spans="23:23" x14ac:dyDescent="0.55000000000000004">
      <c r="W26515"/>
    </row>
    <row r="26516" spans="23:23" x14ac:dyDescent="0.55000000000000004">
      <c r="W26516"/>
    </row>
    <row r="26517" spans="23:23" x14ac:dyDescent="0.55000000000000004">
      <c r="W26517"/>
    </row>
    <row r="26518" spans="23:23" x14ac:dyDescent="0.55000000000000004">
      <c r="W26518"/>
    </row>
    <row r="26519" spans="23:23" x14ac:dyDescent="0.55000000000000004">
      <c r="W26519"/>
    </row>
    <row r="26520" spans="23:23" x14ac:dyDescent="0.55000000000000004">
      <c r="W26520"/>
    </row>
    <row r="26521" spans="23:23" x14ac:dyDescent="0.55000000000000004">
      <c r="W26521"/>
    </row>
    <row r="26522" spans="23:23" x14ac:dyDescent="0.55000000000000004">
      <c r="W26522"/>
    </row>
    <row r="26523" spans="23:23" x14ac:dyDescent="0.55000000000000004">
      <c r="W26523"/>
    </row>
    <row r="26524" spans="23:23" x14ac:dyDescent="0.55000000000000004">
      <c r="W26524"/>
    </row>
    <row r="26525" spans="23:23" x14ac:dyDescent="0.55000000000000004">
      <c r="W26525"/>
    </row>
    <row r="26526" spans="23:23" x14ac:dyDescent="0.55000000000000004">
      <c r="W26526"/>
    </row>
    <row r="26527" spans="23:23" x14ac:dyDescent="0.55000000000000004">
      <c r="W26527"/>
    </row>
    <row r="26528" spans="23:23" x14ac:dyDescent="0.55000000000000004">
      <c r="W26528"/>
    </row>
    <row r="26529" spans="23:23" x14ac:dyDescent="0.55000000000000004">
      <c r="W26529"/>
    </row>
    <row r="26530" spans="23:23" x14ac:dyDescent="0.55000000000000004">
      <c r="W26530"/>
    </row>
    <row r="26531" spans="23:23" x14ac:dyDescent="0.55000000000000004">
      <c r="W26531"/>
    </row>
    <row r="26532" spans="23:23" x14ac:dyDescent="0.55000000000000004">
      <c r="W26532"/>
    </row>
    <row r="26533" spans="23:23" x14ac:dyDescent="0.55000000000000004">
      <c r="W26533"/>
    </row>
    <row r="26534" spans="23:23" x14ac:dyDescent="0.55000000000000004">
      <c r="W26534"/>
    </row>
    <row r="26535" spans="23:23" x14ac:dyDescent="0.55000000000000004">
      <c r="W26535"/>
    </row>
    <row r="26536" spans="23:23" x14ac:dyDescent="0.55000000000000004">
      <c r="W26536"/>
    </row>
    <row r="26537" spans="23:23" x14ac:dyDescent="0.55000000000000004">
      <c r="W26537"/>
    </row>
    <row r="26538" spans="23:23" x14ac:dyDescent="0.55000000000000004">
      <c r="W26538"/>
    </row>
    <row r="26539" spans="23:23" x14ac:dyDescent="0.55000000000000004">
      <c r="W26539"/>
    </row>
    <row r="26540" spans="23:23" x14ac:dyDescent="0.55000000000000004">
      <c r="W26540"/>
    </row>
    <row r="26541" spans="23:23" x14ac:dyDescent="0.55000000000000004">
      <c r="W26541"/>
    </row>
    <row r="26542" spans="23:23" x14ac:dyDescent="0.55000000000000004">
      <c r="W26542"/>
    </row>
    <row r="26543" spans="23:23" x14ac:dyDescent="0.55000000000000004">
      <c r="W26543"/>
    </row>
    <row r="26544" spans="23:23" x14ac:dyDescent="0.55000000000000004">
      <c r="W26544"/>
    </row>
    <row r="26545" spans="23:23" x14ac:dyDescent="0.55000000000000004">
      <c r="W26545"/>
    </row>
    <row r="26546" spans="23:23" x14ac:dyDescent="0.55000000000000004">
      <c r="W26546"/>
    </row>
    <row r="26547" spans="23:23" x14ac:dyDescent="0.55000000000000004">
      <c r="W26547"/>
    </row>
    <row r="26548" spans="23:23" x14ac:dyDescent="0.55000000000000004">
      <c r="W26548"/>
    </row>
    <row r="26549" spans="23:23" x14ac:dyDescent="0.55000000000000004">
      <c r="W26549"/>
    </row>
    <row r="26550" spans="23:23" x14ac:dyDescent="0.55000000000000004">
      <c r="W26550"/>
    </row>
    <row r="26551" spans="23:23" x14ac:dyDescent="0.55000000000000004">
      <c r="W26551"/>
    </row>
    <row r="26552" spans="23:23" x14ac:dyDescent="0.55000000000000004">
      <c r="W26552"/>
    </row>
    <row r="26553" spans="23:23" x14ac:dyDescent="0.55000000000000004">
      <c r="W26553"/>
    </row>
    <row r="26554" spans="23:23" x14ac:dyDescent="0.55000000000000004">
      <c r="W26554"/>
    </row>
    <row r="26555" spans="23:23" x14ac:dyDescent="0.55000000000000004">
      <c r="W26555"/>
    </row>
    <row r="26556" spans="23:23" x14ac:dyDescent="0.55000000000000004">
      <c r="W26556"/>
    </row>
    <row r="26557" spans="23:23" x14ac:dyDescent="0.55000000000000004">
      <c r="W26557"/>
    </row>
    <row r="26558" spans="23:23" x14ac:dyDescent="0.55000000000000004">
      <c r="W26558"/>
    </row>
    <row r="26559" spans="23:23" x14ac:dyDescent="0.55000000000000004">
      <c r="W26559"/>
    </row>
    <row r="26560" spans="23:23" x14ac:dyDescent="0.55000000000000004">
      <c r="W26560"/>
    </row>
    <row r="26561" spans="23:23" x14ac:dyDescent="0.55000000000000004">
      <c r="W26561"/>
    </row>
    <row r="26562" spans="23:23" x14ac:dyDescent="0.55000000000000004">
      <c r="W26562"/>
    </row>
    <row r="26563" spans="23:23" x14ac:dyDescent="0.55000000000000004">
      <c r="W26563"/>
    </row>
    <row r="26564" spans="23:23" x14ac:dyDescent="0.55000000000000004">
      <c r="W26564"/>
    </row>
    <row r="26565" spans="23:23" x14ac:dyDescent="0.55000000000000004">
      <c r="W26565"/>
    </row>
    <row r="26566" spans="23:23" x14ac:dyDescent="0.55000000000000004">
      <c r="W26566"/>
    </row>
    <row r="26567" spans="23:23" x14ac:dyDescent="0.55000000000000004">
      <c r="W26567"/>
    </row>
    <row r="26568" spans="23:23" x14ac:dyDescent="0.55000000000000004">
      <c r="W26568"/>
    </row>
    <row r="26569" spans="23:23" x14ac:dyDescent="0.55000000000000004">
      <c r="W26569"/>
    </row>
    <row r="26570" spans="23:23" x14ac:dyDescent="0.55000000000000004">
      <c r="W26570"/>
    </row>
    <row r="26571" spans="23:23" x14ac:dyDescent="0.55000000000000004">
      <c r="W26571"/>
    </row>
    <row r="26572" spans="23:23" x14ac:dyDescent="0.55000000000000004">
      <c r="W26572"/>
    </row>
    <row r="26573" spans="23:23" x14ac:dyDescent="0.55000000000000004">
      <c r="W26573"/>
    </row>
    <row r="26574" spans="23:23" x14ac:dyDescent="0.55000000000000004">
      <c r="W26574"/>
    </row>
    <row r="26575" spans="23:23" x14ac:dyDescent="0.55000000000000004">
      <c r="W26575"/>
    </row>
    <row r="26576" spans="23:23" x14ac:dyDescent="0.55000000000000004">
      <c r="W26576"/>
    </row>
    <row r="26577" spans="23:23" x14ac:dyDescent="0.55000000000000004">
      <c r="W26577"/>
    </row>
    <row r="26578" spans="23:23" x14ac:dyDescent="0.55000000000000004">
      <c r="W26578"/>
    </row>
    <row r="26579" spans="23:23" x14ac:dyDescent="0.55000000000000004">
      <c r="W26579"/>
    </row>
    <row r="26580" spans="23:23" x14ac:dyDescent="0.55000000000000004">
      <c r="W26580"/>
    </row>
    <row r="26581" spans="23:23" x14ac:dyDescent="0.55000000000000004">
      <c r="W26581"/>
    </row>
    <row r="26582" spans="23:23" x14ac:dyDescent="0.55000000000000004">
      <c r="W26582"/>
    </row>
    <row r="26583" spans="23:23" x14ac:dyDescent="0.55000000000000004">
      <c r="W26583"/>
    </row>
    <row r="26584" spans="23:23" x14ac:dyDescent="0.55000000000000004">
      <c r="W26584"/>
    </row>
    <row r="26585" spans="23:23" x14ac:dyDescent="0.55000000000000004">
      <c r="W26585"/>
    </row>
    <row r="26586" spans="23:23" x14ac:dyDescent="0.55000000000000004">
      <c r="W26586"/>
    </row>
    <row r="26587" spans="23:23" x14ac:dyDescent="0.55000000000000004">
      <c r="W26587"/>
    </row>
    <row r="26588" spans="23:23" x14ac:dyDescent="0.55000000000000004">
      <c r="W26588"/>
    </row>
    <row r="26589" spans="23:23" x14ac:dyDescent="0.55000000000000004">
      <c r="W26589"/>
    </row>
    <row r="26590" spans="23:23" x14ac:dyDescent="0.55000000000000004">
      <c r="W26590"/>
    </row>
    <row r="26591" spans="23:23" x14ac:dyDescent="0.55000000000000004">
      <c r="W26591"/>
    </row>
    <row r="26592" spans="23:23" x14ac:dyDescent="0.55000000000000004">
      <c r="W26592"/>
    </row>
    <row r="26593" spans="23:23" x14ac:dyDescent="0.55000000000000004">
      <c r="W26593"/>
    </row>
    <row r="26594" spans="23:23" x14ac:dyDescent="0.55000000000000004">
      <c r="W26594"/>
    </row>
    <row r="26595" spans="23:23" x14ac:dyDescent="0.55000000000000004">
      <c r="W26595"/>
    </row>
    <row r="26596" spans="23:23" x14ac:dyDescent="0.55000000000000004">
      <c r="W26596"/>
    </row>
    <row r="26597" spans="23:23" x14ac:dyDescent="0.55000000000000004">
      <c r="W26597"/>
    </row>
    <row r="26598" spans="23:23" x14ac:dyDescent="0.55000000000000004">
      <c r="W26598"/>
    </row>
    <row r="26599" spans="23:23" x14ac:dyDescent="0.55000000000000004">
      <c r="W26599"/>
    </row>
    <row r="26600" spans="23:23" x14ac:dyDescent="0.55000000000000004">
      <c r="W26600"/>
    </row>
    <row r="26601" spans="23:23" x14ac:dyDescent="0.55000000000000004">
      <c r="W26601"/>
    </row>
    <row r="26602" spans="23:23" x14ac:dyDescent="0.55000000000000004">
      <c r="W26602"/>
    </row>
    <row r="26603" spans="23:23" x14ac:dyDescent="0.55000000000000004">
      <c r="W26603"/>
    </row>
    <row r="26604" spans="23:23" x14ac:dyDescent="0.55000000000000004">
      <c r="W26604"/>
    </row>
    <row r="26605" spans="23:23" x14ac:dyDescent="0.55000000000000004">
      <c r="W26605"/>
    </row>
    <row r="26606" spans="23:23" x14ac:dyDescent="0.55000000000000004">
      <c r="W26606"/>
    </row>
    <row r="26607" spans="23:23" x14ac:dyDescent="0.55000000000000004">
      <c r="W26607"/>
    </row>
    <row r="26608" spans="23:23" x14ac:dyDescent="0.55000000000000004">
      <c r="W26608"/>
    </row>
    <row r="26609" spans="23:23" x14ac:dyDescent="0.55000000000000004">
      <c r="W26609"/>
    </row>
    <row r="26610" spans="23:23" x14ac:dyDescent="0.55000000000000004">
      <c r="W26610"/>
    </row>
    <row r="26611" spans="23:23" x14ac:dyDescent="0.55000000000000004">
      <c r="W26611"/>
    </row>
    <row r="26612" spans="23:23" x14ac:dyDescent="0.55000000000000004">
      <c r="W26612"/>
    </row>
    <row r="26613" spans="23:23" x14ac:dyDescent="0.55000000000000004">
      <c r="W26613"/>
    </row>
    <row r="26614" spans="23:23" x14ac:dyDescent="0.55000000000000004">
      <c r="W26614"/>
    </row>
    <row r="26615" spans="23:23" x14ac:dyDescent="0.55000000000000004">
      <c r="W26615"/>
    </row>
    <row r="26616" spans="23:23" x14ac:dyDescent="0.55000000000000004">
      <c r="W26616"/>
    </row>
    <row r="26617" spans="23:23" x14ac:dyDescent="0.55000000000000004">
      <c r="W26617"/>
    </row>
    <row r="26618" spans="23:23" x14ac:dyDescent="0.55000000000000004">
      <c r="W26618"/>
    </row>
    <row r="26619" spans="23:23" x14ac:dyDescent="0.55000000000000004">
      <c r="W26619"/>
    </row>
    <row r="26620" spans="23:23" x14ac:dyDescent="0.55000000000000004">
      <c r="W26620"/>
    </row>
    <row r="26621" spans="23:23" x14ac:dyDescent="0.55000000000000004">
      <c r="W26621"/>
    </row>
    <row r="26622" spans="23:23" x14ac:dyDescent="0.55000000000000004">
      <c r="W26622"/>
    </row>
    <row r="26623" spans="23:23" x14ac:dyDescent="0.55000000000000004">
      <c r="W26623"/>
    </row>
    <row r="26624" spans="23:23" x14ac:dyDescent="0.55000000000000004">
      <c r="W26624"/>
    </row>
    <row r="26625" spans="23:23" x14ac:dyDescent="0.55000000000000004">
      <c r="W26625"/>
    </row>
    <row r="26626" spans="23:23" x14ac:dyDescent="0.55000000000000004">
      <c r="W26626"/>
    </row>
    <row r="26627" spans="23:23" x14ac:dyDescent="0.55000000000000004">
      <c r="W26627"/>
    </row>
    <row r="26628" spans="23:23" x14ac:dyDescent="0.55000000000000004">
      <c r="W26628"/>
    </row>
    <row r="26629" spans="23:23" x14ac:dyDescent="0.55000000000000004">
      <c r="W26629"/>
    </row>
    <row r="26630" spans="23:23" x14ac:dyDescent="0.55000000000000004">
      <c r="W26630"/>
    </row>
    <row r="26631" spans="23:23" x14ac:dyDescent="0.55000000000000004">
      <c r="W26631"/>
    </row>
    <row r="26632" spans="23:23" x14ac:dyDescent="0.55000000000000004">
      <c r="W26632"/>
    </row>
    <row r="26633" spans="23:23" x14ac:dyDescent="0.55000000000000004">
      <c r="W26633"/>
    </row>
    <row r="26634" spans="23:23" x14ac:dyDescent="0.55000000000000004">
      <c r="W26634"/>
    </row>
    <row r="26635" spans="23:23" x14ac:dyDescent="0.55000000000000004">
      <c r="W26635"/>
    </row>
    <row r="26636" spans="23:23" x14ac:dyDescent="0.55000000000000004">
      <c r="W26636"/>
    </row>
    <row r="26637" spans="23:23" x14ac:dyDescent="0.55000000000000004">
      <c r="W26637"/>
    </row>
    <row r="26638" spans="23:23" x14ac:dyDescent="0.55000000000000004">
      <c r="W26638"/>
    </row>
    <row r="26639" spans="23:23" x14ac:dyDescent="0.55000000000000004">
      <c r="W26639"/>
    </row>
    <row r="26640" spans="23:23" x14ac:dyDescent="0.55000000000000004">
      <c r="W26640"/>
    </row>
    <row r="26641" spans="23:23" x14ac:dyDescent="0.55000000000000004">
      <c r="W26641"/>
    </row>
    <row r="26642" spans="23:23" x14ac:dyDescent="0.55000000000000004">
      <c r="W26642"/>
    </row>
    <row r="26643" spans="23:23" x14ac:dyDescent="0.55000000000000004">
      <c r="W26643"/>
    </row>
    <row r="26644" spans="23:23" x14ac:dyDescent="0.55000000000000004">
      <c r="W26644"/>
    </row>
    <row r="26645" spans="23:23" x14ac:dyDescent="0.55000000000000004">
      <c r="W26645"/>
    </row>
    <row r="26646" spans="23:23" x14ac:dyDescent="0.55000000000000004">
      <c r="W26646"/>
    </row>
    <row r="26647" spans="23:23" x14ac:dyDescent="0.55000000000000004">
      <c r="W26647"/>
    </row>
    <row r="26648" spans="23:23" x14ac:dyDescent="0.55000000000000004">
      <c r="W26648"/>
    </row>
    <row r="26649" spans="23:23" x14ac:dyDescent="0.55000000000000004">
      <c r="W26649"/>
    </row>
    <row r="26650" spans="23:23" x14ac:dyDescent="0.55000000000000004">
      <c r="W26650"/>
    </row>
    <row r="26651" spans="23:23" x14ac:dyDescent="0.55000000000000004">
      <c r="W26651"/>
    </row>
    <row r="26652" spans="23:23" x14ac:dyDescent="0.55000000000000004">
      <c r="W26652"/>
    </row>
    <row r="26653" spans="23:23" x14ac:dyDescent="0.55000000000000004">
      <c r="W26653"/>
    </row>
    <row r="26654" spans="23:23" x14ac:dyDescent="0.55000000000000004">
      <c r="W26654"/>
    </row>
    <row r="26655" spans="23:23" x14ac:dyDescent="0.55000000000000004">
      <c r="W26655"/>
    </row>
    <row r="26656" spans="23:23" x14ac:dyDescent="0.55000000000000004">
      <c r="W26656"/>
    </row>
    <row r="26657" spans="23:23" x14ac:dyDescent="0.55000000000000004">
      <c r="W26657"/>
    </row>
    <row r="26658" spans="23:23" x14ac:dyDescent="0.55000000000000004">
      <c r="W26658"/>
    </row>
    <row r="26659" spans="23:23" x14ac:dyDescent="0.55000000000000004">
      <c r="W26659"/>
    </row>
    <row r="26660" spans="23:23" x14ac:dyDescent="0.55000000000000004">
      <c r="W26660"/>
    </row>
    <row r="26661" spans="23:23" x14ac:dyDescent="0.55000000000000004">
      <c r="W26661"/>
    </row>
    <row r="26662" spans="23:23" x14ac:dyDescent="0.55000000000000004">
      <c r="W26662"/>
    </row>
    <row r="26663" spans="23:23" x14ac:dyDescent="0.55000000000000004">
      <c r="W26663"/>
    </row>
    <row r="26664" spans="23:23" x14ac:dyDescent="0.55000000000000004">
      <c r="W26664"/>
    </row>
    <row r="26665" spans="23:23" x14ac:dyDescent="0.55000000000000004">
      <c r="W26665"/>
    </row>
    <row r="26666" spans="23:23" x14ac:dyDescent="0.55000000000000004">
      <c r="W26666"/>
    </row>
    <row r="26667" spans="23:23" x14ac:dyDescent="0.55000000000000004">
      <c r="W26667"/>
    </row>
    <row r="26668" spans="23:23" x14ac:dyDescent="0.55000000000000004">
      <c r="W26668"/>
    </row>
    <row r="26669" spans="23:23" x14ac:dyDescent="0.55000000000000004">
      <c r="W26669"/>
    </row>
    <row r="26670" spans="23:23" x14ac:dyDescent="0.55000000000000004">
      <c r="W26670"/>
    </row>
    <row r="26671" spans="23:23" x14ac:dyDescent="0.55000000000000004">
      <c r="W26671"/>
    </row>
    <row r="26672" spans="23:23" x14ac:dyDescent="0.55000000000000004">
      <c r="W26672"/>
    </row>
    <row r="26673" spans="23:23" x14ac:dyDescent="0.55000000000000004">
      <c r="W26673"/>
    </row>
    <row r="26674" spans="23:23" x14ac:dyDescent="0.55000000000000004">
      <c r="W26674"/>
    </row>
    <row r="26675" spans="23:23" x14ac:dyDescent="0.55000000000000004">
      <c r="W26675"/>
    </row>
    <row r="26676" spans="23:23" x14ac:dyDescent="0.55000000000000004">
      <c r="W26676"/>
    </row>
    <row r="26677" spans="23:23" x14ac:dyDescent="0.55000000000000004">
      <c r="W26677"/>
    </row>
    <row r="26678" spans="23:23" x14ac:dyDescent="0.55000000000000004">
      <c r="W26678"/>
    </row>
    <row r="26679" spans="23:23" x14ac:dyDescent="0.55000000000000004">
      <c r="W26679"/>
    </row>
    <row r="26680" spans="23:23" x14ac:dyDescent="0.55000000000000004">
      <c r="W26680"/>
    </row>
    <row r="26681" spans="23:23" x14ac:dyDescent="0.55000000000000004">
      <c r="W26681"/>
    </row>
    <row r="26682" spans="23:23" x14ac:dyDescent="0.55000000000000004">
      <c r="W26682"/>
    </row>
    <row r="26683" spans="23:23" x14ac:dyDescent="0.55000000000000004">
      <c r="W26683"/>
    </row>
    <row r="26684" spans="23:23" x14ac:dyDescent="0.55000000000000004">
      <c r="W26684"/>
    </row>
    <row r="26685" spans="23:23" x14ac:dyDescent="0.55000000000000004">
      <c r="W26685"/>
    </row>
    <row r="26686" spans="23:23" x14ac:dyDescent="0.55000000000000004">
      <c r="W26686"/>
    </row>
    <row r="26687" spans="23:23" x14ac:dyDescent="0.55000000000000004">
      <c r="W26687"/>
    </row>
    <row r="26688" spans="23:23" x14ac:dyDescent="0.55000000000000004">
      <c r="W26688"/>
    </row>
    <row r="26689" spans="23:23" x14ac:dyDescent="0.55000000000000004">
      <c r="W26689"/>
    </row>
    <row r="26690" spans="23:23" x14ac:dyDescent="0.55000000000000004">
      <c r="W26690"/>
    </row>
    <row r="26691" spans="23:23" x14ac:dyDescent="0.55000000000000004">
      <c r="W26691"/>
    </row>
    <row r="26692" spans="23:23" x14ac:dyDescent="0.55000000000000004">
      <c r="W26692"/>
    </row>
    <row r="26693" spans="23:23" x14ac:dyDescent="0.55000000000000004">
      <c r="W26693"/>
    </row>
    <row r="26694" spans="23:23" x14ac:dyDescent="0.55000000000000004">
      <c r="W26694"/>
    </row>
    <row r="26695" spans="23:23" x14ac:dyDescent="0.55000000000000004">
      <c r="W26695"/>
    </row>
    <row r="26696" spans="23:23" x14ac:dyDescent="0.55000000000000004">
      <c r="W26696"/>
    </row>
    <row r="26697" spans="23:23" x14ac:dyDescent="0.55000000000000004">
      <c r="W26697"/>
    </row>
    <row r="26698" spans="23:23" x14ac:dyDescent="0.55000000000000004">
      <c r="W26698"/>
    </row>
    <row r="26699" spans="23:23" x14ac:dyDescent="0.55000000000000004">
      <c r="W26699"/>
    </row>
    <row r="26700" spans="23:23" x14ac:dyDescent="0.55000000000000004">
      <c r="W26700"/>
    </row>
    <row r="26701" spans="23:23" x14ac:dyDescent="0.55000000000000004">
      <c r="W26701"/>
    </row>
    <row r="26702" spans="23:23" x14ac:dyDescent="0.55000000000000004">
      <c r="W26702"/>
    </row>
    <row r="26703" spans="23:23" x14ac:dyDescent="0.55000000000000004">
      <c r="W26703"/>
    </row>
    <row r="26704" spans="23:23" x14ac:dyDescent="0.55000000000000004">
      <c r="W26704"/>
    </row>
    <row r="26705" spans="23:23" x14ac:dyDescent="0.55000000000000004">
      <c r="W26705"/>
    </row>
    <row r="26706" spans="23:23" x14ac:dyDescent="0.55000000000000004">
      <c r="W26706"/>
    </row>
    <row r="26707" spans="23:23" x14ac:dyDescent="0.55000000000000004">
      <c r="W26707"/>
    </row>
    <row r="26708" spans="23:23" x14ac:dyDescent="0.55000000000000004">
      <c r="W26708"/>
    </row>
    <row r="26709" spans="23:23" x14ac:dyDescent="0.55000000000000004">
      <c r="W26709"/>
    </row>
    <row r="26710" spans="23:23" x14ac:dyDescent="0.55000000000000004">
      <c r="W26710"/>
    </row>
    <row r="26711" spans="23:23" x14ac:dyDescent="0.55000000000000004">
      <c r="W26711"/>
    </row>
    <row r="26712" spans="23:23" x14ac:dyDescent="0.55000000000000004">
      <c r="W26712"/>
    </row>
    <row r="26713" spans="23:23" x14ac:dyDescent="0.55000000000000004">
      <c r="W26713"/>
    </row>
    <row r="26714" spans="23:23" x14ac:dyDescent="0.55000000000000004">
      <c r="W26714"/>
    </row>
    <row r="26715" spans="23:23" x14ac:dyDescent="0.55000000000000004">
      <c r="W26715"/>
    </row>
    <row r="26716" spans="23:23" x14ac:dyDescent="0.55000000000000004">
      <c r="W26716"/>
    </row>
    <row r="26717" spans="23:23" x14ac:dyDescent="0.55000000000000004">
      <c r="W26717"/>
    </row>
    <row r="26718" spans="23:23" x14ac:dyDescent="0.55000000000000004">
      <c r="W26718"/>
    </row>
    <row r="26719" spans="23:23" x14ac:dyDescent="0.55000000000000004">
      <c r="W26719"/>
    </row>
    <row r="26720" spans="23:23" x14ac:dyDescent="0.55000000000000004">
      <c r="W26720"/>
    </row>
    <row r="26721" spans="23:23" x14ac:dyDescent="0.55000000000000004">
      <c r="W26721"/>
    </row>
    <row r="26722" spans="23:23" x14ac:dyDescent="0.55000000000000004">
      <c r="W26722"/>
    </row>
    <row r="26723" spans="23:23" x14ac:dyDescent="0.55000000000000004">
      <c r="W26723"/>
    </row>
    <row r="26724" spans="23:23" x14ac:dyDescent="0.55000000000000004">
      <c r="W26724"/>
    </row>
    <row r="26725" spans="23:23" x14ac:dyDescent="0.55000000000000004">
      <c r="W26725"/>
    </row>
    <row r="26726" spans="23:23" x14ac:dyDescent="0.55000000000000004">
      <c r="W26726"/>
    </row>
    <row r="26727" spans="23:23" x14ac:dyDescent="0.55000000000000004">
      <c r="W26727"/>
    </row>
    <row r="26728" spans="23:23" x14ac:dyDescent="0.55000000000000004">
      <c r="W26728"/>
    </row>
    <row r="26729" spans="23:23" x14ac:dyDescent="0.55000000000000004">
      <c r="W26729"/>
    </row>
    <row r="26730" spans="23:23" x14ac:dyDescent="0.55000000000000004">
      <c r="W26730"/>
    </row>
    <row r="26731" spans="23:23" x14ac:dyDescent="0.55000000000000004">
      <c r="W26731"/>
    </row>
    <row r="26732" spans="23:23" x14ac:dyDescent="0.55000000000000004">
      <c r="W26732"/>
    </row>
    <row r="26733" spans="23:23" x14ac:dyDescent="0.55000000000000004">
      <c r="W26733"/>
    </row>
    <row r="26734" spans="23:23" x14ac:dyDescent="0.55000000000000004">
      <c r="W26734"/>
    </row>
    <row r="26735" spans="23:23" x14ac:dyDescent="0.55000000000000004">
      <c r="W26735"/>
    </row>
    <row r="26736" spans="23:23" x14ac:dyDescent="0.55000000000000004">
      <c r="W26736"/>
    </row>
    <row r="26737" spans="23:23" x14ac:dyDescent="0.55000000000000004">
      <c r="W26737"/>
    </row>
    <row r="26738" spans="23:23" x14ac:dyDescent="0.55000000000000004">
      <c r="W26738"/>
    </row>
    <row r="26739" spans="23:23" x14ac:dyDescent="0.55000000000000004">
      <c r="W26739"/>
    </row>
    <row r="26740" spans="23:23" x14ac:dyDescent="0.55000000000000004">
      <c r="W26740"/>
    </row>
    <row r="26741" spans="23:23" x14ac:dyDescent="0.55000000000000004">
      <c r="W26741"/>
    </row>
    <row r="26742" spans="23:23" x14ac:dyDescent="0.55000000000000004">
      <c r="W26742"/>
    </row>
    <row r="26743" spans="23:23" x14ac:dyDescent="0.55000000000000004">
      <c r="W26743"/>
    </row>
    <row r="26744" spans="23:23" x14ac:dyDescent="0.55000000000000004">
      <c r="W26744"/>
    </row>
    <row r="26745" spans="23:23" x14ac:dyDescent="0.55000000000000004">
      <c r="W26745"/>
    </row>
    <row r="26746" spans="23:23" x14ac:dyDescent="0.55000000000000004">
      <c r="W26746"/>
    </row>
    <row r="26747" spans="23:23" x14ac:dyDescent="0.55000000000000004">
      <c r="W26747"/>
    </row>
    <row r="26748" spans="23:23" x14ac:dyDescent="0.55000000000000004">
      <c r="W26748"/>
    </row>
    <row r="26749" spans="23:23" x14ac:dyDescent="0.55000000000000004">
      <c r="W26749"/>
    </row>
    <row r="26750" spans="23:23" x14ac:dyDescent="0.55000000000000004">
      <c r="W26750"/>
    </row>
    <row r="26751" spans="23:23" x14ac:dyDescent="0.55000000000000004">
      <c r="W26751"/>
    </row>
    <row r="26752" spans="23:23" x14ac:dyDescent="0.55000000000000004">
      <c r="W26752"/>
    </row>
    <row r="26753" spans="23:23" x14ac:dyDescent="0.55000000000000004">
      <c r="W26753"/>
    </row>
    <row r="26754" spans="23:23" x14ac:dyDescent="0.55000000000000004">
      <c r="W26754"/>
    </row>
    <row r="26755" spans="23:23" x14ac:dyDescent="0.55000000000000004">
      <c r="W26755"/>
    </row>
    <row r="26756" spans="23:23" x14ac:dyDescent="0.55000000000000004">
      <c r="W26756"/>
    </row>
    <row r="26757" spans="23:23" x14ac:dyDescent="0.55000000000000004">
      <c r="W26757"/>
    </row>
    <row r="26758" spans="23:23" x14ac:dyDescent="0.55000000000000004">
      <c r="W26758"/>
    </row>
    <row r="26759" spans="23:23" x14ac:dyDescent="0.55000000000000004">
      <c r="W26759"/>
    </row>
    <row r="26760" spans="23:23" x14ac:dyDescent="0.55000000000000004">
      <c r="W26760"/>
    </row>
    <row r="26761" spans="23:23" x14ac:dyDescent="0.55000000000000004">
      <c r="W26761"/>
    </row>
    <row r="26762" spans="23:23" x14ac:dyDescent="0.55000000000000004">
      <c r="W26762"/>
    </row>
    <row r="26763" spans="23:23" x14ac:dyDescent="0.55000000000000004">
      <c r="W26763"/>
    </row>
    <row r="26764" spans="23:23" x14ac:dyDescent="0.55000000000000004">
      <c r="W26764"/>
    </row>
    <row r="26765" spans="23:23" x14ac:dyDescent="0.55000000000000004">
      <c r="W26765"/>
    </row>
    <row r="26766" spans="23:23" x14ac:dyDescent="0.55000000000000004">
      <c r="W26766"/>
    </row>
    <row r="26767" spans="23:23" x14ac:dyDescent="0.55000000000000004">
      <c r="W26767"/>
    </row>
    <row r="26768" spans="23:23" x14ac:dyDescent="0.55000000000000004">
      <c r="W26768"/>
    </row>
    <row r="26769" spans="23:23" x14ac:dyDescent="0.55000000000000004">
      <c r="W26769"/>
    </row>
    <row r="26770" spans="23:23" x14ac:dyDescent="0.55000000000000004">
      <c r="W26770"/>
    </row>
    <row r="26771" spans="23:23" x14ac:dyDescent="0.55000000000000004">
      <c r="W26771"/>
    </row>
    <row r="26772" spans="23:23" x14ac:dyDescent="0.55000000000000004">
      <c r="W26772"/>
    </row>
    <row r="26773" spans="23:23" x14ac:dyDescent="0.55000000000000004">
      <c r="W26773"/>
    </row>
    <row r="26774" spans="23:23" x14ac:dyDescent="0.55000000000000004">
      <c r="W26774"/>
    </row>
    <row r="26775" spans="23:23" x14ac:dyDescent="0.55000000000000004">
      <c r="W26775"/>
    </row>
    <row r="26776" spans="23:23" x14ac:dyDescent="0.55000000000000004">
      <c r="W26776"/>
    </row>
    <row r="26777" spans="23:23" x14ac:dyDescent="0.55000000000000004">
      <c r="W26777"/>
    </row>
    <row r="26778" spans="23:23" x14ac:dyDescent="0.55000000000000004">
      <c r="W26778"/>
    </row>
    <row r="26779" spans="23:23" x14ac:dyDescent="0.55000000000000004">
      <c r="W26779"/>
    </row>
    <row r="26780" spans="23:23" x14ac:dyDescent="0.55000000000000004">
      <c r="W26780"/>
    </row>
    <row r="26781" spans="23:23" x14ac:dyDescent="0.55000000000000004">
      <c r="W26781"/>
    </row>
    <row r="26782" spans="23:23" x14ac:dyDescent="0.55000000000000004">
      <c r="W26782"/>
    </row>
    <row r="26783" spans="23:23" x14ac:dyDescent="0.55000000000000004">
      <c r="W26783"/>
    </row>
    <row r="26784" spans="23:23" x14ac:dyDescent="0.55000000000000004">
      <c r="W26784"/>
    </row>
    <row r="26785" spans="23:23" x14ac:dyDescent="0.55000000000000004">
      <c r="W26785"/>
    </row>
    <row r="26786" spans="23:23" x14ac:dyDescent="0.55000000000000004">
      <c r="W26786"/>
    </row>
    <row r="26787" spans="23:23" x14ac:dyDescent="0.55000000000000004">
      <c r="W26787"/>
    </row>
    <row r="26788" spans="23:23" x14ac:dyDescent="0.55000000000000004">
      <c r="W26788"/>
    </row>
    <row r="26789" spans="23:23" x14ac:dyDescent="0.55000000000000004">
      <c r="W26789"/>
    </row>
    <row r="26790" spans="23:23" x14ac:dyDescent="0.55000000000000004">
      <c r="W26790"/>
    </row>
    <row r="26791" spans="23:23" x14ac:dyDescent="0.55000000000000004">
      <c r="W26791"/>
    </row>
    <row r="26792" spans="23:23" x14ac:dyDescent="0.55000000000000004">
      <c r="W26792"/>
    </row>
    <row r="26793" spans="23:23" x14ac:dyDescent="0.55000000000000004">
      <c r="W26793"/>
    </row>
    <row r="26794" spans="23:23" x14ac:dyDescent="0.55000000000000004">
      <c r="W26794"/>
    </row>
    <row r="26795" spans="23:23" x14ac:dyDescent="0.55000000000000004">
      <c r="W26795"/>
    </row>
    <row r="26796" spans="23:23" x14ac:dyDescent="0.55000000000000004">
      <c r="W26796"/>
    </row>
    <row r="26797" spans="23:23" x14ac:dyDescent="0.55000000000000004">
      <c r="W26797"/>
    </row>
    <row r="26798" spans="23:23" x14ac:dyDescent="0.55000000000000004">
      <c r="W26798"/>
    </row>
    <row r="26799" spans="23:23" x14ac:dyDescent="0.55000000000000004">
      <c r="W26799"/>
    </row>
    <row r="26800" spans="23:23" x14ac:dyDescent="0.55000000000000004">
      <c r="W26800"/>
    </row>
    <row r="26801" spans="23:23" x14ac:dyDescent="0.55000000000000004">
      <c r="W26801"/>
    </row>
    <row r="26802" spans="23:23" x14ac:dyDescent="0.55000000000000004">
      <c r="W26802"/>
    </row>
    <row r="26803" spans="23:23" x14ac:dyDescent="0.55000000000000004">
      <c r="W26803"/>
    </row>
    <row r="26804" spans="23:23" x14ac:dyDescent="0.55000000000000004">
      <c r="W26804"/>
    </row>
    <row r="26805" spans="23:23" x14ac:dyDescent="0.55000000000000004">
      <c r="W26805"/>
    </row>
    <row r="26806" spans="23:23" x14ac:dyDescent="0.55000000000000004">
      <c r="W26806"/>
    </row>
    <row r="26807" spans="23:23" x14ac:dyDescent="0.55000000000000004">
      <c r="W26807"/>
    </row>
    <row r="26808" spans="23:23" x14ac:dyDescent="0.55000000000000004">
      <c r="W26808"/>
    </row>
    <row r="26809" spans="23:23" x14ac:dyDescent="0.55000000000000004">
      <c r="W26809"/>
    </row>
    <row r="26810" spans="23:23" x14ac:dyDescent="0.55000000000000004">
      <c r="W26810"/>
    </row>
    <row r="26811" spans="23:23" x14ac:dyDescent="0.55000000000000004">
      <c r="W26811"/>
    </row>
    <row r="26812" spans="23:23" x14ac:dyDescent="0.55000000000000004">
      <c r="W26812"/>
    </row>
    <row r="26813" spans="23:23" x14ac:dyDescent="0.55000000000000004">
      <c r="W26813"/>
    </row>
    <row r="26814" spans="23:23" x14ac:dyDescent="0.55000000000000004">
      <c r="W26814"/>
    </row>
    <row r="26815" spans="23:23" x14ac:dyDescent="0.55000000000000004">
      <c r="W26815"/>
    </row>
    <row r="26816" spans="23:23" x14ac:dyDescent="0.55000000000000004">
      <c r="W26816"/>
    </row>
    <row r="26817" spans="23:23" x14ac:dyDescent="0.55000000000000004">
      <c r="W26817"/>
    </row>
    <row r="26818" spans="23:23" x14ac:dyDescent="0.55000000000000004">
      <c r="W26818"/>
    </row>
    <row r="26819" spans="23:23" x14ac:dyDescent="0.55000000000000004">
      <c r="W26819"/>
    </row>
    <row r="26820" spans="23:23" x14ac:dyDescent="0.55000000000000004">
      <c r="W26820"/>
    </row>
    <row r="26821" spans="23:23" x14ac:dyDescent="0.55000000000000004">
      <c r="W26821"/>
    </row>
    <row r="26822" spans="23:23" x14ac:dyDescent="0.55000000000000004">
      <c r="W26822"/>
    </row>
    <row r="26823" spans="23:23" x14ac:dyDescent="0.55000000000000004">
      <c r="W26823"/>
    </row>
    <row r="26824" spans="23:23" x14ac:dyDescent="0.55000000000000004">
      <c r="W26824"/>
    </row>
    <row r="26825" spans="23:23" x14ac:dyDescent="0.55000000000000004">
      <c r="W26825"/>
    </row>
    <row r="26826" spans="23:23" x14ac:dyDescent="0.55000000000000004">
      <c r="W26826"/>
    </row>
    <row r="26827" spans="23:23" x14ac:dyDescent="0.55000000000000004">
      <c r="W26827"/>
    </row>
    <row r="26828" spans="23:23" x14ac:dyDescent="0.55000000000000004">
      <c r="W26828"/>
    </row>
    <row r="26829" spans="23:23" x14ac:dyDescent="0.55000000000000004">
      <c r="W26829"/>
    </row>
    <row r="26830" spans="23:23" x14ac:dyDescent="0.55000000000000004">
      <c r="W26830"/>
    </row>
    <row r="26831" spans="23:23" x14ac:dyDescent="0.55000000000000004">
      <c r="W26831"/>
    </row>
    <row r="26832" spans="23:23" x14ac:dyDescent="0.55000000000000004">
      <c r="W26832"/>
    </row>
    <row r="26833" spans="23:23" x14ac:dyDescent="0.55000000000000004">
      <c r="W26833"/>
    </row>
    <row r="26834" spans="23:23" x14ac:dyDescent="0.55000000000000004">
      <c r="W26834"/>
    </row>
    <row r="26835" spans="23:23" x14ac:dyDescent="0.55000000000000004">
      <c r="W26835"/>
    </row>
    <row r="26836" spans="23:23" x14ac:dyDescent="0.55000000000000004">
      <c r="W26836"/>
    </row>
    <row r="26837" spans="23:23" x14ac:dyDescent="0.55000000000000004">
      <c r="W26837"/>
    </row>
    <row r="26838" spans="23:23" x14ac:dyDescent="0.55000000000000004">
      <c r="W26838"/>
    </row>
    <row r="26839" spans="23:23" x14ac:dyDescent="0.55000000000000004">
      <c r="W26839"/>
    </row>
    <row r="26840" spans="23:23" x14ac:dyDescent="0.55000000000000004">
      <c r="W26840"/>
    </row>
    <row r="26841" spans="23:23" x14ac:dyDescent="0.55000000000000004">
      <c r="W26841"/>
    </row>
    <row r="26842" spans="23:23" x14ac:dyDescent="0.55000000000000004">
      <c r="W26842"/>
    </row>
    <row r="26843" spans="23:23" x14ac:dyDescent="0.55000000000000004">
      <c r="W26843"/>
    </row>
    <row r="26844" spans="23:23" x14ac:dyDescent="0.55000000000000004">
      <c r="W26844"/>
    </row>
    <row r="26845" spans="23:23" x14ac:dyDescent="0.55000000000000004">
      <c r="W26845"/>
    </row>
    <row r="26846" spans="23:23" x14ac:dyDescent="0.55000000000000004">
      <c r="W26846"/>
    </row>
    <row r="26847" spans="23:23" x14ac:dyDescent="0.55000000000000004">
      <c r="W26847"/>
    </row>
    <row r="26848" spans="23:23" x14ac:dyDescent="0.55000000000000004">
      <c r="W26848"/>
    </row>
    <row r="26849" spans="23:23" x14ac:dyDescent="0.55000000000000004">
      <c r="W26849"/>
    </row>
    <row r="26850" spans="23:23" x14ac:dyDescent="0.55000000000000004">
      <c r="W26850"/>
    </row>
    <row r="26851" spans="23:23" x14ac:dyDescent="0.55000000000000004">
      <c r="W26851"/>
    </row>
    <row r="26852" spans="23:23" x14ac:dyDescent="0.55000000000000004">
      <c r="W26852"/>
    </row>
    <row r="26853" spans="23:23" x14ac:dyDescent="0.55000000000000004">
      <c r="W26853"/>
    </row>
    <row r="26854" spans="23:23" x14ac:dyDescent="0.55000000000000004">
      <c r="W26854"/>
    </row>
    <row r="26855" spans="23:23" x14ac:dyDescent="0.55000000000000004">
      <c r="W26855"/>
    </row>
    <row r="26856" spans="23:23" x14ac:dyDescent="0.55000000000000004">
      <c r="W26856"/>
    </row>
    <row r="26857" spans="23:23" x14ac:dyDescent="0.55000000000000004">
      <c r="W26857"/>
    </row>
    <row r="26858" spans="23:23" x14ac:dyDescent="0.55000000000000004">
      <c r="W26858"/>
    </row>
    <row r="26859" spans="23:23" x14ac:dyDescent="0.55000000000000004">
      <c r="W26859"/>
    </row>
    <row r="26860" spans="23:23" x14ac:dyDescent="0.55000000000000004">
      <c r="W26860"/>
    </row>
    <row r="26861" spans="23:23" x14ac:dyDescent="0.55000000000000004">
      <c r="W26861"/>
    </row>
    <row r="26862" spans="23:23" x14ac:dyDescent="0.55000000000000004">
      <c r="W26862"/>
    </row>
    <row r="26863" spans="23:23" x14ac:dyDescent="0.55000000000000004">
      <c r="W26863"/>
    </row>
    <row r="26864" spans="23:23" x14ac:dyDescent="0.55000000000000004">
      <c r="W26864"/>
    </row>
    <row r="26865" spans="23:23" x14ac:dyDescent="0.55000000000000004">
      <c r="W26865"/>
    </row>
    <row r="26866" spans="23:23" x14ac:dyDescent="0.55000000000000004">
      <c r="W26866"/>
    </row>
    <row r="26867" spans="23:23" x14ac:dyDescent="0.55000000000000004">
      <c r="W26867"/>
    </row>
    <row r="26868" spans="23:23" x14ac:dyDescent="0.55000000000000004">
      <c r="W26868"/>
    </row>
    <row r="26869" spans="23:23" x14ac:dyDescent="0.55000000000000004">
      <c r="W26869"/>
    </row>
    <row r="26870" spans="23:23" x14ac:dyDescent="0.55000000000000004">
      <c r="W26870"/>
    </row>
    <row r="26871" spans="23:23" x14ac:dyDescent="0.55000000000000004">
      <c r="W26871"/>
    </row>
    <row r="26872" spans="23:23" x14ac:dyDescent="0.55000000000000004">
      <c r="W26872"/>
    </row>
    <row r="26873" spans="23:23" x14ac:dyDescent="0.55000000000000004">
      <c r="W26873"/>
    </row>
    <row r="26874" spans="23:23" x14ac:dyDescent="0.55000000000000004">
      <c r="W26874"/>
    </row>
    <row r="26875" spans="23:23" x14ac:dyDescent="0.55000000000000004">
      <c r="W26875"/>
    </row>
    <row r="26876" spans="23:23" x14ac:dyDescent="0.55000000000000004">
      <c r="W26876"/>
    </row>
    <row r="26877" spans="23:23" x14ac:dyDescent="0.55000000000000004">
      <c r="W26877"/>
    </row>
    <row r="26878" spans="23:23" x14ac:dyDescent="0.55000000000000004">
      <c r="W26878"/>
    </row>
    <row r="26879" spans="23:23" x14ac:dyDescent="0.55000000000000004">
      <c r="W26879"/>
    </row>
    <row r="26880" spans="23:23" x14ac:dyDescent="0.55000000000000004">
      <c r="W26880"/>
    </row>
    <row r="26881" spans="23:23" x14ac:dyDescent="0.55000000000000004">
      <c r="W26881"/>
    </row>
    <row r="26882" spans="23:23" x14ac:dyDescent="0.55000000000000004">
      <c r="W26882"/>
    </row>
    <row r="26883" spans="23:23" x14ac:dyDescent="0.55000000000000004">
      <c r="W26883"/>
    </row>
    <row r="26884" spans="23:23" x14ac:dyDescent="0.55000000000000004">
      <c r="W26884"/>
    </row>
    <row r="26885" spans="23:23" x14ac:dyDescent="0.55000000000000004">
      <c r="W26885"/>
    </row>
    <row r="26886" spans="23:23" x14ac:dyDescent="0.55000000000000004">
      <c r="W26886"/>
    </row>
    <row r="26887" spans="23:23" x14ac:dyDescent="0.55000000000000004">
      <c r="W26887"/>
    </row>
    <row r="26888" spans="23:23" x14ac:dyDescent="0.55000000000000004">
      <c r="W26888"/>
    </row>
    <row r="26889" spans="23:23" x14ac:dyDescent="0.55000000000000004">
      <c r="W26889"/>
    </row>
    <row r="26890" spans="23:23" x14ac:dyDescent="0.55000000000000004">
      <c r="W26890"/>
    </row>
    <row r="26891" spans="23:23" x14ac:dyDescent="0.55000000000000004">
      <c r="W26891"/>
    </row>
    <row r="26892" spans="23:23" x14ac:dyDescent="0.55000000000000004">
      <c r="W26892"/>
    </row>
    <row r="26893" spans="23:23" x14ac:dyDescent="0.55000000000000004">
      <c r="W26893"/>
    </row>
    <row r="26894" spans="23:23" x14ac:dyDescent="0.55000000000000004">
      <c r="W26894"/>
    </row>
    <row r="26895" spans="23:23" x14ac:dyDescent="0.55000000000000004">
      <c r="W26895"/>
    </row>
    <row r="26896" spans="23:23" x14ac:dyDescent="0.55000000000000004">
      <c r="W26896"/>
    </row>
    <row r="26897" spans="23:23" x14ac:dyDescent="0.55000000000000004">
      <c r="W26897"/>
    </row>
    <row r="26898" spans="23:23" x14ac:dyDescent="0.55000000000000004">
      <c r="W26898"/>
    </row>
    <row r="26899" spans="23:23" x14ac:dyDescent="0.55000000000000004">
      <c r="W26899"/>
    </row>
    <row r="26900" spans="23:23" x14ac:dyDescent="0.55000000000000004">
      <c r="W26900"/>
    </row>
    <row r="26901" spans="23:23" x14ac:dyDescent="0.55000000000000004">
      <c r="W26901"/>
    </row>
    <row r="26902" spans="23:23" x14ac:dyDescent="0.55000000000000004">
      <c r="W26902"/>
    </row>
    <row r="26903" spans="23:23" x14ac:dyDescent="0.55000000000000004">
      <c r="W26903"/>
    </row>
    <row r="26904" spans="23:23" x14ac:dyDescent="0.55000000000000004">
      <c r="W26904"/>
    </row>
    <row r="26905" spans="23:23" x14ac:dyDescent="0.55000000000000004">
      <c r="W26905"/>
    </row>
    <row r="26906" spans="23:23" x14ac:dyDescent="0.55000000000000004">
      <c r="W26906"/>
    </row>
    <row r="26907" spans="23:23" x14ac:dyDescent="0.55000000000000004">
      <c r="W26907"/>
    </row>
    <row r="26908" spans="23:23" x14ac:dyDescent="0.55000000000000004">
      <c r="W26908"/>
    </row>
    <row r="26909" spans="23:23" x14ac:dyDescent="0.55000000000000004">
      <c r="W26909"/>
    </row>
    <row r="26910" spans="23:23" x14ac:dyDescent="0.55000000000000004">
      <c r="W26910"/>
    </row>
    <row r="26911" spans="23:23" x14ac:dyDescent="0.55000000000000004">
      <c r="W26911"/>
    </row>
    <row r="26912" spans="23:23" x14ac:dyDescent="0.55000000000000004">
      <c r="W26912"/>
    </row>
    <row r="26913" spans="23:23" x14ac:dyDescent="0.55000000000000004">
      <c r="W26913"/>
    </row>
    <row r="26914" spans="23:23" x14ac:dyDescent="0.55000000000000004">
      <c r="W26914"/>
    </row>
    <row r="26915" spans="23:23" x14ac:dyDescent="0.55000000000000004">
      <c r="W26915"/>
    </row>
    <row r="26916" spans="23:23" x14ac:dyDescent="0.55000000000000004">
      <c r="W26916"/>
    </row>
    <row r="26917" spans="23:23" x14ac:dyDescent="0.55000000000000004">
      <c r="W26917"/>
    </row>
    <row r="26918" spans="23:23" x14ac:dyDescent="0.55000000000000004">
      <c r="W26918"/>
    </row>
    <row r="26919" spans="23:23" x14ac:dyDescent="0.55000000000000004">
      <c r="W26919"/>
    </row>
    <row r="26920" spans="23:23" x14ac:dyDescent="0.55000000000000004">
      <c r="W26920"/>
    </row>
    <row r="26921" spans="23:23" x14ac:dyDescent="0.55000000000000004">
      <c r="W26921"/>
    </row>
    <row r="26922" spans="23:23" x14ac:dyDescent="0.55000000000000004">
      <c r="W26922"/>
    </row>
    <row r="26923" spans="23:23" x14ac:dyDescent="0.55000000000000004">
      <c r="W26923"/>
    </row>
    <row r="26924" spans="23:23" x14ac:dyDescent="0.55000000000000004">
      <c r="W26924"/>
    </row>
    <row r="26925" spans="23:23" x14ac:dyDescent="0.55000000000000004">
      <c r="W26925"/>
    </row>
    <row r="26926" spans="23:23" x14ac:dyDescent="0.55000000000000004">
      <c r="W26926"/>
    </row>
    <row r="26927" spans="23:23" x14ac:dyDescent="0.55000000000000004">
      <c r="W26927"/>
    </row>
    <row r="26928" spans="23:23" x14ac:dyDescent="0.55000000000000004">
      <c r="W26928"/>
    </row>
    <row r="26929" spans="23:23" x14ac:dyDescent="0.55000000000000004">
      <c r="W26929"/>
    </row>
    <row r="26930" spans="23:23" x14ac:dyDescent="0.55000000000000004">
      <c r="W26930"/>
    </row>
    <row r="26931" spans="23:23" x14ac:dyDescent="0.55000000000000004">
      <c r="W26931"/>
    </row>
    <row r="26932" spans="23:23" x14ac:dyDescent="0.55000000000000004">
      <c r="W26932"/>
    </row>
    <row r="26933" spans="23:23" x14ac:dyDescent="0.55000000000000004">
      <c r="W26933"/>
    </row>
    <row r="26934" spans="23:23" x14ac:dyDescent="0.55000000000000004">
      <c r="W26934"/>
    </row>
    <row r="26935" spans="23:23" x14ac:dyDescent="0.55000000000000004">
      <c r="W26935"/>
    </row>
    <row r="26936" spans="23:23" x14ac:dyDescent="0.55000000000000004">
      <c r="W26936"/>
    </row>
    <row r="26937" spans="23:23" x14ac:dyDescent="0.55000000000000004">
      <c r="W26937"/>
    </row>
    <row r="26938" spans="23:23" x14ac:dyDescent="0.55000000000000004">
      <c r="W26938"/>
    </row>
    <row r="26939" spans="23:23" x14ac:dyDescent="0.55000000000000004">
      <c r="W26939"/>
    </row>
    <row r="26940" spans="23:23" x14ac:dyDescent="0.55000000000000004">
      <c r="W26940"/>
    </row>
    <row r="26941" spans="23:23" x14ac:dyDescent="0.55000000000000004">
      <c r="W26941"/>
    </row>
    <row r="26942" spans="23:23" x14ac:dyDescent="0.55000000000000004">
      <c r="W26942"/>
    </row>
    <row r="26943" spans="23:23" x14ac:dyDescent="0.55000000000000004">
      <c r="W26943"/>
    </row>
    <row r="26944" spans="23:23" x14ac:dyDescent="0.55000000000000004">
      <c r="W26944"/>
    </row>
    <row r="26945" spans="23:23" x14ac:dyDescent="0.55000000000000004">
      <c r="W26945"/>
    </row>
    <row r="26946" spans="23:23" x14ac:dyDescent="0.55000000000000004">
      <c r="W26946"/>
    </row>
    <row r="26947" spans="23:23" x14ac:dyDescent="0.55000000000000004">
      <c r="W26947"/>
    </row>
    <row r="26948" spans="23:23" x14ac:dyDescent="0.55000000000000004">
      <c r="W26948"/>
    </row>
    <row r="26949" spans="23:23" x14ac:dyDescent="0.55000000000000004">
      <c r="W26949"/>
    </row>
    <row r="26950" spans="23:23" x14ac:dyDescent="0.55000000000000004">
      <c r="W26950"/>
    </row>
    <row r="26951" spans="23:23" x14ac:dyDescent="0.55000000000000004">
      <c r="W26951"/>
    </row>
    <row r="26952" spans="23:23" x14ac:dyDescent="0.55000000000000004">
      <c r="W26952"/>
    </row>
    <row r="26953" spans="23:23" x14ac:dyDescent="0.55000000000000004">
      <c r="W26953"/>
    </row>
    <row r="26954" spans="23:23" x14ac:dyDescent="0.55000000000000004">
      <c r="W26954"/>
    </row>
    <row r="26955" spans="23:23" x14ac:dyDescent="0.55000000000000004">
      <c r="W26955"/>
    </row>
    <row r="26956" spans="23:23" x14ac:dyDescent="0.55000000000000004">
      <c r="W26956"/>
    </row>
    <row r="26957" spans="23:23" x14ac:dyDescent="0.55000000000000004">
      <c r="W26957"/>
    </row>
    <row r="26958" spans="23:23" x14ac:dyDescent="0.55000000000000004">
      <c r="W26958"/>
    </row>
    <row r="26959" spans="23:23" x14ac:dyDescent="0.55000000000000004">
      <c r="W26959"/>
    </row>
    <row r="26960" spans="23:23" x14ac:dyDescent="0.55000000000000004">
      <c r="W26960"/>
    </row>
    <row r="26961" spans="23:23" x14ac:dyDescent="0.55000000000000004">
      <c r="W26961"/>
    </row>
    <row r="26962" spans="23:23" x14ac:dyDescent="0.55000000000000004">
      <c r="W26962"/>
    </row>
    <row r="26963" spans="23:23" x14ac:dyDescent="0.55000000000000004">
      <c r="W26963"/>
    </row>
    <row r="26964" spans="23:23" x14ac:dyDescent="0.55000000000000004">
      <c r="W26964"/>
    </row>
    <row r="26965" spans="23:23" x14ac:dyDescent="0.55000000000000004">
      <c r="W26965"/>
    </row>
    <row r="26966" spans="23:23" x14ac:dyDescent="0.55000000000000004">
      <c r="W26966"/>
    </row>
    <row r="26967" spans="23:23" x14ac:dyDescent="0.55000000000000004">
      <c r="W26967"/>
    </row>
    <row r="26968" spans="23:23" x14ac:dyDescent="0.55000000000000004">
      <c r="W26968"/>
    </row>
    <row r="26969" spans="23:23" x14ac:dyDescent="0.55000000000000004">
      <c r="W26969"/>
    </row>
    <row r="26970" spans="23:23" x14ac:dyDescent="0.55000000000000004">
      <c r="W26970"/>
    </row>
    <row r="26971" spans="23:23" x14ac:dyDescent="0.55000000000000004">
      <c r="W26971"/>
    </row>
    <row r="26972" spans="23:23" x14ac:dyDescent="0.55000000000000004">
      <c r="W26972"/>
    </row>
    <row r="26973" spans="23:23" x14ac:dyDescent="0.55000000000000004">
      <c r="W26973"/>
    </row>
    <row r="26974" spans="23:23" x14ac:dyDescent="0.55000000000000004">
      <c r="W26974"/>
    </row>
    <row r="26975" spans="23:23" x14ac:dyDescent="0.55000000000000004">
      <c r="W26975"/>
    </row>
    <row r="26976" spans="23:23" x14ac:dyDescent="0.55000000000000004">
      <c r="W26976"/>
    </row>
    <row r="26977" spans="23:23" x14ac:dyDescent="0.55000000000000004">
      <c r="W26977"/>
    </row>
    <row r="26978" spans="23:23" x14ac:dyDescent="0.55000000000000004">
      <c r="W26978"/>
    </row>
    <row r="26979" spans="23:23" x14ac:dyDescent="0.55000000000000004">
      <c r="W26979"/>
    </row>
    <row r="26980" spans="23:23" x14ac:dyDescent="0.55000000000000004">
      <c r="W26980"/>
    </row>
    <row r="26981" spans="23:23" x14ac:dyDescent="0.55000000000000004">
      <c r="W26981"/>
    </row>
    <row r="26982" spans="23:23" x14ac:dyDescent="0.55000000000000004">
      <c r="W26982"/>
    </row>
    <row r="26983" spans="23:23" x14ac:dyDescent="0.55000000000000004">
      <c r="W26983"/>
    </row>
    <row r="26984" spans="23:23" x14ac:dyDescent="0.55000000000000004">
      <c r="W26984"/>
    </row>
    <row r="26985" spans="23:23" x14ac:dyDescent="0.55000000000000004">
      <c r="W26985"/>
    </row>
    <row r="26986" spans="23:23" x14ac:dyDescent="0.55000000000000004">
      <c r="W26986"/>
    </row>
    <row r="26987" spans="23:23" x14ac:dyDescent="0.55000000000000004">
      <c r="W26987"/>
    </row>
    <row r="26988" spans="23:23" x14ac:dyDescent="0.55000000000000004">
      <c r="W26988"/>
    </row>
    <row r="26989" spans="23:23" x14ac:dyDescent="0.55000000000000004">
      <c r="W26989"/>
    </row>
    <row r="26990" spans="23:23" x14ac:dyDescent="0.55000000000000004">
      <c r="W26990"/>
    </row>
    <row r="26991" spans="23:23" x14ac:dyDescent="0.55000000000000004">
      <c r="W26991"/>
    </row>
    <row r="26992" spans="23:23" x14ac:dyDescent="0.55000000000000004">
      <c r="W26992"/>
    </row>
    <row r="26993" spans="23:23" x14ac:dyDescent="0.55000000000000004">
      <c r="W26993"/>
    </row>
    <row r="26994" spans="23:23" x14ac:dyDescent="0.55000000000000004">
      <c r="W26994"/>
    </row>
    <row r="26995" spans="23:23" x14ac:dyDescent="0.55000000000000004">
      <c r="W26995"/>
    </row>
    <row r="26996" spans="23:23" x14ac:dyDescent="0.55000000000000004">
      <c r="W26996"/>
    </row>
    <row r="26997" spans="23:23" x14ac:dyDescent="0.55000000000000004">
      <c r="W26997"/>
    </row>
    <row r="26998" spans="23:23" x14ac:dyDescent="0.55000000000000004">
      <c r="W26998"/>
    </row>
    <row r="26999" spans="23:23" x14ac:dyDescent="0.55000000000000004">
      <c r="W26999"/>
    </row>
    <row r="27000" spans="23:23" x14ac:dyDescent="0.55000000000000004">
      <c r="W27000"/>
    </row>
    <row r="27001" spans="23:23" x14ac:dyDescent="0.55000000000000004">
      <c r="W27001"/>
    </row>
    <row r="27002" spans="23:23" x14ac:dyDescent="0.55000000000000004">
      <c r="W27002"/>
    </row>
    <row r="27003" spans="23:23" x14ac:dyDescent="0.55000000000000004">
      <c r="W27003"/>
    </row>
    <row r="27004" spans="23:23" x14ac:dyDescent="0.55000000000000004">
      <c r="W27004"/>
    </row>
    <row r="27005" spans="23:23" x14ac:dyDescent="0.55000000000000004">
      <c r="W27005"/>
    </row>
    <row r="27006" spans="23:23" x14ac:dyDescent="0.55000000000000004">
      <c r="W27006"/>
    </row>
    <row r="27007" spans="23:23" x14ac:dyDescent="0.55000000000000004">
      <c r="W27007"/>
    </row>
    <row r="27008" spans="23:23" x14ac:dyDescent="0.55000000000000004">
      <c r="W27008"/>
    </row>
    <row r="27009" spans="23:23" x14ac:dyDescent="0.55000000000000004">
      <c r="W27009"/>
    </row>
    <row r="27010" spans="23:23" x14ac:dyDescent="0.55000000000000004">
      <c r="W27010"/>
    </row>
    <row r="27011" spans="23:23" x14ac:dyDescent="0.55000000000000004">
      <c r="W27011"/>
    </row>
    <row r="27012" spans="23:23" x14ac:dyDescent="0.55000000000000004">
      <c r="W27012"/>
    </row>
    <row r="27013" spans="23:23" x14ac:dyDescent="0.55000000000000004">
      <c r="W27013"/>
    </row>
    <row r="27014" spans="23:23" x14ac:dyDescent="0.55000000000000004">
      <c r="W27014"/>
    </row>
    <row r="27015" spans="23:23" x14ac:dyDescent="0.55000000000000004">
      <c r="W27015"/>
    </row>
    <row r="27016" spans="23:23" x14ac:dyDescent="0.55000000000000004">
      <c r="W27016"/>
    </row>
    <row r="27017" spans="23:23" x14ac:dyDescent="0.55000000000000004">
      <c r="W27017"/>
    </row>
    <row r="27018" spans="23:23" x14ac:dyDescent="0.55000000000000004">
      <c r="W27018"/>
    </row>
    <row r="27019" spans="23:23" x14ac:dyDescent="0.55000000000000004">
      <c r="W27019"/>
    </row>
    <row r="27020" spans="23:23" x14ac:dyDescent="0.55000000000000004">
      <c r="W27020"/>
    </row>
    <row r="27021" spans="23:23" x14ac:dyDescent="0.55000000000000004">
      <c r="W27021"/>
    </row>
    <row r="27022" spans="23:23" x14ac:dyDescent="0.55000000000000004">
      <c r="W27022"/>
    </row>
    <row r="27023" spans="23:23" x14ac:dyDescent="0.55000000000000004">
      <c r="W27023"/>
    </row>
    <row r="27024" spans="23:23" x14ac:dyDescent="0.55000000000000004">
      <c r="W27024"/>
    </row>
    <row r="27025" spans="23:23" x14ac:dyDescent="0.55000000000000004">
      <c r="W27025"/>
    </row>
    <row r="27026" spans="23:23" x14ac:dyDescent="0.55000000000000004">
      <c r="W27026"/>
    </row>
    <row r="27027" spans="23:23" x14ac:dyDescent="0.55000000000000004">
      <c r="W27027"/>
    </row>
    <row r="27028" spans="23:23" x14ac:dyDescent="0.55000000000000004">
      <c r="W27028"/>
    </row>
    <row r="27029" spans="23:23" x14ac:dyDescent="0.55000000000000004">
      <c r="W27029"/>
    </row>
    <row r="27030" spans="23:23" x14ac:dyDescent="0.55000000000000004">
      <c r="W27030"/>
    </row>
    <row r="27031" spans="23:23" x14ac:dyDescent="0.55000000000000004">
      <c r="W27031"/>
    </row>
    <row r="27032" spans="23:23" x14ac:dyDescent="0.55000000000000004">
      <c r="W27032"/>
    </row>
    <row r="27033" spans="23:23" x14ac:dyDescent="0.55000000000000004">
      <c r="W27033"/>
    </row>
    <row r="27034" spans="23:23" x14ac:dyDescent="0.55000000000000004">
      <c r="W27034"/>
    </row>
    <row r="27035" spans="23:23" x14ac:dyDescent="0.55000000000000004">
      <c r="W27035"/>
    </row>
    <row r="27036" spans="23:23" x14ac:dyDescent="0.55000000000000004">
      <c r="W27036"/>
    </row>
    <row r="27037" spans="23:23" x14ac:dyDescent="0.55000000000000004">
      <c r="W27037"/>
    </row>
    <row r="27038" spans="23:23" x14ac:dyDescent="0.55000000000000004">
      <c r="W27038"/>
    </row>
    <row r="27039" spans="23:23" x14ac:dyDescent="0.55000000000000004">
      <c r="W27039"/>
    </row>
    <row r="27040" spans="23:23" x14ac:dyDescent="0.55000000000000004">
      <c r="W27040"/>
    </row>
    <row r="27041" spans="23:23" x14ac:dyDescent="0.55000000000000004">
      <c r="W27041"/>
    </row>
    <row r="27042" spans="23:23" x14ac:dyDescent="0.55000000000000004">
      <c r="W27042"/>
    </row>
    <row r="27043" spans="23:23" x14ac:dyDescent="0.55000000000000004">
      <c r="W27043"/>
    </row>
    <row r="27044" spans="23:23" x14ac:dyDescent="0.55000000000000004">
      <c r="W27044"/>
    </row>
    <row r="27045" spans="23:23" x14ac:dyDescent="0.55000000000000004">
      <c r="W27045"/>
    </row>
    <row r="27046" spans="23:23" x14ac:dyDescent="0.55000000000000004">
      <c r="W27046"/>
    </row>
    <row r="27047" spans="23:23" x14ac:dyDescent="0.55000000000000004">
      <c r="W27047"/>
    </row>
    <row r="27048" spans="23:23" x14ac:dyDescent="0.55000000000000004">
      <c r="W27048"/>
    </row>
    <row r="27049" spans="23:23" x14ac:dyDescent="0.55000000000000004">
      <c r="W27049"/>
    </row>
    <row r="27050" spans="23:23" x14ac:dyDescent="0.55000000000000004">
      <c r="W27050"/>
    </row>
    <row r="27051" spans="23:23" x14ac:dyDescent="0.55000000000000004">
      <c r="W27051"/>
    </row>
    <row r="27052" spans="23:23" x14ac:dyDescent="0.55000000000000004">
      <c r="W27052"/>
    </row>
    <row r="27053" spans="23:23" x14ac:dyDescent="0.55000000000000004">
      <c r="W27053"/>
    </row>
    <row r="27054" spans="23:23" x14ac:dyDescent="0.55000000000000004">
      <c r="W27054"/>
    </row>
    <row r="27055" spans="23:23" x14ac:dyDescent="0.55000000000000004">
      <c r="W27055"/>
    </row>
    <row r="27056" spans="23:23" x14ac:dyDescent="0.55000000000000004">
      <c r="W27056"/>
    </row>
    <row r="27057" spans="23:23" x14ac:dyDescent="0.55000000000000004">
      <c r="W27057"/>
    </row>
    <row r="27058" spans="23:23" x14ac:dyDescent="0.55000000000000004">
      <c r="W27058"/>
    </row>
    <row r="27059" spans="23:23" x14ac:dyDescent="0.55000000000000004">
      <c r="W27059"/>
    </row>
    <row r="27060" spans="23:23" x14ac:dyDescent="0.55000000000000004">
      <c r="W27060"/>
    </row>
    <row r="27061" spans="23:23" x14ac:dyDescent="0.55000000000000004">
      <c r="W27061"/>
    </row>
    <row r="27062" spans="23:23" x14ac:dyDescent="0.55000000000000004">
      <c r="W27062"/>
    </row>
    <row r="27063" spans="23:23" x14ac:dyDescent="0.55000000000000004">
      <c r="W27063"/>
    </row>
    <row r="27064" spans="23:23" x14ac:dyDescent="0.55000000000000004">
      <c r="W27064"/>
    </row>
    <row r="27065" spans="23:23" x14ac:dyDescent="0.55000000000000004">
      <c r="W27065"/>
    </row>
    <row r="27066" spans="23:23" x14ac:dyDescent="0.55000000000000004">
      <c r="W27066"/>
    </row>
    <row r="27067" spans="23:23" x14ac:dyDescent="0.55000000000000004">
      <c r="W27067"/>
    </row>
    <row r="27068" spans="23:23" x14ac:dyDescent="0.55000000000000004">
      <c r="W27068"/>
    </row>
    <row r="27069" spans="23:23" x14ac:dyDescent="0.55000000000000004">
      <c r="W27069"/>
    </row>
    <row r="27070" spans="23:23" x14ac:dyDescent="0.55000000000000004">
      <c r="W27070"/>
    </row>
    <row r="27071" spans="23:23" x14ac:dyDescent="0.55000000000000004">
      <c r="W27071"/>
    </row>
    <row r="27072" spans="23:23" x14ac:dyDescent="0.55000000000000004">
      <c r="W27072"/>
    </row>
    <row r="27073" spans="23:23" x14ac:dyDescent="0.55000000000000004">
      <c r="W27073"/>
    </row>
    <row r="27074" spans="23:23" x14ac:dyDescent="0.55000000000000004">
      <c r="W27074"/>
    </row>
    <row r="27075" spans="23:23" x14ac:dyDescent="0.55000000000000004">
      <c r="W27075"/>
    </row>
    <row r="27076" spans="23:23" x14ac:dyDescent="0.55000000000000004">
      <c r="W27076"/>
    </row>
    <row r="27077" spans="23:23" x14ac:dyDescent="0.55000000000000004">
      <c r="W27077"/>
    </row>
    <row r="27078" spans="23:23" x14ac:dyDescent="0.55000000000000004">
      <c r="W27078"/>
    </row>
    <row r="27079" spans="23:23" x14ac:dyDescent="0.55000000000000004">
      <c r="W27079"/>
    </row>
    <row r="27080" spans="23:23" x14ac:dyDescent="0.55000000000000004">
      <c r="W27080"/>
    </row>
    <row r="27081" spans="23:23" x14ac:dyDescent="0.55000000000000004">
      <c r="W27081"/>
    </row>
    <row r="27082" spans="23:23" x14ac:dyDescent="0.55000000000000004">
      <c r="W27082"/>
    </row>
    <row r="27083" spans="23:23" x14ac:dyDescent="0.55000000000000004">
      <c r="W27083"/>
    </row>
    <row r="27084" spans="23:23" x14ac:dyDescent="0.55000000000000004">
      <c r="W27084"/>
    </row>
    <row r="27085" spans="23:23" x14ac:dyDescent="0.55000000000000004">
      <c r="W27085"/>
    </row>
    <row r="27086" spans="23:23" x14ac:dyDescent="0.55000000000000004">
      <c r="W27086"/>
    </row>
    <row r="27087" spans="23:23" x14ac:dyDescent="0.55000000000000004">
      <c r="W27087"/>
    </row>
    <row r="27088" spans="23:23" x14ac:dyDescent="0.55000000000000004">
      <c r="W27088"/>
    </row>
    <row r="27089" spans="23:23" x14ac:dyDescent="0.55000000000000004">
      <c r="W27089"/>
    </row>
    <row r="27090" spans="23:23" x14ac:dyDescent="0.55000000000000004">
      <c r="W27090"/>
    </row>
    <row r="27091" spans="23:23" x14ac:dyDescent="0.55000000000000004">
      <c r="W27091"/>
    </row>
    <row r="27092" spans="23:23" x14ac:dyDescent="0.55000000000000004">
      <c r="W27092"/>
    </row>
    <row r="27093" spans="23:23" x14ac:dyDescent="0.55000000000000004">
      <c r="W27093"/>
    </row>
    <row r="27094" spans="23:23" x14ac:dyDescent="0.55000000000000004">
      <c r="W27094"/>
    </row>
    <row r="27095" spans="23:23" x14ac:dyDescent="0.55000000000000004">
      <c r="W27095"/>
    </row>
    <row r="27096" spans="23:23" x14ac:dyDescent="0.55000000000000004">
      <c r="W27096"/>
    </row>
    <row r="27097" spans="23:23" x14ac:dyDescent="0.55000000000000004">
      <c r="W27097"/>
    </row>
    <row r="27098" spans="23:23" x14ac:dyDescent="0.55000000000000004">
      <c r="W27098"/>
    </row>
    <row r="27099" spans="23:23" x14ac:dyDescent="0.55000000000000004">
      <c r="W27099"/>
    </row>
    <row r="27100" spans="23:23" x14ac:dyDescent="0.55000000000000004">
      <c r="W27100"/>
    </row>
    <row r="27101" spans="23:23" x14ac:dyDescent="0.55000000000000004">
      <c r="W27101"/>
    </row>
    <row r="27102" spans="23:23" x14ac:dyDescent="0.55000000000000004">
      <c r="W27102"/>
    </row>
    <row r="27103" spans="23:23" x14ac:dyDescent="0.55000000000000004">
      <c r="W27103"/>
    </row>
    <row r="27104" spans="23:23" x14ac:dyDescent="0.55000000000000004">
      <c r="W27104"/>
    </row>
    <row r="27105" spans="23:23" x14ac:dyDescent="0.55000000000000004">
      <c r="W27105"/>
    </row>
    <row r="27106" spans="23:23" x14ac:dyDescent="0.55000000000000004">
      <c r="W27106"/>
    </row>
    <row r="27107" spans="23:23" x14ac:dyDescent="0.55000000000000004">
      <c r="W27107"/>
    </row>
    <row r="27108" spans="23:23" x14ac:dyDescent="0.55000000000000004">
      <c r="W27108"/>
    </row>
    <row r="27109" spans="23:23" x14ac:dyDescent="0.55000000000000004">
      <c r="W27109"/>
    </row>
    <row r="27110" spans="23:23" x14ac:dyDescent="0.55000000000000004">
      <c r="W27110"/>
    </row>
    <row r="27111" spans="23:23" x14ac:dyDescent="0.55000000000000004">
      <c r="W27111"/>
    </row>
    <row r="27112" spans="23:23" x14ac:dyDescent="0.55000000000000004">
      <c r="W27112"/>
    </row>
    <row r="27113" spans="23:23" x14ac:dyDescent="0.55000000000000004">
      <c r="W27113"/>
    </row>
    <row r="27114" spans="23:23" x14ac:dyDescent="0.55000000000000004">
      <c r="W27114"/>
    </row>
    <row r="27115" spans="23:23" x14ac:dyDescent="0.55000000000000004">
      <c r="W27115"/>
    </row>
    <row r="27116" spans="23:23" x14ac:dyDescent="0.55000000000000004">
      <c r="W27116"/>
    </row>
    <row r="27117" spans="23:23" x14ac:dyDescent="0.55000000000000004">
      <c r="W27117"/>
    </row>
    <row r="27118" spans="23:23" x14ac:dyDescent="0.55000000000000004">
      <c r="W27118"/>
    </row>
    <row r="27119" spans="23:23" x14ac:dyDescent="0.55000000000000004">
      <c r="W27119"/>
    </row>
    <row r="27120" spans="23:23" x14ac:dyDescent="0.55000000000000004">
      <c r="W27120"/>
    </row>
    <row r="27121" spans="23:23" x14ac:dyDescent="0.55000000000000004">
      <c r="W27121"/>
    </row>
    <row r="27122" spans="23:23" x14ac:dyDescent="0.55000000000000004">
      <c r="W27122"/>
    </row>
    <row r="27123" spans="23:23" x14ac:dyDescent="0.55000000000000004">
      <c r="W27123"/>
    </row>
    <row r="27124" spans="23:23" x14ac:dyDescent="0.55000000000000004">
      <c r="W27124"/>
    </row>
    <row r="27125" spans="23:23" x14ac:dyDescent="0.55000000000000004">
      <c r="W27125"/>
    </row>
    <row r="27126" spans="23:23" x14ac:dyDescent="0.55000000000000004">
      <c r="W27126"/>
    </row>
    <row r="27127" spans="23:23" x14ac:dyDescent="0.55000000000000004">
      <c r="W27127"/>
    </row>
    <row r="27128" spans="23:23" x14ac:dyDescent="0.55000000000000004">
      <c r="W27128"/>
    </row>
    <row r="27129" spans="23:23" x14ac:dyDescent="0.55000000000000004">
      <c r="W27129"/>
    </row>
    <row r="27130" spans="23:23" x14ac:dyDescent="0.55000000000000004">
      <c r="W27130"/>
    </row>
    <row r="27131" spans="23:23" x14ac:dyDescent="0.55000000000000004">
      <c r="W27131"/>
    </row>
    <row r="27132" spans="23:23" x14ac:dyDescent="0.55000000000000004">
      <c r="W27132"/>
    </row>
    <row r="27133" spans="23:23" x14ac:dyDescent="0.55000000000000004">
      <c r="W27133"/>
    </row>
    <row r="27134" spans="23:23" x14ac:dyDescent="0.55000000000000004">
      <c r="W27134"/>
    </row>
    <row r="27135" spans="23:23" x14ac:dyDescent="0.55000000000000004">
      <c r="W27135"/>
    </row>
    <row r="27136" spans="23:23" x14ac:dyDescent="0.55000000000000004">
      <c r="W27136"/>
    </row>
    <row r="27137" spans="23:23" x14ac:dyDescent="0.55000000000000004">
      <c r="W27137"/>
    </row>
    <row r="27138" spans="23:23" x14ac:dyDescent="0.55000000000000004">
      <c r="W27138"/>
    </row>
    <row r="27139" spans="23:23" x14ac:dyDescent="0.55000000000000004">
      <c r="W27139"/>
    </row>
    <row r="27140" spans="23:23" x14ac:dyDescent="0.55000000000000004">
      <c r="W27140"/>
    </row>
    <row r="27141" spans="23:23" x14ac:dyDescent="0.55000000000000004">
      <c r="W27141"/>
    </row>
    <row r="27142" spans="23:23" x14ac:dyDescent="0.55000000000000004">
      <c r="W27142"/>
    </row>
    <row r="27143" spans="23:23" x14ac:dyDescent="0.55000000000000004">
      <c r="W27143"/>
    </row>
    <row r="27144" spans="23:23" x14ac:dyDescent="0.55000000000000004">
      <c r="W27144"/>
    </row>
    <row r="27145" spans="23:23" x14ac:dyDescent="0.55000000000000004">
      <c r="W27145"/>
    </row>
    <row r="27146" spans="23:23" x14ac:dyDescent="0.55000000000000004">
      <c r="W27146"/>
    </row>
    <row r="27147" spans="23:23" x14ac:dyDescent="0.55000000000000004">
      <c r="W27147"/>
    </row>
    <row r="27148" spans="23:23" x14ac:dyDescent="0.55000000000000004">
      <c r="W27148"/>
    </row>
    <row r="27149" spans="23:23" x14ac:dyDescent="0.55000000000000004">
      <c r="W27149"/>
    </row>
    <row r="27150" spans="23:23" x14ac:dyDescent="0.55000000000000004">
      <c r="W27150"/>
    </row>
    <row r="27151" spans="23:23" x14ac:dyDescent="0.55000000000000004">
      <c r="W27151"/>
    </row>
    <row r="27152" spans="23:23" x14ac:dyDescent="0.55000000000000004">
      <c r="W27152"/>
    </row>
    <row r="27153" spans="23:23" x14ac:dyDescent="0.55000000000000004">
      <c r="W27153"/>
    </row>
    <row r="27154" spans="23:23" x14ac:dyDescent="0.55000000000000004">
      <c r="W27154"/>
    </row>
    <row r="27155" spans="23:23" x14ac:dyDescent="0.55000000000000004">
      <c r="W27155"/>
    </row>
    <row r="27156" spans="23:23" x14ac:dyDescent="0.55000000000000004">
      <c r="W27156"/>
    </row>
    <row r="27157" spans="23:23" x14ac:dyDescent="0.55000000000000004">
      <c r="W27157"/>
    </row>
    <row r="27158" spans="23:23" x14ac:dyDescent="0.55000000000000004">
      <c r="W27158"/>
    </row>
    <row r="27159" spans="23:23" x14ac:dyDescent="0.55000000000000004">
      <c r="W27159"/>
    </row>
    <row r="27160" spans="23:23" x14ac:dyDescent="0.55000000000000004">
      <c r="W27160"/>
    </row>
    <row r="27161" spans="23:23" x14ac:dyDescent="0.55000000000000004">
      <c r="W27161"/>
    </row>
    <row r="27162" spans="23:23" x14ac:dyDescent="0.55000000000000004">
      <c r="W27162"/>
    </row>
    <row r="27163" spans="23:23" x14ac:dyDescent="0.55000000000000004">
      <c r="W27163"/>
    </row>
    <row r="27164" spans="23:23" x14ac:dyDescent="0.55000000000000004">
      <c r="W27164"/>
    </row>
    <row r="27165" spans="23:23" x14ac:dyDescent="0.55000000000000004">
      <c r="W27165"/>
    </row>
    <row r="27166" spans="23:23" x14ac:dyDescent="0.55000000000000004">
      <c r="W27166"/>
    </row>
    <row r="27167" spans="23:23" x14ac:dyDescent="0.55000000000000004">
      <c r="W27167"/>
    </row>
    <row r="27168" spans="23:23" x14ac:dyDescent="0.55000000000000004">
      <c r="W27168"/>
    </row>
    <row r="27169" spans="23:23" x14ac:dyDescent="0.55000000000000004">
      <c r="W27169"/>
    </row>
    <row r="27170" spans="23:23" x14ac:dyDescent="0.55000000000000004">
      <c r="W27170"/>
    </row>
    <row r="27171" spans="23:23" x14ac:dyDescent="0.55000000000000004">
      <c r="W27171"/>
    </row>
    <row r="27172" spans="23:23" x14ac:dyDescent="0.55000000000000004">
      <c r="W27172"/>
    </row>
    <row r="27173" spans="23:23" x14ac:dyDescent="0.55000000000000004">
      <c r="W27173"/>
    </row>
    <row r="27174" spans="23:23" x14ac:dyDescent="0.55000000000000004">
      <c r="W27174"/>
    </row>
    <row r="27175" spans="23:23" x14ac:dyDescent="0.55000000000000004">
      <c r="W27175"/>
    </row>
    <row r="27176" spans="23:23" x14ac:dyDescent="0.55000000000000004">
      <c r="W27176"/>
    </row>
    <row r="27177" spans="23:23" x14ac:dyDescent="0.55000000000000004">
      <c r="W27177"/>
    </row>
    <row r="27178" spans="23:23" x14ac:dyDescent="0.55000000000000004">
      <c r="W27178"/>
    </row>
    <row r="27179" spans="23:23" x14ac:dyDescent="0.55000000000000004">
      <c r="W27179"/>
    </row>
    <row r="27180" spans="23:23" x14ac:dyDescent="0.55000000000000004">
      <c r="W27180"/>
    </row>
    <row r="27181" spans="23:23" x14ac:dyDescent="0.55000000000000004">
      <c r="W27181"/>
    </row>
    <row r="27182" spans="23:23" x14ac:dyDescent="0.55000000000000004">
      <c r="W27182"/>
    </row>
    <row r="27183" spans="23:23" x14ac:dyDescent="0.55000000000000004">
      <c r="W27183"/>
    </row>
    <row r="27184" spans="23:23" x14ac:dyDescent="0.55000000000000004">
      <c r="W27184"/>
    </row>
    <row r="27185" spans="23:23" x14ac:dyDescent="0.55000000000000004">
      <c r="W27185"/>
    </row>
    <row r="27186" spans="23:23" x14ac:dyDescent="0.55000000000000004">
      <c r="W27186"/>
    </row>
    <row r="27187" spans="23:23" x14ac:dyDescent="0.55000000000000004">
      <c r="W27187"/>
    </row>
    <row r="27188" spans="23:23" x14ac:dyDescent="0.55000000000000004">
      <c r="W27188"/>
    </row>
    <row r="27189" spans="23:23" x14ac:dyDescent="0.55000000000000004">
      <c r="W27189"/>
    </row>
    <row r="27190" spans="23:23" x14ac:dyDescent="0.55000000000000004">
      <c r="W27190"/>
    </row>
    <row r="27191" spans="23:23" x14ac:dyDescent="0.55000000000000004">
      <c r="W27191"/>
    </row>
    <row r="27192" spans="23:23" x14ac:dyDescent="0.55000000000000004">
      <c r="W27192"/>
    </row>
    <row r="27193" spans="23:23" x14ac:dyDescent="0.55000000000000004">
      <c r="W27193"/>
    </row>
    <row r="27194" spans="23:23" x14ac:dyDescent="0.55000000000000004">
      <c r="W27194"/>
    </row>
    <row r="27195" spans="23:23" x14ac:dyDescent="0.55000000000000004">
      <c r="W27195"/>
    </row>
    <row r="27196" spans="23:23" x14ac:dyDescent="0.55000000000000004">
      <c r="W27196"/>
    </row>
    <row r="27197" spans="23:23" x14ac:dyDescent="0.55000000000000004">
      <c r="W27197"/>
    </row>
    <row r="27198" spans="23:23" x14ac:dyDescent="0.55000000000000004">
      <c r="W27198"/>
    </row>
    <row r="27199" spans="23:23" x14ac:dyDescent="0.55000000000000004">
      <c r="W27199"/>
    </row>
    <row r="27200" spans="23:23" x14ac:dyDescent="0.55000000000000004">
      <c r="W27200"/>
    </row>
    <row r="27201" spans="23:23" x14ac:dyDescent="0.55000000000000004">
      <c r="W27201"/>
    </row>
    <row r="27202" spans="23:23" x14ac:dyDescent="0.55000000000000004">
      <c r="W27202"/>
    </row>
    <row r="27203" spans="23:23" x14ac:dyDescent="0.55000000000000004">
      <c r="W27203"/>
    </row>
    <row r="27204" spans="23:23" x14ac:dyDescent="0.55000000000000004">
      <c r="W27204"/>
    </row>
    <row r="27205" spans="23:23" x14ac:dyDescent="0.55000000000000004">
      <c r="W27205"/>
    </row>
    <row r="27206" spans="23:23" x14ac:dyDescent="0.55000000000000004">
      <c r="W27206"/>
    </row>
    <row r="27207" spans="23:23" x14ac:dyDescent="0.55000000000000004">
      <c r="W27207"/>
    </row>
    <row r="27208" spans="23:23" x14ac:dyDescent="0.55000000000000004">
      <c r="W27208"/>
    </row>
    <row r="27209" spans="23:23" x14ac:dyDescent="0.55000000000000004">
      <c r="W27209"/>
    </row>
    <row r="27210" spans="23:23" x14ac:dyDescent="0.55000000000000004">
      <c r="W27210"/>
    </row>
    <row r="27211" spans="23:23" x14ac:dyDescent="0.55000000000000004">
      <c r="W27211"/>
    </row>
    <row r="27212" spans="23:23" x14ac:dyDescent="0.55000000000000004">
      <c r="W27212"/>
    </row>
    <row r="27213" spans="23:23" x14ac:dyDescent="0.55000000000000004">
      <c r="W27213"/>
    </row>
    <row r="27214" spans="23:23" x14ac:dyDescent="0.55000000000000004">
      <c r="W27214"/>
    </row>
    <row r="27215" spans="23:23" x14ac:dyDescent="0.55000000000000004">
      <c r="W27215"/>
    </row>
    <row r="27216" spans="23:23" x14ac:dyDescent="0.55000000000000004">
      <c r="W27216"/>
    </row>
    <row r="27217" spans="23:23" x14ac:dyDescent="0.55000000000000004">
      <c r="W27217"/>
    </row>
    <row r="27218" spans="23:23" x14ac:dyDescent="0.55000000000000004">
      <c r="W27218"/>
    </row>
    <row r="27219" spans="23:23" x14ac:dyDescent="0.55000000000000004">
      <c r="W27219"/>
    </row>
    <row r="27220" spans="23:23" x14ac:dyDescent="0.55000000000000004">
      <c r="W27220"/>
    </row>
    <row r="27221" spans="23:23" x14ac:dyDescent="0.55000000000000004">
      <c r="W27221"/>
    </row>
    <row r="27222" spans="23:23" x14ac:dyDescent="0.55000000000000004">
      <c r="W27222"/>
    </row>
    <row r="27223" spans="23:23" x14ac:dyDescent="0.55000000000000004">
      <c r="W27223"/>
    </row>
    <row r="27224" spans="23:23" x14ac:dyDescent="0.55000000000000004">
      <c r="W27224"/>
    </row>
    <row r="27225" spans="23:23" x14ac:dyDescent="0.55000000000000004">
      <c r="W27225"/>
    </row>
    <row r="27226" spans="23:23" x14ac:dyDescent="0.55000000000000004">
      <c r="W27226"/>
    </row>
    <row r="27227" spans="23:23" x14ac:dyDescent="0.55000000000000004">
      <c r="W27227"/>
    </row>
    <row r="27228" spans="23:23" x14ac:dyDescent="0.55000000000000004">
      <c r="W27228"/>
    </row>
    <row r="27229" spans="23:23" x14ac:dyDescent="0.55000000000000004">
      <c r="W27229"/>
    </row>
    <row r="27230" spans="23:23" x14ac:dyDescent="0.55000000000000004">
      <c r="W27230"/>
    </row>
    <row r="27231" spans="23:23" x14ac:dyDescent="0.55000000000000004">
      <c r="W27231"/>
    </row>
    <row r="27232" spans="23:23" x14ac:dyDescent="0.55000000000000004">
      <c r="W27232"/>
    </row>
    <row r="27233" spans="23:23" x14ac:dyDescent="0.55000000000000004">
      <c r="W27233"/>
    </row>
    <row r="27234" spans="23:23" x14ac:dyDescent="0.55000000000000004">
      <c r="W27234"/>
    </row>
    <row r="27235" spans="23:23" x14ac:dyDescent="0.55000000000000004">
      <c r="W27235"/>
    </row>
    <row r="27236" spans="23:23" x14ac:dyDescent="0.55000000000000004">
      <c r="W27236"/>
    </row>
    <row r="27237" spans="23:23" x14ac:dyDescent="0.55000000000000004">
      <c r="W27237"/>
    </row>
    <row r="27238" spans="23:23" x14ac:dyDescent="0.55000000000000004">
      <c r="W27238"/>
    </row>
    <row r="27239" spans="23:23" x14ac:dyDescent="0.55000000000000004">
      <c r="W27239"/>
    </row>
    <row r="27240" spans="23:23" x14ac:dyDescent="0.55000000000000004">
      <c r="W27240"/>
    </row>
    <row r="27241" spans="23:23" x14ac:dyDescent="0.55000000000000004">
      <c r="W27241"/>
    </row>
    <row r="27242" spans="23:23" x14ac:dyDescent="0.55000000000000004">
      <c r="W27242"/>
    </row>
    <row r="27243" spans="23:23" x14ac:dyDescent="0.55000000000000004">
      <c r="W27243"/>
    </row>
    <row r="27244" spans="23:23" x14ac:dyDescent="0.55000000000000004">
      <c r="W27244"/>
    </row>
    <row r="27245" spans="23:23" x14ac:dyDescent="0.55000000000000004">
      <c r="W27245"/>
    </row>
    <row r="27246" spans="23:23" x14ac:dyDescent="0.55000000000000004">
      <c r="W27246"/>
    </row>
    <row r="27247" spans="23:23" x14ac:dyDescent="0.55000000000000004">
      <c r="W27247"/>
    </row>
    <row r="27248" spans="23:23" x14ac:dyDescent="0.55000000000000004">
      <c r="W27248"/>
    </row>
    <row r="27249" spans="23:23" x14ac:dyDescent="0.55000000000000004">
      <c r="W27249"/>
    </row>
    <row r="27250" spans="23:23" x14ac:dyDescent="0.55000000000000004">
      <c r="W27250"/>
    </row>
    <row r="27251" spans="23:23" x14ac:dyDescent="0.55000000000000004">
      <c r="W27251"/>
    </row>
    <row r="27252" spans="23:23" x14ac:dyDescent="0.55000000000000004">
      <c r="W27252"/>
    </row>
    <row r="27253" spans="23:23" x14ac:dyDescent="0.55000000000000004">
      <c r="W27253"/>
    </row>
    <row r="27254" spans="23:23" x14ac:dyDescent="0.55000000000000004">
      <c r="W27254"/>
    </row>
    <row r="27255" spans="23:23" x14ac:dyDescent="0.55000000000000004">
      <c r="W27255"/>
    </row>
    <row r="27256" spans="23:23" x14ac:dyDescent="0.55000000000000004">
      <c r="W27256"/>
    </row>
    <row r="27257" spans="23:23" x14ac:dyDescent="0.55000000000000004">
      <c r="W27257"/>
    </row>
    <row r="27258" spans="23:23" x14ac:dyDescent="0.55000000000000004">
      <c r="W27258"/>
    </row>
    <row r="27259" spans="23:23" x14ac:dyDescent="0.55000000000000004">
      <c r="W27259"/>
    </row>
    <row r="27260" spans="23:23" x14ac:dyDescent="0.55000000000000004">
      <c r="W27260"/>
    </row>
    <row r="27261" spans="23:23" x14ac:dyDescent="0.55000000000000004">
      <c r="W27261"/>
    </row>
    <row r="27262" spans="23:23" x14ac:dyDescent="0.55000000000000004">
      <c r="W27262"/>
    </row>
    <row r="27263" spans="23:23" x14ac:dyDescent="0.55000000000000004">
      <c r="W27263"/>
    </row>
    <row r="27264" spans="23:23" x14ac:dyDescent="0.55000000000000004">
      <c r="W27264"/>
    </row>
    <row r="27265" spans="23:23" x14ac:dyDescent="0.55000000000000004">
      <c r="W27265"/>
    </row>
    <row r="27266" spans="23:23" x14ac:dyDescent="0.55000000000000004">
      <c r="W27266"/>
    </row>
    <row r="27267" spans="23:23" x14ac:dyDescent="0.55000000000000004">
      <c r="W27267"/>
    </row>
    <row r="27268" spans="23:23" x14ac:dyDescent="0.55000000000000004">
      <c r="W27268"/>
    </row>
    <row r="27269" spans="23:23" x14ac:dyDescent="0.55000000000000004">
      <c r="W27269"/>
    </row>
    <row r="27270" spans="23:23" x14ac:dyDescent="0.55000000000000004">
      <c r="W27270"/>
    </row>
    <row r="27271" spans="23:23" x14ac:dyDescent="0.55000000000000004">
      <c r="W27271"/>
    </row>
    <row r="27272" spans="23:23" x14ac:dyDescent="0.55000000000000004">
      <c r="W27272"/>
    </row>
    <row r="27273" spans="23:23" x14ac:dyDescent="0.55000000000000004">
      <c r="W27273"/>
    </row>
    <row r="27274" spans="23:23" x14ac:dyDescent="0.55000000000000004">
      <c r="W27274"/>
    </row>
    <row r="27275" spans="23:23" x14ac:dyDescent="0.55000000000000004">
      <c r="W27275"/>
    </row>
    <row r="27276" spans="23:23" x14ac:dyDescent="0.55000000000000004">
      <c r="W27276"/>
    </row>
    <row r="27277" spans="23:23" x14ac:dyDescent="0.55000000000000004">
      <c r="W27277"/>
    </row>
    <row r="27278" spans="23:23" x14ac:dyDescent="0.55000000000000004">
      <c r="W27278"/>
    </row>
    <row r="27279" spans="23:23" x14ac:dyDescent="0.55000000000000004">
      <c r="W27279"/>
    </row>
    <row r="27280" spans="23:23" x14ac:dyDescent="0.55000000000000004">
      <c r="W27280"/>
    </row>
    <row r="27281" spans="23:23" x14ac:dyDescent="0.55000000000000004">
      <c r="W27281"/>
    </row>
    <row r="27282" spans="23:23" x14ac:dyDescent="0.55000000000000004">
      <c r="W27282"/>
    </row>
    <row r="27283" spans="23:23" x14ac:dyDescent="0.55000000000000004">
      <c r="W27283"/>
    </row>
    <row r="27284" spans="23:23" x14ac:dyDescent="0.55000000000000004">
      <c r="W27284"/>
    </row>
    <row r="27285" spans="23:23" x14ac:dyDescent="0.55000000000000004">
      <c r="W27285"/>
    </row>
    <row r="27286" spans="23:23" x14ac:dyDescent="0.55000000000000004">
      <c r="W27286"/>
    </row>
    <row r="27287" spans="23:23" x14ac:dyDescent="0.55000000000000004">
      <c r="W27287"/>
    </row>
    <row r="27288" spans="23:23" x14ac:dyDescent="0.55000000000000004">
      <c r="W27288"/>
    </row>
    <row r="27289" spans="23:23" x14ac:dyDescent="0.55000000000000004">
      <c r="W27289"/>
    </row>
    <row r="27290" spans="23:23" x14ac:dyDescent="0.55000000000000004">
      <c r="W27290"/>
    </row>
    <row r="27291" spans="23:23" x14ac:dyDescent="0.55000000000000004">
      <c r="W27291"/>
    </row>
    <row r="27292" spans="23:23" x14ac:dyDescent="0.55000000000000004">
      <c r="W27292"/>
    </row>
    <row r="27293" spans="23:23" x14ac:dyDescent="0.55000000000000004">
      <c r="W27293"/>
    </row>
    <row r="27294" spans="23:23" x14ac:dyDescent="0.55000000000000004">
      <c r="W27294"/>
    </row>
    <row r="27295" spans="23:23" x14ac:dyDescent="0.55000000000000004">
      <c r="W27295"/>
    </row>
    <row r="27296" spans="23:23" x14ac:dyDescent="0.55000000000000004">
      <c r="W27296"/>
    </row>
    <row r="27297" spans="23:23" x14ac:dyDescent="0.55000000000000004">
      <c r="W27297"/>
    </row>
    <row r="27298" spans="23:23" x14ac:dyDescent="0.55000000000000004">
      <c r="W27298"/>
    </row>
    <row r="27299" spans="23:23" x14ac:dyDescent="0.55000000000000004">
      <c r="W27299"/>
    </row>
    <row r="27300" spans="23:23" x14ac:dyDescent="0.55000000000000004">
      <c r="W27300"/>
    </row>
    <row r="27301" spans="23:23" x14ac:dyDescent="0.55000000000000004">
      <c r="W27301"/>
    </row>
    <row r="27302" spans="23:23" x14ac:dyDescent="0.55000000000000004">
      <c r="W27302"/>
    </row>
    <row r="27303" spans="23:23" x14ac:dyDescent="0.55000000000000004">
      <c r="W27303"/>
    </row>
    <row r="27304" spans="23:23" x14ac:dyDescent="0.55000000000000004">
      <c r="W27304"/>
    </row>
    <row r="27305" spans="23:23" x14ac:dyDescent="0.55000000000000004">
      <c r="W27305"/>
    </row>
    <row r="27306" spans="23:23" x14ac:dyDescent="0.55000000000000004">
      <c r="W27306"/>
    </row>
    <row r="27307" spans="23:23" x14ac:dyDescent="0.55000000000000004">
      <c r="W27307"/>
    </row>
    <row r="27308" spans="23:23" x14ac:dyDescent="0.55000000000000004">
      <c r="W27308"/>
    </row>
    <row r="27309" spans="23:23" x14ac:dyDescent="0.55000000000000004">
      <c r="W27309"/>
    </row>
    <row r="27310" spans="23:23" x14ac:dyDescent="0.55000000000000004">
      <c r="W27310"/>
    </row>
    <row r="27311" spans="23:23" x14ac:dyDescent="0.55000000000000004">
      <c r="W27311"/>
    </row>
    <row r="27312" spans="23:23" x14ac:dyDescent="0.55000000000000004">
      <c r="W27312"/>
    </row>
    <row r="27313" spans="23:23" x14ac:dyDescent="0.55000000000000004">
      <c r="W27313"/>
    </row>
    <row r="27314" spans="23:23" x14ac:dyDescent="0.55000000000000004">
      <c r="W27314"/>
    </row>
    <row r="27315" spans="23:23" x14ac:dyDescent="0.55000000000000004">
      <c r="W27315"/>
    </row>
    <row r="27316" spans="23:23" x14ac:dyDescent="0.55000000000000004">
      <c r="W27316"/>
    </row>
    <row r="27317" spans="23:23" x14ac:dyDescent="0.55000000000000004">
      <c r="W27317"/>
    </row>
    <row r="27318" spans="23:23" x14ac:dyDescent="0.55000000000000004">
      <c r="W27318"/>
    </row>
    <row r="27319" spans="23:23" x14ac:dyDescent="0.55000000000000004">
      <c r="W27319"/>
    </row>
    <row r="27320" spans="23:23" x14ac:dyDescent="0.55000000000000004">
      <c r="W27320"/>
    </row>
    <row r="27321" spans="23:23" x14ac:dyDescent="0.55000000000000004">
      <c r="W27321"/>
    </row>
    <row r="27322" spans="23:23" x14ac:dyDescent="0.55000000000000004">
      <c r="W27322"/>
    </row>
    <row r="27323" spans="23:23" x14ac:dyDescent="0.55000000000000004">
      <c r="W27323"/>
    </row>
    <row r="27324" spans="23:23" x14ac:dyDescent="0.55000000000000004">
      <c r="W27324"/>
    </row>
    <row r="27325" spans="23:23" x14ac:dyDescent="0.55000000000000004">
      <c r="W27325"/>
    </row>
    <row r="27326" spans="23:23" x14ac:dyDescent="0.55000000000000004">
      <c r="W27326"/>
    </row>
    <row r="27327" spans="23:23" x14ac:dyDescent="0.55000000000000004">
      <c r="W27327"/>
    </row>
    <row r="27328" spans="23:23" x14ac:dyDescent="0.55000000000000004">
      <c r="W27328"/>
    </row>
    <row r="27329" spans="23:23" x14ac:dyDescent="0.55000000000000004">
      <c r="W27329"/>
    </row>
    <row r="27330" spans="23:23" x14ac:dyDescent="0.55000000000000004">
      <c r="W27330"/>
    </row>
    <row r="27331" spans="23:23" x14ac:dyDescent="0.55000000000000004">
      <c r="W27331"/>
    </row>
    <row r="27332" spans="23:23" x14ac:dyDescent="0.55000000000000004">
      <c r="W27332"/>
    </row>
    <row r="27333" spans="23:23" x14ac:dyDescent="0.55000000000000004">
      <c r="W27333"/>
    </row>
    <row r="27334" spans="23:23" x14ac:dyDescent="0.55000000000000004">
      <c r="W27334"/>
    </row>
    <row r="27335" spans="23:23" x14ac:dyDescent="0.55000000000000004">
      <c r="W27335"/>
    </row>
    <row r="27336" spans="23:23" x14ac:dyDescent="0.55000000000000004">
      <c r="W27336"/>
    </row>
    <row r="27337" spans="23:23" x14ac:dyDescent="0.55000000000000004">
      <c r="W27337"/>
    </row>
    <row r="27338" spans="23:23" x14ac:dyDescent="0.55000000000000004">
      <c r="W27338"/>
    </row>
    <row r="27339" spans="23:23" x14ac:dyDescent="0.55000000000000004">
      <c r="W27339"/>
    </row>
    <row r="27340" spans="23:23" x14ac:dyDescent="0.55000000000000004">
      <c r="W27340"/>
    </row>
    <row r="27341" spans="23:23" x14ac:dyDescent="0.55000000000000004">
      <c r="W27341"/>
    </row>
    <row r="27342" spans="23:23" x14ac:dyDescent="0.55000000000000004">
      <c r="W27342"/>
    </row>
    <row r="27343" spans="23:23" x14ac:dyDescent="0.55000000000000004">
      <c r="W27343"/>
    </row>
    <row r="27344" spans="23:23" x14ac:dyDescent="0.55000000000000004">
      <c r="W27344"/>
    </row>
    <row r="27345" spans="23:23" x14ac:dyDescent="0.55000000000000004">
      <c r="W27345"/>
    </row>
    <row r="27346" spans="23:23" x14ac:dyDescent="0.55000000000000004">
      <c r="W27346"/>
    </row>
    <row r="27347" spans="23:23" x14ac:dyDescent="0.55000000000000004">
      <c r="W27347"/>
    </row>
    <row r="27348" spans="23:23" x14ac:dyDescent="0.55000000000000004">
      <c r="W27348"/>
    </row>
    <row r="27349" spans="23:23" x14ac:dyDescent="0.55000000000000004">
      <c r="W27349"/>
    </row>
    <row r="27350" spans="23:23" x14ac:dyDescent="0.55000000000000004">
      <c r="W27350"/>
    </row>
    <row r="27351" spans="23:23" x14ac:dyDescent="0.55000000000000004">
      <c r="W27351"/>
    </row>
    <row r="27352" spans="23:23" x14ac:dyDescent="0.55000000000000004">
      <c r="W27352"/>
    </row>
    <row r="27353" spans="23:23" x14ac:dyDescent="0.55000000000000004">
      <c r="W27353"/>
    </row>
    <row r="27354" spans="23:23" x14ac:dyDescent="0.55000000000000004">
      <c r="W27354"/>
    </row>
    <row r="27355" spans="23:23" x14ac:dyDescent="0.55000000000000004">
      <c r="W27355"/>
    </row>
    <row r="27356" spans="23:23" x14ac:dyDescent="0.55000000000000004">
      <c r="W27356"/>
    </row>
    <row r="27357" spans="23:23" x14ac:dyDescent="0.55000000000000004">
      <c r="W27357"/>
    </row>
    <row r="27358" spans="23:23" x14ac:dyDescent="0.55000000000000004">
      <c r="W27358"/>
    </row>
    <row r="27359" spans="23:23" x14ac:dyDescent="0.55000000000000004">
      <c r="W27359"/>
    </row>
    <row r="27360" spans="23:23" x14ac:dyDescent="0.55000000000000004">
      <c r="W27360"/>
    </row>
    <row r="27361" spans="23:23" x14ac:dyDescent="0.55000000000000004">
      <c r="W27361"/>
    </row>
    <row r="27362" spans="23:23" x14ac:dyDescent="0.55000000000000004">
      <c r="W27362"/>
    </row>
    <row r="27363" spans="23:23" x14ac:dyDescent="0.55000000000000004">
      <c r="W27363"/>
    </row>
    <row r="27364" spans="23:23" x14ac:dyDescent="0.55000000000000004">
      <c r="W27364"/>
    </row>
    <row r="27365" spans="23:23" x14ac:dyDescent="0.55000000000000004">
      <c r="W27365"/>
    </row>
    <row r="27366" spans="23:23" x14ac:dyDescent="0.55000000000000004">
      <c r="W27366"/>
    </row>
    <row r="27367" spans="23:23" x14ac:dyDescent="0.55000000000000004">
      <c r="W27367"/>
    </row>
    <row r="27368" spans="23:23" x14ac:dyDescent="0.55000000000000004">
      <c r="W27368"/>
    </row>
    <row r="27369" spans="23:23" x14ac:dyDescent="0.55000000000000004">
      <c r="W27369"/>
    </row>
    <row r="27370" spans="23:23" x14ac:dyDescent="0.55000000000000004">
      <c r="W27370"/>
    </row>
    <row r="27371" spans="23:23" x14ac:dyDescent="0.55000000000000004">
      <c r="W27371"/>
    </row>
    <row r="27372" spans="23:23" x14ac:dyDescent="0.55000000000000004">
      <c r="W27372"/>
    </row>
    <row r="27373" spans="23:23" x14ac:dyDescent="0.55000000000000004">
      <c r="W27373"/>
    </row>
    <row r="27374" spans="23:23" x14ac:dyDescent="0.55000000000000004">
      <c r="W27374"/>
    </row>
    <row r="27375" spans="23:23" x14ac:dyDescent="0.55000000000000004">
      <c r="W27375"/>
    </row>
    <row r="27376" spans="23:23" x14ac:dyDescent="0.55000000000000004">
      <c r="W27376"/>
    </row>
    <row r="27377" spans="23:23" x14ac:dyDescent="0.55000000000000004">
      <c r="W27377"/>
    </row>
    <row r="27378" spans="23:23" x14ac:dyDescent="0.55000000000000004">
      <c r="W27378"/>
    </row>
    <row r="27379" spans="23:23" x14ac:dyDescent="0.55000000000000004">
      <c r="W27379"/>
    </row>
    <row r="27380" spans="23:23" x14ac:dyDescent="0.55000000000000004">
      <c r="W27380"/>
    </row>
    <row r="27381" spans="23:23" x14ac:dyDescent="0.55000000000000004">
      <c r="W27381"/>
    </row>
    <row r="27382" spans="23:23" x14ac:dyDescent="0.55000000000000004">
      <c r="W27382"/>
    </row>
    <row r="27383" spans="23:23" x14ac:dyDescent="0.55000000000000004">
      <c r="W27383"/>
    </row>
    <row r="27384" spans="23:23" x14ac:dyDescent="0.55000000000000004">
      <c r="W27384"/>
    </row>
    <row r="27385" spans="23:23" x14ac:dyDescent="0.55000000000000004">
      <c r="W27385"/>
    </row>
    <row r="27386" spans="23:23" x14ac:dyDescent="0.55000000000000004">
      <c r="W27386"/>
    </row>
    <row r="27387" spans="23:23" x14ac:dyDescent="0.55000000000000004">
      <c r="W27387"/>
    </row>
    <row r="27388" spans="23:23" x14ac:dyDescent="0.55000000000000004">
      <c r="W27388"/>
    </row>
    <row r="27389" spans="23:23" x14ac:dyDescent="0.55000000000000004">
      <c r="W27389"/>
    </row>
    <row r="27390" spans="23:23" x14ac:dyDescent="0.55000000000000004">
      <c r="W27390"/>
    </row>
    <row r="27391" spans="23:23" x14ac:dyDescent="0.55000000000000004">
      <c r="W27391"/>
    </row>
    <row r="27392" spans="23:23" x14ac:dyDescent="0.55000000000000004">
      <c r="W27392"/>
    </row>
    <row r="27393" spans="23:23" x14ac:dyDescent="0.55000000000000004">
      <c r="W27393"/>
    </row>
    <row r="27394" spans="23:23" x14ac:dyDescent="0.55000000000000004">
      <c r="W27394"/>
    </row>
    <row r="27395" spans="23:23" x14ac:dyDescent="0.55000000000000004">
      <c r="W27395"/>
    </row>
    <row r="27396" spans="23:23" x14ac:dyDescent="0.55000000000000004">
      <c r="W27396"/>
    </row>
    <row r="27397" spans="23:23" x14ac:dyDescent="0.55000000000000004">
      <c r="W27397"/>
    </row>
    <row r="27398" spans="23:23" x14ac:dyDescent="0.55000000000000004">
      <c r="W27398"/>
    </row>
    <row r="27399" spans="23:23" x14ac:dyDescent="0.55000000000000004">
      <c r="W27399"/>
    </row>
    <row r="27400" spans="23:23" x14ac:dyDescent="0.55000000000000004">
      <c r="W27400"/>
    </row>
    <row r="27401" spans="23:23" x14ac:dyDescent="0.55000000000000004">
      <c r="W27401"/>
    </row>
    <row r="27402" spans="23:23" x14ac:dyDescent="0.55000000000000004">
      <c r="W27402"/>
    </row>
    <row r="27403" spans="23:23" x14ac:dyDescent="0.55000000000000004">
      <c r="W27403"/>
    </row>
    <row r="27404" spans="23:23" x14ac:dyDescent="0.55000000000000004">
      <c r="W27404"/>
    </row>
    <row r="27405" spans="23:23" x14ac:dyDescent="0.55000000000000004">
      <c r="W27405"/>
    </row>
    <row r="27406" spans="23:23" x14ac:dyDescent="0.55000000000000004">
      <c r="W27406"/>
    </row>
    <row r="27407" spans="23:23" x14ac:dyDescent="0.55000000000000004">
      <c r="W27407"/>
    </row>
    <row r="27408" spans="23:23" x14ac:dyDescent="0.55000000000000004">
      <c r="W27408"/>
    </row>
    <row r="27409" spans="23:23" x14ac:dyDescent="0.55000000000000004">
      <c r="W27409"/>
    </row>
    <row r="27410" spans="23:23" x14ac:dyDescent="0.55000000000000004">
      <c r="W27410"/>
    </row>
    <row r="27411" spans="23:23" x14ac:dyDescent="0.55000000000000004">
      <c r="W27411"/>
    </row>
    <row r="27412" spans="23:23" x14ac:dyDescent="0.55000000000000004">
      <c r="W27412"/>
    </row>
    <row r="27413" spans="23:23" x14ac:dyDescent="0.55000000000000004">
      <c r="W27413"/>
    </row>
    <row r="27414" spans="23:23" x14ac:dyDescent="0.55000000000000004">
      <c r="W27414"/>
    </row>
    <row r="27415" spans="23:23" x14ac:dyDescent="0.55000000000000004">
      <c r="W27415"/>
    </row>
    <row r="27416" spans="23:23" x14ac:dyDescent="0.55000000000000004">
      <c r="W27416"/>
    </row>
    <row r="27417" spans="23:23" x14ac:dyDescent="0.55000000000000004">
      <c r="W27417"/>
    </row>
    <row r="27418" spans="23:23" x14ac:dyDescent="0.55000000000000004">
      <c r="W27418"/>
    </row>
    <row r="27419" spans="23:23" x14ac:dyDescent="0.55000000000000004">
      <c r="W27419"/>
    </row>
    <row r="27420" spans="23:23" x14ac:dyDescent="0.55000000000000004">
      <c r="W27420"/>
    </row>
    <row r="27421" spans="23:23" x14ac:dyDescent="0.55000000000000004">
      <c r="W27421"/>
    </row>
    <row r="27422" spans="23:23" x14ac:dyDescent="0.55000000000000004">
      <c r="W27422"/>
    </row>
    <row r="27423" spans="23:23" x14ac:dyDescent="0.55000000000000004">
      <c r="W27423"/>
    </row>
    <row r="27424" spans="23:23" x14ac:dyDescent="0.55000000000000004">
      <c r="W27424"/>
    </row>
    <row r="27425" spans="23:23" x14ac:dyDescent="0.55000000000000004">
      <c r="W27425"/>
    </row>
    <row r="27426" spans="23:23" x14ac:dyDescent="0.55000000000000004">
      <c r="W27426"/>
    </row>
    <row r="27427" spans="23:23" x14ac:dyDescent="0.55000000000000004">
      <c r="W27427"/>
    </row>
    <row r="27428" spans="23:23" x14ac:dyDescent="0.55000000000000004">
      <c r="W27428"/>
    </row>
    <row r="27429" spans="23:23" x14ac:dyDescent="0.55000000000000004">
      <c r="W27429"/>
    </row>
    <row r="27430" spans="23:23" x14ac:dyDescent="0.55000000000000004">
      <c r="W27430"/>
    </row>
    <row r="27431" spans="23:23" x14ac:dyDescent="0.55000000000000004">
      <c r="W27431"/>
    </row>
    <row r="27432" spans="23:23" x14ac:dyDescent="0.55000000000000004">
      <c r="W27432"/>
    </row>
    <row r="27433" spans="23:23" x14ac:dyDescent="0.55000000000000004">
      <c r="W27433"/>
    </row>
    <row r="27434" spans="23:23" x14ac:dyDescent="0.55000000000000004">
      <c r="W27434"/>
    </row>
    <row r="27435" spans="23:23" x14ac:dyDescent="0.55000000000000004">
      <c r="W27435"/>
    </row>
    <row r="27436" spans="23:23" x14ac:dyDescent="0.55000000000000004">
      <c r="W27436"/>
    </row>
    <row r="27437" spans="23:23" x14ac:dyDescent="0.55000000000000004">
      <c r="W27437"/>
    </row>
    <row r="27438" spans="23:23" x14ac:dyDescent="0.55000000000000004">
      <c r="W27438"/>
    </row>
    <row r="27439" spans="23:23" x14ac:dyDescent="0.55000000000000004">
      <c r="W27439"/>
    </row>
    <row r="27440" spans="23:23" x14ac:dyDescent="0.55000000000000004">
      <c r="W27440"/>
    </row>
    <row r="27441" spans="23:23" x14ac:dyDescent="0.55000000000000004">
      <c r="W27441"/>
    </row>
    <row r="27442" spans="23:23" x14ac:dyDescent="0.55000000000000004">
      <c r="W27442"/>
    </row>
    <row r="27443" spans="23:23" x14ac:dyDescent="0.55000000000000004">
      <c r="W27443"/>
    </row>
    <row r="27444" spans="23:23" x14ac:dyDescent="0.55000000000000004">
      <c r="W27444"/>
    </row>
    <row r="27445" spans="23:23" x14ac:dyDescent="0.55000000000000004">
      <c r="W27445"/>
    </row>
    <row r="27446" spans="23:23" x14ac:dyDescent="0.55000000000000004">
      <c r="W27446"/>
    </row>
    <row r="27447" spans="23:23" x14ac:dyDescent="0.55000000000000004">
      <c r="W27447"/>
    </row>
    <row r="27448" spans="23:23" x14ac:dyDescent="0.55000000000000004">
      <c r="W27448"/>
    </row>
    <row r="27449" spans="23:23" x14ac:dyDescent="0.55000000000000004">
      <c r="W27449"/>
    </row>
    <row r="27450" spans="23:23" x14ac:dyDescent="0.55000000000000004">
      <c r="W27450"/>
    </row>
    <row r="27451" spans="23:23" x14ac:dyDescent="0.55000000000000004">
      <c r="W27451"/>
    </row>
    <row r="27452" spans="23:23" x14ac:dyDescent="0.55000000000000004">
      <c r="W27452"/>
    </row>
    <row r="27453" spans="23:23" x14ac:dyDescent="0.55000000000000004">
      <c r="W27453"/>
    </row>
    <row r="27454" spans="23:23" x14ac:dyDescent="0.55000000000000004">
      <c r="W27454"/>
    </row>
    <row r="27455" spans="23:23" x14ac:dyDescent="0.55000000000000004">
      <c r="W27455"/>
    </row>
    <row r="27456" spans="23:23" x14ac:dyDescent="0.55000000000000004">
      <c r="W27456"/>
    </row>
    <row r="27457" spans="23:23" x14ac:dyDescent="0.55000000000000004">
      <c r="W27457"/>
    </row>
    <row r="27458" spans="23:23" x14ac:dyDescent="0.55000000000000004">
      <c r="W27458"/>
    </row>
    <row r="27459" spans="23:23" x14ac:dyDescent="0.55000000000000004">
      <c r="W27459"/>
    </row>
    <row r="27460" spans="23:23" x14ac:dyDescent="0.55000000000000004">
      <c r="W27460"/>
    </row>
    <row r="27461" spans="23:23" x14ac:dyDescent="0.55000000000000004">
      <c r="W27461"/>
    </row>
    <row r="27462" spans="23:23" x14ac:dyDescent="0.55000000000000004">
      <c r="W27462"/>
    </row>
    <row r="27463" spans="23:23" x14ac:dyDescent="0.55000000000000004">
      <c r="W27463"/>
    </row>
    <row r="27464" spans="23:23" x14ac:dyDescent="0.55000000000000004">
      <c r="W27464"/>
    </row>
    <row r="27465" spans="23:23" x14ac:dyDescent="0.55000000000000004">
      <c r="W27465"/>
    </row>
    <row r="27466" spans="23:23" x14ac:dyDescent="0.55000000000000004">
      <c r="W27466"/>
    </row>
    <row r="27467" spans="23:23" x14ac:dyDescent="0.55000000000000004">
      <c r="W27467"/>
    </row>
    <row r="27468" spans="23:23" x14ac:dyDescent="0.55000000000000004">
      <c r="W27468"/>
    </row>
    <row r="27469" spans="23:23" x14ac:dyDescent="0.55000000000000004">
      <c r="W27469"/>
    </row>
    <row r="27470" spans="23:23" x14ac:dyDescent="0.55000000000000004">
      <c r="W27470"/>
    </row>
    <row r="27471" spans="23:23" x14ac:dyDescent="0.55000000000000004">
      <c r="W27471"/>
    </row>
    <row r="27472" spans="23:23" x14ac:dyDescent="0.55000000000000004">
      <c r="W27472"/>
    </row>
    <row r="27473" spans="23:23" x14ac:dyDescent="0.55000000000000004">
      <c r="W27473"/>
    </row>
    <row r="27474" spans="23:23" x14ac:dyDescent="0.55000000000000004">
      <c r="W27474"/>
    </row>
    <row r="27475" spans="23:23" x14ac:dyDescent="0.55000000000000004">
      <c r="W27475"/>
    </row>
    <row r="27476" spans="23:23" x14ac:dyDescent="0.55000000000000004">
      <c r="W27476"/>
    </row>
    <row r="27477" spans="23:23" x14ac:dyDescent="0.55000000000000004">
      <c r="W27477"/>
    </row>
    <row r="27478" spans="23:23" x14ac:dyDescent="0.55000000000000004">
      <c r="W27478"/>
    </row>
    <row r="27479" spans="23:23" x14ac:dyDescent="0.55000000000000004">
      <c r="W27479"/>
    </row>
    <row r="27480" spans="23:23" x14ac:dyDescent="0.55000000000000004">
      <c r="W27480"/>
    </row>
    <row r="27481" spans="23:23" x14ac:dyDescent="0.55000000000000004">
      <c r="W27481"/>
    </row>
    <row r="27482" spans="23:23" x14ac:dyDescent="0.55000000000000004">
      <c r="W27482"/>
    </row>
    <row r="27483" spans="23:23" x14ac:dyDescent="0.55000000000000004">
      <c r="W27483"/>
    </row>
    <row r="27484" spans="23:23" x14ac:dyDescent="0.55000000000000004">
      <c r="W27484"/>
    </row>
    <row r="27485" spans="23:23" x14ac:dyDescent="0.55000000000000004">
      <c r="W27485"/>
    </row>
    <row r="27486" spans="23:23" x14ac:dyDescent="0.55000000000000004">
      <c r="W27486"/>
    </row>
    <row r="27487" spans="23:23" x14ac:dyDescent="0.55000000000000004">
      <c r="W27487"/>
    </row>
    <row r="27488" spans="23:23" x14ac:dyDescent="0.55000000000000004">
      <c r="W27488"/>
    </row>
    <row r="27489" spans="23:23" x14ac:dyDescent="0.55000000000000004">
      <c r="W27489"/>
    </row>
    <row r="27490" spans="23:23" x14ac:dyDescent="0.55000000000000004">
      <c r="W27490"/>
    </row>
    <row r="27491" spans="23:23" x14ac:dyDescent="0.55000000000000004">
      <c r="W27491"/>
    </row>
    <row r="27492" spans="23:23" x14ac:dyDescent="0.55000000000000004">
      <c r="W27492"/>
    </row>
    <row r="27493" spans="23:23" x14ac:dyDescent="0.55000000000000004">
      <c r="W27493"/>
    </row>
    <row r="27494" spans="23:23" x14ac:dyDescent="0.55000000000000004">
      <c r="W27494"/>
    </row>
    <row r="27495" spans="23:23" x14ac:dyDescent="0.55000000000000004">
      <c r="W27495"/>
    </row>
    <row r="27496" spans="23:23" x14ac:dyDescent="0.55000000000000004">
      <c r="W27496"/>
    </row>
    <row r="27497" spans="23:23" x14ac:dyDescent="0.55000000000000004">
      <c r="W27497"/>
    </row>
    <row r="27498" spans="23:23" x14ac:dyDescent="0.55000000000000004">
      <c r="W27498"/>
    </row>
    <row r="27499" spans="23:23" x14ac:dyDescent="0.55000000000000004">
      <c r="W27499"/>
    </row>
    <row r="27500" spans="23:23" x14ac:dyDescent="0.55000000000000004">
      <c r="W27500"/>
    </row>
    <row r="27501" spans="23:23" x14ac:dyDescent="0.55000000000000004">
      <c r="W27501"/>
    </row>
    <row r="27502" spans="23:23" x14ac:dyDescent="0.55000000000000004">
      <c r="W27502"/>
    </row>
    <row r="27503" spans="23:23" x14ac:dyDescent="0.55000000000000004">
      <c r="W27503"/>
    </row>
    <row r="27504" spans="23:23" x14ac:dyDescent="0.55000000000000004">
      <c r="W27504"/>
    </row>
    <row r="27505" spans="23:23" x14ac:dyDescent="0.55000000000000004">
      <c r="W27505"/>
    </row>
    <row r="27506" spans="23:23" x14ac:dyDescent="0.55000000000000004">
      <c r="W27506"/>
    </row>
    <row r="27507" spans="23:23" x14ac:dyDescent="0.55000000000000004">
      <c r="W27507"/>
    </row>
    <row r="27508" spans="23:23" x14ac:dyDescent="0.55000000000000004">
      <c r="W27508"/>
    </row>
    <row r="27509" spans="23:23" x14ac:dyDescent="0.55000000000000004">
      <c r="W27509"/>
    </row>
    <row r="27510" spans="23:23" x14ac:dyDescent="0.55000000000000004">
      <c r="W27510"/>
    </row>
    <row r="27511" spans="23:23" x14ac:dyDescent="0.55000000000000004">
      <c r="W27511"/>
    </row>
    <row r="27512" spans="23:23" x14ac:dyDescent="0.55000000000000004">
      <c r="W27512"/>
    </row>
    <row r="27513" spans="23:23" x14ac:dyDescent="0.55000000000000004">
      <c r="W27513"/>
    </row>
    <row r="27514" spans="23:23" x14ac:dyDescent="0.55000000000000004">
      <c r="W27514"/>
    </row>
    <row r="27515" spans="23:23" x14ac:dyDescent="0.55000000000000004">
      <c r="W27515"/>
    </row>
    <row r="27516" spans="23:23" x14ac:dyDescent="0.55000000000000004">
      <c r="W27516"/>
    </row>
    <row r="27517" spans="23:23" x14ac:dyDescent="0.55000000000000004">
      <c r="W27517"/>
    </row>
    <row r="27518" spans="23:23" x14ac:dyDescent="0.55000000000000004">
      <c r="W27518"/>
    </row>
    <row r="27519" spans="23:23" x14ac:dyDescent="0.55000000000000004">
      <c r="W27519"/>
    </row>
    <row r="27520" spans="23:23" x14ac:dyDescent="0.55000000000000004">
      <c r="W27520"/>
    </row>
    <row r="27521" spans="23:23" x14ac:dyDescent="0.55000000000000004">
      <c r="W27521"/>
    </row>
    <row r="27522" spans="23:23" x14ac:dyDescent="0.55000000000000004">
      <c r="W27522"/>
    </row>
    <row r="27523" spans="23:23" x14ac:dyDescent="0.55000000000000004">
      <c r="W27523"/>
    </row>
    <row r="27524" spans="23:23" x14ac:dyDescent="0.55000000000000004">
      <c r="W27524"/>
    </row>
    <row r="27525" spans="23:23" x14ac:dyDescent="0.55000000000000004">
      <c r="W27525"/>
    </row>
    <row r="27526" spans="23:23" x14ac:dyDescent="0.55000000000000004">
      <c r="W27526"/>
    </row>
    <row r="27527" spans="23:23" x14ac:dyDescent="0.55000000000000004">
      <c r="W27527"/>
    </row>
    <row r="27528" spans="23:23" x14ac:dyDescent="0.55000000000000004">
      <c r="W27528"/>
    </row>
    <row r="27529" spans="23:23" x14ac:dyDescent="0.55000000000000004">
      <c r="W27529"/>
    </row>
    <row r="27530" spans="23:23" x14ac:dyDescent="0.55000000000000004">
      <c r="W27530"/>
    </row>
    <row r="27531" spans="23:23" x14ac:dyDescent="0.55000000000000004">
      <c r="W27531"/>
    </row>
    <row r="27532" spans="23:23" x14ac:dyDescent="0.55000000000000004">
      <c r="W27532"/>
    </row>
    <row r="27533" spans="23:23" x14ac:dyDescent="0.55000000000000004">
      <c r="W27533"/>
    </row>
    <row r="27534" spans="23:23" x14ac:dyDescent="0.55000000000000004">
      <c r="W27534"/>
    </row>
    <row r="27535" spans="23:23" x14ac:dyDescent="0.55000000000000004">
      <c r="W27535"/>
    </row>
    <row r="27536" spans="23:23" x14ac:dyDescent="0.55000000000000004">
      <c r="W27536"/>
    </row>
    <row r="27537" spans="23:23" x14ac:dyDescent="0.55000000000000004">
      <c r="W27537"/>
    </row>
    <row r="27538" spans="23:23" x14ac:dyDescent="0.55000000000000004">
      <c r="W27538"/>
    </row>
    <row r="27539" spans="23:23" x14ac:dyDescent="0.55000000000000004">
      <c r="W27539"/>
    </row>
    <row r="27540" spans="23:23" x14ac:dyDescent="0.55000000000000004">
      <c r="W27540"/>
    </row>
    <row r="27541" spans="23:23" x14ac:dyDescent="0.55000000000000004">
      <c r="W27541"/>
    </row>
    <row r="27542" spans="23:23" x14ac:dyDescent="0.55000000000000004">
      <c r="W27542"/>
    </row>
    <row r="27543" spans="23:23" x14ac:dyDescent="0.55000000000000004">
      <c r="W27543"/>
    </row>
    <row r="27544" spans="23:23" x14ac:dyDescent="0.55000000000000004">
      <c r="W27544"/>
    </row>
    <row r="27545" spans="23:23" x14ac:dyDescent="0.55000000000000004">
      <c r="W27545"/>
    </row>
    <row r="27546" spans="23:23" x14ac:dyDescent="0.55000000000000004">
      <c r="W27546"/>
    </row>
    <row r="27547" spans="23:23" x14ac:dyDescent="0.55000000000000004">
      <c r="W27547"/>
    </row>
    <row r="27548" spans="23:23" x14ac:dyDescent="0.55000000000000004">
      <c r="W27548"/>
    </row>
    <row r="27549" spans="23:23" x14ac:dyDescent="0.55000000000000004">
      <c r="W27549"/>
    </row>
    <row r="27550" spans="23:23" x14ac:dyDescent="0.55000000000000004">
      <c r="W27550"/>
    </row>
    <row r="27551" spans="23:23" x14ac:dyDescent="0.55000000000000004">
      <c r="W27551"/>
    </row>
    <row r="27552" spans="23:23" x14ac:dyDescent="0.55000000000000004">
      <c r="W27552"/>
    </row>
    <row r="27553" spans="23:23" x14ac:dyDescent="0.55000000000000004">
      <c r="W27553"/>
    </row>
    <row r="27554" spans="23:23" x14ac:dyDescent="0.55000000000000004">
      <c r="W27554"/>
    </row>
    <row r="27555" spans="23:23" x14ac:dyDescent="0.55000000000000004">
      <c r="W27555"/>
    </row>
    <row r="27556" spans="23:23" x14ac:dyDescent="0.55000000000000004">
      <c r="W27556"/>
    </row>
    <row r="27557" spans="23:23" x14ac:dyDescent="0.55000000000000004">
      <c r="W27557"/>
    </row>
    <row r="27558" spans="23:23" x14ac:dyDescent="0.55000000000000004">
      <c r="W27558"/>
    </row>
    <row r="27559" spans="23:23" x14ac:dyDescent="0.55000000000000004">
      <c r="W27559"/>
    </row>
    <row r="27560" spans="23:23" x14ac:dyDescent="0.55000000000000004">
      <c r="W27560"/>
    </row>
    <row r="27561" spans="23:23" x14ac:dyDescent="0.55000000000000004">
      <c r="W27561"/>
    </row>
    <row r="27562" spans="23:23" x14ac:dyDescent="0.55000000000000004">
      <c r="W27562"/>
    </row>
    <row r="27563" spans="23:23" x14ac:dyDescent="0.55000000000000004">
      <c r="W27563"/>
    </row>
    <row r="27564" spans="23:23" x14ac:dyDescent="0.55000000000000004">
      <c r="W27564"/>
    </row>
    <row r="27565" spans="23:23" x14ac:dyDescent="0.55000000000000004">
      <c r="W27565"/>
    </row>
    <row r="27566" spans="23:23" x14ac:dyDescent="0.55000000000000004">
      <c r="W27566"/>
    </row>
    <row r="27567" spans="23:23" x14ac:dyDescent="0.55000000000000004">
      <c r="W27567"/>
    </row>
    <row r="27568" spans="23:23" x14ac:dyDescent="0.55000000000000004">
      <c r="W27568"/>
    </row>
    <row r="27569" spans="23:23" x14ac:dyDescent="0.55000000000000004">
      <c r="W27569"/>
    </row>
    <row r="27570" spans="23:23" x14ac:dyDescent="0.55000000000000004">
      <c r="W27570"/>
    </row>
    <row r="27571" spans="23:23" x14ac:dyDescent="0.55000000000000004">
      <c r="W27571"/>
    </row>
    <row r="27572" spans="23:23" x14ac:dyDescent="0.55000000000000004">
      <c r="W27572"/>
    </row>
    <row r="27573" spans="23:23" x14ac:dyDescent="0.55000000000000004">
      <c r="W27573"/>
    </row>
    <row r="27574" spans="23:23" x14ac:dyDescent="0.55000000000000004">
      <c r="W27574"/>
    </row>
    <row r="27575" spans="23:23" x14ac:dyDescent="0.55000000000000004">
      <c r="W27575"/>
    </row>
    <row r="27576" spans="23:23" x14ac:dyDescent="0.55000000000000004">
      <c r="W27576"/>
    </row>
    <row r="27577" spans="23:23" x14ac:dyDescent="0.55000000000000004">
      <c r="W27577"/>
    </row>
    <row r="27578" spans="23:23" x14ac:dyDescent="0.55000000000000004">
      <c r="W27578"/>
    </row>
    <row r="27579" spans="23:23" x14ac:dyDescent="0.55000000000000004">
      <c r="W27579"/>
    </row>
    <row r="27580" spans="23:23" x14ac:dyDescent="0.55000000000000004">
      <c r="W27580"/>
    </row>
    <row r="27581" spans="23:23" x14ac:dyDescent="0.55000000000000004">
      <c r="W27581"/>
    </row>
    <row r="27582" spans="23:23" x14ac:dyDescent="0.55000000000000004">
      <c r="W27582"/>
    </row>
    <row r="27583" spans="23:23" x14ac:dyDescent="0.55000000000000004">
      <c r="W27583"/>
    </row>
    <row r="27584" spans="23:23" x14ac:dyDescent="0.55000000000000004">
      <c r="W27584"/>
    </row>
    <row r="27585" spans="23:23" x14ac:dyDescent="0.55000000000000004">
      <c r="W27585"/>
    </row>
    <row r="27586" spans="23:23" x14ac:dyDescent="0.55000000000000004">
      <c r="W27586"/>
    </row>
    <row r="27587" spans="23:23" x14ac:dyDescent="0.55000000000000004">
      <c r="W27587"/>
    </row>
    <row r="27588" spans="23:23" x14ac:dyDescent="0.55000000000000004">
      <c r="W27588"/>
    </row>
    <row r="27589" spans="23:23" x14ac:dyDescent="0.55000000000000004">
      <c r="W27589"/>
    </row>
    <row r="27590" spans="23:23" x14ac:dyDescent="0.55000000000000004">
      <c r="W27590"/>
    </row>
    <row r="27591" spans="23:23" x14ac:dyDescent="0.55000000000000004">
      <c r="W27591"/>
    </row>
    <row r="27592" spans="23:23" x14ac:dyDescent="0.55000000000000004">
      <c r="W27592"/>
    </row>
    <row r="27593" spans="23:23" x14ac:dyDescent="0.55000000000000004">
      <c r="W27593"/>
    </row>
    <row r="27594" spans="23:23" x14ac:dyDescent="0.55000000000000004">
      <c r="W27594"/>
    </row>
    <row r="27595" spans="23:23" x14ac:dyDescent="0.55000000000000004">
      <c r="W27595"/>
    </row>
    <row r="27596" spans="23:23" x14ac:dyDescent="0.55000000000000004">
      <c r="W27596"/>
    </row>
    <row r="27597" spans="23:23" x14ac:dyDescent="0.55000000000000004">
      <c r="W27597"/>
    </row>
    <row r="27598" spans="23:23" x14ac:dyDescent="0.55000000000000004">
      <c r="W27598"/>
    </row>
    <row r="27599" spans="23:23" x14ac:dyDescent="0.55000000000000004">
      <c r="W27599"/>
    </row>
    <row r="27600" spans="23:23" x14ac:dyDescent="0.55000000000000004">
      <c r="W27600"/>
    </row>
    <row r="27601" spans="23:23" x14ac:dyDescent="0.55000000000000004">
      <c r="W27601"/>
    </row>
    <row r="27602" spans="23:23" x14ac:dyDescent="0.55000000000000004">
      <c r="W27602"/>
    </row>
    <row r="27603" spans="23:23" x14ac:dyDescent="0.55000000000000004">
      <c r="W27603"/>
    </row>
    <row r="27604" spans="23:23" x14ac:dyDescent="0.55000000000000004">
      <c r="W27604"/>
    </row>
    <row r="27605" spans="23:23" x14ac:dyDescent="0.55000000000000004">
      <c r="W27605"/>
    </row>
    <row r="27606" spans="23:23" x14ac:dyDescent="0.55000000000000004">
      <c r="W27606"/>
    </row>
    <row r="27607" spans="23:23" x14ac:dyDescent="0.55000000000000004">
      <c r="W27607"/>
    </row>
    <row r="27608" spans="23:23" x14ac:dyDescent="0.55000000000000004">
      <c r="W27608"/>
    </row>
    <row r="27609" spans="23:23" x14ac:dyDescent="0.55000000000000004">
      <c r="W27609"/>
    </row>
    <row r="27610" spans="23:23" x14ac:dyDescent="0.55000000000000004">
      <c r="W27610"/>
    </row>
    <row r="27611" spans="23:23" x14ac:dyDescent="0.55000000000000004">
      <c r="W27611"/>
    </row>
    <row r="27612" spans="23:23" x14ac:dyDescent="0.55000000000000004">
      <c r="W27612"/>
    </row>
    <row r="27613" spans="23:23" x14ac:dyDescent="0.55000000000000004">
      <c r="W27613"/>
    </row>
    <row r="27614" spans="23:23" x14ac:dyDescent="0.55000000000000004">
      <c r="W27614"/>
    </row>
    <row r="27615" spans="23:23" x14ac:dyDescent="0.55000000000000004">
      <c r="W27615"/>
    </row>
    <row r="27616" spans="23:23" x14ac:dyDescent="0.55000000000000004">
      <c r="W27616"/>
    </row>
    <row r="27617" spans="23:23" x14ac:dyDescent="0.55000000000000004">
      <c r="W27617"/>
    </row>
    <row r="27618" spans="23:23" x14ac:dyDescent="0.55000000000000004">
      <c r="W27618"/>
    </row>
    <row r="27619" spans="23:23" x14ac:dyDescent="0.55000000000000004">
      <c r="W27619"/>
    </row>
    <row r="27620" spans="23:23" x14ac:dyDescent="0.55000000000000004">
      <c r="W27620"/>
    </row>
    <row r="27621" spans="23:23" x14ac:dyDescent="0.55000000000000004">
      <c r="W27621"/>
    </row>
    <row r="27622" spans="23:23" x14ac:dyDescent="0.55000000000000004">
      <c r="W27622"/>
    </row>
    <row r="27623" spans="23:23" x14ac:dyDescent="0.55000000000000004">
      <c r="W27623"/>
    </row>
    <row r="27624" spans="23:23" x14ac:dyDescent="0.55000000000000004">
      <c r="W27624"/>
    </row>
    <row r="27625" spans="23:23" x14ac:dyDescent="0.55000000000000004">
      <c r="W27625"/>
    </row>
    <row r="27626" spans="23:23" x14ac:dyDescent="0.55000000000000004">
      <c r="W27626"/>
    </row>
    <row r="27627" spans="23:23" x14ac:dyDescent="0.55000000000000004">
      <c r="W27627"/>
    </row>
    <row r="27628" spans="23:23" x14ac:dyDescent="0.55000000000000004">
      <c r="W27628"/>
    </row>
    <row r="27629" spans="23:23" x14ac:dyDescent="0.55000000000000004">
      <c r="W27629"/>
    </row>
    <row r="27630" spans="23:23" x14ac:dyDescent="0.55000000000000004">
      <c r="W27630"/>
    </row>
    <row r="27631" spans="23:23" x14ac:dyDescent="0.55000000000000004">
      <c r="W27631"/>
    </row>
    <row r="27632" spans="23:23" x14ac:dyDescent="0.55000000000000004">
      <c r="W27632"/>
    </row>
    <row r="27633" spans="23:23" x14ac:dyDescent="0.55000000000000004">
      <c r="W27633"/>
    </row>
    <row r="27634" spans="23:23" x14ac:dyDescent="0.55000000000000004">
      <c r="W27634"/>
    </row>
    <row r="27635" spans="23:23" x14ac:dyDescent="0.55000000000000004">
      <c r="W27635"/>
    </row>
    <row r="27636" spans="23:23" x14ac:dyDescent="0.55000000000000004">
      <c r="W27636"/>
    </row>
    <row r="27637" spans="23:23" x14ac:dyDescent="0.55000000000000004">
      <c r="W27637"/>
    </row>
    <row r="27638" spans="23:23" x14ac:dyDescent="0.55000000000000004">
      <c r="W27638"/>
    </row>
    <row r="27639" spans="23:23" x14ac:dyDescent="0.55000000000000004">
      <c r="W27639"/>
    </row>
    <row r="27640" spans="23:23" x14ac:dyDescent="0.55000000000000004">
      <c r="W27640"/>
    </row>
    <row r="27641" spans="23:23" x14ac:dyDescent="0.55000000000000004">
      <c r="W27641"/>
    </row>
    <row r="27642" spans="23:23" x14ac:dyDescent="0.55000000000000004">
      <c r="W27642"/>
    </row>
    <row r="27643" spans="23:23" x14ac:dyDescent="0.55000000000000004">
      <c r="W27643"/>
    </row>
    <row r="27644" spans="23:23" x14ac:dyDescent="0.55000000000000004">
      <c r="W27644"/>
    </row>
    <row r="27645" spans="23:23" x14ac:dyDescent="0.55000000000000004">
      <c r="W27645"/>
    </row>
    <row r="27646" spans="23:23" x14ac:dyDescent="0.55000000000000004">
      <c r="W27646"/>
    </row>
    <row r="27647" spans="23:23" x14ac:dyDescent="0.55000000000000004">
      <c r="W27647"/>
    </row>
    <row r="27648" spans="23:23" x14ac:dyDescent="0.55000000000000004">
      <c r="W27648"/>
    </row>
    <row r="27649" spans="23:23" x14ac:dyDescent="0.55000000000000004">
      <c r="W27649"/>
    </row>
    <row r="27650" spans="23:23" x14ac:dyDescent="0.55000000000000004">
      <c r="W27650"/>
    </row>
    <row r="27651" spans="23:23" x14ac:dyDescent="0.55000000000000004">
      <c r="W27651"/>
    </row>
    <row r="27652" spans="23:23" x14ac:dyDescent="0.55000000000000004">
      <c r="W27652"/>
    </row>
    <row r="27653" spans="23:23" x14ac:dyDescent="0.55000000000000004">
      <c r="W27653"/>
    </row>
    <row r="27654" spans="23:23" x14ac:dyDescent="0.55000000000000004">
      <c r="W27654"/>
    </row>
    <row r="27655" spans="23:23" x14ac:dyDescent="0.55000000000000004">
      <c r="W27655"/>
    </row>
    <row r="27656" spans="23:23" x14ac:dyDescent="0.55000000000000004">
      <c r="W27656"/>
    </row>
    <row r="27657" spans="23:23" x14ac:dyDescent="0.55000000000000004">
      <c r="W27657"/>
    </row>
    <row r="27658" spans="23:23" x14ac:dyDescent="0.55000000000000004">
      <c r="W27658"/>
    </row>
    <row r="27659" spans="23:23" x14ac:dyDescent="0.55000000000000004">
      <c r="W27659"/>
    </row>
    <row r="27660" spans="23:23" x14ac:dyDescent="0.55000000000000004">
      <c r="W27660"/>
    </row>
    <row r="27661" spans="23:23" x14ac:dyDescent="0.55000000000000004">
      <c r="W27661"/>
    </row>
    <row r="27662" spans="23:23" x14ac:dyDescent="0.55000000000000004">
      <c r="W27662"/>
    </row>
    <row r="27663" spans="23:23" x14ac:dyDescent="0.55000000000000004">
      <c r="W27663"/>
    </row>
    <row r="27664" spans="23:23" x14ac:dyDescent="0.55000000000000004">
      <c r="W27664"/>
    </row>
    <row r="27665" spans="23:23" x14ac:dyDescent="0.55000000000000004">
      <c r="W27665"/>
    </row>
    <row r="27666" spans="23:23" x14ac:dyDescent="0.55000000000000004">
      <c r="W27666"/>
    </row>
    <row r="27667" spans="23:23" x14ac:dyDescent="0.55000000000000004">
      <c r="W27667"/>
    </row>
    <row r="27668" spans="23:23" x14ac:dyDescent="0.55000000000000004">
      <c r="W27668"/>
    </row>
    <row r="27669" spans="23:23" x14ac:dyDescent="0.55000000000000004">
      <c r="W27669"/>
    </row>
    <row r="27670" spans="23:23" x14ac:dyDescent="0.55000000000000004">
      <c r="W27670"/>
    </row>
    <row r="27671" spans="23:23" x14ac:dyDescent="0.55000000000000004">
      <c r="W27671"/>
    </row>
    <row r="27672" spans="23:23" x14ac:dyDescent="0.55000000000000004">
      <c r="W27672"/>
    </row>
    <row r="27673" spans="23:23" x14ac:dyDescent="0.55000000000000004">
      <c r="W27673"/>
    </row>
    <row r="27674" spans="23:23" x14ac:dyDescent="0.55000000000000004">
      <c r="W27674"/>
    </row>
    <row r="27675" spans="23:23" x14ac:dyDescent="0.55000000000000004">
      <c r="W27675"/>
    </row>
    <row r="27676" spans="23:23" x14ac:dyDescent="0.55000000000000004">
      <c r="W27676"/>
    </row>
    <row r="27677" spans="23:23" x14ac:dyDescent="0.55000000000000004">
      <c r="W27677"/>
    </row>
    <row r="27678" spans="23:23" x14ac:dyDescent="0.55000000000000004">
      <c r="W27678"/>
    </row>
    <row r="27679" spans="23:23" x14ac:dyDescent="0.55000000000000004">
      <c r="W27679"/>
    </row>
    <row r="27680" spans="23:23" x14ac:dyDescent="0.55000000000000004">
      <c r="W27680"/>
    </row>
    <row r="27681" spans="23:23" x14ac:dyDescent="0.55000000000000004">
      <c r="W27681"/>
    </row>
    <row r="27682" spans="23:23" x14ac:dyDescent="0.55000000000000004">
      <c r="W27682"/>
    </row>
    <row r="27683" spans="23:23" x14ac:dyDescent="0.55000000000000004">
      <c r="W27683"/>
    </row>
    <row r="27684" spans="23:23" x14ac:dyDescent="0.55000000000000004">
      <c r="W27684"/>
    </row>
    <row r="27685" spans="23:23" x14ac:dyDescent="0.55000000000000004">
      <c r="W27685"/>
    </row>
    <row r="27686" spans="23:23" x14ac:dyDescent="0.55000000000000004">
      <c r="W27686"/>
    </row>
    <row r="27687" spans="23:23" x14ac:dyDescent="0.55000000000000004">
      <c r="W27687"/>
    </row>
    <row r="27688" spans="23:23" x14ac:dyDescent="0.55000000000000004">
      <c r="W27688"/>
    </row>
    <row r="27689" spans="23:23" x14ac:dyDescent="0.55000000000000004">
      <c r="W27689"/>
    </row>
    <row r="27690" spans="23:23" x14ac:dyDescent="0.55000000000000004">
      <c r="W27690"/>
    </row>
    <row r="27691" spans="23:23" x14ac:dyDescent="0.55000000000000004">
      <c r="W27691"/>
    </row>
    <row r="27692" spans="23:23" x14ac:dyDescent="0.55000000000000004">
      <c r="W27692"/>
    </row>
    <row r="27693" spans="23:23" x14ac:dyDescent="0.55000000000000004">
      <c r="W27693"/>
    </row>
    <row r="27694" spans="23:23" x14ac:dyDescent="0.55000000000000004">
      <c r="W27694"/>
    </row>
    <row r="27695" spans="23:23" x14ac:dyDescent="0.55000000000000004">
      <c r="W27695"/>
    </row>
    <row r="27696" spans="23:23" x14ac:dyDescent="0.55000000000000004">
      <c r="W27696"/>
    </row>
    <row r="27697" spans="23:23" x14ac:dyDescent="0.55000000000000004">
      <c r="W27697"/>
    </row>
    <row r="27698" spans="23:23" x14ac:dyDescent="0.55000000000000004">
      <c r="W27698"/>
    </row>
    <row r="27699" spans="23:23" x14ac:dyDescent="0.55000000000000004">
      <c r="W27699"/>
    </row>
    <row r="27700" spans="23:23" x14ac:dyDescent="0.55000000000000004">
      <c r="W27700"/>
    </row>
    <row r="27701" spans="23:23" x14ac:dyDescent="0.55000000000000004">
      <c r="W27701"/>
    </row>
    <row r="27702" spans="23:23" x14ac:dyDescent="0.55000000000000004">
      <c r="W27702"/>
    </row>
    <row r="27703" spans="23:23" x14ac:dyDescent="0.55000000000000004">
      <c r="W27703"/>
    </row>
    <row r="27704" spans="23:23" x14ac:dyDescent="0.55000000000000004">
      <c r="W27704"/>
    </row>
    <row r="27705" spans="23:23" x14ac:dyDescent="0.55000000000000004">
      <c r="W27705"/>
    </row>
    <row r="27706" spans="23:23" x14ac:dyDescent="0.55000000000000004">
      <c r="W27706"/>
    </row>
    <row r="27707" spans="23:23" x14ac:dyDescent="0.55000000000000004">
      <c r="W27707"/>
    </row>
    <row r="27708" spans="23:23" x14ac:dyDescent="0.55000000000000004">
      <c r="W27708"/>
    </row>
    <row r="27709" spans="23:23" x14ac:dyDescent="0.55000000000000004">
      <c r="W27709"/>
    </row>
    <row r="27710" spans="23:23" x14ac:dyDescent="0.55000000000000004">
      <c r="W27710"/>
    </row>
    <row r="27711" spans="23:23" x14ac:dyDescent="0.55000000000000004">
      <c r="W27711"/>
    </row>
    <row r="27712" spans="23:23" x14ac:dyDescent="0.55000000000000004">
      <c r="W27712"/>
    </row>
    <row r="27713" spans="23:23" x14ac:dyDescent="0.55000000000000004">
      <c r="W27713"/>
    </row>
    <row r="27714" spans="23:23" x14ac:dyDescent="0.55000000000000004">
      <c r="W27714"/>
    </row>
    <row r="27715" spans="23:23" x14ac:dyDescent="0.55000000000000004">
      <c r="W27715"/>
    </row>
    <row r="27716" spans="23:23" x14ac:dyDescent="0.55000000000000004">
      <c r="W27716"/>
    </row>
    <row r="27717" spans="23:23" x14ac:dyDescent="0.55000000000000004">
      <c r="W27717"/>
    </row>
    <row r="27718" spans="23:23" x14ac:dyDescent="0.55000000000000004">
      <c r="W27718"/>
    </row>
    <row r="27719" spans="23:23" x14ac:dyDescent="0.55000000000000004">
      <c r="W27719"/>
    </row>
    <row r="27720" spans="23:23" x14ac:dyDescent="0.55000000000000004">
      <c r="W27720"/>
    </row>
    <row r="27721" spans="23:23" x14ac:dyDescent="0.55000000000000004">
      <c r="W27721"/>
    </row>
    <row r="27722" spans="23:23" x14ac:dyDescent="0.55000000000000004">
      <c r="W27722"/>
    </row>
    <row r="27723" spans="23:23" x14ac:dyDescent="0.55000000000000004">
      <c r="W27723"/>
    </row>
    <row r="27724" spans="23:23" x14ac:dyDescent="0.55000000000000004">
      <c r="W27724"/>
    </row>
    <row r="27725" spans="23:23" x14ac:dyDescent="0.55000000000000004">
      <c r="W27725"/>
    </row>
    <row r="27726" spans="23:23" x14ac:dyDescent="0.55000000000000004">
      <c r="W27726"/>
    </row>
    <row r="27727" spans="23:23" x14ac:dyDescent="0.55000000000000004">
      <c r="W27727"/>
    </row>
    <row r="27728" spans="23:23" x14ac:dyDescent="0.55000000000000004">
      <c r="W27728"/>
    </row>
    <row r="27729" spans="23:23" x14ac:dyDescent="0.55000000000000004">
      <c r="W27729"/>
    </row>
    <row r="27730" spans="23:23" x14ac:dyDescent="0.55000000000000004">
      <c r="W27730"/>
    </row>
    <row r="27731" spans="23:23" x14ac:dyDescent="0.55000000000000004">
      <c r="W27731"/>
    </row>
    <row r="27732" spans="23:23" x14ac:dyDescent="0.55000000000000004">
      <c r="W27732"/>
    </row>
    <row r="27733" spans="23:23" x14ac:dyDescent="0.55000000000000004">
      <c r="W27733"/>
    </row>
    <row r="27734" spans="23:23" x14ac:dyDescent="0.55000000000000004">
      <c r="W27734"/>
    </row>
    <row r="27735" spans="23:23" x14ac:dyDescent="0.55000000000000004">
      <c r="W27735"/>
    </row>
    <row r="27736" spans="23:23" x14ac:dyDescent="0.55000000000000004">
      <c r="W27736"/>
    </row>
    <row r="27737" spans="23:23" x14ac:dyDescent="0.55000000000000004">
      <c r="W27737"/>
    </row>
    <row r="27738" spans="23:23" x14ac:dyDescent="0.55000000000000004">
      <c r="W27738"/>
    </row>
    <row r="27739" spans="23:23" x14ac:dyDescent="0.55000000000000004">
      <c r="W27739"/>
    </row>
    <row r="27740" spans="23:23" x14ac:dyDescent="0.55000000000000004">
      <c r="W27740"/>
    </row>
    <row r="27741" spans="23:23" x14ac:dyDescent="0.55000000000000004">
      <c r="W27741"/>
    </row>
    <row r="27742" spans="23:23" x14ac:dyDescent="0.55000000000000004">
      <c r="W27742"/>
    </row>
    <row r="27743" spans="23:23" x14ac:dyDescent="0.55000000000000004">
      <c r="W27743"/>
    </row>
    <row r="27744" spans="23:23" x14ac:dyDescent="0.55000000000000004">
      <c r="W27744"/>
    </row>
    <row r="27745" spans="23:23" x14ac:dyDescent="0.55000000000000004">
      <c r="W27745"/>
    </row>
    <row r="27746" spans="23:23" x14ac:dyDescent="0.55000000000000004">
      <c r="W27746"/>
    </row>
    <row r="27747" spans="23:23" x14ac:dyDescent="0.55000000000000004">
      <c r="W27747"/>
    </row>
    <row r="27748" spans="23:23" x14ac:dyDescent="0.55000000000000004">
      <c r="W27748"/>
    </row>
    <row r="27749" spans="23:23" x14ac:dyDescent="0.55000000000000004">
      <c r="W27749"/>
    </row>
    <row r="27750" spans="23:23" x14ac:dyDescent="0.55000000000000004">
      <c r="W27750"/>
    </row>
    <row r="27751" spans="23:23" x14ac:dyDescent="0.55000000000000004">
      <c r="W27751"/>
    </row>
    <row r="27752" spans="23:23" x14ac:dyDescent="0.55000000000000004">
      <c r="W27752"/>
    </row>
    <row r="27753" spans="23:23" x14ac:dyDescent="0.55000000000000004">
      <c r="W27753"/>
    </row>
    <row r="27754" spans="23:23" x14ac:dyDescent="0.55000000000000004">
      <c r="W27754"/>
    </row>
    <row r="27755" spans="23:23" x14ac:dyDescent="0.55000000000000004">
      <c r="W27755"/>
    </row>
    <row r="27756" spans="23:23" x14ac:dyDescent="0.55000000000000004">
      <c r="W27756"/>
    </row>
    <row r="27757" spans="23:23" x14ac:dyDescent="0.55000000000000004">
      <c r="W27757"/>
    </row>
    <row r="27758" spans="23:23" x14ac:dyDescent="0.55000000000000004">
      <c r="W27758"/>
    </row>
    <row r="27759" spans="23:23" x14ac:dyDescent="0.55000000000000004">
      <c r="W27759"/>
    </row>
    <row r="27760" spans="23:23" x14ac:dyDescent="0.55000000000000004">
      <c r="W27760"/>
    </row>
    <row r="27761" spans="23:23" x14ac:dyDescent="0.55000000000000004">
      <c r="W27761"/>
    </row>
    <row r="27762" spans="23:23" x14ac:dyDescent="0.55000000000000004">
      <c r="W27762"/>
    </row>
    <row r="27763" spans="23:23" x14ac:dyDescent="0.55000000000000004">
      <c r="W27763"/>
    </row>
    <row r="27764" spans="23:23" x14ac:dyDescent="0.55000000000000004">
      <c r="W27764"/>
    </row>
    <row r="27765" spans="23:23" x14ac:dyDescent="0.55000000000000004">
      <c r="W27765"/>
    </row>
    <row r="27766" spans="23:23" x14ac:dyDescent="0.55000000000000004">
      <c r="W27766"/>
    </row>
    <row r="27767" spans="23:23" x14ac:dyDescent="0.55000000000000004">
      <c r="W27767"/>
    </row>
    <row r="27768" spans="23:23" x14ac:dyDescent="0.55000000000000004">
      <c r="W27768"/>
    </row>
    <row r="27769" spans="23:23" x14ac:dyDescent="0.55000000000000004">
      <c r="W27769"/>
    </row>
    <row r="27770" spans="23:23" x14ac:dyDescent="0.55000000000000004">
      <c r="W27770"/>
    </row>
    <row r="27771" spans="23:23" x14ac:dyDescent="0.55000000000000004">
      <c r="W27771"/>
    </row>
    <row r="27772" spans="23:23" x14ac:dyDescent="0.55000000000000004">
      <c r="W27772"/>
    </row>
    <row r="27773" spans="23:23" x14ac:dyDescent="0.55000000000000004">
      <c r="W27773"/>
    </row>
    <row r="27774" spans="23:23" x14ac:dyDescent="0.55000000000000004">
      <c r="W27774"/>
    </row>
    <row r="27775" spans="23:23" x14ac:dyDescent="0.55000000000000004">
      <c r="W27775"/>
    </row>
    <row r="27776" spans="23:23" x14ac:dyDescent="0.55000000000000004">
      <c r="W27776"/>
    </row>
    <row r="27777" spans="23:23" x14ac:dyDescent="0.55000000000000004">
      <c r="W27777"/>
    </row>
    <row r="27778" spans="23:23" x14ac:dyDescent="0.55000000000000004">
      <c r="W27778"/>
    </row>
    <row r="27779" spans="23:23" x14ac:dyDescent="0.55000000000000004">
      <c r="W27779"/>
    </row>
    <row r="27780" spans="23:23" x14ac:dyDescent="0.55000000000000004">
      <c r="W27780"/>
    </row>
    <row r="27781" spans="23:23" x14ac:dyDescent="0.55000000000000004">
      <c r="W27781"/>
    </row>
    <row r="27782" spans="23:23" x14ac:dyDescent="0.55000000000000004">
      <c r="W27782"/>
    </row>
    <row r="27783" spans="23:23" x14ac:dyDescent="0.55000000000000004">
      <c r="W27783"/>
    </row>
    <row r="27784" spans="23:23" x14ac:dyDescent="0.55000000000000004">
      <c r="W27784"/>
    </row>
    <row r="27785" spans="23:23" x14ac:dyDescent="0.55000000000000004">
      <c r="W27785"/>
    </row>
    <row r="27786" spans="23:23" x14ac:dyDescent="0.55000000000000004">
      <c r="W27786"/>
    </row>
    <row r="27787" spans="23:23" x14ac:dyDescent="0.55000000000000004">
      <c r="W27787"/>
    </row>
    <row r="27788" spans="23:23" x14ac:dyDescent="0.55000000000000004">
      <c r="W27788"/>
    </row>
    <row r="27789" spans="23:23" x14ac:dyDescent="0.55000000000000004">
      <c r="W27789"/>
    </row>
    <row r="27790" spans="23:23" x14ac:dyDescent="0.55000000000000004">
      <c r="W27790"/>
    </row>
    <row r="27791" spans="23:23" x14ac:dyDescent="0.55000000000000004">
      <c r="W27791"/>
    </row>
    <row r="27792" spans="23:23" x14ac:dyDescent="0.55000000000000004">
      <c r="W27792"/>
    </row>
    <row r="27793" spans="23:23" x14ac:dyDescent="0.55000000000000004">
      <c r="W27793"/>
    </row>
    <row r="27794" spans="23:23" x14ac:dyDescent="0.55000000000000004">
      <c r="W27794"/>
    </row>
    <row r="27795" spans="23:23" x14ac:dyDescent="0.55000000000000004">
      <c r="W27795"/>
    </row>
    <row r="27796" spans="23:23" x14ac:dyDescent="0.55000000000000004">
      <c r="W27796"/>
    </row>
    <row r="27797" spans="23:23" x14ac:dyDescent="0.55000000000000004">
      <c r="W27797"/>
    </row>
    <row r="27798" spans="23:23" x14ac:dyDescent="0.55000000000000004">
      <c r="W27798"/>
    </row>
    <row r="27799" spans="23:23" x14ac:dyDescent="0.55000000000000004">
      <c r="W27799"/>
    </row>
    <row r="27800" spans="23:23" x14ac:dyDescent="0.55000000000000004">
      <c r="W27800"/>
    </row>
    <row r="27801" spans="23:23" x14ac:dyDescent="0.55000000000000004">
      <c r="W27801"/>
    </row>
    <row r="27802" spans="23:23" x14ac:dyDescent="0.55000000000000004">
      <c r="W27802"/>
    </row>
    <row r="27803" spans="23:23" x14ac:dyDescent="0.55000000000000004">
      <c r="W27803"/>
    </row>
    <row r="27804" spans="23:23" x14ac:dyDescent="0.55000000000000004">
      <c r="W27804"/>
    </row>
    <row r="27805" spans="23:23" x14ac:dyDescent="0.55000000000000004">
      <c r="W27805"/>
    </row>
    <row r="27806" spans="23:23" x14ac:dyDescent="0.55000000000000004">
      <c r="W27806"/>
    </row>
    <row r="27807" spans="23:23" x14ac:dyDescent="0.55000000000000004">
      <c r="W27807"/>
    </row>
    <row r="27808" spans="23:23" x14ac:dyDescent="0.55000000000000004">
      <c r="W27808"/>
    </row>
    <row r="27809" spans="23:23" x14ac:dyDescent="0.55000000000000004">
      <c r="W27809"/>
    </row>
    <row r="27810" spans="23:23" x14ac:dyDescent="0.55000000000000004">
      <c r="W27810"/>
    </row>
    <row r="27811" spans="23:23" x14ac:dyDescent="0.55000000000000004">
      <c r="W27811"/>
    </row>
    <row r="27812" spans="23:23" x14ac:dyDescent="0.55000000000000004">
      <c r="W27812"/>
    </row>
    <row r="27813" spans="23:23" x14ac:dyDescent="0.55000000000000004">
      <c r="W27813"/>
    </row>
    <row r="27814" spans="23:23" x14ac:dyDescent="0.55000000000000004">
      <c r="W27814"/>
    </row>
    <row r="27815" spans="23:23" x14ac:dyDescent="0.55000000000000004">
      <c r="W27815"/>
    </row>
    <row r="27816" spans="23:23" x14ac:dyDescent="0.55000000000000004">
      <c r="W27816"/>
    </row>
    <row r="27817" spans="23:23" x14ac:dyDescent="0.55000000000000004">
      <c r="W27817"/>
    </row>
    <row r="27818" spans="23:23" x14ac:dyDescent="0.55000000000000004">
      <c r="W27818"/>
    </row>
    <row r="27819" spans="23:23" x14ac:dyDescent="0.55000000000000004">
      <c r="W27819"/>
    </row>
    <row r="27820" spans="23:23" x14ac:dyDescent="0.55000000000000004">
      <c r="W27820"/>
    </row>
    <row r="27821" spans="23:23" x14ac:dyDescent="0.55000000000000004">
      <c r="W27821"/>
    </row>
    <row r="27822" spans="23:23" x14ac:dyDescent="0.55000000000000004">
      <c r="W27822"/>
    </row>
    <row r="27823" spans="23:23" x14ac:dyDescent="0.55000000000000004">
      <c r="W27823"/>
    </row>
    <row r="27824" spans="23:23" x14ac:dyDescent="0.55000000000000004">
      <c r="W27824"/>
    </row>
    <row r="27825" spans="23:23" x14ac:dyDescent="0.55000000000000004">
      <c r="W27825"/>
    </row>
    <row r="27826" spans="23:23" x14ac:dyDescent="0.55000000000000004">
      <c r="W27826"/>
    </row>
    <row r="27827" spans="23:23" x14ac:dyDescent="0.55000000000000004">
      <c r="W27827"/>
    </row>
    <row r="27828" spans="23:23" x14ac:dyDescent="0.55000000000000004">
      <c r="W27828"/>
    </row>
    <row r="27829" spans="23:23" x14ac:dyDescent="0.55000000000000004">
      <c r="W27829"/>
    </row>
    <row r="27830" spans="23:23" x14ac:dyDescent="0.55000000000000004">
      <c r="W27830"/>
    </row>
    <row r="27831" spans="23:23" x14ac:dyDescent="0.55000000000000004">
      <c r="W27831"/>
    </row>
    <row r="27832" spans="23:23" x14ac:dyDescent="0.55000000000000004">
      <c r="W27832"/>
    </row>
    <row r="27833" spans="23:23" x14ac:dyDescent="0.55000000000000004">
      <c r="W27833"/>
    </row>
    <row r="27834" spans="23:23" x14ac:dyDescent="0.55000000000000004">
      <c r="W27834"/>
    </row>
    <row r="27835" spans="23:23" x14ac:dyDescent="0.55000000000000004">
      <c r="W27835"/>
    </row>
    <row r="27836" spans="23:23" x14ac:dyDescent="0.55000000000000004">
      <c r="W27836"/>
    </row>
    <row r="27837" spans="23:23" x14ac:dyDescent="0.55000000000000004">
      <c r="W27837"/>
    </row>
    <row r="27838" spans="23:23" x14ac:dyDescent="0.55000000000000004">
      <c r="W27838"/>
    </row>
    <row r="27839" spans="23:23" x14ac:dyDescent="0.55000000000000004">
      <c r="W27839"/>
    </row>
    <row r="27840" spans="23:23" x14ac:dyDescent="0.55000000000000004">
      <c r="W27840"/>
    </row>
    <row r="27841" spans="23:23" x14ac:dyDescent="0.55000000000000004">
      <c r="W27841"/>
    </row>
    <row r="27842" spans="23:23" x14ac:dyDescent="0.55000000000000004">
      <c r="W27842"/>
    </row>
    <row r="27843" spans="23:23" x14ac:dyDescent="0.55000000000000004">
      <c r="W27843"/>
    </row>
    <row r="27844" spans="23:23" x14ac:dyDescent="0.55000000000000004">
      <c r="W27844"/>
    </row>
    <row r="27845" spans="23:23" x14ac:dyDescent="0.55000000000000004">
      <c r="W27845"/>
    </row>
    <row r="27846" spans="23:23" x14ac:dyDescent="0.55000000000000004">
      <c r="W27846"/>
    </row>
    <row r="27847" spans="23:23" x14ac:dyDescent="0.55000000000000004">
      <c r="W27847"/>
    </row>
    <row r="27848" spans="23:23" x14ac:dyDescent="0.55000000000000004">
      <c r="W27848"/>
    </row>
    <row r="27849" spans="23:23" x14ac:dyDescent="0.55000000000000004">
      <c r="W27849"/>
    </row>
    <row r="27850" spans="23:23" x14ac:dyDescent="0.55000000000000004">
      <c r="W27850"/>
    </row>
    <row r="27851" spans="23:23" x14ac:dyDescent="0.55000000000000004">
      <c r="W27851"/>
    </row>
    <row r="27852" spans="23:23" x14ac:dyDescent="0.55000000000000004">
      <c r="W27852"/>
    </row>
    <row r="27853" spans="23:23" x14ac:dyDescent="0.55000000000000004">
      <c r="W27853"/>
    </row>
    <row r="27854" spans="23:23" x14ac:dyDescent="0.55000000000000004">
      <c r="W27854"/>
    </row>
    <row r="27855" spans="23:23" x14ac:dyDescent="0.55000000000000004">
      <c r="W27855"/>
    </row>
    <row r="27856" spans="23:23" x14ac:dyDescent="0.55000000000000004">
      <c r="W27856"/>
    </row>
    <row r="27857" spans="23:23" x14ac:dyDescent="0.55000000000000004">
      <c r="W27857"/>
    </row>
    <row r="27858" spans="23:23" x14ac:dyDescent="0.55000000000000004">
      <c r="W27858"/>
    </row>
    <row r="27859" spans="23:23" x14ac:dyDescent="0.55000000000000004">
      <c r="W27859"/>
    </row>
    <row r="27860" spans="23:23" x14ac:dyDescent="0.55000000000000004">
      <c r="W27860"/>
    </row>
    <row r="27861" spans="23:23" x14ac:dyDescent="0.55000000000000004">
      <c r="W27861"/>
    </row>
    <row r="27862" spans="23:23" x14ac:dyDescent="0.55000000000000004">
      <c r="W27862"/>
    </row>
    <row r="27863" spans="23:23" x14ac:dyDescent="0.55000000000000004">
      <c r="W27863"/>
    </row>
    <row r="27864" spans="23:23" x14ac:dyDescent="0.55000000000000004">
      <c r="W27864"/>
    </row>
    <row r="27865" spans="23:23" x14ac:dyDescent="0.55000000000000004">
      <c r="W27865"/>
    </row>
    <row r="27866" spans="23:23" x14ac:dyDescent="0.55000000000000004">
      <c r="W27866"/>
    </row>
    <row r="27867" spans="23:23" x14ac:dyDescent="0.55000000000000004">
      <c r="W27867"/>
    </row>
    <row r="27868" spans="23:23" x14ac:dyDescent="0.55000000000000004">
      <c r="W27868"/>
    </row>
    <row r="27869" spans="23:23" x14ac:dyDescent="0.55000000000000004">
      <c r="W27869"/>
    </row>
    <row r="27870" spans="23:23" x14ac:dyDescent="0.55000000000000004">
      <c r="W27870"/>
    </row>
    <row r="27871" spans="23:23" x14ac:dyDescent="0.55000000000000004">
      <c r="W27871"/>
    </row>
    <row r="27872" spans="23:23" x14ac:dyDescent="0.55000000000000004">
      <c r="W27872"/>
    </row>
    <row r="27873" spans="23:23" x14ac:dyDescent="0.55000000000000004">
      <c r="W27873"/>
    </row>
    <row r="27874" spans="23:23" x14ac:dyDescent="0.55000000000000004">
      <c r="W27874"/>
    </row>
    <row r="27875" spans="23:23" x14ac:dyDescent="0.55000000000000004">
      <c r="W27875"/>
    </row>
    <row r="27876" spans="23:23" x14ac:dyDescent="0.55000000000000004">
      <c r="W27876"/>
    </row>
    <row r="27877" spans="23:23" x14ac:dyDescent="0.55000000000000004">
      <c r="W27877"/>
    </row>
    <row r="27878" spans="23:23" x14ac:dyDescent="0.55000000000000004">
      <c r="W27878"/>
    </row>
    <row r="27879" spans="23:23" x14ac:dyDescent="0.55000000000000004">
      <c r="W27879"/>
    </row>
    <row r="27880" spans="23:23" x14ac:dyDescent="0.55000000000000004">
      <c r="W27880"/>
    </row>
    <row r="27881" spans="23:23" x14ac:dyDescent="0.55000000000000004">
      <c r="W27881"/>
    </row>
    <row r="27882" spans="23:23" x14ac:dyDescent="0.55000000000000004">
      <c r="W27882"/>
    </row>
    <row r="27883" spans="23:23" x14ac:dyDescent="0.55000000000000004">
      <c r="W27883"/>
    </row>
    <row r="27884" spans="23:23" x14ac:dyDescent="0.55000000000000004">
      <c r="W27884"/>
    </row>
    <row r="27885" spans="23:23" x14ac:dyDescent="0.55000000000000004">
      <c r="W27885"/>
    </row>
    <row r="27886" spans="23:23" x14ac:dyDescent="0.55000000000000004">
      <c r="W27886"/>
    </row>
    <row r="27887" spans="23:23" x14ac:dyDescent="0.55000000000000004">
      <c r="W27887"/>
    </row>
    <row r="27888" spans="23:23" x14ac:dyDescent="0.55000000000000004">
      <c r="W27888"/>
    </row>
    <row r="27889" spans="23:23" x14ac:dyDescent="0.55000000000000004">
      <c r="W27889"/>
    </row>
    <row r="27890" spans="23:23" x14ac:dyDescent="0.55000000000000004">
      <c r="W27890"/>
    </row>
    <row r="27891" spans="23:23" x14ac:dyDescent="0.55000000000000004">
      <c r="W27891"/>
    </row>
    <row r="27892" spans="23:23" x14ac:dyDescent="0.55000000000000004">
      <c r="W27892"/>
    </row>
    <row r="27893" spans="23:23" x14ac:dyDescent="0.55000000000000004">
      <c r="W27893"/>
    </row>
    <row r="27894" spans="23:23" x14ac:dyDescent="0.55000000000000004">
      <c r="W27894"/>
    </row>
    <row r="27895" spans="23:23" x14ac:dyDescent="0.55000000000000004">
      <c r="W27895"/>
    </row>
    <row r="27896" spans="23:23" x14ac:dyDescent="0.55000000000000004">
      <c r="W27896"/>
    </row>
    <row r="27897" spans="23:23" x14ac:dyDescent="0.55000000000000004">
      <c r="W27897"/>
    </row>
    <row r="27898" spans="23:23" x14ac:dyDescent="0.55000000000000004">
      <c r="W27898"/>
    </row>
    <row r="27899" spans="23:23" x14ac:dyDescent="0.55000000000000004">
      <c r="W27899"/>
    </row>
    <row r="27900" spans="23:23" x14ac:dyDescent="0.55000000000000004">
      <c r="W27900"/>
    </row>
    <row r="27901" spans="23:23" x14ac:dyDescent="0.55000000000000004">
      <c r="W27901"/>
    </row>
    <row r="27902" spans="23:23" x14ac:dyDescent="0.55000000000000004">
      <c r="W27902"/>
    </row>
    <row r="27903" spans="23:23" x14ac:dyDescent="0.55000000000000004">
      <c r="W27903"/>
    </row>
    <row r="27904" spans="23:23" x14ac:dyDescent="0.55000000000000004">
      <c r="W27904"/>
    </row>
    <row r="27905" spans="23:23" x14ac:dyDescent="0.55000000000000004">
      <c r="W27905"/>
    </row>
    <row r="27906" spans="23:23" x14ac:dyDescent="0.55000000000000004">
      <c r="W27906"/>
    </row>
    <row r="27907" spans="23:23" x14ac:dyDescent="0.55000000000000004">
      <c r="W27907"/>
    </row>
    <row r="27908" spans="23:23" x14ac:dyDescent="0.55000000000000004">
      <c r="W27908"/>
    </row>
    <row r="27909" spans="23:23" x14ac:dyDescent="0.55000000000000004">
      <c r="W27909"/>
    </row>
    <row r="27910" spans="23:23" x14ac:dyDescent="0.55000000000000004">
      <c r="W27910"/>
    </row>
    <row r="27911" spans="23:23" x14ac:dyDescent="0.55000000000000004">
      <c r="W27911"/>
    </row>
    <row r="27912" spans="23:23" x14ac:dyDescent="0.55000000000000004">
      <c r="W27912"/>
    </row>
    <row r="27913" spans="23:23" x14ac:dyDescent="0.55000000000000004">
      <c r="W27913"/>
    </row>
    <row r="27914" spans="23:23" x14ac:dyDescent="0.55000000000000004">
      <c r="W27914"/>
    </row>
    <row r="27915" spans="23:23" x14ac:dyDescent="0.55000000000000004">
      <c r="W27915"/>
    </row>
    <row r="27916" spans="23:23" x14ac:dyDescent="0.55000000000000004">
      <c r="W27916"/>
    </row>
    <row r="27917" spans="23:23" x14ac:dyDescent="0.55000000000000004">
      <c r="W27917"/>
    </row>
    <row r="27918" spans="23:23" x14ac:dyDescent="0.55000000000000004">
      <c r="W27918"/>
    </row>
    <row r="27919" spans="23:23" x14ac:dyDescent="0.55000000000000004">
      <c r="W27919"/>
    </row>
    <row r="27920" spans="23:23" x14ac:dyDescent="0.55000000000000004">
      <c r="W27920"/>
    </row>
    <row r="27921" spans="23:23" x14ac:dyDescent="0.55000000000000004">
      <c r="W27921"/>
    </row>
    <row r="27922" spans="23:23" x14ac:dyDescent="0.55000000000000004">
      <c r="W27922"/>
    </row>
    <row r="27923" spans="23:23" x14ac:dyDescent="0.55000000000000004">
      <c r="W27923"/>
    </row>
    <row r="27924" spans="23:23" x14ac:dyDescent="0.55000000000000004">
      <c r="W27924"/>
    </row>
    <row r="27925" spans="23:23" x14ac:dyDescent="0.55000000000000004">
      <c r="W27925"/>
    </row>
    <row r="27926" spans="23:23" x14ac:dyDescent="0.55000000000000004">
      <c r="W27926"/>
    </row>
    <row r="27927" spans="23:23" x14ac:dyDescent="0.55000000000000004">
      <c r="W27927"/>
    </row>
    <row r="27928" spans="23:23" x14ac:dyDescent="0.55000000000000004">
      <c r="W27928"/>
    </row>
    <row r="27929" spans="23:23" x14ac:dyDescent="0.55000000000000004">
      <c r="W27929"/>
    </row>
    <row r="27930" spans="23:23" x14ac:dyDescent="0.55000000000000004">
      <c r="W27930"/>
    </row>
    <row r="27931" spans="23:23" x14ac:dyDescent="0.55000000000000004">
      <c r="W27931"/>
    </row>
    <row r="27932" spans="23:23" x14ac:dyDescent="0.55000000000000004">
      <c r="W27932"/>
    </row>
    <row r="27933" spans="23:23" x14ac:dyDescent="0.55000000000000004">
      <c r="W27933"/>
    </row>
    <row r="27934" spans="23:23" x14ac:dyDescent="0.55000000000000004">
      <c r="W27934"/>
    </row>
    <row r="27935" spans="23:23" x14ac:dyDescent="0.55000000000000004">
      <c r="W27935"/>
    </row>
    <row r="27936" spans="23:23" x14ac:dyDescent="0.55000000000000004">
      <c r="W27936"/>
    </row>
    <row r="27937" spans="23:23" x14ac:dyDescent="0.55000000000000004">
      <c r="W27937"/>
    </row>
    <row r="27938" spans="23:23" x14ac:dyDescent="0.55000000000000004">
      <c r="W27938"/>
    </row>
    <row r="27939" spans="23:23" x14ac:dyDescent="0.55000000000000004">
      <c r="W27939"/>
    </row>
    <row r="27940" spans="23:23" x14ac:dyDescent="0.55000000000000004">
      <c r="W27940"/>
    </row>
    <row r="27941" spans="23:23" x14ac:dyDescent="0.55000000000000004">
      <c r="W27941"/>
    </row>
    <row r="27942" spans="23:23" x14ac:dyDescent="0.55000000000000004">
      <c r="W27942"/>
    </row>
    <row r="27943" spans="23:23" x14ac:dyDescent="0.55000000000000004">
      <c r="W27943"/>
    </row>
    <row r="27944" spans="23:23" x14ac:dyDescent="0.55000000000000004">
      <c r="W27944"/>
    </row>
    <row r="27945" spans="23:23" x14ac:dyDescent="0.55000000000000004">
      <c r="W27945"/>
    </row>
    <row r="27946" spans="23:23" x14ac:dyDescent="0.55000000000000004">
      <c r="W27946"/>
    </row>
    <row r="27947" spans="23:23" x14ac:dyDescent="0.55000000000000004">
      <c r="W27947"/>
    </row>
    <row r="27948" spans="23:23" x14ac:dyDescent="0.55000000000000004">
      <c r="W27948"/>
    </row>
    <row r="27949" spans="23:23" x14ac:dyDescent="0.55000000000000004">
      <c r="W27949"/>
    </row>
    <row r="27950" spans="23:23" x14ac:dyDescent="0.55000000000000004">
      <c r="W27950"/>
    </row>
    <row r="27951" spans="23:23" x14ac:dyDescent="0.55000000000000004">
      <c r="W27951"/>
    </row>
    <row r="27952" spans="23:23" x14ac:dyDescent="0.55000000000000004">
      <c r="W27952"/>
    </row>
    <row r="27953" spans="23:23" x14ac:dyDescent="0.55000000000000004">
      <c r="W27953"/>
    </row>
    <row r="27954" spans="23:23" x14ac:dyDescent="0.55000000000000004">
      <c r="W27954"/>
    </row>
    <row r="27955" spans="23:23" x14ac:dyDescent="0.55000000000000004">
      <c r="W27955"/>
    </row>
    <row r="27956" spans="23:23" x14ac:dyDescent="0.55000000000000004">
      <c r="W27956"/>
    </row>
    <row r="27957" spans="23:23" x14ac:dyDescent="0.55000000000000004">
      <c r="W27957"/>
    </row>
    <row r="27958" spans="23:23" x14ac:dyDescent="0.55000000000000004">
      <c r="W27958"/>
    </row>
    <row r="27959" spans="23:23" x14ac:dyDescent="0.55000000000000004">
      <c r="W27959"/>
    </row>
    <row r="27960" spans="23:23" x14ac:dyDescent="0.55000000000000004">
      <c r="W27960"/>
    </row>
    <row r="27961" spans="23:23" x14ac:dyDescent="0.55000000000000004">
      <c r="W27961"/>
    </row>
    <row r="27962" spans="23:23" x14ac:dyDescent="0.55000000000000004">
      <c r="W27962"/>
    </row>
    <row r="27963" spans="23:23" x14ac:dyDescent="0.55000000000000004">
      <c r="W27963"/>
    </row>
    <row r="27964" spans="23:23" x14ac:dyDescent="0.55000000000000004">
      <c r="W27964"/>
    </row>
    <row r="27965" spans="23:23" x14ac:dyDescent="0.55000000000000004">
      <c r="W27965"/>
    </row>
    <row r="27966" spans="23:23" x14ac:dyDescent="0.55000000000000004">
      <c r="W27966"/>
    </row>
    <row r="27967" spans="23:23" x14ac:dyDescent="0.55000000000000004">
      <c r="W27967"/>
    </row>
    <row r="27968" spans="23:23" x14ac:dyDescent="0.55000000000000004">
      <c r="W27968"/>
    </row>
    <row r="27969" spans="23:23" x14ac:dyDescent="0.55000000000000004">
      <c r="W27969"/>
    </row>
    <row r="27970" spans="23:23" x14ac:dyDescent="0.55000000000000004">
      <c r="W27970"/>
    </row>
    <row r="27971" spans="23:23" x14ac:dyDescent="0.55000000000000004">
      <c r="W27971"/>
    </row>
    <row r="27972" spans="23:23" x14ac:dyDescent="0.55000000000000004">
      <c r="W27972"/>
    </row>
    <row r="27973" spans="23:23" x14ac:dyDescent="0.55000000000000004">
      <c r="W27973"/>
    </row>
    <row r="27974" spans="23:23" x14ac:dyDescent="0.55000000000000004">
      <c r="W27974"/>
    </row>
    <row r="27975" spans="23:23" x14ac:dyDescent="0.55000000000000004">
      <c r="W27975"/>
    </row>
    <row r="27976" spans="23:23" x14ac:dyDescent="0.55000000000000004">
      <c r="W27976"/>
    </row>
    <row r="27977" spans="23:23" x14ac:dyDescent="0.55000000000000004">
      <c r="W27977"/>
    </row>
    <row r="27978" spans="23:23" x14ac:dyDescent="0.55000000000000004">
      <c r="W27978"/>
    </row>
    <row r="27979" spans="23:23" x14ac:dyDescent="0.55000000000000004">
      <c r="W27979"/>
    </row>
    <row r="27980" spans="23:23" x14ac:dyDescent="0.55000000000000004">
      <c r="W27980"/>
    </row>
    <row r="27981" spans="23:23" x14ac:dyDescent="0.55000000000000004">
      <c r="W27981"/>
    </row>
    <row r="27982" spans="23:23" x14ac:dyDescent="0.55000000000000004">
      <c r="W27982"/>
    </row>
    <row r="27983" spans="23:23" x14ac:dyDescent="0.55000000000000004">
      <c r="W27983"/>
    </row>
    <row r="27984" spans="23:23" x14ac:dyDescent="0.55000000000000004">
      <c r="W27984"/>
    </row>
    <row r="27985" spans="23:23" x14ac:dyDescent="0.55000000000000004">
      <c r="W27985"/>
    </row>
    <row r="27986" spans="23:23" x14ac:dyDescent="0.55000000000000004">
      <c r="W27986"/>
    </row>
    <row r="27987" spans="23:23" x14ac:dyDescent="0.55000000000000004">
      <c r="W27987"/>
    </row>
    <row r="27988" spans="23:23" x14ac:dyDescent="0.55000000000000004">
      <c r="W27988"/>
    </row>
    <row r="27989" spans="23:23" x14ac:dyDescent="0.55000000000000004">
      <c r="W27989"/>
    </row>
    <row r="27990" spans="23:23" x14ac:dyDescent="0.55000000000000004">
      <c r="W27990"/>
    </row>
    <row r="27991" spans="23:23" x14ac:dyDescent="0.55000000000000004">
      <c r="W27991"/>
    </row>
    <row r="27992" spans="23:23" x14ac:dyDescent="0.55000000000000004">
      <c r="W27992"/>
    </row>
    <row r="27993" spans="23:23" x14ac:dyDescent="0.55000000000000004">
      <c r="W27993"/>
    </row>
    <row r="27994" spans="23:23" x14ac:dyDescent="0.55000000000000004">
      <c r="W27994"/>
    </row>
    <row r="27995" spans="23:23" x14ac:dyDescent="0.55000000000000004">
      <c r="W27995"/>
    </row>
    <row r="27996" spans="23:23" x14ac:dyDescent="0.55000000000000004">
      <c r="W27996"/>
    </row>
    <row r="27997" spans="23:23" x14ac:dyDescent="0.55000000000000004">
      <c r="W27997"/>
    </row>
    <row r="27998" spans="23:23" x14ac:dyDescent="0.55000000000000004">
      <c r="W27998"/>
    </row>
    <row r="27999" spans="23:23" x14ac:dyDescent="0.55000000000000004">
      <c r="W27999"/>
    </row>
    <row r="28000" spans="23:23" x14ac:dyDescent="0.55000000000000004">
      <c r="W28000"/>
    </row>
    <row r="28001" spans="23:23" x14ac:dyDescent="0.55000000000000004">
      <c r="W28001"/>
    </row>
    <row r="28002" spans="23:23" x14ac:dyDescent="0.55000000000000004">
      <c r="W28002"/>
    </row>
    <row r="28003" spans="23:23" x14ac:dyDescent="0.55000000000000004">
      <c r="W28003"/>
    </row>
    <row r="28004" spans="23:23" x14ac:dyDescent="0.55000000000000004">
      <c r="W28004"/>
    </row>
    <row r="28005" spans="23:23" x14ac:dyDescent="0.55000000000000004">
      <c r="W28005"/>
    </row>
    <row r="28006" spans="23:23" x14ac:dyDescent="0.55000000000000004">
      <c r="W28006"/>
    </row>
    <row r="28007" spans="23:23" x14ac:dyDescent="0.55000000000000004">
      <c r="W28007"/>
    </row>
    <row r="28008" spans="23:23" x14ac:dyDescent="0.55000000000000004">
      <c r="W28008"/>
    </row>
    <row r="28009" spans="23:23" x14ac:dyDescent="0.55000000000000004">
      <c r="W28009"/>
    </row>
    <row r="28010" spans="23:23" x14ac:dyDescent="0.55000000000000004">
      <c r="W28010"/>
    </row>
    <row r="28011" spans="23:23" x14ac:dyDescent="0.55000000000000004">
      <c r="W28011"/>
    </row>
    <row r="28012" spans="23:23" x14ac:dyDescent="0.55000000000000004">
      <c r="W28012"/>
    </row>
    <row r="28013" spans="23:23" x14ac:dyDescent="0.55000000000000004">
      <c r="W28013"/>
    </row>
    <row r="28014" spans="23:23" x14ac:dyDescent="0.55000000000000004">
      <c r="W28014"/>
    </row>
    <row r="28015" spans="23:23" x14ac:dyDescent="0.55000000000000004">
      <c r="W28015"/>
    </row>
    <row r="28016" spans="23:23" x14ac:dyDescent="0.55000000000000004">
      <c r="W28016"/>
    </row>
    <row r="28017" spans="23:23" x14ac:dyDescent="0.55000000000000004">
      <c r="W28017"/>
    </row>
    <row r="28018" spans="23:23" x14ac:dyDescent="0.55000000000000004">
      <c r="W28018"/>
    </row>
    <row r="28019" spans="23:23" x14ac:dyDescent="0.55000000000000004">
      <c r="W28019"/>
    </row>
    <row r="28020" spans="23:23" x14ac:dyDescent="0.55000000000000004">
      <c r="W28020"/>
    </row>
    <row r="28021" spans="23:23" x14ac:dyDescent="0.55000000000000004">
      <c r="W28021"/>
    </row>
    <row r="28022" spans="23:23" x14ac:dyDescent="0.55000000000000004">
      <c r="W28022"/>
    </row>
    <row r="28023" spans="23:23" x14ac:dyDescent="0.55000000000000004">
      <c r="W28023"/>
    </row>
    <row r="28024" spans="23:23" x14ac:dyDescent="0.55000000000000004">
      <c r="W28024"/>
    </row>
    <row r="28025" spans="23:23" x14ac:dyDescent="0.55000000000000004">
      <c r="W28025"/>
    </row>
    <row r="28026" spans="23:23" x14ac:dyDescent="0.55000000000000004">
      <c r="W28026"/>
    </row>
    <row r="28027" spans="23:23" x14ac:dyDescent="0.55000000000000004">
      <c r="W28027"/>
    </row>
    <row r="28028" spans="23:23" x14ac:dyDescent="0.55000000000000004">
      <c r="W28028"/>
    </row>
    <row r="28029" spans="23:23" x14ac:dyDescent="0.55000000000000004">
      <c r="W28029"/>
    </row>
    <row r="28030" spans="23:23" x14ac:dyDescent="0.55000000000000004">
      <c r="W28030"/>
    </row>
    <row r="28031" spans="23:23" x14ac:dyDescent="0.55000000000000004">
      <c r="W28031"/>
    </row>
    <row r="28032" spans="23:23" x14ac:dyDescent="0.55000000000000004">
      <c r="W28032"/>
    </row>
    <row r="28033" spans="23:23" x14ac:dyDescent="0.55000000000000004">
      <c r="W28033"/>
    </row>
    <row r="28034" spans="23:23" x14ac:dyDescent="0.55000000000000004">
      <c r="W28034"/>
    </row>
    <row r="28035" spans="23:23" x14ac:dyDescent="0.55000000000000004">
      <c r="W28035"/>
    </row>
    <row r="28036" spans="23:23" x14ac:dyDescent="0.55000000000000004">
      <c r="W28036"/>
    </row>
    <row r="28037" spans="23:23" x14ac:dyDescent="0.55000000000000004">
      <c r="W28037"/>
    </row>
    <row r="28038" spans="23:23" x14ac:dyDescent="0.55000000000000004">
      <c r="W28038"/>
    </row>
    <row r="28039" spans="23:23" x14ac:dyDescent="0.55000000000000004">
      <c r="W28039"/>
    </row>
    <row r="28040" spans="23:23" x14ac:dyDescent="0.55000000000000004">
      <c r="W28040"/>
    </row>
    <row r="28041" spans="23:23" x14ac:dyDescent="0.55000000000000004">
      <c r="W28041"/>
    </row>
    <row r="28042" spans="23:23" x14ac:dyDescent="0.55000000000000004">
      <c r="W28042"/>
    </row>
    <row r="28043" spans="23:23" x14ac:dyDescent="0.55000000000000004">
      <c r="W28043"/>
    </row>
    <row r="28044" spans="23:23" x14ac:dyDescent="0.55000000000000004">
      <c r="W28044"/>
    </row>
    <row r="28045" spans="23:23" x14ac:dyDescent="0.55000000000000004">
      <c r="W28045"/>
    </row>
    <row r="28046" spans="23:23" x14ac:dyDescent="0.55000000000000004">
      <c r="W28046"/>
    </row>
    <row r="28047" spans="23:23" x14ac:dyDescent="0.55000000000000004">
      <c r="W28047"/>
    </row>
    <row r="28048" spans="23:23" x14ac:dyDescent="0.55000000000000004">
      <c r="W28048"/>
    </row>
    <row r="28049" spans="23:23" x14ac:dyDescent="0.55000000000000004">
      <c r="W28049"/>
    </row>
    <row r="28050" spans="23:23" x14ac:dyDescent="0.55000000000000004">
      <c r="W28050"/>
    </row>
    <row r="28051" spans="23:23" x14ac:dyDescent="0.55000000000000004">
      <c r="W28051"/>
    </row>
    <row r="28052" spans="23:23" x14ac:dyDescent="0.55000000000000004">
      <c r="W28052"/>
    </row>
    <row r="28053" spans="23:23" x14ac:dyDescent="0.55000000000000004">
      <c r="W28053"/>
    </row>
    <row r="28054" spans="23:23" x14ac:dyDescent="0.55000000000000004">
      <c r="W28054"/>
    </row>
    <row r="28055" spans="23:23" x14ac:dyDescent="0.55000000000000004">
      <c r="W28055"/>
    </row>
    <row r="28056" spans="23:23" x14ac:dyDescent="0.55000000000000004">
      <c r="W28056"/>
    </row>
    <row r="28057" spans="23:23" x14ac:dyDescent="0.55000000000000004">
      <c r="W28057"/>
    </row>
    <row r="28058" spans="23:23" x14ac:dyDescent="0.55000000000000004">
      <c r="W28058"/>
    </row>
    <row r="28059" spans="23:23" x14ac:dyDescent="0.55000000000000004">
      <c r="W28059"/>
    </row>
    <row r="28060" spans="23:23" x14ac:dyDescent="0.55000000000000004">
      <c r="W28060"/>
    </row>
    <row r="28061" spans="23:23" x14ac:dyDescent="0.55000000000000004">
      <c r="W28061"/>
    </row>
    <row r="28062" spans="23:23" x14ac:dyDescent="0.55000000000000004">
      <c r="W28062"/>
    </row>
    <row r="28063" spans="23:23" x14ac:dyDescent="0.55000000000000004">
      <c r="W28063"/>
    </row>
    <row r="28064" spans="23:23" x14ac:dyDescent="0.55000000000000004">
      <c r="W28064"/>
    </row>
    <row r="28065" spans="23:23" x14ac:dyDescent="0.55000000000000004">
      <c r="W28065"/>
    </row>
    <row r="28066" spans="23:23" x14ac:dyDescent="0.55000000000000004">
      <c r="W28066"/>
    </row>
    <row r="28067" spans="23:23" x14ac:dyDescent="0.55000000000000004">
      <c r="W28067"/>
    </row>
    <row r="28068" spans="23:23" x14ac:dyDescent="0.55000000000000004">
      <c r="W28068"/>
    </row>
    <row r="28069" spans="23:23" x14ac:dyDescent="0.55000000000000004">
      <c r="W28069"/>
    </row>
    <row r="28070" spans="23:23" x14ac:dyDescent="0.55000000000000004">
      <c r="W28070"/>
    </row>
    <row r="28071" spans="23:23" x14ac:dyDescent="0.55000000000000004">
      <c r="W28071"/>
    </row>
    <row r="28072" spans="23:23" x14ac:dyDescent="0.55000000000000004">
      <c r="W28072"/>
    </row>
    <row r="28073" spans="23:23" x14ac:dyDescent="0.55000000000000004">
      <c r="W28073"/>
    </row>
    <row r="28074" spans="23:23" x14ac:dyDescent="0.55000000000000004">
      <c r="W28074"/>
    </row>
    <row r="28075" spans="23:23" x14ac:dyDescent="0.55000000000000004">
      <c r="W28075"/>
    </row>
    <row r="28076" spans="23:23" x14ac:dyDescent="0.55000000000000004">
      <c r="W28076"/>
    </row>
    <row r="28077" spans="23:23" x14ac:dyDescent="0.55000000000000004">
      <c r="W28077"/>
    </row>
    <row r="28078" spans="23:23" x14ac:dyDescent="0.55000000000000004">
      <c r="W28078"/>
    </row>
    <row r="28079" spans="23:23" x14ac:dyDescent="0.55000000000000004">
      <c r="W28079"/>
    </row>
    <row r="28080" spans="23:23" x14ac:dyDescent="0.55000000000000004">
      <c r="W28080"/>
    </row>
    <row r="28081" spans="23:23" x14ac:dyDescent="0.55000000000000004">
      <c r="W28081"/>
    </row>
    <row r="28082" spans="23:23" x14ac:dyDescent="0.55000000000000004">
      <c r="W28082"/>
    </row>
    <row r="28083" spans="23:23" x14ac:dyDescent="0.55000000000000004">
      <c r="W28083"/>
    </row>
    <row r="28084" spans="23:23" x14ac:dyDescent="0.55000000000000004">
      <c r="W28084"/>
    </row>
    <row r="28085" spans="23:23" x14ac:dyDescent="0.55000000000000004">
      <c r="W28085"/>
    </row>
    <row r="28086" spans="23:23" x14ac:dyDescent="0.55000000000000004">
      <c r="W28086"/>
    </row>
    <row r="28087" spans="23:23" x14ac:dyDescent="0.55000000000000004">
      <c r="W28087"/>
    </row>
    <row r="28088" spans="23:23" x14ac:dyDescent="0.55000000000000004">
      <c r="W28088"/>
    </row>
    <row r="28089" spans="23:23" x14ac:dyDescent="0.55000000000000004">
      <c r="W28089"/>
    </row>
    <row r="28090" spans="23:23" x14ac:dyDescent="0.55000000000000004">
      <c r="W28090"/>
    </row>
    <row r="28091" spans="23:23" x14ac:dyDescent="0.55000000000000004">
      <c r="W28091"/>
    </row>
    <row r="28092" spans="23:23" x14ac:dyDescent="0.55000000000000004">
      <c r="W28092"/>
    </row>
    <row r="28093" spans="23:23" x14ac:dyDescent="0.55000000000000004">
      <c r="W28093"/>
    </row>
    <row r="28094" spans="23:23" x14ac:dyDescent="0.55000000000000004">
      <c r="W28094"/>
    </row>
    <row r="28095" spans="23:23" x14ac:dyDescent="0.55000000000000004">
      <c r="W28095"/>
    </row>
    <row r="28096" spans="23:23" x14ac:dyDescent="0.55000000000000004">
      <c r="W28096"/>
    </row>
    <row r="28097" spans="23:23" x14ac:dyDescent="0.55000000000000004">
      <c r="W28097"/>
    </row>
    <row r="28098" spans="23:23" x14ac:dyDescent="0.55000000000000004">
      <c r="W28098"/>
    </row>
    <row r="28099" spans="23:23" x14ac:dyDescent="0.55000000000000004">
      <c r="W28099"/>
    </row>
    <row r="28100" spans="23:23" x14ac:dyDescent="0.55000000000000004">
      <c r="W28100"/>
    </row>
    <row r="28101" spans="23:23" x14ac:dyDescent="0.55000000000000004">
      <c r="W28101"/>
    </row>
    <row r="28102" spans="23:23" x14ac:dyDescent="0.55000000000000004">
      <c r="W28102"/>
    </row>
    <row r="28103" spans="23:23" x14ac:dyDescent="0.55000000000000004">
      <c r="W28103"/>
    </row>
    <row r="28104" spans="23:23" x14ac:dyDescent="0.55000000000000004">
      <c r="W28104"/>
    </row>
    <row r="28105" spans="23:23" x14ac:dyDescent="0.55000000000000004">
      <c r="W28105"/>
    </row>
    <row r="28106" spans="23:23" x14ac:dyDescent="0.55000000000000004">
      <c r="W28106"/>
    </row>
    <row r="28107" spans="23:23" x14ac:dyDescent="0.55000000000000004">
      <c r="W28107"/>
    </row>
    <row r="28108" spans="23:23" x14ac:dyDescent="0.55000000000000004">
      <c r="W28108"/>
    </row>
    <row r="28109" spans="23:23" x14ac:dyDescent="0.55000000000000004">
      <c r="W28109"/>
    </row>
    <row r="28110" spans="23:23" x14ac:dyDescent="0.55000000000000004">
      <c r="W28110"/>
    </row>
    <row r="28111" spans="23:23" x14ac:dyDescent="0.55000000000000004">
      <c r="W28111"/>
    </row>
    <row r="28112" spans="23:23" x14ac:dyDescent="0.55000000000000004">
      <c r="W28112"/>
    </row>
    <row r="28113" spans="23:23" x14ac:dyDescent="0.55000000000000004">
      <c r="W28113"/>
    </row>
    <row r="28114" spans="23:23" x14ac:dyDescent="0.55000000000000004">
      <c r="W28114"/>
    </row>
    <row r="28115" spans="23:23" x14ac:dyDescent="0.55000000000000004">
      <c r="W28115"/>
    </row>
    <row r="28116" spans="23:23" x14ac:dyDescent="0.55000000000000004">
      <c r="W28116"/>
    </row>
    <row r="28117" spans="23:23" x14ac:dyDescent="0.55000000000000004">
      <c r="W28117"/>
    </row>
    <row r="28118" spans="23:23" x14ac:dyDescent="0.55000000000000004">
      <c r="W28118"/>
    </row>
    <row r="28119" spans="23:23" x14ac:dyDescent="0.55000000000000004">
      <c r="W28119"/>
    </row>
    <row r="28120" spans="23:23" x14ac:dyDescent="0.55000000000000004">
      <c r="W28120"/>
    </row>
    <row r="28121" spans="23:23" x14ac:dyDescent="0.55000000000000004">
      <c r="W28121"/>
    </row>
    <row r="28122" spans="23:23" x14ac:dyDescent="0.55000000000000004">
      <c r="W28122"/>
    </row>
    <row r="28123" spans="23:23" x14ac:dyDescent="0.55000000000000004">
      <c r="W28123"/>
    </row>
    <row r="28124" spans="23:23" x14ac:dyDescent="0.55000000000000004">
      <c r="W28124"/>
    </row>
    <row r="28125" spans="23:23" x14ac:dyDescent="0.55000000000000004">
      <c r="W28125"/>
    </row>
    <row r="28126" spans="23:23" x14ac:dyDescent="0.55000000000000004">
      <c r="W28126"/>
    </row>
    <row r="28127" spans="23:23" x14ac:dyDescent="0.55000000000000004">
      <c r="W28127"/>
    </row>
    <row r="28128" spans="23:23" x14ac:dyDescent="0.55000000000000004">
      <c r="W28128"/>
    </row>
    <row r="28129" spans="23:23" x14ac:dyDescent="0.55000000000000004">
      <c r="W28129"/>
    </row>
    <row r="28130" spans="23:23" x14ac:dyDescent="0.55000000000000004">
      <c r="W28130"/>
    </row>
    <row r="28131" spans="23:23" x14ac:dyDescent="0.55000000000000004">
      <c r="W28131"/>
    </row>
    <row r="28132" spans="23:23" x14ac:dyDescent="0.55000000000000004">
      <c r="W28132"/>
    </row>
    <row r="28133" spans="23:23" x14ac:dyDescent="0.55000000000000004">
      <c r="W28133"/>
    </row>
    <row r="28134" spans="23:23" x14ac:dyDescent="0.55000000000000004">
      <c r="W28134"/>
    </row>
    <row r="28135" spans="23:23" x14ac:dyDescent="0.55000000000000004">
      <c r="W28135"/>
    </row>
    <row r="28136" spans="23:23" x14ac:dyDescent="0.55000000000000004">
      <c r="W28136"/>
    </row>
    <row r="28137" spans="23:23" x14ac:dyDescent="0.55000000000000004">
      <c r="W28137"/>
    </row>
    <row r="28138" spans="23:23" x14ac:dyDescent="0.55000000000000004">
      <c r="W28138"/>
    </row>
    <row r="28139" spans="23:23" x14ac:dyDescent="0.55000000000000004">
      <c r="W28139"/>
    </row>
    <row r="28140" spans="23:23" x14ac:dyDescent="0.55000000000000004">
      <c r="W28140"/>
    </row>
    <row r="28141" spans="23:23" x14ac:dyDescent="0.55000000000000004">
      <c r="W28141"/>
    </row>
    <row r="28142" spans="23:23" x14ac:dyDescent="0.55000000000000004">
      <c r="W28142"/>
    </row>
    <row r="28143" spans="23:23" x14ac:dyDescent="0.55000000000000004">
      <c r="W28143"/>
    </row>
    <row r="28144" spans="23:23" x14ac:dyDescent="0.55000000000000004">
      <c r="W28144"/>
    </row>
    <row r="28145" spans="23:23" x14ac:dyDescent="0.55000000000000004">
      <c r="W28145"/>
    </row>
    <row r="28146" spans="23:23" x14ac:dyDescent="0.55000000000000004">
      <c r="W28146"/>
    </row>
    <row r="28147" spans="23:23" x14ac:dyDescent="0.55000000000000004">
      <c r="W28147"/>
    </row>
    <row r="28148" spans="23:23" x14ac:dyDescent="0.55000000000000004">
      <c r="W28148"/>
    </row>
    <row r="28149" spans="23:23" x14ac:dyDescent="0.55000000000000004">
      <c r="W28149"/>
    </row>
    <row r="28150" spans="23:23" x14ac:dyDescent="0.55000000000000004">
      <c r="W28150"/>
    </row>
    <row r="28151" spans="23:23" x14ac:dyDescent="0.55000000000000004">
      <c r="W28151"/>
    </row>
    <row r="28152" spans="23:23" x14ac:dyDescent="0.55000000000000004">
      <c r="W28152"/>
    </row>
    <row r="28153" spans="23:23" x14ac:dyDescent="0.55000000000000004">
      <c r="W28153"/>
    </row>
    <row r="28154" spans="23:23" x14ac:dyDescent="0.55000000000000004">
      <c r="W28154"/>
    </row>
    <row r="28155" spans="23:23" x14ac:dyDescent="0.55000000000000004">
      <c r="W28155"/>
    </row>
    <row r="28156" spans="23:23" x14ac:dyDescent="0.55000000000000004">
      <c r="W28156"/>
    </row>
    <row r="28157" spans="23:23" x14ac:dyDescent="0.55000000000000004">
      <c r="W28157"/>
    </row>
    <row r="28158" spans="23:23" x14ac:dyDescent="0.55000000000000004">
      <c r="W28158"/>
    </row>
    <row r="28159" spans="23:23" x14ac:dyDescent="0.55000000000000004">
      <c r="W28159"/>
    </row>
    <row r="28160" spans="23:23" x14ac:dyDescent="0.55000000000000004">
      <c r="W28160"/>
    </row>
    <row r="28161" spans="23:23" x14ac:dyDescent="0.55000000000000004">
      <c r="W28161"/>
    </row>
    <row r="28162" spans="23:23" x14ac:dyDescent="0.55000000000000004">
      <c r="W28162"/>
    </row>
    <row r="28163" spans="23:23" x14ac:dyDescent="0.55000000000000004">
      <c r="W28163"/>
    </row>
    <row r="28164" spans="23:23" x14ac:dyDescent="0.55000000000000004">
      <c r="W28164"/>
    </row>
    <row r="28165" spans="23:23" x14ac:dyDescent="0.55000000000000004">
      <c r="W28165"/>
    </row>
    <row r="28166" spans="23:23" x14ac:dyDescent="0.55000000000000004">
      <c r="W28166"/>
    </row>
    <row r="28167" spans="23:23" x14ac:dyDescent="0.55000000000000004">
      <c r="W28167"/>
    </row>
    <row r="28168" spans="23:23" x14ac:dyDescent="0.55000000000000004">
      <c r="W28168"/>
    </row>
    <row r="28169" spans="23:23" x14ac:dyDescent="0.55000000000000004">
      <c r="W28169"/>
    </row>
    <row r="28170" spans="23:23" x14ac:dyDescent="0.55000000000000004">
      <c r="W28170"/>
    </row>
    <row r="28171" spans="23:23" x14ac:dyDescent="0.55000000000000004">
      <c r="W28171"/>
    </row>
    <row r="28172" spans="23:23" x14ac:dyDescent="0.55000000000000004">
      <c r="W28172"/>
    </row>
    <row r="28173" spans="23:23" x14ac:dyDescent="0.55000000000000004">
      <c r="W28173"/>
    </row>
    <row r="28174" spans="23:23" x14ac:dyDescent="0.55000000000000004">
      <c r="W28174"/>
    </row>
    <row r="28175" spans="23:23" x14ac:dyDescent="0.55000000000000004">
      <c r="W28175"/>
    </row>
    <row r="28176" spans="23:23" x14ac:dyDescent="0.55000000000000004">
      <c r="W28176"/>
    </row>
    <row r="28177" spans="23:23" x14ac:dyDescent="0.55000000000000004">
      <c r="W28177"/>
    </row>
    <row r="28178" spans="23:23" x14ac:dyDescent="0.55000000000000004">
      <c r="W28178"/>
    </row>
    <row r="28179" spans="23:23" x14ac:dyDescent="0.55000000000000004">
      <c r="W28179"/>
    </row>
    <row r="28180" spans="23:23" x14ac:dyDescent="0.55000000000000004">
      <c r="W28180"/>
    </row>
    <row r="28181" spans="23:23" x14ac:dyDescent="0.55000000000000004">
      <c r="W28181"/>
    </row>
    <row r="28182" spans="23:23" x14ac:dyDescent="0.55000000000000004">
      <c r="W28182"/>
    </row>
    <row r="28183" spans="23:23" x14ac:dyDescent="0.55000000000000004">
      <c r="W28183"/>
    </row>
    <row r="28184" spans="23:23" x14ac:dyDescent="0.55000000000000004">
      <c r="W28184"/>
    </row>
    <row r="28185" spans="23:23" x14ac:dyDescent="0.55000000000000004">
      <c r="W28185"/>
    </row>
    <row r="28186" spans="23:23" x14ac:dyDescent="0.55000000000000004">
      <c r="W28186"/>
    </row>
    <row r="28187" spans="23:23" x14ac:dyDescent="0.55000000000000004">
      <c r="W28187"/>
    </row>
    <row r="28188" spans="23:23" x14ac:dyDescent="0.55000000000000004">
      <c r="W28188"/>
    </row>
    <row r="28189" spans="23:23" x14ac:dyDescent="0.55000000000000004">
      <c r="W28189"/>
    </row>
    <row r="28190" spans="23:23" x14ac:dyDescent="0.55000000000000004">
      <c r="W28190"/>
    </row>
    <row r="28191" spans="23:23" x14ac:dyDescent="0.55000000000000004">
      <c r="W28191"/>
    </row>
    <row r="28192" spans="23:23" x14ac:dyDescent="0.55000000000000004">
      <c r="W28192"/>
    </row>
    <row r="28193" spans="23:23" x14ac:dyDescent="0.55000000000000004">
      <c r="W28193"/>
    </row>
    <row r="28194" spans="23:23" x14ac:dyDescent="0.55000000000000004">
      <c r="W28194"/>
    </row>
    <row r="28195" spans="23:23" x14ac:dyDescent="0.55000000000000004">
      <c r="W28195"/>
    </row>
    <row r="28196" spans="23:23" x14ac:dyDescent="0.55000000000000004">
      <c r="W28196"/>
    </row>
    <row r="28197" spans="23:23" x14ac:dyDescent="0.55000000000000004">
      <c r="W28197"/>
    </row>
    <row r="28198" spans="23:23" x14ac:dyDescent="0.55000000000000004">
      <c r="W28198"/>
    </row>
    <row r="28199" spans="23:23" x14ac:dyDescent="0.55000000000000004">
      <c r="W28199"/>
    </row>
    <row r="28200" spans="23:23" x14ac:dyDescent="0.55000000000000004">
      <c r="W28200"/>
    </row>
    <row r="28201" spans="23:23" x14ac:dyDescent="0.55000000000000004">
      <c r="W28201"/>
    </row>
    <row r="28202" spans="23:23" x14ac:dyDescent="0.55000000000000004">
      <c r="W28202"/>
    </row>
    <row r="28203" spans="23:23" x14ac:dyDescent="0.55000000000000004">
      <c r="W28203"/>
    </row>
    <row r="28204" spans="23:23" x14ac:dyDescent="0.55000000000000004">
      <c r="W28204"/>
    </row>
    <row r="28205" spans="23:23" x14ac:dyDescent="0.55000000000000004">
      <c r="W28205"/>
    </row>
    <row r="28206" spans="23:23" x14ac:dyDescent="0.55000000000000004">
      <c r="W28206"/>
    </row>
    <row r="28207" spans="23:23" x14ac:dyDescent="0.55000000000000004">
      <c r="W28207"/>
    </row>
    <row r="28208" spans="23:23" x14ac:dyDescent="0.55000000000000004">
      <c r="W28208"/>
    </row>
    <row r="28209" spans="23:23" x14ac:dyDescent="0.55000000000000004">
      <c r="W28209"/>
    </row>
    <row r="28210" spans="23:23" x14ac:dyDescent="0.55000000000000004">
      <c r="W28210"/>
    </row>
    <row r="28211" spans="23:23" x14ac:dyDescent="0.55000000000000004">
      <c r="W28211"/>
    </row>
    <row r="28212" spans="23:23" x14ac:dyDescent="0.55000000000000004">
      <c r="W28212"/>
    </row>
    <row r="28213" spans="23:23" x14ac:dyDescent="0.55000000000000004">
      <c r="W28213"/>
    </row>
    <row r="28214" spans="23:23" x14ac:dyDescent="0.55000000000000004">
      <c r="W28214"/>
    </row>
    <row r="28215" spans="23:23" x14ac:dyDescent="0.55000000000000004">
      <c r="W28215"/>
    </row>
    <row r="28216" spans="23:23" x14ac:dyDescent="0.55000000000000004">
      <c r="W28216"/>
    </row>
    <row r="28217" spans="23:23" x14ac:dyDescent="0.55000000000000004">
      <c r="W28217"/>
    </row>
    <row r="28218" spans="23:23" x14ac:dyDescent="0.55000000000000004">
      <c r="W28218"/>
    </row>
    <row r="28219" spans="23:23" x14ac:dyDescent="0.55000000000000004">
      <c r="W28219"/>
    </row>
    <row r="28220" spans="23:23" x14ac:dyDescent="0.55000000000000004">
      <c r="W28220"/>
    </row>
    <row r="28221" spans="23:23" x14ac:dyDescent="0.55000000000000004">
      <c r="W28221"/>
    </row>
    <row r="28222" spans="23:23" x14ac:dyDescent="0.55000000000000004">
      <c r="W28222"/>
    </row>
    <row r="28223" spans="23:23" x14ac:dyDescent="0.55000000000000004">
      <c r="W28223"/>
    </row>
    <row r="28224" spans="23:23" x14ac:dyDescent="0.55000000000000004">
      <c r="W28224"/>
    </row>
    <row r="28225" spans="23:23" x14ac:dyDescent="0.55000000000000004">
      <c r="W28225"/>
    </row>
    <row r="28226" spans="23:23" x14ac:dyDescent="0.55000000000000004">
      <c r="W28226"/>
    </row>
    <row r="28227" spans="23:23" x14ac:dyDescent="0.55000000000000004">
      <c r="W28227"/>
    </row>
    <row r="28228" spans="23:23" x14ac:dyDescent="0.55000000000000004">
      <c r="W28228"/>
    </row>
    <row r="28229" spans="23:23" x14ac:dyDescent="0.55000000000000004">
      <c r="W28229"/>
    </row>
    <row r="28230" spans="23:23" x14ac:dyDescent="0.55000000000000004">
      <c r="W28230"/>
    </row>
    <row r="28231" spans="23:23" x14ac:dyDescent="0.55000000000000004">
      <c r="W28231"/>
    </row>
    <row r="28232" spans="23:23" x14ac:dyDescent="0.55000000000000004">
      <c r="W28232"/>
    </row>
    <row r="28233" spans="23:23" x14ac:dyDescent="0.55000000000000004">
      <c r="W28233"/>
    </row>
    <row r="28234" spans="23:23" x14ac:dyDescent="0.55000000000000004">
      <c r="W28234"/>
    </row>
    <row r="28235" spans="23:23" x14ac:dyDescent="0.55000000000000004">
      <c r="W28235"/>
    </row>
    <row r="28236" spans="23:23" x14ac:dyDescent="0.55000000000000004">
      <c r="W28236"/>
    </row>
    <row r="28237" spans="23:23" x14ac:dyDescent="0.55000000000000004">
      <c r="W28237"/>
    </row>
    <row r="28238" spans="23:23" x14ac:dyDescent="0.55000000000000004">
      <c r="W28238"/>
    </row>
    <row r="28239" spans="23:23" x14ac:dyDescent="0.55000000000000004">
      <c r="W28239"/>
    </row>
    <row r="28240" spans="23:23" x14ac:dyDescent="0.55000000000000004">
      <c r="W28240"/>
    </row>
    <row r="28241" spans="23:23" x14ac:dyDescent="0.55000000000000004">
      <c r="W28241"/>
    </row>
    <row r="28242" spans="23:23" x14ac:dyDescent="0.55000000000000004">
      <c r="W28242"/>
    </row>
    <row r="28243" spans="23:23" x14ac:dyDescent="0.55000000000000004">
      <c r="W28243"/>
    </row>
    <row r="28244" spans="23:23" x14ac:dyDescent="0.55000000000000004">
      <c r="W28244"/>
    </row>
    <row r="28245" spans="23:23" x14ac:dyDescent="0.55000000000000004">
      <c r="W28245"/>
    </row>
    <row r="28246" spans="23:23" x14ac:dyDescent="0.55000000000000004">
      <c r="W28246"/>
    </row>
    <row r="28247" spans="23:23" x14ac:dyDescent="0.55000000000000004">
      <c r="W28247"/>
    </row>
    <row r="28248" spans="23:23" x14ac:dyDescent="0.55000000000000004">
      <c r="W28248"/>
    </row>
    <row r="28249" spans="23:23" x14ac:dyDescent="0.55000000000000004">
      <c r="W28249"/>
    </row>
    <row r="28250" spans="23:23" x14ac:dyDescent="0.55000000000000004">
      <c r="W28250"/>
    </row>
    <row r="28251" spans="23:23" x14ac:dyDescent="0.55000000000000004">
      <c r="W28251"/>
    </row>
    <row r="28252" spans="23:23" x14ac:dyDescent="0.55000000000000004">
      <c r="W28252"/>
    </row>
    <row r="28253" spans="23:23" x14ac:dyDescent="0.55000000000000004">
      <c r="W28253"/>
    </row>
    <row r="28254" spans="23:23" x14ac:dyDescent="0.55000000000000004">
      <c r="W28254"/>
    </row>
    <row r="28255" spans="23:23" x14ac:dyDescent="0.55000000000000004">
      <c r="W28255"/>
    </row>
    <row r="28256" spans="23:23" x14ac:dyDescent="0.55000000000000004">
      <c r="W28256"/>
    </row>
    <row r="28257" spans="23:23" x14ac:dyDescent="0.55000000000000004">
      <c r="W28257"/>
    </row>
    <row r="28258" spans="23:23" x14ac:dyDescent="0.55000000000000004">
      <c r="W28258"/>
    </row>
    <row r="28259" spans="23:23" x14ac:dyDescent="0.55000000000000004">
      <c r="W28259"/>
    </row>
    <row r="28260" spans="23:23" x14ac:dyDescent="0.55000000000000004">
      <c r="W28260"/>
    </row>
    <row r="28261" spans="23:23" x14ac:dyDescent="0.55000000000000004">
      <c r="W28261"/>
    </row>
    <row r="28262" spans="23:23" x14ac:dyDescent="0.55000000000000004">
      <c r="W28262"/>
    </row>
    <row r="28263" spans="23:23" x14ac:dyDescent="0.55000000000000004">
      <c r="W28263"/>
    </row>
    <row r="28264" spans="23:23" x14ac:dyDescent="0.55000000000000004">
      <c r="W28264"/>
    </row>
    <row r="28265" spans="23:23" x14ac:dyDescent="0.55000000000000004">
      <c r="W28265"/>
    </row>
    <row r="28266" spans="23:23" x14ac:dyDescent="0.55000000000000004">
      <c r="W28266"/>
    </row>
    <row r="28267" spans="23:23" x14ac:dyDescent="0.55000000000000004">
      <c r="W28267"/>
    </row>
    <row r="28268" spans="23:23" x14ac:dyDescent="0.55000000000000004">
      <c r="W28268"/>
    </row>
    <row r="28269" spans="23:23" x14ac:dyDescent="0.55000000000000004">
      <c r="W28269"/>
    </row>
    <row r="28270" spans="23:23" x14ac:dyDescent="0.55000000000000004">
      <c r="W28270"/>
    </row>
    <row r="28271" spans="23:23" x14ac:dyDescent="0.55000000000000004">
      <c r="W28271"/>
    </row>
    <row r="28272" spans="23:23" x14ac:dyDescent="0.55000000000000004">
      <c r="W28272"/>
    </row>
    <row r="28273" spans="23:23" x14ac:dyDescent="0.55000000000000004">
      <c r="W28273"/>
    </row>
    <row r="28274" spans="23:23" x14ac:dyDescent="0.55000000000000004">
      <c r="W28274"/>
    </row>
    <row r="28275" spans="23:23" x14ac:dyDescent="0.55000000000000004">
      <c r="W28275"/>
    </row>
    <row r="28276" spans="23:23" x14ac:dyDescent="0.55000000000000004">
      <c r="W28276"/>
    </row>
    <row r="28277" spans="23:23" x14ac:dyDescent="0.55000000000000004">
      <c r="W28277"/>
    </row>
    <row r="28278" spans="23:23" x14ac:dyDescent="0.55000000000000004">
      <c r="W28278"/>
    </row>
    <row r="28279" spans="23:23" x14ac:dyDescent="0.55000000000000004">
      <c r="W28279"/>
    </row>
    <row r="28280" spans="23:23" x14ac:dyDescent="0.55000000000000004">
      <c r="W28280"/>
    </row>
    <row r="28281" spans="23:23" x14ac:dyDescent="0.55000000000000004">
      <c r="W28281"/>
    </row>
    <row r="28282" spans="23:23" x14ac:dyDescent="0.55000000000000004">
      <c r="W28282"/>
    </row>
    <row r="28283" spans="23:23" x14ac:dyDescent="0.55000000000000004">
      <c r="W28283"/>
    </row>
    <row r="28284" spans="23:23" x14ac:dyDescent="0.55000000000000004">
      <c r="W28284"/>
    </row>
    <row r="28285" spans="23:23" x14ac:dyDescent="0.55000000000000004">
      <c r="W28285"/>
    </row>
    <row r="28286" spans="23:23" x14ac:dyDescent="0.55000000000000004">
      <c r="W28286"/>
    </row>
    <row r="28287" spans="23:23" x14ac:dyDescent="0.55000000000000004">
      <c r="W28287"/>
    </row>
    <row r="28288" spans="23:23" x14ac:dyDescent="0.55000000000000004">
      <c r="W28288"/>
    </row>
    <row r="28289" spans="23:23" x14ac:dyDescent="0.55000000000000004">
      <c r="W28289"/>
    </row>
    <row r="28290" spans="23:23" x14ac:dyDescent="0.55000000000000004">
      <c r="W28290"/>
    </row>
    <row r="28291" spans="23:23" x14ac:dyDescent="0.55000000000000004">
      <c r="W28291"/>
    </row>
    <row r="28292" spans="23:23" x14ac:dyDescent="0.55000000000000004">
      <c r="W28292"/>
    </row>
    <row r="28293" spans="23:23" x14ac:dyDescent="0.55000000000000004">
      <c r="W28293"/>
    </row>
    <row r="28294" spans="23:23" x14ac:dyDescent="0.55000000000000004">
      <c r="W28294"/>
    </row>
    <row r="28295" spans="23:23" x14ac:dyDescent="0.55000000000000004">
      <c r="W28295"/>
    </row>
    <row r="28296" spans="23:23" x14ac:dyDescent="0.55000000000000004">
      <c r="W28296"/>
    </row>
    <row r="28297" spans="23:23" x14ac:dyDescent="0.55000000000000004">
      <c r="W28297"/>
    </row>
    <row r="28298" spans="23:23" x14ac:dyDescent="0.55000000000000004">
      <c r="W28298"/>
    </row>
    <row r="28299" spans="23:23" x14ac:dyDescent="0.55000000000000004">
      <c r="W28299"/>
    </row>
    <row r="28300" spans="23:23" x14ac:dyDescent="0.55000000000000004">
      <c r="W28300"/>
    </row>
    <row r="28301" spans="23:23" x14ac:dyDescent="0.55000000000000004">
      <c r="W28301"/>
    </row>
    <row r="28302" spans="23:23" x14ac:dyDescent="0.55000000000000004">
      <c r="W28302"/>
    </row>
    <row r="28303" spans="23:23" x14ac:dyDescent="0.55000000000000004">
      <c r="W28303"/>
    </row>
    <row r="28304" spans="23:23" x14ac:dyDescent="0.55000000000000004">
      <c r="W28304"/>
    </row>
    <row r="28305" spans="23:23" x14ac:dyDescent="0.55000000000000004">
      <c r="W28305"/>
    </row>
    <row r="28306" spans="23:23" x14ac:dyDescent="0.55000000000000004">
      <c r="W28306"/>
    </row>
    <row r="28307" spans="23:23" x14ac:dyDescent="0.55000000000000004">
      <c r="W28307"/>
    </row>
    <row r="28308" spans="23:23" x14ac:dyDescent="0.55000000000000004">
      <c r="W28308"/>
    </row>
    <row r="28309" spans="23:23" x14ac:dyDescent="0.55000000000000004">
      <c r="W28309"/>
    </row>
    <row r="28310" spans="23:23" x14ac:dyDescent="0.55000000000000004">
      <c r="W28310"/>
    </row>
    <row r="28311" spans="23:23" x14ac:dyDescent="0.55000000000000004">
      <c r="W28311"/>
    </row>
    <row r="28312" spans="23:23" x14ac:dyDescent="0.55000000000000004">
      <c r="W28312"/>
    </row>
    <row r="28313" spans="23:23" x14ac:dyDescent="0.55000000000000004">
      <c r="W28313"/>
    </row>
    <row r="28314" spans="23:23" x14ac:dyDescent="0.55000000000000004">
      <c r="W28314"/>
    </row>
    <row r="28315" spans="23:23" x14ac:dyDescent="0.55000000000000004">
      <c r="W28315"/>
    </row>
    <row r="28316" spans="23:23" x14ac:dyDescent="0.55000000000000004">
      <c r="W28316"/>
    </row>
    <row r="28317" spans="23:23" x14ac:dyDescent="0.55000000000000004">
      <c r="W28317"/>
    </row>
    <row r="28318" spans="23:23" x14ac:dyDescent="0.55000000000000004">
      <c r="W28318"/>
    </row>
    <row r="28319" spans="23:23" x14ac:dyDescent="0.55000000000000004">
      <c r="W28319"/>
    </row>
    <row r="28320" spans="23:23" x14ac:dyDescent="0.55000000000000004">
      <c r="W28320"/>
    </row>
    <row r="28321" spans="23:23" x14ac:dyDescent="0.55000000000000004">
      <c r="W28321"/>
    </row>
    <row r="28322" spans="23:23" x14ac:dyDescent="0.55000000000000004">
      <c r="W28322"/>
    </row>
    <row r="28323" spans="23:23" x14ac:dyDescent="0.55000000000000004">
      <c r="W28323"/>
    </row>
    <row r="28324" spans="23:23" x14ac:dyDescent="0.55000000000000004">
      <c r="W28324"/>
    </row>
    <row r="28325" spans="23:23" x14ac:dyDescent="0.55000000000000004">
      <c r="W28325"/>
    </row>
    <row r="28326" spans="23:23" x14ac:dyDescent="0.55000000000000004">
      <c r="W28326"/>
    </row>
    <row r="28327" spans="23:23" x14ac:dyDescent="0.55000000000000004">
      <c r="W28327"/>
    </row>
    <row r="28328" spans="23:23" x14ac:dyDescent="0.55000000000000004">
      <c r="W28328"/>
    </row>
    <row r="28329" spans="23:23" x14ac:dyDescent="0.55000000000000004">
      <c r="W28329"/>
    </row>
    <row r="28330" spans="23:23" x14ac:dyDescent="0.55000000000000004">
      <c r="W28330"/>
    </row>
    <row r="28331" spans="23:23" x14ac:dyDescent="0.55000000000000004">
      <c r="W28331"/>
    </row>
    <row r="28332" spans="23:23" x14ac:dyDescent="0.55000000000000004">
      <c r="W28332"/>
    </row>
    <row r="28333" spans="23:23" x14ac:dyDescent="0.55000000000000004">
      <c r="W28333"/>
    </row>
    <row r="28334" spans="23:23" x14ac:dyDescent="0.55000000000000004">
      <c r="W28334"/>
    </row>
    <row r="28335" spans="23:23" x14ac:dyDescent="0.55000000000000004">
      <c r="W28335"/>
    </row>
    <row r="28336" spans="23:23" x14ac:dyDescent="0.55000000000000004">
      <c r="W28336"/>
    </row>
    <row r="28337" spans="23:23" x14ac:dyDescent="0.55000000000000004">
      <c r="W28337"/>
    </row>
    <row r="28338" spans="23:23" x14ac:dyDescent="0.55000000000000004">
      <c r="W28338"/>
    </row>
    <row r="28339" spans="23:23" x14ac:dyDescent="0.55000000000000004">
      <c r="W28339"/>
    </row>
    <row r="28340" spans="23:23" x14ac:dyDescent="0.55000000000000004">
      <c r="W28340"/>
    </row>
    <row r="28341" spans="23:23" x14ac:dyDescent="0.55000000000000004">
      <c r="W28341"/>
    </row>
    <row r="28342" spans="23:23" x14ac:dyDescent="0.55000000000000004">
      <c r="W28342"/>
    </row>
    <row r="28343" spans="23:23" x14ac:dyDescent="0.55000000000000004">
      <c r="W28343"/>
    </row>
    <row r="28344" spans="23:23" x14ac:dyDescent="0.55000000000000004">
      <c r="W28344"/>
    </row>
    <row r="28345" spans="23:23" x14ac:dyDescent="0.55000000000000004">
      <c r="W28345"/>
    </row>
    <row r="28346" spans="23:23" x14ac:dyDescent="0.55000000000000004">
      <c r="W28346"/>
    </row>
    <row r="28347" spans="23:23" x14ac:dyDescent="0.55000000000000004">
      <c r="W28347"/>
    </row>
    <row r="28348" spans="23:23" x14ac:dyDescent="0.55000000000000004">
      <c r="W28348"/>
    </row>
    <row r="28349" spans="23:23" x14ac:dyDescent="0.55000000000000004">
      <c r="W28349"/>
    </row>
    <row r="28350" spans="23:23" x14ac:dyDescent="0.55000000000000004">
      <c r="W28350"/>
    </row>
    <row r="28351" spans="23:23" x14ac:dyDescent="0.55000000000000004">
      <c r="W28351"/>
    </row>
    <row r="28352" spans="23:23" x14ac:dyDescent="0.55000000000000004">
      <c r="W28352"/>
    </row>
    <row r="28353" spans="23:23" x14ac:dyDescent="0.55000000000000004">
      <c r="W28353"/>
    </row>
    <row r="28354" spans="23:23" x14ac:dyDescent="0.55000000000000004">
      <c r="W28354"/>
    </row>
    <row r="28355" spans="23:23" x14ac:dyDescent="0.55000000000000004">
      <c r="W28355"/>
    </row>
    <row r="28356" spans="23:23" x14ac:dyDescent="0.55000000000000004">
      <c r="W28356"/>
    </row>
    <row r="28357" spans="23:23" x14ac:dyDescent="0.55000000000000004">
      <c r="W28357"/>
    </row>
    <row r="28358" spans="23:23" x14ac:dyDescent="0.55000000000000004">
      <c r="W28358"/>
    </row>
    <row r="28359" spans="23:23" x14ac:dyDescent="0.55000000000000004">
      <c r="W28359"/>
    </row>
    <row r="28360" spans="23:23" x14ac:dyDescent="0.55000000000000004">
      <c r="W28360"/>
    </row>
    <row r="28361" spans="23:23" x14ac:dyDescent="0.55000000000000004">
      <c r="W28361"/>
    </row>
    <row r="28362" spans="23:23" x14ac:dyDescent="0.55000000000000004">
      <c r="W28362"/>
    </row>
    <row r="28363" spans="23:23" x14ac:dyDescent="0.55000000000000004">
      <c r="W28363"/>
    </row>
    <row r="28364" spans="23:23" x14ac:dyDescent="0.55000000000000004">
      <c r="W28364"/>
    </row>
    <row r="28365" spans="23:23" x14ac:dyDescent="0.55000000000000004">
      <c r="W28365"/>
    </row>
    <row r="28366" spans="23:23" x14ac:dyDescent="0.55000000000000004">
      <c r="W28366"/>
    </row>
    <row r="28367" spans="23:23" x14ac:dyDescent="0.55000000000000004">
      <c r="W28367"/>
    </row>
    <row r="28368" spans="23:23" x14ac:dyDescent="0.55000000000000004">
      <c r="W28368"/>
    </row>
    <row r="28369" spans="23:23" x14ac:dyDescent="0.55000000000000004">
      <c r="W28369"/>
    </row>
    <row r="28370" spans="23:23" x14ac:dyDescent="0.55000000000000004">
      <c r="W28370"/>
    </row>
    <row r="28371" spans="23:23" x14ac:dyDescent="0.55000000000000004">
      <c r="W28371"/>
    </row>
    <row r="28372" spans="23:23" x14ac:dyDescent="0.55000000000000004">
      <c r="W28372"/>
    </row>
    <row r="28373" spans="23:23" x14ac:dyDescent="0.55000000000000004">
      <c r="W28373"/>
    </row>
    <row r="28374" spans="23:23" x14ac:dyDescent="0.55000000000000004">
      <c r="W28374"/>
    </row>
    <row r="28375" spans="23:23" x14ac:dyDescent="0.55000000000000004">
      <c r="W28375"/>
    </row>
    <row r="28376" spans="23:23" x14ac:dyDescent="0.55000000000000004">
      <c r="W28376"/>
    </row>
    <row r="28377" spans="23:23" x14ac:dyDescent="0.55000000000000004">
      <c r="W28377"/>
    </row>
    <row r="28378" spans="23:23" x14ac:dyDescent="0.55000000000000004">
      <c r="W28378"/>
    </row>
    <row r="28379" spans="23:23" x14ac:dyDescent="0.55000000000000004">
      <c r="W28379"/>
    </row>
    <row r="28380" spans="23:23" x14ac:dyDescent="0.55000000000000004">
      <c r="W28380"/>
    </row>
    <row r="28381" spans="23:23" x14ac:dyDescent="0.55000000000000004">
      <c r="W28381"/>
    </row>
    <row r="28382" spans="23:23" x14ac:dyDescent="0.55000000000000004">
      <c r="W28382"/>
    </row>
    <row r="28383" spans="23:23" x14ac:dyDescent="0.55000000000000004">
      <c r="W28383"/>
    </row>
    <row r="28384" spans="23:23" x14ac:dyDescent="0.55000000000000004">
      <c r="W28384"/>
    </row>
    <row r="28385" spans="23:23" x14ac:dyDescent="0.55000000000000004">
      <c r="W28385"/>
    </row>
    <row r="28386" spans="23:23" x14ac:dyDescent="0.55000000000000004">
      <c r="W28386"/>
    </row>
    <row r="28387" spans="23:23" x14ac:dyDescent="0.55000000000000004">
      <c r="W28387"/>
    </row>
    <row r="28388" spans="23:23" x14ac:dyDescent="0.55000000000000004">
      <c r="W28388"/>
    </row>
    <row r="28389" spans="23:23" x14ac:dyDescent="0.55000000000000004">
      <c r="W28389"/>
    </row>
    <row r="28390" spans="23:23" x14ac:dyDescent="0.55000000000000004">
      <c r="W28390"/>
    </row>
    <row r="28391" spans="23:23" x14ac:dyDescent="0.55000000000000004">
      <c r="W28391"/>
    </row>
    <row r="28392" spans="23:23" x14ac:dyDescent="0.55000000000000004">
      <c r="W28392"/>
    </row>
    <row r="28393" spans="23:23" x14ac:dyDescent="0.55000000000000004">
      <c r="W28393"/>
    </row>
    <row r="28394" spans="23:23" x14ac:dyDescent="0.55000000000000004">
      <c r="W28394"/>
    </row>
    <row r="28395" spans="23:23" x14ac:dyDescent="0.55000000000000004">
      <c r="W28395"/>
    </row>
    <row r="28396" spans="23:23" x14ac:dyDescent="0.55000000000000004">
      <c r="W28396"/>
    </row>
    <row r="28397" spans="23:23" x14ac:dyDescent="0.55000000000000004">
      <c r="W28397"/>
    </row>
    <row r="28398" spans="23:23" x14ac:dyDescent="0.55000000000000004">
      <c r="W28398"/>
    </row>
    <row r="28399" spans="23:23" x14ac:dyDescent="0.55000000000000004">
      <c r="W28399"/>
    </row>
    <row r="28400" spans="23:23" x14ac:dyDescent="0.55000000000000004">
      <c r="W28400"/>
    </row>
    <row r="28401" spans="23:23" x14ac:dyDescent="0.55000000000000004">
      <c r="W28401"/>
    </row>
    <row r="28402" spans="23:23" x14ac:dyDescent="0.55000000000000004">
      <c r="W28402"/>
    </row>
    <row r="28403" spans="23:23" x14ac:dyDescent="0.55000000000000004">
      <c r="W28403"/>
    </row>
    <row r="28404" spans="23:23" x14ac:dyDescent="0.55000000000000004">
      <c r="W28404"/>
    </row>
    <row r="28405" spans="23:23" x14ac:dyDescent="0.55000000000000004">
      <c r="W28405"/>
    </row>
    <row r="28406" spans="23:23" x14ac:dyDescent="0.55000000000000004">
      <c r="W28406"/>
    </row>
    <row r="28407" spans="23:23" x14ac:dyDescent="0.55000000000000004">
      <c r="W28407"/>
    </row>
    <row r="28408" spans="23:23" x14ac:dyDescent="0.55000000000000004">
      <c r="W28408"/>
    </row>
    <row r="28409" spans="23:23" x14ac:dyDescent="0.55000000000000004">
      <c r="W28409"/>
    </row>
    <row r="28410" spans="23:23" x14ac:dyDescent="0.55000000000000004">
      <c r="W28410"/>
    </row>
    <row r="28411" spans="23:23" x14ac:dyDescent="0.55000000000000004">
      <c r="W28411"/>
    </row>
    <row r="28412" spans="23:23" x14ac:dyDescent="0.55000000000000004">
      <c r="W28412"/>
    </row>
    <row r="28413" spans="23:23" x14ac:dyDescent="0.55000000000000004">
      <c r="W28413"/>
    </row>
    <row r="28414" spans="23:23" x14ac:dyDescent="0.55000000000000004">
      <c r="W28414"/>
    </row>
    <row r="28415" spans="23:23" x14ac:dyDescent="0.55000000000000004">
      <c r="W28415"/>
    </row>
    <row r="28416" spans="23:23" x14ac:dyDescent="0.55000000000000004">
      <c r="W28416"/>
    </row>
    <row r="28417" spans="23:23" x14ac:dyDescent="0.55000000000000004">
      <c r="W28417"/>
    </row>
    <row r="28418" spans="23:23" x14ac:dyDescent="0.55000000000000004">
      <c r="W28418"/>
    </row>
    <row r="28419" spans="23:23" x14ac:dyDescent="0.55000000000000004">
      <c r="W28419"/>
    </row>
    <row r="28420" spans="23:23" x14ac:dyDescent="0.55000000000000004">
      <c r="W28420"/>
    </row>
    <row r="28421" spans="23:23" x14ac:dyDescent="0.55000000000000004">
      <c r="W28421"/>
    </row>
    <row r="28422" spans="23:23" x14ac:dyDescent="0.55000000000000004">
      <c r="W28422"/>
    </row>
    <row r="28423" spans="23:23" x14ac:dyDescent="0.55000000000000004">
      <c r="W28423"/>
    </row>
    <row r="28424" spans="23:23" x14ac:dyDescent="0.55000000000000004">
      <c r="W28424"/>
    </row>
    <row r="28425" spans="23:23" x14ac:dyDescent="0.55000000000000004">
      <c r="W28425"/>
    </row>
    <row r="28426" spans="23:23" x14ac:dyDescent="0.55000000000000004">
      <c r="W28426"/>
    </row>
    <row r="28427" spans="23:23" x14ac:dyDescent="0.55000000000000004">
      <c r="W28427"/>
    </row>
    <row r="28428" spans="23:23" x14ac:dyDescent="0.55000000000000004">
      <c r="W28428"/>
    </row>
    <row r="28429" spans="23:23" x14ac:dyDescent="0.55000000000000004">
      <c r="W28429"/>
    </row>
    <row r="28430" spans="23:23" x14ac:dyDescent="0.55000000000000004">
      <c r="W28430"/>
    </row>
    <row r="28431" spans="23:23" x14ac:dyDescent="0.55000000000000004">
      <c r="W28431"/>
    </row>
    <row r="28432" spans="23:23" x14ac:dyDescent="0.55000000000000004">
      <c r="W28432"/>
    </row>
    <row r="28433" spans="23:23" x14ac:dyDescent="0.55000000000000004">
      <c r="W28433"/>
    </row>
    <row r="28434" spans="23:23" x14ac:dyDescent="0.55000000000000004">
      <c r="W28434"/>
    </row>
    <row r="28435" spans="23:23" x14ac:dyDescent="0.55000000000000004">
      <c r="W28435"/>
    </row>
    <row r="28436" spans="23:23" x14ac:dyDescent="0.55000000000000004">
      <c r="W28436"/>
    </row>
    <row r="28437" spans="23:23" x14ac:dyDescent="0.55000000000000004">
      <c r="W28437"/>
    </row>
    <row r="28438" spans="23:23" x14ac:dyDescent="0.55000000000000004">
      <c r="W28438"/>
    </row>
    <row r="28439" spans="23:23" x14ac:dyDescent="0.55000000000000004">
      <c r="W28439"/>
    </row>
    <row r="28440" spans="23:23" x14ac:dyDescent="0.55000000000000004">
      <c r="W28440"/>
    </row>
    <row r="28441" spans="23:23" x14ac:dyDescent="0.55000000000000004">
      <c r="W28441"/>
    </row>
    <row r="28442" spans="23:23" x14ac:dyDescent="0.55000000000000004">
      <c r="W28442"/>
    </row>
    <row r="28443" spans="23:23" x14ac:dyDescent="0.55000000000000004">
      <c r="W28443"/>
    </row>
    <row r="28444" spans="23:23" x14ac:dyDescent="0.55000000000000004">
      <c r="W28444"/>
    </row>
    <row r="28445" spans="23:23" x14ac:dyDescent="0.55000000000000004">
      <c r="W28445"/>
    </row>
    <row r="28446" spans="23:23" x14ac:dyDescent="0.55000000000000004">
      <c r="W28446"/>
    </row>
    <row r="28447" spans="23:23" x14ac:dyDescent="0.55000000000000004">
      <c r="W28447"/>
    </row>
    <row r="28448" spans="23:23" x14ac:dyDescent="0.55000000000000004">
      <c r="W28448"/>
    </row>
    <row r="28449" spans="23:23" x14ac:dyDescent="0.55000000000000004">
      <c r="W28449"/>
    </row>
    <row r="28450" spans="23:23" x14ac:dyDescent="0.55000000000000004">
      <c r="W28450"/>
    </row>
    <row r="28451" spans="23:23" x14ac:dyDescent="0.55000000000000004">
      <c r="W28451"/>
    </row>
    <row r="28452" spans="23:23" x14ac:dyDescent="0.55000000000000004">
      <c r="W28452"/>
    </row>
    <row r="28453" spans="23:23" x14ac:dyDescent="0.55000000000000004">
      <c r="W28453"/>
    </row>
    <row r="28454" spans="23:23" x14ac:dyDescent="0.55000000000000004">
      <c r="W28454"/>
    </row>
    <row r="28455" spans="23:23" x14ac:dyDescent="0.55000000000000004">
      <c r="W28455"/>
    </row>
    <row r="28456" spans="23:23" x14ac:dyDescent="0.55000000000000004">
      <c r="W28456"/>
    </row>
    <row r="28457" spans="23:23" x14ac:dyDescent="0.55000000000000004">
      <c r="W28457"/>
    </row>
    <row r="28458" spans="23:23" x14ac:dyDescent="0.55000000000000004">
      <c r="W28458"/>
    </row>
    <row r="28459" spans="23:23" x14ac:dyDescent="0.55000000000000004">
      <c r="W28459"/>
    </row>
    <row r="28460" spans="23:23" x14ac:dyDescent="0.55000000000000004">
      <c r="W28460"/>
    </row>
    <row r="28461" spans="23:23" x14ac:dyDescent="0.55000000000000004">
      <c r="W28461"/>
    </row>
    <row r="28462" spans="23:23" x14ac:dyDescent="0.55000000000000004">
      <c r="W28462"/>
    </row>
    <row r="28463" spans="23:23" x14ac:dyDescent="0.55000000000000004">
      <c r="W28463"/>
    </row>
    <row r="28464" spans="23:23" x14ac:dyDescent="0.55000000000000004">
      <c r="W28464"/>
    </row>
    <row r="28465" spans="23:23" x14ac:dyDescent="0.55000000000000004">
      <c r="W28465"/>
    </row>
    <row r="28466" spans="23:23" x14ac:dyDescent="0.55000000000000004">
      <c r="W28466"/>
    </row>
    <row r="28467" spans="23:23" x14ac:dyDescent="0.55000000000000004">
      <c r="W28467"/>
    </row>
    <row r="28468" spans="23:23" x14ac:dyDescent="0.55000000000000004">
      <c r="W28468"/>
    </row>
    <row r="28469" spans="23:23" x14ac:dyDescent="0.55000000000000004">
      <c r="W28469"/>
    </row>
    <row r="28470" spans="23:23" x14ac:dyDescent="0.55000000000000004">
      <c r="W28470"/>
    </row>
    <row r="28471" spans="23:23" x14ac:dyDescent="0.55000000000000004">
      <c r="W28471"/>
    </row>
    <row r="28472" spans="23:23" x14ac:dyDescent="0.55000000000000004">
      <c r="W28472"/>
    </row>
    <row r="28473" spans="23:23" x14ac:dyDescent="0.55000000000000004">
      <c r="W28473"/>
    </row>
    <row r="28474" spans="23:23" x14ac:dyDescent="0.55000000000000004">
      <c r="W28474"/>
    </row>
    <row r="28475" spans="23:23" x14ac:dyDescent="0.55000000000000004">
      <c r="W28475"/>
    </row>
    <row r="28476" spans="23:23" x14ac:dyDescent="0.55000000000000004">
      <c r="W28476"/>
    </row>
    <row r="28477" spans="23:23" x14ac:dyDescent="0.55000000000000004">
      <c r="W28477"/>
    </row>
    <row r="28478" spans="23:23" x14ac:dyDescent="0.55000000000000004">
      <c r="W28478"/>
    </row>
    <row r="28479" spans="23:23" x14ac:dyDescent="0.55000000000000004">
      <c r="W28479"/>
    </row>
    <row r="28480" spans="23:23" x14ac:dyDescent="0.55000000000000004">
      <c r="W28480"/>
    </row>
    <row r="28481" spans="23:23" x14ac:dyDescent="0.55000000000000004">
      <c r="W28481"/>
    </row>
    <row r="28482" spans="23:23" x14ac:dyDescent="0.55000000000000004">
      <c r="W28482"/>
    </row>
    <row r="28483" spans="23:23" x14ac:dyDescent="0.55000000000000004">
      <c r="W28483"/>
    </row>
    <row r="28484" spans="23:23" x14ac:dyDescent="0.55000000000000004">
      <c r="W28484"/>
    </row>
    <row r="28485" spans="23:23" x14ac:dyDescent="0.55000000000000004">
      <c r="W28485"/>
    </row>
    <row r="28486" spans="23:23" x14ac:dyDescent="0.55000000000000004">
      <c r="W28486"/>
    </row>
    <row r="28487" spans="23:23" x14ac:dyDescent="0.55000000000000004">
      <c r="W28487"/>
    </row>
    <row r="28488" spans="23:23" x14ac:dyDescent="0.55000000000000004">
      <c r="W28488"/>
    </row>
    <row r="28489" spans="23:23" x14ac:dyDescent="0.55000000000000004">
      <c r="W28489"/>
    </row>
    <row r="28490" spans="23:23" x14ac:dyDescent="0.55000000000000004">
      <c r="W28490"/>
    </row>
    <row r="28491" spans="23:23" x14ac:dyDescent="0.55000000000000004">
      <c r="W28491"/>
    </row>
    <row r="28492" spans="23:23" x14ac:dyDescent="0.55000000000000004">
      <c r="W28492"/>
    </row>
    <row r="28493" spans="23:23" x14ac:dyDescent="0.55000000000000004">
      <c r="W28493"/>
    </row>
    <row r="28494" spans="23:23" x14ac:dyDescent="0.55000000000000004">
      <c r="W28494"/>
    </row>
    <row r="28495" spans="23:23" x14ac:dyDescent="0.55000000000000004">
      <c r="W28495"/>
    </row>
    <row r="28496" spans="23:23" x14ac:dyDescent="0.55000000000000004">
      <c r="W28496"/>
    </row>
    <row r="28497" spans="23:23" x14ac:dyDescent="0.55000000000000004">
      <c r="W28497"/>
    </row>
    <row r="28498" spans="23:23" x14ac:dyDescent="0.55000000000000004">
      <c r="W28498"/>
    </row>
    <row r="28499" spans="23:23" x14ac:dyDescent="0.55000000000000004">
      <c r="W28499"/>
    </row>
    <row r="28500" spans="23:23" x14ac:dyDescent="0.55000000000000004">
      <c r="W28500"/>
    </row>
    <row r="28501" spans="23:23" x14ac:dyDescent="0.55000000000000004">
      <c r="W28501"/>
    </row>
    <row r="28502" spans="23:23" x14ac:dyDescent="0.55000000000000004">
      <c r="W28502"/>
    </row>
    <row r="28503" spans="23:23" x14ac:dyDescent="0.55000000000000004">
      <c r="W28503"/>
    </row>
    <row r="28504" spans="23:23" x14ac:dyDescent="0.55000000000000004">
      <c r="W28504"/>
    </row>
    <row r="28505" spans="23:23" x14ac:dyDescent="0.55000000000000004">
      <c r="W28505"/>
    </row>
    <row r="28506" spans="23:23" x14ac:dyDescent="0.55000000000000004">
      <c r="W28506"/>
    </row>
    <row r="28507" spans="23:23" x14ac:dyDescent="0.55000000000000004">
      <c r="W28507"/>
    </row>
    <row r="28508" spans="23:23" x14ac:dyDescent="0.55000000000000004">
      <c r="W28508"/>
    </row>
    <row r="28509" spans="23:23" x14ac:dyDescent="0.55000000000000004">
      <c r="W28509"/>
    </row>
    <row r="28510" spans="23:23" x14ac:dyDescent="0.55000000000000004">
      <c r="W28510"/>
    </row>
    <row r="28511" spans="23:23" x14ac:dyDescent="0.55000000000000004">
      <c r="W28511"/>
    </row>
    <row r="28512" spans="23:23" x14ac:dyDescent="0.55000000000000004">
      <c r="W28512"/>
    </row>
    <row r="28513" spans="23:23" x14ac:dyDescent="0.55000000000000004">
      <c r="W28513"/>
    </row>
    <row r="28514" spans="23:23" x14ac:dyDescent="0.55000000000000004">
      <c r="W28514"/>
    </row>
    <row r="28515" spans="23:23" x14ac:dyDescent="0.55000000000000004">
      <c r="W28515"/>
    </row>
    <row r="28516" spans="23:23" x14ac:dyDescent="0.55000000000000004">
      <c r="W28516"/>
    </row>
    <row r="28517" spans="23:23" x14ac:dyDescent="0.55000000000000004">
      <c r="W28517"/>
    </row>
    <row r="28518" spans="23:23" x14ac:dyDescent="0.55000000000000004">
      <c r="W28518"/>
    </row>
    <row r="28519" spans="23:23" x14ac:dyDescent="0.55000000000000004">
      <c r="W28519"/>
    </row>
    <row r="28520" spans="23:23" x14ac:dyDescent="0.55000000000000004">
      <c r="W28520"/>
    </row>
    <row r="28521" spans="23:23" x14ac:dyDescent="0.55000000000000004">
      <c r="W28521"/>
    </row>
    <row r="28522" spans="23:23" x14ac:dyDescent="0.55000000000000004">
      <c r="W28522"/>
    </row>
    <row r="28523" spans="23:23" x14ac:dyDescent="0.55000000000000004">
      <c r="W28523"/>
    </row>
    <row r="28524" spans="23:23" x14ac:dyDescent="0.55000000000000004">
      <c r="W28524"/>
    </row>
    <row r="28525" spans="23:23" x14ac:dyDescent="0.55000000000000004">
      <c r="W28525"/>
    </row>
    <row r="28526" spans="23:23" x14ac:dyDescent="0.55000000000000004">
      <c r="W28526"/>
    </row>
    <row r="28527" spans="23:23" x14ac:dyDescent="0.55000000000000004">
      <c r="W28527"/>
    </row>
    <row r="28528" spans="23:23" x14ac:dyDescent="0.55000000000000004">
      <c r="W28528"/>
    </row>
    <row r="28529" spans="23:23" x14ac:dyDescent="0.55000000000000004">
      <c r="W28529"/>
    </row>
    <row r="28530" spans="23:23" x14ac:dyDescent="0.55000000000000004">
      <c r="W28530"/>
    </row>
    <row r="28531" spans="23:23" x14ac:dyDescent="0.55000000000000004">
      <c r="W28531"/>
    </row>
    <row r="28532" spans="23:23" x14ac:dyDescent="0.55000000000000004">
      <c r="W28532"/>
    </row>
    <row r="28533" spans="23:23" x14ac:dyDescent="0.55000000000000004">
      <c r="W28533"/>
    </row>
    <row r="28534" spans="23:23" x14ac:dyDescent="0.55000000000000004">
      <c r="W28534"/>
    </row>
    <row r="28535" spans="23:23" x14ac:dyDescent="0.55000000000000004">
      <c r="W28535"/>
    </row>
    <row r="28536" spans="23:23" x14ac:dyDescent="0.55000000000000004">
      <c r="W28536"/>
    </row>
    <row r="28537" spans="23:23" x14ac:dyDescent="0.55000000000000004">
      <c r="W28537"/>
    </row>
    <row r="28538" spans="23:23" x14ac:dyDescent="0.55000000000000004">
      <c r="W28538"/>
    </row>
    <row r="28539" spans="23:23" x14ac:dyDescent="0.55000000000000004">
      <c r="W28539"/>
    </row>
    <row r="28540" spans="23:23" x14ac:dyDescent="0.55000000000000004">
      <c r="W28540"/>
    </row>
    <row r="28541" spans="23:23" x14ac:dyDescent="0.55000000000000004">
      <c r="W28541"/>
    </row>
    <row r="28542" spans="23:23" x14ac:dyDescent="0.55000000000000004">
      <c r="W28542"/>
    </row>
    <row r="28543" spans="23:23" x14ac:dyDescent="0.55000000000000004">
      <c r="W28543"/>
    </row>
    <row r="28544" spans="23:23" x14ac:dyDescent="0.55000000000000004">
      <c r="W28544"/>
    </row>
    <row r="28545" spans="23:23" x14ac:dyDescent="0.55000000000000004">
      <c r="W28545"/>
    </row>
    <row r="28546" spans="23:23" x14ac:dyDescent="0.55000000000000004">
      <c r="W28546"/>
    </row>
    <row r="28547" spans="23:23" x14ac:dyDescent="0.55000000000000004">
      <c r="W28547"/>
    </row>
    <row r="28548" spans="23:23" x14ac:dyDescent="0.55000000000000004">
      <c r="W28548"/>
    </row>
    <row r="28549" spans="23:23" x14ac:dyDescent="0.55000000000000004">
      <c r="W28549"/>
    </row>
    <row r="28550" spans="23:23" x14ac:dyDescent="0.55000000000000004">
      <c r="W28550"/>
    </row>
    <row r="28551" spans="23:23" x14ac:dyDescent="0.55000000000000004">
      <c r="W28551"/>
    </row>
    <row r="28552" spans="23:23" x14ac:dyDescent="0.55000000000000004">
      <c r="W28552"/>
    </row>
    <row r="28553" spans="23:23" x14ac:dyDescent="0.55000000000000004">
      <c r="W28553"/>
    </row>
    <row r="28554" spans="23:23" x14ac:dyDescent="0.55000000000000004">
      <c r="W28554"/>
    </row>
    <row r="28555" spans="23:23" x14ac:dyDescent="0.55000000000000004">
      <c r="W28555"/>
    </row>
    <row r="28556" spans="23:23" x14ac:dyDescent="0.55000000000000004">
      <c r="W28556"/>
    </row>
    <row r="28557" spans="23:23" x14ac:dyDescent="0.55000000000000004">
      <c r="W28557"/>
    </row>
    <row r="28558" spans="23:23" x14ac:dyDescent="0.55000000000000004">
      <c r="W28558"/>
    </row>
    <row r="28559" spans="23:23" x14ac:dyDescent="0.55000000000000004">
      <c r="W28559"/>
    </row>
    <row r="28560" spans="23:23" x14ac:dyDescent="0.55000000000000004">
      <c r="W28560"/>
    </row>
    <row r="28561" spans="23:23" x14ac:dyDescent="0.55000000000000004">
      <c r="W28561"/>
    </row>
    <row r="28562" spans="23:23" x14ac:dyDescent="0.55000000000000004">
      <c r="W28562"/>
    </row>
    <row r="28563" spans="23:23" x14ac:dyDescent="0.55000000000000004">
      <c r="W28563"/>
    </row>
    <row r="28564" spans="23:23" x14ac:dyDescent="0.55000000000000004">
      <c r="W28564"/>
    </row>
    <row r="28565" spans="23:23" x14ac:dyDescent="0.55000000000000004">
      <c r="W28565"/>
    </row>
    <row r="28566" spans="23:23" x14ac:dyDescent="0.55000000000000004">
      <c r="W28566"/>
    </row>
    <row r="28567" spans="23:23" x14ac:dyDescent="0.55000000000000004">
      <c r="W28567"/>
    </row>
    <row r="28568" spans="23:23" x14ac:dyDescent="0.55000000000000004">
      <c r="W28568"/>
    </row>
    <row r="28569" spans="23:23" x14ac:dyDescent="0.55000000000000004">
      <c r="W28569"/>
    </row>
    <row r="28570" spans="23:23" x14ac:dyDescent="0.55000000000000004">
      <c r="W28570"/>
    </row>
    <row r="28571" spans="23:23" x14ac:dyDescent="0.55000000000000004">
      <c r="W28571"/>
    </row>
    <row r="28572" spans="23:23" x14ac:dyDescent="0.55000000000000004">
      <c r="W28572"/>
    </row>
    <row r="28573" spans="23:23" x14ac:dyDescent="0.55000000000000004">
      <c r="W28573"/>
    </row>
    <row r="28574" spans="23:23" x14ac:dyDescent="0.55000000000000004">
      <c r="W28574"/>
    </row>
    <row r="28575" spans="23:23" x14ac:dyDescent="0.55000000000000004">
      <c r="W28575"/>
    </row>
    <row r="28576" spans="23:23" x14ac:dyDescent="0.55000000000000004">
      <c r="W28576"/>
    </row>
    <row r="28577" spans="23:23" x14ac:dyDescent="0.55000000000000004">
      <c r="W28577"/>
    </row>
    <row r="28578" spans="23:23" x14ac:dyDescent="0.55000000000000004">
      <c r="W28578"/>
    </row>
    <row r="28579" spans="23:23" x14ac:dyDescent="0.55000000000000004">
      <c r="W28579"/>
    </row>
    <row r="28580" spans="23:23" x14ac:dyDescent="0.55000000000000004">
      <c r="W28580"/>
    </row>
    <row r="28581" spans="23:23" x14ac:dyDescent="0.55000000000000004">
      <c r="W28581"/>
    </row>
    <row r="28582" spans="23:23" x14ac:dyDescent="0.55000000000000004">
      <c r="W28582"/>
    </row>
    <row r="28583" spans="23:23" x14ac:dyDescent="0.55000000000000004">
      <c r="W28583"/>
    </row>
    <row r="28584" spans="23:23" x14ac:dyDescent="0.55000000000000004">
      <c r="W28584"/>
    </row>
    <row r="28585" spans="23:23" x14ac:dyDescent="0.55000000000000004">
      <c r="W28585"/>
    </row>
    <row r="28586" spans="23:23" x14ac:dyDescent="0.55000000000000004">
      <c r="W28586"/>
    </row>
    <row r="28587" spans="23:23" x14ac:dyDescent="0.55000000000000004">
      <c r="W28587"/>
    </row>
    <row r="28588" spans="23:23" x14ac:dyDescent="0.55000000000000004">
      <c r="W28588"/>
    </row>
    <row r="28589" spans="23:23" x14ac:dyDescent="0.55000000000000004">
      <c r="W28589"/>
    </row>
    <row r="28590" spans="23:23" x14ac:dyDescent="0.55000000000000004">
      <c r="W28590"/>
    </row>
    <row r="28591" spans="23:23" x14ac:dyDescent="0.55000000000000004">
      <c r="W28591"/>
    </row>
    <row r="28592" spans="23:23" x14ac:dyDescent="0.55000000000000004">
      <c r="W28592"/>
    </row>
    <row r="28593" spans="23:23" x14ac:dyDescent="0.55000000000000004">
      <c r="W28593"/>
    </row>
    <row r="28594" spans="23:23" x14ac:dyDescent="0.55000000000000004">
      <c r="W28594"/>
    </row>
    <row r="28595" spans="23:23" x14ac:dyDescent="0.55000000000000004">
      <c r="W28595"/>
    </row>
    <row r="28596" spans="23:23" x14ac:dyDescent="0.55000000000000004">
      <c r="W28596"/>
    </row>
    <row r="28597" spans="23:23" x14ac:dyDescent="0.55000000000000004">
      <c r="W28597"/>
    </row>
    <row r="28598" spans="23:23" x14ac:dyDescent="0.55000000000000004">
      <c r="W28598"/>
    </row>
    <row r="28599" spans="23:23" x14ac:dyDescent="0.55000000000000004">
      <c r="W28599"/>
    </row>
    <row r="28600" spans="23:23" x14ac:dyDescent="0.55000000000000004">
      <c r="W28600"/>
    </row>
    <row r="28601" spans="23:23" x14ac:dyDescent="0.55000000000000004">
      <c r="W28601"/>
    </row>
    <row r="28602" spans="23:23" x14ac:dyDescent="0.55000000000000004">
      <c r="W28602"/>
    </row>
    <row r="28603" spans="23:23" x14ac:dyDescent="0.55000000000000004">
      <c r="W28603"/>
    </row>
    <row r="28604" spans="23:23" x14ac:dyDescent="0.55000000000000004">
      <c r="W28604"/>
    </row>
    <row r="28605" spans="23:23" x14ac:dyDescent="0.55000000000000004">
      <c r="W28605"/>
    </row>
    <row r="28606" spans="23:23" x14ac:dyDescent="0.55000000000000004">
      <c r="W28606"/>
    </row>
    <row r="28607" spans="23:23" x14ac:dyDescent="0.55000000000000004">
      <c r="W28607"/>
    </row>
    <row r="28608" spans="23:23" x14ac:dyDescent="0.55000000000000004">
      <c r="W28608"/>
    </row>
    <row r="28609" spans="23:23" x14ac:dyDescent="0.55000000000000004">
      <c r="W28609"/>
    </row>
    <row r="28610" spans="23:23" x14ac:dyDescent="0.55000000000000004">
      <c r="W28610"/>
    </row>
    <row r="28611" spans="23:23" x14ac:dyDescent="0.55000000000000004">
      <c r="W28611"/>
    </row>
    <row r="28612" spans="23:23" x14ac:dyDescent="0.55000000000000004">
      <c r="W28612"/>
    </row>
    <row r="28613" spans="23:23" x14ac:dyDescent="0.55000000000000004">
      <c r="W28613"/>
    </row>
    <row r="28614" spans="23:23" x14ac:dyDescent="0.55000000000000004">
      <c r="W28614"/>
    </row>
    <row r="28615" spans="23:23" x14ac:dyDescent="0.55000000000000004">
      <c r="W28615"/>
    </row>
    <row r="28616" spans="23:23" x14ac:dyDescent="0.55000000000000004">
      <c r="W28616"/>
    </row>
    <row r="28617" spans="23:23" x14ac:dyDescent="0.55000000000000004">
      <c r="W28617"/>
    </row>
    <row r="28618" spans="23:23" x14ac:dyDescent="0.55000000000000004">
      <c r="W28618"/>
    </row>
    <row r="28619" spans="23:23" x14ac:dyDescent="0.55000000000000004">
      <c r="W28619"/>
    </row>
    <row r="28620" spans="23:23" x14ac:dyDescent="0.55000000000000004">
      <c r="W28620"/>
    </row>
    <row r="28621" spans="23:23" x14ac:dyDescent="0.55000000000000004">
      <c r="W28621"/>
    </row>
    <row r="28622" spans="23:23" x14ac:dyDescent="0.55000000000000004">
      <c r="W28622"/>
    </row>
    <row r="28623" spans="23:23" x14ac:dyDescent="0.55000000000000004">
      <c r="W28623"/>
    </row>
    <row r="28624" spans="23:23" x14ac:dyDescent="0.55000000000000004">
      <c r="W28624"/>
    </row>
    <row r="28625" spans="23:23" x14ac:dyDescent="0.55000000000000004">
      <c r="W28625"/>
    </row>
    <row r="28626" spans="23:23" x14ac:dyDescent="0.55000000000000004">
      <c r="W28626"/>
    </row>
    <row r="28627" spans="23:23" x14ac:dyDescent="0.55000000000000004">
      <c r="W28627"/>
    </row>
    <row r="28628" spans="23:23" x14ac:dyDescent="0.55000000000000004">
      <c r="W28628"/>
    </row>
    <row r="28629" spans="23:23" x14ac:dyDescent="0.55000000000000004">
      <c r="W28629"/>
    </row>
    <row r="28630" spans="23:23" x14ac:dyDescent="0.55000000000000004">
      <c r="W28630"/>
    </row>
    <row r="28631" spans="23:23" x14ac:dyDescent="0.55000000000000004">
      <c r="W28631"/>
    </row>
    <row r="28632" spans="23:23" x14ac:dyDescent="0.55000000000000004">
      <c r="W28632"/>
    </row>
    <row r="28633" spans="23:23" x14ac:dyDescent="0.55000000000000004">
      <c r="W28633"/>
    </row>
    <row r="28634" spans="23:23" x14ac:dyDescent="0.55000000000000004">
      <c r="W28634"/>
    </row>
    <row r="28635" spans="23:23" x14ac:dyDescent="0.55000000000000004">
      <c r="W28635"/>
    </row>
    <row r="28636" spans="23:23" x14ac:dyDescent="0.55000000000000004">
      <c r="W28636"/>
    </row>
    <row r="28637" spans="23:23" x14ac:dyDescent="0.55000000000000004">
      <c r="W28637"/>
    </row>
    <row r="28638" spans="23:23" x14ac:dyDescent="0.55000000000000004">
      <c r="W28638"/>
    </row>
    <row r="28639" spans="23:23" x14ac:dyDescent="0.55000000000000004">
      <c r="W28639"/>
    </row>
    <row r="28640" spans="23:23" x14ac:dyDescent="0.55000000000000004">
      <c r="W28640"/>
    </row>
    <row r="28641" spans="23:23" x14ac:dyDescent="0.55000000000000004">
      <c r="W28641"/>
    </row>
    <row r="28642" spans="23:23" x14ac:dyDescent="0.55000000000000004">
      <c r="W28642"/>
    </row>
    <row r="28643" spans="23:23" x14ac:dyDescent="0.55000000000000004">
      <c r="W28643"/>
    </row>
    <row r="28644" spans="23:23" x14ac:dyDescent="0.55000000000000004">
      <c r="W28644"/>
    </row>
    <row r="28645" spans="23:23" x14ac:dyDescent="0.55000000000000004">
      <c r="W28645"/>
    </row>
    <row r="28646" spans="23:23" x14ac:dyDescent="0.55000000000000004">
      <c r="W28646"/>
    </row>
    <row r="28647" spans="23:23" x14ac:dyDescent="0.55000000000000004">
      <c r="W28647"/>
    </row>
    <row r="28648" spans="23:23" x14ac:dyDescent="0.55000000000000004">
      <c r="W28648"/>
    </row>
    <row r="28649" spans="23:23" x14ac:dyDescent="0.55000000000000004">
      <c r="W28649"/>
    </row>
    <row r="28650" spans="23:23" x14ac:dyDescent="0.55000000000000004">
      <c r="W28650"/>
    </row>
    <row r="28651" spans="23:23" x14ac:dyDescent="0.55000000000000004">
      <c r="W28651"/>
    </row>
    <row r="28652" spans="23:23" x14ac:dyDescent="0.55000000000000004">
      <c r="W28652"/>
    </row>
    <row r="28653" spans="23:23" x14ac:dyDescent="0.55000000000000004">
      <c r="W28653"/>
    </row>
    <row r="28654" spans="23:23" x14ac:dyDescent="0.55000000000000004">
      <c r="W28654"/>
    </row>
    <row r="28655" spans="23:23" x14ac:dyDescent="0.55000000000000004">
      <c r="W28655"/>
    </row>
    <row r="28656" spans="23:23" x14ac:dyDescent="0.55000000000000004">
      <c r="W28656"/>
    </row>
    <row r="28657" spans="23:23" x14ac:dyDescent="0.55000000000000004">
      <c r="W28657"/>
    </row>
    <row r="28658" spans="23:23" x14ac:dyDescent="0.55000000000000004">
      <c r="W28658"/>
    </row>
    <row r="28659" spans="23:23" x14ac:dyDescent="0.55000000000000004">
      <c r="W28659"/>
    </row>
    <row r="28660" spans="23:23" x14ac:dyDescent="0.55000000000000004">
      <c r="W28660"/>
    </row>
    <row r="28661" spans="23:23" x14ac:dyDescent="0.55000000000000004">
      <c r="W28661"/>
    </row>
    <row r="28662" spans="23:23" x14ac:dyDescent="0.55000000000000004">
      <c r="W28662"/>
    </row>
    <row r="28663" spans="23:23" x14ac:dyDescent="0.55000000000000004">
      <c r="W28663"/>
    </row>
    <row r="28664" spans="23:23" x14ac:dyDescent="0.55000000000000004">
      <c r="W28664"/>
    </row>
    <row r="28665" spans="23:23" x14ac:dyDescent="0.55000000000000004">
      <c r="W28665"/>
    </row>
    <row r="28666" spans="23:23" x14ac:dyDescent="0.55000000000000004">
      <c r="W28666"/>
    </row>
    <row r="28667" spans="23:23" x14ac:dyDescent="0.55000000000000004">
      <c r="W28667"/>
    </row>
    <row r="28668" spans="23:23" x14ac:dyDescent="0.55000000000000004">
      <c r="W28668"/>
    </row>
    <row r="28669" spans="23:23" x14ac:dyDescent="0.55000000000000004">
      <c r="W28669"/>
    </row>
    <row r="28670" spans="23:23" x14ac:dyDescent="0.55000000000000004">
      <c r="W28670"/>
    </row>
    <row r="28671" spans="23:23" x14ac:dyDescent="0.55000000000000004">
      <c r="W28671"/>
    </row>
    <row r="28672" spans="23:23" x14ac:dyDescent="0.55000000000000004">
      <c r="W28672"/>
    </row>
    <row r="28673" spans="23:23" x14ac:dyDescent="0.55000000000000004">
      <c r="W28673"/>
    </row>
    <row r="28674" spans="23:23" x14ac:dyDescent="0.55000000000000004">
      <c r="W28674"/>
    </row>
    <row r="28675" spans="23:23" x14ac:dyDescent="0.55000000000000004">
      <c r="W28675"/>
    </row>
    <row r="28676" spans="23:23" x14ac:dyDescent="0.55000000000000004">
      <c r="W28676"/>
    </row>
    <row r="28677" spans="23:23" x14ac:dyDescent="0.55000000000000004">
      <c r="W28677"/>
    </row>
    <row r="28678" spans="23:23" x14ac:dyDescent="0.55000000000000004">
      <c r="W28678"/>
    </row>
    <row r="28679" spans="23:23" x14ac:dyDescent="0.55000000000000004">
      <c r="W28679"/>
    </row>
    <row r="28680" spans="23:23" x14ac:dyDescent="0.55000000000000004">
      <c r="W28680"/>
    </row>
    <row r="28681" spans="23:23" x14ac:dyDescent="0.55000000000000004">
      <c r="W28681"/>
    </row>
    <row r="28682" spans="23:23" x14ac:dyDescent="0.55000000000000004">
      <c r="W28682"/>
    </row>
    <row r="28683" spans="23:23" x14ac:dyDescent="0.55000000000000004">
      <c r="W28683"/>
    </row>
    <row r="28684" spans="23:23" x14ac:dyDescent="0.55000000000000004">
      <c r="W28684"/>
    </row>
    <row r="28685" spans="23:23" x14ac:dyDescent="0.55000000000000004">
      <c r="W28685"/>
    </row>
    <row r="28686" spans="23:23" x14ac:dyDescent="0.55000000000000004">
      <c r="W28686"/>
    </row>
    <row r="28687" spans="23:23" x14ac:dyDescent="0.55000000000000004">
      <c r="W28687"/>
    </row>
    <row r="28688" spans="23:23" x14ac:dyDescent="0.55000000000000004">
      <c r="W28688"/>
    </row>
    <row r="28689" spans="23:23" x14ac:dyDescent="0.55000000000000004">
      <c r="W28689"/>
    </row>
    <row r="28690" spans="23:23" x14ac:dyDescent="0.55000000000000004">
      <c r="W28690"/>
    </row>
    <row r="28691" spans="23:23" x14ac:dyDescent="0.55000000000000004">
      <c r="W28691"/>
    </row>
    <row r="28692" spans="23:23" x14ac:dyDescent="0.55000000000000004">
      <c r="W28692"/>
    </row>
    <row r="28693" spans="23:23" x14ac:dyDescent="0.55000000000000004">
      <c r="W28693"/>
    </row>
    <row r="28694" spans="23:23" x14ac:dyDescent="0.55000000000000004">
      <c r="W28694"/>
    </row>
    <row r="28695" spans="23:23" x14ac:dyDescent="0.55000000000000004">
      <c r="W28695"/>
    </row>
    <row r="28696" spans="23:23" x14ac:dyDescent="0.55000000000000004">
      <c r="W28696"/>
    </row>
    <row r="28697" spans="23:23" x14ac:dyDescent="0.55000000000000004">
      <c r="W28697"/>
    </row>
    <row r="28698" spans="23:23" x14ac:dyDescent="0.55000000000000004">
      <c r="W28698"/>
    </row>
    <row r="28699" spans="23:23" x14ac:dyDescent="0.55000000000000004">
      <c r="W28699"/>
    </row>
    <row r="28700" spans="23:23" x14ac:dyDescent="0.55000000000000004">
      <c r="W28700"/>
    </row>
    <row r="28701" spans="23:23" x14ac:dyDescent="0.55000000000000004">
      <c r="W28701"/>
    </row>
    <row r="28702" spans="23:23" x14ac:dyDescent="0.55000000000000004">
      <c r="W28702"/>
    </row>
    <row r="28703" spans="23:23" x14ac:dyDescent="0.55000000000000004">
      <c r="W28703"/>
    </row>
    <row r="28704" spans="23:23" x14ac:dyDescent="0.55000000000000004">
      <c r="W28704"/>
    </row>
    <row r="28705" spans="23:23" x14ac:dyDescent="0.55000000000000004">
      <c r="W28705"/>
    </row>
    <row r="28706" spans="23:23" x14ac:dyDescent="0.55000000000000004">
      <c r="W28706"/>
    </row>
    <row r="28707" spans="23:23" x14ac:dyDescent="0.55000000000000004">
      <c r="W28707"/>
    </row>
    <row r="28708" spans="23:23" x14ac:dyDescent="0.55000000000000004">
      <c r="W28708"/>
    </row>
    <row r="28709" spans="23:23" x14ac:dyDescent="0.55000000000000004">
      <c r="W28709"/>
    </row>
    <row r="28710" spans="23:23" x14ac:dyDescent="0.55000000000000004">
      <c r="W28710"/>
    </row>
    <row r="28711" spans="23:23" x14ac:dyDescent="0.55000000000000004">
      <c r="W28711"/>
    </row>
    <row r="28712" spans="23:23" x14ac:dyDescent="0.55000000000000004">
      <c r="W28712"/>
    </row>
    <row r="28713" spans="23:23" x14ac:dyDescent="0.55000000000000004">
      <c r="W28713"/>
    </row>
    <row r="28714" spans="23:23" x14ac:dyDescent="0.55000000000000004">
      <c r="W28714"/>
    </row>
    <row r="28715" spans="23:23" x14ac:dyDescent="0.55000000000000004">
      <c r="W28715"/>
    </row>
    <row r="28716" spans="23:23" x14ac:dyDescent="0.55000000000000004">
      <c r="W28716"/>
    </row>
    <row r="28717" spans="23:23" x14ac:dyDescent="0.55000000000000004">
      <c r="W28717"/>
    </row>
    <row r="28718" spans="23:23" x14ac:dyDescent="0.55000000000000004">
      <c r="W28718"/>
    </row>
    <row r="28719" spans="23:23" x14ac:dyDescent="0.55000000000000004">
      <c r="W28719"/>
    </row>
    <row r="28720" spans="23:23" x14ac:dyDescent="0.55000000000000004">
      <c r="W28720"/>
    </row>
    <row r="28721" spans="23:23" x14ac:dyDescent="0.55000000000000004">
      <c r="W28721"/>
    </row>
    <row r="28722" spans="23:23" x14ac:dyDescent="0.55000000000000004">
      <c r="W28722"/>
    </row>
    <row r="28723" spans="23:23" x14ac:dyDescent="0.55000000000000004">
      <c r="W28723"/>
    </row>
    <row r="28724" spans="23:23" x14ac:dyDescent="0.55000000000000004">
      <c r="W28724"/>
    </row>
    <row r="28725" spans="23:23" x14ac:dyDescent="0.55000000000000004">
      <c r="W28725"/>
    </row>
    <row r="28726" spans="23:23" x14ac:dyDescent="0.55000000000000004">
      <c r="W28726"/>
    </row>
    <row r="28727" spans="23:23" x14ac:dyDescent="0.55000000000000004">
      <c r="W28727"/>
    </row>
    <row r="28728" spans="23:23" x14ac:dyDescent="0.55000000000000004">
      <c r="W28728"/>
    </row>
    <row r="28729" spans="23:23" x14ac:dyDescent="0.55000000000000004">
      <c r="W28729"/>
    </row>
    <row r="28730" spans="23:23" x14ac:dyDescent="0.55000000000000004">
      <c r="W28730"/>
    </row>
    <row r="28731" spans="23:23" x14ac:dyDescent="0.55000000000000004">
      <c r="W28731"/>
    </row>
    <row r="28732" spans="23:23" x14ac:dyDescent="0.55000000000000004">
      <c r="W28732"/>
    </row>
    <row r="28733" spans="23:23" x14ac:dyDescent="0.55000000000000004">
      <c r="W28733"/>
    </row>
    <row r="28734" spans="23:23" x14ac:dyDescent="0.55000000000000004">
      <c r="W28734"/>
    </row>
    <row r="28735" spans="23:23" x14ac:dyDescent="0.55000000000000004">
      <c r="W28735"/>
    </row>
    <row r="28736" spans="23:23" x14ac:dyDescent="0.55000000000000004">
      <c r="W28736"/>
    </row>
    <row r="28737" spans="23:23" x14ac:dyDescent="0.55000000000000004">
      <c r="W28737"/>
    </row>
    <row r="28738" spans="23:23" x14ac:dyDescent="0.55000000000000004">
      <c r="W28738"/>
    </row>
    <row r="28739" spans="23:23" x14ac:dyDescent="0.55000000000000004">
      <c r="W28739"/>
    </row>
    <row r="28740" spans="23:23" x14ac:dyDescent="0.55000000000000004">
      <c r="W28740"/>
    </row>
    <row r="28741" spans="23:23" x14ac:dyDescent="0.55000000000000004">
      <c r="W28741"/>
    </row>
    <row r="28742" spans="23:23" x14ac:dyDescent="0.55000000000000004">
      <c r="W28742"/>
    </row>
    <row r="28743" spans="23:23" x14ac:dyDescent="0.55000000000000004">
      <c r="W28743"/>
    </row>
    <row r="28744" spans="23:23" x14ac:dyDescent="0.55000000000000004">
      <c r="W28744"/>
    </row>
    <row r="28745" spans="23:23" x14ac:dyDescent="0.55000000000000004">
      <c r="W28745"/>
    </row>
    <row r="28746" spans="23:23" x14ac:dyDescent="0.55000000000000004">
      <c r="W28746"/>
    </row>
    <row r="28747" spans="23:23" x14ac:dyDescent="0.55000000000000004">
      <c r="W28747"/>
    </row>
    <row r="28748" spans="23:23" x14ac:dyDescent="0.55000000000000004">
      <c r="W28748"/>
    </row>
    <row r="28749" spans="23:23" x14ac:dyDescent="0.55000000000000004">
      <c r="W28749"/>
    </row>
    <row r="28750" spans="23:23" x14ac:dyDescent="0.55000000000000004">
      <c r="W28750"/>
    </row>
    <row r="28751" spans="23:23" x14ac:dyDescent="0.55000000000000004">
      <c r="W28751"/>
    </row>
    <row r="28752" spans="23:23" x14ac:dyDescent="0.55000000000000004">
      <c r="W28752"/>
    </row>
    <row r="28753" spans="23:23" x14ac:dyDescent="0.55000000000000004">
      <c r="W28753"/>
    </row>
    <row r="28754" spans="23:23" x14ac:dyDescent="0.55000000000000004">
      <c r="W28754"/>
    </row>
    <row r="28755" spans="23:23" x14ac:dyDescent="0.55000000000000004">
      <c r="W28755"/>
    </row>
    <row r="28756" spans="23:23" x14ac:dyDescent="0.55000000000000004">
      <c r="W28756"/>
    </row>
    <row r="28757" spans="23:23" x14ac:dyDescent="0.55000000000000004">
      <c r="W28757"/>
    </row>
    <row r="28758" spans="23:23" x14ac:dyDescent="0.55000000000000004">
      <c r="W28758"/>
    </row>
    <row r="28759" spans="23:23" x14ac:dyDescent="0.55000000000000004">
      <c r="W28759"/>
    </row>
    <row r="28760" spans="23:23" x14ac:dyDescent="0.55000000000000004">
      <c r="W28760"/>
    </row>
    <row r="28761" spans="23:23" x14ac:dyDescent="0.55000000000000004">
      <c r="W28761"/>
    </row>
    <row r="28762" spans="23:23" x14ac:dyDescent="0.55000000000000004">
      <c r="W28762"/>
    </row>
    <row r="28763" spans="23:23" x14ac:dyDescent="0.55000000000000004">
      <c r="W28763"/>
    </row>
    <row r="28764" spans="23:23" x14ac:dyDescent="0.55000000000000004">
      <c r="W28764"/>
    </row>
    <row r="28765" spans="23:23" x14ac:dyDescent="0.55000000000000004">
      <c r="W28765"/>
    </row>
    <row r="28766" spans="23:23" x14ac:dyDescent="0.55000000000000004">
      <c r="W28766"/>
    </row>
    <row r="28767" spans="23:23" x14ac:dyDescent="0.55000000000000004">
      <c r="W28767"/>
    </row>
    <row r="28768" spans="23:23" x14ac:dyDescent="0.55000000000000004">
      <c r="W28768"/>
    </row>
    <row r="28769" spans="23:23" x14ac:dyDescent="0.55000000000000004">
      <c r="W28769"/>
    </row>
    <row r="28770" spans="23:23" x14ac:dyDescent="0.55000000000000004">
      <c r="W28770"/>
    </row>
    <row r="28771" spans="23:23" x14ac:dyDescent="0.55000000000000004">
      <c r="W28771"/>
    </row>
    <row r="28772" spans="23:23" x14ac:dyDescent="0.55000000000000004">
      <c r="W28772"/>
    </row>
    <row r="28773" spans="23:23" x14ac:dyDescent="0.55000000000000004">
      <c r="W28773"/>
    </row>
    <row r="28774" spans="23:23" x14ac:dyDescent="0.55000000000000004">
      <c r="W28774"/>
    </row>
    <row r="28775" spans="23:23" x14ac:dyDescent="0.55000000000000004">
      <c r="W28775"/>
    </row>
    <row r="28776" spans="23:23" x14ac:dyDescent="0.55000000000000004">
      <c r="W28776"/>
    </row>
    <row r="28777" spans="23:23" x14ac:dyDescent="0.55000000000000004">
      <c r="W28777"/>
    </row>
    <row r="28778" spans="23:23" x14ac:dyDescent="0.55000000000000004">
      <c r="W28778"/>
    </row>
    <row r="28779" spans="23:23" x14ac:dyDescent="0.55000000000000004">
      <c r="W28779"/>
    </row>
    <row r="28780" spans="23:23" x14ac:dyDescent="0.55000000000000004">
      <c r="W28780"/>
    </row>
    <row r="28781" spans="23:23" x14ac:dyDescent="0.55000000000000004">
      <c r="W28781"/>
    </row>
    <row r="28782" spans="23:23" x14ac:dyDescent="0.55000000000000004">
      <c r="W28782"/>
    </row>
    <row r="28783" spans="23:23" x14ac:dyDescent="0.55000000000000004">
      <c r="W28783"/>
    </row>
    <row r="28784" spans="23:23" x14ac:dyDescent="0.55000000000000004">
      <c r="W28784"/>
    </row>
    <row r="28785" spans="23:23" x14ac:dyDescent="0.55000000000000004">
      <c r="W28785"/>
    </row>
    <row r="28786" spans="23:23" x14ac:dyDescent="0.55000000000000004">
      <c r="W28786"/>
    </row>
    <row r="28787" spans="23:23" x14ac:dyDescent="0.55000000000000004">
      <c r="W28787"/>
    </row>
    <row r="28788" spans="23:23" x14ac:dyDescent="0.55000000000000004">
      <c r="W28788"/>
    </row>
    <row r="28789" spans="23:23" x14ac:dyDescent="0.55000000000000004">
      <c r="W28789"/>
    </row>
    <row r="28790" spans="23:23" x14ac:dyDescent="0.55000000000000004">
      <c r="W28790"/>
    </row>
    <row r="28791" spans="23:23" x14ac:dyDescent="0.55000000000000004">
      <c r="W28791"/>
    </row>
    <row r="28792" spans="23:23" x14ac:dyDescent="0.55000000000000004">
      <c r="W28792"/>
    </row>
    <row r="28793" spans="23:23" x14ac:dyDescent="0.55000000000000004">
      <c r="W28793"/>
    </row>
    <row r="28794" spans="23:23" x14ac:dyDescent="0.55000000000000004">
      <c r="W28794"/>
    </row>
    <row r="28795" spans="23:23" x14ac:dyDescent="0.55000000000000004">
      <c r="W28795"/>
    </row>
    <row r="28796" spans="23:23" x14ac:dyDescent="0.55000000000000004">
      <c r="W28796"/>
    </row>
    <row r="28797" spans="23:23" x14ac:dyDescent="0.55000000000000004">
      <c r="W28797"/>
    </row>
    <row r="28798" spans="23:23" x14ac:dyDescent="0.55000000000000004">
      <c r="W28798"/>
    </row>
    <row r="28799" spans="23:23" x14ac:dyDescent="0.55000000000000004">
      <c r="W28799"/>
    </row>
    <row r="28800" spans="23:23" x14ac:dyDescent="0.55000000000000004">
      <c r="W28800"/>
    </row>
    <row r="28801" spans="23:23" x14ac:dyDescent="0.55000000000000004">
      <c r="W28801"/>
    </row>
    <row r="28802" spans="23:23" x14ac:dyDescent="0.55000000000000004">
      <c r="W28802"/>
    </row>
    <row r="28803" spans="23:23" x14ac:dyDescent="0.55000000000000004">
      <c r="W28803"/>
    </row>
    <row r="28804" spans="23:23" x14ac:dyDescent="0.55000000000000004">
      <c r="W28804"/>
    </row>
    <row r="28805" spans="23:23" x14ac:dyDescent="0.55000000000000004">
      <c r="W28805"/>
    </row>
    <row r="28806" spans="23:23" x14ac:dyDescent="0.55000000000000004">
      <c r="W28806"/>
    </row>
    <row r="28807" spans="23:23" x14ac:dyDescent="0.55000000000000004">
      <c r="W28807"/>
    </row>
    <row r="28808" spans="23:23" x14ac:dyDescent="0.55000000000000004">
      <c r="W28808"/>
    </row>
    <row r="28809" spans="23:23" x14ac:dyDescent="0.55000000000000004">
      <c r="W28809"/>
    </row>
    <row r="28810" spans="23:23" x14ac:dyDescent="0.55000000000000004">
      <c r="W28810"/>
    </row>
    <row r="28811" spans="23:23" x14ac:dyDescent="0.55000000000000004">
      <c r="W28811"/>
    </row>
    <row r="28812" spans="23:23" x14ac:dyDescent="0.55000000000000004">
      <c r="W28812"/>
    </row>
    <row r="28813" spans="23:23" x14ac:dyDescent="0.55000000000000004">
      <c r="W28813"/>
    </row>
    <row r="28814" spans="23:23" x14ac:dyDescent="0.55000000000000004">
      <c r="W28814"/>
    </row>
    <row r="28815" spans="23:23" x14ac:dyDescent="0.55000000000000004">
      <c r="W28815"/>
    </row>
    <row r="28816" spans="23:23" x14ac:dyDescent="0.55000000000000004">
      <c r="W28816"/>
    </row>
    <row r="28817" spans="23:23" x14ac:dyDescent="0.55000000000000004">
      <c r="W28817"/>
    </row>
    <row r="28818" spans="23:23" x14ac:dyDescent="0.55000000000000004">
      <c r="W28818"/>
    </row>
    <row r="28819" spans="23:23" x14ac:dyDescent="0.55000000000000004">
      <c r="W28819"/>
    </row>
    <row r="28820" spans="23:23" x14ac:dyDescent="0.55000000000000004">
      <c r="W28820"/>
    </row>
    <row r="28821" spans="23:23" x14ac:dyDescent="0.55000000000000004">
      <c r="W28821"/>
    </row>
    <row r="28822" spans="23:23" x14ac:dyDescent="0.55000000000000004">
      <c r="W28822"/>
    </row>
    <row r="28823" spans="23:23" x14ac:dyDescent="0.55000000000000004">
      <c r="W28823"/>
    </row>
    <row r="28824" spans="23:23" x14ac:dyDescent="0.55000000000000004">
      <c r="W28824"/>
    </row>
    <row r="28825" spans="23:23" x14ac:dyDescent="0.55000000000000004">
      <c r="W28825"/>
    </row>
    <row r="28826" spans="23:23" x14ac:dyDescent="0.55000000000000004">
      <c r="W28826"/>
    </row>
    <row r="28827" spans="23:23" x14ac:dyDescent="0.55000000000000004">
      <c r="W28827"/>
    </row>
    <row r="28828" spans="23:23" x14ac:dyDescent="0.55000000000000004">
      <c r="W28828"/>
    </row>
    <row r="28829" spans="23:23" x14ac:dyDescent="0.55000000000000004">
      <c r="W28829"/>
    </row>
    <row r="28830" spans="23:23" x14ac:dyDescent="0.55000000000000004">
      <c r="W28830"/>
    </row>
    <row r="28831" spans="23:23" x14ac:dyDescent="0.55000000000000004">
      <c r="W28831"/>
    </row>
    <row r="28832" spans="23:23" x14ac:dyDescent="0.55000000000000004">
      <c r="W28832"/>
    </row>
    <row r="28833" spans="23:23" x14ac:dyDescent="0.55000000000000004">
      <c r="W28833"/>
    </row>
    <row r="28834" spans="23:23" x14ac:dyDescent="0.55000000000000004">
      <c r="W28834"/>
    </row>
    <row r="28835" spans="23:23" x14ac:dyDescent="0.55000000000000004">
      <c r="W28835"/>
    </row>
    <row r="28836" spans="23:23" x14ac:dyDescent="0.55000000000000004">
      <c r="W28836"/>
    </row>
    <row r="28837" spans="23:23" x14ac:dyDescent="0.55000000000000004">
      <c r="W28837"/>
    </row>
    <row r="28838" spans="23:23" x14ac:dyDescent="0.55000000000000004">
      <c r="W28838"/>
    </row>
    <row r="28839" spans="23:23" x14ac:dyDescent="0.55000000000000004">
      <c r="W28839"/>
    </row>
    <row r="28840" spans="23:23" x14ac:dyDescent="0.55000000000000004">
      <c r="W28840"/>
    </row>
    <row r="28841" spans="23:23" x14ac:dyDescent="0.55000000000000004">
      <c r="W28841"/>
    </row>
    <row r="28842" spans="23:23" x14ac:dyDescent="0.55000000000000004">
      <c r="W28842"/>
    </row>
    <row r="28843" spans="23:23" x14ac:dyDescent="0.55000000000000004">
      <c r="W28843"/>
    </row>
    <row r="28844" spans="23:23" x14ac:dyDescent="0.55000000000000004">
      <c r="W28844"/>
    </row>
    <row r="28845" spans="23:23" x14ac:dyDescent="0.55000000000000004">
      <c r="W28845"/>
    </row>
    <row r="28846" spans="23:23" x14ac:dyDescent="0.55000000000000004">
      <c r="W28846"/>
    </row>
    <row r="28847" spans="23:23" x14ac:dyDescent="0.55000000000000004">
      <c r="W28847"/>
    </row>
    <row r="28848" spans="23:23" x14ac:dyDescent="0.55000000000000004">
      <c r="W28848"/>
    </row>
    <row r="28849" spans="23:23" x14ac:dyDescent="0.55000000000000004">
      <c r="W28849"/>
    </row>
    <row r="28850" spans="23:23" x14ac:dyDescent="0.55000000000000004">
      <c r="W28850"/>
    </row>
    <row r="28851" spans="23:23" x14ac:dyDescent="0.55000000000000004">
      <c r="W28851"/>
    </row>
    <row r="28852" spans="23:23" x14ac:dyDescent="0.55000000000000004">
      <c r="W28852"/>
    </row>
    <row r="28853" spans="23:23" x14ac:dyDescent="0.55000000000000004">
      <c r="W28853"/>
    </row>
    <row r="28854" spans="23:23" x14ac:dyDescent="0.55000000000000004">
      <c r="W28854"/>
    </row>
    <row r="28855" spans="23:23" x14ac:dyDescent="0.55000000000000004">
      <c r="W28855"/>
    </row>
    <row r="28856" spans="23:23" x14ac:dyDescent="0.55000000000000004">
      <c r="W28856"/>
    </row>
    <row r="28857" spans="23:23" x14ac:dyDescent="0.55000000000000004">
      <c r="W28857"/>
    </row>
    <row r="28858" spans="23:23" x14ac:dyDescent="0.55000000000000004">
      <c r="W28858"/>
    </row>
    <row r="28859" spans="23:23" x14ac:dyDescent="0.55000000000000004">
      <c r="W28859"/>
    </row>
    <row r="28860" spans="23:23" x14ac:dyDescent="0.55000000000000004">
      <c r="W28860"/>
    </row>
    <row r="28861" spans="23:23" x14ac:dyDescent="0.55000000000000004">
      <c r="W28861"/>
    </row>
    <row r="28862" spans="23:23" x14ac:dyDescent="0.55000000000000004">
      <c r="W28862"/>
    </row>
    <row r="28863" spans="23:23" x14ac:dyDescent="0.55000000000000004">
      <c r="W28863"/>
    </row>
    <row r="28864" spans="23:23" x14ac:dyDescent="0.55000000000000004">
      <c r="W28864"/>
    </row>
    <row r="28865" spans="23:23" x14ac:dyDescent="0.55000000000000004">
      <c r="W28865"/>
    </row>
    <row r="28866" spans="23:23" x14ac:dyDescent="0.55000000000000004">
      <c r="W28866"/>
    </row>
    <row r="28867" spans="23:23" x14ac:dyDescent="0.55000000000000004">
      <c r="W28867"/>
    </row>
    <row r="28868" spans="23:23" x14ac:dyDescent="0.55000000000000004">
      <c r="W28868"/>
    </row>
    <row r="28869" spans="23:23" x14ac:dyDescent="0.55000000000000004">
      <c r="W28869"/>
    </row>
    <row r="28870" spans="23:23" x14ac:dyDescent="0.55000000000000004">
      <c r="W28870"/>
    </row>
    <row r="28871" spans="23:23" x14ac:dyDescent="0.55000000000000004">
      <c r="W28871"/>
    </row>
    <row r="28872" spans="23:23" x14ac:dyDescent="0.55000000000000004">
      <c r="W28872"/>
    </row>
    <row r="28873" spans="23:23" x14ac:dyDescent="0.55000000000000004">
      <c r="W28873"/>
    </row>
    <row r="28874" spans="23:23" x14ac:dyDescent="0.55000000000000004">
      <c r="W28874"/>
    </row>
    <row r="28875" spans="23:23" x14ac:dyDescent="0.55000000000000004">
      <c r="W28875"/>
    </row>
    <row r="28876" spans="23:23" x14ac:dyDescent="0.55000000000000004">
      <c r="W28876"/>
    </row>
    <row r="28877" spans="23:23" x14ac:dyDescent="0.55000000000000004">
      <c r="W28877"/>
    </row>
    <row r="28878" spans="23:23" x14ac:dyDescent="0.55000000000000004">
      <c r="W28878"/>
    </row>
    <row r="28879" spans="23:23" x14ac:dyDescent="0.55000000000000004">
      <c r="W28879"/>
    </row>
    <row r="28880" spans="23:23" x14ac:dyDescent="0.55000000000000004">
      <c r="W28880"/>
    </row>
    <row r="28881" spans="23:23" x14ac:dyDescent="0.55000000000000004">
      <c r="W28881"/>
    </row>
    <row r="28882" spans="23:23" x14ac:dyDescent="0.55000000000000004">
      <c r="W28882"/>
    </row>
    <row r="28883" spans="23:23" x14ac:dyDescent="0.55000000000000004">
      <c r="W28883"/>
    </row>
    <row r="28884" spans="23:23" x14ac:dyDescent="0.55000000000000004">
      <c r="W28884"/>
    </row>
    <row r="28885" spans="23:23" x14ac:dyDescent="0.55000000000000004">
      <c r="W28885"/>
    </row>
    <row r="28886" spans="23:23" x14ac:dyDescent="0.55000000000000004">
      <c r="W28886"/>
    </row>
    <row r="28887" spans="23:23" x14ac:dyDescent="0.55000000000000004">
      <c r="W28887"/>
    </row>
    <row r="28888" spans="23:23" x14ac:dyDescent="0.55000000000000004">
      <c r="W28888"/>
    </row>
    <row r="28889" spans="23:23" x14ac:dyDescent="0.55000000000000004">
      <c r="W28889"/>
    </row>
    <row r="28890" spans="23:23" x14ac:dyDescent="0.55000000000000004">
      <c r="W28890"/>
    </row>
    <row r="28891" spans="23:23" x14ac:dyDescent="0.55000000000000004">
      <c r="W28891"/>
    </row>
    <row r="28892" spans="23:23" x14ac:dyDescent="0.55000000000000004">
      <c r="W28892"/>
    </row>
    <row r="28893" spans="23:23" x14ac:dyDescent="0.55000000000000004">
      <c r="W28893"/>
    </row>
    <row r="28894" spans="23:23" x14ac:dyDescent="0.55000000000000004">
      <c r="W28894"/>
    </row>
    <row r="28895" spans="23:23" x14ac:dyDescent="0.55000000000000004">
      <c r="W28895"/>
    </row>
    <row r="28896" spans="23:23" x14ac:dyDescent="0.55000000000000004">
      <c r="W28896"/>
    </row>
    <row r="28897" spans="23:23" x14ac:dyDescent="0.55000000000000004">
      <c r="W28897"/>
    </row>
    <row r="28898" spans="23:23" x14ac:dyDescent="0.55000000000000004">
      <c r="W28898"/>
    </row>
    <row r="28899" spans="23:23" x14ac:dyDescent="0.55000000000000004">
      <c r="W28899"/>
    </row>
    <row r="28900" spans="23:23" x14ac:dyDescent="0.55000000000000004">
      <c r="W28900"/>
    </row>
    <row r="28901" spans="23:23" x14ac:dyDescent="0.55000000000000004">
      <c r="W28901"/>
    </row>
    <row r="28902" spans="23:23" x14ac:dyDescent="0.55000000000000004">
      <c r="W28902"/>
    </row>
    <row r="28903" spans="23:23" x14ac:dyDescent="0.55000000000000004">
      <c r="W28903"/>
    </row>
    <row r="28904" spans="23:23" x14ac:dyDescent="0.55000000000000004">
      <c r="W28904"/>
    </row>
    <row r="28905" spans="23:23" x14ac:dyDescent="0.55000000000000004">
      <c r="W28905"/>
    </row>
    <row r="28906" spans="23:23" x14ac:dyDescent="0.55000000000000004">
      <c r="W28906"/>
    </row>
    <row r="28907" spans="23:23" x14ac:dyDescent="0.55000000000000004">
      <c r="W28907"/>
    </row>
    <row r="28908" spans="23:23" x14ac:dyDescent="0.55000000000000004">
      <c r="W28908"/>
    </row>
    <row r="28909" spans="23:23" x14ac:dyDescent="0.55000000000000004">
      <c r="W28909"/>
    </row>
    <row r="28910" spans="23:23" x14ac:dyDescent="0.55000000000000004">
      <c r="W28910"/>
    </row>
    <row r="28911" spans="23:23" x14ac:dyDescent="0.55000000000000004">
      <c r="W28911"/>
    </row>
    <row r="28912" spans="23:23" x14ac:dyDescent="0.55000000000000004">
      <c r="W28912"/>
    </row>
    <row r="28913" spans="23:23" x14ac:dyDescent="0.55000000000000004">
      <c r="W28913"/>
    </row>
    <row r="28914" spans="23:23" x14ac:dyDescent="0.55000000000000004">
      <c r="W28914"/>
    </row>
    <row r="28915" spans="23:23" x14ac:dyDescent="0.55000000000000004">
      <c r="W28915"/>
    </row>
    <row r="28916" spans="23:23" x14ac:dyDescent="0.55000000000000004">
      <c r="W28916"/>
    </row>
    <row r="28917" spans="23:23" x14ac:dyDescent="0.55000000000000004">
      <c r="W28917"/>
    </row>
    <row r="28918" spans="23:23" x14ac:dyDescent="0.55000000000000004">
      <c r="W28918"/>
    </row>
    <row r="28919" spans="23:23" x14ac:dyDescent="0.55000000000000004">
      <c r="W28919"/>
    </row>
    <row r="28920" spans="23:23" x14ac:dyDescent="0.55000000000000004">
      <c r="W28920"/>
    </row>
    <row r="28921" spans="23:23" x14ac:dyDescent="0.55000000000000004">
      <c r="W28921"/>
    </row>
    <row r="28922" spans="23:23" x14ac:dyDescent="0.55000000000000004">
      <c r="W28922"/>
    </row>
    <row r="28923" spans="23:23" x14ac:dyDescent="0.55000000000000004">
      <c r="W28923"/>
    </row>
    <row r="28924" spans="23:23" x14ac:dyDescent="0.55000000000000004">
      <c r="W28924"/>
    </row>
    <row r="28925" spans="23:23" x14ac:dyDescent="0.55000000000000004">
      <c r="W28925"/>
    </row>
    <row r="28926" spans="23:23" x14ac:dyDescent="0.55000000000000004">
      <c r="W28926"/>
    </row>
    <row r="28927" spans="23:23" x14ac:dyDescent="0.55000000000000004">
      <c r="W28927"/>
    </row>
    <row r="28928" spans="23:23" x14ac:dyDescent="0.55000000000000004">
      <c r="W28928"/>
    </row>
    <row r="28929" spans="23:23" x14ac:dyDescent="0.55000000000000004">
      <c r="W28929"/>
    </row>
    <row r="28930" spans="23:23" x14ac:dyDescent="0.55000000000000004">
      <c r="W28930"/>
    </row>
    <row r="28931" spans="23:23" x14ac:dyDescent="0.55000000000000004">
      <c r="W28931"/>
    </row>
    <row r="28932" spans="23:23" x14ac:dyDescent="0.55000000000000004">
      <c r="W28932"/>
    </row>
    <row r="28933" spans="23:23" x14ac:dyDescent="0.55000000000000004">
      <c r="W28933"/>
    </row>
    <row r="28934" spans="23:23" x14ac:dyDescent="0.55000000000000004">
      <c r="W28934"/>
    </row>
    <row r="28935" spans="23:23" x14ac:dyDescent="0.55000000000000004">
      <c r="W28935"/>
    </row>
    <row r="28936" spans="23:23" x14ac:dyDescent="0.55000000000000004">
      <c r="W28936"/>
    </row>
    <row r="28937" spans="23:23" x14ac:dyDescent="0.55000000000000004">
      <c r="W28937"/>
    </row>
    <row r="28938" spans="23:23" x14ac:dyDescent="0.55000000000000004">
      <c r="W28938"/>
    </row>
    <row r="28939" spans="23:23" x14ac:dyDescent="0.55000000000000004">
      <c r="W28939"/>
    </row>
    <row r="28940" spans="23:23" x14ac:dyDescent="0.55000000000000004">
      <c r="W28940"/>
    </row>
    <row r="28941" spans="23:23" x14ac:dyDescent="0.55000000000000004">
      <c r="W28941"/>
    </row>
    <row r="28942" spans="23:23" x14ac:dyDescent="0.55000000000000004">
      <c r="W28942"/>
    </row>
    <row r="28943" spans="23:23" x14ac:dyDescent="0.55000000000000004">
      <c r="W28943"/>
    </row>
    <row r="28944" spans="23:23" x14ac:dyDescent="0.55000000000000004">
      <c r="W28944"/>
    </row>
    <row r="28945" spans="23:23" x14ac:dyDescent="0.55000000000000004">
      <c r="W28945"/>
    </row>
    <row r="28946" spans="23:23" x14ac:dyDescent="0.55000000000000004">
      <c r="W28946"/>
    </row>
    <row r="28947" spans="23:23" x14ac:dyDescent="0.55000000000000004">
      <c r="W28947"/>
    </row>
    <row r="28948" spans="23:23" x14ac:dyDescent="0.55000000000000004">
      <c r="W28948"/>
    </row>
    <row r="28949" spans="23:23" x14ac:dyDescent="0.55000000000000004">
      <c r="W28949"/>
    </row>
    <row r="28950" spans="23:23" x14ac:dyDescent="0.55000000000000004">
      <c r="W28950"/>
    </row>
    <row r="28951" spans="23:23" x14ac:dyDescent="0.55000000000000004">
      <c r="W28951"/>
    </row>
    <row r="28952" spans="23:23" x14ac:dyDescent="0.55000000000000004">
      <c r="W28952"/>
    </row>
    <row r="28953" spans="23:23" x14ac:dyDescent="0.55000000000000004">
      <c r="W28953"/>
    </row>
    <row r="28954" spans="23:23" x14ac:dyDescent="0.55000000000000004">
      <c r="W28954"/>
    </row>
    <row r="28955" spans="23:23" x14ac:dyDescent="0.55000000000000004">
      <c r="W28955"/>
    </row>
    <row r="28956" spans="23:23" x14ac:dyDescent="0.55000000000000004">
      <c r="W28956"/>
    </row>
    <row r="28957" spans="23:23" x14ac:dyDescent="0.55000000000000004">
      <c r="W28957"/>
    </row>
    <row r="28958" spans="23:23" x14ac:dyDescent="0.55000000000000004">
      <c r="W28958"/>
    </row>
    <row r="28959" spans="23:23" x14ac:dyDescent="0.55000000000000004">
      <c r="W28959"/>
    </row>
    <row r="28960" spans="23:23" x14ac:dyDescent="0.55000000000000004">
      <c r="W28960"/>
    </row>
    <row r="28961" spans="23:23" x14ac:dyDescent="0.55000000000000004">
      <c r="W28961"/>
    </row>
    <row r="28962" spans="23:23" x14ac:dyDescent="0.55000000000000004">
      <c r="W28962"/>
    </row>
    <row r="28963" spans="23:23" x14ac:dyDescent="0.55000000000000004">
      <c r="W28963"/>
    </row>
    <row r="28964" spans="23:23" x14ac:dyDescent="0.55000000000000004">
      <c r="W28964"/>
    </row>
    <row r="28965" spans="23:23" x14ac:dyDescent="0.55000000000000004">
      <c r="W28965"/>
    </row>
    <row r="28966" spans="23:23" x14ac:dyDescent="0.55000000000000004">
      <c r="W28966"/>
    </row>
    <row r="28967" spans="23:23" x14ac:dyDescent="0.55000000000000004">
      <c r="W28967"/>
    </row>
    <row r="28968" spans="23:23" x14ac:dyDescent="0.55000000000000004">
      <c r="W28968"/>
    </row>
    <row r="28969" spans="23:23" x14ac:dyDescent="0.55000000000000004">
      <c r="W28969"/>
    </row>
    <row r="28970" spans="23:23" x14ac:dyDescent="0.55000000000000004">
      <c r="W28970"/>
    </row>
    <row r="28971" spans="23:23" x14ac:dyDescent="0.55000000000000004">
      <c r="W28971"/>
    </row>
    <row r="28972" spans="23:23" x14ac:dyDescent="0.55000000000000004">
      <c r="W28972"/>
    </row>
    <row r="28973" spans="23:23" x14ac:dyDescent="0.55000000000000004">
      <c r="W28973"/>
    </row>
    <row r="28974" spans="23:23" x14ac:dyDescent="0.55000000000000004">
      <c r="W28974"/>
    </row>
    <row r="28975" spans="23:23" x14ac:dyDescent="0.55000000000000004">
      <c r="W28975"/>
    </row>
    <row r="28976" spans="23:23" x14ac:dyDescent="0.55000000000000004">
      <c r="W28976"/>
    </row>
    <row r="28977" spans="23:23" x14ac:dyDescent="0.55000000000000004">
      <c r="W28977"/>
    </row>
    <row r="28978" spans="23:23" x14ac:dyDescent="0.55000000000000004">
      <c r="W28978"/>
    </row>
    <row r="28979" spans="23:23" x14ac:dyDescent="0.55000000000000004">
      <c r="W28979"/>
    </row>
    <row r="28980" spans="23:23" x14ac:dyDescent="0.55000000000000004">
      <c r="W28980"/>
    </row>
    <row r="28981" spans="23:23" x14ac:dyDescent="0.55000000000000004">
      <c r="W28981"/>
    </row>
    <row r="28982" spans="23:23" x14ac:dyDescent="0.55000000000000004">
      <c r="W28982"/>
    </row>
    <row r="28983" spans="23:23" x14ac:dyDescent="0.55000000000000004">
      <c r="W28983"/>
    </row>
    <row r="28984" spans="23:23" x14ac:dyDescent="0.55000000000000004">
      <c r="W28984"/>
    </row>
    <row r="28985" spans="23:23" x14ac:dyDescent="0.55000000000000004">
      <c r="W28985"/>
    </row>
    <row r="28986" spans="23:23" x14ac:dyDescent="0.55000000000000004">
      <c r="W28986"/>
    </row>
    <row r="28987" spans="23:23" x14ac:dyDescent="0.55000000000000004">
      <c r="W28987"/>
    </row>
    <row r="28988" spans="23:23" x14ac:dyDescent="0.55000000000000004">
      <c r="W28988"/>
    </row>
    <row r="28989" spans="23:23" x14ac:dyDescent="0.55000000000000004">
      <c r="W28989"/>
    </row>
    <row r="28990" spans="23:23" x14ac:dyDescent="0.55000000000000004">
      <c r="W28990"/>
    </row>
    <row r="28991" spans="23:23" x14ac:dyDescent="0.55000000000000004">
      <c r="W28991"/>
    </row>
    <row r="28992" spans="23:23" x14ac:dyDescent="0.55000000000000004">
      <c r="W28992"/>
    </row>
    <row r="28993" spans="23:23" x14ac:dyDescent="0.55000000000000004">
      <c r="W28993"/>
    </row>
    <row r="28994" spans="23:23" x14ac:dyDescent="0.55000000000000004">
      <c r="W28994"/>
    </row>
    <row r="28995" spans="23:23" x14ac:dyDescent="0.55000000000000004">
      <c r="W28995"/>
    </row>
    <row r="28996" spans="23:23" x14ac:dyDescent="0.55000000000000004">
      <c r="W28996"/>
    </row>
    <row r="28997" spans="23:23" x14ac:dyDescent="0.55000000000000004">
      <c r="W28997"/>
    </row>
    <row r="28998" spans="23:23" x14ac:dyDescent="0.55000000000000004">
      <c r="W28998"/>
    </row>
    <row r="28999" spans="23:23" x14ac:dyDescent="0.55000000000000004">
      <c r="W28999"/>
    </row>
    <row r="29000" spans="23:23" x14ac:dyDescent="0.55000000000000004">
      <c r="W29000"/>
    </row>
    <row r="29001" spans="23:23" x14ac:dyDescent="0.55000000000000004">
      <c r="W29001"/>
    </row>
    <row r="29002" spans="23:23" x14ac:dyDescent="0.55000000000000004">
      <c r="W29002"/>
    </row>
    <row r="29003" spans="23:23" x14ac:dyDescent="0.55000000000000004">
      <c r="W29003"/>
    </row>
    <row r="29004" spans="23:23" x14ac:dyDescent="0.55000000000000004">
      <c r="W29004"/>
    </row>
    <row r="29005" spans="23:23" x14ac:dyDescent="0.55000000000000004">
      <c r="W29005"/>
    </row>
    <row r="29006" spans="23:23" x14ac:dyDescent="0.55000000000000004">
      <c r="W29006"/>
    </row>
    <row r="29007" spans="23:23" x14ac:dyDescent="0.55000000000000004">
      <c r="W29007"/>
    </row>
    <row r="29008" spans="23:23" x14ac:dyDescent="0.55000000000000004">
      <c r="W29008"/>
    </row>
    <row r="29009" spans="23:23" x14ac:dyDescent="0.55000000000000004">
      <c r="W29009"/>
    </row>
    <row r="29010" spans="23:23" x14ac:dyDescent="0.55000000000000004">
      <c r="W29010"/>
    </row>
    <row r="29011" spans="23:23" x14ac:dyDescent="0.55000000000000004">
      <c r="W29011"/>
    </row>
    <row r="29012" spans="23:23" x14ac:dyDescent="0.55000000000000004">
      <c r="W29012"/>
    </row>
    <row r="29013" spans="23:23" x14ac:dyDescent="0.55000000000000004">
      <c r="W29013"/>
    </row>
    <row r="29014" spans="23:23" x14ac:dyDescent="0.55000000000000004">
      <c r="W29014"/>
    </row>
    <row r="29015" spans="23:23" x14ac:dyDescent="0.55000000000000004">
      <c r="W29015"/>
    </row>
    <row r="29016" spans="23:23" x14ac:dyDescent="0.55000000000000004">
      <c r="W29016"/>
    </row>
    <row r="29017" spans="23:23" x14ac:dyDescent="0.55000000000000004">
      <c r="W29017"/>
    </row>
    <row r="29018" spans="23:23" x14ac:dyDescent="0.55000000000000004">
      <c r="W29018"/>
    </row>
    <row r="29019" spans="23:23" x14ac:dyDescent="0.55000000000000004">
      <c r="W29019"/>
    </row>
    <row r="29020" spans="23:23" x14ac:dyDescent="0.55000000000000004">
      <c r="W29020"/>
    </row>
    <row r="29021" spans="23:23" x14ac:dyDescent="0.55000000000000004">
      <c r="W29021"/>
    </row>
    <row r="29022" spans="23:23" x14ac:dyDescent="0.55000000000000004">
      <c r="W29022"/>
    </row>
    <row r="29023" spans="23:23" x14ac:dyDescent="0.55000000000000004">
      <c r="W29023"/>
    </row>
    <row r="29024" spans="23:23" x14ac:dyDescent="0.55000000000000004">
      <c r="W29024"/>
    </row>
    <row r="29025" spans="23:23" x14ac:dyDescent="0.55000000000000004">
      <c r="W29025"/>
    </row>
    <row r="29026" spans="23:23" x14ac:dyDescent="0.55000000000000004">
      <c r="W29026"/>
    </row>
    <row r="29027" spans="23:23" x14ac:dyDescent="0.55000000000000004">
      <c r="W29027"/>
    </row>
    <row r="29028" spans="23:23" x14ac:dyDescent="0.55000000000000004">
      <c r="W29028"/>
    </row>
    <row r="29029" spans="23:23" x14ac:dyDescent="0.55000000000000004">
      <c r="W29029"/>
    </row>
    <row r="29030" spans="23:23" x14ac:dyDescent="0.55000000000000004">
      <c r="W29030"/>
    </row>
    <row r="29031" spans="23:23" x14ac:dyDescent="0.55000000000000004">
      <c r="W29031"/>
    </row>
    <row r="29032" spans="23:23" x14ac:dyDescent="0.55000000000000004">
      <c r="W29032"/>
    </row>
    <row r="29033" spans="23:23" x14ac:dyDescent="0.55000000000000004">
      <c r="W29033"/>
    </row>
    <row r="29034" spans="23:23" x14ac:dyDescent="0.55000000000000004">
      <c r="W29034"/>
    </row>
    <row r="29035" spans="23:23" x14ac:dyDescent="0.55000000000000004">
      <c r="W29035"/>
    </row>
    <row r="29036" spans="23:23" x14ac:dyDescent="0.55000000000000004">
      <c r="W29036"/>
    </row>
    <row r="29037" spans="23:23" x14ac:dyDescent="0.55000000000000004">
      <c r="W29037"/>
    </row>
    <row r="29038" spans="23:23" x14ac:dyDescent="0.55000000000000004">
      <c r="W29038"/>
    </row>
    <row r="29039" spans="23:23" x14ac:dyDescent="0.55000000000000004">
      <c r="W29039"/>
    </row>
    <row r="29040" spans="23:23" x14ac:dyDescent="0.55000000000000004">
      <c r="W29040"/>
    </row>
    <row r="29041" spans="23:23" x14ac:dyDescent="0.55000000000000004">
      <c r="W29041"/>
    </row>
    <row r="29042" spans="23:23" x14ac:dyDescent="0.55000000000000004">
      <c r="W29042"/>
    </row>
    <row r="29043" spans="23:23" x14ac:dyDescent="0.55000000000000004">
      <c r="W29043"/>
    </row>
    <row r="29044" spans="23:23" x14ac:dyDescent="0.55000000000000004">
      <c r="W29044"/>
    </row>
    <row r="29045" spans="23:23" x14ac:dyDescent="0.55000000000000004">
      <c r="W29045"/>
    </row>
    <row r="29046" spans="23:23" x14ac:dyDescent="0.55000000000000004">
      <c r="W29046"/>
    </row>
    <row r="29047" spans="23:23" x14ac:dyDescent="0.55000000000000004">
      <c r="W29047"/>
    </row>
    <row r="29048" spans="23:23" x14ac:dyDescent="0.55000000000000004">
      <c r="W29048"/>
    </row>
    <row r="29049" spans="23:23" x14ac:dyDescent="0.55000000000000004">
      <c r="W29049"/>
    </row>
    <row r="29050" spans="23:23" x14ac:dyDescent="0.55000000000000004">
      <c r="W29050"/>
    </row>
    <row r="29051" spans="23:23" x14ac:dyDescent="0.55000000000000004">
      <c r="W29051"/>
    </row>
    <row r="29052" spans="23:23" x14ac:dyDescent="0.55000000000000004">
      <c r="W29052"/>
    </row>
    <row r="29053" spans="23:23" x14ac:dyDescent="0.55000000000000004">
      <c r="W29053"/>
    </row>
    <row r="29054" spans="23:23" x14ac:dyDescent="0.55000000000000004">
      <c r="W29054"/>
    </row>
    <row r="29055" spans="23:23" x14ac:dyDescent="0.55000000000000004">
      <c r="W29055"/>
    </row>
    <row r="29056" spans="23:23" x14ac:dyDescent="0.55000000000000004">
      <c r="W29056"/>
    </row>
    <row r="29057" spans="23:23" x14ac:dyDescent="0.55000000000000004">
      <c r="W29057"/>
    </row>
    <row r="29058" spans="23:23" x14ac:dyDescent="0.55000000000000004">
      <c r="W29058"/>
    </row>
    <row r="29059" spans="23:23" x14ac:dyDescent="0.55000000000000004">
      <c r="W29059"/>
    </row>
    <row r="29060" spans="23:23" x14ac:dyDescent="0.55000000000000004">
      <c r="W29060"/>
    </row>
    <row r="29061" spans="23:23" x14ac:dyDescent="0.55000000000000004">
      <c r="W29061"/>
    </row>
    <row r="29062" spans="23:23" x14ac:dyDescent="0.55000000000000004">
      <c r="W29062"/>
    </row>
    <row r="29063" spans="23:23" x14ac:dyDescent="0.55000000000000004">
      <c r="W29063"/>
    </row>
    <row r="29064" spans="23:23" x14ac:dyDescent="0.55000000000000004">
      <c r="W29064"/>
    </row>
    <row r="29065" spans="23:23" x14ac:dyDescent="0.55000000000000004">
      <c r="W29065"/>
    </row>
    <row r="29066" spans="23:23" x14ac:dyDescent="0.55000000000000004">
      <c r="W29066"/>
    </row>
    <row r="29067" spans="23:23" x14ac:dyDescent="0.55000000000000004">
      <c r="W29067"/>
    </row>
    <row r="29068" spans="23:23" x14ac:dyDescent="0.55000000000000004">
      <c r="W29068"/>
    </row>
    <row r="29069" spans="23:23" x14ac:dyDescent="0.55000000000000004">
      <c r="W29069"/>
    </row>
    <row r="29070" spans="23:23" x14ac:dyDescent="0.55000000000000004">
      <c r="W29070"/>
    </row>
    <row r="29071" spans="23:23" x14ac:dyDescent="0.55000000000000004">
      <c r="W29071"/>
    </row>
    <row r="29072" spans="23:23" x14ac:dyDescent="0.55000000000000004">
      <c r="W29072"/>
    </row>
    <row r="29073" spans="23:23" x14ac:dyDescent="0.55000000000000004">
      <c r="W29073"/>
    </row>
    <row r="29074" spans="23:23" x14ac:dyDescent="0.55000000000000004">
      <c r="W29074"/>
    </row>
    <row r="29075" spans="23:23" x14ac:dyDescent="0.55000000000000004">
      <c r="W29075"/>
    </row>
    <row r="29076" spans="23:23" x14ac:dyDescent="0.55000000000000004">
      <c r="W29076"/>
    </row>
    <row r="29077" spans="23:23" x14ac:dyDescent="0.55000000000000004">
      <c r="W29077"/>
    </row>
    <row r="29078" spans="23:23" x14ac:dyDescent="0.55000000000000004">
      <c r="W29078"/>
    </row>
    <row r="29079" spans="23:23" x14ac:dyDescent="0.55000000000000004">
      <c r="W29079"/>
    </row>
    <row r="29080" spans="23:23" x14ac:dyDescent="0.55000000000000004">
      <c r="W29080"/>
    </row>
    <row r="29081" spans="23:23" x14ac:dyDescent="0.55000000000000004">
      <c r="W29081"/>
    </row>
    <row r="29082" spans="23:23" x14ac:dyDescent="0.55000000000000004">
      <c r="W29082"/>
    </row>
    <row r="29083" spans="23:23" x14ac:dyDescent="0.55000000000000004">
      <c r="W29083"/>
    </row>
    <row r="29084" spans="23:23" x14ac:dyDescent="0.55000000000000004">
      <c r="W29084"/>
    </row>
    <row r="29085" spans="23:23" x14ac:dyDescent="0.55000000000000004">
      <c r="W29085"/>
    </row>
    <row r="29086" spans="23:23" x14ac:dyDescent="0.55000000000000004">
      <c r="W29086"/>
    </row>
    <row r="29087" spans="23:23" x14ac:dyDescent="0.55000000000000004">
      <c r="W29087"/>
    </row>
    <row r="29088" spans="23:23" x14ac:dyDescent="0.55000000000000004">
      <c r="W29088"/>
    </row>
    <row r="29089" spans="23:23" x14ac:dyDescent="0.55000000000000004">
      <c r="W29089"/>
    </row>
    <row r="29090" spans="23:23" x14ac:dyDescent="0.55000000000000004">
      <c r="W29090"/>
    </row>
    <row r="29091" spans="23:23" x14ac:dyDescent="0.55000000000000004">
      <c r="W29091"/>
    </row>
    <row r="29092" spans="23:23" x14ac:dyDescent="0.55000000000000004">
      <c r="W29092"/>
    </row>
    <row r="29093" spans="23:23" x14ac:dyDescent="0.55000000000000004">
      <c r="W29093"/>
    </row>
    <row r="29094" spans="23:23" x14ac:dyDescent="0.55000000000000004">
      <c r="W29094"/>
    </row>
    <row r="29095" spans="23:23" x14ac:dyDescent="0.55000000000000004">
      <c r="W29095"/>
    </row>
    <row r="29096" spans="23:23" x14ac:dyDescent="0.55000000000000004">
      <c r="W29096"/>
    </row>
    <row r="29097" spans="23:23" x14ac:dyDescent="0.55000000000000004">
      <c r="W29097"/>
    </row>
    <row r="29098" spans="23:23" x14ac:dyDescent="0.55000000000000004">
      <c r="W29098"/>
    </row>
    <row r="29099" spans="23:23" x14ac:dyDescent="0.55000000000000004">
      <c r="W29099"/>
    </row>
    <row r="29100" spans="23:23" x14ac:dyDescent="0.55000000000000004">
      <c r="W29100"/>
    </row>
    <row r="29101" spans="23:23" x14ac:dyDescent="0.55000000000000004">
      <c r="W29101"/>
    </row>
    <row r="29102" spans="23:23" x14ac:dyDescent="0.55000000000000004">
      <c r="W29102"/>
    </row>
    <row r="29103" spans="23:23" x14ac:dyDescent="0.55000000000000004">
      <c r="W29103"/>
    </row>
    <row r="29104" spans="23:23" x14ac:dyDescent="0.55000000000000004">
      <c r="W29104"/>
    </row>
    <row r="29105" spans="23:23" x14ac:dyDescent="0.55000000000000004">
      <c r="W29105"/>
    </row>
    <row r="29106" spans="23:23" x14ac:dyDescent="0.55000000000000004">
      <c r="W29106"/>
    </row>
    <row r="29107" spans="23:23" x14ac:dyDescent="0.55000000000000004">
      <c r="W29107"/>
    </row>
    <row r="29108" spans="23:23" x14ac:dyDescent="0.55000000000000004">
      <c r="W29108"/>
    </row>
    <row r="29109" spans="23:23" x14ac:dyDescent="0.55000000000000004">
      <c r="W29109"/>
    </row>
    <row r="29110" spans="23:23" x14ac:dyDescent="0.55000000000000004">
      <c r="W29110"/>
    </row>
    <row r="29111" spans="23:23" x14ac:dyDescent="0.55000000000000004">
      <c r="W29111"/>
    </row>
    <row r="29112" spans="23:23" x14ac:dyDescent="0.55000000000000004">
      <c r="W29112"/>
    </row>
    <row r="29113" spans="23:23" x14ac:dyDescent="0.55000000000000004">
      <c r="W29113"/>
    </row>
    <row r="29114" spans="23:23" x14ac:dyDescent="0.55000000000000004">
      <c r="W29114"/>
    </row>
    <row r="29115" spans="23:23" x14ac:dyDescent="0.55000000000000004">
      <c r="W29115"/>
    </row>
    <row r="29116" spans="23:23" x14ac:dyDescent="0.55000000000000004">
      <c r="W29116"/>
    </row>
    <row r="29117" spans="23:23" x14ac:dyDescent="0.55000000000000004">
      <c r="W29117"/>
    </row>
    <row r="29118" spans="23:23" x14ac:dyDescent="0.55000000000000004">
      <c r="W29118"/>
    </row>
    <row r="29119" spans="23:23" x14ac:dyDescent="0.55000000000000004">
      <c r="W29119"/>
    </row>
    <row r="29120" spans="23:23" x14ac:dyDescent="0.55000000000000004">
      <c r="W29120"/>
    </row>
    <row r="29121" spans="23:23" x14ac:dyDescent="0.55000000000000004">
      <c r="W29121"/>
    </row>
    <row r="29122" spans="23:23" x14ac:dyDescent="0.55000000000000004">
      <c r="W29122"/>
    </row>
    <row r="29123" spans="23:23" x14ac:dyDescent="0.55000000000000004">
      <c r="W29123"/>
    </row>
    <row r="29124" spans="23:23" x14ac:dyDescent="0.55000000000000004">
      <c r="W29124"/>
    </row>
    <row r="29125" spans="23:23" x14ac:dyDescent="0.55000000000000004">
      <c r="W29125"/>
    </row>
    <row r="29126" spans="23:23" x14ac:dyDescent="0.55000000000000004">
      <c r="W29126"/>
    </row>
    <row r="29127" spans="23:23" x14ac:dyDescent="0.55000000000000004">
      <c r="W29127"/>
    </row>
    <row r="29128" spans="23:23" x14ac:dyDescent="0.55000000000000004">
      <c r="W29128"/>
    </row>
    <row r="29129" spans="23:23" x14ac:dyDescent="0.55000000000000004">
      <c r="W29129"/>
    </row>
    <row r="29130" spans="23:23" x14ac:dyDescent="0.55000000000000004">
      <c r="W29130"/>
    </row>
    <row r="29131" spans="23:23" x14ac:dyDescent="0.55000000000000004">
      <c r="W29131"/>
    </row>
    <row r="29132" spans="23:23" x14ac:dyDescent="0.55000000000000004">
      <c r="W29132"/>
    </row>
    <row r="29133" spans="23:23" x14ac:dyDescent="0.55000000000000004">
      <c r="W29133"/>
    </row>
    <row r="29134" spans="23:23" x14ac:dyDescent="0.55000000000000004">
      <c r="W29134"/>
    </row>
    <row r="29135" spans="23:23" x14ac:dyDescent="0.55000000000000004">
      <c r="W29135"/>
    </row>
    <row r="29136" spans="23:23" x14ac:dyDescent="0.55000000000000004">
      <c r="W29136"/>
    </row>
    <row r="29137" spans="23:23" x14ac:dyDescent="0.55000000000000004">
      <c r="W29137"/>
    </row>
    <row r="29138" spans="23:23" x14ac:dyDescent="0.55000000000000004">
      <c r="W29138"/>
    </row>
    <row r="29139" spans="23:23" x14ac:dyDescent="0.55000000000000004">
      <c r="W29139"/>
    </row>
    <row r="29140" spans="23:23" x14ac:dyDescent="0.55000000000000004">
      <c r="W29140"/>
    </row>
    <row r="29141" spans="23:23" x14ac:dyDescent="0.55000000000000004">
      <c r="W29141"/>
    </row>
    <row r="29142" spans="23:23" x14ac:dyDescent="0.55000000000000004">
      <c r="W29142"/>
    </row>
    <row r="29143" spans="23:23" x14ac:dyDescent="0.55000000000000004">
      <c r="W29143"/>
    </row>
    <row r="29144" spans="23:23" x14ac:dyDescent="0.55000000000000004">
      <c r="W29144"/>
    </row>
    <row r="29145" spans="23:23" x14ac:dyDescent="0.55000000000000004">
      <c r="W29145"/>
    </row>
    <row r="29146" spans="23:23" x14ac:dyDescent="0.55000000000000004">
      <c r="W29146"/>
    </row>
    <row r="29147" spans="23:23" x14ac:dyDescent="0.55000000000000004">
      <c r="W29147"/>
    </row>
    <row r="29148" spans="23:23" x14ac:dyDescent="0.55000000000000004">
      <c r="W29148"/>
    </row>
    <row r="29149" spans="23:23" x14ac:dyDescent="0.55000000000000004">
      <c r="W29149"/>
    </row>
    <row r="29150" spans="23:23" x14ac:dyDescent="0.55000000000000004">
      <c r="W29150"/>
    </row>
    <row r="29151" spans="23:23" x14ac:dyDescent="0.55000000000000004">
      <c r="W29151"/>
    </row>
    <row r="29152" spans="23:23" x14ac:dyDescent="0.55000000000000004">
      <c r="W29152"/>
    </row>
    <row r="29153" spans="23:23" x14ac:dyDescent="0.55000000000000004">
      <c r="W29153"/>
    </row>
    <row r="29154" spans="23:23" x14ac:dyDescent="0.55000000000000004">
      <c r="W29154"/>
    </row>
    <row r="29155" spans="23:23" x14ac:dyDescent="0.55000000000000004">
      <c r="W29155"/>
    </row>
    <row r="29156" spans="23:23" x14ac:dyDescent="0.55000000000000004">
      <c r="W29156"/>
    </row>
    <row r="29157" spans="23:23" x14ac:dyDescent="0.55000000000000004">
      <c r="W29157"/>
    </row>
    <row r="29158" spans="23:23" x14ac:dyDescent="0.55000000000000004">
      <c r="W29158"/>
    </row>
    <row r="29159" spans="23:23" x14ac:dyDescent="0.55000000000000004">
      <c r="W29159"/>
    </row>
    <row r="29160" spans="23:23" x14ac:dyDescent="0.55000000000000004">
      <c r="W29160"/>
    </row>
    <row r="29161" spans="23:23" x14ac:dyDescent="0.55000000000000004">
      <c r="W29161"/>
    </row>
    <row r="29162" spans="23:23" x14ac:dyDescent="0.55000000000000004">
      <c r="W29162"/>
    </row>
    <row r="29163" spans="23:23" x14ac:dyDescent="0.55000000000000004">
      <c r="W29163"/>
    </row>
    <row r="29164" spans="23:23" x14ac:dyDescent="0.55000000000000004">
      <c r="W29164"/>
    </row>
    <row r="29165" spans="23:23" x14ac:dyDescent="0.55000000000000004">
      <c r="W29165"/>
    </row>
    <row r="29166" spans="23:23" x14ac:dyDescent="0.55000000000000004">
      <c r="W29166"/>
    </row>
    <row r="29167" spans="23:23" x14ac:dyDescent="0.55000000000000004">
      <c r="W29167"/>
    </row>
    <row r="29168" spans="23:23" x14ac:dyDescent="0.55000000000000004">
      <c r="W29168"/>
    </row>
    <row r="29169" spans="23:23" x14ac:dyDescent="0.55000000000000004">
      <c r="W29169"/>
    </row>
    <row r="29170" spans="23:23" x14ac:dyDescent="0.55000000000000004">
      <c r="W29170"/>
    </row>
    <row r="29171" spans="23:23" x14ac:dyDescent="0.55000000000000004">
      <c r="W29171"/>
    </row>
    <row r="29172" spans="23:23" x14ac:dyDescent="0.55000000000000004">
      <c r="W29172"/>
    </row>
    <row r="29173" spans="23:23" x14ac:dyDescent="0.55000000000000004">
      <c r="W29173"/>
    </row>
    <row r="29174" spans="23:23" x14ac:dyDescent="0.55000000000000004">
      <c r="W29174"/>
    </row>
    <row r="29175" spans="23:23" x14ac:dyDescent="0.55000000000000004">
      <c r="W29175"/>
    </row>
    <row r="29176" spans="23:23" x14ac:dyDescent="0.55000000000000004">
      <c r="W29176"/>
    </row>
    <row r="29177" spans="23:23" x14ac:dyDescent="0.55000000000000004">
      <c r="W29177"/>
    </row>
    <row r="29178" spans="23:23" x14ac:dyDescent="0.55000000000000004">
      <c r="W29178"/>
    </row>
    <row r="29179" spans="23:23" x14ac:dyDescent="0.55000000000000004">
      <c r="W29179"/>
    </row>
    <row r="29180" spans="23:23" x14ac:dyDescent="0.55000000000000004">
      <c r="W29180"/>
    </row>
    <row r="29181" spans="23:23" x14ac:dyDescent="0.55000000000000004">
      <c r="W29181"/>
    </row>
    <row r="29182" spans="23:23" x14ac:dyDescent="0.55000000000000004">
      <c r="W29182"/>
    </row>
    <row r="29183" spans="23:23" x14ac:dyDescent="0.55000000000000004">
      <c r="W29183"/>
    </row>
    <row r="29184" spans="23:23" x14ac:dyDescent="0.55000000000000004">
      <c r="W29184"/>
    </row>
    <row r="29185" spans="23:23" x14ac:dyDescent="0.55000000000000004">
      <c r="W29185"/>
    </row>
    <row r="29186" spans="23:23" x14ac:dyDescent="0.55000000000000004">
      <c r="W29186"/>
    </row>
    <row r="29187" spans="23:23" x14ac:dyDescent="0.55000000000000004">
      <c r="W29187"/>
    </row>
    <row r="29188" spans="23:23" x14ac:dyDescent="0.55000000000000004">
      <c r="W29188"/>
    </row>
    <row r="29189" spans="23:23" x14ac:dyDescent="0.55000000000000004">
      <c r="W29189"/>
    </row>
    <row r="29190" spans="23:23" x14ac:dyDescent="0.55000000000000004">
      <c r="W29190"/>
    </row>
    <row r="29191" spans="23:23" x14ac:dyDescent="0.55000000000000004">
      <c r="W29191"/>
    </row>
    <row r="29192" spans="23:23" x14ac:dyDescent="0.55000000000000004">
      <c r="W29192"/>
    </row>
    <row r="29193" spans="23:23" x14ac:dyDescent="0.55000000000000004">
      <c r="W29193"/>
    </row>
    <row r="29194" spans="23:23" x14ac:dyDescent="0.55000000000000004">
      <c r="W29194"/>
    </row>
    <row r="29195" spans="23:23" x14ac:dyDescent="0.55000000000000004">
      <c r="W29195"/>
    </row>
    <row r="29196" spans="23:23" x14ac:dyDescent="0.55000000000000004">
      <c r="W29196"/>
    </row>
    <row r="29197" spans="23:23" x14ac:dyDescent="0.55000000000000004">
      <c r="W29197"/>
    </row>
    <row r="29198" spans="23:23" x14ac:dyDescent="0.55000000000000004">
      <c r="W29198"/>
    </row>
    <row r="29199" spans="23:23" x14ac:dyDescent="0.55000000000000004">
      <c r="W29199"/>
    </row>
    <row r="29200" spans="23:23" x14ac:dyDescent="0.55000000000000004">
      <c r="W29200"/>
    </row>
    <row r="29201" spans="23:23" x14ac:dyDescent="0.55000000000000004">
      <c r="W29201"/>
    </row>
    <row r="29202" spans="23:23" x14ac:dyDescent="0.55000000000000004">
      <c r="W29202"/>
    </row>
    <row r="29203" spans="23:23" x14ac:dyDescent="0.55000000000000004">
      <c r="W29203"/>
    </row>
    <row r="29204" spans="23:23" x14ac:dyDescent="0.55000000000000004">
      <c r="W29204"/>
    </row>
    <row r="29205" spans="23:23" x14ac:dyDescent="0.55000000000000004">
      <c r="W29205"/>
    </row>
    <row r="29206" spans="23:23" x14ac:dyDescent="0.55000000000000004">
      <c r="W29206"/>
    </row>
    <row r="29207" spans="23:23" x14ac:dyDescent="0.55000000000000004">
      <c r="W29207"/>
    </row>
    <row r="29208" spans="23:23" x14ac:dyDescent="0.55000000000000004">
      <c r="W29208"/>
    </row>
    <row r="29209" spans="23:23" x14ac:dyDescent="0.55000000000000004">
      <c r="W29209"/>
    </row>
    <row r="29210" spans="23:23" x14ac:dyDescent="0.55000000000000004">
      <c r="W29210"/>
    </row>
    <row r="29211" spans="23:23" x14ac:dyDescent="0.55000000000000004">
      <c r="W29211"/>
    </row>
    <row r="29212" spans="23:23" x14ac:dyDescent="0.55000000000000004">
      <c r="W29212"/>
    </row>
    <row r="29213" spans="23:23" x14ac:dyDescent="0.55000000000000004">
      <c r="W29213"/>
    </row>
    <row r="29214" spans="23:23" x14ac:dyDescent="0.55000000000000004">
      <c r="W29214"/>
    </row>
    <row r="29215" spans="23:23" x14ac:dyDescent="0.55000000000000004">
      <c r="W29215"/>
    </row>
    <row r="29216" spans="23:23" x14ac:dyDescent="0.55000000000000004">
      <c r="W29216"/>
    </row>
    <row r="29217" spans="23:23" x14ac:dyDescent="0.55000000000000004">
      <c r="W29217"/>
    </row>
    <row r="29218" spans="23:23" x14ac:dyDescent="0.55000000000000004">
      <c r="W29218"/>
    </row>
    <row r="29219" spans="23:23" x14ac:dyDescent="0.55000000000000004">
      <c r="W29219"/>
    </row>
    <row r="29220" spans="23:23" x14ac:dyDescent="0.55000000000000004">
      <c r="W29220"/>
    </row>
    <row r="29221" spans="23:23" x14ac:dyDescent="0.55000000000000004">
      <c r="W29221"/>
    </row>
    <row r="29222" spans="23:23" x14ac:dyDescent="0.55000000000000004">
      <c r="W29222"/>
    </row>
    <row r="29223" spans="23:23" x14ac:dyDescent="0.55000000000000004">
      <c r="W29223"/>
    </row>
    <row r="29224" spans="23:23" x14ac:dyDescent="0.55000000000000004">
      <c r="W29224"/>
    </row>
    <row r="29225" spans="23:23" x14ac:dyDescent="0.55000000000000004">
      <c r="W29225"/>
    </row>
    <row r="29226" spans="23:23" x14ac:dyDescent="0.55000000000000004">
      <c r="W29226"/>
    </row>
    <row r="29227" spans="23:23" x14ac:dyDescent="0.55000000000000004">
      <c r="W29227"/>
    </row>
    <row r="29228" spans="23:23" x14ac:dyDescent="0.55000000000000004">
      <c r="W29228"/>
    </row>
    <row r="29229" spans="23:23" x14ac:dyDescent="0.55000000000000004">
      <c r="W29229"/>
    </row>
    <row r="29230" spans="23:23" x14ac:dyDescent="0.55000000000000004">
      <c r="W29230"/>
    </row>
    <row r="29231" spans="23:23" x14ac:dyDescent="0.55000000000000004">
      <c r="W29231"/>
    </row>
    <row r="29232" spans="23:23" x14ac:dyDescent="0.55000000000000004">
      <c r="W29232"/>
    </row>
    <row r="29233" spans="23:23" x14ac:dyDescent="0.55000000000000004">
      <c r="W29233"/>
    </row>
    <row r="29234" spans="23:23" x14ac:dyDescent="0.55000000000000004">
      <c r="W29234"/>
    </row>
    <row r="29235" spans="23:23" x14ac:dyDescent="0.55000000000000004">
      <c r="W29235"/>
    </row>
    <row r="29236" spans="23:23" x14ac:dyDescent="0.55000000000000004">
      <c r="W29236"/>
    </row>
    <row r="29237" spans="23:23" x14ac:dyDescent="0.55000000000000004">
      <c r="W29237"/>
    </row>
    <row r="29238" spans="23:23" x14ac:dyDescent="0.55000000000000004">
      <c r="W29238"/>
    </row>
    <row r="29239" spans="23:23" x14ac:dyDescent="0.55000000000000004">
      <c r="W29239"/>
    </row>
    <row r="29240" spans="23:23" x14ac:dyDescent="0.55000000000000004">
      <c r="W29240"/>
    </row>
    <row r="29241" spans="23:23" x14ac:dyDescent="0.55000000000000004">
      <c r="W29241"/>
    </row>
    <row r="29242" spans="23:23" x14ac:dyDescent="0.55000000000000004">
      <c r="W29242"/>
    </row>
    <row r="29243" spans="23:23" x14ac:dyDescent="0.55000000000000004">
      <c r="W29243"/>
    </row>
    <row r="29244" spans="23:23" x14ac:dyDescent="0.55000000000000004">
      <c r="W29244"/>
    </row>
    <row r="29245" spans="23:23" x14ac:dyDescent="0.55000000000000004">
      <c r="W29245"/>
    </row>
    <row r="29246" spans="23:23" x14ac:dyDescent="0.55000000000000004">
      <c r="W29246"/>
    </row>
    <row r="29247" spans="23:23" x14ac:dyDescent="0.55000000000000004">
      <c r="W29247"/>
    </row>
    <row r="29248" spans="23:23" x14ac:dyDescent="0.55000000000000004">
      <c r="W29248"/>
    </row>
    <row r="29249" spans="23:23" x14ac:dyDescent="0.55000000000000004">
      <c r="W29249"/>
    </row>
    <row r="29250" spans="23:23" x14ac:dyDescent="0.55000000000000004">
      <c r="W29250"/>
    </row>
    <row r="29251" spans="23:23" x14ac:dyDescent="0.55000000000000004">
      <c r="W29251"/>
    </row>
    <row r="29252" spans="23:23" x14ac:dyDescent="0.55000000000000004">
      <c r="W29252"/>
    </row>
    <row r="29253" spans="23:23" x14ac:dyDescent="0.55000000000000004">
      <c r="W29253"/>
    </row>
    <row r="29254" spans="23:23" x14ac:dyDescent="0.55000000000000004">
      <c r="W29254"/>
    </row>
    <row r="29255" spans="23:23" x14ac:dyDescent="0.55000000000000004">
      <c r="W29255"/>
    </row>
    <row r="29256" spans="23:23" x14ac:dyDescent="0.55000000000000004">
      <c r="W29256"/>
    </row>
    <row r="29257" spans="23:23" x14ac:dyDescent="0.55000000000000004">
      <c r="W29257"/>
    </row>
    <row r="29258" spans="23:23" x14ac:dyDescent="0.55000000000000004">
      <c r="W29258"/>
    </row>
    <row r="29259" spans="23:23" x14ac:dyDescent="0.55000000000000004">
      <c r="W29259"/>
    </row>
    <row r="29260" spans="23:23" x14ac:dyDescent="0.55000000000000004">
      <c r="W29260"/>
    </row>
    <row r="29261" spans="23:23" x14ac:dyDescent="0.55000000000000004">
      <c r="W29261"/>
    </row>
    <row r="29262" spans="23:23" x14ac:dyDescent="0.55000000000000004">
      <c r="W29262"/>
    </row>
    <row r="29263" spans="23:23" x14ac:dyDescent="0.55000000000000004">
      <c r="W29263"/>
    </row>
    <row r="29264" spans="23:23" x14ac:dyDescent="0.55000000000000004">
      <c r="W29264"/>
    </row>
    <row r="29265" spans="23:23" x14ac:dyDescent="0.55000000000000004">
      <c r="W29265"/>
    </row>
    <row r="29266" spans="23:23" x14ac:dyDescent="0.55000000000000004">
      <c r="W29266"/>
    </row>
    <row r="29267" spans="23:23" x14ac:dyDescent="0.55000000000000004">
      <c r="W29267"/>
    </row>
    <row r="29268" spans="23:23" x14ac:dyDescent="0.55000000000000004">
      <c r="W29268"/>
    </row>
    <row r="29269" spans="23:23" x14ac:dyDescent="0.55000000000000004">
      <c r="W29269"/>
    </row>
    <row r="29270" spans="23:23" x14ac:dyDescent="0.55000000000000004">
      <c r="W29270"/>
    </row>
    <row r="29271" spans="23:23" x14ac:dyDescent="0.55000000000000004">
      <c r="W29271"/>
    </row>
    <row r="29272" spans="23:23" x14ac:dyDescent="0.55000000000000004">
      <c r="W29272"/>
    </row>
    <row r="29273" spans="23:23" x14ac:dyDescent="0.55000000000000004">
      <c r="W29273"/>
    </row>
    <row r="29274" spans="23:23" x14ac:dyDescent="0.55000000000000004">
      <c r="W29274"/>
    </row>
    <row r="29275" spans="23:23" x14ac:dyDescent="0.55000000000000004">
      <c r="W29275"/>
    </row>
    <row r="29276" spans="23:23" x14ac:dyDescent="0.55000000000000004">
      <c r="W29276"/>
    </row>
    <row r="29277" spans="23:23" x14ac:dyDescent="0.55000000000000004">
      <c r="W29277"/>
    </row>
    <row r="29278" spans="23:23" x14ac:dyDescent="0.55000000000000004">
      <c r="W29278"/>
    </row>
    <row r="29279" spans="23:23" x14ac:dyDescent="0.55000000000000004">
      <c r="W29279"/>
    </row>
    <row r="29280" spans="23:23" x14ac:dyDescent="0.55000000000000004">
      <c r="W29280"/>
    </row>
    <row r="29281" spans="23:23" x14ac:dyDescent="0.55000000000000004">
      <c r="W29281"/>
    </row>
    <row r="29282" spans="23:23" x14ac:dyDescent="0.55000000000000004">
      <c r="W29282"/>
    </row>
    <row r="29283" spans="23:23" x14ac:dyDescent="0.55000000000000004">
      <c r="W29283"/>
    </row>
    <row r="29284" spans="23:23" x14ac:dyDescent="0.55000000000000004">
      <c r="W29284"/>
    </row>
    <row r="29285" spans="23:23" x14ac:dyDescent="0.55000000000000004">
      <c r="W29285"/>
    </row>
    <row r="29286" spans="23:23" x14ac:dyDescent="0.55000000000000004">
      <c r="W29286"/>
    </row>
    <row r="29287" spans="23:23" x14ac:dyDescent="0.55000000000000004">
      <c r="W29287"/>
    </row>
    <row r="29288" spans="23:23" x14ac:dyDescent="0.55000000000000004">
      <c r="W29288"/>
    </row>
    <row r="29289" spans="23:23" x14ac:dyDescent="0.55000000000000004">
      <c r="W29289"/>
    </row>
    <row r="29290" spans="23:23" x14ac:dyDescent="0.55000000000000004">
      <c r="W29290"/>
    </row>
    <row r="29291" spans="23:23" x14ac:dyDescent="0.55000000000000004">
      <c r="W29291"/>
    </row>
    <row r="29292" spans="23:23" x14ac:dyDescent="0.55000000000000004">
      <c r="W29292"/>
    </row>
    <row r="29293" spans="23:23" x14ac:dyDescent="0.55000000000000004">
      <c r="W29293"/>
    </row>
    <row r="29294" spans="23:23" x14ac:dyDescent="0.55000000000000004">
      <c r="W29294"/>
    </row>
    <row r="29295" spans="23:23" x14ac:dyDescent="0.55000000000000004">
      <c r="W29295"/>
    </row>
    <row r="29296" spans="23:23" x14ac:dyDescent="0.55000000000000004">
      <c r="W29296"/>
    </row>
    <row r="29297" spans="23:23" x14ac:dyDescent="0.55000000000000004">
      <c r="W29297"/>
    </row>
    <row r="29298" spans="23:23" x14ac:dyDescent="0.55000000000000004">
      <c r="W29298"/>
    </row>
    <row r="29299" spans="23:23" x14ac:dyDescent="0.55000000000000004">
      <c r="W29299"/>
    </row>
    <row r="29300" spans="23:23" x14ac:dyDescent="0.55000000000000004">
      <c r="W29300"/>
    </row>
    <row r="29301" spans="23:23" x14ac:dyDescent="0.55000000000000004">
      <c r="W29301"/>
    </row>
    <row r="29302" spans="23:23" x14ac:dyDescent="0.55000000000000004">
      <c r="W29302"/>
    </row>
    <row r="29303" spans="23:23" x14ac:dyDescent="0.55000000000000004">
      <c r="W29303"/>
    </row>
    <row r="29304" spans="23:23" x14ac:dyDescent="0.55000000000000004">
      <c r="W29304"/>
    </row>
    <row r="29305" spans="23:23" x14ac:dyDescent="0.55000000000000004">
      <c r="W29305"/>
    </row>
    <row r="29306" spans="23:23" x14ac:dyDescent="0.55000000000000004">
      <c r="W29306"/>
    </row>
    <row r="29307" spans="23:23" x14ac:dyDescent="0.55000000000000004">
      <c r="W29307"/>
    </row>
    <row r="29308" spans="23:23" x14ac:dyDescent="0.55000000000000004">
      <c r="W29308"/>
    </row>
    <row r="29309" spans="23:23" x14ac:dyDescent="0.55000000000000004">
      <c r="W29309"/>
    </row>
    <row r="29310" spans="23:23" x14ac:dyDescent="0.55000000000000004">
      <c r="W29310"/>
    </row>
    <row r="29311" spans="23:23" x14ac:dyDescent="0.55000000000000004">
      <c r="W29311"/>
    </row>
    <row r="29312" spans="23:23" x14ac:dyDescent="0.55000000000000004">
      <c r="W29312"/>
    </row>
    <row r="29313" spans="23:23" x14ac:dyDescent="0.55000000000000004">
      <c r="W29313"/>
    </row>
    <row r="29314" spans="23:23" x14ac:dyDescent="0.55000000000000004">
      <c r="W29314"/>
    </row>
    <row r="29315" spans="23:23" x14ac:dyDescent="0.55000000000000004">
      <c r="W29315"/>
    </row>
    <row r="29316" spans="23:23" x14ac:dyDescent="0.55000000000000004">
      <c r="W29316"/>
    </row>
    <row r="29317" spans="23:23" x14ac:dyDescent="0.55000000000000004">
      <c r="W29317"/>
    </row>
    <row r="29318" spans="23:23" x14ac:dyDescent="0.55000000000000004">
      <c r="W29318"/>
    </row>
    <row r="29319" spans="23:23" x14ac:dyDescent="0.55000000000000004">
      <c r="W29319"/>
    </row>
    <row r="29320" spans="23:23" x14ac:dyDescent="0.55000000000000004">
      <c r="W29320"/>
    </row>
    <row r="29321" spans="23:23" x14ac:dyDescent="0.55000000000000004">
      <c r="W29321"/>
    </row>
    <row r="29322" spans="23:23" x14ac:dyDescent="0.55000000000000004">
      <c r="W29322"/>
    </row>
    <row r="29323" spans="23:23" x14ac:dyDescent="0.55000000000000004">
      <c r="W29323"/>
    </row>
    <row r="29324" spans="23:23" x14ac:dyDescent="0.55000000000000004">
      <c r="W29324"/>
    </row>
    <row r="29325" spans="23:23" x14ac:dyDescent="0.55000000000000004">
      <c r="W29325"/>
    </row>
    <row r="29326" spans="23:23" x14ac:dyDescent="0.55000000000000004">
      <c r="W29326"/>
    </row>
    <row r="29327" spans="23:23" x14ac:dyDescent="0.55000000000000004">
      <c r="W29327"/>
    </row>
    <row r="29328" spans="23:23" x14ac:dyDescent="0.55000000000000004">
      <c r="W29328"/>
    </row>
    <row r="29329" spans="23:23" x14ac:dyDescent="0.55000000000000004">
      <c r="W29329"/>
    </row>
    <row r="29330" spans="23:23" x14ac:dyDescent="0.55000000000000004">
      <c r="W29330"/>
    </row>
    <row r="29331" spans="23:23" x14ac:dyDescent="0.55000000000000004">
      <c r="W29331"/>
    </row>
    <row r="29332" spans="23:23" x14ac:dyDescent="0.55000000000000004">
      <c r="W29332"/>
    </row>
    <row r="29333" spans="23:23" x14ac:dyDescent="0.55000000000000004">
      <c r="W29333"/>
    </row>
    <row r="29334" spans="23:23" x14ac:dyDescent="0.55000000000000004">
      <c r="W29334"/>
    </row>
    <row r="29335" spans="23:23" x14ac:dyDescent="0.55000000000000004">
      <c r="W29335"/>
    </row>
    <row r="29336" spans="23:23" x14ac:dyDescent="0.55000000000000004">
      <c r="W29336"/>
    </row>
    <row r="29337" spans="23:23" x14ac:dyDescent="0.55000000000000004">
      <c r="W29337"/>
    </row>
    <row r="29338" spans="23:23" x14ac:dyDescent="0.55000000000000004">
      <c r="W29338"/>
    </row>
    <row r="29339" spans="23:23" x14ac:dyDescent="0.55000000000000004">
      <c r="W29339"/>
    </row>
    <row r="29340" spans="23:23" x14ac:dyDescent="0.55000000000000004">
      <c r="W29340"/>
    </row>
    <row r="29341" spans="23:23" x14ac:dyDescent="0.55000000000000004">
      <c r="W29341"/>
    </row>
    <row r="29342" spans="23:23" x14ac:dyDescent="0.55000000000000004">
      <c r="W29342"/>
    </row>
    <row r="29343" spans="23:23" x14ac:dyDescent="0.55000000000000004">
      <c r="W29343"/>
    </row>
    <row r="29344" spans="23:23" x14ac:dyDescent="0.55000000000000004">
      <c r="W29344"/>
    </row>
    <row r="29345" spans="23:23" x14ac:dyDescent="0.55000000000000004">
      <c r="W29345"/>
    </row>
    <row r="29346" spans="23:23" x14ac:dyDescent="0.55000000000000004">
      <c r="W29346"/>
    </row>
    <row r="29347" spans="23:23" x14ac:dyDescent="0.55000000000000004">
      <c r="W29347"/>
    </row>
    <row r="29348" spans="23:23" x14ac:dyDescent="0.55000000000000004">
      <c r="W29348"/>
    </row>
    <row r="29349" spans="23:23" x14ac:dyDescent="0.55000000000000004">
      <c r="W29349"/>
    </row>
    <row r="29350" spans="23:23" x14ac:dyDescent="0.55000000000000004">
      <c r="W29350"/>
    </row>
    <row r="29351" spans="23:23" x14ac:dyDescent="0.55000000000000004">
      <c r="W29351"/>
    </row>
    <row r="29352" spans="23:23" x14ac:dyDescent="0.55000000000000004">
      <c r="W29352"/>
    </row>
    <row r="29353" spans="23:23" x14ac:dyDescent="0.55000000000000004">
      <c r="W29353"/>
    </row>
    <row r="29354" spans="23:23" x14ac:dyDescent="0.55000000000000004">
      <c r="W29354"/>
    </row>
    <row r="29355" spans="23:23" x14ac:dyDescent="0.55000000000000004">
      <c r="W29355"/>
    </row>
    <row r="29356" spans="23:23" x14ac:dyDescent="0.55000000000000004">
      <c r="W29356"/>
    </row>
    <row r="29357" spans="23:23" x14ac:dyDescent="0.55000000000000004">
      <c r="W29357"/>
    </row>
    <row r="29358" spans="23:23" x14ac:dyDescent="0.55000000000000004">
      <c r="W29358"/>
    </row>
    <row r="29359" spans="23:23" x14ac:dyDescent="0.55000000000000004">
      <c r="W29359"/>
    </row>
    <row r="29360" spans="23:23" x14ac:dyDescent="0.55000000000000004">
      <c r="W29360"/>
    </row>
    <row r="29361" spans="23:23" x14ac:dyDescent="0.55000000000000004">
      <c r="W29361"/>
    </row>
    <row r="29362" spans="23:23" x14ac:dyDescent="0.55000000000000004">
      <c r="W29362"/>
    </row>
    <row r="29363" spans="23:23" x14ac:dyDescent="0.55000000000000004">
      <c r="W29363"/>
    </row>
    <row r="29364" spans="23:23" x14ac:dyDescent="0.55000000000000004">
      <c r="W29364"/>
    </row>
    <row r="29365" spans="23:23" x14ac:dyDescent="0.55000000000000004">
      <c r="W29365"/>
    </row>
    <row r="29366" spans="23:23" x14ac:dyDescent="0.55000000000000004">
      <c r="W29366"/>
    </row>
    <row r="29367" spans="23:23" x14ac:dyDescent="0.55000000000000004">
      <c r="W29367"/>
    </row>
    <row r="29368" spans="23:23" x14ac:dyDescent="0.55000000000000004">
      <c r="W29368"/>
    </row>
    <row r="29369" spans="23:23" x14ac:dyDescent="0.55000000000000004">
      <c r="W29369"/>
    </row>
    <row r="29370" spans="23:23" x14ac:dyDescent="0.55000000000000004">
      <c r="W29370"/>
    </row>
    <row r="29371" spans="23:23" x14ac:dyDescent="0.55000000000000004">
      <c r="W29371"/>
    </row>
    <row r="29372" spans="23:23" x14ac:dyDescent="0.55000000000000004">
      <c r="W29372"/>
    </row>
    <row r="29373" spans="23:23" x14ac:dyDescent="0.55000000000000004">
      <c r="W29373"/>
    </row>
    <row r="29374" spans="23:23" x14ac:dyDescent="0.55000000000000004">
      <c r="W29374"/>
    </row>
    <row r="29375" spans="23:23" x14ac:dyDescent="0.55000000000000004">
      <c r="W29375"/>
    </row>
    <row r="29376" spans="23:23" x14ac:dyDescent="0.55000000000000004">
      <c r="W29376"/>
    </row>
    <row r="29377" spans="23:23" x14ac:dyDescent="0.55000000000000004">
      <c r="W29377"/>
    </row>
    <row r="29378" spans="23:23" x14ac:dyDescent="0.55000000000000004">
      <c r="W29378"/>
    </row>
    <row r="29379" spans="23:23" x14ac:dyDescent="0.55000000000000004">
      <c r="W29379"/>
    </row>
    <row r="29380" spans="23:23" x14ac:dyDescent="0.55000000000000004">
      <c r="W29380"/>
    </row>
    <row r="29381" spans="23:23" x14ac:dyDescent="0.55000000000000004">
      <c r="W29381"/>
    </row>
    <row r="29382" spans="23:23" x14ac:dyDescent="0.55000000000000004">
      <c r="W29382"/>
    </row>
    <row r="29383" spans="23:23" x14ac:dyDescent="0.55000000000000004">
      <c r="W29383"/>
    </row>
    <row r="29384" spans="23:23" x14ac:dyDescent="0.55000000000000004">
      <c r="W29384"/>
    </row>
    <row r="29385" spans="23:23" x14ac:dyDescent="0.55000000000000004">
      <c r="W29385"/>
    </row>
    <row r="29386" spans="23:23" x14ac:dyDescent="0.55000000000000004">
      <c r="W29386"/>
    </row>
    <row r="29387" spans="23:23" x14ac:dyDescent="0.55000000000000004">
      <c r="W29387"/>
    </row>
    <row r="29388" spans="23:23" x14ac:dyDescent="0.55000000000000004">
      <c r="W29388"/>
    </row>
    <row r="29389" spans="23:23" x14ac:dyDescent="0.55000000000000004">
      <c r="W29389"/>
    </row>
    <row r="29390" spans="23:23" x14ac:dyDescent="0.55000000000000004">
      <c r="W29390"/>
    </row>
    <row r="29391" spans="23:23" x14ac:dyDescent="0.55000000000000004">
      <c r="W29391"/>
    </row>
    <row r="29392" spans="23:23" x14ac:dyDescent="0.55000000000000004">
      <c r="W29392"/>
    </row>
    <row r="29393" spans="23:23" x14ac:dyDescent="0.55000000000000004">
      <c r="W29393"/>
    </row>
    <row r="29394" spans="23:23" x14ac:dyDescent="0.55000000000000004">
      <c r="W29394"/>
    </row>
    <row r="29395" spans="23:23" x14ac:dyDescent="0.55000000000000004">
      <c r="W29395"/>
    </row>
    <row r="29396" spans="23:23" x14ac:dyDescent="0.55000000000000004">
      <c r="W29396"/>
    </row>
    <row r="29397" spans="23:23" x14ac:dyDescent="0.55000000000000004">
      <c r="W29397"/>
    </row>
    <row r="29398" spans="23:23" x14ac:dyDescent="0.55000000000000004">
      <c r="W29398"/>
    </row>
    <row r="29399" spans="23:23" x14ac:dyDescent="0.55000000000000004">
      <c r="W29399"/>
    </row>
    <row r="29400" spans="23:23" x14ac:dyDescent="0.55000000000000004">
      <c r="W29400"/>
    </row>
    <row r="29401" spans="23:23" x14ac:dyDescent="0.55000000000000004">
      <c r="W29401"/>
    </row>
    <row r="29402" spans="23:23" x14ac:dyDescent="0.55000000000000004">
      <c r="W29402"/>
    </row>
    <row r="29403" spans="23:23" x14ac:dyDescent="0.55000000000000004">
      <c r="W29403"/>
    </row>
    <row r="29404" spans="23:23" x14ac:dyDescent="0.55000000000000004">
      <c r="W29404"/>
    </row>
    <row r="29405" spans="23:23" x14ac:dyDescent="0.55000000000000004">
      <c r="W29405"/>
    </row>
    <row r="29406" spans="23:23" x14ac:dyDescent="0.55000000000000004">
      <c r="W29406"/>
    </row>
    <row r="29407" spans="23:23" x14ac:dyDescent="0.55000000000000004">
      <c r="W29407"/>
    </row>
    <row r="29408" spans="23:23" x14ac:dyDescent="0.55000000000000004">
      <c r="W29408"/>
    </row>
    <row r="29409" spans="23:23" x14ac:dyDescent="0.55000000000000004">
      <c r="W29409"/>
    </row>
    <row r="29410" spans="23:23" x14ac:dyDescent="0.55000000000000004">
      <c r="W29410"/>
    </row>
    <row r="29411" spans="23:23" x14ac:dyDescent="0.55000000000000004">
      <c r="W29411"/>
    </row>
    <row r="29412" spans="23:23" x14ac:dyDescent="0.55000000000000004">
      <c r="W29412"/>
    </row>
    <row r="29413" spans="23:23" x14ac:dyDescent="0.55000000000000004">
      <c r="W29413"/>
    </row>
    <row r="29414" spans="23:23" x14ac:dyDescent="0.55000000000000004">
      <c r="W29414"/>
    </row>
    <row r="29415" spans="23:23" x14ac:dyDescent="0.55000000000000004">
      <c r="W29415"/>
    </row>
    <row r="29416" spans="23:23" x14ac:dyDescent="0.55000000000000004">
      <c r="W29416"/>
    </row>
    <row r="29417" spans="23:23" x14ac:dyDescent="0.55000000000000004">
      <c r="W29417"/>
    </row>
    <row r="29418" spans="23:23" x14ac:dyDescent="0.55000000000000004">
      <c r="W29418"/>
    </row>
    <row r="29419" spans="23:23" x14ac:dyDescent="0.55000000000000004">
      <c r="W29419"/>
    </row>
    <row r="29420" spans="23:23" x14ac:dyDescent="0.55000000000000004">
      <c r="W29420"/>
    </row>
    <row r="29421" spans="23:23" x14ac:dyDescent="0.55000000000000004">
      <c r="W29421"/>
    </row>
    <row r="29422" spans="23:23" x14ac:dyDescent="0.55000000000000004">
      <c r="W29422"/>
    </row>
    <row r="29423" spans="23:23" x14ac:dyDescent="0.55000000000000004">
      <c r="W29423"/>
    </row>
    <row r="29424" spans="23:23" x14ac:dyDescent="0.55000000000000004">
      <c r="W29424"/>
    </row>
    <row r="29425" spans="23:23" x14ac:dyDescent="0.55000000000000004">
      <c r="W29425"/>
    </row>
    <row r="29426" spans="23:23" x14ac:dyDescent="0.55000000000000004">
      <c r="W29426"/>
    </row>
    <row r="29427" spans="23:23" x14ac:dyDescent="0.55000000000000004">
      <c r="W29427"/>
    </row>
    <row r="29428" spans="23:23" x14ac:dyDescent="0.55000000000000004">
      <c r="W29428"/>
    </row>
    <row r="29429" spans="23:23" x14ac:dyDescent="0.55000000000000004">
      <c r="W29429"/>
    </row>
    <row r="29430" spans="23:23" x14ac:dyDescent="0.55000000000000004">
      <c r="W29430"/>
    </row>
    <row r="29431" spans="23:23" x14ac:dyDescent="0.55000000000000004">
      <c r="W29431"/>
    </row>
    <row r="29432" spans="23:23" x14ac:dyDescent="0.55000000000000004">
      <c r="W29432"/>
    </row>
    <row r="29433" spans="23:23" x14ac:dyDescent="0.55000000000000004">
      <c r="W29433"/>
    </row>
    <row r="29434" spans="23:23" x14ac:dyDescent="0.55000000000000004">
      <c r="W29434"/>
    </row>
    <row r="29435" spans="23:23" x14ac:dyDescent="0.55000000000000004">
      <c r="W29435"/>
    </row>
    <row r="29436" spans="23:23" x14ac:dyDescent="0.55000000000000004">
      <c r="W29436"/>
    </row>
    <row r="29437" spans="23:23" x14ac:dyDescent="0.55000000000000004">
      <c r="W29437"/>
    </row>
    <row r="29438" spans="23:23" x14ac:dyDescent="0.55000000000000004">
      <c r="W29438"/>
    </row>
    <row r="29439" spans="23:23" x14ac:dyDescent="0.55000000000000004">
      <c r="W29439"/>
    </row>
    <row r="29440" spans="23:23" x14ac:dyDescent="0.55000000000000004">
      <c r="W29440"/>
    </row>
    <row r="29441" spans="23:23" x14ac:dyDescent="0.55000000000000004">
      <c r="W29441"/>
    </row>
    <row r="29442" spans="23:23" x14ac:dyDescent="0.55000000000000004">
      <c r="W29442"/>
    </row>
    <row r="29443" spans="23:23" x14ac:dyDescent="0.55000000000000004">
      <c r="W29443"/>
    </row>
    <row r="29444" spans="23:23" x14ac:dyDescent="0.55000000000000004">
      <c r="W29444"/>
    </row>
    <row r="29445" spans="23:23" x14ac:dyDescent="0.55000000000000004">
      <c r="W29445"/>
    </row>
    <row r="29446" spans="23:23" x14ac:dyDescent="0.55000000000000004">
      <c r="W29446"/>
    </row>
    <row r="29447" spans="23:23" x14ac:dyDescent="0.55000000000000004">
      <c r="W29447"/>
    </row>
    <row r="29448" spans="23:23" x14ac:dyDescent="0.55000000000000004">
      <c r="W29448"/>
    </row>
    <row r="29449" spans="23:23" x14ac:dyDescent="0.55000000000000004">
      <c r="W29449"/>
    </row>
    <row r="29450" spans="23:23" x14ac:dyDescent="0.55000000000000004">
      <c r="W29450"/>
    </row>
    <row r="29451" spans="23:23" x14ac:dyDescent="0.55000000000000004">
      <c r="W29451"/>
    </row>
    <row r="29452" spans="23:23" x14ac:dyDescent="0.55000000000000004">
      <c r="W29452"/>
    </row>
    <row r="29453" spans="23:23" x14ac:dyDescent="0.55000000000000004">
      <c r="W29453"/>
    </row>
    <row r="29454" spans="23:23" x14ac:dyDescent="0.55000000000000004">
      <c r="W29454"/>
    </row>
    <row r="29455" spans="23:23" x14ac:dyDescent="0.55000000000000004">
      <c r="W29455"/>
    </row>
    <row r="29456" spans="23:23" x14ac:dyDescent="0.55000000000000004">
      <c r="W29456"/>
    </row>
    <row r="29457" spans="23:23" x14ac:dyDescent="0.55000000000000004">
      <c r="W29457"/>
    </row>
    <row r="29458" spans="23:23" x14ac:dyDescent="0.55000000000000004">
      <c r="W29458"/>
    </row>
    <row r="29459" spans="23:23" x14ac:dyDescent="0.55000000000000004">
      <c r="W29459"/>
    </row>
    <row r="29460" spans="23:23" x14ac:dyDescent="0.55000000000000004">
      <c r="W29460"/>
    </row>
    <row r="29461" spans="23:23" x14ac:dyDescent="0.55000000000000004">
      <c r="W29461"/>
    </row>
    <row r="29462" spans="23:23" x14ac:dyDescent="0.55000000000000004">
      <c r="W29462"/>
    </row>
    <row r="29463" spans="23:23" x14ac:dyDescent="0.55000000000000004">
      <c r="W29463"/>
    </row>
    <row r="29464" spans="23:23" x14ac:dyDescent="0.55000000000000004">
      <c r="W29464"/>
    </row>
    <row r="29465" spans="23:23" x14ac:dyDescent="0.55000000000000004">
      <c r="W29465"/>
    </row>
    <row r="29466" spans="23:23" x14ac:dyDescent="0.55000000000000004">
      <c r="W29466"/>
    </row>
    <row r="29467" spans="23:23" x14ac:dyDescent="0.55000000000000004">
      <c r="W29467"/>
    </row>
    <row r="29468" spans="23:23" x14ac:dyDescent="0.55000000000000004">
      <c r="W29468"/>
    </row>
    <row r="29469" spans="23:23" x14ac:dyDescent="0.55000000000000004">
      <c r="W29469"/>
    </row>
    <row r="29470" spans="23:23" x14ac:dyDescent="0.55000000000000004">
      <c r="W29470"/>
    </row>
    <row r="29471" spans="23:23" x14ac:dyDescent="0.55000000000000004">
      <c r="W29471"/>
    </row>
    <row r="29472" spans="23:23" x14ac:dyDescent="0.55000000000000004">
      <c r="W29472"/>
    </row>
    <row r="29473" spans="23:23" x14ac:dyDescent="0.55000000000000004">
      <c r="W29473"/>
    </row>
    <row r="29474" spans="23:23" x14ac:dyDescent="0.55000000000000004">
      <c r="W29474"/>
    </row>
    <row r="29475" spans="23:23" x14ac:dyDescent="0.55000000000000004">
      <c r="W29475"/>
    </row>
    <row r="29476" spans="23:23" x14ac:dyDescent="0.55000000000000004">
      <c r="W29476"/>
    </row>
    <row r="29477" spans="23:23" x14ac:dyDescent="0.55000000000000004">
      <c r="W29477"/>
    </row>
    <row r="29478" spans="23:23" x14ac:dyDescent="0.55000000000000004">
      <c r="W29478"/>
    </row>
    <row r="29479" spans="23:23" x14ac:dyDescent="0.55000000000000004">
      <c r="W29479"/>
    </row>
    <row r="29480" spans="23:23" x14ac:dyDescent="0.55000000000000004">
      <c r="W29480"/>
    </row>
    <row r="29481" spans="23:23" x14ac:dyDescent="0.55000000000000004">
      <c r="W29481"/>
    </row>
    <row r="29482" spans="23:23" x14ac:dyDescent="0.55000000000000004">
      <c r="W29482"/>
    </row>
    <row r="29483" spans="23:23" x14ac:dyDescent="0.55000000000000004">
      <c r="W29483"/>
    </row>
    <row r="29484" spans="23:23" x14ac:dyDescent="0.55000000000000004">
      <c r="W29484"/>
    </row>
    <row r="29485" spans="23:23" x14ac:dyDescent="0.55000000000000004">
      <c r="W29485"/>
    </row>
    <row r="29486" spans="23:23" x14ac:dyDescent="0.55000000000000004">
      <c r="W29486"/>
    </row>
    <row r="29487" spans="23:23" x14ac:dyDescent="0.55000000000000004">
      <c r="W29487"/>
    </row>
    <row r="29488" spans="23:23" x14ac:dyDescent="0.55000000000000004">
      <c r="W29488"/>
    </row>
    <row r="29489" spans="23:23" x14ac:dyDescent="0.55000000000000004">
      <c r="W29489"/>
    </row>
    <row r="29490" spans="23:23" x14ac:dyDescent="0.55000000000000004">
      <c r="W29490"/>
    </row>
    <row r="29491" spans="23:23" x14ac:dyDescent="0.55000000000000004">
      <c r="W29491"/>
    </row>
    <row r="29492" spans="23:23" x14ac:dyDescent="0.55000000000000004">
      <c r="W29492"/>
    </row>
    <row r="29493" spans="23:23" x14ac:dyDescent="0.55000000000000004">
      <c r="W29493"/>
    </row>
    <row r="29494" spans="23:23" x14ac:dyDescent="0.55000000000000004">
      <c r="W29494"/>
    </row>
    <row r="29495" spans="23:23" x14ac:dyDescent="0.55000000000000004">
      <c r="W29495"/>
    </row>
    <row r="29496" spans="23:23" x14ac:dyDescent="0.55000000000000004">
      <c r="W29496"/>
    </row>
    <row r="29497" spans="23:23" x14ac:dyDescent="0.55000000000000004">
      <c r="W29497"/>
    </row>
    <row r="29498" spans="23:23" x14ac:dyDescent="0.55000000000000004">
      <c r="W29498"/>
    </row>
    <row r="29499" spans="23:23" x14ac:dyDescent="0.55000000000000004">
      <c r="W29499"/>
    </row>
    <row r="29500" spans="23:23" x14ac:dyDescent="0.55000000000000004">
      <c r="W29500"/>
    </row>
    <row r="29501" spans="23:23" x14ac:dyDescent="0.55000000000000004">
      <c r="W29501"/>
    </row>
    <row r="29502" spans="23:23" x14ac:dyDescent="0.55000000000000004">
      <c r="W29502"/>
    </row>
    <row r="29503" spans="23:23" x14ac:dyDescent="0.55000000000000004">
      <c r="W29503"/>
    </row>
    <row r="29504" spans="23:23" x14ac:dyDescent="0.55000000000000004">
      <c r="W29504"/>
    </row>
    <row r="29505" spans="23:23" x14ac:dyDescent="0.55000000000000004">
      <c r="W29505"/>
    </row>
    <row r="29506" spans="23:23" x14ac:dyDescent="0.55000000000000004">
      <c r="W29506"/>
    </row>
    <row r="29507" spans="23:23" x14ac:dyDescent="0.55000000000000004">
      <c r="W29507"/>
    </row>
    <row r="29508" spans="23:23" x14ac:dyDescent="0.55000000000000004">
      <c r="W29508"/>
    </row>
    <row r="29509" spans="23:23" x14ac:dyDescent="0.55000000000000004">
      <c r="W29509"/>
    </row>
    <row r="29510" spans="23:23" x14ac:dyDescent="0.55000000000000004">
      <c r="W29510"/>
    </row>
    <row r="29511" spans="23:23" x14ac:dyDescent="0.55000000000000004">
      <c r="W29511"/>
    </row>
    <row r="29512" spans="23:23" x14ac:dyDescent="0.55000000000000004">
      <c r="W29512"/>
    </row>
    <row r="29513" spans="23:23" x14ac:dyDescent="0.55000000000000004">
      <c r="W29513"/>
    </row>
    <row r="29514" spans="23:23" x14ac:dyDescent="0.55000000000000004">
      <c r="W29514"/>
    </row>
    <row r="29515" spans="23:23" x14ac:dyDescent="0.55000000000000004">
      <c r="W29515"/>
    </row>
    <row r="29516" spans="23:23" x14ac:dyDescent="0.55000000000000004">
      <c r="W29516"/>
    </row>
    <row r="29517" spans="23:23" x14ac:dyDescent="0.55000000000000004">
      <c r="W29517"/>
    </row>
    <row r="29518" spans="23:23" x14ac:dyDescent="0.55000000000000004">
      <c r="W29518"/>
    </row>
    <row r="29519" spans="23:23" x14ac:dyDescent="0.55000000000000004">
      <c r="W29519"/>
    </row>
    <row r="29520" spans="23:23" x14ac:dyDescent="0.55000000000000004">
      <c r="W29520"/>
    </row>
    <row r="29521" spans="23:23" x14ac:dyDescent="0.55000000000000004">
      <c r="W29521"/>
    </row>
    <row r="29522" spans="23:23" x14ac:dyDescent="0.55000000000000004">
      <c r="W29522"/>
    </row>
    <row r="29523" spans="23:23" x14ac:dyDescent="0.55000000000000004">
      <c r="W29523"/>
    </row>
    <row r="29524" spans="23:23" x14ac:dyDescent="0.55000000000000004">
      <c r="W29524"/>
    </row>
    <row r="29525" spans="23:23" x14ac:dyDescent="0.55000000000000004">
      <c r="W29525"/>
    </row>
    <row r="29526" spans="23:23" x14ac:dyDescent="0.55000000000000004">
      <c r="W29526"/>
    </row>
    <row r="29527" spans="23:23" x14ac:dyDescent="0.55000000000000004">
      <c r="W29527"/>
    </row>
    <row r="29528" spans="23:23" x14ac:dyDescent="0.55000000000000004">
      <c r="W29528"/>
    </row>
    <row r="29529" spans="23:23" x14ac:dyDescent="0.55000000000000004">
      <c r="W29529"/>
    </row>
    <row r="29530" spans="23:23" x14ac:dyDescent="0.55000000000000004">
      <c r="W29530"/>
    </row>
    <row r="29531" spans="23:23" x14ac:dyDescent="0.55000000000000004">
      <c r="W29531"/>
    </row>
    <row r="29532" spans="23:23" x14ac:dyDescent="0.55000000000000004">
      <c r="W29532"/>
    </row>
    <row r="29533" spans="23:23" x14ac:dyDescent="0.55000000000000004">
      <c r="W29533"/>
    </row>
    <row r="29534" spans="23:23" x14ac:dyDescent="0.55000000000000004">
      <c r="W29534"/>
    </row>
    <row r="29535" spans="23:23" x14ac:dyDescent="0.55000000000000004">
      <c r="W29535"/>
    </row>
    <row r="29536" spans="23:23" x14ac:dyDescent="0.55000000000000004">
      <c r="W29536"/>
    </row>
    <row r="29537" spans="23:23" x14ac:dyDescent="0.55000000000000004">
      <c r="W29537"/>
    </row>
    <row r="29538" spans="23:23" x14ac:dyDescent="0.55000000000000004">
      <c r="W29538"/>
    </row>
    <row r="29539" spans="23:23" x14ac:dyDescent="0.55000000000000004">
      <c r="W29539"/>
    </row>
    <row r="29540" spans="23:23" x14ac:dyDescent="0.55000000000000004">
      <c r="W29540"/>
    </row>
    <row r="29541" spans="23:23" x14ac:dyDescent="0.55000000000000004">
      <c r="W29541"/>
    </row>
    <row r="29542" spans="23:23" x14ac:dyDescent="0.55000000000000004">
      <c r="W29542"/>
    </row>
    <row r="29543" spans="23:23" x14ac:dyDescent="0.55000000000000004">
      <c r="W29543"/>
    </row>
    <row r="29544" spans="23:23" x14ac:dyDescent="0.55000000000000004">
      <c r="W29544"/>
    </row>
    <row r="29545" spans="23:23" x14ac:dyDescent="0.55000000000000004">
      <c r="W29545"/>
    </row>
    <row r="29546" spans="23:23" x14ac:dyDescent="0.55000000000000004">
      <c r="W29546"/>
    </row>
    <row r="29547" spans="23:23" x14ac:dyDescent="0.55000000000000004">
      <c r="W29547"/>
    </row>
    <row r="29548" spans="23:23" x14ac:dyDescent="0.55000000000000004">
      <c r="W29548"/>
    </row>
    <row r="29549" spans="23:23" x14ac:dyDescent="0.55000000000000004">
      <c r="W29549"/>
    </row>
    <row r="29550" spans="23:23" x14ac:dyDescent="0.55000000000000004">
      <c r="W29550"/>
    </row>
    <row r="29551" spans="23:23" x14ac:dyDescent="0.55000000000000004">
      <c r="W29551"/>
    </row>
    <row r="29552" spans="23:23" x14ac:dyDescent="0.55000000000000004">
      <c r="W29552"/>
    </row>
    <row r="29553" spans="23:23" x14ac:dyDescent="0.55000000000000004">
      <c r="W29553"/>
    </row>
    <row r="29554" spans="23:23" x14ac:dyDescent="0.55000000000000004">
      <c r="W29554"/>
    </row>
    <row r="29555" spans="23:23" x14ac:dyDescent="0.55000000000000004">
      <c r="W29555"/>
    </row>
    <row r="29556" spans="23:23" x14ac:dyDescent="0.55000000000000004">
      <c r="W29556"/>
    </row>
    <row r="29557" spans="23:23" x14ac:dyDescent="0.55000000000000004">
      <c r="W29557"/>
    </row>
    <row r="29558" spans="23:23" x14ac:dyDescent="0.55000000000000004">
      <c r="W29558"/>
    </row>
    <row r="29559" spans="23:23" x14ac:dyDescent="0.55000000000000004">
      <c r="W29559"/>
    </row>
    <row r="29560" spans="23:23" x14ac:dyDescent="0.55000000000000004">
      <c r="W29560"/>
    </row>
    <row r="29561" spans="23:23" x14ac:dyDescent="0.55000000000000004">
      <c r="W29561"/>
    </row>
    <row r="29562" spans="23:23" x14ac:dyDescent="0.55000000000000004">
      <c r="W29562"/>
    </row>
    <row r="29563" spans="23:23" x14ac:dyDescent="0.55000000000000004">
      <c r="W29563"/>
    </row>
    <row r="29564" spans="23:23" x14ac:dyDescent="0.55000000000000004">
      <c r="W29564"/>
    </row>
    <row r="29565" spans="23:23" x14ac:dyDescent="0.55000000000000004">
      <c r="W29565"/>
    </row>
    <row r="29566" spans="23:23" x14ac:dyDescent="0.55000000000000004">
      <c r="W29566"/>
    </row>
    <row r="29567" spans="23:23" x14ac:dyDescent="0.55000000000000004">
      <c r="W29567"/>
    </row>
    <row r="29568" spans="23:23" x14ac:dyDescent="0.55000000000000004">
      <c r="W29568"/>
    </row>
    <row r="29569" spans="23:23" x14ac:dyDescent="0.55000000000000004">
      <c r="W29569"/>
    </row>
    <row r="29570" spans="23:23" x14ac:dyDescent="0.55000000000000004">
      <c r="W29570"/>
    </row>
    <row r="29571" spans="23:23" x14ac:dyDescent="0.55000000000000004">
      <c r="W29571"/>
    </row>
    <row r="29572" spans="23:23" x14ac:dyDescent="0.55000000000000004">
      <c r="W29572"/>
    </row>
    <row r="29573" spans="23:23" x14ac:dyDescent="0.55000000000000004">
      <c r="W29573"/>
    </row>
    <row r="29574" spans="23:23" x14ac:dyDescent="0.55000000000000004">
      <c r="W29574"/>
    </row>
    <row r="29575" spans="23:23" x14ac:dyDescent="0.55000000000000004">
      <c r="W29575"/>
    </row>
    <row r="29576" spans="23:23" x14ac:dyDescent="0.55000000000000004">
      <c r="W29576"/>
    </row>
    <row r="29577" spans="23:23" x14ac:dyDescent="0.55000000000000004">
      <c r="W29577"/>
    </row>
    <row r="29578" spans="23:23" x14ac:dyDescent="0.55000000000000004">
      <c r="W29578"/>
    </row>
    <row r="29579" spans="23:23" x14ac:dyDescent="0.55000000000000004">
      <c r="W29579"/>
    </row>
    <row r="29580" spans="23:23" x14ac:dyDescent="0.55000000000000004">
      <c r="W29580"/>
    </row>
    <row r="29581" spans="23:23" x14ac:dyDescent="0.55000000000000004">
      <c r="W29581"/>
    </row>
    <row r="29582" spans="23:23" x14ac:dyDescent="0.55000000000000004">
      <c r="W29582"/>
    </row>
    <row r="29583" spans="23:23" x14ac:dyDescent="0.55000000000000004">
      <c r="W29583"/>
    </row>
    <row r="29584" spans="23:23" x14ac:dyDescent="0.55000000000000004">
      <c r="W29584"/>
    </row>
    <row r="29585" spans="23:23" x14ac:dyDescent="0.55000000000000004">
      <c r="W29585"/>
    </row>
    <row r="29586" spans="23:23" x14ac:dyDescent="0.55000000000000004">
      <c r="W29586"/>
    </row>
    <row r="29587" spans="23:23" x14ac:dyDescent="0.55000000000000004">
      <c r="W29587"/>
    </row>
    <row r="29588" spans="23:23" x14ac:dyDescent="0.55000000000000004">
      <c r="W29588"/>
    </row>
    <row r="29589" spans="23:23" x14ac:dyDescent="0.55000000000000004">
      <c r="W29589"/>
    </row>
    <row r="29590" spans="23:23" x14ac:dyDescent="0.55000000000000004">
      <c r="W29590"/>
    </row>
    <row r="29591" spans="23:23" x14ac:dyDescent="0.55000000000000004">
      <c r="W29591"/>
    </row>
    <row r="29592" spans="23:23" x14ac:dyDescent="0.55000000000000004">
      <c r="W29592"/>
    </row>
    <row r="29593" spans="23:23" x14ac:dyDescent="0.55000000000000004">
      <c r="W29593"/>
    </row>
    <row r="29594" spans="23:23" x14ac:dyDescent="0.55000000000000004">
      <c r="W29594"/>
    </row>
    <row r="29595" spans="23:23" x14ac:dyDescent="0.55000000000000004">
      <c r="W29595"/>
    </row>
    <row r="29596" spans="23:23" x14ac:dyDescent="0.55000000000000004">
      <c r="W29596"/>
    </row>
    <row r="29597" spans="23:23" x14ac:dyDescent="0.55000000000000004">
      <c r="W29597"/>
    </row>
    <row r="29598" spans="23:23" x14ac:dyDescent="0.55000000000000004">
      <c r="W29598"/>
    </row>
    <row r="29599" spans="23:23" x14ac:dyDescent="0.55000000000000004">
      <c r="W29599"/>
    </row>
    <row r="29600" spans="23:23" x14ac:dyDescent="0.55000000000000004">
      <c r="W29600"/>
    </row>
    <row r="29601" spans="23:23" x14ac:dyDescent="0.55000000000000004">
      <c r="W29601"/>
    </row>
    <row r="29602" spans="23:23" x14ac:dyDescent="0.55000000000000004">
      <c r="W29602"/>
    </row>
    <row r="29603" spans="23:23" x14ac:dyDescent="0.55000000000000004">
      <c r="W29603"/>
    </row>
    <row r="29604" spans="23:23" x14ac:dyDescent="0.55000000000000004">
      <c r="W29604"/>
    </row>
    <row r="29605" spans="23:23" x14ac:dyDescent="0.55000000000000004">
      <c r="W29605"/>
    </row>
    <row r="29606" spans="23:23" x14ac:dyDescent="0.55000000000000004">
      <c r="W29606"/>
    </row>
    <row r="29607" spans="23:23" x14ac:dyDescent="0.55000000000000004">
      <c r="W29607"/>
    </row>
    <row r="29608" spans="23:23" x14ac:dyDescent="0.55000000000000004">
      <c r="W29608"/>
    </row>
    <row r="29609" spans="23:23" x14ac:dyDescent="0.55000000000000004">
      <c r="W29609"/>
    </row>
    <row r="29610" spans="23:23" x14ac:dyDescent="0.55000000000000004">
      <c r="W29610"/>
    </row>
    <row r="29611" spans="23:23" x14ac:dyDescent="0.55000000000000004">
      <c r="W29611"/>
    </row>
    <row r="29612" spans="23:23" x14ac:dyDescent="0.55000000000000004">
      <c r="W29612"/>
    </row>
    <row r="29613" spans="23:23" x14ac:dyDescent="0.55000000000000004">
      <c r="W29613"/>
    </row>
    <row r="29614" spans="23:23" x14ac:dyDescent="0.55000000000000004">
      <c r="W29614"/>
    </row>
    <row r="29615" spans="23:23" x14ac:dyDescent="0.55000000000000004">
      <c r="W29615"/>
    </row>
    <row r="29616" spans="23:23" x14ac:dyDescent="0.55000000000000004">
      <c r="W29616"/>
    </row>
    <row r="29617" spans="23:23" x14ac:dyDescent="0.55000000000000004">
      <c r="W29617"/>
    </row>
    <row r="29618" spans="23:23" x14ac:dyDescent="0.55000000000000004">
      <c r="W29618"/>
    </row>
    <row r="29619" spans="23:23" x14ac:dyDescent="0.55000000000000004">
      <c r="W29619"/>
    </row>
    <row r="29620" spans="23:23" x14ac:dyDescent="0.55000000000000004">
      <c r="W29620"/>
    </row>
    <row r="29621" spans="23:23" x14ac:dyDescent="0.55000000000000004">
      <c r="W29621"/>
    </row>
    <row r="29622" spans="23:23" x14ac:dyDescent="0.55000000000000004">
      <c r="W29622"/>
    </row>
    <row r="29623" spans="23:23" x14ac:dyDescent="0.55000000000000004">
      <c r="W29623"/>
    </row>
    <row r="29624" spans="23:23" x14ac:dyDescent="0.55000000000000004">
      <c r="W29624"/>
    </row>
    <row r="29625" spans="23:23" x14ac:dyDescent="0.55000000000000004">
      <c r="W29625"/>
    </row>
    <row r="29626" spans="23:23" x14ac:dyDescent="0.55000000000000004">
      <c r="W29626"/>
    </row>
    <row r="29627" spans="23:23" x14ac:dyDescent="0.55000000000000004">
      <c r="W29627"/>
    </row>
    <row r="29628" spans="23:23" x14ac:dyDescent="0.55000000000000004">
      <c r="W29628"/>
    </row>
    <row r="29629" spans="23:23" x14ac:dyDescent="0.55000000000000004">
      <c r="W29629"/>
    </row>
    <row r="29630" spans="23:23" x14ac:dyDescent="0.55000000000000004">
      <c r="W29630"/>
    </row>
    <row r="29631" spans="23:23" x14ac:dyDescent="0.55000000000000004">
      <c r="W29631"/>
    </row>
    <row r="29632" spans="23:23" x14ac:dyDescent="0.55000000000000004">
      <c r="W29632"/>
    </row>
    <row r="29633" spans="23:23" x14ac:dyDescent="0.55000000000000004">
      <c r="W29633"/>
    </row>
    <row r="29634" spans="23:23" x14ac:dyDescent="0.55000000000000004">
      <c r="W29634"/>
    </row>
    <row r="29635" spans="23:23" x14ac:dyDescent="0.55000000000000004">
      <c r="W29635"/>
    </row>
    <row r="29636" spans="23:23" x14ac:dyDescent="0.55000000000000004">
      <c r="W29636"/>
    </row>
    <row r="29637" spans="23:23" x14ac:dyDescent="0.55000000000000004">
      <c r="W29637"/>
    </row>
    <row r="29638" spans="23:23" x14ac:dyDescent="0.55000000000000004">
      <c r="W29638"/>
    </row>
    <row r="29639" spans="23:23" x14ac:dyDescent="0.55000000000000004">
      <c r="W29639"/>
    </row>
    <row r="29640" spans="23:23" x14ac:dyDescent="0.55000000000000004">
      <c r="W29640"/>
    </row>
    <row r="29641" spans="23:23" x14ac:dyDescent="0.55000000000000004">
      <c r="W29641"/>
    </row>
    <row r="29642" spans="23:23" x14ac:dyDescent="0.55000000000000004">
      <c r="W29642"/>
    </row>
    <row r="29643" spans="23:23" x14ac:dyDescent="0.55000000000000004">
      <c r="W29643"/>
    </row>
    <row r="29644" spans="23:23" x14ac:dyDescent="0.55000000000000004">
      <c r="W29644"/>
    </row>
    <row r="29645" spans="23:23" x14ac:dyDescent="0.55000000000000004">
      <c r="W29645"/>
    </row>
    <row r="29646" spans="23:23" x14ac:dyDescent="0.55000000000000004">
      <c r="W29646"/>
    </row>
    <row r="29647" spans="23:23" x14ac:dyDescent="0.55000000000000004">
      <c r="W29647"/>
    </row>
    <row r="29648" spans="23:23" x14ac:dyDescent="0.55000000000000004">
      <c r="W29648"/>
    </row>
    <row r="29649" spans="23:23" x14ac:dyDescent="0.55000000000000004">
      <c r="W29649"/>
    </row>
    <row r="29650" spans="23:23" x14ac:dyDescent="0.55000000000000004">
      <c r="W29650"/>
    </row>
    <row r="29651" spans="23:23" x14ac:dyDescent="0.55000000000000004">
      <c r="W29651"/>
    </row>
    <row r="29652" spans="23:23" x14ac:dyDescent="0.55000000000000004">
      <c r="W29652"/>
    </row>
    <row r="29653" spans="23:23" x14ac:dyDescent="0.55000000000000004">
      <c r="W29653"/>
    </row>
    <row r="29654" spans="23:23" x14ac:dyDescent="0.55000000000000004">
      <c r="W29654"/>
    </row>
    <row r="29655" spans="23:23" x14ac:dyDescent="0.55000000000000004">
      <c r="W29655"/>
    </row>
    <row r="29656" spans="23:23" x14ac:dyDescent="0.55000000000000004">
      <c r="W29656"/>
    </row>
    <row r="29657" spans="23:23" x14ac:dyDescent="0.55000000000000004">
      <c r="W29657"/>
    </row>
    <row r="29658" spans="23:23" x14ac:dyDescent="0.55000000000000004">
      <c r="W29658"/>
    </row>
    <row r="29659" spans="23:23" x14ac:dyDescent="0.55000000000000004">
      <c r="W29659"/>
    </row>
    <row r="29660" spans="23:23" x14ac:dyDescent="0.55000000000000004">
      <c r="W29660"/>
    </row>
    <row r="29661" spans="23:23" x14ac:dyDescent="0.55000000000000004">
      <c r="W29661"/>
    </row>
    <row r="29662" spans="23:23" x14ac:dyDescent="0.55000000000000004">
      <c r="W29662"/>
    </row>
    <row r="29663" spans="23:23" x14ac:dyDescent="0.55000000000000004">
      <c r="W29663"/>
    </row>
    <row r="29664" spans="23:23" x14ac:dyDescent="0.55000000000000004">
      <c r="W29664"/>
    </row>
    <row r="29665" spans="23:23" x14ac:dyDescent="0.55000000000000004">
      <c r="W29665"/>
    </row>
    <row r="29666" spans="23:23" x14ac:dyDescent="0.55000000000000004">
      <c r="W29666"/>
    </row>
    <row r="29667" spans="23:23" x14ac:dyDescent="0.55000000000000004">
      <c r="W29667"/>
    </row>
    <row r="29668" spans="23:23" x14ac:dyDescent="0.55000000000000004">
      <c r="W29668"/>
    </row>
    <row r="29669" spans="23:23" x14ac:dyDescent="0.55000000000000004">
      <c r="W29669"/>
    </row>
    <row r="29670" spans="23:23" x14ac:dyDescent="0.55000000000000004">
      <c r="W29670"/>
    </row>
    <row r="29671" spans="23:23" x14ac:dyDescent="0.55000000000000004">
      <c r="W29671"/>
    </row>
    <row r="29672" spans="23:23" x14ac:dyDescent="0.55000000000000004">
      <c r="W29672"/>
    </row>
    <row r="29673" spans="23:23" x14ac:dyDescent="0.55000000000000004">
      <c r="W29673"/>
    </row>
    <row r="29674" spans="23:23" x14ac:dyDescent="0.55000000000000004">
      <c r="W29674"/>
    </row>
    <row r="29675" spans="23:23" x14ac:dyDescent="0.55000000000000004">
      <c r="W29675"/>
    </row>
    <row r="29676" spans="23:23" x14ac:dyDescent="0.55000000000000004">
      <c r="W29676"/>
    </row>
    <row r="29677" spans="23:23" x14ac:dyDescent="0.55000000000000004">
      <c r="W29677"/>
    </row>
    <row r="29678" spans="23:23" x14ac:dyDescent="0.55000000000000004">
      <c r="W29678"/>
    </row>
    <row r="29679" spans="23:23" x14ac:dyDescent="0.55000000000000004">
      <c r="W29679"/>
    </row>
    <row r="29680" spans="23:23" x14ac:dyDescent="0.55000000000000004">
      <c r="W29680"/>
    </row>
    <row r="29681" spans="23:23" x14ac:dyDescent="0.55000000000000004">
      <c r="W29681"/>
    </row>
    <row r="29682" spans="23:23" x14ac:dyDescent="0.55000000000000004">
      <c r="W29682"/>
    </row>
    <row r="29683" spans="23:23" x14ac:dyDescent="0.55000000000000004">
      <c r="W29683"/>
    </row>
    <row r="29684" spans="23:23" x14ac:dyDescent="0.55000000000000004">
      <c r="W29684"/>
    </row>
    <row r="29685" spans="23:23" x14ac:dyDescent="0.55000000000000004">
      <c r="W29685"/>
    </row>
    <row r="29686" spans="23:23" x14ac:dyDescent="0.55000000000000004">
      <c r="W29686"/>
    </row>
    <row r="29687" spans="23:23" x14ac:dyDescent="0.55000000000000004">
      <c r="W29687"/>
    </row>
    <row r="29688" spans="23:23" x14ac:dyDescent="0.55000000000000004">
      <c r="W29688"/>
    </row>
    <row r="29689" spans="23:23" x14ac:dyDescent="0.55000000000000004">
      <c r="W29689"/>
    </row>
    <row r="29690" spans="23:23" x14ac:dyDescent="0.55000000000000004">
      <c r="W29690"/>
    </row>
    <row r="29691" spans="23:23" x14ac:dyDescent="0.55000000000000004">
      <c r="W29691"/>
    </row>
    <row r="29692" spans="23:23" x14ac:dyDescent="0.55000000000000004">
      <c r="W29692"/>
    </row>
    <row r="29693" spans="23:23" x14ac:dyDescent="0.55000000000000004">
      <c r="W29693"/>
    </row>
    <row r="29694" spans="23:23" x14ac:dyDescent="0.55000000000000004">
      <c r="W29694"/>
    </row>
    <row r="29695" spans="23:23" x14ac:dyDescent="0.55000000000000004">
      <c r="W29695"/>
    </row>
    <row r="29696" spans="23:23" x14ac:dyDescent="0.55000000000000004">
      <c r="W29696"/>
    </row>
    <row r="29697" spans="23:23" x14ac:dyDescent="0.55000000000000004">
      <c r="W29697"/>
    </row>
    <row r="29698" spans="23:23" x14ac:dyDescent="0.55000000000000004">
      <c r="W29698"/>
    </row>
    <row r="29699" spans="23:23" x14ac:dyDescent="0.55000000000000004">
      <c r="W29699"/>
    </row>
    <row r="29700" spans="23:23" x14ac:dyDescent="0.55000000000000004">
      <c r="W29700"/>
    </row>
    <row r="29701" spans="23:23" x14ac:dyDescent="0.55000000000000004">
      <c r="W29701"/>
    </row>
    <row r="29702" spans="23:23" x14ac:dyDescent="0.55000000000000004">
      <c r="W29702"/>
    </row>
    <row r="29703" spans="23:23" x14ac:dyDescent="0.55000000000000004">
      <c r="W29703"/>
    </row>
    <row r="29704" spans="23:23" x14ac:dyDescent="0.55000000000000004">
      <c r="W29704"/>
    </row>
    <row r="29705" spans="23:23" x14ac:dyDescent="0.55000000000000004">
      <c r="W29705"/>
    </row>
    <row r="29706" spans="23:23" x14ac:dyDescent="0.55000000000000004">
      <c r="W29706"/>
    </row>
    <row r="29707" spans="23:23" x14ac:dyDescent="0.55000000000000004">
      <c r="W29707"/>
    </row>
    <row r="29708" spans="23:23" x14ac:dyDescent="0.55000000000000004">
      <c r="W29708"/>
    </row>
    <row r="29709" spans="23:23" x14ac:dyDescent="0.55000000000000004">
      <c r="W29709"/>
    </row>
    <row r="29710" spans="23:23" x14ac:dyDescent="0.55000000000000004">
      <c r="W29710"/>
    </row>
    <row r="29711" spans="23:23" x14ac:dyDescent="0.55000000000000004">
      <c r="W29711"/>
    </row>
    <row r="29712" spans="23:23" x14ac:dyDescent="0.55000000000000004">
      <c r="W29712"/>
    </row>
    <row r="29713" spans="23:23" x14ac:dyDescent="0.55000000000000004">
      <c r="W29713"/>
    </row>
    <row r="29714" spans="23:23" x14ac:dyDescent="0.55000000000000004">
      <c r="W29714"/>
    </row>
    <row r="29715" spans="23:23" x14ac:dyDescent="0.55000000000000004">
      <c r="W29715"/>
    </row>
    <row r="29716" spans="23:23" x14ac:dyDescent="0.55000000000000004">
      <c r="W29716"/>
    </row>
    <row r="29717" spans="23:23" x14ac:dyDescent="0.55000000000000004">
      <c r="W29717"/>
    </row>
    <row r="29718" spans="23:23" x14ac:dyDescent="0.55000000000000004">
      <c r="W29718"/>
    </row>
    <row r="29719" spans="23:23" x14ac:dyDescent="0.55000000000000004">
      <c r="W29719"/>
    </row>
    <row r="29720" spans="23:23" x14ac:dyDescent="0.55000000000000004">
      <c r="W29720"/>
    </row>
    <row r="29721" spans="23:23" x14ac:dyDescent="0.55000000000000004">
      <c r="W29721"/>
    </row>
    <row r="29722" spans="23:23" x14ac:dyDescent="0.55000000000000004">
      <c r="W29722"/>
    </row>
    <row r="29723" spans="23:23" x14ac:dyDescent="0.55000000000000004">
      <c r="W29723"/>
    </row>
    <row r="29724" spans="23:23" x14ac:dyDescent="0.55000000000000004">
      <c r="W29724"/>
    </row>
    <row r="29725" spans="23:23" x14ac:dyDescent="0.55000000000000004">
      <c r="W29725"/>
    </row>
    <row r="29726" spans="23:23" x14ac:dyDescent="0.55000000000000004">
      <c r="W29726"/>
    </row>
    <row r="29727" spans="23:23" x14ac:dyDescent="0.55000000000000004">
      <c r="W29727"/>
    </row>
    <row r="29728" spans="23:23" x14ac:dyDescent="0.55000000000000004">
      <c r="W29728"/>
    </row>
    <row r="29729" spans="23:23" x14ac:dyDescent="0.55000000000000004">
      <c r="W29729"/>
    </row>
    <row r="29730" spans="23:23" x14ac:dyDescent="0.55000000000000004">
      <c r="W29730"/>
    </row>
    <row r="29731" spans="23:23" x14ac:dyDescent="0.55000000000000004">
      <c r="W29731"/>
    </row>
    <row r="29732" spans="23:23" x14ac:dyDescent="0.55000000000000004">
      <c r="W29732"/>
    </row>
    <row r="29733" spans="23:23" x14ac:dyDescent="0.55000000000000004">
      <c r="W29733"/>
    </row>
    <row r="29734" spans="23:23" x14ac:dyDescent="0.55000000000000004">
      <c r="W29734"/>
    </row>
    <row r="29735" spans="23:23" x14ac:dyDescent="0.55000000000000004">
      <c r="W29735"/>
    </row>
    <row r="29736" spans="23:23" x14ac:dyDescent="0.55000000000000004">
      <c r="W29736"/>
    </row>
    <row r="29737" spans="23:23" x14ac:dyDescent="0.55000000000000004">
      <c r="W29737"/>
    </row>
    <row r="29738" spans="23:23" x14ac:dyDescent="0.55000000000000004">
      <c r="W29738"/>
    </row>
    <row r="29739" spans="23:23" x14ac:dyDescent="0.55000000000000004">
      <c r="W29739"/>
    </row>
    <row r="29740" spans="23:23" x14ac:dyDescent="0.55000000000000004">
      <c r="W29740"/>
    </row>
    <row r="29741" spans="23:23" x14ac:dyDescent="0.55000000000000004">
      <c r="W29741"/>
    </row>
    <row r="29742" spans="23:23" x14ac:dyDescent="0.55000000000000004">
      <c r="W29742"/>
    </row>
    <row r="29743" spans="23:23" x14ac:dyDescent="0.55000000000000004">
      <c r="W29743"/>
    </row>
    <row r="29744" spans="23:23" x14ac:dyDescent="0.55000000000000004">
      <c r="W29744"/>
    </row>
    <row r="29745" spans="23:23" x14ac:dyDescent="0.55000000000000004">
      <c r="W29745"/>
    </row>
    <row r="29746" spans="23:23" x14ac:dyDescent="0.55000000000000004">
      <c r="W29746"/>
    </row>
    <row r="29747" spans="23:23" x14ac:dyDescent="0.55000000000000004">
      <c r="W29747"/>
    </row>
    <row r="29748" spans="23:23" x14ac:dyDescent="0.55000000000000004">
      <c r="W29748"/>
    </row>
    <row r="29749" spans="23:23" x14ac:dyDescent="0.55000000000000004">
      <c r="W29749"/>
    </row>
    <row r="29750" spans="23:23" x14ac:dyDescent="0.55000000000000004">
      <c r="W29750"/>
    </row>
    <row r="29751" spans="23:23" x14ac:dyDescent="0.55000000000000004">
      <c r="W29751"/>
    </row>
    <row r="29752" spans="23:23" x14ac:dyDescent="0.55000000000000004">
      <c r="W29752"/>
    </row>
    <row r="29753" spans="23:23" x14ac:dyDescent="0.55000000000000004">
      <c r="W29753"/>
    </row>
    <row r="29754" spans="23:23" x14ac:dyDescent="0.55000000000000004">
      <c r="W29754"/>
    </row>
    <row r="29755" spans="23:23" x14ac:dyDescent="0.55000000000000004">
      <c r="W29755"/>
    </row>
    <row r="29756" spans="23:23" x14ac:dyDescent="0.55000000000000004">
      <c r="W29756"/>
    </row>
    <row r="29757" spans="23:23" x14ac:dyDescent="0.55000000000000004">
      <c r="W29757"/>
    </row>
    <row r="29758" spans="23:23" x14ac:dyDescent="0.55000000000000004">
      <c r="W29758"/>
    </row>
    <row r="29759" spans="23:23" x14ac:dyDescent="0.55000000000000004">
      <c r="W29759"/>
    </row>
    <row r="29760" spans="23:23" x14ac:dyDescent="0.55000000000000004">
      <c r="W29760"/>
    </row>
    <row r="29761" spans="23:23" x14ac:dyDescent="0.55000000000000004">
      <c r="W29761"/>
    </row>
    <row r="29762" spans="23:23" x14ac:dyDescent="0.55000000000000004">
      <c r="W29762"/>
    </row>
    <row r="29763" spans="23:23" x14ac:dyDescent="0.55000000000000004">
      <c r="W29763"/>
    </row>
    <row r="29764" spans="23:23" x14ac:dyDescent="0.55000000000000004">
      <c r="W29764"/>
    </row>
    <row r="29765" spans="23:23" x14ac:dyDescent="0.55000000000000004">
      <c r="W29765"/>
    </row>
    <row r="29766" spans="23:23" x14ac:dyDescent="0.55000000000000004">
      <c r="W29766"/>
    </row>
    <row r="29767" spans="23:23" x14ac:dyDescent="0.55000000000000004">
      <c r="W29767"/>
    </row>
    <row r="29768" spans="23:23" x14ac:dyDescent="0.55000000000000004">
      <c r="W29768"/>
    </row>
    <row r="29769" spans="23:23" x14ac:dyDescent="0.55000000000000004">
      <c r="W29769"/>
    </row>
    <row r="29770" spans="23:23" x14ac:dyDescent="0.55000000000000004">
      <c r="W29770"/>
    </row>
    <row r="29771" spans="23:23" x14ac:dyDescent="0.55000000000000004">
      <c r="W29771"/>
    </row>
    <row r="29772" spans="23:23" x14ac:dyDescent="0.55000000000000004">
      <c r="W29772"/>
    </row>
    <row r="29773" spans="23:23" x14ac:dyDescent="0.55000000000000004">
      <c r="W29773"/>
    </row>
    <row r="29774" spans="23:23" x14ac:dyDescent="0.55000000000000004">
      <c r="W29774"/>
    </row>
    <row r="29775" spans="23:23" x14ac:dyDescent="0.55000000000000004">
      <c r="W29775"/>
    </row>
    <row r="29776" spans="23:23" x14ac:dyDescent="0.55000000000000004">
      <c r="W29776"/>
    </row>
    <row r="29777" spans="23:23" x14ac:dyDescent="0.55000000000000004">
      <c r="W29777"/>
    </row>
    <row r="29778" spans="23:23" x14ac:dyDescent="0.55000000000000004">
      <c r="W29778"/>
    </row>
    <row r="29779" spans="23:23" x14ac:dyDescent="0.55000000000000004">
      <c r="W29779"/>
    </row>
    <row r="29780" spans="23:23" x14ac:dyDescent="0.55000000000000004">
      <c r="W29780"/>
    </row>
    <row r="29781" spans="23:23" x14ac:dyDescent="0.55000000000000004">
      <c r="W29781"/>
    </row>
    <row r="29782" spans="23:23" x14ac:dyDescent="0.55000000000000004">
      <c r="W29782"/>
    </row>
    <row r="29783" spans="23:23" x14ac:dyDescent="0.55000000000000004">
      <c r="W29783"/>
    </row>
    <row r="29784" spans="23:23" x14ac:dyDescent="0.55000000000000004">
      <c r="W29784"/>
    </row>
    <row r="29785" spans="23:23" x14ac:dyDescent="0.55000000000000004">
      <c r="W29785"/>
    </row>
    <row r="29786" spans="23:23" x14ac:dyDescent="0.55000000000000004">
      <c r="W29786"/>
    </row>
    <row r="29787" spans="23:23" x14ac:dyDescent="0.55000000000000004">
      <c r="W29787"/>
    </row>
    <row r="29788" spans="23:23" x14ac:dyDescent="0.55000000000000004">
      <c r="W29788"/>
    </row>
    <row r="29789" spans="23:23" x14ac:dyDescent="0.55000000000000004">
      <c r="W29789"/>
    </row>
    <row r="29790" spans="23:23" x14ac:dyDescent="0.55000000000000004">
      <c r="W29790"/>
    </row>
    <row r="29791" spans="23:23" x14ac:dyDescent="0.55000000000000004">
      <c r="W29791"/>
    </row>
    <row r="29792" spans="23:23" x14ac:dyDescent="0.55000000000000004">
      <c r="W29792"/>
    </row>
    <row r="29793" spans="23:23" x14ac:dyDescent="0.55000000000000004">
      <c r="W29793"/>
    </row>
    <row r="29794" spans="23:23" x14ac:dyDescent="0.55000000000000004">
      <c r="W29794"/>
    </row>
    <row r="29795" spans="23:23" x14ac:dyDescent="0.55000000000000004">
      <c r="W29795"/>
    </row>
    <row r="29796" spans="23:23" x14ac:dyDescent="0.55000000000000004">
      <c r="W29796"/>
    </row>
    <row r="29797" spans="23:23" x14ac:dyDescent="0.55000000000000004">
      <c r="W29797"/>
    </row>
    <row r="29798" spans="23:23" x14ac:dyDescent="0.55000000000000004">
      <c r="W29798"/>
    </row>
    <row r="29799" spans="23:23" x14ac:dyDescent="0.55000000000000004">
      <c r="W29799"/>
    </row>
    <row r="29800" spans="23:23" x14ac:dyDescent="0.55000000000000004">
      <c r="W29800"/>
    </row>
    <row r="29801" spans="23:23" x14ac:dyDescent="0.55000000000000004">
      <c r="W29801"/>
    </row>
    <row r="29802" spans="23:23" x14ac:dyDescent="0.55000000000000004">
      <c r="W29802"/>
    </row>
    <row r="29803" spans="23:23" x14ac:dyDescent="0.55000000000000004">
      <c r="W29803"/>
    </row>
    <row r="29804" spans="23:23" x14ac:dyDescent="0.55000000000000004">
      <c r="W29804"/>
    </row>
    <row r="29805" spans="23:23" x14ac:dyDescent="0.55000000000000004">
      <c r="W29805"/>
    </row>
    <row r="29806" spans="23:23" x14ac:dyDescent="0.55000000000000004">
      <c r="W29806"/>
    </row>
    <row r="29807" spans="23:23" x14ac:dyDescent="0.55000000000000004">
      <c r="W29807"/>
    </row>
    <row r="29808" spans="23:23" x14ac:dyDescent="0.55000000000000004">
      <c r="W29808"/>
    </row>
    <row r="29809" spans="23:23" x14ac:dyDescent="0.55000000000000004">
      <c r="W29809"/>
    </row>
    <row r="29810" spans="23:23" x14ac:dyDescent="0.55000000000000004">
      <c r="W29810"/>
    </row>
    <row r="29811" spans="23:23" x14ac:dyDescent="0.55000000000000004">
      <c r="W29811"/>
    </row>
    <row r="29812" spans="23:23" x14ac:dyDescent="0.55000000000000004">
      <c r="W29812"/>
    </row>
    <row r="29813" spans="23:23" x14ac:dyDescent="0.55000000000000004">
      <c r="W29813"/>
    </row>
    <row r="29814" spans="23:23" x14ac:dyDescent="0.55000000000000004">
      <c r="W29814"/>
    </row>
    <row r="29815" spans="23:23" x14ac:dyDescent="0.55000000000000004">
      <c r="W29815"/>
    </row>
    <row r="29816" spans="23:23" x14ac:dyDescent="0.55000000000000004">
      <c r="W29816"/>
    </row>
    <row r="29817" spans="23:23" x14ac:dyDescent="0.55000000000000004">
      <c r="W29817"/>
    </row>
    <row r="29818" spans="23:23" x14ac:dyDescent="0.55000000000000004">
      <c r="W29818"/>
    </row>
    <row r="29819" spans="23:23" x14ac:dyDescent="0.55000000000000004">
      <c r="W29819"/>
    </row>
    <row r="29820" spans="23:23" x14ac:dyDescent="0.55000000000000004">
      <c r="W29820"/>
    </row>
    <row r="29821" spans="23:23" x14ac:dyDescent="0.55000000000000004">
      <c r="W29821"/>
    </row>
    <row r="29822" spans="23:23" x14ac:dyDescent="0.55000000000000004">
      <c r="W29822"/>
    </row>
    <row r="29823" spans="23:23" x14ac:dyDescent="0.55000000000000004">
      <c r="W29823"/>
    </row>
    <row r="29824" spans="23:23" x14ac:dyDescent="0.55000000000000004">
      <c r="W29824"/>
    </row>
    <row r="29825" spans="23:23" x14ac:dyDescent="0.55000000000000004">
      <c r="W29825"/>
    </row>
    <row r="29826" spans="23:23" x14ac:dyDescent="0.55000000000000004">
      <c r="W29826"/>
    </row>
    <row r="29827" spans="23:23" x14ac:dyDescent="0.55000000000000004">
      <c r="W29827"/>
    </row>
    <row r="29828" spans="23:23" x14ac:dyDescent="0.55000000000000004">
      <c r="W29828"/>
    </row>
    <row r="29829" spans="23:23" x14ac:dyDescent="0.55000000000000004">
      <c r="W29829"/>
    </row>
    <row r="29830" spans="23:23" x14ac:dyDescent="0.55000000000000004">
      <c r="W29830"/>
    </row>
    <row r="29831" spans="23:23" x14ac:dyDescent="0.55000000000000004">
      <c r="W29831"/>
    </row>
    <row r="29832" spans="23:23" x14ac:dyDescent="0.55000000000000004">
      <c r="W29832"/>
    </row>
    <row r="29833" spans="23:23" x14ac:dyDescent="0.55000000000000004">
      <c r="W29833"/>
    </row>
    <row r="29834" spans="23:23" x14ac:dyDescent="0.55000000000000004">
      <c r="W29834"/>
    </row>
    <row r="29835" spans="23:23" x14ac:dyDescent="0.55000000000000004">
      <c r="W29835"/>
    </row>
    <row r="29836" spans="23:23" x14ac:dyDescent="0.55000000000000004">
      <c r="W29836"/>
    </row>
    <row r="29837" spans="23:23" x14ac:dyDescent="0.55000000000000004">
      <c r="W29837"/>
    </row>
    <row r="29838" spans="23:23" x14ac:dyDescent="0.55000000000000004">
      <c r="W29838"/>
    </row>
    <row r="29839" spans="23:23" x14ac:dyDescent="0.55000000000000004">
      <c r="W29839"/>
    </row>
    <row r="29840" spans="23:23" x14ac:dyDescent="0.55000000000000004">
      <c r="W29840"/>
    </row>
    <row r="29841" spans="23:23" x14ac:dyDescent="0.55000000000000004">
      <c r="W29841"/>
    </row>
    <row r="29842" spans="23:23" x14ac:dyDescent="0.55000000000000004">
      <c r="W29842"/>
    </row>
    <row r="29843" spans="23:23" x14ac:dyDescent="0.55000000000000004">
      <c r="W29843"/>
    </row>
    <row r="29844" spans="23:23" x14ac:dyDescent="0.55000000000000004">
      <c r="W29844"/>
    </row>
    <row r="29845" spans="23:23" x14ac:dyDescent="0.55000000000000004">
      <c r="W29845"/>
    </row>
    <row r="29846" spans="23:23" x14ac:dyDescent="0.55000000000000004">
      <c r="W29846"/>
    </row>
    <row r="29847" spans="23:23" x14ac:dyDescent="0.55000000000000004">
      <c r="W29847"/>
    </row>
    <row r="29848" spans="23:23" x14ac:dyDescent="0.55000000000000004">
      <c r="W29848"/>
    </row>
    <row r="29849" spans="23:23" x14ac:dyDescent="0.55000000000000004">
      <c r="W29849"/>
    </row>
    <row r="29850" spans="23:23" x14ac:dyDescent="0.55000000000000004">
      <c r="W29850"/>
    </row>
    <row r="29851" spans="23:23" x14ac:dyDescent="0.55000000000000004">
      <c r="W29851"/>
    </row>
    <row r="29852" spans="23:23" x14ac:dyDescent="0.55000000000000004">
      <c r="W29852"/>
    </row>
    <row r="29853" spans="23:23" x14ac:dyDescent="0.55000000000000004">
      <c r="W29853"/>
    </row>
    <row r="29854" spans="23:23" x14ac:dyDescent="0.55000000000000004">
      <c r="W29854"/>
    </row>
    <row r="29855" spans="23:23" x14ac:dyDescent="0.55000000000000004">
      <c r="W29855"/>
    </row>
    <row r="29856" spans="23:23" x14ac:dyDescent="0.55000000000000004">
      <c r="W29856"/>
    </row>
    <row r="29857" spans="23:23" x14ac:dyDescent="0.55000000000000004">
      <c r="W29857"/>
    </row>
    <row r="29858" spans="23:23" x14ac:dyDescent="0.55000000000000004">
      <c r="W29858"/>
    </row>
    <row r="29859" spans="23:23" x14ac:dyDescent="0.55000000000000004">
      <c r="W29859"/>
    </row>
    <row r="29860" spans="23:23" x14ac:dyDescent="0.55000000000000004">
      <c r="W29860"/>
    </row>
    <row r="29861" spans="23:23" x14ac:dyDescent="0.55000000000000004">
      <c r="W29861"/>
    </row>
    <row r="29862" spans="23:23" x14ac:dyDescent="0.55000000000000004">
      <c r="W29862"/>
    </row>
    <row r="29863" spans="23:23" x14ac:dyDescent="0.55000000000000004">
      <c r="W29863"/>
    </row>
    <row r="29864" spans="23:23" x14ac:dyDescent="0.55000000000000004">
      <c r="W29864"/>
    </row>
    <row r="29865" spans="23:23" x14ac:dyDescent="0.55000000000000004">
      <c r="W29865"/>
    </row>
    <row r="29866" spans="23:23" x14ac:dyDescent="0.55000000000000004">
      <c r="W29866"/>
    </row>
    <row r="29867" spans="23:23" x14ac:dyDescent="0.55000000000000004">
      <c r="W29867"/>
    </row>
    <row r="29868" spans="23:23" x14ac:dyDescent="0.55000000000000004">
      <c r="W29868"/>
    </row>
    <row r="29869" spans="23:23" x14ac:dyDescent="0.55000000000000004">
      <c r="W29869"/>
    </row>
    <row r="29870" spans="23:23" x14ac:dyDescent="0.55000000000000004">
      <c r="W29870"/>
    </row>
    <row r="29871" spans="23:23" x14ac:dyDescent="0.55000000000000004">
      <c r="W29871"/>
    </row>
    <row r="29872" spans="23:23" x14ac:dyDescent="0.55000000000000004">
      <c r="W29872"/>
    </row>
    <row r="29873" spans="23:23" x14ac:dyDescent="0.55000000000000004">
      <c r="W29873"/>
    </row>
    <row r="29874" spans="23:23" x14ac:dyDescent="0.55000000000000004">
      <c r="W29874"/>
    </row>
    <row r="29875" spans="23:23" x14ac:dyDescent="0.55000000000000004">
      <c r="W29875"/>
    </row>
    <row r="29876" spans="23:23" x14ac:dyDescent="0.55000000000000004">
      <c r="W29876"/>
    </row>
    <row r="29877" spans="23:23" x14ac:dyDescent="0.55000000000000004">
      <c r="W29877"/>
    </row>
    <row r="29878" spans="23:23" x14ac:dyDescent="0.55000000000000004">
      <c r="W29878"/>
    </row>
    <row r="29879" spans="23:23" x14ac:dyDescent="0.55000000000000004">
      <c r="W29879"/>
    </row>
    <row r="29880" spans="23:23" x14ac:dyDescent="0.55000000000000004">
      <c r="W29880"/>
    </row>
    <row r="29881" spans="23:23" x14ac:dyDescent="0.55000000000000004">
      <c r="W29881"/>
    </row>
    <row r="29882" spans="23:23" x14ac:dyDescent="0.55000000000000004">
      <c r="W29882"/>
    </row>
    <row r="29883" spans="23:23" x14ac:dyDescent="0.55000000000000004">
      <c r="W29883"/>
    </row>
    <row r="29884" spans="23:23" x14ac:dyDescent="0.55000000000000004">
      <c r="W29884"/>
    </row>
    <row r="29885" spans="23:23" x14ac:dyDescent="0.55000000000000004">
      <c r="W29885"/>
    </row>
    <row r="29886" spans="23:23" x14ac:dyDescent="0.55000000000000004">
      <c r="W29886"/>
    </row>
    <row r="29887" spans="23:23" x14ac:dyDescent="0.55000000000000004">
      <c r="W29887"/>
    </row>
    <row r="29888" spans="23:23" x14ac:dyDescent="0.55000000000000004">
      <c r="W29888"/>
    </row>
    <row r="29889" spans="23:23" x14ac:dyDescent="0.55000000000000004">
      <c r="W29889"/>
    </row>
    <row r="29890" spans="23:23" x14ac:dyDescent="0.55000000000000004">
      <c r="W29890"/>
    </row>
    <row r="29891" spans="23:23" x14ac:dyDescent="0.55000000000000004">
      <c r="W29891"/>
    </row>
    <row r="29892" spans="23:23" x14ac:dyDescent="0.55000000000000004">
      <c r="W29892"/>
    </row>
    <row r="29893" spans="23:23" x14ac:dyDescent="0.55000000000000004">
      <c r="W29893"/>
    </row>
    <row r="29894" spans="23:23" x14ac:dyDescent="0.55000000000000004">
      <c r="W29894"/>
    </row>
    <row r="29895" spans="23:23" x14ac:dyDescent="0.55000000000000004">
      <c r="W29895"/>
    </row>
    <row r="29896" spans="23:23" x14ac:dyDescent="0.55000000000000004">
      <c r="W29896"/>
    </row>
    <row r="29897" spans="23:23" x14ac:dyDescent="0.55000000000000004">
      <c r="W29897"/>
    </row>
    <row r="29898" spans="23:23" x14ac:dyDescent="0.55000000000000004">
      <c r="W29898"/>
    </row>
    <row r="29899" spans="23:23" x14ac:dyDescent="0.55000000000000004">
      <c r="W29899"/>
    </row>
    <row r="29900" spans="23:23" x14ac:dyDescent="0.55000000000000004">
      <c r="W29900"/>
    </row>
    <row r="29901" spans="23:23" x14ac:dyDescent="0.55000000000000004">
      <c r="W29901"/>
    </row>
    <row r="29902" spans="23:23" x14ac:dyDescent="0.55000000000000004">
      <c r="W29902"/>
    </row>
    <row r="29903" spans="23:23" x14ac:dyDescent="0.55000000000000004">
      <c r="W29903"/>
    </row>
    <row r="29904" spans="23:23" x14ac:dyDescent="0.55000000000000004">
      <c r="W29904"/>
    </row>
    <row r="29905" spans="23:23" x14ac:dyDescent="0.55000000000000004">
      <c r="W29905"/>
    </row>
    <row r="29906" spans="23:23" x14ac:dyDescent="0.55000000000000004">
      <c r="W29906"/>
    </row>
    <row r="29907" spans="23:23" x14ac:dyDescent="0.55000000000000004">
      <c r="W29907"/>
    </row>
    <row r="29908" spans="23:23" x14ac:dyDescent="0.55000000000000004">
      <c r="W29908"/>
    </row>
    <row r="29909" spans="23:23" x14ac:dyDescent="0.55000000000000004">
      <c r="W29909"/>
    </row>
    <row r="29910" spans="23:23" x14ac:dyDescent="0.55000000000000004">
      <c r="W29910"/>
    </row>
    <row r="29911" spans="23:23" x14ac:dyDescent="0.55000000000000004">
      <c r="W29911"/>
    </row>
    <row r="29912" spans="23:23" x14ac:dyDescent="0.55000000000000004">
      <c r="W29912"/>
    </row>
    <row r="29913" spans="23:23" x14ac:dyDescent="0.55000000000000004">
      <c r="W29913"/>
    </row>
    <row r="29914" spans="23:23" x14ac:dyDescent="0.55000000000000004">
      <c r="W29914"/>
    </row>
    <row r="29915" spans="23:23" x14ac:dyDescent="0.55000000000000004">
      <c r="W29915"/>
    </row>
    <row r="29916" spans="23:23" x14ac:dyDescent="0.55000000000000004">
      <c r="W29916"/>
    </row>
    <row r="29917" spans="23:23" x14ac:dyDescent="0.55000000000000004">
      <c r="W29917"/>
    </row>
    <row r="29918" spans="23:23" x14ac:dyDescent="0.55000000000000004">
      <c r="W29918"/>
    </row>
    <row r="29919" spans="23:23" x14ac:dyDescent="0.55000000000000004">
      <c r="W29919"/>
    </row>
    <row r="29920" spans="23:23" x14ac:dyDescent="0.55000000000000004">
      <c r="W29920"/>
    </row>
    <row r="29921" spans="23:23" x14ac:dyDescent="0.55000000000000004">
      <c r="W29921"/>
    </row>
    <row r="29922" spans="23:23" x14ac:dyDescent="0.55000000000000004">
      <c r="W29922"/>
    </row>
    <row r="29923" spans="23:23" x14ac:dyDescent="0.55000000000000004">
      <c r="W29923"/>
    </row>
    <row r="29924" spans="23:23" x14ac:dyDescent="0.55000000000000004">
      <c r="W29924"/>
    </row>
    <row r="29925" spans="23:23" x14ac:dyDescent="0.55000000000000004">
      <c r="W29925"/>
    </row>
    <row r="29926" spans="23:23" x14ac:dyDescent="0.55000000000000004">
      <c r="W29926"/>
    </row>
    <row r="29927" spans="23:23" x14ac:dyDescent="0.55000000000000004">
      <c r="W29927"/>
    </row>
    <row r="29928" spans="23:23" x14ac:dyDescent="0.55000000000000004">
      <c r="W29928"/>
    </row>
    <row r="29929" spans="23:23" x14ac:dyDescent="0.55000000000000004">
      <c r="W29929"/>
    </row>
    <row r="29930" spans="23:23" x14ac:dyDescent="0.55000000000000004">
      <c r="W29930"/>
    </row>
    <row r="29931" spans="23:23" x14ac:dyDescent="0.55000000000000004">
      <c r="W29931"/>
    </row>
    <row r="29932" spans="23:23" x14ac:dyDescent="0.55000000000000004">
      <c r="W29932"/>
    </row>
    <row r="29933" spans="23:23" x14ac:dyDescent="0.55000000000000004">
      <c r="W29933"/>
    </row>
    <row r="29934" spans="23:23" x14ac:dyDescent="0.55000000000000004">
      <c r="W29934"/>
    </row>
    <row r="29935" spans="23:23" x14ac:dyDescent="0.55000000000000004">
      <c r="W29935"/>
    </row>
    <row r="29936" spans="23:23" x14ac:dyDescent="0.55000000000000004">
      <c r="W29936"/>
    </row>
    <row r="29937" spans="23:23" x14ac:dyDescent="0.55000000000000004">
      <c r="W29937"/>
    </row>
    <row r="29938" spans="23:23" x14ac:dyDescent="0.55000000000000004">
      <c r="W29938"/>
    </row>
    <row r="29939" spans="23:23" x14ac:dyDescent="0.55000000000000004">
      <c r="W29939"/>
    </row>
    <row r="29940" spans="23:23" x14ac:dyDescent="0.55000000000000004">
      <c r="W29940"/>
    </row>
    <row r="29941" spans="23:23" x14ac:dyDescent="0.55000000000000004">
      <c r="W29941"/>
    </row>
    <row r="29942" spans="23:23" x14ac:dyDescent="0.55000000000000004">
      <c r="W29942"/>
    </row>
    <row r="29943" spans="23:23" x14ac:dyDescent="0.55000000000000004">
      <c r="W29943"/>
    </row>
    <row r="29944" spans="23:23" x14ac:dyDescent="0.55000000000000004">
      <c r="W29944"/>
    </row>
    <row r="29945" spans="23:23" x14ac:dyDescent="0.55000000000000004">
      <c r="W29945"/>
    </row>
    <row r="29946" spans="23:23" x14ac:dyDescent="0.55000000000000004">
      <c r="W29946"/>
    </row>
    <row r="29947" spans="23:23" x14ac:dyDescent="0.55000000000000004">
      <c r="W29947"/>
    </row>
    <row r="29948" spans="23:23" x14ac:dyDescent="0.55000000000000004">
      <c r="W29948"/>
    </row>
    <row r="29949" spans="23:23" x14ac:dyDescent="0.55000000000000004">
      <c r="W29949"/>
    </row>
    <row r="29950" spans="23:23" x14ac:dyDescent="0.55000000000000004">
      <c r="W29950"/>
    </row>
    <row r="29951" spans="23:23" x14ac:dyDescent="0.55000000000000004">
      <c r="W29951"/>
    </row>
    <row r="29952" spans="23:23" x14ac:dyDescent="0.55000000000000004">
      <c r="W29952"/>
    </row>
    <row r="29953" spans="23:23" x14ac:dyDescent="0.55000000000000004">
      <c r="W29953"/>
    </row>
    <row r="29954" spans="23:23" x14ac:dyDescent="0.55000000000000004">
      <c r="W29954"/>
    </row>
    <row r="29955" spans="23:23" x14ac:dyDescent="0.55000000000000004">
      <c r="W29955"/>
    </row>
    <row r="29956" spans="23:23" x14ac:dyDescent="0.55000000000000004">
      <c r="W29956"/>
    </row>
    <row r="29957" spans="23:23" x14ac:dyDescent="0.55000000000000004">
      <c r="W29957"/>
    </row>
    <row r="29958" spans="23:23" x14ac:dyDescent="0.55000000000000004">
      <c r="W29958"/>
    </row>
    <row r="29959" spans="23:23" x14ac:dyDescent="0.55000000000000004">
      <c r="W29959"/>
    </row>
    <row r="29960" spans="23:23" x14ac:dyDescent="0.55000000000000004">
      <c r="W29960"/>
    </row>
    <row r="29961" spans="23:23" x14ac:dyDescent="0.55000000000000004">
      <c r="W29961"/>
    </row>
    <row r="29962" spans="23:23" x14ac:dyDescent="0.55000000000000004">
      <c r="W29962"/>
    </row>
    <row r="29963" spans="23:23" x14ac:dyDescent="0.55000000000000004">
      <c r="W29963"/>
    </row>
    <row r="29964" spans="23:23" x14ac:dyDescent="0.55000000000000004">
      <c r="W29964"/>
    </row>
    <row r="29965" spans="23:23" x14ac:dyDescent="0.55000000000000004">
      <c r="W29965"/>
    </row>
    <row r="29966" spans="23:23" x14ac:dyDescent="0.55000000000000004">
      <c r="W29966"/>
    </row>
    <row r="29967" spans="23:23" x14ac:dyDescent="0.55000000000000004">
      <c r="W29967"/>
    </row>
    <row r="29968" spans="23:23" x14ac:dyDescent="0.55000000000000004">
      <c r="W29968"/>
    </row>
    <row r="29969" spans="23:23" x14ac:dyDescent="0.55000000000000004">
      <c r="W29969"/>
    </row>
    <row r="29970" spans="23:23" x14ac:dyDescent="0.55000000000000004">
      <c r="W29970"/>
    </row>
    <row r="29971" spans="23:23" x14ac:dyDescent="0.55000000000000004">
      <c r="W29971"/>
    </row>
    <row r="29972" spans="23:23" x14ac:dyDescent="0.55000000000000004">
      <c r="W29972"/>
    </row>
    <row r="29973" spans="23:23" x14ac:dyDescent="0.55000000000000004">
      <c r="W29973"/>
    </row>
    <row r="29974" spans="23:23" x14ac:dyDescent="0.55000000000000004">
      <c r="W29974"/>
    </row>
    <row r="29975" spans="23:23" x14ac:dyDescent="0.55000000000000004">
      <c r="W29975"/>
    </row>
    <row r="29976" spans="23:23" x14ac:dyDescent="0.55000000000000004">
      <c r="W29976"/>
    </row>
    <row r="29977" spans="23:23" x14ac:dyDescent="0.55000000000000004">
      <c r="W29977"/>
    </row>
    <row r="29978" spans="23:23" x14ac:dyDescent="0.55000000000000004">
      <c r="W29978"/>
    </row>
    <row r="29979" spans="23:23" x14ac:dyDescent="0.55000000000000004">
      <c r="W29979"/>
    </row>
    <row r="29980" spans="23:23" x14ac:dyDescent="0.55000000000000004">
      <c r="W29980"/>
    </row>
    <row r="29981" spans="23:23" x14ac:dyDescent="0.55000000000000004">
      <c r="W29981"/>
    </row>
    <row r="29982" spans="23:23" x14ac:dyDescent="0.55000000000000004">
      <c r="W29982"/>
    </row>
    <row r="29983" spans="23:23" x14ac:dyDescent="0.55000000000000004">
      <c r="W29983"/>
    </row>
    <row r="29984" spans="23:23" x14ac:dyDescent="0.55000000000000004">
      <c r="W29984"/>
    </row>
    <row r="29985" spans="23:23" x14ac:dyDescent="0.55000000000000004">
      <c r="W29985"/>
    </row>
    <row r="29986" spans="23:23" x14ac:dyDescent="0.55000000000000004">
      <c r="W29986"/>
    </row>
    <row r="29987" spans="23:23" x14ac:dyDescent="0.55000000000000004">
      <c r="W29987"/>
    </row>
    <row r="29988" spans="23:23" x14ac:dyDescent="0.55000000000000004">
      <c r="W29988"/>
    </row>
    <row r="29989" spans="23:23" x14ac:dyDescent="0.55000000000000004">
      <c r="W29989"/>
    </row>
    <row r="29990" spans="23:23" x14ac:dyDescent="0.55000000000000004">
      <c r="W29990"/>
    </row>
    <row r="29991" spans="23:23" x14ac:dyDescent="0.55000000000000004">
      <c r="W29991"/>
    </row>
    <row r="29992" spans="23:23" x14ac:dyDescent="0.55000000000000004">
      <c r="W29992"/>
    </row>
    <row r="29993" spans="23:23" x14ac:dyDescent="0.55000000000000004">
      <c r="W29993"/>
    </row>
    <row r="29994" spans="23:23" x14ac:dyDescent="0.55000000000000004">
      <c r="W29994"/>
    </row>
    <row r="29995" spans="23:23" x14ac:dyDescent="0.55000000000000004">
      <c r="W29995"/>
    </row>
    <row r="29996" spans="23:23" x14ac:dyDescent="0.55000000000000004">
      <c r="W29996"/>
    </row>
    <row r="29997" spans="23:23" x14ac:dyDescent="0.55000000000000004">
      <c r="W29997"/>
    </row>
    <row r="29998" spans="23:23" x14ac:dyDescent="0.55000000000000004">
      <c r="W29998"/>
    </row>
    <row r="29999" spans="23:23" x14ac:dyDescent="0.55000000000000004">
      <c r="W29999"/>
    </row>
    <row r="30000" spans="23:23" x14ac:dyDescent="0.55000000000000004">
      <c r="W30000"/>
    </row>
    <row r="30001" spans="23:23" x14ac:dyDescent="0.55000000000000004">
      <c r="W30001"/>
    </row>
    <row r="30002" spans="23:23" x14ac:dyDescent="0.55000000000000004">
      <c r="W30002"/>
    </row>
    <row r="30003" spans="23:23" x14ac:dyDescent="0.55000000000000004">
      <c r="W30003"/>
    </row>
    <row r="30004" spans="23:23" x14ac:dyDescent="0.55000000000000004">
      <c r="W30004"/>
    </row>
    <row r="30005" spans="23:23" x14ac:dyDescent="0.55000000000000004">
      <c r="W30005"/>
    </row>
    <row r="30006" spans="23:23" x14ac:dyDescent="0.55000000000000004">
      <c r="W30006"/>
    </row>
    <row r="30007" spans="23:23" x14ac:dyDescent="0.55000000000000004">
      <c r="W30007"/>
    </row>
    <row r="30008" spans="23:23" x14ac:dyDescent="0.55000000000000004">
      <c r="W30008"/>
    </row>
    <row r="30009" spans="23:23" x14ac:dyDescent="0.55000000000000004">
      <c r="W30009"/>
    </row>
    <row r="30010" spans="23:23" x14ac:dyDescent="0.55000000000000004">
      <c r="W30010"/>
    </row>
    <row r="30011" spans="23:23" x14ac:dyDescent="0.55000000000000004">
      <c r="W30011"/>
    </row>
    <row r="30012" spans="23:23" x14ac:dyDescent="0.55000000000000004">
      <c r="W30012"/>
    </row>
    <row r="30013" spans="23:23" x14ac:dyDescent="0.55000000000000004">
      <c r="W30013"/>
    </row>
    <row r="30014" spans="23:23" x14ac:dyDescent="0.55000000000000004">
      <c r="W30014"/>
    </row>
    <row r="30015" spans="23:23" x14ac:dyDescent="0.55000000000000004">
      <c r="W30015"/>
    </row>
    <row r="30016" spans="23:23" x14ac:dyDescent="0.55000000000000004">
      <c r="W30016"/>
    </row>
    <row r="30017" spans="23:23" x14ac:dyDescent="0.55000000000000004">
      <c r="W30017"/>
    </row>
    <row r="30018" spans="23:23" x14ac:dyDescent="0.55000000000000004">
      <c r="W30018"/>
    </row>
    <row r="30019" spans="23:23" x14ac:dyDescent="0.55000000000000004">
      <c r="W30019"/>
    </row>
    <row r="30020" spans="23:23" x14ac:dyDescent="0.55000000000000004">
      <c r="W30020"/>
    </row>
    <row r="30021" spans="23:23" x14ac:dyDescent="0.55000000000000004">
      <c r="W30021"/>
    </row>
    <row r="30022" spans="23:23" x14ac:dyDescent="0.55000000000000004">
      <c r="W30022"/>
    </row>
    <row r="30023" spans="23:23" x14ac:dyDescent="0.55000000000000004">
      <c r="W30023"/>
    </row>
    <row r="30024" spans="23:23" x14ac:dyDescent="0.55000000000000004">
      <c r="W30024"/>
    </row>
    <row r="30025" spans="23:23" x14ac:dyDescent="0.55000000000000004">
      <c r="W30025"/>
    </row>
    <row r="30026" spans="23:23" x14ac:dyDescent="0.55000000000000004">
      <c r="W30026"/>
    </row>
    <row r="30027" spans="23:23" x14ac:dyDescent="0.55000000000000004">
      <c r="W30027"/>
    </row>
    <row r="30028" spans="23:23" x14ac:dyDescent="0.55000000000000004">
      <c r="W30028"/>
    </row>
    <row r="30029" spans="23:23" x14ac:dyDescent="0.55000000000000004">
      <c r="W30029"/>
    </row>
    <row r="30030" spans="23:23" x14ac:dyDescent="0.55000000000000004">
      <c r="W30030"/>
    </row>
    <row r="30031" spans="23:23" x14ac:dyDescent="0.55000000000000004">
      <c r="W30031"/>
    </row>
    <row r="30032" spans="23:23" x14ac:dyDescent="0.55000000000000004">
      <c r="W30032"/>
    </row>
    <row r="30033" spans="23:23" x14ac:dyDescent="0.55000000000000004">
      <c r="W30033"/>
    </row>
    <row r="30034" spans="23:23" x14ac:dyDescent="0.55000000000000004">
      <c r="W30034"/>
    </row>
    <row r="30035" spans="23:23" x14ac:dyDescent="0.55000000000000004">
      <c r="W30035"/>
    </row>
    <row r="30036" spans="23:23" x14ac:dyDescent="0.55000000000000004">
      <c r="W30036"/>
    </row>
    <row r="30037" spans="23:23" x14ac:dyDescent="0.55000000000000004">
      <c r="W30037"/>
    </row>
    <row r="30038" spans="23:23" x14ac:dyDescent="0.55000000000000004">
      <c r="W30038"/>
    </row>
    <row r="30039" spans="23:23" x14ac:dyDescent="0.55000000000000004">
      <c r="W30039"/>
    </row>
    <row r="30040" spans="23:23" x14ac:dyDescent="0.55000000000000004">
      <c r="W30040"/>
    </row>
    <row r="30041" spans="23:23" x14ac:dyDescent="0.55000000000000004">
      <c r="W30041"/>
    </row>
    <row r="30042" spans="23:23" x14ac:dyDescent="0.55000000000000004">
      <c r="W30042"/>
    </row>
    <row r="30043" spans="23:23" x14ac:dyDescent="0.55000000000000004">
      <c r="W30043"/>
    </row>
    <row r="30044" spans="23:23" x14ac:dyDescent="0.55000000000000004">
      <c r="W30044"/>
    </row>
    <row r="30045" spans="23:23" x14ac:dyDescent="0.55000000000000004">
      <c r="W30045"/>
    </row>
    <row r="30046" spans="23:23" x14ac:dyDescent="0.55000000000000004">
      <c r="W30046"/>
    </row>
    <row r="30047" spans="23:23" x14ac:dyDescent="0.55000000000000004">
      <c r="W30047"/>
    </row>
    <row r="30048" spans="23:23" x14ac:dyDescent="0.55000000000000004">
      <c r="W30048"/>
    </row>
    <row r="30049" spans="23:23" x14ac:dyDescent="0.55000000000000004">
      <c r="W30049"/>
    </row>
    <row r="30050" spans="23:23" x14ac:dyDescent="0.55000000000000004">
      <c r="W30050"/>
    </row>
    <row r="30051" spans="23:23" x14ac:dyDescent="0.55000000000000004">
      <c r="W30051"/>
    </row>
    <row r="30052" spans="23:23" x14ac:dyDescent="0.55000000000000004">
      <c r="W30052"/>
    </row>
    <row r="30053" spans="23:23" x14ac:dyDescent="0.55000000000000004">
      <c r="W30053"/>
    </row>
    <row r="30054" spans="23:23" x14ac:dyDescent="0.55000000000000004">
      <c r="W30054"/>
    </row>
    <row r="30055" spans="23:23" x14ac:dyDescent="0.55000000000000004">
      <c r="W30055"/>
    </row>
    <row r="30056" spans="23:23" x14ac:dyDescent="0.55000000000000004">
      <c r="W30056"/>
    </row>
    <row r="30057" spans="23:23" x14ac:dyDescent="0.55000000000000004">
      <c r="W30057"/>
    </row>
    <row r="30058" spans="23:23" x14ac:dyDescent="0.55000000000000004">
      <c r="W30058"/>
    </row>
    <row r="30059" spans="23:23" x14ac:dyDescent="0.55000000000000004">
      <c r="W30059"/>
    </row>
    <row r="30060" spans="23:23" x14ac:dyDescent="0.55000000000000004">
      <c r="W30060"/>
    </row>
    <row r="30061" spans="23:23" x14ac:dyDescent="0.55000000000000004">
      <c r="W30061"/>
    </row>
    <row r="30062" spans="23:23" x14ac:dyDescent="0.55000000000000004">
      <c r="W30062"/>
    </row>
    <row r="30063" spans="23:23" x14ac:dyDescent="0.55000000000000004">
      <c r="W30063"/>
    </row>
    <row r="30064" spans="23:23" x14ac:dyDescent="0.55000000000000004">
      <c r="W30064"/>
    </row>
    <row r="30065" spans="23:23" x14ac:dyDescent="0.55000000000000004">
      <c r="W30065"/>
    </row>
    <row r="30066" spans="23:23" x14ac:dyDescent="0.55000000000000004">
      <c r="W30066"/>
    </row>
    <row r="30067" spans="23:23" x14ac:dyDescent="0.55000000000000004">
      <c r="W30067"/>
    </row>
    <row r="30068" spans="23:23" x14ac:dyDescent="0.55000000000000004">
      <c r="W30068"/>
    </row>
    <row r="30069" spans="23:23" x14ac:dyDescent="0.55000000000000004">
      <c r="W30069"/>
    </row>
    <row r="30070" spans="23:23" x14ac:dyDescent="0.55000000000000004">
      <c r="W30070"/>
    </row>
    <row r="30071" spans="23:23" x14ac:dyDescent="0.55000000000000004">
      <c r="W30071"/>
    </row>
    <row r="30072" spans="23:23" x14ac:dyDescent="0.55000000000000004">
      <c r="W30072"/>
    </row>
    <row r="30073" spans="23:23" x14ac:dyDescent="0.55000000000000004">
      <c r="W30073"/>
    </row>
    <row r="30074" spans="23:23" x14ac:dyDescent="0.55000000000000004">
      <c r="W30074"/>
    </row>
    <row r="30075" spans="23:23" x14ac:dyDescent="0.55000000000000004">
      <c r="W30075"/>
    </row>
    <row r="30076" spans="23:23" x14ac:dyDescent="0.55000000000000004">
      <c r="W30076"/>
    </row>
    <row r="30077" spans="23:23" x14ac:dyDescent="0.55000000000000004">
      <c r="W30077"/>
    </row>
    <row r="30078" spans="23:23" x14ac:dyDescent="0.55000000000000004">
      <c r="W30078"/>
    </row>
    <row r="30079" spans="23:23" x14ac:dyDescent="0.55000000000000004">
      <c r="W30079"/>
    </row>
    <row r="30080" spans="23:23" x14ac:dyDescent="0.55000000000000004">
      <c r="W30080"/>
    </row>
    <row r="30081" spans="23:23" x14ac:dyDescent="0.55000000000000004">
      <c r="W30081"/>
    </row>
    <row r="30082" spans="23:23" x14ac:dyDescent="0.55000000000000004">
      <c r="W30082"/>
    </row>
    <row r="30083" spans="23:23" x14ac:dyDescent="0.55000000000000004">
      <c r="W30083"/>
    </row>
    <row r="30084" spans="23:23" x14ac:dyDescent="0.55000000000000004">
      <c r="W30084"/>
    </row>
    <row r="30085" spans="23:23" x14ac:dyDescent="0.55000000000000004">
      <c r="W30085"/>
    </row>
    <row r="30086" spans="23:23" x14ac:dyDescent="0.55000000000000004">
      <c r="W30086"/>
    </row>
    <row r="30087" spans="23:23" x14ac:dyDescent="0.55000000000000004">
      <c r="W30087"/>
    </row>
    <row r="30088" spans="23:23" x14ac:dyDescent="0.55000000000000004">
      <c r="W30088"/>
    </row>
    <row r="30089" spans="23:23" x14ac:dyDescent="0.55000000000000004">
      <c r="W30089"/>
    </row>
    <row r="30090" spans="23:23" x14ac:dyDescent="0.55000000000000004">
      <c r="W30090"/>
    </row>
    <row r="30091" spans="23:23" x14ac:dyDescent="0.55000000000000004">
      <c r="W30091"/>
    </row>
    <row r="30092" spans="23:23" x14ac:dyDescent="0.55000000000000004">
      <c r="W30092"/>
    </row>
    <row r="30093" spans="23:23" x14ac:dyDescent="0.55000000000000004">
      <c r="W30093"/>
    </row>
    <row r="30094" spans="23:23" x14ac:dyDescent="0.55000000000000004">
      <c r="W30094"/>
    </row>
    <row r="30095" spans="23:23" x14ac:dyDescent="0.55000000000000004">
      <c r="W30095"/>
    </row>
    <row r="30096" spans="23:23" x14ac:dyDescent="0.55000000000000004">
      <c r="W30096"/>
    </row>
    <row r="30097" spans="23:23" x14ac:dyDescent="0.55000000000000004">
      <c r="W30097"/>
    </row>
    <row r="30098" spans="23:23" x14ac:dyDescent="0.55000000000000004">
      <c r="W30098"/>
    </row>
    <row r="30099" spans="23:23" x14ac:dyDescent="0.55000000000000004">
      <c r="W30099"/>
    </row>
    <row r="30100" spans="23:23" x14ac:dyDescent="0.55000000000000004">
      <c r="W30100"/>
    </row>
    <row r="30101" spans="23:23" x14ac:dyDescent="0.55000000000000004">
      <c r="W30101"/>
    </row>
    <row r="30102" spans="23:23" x14ac:dyDescent="0.55000000000000004">
      <c r="W30102"/>
    </row>
    <row r="30103" spans="23:23" x14ac:dyDescent="0.55000000000000004">
      <c r="W30103"/>
    </row>
    <row r="30104" spans="23:23" x14ac:dyDescent="0.55000000000000004">
      <c r="W30104"/>
    </row>
    <row r="30105" spans="23:23" x14ac:dyDescent="0.55000000000000004">
      <c r="W30105"/>
    </row>
    <row r="30106" spans="23:23" x14ac:dyDescent="0.55000000000000004">
      <c r="W30106"/>
    </row>
    <row r="30107" spans="23:23" x14ac:dyDescent="0.55000000000000004">
      <c r="W30107"/>
    </row>
    <row r="30108" spans="23:23" x14ac:dyDescent="0.55000000000000004">
      <c r="W30108"/>
    </row>
    <row r="30109" spans="23:23" x14ac:dyDescent="0.55000000000000004">
      <c r="W30109"/>
    </row>
    <row r="30110" spans="23:23" x14ac:dyDescent="0.55000000000000004">
      <c r="W30110"/>
    </row>
    <row r="30111" spans="23:23" x14ac:dyDescent="0.55000000000000004">
      <c r="W30111"/>
    </row>
    <row r="30112" spans="23:23" x14ac:dyDescent="0.55000000000000004">
      <c r="W30112"/>
    </row>
    <row r="30113" spans="23:23" x14ac:dyDescent="0.55000000000000004">
      <c r="W30113"/>
    </row>
    <row r="30114" spans="23:23" x14ac:dyDescent="0.55000000000000004">
      <c r="W30114"/>
    </row>
    <row r="30115" spans="23:23" x14ac:dyDescent="0.55000000000000004">
      <c r="W30115"/>
    </row>
    <row r="30116" spans="23:23" x14ac:dyDescent="0.55000000000000004">
      <c r="W30116"/>
    </row>
    <row r="30117" spans="23:23" x14ac:dyDescent="0.55000000000000004">
      <c r="W30117"/>
    </row>
    <row r="30118" spans="23:23" x14ac:dyDescent="0.55000000000000004">
      <c r="W30118"/>
    </row>
    <row r="30119" spans="23:23" x14ac:dyDescent="0.55000000000000004">
      <c r="W30119"/>
    </row>
    <row r="30120" spans="23:23" x14ac:dyDescent="0.55000000000000004">
      <c r="W30120"/>
    </row>
    <row r="30121" spans="23:23" x14ac:dyDescent="0.55000000000000004">
      <c r="W30121"/>
    </row>
    <row r="30122" spans="23:23" x14ac:dyDescent="0.55000000000000004">
      <c r="W30122"/>
    </row>
    <row r="30123" spans="23:23" x14ac:dyDescent="0.55000000000000004">
      <c r="W30123"/>
    </row>
    <row r="30124" spans="23:23" x14ac:dyDescent="0.55000000000000004">
      <c r="W30124"/>
    </row>
    <row r="30125" spans="23:23" x14ac:dyDescent="0.55000000000000004">
      <c r="W30125"/>
    </row>
    <row r="30126" spans="23:23" x14ac:dyDescent="0.55000000000000004">
      <c r="W30126"/>
    </row>
    <row r="30127" spans="23:23" x14ac:dyDescent="0.55000000000000004">
      <c r="W30127"/>
    </row>
    <row r="30128" spans="23:23" x14ac:dyDescent="0.55000000000000004">
      <c r="W30128"/>
    </row>
    <row r="30129" spans="23:23" x14ac:dyDescent="0.55000000000000004">
      <c r="W30129"/>
    </row>
    <row r="30130" spans="23:23" x14ac:dyDescent="0.55000000000000004">
      <c r="W30130"/>
    </row>
    <row r="30131" spans="23:23" x14ac:dyDescent="0.55000000000000004">
      <c r="W30131"/>
    </row>
    <row r="30132" spans="23:23" x14ac:dyDescent="0.55000000000000004">
      <c r="W30132"/>
    </row>
    <row r="30133" spans="23:23" x14ac:dyDescent="0.55000000000000004">
      <c r="W30133"/>
    </row>
    <row r="30134" spans="23:23" x14ac:dyDescent="0.55000000000000004">
      <c r="W30134"/>
    </row>
    <row r="30135" spans="23:23" x14ac:dyDescent="0.55000000000000004">
      <c r="W30135"/>
    </row>
    <row r="30136" spans="23:23" x14ac:dyDescent="0.55000000000000004">
      <c r="W30136"/>
    </row>
    <row r="30137" spans="23:23" x14ac:dyDescent="0.55000000000000004">
      <c r="W30137"/>
    </row>
    <row r="30138" spans="23:23" x14ac:dyDescent="0.55000000000000004">
      <c r="W30138"/>
    </row>
    <row r="30139" spans="23:23" x14ac:dyDescent="0.55000000000000004">
      <c r="W30139"/>
    </row>
    <row r="30140" spans="23:23" x14ac:dyDescent="0.55000000000000004">
      <c r="W30140"/>
    </row>
    <row r="30141" spans="23:23" x14ac:dyDescent="0.55000000000000004">
      <c r="W30141"/>
    </row>
    <row r="30142" spans="23:23" x14ac:dyDescent="0.55000000000000004">
      <c r="W30142"/>
    </row>
    <row r="30143" spans="23:23" x14ac:dyDescent="0.55000000000000004">
      <c r="W30143"/>
    </row>
    <row r="30144" spans="23:23" x14ac:dyDescent="0.55000000000000004">
      <c r="W30144"/>
    </row>
    <row r="30145" spans="23:23" x14ac:dyDescent="0.55000000000000004">
      <c r="W30145"/>
    </row>
    <row r="30146" spans="23:23" x14ac:dyDescent="0.55000000000000004">
      <c r="W30146"/>
    </row>
    <row r="30147" spans="23:23" x14ac:dyDescent="0.55000000000000004">
      <c r="W30147"/>
    </row>
    <row r="30148" spans="23:23" x14ac:dyDescent="0.55000000000000004">
      <c r="W30148"/>
    </row>
    <row r="30149" spans="23:23" x14ac:dyDescent="0.55000000000000004">
      <c r="W30149"/>
    </row>
    <row r="30150" spans="23:23" x14ac:dyDescent="0.55000000000000004">
      <c r="W30150"/>
    </row>
    <row r="30151" spans="23:23" x14ac:dyDescent="0.55000000000000004">
      <c r="W30151"/>
    </row>
    <row r="30152" spans="23:23" x14ac:dyDescent="0.55000000000000004">
      <c r="W30152"/>
    </row>
    <row r="30153" spans="23:23" x14ac:dyDescent="0.55000000000000004">
      <c r="W30153"/>
    </row>
    <row r="30154" spans="23:23" x14ac:dyDescent="0.55000000000000004">
      <c r="W30154"/>
    </row>
    <row r="30155" spans="23:23" x14ac:dyDescent="0.55000000000000004">
      <c r="W30155"/>
    </row>
    <row r="30156" spans="23:23" x14ac:dyDescent="0.55000000000000004">
      <c r="W30156"/>
    </row>
    <row r="30157" spans="23:23" x14ac:dyDescent="0.55000000000000004">
      <c r="W30157"/>
    </row>
    <row r="30158" spans="23:23" x14ac:dyDescent="0.55000000000000004">
      <c r="W30158"/>
    </row>
    <row r="30159" spans="23:23" x14ac:dyDescent="0.55000000000000004">
      <c r="W30159"/>
    </row>
    <row r="30160" spans="23:23" x14ac:dyDescent="0.55000000000000004">
      <c r="W30160"/>
    </row>
    <row r="30161" spans="23:23" x14ac:dyDescent="0.55000000000000004">
      <c r="W30161"/>
    </row>
    <row r="30162" spans="23:23" x14ac:dyDescent="0.55000000000000004">
      <c r="W30162"/>
    </row>
    <row r="30163" spans="23:23" x14ac:dyDescent="0.55000000000000004">
      <c r="W30163"/>
    </row>
    <row r="30164" spans="23:23" x14ac:dyDescent="0.55000000000000004">
      <c r="W30164"/>
    </row>
    <row r="30165" spans="23:23" x14ac:dyDescent="0.55000000000000004">
      <c r="W30165"/>
    </row>
    <row r="30166" spans="23:23" x14ac:dyDescent="0.55000000000000004">
      <c r="W30166"/>
    </row>
    <row r="30167" spans="23:23" x14ac:dyDescent="0.55000000000000004">
      <c r="W30167"/>
    </row>
    <row r="30168" spans="23:23" x14ac:dyDescent="0.55000000000000004">
      <c r="W30168"/>
    </row>
    <row r="30169" spans="23:23" x14ac:dyDescent="0.55000000000000004">
      <c r="W30169"/>
    </row>
    <row r="30170" spans="23:23" x14ac:dyDescent="0.55000000000000004">
      <c r="W30170"/>
    </row>
    <row r="30171" spans="23:23" x14ac:dyDescent="0.55000000000000004">
      <c r="W30171"/>
    </row>
    <row r="30172" spans="23:23" x14ac:dyDescent="0.55000000000000004">
      <c r="W30172"/>
    </row>
    <row r="30173" spans="23:23" x14ac:dyDescent="0.55000000000000004">
      <c r="W30173"/>
    </row>
    <row r="30174" spans="23:23" x14ac:dyDescent="0.55000000000000004">
      <c r="W30174"/>
    </row>
    <row r="30175" spans="23:23" x14ac:dyDescent="0.55000000000000004">
      <c r="W30175"/>
    </row>
    <row r="30176" spans="23:23" x14ac:dyDescent="0.55000000000000004">
      <c r="W30176"/>
    </row>
    <row r="30177" spans="23:23" x14ac:dyDescent="0.55000000000000004">
      <c r="W30177"/>
    </row>
    <row r="30178" spans="23:23" x14ac:dyDescent="0.55000000000000004">
      <c r="W30178"/>
    </row>
    <row r="30179" spans="23:23" x14ac:dyDescent="0.55000000000000004">
      <c r="W30179"/>
    </row>
    <row r="30180" spans="23:23" x14ac:dyDescent="0.55000000000000004">
      <c r="W30180"/>
    </row>
    <row r="30181" spans="23:23" x14ac:dyDescent="0.55000000000000004">
      <c r="W30181"/>
    </row>
    <row r="30182" spans="23:23" x14ac:dyDescent="0.55000000000000004">
      <c r="W30182"/>
    </row>
    <row r="30183" spans="23:23" x14ac:dyDescent="0.55000000000000004">
      <c r="W30183"/>
    </row>
    <row r="30184" spans="23:23" x14ac:dyDescent="0.55000000000000004">
      <c r="W30184"/>
    </row>
    <row r="30185" spans="23:23" x14ac:dyDescent="0.55000000000000004">
      <c r="W30185"/>
    </row>
    <row r="30186" spans="23:23" x14ac:dyDescent="0.55000000000000004">
      <c r="W30186"/>
    </row>
    <row r="30187" spans="23:23" x14ac:dyDescent="0.55000000000000004">
      <c r="W30187"/>
    </row>
    <row r="30188" spans="23:23" x14ac:dyDescent="0.55000000000000004">
      <c r="W30188"/>
    </row>
    <row r="30189" spans="23:23" x14ac:dyDescent="0.55000000000000004">
      <c r="W30189"/>
    </row>
    <row r="30190" spans="23:23" x14ac:dyDescent="0.55000000000000004">
      <c r="W30190"/>
    </row>
    <row r="30191" spans="23:23" x14ac:dyDescent="0.55000000000000004">
      <c r="W30191"/>
    </row>
    <row r="30192" spans="23:23" x14ac:dyDescent="0.55000000000000004">
      <c r="W30192"/>
    </row>
    <row r="30193" spans="23:23" x14ac:dyDescent="0.55000000000000004">
      <c r="W30193"/>
    </row>
    <row r="30194" spans="23:23" x14ac:dyDescent="0.55000000000000004">
      <c r="W30194"/>
    </row>
    <row r="30195" spans="23:23" x14ac:dyDescent="0.55000000000000004">
      <c r="W30195"/>
    </row>
    <row r="30196" spans="23:23" x14ac:dyDescent="0.55000000000000004">
      <c r="W30196"/>
    </row>
    <row r="30197" spans="23:23" x14ac:dyDescent="0.55000000000000004">
      <c r="W30197"/>
    </row>
    <row r="30198" spans="23:23" x14ac:dyDescent="0.55000000000000004">
      <c r="W30198"/>
    </row>
    <row r="30199" spans="23:23" x14ac:dyDescent="0.55000000000000004">
      <c r="W30199"/>
    </row>
    <row r="30200" spans="23:23" x14ac:dyDescent="0.55000000000000004">
      <c r="W30200"/>
    </row>
    <row r="30201" spans="23:23" x14ac:dyDescent="0.55000000000000004">
      <c r="W30201"/>
    </row>
    <row r="30202" spans="23:23" x14ac:dyDescent="0.55000000000000004">
      <c r="W30202"/>
    </row>
    <row r="30203" spans="23:23" x14ac:dyDescent="0.55000000000000004">
      <c r="W30203"/>
    </row>
    <row r="30204" spans="23:23" x14ac:dyDescent="0.55000000000000004">
      <c r="W30204"/>
    </row>
    <row r="30205" spans="23:23" x14ac:dyDescent="0.55000000000000004">
      <c r="W30205"/>
    </row>
    <row r="30206" spans="23:23" x14ac:dyDescent="0.55000000000000004">
      <c r="W30206"/>
    </row>
    <row r="30207" spans="23:23" x14ac:dyDescent="0.55000000000000004">
      <c r="W30207"/>
    </row>
    <row r="30208" spans="23:23" x14ac:dyDescent="0.55000000000000004">
      <c r="W30208"/>
    </row>
    <row r="30209" spans="23:23" x14ac:dyDescent="0.55000000000000004">
      <c r="W30209"/>
    </row>
    <row r="30210" spans="23:23" x14ac:dyDescent="0.55000000000000004">
      <c r="W30210"/>
    </row>
    <row r="30211" spans="23:23" x14ac:dyDescent="0.55000000000000004">
      <c r="W30211"/>
    </row>
    <row r="30212" spans="23:23" x14ac:dyDescent="0.55000000000000004">
      <c r="W30212"/>
    </row>
    <row r="30213" spans="23:23" x14ac:dyDescent="0.55000000000000004">
      <c r="W30213"/>
    </row>
    <row r="30214" spans="23:23" x14ac:dyDescent="0.55000000000000004">
      <c r="W30214"/>
    </row>
    <row r="30215" spans="23:23" x14ac:dyDescent="0.55000000000000004">
      <c r="W30215"/>
    </row>
    <row r="30216" spans="23:23" x14ac:dyDescent="0.55000000000000004">
      <c r="W30216"/>
    </row>
    <row r="30217" spans="23:23" x14ac:dyDescent="0.55000000000000004">
      <c r="W30217"/>
    </row>
    <row r="30218" spans="23:23" x14ac:dyDescent="0.55000000000000004">
      <c r="W30218"/>
    </row>
    <row r="30219" spans="23:23" x14ac:dyDescent="0.55000000000000004">
      <c r="W30219"/>
    </row>
    <row r="30220" spans="23:23" x14ac:dyDescent="0.55000000000000004">
      <c r="W30220"/>
    </row>
    <row r="30221" spans="23:23" x14ac:dyDescent="0.55000000000000004">
      <c r="W30221"/>
    </row>
    <row r="30222" spans="23:23" x14ac:dyDescent="0.55000000000000004">
      <c r="W30222"/>
    </row>
    <row r="30223" spans="23:23" x14ac:dyDescent="0.55000000000000004">
      <c r="W30223"/>
    </row>
    <row r="30224" spans="23:23" x14ac:dyDescent="0.55000000000000004">
      <c r="W30224"/>
    </row>
    <row r="30225" spans="23:23" x14ac:dyDescent="0.55000000000000004">
      <c r="W30225"/>
    </row>
    <row r="30226" spans="23:23" x14ac:dyDescent="0.55000000000000004">
      <c r="W30226"/>
    </row>
    <row r="30227" spans="23:23" x14ac:dyDescent="0.55000000000000004">
      <c r="W30227"/>
    </row>
    <row r="30228" spans="23:23" x14ac:dyDescent="0.55000000000000004">
      <c r="W30228"/>
    </row>
    <row r="30229" spans="23:23" x14ac:dyDescent="0.55000000000000004">
      <c r="W30229"/>
    </row>
    <row r="30230" spans="23:23" x14ac:dyDescent="0.55000000000000004">
      <c r="W30230"/>
    </row>
    <row r="30231" spans="23:23" x14ac:dyDescent="0.55000000000000004">
      <c r="W30231"/>
    </row>
    <row r="30232" spans="23:23" x14ac:dyDescent="0.55000000000000004">
      <c r="W30232"/>
    </row>
    <row r="30233" spans="23:23" x14ac:dyDescent="0.55000000000000004">
      <c r="W30233"/>
    </row>
    <row r="30234" spans="23:23" x14ac:dyDescent="0.55000000000000004">
      <c r="W30234"/>
    </row>
    <row r="30235" spans="23:23" x14ac:dyDescent="0.55000000000000004">
      <c r="W30235"/>
    </row>
    <row r="30236" spans="23:23" x14ac:dyDescent="0.55000000000000004">
      <c r="W30236"/>
    </row>
    <row r="30237" spans="23:23" x14ac:dyDescent="0.55000000000000004">
      <c r="W30237"/>
    </row>
    <row r="30238" spans="23:23" x14ac:dyDescent="0.55000000000000004">
      <c r="W30238"/>
    </row>
    <row r="30239" spans="23:23" x14ac:dyDescent="0.55000000000000004">
      <c r="W30239"/>
    </row>
    <row r="30240" spans="23:23" x14ac:dyDescent="0.55000000000000004">
      <c r="W30240"/>
    </row>
    <row r="30241" spans="23:23" x14ac:dyDescent="0.55000000000000004">
      <c r="W30241"/>
    </row>
    <row r="30242" spans="23:23" x14ac:dyDescent="0.55000000000000004">
      <c r="W30242"/>
    </row>
    <row r="30243" spans="23:23" x14ac:dyDescent="0.55000000000000004">
      <c r="W30243"/>
    </row>
    <row r="30244" spans="23:23" x14ac:dyDescent="0.55000000000000004">
      <c r="W30244"/>
    </row>
    <row r="30245" spans="23:23" x14ac:dyDescent="0.55000000000000004">
      <c r="W30245"/>
    </row>
    <row r="30246" spans="23:23" x14ac:dyDescent="0.55000000000000004">
      <c r="W30246"/>
    </row>
    <row r="30247" spans="23:23" x14ac:dyDescent="0.55000000000000004">
      <c r="W30247"/>
    </row>
    <row r="30248" spans="23:23" x14ac:dyDescent="0.55000000000000004">
      <c r="W30248"/>
    </row>
    <row r="30249" spans="23:23" x14ac:dyDescent="0.55000000000000004">
      <c r="W30249"/>
    </row>
    <row r="30250" spans="23:23" x14ac:dyDescent="0.55000000000000004">
      <c r="W30250"/>
    </row>
    <row r="30251" spans="23:23" x14ac:dyDescent="0.55000000000000004">
      <c r="W30251"/>
    </row>
    <row r="30252" spans="23:23" x14ac:dyDescent="0.55000000000000004">
      <c r="W30252"/>
    </row>
    <row r="30253" spans="23:23" x14ac:dyDescent="0.55000000000000004">
      <c r="W30253"/>
    </row>
    <row r="30254" spans="23:23" x14ac:dyDescent="0.55000000000000004">
      <c r="W30254"/>
    </row>
    <row r="30255" spans="23:23" x14ac:dyDescent="0.55000000000000004">
      <c r="W30255"/>
    </row>
    <row r="30256" spans="23:23" x14ac:dyDescent="0.55000000000000004">
      <c r="W30256"/>
    </row>
    <row r="30257" spans="23:23" x14ac:dyDescent="0.55000000000000004">
      <c r="W30257"/>
    </row>
    <row r="30258" spans="23:23" x14ac:dyDescent="0.55000000000000004">
      <c r="W30258"/>
    </row>
    <row r="30259" spans="23:23" x14ac:dyDescent="0.55000000000000004">
      <c r="W30259"/>
    </row>
    <row r="30260" spans="23:23" x14ac:dyDescent="0.55000000000000004">
      <c r="W30260"/>
    </row>
    <row r="30261" spans="23:23" x14ac:dyDescent="0.55000000000000004">
      <c r="W30261"/>
    </row>
    <row r="30262" spans="23:23" x14ac:dyDescent="0.55000000000000004">
      <c r="W30262"/>
    </row>
    <row r="30263" spans="23:23" x14ac:dyDescent="0.55000000000000004">
      <c r="W30263"/>
    </row>
    <row r="30264" spans="23:23" x14ac:dyDescent="0.55000000000000004">
      <c r="W30264"/>
    </row>
    <row r="30265" spans="23:23" x14ac:dyDescent="0.55000000000000004">
      <c r="W30265"/>
    </row>
    <row r="30266" spans="23:23" x14ac:dyDescent="0.55000000000000004">
      <c r="W30266"/>
    </row>
    <row r="30267" spans="23:23" x14ac:dyDescent="0.55000000000000004">
      <c r="W30267"/>
    </row>
    <row r="30268" spans="23:23" x14ac:dyDescent="0.55000000000000004">
      <c r="W30268"/>
    </row>
    <row r="30269" spans="23:23" x14ac:dyDescent="0.55000000000000004">
      <c r="W30269"/>
    </row>
    <row r="30270" spans="23:23" x14ac:dyDescent="0.55000000000000004">
      <c r="W30270"/>
    </row>
    <row r="30271" spans="23:23" x14ac:dyDescent="0.55000000000000004">
      <c r="W30271"/>
    </row>
    <row r="30272" spans="23:23" x14ac:dyDescent="0.55000000000000004">
      <c r="W30272"/>
    </row>
    <row r="30273" spans="23:23" x14ac:dyDescent="0.55000000000000004">
      <c r="W30273"/>
    </row>
    <row r="30274" spans="23:23" x14ac:dyDescent="0.55000000000000004">
      <c r="W30274"/>
    </row>
    <row r="30275" spans="23:23" x14ac:dyDescent="0.55000000000000004">
      <c r="W30275"/>
    </row>
    <row r="30276" spans="23:23" x14ac:dyDescent="0.55000000000000004">
      <c r="W30276"/>
    </row>
    <row r="30277" spans="23:23" x14ac:dyDescent="0.55000000000000004">
      <c r="W30277"/>
    </row>
    <row r="30278" spans="23:23" x14ac:dyDescent="0.55000000000000004">
      <c r="W30278"/>
    </row>
    <row r="30279" spans="23:23" x14ac:dyDescent="0.55000000000000004">
      <c r="W30279"/>
    </row>
    <row r="30280" spans="23:23" x14ac:dyDescent="0.55000000000000004">
      <c r="W30280"/>
    </row>
    <row r="30281" spans="23:23" x14ac:dyDescent="0.55000000000000004">
      <c r="W30281"/>
    </row>
    <row r="30282" spans="23:23" x14ac:dyDescent="0.55000000000000004">
      <c r="W30282"/>
    </row>
    <row r="30283" spans="23:23" x14ac:dyDescent="0.55000000000000004">
      <c r="W30283"/>
    </row>
    <row r="30284" spans="23:23" x14ac:dyDescent="0.55000000000000004">
      <c r="W30284"/>
    </row>
    <row r="30285" spans="23:23" x14ac:dyDescent="0.55000000000000004">
      <c r="W30285"/>
    </row>
    <row r="30286" spans="23:23" x14ac:dyDescent="0.55000000000000004">
      <c r="W30286"/>
    </row>
    <row r="30287" spans="23:23" x14ac:dyDescent="0.55000000000000004">
      <c r="W30287"/>
    </row>
    <row r="30288" spans="23:23" x14ac:dyDescent="0.55000000000000004">
      <c r="W30288"/>
    </row>
    <row r="30289" spans="23:23" x14ac:dyDescent="0.55000000000000004">
      <c r="W30289"/>
    </row>
    <row r="30290" spans="23:23" x14ac:dyDescent="0.55000000000000004">
      <c r="W30290"/>
    </row>
    <row r="30291" spans="23:23" x14ac:dyDescent="0.55000000000000004">
      <c r="W30291"/>
    </row>
    <row r="30292" spans="23:23" x14ac:dyDescent="0.55000000000000004">
      <c r="W30292"/>
    </row>
    <row r="30293" spans="23:23" x14ac:dyDescent="0.55000000000000004">
      <c r="W30293"/>
    </row>
    <row r="30294" spans="23:23" x14ac:dyDescent="0.55000000000000004">
      <c r="W30294"/>
    </row>
    <row r="30295" spans="23:23" x14ac:dyDescent="0.55000000000000004">
      <c r="W30295"/>
    </row>
    <row r="30296" spans="23:23" x14ac:dyDescent="0.55000000000000004">
      <c r="W30296"/>
    </row>
    <row r="30297" spans="23:23" x14ac:dyDescent="0.55000000000000004">
      <c r="W30297"/>
    </row>
    <row r="30298" spans="23:23" x14ac:dyDescent="0.55000000000000004">
      <c r="W30298"/>
    </row>
    <row r="30299" spans="23:23" x14ac:dyDescent="0.55000000000000004">
      <c r="W30299"/>
    </row>
    <row r="30300" spans="23:23" x14ac:dyDescent="0.55000000000000004">
      <c r="W30300"/>
    </row>
    <row r="30301" spans="23:23" x14ac:dyDescent="0.55000000000000004">
      <c r="W30301"/>
    </row>
    <row r="30302" spans="23:23" x14ac:dyDescent="0.55000000000000004">
      <c r="W30302"/>
    </row>
    <row r="30303" spans="23:23" x14ac:dyDescent="0.55000000000000004">
      <c r="W30303"/>
    </row>
    <row r="30304" spans="23:23" x14ac:dyDescent="0.55000000000000004">
      <c r="W30304"/>
    </row>
    <row r="30305" spans="23:23" x14ac:dyDescent="0.55000000000000004">
      <c r="W30305"/>
    </row>
    <row r="30306" spans="23:23" x14ac:dyDescent="0.55000000000000004">
      <c r="W30306"/>
    </row>
    <row r="30307" spans="23:23" x14ac:dyDescent="0.55000000000000004">
      <c r="W30307"/>
    </row>
    <row r="30308" spans="23:23" x14ac:dyDescent="0.55000000000000004">
      <c r="W30308"/>
    </row>
    <row r="30309" spans="23:23" x14ac:dyDescent="0.55000000000000004">
      <c r="W30309"/>
    </row>
    <row r="30310" spans="23:23" x14ac:dyDescent="0.55000000000000004">
      <c r="W30310"/>
    </row>
    <row r="30311" spans="23:23" x14ac:dyDescent="0.55000000000000004">
      <c r="W30311"/>
    </row>
    <row r="30312" spans="23:23" x14ac:dyDescent="0.55000000000000004">
      <c r="W30312"/>
    </row>
    <row r="30313" spans="23:23" x14ac:dyDescent="0.55000000000000004">
      <c r="W30313"/>
    </row>
    <row r="30314" spans="23:23" x14ac:dyDescent="0.55000000000000004">
      <c r="W30314"/>
    </row>
    <row r="30315" spans="23:23" x14ac:dyDescent="0.55000000000000004">
      <c r="W30315"/>
    </row>
    <row r="30316" spans="23:23" x14ac:dyDescent="0.55000000000000004">
      <c r="W30316"/>
    </row>
    <row r="30317" spans="23:23" x14ac:dyDescent="0.55000000000000004">
      <c r="W30317"/>
    </row>
    <row r="30318" spans="23:23" x14ac:dyDescent="0.55000000000000004">
      <c r="W30318"/>
    </row>
    <row r="30319" spans="23:23" x14ac:dyDescent="0.55000000000000004">
      <c r="W30319"/>
    </row>
    <row r="30320" spans="23:23" x14ac:dyDescent="0.55000000000000004">
      <c r="W30320"/>
    </row>
    <row r="30321" spans="23:23" x14ac:dyDescent="0.55000000000000004">
      <c r="W30321"/>
    </row>
    <row r="30322" spans="23:23" x14ac:dyDescent="0.55000000000000004">
      <c r="W30322"/>
    </row>
    <row r="30323" spans="23:23" x14ac:dyDescent="0.55000000000000004">
      <c r="W30323"/>
    </row>
    <row r="30324" spans="23:23" x14ac:dyDescent="0.55000000000000004">
      <c r="W30324"/>
    </row>
    <row r="30325" spans="23:23" x14ac:dyDescent="0.55000000000000004">
      <c r="W30325"/>
    </row>
    <row r="30326" spans="23:23" x14ac:dyDescent="0.55000000000000004">
      <c r="W30326"/>
    </row>
    <row r="30327" spans="23:23" x14ac:dyDescent="0.55000000000000004">
      <c r="W30327"/>
    </row>
    <row r="30328" spans="23:23" x14ac:dyDescent="0.55000000000000004">
      <c r="W30328"/>
    </row>
    <row r="30329" spans="23:23" x14ac:dyDescent="0.55000000000000004">
      <c r="W30329"/>
    </row>
    <row r="30330" spans="23:23" x14ac:dyDescent="0.55000000000000004">
      <c r="W30330"/>
    </row>
    <row r="30331" spans="23:23" x14ac:dyDescent="0.55000000000000004">
      <c r="W30331"/>
    </row>
    <row r="30332" spans="23:23" x14ac:dyDescent="0.55000000000000004">
      <c r="W30332"/>
    </row>
    <row r="30333" spans="23:23" x14ac:dyDescent="0.55000000000000004">
      <c r="W30333"/>
    </row>
    <row r="30334" spans="23:23" x14ac:dyDescent="0.55000000000000004">
      <c r="W30334"/>
    </row>
    <row r="30335" spans="23:23" x14ac:dyDescent="0.55000000000000004">
      <c r="W30335"/>
    </row>
    <row r="30336" spans="23:23" x14ac:dyDescent="0.55000000000000004">
      <c r="W30336"/>
    </row>
    <row r="30337" spans="23:23" x14ac:dyDescent="0.55000000000000004">
      <c r="W30337"/>
    </row>
    <row r="30338" spans="23:23" x14ac:dyDescent="0.55000000000000004">
      <c r="W30338"/>
    </row>
    <row r="30339" spans="23:23" x14ac:dyDescent="0.55000000000000004">
      <c r="W30339"/>
    </row>
    <row r="30340" spans="23:23" x14ac:dyDescent="0.55000000000000004">
      <c r="W30340"/>
    </row>
    <row r="30341" spans="23:23" x14ac:dyDescent="0.55000000000000004">
      <c r="W30341"/>
    </row>
    <row r="30342" spans="23:23" x14ac:dyDescent="0.55000000000000004">
      <c r="W30342"/>
    </row>
    <row r="30343" spans="23:23" x14ac:dyDescent="0.55000000000000004">
      <c r="W30343"/>
    </row>
    <row r="30344" spans="23:23" x14ac:dyDescent="0.55000000000000004">
      <c r="W30344"/>
    </row>
    <row r="30345" spans="23:23" x14ac:dyDescent="0.55000000000000004">
      <c r="W30345"/>
    </row>
    <row r="30346" spans="23:23" x14ac:dyDescent="0.55000000000000004">
      <c r="W30346"/>
    </row>
    <row r="30347" spans="23:23" x14ac:dyDescent="0.55000000000000004">
      <c r="W30347"/>
    </row>
    <row r="30348" spans="23:23" x14ac:dyDescent="0.55000000000000004">
      <c r="W30348"/>
    </row>
    <row r="30349" spans="23:23" x14ac:dyDescent="0.55000000000000004">
      <c r="W30349"/>
    </row>
    <row r="30350" spans="23:23" x14ac:dyDescent="0.55000000000000004">
      <c r="W30350"/>
    </row>
    <row r="30351" spans="23:23" x14ac:dyDescent="0.55000000000000004">
      <c r="W30351"/>
    </row>
    <row r="30352" spans="23:23" x14ac:dyDescent="0.55000000000000004">
      <c r="W30352"/>
    </row>
    <row r="30353" spans="23:23" x14ac:dyDescent="0.55000000000000004">
      <c r="W30353"/>
    </row>
    <row r="30354" spans="23:23" x14ac:dyDescent="0.55000000000000004">
      <c r="W30354"/>
    </row>
    <row r="30355" spans="23:23" x14ac:dyDescent="0.55000000000000004">
      <c r="W30355"/>
    </row>
    <row r="30356" spans="23:23" x14ac:dyDescent="0.55000000000000004">
      <c r="W30356"/>
    </row>
    <row r="30357" spans="23:23" x14ac:dyDescent="0.55000000000000004">
      <c r="W30357"/>
    </row>
    <row r="30358" spans="23:23" x14ac:dyDescent="0.55000000000000004">
      <c r="W30358"/>
    </row>
    <row r="30359" spans="23:23" x14ac:dyDescent="0.55000000000000004">
      <c r="W30359"/>
    </row>
    <row r="30360" spans="23:23" x14ac:dyDescent="0.55000000000000004">
      <c r="W30360"/>
    </row>
    <row r="30361" spans="23:23" x14ac:dyDescent="0.55000000000000004">
      <c r="W30361"/>
    </row>
    <row r="30362" spans="23:23" x14ac:dyDescent="0.55000000000000004">
      <c r="W30362"/>
    </row>
    <row r="30363" spans="23:23" x14ac:dyDescent="0.55000000000000004">
      <c r="W30363"/>
    </row>
    <row r="30364" spans="23:23" x14ac:dyDescent="0.55000000000000004">
      <c r="W30364"/>
    </row>
    <row r="30365" spans="23:23" x14ac:dyDescent="0.55000000000000004">
      <c r="W30365"/>
    </row>
    <row r="30366" spans="23:23" x14ac:dyDescent="0.55000000000000004">
      <c r="W30366"/>
    </row>
    <row r="30367" spans="23:23" x14ac:dyDescent="0.55000000000000004">
      <c r="W30367"/>
    </row>
    <row r="30368" spans="23:23" x14ac:dyDescent="0.55000000000000004">
      <c r="W30368"/>
    </row>
    <row r="30369" spans="23:23" x14ac:dyDescent="0.55000000000000004">
      <c r="W30369"/>
    </row>
    <row r="30370" spans="23:23" x14ac:dyDescent="0.55000000000000004">
      <c r="W30370"/>
    </row>
    <row r="30371" spans="23:23" x14ac:dyDescent="0.55000000000000004">
      <c r="W30371"/>
    </row>
    <row r="30372" spans="23:23" x14ac:dyDescent="0.55000000000000004">
      <c r="W30372"/>
    </row>
    <row r="30373" spans="23:23" x14ac:dyDescent="0.55000000000000004">
      <c r="W30373"/>
    </row>
    <row r="30374" spans="23:23" x14ac:dyDescent="0.55000000000000004">
      <c r="W30374"/>
    </row>
    <row r="30375" spans="23:23" x14ac:dyDescent="0.55000000000000004">
      <c r="W30375"/>
    </row>
    <row r="30376" spans="23:23" x14ac:dyDescent="0.55000000000000004">
      <c r="W30376"/>
    </row>
    <row r="30377" spans="23:23" x14ac:dyDescent="0.55000000000000004">
      <c r="W30377"/>
    </row>
    <row r="30378" spans="23:23" x14ac:dyDescent="0.55000000000000004">
      <c r="W30378"/>
    </row>
    <row r="30379" spans="23:23" x14ac:dyDescent="0.55000000000000004">
      <c r="W30379"/>
    </row>
    <row r="30380" spans="23:23" x14ac:dyDescent="0.55000000000000004">
      <c r="W30380"/>
    </row>
    <row r="30381" spans="23:23" x14ac:dyDescent="0.55000000000000004">
      <c r="W30381"/>
    </row>
    <row r="30382" spans="23:23" x14ac:dyDescent="0.55000000000000004">
      <c r="W30382"/>
    </row>
    <row r="30383" spans="23:23" x14ac:dyDescent="0.55000000000000004">
      <c r="W30383"/>
    </row>
    <row r="30384" spans="23:23" x14ac:dyDescent="0.55000000000000004">
      <c r="W30384"/>
    </row>
    <row r="30385" spans="23:23" x14ac:dyDescent="0.55000000000000004">
      <c r="W30385"/>
    </row>
    <row r="30386" spans="23:23" x14ac:dyDescent="0.55000000000000004">
      <c r="W30386"/>
    </row>
    <row r="30387" spans="23:23" x14ac:dyDescent="0.55000000000000004">
      <c r="W30387"/>
    </row>
    <row r="30388" spans="23:23" x14ac:dyDescent="0.55000000000000004">
      <c r="W30388"/>
    </row>
    <row r="30389" spans="23:23" x14ac:dyDescent="0.55000000000000004">
      <c r="W30389"/>
    </row>
    <row r="30390" spans="23:23" x14ac:dyDescent="0.55000000000000004">
      <c r="W30390"/>
    </row>
    <row r="30391" spans="23:23" x14ac:dyDescent="0.55000000000000004">
      <c r="W30391"/>
    </row>
    <row r="30392" spans="23:23" x14ac:dyDescent="0.55000000000000004">
      <c r="W30392"/>
    </row>
    <row r="30393" spans="23:23" x14ac:dyDescent="0.55000000000000004">
      <c r="W30393"/>
    </row>
    <row r="30394" spans="23:23" x14ac:dyDescent="0.55000000000000004">
      <c r="W30394"/>
    </row>
    <row r="30395" spans="23:23" x14ac:dyDescent="0.55000000000000004">
      <c r="W30395"/>
    </row>
    <row r="30396" spans="23:23" x14ac:dyDescent="0.55000000000000004">
      <c r="W30396"/>
    </row>
    <row r="30397" spans="23:23" x14ac:dyDescent="0.55000000000000004">
      <c r="W30397"/>
    </row>
    <row r="30398" spans="23:23" x14ac:dyDescent="0.55000000000000004">
      <c r="W30398"/>
    </row>
    <row r="30399" spans="23:23" x14ac:dyDescent="0.55000000000000004">
      <c r="W30399"/>
    </row>
    <row r="30400" spans="23:23" x14ac:dyDescent="0.55000000000000004">
      <c r="W30400"/>
    </row>
    <row r="30401" spans="23:23" x14ac:dyDescent="0.55000000000000004">
      <c r="W30401"/>
    </row>
    <row r="30402" spans="23:23" x14ac:dyDescent="0.55000000000000004">
      <c r="W30402"/>
    </row>
    <row r="30403" spans="23:23" x14ac:dyDescent="0.55000000000000004">
      <c r="W30403"/>
    </row>
    <row r="30404" spans="23:23" x14ac:dyDescent="0.55000000000000004">
      <c r="W30404"/>
    </row>
    <row r="30405" spans="23:23" x14ac:dyDescent="0.55000000000000004">
      <c r="W30405"/>
    </row>
    <row r="30406" spans="23:23" x14ac:dyDescent="0.55000000000000004">
      <c r="W30406"/>
    </row>
    <row r="30407" spans="23:23" x14ac:dyDescent="0.55000000000000004">
      <c r="W30407"/>
    </row>
    <row r="30408" spans="23:23" x14ac:dyDescent="0.55000000000000004">
      <c r="W30408"/>
    </row>
    <row r="30409" spans="23:23" x14ac:dyDescent="0.55000000000000004">
      <c r="W30409"/>
    </row>
    <row r="30410" spans="23:23" x14ac:dyDescent="0.55000000000000004">
      <c r="W30410"/>
    </row>
    <row r="30411" spans="23:23" x14ac:dyDescent="0.55000000000000004">
      <c r="W30411"/>
    </row>
    <row r="30412" spans="23:23" x14ac:dyDescent="0.55000000000000004">
      <c r="W30412"/>
    </row>
    <row r="30413" spans="23:23" x14ac:dyDescent="0.55000000000000004">
      <c r="W30413"/>
    </row>
    <row r="30414" spans="23:23" x14ac:dyDescent="0.55000000000000004">
      <c r="W30414"/>
    </row>
    <row r="30415" spans="23:23" x14ac:dyDescent="0.55000000000000004">
      <c r="W30415"/>
    </row>
    <row r="30416" spans="23:23" x14ac:dyDescent="0.55000000000000004">
      <c r="W30416"/>
    </row>
    <row r="30417" spans="23:23" x14ac:dyDescent="0.55000000000000004">
      <c r="W30417"/>
    </row>
    <row r="30418" spans="23:23" x14ac:dyDescent="0.55000000000000004">
      <c r="W30418"/>
    </row>
    <row r="30419" spans="23:23" x14ac:dyDescent="0.55000000000000004">
      <c r="W30419"/>
    </row>
    <row r="30420" spans="23:23" x14ac:dyDescent="0.55000000000000004">
      <c r="W30420"/>
    </row>
    <row r="30421" spans="23:23" x14ac:dyDescent="0.55000000000000004">
      <c r="W30421"/>
    </row>
    <row r="30422" spans="23:23" x14ac:dyDescent="0.55000000000000004">
      <c r="W30422"/>
    </row>
    <row r="30423" spans="23:23" x14ac:dyDescent="0.55000000000000004">
      <c r="W30423"/>
    </row>
    <row r="30424" spans="23:23" x14ac:dyDescent="0.55000000000000004">
      <c r="W30424"/>
    </row>
    <row r="30425" spans="23:23" x14ac:dyDescent="0.55000000000000004">
      <c r="W30425"/>
    </row>
    <row r="30426" spans="23:23" x14ac:dyDescent="0.55000000000000004">
      <c r="W30426"/>
    </row>
    <row r="30427" spans="23:23" x14ac:dyDescent="0.55000000000000004">
      <c r="W30427"/>
    </row>
    <row r="30428" spans="23:23" x14ac:dyDescent="0.55000000000000004">
      <c r="W30428"/>
    </row>
    <row r="30429" spans="23:23" x14ac:dyDescent="0.55000000000000004">
      <c r="W30429"/>
    </row>
    <row r="30430" spans="23:23" x14ac:dyDescent="0.55000000000000004">
      <c r="W30430"/>
    </row>
    <row r="30431" spans="23:23" x14ac:dyDescent="0.55000000000000004">
      <c r="W30431"/>
    </row>
    <row r="30432" spans="23:23" x14ac:dyDescent="0.55000000000000004">
      <c r="W30432"/>
    </row>
    <row r="30433" spans="23:23" x14ac:dyDescent="0.55000000000000004">
      <c r="W30433"/>
    </row>
    <row r="30434" spans="23:23" x14ac:dyDescent="0.55000000000000004">
      <c r="W30434"/>
    </row>
    <row r="30435" spans="23:23" x14ac:dyDescent="0.55000000000000004">
      <c r="W30435"/>
    </row>
    <row r="30436" spans="23:23" x14ac:dyDescent="0.55000000000000004">
      <c r="W30436"/>
    </row>
    <row r="30437" spans="23:23" x14ac:dyDescent="0.55000000000000004">
      <c r="W30437"/>
    </row>
    <row r="30438" spans="23:23" x14ac:dyDescent="0.55000000000000004">
      <c r="W30438"/>
    </row>
    <row r="30439" spans="23:23" x14ac:dyDescent="0.55000000000000004">
      <c r="W30439"/>
    </row>
    <row r="30440" spans="23:23" x14ac:dyDescent="0.55000000000000004">
      <c r="W30440"/>
    </row>
    <row r="30441" spans="23:23" x14ac:dyDescent="0.55000000000000004">
      <c r="W30441"/>
    </row>
    <row r="30442" spans="23:23" x14ac:dyDescent="0.55000000000000004">
      <c r="W30442"/>
    </row>
    <row r="30443" spans="23:23" x14ac:dyDescent="0.55000000000000004">
      <c r="W30443"/>
    </row>
    <row r="30444" spans="23:23" x14ac:dyDescent="0.55000000000000004">
      <c r="W30444"/>
    </row>
    <row r="30445" spans="23:23" x14ac:dyDescent="0.55000000000000004">
      <c r="W30445"/>
    </row>
    <row r="30446" spans="23:23" x14ac:dyDescent="0.55000000000000004">
      <c r="W30446"/>
    </row>
    <row r="30447" spans="23:23" x14ac:dyDescent="0.55000000000000004">
      <c r="W30447"/>
    </row>
    <row r="30448" spans="23:23" x14ac:dyDescent="0.55000000000000004">
      <c r="W30448"/>
    </row>
    <row r="30449" spans="23:23" x14ac:dyDescent="0.55000000000000004">
      <c r="W30449"/>
    </row>
    <row r="30450" spans="23:23" x14ac:dyDescent="0.55000000000000004">
      <c r="W30450"/>
    </row>
    <row r="30451" spans="23:23" x14ac:dyDescent="0.55000000000000004">
      <c r="W30451"/>
    </row>
    <row r="30452" spans="23:23" x14ac:dyDescent="0.55000000000000004">
      <c r="W30452"/>
    </row>
    <row r="30453" spans="23:23" x14ac:dyDescent="0.55000000000000004">
      <c r="W30453"/>
    </row>
    <row r="30454" spans="23:23" x14ac:dyDescent="0.55000000000000004">
      <c r="W30454"/>
    </row>
    <row r="30455" spans="23:23" x14ac:dyDescent="0.55000000000000004">
      <c r="W30455"/>
    </row>
    <row r="30456" spans="23:23" x14ac:dyDescent="0.55000000000000004">
      <c r="W30456"/>
    </row>
    <row r="30457" spans="23:23" x14ac:dyDescent="0.55000000000000004">
      <c r="W30457"/>
    </row>
    <row r="30458" spans="23:23" x14ac:dyDescent="0.55000000000000004">
      <c r="W30458"/>
    </row>
    <row r="30459" spans="23:23" x14ac:dyDescent="0.55000000000000004">
      <c r="W30459"/>
    </row>
    <row r="30460" spans="23:23" x14ac:dyDescent="0.55000000000000004">
      <c r="W30460"/>
    </row>
    <row r="30461" spans="23:23" x14ac:dyDescent="0.55000000000000004">
      <c r="W30461"/>
    </row>
    <row r="30462" spans="23:23" x14ac:dyDescent="0.55000000000000004">
      <c r="W30462"/>
    </row>
    <row r="30463" spans="23:23" x14ac:dyDescent="0.55000000000000004">
      <c r="W30463"/>
    </row>
    <row r="30464" spans="23:23" x14ac:dyDescent="0.55000000000000004">
      <c r="W30464"/>
    </row>
    <row r="30465" spans="23:23" x14ac:dyDescent="0.55000000000000004">
      <c r="W30465"/>
    </row>
    <row r="30466" spans="23:23" x14ac:dyDescent="0.55000000000000004">
      <c r="W30466"/>
    </row>
    <row r="30467" spans="23:23" x14ac:dyDescent="0.55000000000000004">
      <c r="W30467"/>
    </row>
    <row r="30468" spans="23:23" x14ac:dyDescent="0.55000000000000004">
      <c r="W30468"/>
    </row>
    <row r="30469" spans="23:23" x14ac:dyDescent="0.55000000000000004">
      <c r="W30469"/>
    </row>
    <row r="30470" spans="23:23" x14ac:dyDescent="0.55000000000000004">
      <c r="W30470"/>
    </row>
    <row r="30471" spans="23:23" x14ac:dyDescent="0.55000000000000004">
      <c r="W30471"/>
    </row>
    <row r="30472" spans="23:23" x14ac:dyDescent="0.55000000000000004">
      <c r="W30472"/>
    </row>
    <row r="30473" spans="23:23" x14ac:dyDescent="0.55000000000000004">
      <c r="W30473"/>
    </row>
    <row r="30474" spans="23:23" x14ac:dyDescent="0.55000000000000004">
      <c r="W30474"/>
    </row>
    <row r="30475" spans="23:23" x14ac:dyDescent="0.55000000000000004">
      <c r="W30475"/>
    </row>
    <row r="30476" spans="23:23" x14ac:dyDescent="0.55000000000000004">
      <c r="W30476"/>
    </row>
    <row r="30477" spans="23:23" x14ac:dyDescent="0.55000000000000004">
      <c r="W30477"/>
    </row>
    <row r="30478" spans="23:23" x14ac:dyDescent="0.55000000000000004">
      <c r="W30478"/>
    </row>
    <row r="30479" spans="23:23" x14ac:dyDescent="0.55000000000000004">
      <c r="W30479"/>
    </row>
    <row r="30480" spans="23:23" x14ac:dyDescent="0.55000000000000004">
      <c r="W30480"/>
    </row>
    <row r="30481" spans="23:23" x14ac:dyDescent="0.55000000000000004">
      <c r="W30481"/>
    </row>
    <row r="30482" spans="23:23" x14ac:dyDescent="0.55000000000000004">
      <c r="W30482"/>
    </row>
    <row r="30483" spans="23:23" x14ac:dyDescent="0.55000000000000004">
      <c r="W30483"/>
    </row>
    <row r="30484" spans="23:23" x14ac:dyDescent="0.55000000000000004">
      <c r="W30484"/>
    </row>
    <row r="30485" spans="23:23" x14ac:dyDescent="0.55000000000000004">
      <c r="W30485"/>
    </row>
    <row r="30486" spans="23:23" x14ac:dyDescent="0.55000000000000004">
      <c r="W30486"/>
    </row>
    <row r="30487" spans="23:23" x14ac:dyDescent="0.55000000000000004">
      <c r="W30487"/>
    </row>
    <row r="30488" spans="23:23" x14ac:dyDescent="0.55000000000000004">
      <c r="W30488"/>
    </row>
    <row r="30489" spans="23:23" x14ac:dyDescent="0.55000000000000004">
      <c r="W30489"/>
    </row>
    <row r="30490" spans="23:23" x14ac:dyDescent="0.55000000000000004">
      <c r="W30490"/>
    </row>
    <row r="30491" spans="23:23" x14ac:dyDescent="0.55000000000000004">
      <c r="W30491"/>
    </row>
    <row r="30492" spans="23:23" x14ac:dyDescent="0.55000000000000004">
      <c r="W30492"/>
    </row>
    <row r="30493" spans="23:23" x14ac:dyDescent="0.55000000000000004">
      <c r="W30493"/>
    </row>
    <row r="30494" spans="23:23" x14ac:dyDescent="0.55000000000000004">
      <c r="W30494"/>
    </row>
    <row r="30495" spans="23:23" x14ac:dyDescent="0.55000000000000004">
      <c r="W30495"/>
    </row>
    <row r="30496" spans="23:23" x14ac:dyDescent="0.55000000000000004">
      <c r="W30496"/>
    </row>
    <row r="30497" spans="23:23" x14ac:dyDescent="0.55000000000000004">
      <c r="W30497"/>
    </row>
    <row r="30498" spans="23:23" x14ac:dyDescent="0.55000000000000004">
      <c r="W30498"/>
    </row>
    <row r="30499" spans="23:23" x14ac:dyDescent="0.55000000000000004">
      <c r="W30499"/>
    </row>
    <row r="30500" spans="23:23" x14ac:dyDescent="0.55000000000000004">
      <c r="W30500"/>
    </row>
    <row r="30501" spans="23:23" x14ac:dyDescent="0.55000000000000004">
      <c r="W30501"/>
    </row>
    <row r="30502" spans="23:23" x14ac:dyDescent="0.55000000000000004">
      <c r="W30502"/>
    </row>
    <row r="30503" spans="23:23" x14ac:dyDescent="0.55000000000000004">
      <c r="W30503"/>
    </row>
    <row r="30504" spans="23:23" x14ac:dyDescent="0.55000000000000004">
      <c r="W30504"/>
    </row>
    <row r="30505" spans="23:23" x14ac:dyDescent="0.55000000000000004">
      <c r="W30505"/>
    </row>
    <row r="30506" spans="23:23" x14ac:dyDescent="0.55000000000000004">
      <c r="W30506"/>
    </row>
    <row r="30507" spans="23:23" x14ac:dyDescent="0.55000000000000004">
      <c r="W30507"/>
    </row>
    <row r="30508" spans="23:23" x14ac:dyDescent="0.55000000000000004">
      <c r="W30508"/>
    </row>
    <row r="30509" spans="23:23" x14ac:dyDescent="0.55000000000000004">
      <c r="W30509"/>
    </row>
    <row r="30510" spans="23:23" x14ac:dyDescent="0.55000000000000004">
      <c r="W30510"/>
    </row>
    <row r="30511" spans="23:23" x14ac:dyDescent="0.55000000000000004">
      <c r="W30511"/>
    </row>
    <row r="30512" spans="23:23" x14ac:dyDescent="0.55000000000000004">
      <c r="W30512"/>
    </row>
    <row r="30513" spans="23:23" x14ac:dyDescent="0.55000000000000004">
      <c r="W30513"/>
    </row>
    <row r="30514" spans="23:23" x14ac:dyDescent="0.55000000000000004">
      <c r="W30514"/>
    </row>
    <row r="30515" spans="23:23" x14ac:dyDescent="0.55000000000000004">
      <c r="W30515"/>
    </row>
    <row r="30516" spans="23:23" x14ac:dyDescent="0.55000000000000004">
      <c r="W30516"/>
    </row>
    <row r="30517" spans="23:23" x14ac:dyDescent="0.55000000000000004">
      <c r="W30517"/>
    </row>
    <row r="30518" spans="23:23" x14ac:dyDescent="0.55000000000000004">
      <c r="W30518"/>
    </row>
    <row r="30519" spans="23:23" x14ac:dyDescent="0.55000000000000004">
      <c r="W30519"/>
    </row>
    <row r="30520" spans="23:23" x14ac:dyDescent="0.55000000000000004">
      <c r="W30520"/>
    </row>
    <row r="30521" spans="23:23" x14ac:dyDescent="0.55000000000000004">
      <c r="W30521"/>
    </row>
    <row r="30522" spans="23:23" x14ac:dyDescent="0.55000000000000004">
      <c r="W30522"/>
    </row>
    <row r="30523" spans="23:23" x14ac:dyDescent="0.55000000000000004">
      <c r="W30523"/>
    </row>
    <row r="30524" spans="23:23" x14ac:dyDescent="0.55000000000000004">
      <c r="W30524"/>
    </row>
    <row r="30525" spans="23:23" x14ac:dyDescent="0.55000000000000004">
      <c r="W30525"/>
    </row>
    <row r="30526" spans="23:23" x14ac:dyDescent="0.55000000000000004">
      <c r="W30526"/>
    </row>
    <row r="30527" spans="23:23" x14ac:dyDescent="0.55000000000000004">
      <c r="W30527"/>
    </row>
    <row r="30528" spans="23:23" x14ac:dyDescent="0.55000000000000004">
      <c r="W30528"/>
    </row>
    <row r="30529" spans="23:23" x14ac:dyDescent="0.55000000000000004">
      <c r="W30529"/>
    </row>
    <row r="30530" spans="23:23" x14ac:dyDescent="0.55000000000000004">
      <c r="W30530"/>
    </row>
    <row r="30531" spans="23:23" x14ac:dyDescent="0.55000000000000004">
      <c r="W30531"/>
    </row>
    <row r="30532" spans="23:23" x14ac:dyDescent="0.55000000000000004">
      <c r="W30532"/>
    </row>
    <row r="30533" spans="23:23" x14ac:dyDescent="0.55000000000000004">
      <c r="W30533"/>
    </row>
    <row r="30534" spans="23:23" x14ac:dyDescent="0.55000000000000004">
      <c r="W30534"/>
    </row>
    <row r="30535" spans="23:23" x14ac:dyDescent="0.55000000000000004">
      <c r="W30535"/>
    </row>
    <row r="30536" spans="23:23" x14ac:dyDescent="0.55000000000000004">
      <c r="W30536"/>
    </row>
    <row r="30537" spans="23:23" x14ac:dyDescent="0.55000000000000004">
      <c r="W30537"/>
    </row>
    <row r="30538" spans="23:23" x14ac:dyDescent="0.55000000000000004">
      <c r="W30538"/>
    </row>
    <row r="30539" spans="23:23" x14ac:dyDescent="0.55000000000000004">
      <c r="W30539"/>
    </row>
    <row r="30540" spans="23:23" x14ac:dyDescent="0.55000000000000004">
      <c r="W30540"/>
    </row>
    <row r="30541" spans="23:23" x14ac:dyDescent="0.55000000000000004">
      <c r="W30541"/>
    </row>
    <row r="30542" spans="23:23" x14ac:dyDescent="0.55000000000000004">
      <c r="W30542"/>
    </row>
    <row r="30543" spans="23:23" x14ac:dyDescent="0.55000000000000004">
      <c r="W30543"/>
    </row>
    <row r="30544" spans="23:23" x14ac:dyDescent="0.55000000000000004">
      <c r="W30544"/>
    </row>
    <row r="30545" spans="23:23" x14ac:dyDescent="0.55000000000000004">
      <c r="W30545"/>
    </row>
    <row r="30546" spans="23:23" x14ac:dyDescent="0.55000000000000004">
      <c r="W30546"/>
    </row>
    <row r="30547" spans="23:23" x14ac:dyDescent="0.55000000000000004">
      <c r="W30547"/>
    </row>
    <row r="30548" spans="23:23" x14ac:dyDescent="0.55000000000000004">
      <c r="W30548"/>
    </row>
    <row r="30549" spans="23:23" x14ac:dyDescent="0.55000000000000004">
      <c r="W30549"/>
    </row>
    <row r="30550" spans="23:23" x14ac:dyDescent="0.55000000000000004">
      <c r="W30550"/>
    </row>
    <row r="30551" spans="23:23" x14ac:dyDescent="0.55000000000000004">
      <c r="W30551"/>
    </row>
    <row r="30552" spans="23:23" x14ac:dyDescent="0.55000000000000004">
      <c r="W30552"/>
    </row>
    <row r="30553" spans="23:23" x14ac:dyDescent="0.55000000000000004">
      <c r="W30553"/>
    </row>
    <row r="30554" spans="23:23" x14ac:dyDescent="0.55000000000000004">
      <c r="W30554"/>
    </row>
    <row r="30555" spans="23:23" x14ac:dyDescent="0.55000000000000004">
      <c r="W30555"/>
    </row>
    <row r="30556" spans="23:23" x14ac:dyDescent="0.55000000000000004">
      <c r="W30556"/>
    </row>
    <row r="30557" spans="23:23" x14ac:dyDescent="0.55000000000000004">
      <c r="W30557"/>
    </row>
    <row r="30558" spans="23:23" x14ac:dyDescent="0.55000000000000004">
      <c r="W30558"/>
    </row>
    <row r="30559" spans="23:23" x14ac:dyDescent="0.55000000000000004">
      <c r="W30559"/>
    </row>
    <row r="30560" spans="23:23" x14ac:dyDescent="0.55000000000000004">
      <c r="W30560"/>
    </row>
    <row r="30561" spans="23:23" x14ac:dyDescent="0.55000000000000004">
      <c r="W30561"/>
    </row>
    <row r="30562" spans="23:23" x14ac:dyDescent="0.55000000000000004">
      <c r="W30562"/>
    </row>
    <row r="30563" spans="23:23" x14ac:dyDescent="0.55000000000000004">
      <c r="W30563"/>
    </row>
    <row r="30564" spans="23:23" x14ac:dyDescent="0.55000000000000004">
      <c r="W30564"/>
    </row>
    <row r="30565" spans="23:23" x14ac:dyDescent="0.55000000000000004">
      <c r="W30565"/>
    </row>
    <row r="30566" spans="23:23" x14ac:dyDescent="0.55000000000000004">
      <c r="W30566"/>
    </row>
    <row r="30567" spans="23:23" x14ac:dyDescent="0.55000000000000004">
      <c r="W30567"/>
    </row>
    <row r="30568" spans="23:23" x14ac:dyDescent="0.55000000000000004">
      <c r="W30568"/>
    </row>
    <row r="30569" spans="23:23" x14ac:dyDescent="0.55000000000000004">
      <c r="W30569"/>
    </row>
    <row r="30570" spans="23:23" x14ac:dyDescent="0.55000000000000004">
      <c r="W30570"/>
    </row>
    <row r="30571" spans="23:23" x14ac:dyDescent="0.55000000000000004">
      <c r="W30571"/>
    </row>
    <row r="30572" spans="23:23" x14ac:dyDescent="0.55000000000000004">
      <c r="W30572"/>
    </row>
    <row r="30573" spans="23:23" x14ac:dyDescent="0.55000000000000004">
      <c r="W30573"/>
    </row>
    <row r="30574" spans="23:23" x14ac:dyDescent="0.55000000000000004">
      <c r="W30574"/>
    </row>
    <row r="30575" spans="23:23" x14ac:dyDescent="0.55000000000000004">
      <c r="W30575"/>
    </row>
    <row r="30576" spans="23:23" x14ac:dyDescent="0.55000000000000004">
      <c r="W30576"/>
    </row>
    <row r="30577" spans="23:23" x14ac:dyDescent="0.55000000000000004">
      <c r="W30577"/>
    </row>
    <row r="30578" spans="23:23" x14ac:dyDescent="0.55000000000000004">
      <c r="W30578"/>
    </row>
    <row r="30579" spans="23:23" x14ac:dyDescent="0.55000000000000004">
      <c r="W30579"/>
    </row>
    <row r="30580" spans="23:23" x14ac:dyDescent="0.55000000000000004">
      <c r="W30580"/>
    </row>
    <row r="30581" spans="23:23" x14ac:dyDescent="0.55000000000000004">
      <c r="W30581"/>
    </row>
    <row r="30582" spans="23:23" x14ac:dyDescent="0.55000000000000004">
      <c r="W30582"/>
    </row>
    <row r="30583" spans="23:23" x14ac:dyDescent="0.55000000000000004">
      <c r="W30583"/>
    </row>
    <row r="30584" spans="23:23" x14ac:dyDescent="0.55000000000000004">
      <c r="W30584"/>
    </row>
    <row r="30585" spans="23:23" x14ac:dyDescent="0.55000000000000004">
      <c r="W30585"/>
    </row>
    <row r="30586" spans="23:23" x14ac:dyDescent="0.55000000000000004">
      <c r="W30586"/>
    </row>
    <row r="30587" spans="23:23" x14ac:dyDescent="0.55000000000000004">
      <c r="W30587"/>
    </row>
    <row r="30588" spans="23:23" x14ac:dyDescent="0.55000000000000004">
      <c r="W30588"/>
    </row>
    <row r="30589" spans="23:23" x14ac:dyDescent="0.55000000000000004">
      <c r="W30589"/>
    </row>
    <row r="30590" spans="23:23" x14ac:dyDescent="0.55000000000000004">
      <c r="W30590"/>
    </row>
    <row r="30591" spans="23:23" x14ac:dyDescent="0.55000000000000004">
      <c r="W30591"/>
    </row>
    <row r="30592" spans="23:23" x14ac:dyDescent="0.55000000000000004">
      <c r="W30592"/>
    </row>
    <row r="30593" spans="23:23" x14ac:dyDescent="0.55000000000000004">
      <c r="W30593"/>
    </row>
    <row r="30594" spans="23:23" x14ac:dyDescent="0.55000000000000004">
      <c r="W30594"/>
    </row>
    <row r="30595" spans="23:23" x14ac:dyDescent="0.55000000000000004">
      <c r="W30595"/>
    </row>
    <row r="30596" spans="23:23" x14ac:dyDescent="0.55000000000000004">
      <c r="W30596"/>
    </row>
    <row r="30597" spans="23:23" x14ac:dyDescent="0.55000000000000004">
      <c r="W30597"/>
    </row>
    <row r="30598" spans="23:23" x14ac:dyDescent="0.55000000000000004">
      <c r="W30598"/>
    </row>
    <row r="30599" spans="23:23" x14ac:dyDescent="0.55000000000000004">
      <c r="W30599"/>
    </row>
    <row r="30600" spans="23:23" x14ac:dyDescent="0.55000000000000004">
      <c r="W30600"/>
    </row>
    <row r="30601" spans="23:23" x14ac:dyDescent="0.55000000000000004">
      <c r="W30601"/>
    </row>
    <row r="30602" spans="23:23" x14ac:dyDescent="0.55000000000000004">
      <c r="W30602"/>
    </row>
    <row r="30603" spans="23:23" x14ac:dyDescent="0.55000000000000004">
      <c r="W30603"/>
    </row>
    <row r="30604" spans="23:23" x14ac:dyDescent="0.55000000000000004">
      <c r="W30604"/>
    </row>
    <row r="30605" spans="23:23" x14ac:dyDescent="0.55000000000000004">
      <c r="W30605"/>
    </row>
    <row r="30606" spans="23:23" x14ac:dyDescent="0.55000000000000004">
      <c r="W30606"/>
    </row>
    <row r="30607" spans="23:23" x14ac:dyDescent="0.55000000000000004">
      <c r="W30607"/>
    </row>
    <row r="30608" spans="23:23" x14ac:dyDescent="0.55000000000000004">
      <c r="W30608"/>
    </row>
    <row r="30609" spans="23:23" x14ac:dyDescent="0.55000000000000004">
      <c r="W30609"/>
    </row>
    <row r="30610" spans="23:23" x14ac:dyDescent="0.55000000000000004">
      <c r="W30610"/>
    </row>
    <row r="30611" spans="23:23" x14ac:dyDescent="0.55000000000000004">
      <c r="W30611"/>
    </row>
    <row r="30612" spans="23:23" x14ac:dyDescent="0.55000000000000004">
      <c r="W30612"/>
    </row>
    <row r="30613" spans="23:23" x14ac:dyDescent="0.55000000000000004">
      <c r="W30613"/>
    </row>
    <row r="30614" spans="23:23" x14ac:dyDescent="0.55000000000000004">
      <c r="W30614"/>
    </row>
    <row r="30615" spans="23:23" x14ac:dyDescent="0.55000000000000004">
      <c r="W30615"/>
    </row>
    <row r="30616" spans="23:23" x14ac:dyDescent="0.55000000000000004">
      <c r="W30616"/>
    </row>
    <row r="30617" spans="23:23" x14ac:dyDescent="0.55000000000000004">
      <c r="W30617"/>
    </row>
    <row r="30618" spans="23:23" x14ac:dyDescent="0.55000000000000004">
      <c r="W30618"/>
    </row>
    <row r="30619" spans="23:23" x14ac:dyDescent="0.55000000000000004">
      <c r="W30619"/>
    </row>
    <row r="30620" spans="23:23" x14ac:dyDescent="0.55000000000000004">
      <c r="W30620"/>
    </row>
    <row r="30621" spans="23:23" x14ac:dyDescent="0.55000000000000004">
      <c r="W30621"/>
    </row>
    <row r="30622" spans="23:23" x14ac:dyDescent="0.55000000000000004">
      <c r="W30622"/>
    </row>
    <row r="30623" spans="23:23" x14ac:dyDescent="0.55000000000000004">
      <c r="W30623"/>
    </row>
    <row r="30624" spans="23:23" x14ac:dyDescent="0.55000000000000004">
      <c r="W30624"/>
    </row>
    <row r="30625" spans="23:23" x14ac:dyDescent="0.55000000000000004">
      <c r="W30625"/>
    </row>
    <row r="30626" spans="23:23" x14ac:dyDescent="0.55000000000000004">
      <c r="W30626"/>
    </row>
    <row r="30627" spans="23:23" x14ac:dyDescent="0.55000000000000004">
      <c r="W30627"/>
    </row>
    <row r="30628" spans="23:23" x14ac:dyDescent="0.55000000000000004">
      <c r="W30628"/>
    </row>
    <row r="30629" spans="23:23" x14ac:dyDescent="0.55000000000000004">
      <c r="W30629"/>
    </row>
    <row r="30630" spans="23:23" x14ac:dyDescent="0.55000000000000004">
      <c r="W30630"/>
    </row>
    <row r="30631" spans="23:23" x14ac:dyDescent="0.55000000000000004">
      <c r="W30631"/>
    </row>
    <row r="30632" spans="23:23" x14ac:dyDescent="0.55000000000000004">
      <c r="W30632"/>
    </row>
    <row r="30633" spans="23:23" x14ac:dyDescent="0.55000000000000004">
      <c r="W30633"/>
    </row>
    <row r="30634" spans="23:23" x14ac:dyDescent="0.55000000000000004">
      <c r="W30634"/>
    </row>
    <row r="30635" spans="23:23" x14ac:dyDescent="0.55000000000000004">
      <c r="W30635"/>
    </row>
    <row r="30636" spans="23:23" x14ac:dyDescent="0.55000000000000004">
      <c r="W30636"/>
    </row>
    <row r="30637" spans="23:23" x14ac:dyDescent="0.55000000000000004">
      <c r="W30637"/>
    </row>
    <row r="30638" spans="23:23" x14ac:dyDescent="0.55000000000000004">
      <c r="W30638"/>
    </row>
    <row r="30639" spans="23:23" x14ac:dyDescent="0.55000000000000004">
      <c r="W30639"/>
    </row>
    <row r="30640" spans="23:23" x14ac:dyDescent="0.55000000000000004">
      <c r="W30640"/>
    </row>
    <row r="30641" spans="23:23" x14ac:dyDescent="0.55000000000000004">
      <c r="W30641"/>
    </row>
    <row r="30642" spans="23:23" x14ac:dyDescent="0.55000000000000004">
      <c r="W30642"/>
    </row>
    <row r="30643" spans="23:23" x14ac:dyDescent="0.55000000000000004">
      <c r="W30643"/>
    </row>
    <row r="30644" spans="23:23" x14ac:dyDescent="0.55000000000000004">
      <c r="W30644"/>
    </row>
    <row r="30645" spans="23:23" x14ac:dyDescent="0.55000000000000004">
      <c r="W30645"/>
    </row>
    <row r="30646" spans="23:23" x14ac:dyDescent="0.55000000000000004">
      <c r="W30646"/>
    </row>
    <row r="30647" spans="23:23" x14ac:dyDescent="0.55000000000000004">
      <c r="W30647"/>
    </row>
    <row r="30648" spans="23:23" x14ac:dyDescent="0.55000000000000004">
      <c r="W30648"/>
    </row>
    <row r="30649" spans="23:23" x14ac:dyDescent="0.55000000000000004">
      <c r="W30649"/>
    </row>
    <row r="30650" spans="23:23" x14ac:dyDescent="0.55000000000000004">
      <c r="W30650"/>
    </row>
    <row r="30651" spans="23:23" x14ac:dyDescent="0.55000000000000004">
      <c r="W30651"/>
    </row>
    <row r="30652" spans="23:23" x14ac:dyDescent="0.55000000000000004">
      <c r="W30652"/>
    </row>
    <row r="30653" spans="23:23" x14ac:dyDescent="0.55000000000000004">
      <c r="W30653"/>
    </row>
    <row r="30654" spans="23:23" x14ac:dyDescent="0.55000000000000004">
      <c r="W30654"/>
    </row>
    <row r="30655" spans="23:23" x14ac:dyDescent="0.55000000000000004">
      <c r="W30655"/>
    </row>
    <row r="30656" spans="23:23" x14ac:dyDescent="0.55000000000000004">
      <c r="W30656"/>
    </row>
    <row r="30657" spans="23:23" x14ac:dyDescent="0.55000000000000004">
      <c r="W30657"/>
    </row>
    <row r="30658" spans="23:23" x14ac:dyDescent="0.55000000000000004">
      <c r="W30658"/>
    </row>
    <row r="30659" spans="23:23" x14ac:dyDescent="0.55000000000000004">
      <c r="W30659"/>
    </row>
    <row r="30660" spans="23:23" x14ac:dyDescent="0.55000000000000004">
      <c r="W30660"/>
    </row>
    <row r="30661" spans="23:23" x14ac:dyDescent="0.55000000000000004">
      <c r="W30661"/>
    </row>
    <row r="30662" spans="23:23" x14ac:dyDescent="0.55000000000000004">
      <c r="W30662"/>
    </row>
    <row r="30663" spans="23:23" x14ac:dyDescent="0.55000000000000004">
      <c r="W30663"/>
    </row>
    <row r="30664" spans="23:23" x14ac:dyDescent="0.55000000000000004">
      <c r="W30664"/>
    </row>
    <row r="30665" spans="23:23" x14ac:dyDescent="0.55000000000000004">
      <c r="W30665"/>
    </row>
    <row r="30666" spans="23:23" x14ac:dyDescent="0.55000000000000004">
      <c r="W30666"/>
    </row>
    <row r="30667" spans="23:23" x14ac:dyDescent="0.55000000000000004">
      <c r="W30667"/>
    </row>
    <row r="30668" spans="23:23" x14ac:dyDescent="0.55000000000000004">
      <c r="W30668"/>
    </row>
    <row r="30669" spans="23:23" x14ac:dyDescent="0.55000000000000004">
      <c r="W30669"/>
    </row>
    <row r="30670" spans="23:23" x14ac:dyDescent="0.55000000000000004">
      <c r="W30670"/>
    </row>
    <row r="30671" spans="23:23" x14ac:dyDescent="0.55000000000000004">
      <c r="W30671"/>
    </row>
    <row r="30672" spans="23:23" x14ac:dyDescent="0.55000000000000004">
      <c r="W30672"/>
    </row>
    <row r="30673" spans="23:23" x14ac:dyDescent="0.55000000000000004">
      <c r="W30673"/>
    </row>
    <row r="30674" spans="23:23" x14ac:dyDescent="0.55000000000000004">
      <c r="W30674"/>
    </row>
    <row r="30675" spans="23:23" x14ac:dyDescent="0.55000000000000004">
      <c r="W30675"/>
    </row>
    <row r="30676" spans="23:23" x14ac:dyDescent="0.55000000000000004">
      <c r="W30676"/>
    </row>
    <row r="30677" spans="23:23" x14ac:dyDescent="0.55000000000000004">
      <c r="W30677"/>
    </row>
    <row r="30678" spans="23:23" x14ac:dyDescent="0.55000000000000004">
      <c r="W30678"/>
    </row>
    <row r="30679" spans="23:23" x14ac:dyDescent="0.55000000000000004">
      <c r="W30679"/>
    </row>
    <row r="30680" spans="23:23" x14ac:dyDescent="0.55000000000000004">
      <c r="W30680"/>
    </row>
    <row r="30681" spans="23:23" x14ac:dyDescent="0.55000000000000004">
      <c r="W30681"/>
    </row>
    <row r="30682" spans="23:23" x14ac:dyDescent="0.55000000000000004">
      <c r="W30682"/>
    </row>
    <row r="30683" spans="23:23" x14ac:dyDescent="0.55000000000000004">
      <c r="W30683"/>
    </row>
    <row r="30684" spans="23:23" x14ac:dyDescent="0.55000000000000004">
      <c r="W30684"/>
    </row>
    <row r="30685" spans="23:23" x14ac:dyDescent="0.55000000000000004">
      <c r="W30685"/>
    </row>
    <row r="30686" spans="23:23" x14ac:dyDescent="0.55000000000000004">
      <c r="W30686"/>
    </row>
    <row r="30687" spans="23:23" x14ac:dyDescent="0.55000000000000004">
      <c r="W30687"/>
    </row>
    <row r="30688" spans="23:23" x14ac:dyDescent="0.55000000000000004">
      <c r="W30688"/>
    </row>
    <row r="30689" spans="23:23" x14ac:dyDescent="0.55000000000000004">
      <c r="W30689"/>
    </row>
    <row r="30690" spans="23:23" x14ac:dyDescent="0.55000000000000004">
      <c r="W30690"/>
    </row>
    <row r="30691" spans="23:23" x14ac:dyDescent="0.55000000000000004">
      <c r="W30691"/>
    </row>
    <row r="30692" spans="23:23" x14ac:dyDescent="0.55000000000000004">
      <c r="W30692"/>
    </row>
    <row r="30693" spans="23:23" x14ac:dyDescent="0.55000000000000004">
      <c r="W30693"/>
    </row>
    <row r="30694" spans="23:23" x14ac:dyDescent="0.55000000000000004">
      <c r="W30694"/>
    </row>
    <row r="30695" spans="23:23" x14ac:dyDescent="0.55000000000000004">
      <c r="W30695"/>
    </row>
    <row r="30696" spans="23:23" x14ac:dyDescent="0.55000000000000004">
      <c r="W30696"/>
    </row>
    <row r="30697" spans="23:23" x14ac:dyDescent="0.55000000000000004">
      <c r="W30697"/>
    </row>
    <row r="30698" spans="23:23" x14ac:dyDescent="0.55000000000000004">
      <c r="W30698"/>
    </row>
    <row r="30699" spans="23:23" x14ac:dyDescent="0.55000000000000004">
      <c r="W30699"/>
    </row>
    <row r="30700" spans="23:23" x14ac:dyDescent="0.55000000000000004">
      <c r="W30700"/>
    </row>
    <row r="30701" spans="23:23" x14ac:dyDescent="0.55000000000000004">
      <c r="W30701"/>
    </row>
    <row r="30702" spans="23:23" x14ac:dyDescent="0.55000000000000004">
      <c r="W30702"/>
    </row>
    <row r="30703" spans="23:23" x14ac:dyDescent="0.55000000000000004">
      <c r="W30703"/>
    </row>
    <row r="30704" spans="23:23" x14ac:dyDescent="0.55000000000000004">
      <c r="W30704"/>
    </row>
    <row r="30705" spans="23:23" x14ac:dyDescent="0.55000000000000004">
      <c r="W30705"/>
    </row>
    <row r="30706" spans="23:23" x14ac:dyDescent="0.55000000000000004">
      <c r="W30706"/>
    </row>
    <row r="30707" spans="23:23" x14ac:dyDescent="0.55000000000000004">
      <c r="W30707"/>
    </row>
    <row r="30708" spans="23:23" x14ac:dyDescent="0.55000000000000004">
      <c r="W30708"/>
    </row>
    <row r="30709" spans="23:23" x14ac:dyDescent="0.55000000000000004">
      <c r="W30709"/>
    </row>
    <row r="30710" spans="23:23" x14ac:dyDescent="0.55000000000000004">
      <c r="W30710"/>
    </row>
    <row r="30711" spans="23:23" x14ac:dyDescent="0.55000000000000004">
      <c r="W30711"/>
    </row>
    <row r="30712" spans="23:23" x14ac:dyDescent="0.55000000000000004">
      <c r="W30712"/>
    </row>
    <row r="30713" spans="23:23" x14ac:dyDescent="0.55000000000000004">
      <c r="W30713"/>
    </row>
    <row r="30714" spans="23:23" x14ac:dyDescent="0.55000000000000004">
      <c r="W30714"/>
    </row>
    <row r="30715" spans="23:23" x14ac:dyDescent="0.55000000000000004">
      <c r="W30715"/>
    </row>
    <row r="30716" spans="23:23" x14ac:dyDescent="0.55000000000000004">
      <c r="W30716"/>
    </row>
    <row r="30717" spans="23:23" x14ac:dyDescent="0.55000000000000004">
      <c r="W30717"/>
    </row>
    <row r="30718" spans="23:23" x14ac:dyDescent="0.55000000000000004">
      <c r="W30718"/>
    </row>
    <row r="30719" spans="23:23" x14ac:dyDescent="0.55000000000000004">
      <c r="W30719"/>
    </row>
    <row r="30720" spans="23:23" x14ac:dyDescent="0.55000000000000004">
      <c r="W30720"/>
    </row>
    <row r="30721" spans="23:23" x14ac:dyDescent="0.55000000000000004">
      <c r="W30721"/>
    </row>
    <row r="30722" spans="23:23" x14ac:dyDescent="0.55000000000000004">
      <c r="W30722"/>
    </row>
    <row r="30723" spans="23:23" x14ac:dyDescent="0.55000000000000004">
      <c r="W30723"/>
    </row>
    <row r="30724" spans="23:23" x14ac:dyDescent="0.55000000000000004">
      <c r="W30724"/>
    </row>
    <row r="30725" spans="23:23" x14ac:dyDescent="0.55000000000000004">
      <c r="W30725"/>
    </row>
    <row r="30726" spans="23:23" x14ac:dyDescent="0.55000000000000004">
      <c r="W30726"/>
    </row>
    <row r="30727" spans="23:23" x14ac:dyDescent="0.55000000000000004">
      <c r="W30727"/>
    </row>
    <row r="30728" spans="23:23" x14ac:dyDescent="0.55000000000000004">
      <c r="W30728"/>
    </row>
    <row r="30729" spans="23:23" x14ac:dyDescent="0.55000000000000004">
      <c r="W30729"/>
    </row>
    <row r="30730" spans="23:23" x14ac:dyDescent="0.55000000000000004">
      <c r="W30730"/>
    </row>
    <row r="30731" spans="23:23" x14ac:dyDescent="0.55000000000000004">
      <c r="W30731"/>
    </row>
    <row r="30732" spans="23:23" x14ac:dyDescent="0.55000000000000004">
      <c r="W30732"/>
    </row>
    <row r="30733" spans="23:23" x14ac:dyDescent="0.55000000000000004">
      <c r="W30733"/>
    </row>
    <row r="30734" spans="23:23" x14ac:dyDescent="0.55000000000000004">
      <c r="W30734"/>
    </row>
    <row r="30735" spans="23:23" x14ac:dyDescent="0.55000000000000004">
      <c r="W30735"/>
    </row>
    <row r="30736" spans="23:23" x14ac:dyDescent="0.55000000000000004">
      <c r="W30736"/>
    </row>
    <row r="30737" spans="23:23" x14ac:dyDescent="0.55000000000000004">
      <c r="W30737"/>
    </row>
    <row r="30738" spans="23:23" x14ac:dyDescent="0.55000000000000004">
      <c r="W30738"/>
    </row>
    <row r="30739" spans="23:23" x14ac:dyDescent="0.55000000000000004">
      <c r="W30739"/>
    </row>
    <row r="30740" spans="23:23" x14ac:dyDescent="0.55000000000000004">
      <c r="W30740"/>
    </row>
    <row r="30741" spans="23:23" x14ac:dyDescent="0.55000000000000004">
      <c r="W30741"/>
    </row>
    <row r="30742" spans="23:23" x14ac:dyDescent="0.55000000000000004">
      <c r="W30742"/>
    </row>
    <row r="30743" spans="23:23" x14ac:dyDescent="0.55000000000000004">
      <c r="W30743"/>
    </row>
    <row r="30744" spans="23:23" x14ac:dyDescent="0.55000000000000004">
      <c r="W30744"/>
    </row>
    <row r="30745" spans="23:23" x14ac:dyDescent="0.55000000000000004">
      <c r="W30745"/>
    </row>
    <row r="30746" spans="23:23" x14ac:dyDescent="0.55000000000000004">
      <c r="W30746"/>
    </row>
    <row r="30747" spans="23:23" x14ac:dyDescent="0.55000000000000004">
      <c r="W30747"/>
    </row>
    <row r="30748" spans="23:23" x14ac:dyDescent="0.55000000000000004">
      <c r="W30748"/>
    </row>
    <row r="30749" spans="23:23" x14ac:dyDescent="0.55000000000000004">
      <c r="W30749"/>
    </row>
    <row r="30750" spans="23:23" x14ac:dyDescent="0.55000000000000004">
      <c r="W30750"/>
    </row>
    <row r="30751" spans="23:23" x14ac:dyDescent="0.55000000000000004">
      <c r="W30751"/>
    </row>
    <row r="30752" spans="23:23" x14ac:dyDescent="0.55000000000000004">
      <c r="W30752"/>
    </row>
    <row r="30753" spans="23:23" x14ac:dyDescent="0.55000000000000004">
      <c r="W30753"/>
    </row>
    <row r="30754" spans="23:23" x14ac:dyDescent="0.55000000000000004">
      <c r="W30754"/>
    </row>
    <row r="30755" spans="23:23" x14ac:dyDescent="0.55000000000000004">
      <c r="W30755"/>
    </row>
    <row r="30756" spans="23:23" x14ac:dyDescent="0.55000000000000004">
      <c r="W30756"/>
    </row>
    <row r="30757" spans="23:23" x14ac:dyDescent="0.55000000000000004">
      <c r="W30757"/>
    </row>
    <row r="30758" spans="23:23" x14ac:dyDescent="0.55000000000000004">
      <c r="W30758"/>
    </row>
    <row r="30759" spans="23:23" x14ac:dyDescent="0.55000000000000004">
      <c r="W30759"/>
    </row>
    <row r="30760" spans="23:23" x14ac:dyDescent="0.55000000000000004">
      <c r="W30760"/>
    </row>
    <row r="30761" spans="23:23" x14ac:dyDescent="0.55000000000000004">
      <c r="W30761"/>
    </row>
    <row r="30762" spans="23:23" x14ac:dyDescent="0.55000000000000004">
      <c r="W30762"/>
    </row>
    <row r="30763" spans="23:23" x14ac:dyDescent="0.55000000000000004">
      <c r="W30763"/>
    </row>
    <row r="30764" spans="23:23" x14ac:dyDescent="0.55000000000000004">
      <c r="W30764"/>
    </row>
    <row r="30765" spans="23:23" x14ac:dyDescent="0.55000000000000004">
      <c r="W30765"/>
    </row>
    <row r="30766" spans="23:23" x14ac:dyDescent="0.55000000000000004">
      <c r="W30766"/>
    </row>
    <row r="30767" spans="23:23" x14ac:dyDescent="0.55000000000000004">
      <c r="W30767"/>
    </row>
    <row r="30768" spans="23:23" x14ac:dyDescent="0.55000000000000004">
      <c r="W30768"/>
    </row>
    <row r="30769" spans="23:23" x14ac:dyDescent="0.55000000000000004">
      <c r="W30769"/>
    </row>
    <row r="30770" spans="23:23" x14ac:dyDescent="0.55000000000000004">
      <c r="W30770"/>
    </row>
    <row r="30771" spans="23:23" x14ac:dyDescent="0.55000000000000004">
      <c r="W30771"/>
    </row>
    <row r="30772" spans="23:23" x14ac:dyDescent="0.55000000000000004">
      <c r="W30772"/>
    </row>
    <row r="30773" spans="23:23" x14ac:dyDescent="0.55000000000000004">
      <c r="W30773"/>
    </row>
    <row r="30774" spans="23:23" x14ac:dyDescent="0.55000000000000004">
      <c r="W30774"/>
    </row>
    <row r="30775" spans="23:23" x14ac:dyDescent="0.55000000000000004">
      <c r="W30775"/>
    </row>
    <row r="30776" spans="23:23" x14ac:dyDescent="0.55000000000000004">
      <c r="W30776"/>
    </row>
    <row r="30777" spans="23:23" x14ac:dyDescent="0.55000000000000004">
      <c r="W30777"/>
    </row>
    <row r="30778" spans="23:23" x14ac:dyDescent="0.55000000000000004">
      <c r="W30778"/>
    </row>
    <row r="30779" spans="23:23" x14ac:dyDescent="0.55000000000000004">
      <c r="W30779"/>
    </row>
    <row r="30780" spans="23:23" x14ac:dyDescent="0.55000000000000004">
      <c r="W30780"/>
    </row>
    <row r="30781" spans="23:23" x14ac:dyDescent="0.55000000000000004">
      <c r="W30781"/>
    </row>
    <row r="30782" spans="23:23" x14ac:dyDescent="0.55000000000000004">
      <c r="W30782"/>
    </row>
    <row r="30783" spans="23:23" x14ac:dyDescent="0.55000000000000004">
      <c r="W30783"/>
    </row>
    <row r="30784" spans="23:23" x14ac:dyDescent="0.55000000000000004">
      <c r="W30784"/>
    </row>
    <row r="30785" spans="23:23" x14ac:dyDescent="0.55000000000000004">
      <c r="W30785"/>
    </row>
    <row r="30786" spans="23:23" x14ac:dyDescent="0.55000000000000004">
      <c r="W30786"/>
    </row>
    <row r="30787" spans="23:23" x14ac:dyDescent="0.55000000000000004">
      <c r="W30787"/>
    </row>
    <row r="30788" spans="23:23" x14ac:dyDescent="0.55000000000000004">
      <c r="W30788"/>
    </row>
    <row r="30789" spans="23:23" x14ac:dyDescent="0.55000000000000004">
      <c r="W30789"/>
    </row>
    <row r="30790" spans="23:23" x14ac:dyDescent="0.55000000000000004">
      <c r="W30790"/>
    </row>
    <row r="30791" spans="23:23" x14ac:dyDescent="0.55000000000000004">
      <c r="W30791"/>
    </row>
    <row r="30792" spans="23:23" x14ac:dyDescent="0.55000000000000004">
      <c r="W30792"/>
    </row>
    <row r="30793" spans="23:23" x14ac:dyDescent="0.55000000000000004">
      <c r="W30793"/>
    </row>
    <row r="30794" spans="23:23" x14ac:dyDescent="0.55000000000000004">
      <c r="W30794"/>
    </row>
    <row r="30795" spans="23:23" x14ac:dyDescent="0.55000000000000004">
      <c r="W30795"/>
    </row>
    <row r="30796" spans="23:23" x14ac:dyDescent="0.55000000000000004">
      <c r="W30796"/>
    </row>
    <row r="30797" spans="23:23" x14ac:dyDescent="0.55000000000000004">
      <c r="W30797"/>
    </row>
    <row r="30798" spans="23:23" x14ac:dyDescent="0.55000000000000004">
      <c r="W30798"/>
    </row>
    <row r="30799" spans="23:23" x14ac:dyDescent="0.55000000000000004">
      <c r="W30799"/>
    </row>
    <row r="30800" spans="23:23" x14ac:dyDescent="0.55000000000000004">
      <c r="W30800"/>
    </row>
    <row r="30801" spans="23:23" x14ac:dyDescent="0.55000000000000004">
      <c r="W30801"/>
    </row>
    <row r="30802" spans="23:23" x14ac:dyDescent="0.55000000000000004">
      <c r="W30802"/>
    </row>
    <row r="30803" spans="23:23" x14ac:dyDescent="0.55000000000000004">
      <c r="W30803"/>
    </row>
    <row r="30804" spans="23:23" x14ac:dyDescent="0.55000000000000004">
      <c r="W30804"/>
    </row>
    <row r="30805" spans="23:23" x14ac:dyDescent="0.55000000000000004">
      <c r="W30805"/>
    </row>
    <row r="30806" spans="23:23" x14ac:dyDescent="0.55000000000000004">
      <c r="W30806"/>
    </row>
    <row r="30807" spans="23:23" x14ac:dyDescent="0.55000000000000004">
      <c r="W30807"/>
    </row>
    <row r="30808" spans="23:23" x14ac:dyDescent="0.55000000000000004">
      <c r="W30808"/>
    </row>
    <row r="30809" spans="23:23" x14ac:dyDescent="0.55000000000000004">
      <c r="W30809"/>
    </row>
    <row r="30810" spans="23:23" x14ac:dyDescent="0.55000000000000004">
      <c r="W30810"/>
    </row>
    <row r="30811" spans="23:23" x14ac:dyDescent="0.55000000000000004">
      <c r="W30811"/>
    </row>
    <row r="30812" spans="23:23" x14ac:dyDescent="0.55000000000000004">
      <c r="W30812"/>
    </row>
    <row r="30813" spans="23:23" x14ac:dyDescent="0.55000000000000004">
      <c r="W30813"/>
    </row>
    <row r="30814" spans="23:23" x14ac:dyDescent="0.55000000000000004">
      <c r="W30814"/>
    </row>
    <row r="30815" spans="23:23" x14ac:dyDescent="0.55000000000000004">
      <c r="W30815"/>
    </row>
    <row r="30816" spans="23:23" x14ac:dyDescent="0.55000000000000004">
      <c r="W30816"/>
    </row>
    <row r="30817" spans="23:23" x14ac:dyDescent="0.55000000000000004">
      <c r="W30817"/>
    </row>
    <row r="30818" spans="23:23" x14ac:dyDescent="0.55000000000000004">
      <c r="W30818"/>
    </row>
    <row r="30819" spans="23:23" x14ac:dyDescent="0.55000000000000004">
      <c r="W30819"/>
    </row>
    <row r="30820" spans="23:23" x14ac:dyDescent="0.55000000000000004">
      <c r="W30820"/>
    </row>
    <row r="30821" spans="23:23" x14ac:dyDescent="0.55000000000000004">
      <c r="W30821"/>
    </row>
    <row r="30822" spans="23:23" x14ac:dyDescent="0.55000000000000004">
      <c r="W30822"/>
    </row>
    <row r="30823" spans="23:23" x14ac:dyDescent="0.55000000000000004">
      <c r="W30823"/>
    </row>
    <row r="30824" spans="23:23" x14ac:dyDescent="0.55000000000000004">
      <c r="W30824"/>
    </row>
    <row r="30825" spans="23:23" x14ac:dyDescent="0.55000000000000004">
      <c r="W30825"/>
    </row>
    <row r="30826" spans="23:23" x14ac:dyDescent="0.55000000000000004">
      <c r="W30826"/>
    </row>
    <row r="30827" spans="23:23" x14ac:dyDescent="0.55000000000000004">
      <c r="W30827"/>
    </row>
    <row r="30828" spans="23:23" x14ac:dyDescent="0.55000000000000004">
      <c r="W30828"/>
    </row>
    <row r="30829" spans="23:23" x14ac:dyDescent="0.55000000000000004">
      <c r="W30829"/>
    </row>
    <row r="30830" spans="23:23" x14ac:dyDescent="0.55000000000000004">
      <c r="W30830"/>
    </row>
    <row r="30831" spans="23:23" x14ac:dyDescent="0.55000000000000004">
      <c r="W30831"/>
    </row>
    <row r="30832" spans="23:23" x14ac:dyDescent="0.55000000000000004">
      <c r="W30832"/>
    </row>
    <row r="30833" spans="23:23" x14ac:dyDescent="0.55000000000000004">
      <c r="W30833"/>
    </row>
    <row r="30834" spans="23:23" x14ac:dyDescent="0.55000000000000004">
      <c r="W30834"/>
    </row>
    <row r="30835" spans="23:23" x14ac:dyDescent="0.55000000000000004">
      <c r="W30835"/>
    </row>
    <row r="30836" spans="23:23" x14ac:dyDescent="0.55000000000000004">
      <c r="W30836"/>
    </row>
    <row r="30837" spans="23:23" x14ac:dyDescent="0.55000000000000004">
      <c r="W30837"/>
    </row>
    <row r="30838" spans="23:23" x14ac:dyDescent="0.55000000000000004">
      <c r="W30838"/>
    </row>
    <row r="30839" spans="23:23" x14ac:dyDescent="0.55000000000000004">
      <c r="W30839"/>
    </row>
    <row r="30840" spans="23:23" x14ac:dyDescent="0.55000000000000004">
      <c r="W30840"/>
    </row>
    <row r="30841" spans="23:23" x14ac:dyDescent="0.55000000000000004">
      <c r="W30841"/>
    </row>
    <row r="30842" spans="23:23" x14ac:dyDescent="0.55000000000000004">
      <c r="W30842"/>
    </row>
    <row r="30843" spans="23:23" x14ac:dyDescent="0.55000000000000004">
      <c r="W30843"/>
    </row>
    <row r="30844" spans="23:23" x14ac:dyDescent="0.55000000000000004">
      <c r="W30844"/>
    </row>
    <row r="30845" spans="23:23" x14ac:dyDescent="0.55000000000000004">
      <c r="W30845"/>
    </row>
    <row r="30846" spans="23:23" x14ac:dyDescent="0.55000000000000004">
      <c r="W30846"/>
    </row>
    <row r="30847" spans="23:23" x14ac:dyDescent="0.55000000000000004">
      <c r="W30847"/>
    </row>
    <row r="30848" spans="23:23" x14ac:dyDescent="0.55000000000000004">
      <c r="W30848"/>
    </row>
    <row r="30849" spans="23:23" x14ac:dyDescent="0.55000000000000004">
      <c r="W30849"/>
    </row>
    <row r="30850" spans="23:23" x14ac:dyDescent="0.55000000000000004">
      <c r="W30850"/>
    </row>
    <row r="30851" spans="23:23" x14ac:dyDescent="0.55000000000000004">
      <c r="W30851"/>
    </row>
    <row r="30852" spans="23:23" x14ac:dyDescent="0.55000000000000004">
      <c r="W30852"/>
    </row>
    <row r="30853" spans="23:23" x14ac:dyDescent="0.55000000000000004">
      <c r="W30853"/>
    </row>
    <row r="30854" spans="23:23" x14ac:dyDescent="0.55000000000000004">
      <c r="W30854"/>
    </row>
    <row r="30855" spans="23:23" x14ac:dyDescent="0.55000000000000004">
      <c r="W30855"/>
    </row>
    <row r="30856" spans="23:23" x14ac:dyDescent="0.55000000000000004">
      <c r="W30856"/>
    </row>
    <row r="30857" spans="23:23" x14ac:dyDescent="0.55000000000000004">
      <c r="W30857"/>
    </row>
    <row r="30858" spans="23:23" x14ac:dyDescent="0.55000000000000004">
      <c r="W30858"/>
    </row>
    <row r="30859" spans="23:23" x14ac:dyDescent="0.55000000000000004">
      <c r="W30859"/>
    </row>
    <row r="30860" spans="23:23" x14ac:dyDescent="0.55000000000000004">
      <c r="W30860"/>
    </row>
    <row r="30861" spans="23:23" x14ac:dyDescent="0.55000000000000004">
      <c r="W30861"/>
    </row>
    <row r="30862" spans="23:23" x14ac:dyDescent="0.55000000000000004">
      <c r="W30862"/>
    </row>
    <row r="30863" spans="23:23" x14ac:dyDescent="0.55000000000000004">
      <c r="W30863"/>
    </row>
    <row r="30864" spans="23:23" x14ac:dyDescent="0.55000000000000004">
      <c r="W30864"/>
    </row>
    <row r="30865" spans="23:23" x14ac:dyDescent="0.55000000000000004">
      <c r="W30865"/>
    </row>
    <row r="30866" spans="23:23" x14ac:dyDescent="0.55000000000000004">
      <c r="W30866"/>
    </row>
    <row r="30867" spans="23:23" x14ac:dyDescent="0.55000000000000004">
      <c r="W30867"/>
    </row>
    <row r="30868" spans="23:23" x14ac:dyDescent="0.55000000000000004">
      <c r="W30868"/>
    </row>
    <row r="30869" spans="23:23" x14ac:dyDescent="0.55000000000000004">
      <c r="W30869"/>
    </row>
    <row r="30870" spans="23:23" x14ac:dyDescent="0.55000000000000004">
      <c r="W30870"/>
    </row>
    <row r="30871" spans="23:23" x14ac:dyDescent="0.55000000000000004">
      <c r="W30871"/>
    </row>
    <row r="30872" spans="23:23" x14ac:dyDescent="0.55000000000000004">
      <c r="W30872"/>
    </row>
    <row r="30873" spans="23:23" x14ac:dyDescent="0.55000000000000004">
      <c r="W30873"/>
    </row>
    <row r="30874" spans="23:23" x14ac:dyDescent="0.55000000000000004">
      <c r="W30874"/>
    </row>
    <row r="30875" spans="23:23" x14ac:dyDescent="0.55000000000000004">
      <c r="W30875"/>
    </row>
    <row r="30876" spans="23:23" x14ac:dyDescent="0.55000000000000004">
      <c r="W30876"/>
    </row>
    <row r="30877" spans="23:23" x14ac:dyDescent="0.55000000000000004">
      <c r="W30877"/>
    </row>
    <row r="30878" spans="23:23" x14ac:dyDescent="0.55000000000000004">
      <c r="W30878"/>
    </row>
    <row r="30879" spans="23:23" x14ac:dyDescent="0.55000000000000004">
      <c r="W30879"/>
    </row>
    <row r="30880" spans="23:23" x14ac:dyDescent="0.55000000000000004">
      <c r="W30880"/>
    </row>
    <row r="30881" spans="23:23" x14ac:dyDescent="0.55000000000000004">
      <c r="W30881"/>
    </row>
    <row r="30882" spans="23:23" x14ac:dyDescent="0.55000000000000004">
      <c r="W30882"/>
    </row>
    <row r="30883" spans="23:23" x14ac:dyDescent="0.55000000000000004">
      <c r="W30883"/>
    </row>
    <row r="30884" spans="23:23" x14ac:dyDescent="0.55000000000000004">
      <c r="W30884"/>
    </row>
    <row r="30885" spans="23:23" x14ac:dyDescent="0.55000000000000004">
      <c r="W30885"/>
    </row>
    <row r="30886" spans="23:23" x14ac:dyDescent="0.55000000000000004">
      <c r="W30886"/>
    </row>
    <row r="30887" spans="23:23" x14ac:dyDescent="0.55000000000000004">
      <c r="W30887"/>
    </row>
    <row r="30888" spans="23:23" x14ac:dyDescent="0.55000000000000004">
      <c r="W30888"/>
    </row>
    <row r="30889" spans="23:23" x14ac:dyDescent="0.55000000000000004">
      <c r="W30889"/>
    </row>
    <row r="30890" spans="23:23" x14ac:dyDescent="0.55000000000000004">
      <c r="W30890"/>
    </row>
    <row r="30891" spans="23:23" x14ac:dyDescent="0.55000000000000004">
      <c r="W30891"/>
    </row>
    <row r="30892" spans="23:23" x14ac:dyDescent="0.55000000000000004">
      <c r="W30892"/>
    </row>
    <row r="30893" spans="23:23" x14ac:dyDescent="0.55000000000000004">
      <c r="W30893"/>
    </row>
    <row r="30894" spans="23:23" x14ac:dyDescent="0.55000000000000004">
      <c r="W30894"/>
    </row>
    <row r="30895" spans="23:23" x14ac:dyDescent="0.55000000000000004">
      <c r="W30895"/>
    </row>
    <row r="30896" spans="23:23" x14ac:dyDescent="0.55000000000000004">
      <c r="W30896"/>
    </row>
    <row r="30897" spans="23:23" x14ac:dyDescent="0.55000000000000004">
      <c r="W30897"/>
    </row>
    <row r="30898" spans="23:23" x14ac:dyDescent="0.55000000000000004">
      <c r="W30898"/>
    </row>
    <row r="30899" spans="23:23" x14ac:dyDescent="0.55000000000000004">
      <c r="W30899"/>
    </row>
    <row r="30900" spans="23:23" x14ac:dyDescent="0.55000000000000004">
      <c r="W30900"/>
    </row>
    <row r="30901" spans="23:23" x14ac:dyDescent="0.55000000000000004">
      <c r="W30901"/>
    </row>
    <row r="30902" spans="23:23" x14ac:dyDescent="0.55000000000000004">
      <c r="W30902"/>
    </row>
    <row r="30903" spans="23:23" x14ac:dyDescent="0.55000000000000004">
      <c r="W30903"/>
    </row>
    <row r="30904" spans="23:23" x14ac:dyDescent="0.55000000000000004">
      <c r="W30904"/>
    </row>
    <row r="30905" spans="23:23" x14ac:dyDescent="0.55000000000000004">
      <c r="W30905"/>
    </row>
    <row r="30906" spans="23:23" x14ac:dyDescent="0.55000000000000004">
      <c r="W30906"/>
    </row>
    <row r="30907" spans="23:23" x14ac:dyDescent="0.55000000000000004">
      <c r="W30907"/>
    </row>
    <row r="30908" spans="23:23" x14ac:dyDescent="0.55000000000000004">
      <c r="W30908"/>
    </row>
    <row r="30909" spans="23:23" x14ac:dyDescent="0.55000000000000004">
      <c r="W30909"/>
    </row>
    <row r="30910" spans="23:23" x14ac:dyDescent="0.55000000000000004">
      <c r="W30910"/>
    </row>
    <row r="30911" spans="23:23" x14ac:dyDescent="0.55000000000000004">
      <c r="W30911"/>
    </row>
    <row r="30912" spans="23:23" x14ac:dyDescent="0.55000000000000004">
      <c r="W30912"/>
    </row>
    <row r="30913" spans="23:23" x14ac:dyDescent="0.55000000000000004">
      <c r="W30913"/>
    </row>
    <row r="30914" spans="23:23" x14ac:dyDescent="0.55000000000000004">
      <c r="W30914"/>
    </row>
    <row r="30915" spans="23:23" x14ac:dyDescent="0.55000000000000004">
      <c r="W30915"/>
    </row>
    <row r="30916" spans="23:23" x14ac:dyDescent="0.55000000000000004">
      <c r="W30916"/>
    </row>
    <row r="30917" spans="23:23" x14ac:dyDescent="0.55000000000000004">
      <c r="W30917"/>
    </row>
    <row r="30918" spans="23:23" x14ac:dyDescent="0.55000000000000004">
      <c r="W30918"/>
    </row>
    <row r="30919" spans="23:23" x14ac:dyDescent="0.55000000000000004">
      <c r="W30919"/>
    </row>
    <row r="30920" spans="23:23" x14ac:dyDescent="0.55000000000000004">
      <c r="W30920"/>
    </row>
    <row r="30921" spans="23:23" x14ac:dyDescent="0.55000000000000004">
      <c r="W30921"/>
    </row>
    <row r="30922" spans="23:23" x14ac:dyDescent="0.55000000000000004">
      <c r="W30922"/>
    </row>
    <row r="30923" spans="23:23" x14ac:dyDescent="0.55000000000000004">
      <c r="W30923"/>
    </row>
    <row r="30924" spans="23:23" x14ac:dyDescent="0.55000000000000004">
      <c r="W30924"/>
    </row>
    <row r="30925" spans="23:23" x14ac:dyDescent="0.55000000000000004">
      <c r="W30925"/>
    </row>
    <row r="30926" spans="23:23" x14ac:dyDescent="0.55000000000000004">
      <c r="W30926"/>
    </row>
    <row r="30927" spans="23:23" x14ac:dyDescent="0.55000000000000004">
      <c r="W30927"/>
    </row>
    <row r="30928" spans="23:23" x14ac:dyDescent="0.55000000000000004">
      <c r="W30928"/>
    </row>
    <row r="30929" spans="23:23" x14ac:dyDescent="0.55000000000000004">
      <c r="W30929"/>
    </row>
    <row r="30930" spans="23:23" x14ac:dyDescent="0.55000000000000004">
      <c r="W30930"/>
    </row>
    <row r="30931" spans="23:23" x14ac:dyDescent="0.55000000000000004">
      <c r="W30931"/>
    </row>
    <row r="30932" spans="23:23" x14ac:dyDescent="0.55000000000000004">
      <c r="W30932"/>
    </row>
    <row r="30933" spans="23:23" x14ac:dyDescent="0.55000000000000004">
      <c r="W30933"/>
    </row>
    <row r="30934" spans="23:23" x14ac:dyDescent="0.55000000000000004">
      <c r="W30934"/>
    </row>
    <row r="30935" spans="23:23" x14ac:dyDescent="0.55000000000000004">
      <c r="W30935"/>
    </row>
    <row r="30936" spans="23:23" x14ac:dyDescent="0.55000000000000004">
      <c r="W30936"/>
    </row>
    <row r="30937" spans="23:23" x14ac:dyDescent="0.55000000000000004">
      <c r="W30937"/>
    </row>
    <row r="30938" spans="23:23" x14ac:dyDescent="0.55000000000000004">
      <c r="W30938"/>
    </row>
    <row r="30939" spans="23:23" x14ac:dyDescent="0.55000000000000004">
      <c r="W30939"/>
    </row>
    <row r="30940" spans="23:23" x14ac:dyDescent="0.55000000000000004">
      <c r="W30940"/>
    </row>
    <row r="30941" spans="23:23" x14ac:dyDescent="0.55000000000000004">
      <c r="W30941"/>
    </row>
    <row r="30942" spans="23:23" x14ac:dyDescent="0.55000000000000004">
      <c r="W30942"/>
    </row>
    <row r="30943" spans="23:23" x14ac:dyDescent="0.55000000000000004">
      <c r="W30943"/>
    </row>
    <row r="30944" spans="23:23" x14ac:dyDescent="0.55000000000000004">
      <c r="W30944"/>
    </row>
    <row r="30945" spans="23:23" x14ac:dyDescent="0.55000000000000004">
      <c r="W30945"/>
    </row>
    <row r="30946" spans="23:23" x14ac:dyDescent="0.55000000000000004">
      <c r="W30946"/>
    </row>
    <row r="30947" spans="23:23" x14ac:dyDescent="0.55000000000000004">
      <c r="W30947"/>
    </row>
    <row r="30948" spans="23:23" x14ac:dyDescent="0.55000000000000004">
      <c r="W30948"/>
    </row>
    <row r="30949" spans="23:23" x14ac:dyDescent="0.55000000000000004">
      <c r="W30949"/>
    </row>
    <row r="30950" spans="23:23" x14ac:dyDescent="0.55000000000000004">
      <c r="W30950"/>
    </row>
    <row r="30951" spans="23:23" x14ac:dyDescent="0.55000000000000004">
      <c r="W30951"/>
    </row>
    <row r="30952" spans="23:23" x14ac:dyDescent="0.55000000000000004">
      <c r="W30952"/>
    </row>
    <row r="30953" spans="23:23" x14ac:dyDescent="0.55000000000000004">
      <c r="W30953"/>
    </row>
    <row r="30954" spans="23:23" x14ac:dyDescent="0.55000000000000004">
      <c r="W30954"/>
    </row>
    <row r="30955" spans="23:23" x14ac:dyDescent="0.55000000000000004">
      <c r="W30955"/>
    </row>
    <row r="30956" spans="23:23" x14ac:dyDescent="0.55000000000000004">
      <c r="W30956"/>
    </row>
    <row r="30957" spans="23:23" x14ac:dyDescent="0.55000000000000004">
      <c r="W30957"/>
    </row>
    <row r="30958" spans="23:23" x14ac:dyDescent="0.55000000000000004">
      <c r="W30958"/>
    </row>
    <row r="30959" spans="23:23" x14ac:dyDescent="0.55000000000000004">
      <c r="W30959"/>
    </row>
    <row r="30960" spans="23:23" x14ac:dyDescent="0.55000000000000004">
      <c r="W30960"/>
    </row>
    <row r="30961" spans="23:23" x14ac:dyDescent="0.55000000000000004">
      <c r="W30961"/>
    </row>
    <row r="30962" spans="23:23" x14ac:dyDescent="0.55000000000000004">
      <c r="W30962"/>
    </row>
    <row r="30963" spans="23:23" x14ac:dyDescent="0.55000000000000004">
      <c r="W30963"/>
    </row>
    <row r="30964" spans="23:23" x14ac:dyDescent="0.55000000000000004">
      <c r="W30964"/>
    </row>
    <row r="30965" spans="23:23" x14ac:dyDescent="0.55000000000000004">
      <c r="W30965"/>
    </row>
    <row r="30966" spans="23:23" x14ac:dyDescent="0.55000000000000004">
      <c r="W30966"/>
    </row>
    <row r="30967" spans="23:23" x14ac:dyDescent="0.55000000000000004">
      <c r="W30967"/>
    </row>
    <row r="30968" spans="23:23" x14ac:dyDescent="0.55000000000000004">
      <c r="W30968"/>
    </row>
    <row r="30969" spans="23:23" x14ac:dyDescent="0.55000000000000004">
      <c r="W30969"/>
    </row>
    <row r="30970" spans="23:23" x14ac:dyDescent="0.55000000000000004">
      <c r="W30970"/>
    </row>
    <row r="30971" spans="23:23" x14ac:dyDescent="0.55000000000000004">
      <c r="W30971"/>
    </row>
    <row r="30972" spans="23:23" x14ac:dyDescent="0.55000000000000004">
      <c r="W30972"/>
    </row>
    <row r="30973" spans="23:23" x14ac:dyDescent="0.55000000000000004">
      <c r="W30973"/>
    </row>
    <row r="30974" spans="23:23" x14ac:dyDescent="0.55000000000000004">
      <c r="W30974"/>
    </row>
    <row r="30975" spans="23:23" x14ac:dyDescent="0.55000000000000004">
      <c r="W30975"/>
    </row>
    <row r="30976" spans="23:23" x14ac:dyDescent="0.55000000000000004">
      <c r="W30976"/>
    </row>
    <row r="30977" spans="23:23" x14ac:dyDescent="0.55000000000000004">
      <c r="W30977"/>
    </row>
    <row r="30978" spans="23:23" x14ac:dyDescent="0.55000000000000004">
      <c r="W30978"/>
    </row>
    <row r="30979" spans="23:23" x14ac:dyDescent="0.55000000000000004">
      <c r="W30979"/>
    </row>
    <row r="30980" spans="23:23" x14ac:dyDescent="0.55000000000000004">
      <c r="W30980"/>
    </row>
    <row r="30981" spans="23:23" x14ac:dyDescent="0.55000000000000004">
      <c r="W30981"/>
    </row>
    <row r="30982" spans="23:23" x14ac:dyDescent="0.55000000000000004">
      <c r="W30982"/>
    </row>
    <row r="30983" spans="23:23" x14ac:dyDescent="0.55000000000000004">
      <c r="W30983"/>
    </row>
    <row r="30984" spans="23:23" x14ac:dyDescent="0.55000000000000004">
      <c r="W30984"/>
    </row>
    <row r="30985" spans="23:23" x14ac:dyDescent="0.55000000000000004">
      <c r="W30985"/>
    </row>
    <row r="30986" spans="23:23" x14ac:dyDescent="0.55000000000000004">
      <c r="W30986"/>
    </row>
    <row r="30987" spans="23:23" x14ac:dyDescent="0.55000000000000004">
      <c r="W30987"/>
    </row>
    <row r="30988" spans="23:23" x14ac:dyDescent="0.55000000000000004">
      <c r="W30988"/>
    </row>
    <row r="30989" spans="23:23" x14ac:dyDescent="0.55000000000000004">
      <c r="W30989"/>
    </row>
    <row r="30990" spans="23:23" x14ac:dyDescent="0.55000000000000004">
      <c r="W30990"/>
    </row>
    <row r="30991" spans="23:23" x14ac:dyDescent="0.55000000000000004">
      <c r="W30991"/>
    </row>
    <row r="30992" spans="23:23" x14ac:dyDescent="0.55000000000000004">
      <c r="W30992"/>
    </row>
    <row r="30993" spans="23:23" x14ac:dyDescent="0.55000000000000004">
      <c r="W30993"/>
    </row>
    <row r="30994" spans="23:23" x14ac:dyDescent="0.55000000000000004">
      <c r="W30994"/>
    </row>
    <row r="30995" spans="23:23" x14ac:dyDescent="0.55000000000000004">
      <c r="W30995"/>
    </row>
    <row r="30996" spans="23:23" x14ac:dyDescent="0.55000000000000004">
      <c r="W30996"/>
    </row>
    <row r="30997" spans="23:23" x14ac:dyDescent="0.55000000000000004">
      <c r="W30997"/>
    </row>
    <row r="30998" spans="23:23" x14ac:dyDescent="0.55000000000000004">
      <c r="W30998"/>
    </row>
    <row r="30999" spans="23:23" x14ac:dyDescent="0.55000000000000004">
      <c r="W30999"/>
    </row>
    <row r="31000" spans="23:23" x14ac:dyDescent="0.55000000000000004">
      <c r="W31000"/>
    </row>
    <row r="31001" spans="23:23" x14ac:dyDescent="0.55000000000000004">
      <c r="W31001"/>
    </row>
    <row r="31002" spans="23:23" x14ac:dyDescent="0.55000000000000004">
      <c r="W31002"/>
    </row>
    <row r="31003" spans="23:23" x14ac:dyDescent="0.55000000000000004">
      <c r="W31003"/>
    </row>
    <row r="31004" spans="23:23" x14ac:dyDescent="0.55000000000000004">
      <c r="W31004"/>
    </row>
    <row r="31005" spans="23:23" x14ac:dyDescent="0.55000000000000004">
      <c r="W31005"/>
    </row>
    <row r="31006" spans="23:23" x14ac:dyDescent="0.55000000000000004">
      <c r="W31006"/>
    </row>
    <row r="31007" spans="23:23" x14ac:dyDescent="0.55000000000000004">
      <c r="W31007"/>
    </row>
    <row r="31008" spans="23:23" x14ac:dyDescent="0.55000000000000004">
      <c r="W31008"/>
    </row>
    <row r="31009" spans="23:23" x14ac:dyDescent="0.55000000000000004">
      <c r="W31009"/>
    </row>
    <row r="31010" spans="23:23" x14ac:dyDescent="0.55000000000000004">
      <c r="W31010"/>
    </row>
    <row r="31011" spans="23:23" x14ac:dyDescent="0.55000000000000004">
      <c r="W31011"/>
    </row>
    <row r="31012" spans="23:23" x14ac:dyDescent="0.55000000000000004">
      <c r="W31012"/>
    </row>
    <row r="31013" spans="23:23" x14ac:dyDescent="0.55000000000000004">
      <c r="W31013"/>
    </row>
    <row r="31014" spans="23:23" x14ac:dyDescent="0.55000000000000004">
      <c r="W31014"/>
    </row>
    <row r="31015" spans="23:23" x14ac:dyDescent="0.55000000000000004">
      <c r="W31015"/>
    </row>
    <row r="31016" spans="23:23" x14ac:dyDescent="0.55000000000000004">
      <c r="W31016"/>
    </row>
    <row r="31017" spans="23:23" x14ac:dyDescent="0.55000000000000004">
      <c r="W31017"/>
    </row>
    <row r="31018" spans="23:23" x14ac:dyDescent="0.55000000000000004">
      <c r="W31018"/>
    </row>
    <row r="31019" spans="23:23" x14ac:dyDescent="0.55000000000000004">
      <c r="W31019"/>
    </row>
    <row r="31020" spans="23:23" x14ac:dyDescent="0.55000000000000004">
      <c r="W31020"/>
    </row>
    <row r="31021" spans="23:23" x14ac:dyDescent="0.55000000000000004">
      <c r="W31021"/>
    </row>
    <row r="31022" spans="23:23" x14ac:dyDescent="0.55000000000000004">
      <c r="W31022"/>
    </row>
    <row r="31023" spans="23:23" x14ac:dyDescent="0.55000000000000004">
      <c r="W31023"/>
    </row>
    <row r="31024" spans="23:23" x14ac:dyDescent="0.55000000000000004">
      <c r="W31024"/>
    </row>
    <row r="31025" spans="23:23" x14ac:dyDescent="0.55000000000000004">
      <c r="W31025"/>
    </row>
    <row r="31026" spans="23:23" x14ac:dyDescent="0.55000000000000004">
      <c r="W31026"/>
    </row>
    <row r="31027" spans="23:23" x14ac:dyDescent="0.55000000000000004">
      <c r="W31027"/>
    </row>
    <row r="31028" spans="23:23" x14ac:dyDescent="0.55000000000000004">
      <c r="W31028"/>
    </row>
    <row r="31029" spans="23:23" x14ac:dyDescent="0.55000000000000004">
      <c r="W31029"/>
    </row>
    <row r="31030" spans="23:23" x14ac:dyDescent="0.55000000000000004">
      <c r="W31030"/>
    </row>
    <row r="31031" spans="23:23" x14ac:dyDescent="0.55000000000000004">
      <c r="W31031"/>
    </row>
    <row r="31032" spans="23:23" x14ac:dyDescent="0.55000000000000004">
      <c r="W31032"/>
    </row>
    <row r="31033" spans="23:23" x14ac:dyDescent="0.55000000000000004">
      <c r="W31033"/>
    </row>
    <row r="31034" spans="23:23" x14ac:dyDescent="0.55000000000000004">
      <c r="W31034"/>
    </row>
    <row r="31035" spans="23:23" x14ac:dyDescent="0.55000000000000004">
      <c r="W31035"/>
    </row>
    <row r="31036" spans="23:23" x14ac:dyDescent="0.55000000000000004">
      <c r="W31036"/>
    </row>
    <row r="31037" spans="23:23" x14ac:dyDescent="0.55000000000000004">
      <c r="W31037"/>
    </row>
    <row r="31038" spans="23:23" x14ac:dyDescent="0.55000000000000004">
      <c r="W31038"/>
    </row>
    <row r="31039" spans="23:23" x14ac:dyDescent="0.55000000000000004">
      <c r="W31039"/>
    </row>
    <row r="31040" spans="23:23" x14ac:dyDescent="0.55000000000000004">
      <c r="W31040"/>
    </row>
    <row r="31041" spans="23:23" x14ac:dyDescent="0.55000000000000004">
      <c r="W31041"/>
    </row>
    <row r="31042" spans="23:23" x14ac:dyDescent="0.55000000000000004">
      <c r="W31042"/>
    </row>
    <row r="31043" spans="23:23" x14ac:dyDescent="0.55000000000000004">
      <c r="W31043"/>
    </row>
    <row r="31044" spans="23:23" x14ac:dyDescent="0.55000000000000004">
      <c r="W31044"/>
    </row>
    <row r="31045" spans="23:23" x14ac:dyDescent="0.55000000000000004">
      <c r="W31045"/>
    </row>
    <row r="31046" spans="23:23" x14ac:dyDescent="0.55000000000000004">
      <c r="W31046"/>
    </row>
    <row r="31047" spans="23:23" x14ac:dyDescent="0.55000000000000004">
      <c r="W31047"/>
    </row>
    <row r="31048" spans="23:23" x14ac:dyDescent="0.55000000000000004">
      <c r="W31048"/>
    </row>
    <row r="31049" spans="23:23" x14ac:dyDescent="0.55000000000000004">
      <c r="W31049"/>
    </row>
    <row r="31050" spans="23:23" x14ac:dyDescent="0.55000000000000004">
      <c r="W31050"/>
    </row>
    <row r="31051" spans="23:23" x14ac:dyDescent="0.55000000000000004">
      <c r="W31051"/>
    </row>
    <row r="31052" spans="23:23" x14ac:dyDescent="0.55000000000000004">
      <c r="W31052"/>
    </row>
    <row r="31053" spans="23:23" x14ac:dyDescent="0.55000000000000004">
      <c r="W31053"/>
    </row>
    <row r="31054" spans="23:23" x14ac:dyDescent="0.55000000000000004">
      <c r="W31054"/>
    </row>
    <row r="31055" spans="23:23" x14ac:dyDescent="0.55000000000000004">
      <c r="W31055"/>
    </row>
    <row r="31056" spans="23:23" x14ac:dyDescent="0.55000000000000004">
      <c r="W31056"/>
    </row>
    <row r="31057" spans="23:23" x14ac:dyDescent="0.55000000000000004">
      <c r="W31057"/>
    </row>
    <row r="31058" spans="23:23" x14ac:dyDescent="0.55000000000000004">
      <c r="W31058"/>
    </row>
    <row r="31059" spans="23:23" x14ac:dyDescent="0.55000000000000004">
      <c r="W31059"/>
    </row>
    <row r="31060" spans="23:23" x14ac:dyDescent="0.55000000000000004">
      <c r="W31060"/>
    </row>
    <row r="31061" spans="23:23" x14ac:dyDescent="0.55000000000000004">
      <c r="W31061"/>
    </row>
    <row r="31062" spans="23:23" x14ac:dyDescent="0.55000000000000004">
      <c r="W31062"/>
    </row>
    <row r="31063" spans="23:23" x14ac:dyDescent="0.55000000000000004">
      <c r="W31063"/>
    </row>
    <row r="31064" spans="23:23" x14ac:dyDescent="0.55000000000000004">
      <c r="W31064"/>
    </row>
    <row r="31065" spans="23:23" x14ac:dyDescent="0.55000000000000004">
      <c r="W31065"/>
    </row>
    <row r="31066" spans="23:23" x14ac:dyDescent="0.55000000000000004">
      <c r="W31066"/>
    </row>
    <row r="31067" spans="23:23" x14ac:dyDescent="0.55000000000000004">
      <c r="W31067"/>
    </row>
    <row r="31068" spans="23:23" x14ac:dyDescent="0.55000000000000004">
      <c r="W31068"/>
    </row>
    <row r="31069" spans="23:23" x14ac:dyDescent="0.55000000000000004">
      <c r="W31069"/>
    </row>
    <row r="31070" spans="23:23" x14ac:dyDescent="0.55000000000000004">
      <c r="W31070"/>
    </row>
    <row r="31071" spans="23:23" x14ac:dyDescent="0.55000000000000004">
      <c r="W31071"/>
    </row>
    <row r="31072" spans="23:23" x14ac:dyDescent="0.55000000000000004">
      <c r="W31072"/>
    </row>
    <row r="31073" spans="23:23" x14ac:dyDescent="0.55000000000000004">
      <c r="W31073"/>
    </row>
    <row r="31074" spans="23:23" x14ac:dyDescent="0.55000000000000004">
      <c r="W31074"/>
    </row>
    <row r="31075" spans="23:23" x14ac:dyDescent="0.55000000000000004">
      <c r="W31075"/>
    </row>
    <row r="31076" spans="23:23" x14ac:dyDescent="0.55000000000000004">
      <c r="W31076"/>
    </row>
    <row r="31077" spans="23:23" x14ac:dyDescent="0.55000000000000004">
      <c r="W31077"/>
    </row>
    <row r="31078" spans="23:23" x14ac:dyDescent="0.55000000000000004">
      <c r="W31078"/>
    </row>
    <row r="31079" spans="23:23" x14ac:dyDescent="0.55000000000000004">
      <c r="W31079"/>
    </row>
    <row r="31080" spans="23:23" x14ac:dyDescent="0.55000000000000004">
      <c r="W31080"/>
    </row>
    <row r="31081" spans="23:23" x14ac:dyDescent="0.55000000000000004">
      <c r="W31081"/>
    </row>
    <row r="31082" spans="23:23" x14ac:dyDescent="0.55000000000000004">
      <c r="W31082"/>
    </row>
    <row r="31083" spans="23:23" x14ac:dyDescent="0.55000000000000004">
      <c r="W31083"/>
    </row>
    <row r="31084" spans="23:23" x14ac:dyDescent="0.55000000000000004">
      <c r="W31084"/>
    </row>
    <row r="31085" spans="23:23" x14ac:dyDescent="0.55000000000000004">
      <c r="W31085"/>
    </row>
    <row r="31086" spans="23:23" x14ac:dyDescent="0.55000000000000004">
      <c r="W31086"/>
    </row>
    <row r="31087" spans="23:23" x14ac:dyDescent="0.55000000000000004">
      <c r="W31087"/>
    </row>
    <row r="31088" spans="23:23" x14ac:dyDescent="0.55000000000000004">
      <c r="W31088"/>
    </row>
    <row r="31089" spans="23:23" x14ac:dyDescent="0.55000000000000004">
      <c r="W31089"/>
    </row>
    <row r="31090" spans="23:23" x14ac:dyDescent="0.55000000000000004">
      <c r="W31090"/>
    </row>
    <row r="31091" spans="23:23" x14ac:dyDescent="0.55000000000000004">
      <c r="W31091"/>
    </row>
    <row r="31092" spans="23:23" x14ac:dyDescent="0.55000000000000004">
      <c r="W31092"/>
    </row>
    <row r="31093" spans="23:23" x14ac:dyDescent="0.55000000000000004">
      <c r="W31093"/>
    </row>
    <row r="31094" spans="23:23" x14ac:dyDescent="0.55000000000000004">
      <c r="W31094"/>
    </row>
    <row r="31095" spans="23:23" x14ac:dyDescent="0.55000000000000004">
      <c r="W31095"/>
    </row>
    <row r="31096" spans="23:23" x14ac:dyDescent="0.55000000000000004">
      <c r="W31096"/>
    </row>
    <row r="31097" spans="23:23" x14ac:dyDescent="0.55000000000000004">
      <c r="W31097"/>
    </row>
    <row r="31098" spans="23:23" x14ac:dyDescent="0.55000000000000004">
      <c r="W31098"/>
    </row>
    <row r="31099" spans="23:23" x14ac:dyDescent="0.55000000000000004">
      <c r="W31099"/>
    </row>
    <row r="31100" spans="23:23" x14ac:dyDescent="0.55000000000000004">
      <c r="W31100"/>
    </row>
    <row r="31101" spans="23:23" x14ac:dyDescent="0.55000000000000004">
      <c r="W31101"/>
    </row>
    <row r="31102" spans="23:23" x14ac:dyDescent="0.55000000000000004">
      <c r="W31102"/>
    </row>
    <row r="31103" spans="23:23" x14ac:dyDescent="0.55000000000000004">
      <c r="W31103"/>
    </row>
    <row r="31104" spans="23:23" x14ac:dyDescent="0.55000000000000004">
      <c r="W31104"/>
    </row>
    <row r="31105" spans="23:23" x14ac:dyDescent="0.55000000000000004">
      <c r="W31105"/>
    </row>
    <row r="31106" spans="23:23" x14ac:dyDescent="0.55000000000000004">
      <c r="W31106"/>
    </row>
    <row r="31107" spans="23:23" x14ac:dyDescent="0.55000000000000004">
      <c r="W31107"/>
    </row>
    <row r="31108" spans="23:23" x14ac:dyDescent="0.55000000000000004">
      <c r="W31108"/>
    </row>
    <row r="31109" spans="23:23" x14ac:dyDescent="0.55000000000000004">
      <c r="W31109"/>
    </row>
    <row r="31110" spans="23:23" x14ac:dyDescent="0.55000000000000004">
      <c r="W31110"/>
    </row>
    <row r="31111" spans="23:23" x14ac:dyDescent="0.55000000000000004">
      <c r="W31111"/>
    </row>
    <row r="31112" spans="23:23" x14ac:dyDescent="0.55000000000000004">
      <c r="W31112"/>
    </row>
    <row r="31113" spans="23:23" x14ac:dyDescent="0.55000000000000004">
      <c r="W31113"/>
    </row>
    <row r="31114" spans="23:23" x14ac:dyDescent="0.55000000000000004">
      <c r="W31114"/>
    </row>
    <row r="31115" spans="23:23" x14ac:dyDescent="0.55000000000000004">
      <c r="W31115"/>
    </row>
    <row r="31116" spans="23:23" x14ac:dyDescent="0.55000000000000004">
      <c r="W31116"/>
    </row>
    <row r="31117" spans="23:23" x14ac:dyDescent="0.55000000000000004">
      <c r="W31117"/>
    </row>
    <row r="31118" spans="23:23" x14ac:dyDescent="0.55000000000000004">
      <c r="W31118"/>
    </row>
    <row r="31119" spans="23:23" x14ac:dyDescent="0.55000000000000004">
      <c r="W31119"/>
    </row>
    <row r="31120" spans="23:23" x14ac:dyDescent="0.55000000000000004">
      <c r="W31120"/>
    </row>
    <row r="31121" spans="23:23" x14ac:dyDescent="0.55000000000000004">
      <c r="W31121"/>
    </row>
    <row r="31122" spans="23:23" x14ac:dyDescent="0.55000000000000004">
      <c r="W31122"/>
    </row>
    <row r="31123" spans="23:23" x14ac:dyDescent="0.55000000000000004">
      <c r="W31123"/>
    </row>
    <row r="31124" spans="23:23" x14ac:dyDescent="0.55000000000000004">
      <c r="W31124"/>
    </row>
    <row r="31125" spans="23:23" x14ac:dyDescent="0.55000000000000004">
      <c r="W31125"/>
    </row>
    <row r="31126" spans="23:23" x14ac:dyDescent="0.55000000000000004">
      <c r="W31126"/>
    </row>
    <row r="31127" spans="23:23" x14ac:dyDescent="0.55000000000000004">
      <c r="W31127"/>
    </row>
    <row r="31128" spans="23:23" x14ac:dyDescent="0.55000000000000004">
      <c r="W31128"/>
    </row>
    <row r="31129" spans="23:23" x14ac:dyDescent="0.55000000000000004">
      <c r="W31129"/>
    </row>
    <row r="31130" spans="23:23" x14ac:dyDescent="0.55000000000000004">
      <c r="W31130"/>
    </row>
    <row r="31131" spans="23:23" x14ac:dyDescent="0.55000000000000004">
      <c r="W31131"/>
    </row>
    <row r="31132" spans="23:23" x14ac:dyDescent="0.55000000000000004">
      <c r="W31132"/>
    </row>
    <row r="31133" spans="23:23" x14ac:dyDescent="0.55000000000000004">
      <c r="W31133"/>
    </row>
    <row r="31134" spans="23:23" x14ac:dyDescent="0.55000000000000004">
      <c r="W31134"/>
    </row>
    <row r="31135" spans="23:23" x14ac:dyDescent="0.55000000000000004">
      <c r="W31135"/>
    </row>
    <row r="31136" spans="23:23" x14ac:dyDescent="0.55000000000000004">
      <c r="W31136"/>
    </row>
    <row r="31137" spans="23:23" x14ac:dyDescent="0.55000000000000004">
      <c r="W31137"/>
    </row>
    <row r="31138" spans="23:23" x14ac:dyDescent="0.55000000000000004">
      <c r="W31138"/>
    </row>
    <row r="31139" spans="23:23" x14ac:dyDescent="0.55000000000000004">
      <c r="W31139"/>
    </row>
    <row r="31140" spans="23:23" x14ac:dyDescent="0.55000000000000004">
      <c r="W31140"/>
    </row>
    <row r="31141" spans="23:23" x14ac:dyDescent="0.55000000000000004">
      <c r="W31141"/>
    </row>
    <row r="31142" spans="23:23" x14ac:dyDescent="0.55000000000000004">
      <c r="W31142"/>
    </row>
    <row r="31143" spans="23:23" x14ac:dyDescent="0.55000000000000004">
      <c r="W31143"/>
    </row>
    <row r="31144" spans="23:23" x14ac:dyDescent="0.55000000000000004">
      <c r="W31144"/>
    </row>
    <row r="31145" spans="23:23" x14ac:dyDescent="0.55000000000000004">
      <c r="W31145"/>
    </row>
    <row r="31146" spans="23:23" x14ac:dyDescent="0.55000000000000004">
      <c r="W31146"/>
    </row>
    <row r="31147" spans="23:23" x14ac:dyDescent="0.55000000000000004">
      <c r="W31147"/>
    </row>
    <row r="31148" spans="23:23" x14ac:dyDescent="0.55000000000000004">
      <c r="W31148"/>
    </row>
    <row r="31149" spans="23:23" x14ac:dyDescent="0.55000000000000004">
      <c r="W31149"/>
    </row>
    <row r="31150" spans="23:23" x14ac:dyDescent="0.55000000000000004">
      <c r="W31150"/>
    </row>
    <row r="31151" spans="23:23" x14ac:dyDescent="0.55000000000000004">
      <c r="W31151"/>
    </row>
    <row r="31152" spans="23:23" x14ac:dyDescent="0.55000000000000004">
      <c r="W31152"/>
    </row>
    <row r="31153" spans="23:23" x14ac:dyDescent="0.55000000000000004">
      <c r="W31153"/>
    </row>
    <row r="31154" spans="23:23" x14ac:dyDescent="0.55000000000000004">
      <c r="W31154"/>
    </row>
    <row r="31155" spans="23:23" x14ac:dyDescent="0.55000000000000004">
      <c r="W31155"/>
    </row>
    <row r="31156" spans="23:23" x14ac:dyDescent="0.55000000000000004">
      <c r="W31156"/>
    </row>
    <row r="31157" spans="23:23" x14ac:dyDescent="0.55000000000000004">
      <c r="W31157"/>
    </row>
    <row r="31158" spans="23:23" x14ac:dyDescent="0.55000000000000004">
      <c r="W31158"/>
    </row>
    <row r="31159" spans="23:23" x14ac:dyDescent="0.55000000000000004">
      <c r="W31159"/>
    </row>
    <row r="31160" spans="23:23" x14ac:dyDescent="0.55000000000000004">
      <c r="W31160"/>
    </row>
    <row r="31161" spans="23:23" x14ac:dyDescent="0.55000000000000004">
      <c r="W31161"/>
    </row>
    <row r="31162" spans="23:23" x14ac:dyDescent="0.55000000000000004">
      <c r="W31162"/>
    </row>
    <row r="31163" spans="23:23" x14ac:dyDescent="0.55000000000000004">
      <c r="W31163"/>
    </row>
    <row r="31164" spans="23:23" x14ac:dyDescent="0.55000000000000004">
      <c r="W31164"/>
    </row>
    <row r="31165" spans="23:23" x14ac:dyDescent="0.55000000000000004">
      <c r="W31165"/>
    </row>
    <row r="31166" spans="23:23" x14ac:dyDescent="0.55000000000000004">
      <c r="W31166"/>
    </row>
    <row r="31167" spans="23:23" x14ac:dyDescent="0.55000000000000004">
      <c r="W31167"/>
    </row>
    <row r="31168" spans="23:23" x14ac:dyDescent="0.55000000000000004">
      <c r="W31168"/>
    </row>
    <row r="31169" spans="23:23" x14ac:dyDescent="0.55000000000000004">
      <c r="W31169"/>
    </row>
    <row r="31170" spans="23:23" x14ac:dyDescent="0.55000000000000004">
      <c r="W31170"/>
    </row>
    <row r="31171" spans="23:23" x14ac:dyDescent="0.55000000000000004">
      <c r="W31171"/>
    </row>
    <row r="31172" spans="23:23" x14ac:dyDescent="0.55000000000000004">
      <c r="W31172"/>
    </row>
    <row r="31173" spans="23:23" x14ac:dyDescent="0.55000000000000004">
      <c r="W31173"/>
    </row>
    <row r="31174" spans="23:23" x14ac:dyDescent="0.55000000000000004">
      <c r="W31174"/>
    </row>
    <row r="31175" spans="23:23" x14ac:dyDescent="0.55000000000000004">
      <c r="W31175"/>
    </row>
    <row r="31176" spans="23:23" x14ac:dyDescent="0.55000000000000004">
      <c r="W31176"/>
    </row>
    <row r="31177" spans="23:23" x14ac:dyDescent="0.55000000000000004">
      <c r="W31177"/>
    </row>
    <row r="31178" spans="23:23" x14ac:dyDescent="0.55000000000000004">
      <c r="W31178"/>
    </row>
    <row r="31179" spans="23:23" x14ac:dyDescent="0.55000000000000004">
      <c r="W31179"/>
    </row>
    <row r="31180" spans="23:23" x14ac:dyDescent="0.55000000000000004">
      <c r="W31180"/>
    </row>
    <row r="31181" spans="23:23" x14ac:dyDescent="0.55000000000000004">
      <c r="W31181"/>
    </row>
    <row r="31182" spans="23:23" x14ac:dyDescent="0.55000000000000004">
      <c r="W31182"/>
    </row>
    <row r="31183" spans="23:23" x14ac:dyDescent="0.55000000000000004">
      <c r="W31183"/>
    </row>
    <row r="31184" spans="23:23" x14ac:dyDescent="0.55000000000000004">
      <c r="W31184"/>
    </row>
    <row r="31185" spans="23:23" x14ac:dyDescent="0.55000000000000004">
      <c r="W31185"/>
    </row>
    <row r="31186" spans="23:23" x14ac:dyDescent="0.55000000000000004">
      <c r="W31186"/>
    </row>
    <row r="31187" spans="23:23" x14ac:dyDescent="0.55000000000000004">
      <c r="W31187"/>
    </row>
    <row r="31188" spans="23:23" x14ac:dyDescent="0.55000000000000004">
      <c r="W31188"/>
    </row>
    <row r="31189" spans="23:23" x14ac:dyDescent="0.55000000000000004">
      <c r="W31189"/>
    </row>
    <row r="31190" spans="23:23" x14ac:dyDescent="0.55000000000000004">
      <c r="W31190"/>
    </row>
    <row r="31191" spans="23:23" x14ac:dyDescent="0.55000000000000004">
      <c r="W31191"/>
    </row>
    <row r="31192" spans="23:23" x14ac:dyDescent="0.55000000000000004">
      <c r="W31192"/>
    </row>
    <row r="31193" spans="23:23" x14ac:dyDescent="0.55000000000000004">
      <c r="W31193"/>
    </row>
    <row r="31194" spans="23:23" x14ac:dyDescent="0.55000000000000004">
      <c r="W31194"/>
    </row>
    <row r="31195" spans="23:23" x14ac:dyDescent="0.55000000000000004">
      <c r="W31195"/>
    </row>
    <row r="31196" spans="23:23" x14ac:dyDescent="0.55000000000000004">
      <c r="W31196"/>
    </row>
    <row r="31197" spans="23:23" x14ac:dyDescent="0.55000000000000004">
      <c r="W31197"/>
    </row>
    <row r="31198" spans="23:23" x14ac:dyDescent="0.55000000000000004">
      <c r="W31198"/>
    </row>
    <row r="31199" spans="23:23" x14ac:dyDescent="0.55000000000000004">
      <c r="W31199"/>
    </row>
    <row r="31200" spans="23:23" x14ac:dyDescent="0.55000000000000004">
      <c r="W31200"/>
    </row>
    <row r="31201" spans="23:23" x14ac:dyDescent="0.55000000000000004">
      <c r="W31201"/>
    </row>
    <row r="31202" spans="23:23" x14ac:dyDescent="0.55000000000000004">
      <c r="W31202"/>
    </row>
    <row r="31203" spans="23:23" x14ac:dyDescent="0.55000000000000004">
      <c r="W31203"/>
    </row>
    <row r="31204" spans="23:23" x14ac:dyDescent="0.55000000000000004">
      <c r="W31204"/>
    </row>
    <row r="31205" spans="23:23" x14ac:dyDescent="0.55000000000000004">
      <c r="W31205"/>
    </row>
    <row r="31206" spans="23:23" x14ac:dyDescent="0.55000000000000004">
      <c r="W31206"/>
    </row>
    <row r="31207" spans="23:23" x14ac:dyDescent="0.55000000000000004">
      <c r="W31207"/>
    </row>
    <row r="31208" spans="23:23" x14ac:dyDescent="0.55000000000000004">
      <c r="W31208"/>
    </row>
    <row r="31209" spans="23:23" x14ac:dyDescent="0.55000000000000004">
      <c r="W31209"/>
    </row>
    <row r="31210" spans="23:23" x14ac:dyDescent="0.55000000000000004">
      <c r="W31210"/>
    </row>
    <row r="31211" spans="23:23" x14ac:dyDescent="0.55000000000000004">
      <c r="W31211"/>
    </row>
    <row r="31212" spans="23:23" x14ac:dyDescent="0.55000000000000004">
      <c r="W31212"/>
    </row>
    <row r="31213" spans="23:23" x14ac:dyDescent="0.55000000000000004">
      <c r="W31213"/>
    </row>
    <row r="31214" spans="23:23" x14ac:dyDescent="0.55000000000000004">
      <c r="W31214"/>
    </row>
    <row r="31215" spans="23:23" x14ac:dyDescent="0.55000000000000004">
      <c r="W31215"/>
    </row>
    <row r="31216" spans="23:23" x14ac:dyDescent="0.55000000000000004">
      <c r="W31216"/>
    </row>
    <row r="31217" spans="23:23" x14ac:dyDescent="0.55000000000000004">
      <c r="W31217"/>
    </row>
    <row r="31218" spans="23:23" x14ac:dyDescent="0.55000000000000004">
      <c r="W31218"/>
    </row>
    <row r="31219" spans="23:23" x14ac:dyDescent="0.55000000000000004">
      <c r="W31219"/>
    </row>
    <row r="31220" spans="23:23" x14ac:dyDescent="0.55000000000000004">
      <c r="W31220"/>
    </row>
    <row r="31221" spans="23:23" x14ac:dyDescent="0.55000000000000004">
      <c r="W31221"/>
    </row>
    <row r="31222" spans="23:23" x14ac:dyDescent="0.55000000000000004">
      <c r="W31222"/>
    </row>
    <row r="31223" spans="23:23" x14ac:dyDescent="0.55000000000000004">
      <c r="W31223"/>
    </row>
    <row r="31224" spans="23:23" x14ac:dyDescent="0.55000000000000004">
      <c r="W31224"/>
    </row>
    <row r="31225" spans="23:23" x14ac:dyDescent="0.55000000000000004">
      <c r="W31225"/>
    </row>
    <row r="31226" spans="23:23" x14ac:dyDescent="0.55000000000000004">
      <c r="W31226"/>
    </row>
    <row r="31227" spans="23:23" x14ac:dyDescent="0.55000000000000004">
      <c r="W31227"/>
    </row>
    <row r="31228" spans="23:23" x14ac:dyDescent="0.55000000000000004">
      <c r="W31228"/>
    </row>
    <row r="31229" spans="23:23" x14ac:dyDescent="0.55000000000000004">
      <c r="W31229"/>
    </row>
    <row r="31230" spans="23:23" x14ac:dyDescent="0.55000000000000004">
      <c r="W31230"/>
    </row>
    <row r="31231" spans="23:23" x14ac:dyDescent="0.55000000000000004">
      <c r="W31231"/>
    </row>
    <row r="31232" spans="23:23" x14ac:dyDescent="0.55000000000000004">
      <c r="W31232"/>
    </row>
    <row r="31233" spans="23:23" x14ac:dyDescent="0.55000000000000004">
      <c r="W31233"/>
    </row>
    <row r="31234" spans="23:23" x14ac:dyDescent="0.55000000000000004">
      <c r="W31234"/>
    </row>
    <row r="31235" spans="23:23" x14ac:dyDescent="0.55000000000000004">
      <c r="W31235"/>
    </row>
    <row r="31236" spans="23:23" x14ac:dyDescent="0.55000000000000004">
      <c r="W31236"/>
    </row>
    <row r="31237" spans="23:23" x14ac:dyDescent="0.55000000000000004">
      <c r="W31237"/>
    </row>
    <row r="31238" spans="23:23" x14ac:dyDescent="0.55000000000000004">
      <c r="W31238"/>
    </row>
    <row r="31239" spans="23:23" x14ac:dyDescent="0.55000000000000004">
      <c r="W31239"/>
    </row>
    <row r="31240" spans="23:23" x14ac:dyDescent="0.55000000000000004">
      <c r="W31240"/>
    </row>
    <row r="31241" spans="23:23" x14ac:dyDescent="0.55000000000000004">
      <c r="W31241"/>
    </row>
    <row r="31242" spans="23:23" x14ac:dyDescent="0.55000000000000004">
      <c r="W31242"/>
    </row>
    <row r="31243" spans="23:23" x14ac:dyDescent="0.55000000000000004">
      <c r="W31243"/>
    </row>
    <row r="31244" spans="23:23" x14ac:dyDescent="0.55000000000000004">
      <c r="W31244"/>
    </row>
    <row r="31245" spans="23:23" x14ac:dyDescent="0.55000000000000004">
      <c r="W31245"/>
    </row>
    <row r="31246" spans="23:23" x14ac:dyDescent="0.55000000000000004">
      <c r="W31246"/>
    </row>
    <row r="31247" spans="23:23" x14ac:dyDescent="0.55000000000000004">
      <c r="W31247"/>
    </row>
    <row r="31248" spans="23:23" x14ac:dyDescent="0.55000000000000004">
      <c r="W31248"/>
    </row>
    <row r="31249" spans="23:23" x14ac:dyDescent="0.55000000000000004">
      <c r="W31249"/>
    </row>
    <row r="31250" spans="23:23" x14ac:dyDescent="0.55000000000000004">
      <c r="W31250"/>
    </row>
    <row r="31251" spans="23:23" x14ac:dyDescent="0.55000000000000004">
      <c r="W31251"/>
    </row>
    <row r="31252" spans="23:23" x14ac:dyDescent="0.55000000000000004">
      <c r="W31252"/>
    </row>
    <row r="31253" spans="23:23" x14ac:dyDescent="0.55000000000000004">
      <c r="W31253"/>
    </row>
    <row r="31254" spans="23:23" x14ac:dyDescent="0.55000000000000004">
      <c r="W31254"/>
    </row>
    <row r="31255" spans="23:23" x14ac:dyDescent="0.55000000000000004">
      <c r="W31255"/>
    </row>
    <row r="31256" spans="23:23" x14ac:dyDescent="0.55000000000000004">
      <c r="W31256"/>
    </row>
    <row r="31257" spans="23:23" x14ac:dyDescent="0.55000000000000004">
      <c r="W31257"/>
    </row>
    <row r="31258" spans="23:23" x14ac:dyDescent="0.55000000000000004">
      <c r="W31258"/>
    </row>
    <row r="31259" spans="23:23" x14ac:dyDescent="0.55000000000000004">
      <c r="W31259"/>
    </row>
    <row r="31260" spans="23:23" x14ac:dyDescent="0.55000000000000004">
      <c r="W31260"/>
    </row>
    <row r="31261" spans="23:23" x14ac:dyDescent="0.55000000000000004">
      <c r="W31261"/>
    </row>
    <row r="31262" spans="23:23" x14ac:dyDescent="0.55000000000000004">
      <c r="W31262"/>
    </row>
    <row r="31263" spans="23:23" x14ac:dyDescent="0.55000000000000004">
      <c r="W31263"/>
    </row>
    <row r="31264" spans="23:23" x14ac:dyDescent="0.55000000000000004">
      <c r="W31264"/>
    </row>
    <row r="31265" spans="23:23" x14ac:dyDescent="0.55000000000000004">
      <c r="W31265"/>
    </row>
    <row r="31266" spans="23:23" x14ac:dyDescent="0.55000000000000004">
      <c r="W31266"/>
    </row>
    <row r="31267" spans="23:23" x14ac:dyDescent="0.55000000000000004">
      <c r="W31267"/>
    </row>
    <row r="31268" spans="23:23" x14ac:dyDescent="0.55000000000000004">
      <c r="W31268"/>
    </row>
    <row r="31269" spans="23:23" x14ac:dyDescent="0.55000000000000004">
      <c r="W31269"/>
    </row>
    <row r="31270" spans="23:23" x14ac:dyDescent="0.55000000000000004">
      <c r="W31270"/>
    </row>
    <row r="31271" spans="23:23" x14ac:dyDescent="0.55000000000000004">
      <c r="W31271"/>
    </row>
    <row r="31272" spans="23:23" x14ac:dyDescent="0.55000000000000004">
      <c r="W31272"/>
    </row>
    <row r="31273" spans="23:23" x14ac:dyDescent="0.55000000000000004">
      <c r="W31273"/>
    </row>
    <row r="31274" spans="23:23" x14ac:dyDescent="0.55000000000000004">
      <c r="W31274"/>
    </row>
    <row r="31275" spans="23:23" x14ac:dyDescent="0.55000000000000004">
      <c r="W31275"/>
    </row>
    <row r="31276" spans="23:23" x14ac:dyDescent="0.55000000000000004">
      <c r="W31276"/>
    </row>
    <row r="31277" spans="23:23" x14ac:dyDescent="0.55000000000000004">
      <c r="W31277"/>
    </row>
    <row r="31278" spans="23:23" x14ac:dyDescent="0.55000000000000004">
      <c r="W31278"/>
    </row>
    <row r="31279" spans="23:23" x14ac:dyDescent="0.55000000000000004">
      <c r="W31279"/>
    </row>
    <row r="31280" spans="23:23" x14ac:dyDescent="0.55000000000000004">
      <c r="W31280"/>
    </row>
    <row r="31281" spans="23:23" x14ac:dyDescent="0.55000000000000004">
      <c r="W31281"/>
    </row>
    <row r="31282" spans="23:23" x14ac:dyDescent="0.55000000000000004">
      <c r="W31282"/>
    </row>
    <row r="31283" spans="23:23" x14ac:dyDescent="0.55000000000000004">
      <c r="W31283"/>
    </row>
    <row r="31284" spans="23:23" x14ac:dyDescent="0.55000000000000004">
      <c r="W31284"/>
    </row>
    <row r="31285" spans="23:23" x14ac:dyDescent="0.55000000000000004">
      <c r="W31285"/>
    </row>
    <row r="31286" spans="23:23" x14ac:dyDescent="0.55000000000000004">
      <c r="W31286"/>
    </row>
    <row r="31287" spans="23:23" x14ac:dyDescent="0.55000000000000004">
      <c r="W31287"/>
    </row>
    <row r="31288" spans="23:23" x14ac:dyDescent="0.55000000000000004">
      <c r="W31288"/>
    </row>
    <row r="31289" spans="23:23" x14ac:dyDescent="0.55000000000000004">
      <c r="W31289"/>
    </row>
    <row r="31290" spans="23:23" x14ac:dyDescent="0.55000000000000004">
      <c r="W31290"/>
    </row>
    <row r="31291" spans="23:23" x14ac:dyDescent="0.55000000000000004">
      <c r="W31291"/>
    </row>
    <row r="31292" spans="23:23" x14ac:dyDescent="0.55000000000000004">
      <c r="W31292"/>
    </row>
    <row r="31293" spans="23:23" x14ac:dyDescent="0.55000000000000004">
      <c r="W31293"/>
    </row>
    <row r="31294" spans="23:23" x14ac:dyDescent="0.55000000000000004">
      <c r="W31294"/>
    </row>
    <row r="31295" spans="23:23" x14ac:dyDescent="0.55000000000000004">
      <c r="W31295"/>
    </row>
    <row r="31296" spans="23:23" x14ac:dyDescent="0.55000000000000004">
      <c r="W31296"/>
    </row>
    <row r="31297" spans="23:23" x14ac:dyDescent="0.55000000000000004">
      <c r="W31297"/>
    </row>
    <row r="31298" spans="23:23" x14ac:dyDescent="0.55000000000000004">
      <c r="W31298"/>
    </row>
    <row r="31299" spans="23:23" x14ac:dyDescent="0.55000000000000004">
      <c r="W31299"/>
    </row>
    <row r="31300" spans="23:23" x14ac:dyDescent="0.55000000000000004">
      <c r="W31300"/>
    </row>
    <row r="31301" spans="23:23" x14ac:dyDescent="0.55000000000000004">
      <c r="W31301"/>
    </row>
    <row r="31302" spans="23:23" x14ac:dyDescent="0.55000000000000004">
      <c r="W31302"/>
    </row>
    <row r="31303" spans="23:23" x14ac:dyDescent="0.55000000000000004">
      <c r="W31303"/>
    </row>
    <row r="31304" spans="23:23" x14ac:dyDescent="0.55000000000000004">
      <c r="W31304"/>
    </row>
    <row r="31305" spans="23:23" x14ac:dyDescent="0.55000000000000004">
      <c r="W31305"/>
    </row>
    <row r="31306" spans="23:23" x14ac:dyDescent="0.55000000000000004">
      <c r="W31306"/>
    </row>
    <row r="31307" spans="23:23" x14ac:dyDescent="0.55000000000000004">
      <c r="W31307"/>
    </row>
    <row r="31308" spans="23:23" x14ac:dyDescent="0.55000000000000004">
      <c r="W31308"/>
    </row>
    <row r="31309" spans="23:23" x14ac:dyDescent="0.55000000000000004">
      <c r="W31309"/>
    </row>
    <row r="31310" spans="23:23" x14ac:dyDescent="0.55000000000000004">
      <c r="W31310"/>
    </row>
    <row r="31311" spans="23:23" x14ac:dyDescent="0.55000000000000004">
      <c r="W31311"/>
    </row>
    <row r="31312" spans="23:23" x14ac:dyDescent="0.55000000000000004">
      <c r="W31312"/>
    </row>
    <row r="31313" spans="23:23" x14ac:dyDescent="0.55000000000000004">
      <c r="W31313"/>
    </row>
    <row r="31314" spans="23:23" x14ac:dyDescent="0.55000000000000004">
      <c r="W31314"/>
    </row>
    <row r="31315" spans="23:23" x14ac:dyDescent="0.55000000000000004">
      <c r="W31315"/>
    </row>
    <row r="31316" spans="23:23" x14ac:dyDescent="0.55000000000000004">
      <c r="W31316"/>
    </row>
    <row r="31317" spans="23:23" x14ac:dyDescent="0.55000000000000004">
      <c r="W31317"/>
    </row>
    <row r="31318" spans="23:23" x14ac:dyDescent="0.55000000000000004">
      <c r="W31318"/>
    </row>
    <row r="31319" spans="23:23" x14ac:dyDescent="0.55000000000000004">
      <c r="W31319"/>
    </row>
    <row r="31320" spans="23:23" x14ac:dyDescent="0.55000000000000004">
      <c r="W31320"/>
    </row>
    <row r="31321" spans="23:23" x14ac:dyDescent="0.55000000000000004">
      <c r="W31321"/>
    </row>
    <row r="31322" spans="23:23" x14ac:dyDescent="0.55000000000000004">
      <c r="W31322"/>
    </row>
    <row r="31323" spans="23:23" x14ac:dyDescent="0.55000000000000004">
      <c r="W31323"/>
    </row>
    <row r="31324" spans="23:23" x14ac:dyDescent="0.55000000000000004">
      <c r="W31324"/>
    </row>
    <row r="31325" spans="23:23" x14ac:dyDescent="0.55000000000000004">
      <c r="W31325"/>
    </row>
    <row r="31326" spans="23:23" x14ac:dyDescent="0.55000000000000004">
      <c r="W31326"/>
    </row>
    <row r="31327" spans="23:23" x14ac:dyDescent="0.55000000000000004">
      <c r="W31327"/>
    </row>
    <row r="31328" spans="23:23" x14ac:dyDescent="0.55000000000000004">
      <c r="W31328"/>
    </row>
    <row r="31329" spans="23:23" x14ac:dyDescent="0.55000000000000004">
      <c r="W31329"/>
    </row>
    <row r="31330" spans="23:23" x14ac:dyDescent="0.55000000000000004">
      <c r="W31330"/>
    </row>
    <row r="31331" spans="23:23" x14ac:dyDescent="0.55000000000000004">
      <c r="W31331"/>
    </row>
    <row r="31332" spans="23:23" x14ac:dyDescent="0.55000000000000004">
      <c r="W31332"/>
    </row>
    <row r="31333" spans="23:23" x14ac:dyDescent="0.55000000000000004">
      <c r="W31333"/>
    </row>
    <row r="31334" spans="23:23" x14ac:dyDescent="0.55000000000000004">
      <c r="W31334"/>
    </row>
    <row r="31335" spans="23:23" x14ac:dyDescent="0.55000000000000004">
      <c r="W31335"/>
    </row>
    <row r="31336" spans="23:23" x14ac:dyDescent="0.55000000000000004">
      <c r="W31336"/>
    </row>
    <row r="31337" spans="23:23" x14ac:dyDescent="0.55000000000000004">
      <c r="W31337"/>
    </row>
    <row r="31338" spans="23:23" x14ac:dyDescent="0.55000000000000004">
      <c r="W31338"/>
    </row>
    <row r="31339" spans="23:23" x14ac:dyDescent="0.55000000000000004">
      <c r="W31339"/>
    </row>
    <row r="31340" spans="23:23" x14ac:dyDescent="0.55000000000000004">
      <c r="W31340"/>
    </row>
    <row r="31341" spans="23:23" x14ac:dyDescent="0.55000000000000004">
      <c r="W31341"/>
    </row>
    <row r="31342" spans="23:23" x14ac:dyDescent="0.55000000000000004">
      <c r="W31342"/>
    </row>
    <row r="31343" spans="23:23" x14ac:dyDescent="0.55000000000000004">
      <c r="W31343"/>
    </row>
    <row r="31344" spans="23:23" x14ac:dyDescent="0.55000000000000004">
      <c r="W31344"/>
    </row>
    <row r="31345" spans="23:23" x14ac:dyDescent="0.55000000000000004">
      <c r="W31345"/>
    </row>
    <row r="31346" spans="23:23" x14ac:dyDescent="0.55000000000000004">
      <c r="W31346"/>
    </row>
    <row r="31347" spans="23:23" x14ac:dyDescent="0.55000000000000004">
      <c r="W31347"/>
    </row>
    <row r="31348" spans="23:23" x14ac:dyDescent="0.55000000000000004">
      <c r="W31348"/>
    </row>
    <row r="31349" spans="23:23" x14ac:dyDescent="0.55000000000000004">
      <c r="W31349"/>
    </row>
    <row r="31350" spans="23:23" x14ac:dyDescent="0.55000000000000004">
      <c r="W31350"/>
    </row>
    <row r="31351" spans="23:23" x14ac:dyDescent="0.55000000000000004">
      <c r="W31351"/>
    </row>
    <row r="31352" spans="23:23" x14ac:dyDescent="0.55000000000000004">
      <c r="W31352"/>
    </row>
    <row r="31353" spans="23:23" x14ac:dyDescent="0.55000000000000004">
      <c r="W31353"/>
    </row>
    <row r="31354" spans="23:23" x14ac:dyDescent="0.55000000000000004">
      <c r="W31354"/>
    </row>
    <row r="31355" spans="23:23" x14ac:dyDescent="0.55000000000000004">
      <c r="W31355"/>
    </row>
    <row r="31356" spans="23:23" x14ac:dyDescent="0.55000000000000004">
      <c r="W31356"/>
    </row>
    <row r="31357" spans="23:23" x14ac:dyDescent="0.55000000000000004">
      <c r="W31357"/>
    </row>
    <row r="31358" spans="23:23" x14ac:dyDescent="0.55000000000000004">
      <c r="W31358"/>
    </row>
    <row r="31359" spans="23:23" x14ac:dyDescent="0.55000000000000004">
      <c r="W31359"/>
    </row>
    <row r="31360" spans="23:23" x14ac:dyDescent="0.55000000000000004">
      <c r="W31360"/>
    </row>
    <row r="31361" spans="23:23" x14ac:dyDescent="0.55000000000000004">
      <c r="W31361"/>
    </row>
    <row r="31362" spans="23:23" x14ac:dyDescent="0.55000000000000004">
      <c r="W31362"/>
    </row>
    <row r="31363" spans="23:23" x14ac:dyDescent="0.55000000000000004">
      <c r="W31363"/>
    </row>
    <row r="31364" spans="23:23" x14ac:dyDescent="0.55000000000000004">
      <c r="W31364"/>
    </row>
    <row r="31365" spans="23:23" x14ac:dyDescent="0.55000000000000004">
      <c r="W31365"/>
    </row>
    <row r="31366" spans="23:23" x14ac:dyDescent="0.55000000000000004">
      <c r="W31366"/>
    </row>
    <row r="31367" spans="23:23" x14ac:dyDescent="0.55000000000000004">
      <c r="W31367"/>
    </row>
    <row r="31368" spans="23:23" x14ac:dyDescent="0.55000000000000004">
      <c r="W31368"/>
    </row>
    <row r="31369" spans="23:23" x14ac:dyDescent="0.55000000000000004">
      <c r="W31369"/>
    </row>
    <row r="31370" spans="23:23" x14ac:dyDescent="0.55000000000000004">
      <c r="W31370"/>
    </row>
    <row r="31371" spans="23:23" x14ac:dyDescent="0.55000000000000004">
      <c r="W31371"/>
    </row>
    <row r="31372" spans="23:23" x14ac:dyDescent="0.55000000000000004">
      <c r="W31372"/>
    </row>
    <row r="31373" spans="23:23" x14ac:dyDescent="0.55000000000000004">
      <c r="W31373"/>
    </row>
    <row r="31374" spans="23:23" x14ac:dyDescent="0.55000000000000004">
      <c r="W31374"/>
    </row>
    <row r="31375" spans="23:23" x14ac:dyDescent="0.55000000000000004">
      <c r="W31375"/>
    </row>
    <row r="31376" spans="23:23" x14ac:dyDescent="0.55000000000000004">
      <c r="W31376"/>
    </row>
    <row r="31377" spans="23:23" x14ac:dyDescent="0.55000000000000004">
      <c r="W31377"/>
    </row>
    <row r="31378" spans="23:23" x14ac:dyDescent="0.55000000000000004">
      <c r="W31378"/>
    </row>
    <row r="31379" spans="23:23" x14ac:dyDescent="0.55000000000000004">
      <c r="W31379"/>
    </row>
    <row r="31380" spans="23:23" x14ac:dyDescent="0.55000000000000004">
      <c r="W31380"/>
    </row>
    <row r="31381" spans="23:23" x14ac:dyDescent="0.55000000000000004">
      <c r="W31381"/>
    </row>
    <row r="31382" spans="23:23" x14ac:dyDescent="0.55000000000000004">
      <c r="W31382"/>
    </row>
    <row r="31383" spans="23:23" x14ac:dyDescent="0.55000000000000004">
      <c r="W31383"/>
    </row>
    <row r="31384" spans="23:23" x14ac:dyDescent="0.55000000000000004">
      <c r="W31384"/>
    </row>
    <row r="31385" spans="23:23" x14ac:dyDescent="0.55000000000000004">
      <c r="W31385"/>
    </row>
    <row r="31386" spans="23:23" x14ac:dyDescent="0.55000000000000004">
      <c r="W31386"/>
    </row>
    <row r="31387" spans="23:23" x14ac:dyDescent="0.55000000000000004">
      <c r="W31387"/>
    </row>
    <row r="31388" spans="23:23" x14ac:dyDescent="0.55000000000000004">
      <c r="W31388"/>
    </row>
    <row r="31389" spans="23:23" x14ac:dyDescent="0.55000000000000004">
      <c r="W31389"/>
    </row>
    <row r="31390" spans="23:23" x14ac:dyDescent="0.55000000000000004">
      <c r="W31390"/>
    </row>
    <row r="31391" spans="23:23" x14ac:dyDescent="0.55000000000000004">
      <c r="W31391"/>
    </row>
    <row r="31392" spans="23:23" x14ac:dyDescent="0.55000000000000004">
      <c r="W31392"/>
    </row>
    <row r="31393" spans="23:23" x14ac:dyDescent="0.55000000000000004">
      <c r="W31393"/>
    </row>
    <row r="31394" spans="23:23" x14ac:dyDescent="0.55000000000000004">
      <c r="W31394"/>
    </row>
    <row r="31395" spans="23:23" x14ac:dyDescent="0.55000000000000004">
      <c r="W31395"/>
    </row>
    <row r="31396" spans="23:23" x14ac:dyDescent="0.55000000000000004">
      <c r="W31396"/>
    </row>
    <row r="31397" spans="23:23" x14ac:dyDescent="0.55000000000000004">
      <c r="W31397"/>
    </row>
    <row r="31398" spans="23:23" x14ac:dyDescent="0.55000000000000004">
      <c r="W31398"/>
    </row>
    <row r="31399" spans="23:23" x14ac:dyDescent="0.55000000000000004">
      <c r="W31399"/>
    </row>
    <row r="31400" spans="23:23" x14ac:dyDescent="0.55000000000000004">
      <c r="W31400"/>
    </row>
    <row r="31401" spans="23:23" x14ac:dyDescent="0.55000000000000004">
      <c r="W31401"/>
    </row>
    <row r="31402" spans="23:23" x14ac:dyDescent="0.55000000000000004">
      <c r="W31402"/>
    </row>
    <row r="31403" spans="23:23" x14ac:dyDescent="0.55000000000000004">
      <c r="W31403"/>
    </row>
    <row r="31404" spans="23:23" x14ac:dyDescent="0.55000000000000004">
      <c r="W31404"/>
    </row>
    <row r="31405" spans="23:23" x14ac:dyDescent="0.55000000000000004">
      <c r="W31405"/>
    </row>
    <row r="31406" spans="23:23" x14ac:dyDescent="0.55000000000000004">
      <c r="W31406"/>
    </row>
    <row r="31407" spans="23:23" x14ac:dyDescent="0.55000000000000004">
      <c r="W31407"/>
    </row>
    <row r="31408" spans="23:23" x14ac:dyDescent="0.55000000000000004">
      <c r="W31408"/>
    </row>
    <row r="31409" spans="23:23" x14ac:dyDescent="0.55000000000000004">
      <c r="W31409"/>
    </row>
    <row r="31410" spans="23:23" x14ac:dyDescent="0.55000000000000004">
      <c r="W31410"/>
    </row>
    <row r="31411" spans="23:23" x14ac:dyDescent="0.55000000000000004">
      <c r="W31411"/>
    </row>
    <row r="31412" spans="23:23" x14ac:dyDescent="0.55000000000000004">
      <c r="W31412"/>
    </row>
    <row r="31413" spans="23:23" x14ac:dyDescent="0.55000000000000004">
      <c r="W31413"/>
    </row>
    <row r="31414" spans="23:23" x14ac:dyDescent="0.55000000000000004">
      <c r="W31414"/>
    </row>
    <row r="31415" spans="23:23" x14ac:dyDescent="0.55000000000000004">
      <c r="W31415"/>
    </row>
    <row r="31416" spans="23:23" x14ac:dyDescent="0.55000000000000004">
      <c r="W31416"/>
    </row>
    <row r="31417" spans="23:23" x14ac:dyDescent="0.55000000000000004">
      <c r="W31417"/>
    </row>
    <row r="31418" spans="23:23" x14ac:dyDescent="0.55000000000000004">
      <c r="W31418"/>
    </row>
    <row r="31419" spans="23:23" x14ac:dyDescent="0.55000000000000004">
      <c r="W31419"/>
    </row>
    <row r="31420" spans="23:23" x14ac:dyDescent="0.55000000000000004">
      <c r="W31420"/>
    </row>
    <row r="31421" spans="23:23" x14ac:dyDescent="0.55000000000000004">
      <c r="W31421"/>
    </row>
    <row r="31422" spans="23:23" x14ac:dyDescent="0.55000000000000004">
      <c r="W31422"/>
    </row>
    <row r="31423" spans="23:23" x14ac:dyDescent="0.55000000000000004">
      <c r="W31423"/>
    </row>
    <row r="31424" spans="23:23" x14ac:dyDescent="0.55000000000000004">
      <c r="W31424"/>
    </row>
    <row r="31425" spans="23:23" x14ac:dyDescent="0.55000000000000004">
      <c r="W31425"/>
    </row>
    <row r="31426" spans="23:23" x14ac:dyDescent="0.55000000000000004">
      <c r="W31426"/>
    </row>
    <row r="31427" spans="23:23" x14ac:dyDescent="0.55000000000000004">
      <c r="W31427"/>
    </row>
    <row r="31428" spans="23:23" x14ac:dyDescent="0.55000000000000004">
      <c r="W31428"/>
    </row>
    <row r="31429" spans="23:23" x14ac:dyDescent="0.55000000000000004">
      <c r="W31429"/>
    </row>
    <row r="31430" spans="23:23" x14ac:dyDescent="0.55000000000000004">
      <c r="W31430"/>
    </row>
    <row r="31431" spans="23:23" x14ac:dyDescent="0.55000000000000004">
      <c r="W31431"/>
    </row>
    <row r="31432" spans="23:23" x14ac:dyDescent="0.55000000000000004">
      <c r="W31432"/>
    </row>
    <row r="31433" spans="23:23" x14ac:dyDescent="0.55000000000000004">
      <c r="W31433"/>
    </row>
    <row r="31434" spans="23:23" x14ac:dyDescent="0.55000000000000004">
      <c r="W31434"/>
    </row>
    <row r="31435" spans="23:23" x14ac:dyDescent="0.55000000000000004">
      <c r="W31435"/>
    </row>
    <row r="31436" spans="23:23" x14ac:dyDescent="0.55000000000000004">
      <c r="W31436"/>
    </row>
    <row r="31437" spans="23:23" x14ac:dyDescent="0.55000000000000004">
      <c r="W31437"/>
    </row>
    <row r="31438" spans="23:23" x14ac:dyDescent="0.55000000000000004">
      <c r="W31438"/>
    </row>
    <row r="31439" spans="23:23" x14ac:dyDescent="0.55000000000000004">
      <c r="W31439"/>
    </row>
    <row r="31440" spans="23:23" x14ac:dyDescent="0.55000000000000004">
      <c r="W31440"/>
    </row>
    <row r="31441" spans="23:23" x14ac:dyDescent="0.55000000000000004">
      <c r="W31441"/>
    </row>
    <row r="31442" spans="23:23" x14ac:dyDescent="0.55000000000000004">
      <c r="W31442"/>
    </row>
    <row r="31443" spans="23:23" x14ac:dyDescent="0.55000000000000004">
      <c r="W31443"/>
    </row>
    <row r="31444" spans="23:23" x14ac:dyDescent="0.55000000000000004">
      <c r="W31444"/>
    </row>
    <row r="31445" spans="23:23" x14ac:dyDescent="0.55000000000000004">
      <c r="W31445"/>
    </row>
    <row r="31446" spans="23:23" x14ac:dyDescent="0.55000000000000004">
      <c r="W31446"/>
    </row>
    <row r="31447" spans="23:23" x14ac:dyDescent="0.55000000000000004">
      <c r="W31447"/>
    </row>
    <row r="31448" spans="23:23" x14ac:dyDescent="0.55000000000000004">
      <c r="W31448"/>
    </row>
    <row r="31449" spans="23:23" x14ac:dyDescent="0.55000000000000004">
      <c r="W31449"/>
    </row>
    <row r="31450" spans="23:23" x14ac:dyDescent="0.55000000000000004">
      <c r="W31450"/>
    </row>
    <row r="31451" spans="23:23" x14ac:dyDescent="0.55000000000000004">
      <c r="W31451"/>
    </row>
    <row r="31452" spans="23:23" x14ac:dyDescent="0.55000000000000004">
      <c r="W31452"/>
    </row>
    <row r="31453" spans="23:23" x14ac:dyDescent="0.55000000000000004">
      <c r="W31453"/>
    </row>
    <row r="31454" spans="23:23" x14ac:dyDescent="0.55000000000000004">
      <c r="W31454"/>
    </row>
    <row r="31455" spans="23:23" x14ac:dyDescent="0.55000000000000004">
      <c r="W31455"/>
    </row>
    <row r="31456" spans="23:23" x14ac:dyDescent="0.55000000000000004">
      <c r="W31456"/>
    </row>
    <row r="31457" spans="23:23" x14ac:dyDescent="0.55000000000000004">
      <c r="W31457"/>
    </row>
    <row r="31458" spans="23:23" x14ac:dyDescent="0.55000000000000004">
      <c r="W31458"/>
    </row>
    <row r="31459" spans="23:23" x14ac:dyDescent="0.55000000000000004">
      <c r="W31459"/>
    </row>
    <row r="31460" spans="23:23" x14ac:dyDescent="0.55000000000000004">
      <c r="W31460"/>
    </row>
    <row r="31461" spans="23:23" x14ac:dyDescent="0.55000000000000004">
      <c r="W31461"/>
    </row>
    <row r="31462" spans="23:23" x14ac:dyDescent="0.55000000000000004">
      <c r="W31462"/>
    </row>
    <row r="31463" spans="23:23" x14ac:dyDescent="0.55000000000000004">
      <c r="W31463"/>
    </row>
    <row r="31464" spans="23:23" x14ac:dyDescent="0.55000000000000004">
      <c r="W31464"/>
    </row>
    <row r="31465" spans="23:23" x14ac:dyDescent="0.55000000000000004">
      <c r="W31465"/>
    </row>
    <row r="31466" spans="23:23" x14ac:dyDescent="0.55000000000000004">
      <c r="W31466"/>
    </row>
    <row r="31467" spans="23:23" x14ac:dyDescent="0.55000000000000004">
      <c r="W31467"/>
    </row>
    <row r="31468" spans="23:23" x14ac:dyDescent="0.55000000000000004">
      <c r="W31468"/>
    </row>
    <row r="31469" spans="23:23" x14ac:dyDescent="0.55000000000000004">
      <c r="W31469"/>
    </row>
    <row r="31470" spans="23:23" x14ac:dyDescent="0.55000000000000004">
      <c r="W31470"/>
    </row>
    <row r="31471" spans="23:23" x14ac:dyDescent="0.55000000000000004">
      <c r="W31471"/>
    </row>
    <row r="31472" spans="23:23" x14ac:dyDescent="0.55000000000000004">
      <c r="W31472"/>
    </row>
    <row r="31473" spans="23:23" x14ac:dyDescent="0.55000000000000004">
      <c r="W31473"/>
    </row>
    <row r="31474" spans="23:23" x14ac:dyDescent="0.55000000000000004">
      <c r="W31474"/>
    </row>
    <row r="31475" spans="23:23" x14ac:dyDescent="0.55000000000000004">
      <c r="W31475"/>
    </row>
    <row r="31476" spans="23:23" x14ac:dyDescent="0.55000000000000004">
      <c r="W31476"/>
    </row>
    <row r="31477" spans="23:23" x14ac:dyDescent="0.55000000000000004">
      <c r="W31477"/>
    </row>
    <row r="31478" spans="23:23" x14ac:dyDescent="0.55000000000000004">
      <c r="W31478"/>
    </row>
    <row r="31479" spans="23:23" x14ac:dyDescent="0.55000000000000004">
      <c r="W31479"/>
    </row>
    <row r="31480" spans="23:23" x14ac:dyDescent="0.55000000000000004">
      <c r="W31480"/>
    </row>
    <row r="31481" spans="23:23" x14ac:dyDescent="0.55000000000000004">
      <c r="W31481"/>
    </row>
    <row r="31482" spans="23:23" x14ac:dyDescent="0.55000000000000004">
      <c r="W31482"/>
    </row>
    <row r="31483" spans="23:23" x14ac:dyDescent="0.55000000000000004">
      <c r="W31483"/>
    </row>
    <row r="31484" spans="23:23" x14ac:dyDescent="0.55000000000000004">
      <c r="W31484"/>
    </row>
    <row r="31485" spans="23:23" x14ac:dyDescent="0.55000000000000004">
      <c r="W31485"/>
    </row>
    <row r="31486" spans="23:23" x14ac:dyDescent="0.55000000000000004">
      <c r="W31486"/>
    </row>
    <row r="31487" spans="23:23" x14ac:dyDescent="0.55000000000000004">
      <c r="W31487"/>
    </row>
    <row r="31488" spans="23:23" x14ac:dyDescent="0.55000000000000004">
      <c r="W31488"/>
    </row>
    <row r="31489" spans="23:23" x14ac:dyDescent="0.55000000000000004">
      <c r="W31489"/>
    </row>
    <row r="31490" spans="23:23" x14ac:dyDescent="0.55000000000000004">
      <c r="W31490"/>
    </row>
    <row r="31491" spans="23:23" x14ac:dyDescent="0.55000000000000004">
      <c r="W31491"/>
    </row>
    <row r="31492" spans="23:23" x14ac:dyDescent="0.55000000000000004">
      <c r="W31492"/>
    </row>
    <row r="31493" spans="23:23" x14ac:dyDescent="0.55000000000000004">
      <c r="W31493"/>
    </row>
    <row r="31494" spans="23:23" x14ac:dyDescent="0.55000000000000004">
      <c r="W31494"/>
    </row>
    <row r="31495" spans="23:23" x14ac:dyDescent="0.55000000000000004">
      <c r="W31495"/>
    </row>
    <row r="31496" spans="23:23" x14ac:dyDescent="0.55000000000000004">
      <c r="W31496"/>
    </row>
    <row r="31497" spans="23:23" x14ac:dyDescent="0.55000000000000004">
      <c r="W31497"/>
    </row>
    <row r="31498" spans="23:23" x14ac:dyDescent="0.55000000000000004">
      <c r="W31498"/>
    </row>
    <row r="31499" spans="23:23" x14ac:dyDescent="0.55000000000000004">
      <c r="W31499"/>
    </row>
    <row r="31500" spans="23:23" x14ac:dyDescent="0.55000000000000004">
      <c r="W31500"/>
    </row>
    <row r="31501" spans="23:23" x14ac:dyDescent="0.55000000000000004">
      <c r="W31501"/>
    </row>
    <row r="31502" spans="23:23" x14ac:dyDescent="0.55000000000000004">
      <c r="W31502"/>
    </row>
    <row r="31503" spans="23:23" x14ac:dyDescent="0.55000000000000004">
      <c r="W31503"/>
    </row>
    <row r="31504" spans="23:23" x14ac:dyDescent="0.55000000000000004">
      <c r="W31504"/>
    </row>
    <row r="31505" spans="23:23" x14ac:dyDescent="0.55000000000000004">
      <c r="W31505"/>
    </row>
    <row r="31506" spans="23:23" x14ac:dyDescent="0.55000000000000004">
      <c r="W31506"/>
    </row>
    <row r="31507" spans="23:23" x14ac:dyDescent="0.55000000000000004">
      <c r="W31507"/>
    </row>
    <row r="31508" spans="23:23" x14ac:dyDescent="0.55000000000000004">
      <c r="W31508"/>
    </row>
    <row r="31509" spans="23:23" x14ac:dyDescent="0.55000000000000004">
      <c r="W31509"/>
    </row>
    <row r="31510" spans="23:23" x14ac:dyDescent="0.55000000000000004">
      <c r="W31510"/>
    </row>
    <row r="31511" spans="23:23" x14ac:dyDescent="0.55000000000000004">
      <c r="W31511"/>
    </row>
    <row r="31512" spans="23:23" x14ac:dyDescent="0.55000000000000004">
      <c r="W31512"/>
    </row>
    <row r="31513" spans="23:23" x14ac:dyDescent="0.55000000000000004">
      <c r="W31513"/>
    </row>
    <row r="31514" spans="23:23" x14ac:dyDescent="0.55000000000000004">
      <c r="W31514"/>
    </row>
    <row r="31515" spans="23:23" x14ac:dyDescent="0.55000000000000004">
      <c r="W31515"/>
    </row>
    <row r="31516" spans="23:23" x14ac:dyDescent="0.55000000000000004">
      <c r="W31516"/>
    </row>
    <row r="31517" spans="23:23" x14ac:dyDescent="0.55000000000000004">
      <c r="W31517"/>
    </row>
    <row r="31518" spans="23:23" x14ac:dyDescent="0.55000000000000004">
      <c r="W31518"/>
    </row>
    <row r="31519" spans="23:23" x14ac:dyDescent="0.55000000000000004">
      <c r="W31519"/>
    </row>
    <row r="31520" spans="23:23" x14ac:dyDescent="0.55000000000000004">
      <c r="W31520"/>
    </row>
    <row r="31521" spans="23:23" x14ac:dyDescent="0.55000000000000004">
      <c r="W31521"/>
    </row>
    <row r="31522" spans="23:23" x14ac:dyDescent="0.55000000000000004">
      <c r="W31522"/>
    </row>
    <row r="31523" spans="23:23" x14ac:dyDescent="0.55000000000000004">
      <c r="W31523"/>
    </row>
    <row r="31524" spans="23:23" x14ac:dyDescent="0.55000000000000004">
      <c r="W31524"/>
    </row>
    <row r="31525" spans="23:23" x14ac:dyDescent="0.55000000000000004">
      <c r="W31525"/>
    </row>
    <row r="31526" spans="23:23" x14ac:dyDescent="0.55000000000000004">
      <c r="W31526"/>
    </row>
    <row r="31527" spans="23:23" x14ac:dyDescent="0.55000000000000004">
      <c r="W31527"/>
    </row>
    <row r="31528" spans="23:23" x14ac:dyDescent="0.55000000000000004">
      <c r="W31528"/>
    </row>
    <row r="31529" spans="23:23" x14ac:dyDescent="0.55000000000000004">
      <c r="W31529"/>
    </row>
    <row r="31530" spans="23:23" x14ac:dyDescent="0.55000000000000004">
      <c r="W31530"/>
    </row>
    <row r="31531" spans="23:23" x14ac:dyDescent="0.55000000000000004">
      <c r="W31531"/>
    </row>
    <row r="31532" spans="23:23" x14ac:dyDescent="0.55000000000000004">
      <c r="W31532"/>
    </row>
    <row r="31533" spans="23:23" x14ac:dyDescent="0.55000000000000004">
      <c r="W31533"/>
    </row>
    <row r="31534" spans="23:23" x14ac:dyDescent="0.55000000000000004">
      <c r="W31534"/>
    </row>
    <row r="31535" spans="23:23" x14ac:dyDescent="0.55000000000000004">
      <c r="W31535"/>
    </row>
    <row r="31536" spans="23:23" x14ac:dyDescent="0.55000000000000004">
      <c r="W31536"/>
    </row>
    <row r="31537" spans="23:23" x14ac:dyDescent="0.55000000000000004">
      <c r="W31537"/>
    </row>
    <row r="31538" spans="23:23" x14ac:dyDescent="0.55000000000000004">
      <c r="W31538"/>
    </row>
    <row r="31539" spans="23:23" x14ac:dyDescent="0.55000000000000004">
      <c r="W31539"/>
    </row>
    <row r="31540" spans="23:23" x14ac:dyDescent="0.55000000000000004">
      <c r="W31540"/>
    </row>
    <row r="31541" spans="23:23" x14ac:dyDescent="0.55000000000000004">
      <c r="W31541"/>
    </row>
    <row r="31542" spans="23:23" x14ac:dyDescent="0.55000000000000004">
      <c r="W31542"/>
    </row>
    <row r="31543" spans="23:23" x14ac:dyDescent="0.55000000000000004">
      <c r="W31543"/>
    </row>
    <row r="31544" spans="23:23" x14ac:dyDescent="0.55000000000000004">
      <c r="W31544"/>
    </row>
    <row r="31545" spans="23:23" x14ac:dyDescent="0.55000000000000004">
      <c r="W31545"/>
    </row>
    <row r="31546" spans="23:23" x14ac:dyDescent="0.55000000000000004">
      <c r="W31546"/>
    </row>
    <row r="31547" spans="23:23" x14ac:dyDescent="0.55000000000000004">
      <c r="W31547"/>
    </row>
    <row r="31548" spans="23:23" x14ac:dyDescent="0.55000000000000004">
      <c r="W31548"/>
    </row>
    <row r="31549" spans="23:23" x14ac:dyDescent="0.55000000000000004">
      <c r="W31549"/>
    </row>
    <row r="31550" spans="23:23" x14ac:dyDescent="0.55000000000000004">
      <c r="W31550"/>
    </row>
    <row r="31551" spans="23:23" x14ac:dyDescent="0.55000000000000004">
      <c r="W31551"/>
    </row>
    <row r="31552" spans="23:23" x14ac:dyDescent="0.55000000000000004">
      <c r="W31552"/>
    </row>
    <row r="31553" spans="23:23" x14ac:dyDescent="0.55000000000000004">
      <c r="W31553"/>
    </row>
    <row r="31554" spans="23:23" x14ac:dyDescent="0.55000000000000004">
      <c r="W31554"/>
    </row>
    <row r="31555" spans="23:23" x14ac:dyDescent="0.55000000000000004">
      <c r="W31555"/>
    </row>
    <row r="31556" spans="23:23" x14ac:dyDescent="0.55000000000000004">
      <c r="W31556"/>
    </row>
    <row r="31557" spans="23:23" x14ac:dyDescent="0.55000000000000004">
      <c r="W31557"/>
    </row>
    <row r="31558" spans="23:23" x14ac:dyDescent="0.55000000000000004">
      <c r="W31558"/>
    </row>
    <row r="31559" spans="23:23" x14ac:dyDescent="0.55000000000000004">
      <c r="W31559"/>
    </row>
    <row r="31560" spans="23:23" x14ac:dyDescent="0.55000000000000004">
      <c r="W31560"/>
    </row>
    <row r="31561" spans="23:23" x14ac:dyDescent="0.55000000000000004">
      <c r="W31561"/>
    </row>
    <row r="31562" spans="23:23" x14ac:dyDescent="0.55000000000000004">
      <c r="W31562"/>
    </row>
    <row r="31563" spans="23:23" x14ac:dyDescent="0.55000000000000004">
      <c r="W31563"/>
    </row>
    <row r="31564" spans="23:23" x14ac:dyDescent="0.55000000000000004">
      <c r="W31564"/>
    </row>
    <row r="31565" spans="23:23" x14ac:dyDescent="0.55000000000000004">
      <c r="W31565"/>
    </row>
    <row r="31566" spans="23:23" x14ac:dyDescent="0.55000000000000004">
      <c r="W31566"/>
    </row>
    <row r="31567" spans="23:23" x14ac:dyDescent="0.55000000000000004">
      <c r="W31567"/>
    </row>
    <row r="31568" spans="23:23" x14ac:dyDescent="0.55000000000000004">
      <c r="W31568"/>
    </row>
    <row r="31569" spans="23:23" x14ac:dyDescent="0.55000000000000004">
      <c r="W31569"/>
    </row>
    <row r="31570" spans="23:23" x14ac:dyDescent="0.55000000000000004">
      <c r="W31570"/>
    </row>
    <row r="31571" spans="23:23" x14ac:dyDescent="0.55000000000000004">
      <c r="W31571"/>
    </row>
    <row r="31572" spans="23:23" x14ac:dyDescent="0.55000000000000004">
      <c r="W31572"/>
    </row>
    <row r="31573" spans="23:23" x14ac:dyDescent="0.55000000000000004">
      <c r="W31573"/>
    </row>
    <row r="31574" spans="23:23" x14ac:dyDescent="0.55000000000000004">
      <c r="W31574"/>
    </row>
    <row r="31575" spans="23:23" x14ac:dyDescent="0.55000000000000004">
      <c r="W31575"/>
    </row>
    <row r="31576" spans="23:23" x14ac:dyDescent="0.55000000000000004">
      <c r="W31576"/>
    </row>
    <row r="31577" spans="23:23" x14ac:dyDescent="0.55000000000000004">
      <c r="W31577"/>
    </row>
    <row r="31578" spans="23:23" x14ac:dyDescent="0.55000000000000004">
      <c r="W31578"/>
    </row>
    <row r="31579" spans="23:23" x14ac:dyDescent="0.55000000000000004">
      <c r="W31579"/>
    </row>
    <row r="31580" spans="23:23" x14ac:dyDescent="0.55000000000000004">
      <c r="W31580"/>
    </row>
    <row r="31581" spans="23:23" x14ac:dyDescent="0.55000000000000004">
      <c r="W31581"/>
    </row>
    <row r="31582" spans="23:23" x14ac:dyDescent="0.55000000000000004">
      <c r="W31582"/>
    </row>
    <row r="31583" spans="23:23" x14ac:dyDescent="0.55000000000000004">
      <c r="W31583"/>
    </row>
    <row r="31584" spans="23:23" x14ac:dyDescent="0.55000000000000004">
      <c r="W31584"/>
    </row>
    <row r="31585" spans="23:23" x14ac:dyDescent="0.55000000000000004">
      <c r="W31585"/>
    </row>
    <row r="31586" spans="23:23" x14ac:dyDescent="0.55000000000000004">
      <c r="W31586"/>
    </row>
    <row r="31587" spans="23:23" x14ac:dyDescent="0.55000000000000004">
      <c r="W31587"/>
    </row>
    <row r="31588" spans="23:23" x14ac:dyDescent="0.55000000000000004">
      <c r="W31588"/>
    </row>
    <row r="31589" spans="23:23" x14ac:dyDescent="0.55000000000000004">
      <c r="W31589"/>
    </row>
    <row r="31590" spans="23:23" x14ac:dyDescent="0.55000000000000004">
      <c r="W31590"/>
    </row>
    <row r="31591" spans="23:23" x14ac:dyDescent="0.55000000000000004">
      <c r="W31591"/>
    </row>
    <row r="31592" spans="23:23" x14ac:dyDescent="0.55000000000000004">
      <c r="W31592"/>
    </row>
    <row r="31593" spans="23:23" x14ac:dyDescent="0.55000000000000004">
      <c r="W31593"/>
    </row>
    <row r="31594" spans="23:23" x14ac:dyDescent="0.55000000000000004">
      <c r="W31594"/>
    </row>
    <row r="31595" spans="23:23" x14ac:dyDescent="0.55000000000000004">
      <c r="W31595"/>
    </row>
    <row r="31596" spans="23:23" x14ac:dyDescent="0.55000000000000004">
      <c r="W31596"/>
    </row>
    <row r="31597" spans="23:23" x14ac:dyDescent="0.55000000000000004">
      <c r="W31597"/>
    </row>
    <row r="31598" spans="23:23" x14ac:dyDescent="0.55000000000000004">
      <c r="W31598"/>
    </row>
    <row r="31599" spans="23:23" x14ac:dyDescent="0.55000000000000004">
      <c r="W31599"/>
    </row>
    <row r="31600" spans="23:23" x14ac:dyDescent="0.55000000000000004">
      <c r="W31600"/>
    </row>
    <row r="31601" spans="23:23" x14ac:dyDescent="0.55000000000000004">
      <c r="W31601"/>
    </row>
    <row r="31602" spans="23:23" x14ac:dyDescent="0.55000000000000004">
      <c r="W31602"/>
    </row>
    <row r="31603" spans="23:23" x14ac:dyDescent="0.55000000000000004">
      <c r="W31603"/>
    </row>
    <row r="31604" spans="23:23" x14ac:dyDescent="0.55000000000000004">
      <c r="W31604"/>
    </row>
    <row r="31605" spans="23:23" x14ac:dyDescent="0.55000000000000004">
      <c r="W31605"/>
    </row>
    <row r="31606" spans="23:23" x14ac:dyDescent="0.55000000000000004">
      <c r="W31606"/>
    </row>
    <row r="31607" spans="23:23" x14ac:dyDescent="0.55000000000000004">
      <c r="W31607"/>
    </row>
    <row r="31608" spans="23:23" x14ac:dyDescent="0.55000000000000004">
      <c r="W31608"/>
    </row>
    <row r="31609" spans="23:23" x14ac:dyDescent="0.55000000000000004">
      <c r="W31609"/>
    </row>
    <row r="31610" spans="23:23" x14ac:dyDescent="0.55000000000000004">
      <c r="W31610"/>
    </row>
    <row r="31611" spans="23:23" x14ac:dyDescent="0.55000000000000004">
      <c r="W31611"/>
    </row>
    <row r="31612" spans="23:23" x14ac:dyDescent="0.55000000000000004">
      <c r="W31612"/>
    </row>
    <row r="31613" spans="23:23" x14ac:dyDescent="0.55000000000000004">
      <c r="W31613"/>
    </row>
    <row r="31614" spans="23:23" x14ac:dyDescent="0.55000000000000004">
      <c r="W31614"/>
    </row>
    <row r="31615" spans="23:23" x14ac:dyDescent="0.55000000000000004">
      <c r="W31615"/>
    </row>
    <row r="31616" spans="23:23" x14ac:dyDescent="0.55000000000000004">
      <c r="W31616"/>
    </row>
    <row r="31617" spans="23:23" x14ac:dyDescent="0.55000000000000004">
      <c r="W31617"/>
    </row>
    <row r="31618" spans="23:23" x14ac:dyDescent="0.55000000000000004">
      <c r="W31618"/>
    </row>
    <row r="31619" spans="23:23" x14ac:dyDescent="0.55000000000000004">
      <c r="W31619"/>
    </row>
    <row r="31620" spans="23:23" x14ac:dyDescent="0.55000000000000004">
      <c r="W31620"/>
    </row>
    <row r="31621" spans="23:23" x14ac:dyDescent="0.55000000000000004">
      <c r="W31621"/>
    </row>
    <row r="31622" spans="23:23" x14ac:dyDescent="0.55000000000000004">
      <c r="W31622"/>
    </row>
    <row r="31623" spans="23:23" x14ac:dyDescent="0.55000000000000004">
      <c r="W31623"/>
    </row>
    <row r="31624" spans="23:23" x14ac:dyDescent="0.55000000000000004">
      <c r="W31624"/>
    </row>
    <row r="31625" spans="23:23" x14ac:dyDescent="0.55000000000000004">
      <c r="W31625"/>
    </row>
    <row r="31626" spans="23:23" x14ac:dyDescent="0.55000000000000004">
      <c r="W31626"/>
    </row>
    <row r="31627" spans="23:23" x14ac:dyDescent="0.55000000000000004">
      <c r="W31627"/>
    </row>
    <row r="31628" spans="23:23" x14ac:dyDescent="0.55000000000000004">
      <c r="W31628"/>
    </row>
    <row r="31629" spans="23:23" x14ac:dyDescent="0.55000000000000004">
      <c r="W31629"/>
    </row>
    <row r="31630" spans="23:23" x14ac:dyDescent="0.55000000000000004">
      <c r="W31630"/>
    </row>
    <row r="31631" spans="23:23" x14ac:dyDescent="0.55000000000000004">
      <c r="W31631"/>
    </row>
    <row r="31632" spans="23:23" x14ac:dyDescent="0.55000000000000004">
      <c r="W31632"/>
    </row>
    <row r="31633" spans="23:23" x14ac:dyDescent="0.55000000000000004">
      <c r="W31633"/>
    </row>
    <row r="31634" spans="23:23" x14ac:dyDescent="0.55000000000000004">
      <c r="W31634"/>
    </row>
    <row r="31635" spans="23:23" x14ac:dyDescent="0.55000000000000004">
      <c r="W31635"/>
    </row>
    <row r="31636" spans="23:23" x14ac:dyDescent="0.55000000000000004">
      <c r="W31636"/>
    </row>
    <row r="31637" spans="23:23" x14ac:dyDescent="0.55000000000000004">
      <c r="W31637"/>
    </row>
    <row r="31638" spans="23:23" x14ac:dyDescent="0.55000000000000004">
      <c r="W31638"/>
    </row>
    <row r="31639" spans="23:23" x14ac:dyDescent="0.55000000000000004">
      <c r="W31639"/>
    </row>
    <row r="31640" spans="23:23" x14ac:dyDescent="0.55000000000000004">
      <c r="W31640"/>
    </row>
    <row r="31641" spans="23:23" x14ac:dyDescent="0.55000000000000004">
      <c r="W31641"/>
    </row>
    <row r="31642" spans="23:23" x14ac:dyDescent="0.55000000000000004">
      <c r="W31642"/>
    </row>
    <row r="31643" spans="23:23" x14ac:dyDescent="0.55000000000000004">
      <c r="W31643"/>
    </row>
    <row r="31644" spans="23:23" x14ac:dyDescent="0.55000000000000004">
      <c r="W31644"/>
    </row>
    <row r="31645" spans="23:23" x14ac:dyDescent="0.55000000000000004">
      <c r="W31645"/>
    </row>
    <row r="31646" spans="23:23" x14ac:dyDescent="0.55000000000000004">
      <c r="W31646"/>
    </row>
    <row r="31647" spans="23:23" x14ac:dyDescent="0.55000000000000004">
      <c r="W31647"/>
    </row>
    <row r="31648" spans="23:23" x14ac:dyDescent="0.55000000000000004">
      <c r="W31648"/>
    </row>
    <row r="31649" spans="23:23" x14ac:dyDescent="0.55000000000000004">
      <c r="W31649"/>
    </row>
    <row r="31650" spans="23:23" x14ac:dyDescent="0.55000000000000004">
      <c r="W31650"/>
    </row>
    <row r="31651" spans="23:23" x14ac:dyDescent="0.55000000000000004">
      <c r="W31651"/>
    </row>
    <row r="31652" spans="23:23" x14ac:dyDescent="0.55000000000000004">
      <c r="W31652"/>
    </row>
    <row r="31653" spans="23:23" x14ac:dyDescent="0.55000000000000004">
      <c r="W31653"/>
    </row>
    <row r="31654" spans="23:23" x14ac:dyDescent="0.55000000000000004">
      <c r="W31654"/>
    </row>
    <row r="31655" spans="23:23" x14ac:dyDescent="0.55000000000000004">
      <c r="W31655"/>
    </row>
    <row r="31656" spans="23:23" x14ac:dyDescent="0.55000000000000004">
      <c r="W31656"/>
    </row>
    <row r="31657" spans="23:23" x14ac:dyDescent="0.55000000000000004">
      <c r="W31657"/>
    </row>
    <row r="31658" spans="23:23" x14ac:dyDescent="0.55000000000000004">
      <c r="W31658"/>
    </row>
    <row r="31659" spans="23:23" x14ac:dyDescent="0.55000000000000004">
      <c r="W31659"/>
    </row>
    <row r="31660" spans="23:23" x14ac:dyDescent="0.55000000000000004">
      <c r="W31660"/>
    </row>
    <row r="31661" spans="23:23" x14ac:dyDescent="0.55000000000000004">
      <c r="W31661"/>
    </row>
    <row r="31662" spans="23:23" x14ac:dyDescent="0.55000000000000004">
      <c r="W31662"/>
    </row>
    <row r="31663" spans="23:23" x14ac:dyDescent="0.55000000000000004">
      <c r="W31663"/>
    </row>
    <row r="31664" spans="23:23" x14ac:dyDescent="0.55000000000000004">
      <c r="W31664"/>
    </row>
    <row r="31665" spans="23:23" x14ac:dyDescent="0.55000000000000004">
      <c r="W31665"/>
    </row>
    <row r="31666" spans="23:23" x14ac:dyDescent="0.55000000000000004">
      <c r="W31666"/>
    </row>
    <row r="31667" spans="23:23" x14ac:dyDescent="0.55000000000000004">
      <c r="W31667"/>
    </row>
    <row r="31668" spans="23:23" x14ac:dyDescent="0.55000000000000004">
      <c r="W31668"/>
    </row>
    <row r="31669" spans="23:23" x14ac:dyDescent="0.55000000000000004">
      <c r="W31669"/>
    </row>
    <row r="31670" spans="23:23" x14ac:dyDescent="0.55000000000000004">
      <c r="W31670"/>
    </row>
    <row r="31671" spans="23:23" x14ac:dyDescent="0.55000000000000004">
      <c r="W31671"/>
    </row>
    <row r="31672" spans="23:23" x14ac:dyDescent="0.55000000000000004">
      <c r="W31672"/>
    </row>
    <row r="31673" spans="23:23" x14ac:dyDescent="0.55000000000000004">
      <c r="W31673"/>
    </row>
    <row r="31674" spans="23:23" x14ac:dyDescent="0.55000000000000004">
      <c r="W31674"/>
    </row>
    <row r="31675" spans="23:23" x14ac:dyDescent="0.55000000000000004">
      <c r="W31675"/>
    </row>
    <row r="31676" spans="23:23" x14ac:dyDescent="0.55000000000000004">
      <c r="W31676"/>
    </row>
    <row r="31677" spans="23:23" x14ac:dyDescent="0.55000000000000004">
      <c r="W31677"/>
    </row>
    <row r="31678" spans="23:23" x14ac:dyDescent="0.55000000000000004">
      <c r="W31678"/>
    </row>
    <row r="31679" spans="23:23" x14ac:dyDescent="0.55000000000000004">
      <c r="W31679"/>
    </row>
    <row r="31680" spans="23:23" x14ac:dyDescent="0.55000000000000004">
      <c r="W31680"/>
    </row>
    <row r="31681" spans="23:23" x14ac:dyDescent="0.55000000000000004">
      <c r="W31681"/>
    </row>
    <row r="31682" spans="23:23" x14ac:dyDescent="0.55000000000000004">
      <c r="W31682"/>
    </row>
    <row r="31683" spans="23:23" x14ac:dyDescent="0.55000000000000004">
      <c r="W31683"/>
    </row>
    <row r="31684" spans="23:23" x14ac:dyDescent="0.55000000000000004">
      <c r="W31684"/>
    </row>
    <row r="31685" spans="23:23" x14ac:dyDescent="0.55000000000000004">
      <c r="W31685"/>
    </row>
    <row r="31686" spans="23:23" x14ac:dyDescent="0.55000000000000004">
      <c r="W31686"/>
    </row>
    <row r="31687" spans="23:23" x14ac:dyDescent="0.55000000000000004">
      <c r="W31687"/>
    </row>
    <row r="31688" spans="23:23" x14ac:dyDescent="0.55000000000000004">
      <c r="W31688"/>
    </row>
    <row r="31689" spans="23:23" x14ac:dyDescent="0.55000000000000004">
      <c r="W31689"/>
    </row>
    <row r="31690" spans="23:23" x14ac:dyDescent="0.55000000000000004">
      <c r="W31690"/>
    </row>
    <row r="31691" spans="23:23" x14ac:dyDescent="0.55000000000000004">
      <c r="W31691"/>
    </row>
    <row r="31692" spans="23:23" x14ac:dyDescent="0.55000000000000004">
      <c r="W31692"/>
    </row>
    <row r="31693" spans="23:23" x14ac:dyDescent="0.55000000000000004">
      <c r="W31693"/>
    </row>
    <row r="31694" spans="23:23" x14ac:dyDescent="0.55000000000000004">
      <c r="W31694"/>
    </row>
    <row r="31695" spans="23:23" x14ac:dyDescent="0.55000000000000004">
      <c r="W31695"/>
    </row>
    <row r="31696" spans="23:23" x14ac:dyDescent="0.55000000000000004">
      <c r="W31696"/>
    </row>
    <row r="31697" spans="23:23" x14ac:dyDescent="0.55000000000000004">
      <c r="W31697"/>
    </row>
    <row r="31698" spans="23:23" x14ac:dyDescent="0.55000000000000004">
      <c r="W31698"/>
    </row>
    <row r="31699" spans="23:23" x14ac:dyDescent="0.55000000000000004">
      <c r="W31699"/>
    </row>
    <row r="31700" spans="23:23" x14ac:dyDescent="0.55000000000000004">
      <c r="W31700"/>
    </row>
    <row r="31701" spans="23:23" x14ac:dyDescent="0.55000000000000004">
      <c r="W31701"/>
    </row>
    <row r="31702" spans="23:23" x14ac:dyDescent="0.55000000000000004">
      <c r="W31702"/>
    </row>
    <row r="31703" spans="23:23" x14ac:dyDescent="0.55000000000000004">
      <c r="W31703"/>
    </row>
    <row r="31704" spans="23:23" x14ac:dyDescent="0.55000000000000004">
      <c r="W31704"/>
    </row>
    <row r="31705" spans="23:23" x14ac:dyDescent="0.55000000000000004">
      <c r="W31705"/>
    </row>
    <row r="31706" spans="23:23" x14ac:dyDescent="0.55000000000000004">
      <c r="W31706"/>
    </row>
    <row r="31707" spans="23:23" x14ac:dyDescent="0.55000000000000004">
      <c r="W31707"/>
    </row>
    <row r="31708" spans="23:23" x14ac:dyDescent="0.55000000000000004">
      <c r="W31708"/>
    </row>
    <row r="31709" spans="23:23" x14ac:dyDescent="0.55000000000000004">
      <c r="W31709"/>
    </row>
    <row r="31710" spans="23:23" x14ac:dyDescent="0.55000000000000004">
      <c r="W31710"/>
    </row>
    <row r="31711" spans="23:23" x14ac:dyDescent="0.55000000000000004">
      <c r="W31711"/>
    </row>
    <row r="31712" spans="23:23" x14ac:dyDescent="0.55000000000000004">
      <c r="W31712"/>
    </row>
    <row r="31713" spans="23:23" x14ac:dyDescent="0.55000000000000004">
      <c r="W31713"/>
    </row>
    <row r="31714" spans="23:23" x14ac:dyDescent="0.55000000000000004">
      <c r="W31714"/>
    </row>
    <row r="31715" spans="23:23" x14ac:dyDescent="0.55000000000000004">
      <c r="W31715"/>
    </row>
    <row r="31716" spans="23:23" x14ac:dyDescent="0.55000000000000004">
      <c r="W31716"/>
    </row>
    <row r="31717" spans="23:23" x14ac:dyDescent="0.55000000000000004">
      <c r="W31717"/>
    </row>
    <row r="31718" spans="23:23" x14ac:dyDescent="0.55000000000000004">
      <c r="W31718"/>
    </row>
    <row r="31719" spans="23:23" x14ac:dyDescent="0.55000000000000004">
      <c r="W31719"/>
    </row>
    <row r="31720" spans="23:23" x14ac:dyDescent="0.55000000000000004">
      <c r="W31720"/>
    </row>
    <row r="31721" spans="23:23" x14ac:dyDescent="0.55000000000000004">
      <c r="W31721"/>
    </row>
    <row r="31722" spans="23:23" x14ac:dyDescent="0.55000000000000004">
      <c r="W31722"/>
    </row>
    <row r="31723" spans="23:23" x14ac:dyDescent="0.55000000000000004">
      <c r="W31723"/>
    </row>
    <row r="31724" spans="23:23" x14ac:dyDescent="0.55000000000000004">
      <c r="W31724"/>
    </row>
    <row r="31725" spans="23:23" x14ac:dyDescent="0.55000000000000004">
      <c r="W31725"/>
    </row>
    <row r="31726" spans="23:23" x14ac:dyDescent="0.55000000000000004">
      <c r="W31726"/>
    </row>
    <row r="31727" spans="23:23" x14ac:dyDescent="0.55000000000000004">
      <c r="W31727"/>
    </row>
    <row r="31728" spans="23:23" x14ac:dyDescent="0.55000000000000004">
      <c r="W31728"/>
    </row>
    <row r="31729" spans="23:23" x14ac:dyDescent="0.55000000000000004">
      <c r="W31729"/>
    </row>
    <row r="31730" spans="23:23" x14ac:dyDescent="0.55000000000000004">
      <c r="W31730"/>
    </row>
    <row r="31731" spans="23:23" x14ac:dyDescent="0.55000000000000004">
      <c r="W31731"/>
    </row>
    <row r="31732" spans="23:23" x14ac:dyDescent="0.55000000000000004">
      <c r="W31732"/>
    </row>
    <row r="31733" spans="23:23" x14ac:dyDescent="0.55000000000000004">
      <c r="W31733"/>
    </row>
    <row r="31734" spans="23:23" x14ac:dyDescent="0.55000000000000004">
      <c r="W31734"/>
    </row>
    <row r="31735" spans="23:23" x14ac:dyDescent="0.55000000000000004">
      <c r="W31735"/>
    </row>
    <row r="31736" spans="23:23" x14ac:dyDescent="0.55000000000000004">
      <c r="W31736"/>
    </row>
    <row r="31737" spans="23:23" x14ac:dyDescent="0.55000000000000004">
      <c r="W31737"/>
    </row>
    <row r="31738" spans="23:23" x14ac:dyDescent="0.55000000000000004">
      <c r="W31738"/>
    </row>
    <row r="31739" spans="23:23" x14ac:dyDescent="0.55000000000000004">
      <c r="W31739"/>
    </row>
    <row r="31740" spans="23:23" x14ac:dyDescent="0.55000000000000004">
      <c r="W31740"/>
    </row>
    <row r="31741" spans="23:23" x14ac:dyDescent="0.55000000000000004">
      <c r="W31741"/>
    </row>
    <row r="31742" spans="23:23" x14ac:dyDescent="0.55000000000000004">
      <c r="W31742"/>
    </row>
    <row r="31743" spans="23:23" x14ac:dyDescent="0.55000000000000004">
      <c r="W31743"/>
    </row>
    <row r="31744" spans="23:23" x14ac:dyDescent="0.55000000000000004">
      <c r="W31744"/>
    </row>
    <row r="31745" spans="23:23" x14ac:dyDescent="0.55000000000000004">
      <c r="W31745"/>
    </row>
    <row r="31746" spans="23:23" x14ac:dyDescent="0.55000000000000004">
      <c r="W31746"/>
    </row>
    <row r="31747" spans="23:23" x14ac:dyDescent="0.55000000000000004">
      <c r="W31747"/>
    </row>
    <row r="31748" spans="23:23" x14ac:dyDescent="0.55000000000000004">
      <c r="W31748"/>
    </row>
    <row r="31749" spans="23:23" x14ac:dyDescent="0.55000000000000004">
      <c r="W31749"/>
    </row>
    <row r="31750" spans="23:23" x14ac:dyDescent="0.55000000000000004">
      <c r="W31750"/>
    </row>
    <row r="31751" spans="23:23" x14ac:dyDescent="0.55000000000000004">
      <c r="W31751"/>
    </row>
    <row r="31752" spans="23:23" x14ac:dyDescent="0.55000000000000004">
      <c r="W31752"/>
    </row>
    <row r="31753" spans="23:23" x14ac:dyDescent="0.55000000000000004">
      <c r="W31753"/>
    </row>
    <row r="31754" spans="23:23" x14ac:dyDescent="0.55000000000000004">
      <c r="W31754"/>
    </row>
    <row r="31755" spans="23:23" x14ac:dyDescent="0.55000000000000004">
      <c r="W31755"/>
    </row>
    <row r="31756" spans="23:23" x14ac:dyDescent="0.55000000000000004">
      <c r="W31756"/>
    </row>
    <row r="31757" spans="23:23" x14ac:dyDescent="0.55000000000000004">
      <c r="W31757"/>
    </row>
    <row r="31758" spans="23:23" x14ac:dyDescent="0.55000000000000004">
      <c r="W31758"/>
    </row>
    <row r="31759" spans="23:23" x14ac:dyDescent="0.55000000000000004">
      <c r="W31759"/>
    </row>
    <row r="31760" spans="23:23" x14ac:dyDescent="0.55000000000000004">
      <c r="W31760"/>
    </row>
    <row r="31761" spans="23:23" x14ac:dyDescent="0.55000000000000004">
      <c r="W31761"/>
    </row>
    <row r="31762" spans="23:23" x14ac:dyDescent="0.55000000000000004">
      <c r="W31762"/>
    </row>
    <row r="31763" spans="23:23" x14ac:dyDescent="0.55000000000000004">
      <c r="W31763"/>
    </row>
    <row r="31764" spans="23:23" x14ac:dyDescent="0.55000000000000004">
      <c r="W31764"/>
    </row>
    <row r="31765" spans="23:23" x14ac:dyDescent="0.55000000000000004">
      <c r="W31765"/>
    </row>
    <row r="31766" spans="23:23" x14ac:dyDescent="0.55000000000000004">
      <c r="W31766"/>
    </row>
    <row r="31767" spans="23:23" x14ac:dyDescent="0.55000000000000004">
      <c r="W31767"/>
    </row>
    <row r="31768" spans="23:23" x14ac:dyDescent="0.55000000000000004">
      <c r="W31768"/>
    </row>
    <row r="31769" spans="23:23" x14ac:dyDescent="0.55000000000000004">
      <c r="W31769"/>
    </row>
    <row r="31770" spans="23:23" x14ac:dyDescent="0.55000000000000004">
      <c r="W31770"/>
    </row>
    <row r="31771" spans="23:23" x14ac:dyDescent="0.55000000000000004">
      <c r="W31771"/>
    </row>
    <row r="31772" spans="23:23" x14ac:dyDescent="0.55000000000000004">
      <c r="W31772"/>
    </row>
    <row r="31773" spans="23:23" x14ac:dyDescent="0.55000000000000004">
      <c r="W31773"/>
    </row>
    <row r="31774" spans="23:23" x14ac:dyDescent="0.55000000000000004">
      <c r="W31774"/>
    </row>
    <row r="31775" spans="23:23" x14ac:dyDescent="0.55000000000000004">
      <c r="W31775"/>
    </row>
    <row r="31776" spans="23:23" x14ac:dyDescent="0.55000000000000004">
      <c r="W31776"/>
    </row>
    <row r="31777" spans="23:23" x14ac:dyDescent="0.55000000000000004">
      <c r="W31777"/>
    </row>
    <row r="31778" spans="23:23" x14ac:dyDescent="0.55000000000000004">
      <c r="W31778"/>
    </row>
    <row r="31779" spans="23:23" x14ac:dyDescent="0.55000000000000004">
      <c r="W31779"/>
    </row>
    <row r="31780" spans="23:23" x14ac:dyDescent="0.55000000000000004">
      <c r="W31780"/>
    </row>
    <row r="31781" spans="23:23" x14ac:dyDescent="0.55000000000000004">
      <c r="W31781"/>
    </row>
    <row r="31782" spans="23:23" x14ac:dyDescent="0.55000000000000004">
      <c r="W31782"/>
    </row>
    <row r="31783" spans="23:23" x14ac:dyDescent="0.55000000000000004">
      <c r="W31783"/>
    </row>
    <row r="31784" spans="23:23" x14ac:dyDescent="0.55000000000000004">
      <c r="W31784"/>
    </row>
    <row r="31785" spans="23:23" x14ac:dyDescent="0.55000000000000004">
      <c r="W31785"/>
    </row>
    <row r="31786" spans="23:23" x14ac:dyDescent="0.55000000000000004">
      <c r="W31786"/>
    </row>
    <row r="31787" spans="23:23" x14ac:dyDescent="0.55000000000000004">
      <c r="W31787"/>
    </row>
    <row r="31788" spans="23:23" x14ac:dyDescent="0.55000000000000004">
      <c r="W31788"/>
    </row>
    <row r="31789" spans="23:23" x14ac:dyDescent="0.55000000000000004">
      <c r="W31789"/>
    </row>
    <row r="31790" spans="23:23" x14ac:dyDescent="0.55000000000000004">
      <c r="W31790"/>
    </row>
    <row r="31791" spans="23:23" x14ac:dyDescent="0.55000000000000004">
      <c r="W31791"/>
    </row>
    <row r="31792" spans="23:23" x14ac:dyDescent="0.55000000000000004">
      <c r="W31792"/>
    </row>
    <row r="31793" spans="23:23" x14ac:dyDescent="0.55000000000000004">
      <c r="W31793"/>
    </row>
    <row r="31794" spans="23:23" x14ac:dyDescent="0.55000000000000004">
      <c r="W31794"/>
    </row>
    <row r="31795" spans="23:23" x14ac:dyDescent="0.55000000000000004">
      <c r="W31795"/>
    </row>
    <row r="31796" spans="23:23" x14ac:dyDescent="0.55000000000000004">
      <c r="W31796"/>
    </row>
    <row r="31797" spans="23:23" x14ac:dyDescent="0.55000000000000004">
      <c r="W31797"/>
    </row>
    <row r="31798" spans="23:23" x14ac:dyDescent="0.55000000000000004">
      <c r="W31798"/>
    </row>
    <row r="31799" spans="23:23" x14ac:dyDescent="0.55000000000000004">
      <c r="W31799"/>
    </row>
    <row r="31800" spans="23:23" x14ac:dyDescent="0.55000000000000004">
      <c r="W31800"/>
    </row>
    <row r="31801" spans="23:23" x14ac:dyDescent="0.55000000000000004">
      <c r="W31801"/>
    </row>
    <row r="31802" spans="23:23" x14ac:dyDescent="0.55000000000000004">
      <c r="W31802"/>
    </row>
    <row r="31803" spans="23:23" x14ac:dyDescent="0.55000000000000004">
      <c r="W31803"/>
    </row>
    <row r="31804" spans="23:23" x14ac:dyDescent="0.55000000000000004">
      <c r="W31804"/>
    </row>
    <row r="31805" spans="23:23" x14ac:dyDescent="0.55000000000000004">
      <c r="W31805"/>
    </row>
    <row r="31806" spans="23:23" x14ac:dyDescent="0.55000000000000004">
      <c r="W31806"/>
    </row>
    <row r="31807" spans="23:23" x14ac:dyDescent="0.55000000000000004">
      <c r="W31807"/>
    </row>
    <row r="31808" spans="23:23" x14ac:dyDescent="0.55000000000000004">
      <c r="W31808"/>
    </row>
    <row r="31809" spans="23:23" x14ac:dyDescent="0.55000000000000004">
      <c r="W31809"/>
    </row>
    <row r="31810" spans="23:23" x14ac:dyDescent="0.55000000000000004">
      <c r="W31810"/>
    </row>
    <row r="31811" spans="23:23" x14ac:dyDescent="0.55000000000000004">
      <c r="W31811"/>
    </row>
    <row r="31812" spans="23:23" x14ac:dyDescent="0.55000000000000004">
      <c r="W31812"/>
    </row>
    <row r="31813" spans="23:23" x14ac:dyDescent="0.55000000000000004">
      <c r="W31813"/>
    </row>
    <row r="31814" spans="23:23" x14ac:dyDescent="0.55000000000000004">
      <c r="W31814"/>
    </row>
    <row r="31815" spans="23:23" x14ac:dyDescent="0.55000000000000004">
      <c r="W31815"/>
    </row>
    <row r="31816" spans="23:23" x14ac:dyDescent="0.55000000000000004">
      <c r="W31816"/>
    </row>
    <row r="31817" spans="23:23" x14ac:dyDescent="0.55000000000000004">
      <c r="W31817"/>
    </row>
    <row r="31818" spans="23:23" x14ac:dyDescent="0.55000000000000004">
      <c r="W31818"/>
    </row>
    <row r="31819" spans="23:23" x14ac:dyDescent="0.55000000000000004">
      <c r="W31819"/>
    </row>
    <row r="31820" spans="23:23" x14ac:dyDescent="0.55000000000000004">
      <c r="W31820"/>
    </row>
    <row r="31821" spans="23:23" x14ac:dyDescent="0.55000000000000004">
      <c r="W31821"/>
    </row>
    <row r="31822" spans="23:23" x14ac:dyDescent="0.55000000000000004">
      <c r="W31822"/>
    </row>
    <row r="31823" spans="23:23" x14ac:dyDescent="0.55000000000000004">
      <c r="W31823"/>
    </row>
    <row r="31824" spans="23:23" x14ac:dyDescent="0.55000000000000004">
      <c r="W31824"/>
    </row>
    <row r="31825" spans="23:23" x14ac:dyDescent="0.55000000000000004">
      <c r="W31825"/>
    </row>
    <row r="31826" spans="23:23" x14ac:dyDescent="0.55000000000000004">
      <c r="W31826"/>
    </row>
    <row r="31827" spans="23:23" x14ac:dyDescent="0.55000000000000004">
      <c r="W31827"/>
    </row>
    <row r="31828" spans="23:23" x14ac:dyDescent="0.55000000000000004">
      <c r="W31828"/>
    </row>
    <row r="31829" spans="23:23" x14ac:dyDescent="0.55000000000000004">
      <c r="W31829"/>
    </row>
    <row r="31830" spans="23:23" x14ac:dyDescent="0.55000000000000004">
      <c r="W31830"/>
    </row>
    <row r="31831" spans="23:23" x14ac:dyDescent="0.55000000000000004">
      <c r="W31831"/>
    </row>
    <row r="31832" spans="23:23" x14ac:dyDescent="0.55000000000000004">
      <c r="W31832"/>
    </row>
    <row r="31833" spans="23:23" x14ac:dyDescent="0.55000000000000004">
      <c r="W31833"/>
    </row>
    <row r="31834" spans="23:23" x14ac:dyDescent="0.55000000000000004">
      <c r="W31834"/>
    </row>
    <row r="31835" spans="23:23" x14ac:dyDescent="0.55000000000000004">
      <c r="W31835"/>
    </row>
    <row r="31836" spans="23:23" x14ac:dyDescent="0.55000000000000004">
      <c r="W31836"/>
    </row>
    <row r="31837" spans="23:23" x14ac:dyDescent="0.55000000000000004">
      <c r="W31837"/>
    </row>
    <row r="31838" spans="23:23" x14ac:dyDescent="0.55000000000000004">
      <c r="W31838"/>
    </row>
    <row r="31839" spans="23:23" x14ac:dyDescent="0.55000000000000004">
      <c r="W31839"/>
    </row>
    <row r="31840" spans="23:23" x14ac:dyDescent="0.55000000000000004">
      <c r="W31840"/>
    </row>
    <row r="31841" spans="23:23" x14ac:dyDescent="0.55000000000000004">
      <c r="W31841"/>
    </row>
    <row r="31842" spans="23:23" x14ac:dyDescent="0.55000000000000004">
      <c r="W31842"/>
    </row>
    <row r="31843" spans="23:23" x14ac:dyDescent="0.55000000000000004">
      <c r="W31843"/>
    </row>
    <row r="31844" spans="23:23" x14ac:dyDescent="0.55000000000000004">
      <c r="W31844"/>
    </row>
    <row r="31845" spans="23:23" x14ac:dyDescent="0.55000000000000004">
      <c r="W31845"/>
    </row>
    <row r="31846" spans="23:23" x14ac:dyDescent="0.55000000000000004">
      <c r="W31846"/>
    </row>
    <row r="31847" spans="23:23" x14ac:dyDescent="0.55000000000000004">
      <c r="W31847"/>
    </row>
    <row r="31848" spans="23:23" x14ac:dyDescent="0.55000000000000004">
      <c r="W31848"/>
    </row>
    <row r="31849" spans="23:23" x14ac:dyDescent="0.55000000000000004">
      <c r="W31849"/>
    </row>
    <row r="31850" spans="23:23" x14ac:dyDescent="0.55000000000000004">
      <c r="W31850"/>
    </row>
    <row r="31851" spans="23:23" x14ac:dyDescent="0.55000000000000004">
      <c r="W31851"/>
    </row>
    <row r="31852" spans="23:23" x14ac:dyDescent="0.55000000000000004">
      <c r="W31852"/>
    </row>
    <row r="31853" spans="23:23" x14ac:dyDescent="0.55000000000000004">
      <c r="W31853"/>
    </row>
    <row r="31854" spans="23:23" x14ac:dyDescent="0.55000000000000004">
      <c r="W31854"/>
    </row>
    <row r="31855" spans="23:23" x14ac:dyDescent="0.55000000000000004">
      <c r="W31855"/>
    </row>
    <row r="31856" spans="23:23" x14ac:dyDescent="0.55000000000000004">
      <c r="W31856"/>
    </row>
    <row r="31857" spans="23:23" x14ac:dyDescent="0.55000000000000004">
      <c r="W31857"/>
    </row>
    <row r="31858" spans="23:23" x14ac:dyDescent="0.55000000000000004">
      <c r="W31858"/>
    </row>
    <row r="31859" spans="23:23" x14ac:dyDescent="0.55000000000000004">
      <c r="W31859"/>
    </row>
    <row r="31860" spans="23:23" x14ac:dyDescent="0.55000000000000004">
      <c r="W31860"/>
    </row>
    <row r="31861" spans="23:23" x14ac:dyDescent="0.55000000000000004">
      <c r="W31861"/>
    </row>
    <row r="31862" spans="23:23" x14ac:dyDescent="0.55000000000000004">
      <c r="W31862"/>
    </row>
    <row r="31863" spans="23:23" x14ac:dyDescent="0.55000000000000004">
      <c r="W31863"/>
    </row>
    <row r="31864" spans="23:23" x14ac:dyDescent="0.55000000000000004">
      <c r="W31864"/>
    </row>
    <row r="31865" spans="23:23" x14ac:dyDescent="0.55000000000000004">
      <c r="W31865"/>
    </row>
    <row r="31866" spans="23:23" x14ac:dyDescent="0.55000000000000004">
      <c r="W31866"/>
    </row>
    <row r="31867" spans="23:23" x14ac:dyDescent="0.55000000000000004">
      <c r="W31867"/>
    </row>
    <row r="31868" spans="23:23" x14ac:dyDescent="0.55000000000000004">
      <c r="W31868"/>
    </row>
    <row r="31869" spans="23:23" x14ac:dyDescent="0.55000000000000004">
      <c r="W31869"/>
    </row>
    <row r="31870" spans="23:23" x14ac:dyDescent="0.55000000000000004">
      <c r="W31870"/>
    </row>
    <row r="31871" spans="23:23" x14ac:dyDescent="0.55000000000000004">
      <c r="W31871"/>
    </row>
    <row r="31872" spans="23:23" x14ac:dyDescent="0.55000000000000004">
      <c r="W31872"/>
    </row>
    <row r="31873" spans="23:23" x14ac:dyDescent="0.55000000000000004">
      <c r="W31873"/>
    </row>
    <row r="31874" spans="23:23" x14ac:dyDescent="0.55000000000000004">
      <c r="W31874"/>
    </row>
    <row r="31875" spans="23:23" x14ac:dyDescent="0.55000000000000004">
      <c r="W31875"/>
    </row>
    <row r="31876" spans="23:23" x14ac:dyDescent="0.55000000000000004">
      <c r="W31876"/>
    </row>
    <row r="31877" spans="23:23" x14ac:dyDescent="0.55000000000000004">
      <c r="W31877"/>
    </row>
    <row r="31878" spans="23:23" x14ac:dyDescent="0.55000000000000004">
      <c r="W31878"/>
    </row>
    <row r="31879" spans="23:23" x14ac:dyDescent="0.55000000000000004">
      <c r="W31879"/>
    </row>
    <row r="31880" spans="23:23" x14ac:dyDescent="0.55000000000000004">
      <c r="W31880"/>
    </row>
    <row r="31881" spans="23:23" x14ac:dyDescent="0.55000000000000004">
      <c r="W31881"/>
    </row>
    <row r="31882" spans="23:23" x14ac:dyDescent="0.55000000000000004">
      <c r="W31882"/>
    </row>
    <row r="31883" spans="23:23" x14ac:dyDescent="0.55000000000000004">
      <c r="W31883"/>
    </row>
    <row r="31884" spans="23:23" x14ac:dyDescent="0.55000000000000004">
      <c r="W31884"/>
    </row>
    <row r="31885" spans="23:23" x14ac:dyDescent="0.55000000000000004">
      <c r="W31885"/>
    </row>
    <row r="31886" spans="23:23" x14ac:dyDescent="0.55000000000000004">
      <c r="W31886"/>
    </row>
    <row r="31887" spans="23:23" x14ac:dyDescent="0.55000000000000004">
      <c r="W31887"/>
    </row>
    <row r="31888" spans="23:23" x14ac:dyDescent="0.55000000000000004">
      <c r="W31888"/>
    </row>
    <row r="31889" spans="23:23" x14ac:dyDescent="0.55000000000000004">
      <c r="W31889"/>
    </row>
    <row r="31890" spans="23:23" x14ac:dyDescent="0.55000000000000004">
      <c r="W31890"/>
    </row>
    <row r="31891" spans="23:23" x14ac:dyDescent="0.55000000000000004">
      <c r="W31891"/>
    </row>
    <row r="31892" spans="23:23" x14ac:dyDescent="0.55000000000000004">
      <c r="W31892"/>
    </row>
    <row r="31893" spans="23:23" x14ac:dyDescent="0.55000000000000004">
      <c r="W31893"/>
    </row>
    <row r="31894" spans="23:23" x14ac:dyDescent="0.55000000000000004">
      <c r="W31894"/>
    </row>
    <row r="31895" spans="23:23" x14ac:dyDescent="0.55000000000000004">
      <c r="W31895"/>
    </row>
    <row r="31896" spans="23:23" x14ac:dyDescent="0.55000000000000004">
      <c r="W31896"/>
    </row>
    <row r="31897" spans="23:23" x14ac:dyDescent="0.55000000000000004">
      <c r="W31897"/>
    </row>
    <row r="31898" spans="23:23" x14ac:dyDescent="0.55000000000000004">
      <c r="W31898"/>
    </row>
    <row r="31899" spans="23:23" x14ac:dyDescent="0.55000000000000004">
      <c r="W31899"/>
    </row>
    <row r="31900" spans="23:23" x14ac:dyDescent="0.55000000000000004">
      <c r="W31900"/>
    </row>
    <row r="31901" spans="23:23" x14ac:dyDescent="0.55000000000000004">
      <c r="W31901"/>
    </row>
    <row r="31902" spans="23:23" x14ac:dyDescent="0.55000000000000004">
      <c r="W31902"/>
    </row>
    <row r="31903" spans="23:23" x14ac:dyDescent="0.55000000000000004">
      <c r="W31903"/>
    </row>
    <row r="31904" spans="23:23" x14ac:dyDescent="0.55000000000000004">
      <c r="W31904"/>
    </row>
    <row r="31905" spans="23:23" x14ac:dyDescent="0.55000000000000004">
      <c r="W31905"/>
    </row>
    <row r="31906" spans="23:23" x14ac:dyDescent="0.55000000000000004">
      <c r="W31906"/>
    </row>
    <row r="31907" spans="23:23" x14ac:dyDescent="0.55000000000000004">
      <c r="W31907"/>
    </row>
    <row r="31908" spans="23:23" x14ac:dyDescent="0.55000000000000004">
      <c r="W31908"/>
    </row>
    <row r="31909" spans="23:23" x14ac:dyDescent="0.55000000000000004">
      <c r="W31909"/>
    </row>
    <row r="31910" spans="23:23" x14ac:dyDescent="0.55000000000000004">
      <c r="W31910"/>
    </row>
    <row r="31911" spans="23:23" x14ac:dyDescent="0.55000000000000004">
      <c r="W31911"/>
    </row>
    <row r="31912" spans="23:23" x14ac:dyDescent="0.55000000000000004">
      <c r="W31912"/>
    </row>
    <row r="31913" spans="23:23" x14ac:dyDescent="0.55000000000000004">
      <c r="W31913"/>
    </row>
    <row r="31914" spans="23:23" x14ac:dyDescent="0.55000000000000004">
      <c r="W31914"/>
    </row>
    <row r="31915" spans="23:23" x14ac:dyDescent="0.55000000000000004">
      <c r="W31915"/>
    </row>
    <row r="31916" spans="23:23" x14ac:dyDescent="0.55000000000000004">
      <c r="W31916"/>
    </row>
    <row r="31917" spans="23:23" x14ac:dyDescent="0.55000000000000004">
      <c r="W31917"/>
    </row>
    <row r="31918" spans="23:23" x14ac:dyDescent="0.55000000000000004">
      <c r="W31918"/>
    </row>
    <row r="31919" spans="23:23" x14ac:dyDescent="0.55000000000000004">
      <c r="W31919"/>
    </row>
    <row r="31920" spans="23:23" x14ac:dyDescent="0.55000000000000004">
      <c r="W31920"/>
    </row>
    <row r="31921" spans="23:23" x14ac:dyDescent="0.55000000000000004">
      <c r="W31921"/>
    </row>
    <row r="31922" spans="23:23" x14ac:dyDescent="0.55000000000000004">
      <c r="W31922"/>
    </row>
    <row r="31923" spans="23:23" x14ac:dyDescent="0.55000000000000004">
      <c r="W31923"/>
    </row>
    <row r="31924" spans="23:23" x14ac:dyDescent="0.55000000000000004">
      <c r="W31924"/>
    </row>
    <row r="31925" spans="23:23" x14ac:dyDescent="0.55000000000000004">
      <c r="W31925"/>
    </row>
    <row r="31926" spans="23:23" x14ac:dyDescent="0.55000000000000004">
      <c r="W31926"/>
    </row>
    <row r="31927" spans="23:23" x14ac:dyDescent="0.55000000000000004">
      <c r="W31927"/>
    </row>
    <row r="31928" spans="23:23" x14ac:dyDescent="0.55000000000000004">
      <c r="W31928"/>
    </row>
    <row r="31929" spans="23:23" x14ac:dyDescent="0.55000000000000004">
      <c r="W31929"/>
    </row>
    <row r="31930" spans="23:23" x14ac:dyDescent="0.55000000000000004">
      <c r="W31930"/>
    </row>
    <row r="31931" spans="23:23" x14ac:dyDescent="0.55000000000000004">
      <c r="W31931"/>
    </row>
    <row r="31932" spans="23:23" x14ac:dyDescent="0.55000000000000004">
      <c r="W31932"/>
    </row>
    <row r="31933" spans="23:23" x14ac:dyDescent="0.55000000000000004">
      <c r="W31933"/>
    </row>
    <row r="31934" spans="23:23" x14ac:dyDescent="0.55000000000000004">
      <c r="W31934"/>
    </row>
    <row r="31935" spans="23:23" x14ac:dyDescent="0.55000000000000004">
      <c r="W31935"/>
    </row>
    <row r="31936" spans="23:23" x14ac:dyDescent="0.55000000000000004">
      <c r="W31936"/>
    </row>
    <row r="31937" spans="23:23" x14ac:dyDescent="0.55000000000000004">
      <c r="W31937"/>
    </row>
    <row r="31938" spans="23:23" x14ac:dyDescent="0.55000000000000004">
      <c r="W31938"/>
    </row>
    <row r="31939" spans="23:23" x14ac:dyDescent="0.55000000000000004">
      <c r="W31939"/>
    </row>
    <row r="31940" spans="23:23" x14ac:dyDescent="0.55000000000000004">
      <c r="W31940"/>
    </row>
    <row r="31941" spans="23:23" x14ac:dyDescent="0.55000000000000004">
      <c r="W31941"/>
    </row>
    <row r="31942" spans="23:23" x14ac:dyDescent="0.55000000000000004">
      <c r="W31942"/>
    </row>
    <row r="31943" spans="23:23" x14ac:dyDescent="0.55000000000000004">
      <c r="W31943"/>
    </row>
    <row r="31944" spans="23:23" x14ac:dyDescent="0.55000000000000004">
      <c r="W31944"/>
    </row>
    <row r="31945" spans="23:23" x14ac:dyDescent="0.55000000000000004">
      <c r="W31945"/>
    </row>
    <row r="31946" spans="23:23" x14ac:dyDescent="0.55000000000000004">
      <c r="W31946"/>
    </row>
    <row r="31947" spans="23:23" x14ac:dyDescent="0.55000000000000004">
      <c r="W31947"/>
    </row>
    <row r="31948" spans="23:23" x14ac:dyDescent="0.55000000000000004">
      <c r="W31948"/>
    </row>
    <row r="31949" spans="23:23" x14ac:dyDescent="0.55000000000000004">
      <c r="W31949"/>
    </row>
    <row r="31950" spans="23:23" x14ac:dyDescent="0.55000000000000004">
      <c r="W31950"/>
    </row>
    <row r="31951" spans="23:23" x14ac:dyDescent="0.55000000000000004">
      <c r="W31951"/>
    </row>
    <row r="31952" spans="23:23" x14ac:dyDescent="0.55000000000000004">
      <c r="W31952"/>
    </row>
    <row r="31953" spans="23:23" x14ac:dyDescent="0.55000000000000004">
      <c r="W31953"/>
    </row>
    <row r="31954" spans="23:23" x14ac:dyDescent="0.55000000000000004">
      <c r="W31954"/>
    </row>
    <row r="31955" spans="23:23" x14ac:dyDescent="0.55000000000000004">
      <c r="W31955"/>
    </row>
    <row r="31956" spans="23:23" x14ac:dyDescent="0.55000000000000004">
      <c r="W31956"/>
    </row>
    <row r="31957" spans="23:23" x14ac:dyDescent="0.55000000000000004">
      <c r="W31957"/>
    </row>
    <row r="31958" spans="23:23" x14ac:dyDescent="0.55000000000000004">
      <c r="W31958"/>
    </row>
    <row r="31959" spans="23:23" x14ac:dyDescent="0.55000000000000004">
      <c r="W31959"/>
    </row>
    <row r="31960" spans="23:23" x14ac:dyDescent="0.55000000000000004">
      <c r="W31960"/>
    </row>
    <row r="31961" spans="23:23" x14ac:dyDescent="0.55000000000000004">
      <c r="W31961"/>
    </row>
    <row r="31962" spans="23:23" x14ac:dyDescent="0.55000000000000004">
      <c r="W31962"/>
    </row>
    <row r="31963" spans="23:23" x14ac:dyDescent="0.55000000000000004">
      <c r="W31963"/>
    </row>
    <row r="31964" spans="23:23" x14ac:dyDescent="0.55000000000000004">
      <c r="W31964"/>
    </row>
    <row r="31965" spans="23:23" x14ac:dyDescent="0.55000000000000004">
      <c r="W31965"/>
    </row>
    <row r="31966" spans="23:23" x14ac:dyDescent="0.55000000000000004">
      <c r="W31966"/>
    </row>
    <row r="31967" spans="23:23" x14ac:dyDescent="0.55000000000000004">
      <c r="W31967"/>
    </row>
    <row r="31968" spans="23:23" x14ac:dyDescent="0.55000000000000004">
      <c r="W31968"/>
    </row>
    <row r="31969" spans="23:23" x14ac:dyDescent="0.55000000000000004">
      <c r="W31969"/>
    </row>
    <row r="31970" spans="23:23" x14ac:dyDescent="0.55000000000000004">
      <c r="W31970"/>
    </row>
    <row r="31971" spans="23:23" x14ac:dyDescent="0.55000000000000004">
      <c r="W31971"/>
    </row>
    <row r="31972" spans="23:23" x14ac:dyDescent="0.55000000000000004">
      <c r="W31972"/>
    </row>
    <row r="31973" spans="23:23" x14ac:dyDescent="0.55000000000000004">
      <c r="W31973"/>
    </row>
    <row r="31974" spans="23:23" x14ac:dyDescent="0.55000000000000004">
      <c r="W31974"/>
    </row>
    <row r="31975" spans="23:23" x14ac:dyDescent="0.55000000000000004">
      <c r="W31975"/>
    </row>
    <row r="31976" spans="23:23" x14ac:dyDescent="0.55000000000000004">
      <c r="W31976"/>
    </row>
    <row r="31977" spans="23:23" x14ac:dyDescent="0.55000000000000004">
      <c r="W31977"/>
    </row>
    <row r="31978" spans="23:23" x14ac:dyDescent="0.55000000000000004">
      <c r="W31978"/>
    </row>
    <row r="31979" spans="23:23" x14ac:dyDescent="0.55000000000000004">
      <c r="W31979"/>
    </row>
    <row r="31980" spans="23:23" x14ac:dyDescent="0.55000000000000004">
      <c r="W31980"/>
    </row>
    <row r="31981" spans="23:23" x14ac:dyDescent="0.55000000000000004">
      <c r="W31981"/>
    </row>
    <row r="31982" spans="23:23" x14ac:dyDescent="0.55000000000000004">
      <c r="W31982"/>
    </row>
    <row r="31983" spans="23:23" x14ac:dyDescent="0.55000000000000004">
      <c r="W31983"/>
    </row>
    <row r="31984" spans="23:23" x14ac:dyDescent="0.55000000000000004">
      <c r="W31984"/>
    </row>
    <row r="31985" spans="23:23" x14ac:dyDescent="0.55000000000000004">
      <c r="W31985"/>
    </row>
    <row r="31986" spans="23:23" x14ac:dyDescent="0.55000000000000004">
      <c r="W31986"/>
    </row>
    <row r="31987" spans="23:23" x14ac:dyDescent="0.55000000000000004">
      <c r="W31987"/>
    </row>
    <row r="31988" spans="23:23" x14ac:dyDescent="0.55000000000000004">
      <c r="W31988"/>
    </row>
    <row r="31989" spans="23:23" x14ac:dyDescent="0.55000000000000004">
      <c r="W31989"/>
    </row>
    <row r="31990" spans="23:23" x14ac:dyDescent="0.55000000000000004">
      <c r="W31990"/>
    </row>
    <row r="31991" spans="23:23" x14ac:dyDescent="0.55000000000000004">
      <c r="W31991"/>
    </row>
    <row r="31992" spans="23:23" x14ac:dyDescent="0.55000000000000004">
      <c r="W31992"/>
    </row>
    <row r="31993" spans="23:23" x14ac:dyDescent="0.55000000000000004">
      <c r="W31993"/>
    </row>
    <row r="31994" spans="23:23" x14ac:dyDescent="0.55000000000000004">
      <c r="W31994"/>
    </row>
    <row r="31995" spans="23:23" x14ac:dyDescent="0.55000000000000004">
      <c r="W31995"/>
    </row>
    <row r="31996" spans="23:23" x14ac:dyDescent="0.55000000000000004">
      <c r="W31996"/>
    </row>
    <row r="31997" spans="23:23" x14ac:dyDescent="0.55000000000000004">
      <c r="W31997"/>
    </row>
    <row r="31998" spans="23:23" x14ac:dyDescent="0.55000000000000004">
      <c r="W31998"/>
    </row>
    <row r="31999" spans="23:23" x14ac:dyDescent="0.55000000000000004">
      <c r="W31999"/>
    </row>
    <row r="32000" spans="23:23" x14ac:dyDescent="0.55000000000000004">
      <c r="W32000"/>
    </row>
    <row r="32001" spans="23:23" x14ac:dyDescent="0.55000000000000004">
      <c r="W32001"/>
    </row>
    <row r="32002" spans="23:23" x14ac:dyDescent="0.55000000000000004">
      <c r="W32002"/>
    </row>
    <row r="32003" spans="23:23" x14ac:dyDescent="0.55000000000000004">
      <c r="W32003"/>
    </row>
    <row r="32004" spans="23:23" x14ac:dyDescent="0.55000000000000004">
      <c r="W32004"/>
    </row>
    <row r="32005" spans="23:23" x14ac:dyDescent="0.55000000000000004">
      <c r="W32005"/>
    </row>
    <row r="32006" spans="23:23" x14ac:dyDescent="0.55000000000000004">
      <c r="W32006"/>
    </row>
    <row r="32007" spans="23:23" x14ac:dyDescent="0.55000000000000004">
      <c r="W32007"/>
    </row>
    <row r="32008" spans="23:23" x14ac:dyDescent="0.55000000000000004">
      <c r="W32008"/>
    </row>
    <row r="32009" spans="23:23" x14ac:dyDescent="0.55000000000000004">
      <c r="W32009"/>
    </row>
    <row r="32010" spans="23:23" x14ac:dyDescent="0.55000000000000004">
      <c r="W32010"/>
    </row>
    <row r="32011" spans="23:23" x14ac:dyDescent="0.55000000000000004">
      <c r="W32011"/>
    </row>
    <row r="32012" spans="23:23" x14ac:dyDescent="0.55000000000000004">
      <c r="W32012"/>
    </row>
    <row r="32013" spans="23:23" x14ac:dyDescent="0.55000000000000004">
      <c r="W32013"/>
    </row>
    <row r="32014" spans="23:23" x14ac:dyDescent="0.55000000000000004">
      <c r="W32014"/>
    </row>
    <row r="32015" spans="23:23" x14ac:dyDescent="0.55000000000000004">
      <c r="W32015"/>
    </row>
    <row r="32016" spans="23:23" x14ac:dyDescent="0.55000000000000004">
      <c r="W32016"/>
    </row>
    <row r="32017" spans="23:23" x14ac:dyDescent="0.55000000000000004">
      <c r="W32017"/>
    </row>
    <row r="32018" spans="23:23" x14ac:dyDescent="0.55000000000000004">
      <c r="W32018"/>
    </row>
    <row r="32019" spans="23:23" x14ac:dyDescent="0.55000000000000004">
      <c r="W32019"/>
    </row>
    <row r="32020" spans="23:23" x14ac:dyDescent="0.55000000000000004">
      <c r="W32020"/>
    </row>
    <row r="32021" spans="23:23" x14ac:dyDescent="0.55000000000000004">
      <c r="W32021"/>
    </row>
    <row r="32022" spans="23:23" x14ac:dyDescent="0.55000000000000004">
      <c r="W32022"/>
    </row>
    <row r="32023" spans="23:23" x14ac:dyDescent="0.55000000000000004">
      <c r="W32023"/>
    </row>
    <row r="32024" spans="23:23" x14ac:dyDescent="0.55000000000000004">
      <c r="W32024"/>
    </row>
    <row r="32025" spans="23:23" x14ac:dyDescent="0.55000000000000004">
      <c r="W32025"/>
    </row>
    <row r="32026" spans="23:23" x14ac:dyDescent="0.55000000000000004">
      <c r="W32026"/>
    </row>
    <row r="32027" spans="23:23" x14ac:dyDescent="0.55000000000000004">
      <c r="W32027"/>
    </row>
    <row r="32028" spans="23:23" x14ac:dyDescent="0.55000000000000004">
      <c r="W32028"/>
    </row>
    <row r="32029" spans="23:23" x14ac:dyDescent="0.55000000000000004">
      <c r="W32029"/>
    </row>
    <row r="32030" spans="23:23" x14ac:dyDescent="0.55000000000000004">
      <c r="W32030"/>
    </row>
    <row r="32031" spans="23:23" x14ac:dyDescent="0.55000000000000004">
      <c r="W32031"/>
    </row>
    <row r="32032" spans="23:23" x14ac:dyDescent="0.55000000000000004">
      <c r="W32032"/>
    </row>
    <row r="32033" spans="23:23" x14ac:dyDescent="0.55000000000000004">
      <c r="W32033"/>
    </row>
    <row r="32034" spans="23:23" x14ac:dyDescent="0.55000000000000004">
      <c r="W32034"/>
    </row>
    <row r="32035" spans="23:23" x14ac:dyDescent="0.55000000000000004">
      <c r="W32035"/>
    </row>
    <row r="32036" spans="23:23" x14ac:dyDescent="0.55000000000000004">
      <c r="W32036"/>
    </row>
    <row r="32037" spans="23:23" x14ac:dyDescent="0.55000000000000004">
      <c r="W32037"/>
    </row>
    <row r="32038" spans="23:23" x14ac:dyDescent="0.55000000000000004">
      <c r="W32038"/>
    </row>
    <row r="32039" spans="23:23" x14ac:dyDescent="0.55000000000000004">
      <c r="W32039"/>
    </row>
    <row r="32040" spans="23:23" x14ac:dyDescent="0.55000000000000004">
      <c r="W32040"/>
    </row>
    <row r="32041" spans="23:23" x14ac:dyDescent="0.55000000000000004">
      <c r="W32041"/>
    </row>
    <row r="32042" spans="23:23" x14ac:dyDescent="0.55000000000000004">
      <c r="W32042"/>
    </row>
    <row r="32043" spans="23:23" x14ac:dyDescent="0.55000000000000004">
      <c r="W32043"/>
    </row>
    <row r="32044" spans="23:23" x14ac:dyDescent="0.55000000000000004">
      <c r="W32044"/>
    </row>
    <row r="32045" spans="23:23" x14ac:dyDescent="0.55000000000000004">
      <c r="W32045"/>
    </row>
    <row r="32046" spans="23:23" x14ac:dyDescent="0.55000000000000004">
      <c r="W32046"/>
    </row>
    <row r="32047" spans="23:23" x14ac:dyDescent="0.55000000000000004">
      <c r="W32047"/>
    </row>
    <row r="32048" spans="23:23" x14ac:dyDescent="0.55000000000000004">
      <c r="W32048"/>
    </row>
    <row r="32049" spans="23:23" x14ac:dyDescent="0.55000000000000004">
      <c r="W32049"/>
    </row>
    <row r="32050" spans="23:23" x14ac:dyDescent="0.55000000000000004">
      <c r="W32050"/>
    </row>
    <row r="32051" spans="23:23" x14ac:dyDescent="0.55000000000000004">
      <c r="W32051"/>
    </row>
    <row r="32052" spans="23:23" x14ac:dyDescent="0.55000000000000004">
      <c r="W32052"/>
    </row>
    <row r="32053" spans="23:23" x14ac:dyDescent="0.55000000000000004">
      <c r="W32053"/>
    </row>
    <row r="32054" spans="23:23" x14ac:dyDescent="0.55000000000000004">
      <c r="W32054"/>
    </row>
    <row r="32055" spans="23:23" x14ac:dyDescent="0.55000000000000004">
      <c r="W32055"/>
    </row>
    <row r="32056" spans="23:23" x14ac:dyDescent="0.55000000000000004">
      <c r="W32056"/>
    </row>
    <row r="32057" spans="23:23" x14ac:dyDescent="0.55000000000000004">
      <c r="W32057"/>
    </row>
    <row r="32058" spans="23:23" x14ac:dyDescent="0.55000000000000004">
      <c r="W32058"/>
    </row>
    <row r="32059" spans="23:23" x14ac:dyDescent="0.55000000000000004">
      <c r="W32059"/>
    </row>
    <row r="32060" spans="23:23" x14ac:dyDescent="0.55000000000000004">
      <c r="W32060"/>
    </row>
    <row r="32061" spans="23:23" x14ac:dyDescent="0.55000000000000004">
      <c r="W32061"/>
    </row>
    <row r="32062" spans="23:23" x14ac:dyDescent="0.55000000000000004">
      <c r="W32062"/>
    </row>
    <row r="32063" spans="23:23" x14ac:dyDescent="0.55000000000000004">
      <c r="W32063"/>
    </row>
    <row r="32064" spans="23:23" x14ac:dyDescent="0.55000000000000004">
      <c r="W32064"/>
    </row>
    <row r="32065" spans="23:23" x14ac:dyDescent="0.55000000000000004">
      <c r="W32065"/>
    </row>
    <row r="32066" spans="23:23" x14ac:dyDescent="0.55000000000000004">
      <c r="W32066"/>
    </row>
    <row r="32067" spans="23:23" x14ac:dyDescent="0.55000000000000004">
      <c r="W32067"/>
    </row>
    <row r="32068" spans="23:23" x14ac:dyDescent="0.55000000000000004">
      <c r="W32068"/>
    </row>
    <row r="32069" spans="23:23" x14ac:dyDescent="0.55000000000000004">
      <c r="W32069"/>
    </row>
    <row r="32070" spans="23:23" x14ac:dyDescent="0.55000000000000004">
      <c r="W32070"/>
    </row>
    <row r="32071" spans="23:23" x14ac:dyDescent="0.55000000000000004">
      <c r="W32071"/>
    </row>
    <row r="32072" spans="23:23" x14ac:dyDescent="0.55000000000000004">
      <c r="W32072"/>
    </row>
    <row r="32073" spans="23:23" x14ac:dyDescent="0.55000000000000004">
      <c r="W32073"/>
    </row>
    <row r="32074" spans="23:23" x14ac:dyDescent="0.55000000000000004">
      <c r="W32074"/>
    </row>
    <row r="32075" spans="23:23" x14ac:dyDescent="0.55000000000000004">
      <c r="W32075"/>
    </row>
    <row r="32076" spans="23:23" x14ac:dyDescent="0.55000000000000004">
      <c r="W32076"/>
    </row>
    <row r="32077" spans="23:23" x14ac:dyDescent="0.55000000000000004">
      <c r="W32077"/>
    </row>
    <row r="32078" spans="23:23" x14ac:dyDescent="0.55000000000000004">
      <c r="W32078"/>
    </row>
    <row r="32079" spans="23:23" x14ac:dyDescent="0.55000000000000004">
      <c r="W32079"/>
    </row>
    <row r="32080" spans="23:23" x14ac:dyDescent="0.55000000000000004">
      <c r="W32080"/>
    </row>
    <row r="32081" spans="23:23" x14ac:dyDescent="0.55000000000000004">
      <c r="W32081"/>
    </row>
    <row r="32082" spans="23:23" x14ac:dyDescent="0.55000000000000004">
      <c r="W32082"/>
    </row>
    <row r="32083" spans="23:23" x14ac:dyDescent="0.55000000000000004">
      <c r="W32083"/>
    </row>
    <row r="32084" spans="23:23" x14ac:dyDescent="0.55000000000000004">
      <c r="W32084"/>
    </row>
    <row r="32085" spans="23:23" x14ac:dyDescent="0.55000000000000004">
      <c r="W32085"/>
    </row>
    <row r="32086" spans="23:23" x14ac:dyDescent="0.55000000000000004">
      <c r="W32086"/>
    </row>
    <row r="32087" spans="23:23" x14ac:dyDescent="0.55000000000000004">
      <c r="W32087"/>
    </row>
    <row r="32088" spans="23:23" x14ac:dyDescent="0.55000000000000004">
      <c r="W32088"/>
    </row>
    <row r="32089" spans="23:23" x14ac:dyDescent="0.55000000000000004">
      <c r="W32089"/>
    </row>
    <row r="32090" spans="23:23" x14ac:dyDescent="0.55000000000000004">
      <c r="W32090"/>
    </row>
    <row r="32091" spans="23:23" x14ac:dyDescent="0.55000000000000004">
      <c r="W32091"/>
    </row>
    <row r="32092" spans="23:23" x14ac:dyDescent="0.55000000000000004">
      <c r="W32092"/>
    </row>
    <row r="32093" spans="23:23" x14ac:dyDescent="0.55000000000000004">
      <c r="W32093"/>
    </row>
    <row r="32094" spans="23:23" x14ac:dyDescent="0.55000000000000004">
      <c r="W32094"/>
    </row>
    <row r="32095" spans="23:23" x14ac:dyDescent="0.55000000000000004">
      <c r="W32095"/>
    </row>
    <row r="32096" spans="23:23" x14ac:dyDescent="0.55000000000000004">
      <c r="W32096"/>
    </row>
    <row r="32097" spans="23:23" x14ac:dyDescent="0.55000000000000004">
      <c r="W32097"/>
    </row>
    <row r="32098" spans="23:23" x14ac:dyDescent="0.55000000000000004">
      <c r="W32098"/>
    </row>
    <row r="32099" spans="23:23" x14ac:dyDescent="0.55000000000000004">
      <c r="W32099"/>
    </row>
    <row r="32100" spans="23:23" x14ac:dyDescent="0.55000000000000004">
      <c r="W32100"/>
    </row>
    <row r="32101" spans="23:23" x14ac:dyDescent="0.55000000000000004">
      <c r="W32101"/>
    </row>
    <row r="32102" spans="23:23" x14ac:dyDescent="0.55000000000000004">
      <c r="W32102"/>
    </row>
    <row r="32103" spans="23:23" x14ac:dyDescent="0.55000000000000004">
      <c r="W32103"/>
    </row>
    <row r="32104" spans="23:23" x14ac:dyDescent="0.55000000000000004">
      <c r="W32104"/>
    </row>
    <row r="32105" spans="23:23" x14ac:dyDescent="0.55000000000000004">
      <c r="W32105"/>
    </row>
    <row r="32106" spans="23:23" x14ac:dyDescent="0.55000000000000004">
      <c r="W32106"/>
    </row>
    <row r="32107" spans="23:23" x14ac:dyDescent="0.55000000000000004">
      <c r="W32107"/>
    </row>
    <row r="32108" spans="23:23" x14ac:dyDescent="0.55000000000000004">
      <c r="W32108"/>
    </row>
    <row r="32109" spans="23:23" x14ac:dyDescent="0.55000000000000004">
      <c r="W32109"/>
    </row>
    <row r="32110" spans="23:23" x14ac:dyDescent="0.55000000000000004">
      <c r="W32110"/>
    </row>
    <row r="32111" spans="23:23" x14ac:dyDescent="0.55000000000000004">
      <c r="W32111"/>
    </row>
    <row r="32112" spans="23:23" x14ac:dyDescent="0.55000000000000004">
      <c r="W32112"/>
    </row>
    <row r="32113" spans="23:23" x14ac:dyDescent="0.55000000000000004">
      <c r="W32113"/>
    </row>
    <row r="32114" spans="23:23" x14ac:dyDescent="0.55000000000000004">
      <c r="W32114"/>
    </row>
    <row r="32115" spans="23:23" x14ac:dyDescent="0.55000000000000004">
      <c r="W32115"/>
    </row>
    <row r="32116" spans="23:23" x14ac:dyDescent="0.55000000000000004">
      <c r="W32116"/>
    </row>
    <row r="32117" spans="23:23" x14ac:dyDescent="0.55000000000000004">
      <c r="W32117"/>
    </row>
    <row r="32118" spans="23:23" x14ac:dyDescent="0.55000000000000004">
      <c r="W32118"/>
    </row>
    <row r="32119" spans="23:23" x14ac:dyDescent="0.55000000000000004">
      <c r="W32119"/>
    </row>
    <row r="32120" spans="23:23" x14ac:dyDescent="0.55000000000000004">
      <c r="W32120"/>
    </row>
    <row r="32121" spans="23:23" x14ac:dyDescent="0.55000000000000004">
      <c r="W32121"/>
    </row>
    <row r="32122" spans="23:23" x14ac:dyDescent="0.55000000000000004">
      <c r="W32122"/>
    </row>
    <row r="32123" spans="23:23" x14ac:dyDescent="0.55000000000000004">
      <c r="W32123"/>
    </row>
    <row r="32124" spans="23:23" x14ac:dyDescent="0.55000000000000004">
      <c r="W32124"/>
    </row>
    <row r="32125" spans="23:23" x14ac:dyDescent="0.55000000000000004">
      <c r="W32125"/>
    </row>
    <row r="32126" spans="23:23" x14ac:dyDescent="0.55000000000000004">
      <c r="W32126"/>
    </row>
    <row r="32127" spans="23:23" x14ac:dyDescent="0.55000000000000004">
      <c r="W32127"/>
    </row>
    <row r="32128" spans="23:23" x14ac:dyDescent="0.55000000000000004">
      <c r="W32128"/>
    </row>
    <row r="32129" spans="23:23" x14ac:dyDescent="0.55000000000000004">
      <c r="W32129"/>
    </row>
    <row r="32130" spans="23:23" x14ac:dyDescent="0.55000000000000004">
      <c r="W32130"/>
    </row>
    <row r="32131" spans="23:23" x14ac:dyDescent="0.55000000000000004">
      <c r="W32131"/>
    </row>
    <row r="32132" spans="23:23" x14ac:dyDescent="0.55000000000000004">
      <c r="W32132"/>
    </row>
    <row r="32133" spans="23:23" x14ac:dyDescent="0.55000000000000004">
      <c r="W32133"/>
    </row>
    <row r="32134" spans="23:23" x14ac:dyDescent="0.55000000000000004">
      <c r="W32134"/>
    </row>
    <row r="32135" spans="23:23" x14ac:dyDescent="0.55000000000000004">
      <c r="W32135"/>
    </row>
    <row r="32136" spans="23:23" x14ac:dyDescent="0.55000000000000004">
      <c r="W32136"/>
    </row>
    <row r="32137" spans="23:23" x14ac:dyDescent="0.55000000000000004">
      <c r="W32137"/>
    </row>
    <row r="32138" spans="23:23" x14ac:dyDescent="0.55000000000000004">
      <c r="W32138"/>
    </row>
    <row r="32139" spans="23:23" x14ac:dyDescent="0.55000000000000004">
      <c r="W32139"/>
    </row>
    <row r="32140" spans="23:23" x14ac:dyDescent="0.55000000000000004">
      <c r="W32140"/>
    </row>
    <row r="32141" spans="23:23" x14ac:dyDescent="0.55000000000000004">
      <c r="W32141"/>
    </row>
    <row r="32142" spans="23:23" x14ac:dyDescent="0.55000000000000004">
      <c r="W32142"/>
    </row>
    <row r="32143" spans="23:23" x14ac:dyDescent="0.55000000000000004">
      <c r="W32143"/>
    </row>
    <row r="32144" spans="23:23" x14ac:dyDescent="0.55000000000000004">
      <c r="W32144"/>
    </row>
    <row r="32145" spans="23:23" x14ac:dyDescent="0.55000000000000004">
      <c r="W32145"/>
    </row>
    <row r="32146" spans="23:23" x14ac:dyDescent="0.55000000000000004">
      <c r="W32146"/>
    </row>
    <row r="32147" spans="23:23" x14ac:dyDescent="0.55000000000000004">
      <c r="W32147"/>
    </row>
    <row r="32148" spans="23:23" x14ac:dyDescent="0.55000000000000004">
      <c r="W32148"/>
    </row>
    <row r="32149" spans="23:23" x14ac:dyDescent="0.55000000000000004">
      <c r="W32149"/>
    </row>
    <row r="32150" spans="23:23" x14ac:dyDescent="0.55000000000000004">
      <c r="W32150"/>
    </row>
    <row r="32151" spans="23:23" x14ac:dyDescent="0.55000000000000004">
      <c r="W32151"/>
    </row>
    <row r="32152" spans="23:23" x14ac:dyDescent="0.55000000000000004">
      <c r="W32152"/>
    </row>
    <row r="32153" spans="23:23" x14ac:dyDescent="0.55000000000000004">
      <c r="W32153"/>
    </row>
    <row r="32154" spans="23:23" x14ac:dyDescent="0.55000000000000004">
      <c r="W32154"/>
    </row>
    <row r="32155" spans="23:23" x14ac:dyDescent="0.55000000000000004">
      <c r="W32155"/>
    </row>
    <row r="32156" spans="23:23" x14ac:dyDescent="0.55000000000000004">
      <c r="W32156"/>
    </row>
    <row r="32157" spans="23:23" x14ac:dyDescent="0.55000000000000004">
      <c r="W32157"/>
    </row>
    <row r="32158" spans="23:23" x14ac:dyDescent="0.55000000000000004">
      <c r="W32158"/>
    </row>
    <row r="32159" spans="23:23" x14ac:dyDescent="0.55000000000000004">
      <c r="W32159"/>
    </row>
    <row r="32160" spans="23:23" x14ac:dyDescent="0.55000000000000004">
      <c r="W32160"/>
    </row>
    <row r="32161" spans="23:23" x14ac:dyDescent="0.55000000000000004">
      <c r="W32161"/>
    </row>
    <row r="32162" spans="23:23" x14ac:dyDescent="0.55000000000000004">
      <c r="W32162"/>
    </row>
    <row r="32163" spans="23:23" x14ac:dyDescent="0.55000000000000004">
      <c r="W32163"/>
    </row>
    <row r="32164" spans="23:23" x14ac:dyDescent="0.55000000000000004">
      <c r="W32164"/>
    </row>
    <row r="32165" spans="23:23" x14ac:dyDescent="0.55000000000000004">
      <c r="W32165"/>
    </row>
    <row r="32166" spans="23:23" x14ac:dyDescent="0.55000000000000004">
      <c r="W32166"/>
    </row>
    <row r="32167" spans="23:23" x14ac:dyDescent="0.55000000000000004">
      <c r="W32167"/>
    </row>
    <row r="32168" spans="23:23" x14ac:dyDescent="0.55000000000000004">
      <c r="W32168"/>
    </row>
    <row r="32169" spans="23:23" x14ac:dyDescent="0.55000000000000004">
      <c r="W32169"/>
    </row>
    <row r="32170" spans="23:23" x14ac:dyDescent="0.55000000000000004">
      <c r="W32170"/>
    </row>
    <row r="32171" spans="23:23" x14ac:dyDescent="0.55000000000000004">
      <c r="W32171"/>
    </row>
    <row r="32172" spans="23:23" x14ac:dyDescent="0.55000000000000004">
      <c r="W32172"/>
    </row>
    <row r="32173" spans="23:23" x14ac:dyDescent="0.55000000000000004">
      <c r="W32173"/>
    </row>
    <row r="32174" spans="23:23" x14ac:dyDescent="0.55000000000000004">
      <c r="W32174"/>
    </row>
    <row r="32175" spans="23:23" x14ac:dyDescent="0.55000000000000004">
      <c r="W32175"/>
    </row>
    <row r="32176" spans="23:23" x14ac:dyDescent="0.55000000000000004">
      <c r="W32176"/>
    </row>
    <row r="32177" spans="23:23" x14ac:dyDescent="0.55000000000000004">
      <c r="W32177"/>
    </row>
    <row r="32178" spans="23:23" x14ac:dyDescent="0.55000000000000004">
      <c r="W32178"/>
    </row>
    <row r="32179" spans="23:23" x14ac:dyDescent="0.55000000000000004">
      <c r="W32179"/>
    </row>
    <row r="32180" spans="23:23" x14ac:dyDescent="0.55000000000000004">
      <c r="W32180"/>
    </row>
    <row r="32181" spans="23:23" x14ac:dyDescent="0.55000000000000004">
      <c r="W32181"/>
    </row>
    <row r="32182" spans="23:23" x14ac:dyDescent="0.55000000000000004">
      <c r="W32182"/>
    </row>
    <row r="32183" spans="23:23" x14ac:dyDescent="0.55000000000000004">
      <c r="W32183"/>
    </row>
    <row r="32184" spans="23:23" x14ac:dyDescent="0.55000000000000004">
      <c r="W32184"/>
    </row>
    <row r="32185" spans="23:23" x14ac:dyDescent="0.55000000000000004">
      <c r="W32185"/>
    </row>
    <row r="32186" spans="23:23" x14ac:dyDescent="0.55000000000000004">
      <c r="W32186"/>
    </row>
    <row r="32187" spans="23:23" x14ac:dyDescent="0.55000000000000004">
      <c r="W32187"/>
    </row>
    <row r="32188" spans="23:23" x14ac:dyDescent="0.55000000000000004">
      <c r="W32188"/>
    </row>
    <row r="32189" spans="23:23" x14ac:dyDescent="0.55000000000000004">
      <c r="W32189"/>
    </row>
    <row r="32190" spans="23:23" x14ac:dyDescent="0.55000000000000004">
      <c r="W32190"/>
    </row>
    <row r="32191" spans="23:23" x14ac:dyDescent="0.55000000000000004">
      <c r="W32191"/>
    </row>
    <row r="32192" spans="23:23" x14ac:dyDescent="0.55000000000000004">
      <c r="W32192"/>
    </row>
    <row r="32193" spans="23:23" x14ac:dyDescent="0.55000000000000004">
      <c r="W32193"/>
    </row>
    <row r="32194" spans="23:23" x14ac:dyDescent="0.55000000000000004">
      <c r="W32194"/>
    </row>
    <row r="32195" spans="23:23" x14ac:dyDescent="0.55000000000000004">
      <c r="W32195"/>
    </row>
    <row r="32196" spans="23:23" x14ac:dyDescent="0.55000000000000004">
      <c r="W32196"/>
    </row>
    <row r="32197" spans="23:23" x14ac:dyDescent="0.55000000000000004">
      <c r="W32197"/>
    </row>
    <row r="32198" spans="23:23" x14ac:dyDescent="0.55000000000000004">
      <c r="W32198"/>
    </row>
    <row r="32199" spans="23:23" x14ac:dyDescent="0.55000000000000004">
      <c r="W32199"/>
    </row>
    <row r="32200" spans="23:23" x14ac:dyDescent="0.55000000000000004">
      <c r="W32200"/>
    </row>
    <row r="32201" spans="23:23" x14ac:dyDescent="0.55000000000000004">
      <c r="W32201"/>
    </row>
    <row r="32202" spans="23:23" x14ac:dyDescent="0.55000000000000004">
      <c r="W32202"/>
    </row>
    <row r="32203" spans="23:23" x14ac:dyDescent="0.55000000000000004">
      <c r="W32203"/>
    </row>
    <row r="32204" spans="23:23" x14ac:dyDescent="0.55000000000000004">
      <c r="W32204"/>
    </row>
    <row r="32205" spans="23:23" x14ac:dyDescent="0.55000000000000004">
      <c r="W32205"/>
    </row>
    <row r="32206" spans="23:23" x14ac:dyDescent="0.55000000000000004">
      <c r="W32206"/>
    </row>
    <row r="32207" spans="23:23" x14ac:dyDescent="0.55000000000000004">
      <c r="W32207"/>
    </row>
    <row r="32208" spans="23:23" x14ac:dyDescent="0.55000000000000004">
      <c r="W32208"/>
    </row>
    <row r="32209" spans="23:23" x14ac:dyDescent="0.55000000000000004">
      <c r="W32209"/>
    </row>
    <row r="32210" spans="23:23" x14ac:dyDescent="0.55000000000000004">
      <c r="W32210"/>
    </row>
    <row r="32211" spans="23:23" x14ac:dyDescent="0.55000000000000004">
      <c r="W32211"/>
    </row>
    <row r="32212" spans="23:23" x14ac:dyDescent="0.55000000000000004">
      <c r="W32212"/>
    </row>
    <row r="32213" spans="23:23" x14ac:dyDescent="0.55000000000000004">
      <c r="W32213"/>
    </row>
    <row r="32214" spans="23:23" x14ac:dyDescent="0.55000000000000004">
      <c r="W32214"/>
    </row>
    <row r="32215" spans="23:23" x14ac:dyDescent="0.55000000000000004">
      <c r="W32215"/>
    </row>
    <row r="32216" spans="23:23" x14ac:dyDescent="0.55000000000000004">
      <c r="W32216"/>
    </row>
    <row r="32217" spans="23:23" x14ac:dyDescent="0.55000000000000004">
      <c r="W32217"/>
    </row>
    <row r="32218" spans="23:23" x14ac:dyDescent="0.55000000000000004">
      <c r="W32218"/>
    </row>
    <row r="32219" spans="23:23" x14ac:dyDescent="0.55000000000000004">
      <c r="W32219"/>
    </row>
    <row r="32220" spans="23:23" x14ac:dyDescent="0.55000000000000004">
      <c r="W32220"/>
    </row>
    <row r="32221" spans="23:23" x14ac:dyDescent="0.55000000000000004">
      <c r="W32221"/>
    </row>
    <row r="32222" spans="23:23" x14ac:dyDescent="0.55000000000000004">
      <c r="W32222"/>
    </row>
    <row r="32223" spans="23:23" x14ac:dyDescent="0.55000000000000004">
      <c r="W32223"/>
    </row>
    <row r="32224" spans="23:23" x14ac:dyDescent="0.55000000000000004">
      <c r="W32224"/>
    </row>
    <row r="32225" spans="23:23" x14ac:dyDescent="0.55000000000000004">
      <c r="W32225"/>
    </row>
    <row r="32226" spans="23:23" x14ac:dyDescent="0.55000000000000004">
      <c r="W32226"/>
    </row>
    <row r="32227" spans="23:23" x14ac:dyDescent="0.55000000000000004">
      <c r="W32227"/>
    </row>
    <row r="32228" spans="23:23" x14ac:dyDescent="0.55000000000000004">
      <c r="W32228"/>
    </row>
    <row r="32229" spans="23:23" x14ac:dyDescent="0.55000000000000004">
      <c r="W32229"/>
    </row>
    <row r="32230" spans="23:23" x14ac:dyDescent="0.55000000000000004">
      <c r="W32230"/>
    </row>
    <row r="32231" spans="23:23" x14ac:dyDescent="0.55000000000000004">
      <c r="W32231"/>
    </row>
    <row r="32232" spans="23:23" x14ac:dyDescent="0.55000000000000004">
      <c r="W32232"/>
    </row>
    <row r="32233" spans="23:23" x14ac:dyDescent="0.55000000000000004">
      <c r="W32233"/>
    </row>
    <row r="32234" spans="23:23" x14ac:dyDescent="0.55000000000000004">
      <c r="W32234"/>
    </row>
    <row r="32235" spans="23:23" x14ac:dyDescent="0.55000000000000004">
      <c r="W32235"/>
    </row>
    <row r="32236" spans="23:23" x14ac:dyDescent="0.55000000000000004">
      <c r="W32236"/>
    </row>
    <row r="32237" spans="23:23" x14ac:dyDescent="0.55000000000000004">
      <c r="W32237"/>
    </row>
    <row r="32238" spans="23:23" x14ac:dyDescent="0.55000000000000004">
      <c r="W32238"/>
    </row>
    <row r="32239" spans="23:23" x14ac:dyDescent="0.55000000000000004">
      <c r="W32239"/>
    </row>
    <row r="32240" spans="23:23" x14ac:dyDescent="0.55000000000000004">
      <c r="W32240"/>
    </row>
    <row r="32241" spans="23:23" x14ac:dyDescent="0.55000000000000004">
      <c r="W32241"/>
    </row>
    <row r="32242" spans="23:23" x14ac:dyDescent="0.55000000000000004">
      <c r="W32242"/>
    </row>
    <row r="32243" spans="23:23" x14ac:dyDescent="0.55000000000000004">
      <c r="W32243"/>
    </row>
    <row r="32244" spans="23:23" x14ac:dyDescent="0.55000000000000004">
      <c r="W32244"/>
    </row>
    <row r="32245" spans="23:23" x14ac:dyDescent="0.55000000000000004">
      <c r="W32245"/>
    </row>
    <row r="32246" spans="23:23" x14ac:dyDescent="0.55000000000000004">
      <c r="W32246"/>
    </row>
    <row r="32247" spans="23:23" x14ac:dyDescent="0.55000000000000004">
      <c r="W32247"/>
    </row>
    <row r="32248" spans="23:23" x14ac:dyDescent="0.55000000000000004">
      <c r="W32248"/>
    </row>
    <row r="32249" spans="23:23" x14ac:dyDescent="0.55000000000000004">
      <c r="W32249"/>
    </row>
    <row r="32250" spans="23:23" x14ac:dyDescent="0.55000000000000004">
      <c r="W32250"/>
    </row>
    <row r="32251" spans="23:23" x14ac:dyDescent="0.55000000000000004">
      <c r="W32251"/>
    </row>
    <row r="32252" spans="23:23" x14ac:dyDescent="0.55000000000000004">
      <c r="W32252"/>
    </row>
    <row r="32253" spans="23:23" x14ac:dyDescent="0.55000000000000004">
      <c r="W32253"/>
    </row>
    <row r="32254" spans="23:23" x14ac:dyDescent="0.55000000000000004">
      <c r="W32254"/>
    </row>
    <row r="32255" spans="23:23" x14ac:dyDescent="0.55000000000000004">
      <c r="W32255"/>
    </row>
    <row r="32256" spans="23:23" x14ac:dyDescent="0.55000000000000004">
      <c r="W32256"/>
    </row>
    <row r="32257" spans="23:23" x14ac:dyDescent="0.55000000000000004">
      <c r="W32257"/>
    </row>
    <row r="32258" spans="23:23" x14ac:dyDescent="0.55000000000000004">
      <c r="W32258"/>
    </row>
    <row r="32259" spans="23:23" x14ac:dyDescent="0.55000000000000004">
      <c r="W32259"/>
    </row>
    <row r="32260" spans="23:23" x14ac:dyDescent="0.55000000000000004">
      <c r="W32260"/>
    </row>
    <row r="32261" spans="23:23" x14ac:dyDescent="0.55000000000000004">
      <c r="W32261"/>
    </row>
    <row r="32262" spans="23:23" x14ac:dyDescent="0.55000000000000004">
      <c r="W32262"/>
    </row>
    <row r="32263" spans="23:23" x14ac:dyDescent="0.55000000000000004">
      <c r="W32263"/>
    </row>
    <row r="32264" spans="23:23" x14ac:dyDescent="0.55000000000000004">
      <c r="W32264"/>
    </row>
    <row r="32265" spans="23:23" x14ac:dyDescent="0.55000000000000004">
      <c r="W32265"/>
    </row>
    <row r="32266" spans="23:23" x14ac:dyDescent="0.55000000000000004">
      <c r="W32266"/>
    </row>
    <row r="32267" spans="23:23" x14ac:dyDescent="0.55000000000000004">
      <c r="W32267"/>
    </row>
    <row r="32268" spans="23:23" x14ac:dyDescent="0.55000000000000004">
      <c r="W32268"/>
    </row>
    <row r="32269" spans="23:23" x14ac:dyDescent="0.55000000000000004">
      <c r="W32269"/>
    </row>
    <row r="32270" spans="23:23" x14ac:dyDescent="0.55000000000000004">
      <c r="W32270"/>
    </row>
    <row r="32271" spans="23:23" x14ac:dyDescent="0.55000000000000004">
      <c r="W32271"/>
    </row>
    <row r="32272" spans="23:23" x14ac:dyDescent="0.55000000000000004">
      <c r="W32272"/>
    </row>
    <row r="32273" spans="23:23" x14ac:dyDescent="0.55000000000000004">
      <c r="W32273"/>
    </row>
    <row r="32274" spans="23:23" x14ac:dyDescent="0.55000000000000004">
      <c r="W32274"/>
    </row>
    <row r="32275" spans="23:23" x14ac:dyDescent="0.55000000000000004">
      <c r="W32275"/>
    </row>
    <row r="32276" spans="23:23" x14ac:dyDescent="0.55000000000000004">
      <c r="W32276"/>
    </row>
    <row r="32277" spans="23:23" x14ac:dyDescent="0.55000000000000004">
      <c r="W32277"/>
    </row>
    <row r="32278" spans="23:23" x14ac:dyDescent="0.55000000000000004">
      <c r="W32278"/>
    </row>
    <row r="32279" spans="23:23" x14ac:dyDescent="0.55000000000000004">
      <c r="W32279"/>
    </row>
    <row r="32280" spans="23:23" x14ac:dyDescent="0.55000000000000004">
      <c r="W32280"/>
    </row>
    <row r="32281" spans="23:23" x14ac:dyDescent="0.55000000000000004">
      <c r="W32281"/>
    </row>
    <row r="32282" spans="23:23" x14ac:dyDescent="0.55000000000000004">
      <c r="W32282"/>
    </row>
    <row r="32283" spans="23:23" x14ac:dyDescent="0.55000000000000004">
      <c r="W32283"/>
    </row>
    <row r="32284" spans="23:23" x14ac:dyDescent="0.55000000000000004">
      <c r="W32284"/>
    </row>
    <row r="32285" spans="23:23" x14ac:dyDescent="0.55000000000000004">
      <c r="W32285"/>
    </row>
    <row r="32286" spans="23:23" x14ac:dyDescent="0.55000000000000004">
      <c r="W32286"/>
    </row>
    <row r="32287" spans="23:23" x14ac:dyDescent="0.55000000000000004">
      <c r="W32287"/>
    </row>
    <row r="32288" spans="23:23" x14ac:dyDescent="0.55000000000000004">
      <c r="W32288"/>
    </row>
    <row r="32289" spans="23:23" x14ac:dyDescent="0.55000000000000004">
      <c r="W32289"/>
    </row>
    <row r="32290" spans="23:23" x14ac:dyDescent="0.55000000000000004">
      <c r="W32290"/>
    </row>
    <row r="32291" spans="23:23" x14ac:dyDescent="0.55000000000000004">
      <c r="W32291"/>
    </row>
    <row r="32292" spans="23:23" x14ac:dyDescent="0.55000000000000004">
      <c r="W32292"/>
    </row>
    <row r="32293" spans="23:23" x14ac:dyDescent="0.55000000000000004">
      <c r="W32293"/>
    </row>
    <row r="32294" spans="23:23" x14ac:dyDescent="0.55000000000000004">
      <c r="W32294"/>
    </row>
    <row r="32295" spans="23:23" x14ac:dyDescent="0.55000000000000004">
      <c r="W32295"/>
    </row>
    <row r="32296" spans="23:23" x14ac:dyDescent="0.55000000000000004">
      <c r="W32296"/>
    </row>
    <row r="32297" spans="23:23" x14ac:dyDescent="0.55000000000000004">
      <c r="W32297"/>
    </row>
    <row r="32298" spans="23:23" x14ac:dyDescent="0.55000000000000004">
      <c r="W32298"/>
    </row>
    <row r="32299" spans="23:23" x14ac:dyDescent="0.55000000000000004">
      <c r="W32299"/>
    </row>
    <row r="32300" spans="23:23" x14ac:dyDescent="0.55000000000000004">
      <c r="W32300"/>
    </row>
    <row r="32301" spans="23:23" x14ac:dyDescent="0.55000000000000004">
      <c r="W32301"/>
    </row>
    <row r="32302" spans="23:23" x14ac:dyDescent="0.55000000000000004">
      <c r="W32302"/>
    </row>
    <row r="32303" spans="23:23" x14ac:dyDescent="0.55000000000000004">
      <c r="W32303"/>
    </row>
    <row r="32304" spans="23:23" x14ac:dyDescent="0.55000000000000004">
      <c r="W32304"/>
    </row>
    <row r="32305" spans="23:23" x14ac:dyDescent="0.55000000000000004">
      <c r="W32305"/>
    </row>
    <row r="32306" spans="23:23" x14ac:dyDescent="0.55000000000000004">
      <c r="W32306"/>
    </row>
    <row r="32307" spans="23:23" x14ac:dyDescent="0.55000000000000004">
      <c r="W32307"/>
    </row>
    <row r="32308" spans="23:23" x14ac:dyDescent="0.55000000000000004">
      <c r="W32308"/>
    </row>
    <row r="32309" spans="23:23" x14ac:dyDescent="0.55000000000000004">
      <c r="W32309"/>
    </row>
    <row r="32310" spans="23:23" x14ac:dyDescent="0.55000000000000004">
      <c r="W32310"/>
    </row>
    <row r="32311" spans="23:23" x14ac:dyDescent="0.55000000000000004">
      <c r="W32311"/>
    </row>
    <row r="32312" spans="23:23" x14ac:dyDescent="0.55000000000000004">
      <c r="W32312"/>
    </row>
    <row r="32313" spans="23:23" x14ac:dyDescent="0.55000000000000004">
      <c r="W32313"/>
    </row>
    <row r="32314" spans="23:23" x14ac:dyDescent="0.55000000000000004">
      <c r="W32314"/>
    </row>
    <row r="32315" spans="23:23" x14ac:dyDescent="0.55000000000000004">
      <c r="W32315"/>
    </row>
    <row r="32316" spans="23:23" x14ac:dyDescent="0.55000000000000004">
      <c r="W32316"/>
    </row>
    <row r="32317" spans="23:23" x14ac:dyDescent="0.55000000000000004">
      <c r="W32317"/>
    </row>
    <row r="32318" spans="23:23" x14ac:dyDescent="0.55000000000000004">
      <c r="W32318"/>
    </row>
    <row r="32319" spans="23:23" x14ac:dyDescent="0.55000000000000004">
      <c r="W32319"/>
    </row>
    <row r="32320" spans="23:23" x14ac:dyDescent="0.55000000000000004">
      <c r="W32320"/>
    </row>
    <row r="32321" spans="23:23" x14ac:dyDescent="0.55000000000000004">
      <c r="W32321"/>
    </row>
    <row r="32322" spans="23:23" x14ac:dyDescent="0.55000000000000004">
      <c r="W32322"/>
    </row>
    <row r="32323" spans="23:23" x14ac:dyDescent="0.55000000000000004">
      <c r="W32323"/>
    </row>
    <row r="32324" spans="23:23" x14ac:dyDescent="0.55000000000000004">
      <c r="W32324"/>
    </row>
    <row r="32325" spans="23:23" x14ac:dyDescent="0.55000000000000004">
      <c r="W32325"/>
    </row>
    <row r="32326" spans="23:23" x14ac:dyDescent="0.55000000000000004">
      <c r="W32326"/>
    </row>
    <row r="32327" spans="23:23" x14ac:dyDescent="0.55000000000000004">
      <c r="W32327"/>
    </row>
    <row r="32328" spans="23:23" x14ac:dyDescent="0.55000000000000004">
      <c r="W32328"/>
    </row>
    <row r="32329" spans="23:23" x14ac:dyDescent="0.55000000000000004">
      <c r="W32329"/>
    </row>
    <row r="32330" spans="23:23" x14ac:dyDescent="0.55000000000000004">
      <c r="W32330"/>
    </row>
    <row r="32331" spans="23:23" x14ac:dyDescent="0.55000000000000004">
      <c r="W32331"/>
    </row>
    <row r="32332" spans="23:23" x14ac:dyDescent="0.55000000000000004">
      <c r="W32332"/>
    </row>
    <row r="32333" spans="23:23" x14ac:dyDescent="0.55000000000000004">
      <c r="W32333"/>
    </row>
    <row r="32334" spans="23:23" x14ac:dyDescent="0.55000000000000004">
      <c r="W32334"/>
    </row>
    <row r="32335" spans="23:23" x14ac:dyDescent="0.55000000000000004">
      <c r="W32335"/>
    </row>
    <row r="32336" spans="23:23" x14ac:dyDescent="0.55000000000000004">
      <c r="W32336"/>
    </row>
    <row r="32337" spans="23:23" x14ac:dyDescent="0.55000000000000004">
      <c r="W32337"/>
    </row>
    <row r="32338" spans="23:23" x14ac:dyDescent="0.55000000000000004">
      <c r="W32338"/>
    </row>
    <row r="32339" spans="23:23" x14ac:dyDescent="0.55000000000000004">
      <c r="W32339"/>
    </row>
    <row r="32340" spans="23:23" x14ac:dyDescent="0.55000000000000004">
      <c r="W32340"/>
    </row>
    <row r="32341" spans="23:23" x14ac:dyDescent="0.55000000000000004">
      <c r="W32341"/>
    </row>
    <row r="32342" spans="23:23" x14ac:dyDescent="0.55000000000000004">
      <c r="W32342"/>
    </row>
    <row r="32343" spans="23:23" x14ac:dyDescent="0.55000000000000004">
      <c r="W32343"/>
    </row>
    <row r="32344" spans="23:23" x14ac:dyDescent="0.55000000000000004">
      <c r="W32344"/>
    </row>
    <row r="32345" spans="23:23" x14ac:dyDescent="0.55000000000000004">
      <c r="W32345"/>
    </row>
    <row r="32346" spans="23:23" x14ac:dyDescent="0.55000000000000004">
      <c r="W32346"/>
    </row>
    <row r="32347" spans="23:23" x14ac:dyDescent="0.55000000000000004">
      <c r="W32347"/>
    </row>
    <row r="32348" spans="23:23" x14ac:dyDescent="0.55000000000000004">
      <c r="W32348"/>
    </row>
    <row r="32349" spans="23:23" x14ac:dyDescent="0.55000000000000004">
      <c r="W32349"/>
    </row>
    <row r="32350" spans="23:23" x14ac:dyDescent="0.55000000000000004">
      <c r="W32350"/>
    </row>
    <row r="32351" spans="23:23" x14ac:dyDescent="0.55000000000000004">
      <c r="W32351"/>
    </row>
    <row r="32352" spans="23:23" x14ac:dyDescent="0.55000000000000004">
      <c r="W32352"/>
    </row>
    <row r="32353" spans="23:23" x14ac:dyDescent="0.55000000000000004">
      <c r="W32353"/>
    </row>
    <row r="32354" spans="23:23" x14ac:dyDescent="0.55000000000000004">
      <c r="W32354"/>
    </row>
    <row r="32355" spans="23:23" x14ac:dyDescent="0.55000000000000004">
      <c r="W32355"/>
    </row>
    <row r="32356" spans="23:23" x14ac:dyDescent="0.55000000000000004">
      <c r="W32356"/>
    </row>
    <row r="32357" spans="23:23" x14ac:dyDescent="0.55000000000000004">
      <c r="W32357"/>
    </row>
    <row r="32358" spans="23:23" x14ac:dyDescent="0.55000000000000004">
      <c r="W32358"/>
    </row>
    <row r="32359" spans="23:23" x14ac:dyDescent="0.55000000000000004">
      <c r="W32359"/>
    </row>
    <row r="32360" spans="23:23" x14ac:dyDescent="0.55000000000000004">
      <c r="W32360"/>
    </row>
    <row r="32361" spans="23:23" x14ac:dyDescent="0.55000000000000004">
      <c r="W32361"/>
    </row>
    <row r="32362" spans="23:23" x14ac:dyDescent="0.55000000000000004">
      <c r="W32362"/>
    </row>
    <row r="32363" spans="23:23" x14ac:dyDescent="0.55000000000000004">
      <c r="W32363"/>
    </row>
    <row r="32364" spans="23:23" x14ac:dyDescent="0.55000000000000004">
      <c r="W32364"/>
    </row>
    <row r="32365" spans="23:23" x14ac:dyDescent="0.55000000000000004">
      <c r="W32365"/>
    </row>
    <row r="32366" spans="23:23" x14ac:dyDescent="0.55000000000000004">
      <c r="W32366"/>
    </row>
    <row r="32367" spans="23:23" x14ac:dyDescent="0.55000000000000004">
      <c r="W32367"/>
    </row>
    <row r="32368" spans="23:23" x14ac:dyDescent="0.55000000000000004">
      <c r="W32368"/>
    </row>
    <row r="32369" spans="23:23" x14ac:dyDescent="0.55000000000000004">
      <c r="W32369"/>
    </row>
    <row r="32370" spans="23:23" x14ac:dyDescent="0.55000000000000004">
      <c r="W32370"/>
    </row>
    <row r="32371" spans="23:23" x14ac:dyDescent="0.55000000000000004">
      <c r="W32371"/>
    </row>
    <row r="32372" spans="23:23" x14ac:dyDescent="0.55000000000000004">
      <c r="W32372"/>
    </row>
    <row r="32373" spans="23:23" x14ac:dyDescent="0.55000000000000004">
      <c r="W32373"/>
    </row>
    <row r="32374" spans="23:23" x14ac:dyDescent="0.55000000000000004">
      <c r="W32374"/>
    </row>
    <row r="32375" spans="23:23" x14ac:dyDescent="0.55000000000000004">
      <c r="W32375"/>
    </row>
    <row r="32376" spans="23:23" x14ac:dyDescent="0.55000000000000004">
      <c r="W32376"/>
    </row>
    <row r="32377" spans="23:23" x14ac:dyDescent="0.55000000000000004">
      <c r="W32377"/>
    </row>
    <row r="32378" spans="23:23" x14ac:dyDescent="0.55000000000000004">
      <c r="W32378"/>
    </row>
    <row r="32379" spans="23:23" x14ac:dyDescent="0.55000000000000004">
      <c r="W32379"/>
    </row>
    <row r="32380" spans="23:23" x14ac:dyDescent="0.55000000000000004">
      <c r="W32380"/>
    </row>
    <row r="32381" spans="23:23" x14ac:dyDescent="0.55000000000000004">
      <c r="W32381"/>
    </row>
    <row r="32382" spans="23:23" x14ac:dyDescent="0.55000000000000004">
      <c r="W32382"/>
    </row>
    <row r="32383" spans="23:23" x14ac:dyDescent="0.55000000000000004">
      <c r="W32383"/>
    </row>
    <row r="32384" spans="23:23" x14ac:dyDescent="0.55000000000000004">
      <c r="W32384"/>
    </row>
    <row r="32385" spans="23:23" x14ac:dyDescent="0.55000000000000004">
      <c r="W32385"/>
    </row>
    <row r="32386" spans="23:23" x14ac:dyDescent="0.55000000000000004">
      <c r="W32386"/>
    </row>
    <row r="32387" spans="23:23" x14ac:dyDescent="0.55000000000000004">
      <c r="W32387"/>
    </row>
    <row r="32388" spans="23:23" x14ac:dyDescent="0.55000000000000004">
      <c r="W32388"/>
    </row>
    <row r="32389" spans="23:23" x14ac:dyDescent="0.55000000000000004">
      <c r="W32389"/>
    </row>
    <row r="32390" spans="23:23" x14ac:dyDescent="0.55000000000000004">
      <c r="W32390"/>
    </row>
    <row r="32391" spans="23:23" x14ac:dyDescent="0.55000000000000004">
      <c r="W32391"/>
    </row>
    <row r="32392" spans="23:23" x14ac:dyDescent="0.55000000000000004">
      <c r="W32392"/>
    </row>
    <row r="32393" spans="23:23" x14ac:dyDescent="0.55000000000000004">
      <c r="W32393"/>
    </row>
    <row r="32394" spans="23:23" x14ac:dyDescent="0.55000000000000004">
      <c r="W32394"/>
    </row>
    <row r="32395" spans="23:23" x14ac:dyDescent="0.55000000000000004">
      <c r="W32395"/>
    </row>
    <row r="32396" spans="23:23" x14ac:dyDescent="0.55000000000000004">
      <c r="W32396"/>
    </row>
    <row r="32397" spans="23:23" x14ac:dyDescent="0.55000000000000004">
      <c r="W32397"/>
    </row>
    <row r="32398" spans="23:23" x14ac:dyDescent="0.55000000000000004">
      <c r="W32398"/>
    </row>
    <row r="32399" spans="23:23" x14ac:dyDescent="0.55000000000000004">
      <c r="W32399"/>
    </row>
    <row r="32400" spans="23:23" x14ac:dyDescent="0.55000000000000004">
      <c r="W32400"/>
    </row>
    <row r="32401" spans="23:23" x14ac:dyDescent="0.55000000000000004">
      <c r="W32401"/>
    </row>
    <row r="32402" spans="23:23" x14ac:dyDescent="0.55000000000000004">
      <c r="W32402"/>
    </row>
    <row r="32403" spans="23:23" x14ac:dyDescent="0.55000000000000004">
      <c r="W32403"/>
    </row>
    <row r="32404" spans="23:23" x14ac:dyDescent="0.55000000000000004">
      <c r="W32404"/>
    </row>
    <row r="32405" spans="23:23" x14ac:dyDescent="0.55000000000000004">
      <c r="W32405"/>
    </row>
    <row r="32406" spans="23:23" x14ac:dyDescent="0.55000000000000004">
      <c r="W32406"/>
    </row>
    <row r="32407" spans="23:23" x14ac:dyDescent="0.55000000000000004">
      <c r="W32407"/>
    </row>
    <row r="32408" spans="23:23" x14ac:dyDescent="0.55000000000000004">
      <c r="W32408"/>
    </row>
    <row r="32409" spans="23:23" x14ac:dyDescent="0.55000000000000004">
      <c r="W32409"/>
    </row>
    <row r="32410" spans="23:23" x14ac:dyDescent="0.55000000000000004">
      <c r="W32410"/>
    </row>
    <row r="32411" spans="23:23" x14ac:dyDescent="0.55000000000000004">
      <c r="W32411"/>
    </row>
    <row r="32412" spans="23:23" x14ac:dyDescent="0.55000000000000004">
      <c r="W32412"/>
    </row>
    <row r="32413" spans="23:23" x14ac:dyDescent="0.55000000000000004">
      <c r="W32413"/>
    </row>
    <row r="32414" spans="23:23" x14ac:dyDescent="0.55000000000000004">
      <c r="W32414"/>
    </row>
    <row r="32415" spans="23:23" x14ac:dyDescent="0.55000000000000004">
      <c r="W32415"/>
    </row>
    <row r="32416" spans="23:23" x14ac:dyDescent="0.55000000000000004">
      <c r="W32416"/>
    </row>
    <row r="32417" spans="23:23" x14ac:dyDescent="0.55000000000000004">
      <c r="W32417"/>
    </row>
    <row r="32418" spans="23:23" x14ac:dyDescent="0.55000000000000004">
      <c r="W32418"/>
    </row>
    <row r="32419" spans="23:23" x14ac:dyDescent="0.55000000000000004">
      <c r="W32419"/>
    </row>
    <row r="32420" spans="23:23" x14ac:dyDescent="0.55000000000000004">
      <c r="W32420"/>
    </row>
    <row r="32421" spans="23:23" x14ac:dyDescent="0.55000000000000004">
      <c r="W32421"/>
    </row>
    <row r="32422" spans="23:23" x14ac:dyDescent="0.55000000000000004">
      <c r="W32422"/>
    </row>
    <row r="32423" spans="23:23" x14ac:dyDescent="0.55000000000000004">
      <c r="W32423"/>
    </row>
    <row r="32424" spans="23:23" x14ac:dyDescent="0.55000000000000004">
      <c r="W32424"/>
    </row>
    <row r="32425" spans="23:23" x14ac:dyDescent="0.55000000000000004">
      <c r="W32425"/>
    </row>
    <row r="32426" spans="23:23" x14ac:dyDescent="0.55000000000000004">
      <c r="W32426"/>
    </row>
    <row r="32427" spans="23:23" x14ac:dyDescent="0.55000000000000004">
      <c r="W32427"/>
    </row>
    <row r="32428" spans="23:23" x14ac:dyDescent="0.55000000000000004">
      <c r="W32428"/>
    </row>
    <row r="32429" spans="23:23" x14ac:dyDescent="0.55000000000000004">
      <c r="W32429"/>
    </row>
    <row r="32430" spans="23:23" x14ac:dyDescent="0.55000000000000004">
      <c r="W32430"/>
    </row>
    <row r="32431" spans="23:23" x14ac:dyDescent="0.55000000000000004">
      <c r="W32431"/>
    </row>
    <row r="32432" spans="23:23" x14ac:dyDescent="0.55000000000000004">
      <c r="W32432"/>
    </row>
    <row r="32433" spans="23:23" x14ac:dyDescent="0.55000000000000004">
      <c r="W32433"/>
    </row>
    <row r="32434" spans="23:23" x14ac:dyDescent="0.55000000000000004">
      <c r="W32434"/>
    </row>
    <row r="32435" spans="23:23" x14ac:dyDescent="0.55000000000000004">
      <c r="W32435"/>
    </row>
    <row r="32436" spans="23:23" x14ac:dyDescent="0.55000000000000004">
      <c r="W32436"/>
    </row>
    <row r="32437" spans="23:23" x14ac:dyDescent="0.55000000000000004">
      <c r="W32437"/>
    </row>
    <row r="32438" spans="23:23" x14ac:dyDescent="0.55000000000000004">
      <c r="W32438"/>
    </row>
    <row r="32439" spans="23:23" x14ac:dyDescent="0.55000000000000004">
      <c r="W32439"/>
    </row>
    <row r="32440" spans="23:23" x14ac:dyDescent="0.55000000000000004">
      <c r="W32440"/>
    </row>
    <row r="32441" spans="23:23" x14ac:dyDescent="0.55000000000000004">
      <c r="W32441"/>
    </row>
    <row r="32442" spans="23:23" x14ac:dyDescent="0.55000000000000004">
      <c r="W32442"/>
    </row>
    <row r="32443" spans="23:23" x14ac:dyDescent="0.55000000000000004">
      <c r="W32443"/>
    </row>
    <row r="32444" spans="23:23" x14ac:dyDescent="0.55000000000000004">
      <c r="W32444"/>
    </row>
    <row r="32445" spans="23:23" x14ac:dyDescent="0.55000000000000004">
      <c r="W32445"/>
    </row>
    <row r="32446" spans="23:23" x14ac:dyDescent="0.55000000000000004">
      <c r="W32446"/>
    </row>
    <row r="32447" spans="23:23" x14ac:dyDescent="0.55000000000000004">
      <c r="W32447"/>
    </row>
    <row r="32448" spans="23:23" x14ac:dyDescent="0.55000000000000004">
      <c r="W32448"/>
    </row>
    <row r="32449" spans="23:23" x14ac:dyDescent="0.55000000000000004">
      <c r="W32449"/>
    </row>
    <row r="32450" spans="23:23" x14ac:dyDescent="0.55000000000000004">
      <c r="W32450"/>
    </row>
    <row r="32451" spans="23:23" x14ac:dyDescent="0.55000000000000004">
      <c r="W32451"/>
    </row>
    <row r="32452" spans="23:23" x14ac:dyDescent="0.55000000000000004">
      <c r="W32452"/>
    </row>
    <row r="32453" spans="23:23" x14ac:dyDescent="0.55000000000000004">
      <c r="W32453"/>
    </row>
    <row r="32454" spans="23:23" x14ac:dyDescent="0.55000000000000004">
      <c r="W32454"/>
    </row>
    <row r="32455" spans="23:23" x14ac:dyDescent="0.55000000000000004">
      <c r="W32455"/>
    </row>
    <row r="32456" spans="23:23" x14ac:dyDescent="0.55000000000000004">
      <c r="W32456"/>
    </row>
    <row r="32457" spans="23:23" x14ac:dyDescent="0.55000000000000004">
      <c r="W32457"/>
    </row>
    <row r="32458" spans="23:23" x14ac:dyDescent="0.55000000000000004">
      <c r="W32458"/>
    </row>
    <row r="32459" spans="23:23" x14ac:dyDescent="0.55000000000000004">
      <c r="W32459"/>
    </row>
    <row r="32460" spans="23:23" x14ac:dyDescent="0.55000000000000004">
      <c r="W32460"/>
    </row>
    <row r="32461" spans="23:23" x14ac:dyDescent="0.55000000000000004">
      <c r="W32461"/>
    </row>
    <row r="32462" spans="23:23" x14ac:dyDescent="0.55000000000000004">
      <c r="W32462"/>
    </row>
    <row r="32463" spans="23:23" x14ac:dyDescent="0.55000000000000004">
      <c r="W32463"/>
    </row>
    <row r="32464" spans="23:23" x14ac:dyDescent="0.55000000000000004">
      <c r="W32464"/>
    </row>
    <row r="32465" spans="23:23" x14ac:dyDescent="0.55000000000000004">
      <c r="W32465"/>
    </row>
    <row r="32466" spans="23:23" x14ac:dyDescent="0.55000000000000004">
      <c r="W32466"/>
    </row>
    <row r="32467" spans="23:23" x14ac:dyDescent="0.55000000000000004">
      <c r="W32467"/>
    </row>
    <row r="32468" spans="23:23" x14ac:dyDescent="0.55000000000000004">
      <c r="W32468"/>
    </row>
    <row r="32469" spans="23:23" x14ac:dyDescent="0.55000000000000004">
      <c r="W32469"/>
    </row>
    <row r="32470" spans="23:23" x14ac:dyDescent="0.55000000000000004">
      <c r="W32470"/>
    </row>
    <row r="32471" spans="23:23" x14ac:dyDescent="0.55000000000000004">
      <c r="W32471"/>
    </row>
    <row r="32472" spans="23:23" x14ac:dyDescent="0.55000000000000004">
      <c r="W32472"/>
    </row>
    <row r="32473" spans="23:23" x14ac:dyDescent="0.55000000000000004">
      <c r="W32473"/>
    </row>
    <row r="32474" spans="23:23" x14ac:dyDescent="0.55000000000000004">
      <c r="W32474"/>
    </row>
    <row r="32475" spans="23:23" x14ac:dyDescent="0.55000000000000004">
      <c r="W32475"/>
    </row>
    <row r="32476" spans="23:23" x14ac:dyDescent="0.55000000000000004">
      <c r="W32476"/>
    </row>
    <row r="32477" spans="23:23" x14ac:dyDescent="0.55000000000000004">
      <c r="W32477"/>
    </row>
    <row r="32478" spans="23:23" x14ac:dyDescent="0.55000000000000004">
      <c r="W32478"/>
    </row>
    <row r="32479" spans="23:23" x14ac:dyDescent="0.55000000000000004">
      <c r="W32479"/>
    </row>
    <row r="32480" spans="23:23" x14ac:dyDescent="0.55000000000000004">
      <c r="W32480"/>
    </row>
    <row r="32481" spans="23:23" x14ac:dyDescent="0.55000000000000004">
      <c r="W32481"/>
    </row>
    <row r="32482" spans="23:23" x14ac:dyDescent="0.55000000000000004">
      <c r="W32482"/>
    </row>
    <row r="32483" spans="23:23" x14ac:dyDescent="0.55000000000000004">
      <c r="W32483"/>
    </row>
    <row r="32484" spans="23:23" x14ac:dyDescent="0.55000000000000004">
      <c r="W32484"/>
    </row>
    <row r="32485" spans="23:23" x14ac:dyDescent="0.55000000000000004">
      <c r="W32485"/>
    </row>
    <row r="32486" spans="23:23" x14ac:dyDescent="0.55000000000000004">
      <c r="W32486"/>
    </row>
    <row r="32487" spans="23:23" x14ac:dyDescent="0.55000000000000004">
      <c r="W32487"/>
    </row>
    <row r="32488" spans="23:23" x14ac:dyDescent="0.55000000000000004">
      <c r="W32488"/>
    </row>
    <row r="32489" spans="23:23" x14ac:dyDescent="0.55000000000000004">
      <c r="W32489"/>
    </row>
    <row r="32490" spans="23:23" x14ac:dyDescent="0.55000000000000004">
      <c r="W32490"/>
    </row>
    <row r="32491" spans="23:23" x14ac:dyDescent="0.55000000000000004">
      <c r="W32491"/>
    </row>
    <row r="32492" spans="23:23" x14ac:dyDescent="0.55000000000000004">
      <c r="W32492"/>
    </row>
    <row r="32493" spans="23:23" x14ac:dyDescent="0.55000000000000004">
      <c r="W32493"/>
    </row>
    <row r="32494" spans="23:23" x14ac:dyDescent="0.55000000000000004">
      <c r="W32494"/>
    </row>
    <row r="32495" spans="23:23" x14ac:dyDescent="0.55000000000000004">
      <c r="W32495"/>
    </row>
    <row r="32496" spans="23:23" x14ac:dyDescent="0.55000000000000004">
      <c r="W32496"/>
    </row>
    <row r="32497" spans="23:23" x14ac:dyDescent="0.55000000000000004">
      <c r="W32497"/>
    </row>
    <row r="32498" spans="23:23" x14ac:dyDescent="0.55000000000000004">
      <c r="W32498"/>
    </row>
    <row r="32499" spans="23:23" x14ac:dyDescent="0.55000000000000004">
      <c r="W32499"/>
    </row>
    <row r="32500" spans="23:23" x14ac:dyDescent="0.55000000000000004">
      <c r="W32500"/>
    </row>
    <row r="32501" spans="23:23" x14ac:dyDescent="0.55000000000000004">
      <c r="W32501"/>
    </row>
    <row r="32502" spans="23:23" x14ac:dyDescent="0.55000000000000004">
      <c r="W32502"/>
    </row>
    <row r="32503" spans="23:23" x14ac:dyDescent="0.55000000000000004">
      <c r="W32503"/>
    </row>
    <row r="32504" spans="23:23" x14ac:dyDescent="0.55000000000000004">
      <c r="W32504"/>
    </row>
    <row r="32505" spans="23:23" x14ac:dyDescent="0.55000000000000004">
      <c r="W32505"/>
    </row>
    <row r="32506" spans="23:23" x14ac:dyDescent="0.55000000000000004">
      <c r="W32506"/>
    </row>
    <row r="32507" spans="23:23" x14ac:dyDescent="0.55000000000000004">
      <c r="W32507"/>
    </row>
    <row r="32508" spans="23:23" x14ac:dyDescent="0.55000000000000004">
      <c r="W32508"/>
    </row>
    <row r="32509" spans="23:23" x14ac:dyDescent="0.55000000000000004">
      <c r="W32509"/>
    </row>
    <row r="32510" spans="23:23" x14ac:dyDescent="0.55000000000000004">
      <c r="W32510"/>
    </row>
    <row r="32511" spans="23:23" x14ac:dyDescent="0.55000000000000004">
      <c r="W32511"/>
    </row>
    <row r="32512" spans="23:23" x14ac:dyDescent="0.55000000000000004">
      <c r="W32512"/>
    </row>
    <row r="32513" spans="23:23" x14ac:dyDescent="0.55000000000000004">
      <c r="W32513"/>
    </row>
    <row r="32514" spans="23:23" x14ac:dyDescent="0.55000000000000004">
      <c r="W32514"/>
    </row>
    <row r="32515" spans="23:23" x14ac:dyDescent="0.55000000000000004">
      <c r="W32515"/>
    </row>
    <row r="32516" spans="23:23" x14ac:dyDescent="0.55000000000000004">
      <c r="W32516"/>
    </row>
    <row r="32517" spans="23:23" x14ac:dyDescent="0.55000000000000004">
      <c r="W32517"/>
    </row>
    <row r="32518" spans="23:23" x14ac:dyDescent="0.55000000000000004">
      <c r="W32518"/>
    </row>
    <row r="32519" spans="23:23" x14ac:dyDescent="0.55000000000000004">
      <c r="W32519"/>
    </row>
    <row r="32520" spans="23:23" x14ac:dyDescent="0.55000000000000004">
      <c r="W32520"/>
    </row>
    <row r="32521" spans="23:23" x14ac:dyDescent="0.55000000000000004">
      <c r="W32521"/>
    </row>
    <row r="32522" spans="23:23" x14ac:dyDescent="0.55000000000000004">
      <c r="W32522"/>
    </row>
    <row r="32523" spans="23:23" x14ac:dyDescent="0.55000000000000004">
      <c r="W32523"/>
    </row>
    <row r="32524" spans="23:23" x14ac:dyDescent="0.55000000000000004">
      <c r="W32524"/>
    </row>
    <row r="32525" spans="23:23" x14ac:dyDescent="0.55000000000000004">
      <c r="W32525"/>
    </row>
    <row r="32526" spans="23:23" x14ac:dyDescent="0.55000000000000004">
      <c r="W32526"/>
    </row>
    <row r="32527" spans="23:23" x14ac:dyDescent="0.55000000000000004">
      <c r="W32527"/>
    </row>
    <row r="32528" spans="23:23" x14ac:dyDescent="0.55000000000000004">
      <c r="W32528"/>
    </row>
    <row r="32529" spans="23:23" x14ac:dyDescent="0.55000000000000004">
      <c r="W32529"/>
    </row>
    <row r="32530" spans="23:23" x14ac:dyDescent="0.55000000000000004">
      <c r="W32530"/>
    </row>
    <row r="32531" spans="23:23" x14ac:dyDescent="0.55000000000000004">
      <c r="W32531"/>
    </row>
    <row r="32532" spans="23:23" x14ac:dyDescent="0.55000000000000004">
      <c r="W32532"/>
    </row>
    <row r="32533" spans="23:23" x14ac:dyDescent="0.55000000000000004">
      <c r="W32533"/>
    </row>
    <row r="32534" spans="23:23" x14ac:dyDescent="0.55000000000000004">
      <c r="W32534"/>
    </row>
    <row r="32535" spans="23:23" x14ac:dyDescent="0.55000000000000004">
      <c r="W32535"/>
    </row>
    <row r="32536" spans="23:23" x14ac:dyDescent="0.55000000000000004">
      <c r="W32536"/>
    </row>
    <row r="32537" spans="23:23" x14ac:dyDescent="0.55000000000000004">
      <c r="W32537"/>
    </row>
    <row r="32538" spans="23:23" x14ac:dyDescent="0.55000000000000004">
      <c r="W32538"/>
    </row>
    <row r="32539" spans="23:23" x14ac:dyDescent="0.55000000000000004">
      <c r="W32539"/>
    </row>
    <row r="32540" spans="23:23" x14ac:dyDescent="0.55000000000000004">
      <c r="W32540"/>
    </row>
    <row r="32541" spans="23:23" x14ac:dyDescent="0.55000000000000004">
      <c r="W32541"/>
    </row>
    <row r="32542" spans="23:23" x14ac:dyDescent="0.55000000000000004">
      <c r="W32542"/>
    </row>
    <row r="32543" spans="23:23" x14ac:dyDescent="0.55000000000000004">
      <c r="W32543"/>
    </row>
    <row r="32544" spans="23:23" x14ac:dyDescent="0.55000000000000004">
      <c r="W32544"/>
    </row>
    <row r="32545" spans="23:23" x14ac:dyDescent="0.55000000000000004">
      <c r="W32545"/>
    </row>
    <row r="32546" spans="23:23" x14ac:dyDescent="0.55000000000000004">
      <c r="W32546"/>
    </row>
    <row r="32547" spans="23:23" x14ac:dyDescent="0.55000000000000004">
      <c r="W32547"/>
    </row>
    <row r="32548" spans="23:23" x14ac:dyDescent="0.55000000000000004">
      <c r="W32548"/>
    </row>
    <row r="32549" spans="23:23" x14ac:dyDescent="0.55000000000000004">
      <c r="W32549"/>
    </row>
    <row r="32550" spans="23:23" x14ac:dyDescent="0.55000000000000004">
      <c r="W32550"/>
    </row>
    <row r="32551" spans="23:23" x14ac:dyDescent="0.55000000000000004">
      <c r="W32551"/>
    </row>
    <row r="32552" spans="23:23" x14ac:dyDescent="0.55000000000000004">
      <c r="W32552"/>
    </row>
    <row r="32553" spans="23:23" x14ac:dyDescent="0.55000000000000004">
      <c r="W32553"/>
    </row>
    <row r="32554" spans="23:23" x14ac:dyDescent="0.55000000000000004">
      <c r="W32554"/>
    </row>
    <row r="32555" spans="23:23" x14ac:dyDescent="0.55000000000000004">
      <c r="W32555"/>
    </row>
    <row r="32556" spans="23:23" x14ac:dyDescent="0.55000000000000004">
      <c r="W32556"/>
    </row>
    <row r="32557" spans="23:23" x14ac:dyDescent="0.55000000000000004">
      <c r="W32557"/>
    </row>
    <row r="32558" spans="23:23" x14ac:dyDescent="0.55000000000000004">
      <c r="W32558"/>
    </row>
    <row r="32559" spans="23:23" x14ac:dyDescent="0.55000000000000004">
      <c r="W32559"/>
    </row>
    <row r="32560" spans="23:23" x14ac:dyDescent="0.55000000000000004">
      <c r="W32560"/>
    </row>
    <row r="32561" spans="23:23" x14ac:dyDescent="0.55000000000000004">
      <c r="W32561"/>
    </row>
    <row r="32562" spans="23:23" x14ac:dyDescent="0.55000000000000004">
      <c r="W32562"/>
    </row>
    <row r="32563" spans="23:23" x14ac:dyDescent="0.55000000000000004">
      <c r="W32563"/>
    </row>
    <row r="32564" spans="23:23" x14ac:dyDescent="0.55000000000000004">
      <c r="W32564"/>
    </row>
    <row r="32565" spans="23:23" x14ac:dyDescent="0.55000000000000004">
      <c r="W32565"/>
    </row>
    <row r="32566" spans="23:23" x14ac:dyDescent="0.55000000000000004">
      <c r="W32566"/>
    </row>
    <row r="32567" spans="23:23" x14ac:dyDescent="0.55000000000000004">
      <c r="W32567"/>
    </row>
    <row r="32568" spans="23:23" x14ac:dyDescent="0.55000000000000004">
      <c r="W32568"/>
    </row>
    <row r="32569" spans="23:23" x14ac:dyDescent="0.55000000000000004">
      <c r="W32569"/>
    </row>
    <row r="32570" spans="23:23" x14ac:dyDescent="0.55000000000000004">
      <c r="W32570"/>
    </row>
    <row r="32571" spans="23:23" x14ac:dyDescent="0.55000000000000004">
      <c r="W32571"/>
    </row>
    <row r="32572" spans="23:23" x14ac:dyDescent="0.55000000000000004">
      <c r="W32572"/>
    </row>
    <row r="32573" spans="23:23" x14ac:dyDescent="0.55000000000000004">
      <c r="W32573"/>
    </row>
    <row r="32574" spans="23:23" x14ac:dyDescent="0.55000000000000004">
      <c r="W32574"/>
    </row>
    <row r="32575" spans="23:23" x14ac:dyDescent="0.55000000000000004">
      <c r="W32575"/>
    </row>
    <row r="32576" spans="23:23" x14ac:dyDescent="0.55000000000000004">
      <c r="W32576"/>
    </row>
    <row r="32577" spans="23:23" x14ac:dyDescent="0.55000000000000004">
      <c r="W32577"/>
    </row>
    <row r="32578" spans="23:23" x14ac:dyDescent="0.55000000000000004">
      <c r="W32578"/>
    </row>
    <row r="32579" spans="23:23" x14ac:dyDescent="0.55000000000000004">
      <c r="W32579"/>
    </row>
    <row r="32580" spans="23:23" x14ac:dyDescent="0.55000000000000004">
      <c r="W32580"/>
    </row>
    <row r="32581" spans="23:23" x14ac:dyDescent="0.55000000000000004">
      <c r="W32581"/>
    </row>
    <row r="32582" spans="23:23" x14ac:dyDescent="0.55000000000000004">
      <c r="W32582"/>
    </row>
    <row r="32583" spans="23:23" x14ac:dyDescent="0.55000000000000004">
      <c r="W32583"/>
    </row>
    <row r="32584" spans="23:23" x14ac:dyDescent="0.55000000000000004">
      <c r="W32584"/>
    </row>
    <row r="32585" spans="23:23" x14ac:dyDescent="0.55000000000000004">
      <c r="W32585"/>
    </row>
    <row r="32586" spans="23:23" x14ac:dyDescent="0.55000000000000004">
      <c r="W32586"/>
    </row>
    <row r="32587" spans="23:23" x14ac:dyDescent="0.55000000000000004">
      <c r="W32587"/>
    </row>
    <row r="32588" spans="23:23" x14ac:dyDescent="0.55000000000000004">
      <c r="W32588"/>
    </row>
    <row r="32589" spans="23:23" x14ac:dyDescent="0.55000000000000004">
      <c r="W32589"/>
    </row>
    <row r="32590" spans="23:23" x14ac:dyDescent="0.55000000000000004">
      <c r="W32590"/>
    </row>
    <row r="32591" spans="23:23" x14ac:dyDescent="0.55000000000000004">
      <c r="W32591"/>
    </row>
    <row r="32592" spans="23:23" x14ac:dyDescent="0.55000000000000004">
      <c r="W32592"/>
    </row>
    <row r="32593" spans="23:23" x14ac:dyDescent="0.55000000000000004">
      <c r="W32593"/>
    </row>
    <row r="32594" spans="23:23" x14ac:dyDescent="0.55000000000000004">
      <c r="W32594"/>
    </row>
    <row r="32595" spans="23:23" x14ac:dyDescent="0.55000000000000004">
      <c r="W32595"/>
    </row>
    <row r="32596" spans="23:23" x14ac:dyDescent="0.55000000000000004">
      <c r="W32596"/>
    </row>
    <row r="32597" spans="23:23" x14ac:dyDescent="0.55000000000000004">
      <c r="W32597"/>
    </row>
    <row r="32598" spans="23:23" x14ac:dyDescent="0.55000000000000004">
      <c r="W32598"/>
    </row>
    <row r="32599" spans="23:23" x14ac:dyDescent="0.55000000000000004">
      <c r="W32599"/>
    </row>
    <row r="32600" spans="23:23" x14ac:dyDescent="0.55000000000000004">
      <c r="W32600"/>
    </row>
    <row r="32601" spans="23:23" x14ac:dyDescent="0.55000000000000004">
      <c r="W32601"/>
    </row>
    <row r="32602" spans="23:23" x14ac:dyDescent="0.55000000000000004">
      <c r="W32602"/>
    </row>
    <row r="32603" spans="23:23" x14ac:dyDescent="0.55000000000000004">
      <c r="W32603"/>
    </row>
    <row r="32604" spans="23:23" x14ac:dyDescent="0.55000000000000004">
      <c r="W32604"/>
    </row>
    <row r="32605" spans="23:23" x14ac:dyDescent="0.55000000000000004">
      <c r="W32605"/>
    </row>
    <row r="32606" spans="23:23" x14ac:dyDescent="0.55000000000000004">
      <c r="W32606"/>
    </row>
    <row r="32607" spans="23:23" x14ac:dyDescent="0.55000000000000004">
      <c r="W32607"/>
    </row>
    <row r="32608" spans="23:23" x14ac:dyDescent="0.55000000000000004">
      <c r="W32608"/>
    </row>
    <row r="32609" spans="23:23" x14ac:dyDescent="0.55000000000000004">
      <c r="W32609"/>
    </row>
    <row r="32610" spans="23:23" x14ac:dyDescent="0.55000000000000004">
      <c r="W32610"/>
    </row>
    <row r="32611" spans="23:23" x14ac:dyDescent="0.55000000000000004">
      <c r="W32611"/>
    </row>
    <row r="32612" spans="23:23" x14ac:dyDescent="0.55000000000000004">
      <c r="W32612"/>
    </row>
    <row r="32613" spans="23:23" x14ac:dyDescent="0.55000000000000004">
      <c r="W32613"/>
    </row>
    <row r="32614" spans="23:23" x14ac:dyDescent="0.55000000000000004">
      <c r="W32614"/>
    </row>
    <row r="32615" spans="23:23" x14ac:dyDescent="0.55000000000000004">
      <c r="W32615"/>
    </row>
    <row r="32616" spans="23:23" x14ac:dyDescent="0.55000000000000004">
      <c r="W32616"/>
    </row>
    <row r="32617" spans="23:23" x14ac:dyDescent="0.55000000000000004">
      <c r="W32617"/>
    </row>
    <row r="32618" spans="23:23" x14ac:dyDescent="0.55000000000000004">
      <c r="W32618"/>
    </row>
    <row r="32619" spans="23:23" x14ac:dyDescent="0.55000000000000004">
      <c r="W32619"/>
    </row>
    <row r="32620" spans="23:23" x14ac:dyDescent="0.55000000000000004">
      <c r="W32620"/>
    </row>
    <row r="32621" spans="23:23" x14ac:dyDescent="0.55000000000000004">
      <c r="W32621"/>
    </row>
    <row r="32622" spans="23:23" x14ac:dyDescent="0.55000000000000004">
      <c r="W32622"/>
    </row>
    <row r="32623" spans="23:23" x14ac:dyDescent="0.55000000000000004">
      <c r="W32623"/>
    </row>
    <row r="32624" spans="23:23" x14ac:dyDescent="0.55000000000000004">
      <c r="W32624"/>
    </row>
    <row r="32625" spans="23:23" x14ac:dyDescent="0.55000000000000004">
      <c r="W32625"/>
    </row>
    <row r="32626" spans="23:23" x14ac:dyDescent="0.55000000000000004">
      <c r="W32626"/>
    </row>
    <row r="32627" spans="23:23" x14ac:dyDescent="0.55000000000000004">
      <c r="W32627"/>
    </row>
    <row r="32628" spans="23:23" x14ac:dyDescent="0.55000000000000004">
      <c r="W32628"/>
    </row>
    <row r="32629" spans="23:23" x14ac:dyDescent="0.55000000000000004">
      <c r="W32629"/>
    </row>
    <row r="32630" spans="23:23" x14ac:dyDescent="0.55000000000000004">
      <c r="W32630"/>
    </row>
    <row r="32631" spans="23:23" x14ac:dyDescent="0.55000000000000004">
      <c r="W32631"/>
    </row>
    <row r="32632" spans="23:23" x14ac:dyDescent="0.55000000000000004">
      <c r="W32632"/>
    </row>
    <row r="32633" spans="23:23" x14ac:dyDescent="0.55000000000000004">
      <c r="W32633"/>
    </row>
    <row r="32634" spans="23:23" x14ac:dyDescent="0.55000000000000004">
      <c r="W32634"/>
    </row>
    <row r="32635" spans="23:23" x14ac:dyDescent="0.55000000000000004">
      <c r="W32635"/>
    </row>
    <row r="32636" spans="23:23" x14ac:dyDescent="0.55000000000000004">
      <c r="W32636"/>
    </row>
    <row r="32637" spans="23:23" x14ac:dyDescent="0.55000000000000004">
      <c r="W32637"/>
    </row>
    <row r="32638" spans="23:23" x14ac:dyDescent="0.55000000000000004">
      <c r="W32638"/>
    </row>
    <row r="32639" spans="23:23" x14ac:dyDescent="0.55000000000000004">
      <c r="W32639"/>
    </row>
    <row r="32640" spans="23:23" x14ac:dyDescent="0.55000000000000004">
      <c r="W32640"/>
    </row>
    <row r="32641" spans="23:23" x14ac:dyDescent="0.55000000000000004">
      <c r="W32641"/>
    </row>
    <row r="32642" spans="23:23" x14ac:dyDescent="0.55000000000000004">
      <c r="W32642"/>
    </row>
    <row r="32643" spans="23:23" x14ac:dyDescent="0.55000000000000004">
      <c r="W32643"/>
    </row>
    <row r="32644" spans="23:23" x14ac:dyDescent="0.55000000000000004">
      <c r="W32644"/>
    </row>
    <row r="32645" spans="23:23" x14ac:dyDescent="0.55000000000000004">
      <c r="W32645"/>
    </row>
    <row r="32646" spans="23:23" x14ac:dyDescent="0.55000000000000004">
      <c r="W32646"/>
    </row>
    <row r="32647" spans="23:23" x14ac:dyDescent="0.55000000000000004">
      <c r="W32647"/>
    </row>
    <row r="32648" spans="23:23" x14ac:dyDescent="0.55000000000000004">
      <c r="W32648"/>
    </row>
    <row r="32649" spans="23:23" x14ac:dyDescent="0.55000000000000004">
      <c r="W32649"/>
    </row>
    <row r="32650" spans="23:23" x14ac:dyDescent="0.55000000000000004">
      <c r="W32650"/>
    </row>
    <row r="32651" spans="23:23" x14ac:dyDescent="0.55000000000000004">
      <c r="W32651"/>
    </row>
    <row r="32652" spans="23:23" x14ac:dyDescent="0.55000000000000004">
      <c r="W32652"/>
    </row>
    <row r="32653" spans="23:23" x14ac:dyDescent="0.55000000000000004">
      <c r="W32653"/>
    </row>
    <row r="32654" spans="23:23" x14ac:dyDescent="0.55000000000000004">
      <c r="W32654"/>
    </row>
    <row r="32655" spans="23:23" x14ac:dyDescent="0.55000000000000004">
      <c r="W32655"/>
    </row>
    <row r="32656" spans="23:23" x14ac:dyDescent="0.55000000000000004">
      <c r="W32656"/>
    </row>
    <row r="32657" spans="23:23" x14ac:dyDescent="0.55000000000000004">
      <c r="W32657"/>
    </row>
    <row r="32658" spans="23:23" x14ac:dyDescent="0.55000000000000004">
      <c r="W32658"/>
    </row>
    <row r="32659" spans="23:23" x14ac:dyDescent="0.55000000000000004">
      <c r="W32659"/>
    </row>
    <row r="32660" spans="23:23" x14ac:dyDescent="0.55000000000000004">
      <c r="W32660"/>
    </row>
    <row r="32661" spans="23:23" x14ac:dyDescent="0.55000000000000004">
      <c r="W32661"/>
    </row>
    <row r="32662" spans="23:23" x14ac:dyDescent="0.55000000000000004">
      <c r="W32662"/>
    </row>
    <row r="32663" spans="23:23" x14ac:dyDescent="0.55000000000000004">
      <c r="W32663"/>
    </row>
    <row r="32664" spans="23:23" x14ac:dyDescent="0.55000000000000004">
      <c r="W32664"/>
    </row>
    <row r="32665" spans="23:23" x14ac:dyDescent="0.55000000000000004">
      <c r="W32665"/>
    </row>
    <row r="32666" spans="23:23" x14ac:dyDescent="0.55000000000000004">
      <c r="W32666"/>
    </row>
    <row r="32667" spans="23:23" x14ac:dyDescent="0.55000000000000004">
      <c r="W32667"/>
    </row>
    <row r="32668" spans="23:23" x14ac:dyDescent="0.55000000000000004">
      <c r="W32668"/>
    </row>
    <row r="32669" spans="23:23" x14ac:dyDescent="0.55000000000000004">
      <c r="W32669"/>
    </row>
    <row r="32670" spans="23:23" x14ac:dyDescent="0.55000000000000004">
      <c r="W32670"/>
    </row>
    <row r="32671" spans="23:23" x14ac:dyDescent="0.55000000000000004">
      <c r="W32671"/>
    </row>
    <row r="32672" spans="23:23" x14ac:dyDescent="0.55000000000000004">
      <c r="W32672"/>
    </row>
    <row r="32673" spans="23:23" x14ac:dyDescent="0.55000000000000004">
      <c r="W32673"/>
    </row>
    <row r="32674" spans="23:23" x14ac:dyDescent="0.55000000000000004">
      <c r="W32674"/>
    </row>
    <row r="32675" spans="23:23" x14ac:dyDescent="0.55000000000000004">
      <c r="W32675"/>
    </row>
    <row r="32676" spans="23:23" x14ac:dyDescent="0.55000000000000004">
      <c r="W32676"/>
    </row>
    <row r="32677" spans="23:23" x14ac:dyDescent="0.55000000000000004">
      <c r="W32677"/>
    </row>
    <row r="32678" spans="23:23" x14ac:dyDescent="0.55000000000000004">
      <c r="W32678"/>
    </row>
    <row r="32679" spans="23:23" x14ac:dyDescent="0.55000000000000004">
      <c r="W32679"/>
    </row>
    <row r="32680" spans="23:23" x14ac:dyDescent="0.55000000000000004">
      <c r="W32680"/>
    </row>
    <row r="32681" spans="23:23" x14ac:dyDescent="0.55000000000000004">
      <c r="W32681"/>
    </row>
    <row r="32682" spans="23:23" x14ac:dyDescent="0.55000000000000004">
      <c r="W32682"/>
    </row>
    <row r="32683" spans="23:23" x14ac:dyDescent="0.55000000000000004">
      <c r="W32683"/>
    </row>
    <row r="32684" spans="23:23" x14ac:dyDescent="0.55000000000000004">
      <c r="W32684"/>
    </row>
    <row r="32685" spans="23:23" x14ac:dyDescent="0.55000000000000004">
      <c r="W32685"/>
    </row>
    <row r="32686" spans="23:23" x14ac:dyDescent="0.55000000000000004">
      <c r="W32686"/>
    </row>
    <row r="32687" spans="23:23" x14ac:dyDescent="0.55000000000000004">
      <c r="W32687"/>
    </row>
    <row r="32688" spans="23:23" x14ac:dyDescent="0.55000000000000004">
      <c r="W32688"/>
    </row>
    <row r="32689" spans="23:23" x14ac:dyDescent="0.55000000000000004">
      <c r="W32689"/>
    </row>
    <row r="32690" spans="23:23" x14ac:dyDescent="0.55000000000000004">
      <c r="W32690"/>
    </row>
    <row r="32691" spans="23:23" x14ac:dyDescent="0.55000000000000004">
      <c r="W32691"/>
    </row>
    <row r="32692" spans="23:23" x14ac:dyDescent="0.55000000000000004">
      <c r="W32692"/>
    </row>
    <row r="32693" spans="23:23" x14ac:dyDescent="0.55000000000000004">
      <c r="W32693"/>
    </row>
    <row r="32694" spans="23:23" x14ac:dyDescent="0.55000000000000004">
      <c r="W32694"/>
    </row>
    <row r="32695" spans="23:23" x14ac:dyDescent="0.55000000000000004">
      <c r="W32695"/>
    </row>
    <row r="32696" spans="23:23" x14ac:dyDescent="0.55000000000000004">
      <c r="W32696"/>
    </row>
    <row r="32697" spans="23:23" x14ac:dyDescent="0.55000000000000004">
      <c r="W32697"/>
    </row>
    <row r="32698" spans="23:23" x14ac:dyDescent="0.55000000000000004">
      <c r="W32698"/>
    </row>
    <row r="32699" spans="23:23" x14ac:dyDescent="0.55000000000000004">
      <c r="W32699"/>
    </row>
    <row r="32700" spans="23:23" x14ac:dyDescent="0.55000000000000004">
      <c r="W32700"/>
    </row>
    <row r="32701" spans="23:23" x14ac:dyDescent="0.55000000000000004">
      <c r="W32701"/>
    </row>
    <row r="32702" spans="23:23" x14ac:dyDescent="0.55000000000000004">
      <c r="W32702"/>
    </row>
    <row r="32703" spans="23:23" x14ac:dyDescent="0.55000000000000004">
      <c r="W32703"/>
    </row>
    <row r="32704" spans="23:23" x14ac:dyDescent="0.55000000000000004">
      <c r="W32704"/>
    </row>
    <row r="32705" spans="23:23" x14ac:dyDescent="0.55000000000000004">
      <c r="W32705"/>
    </row>
    <row r="32706" spans="23:23" x14ac:dyDescent="0.55000000000000004">
      <c r="W32706"/>
    </row>
    <row r="32707" spans="23:23" x14ac:dyDescent="0.55000000000000004">
      <c r="W32707"/>
    </row>
    <row r="32708" spans="23:23" x14ac:dyDescent="0.55000000000000004">
      <c r="W32708"/>
    </row>
    <row r="32709" spans="23:23" x14ac:dyDescent="0.55000000000000004">
      <c r="W32709"/>
    </row>
    <row r="32710" spans="23:23" x14ac:dyDescent="0.55000000000000004">
      <c r="W32710"/>
    </row>
    <row r="32711" spans="23:23" x14ac:dyDescent="0.55000000000000004">
      <c r="W32711"/>
    </row>
    <row r="32712" spans="23:23" x14ac:dyDescent="0.55000000000000004">
      <c r="W32712"/>
    </row>
    <row r="32713" spans="23:23" x14ac:dyDescent="0.55000000000000004">
      <c r="W32713"/>
    </row>
    <row r="32714" spans="23:23" x14ac:dyDescent="0.55000000000000004">
      <c r="W32714"/>
    </row>
    <row r="32715" spans="23:23" x14ac:dyDescent="0.55000000000000004">
      <c r="W32715"/>
    </row>
    <row r="32716" spans="23:23" x14ac:dyDescent="0.55000000000000004">
      <c r="W32716"/>
    </row>
    <row r="32717" spans="23:23" x14ac:dyDescent="0.55000000000000004">
      <c r="W32717"/>
    </row>
    <row r="32718" spans="23:23" x14ac:dyDescent="0.55000000000000004">
      <c r="W32718"/>
    </row>
    <row r="32719" spans="23:23" x14ac:dyDescent="0.55000000000000004">
      <c r="W32719"/>
    </row>
    <row r="32720" spans="23:23" x14ac:dyDescent="0.55000000000000004">
      <c r="W32720"/>
    </row>
    <row r="32721" spans="23:23" x14ac:dyDescent="0.55000000000000004">
      <c r="W32721"/>
    </row>
    <row r="32722" spans="23:23" x14ac:dyDescent="0.55000000000000004">
      <c r="W32722"/>
    </row>
    <row r="32723" spans="23:23" x14ac:dyDescent="0.55000000000000004">
      <c r="W32723"/>
    </row>
    <row r="32724" spans="23:23" x14ac:dyDescent="0.55000000000000004">
      <c r="W32724"/>
    </row>
    <row r="32725" spans="23:23" x14ac:dyDescent="0.55000000000000004">
      <c r="W32725"/>
    </row>
    <row r="32726" spans="23:23" x14ac:dyDescent="0.55000000000000004">
      <c r="W32726"/>
    </row>
    <row r="32727" spans="23:23" x14ac:dyDescent="0.55000000000000004">
      <c r="W32727"/>
    </row>
    <row r="32728" spans="23:23" x14ac:dyDescent="0.55000000000000004">
      <c r="W32728"/>
    </row>
    <row r="32729" spans="23:23" x14ac:dyDescent="0.55000000000000004">
      <c r="W32729"/>
    </row>
    <row r="32730" spans="23:23" x14ac:dyDescent="0.55000000000000004">
      <c r="W32730"/>
    </row>
    <row r="32731" spans="23:23" x14ac:dyDescent="0.55000000000000004">
      <c r="W32731"/>
    </row>
    <row r="32732" spans="23:23" x14ac:dyDescent="0.55000000000000004">
      <c r="W32732"/>
    </row>
    <row r="32733" spans="23:23" x14ac:dyDescent="0.55000000000000004">
      <c r="W32733"/>
    </row>
    <row r="32734" spans="23:23" x14ac:dyDescent="0.55000000000000004">
      <c r="W32734"/>
    </row>
    <row r="32735" spans="23:23" x14ac:dyDescent="0.55000000000000004">
      <c r="W32735"/>
    </row>
    <row r="32736" spans="23:23" x14ac:dyDescent="0.55000000000000004">
      <c r="W32736"/>
    </row>
    <row r="32737" spans="23:23" x14ac:dyDescent="0.55000000000000004">
      <c r="W32737"/>
    </row>
    <row r="32738" spans="23:23" x14ac:dyDescent="0.55000000000000004">
      <c r="W32738"/>
    </row>
    <row r="32739" spans="23:23" x14ac:dyDescent="0.55000000000000004">
      <c r="W32739"/>
    </row>
    <row r="32740" spans="23:23" x14ac:dyDescent="0.55000000000000004">
      <c r="W32740"/>
    </row>
    <row r="32741" spans="23:23" x14ac:dyDescent="0.55000000000000004">
      <c r="W32741"/>
    </row>
    <row r="32742" spans="23:23" x14ac:dyDescent="0.55000000000000004">
      <c r="W32742"/>
    </row>
    <row r="32743" spans="23:23" x14ac:dyDescent="0.55000000000000004">
      <c r="W32743"/>
    </row>
    <row r="32744" spans="23:23" x14ac:dyDescent="0.55000000000000004">
      <c r="W32744"/>
    </row>
    <row r="32745" spans="23:23" x14ac:dyDescent="0.55000000000000004">
      <c r="W32745"/>
    </row>
    <row r="32746" spans="23:23" x14ac:dyDescent="0.55000000000000004">
      <c r="W32746"/>
    </row>
    <row r="32747" spans="23:23" x14ac:dyDescent="0.55000000000000004">
      <c r="W32747"/>
    </row>
    <row r="32748" spans="23:23" x14ac:dyDescent="0.55000000000000004">
      <c r="W32748"/>
    </row>
    <row r="32749" spans="23:23" x14ac:dyDescent="0.55000000000000004">
      <c r="W32749"/>
    </row>
    <row r="32750" spans="23:23" x14ac:dyDescent="0.55000000000000004">
      <c r="W32750"/>
    </row>
    <row r="32751" spans="23:23" x14ac:dyDescent="0.55000000000000004">
      <c r="W32751"/>
    </row>
    <row r="32752" spans="23:23" x14ac:dyDescent="0.55000000000000004">
      <c r="W32752"/>
    </row>
    <row r="32753" spans="23:23" x14ac:dyDescent="0.55000000000000004">
      <c r="W32753"/>
    </row>
    <row r="32754" spans="23:23" x14ac:dyDescent="0.55000000000000004">
      <c r="W32754"/>
    </row>
    <row r="32755" spans="23:23" x14ac:dyDescent="0.55000000000000004">
      <c r="W32755"/>
    </row>
    <row r="32756" spans="23:23" x14ac:dyDescent="0.55000000000000004">
      <c r="W32756"/>
    </row>
    <row r="32757" spans="23:23" x14ac:dyDescent="0.55000000000000004">
      <c r="W32757"/>
    </row>
    <row r="32758" spans="23:23" x14ac:dyDescent="0.55000000000000004">
      <c r="W32758"/>
    </row>
    <row r="32759" spans="23:23" x14ac:dyDescent="0.55000000000000004">
      <c r="W32759"/>
    </row>
    <row r="32760" spans="23:23" x14ac:dyDescent="0.55000000000000004">
      <c r="W32760"/>
    </row>
    <row r="32761" spans="23:23" x14ac:dyDescent="0.55000000000000004">
      <c r="W32761"/>
    </row>
    <row r="32762" spans="23:23" x14ac:dyDescent="0.55000000000000004">
      <c r="W32762"/>
    </row>
    <row r="32763" spans="23:23" x14ac:dyDescent="0.55000000000000004">
      <c r="W32763"/>
    </row>
    <row r="32764" spans="23:23" x14ac:dyDescent="0.55000000000000004">
      <c r="W32764"/>
    </row>
    <row r="32765" spans="23:23" x14ac:dyDescent="0.55000000000000004">
      <c r="W32765"/>
    </row>
    <row r="32766" spans="23:23" x14ac:dyDescent="0.55000000000000004">
      <c r="W32766"/>
    </row>
    <row r="32767" spans="23:23" x14ac:dyDescent="0.55000000000000004">
      <c r="W32767"/>
    </row>
    <row r="32768" spans="23:23" x14ac:dyDescent="0.55000000000000004">
      <c r="W32768"/>
    </row>
    <row r="32769" spans="23:23" x14ac:dyDescent="0.55000000000000004">
      <c r="W32769"/>
    </row>
    <row r="32770" spans="23:23" x14ac:dyDescent="0.55000000000000004">
      <c r="W32770"/>
    </row>
    <row r="32771" spans="23:23" x14ac:dyDescent="0.55000000000000004">
      <c r="W32771"/>
    </row>
    <row r="32772" spans="23:23" x14ac:dyDescent="0.55000000000000004">
      <c r="W32772"/>
    </row>
    <row r="32773" spans="23:23" x14ac:dyDescent="0.55000000000000004">
      <c r="W32773"/>
    </row>
    <row r="32774" spans="23:23" x14ac:dyDescent="0.55000000000000004">
      <c r="W32774"/>
    </row>
    <row r="32775" spans="23:23" x14ac:dyDescent="0.55000000000000004">
      <c r="W32775"/>
    </row>
    <row r="32776" spans="23:23" x14ac:dyDescent="0.55000000000000004">
      <c r="W32776"/>
    </row>
    <row r="32777" spans="23:23" x14ac:dyDescent="0.55000000000000004">
      <c r="W32777"/>
    </row>
    <row r="32778" spans="23:23" x14ac:dyDescent="0.55000000000000004">
      <c r="W32778"/>
    </row>
    <row r="32779" spans="23:23" x14ac:dyDescent="0.55000000000000004">
      <c r="W32779"/>
    </row>
    <row r="32780" spans="23:23" x14ac:dyDescent="0.55000000000000004">
      <c r="W32780"/>
    </row>
    <row r="32781" spans="23:23" x14ac:dyDescent="0.55000000000000004">
      <c r="W32781"/>
    </row>
    <row r="32782" spans="23:23" x14ac:dyDescent="0.55000000000000004">
      <c r="W32782"/>
    </row>
    <row r="32783" spans="23:23" x14ac:dyDescent="0.55000000000000004">
      <c r="W32783"/>
    </row>
    <row r="32784" spans="23:23" x14ac:dyDescent="0.55000000000000004">
      <c r="W32784"/>
    </row>
    <row r="32785" spans="23:23" x14ac:dyDescent="0.55000000000000004">
      <c r="W32785"/>
    </row>
    <row r="32786" spans="23:23" x14ac:dyDescent="0.55000000000000004">
      <c r="W32786"/>
    </row>
    <row r="32787" spans="23:23" x14ac:dyDescent="0.55000000000000004">
      <c r="W32787"/>
    </row>
    <row r="32788" spans="23:23" x14ac:dyDescent="0.55000000000000004">
      <c r="W32788"/>
    </row>
    <row r="32789" spans="23:23" x14ac:dyDescent="0.55000000000000004">
      <c r="W32789"/>
    </row>
    <row r="32790" spans="23:23" x14ac:dyDescent="0.55000000000000004">
      <c r="W32790"/>
    </row>
    <row r="32791" spans="23:23" x14ac:dyDescent="0.55000000000000004">
      <c r="W32791"/>
    </row>
    <row r="32792" spans="23:23" x14ac:dyDescent="0.55000000000000004">
      <c r="W32792"/>
    </row>
    <row r="32793" spans="23:23" x14ac:dyDescent="0.55000000000000004">
      <c r="W32793"/>
    </row>
    <row r="32794" spans="23:23" x14ac:dyDescent="0.55000000000000004">
      <c r="W32794"/>
    </row>
    <row r="32795" spans="23:23" x14ac:dyDescent="0.55000000000000004">
      <c r="W32795"/>
    </row>
    <row r="32796" spans="23:23" x14ac:dyDescent="0.55000000000000004">
      <c r="W32796"/>
    </row>
    <row r="32797" spans="23:23" x14ac:dyDescent="0.55000000000000004">
      <c r="W32797"/>
    </row>
    <row r="32798" spans="23:23" x14ac:dyDescent="0.55000000000000004">
      <c r="W32798"/>
    </row>
    <row r="32799" spans="23:23" x14ac:dyDescent="0.55000000000000004">
      <c r="W32799"/>
    </row>
    <row r="32800" spans="23:23" x14ac:dyDescent="0.55000000000000004">
      <c r="W32800"/>
    </row>
    <row r="32801" spans="23:23" x14ac:dyDescent="0.55000000000000004">
      <c r="W32801"/>
    </row>
    <row r="32802" spans="23:23" x14ac:dyDescent="0.55000000000000004">
      <c r="W32802"/>
    </row>
    <row r="32803" spans="23:23" x14ac:dyDescent="0.55000000000000004">
      <c r="W32803"/>
    </row>
    <row r="32804" spans="23:23" x14ac:dyDescent="0.55000000000000004">
      <c r="W32804"/>
    </row>
    <row r="32805" spans="23:23" x14ac:dyDescent="0.55000000000000004">
      <c r="W32805"/>
    </row>
    <row r="32806" spans="23:23" x14ac:dyDescent="0.55000000000000004">
      <c r="W32806"/>
    </row>
    <row r="32807" spans="23:23" x14ac:dyDescent="0.55000000000000004">
      <c r="W32807"/>
    </row>
    <row r="32808" spans="23:23" x14ac:dyDescent="0.55000000000000004">
      <c r="W32808"/>
    </row>
    <row r="32809" spans="23:23" x14ac:dyDescent="0.55000000000000004">
      <c r="W32809"/>
    </row>
    <row r="32810" spans="23:23" x14ac:dyDescent="0.55000000000000004">
      <c r="W32810"/>
    </row>
    <row r="32811" spans="23:23" x14ac:dyDescent="0.55000000000000004">
      <c r="W32811"/>
    </row>
    <row r="32812" spans="23:23" x14ac:dyDescent="0.55000000000000004">
      <c r="W32812"/>
    </row>
    <row r="32813" spans="23:23" x14ac:dyDescent="0.55000000000000004">
      <c r="W32813"/>
    </row>
    <row r="32814" spans="23:23" x14ac:dyDescent="0.55000000000000004">
      <c r="W32814"/>
    </row>
    <row r="32815" spans="23:23" x14ac:dyDescent="0.55000000000000004">
      <c r="W32815"/>
    </row>
    <row r="32816" spans="23:23" x14ac:dyDescent="0.55000000000000004">
      <c r="W32816"/>
    </row>
    <row r="32817" spans="23:23" x14ac:dyDescent="0.55000000000000004">
      <c r="W32817"/>
    </row>
    <row r="32818" spans="23:23" x14ac:dyDescent="0.55000000000000004">
      <c r="W32818"/>
    </row>
    <row r="32819" spans="23:23" x14ac:dyDescent="0.55000000000000004">
      <c r="W32819"/>
    </row>
    <row r="32820" spans="23:23" x14ac:dyDescent="0.55000000000000004">
      <c r="W32820"/>
    </row>
    <row r="32821" spans="23:23" x14ac:dyDescent="0.55000000000000004">
      <c r="W32821"/>
    </row>
    <row r="32822" spans="23:23" x14ac:dyDescent="0.55000000000000004">
      <c r="W32822"/>
    </row>
    <row r="32823" spans="23:23" x14ac:dyDescent="0.55000000000000004">
      <c r="W32823"/>
    </row>
    <row r="32824" spans="23:23" x14ac:dyDescent="0.55000000000000004">
      <c r="W32824"/>
    </row>
    <row r="32825" spans="23:23" x14ac:dyDescent="0.55000000000000004">
      <c r="W32825"/>
    </row>
    <row r="32826" spans="23:23" x14ac:dyDescent="0.55000000000000004">
      <c r="W32826"/>
    </row>
    <row r="32827" spans="23:23" x14ac:dyDescent="0.55000000000000004">
      <c r="W32827"/>
    </row>
    <row r="32828" spans="23:23" x14ac:dyDescent="0.55000000000000004">
      <c r="W32828"/>
    </row>
    <row r="32829" spans="23:23" x14ac:dyDescent="0.55000000000000004">
      <c r="W32829"/>
    </row>
    <row r="32830" spans="23:23" x14ac:dyDescent="0.55000000000000004">
      <c r="W32830"/>
    </row>
    <row r="32831" spans="23:23" x14ac:dyDescent="0.55000000000000004">
      <c r="W32831"/>
    </row>
    <row r="32832" spans="23:23" x14ac:dyDescent="0.55000000000000004">
      <c r="W32832"/>
    </row>
    <row r="32833" spans="23:23" x14ac:dyDescent="0.55000000000000004">
      <c r="W32833"/>
    </row>
    <row r="32834" spans="23:23" x14ac:dyDescent="0.55000000000000004">
      <c r="W32834"/>
    </row>
    <row r="32835" spans="23:23" x14ac:dyDescent="0.55000000000000004">
      <c r="W32835"/>
    </row>
    <row r="32836" spans="23:23" x14ac:dyDescent="0.55000000000000004">
      <c r="W32836"/>
    </row>
    <row r="32837" spans="23:23" x14ac:dyDescent="0.55000000000000004">
      <c r="W32837"/>
    </row>
    <row r="32838" spans="23:23" x14ac:dyDescent="0.55000000000000004">
      <c r="W32838"/>
    </row>
    <row r="32839" spans="23:23" x14ac:dyDescent="0.55000000000000004">
      <c r="W32839"/>
    </row>
    <row r="32840" spans="23:23" x14ac:dyDescent="0.55000000000000004">
      <c r="W32840"/>
    </row>
    <row r="32841" spans="23:23" x14ac:dyDescent="0.55000000000000004">
      <c r="W32841"/>
    </row>
    <row r="32842" spans="23:23" x14ac:dyDescent="0.55000000000000004">
      <c r="W32842"/>
    </row>
    <row r="32843" spans="23:23" x14ac:dyDescent="0.55000000000000004">
      <c r="W32843"/>
    </row>
    <row r="32844" spans="23:23" x14ac:dyDescent="0.55000000000000004">
      <c r="W32844"/>
    </row>
    <row r="32845" spans="23:23" x14ac:dyDescent="0.55000000000000004">
      <c r="W32845"/>
    </row>
    <row r="32846" spans="23:23" x14ac:dyDescent="0.55000000000000004">
      <c r="W32846"/>
    </row>
    <row r="32847" spans="23:23" x14ac:dyDescent="0.55000000000000004">
      <c r="W32847"/>
    </row>
    <row r="32848" spans="23:23" x14ac:dyDescent="0.55000000000000004">
      <c r="W32848"/>
    </row>
    <row r="32849" spans="23:23" x14ac:dyDescent="0.55000000000000004">
      <c r="W32849"/>
    </row>
    <row r="32850" spans="23:23" x14ac:dyDescent="0.55000000000000004">
      <c r="W32850"/>
    </row>
    <row r="32851" spans="23:23" x14ac:dyDescent="0.55000000000000004">
      <c r="W32851"/>
    </row>
    <row r="32852" spans="23:23" x14ac:dyDescent="0.55000000000000004">
      <c r="W32852"/>
    </row>
    <row r="32853" spans="23:23" x14ac:dyDescent="0.55000000000000004">
      <c r="W32853"/>
    </row>
    <row r="32854" spans="23:23" x14ac:dyDescent="0.55000000000000004">
      <c r="W32854"/>
    </row>
    <row r="32855" spans="23:23" x14ac:dyDescent="0.55000000000000004">
      <c r="W32855"/>
    </row>
    <row r="32856" spans="23:23" x14ac:dyDescent="0.55000000000000004">
      <c r="W32856"/>
    </row>
    <row r="32857" spans="23:23" x14ac:dyDescent="0.55000000000000004">
      <c r="W32857"/>
    </row>
    <row r="32858" spans="23:23" x14ac:dyDescent="0.55000000000000004">
      <c r="W32858"/>
    </row>
    <row r="32859" spans="23:23" x14ac:dyDescent="0.55000000000000004">
      <c r="W32859"/>
    </row>
    <row r="32860" spans="23:23" x14ac:dyDescent="0.55000000000000004">
      <c r="W32860"/>
    </row>
    <row r="32861" spans="23:23" x14ac:dyDescent="0.55000000000000004">
      <c r="W32861"/>
    </row>
    <row r="32862" spans="23:23" x14ac:dyDescent="0.55000000000000004">
      <c r="W32862"/>
    </row>
    <row r="32863" spans="23:23" x14ac:dyDescent="0.55000000000000004">
      <c r="W32863"/>
    </row>
    <row r="32864" spans="23:23" x14ac:dyDescent="0.55000000000000004">
      <c r="W32864"/>
    </row>
    <row r="32865" spans="23:23" x14ac:dyDescent="0.55000000000000004">
      <c r="W32865"/>
    </row>
    <row r="32866" spans="23:23" x14ac:dyDescent="0.55000000000000004">
      <c r="W32866"/>
    </row>
    <row r="32867" spans="23:23" x14ac:dyDescent="0.55000000000000004">
      <c r="W32867"/>
    </row>
    <row r="32868" spans="23:23" x14ac:dyDescent="0.55000000000000004">
      <c r="W32868"/>
    </row>
    <row r="32869" spans="23:23" x14ac:dyDescent="0.55000000000000004">
      <c r="W32869"/>
    </row>
    <row r="32870" spans="23:23" x14ac:dyDescent="0.55000000000000004">
      <c r="W32870"/>
    </row>
    <row r="32871" spans="23:23" x14ac:dyDescent="0.55000000000000004">
      <c r="W32871"/>
    </row>
    <row r="32872" spans="23:23" x14ac:dyDescent="0.55000000000000004">
      <c r="W32872"/>
    </row>
    <row r="32873" spans="23:23" x14ac:dyDescent="0.55000000000000004">
      <c r="W32873"/>
    </row>
    <row r="32874" spans="23:23" x14ac:dyDescent="0.55000000000000004">
      <c r="W32874"/>
    </row>
    <row r="32875" spans="23:23" x14ac:dyDescent="0.55000000000000004">
      <c r="W32875"/>
    </row>
    <row r="32876" spans="23:23" x14ac:dyDescent="0.55000000000000004">
      <c r="W32876"/>
    </row>
    <row r="32877" spans="23:23" x14ac:dyDescent="0.55000000000000004">
      <c r="W32877"/>
    </row>
    <row r="32878" spans="23:23" x14ac:dyDescent="0.55000000000000004">
      <c r="W32878"/>
    </row>
    <row r="32879" spans="23:23" x14ac:dyDescent="0.55000000000000004">
      <c r="W32879"/>
    </row>
    <row r="32880" spans="23:23" x14ac:dyDescent="0.55000000000000004">
      <c r="W32880"/>
    </row>
    <row r="32881" spans="23:23" x14ac:dyDescent="0.55000000000000004">
      <c r="W32881"/>
    </row>
    <row r="32882" spans="23:23" x14ac:dyDescent="0.55000000000000004">
      <c r="W32882"/>
    </row>
    <row r="32883" spans="23:23" x14ac:dyDescent="0.55000000000000004">
      <c r="W32883"/>
    </row>
    <row r="32884" spans="23:23" x14ac:dyDescent="0.55000000000000004">
      <c r="W32884"/>
    </row>
    <row r="32885" spans="23:23" x14ac:dyDescent="0.55000000000000004">
      <c r="W32885"/>
    </row>
    <row r="32886" spans="23:23" x14ac:dyDescent="0.55000000000000004">
      <c r="W32886"/>
    </row>
    <row r="32887" spans="23:23" x14ac:dyDescent="0.55000000000000004">
      <c r="W32887"/>
    </row>
    <row r="32888" spans="23:23" x14ac:dyDescent="0.55000000000000004">
      <c r="W32888"/>
    </row>
    <row r="32889" spans="23:23" x14ac:dyDescent="0.55000000000000004">
      <c r="W32889"/>
    </row>
    <row r="32890" spans="23:23" x14ac:dyDescent="0.55000000000000004">
      <c r="W32890"/>
    </row>
    <row r="32891" spans="23:23" x14ac:dyDescent="0.55000000000000004">
      <c r="W32891"/>
    </row>
    <row r="32892" spans="23:23" x14ac:dyDescent="0.55000000000000004">
      <c r="W32892"/>
    </row>
    <row r="32893" spans="23:23" x14ac:dyDescent="0.55000000000000004">
      <c r="W32893"/>
    </row>
    <row r="32894" spans="23:23" x14ac:dyDescent="0.55000000000000004">
      <c r="W32894"/>
    </row>
    <row r="32895" spans="23:23" x14ac:dyDescent="0.55000000000000004">
      <c r="W32895"/>
    </row>
    <row r="32896" spans="23:23" x14ac:dyDescent="0.55000000000000004">
      <c r="W32896"/>
    </row>
    <row r="32897" spans="23:23" x14ac:dyDescent="0.55000000000000004">
      <c r="W32897"/>
    </row>
    <row r="32898" spans="23:23" x14ac:dyDescent="0.55000000000000004">
      <c r="W32898"/>
    </row>
    <row r="32899" spans="23:23" x14ac:dyDescent="0.55000000000000004">
      <c r="W32899"/>
    </row>
    <row r="32900" spans="23:23" x14ac:dyDescent="0.55000000000000004">
      <c r="W32900"/>
    </row>
    <row r="32901" spans="23:23" x14ac:dyDescent="0.55000000000000004">
      <c r="W32901"/>
    </row>
    <row r="32902" spans="23:23" x14ac:dyDescent="0.55000000000000004">
      <c r="W32902"/>
    </row>
    <row r="32903" spans="23:23" x14ac:dyDescent="0.55000000000000004">
      <c r="W32903"/>
    </row>
    <row r="32904" spans="23:23" x14ac:dyDescent="0.55000000000000004">
      <c r="W32904"/>
    </row>
    <row r="32905" spans="23:23" x14ac:dyDescent="0.55000000000000004">
      <c r="W32905"/>
    </row>
    <row r="32906" spans="23:23" x14ac:dyDescent="0.55000000000000004">
      <c r="W32906"/>
    </row>
    <row r="32907" spans="23:23" x14ac:dyDescent="0.55000000000000004">
      <c r="W32907"/>
    </row>
    <row r="32908" spans="23:23" x14ac:dyDescent="0.55000000000000004">
      <c r="W32908"/>
    </row>
    <row r="32909" spans="23:23" x14ac:dyDescent="0.55000000000000004">
      <c r="W32909"/>
    </row>
    <row r="32910" spans="23:23" x14ac:dyDescent="0.55000000000000004">
      <c r="W32910"/>
    </row>
    <row r="32911" spans="23:23" x14ac:dyDescent="0.55000000000000004">
      <c r="W32911"/>
    </row>
    <row r="32912" spans="23:23" x14ac:dyDescent="0.55000000000000004">
      <c r="W32912"/>
    </row>
    <row r="32913" spans="23:23" x14ac:dyDescent="0.55000000000000004">
      <c r="W32913"/>
    </row>
    <row r="32914" spans="23:23" x14ac:dyDescent="0.55000000000000004">
      <c r="W32914"/>
    </row>
    <row r="32915" spans="23:23" x14ac:dyDescent="0.55000000000000004">
      <c r="W32915"/>
    </row>
    <row r="32916" spans="23:23" x14ac:dyDescent="0.55000000000000004">
      <c r="W32916"/>
    </row>
    <row r="32917" spans="23:23" x14ac:dyDescent="0.55000000000000004">
      <c r="W32917"/>
    </row>
    <row r="32918" spans="23:23" x14ac:dyDescent="0.55000000000000004">
      <c r="W32918"/>
    </row>
    <row r="32919" spans="23:23" x14ac:dyDescent="0.55000000000000004">
      <c r="W32919"/>
    </row>
    <row r="32920" spans="23:23" x14ac:dyDescent="0.55000000000000004">
      <c r="W32920"/>
    </row>
    <row r="32921" spans="23:23" x14ac:dyDescent="0.55000000000000004">
      <c r="W32921"/>
    </row>
    <row r="32922" spans="23:23" x14ac:dyDescent="0.55000000000000004">
      <c r="W32922"/>
    </row>
    <row r="32923" spans="23:23" x14ac:dyDescent="0.55000000000000004">
      <c r="W32923"/>
    </row>
    <row r="32924" spans="23:23" x14ac:dyDescent="0.55000000000000004">
      <c r="W32924"/>
    </row>
    <row r="32925" spans="23:23" x14ac:dyDescent="0.55000000000000004">
      <c r="W32925"/>
    </row>
    <row r="32926" spans="23:23" x14ac:dyDescent="0.55000000000000004">
      <c r="W32926"/>
    </row>
    <row r="32927" spans="23:23" x14ac:dyDescent="0.55000000000000004">
      <c r="W32927"/>
    </row>
    <row r="32928" spans="23:23" x14ac:dyDescent="0.55000000000000004">
      <c r="W32928"/>
    </row>
    <row r="32929" spans="23:23" x14ac:dyDescent="0.55000000000000004">
      <c r="W32929"/>
    </row>
    <row r="32930" spans="23:23" x14ac:dyDescent="0.55000000000000004">
      <c r="W32930"/>
    </row>
    <row r="32931" spans="23:23" x14ac:dyDescent="0.55000000000000004">
      <c r="W32931"/>
    </row>
    <row r="32932" spans="23:23" x14ac:dyDescent="0.55000000000000004">
      <c r="W32932"/>
    </row>
    <row r="32933" spans="23:23" x14ac:dyDescent="0.55000000000000004">
      <c r="W32933"/>
    </row>
    <row r="32934" spans="23:23" x14ac:dyDescent="0.55000000000000004">
      <c r="W32934"/>
    </row>
    <row r="32935" spans="23:23" x14ac:dyDescent="0.55000000000000004">
      <c r="W32935"/>
    </row>
    <row r="32936" spans="23:23" x14ac:dyDescent="0.55000000000000004">
      <c r="W32936"/>
    </row>
    <row r="32937" spans="23:23" x14ac:dyDescent="0.55000000000000004">
      <c r="W32937"/>
    </row>
    <row r="32938" spans="23:23" x14ac:dyDescent="0.55000000000000004">
      <c r="W32938"/>
    </row>
    <row r="32939" spans="23:23" x14ac:dyDescent="0.55000000000000004">
      <c r="W32939"/>
    </row>
    <row r="32940" spans="23:23" x14ac:dyDescent="0.55000000000000004">
      <c r="W32940"/>
    </row>
    <row r="32941" spans="23:23" x14ac:dyDescent="0.55000000000000004">
      <c r="W32941"/>
    </row>
    <row r="32942" spans="23:23" x14ac:dyDescent="0.55000000000000004">
      <c r="W32942"/>
    </row>
    <row r="32943" spans="23:23" x14ac:dyDescent="0.55000000000000004">
      <c r="W32943"/>
    </row>
    <row r="32944" spans="23:23" x14ac:dyDescent="0.55000000000000004">
      <c r="W32944"/>
    </row>
    <row r="32945" spans="23:23" x14ac:dyDescent="0.55000000000000004">
      <c r="W32945"/>
    </row>
    <row r="32946" spans="23:23" x14ac:dyDescent="0.55000000000000004">
      <c r="W32946"/>
    </row>
    <row r="32947" spans="23:23" x14ac:dyDescent="0.55000000000000004">
      <c r="W32947"/>
    </row>
    <row r="32948" spans="23:23" x14ac:dyDescent="0.55000000000000004">
      <c r="W32948"/>
    </row>
    <row r="32949" spans="23:23" x14ac:dyDescent="0.55000000000000004">
      <c r="W32949"/>
    </row>
    <row r="32950" spans="23:23" x14ac:dyDescent="0.55000000000000004">
      <c r="W32950"/>
    </row>
    <row r="32951" spans="23:23" x14ac:dyDescent="0.55000000000000004">
      <c r="W32951"/>
    </row>
    <row r="32952" spans="23:23" x14ac:dyDescent="0.55000000000000004">
      <c r="W32952"/>
    </row>
    <row r="32953" spans="23:23" x14ac:dyDescent="0.55000000000000004">
      <c r="W32953"/>
    </row>
    <row r="32954" spans="23:23" x14ac:dyDescent="0.55000000000000004">
      <c r="W32954"/>
    </row>
    <row r="32955" spans="23:23" x14ac:dyDescent="0.55000000000000004">
      <c r="W32955"/>
    </row>
    <row r="32956" spans="23:23" x14ac:dyDescent="0.55000000000000004">
      <c r="W32956"/>
    </row>
    <row r="32957" spans="23:23" x14ac:dyDescent="0.55000000000000004">
      <c r="W32957"/>
    </row>
    <row r="32958" spans="23:23" x14ac:dyDescent="0.55000000000000004">
      <c r="W32958"/>
    </row>
    <row r="32959" spans="23:23" x14ac:dyDescent="0.55000000000000004">
      <c r="W32959"/>
    </row>
    <row r="32960" spans="23:23" x14ac:dyDescent="0.55000000000000004">
      <c r="W32960"/>
    </row>
    <row r="32961" spans="23:23" x14ac:dyDescent="0.55000000000000004">
      <c r="W32961"/>
    </row>
    <row r="32962" spans="23:23" x14ac:dyDescent="0.55000000000000004">
      <c r="W32962"/>
    </row>
    <row r="32963" spans="23:23" x14ac:dyDescent="0.55000000000000004">
      <c r="W32963"/>
    </row>
    <row r="32964" spans="23:23" x14ac:dyDescent="0.55000000000000004">
      <c r="W32964"/>
    </row>
    <row r="32965" spans="23:23" x14ac:dyDescent="0.55000000000000004">
      <c r="W32965"/>
    </row>
    <row r="32966" spans="23:23" x14ac:dyDescent="0.55000000000000004">
      <c r="W32966"/>
    </row>
    <row r="32967" spans="23:23" x14ac:dyDescent="0.55000000000000004">
      <c r="W32967"/>
    </row>
    <row r="32968" spans="23:23" x14ac:dyDescent="0.55000000000000004">
      <c r="W32968"/>
    </row>
    <row r="32969" spans="23:23" x14ac:dyDescent="0.55000000000000004">
      <c r="W32969"/>
    </row>
    <row r="32970" spans="23:23" x14ac:dyDescent="0.55000000000000004">
      <c r="W32970"/>
    </row>
    <row r="32971" spans="23:23" x14ac:dyDescent="0.55000000000000004">
      <c r="W32971"/>
    </row>
    <row r="32972" spans="23:23" x14ac:dyDescent="0.55000000000000004">
      <c r="W32972"/>
    </row>
    <row r="32973" spans="23:23" x14ac:dyDescent="0.55000000000000004">
      <c r="W32973"/>
    </row>
    <row r="32974" spans="23:23" x14ac:dyDescent="0.55000000000000004">
      <c r="W32974"/>
    </row>
    <row r="32975" spans="23:23" x14ac:dyDescent="0.55000000000000004">
      <c r="W32975"/>
    </row>
    <row r="32976" spans="23:23" x14ac:dyDescent="0.55000000000000004">
      <c r="W32976"/>
    </row>
    <row r="32977" spans="23:23" x14ac:dyDescent="0.55000000000000004">
      <c r="W32977"/>
    </row>
    <row r="32978" spans="23:23" x14ac:dyDescent="0.55000000000000004">
      <c r="W32978"/>
    </row>
    <row r="32979" spans="23:23" x14ac:dyDescent="0.55000000000000004">
      <c r="W32979"/>
    </row>
    <row r="32980" spans="23:23" x14ac:dyDescent="0.55000000000000004">
      <c r="W32980"/>
    </row>
    <row r="32981" spans="23:23" x14ac:dyDescent="0.55000000000000004">
      <c r="W32981"/>
    </row>
    <row r="32982" spans="23:23" x14ac:dyDescent="0.55000000000000004">
      <c r="W32982"/>
    </row>
    <row r="32983" spans="23:23" x14ac:dyDescent="0.55000000000000004">
      <c r="W32983"/>
    </row>
    <row r="32984" spans="23:23" x14ac:dyDescent="0.55000000000000004">
      <c r="W32984"/>
    </row>
    <row r="32985" spans="23:23" x14ac:dyDescent="0.55000000000000004">
      <c r="W32985"/>
    </row>
    <row r="32986" spans="23:23" x14ac:dyDescent="0.55000000000000004">
      <c r="W32986"/>
    </row>
    <row r="32987" spans="23:23" x14ac:dyDescent="0.55000000000000004">
      <c r="W32987"/>
    </row>
    <row r="32988" spans="23:23" x14ac:dyDescent="0.55000000000000004">
      <c r="W32988"/>
    </row>
    <row r="32989" spans="23:23" x14ac:dyDescent="0.55000000000000004">
      <c r="W32989"/>
    </row>
    <row r="32990" spans="23:23" x14ac:dyDescent="0.55000000000000004">
      <c r="W32990"/>
    </row>
    <row r="32991" spans="23:23" x14ac:dyDescent="0.55000000000000004">
      <c r="W32991"/>
    </row>
    <row r="32992" spans="23:23" x14ac:dyDescent="0.55000000000000004">
      <c r="W32992"/>
    </row>
    <row r="32993" spans="23:23" x14ac:dyDescent="0.55000000000000004">
      <c r="W32993"/>
    </row>
    <row r="32994" spans="23:23" x14ac:dyDescent="0.55000000000000004">
      <c r="W32994"/>
    </row>
    <row r="32995" spans="23:23" x14ac:dyDescent="0.55000000000000004">
      <c r="W32995"/>
    </row>
    <row r="32996" spans="23:23" x14ac:dyDescent="0.55000000000000004">
      <c r="W32996"/>
    </row>
    <row r="32997" spans="23:23" x14ac:dyDescent="0.55000000000000004">
      <c r="W32997"/>
    </row>
    <row r="32998" spans="23:23" x14ac:dyDescent="0.55000000000000004">
      <c r="W32998"/>
    </row>
    <row r="32999" spans="23:23" x14ac:dyDescent="0.55000000000000004">
      <c r="W32999"/>
    </row>
    <row r="33000" spans="23:23" x14ac:dyDescent="0.55000000000000004">
      <c r="W33000"/>
    </row>
    <row r="33001" spans="23:23" x14ac:dyDescent="0.55000000000000004">
      <c r="W33001"/>
    </row>
    <row r="33002" spans="23:23" x14ac:dyDescent="0.55000000000000004">
      <c r="W33002"/>
    </row>
    <row r="33003" spans="23:23" x14ac:dyDescent="0.55000000000000004">
      <c r="W33003"/>
    </row>
    <row r="33004" spans="23:23" x14ac:dyDescent="0.55000000000000004">
      <c r="W33004"/>
    </row>
    <row r="33005" spans="23:23" x14ac:dyDescent="0.55000000000000004">
      <c r="W33005"/>
    </row>
    <row r="33006" spans="23:23" x14ac:dyDescent="0.55000000000000004">
      <c r="W33006"/>
    </row>
    <row r="33007" spans="23:23" x14ac:dyDescent="0.55000000000000004">
      <c r="W33007"/>
    </row>
    <row r="33008" spans="23:23" x14ac:dyDescent="0.55000000000000004">
      <c r="W33008"/>
    </row>
    <row r="33009" spans="23:23" x14ac:dyDescent="0.55000000000000004">
      <c r="W33009"/>
    </row>
    <row r="33010" spans="23:23" x14ac:dyDescent="0.55000000000000004">
      <c r="W33010"/>
    </row>
    <row r="33011" spans="23:23" x14ac:dyDescent="0.55000000000000004">
      <c r="W33011"/>
    </row>
    <row r="33012" spans="23:23" x14ac:dyDescent="0.55000000000000004">
      <c r="W33012"/>
    </row>
    <row r="33013" spans="23:23" x14ac:dyDescent="0.55000000000000004">
      <c r="W33013"/>
    </row>
    <row r="33014" spans="23:23" x14ac:dyDescent="0.55000000000000004">
      <c r="W33014"/>
    </row>
    <row r="33015" spans="23:23" x14ac:dyDescent="0.55000000000000004">
      <c r="W33015"/>
    </row>
    <row r="33016" spans="23:23" x14ac:dyDescent="0.55000000000000004">
      <c r="W33016"/>
    </row>
    <row r="33017" spans="23:23" x14ac:dyDescent="0.55000000000000004">
      <c r="W33017"/>
    </row>
    <row r="33018" spans="23:23" x14ac:dyDescent="0.55000000000000004">
      <c r="W33018"/>
    </row>
    <row r="33019" spans="23:23" x14ac:dyDescent="0.55000000000000004">
      <c r="W33019"/>
    </row>
    <row r="33020" spans="23:23" x14ac:dyDescent="0.55000000000000004">
      <c r="W33020"/>
    </row>
    <row r="33021" spans="23:23" x14ac:dyDescent="0.55000000000000004">
      <c r="W33021"/>
    </row>
    <row r="33022" spans="23:23" x14ac:dyDescent="0.55000000000000004">
      <c r="W33022"/>
    </row>
    <row r="33023" spans="23:23" x14ac:dyDescent="0.55000000000000004">
      <c r="W33023"/>
    </row>
    <row r="33024" spans="23:23" x14ac:dyDescent="0.55000000000000004">
      <c r="W33024"/>
    </row>
    <row r="33025" spans="23:23" x14ac:dyDescent="0.55000000000000004">
      <c r="W33025"/>
    </row>
    <row r="33026" spans="23:23" x14ac:dyDescent="0.55000000000000004">
      <c r="W33026"/>
    </row>
    <row r="33027" spans="23:23" x14ac:dyDescent="0.55000000000000004">
      <c r="W33027"/>
    </row>
    <row r="33028" spans="23:23" x14ac:dyDescent="0.55000000000000004">
      <c r="W33028"/>
    </row>
    <row r="33029" spans="23:23" x14ac:dyDescent="0.55000000000000004">
      <c r="W33029"/>
    </row>
    <row r="33030" spans="23:23" x14ac:dyDescent="0.55000000000000004">
      <c r="W33030"/>
    </row>
    <row r="33031" spans="23:23" x14ac:dyDescent="0.55000000000000004">
      <c r="W33031"/>
    </row>
    <row r="33032" spans="23:23" x14ac:dyDescent="0.55000000000000004">
      <c r="W33032"/>
    </row>
    <row r="33033" spans="23:23" x14ac:dyDescent="0.55000000000000004">
      <c r="W33033"/>
    </row>
    <row r="33034" spans="23:23" x14ac:dyDescent="0.55000000000000004">
      <c r="W33034"/>
    </row>
    <row r="33035" spans="23:23" x14ac:dyDescent="0.55000000000000004">
      <c r="W33035"/>
    </row>
    <row r="33036" spans="23:23" x14ac:dyDescent="0.55000000000000004">
      <c r="W33036"/>
    </row>
    <row r="33037" spans="23:23" x14ac:dyDescent="0.55000000000000004">
      <c r="W33037"/>
    </row>
    <row r="33038" spans="23:23" x14ac:dyDescent="0.55000000000000004">
      <c r="W33038"/>
    </row>
    <row r="33039" spans="23:23" x14ac:dyDescent="0.55000000000000004">
      <c r="W33039"/>
    </row>
    <row r="33040" spans="23:23" x14ac:dyDescent="0.55000000000000004">
      <c r="W33040"/>
    </row>
    <row r="33041" spans="23:23" x14ac:dyDescent="0.55000000000000004">
      <c r="W33041"/>
    </row>
    <row r="33042" spans="23:23" x14ac:dyDescent="0.55000000000000004">
      <c r="W33042"/>
    </row>
    <row r="33043" spans="23:23" x14ac:dyDescent="0.55000000000000004">
      <c r="W33043"/>
    </row>
    <row r="33044" spans="23:23" x14ac:dyDescent="0.55000000000000004">
      <c r="W33044"/>
    </row>
    <row r="33045" spans="23:23" x14ac:dyDescent="0.55000000000000004">
      <c r="W33045"/>
    </row>
    <row r="33046" spans="23:23" x14ac:dyDescent="0.55000000000000004">
      <c r="W33046"/>
    </row>
    <row r="33047" spans="23:23" x14ac:dyDescent="0.55000000000000004">
      <c r="W33047"/>
    </row>
    <row r="33048" spans="23:23" x14ac:dyDescent="0.55000000000000004">
      <c r="W33048"/>
    </row>
    <row r="33049" spans="23:23" x14ac:dyDescent="0.55000000000000004">
      <c r="W33049"/>
    </row>
    <row r="33050" spans="23:23" x14ac:dyDescent="0.55000000000000004">
      <c r="W33050"/>
    </row>
    <row r="33051" spans="23:23" x14ac:dyDescent="0.55000000000000004">
      <c r="W33051"/>
    </row>
    <row r="33052" spans="23:23" x14ac:dyDescent="0.55000000000000004">
      <c r="W33052"/>
    </row>
    <row r="33053" spans="23:23" x14ac:dyDescent="0.55000000000000004">
      <c r="W33053"/>
    </row>
    <row r="33054" spans="23:23" x14ac:dyDescent="0.55000000000000004">
      <c r="W33054"/>
    </row>
    <row r="33055" spans="23:23" x14ac:dyDescent="0.55000000000000004">
      <c r="W33055"/>
    </row>
    <row r="33056" spans="23:23" x14ac:dyDescent="0.55000000000000004">
      <c r="W33056"/>
    </row>
    <row r="33057" spans="23:23" x14ac:dyDescent="0.55000000000000004">
      <c r="W33057"/>
    </row>
    <row r="33058" spans="23:23" x14ac:dyDescent="0.55000000000000004">
      <c r="W33058"/>
    </row>
    <row r="33059" spans="23:23" x14ac:dyDescent="0.55000000000000004">
      <c r="W33059"/>
    </row>
    <row r="33060" spans="23:23" x14ac:dyDescent="0.55000000000000004">
      <c r="W33060"/>
    </row>
    <row r="33061" spans="23:23" x14ac:dyDescent="0.55000000000000004">
      <c r="W33061"/>
    </row>
    <row r="33062" spans="23:23" x14ac:dyDescent="0.55000000000000004">
      <c r="W33062"/>
    </row>
    <row r="33063" spans="23:23" x14ac:dyDescent="0.55000000000000004">
      <c r="W33063"/>
    </row>
    <row r="33064" spans="23:23" x14ac:dyDescent="0.55000000000000004">
      <c r="W33064"/>
    </row>
    <row r="33065" spans="23:23" x14ac:dyDescent="0.55000000000000004">
      <c r="W33065"/>
    </row>
    <row r="33066" spans="23:23" x14ac:dyDescent="0.55000000000000004">
      <c r="W33066"/>
    </row>
    <row r="33067" spans="23:23" x14ac:dyDescent="0.55000000000000004">
      <c r="W33067"/>
    </row>
    <row r="33068" spans="23:23" x14ac:dyDescent="0.55000000000000004">
      <c r="W33068"/>
    </row>
    <row r="33069" spans="23:23" x14ac:dyDescent="0.55000000000000004">
      <c r="W33069"/>
    </row>
    <row r="33070" spans="23:23" x14ac:dyDescent="0.55000000000000004">
      <c r="W33070"/>
    </row>
    <row r="33071" spans="23:23" x14ac:dyDescent="0.55000000000000004">
      <c r="W33071"/>
    </row>
    <row r="33072" spans="23:23" x14ac:dyDescent="0.55000000000000004">
      <c r="W33072"/>
    </row>
    <row r="33073" spans="23:23" x14ac:dyDescent="0.55000000000000004">
      <c r="W33073"/>
    </row>
    <row r="33074" spans="23:23" x14ac:dyDescent="0.55000000000000004">
      <c r="W33074"/>
    </row>
    <row r="33075" spans="23:23" x14ac:dyDescent="0.55000000000000004">
      <c r="W33075"/>
    </row>
    <row r="33076" spans="23:23" x14ac:dyDescent="0.55000000000000004">
      <c r="W33076"/>
    </row>
    <row r="33077" spans="23:23" x14ac:dyDescent="0.55000000000000004">
      <c r="W33077"/>
    </row>
    <row r="33078" spans="23:23" x14ac:dyDescent="0.55000000000000004">
      <c r="W33078"/>
    </row>
    <row r="33079" spans="23:23" x14ac:dyDescent="0.55000000000000004">
      <c r="W33079"/>
    </row>
    <row r="33080" spans="23:23" x14ac:dyDescent="0.55000000000000004">
      <c r="W33080"/>
    </row>
    <row r="33081" spans="23:23" x14ac:dyDescent="0.55000000000000004">
      <c r="W33081"/>
    </row>
    <row r="33082" spans="23:23" x14ac:dyDescent="0.55000000000000004">
      <c r="W33082"/>
    </row>
    <row r="33083" spans="23:23" x14ac:dyDescent="0.55000000000000004">
      <c r="W33083"/>
    </row>
    <row r="33084" spans="23:23" x14ac:dyDescent="0.55000000000000004">
      <c r="W33084"/>
    </row>
    <row r="33085" spans="23:23" x14ac:dyDescent="0.55000000000000004">
      <c r="W33085"/>
    </row>
    <row r="33086" spans="23:23" x14ac:dyDescent="0.55000000000000004">
      <c r="W33086"/>
    </row>
    <row r="33087" spans="23:23" x14ac:dyDescent="0.55000000000000004">
      <c r="W33087"/>
    </row>
    <row r="33088" spans="23:23" x14ac:dyDescent="0.55000000000000004">
      <c r="W33088"/>
    </row>
    <row r="33089" spans="23:23" x14ac:dyDescent="0.55000000000000004">
      <c r="W33089"/>
    </row>
    <row r="33090" spans="23:23" x14ac:dyDescent="0.55000000000000004">
      <c r="W33090"/>
    </row>
    <row r="33091" spans="23:23" x14ac:dyDescent="0.55000000000000004">
      <c r="W33091"/>
    </row>
    <row r="33092" spans="23:23" x14ac:dyDescent="0.55000000000000004">
      <c r="W33092"/>
    </row>
    <row r="33093" spans="23:23" x14ac:dyDescent="0.55000000000000004">
      <c r="W33093"/>
    </row>
    <row r="33094" spans="23:23" x14ac:dyDescent="0.55000000000000004">
      <c r="W33094"/>
    </row>
    <row r="33095" spans="23:23" x14ac:dyDescent="0.55000000000000004">
      <c r="W33095"/>
    </row>
    <row r="33096" spans="23:23" x14ac:dyDescent="0.55000000000000004">
      <c r="W33096"/>
    </row>
    <row r="33097" spans="23:23" x14ac:dyDescent="0.55000000000000004">
      <c r="W33097"/>
    </row>
    <row r="33098" spans="23:23" x14ac:dyDescent="0.55000000000000004">
      <c r="W33098"/>
    </row>
    <row r="33099" spans="23:23" x14ac:dyDescent="0.55000000000000004">
      <c r="W33099"/>
    </row>
    <row r="33100" spans="23:23" x14ac:dyDescent="0.55000000000000004">
      <c r="W33100"/>
    </row>
    <row r="33101" spans="23:23" x14ac:dyDescent="0.55000000000000004">
      <c r="W33101"/>
    </row>
    <row r="33102" spans="23:23" x14ac:dyDescent="0.55000000000000004">
      <c r="W33102"/>
    </row>
    <row r="33103" spans="23:23" x14ac:dyDescent="0.55000000000000004">
      <c r="W33103"/>
    </row>
    <row r="33104" spans="23:23" x14ac:dyDescent="0.55000000000000004">
      <c r="W33104"/>
    </row>
    <row r="33105" spans="23:23" x14ac:dyDescent="0.55000000000000004">
      <c r="W33105"/>
    </row>
    <row r="33106" spans="23:23" x14ac:dyDescent="0.55000000000000004">
      <c r="W33106"/>
    </row>
    <row r="33107" spans="23:23" x14ac:dyDescent="0.55000000000000004">
      <c r="W33107"/>
    </row>
    <row r="33108" spans="23:23" x14ac:dyDescent="0.55000000000000004">
      <c r="W33108"/>
    </row>
    <row r="33109" spans="23:23" x14ac:dyDescent="0.55000000000000004">
      <c r="W33109"/>
    </row>
    <row r="33110" spans="23:23" x14ac:dyDescent="0.55000000000000004">
      <c r="W33110"/>
    </row>
    <row r="33111" spans="23:23" x14ac:dyDescent="0.55000000000000004">
      <c r="W33111"/>
    </row>
    <row r="33112" spans="23:23" x14ac:dyDescent="0.55000000000000004">
      <c r="W33112"/>
    </row>
    <row r="33113" spans="23:23" x14ac:dyDescent="0.55000000000000004">
      <c r="W33113"/>
    </row>
    <row r="33114" spans="23:23" x14ac:dyDescent="0.55000000000000004">
      <c r="W33114"/>
    </row>
    <row r="33115" spans="23:23" x14ac:dyDescent="0.55000000000000004">
      <c r="W33115"/>
    </row>
    <row r="33116" spans="23:23" x14ac:dyDescent="0.55000000000000004">
      <c r="W33116"/>
    </row>
    <row r="33117" spans="23:23" x14ac:dyDescent="0.55000000000000004">
      <c r="W33117"/>
    </row>
    <row r="33118" spans="23:23" x14ac:dyDescent="0.55000000000000004">
      <c r="W33118"/>
    </row>
    <row r="33119" spans="23:23" x14ac:dyDescent="0.55000000000000004">
      <c r="W33119"/>
    </row>
    <row r="33120" spans="23:23" x14ac:dyDescent="0.55000000000000004">
      <c r="W33120"/>
    </row>
    <row r="33121" spans="23:23" x14ac:dyDescent="0.55000000000000004">
      <c r="W33121"/>
    </row>
    <row r="33122" spans="23:23" x14ac:dyDescent="0.55000000000000004">
      <c r="W33122"/>
    </row>
    <row r="33123" spans="23:23" x14ac:dyDescent="0.55000000000000004">
      <c r="W33123"/>
    </row>
    <row r="33124" spans="23:23" x14ac:dyDescent="0.55000000000000004">
      <c r="W33124"/>
    </row>
    <row r="33125" spans="23:23" x14ac:dyDescent="0.55000000000000004">
      <c r="W33125"/>
    </row>
    <row r="33126" spans="23:23" x14ac:dyDescent="0.55000000000000004">
      <c r="W33126"/>
    </row>
    <row r="33127" spans="23:23" x14ac:dyDescent="0.55000000000000004">
      <c r="W33127"/>
    </row>
    <row r="33128" spans="23:23" x14ac:dyDescent="0.55000000000000004">
      <c r="W33128"/>
    </row>
    <row r="33129" spans="23:23" x14ac:dyDescent="0.55000000000000004">
      <c r="W33129"/>
    </row>
    <row r="33130" spans="23:23" x14ac:dyDescent="0.55000000000000004">
      <c r="W33130"/>
    </row>
    <row r="33131" spans="23:23" x14ac:dyDescent="0.55000000000000004">
      <c r="W33131"/>
    </row>
    <row r="33132" spans="23:23" x14ac:dyDescent="0.55000000000000004">
      <c r="W33132"/>
    </row>
    <row r="33133" spans="23:23" x14ac:dyDescent="0.55000000000000004">
      <c r="W33133"/>
    </row>
    <row r="33134" spans="23:23" x14ac:dyDescent="0.55000000000000004">
      <c r="W33134"/>
    </row>
    <row r="33135" spans="23:23" x14ac:dyDescent="0.55000000000000004">
      <c r="W33135"/>
    </row>
    <row r="33136" spans="23:23" x14ac:dyDescent="0.55000000000000004">
      <c r="W33136"/>
    </row>
    <row r="33137" spans="23:23" x14ac:dyDescent="0.55000000000000004">
      <c r="W33137"/>
    </row>
    <row r="33138" spans="23:23" x14ac:dyDescent="0.55000000000000004">
      <c r="W33138"/>
    </row>
    <row r="33139" spans="23:23" x14ac:dyDescent="0.55000000000000004">
      <c r="W33139"/>
    </row>
    <row r="33140" spans="23:23" x14ac:dyDescent="0.55000000000000004">
      <c r="W33140"/>
    </row>
    <row r="33141" spans="23:23" x14ac:dyDescent="0.55000000000000004">
      <c r="W33141"/>
    </row>
    <row r="33142" spans="23:23" x14ac:dyDescent="0.55000000000000004">
      <c r="W33142"/>
    </row>
    <row r="33143" spans="23:23" x14ac:dyDescent="0.55000000000000004">
      <c r="W33143"/>
    </row>
    <row r="33144" spans="23:23" x14ac:dyDescent="0.55000000000000004">
      <c r="W33144"/>
    </row>
    <row r="33145" spans="23:23" x14ac:dyDescent="0.55000000000000004">
      <c r="W33145"/>
    </row>
    <row r="33146" spans="23:23" x14ac:dyDescent="0.55000000000000004">
      <c r="W33146"/>
    </row>
    <row r="33147" spans="23:23" x14ac:dyDescent="0.55000000000000004">
      <c r="W33147"/>
    </row>
    <row r="33148" spans="23:23" x14ac:dyDescent="0.55000000000000004">
      <c r="W33148"/>
    </row>
    <row r="33149" spans="23:23" x14ac:dyDescent="0.55000000000000004">
      <c r="W33149"/>
    </row>
    <row r="33150" spans="23:23" x14ac:dyDescent="0.55000000000000004">
      <c r="W33150"/>
    </row>
    <row r="33151" spans="23:23" x14ac:dyDescent="0.55000000000000004">
      <c r="W33151"/>
    </row>
    <row r="33152" spans="23:23" x14ac:dyDescent="0.55000000000000004">
      <c r="W33152"/>
    </row>
    <row r="33153" spans="23:23" x14ac:dyDescent="0.55000000000000004">
      <c r="W33153"/>
    </row>
    <row r="33154" spans="23:23" x14ac:dyDescent="0.55000000000000004">
      <c r="W33154"/>
    </row>
    <row r="33155" spans="23:23" x14ac:dyDescent="0.55000000000000004">
      <c r="W33155"/>
    </row>
    <row r="33156" spans="23:23" x14ac:dyDescent="0.55000000000000004">
      <c r="W33156"/>
    </row>
    <row r="33157" spans="23:23" x14ac:dyDescent="0.55000000000000004">
      <c r="W33157"/>
    </row>
    <row r="33158" spans="23:23" x14ac:dyDescent="0.55000000000000004">
      <c r="W33158"/>
    </row>
    <row r="33159" spans="23:23" x14ac:dyDescent="0.55000000000000004">
      <c r="W33159"/>
    </row>
    <row r="33160" spans="23:23" x14ac:dyDescent="0.55000000000000004">
      <c r="W33160"/>
    </row>
    <row r="33161" spans="23:23" x14ac:dyDescent="0.55000000000000004">
      <c r="W33161"/>
    </row>
    <row r="33162" spans="23:23" x14ac:dyDescent="0.55000000000000004">
      <c r="W33162"/>
    </row>
    <row r="33163" spans="23:23" x14ac:dyDescent="0.55000000000000004">
      <c r="W33163"/>
    </row>
    <row r="33164" spans="23:23" x14ac:dyDescent="0.55000000000000004">
      <c r="W33164"/>
    </row>
    <row r="33165" spans="23:23" x14ac:dyDescent="0.55000000000000004">
      <c r="W33165"/>
    </row>
    <row r="33166" spans="23:23" x14ac:dyDescent="0.55000000000000004">
      <c r="W33166"/>
    </row>
    <row r="33167" spans="23:23" x14ac:dyDescent="0.55000000000000004">
      <c r="W33167"/>
    </row>
    <row r="33168" spans="23:23" x14ac:dyDescent="0.55000000000000004">
      <c r="W33168"/>
    </row>
    <row r="33169" spans="23:23" x14ac:dyDescent="0.55000000000000004">
      <c r="W33169"/>
    </row>
    <row r="33170" spans="23:23" x14ac:dyDescent="0.55000000000000004">
      <c r="W33170"/>
    </row>
    <row r="33171" spans="23:23" x14ac:dyDescent="0.55000000000000004">
      <c r="W33171"/>
    </row>
    <row r="33172" spans="23:23" x14ac:dyDescent="0.55000000000000004">
      <c r="W33172"/>
    </row>
    <row r="33173" spans="23:23" x14ac:dyDescent="0.55000000000000004">
      <c r="W33173"/>
    </row>
    <row r="33174" spans="23:23" x14ac:dyDescent="0.55000000000000004">
      <c r="W33174"/>
    </row>
    <row r="33175" spans="23:23" x14ac:dyDescent="0.55000000000000004">
      <c r="W33175"/>
    </row>
    <row r="33176" spans="23:23" x14ac:dyDescent="0.55000000000000004">
      <c r="W33176"/>
    </row>
    <row r="33177" spans="23:23" x14ac:dyDescent="0.55000000000000004">
      <c r="W33177"/>
    </row>
    <row r="33178" spans="23:23" x14ac:dyDescent="0.55000000000000004">
      <c r="W33178"/>
    </row>
    <row r="33179" spans="23:23" x14ac:dyDescent="0.55000000000000004">
      <c r="W33179"/>
    </row>
    <row r="33180" spans="23:23" x14ac:dyDescent="0.55000000000000004">
      <c r="W33180"/>
    </row>
    <row r="33181" spans="23:23" x14ac:dyDescent="0.55000000000000004">
      <c r="W33181"/>
    </row>
    <row r="33182" spans="23:23" x14ac:dyDescent="0.55000000000000004">
      <c r="W33182"/>
    </row>
    <row r="33183" spans="23:23" x14ac:dyDescent="0.55000000000000004">
      <c r="W33183"/>
    </row>
    <row r="33184" spans="23:23" x14ac:dyDescent="0.55000000000000004">
      <c r="W33184"/>
    </row>
    <row r="33185" spans="23:23" x14ac:dyDescent="0.55000000000000004">
      <c r="W33185"/>
    </row>
    <row r="33186" spans="23:23" x14ac:dyDescent="0.55000000000000004">
      <c r="W33186"/>
    </row>
    <row r="33187" spans="23:23" x14ac:dyDescent="0.55000000000000004">
      <c r="W33187"/>
    </row>
    <row r="33188" spans="23:23" x14ac:dyDescent="0.55000000000000004">
      <c r="W33188"/>
    </row>
    <row r="33189" spans="23:23" x14ac:dyDescent="0.55000000000000004">
      <c r="W33189"/>
    </row>
    <row r="33190" spans="23:23" x14ac:dyDescent="0.55000000000000004">
      <c r="W33190"/>
    </row>
    <row r="33191" spans="23:23" x14ac:dyDescent="0.55000000000000004">
      <c r="W33191"/>
    </row>
    <row r="33192" spans="23:23" x14ac:dyDescent="0.55000000000000004">
      <c r="W33192"/>
    </row>
    <row r="33193" spans="23:23" x14ac:dyDescent="0.55000000000000004">
      <c r="W33193"/>
    </row>
    <row r="33194" spans="23:23" x14ac:dyDescent="0.55000000000000004">
      <c r="W33194"/>
    </row>
    <row r="33195" spans="23:23" x14ac:dyDescent="0.55000000000000004">
      <c r="W33195"/>
    </row>
    <row r="33196" spans="23:23" x14ac:dyDescent="0.55000000000000004">
      <c r="W33196"/>
    </row>
    <row r="33197" spans="23:23" x14ac:dyDescent="0.55000000000000004">
      <c r="W33197"/>
    </row>
    <row r="33198" spans="23:23" x14ac:dyDescent="0.55000000000000004">
      <c r="W33198"/>
    </row>
    <row r="33199" spans="23:23" x14ac:dyDescent="0.55000000000000004">
      <c r="W33199"/>
    </row>
    <row r="33200" spans="23:23" x14ac:dyDescent="0.55000000000000004">
      <c r="W33200"/>
    </row>
    <row r="33201" spans="23:23" x14ac:dyDescent="0.55000000000000004">
      <c r="W33201"/>
    </row>
    <row r="33202" spans="23:23" x14ac:dyDescent="0.55000000000000004">
      <c r="W33202"/>
    </row>
    <row r="33203" spans="23:23" x14ac:dyDescent="0.55000000000000004">
      <c r="W33203"/>
    </row>
    <row r="33204" spans="23:23" x14ac:dyDescent="0.55000000000000004">
      <c r="W33204"/>
    </row>
    <row r="33205" spans="23:23" x14ac:dyDescent="0.55000000000000004">
      <c r="W33205"/>
    </row>
    <row r="33206" spans="23:23" x14ac:dyDescent="0.55000000000000004">
      <c r="W33206"/>
    </row>
    <row r="33207" spans="23:23" x14ac:dyDescent="0.55000000000000004">
      <c r="W33207"/>
    </row>
    <row r="33208" spans="23:23" x14ac:dyDescent="0.55000000000000004">
      <c r="W33208"/>
    </row>
    <row r="33209" spans="23:23" x14ac:dyDescent="0.55000000000000004">
      <c r="W33209"/>
    </row>
    <row r="33210" spans="23:23" x14ac:dyDescent="0.55000000000000004">
      <c r="W33210"/>
    </row>
    <row r="33211" spans="23:23" x14ac:dyDescent="0.55000000000000004">
      <c r="W33211"/>
    </row>
    <row r="33212" spans="23:23" x14ac:dyDescent="0.55000000000000004">
      <c r="W33212"/>
    </row>
    <row r="33213" spans="23:23" x14ac:dyDescent="0.55000000000000004">
      <c r="W33213"/>
    </row>
    <row r="33214" spans="23:23" x14ac:dyDescent="0.55000000000000004">
      <c r="W33214"/>
    </row>
    <row r="33215" spans="23:23" x14ac:dyDescent="0.55000000000000004">
      <c r="W33215"/>
    </row>
    <row r="33216" spans="23:23" x14ac:dyDescent="0.55000000000000004">
      <c r="W33216"/>
    </row>
    <row r="33217" spans="23:23" x14ac:dyDescent="0.55000000000000004">
      <c r="W33217"/>
    </row>
    <row r="33218" spans="23:23" x14ac:dyDescent="0.55000000000000004">
      <c r="W33218"/>
    </row>
    <row r="33219" spans="23:23" x14ac:dyDescent="0.55000000000000004">
      <c r="W33219"/>
    </row>
    <row r="33220" spans="23:23" x14ac:dyDescent="0.55000000000000004">
      <c r="W33220"/>
    </row>
    <row r="33221" spans="23:23" x14ac:dyDescent="0.55000000000000004">
      <c r="W33221"/>
    </row>
    <row r="33222" spans="23:23" x14ac:dyDescent="0.55000000000000004">
      <c r="W33222"/>
    </row>
    <row r="33223" spans="23:23" x14ac:dyDescent="0.55000000000000004">
      <c r="W33223"/>
    </row>
    <row r="33224" spans="23:23" x14ac:dyDescent="0.55000000000000004">
      <c r="W33224"/>
    </row>
    <row r="33225" spans="23:23" x14ac:dyDescent="0.55000000000000004">
      <c r="W33225"/>
    </row>
    <row r="33226" spans="23:23" x14ac:dyDescent="0.55000000000000004">
      <c r="W33226"/>
    </row>
    <row r="33227" spans="23:23" x14ac:dyDescent="0.55000000000000004">
      <c r="W33227"/>
    </row>
    <row r="33228" spans="23:23" x14ac:dyDescent="0.55000000000000004">
      <c r="W33228"/>
    </row>
    <row r="33229" spans="23:23" x14ac:dyDescent="0.55000000000000004">
      <c r="W33229"/>
    </row>
    <row r="33230" spans="23:23" x14ac:dyDescent="0.55000000000000004">
      <c r="W33230"/>
    </row>
    <row r="33231" spans="23:23" x14ac:dyDescent="0.55000000000000004">
      <c r="W33231"/>
    </row>
    <row r="33232" spans="23:23" x14ac:dyDescent="0.55000000000000004">
      <c r="W33232"/>
    </row>
    <row r="33233" spans="23:23" x14ac:dyDescent="0.55000000000000004">
      <c r="W33233"/>
    </row>
    <row r="33234" spans="23:23" x14ac:dyDescent="0.55000000000000004">
      <c r="W33234"/>
    </row>
    <row r="33235" spans="23:23" x14ac:dyDescent="0.55000000000000004">
      <c r="W33235"/>
    </row>
    <row r="33236" spans="23:23" x14ac:dyDescent="0.55000000000000004">
      <c r="W33236"/>
    </row>
    <row r="33237" spans="23:23" x14ac:dyDescent="0.55000000000000004">
      <c r="W33237"/>
    </row>
    <row r="33238" spans="23:23" x14ac:dyDescent="0.55000000000000004">
      <c r="W33238"/>
    </row>
    <row r="33239" spans="23:23" x14ac:dyDescent="0.55000000000000004">
      <c r="W33239"/>
    </row>
    <row r="33240" spans="23:23" x14ac:dyDescent="0.55000000000000004">
      <c r="W33240"/>
    </row>
    <row r="33241" spans="23:23" x14ac:dyDescent="0.55000000000000004">
      <c r="W33241"/>
    </row>
    <row r="33242" spans="23:23" x14ac:dyDescent="0.55000000000000004">
      <c r="W33242"/>
    </row>
    <row r="33243" spans="23:23" x14ac:dyDescent="0.55000000000000004">
      <c r="W33243"/>
    </row>
    <row r="33244" spans="23:23" x14ac:dyDescent="0.55000000000000004">
      <c r="W33244"/>
    </row>
    <row r="33245" spans="23:23" x14ac:dyDescent="0.55000000000000004">
      <c r="W33245"/>
    </row>
    <row r="33246" spans="23:23" x14ac:dyDescent="0.55000000000000004">
      <c r="W33246"/>
    </row>
    <row r="33247" spans="23:23" x14ac:dyDescent="0.55000000000000004">
      <c r="W33247"/>
    </row>
    <row r="33248" spans="23:23" x14ac:dyDescent="0.55000000000000004">
      <c r="W33248"/>
    </row>
    <row r="33249" spans="23:23" x14ac:dyDescent="0.55000000000000004">
      <c r="W33249"/>
    </row>
    <row r="33250" spans="23:23" x14ac:dyDescent="0.55000000000000004">
      <c r="W33250"/>
    </row>
    <row r="33251" spans="23:23" x14ac:dyDescent="0.55000000000000004">
      <c r="W33251"/>
    </row>
    <row r="33252" spans="23:23" x14ac:dyDescent="0.55000000000000004">
      <c r="W33252"/>
    </row>
    <row r="33253" spans="23:23" x14ac:dyDescent="0.55000000000000004">
      <c r="W33253"/>
    </row>
    <row r="33254" spans="23:23" x14ac:dyDescent="0.55000000000000004">
      <c r="W33254"/>
    </row>
    <row r="33255" spans="23:23" x14ac:dyDescent="0.55000000000000004">
      <c r="W33255"/>
    </row>
    <row r="33256" spans="23:23" x14ac:dyDescent="0.55000000000000004">
      <c r="W33256"/>
    </row>
    <row r="33257" spans="23:23" x14ac:dyDescent="0.55000000000000004">
      <c r="W33257"/>
    </row>
    <row r="33258" spans="23:23" x14ac:dyDescent="0.55000000000000004">
      <c r="W33258"/>
    </row>
    <row r="33259" spans="23:23" x14ac:dyDescent="0.55000000000000004">
      <c r="W33259"/>
    </row>
    <row r="33260" spans="23:23" x14ac:dyDescent="0.55000000000000004">
      <c r="W33260"/>
    </row>
    <row r="33261" spans="23:23" x14ac:dyDescent="0.55000000000000004">
      <c r="W33261"/>
    </row>
    <row r="33262" spans="23:23" x14ac:dyDescent="0.55000000000000004">
      <c r="W33262"/>
    </row>
    <row r="33263" spans="23:23" x14ac:dyDescent="0.55000000000000004">
      <c r="W33263"/>
    </row>
    <row r="33264" spans="23:23" x14ac:dyDescent="0.55000000000000004">
      <c r="W33264"/>
    </row>
    <row r="33265" spans="23:23" x14ac:dyDescent="0.55000000000000004">
      <c r="W33265"/>
    </row>
    <row r="33266" spans="23:23" x14ac:dyDescent="0.55000000000000004">
      <c r="W33266"/>
    </row>
    <row r="33267" spans="23:23" x14ac:dyDescent="0.55000000000000004">
      <c r="W33267"/>
    </row>
    <row r="33268" spans="23:23" x14ac:dyDescent="0.55000000000000004">
      <c r="W33268"/>
    </row>
    <row r="33269" spans="23:23" x14ac:dyDescent="0.55000000000000004">
      <c r="W33269"/>
    </row>
    <row r="33270" spans="23:23" x14ac:dyDescent="0.55000000000000004">
      <c r="W33270"/>
    </row>
    <row r="33271" spans="23:23" x14ac:dyDescent="0.55000000000000004">
      <c r="W33271"/>
    </row>
    <row r="33272" spans="23:23" x14ac:dyDescent="0.55000000000000004">
      <c r="W33272"/>
    </row>
    <row r="33273" spans="23:23" x14ac:dyDescent="0.55000000000000004">
      <c r="W33273"/>
    </row>
    <row r="33274" spans="23:23" x14ac:dyDescent="0.55000000000000004">
      <c r="W33274"/>
    </row>
    <row r="33275" spans="23:23" x14ac:dyDescent="0.55000000000000004">
      <c r="W33275"/>
    </row>
    <row r="33276" spans="23:23" x14ac:dyDescent="0.55000000000000004">
      <c r="W33276"/>
    </row>
    <row r="33277" spans="23:23" x14ac:dyDescent="0.55000000000000004">
      <c r="W33277"/>
    </row>
    <row r="33278" spans="23:23" x14ac:dyDescent="0.55000000000000004">
      <c r="W33278"/>
    </row>
    <row r="33279" spans="23:23" x14ac:dyDescent="0.55000000000000004">
      <c r="W33279"/>
    </row>
    <row r="33280" spans="23:23" x14ac:dyDescent="0.55000000000000004">
      <c r="W33280"/>
    </row>
    <row r="33281" spans="23:23" x14ac:dyDescent="0.55000000000000004">
      <c r="W33281"/>
    </row>
    <row r="33282" spans="23:23" x14ac:dyDescent="0.55000000000000004">
      <c r="W33282"/>
    </row>
    <row r="33283" spans="23:23" x14ac:dyDescent="0.55000000000000004">
      <c r="W33283"/>
    </row>
    <row r="33284" spans="23:23" x14ac:dyDescent="0.55000000000000004">
      <c r="W33284"/>
    </row>
    <row r="33285" spans="23:23" x14ac:dyDescent="0.55000000000000004">
      <c r="W33285"/>
    </row>
    <row r="33286" spans="23:23" x14ac:dyDescent="0.55000000000000004">
      <c r="W33286"/>
    </row>
    <row r="33287" spans="23:23" x14ac:dyDescent="0.55000000000000004">
      <c r="W33287"/>
    </row>
    <row r="33288" spans="23:23" x14ac:dyDescent="0.55000000000000004">
      <c r="W33288"/>
    </row>
    <row r="33289" spans="23:23" x14ac:dyDescent="0.55000000000000004">
      <c r="W33289"/>
    </row>
    <row r="33290" spans="23:23" x14ac:dyDescent="0.55000000000000004">
      <c r="W33290"/>
    </row>
    <row r="33291" spans="23:23" x14ac:dyDescent="0.55000000000000004">
      <c r="W33291"/>
    </row>
    <row r="33292" spans="23:23" x14ac:dyDescent="0.55000000000000004">
      <c r="W33292"/>
    </row>
    <row r="33293" spans="23:23" x14ac:dyDescent="0.55000000000000004">
      <c r="W33293"/>
    </row>
    <row r="33294" spans="23:23" x14ac:dyDescent="0.55000000000000004">
      <c r="W33294"/>
    </row>
    <row r="33295" spans="23:23" x14ac:dyDescent="0.55000000000000004">
      <c r="W33295"/>
    </row>
    <row r="33296" spans="23:23" x14ac:dyDescent="0.55000000000000004">
      <c r="W33296"/>
    </row>
    <row r="33297" spans="23:23" x14ac:dyDescent="0.55000000000000004">
      <c r="W33297"/>
    </row>
    <row r="33298" spans="23:23" x14ac:dyDescent="0.55000000000000004">
      <c r="W33298"/>
    </row>
    <row r="33299" spans="23:23" x14ac:dyDescent="0.55000000000000004">
      <c r="W33299"/>
    </row>
    <row r="33300" spans="23:23" x14ac:dyDescent="0.55000000000000004">
      <c r="W33300"/>
    </row>
    <row r="33301" spans="23:23" x14ac:dyDescent="0.55000000000000004">
      <c r="W33301"/>
    </row>
    <row r="33302" spans="23:23" x14ac:dyDescent="0.55000000000000004">
      <c r="W33302"/>
    </row>
    <row r="33303" spans="23:23" x14ac:dyDescent="0.55000000000000004">
      <c r="W33303"/>
    </row>
    <row r="33304" spans="23:23" x14ac:dyDescent="0.55000000000000004">
      <c r="W33304"/>
    </row>
    <row r="33305" spans="23:23" x14ac:dyDescent="0.55000000000000004">
      <c r="W33305"/>
    </row>
    <row r="33306" spans="23:23" x14ac:dyDescent="0.55000000000000004">
      <c r="W33306"/>
    </row>
    <row r="33307" spans="23:23" x14ac:dyDescent="0.55000000000000004">
      <c r="W33307"/>
    </row>
    <row r="33308" spans="23:23" x14ac:dyDescent="0.55000000000000004">
      <c r="W33308"/>
    </row>
    <row r="33309" spans="23:23" x14ac:dyDescent="0.55000000000000004">
      <c r="W33309"/>
    </row>
    <row r="33310" spans="23:23" x14ac:dyDescent="0.55000000000000004">
      <c r="W33310"/>
    </row>
    <row r="33311" spans="23:23" x14ac:dyDescent="0.55000000000000004">
      <c r="W33311"/>
    </row>
    <row r="33312" spans="23:23" x14ac:dyDescent="0.55000000000000004">
      <c r="W33312"/>
    </row>
    <row r="33313" spans="23:23" x14ac:dyDescent="0.55000000000000004">
      <c r="W33313"/>
    </row>
    <row r="33314" spans="23:23" x14ac:dyDescent="0.55000000000000004">
      <c r="W33314"/>
    </row>
    <row r="33315" spans="23:23" x14ac:dyDescent="0.55000000000000004">
      <c r="W33315"/>
    </row>
    <row r="33316" spans="23:23" x14ac:dyDescent="0.55000000000000004">
      <c r="W33316"/>
    </row>
    <row r="33317" spans="23:23" x14ac:dyDescent="0.55000000000000004">
      <c r="W33317"/>
    </row>
    <row r="33318" spans="23:23" x14ac:dyDescent="0.55000000000000004">
      <c r="W33318"/>
    </row>
    <row r="33319" spans="23:23" x14ac:dyDescent="0.55000000000000004">
      <c r="W33319"/>
    </row>
    <row r="33320" spans="23:23" x14ac:dyDescent="0.55000000000000004">
      <c r="W33320"/>
    </row>
    <row r="33321" spans="23:23" x14ac:dyDescent="0.55000000000000004">
      <c r="W33321"/>
    </row>
    <row r="33322" spans="23:23" x14ac:dyDescent="0.55000000000000004">
      <c r="W33322"/>
    </row>
    <row r="33323" spans="23:23" x14ac:dyDescent="0.55000000000000004">
      <c r="W33323"/>
    </row>
    <row r="33324" spans="23:23" x14ac:dyDescent="0.55000000000000004">
      <c r="W33324"/>
    </row>
    <row r="33325" spans="23:23" x14ac:dyDescent="0.55000000000000004">
      <c r="W33325"/>
    </row>
    <row r="33326" spans="23:23" x14ac:dyDescent="0.55000000000000004">
      <c r="W33326"/>
    </row>
    <row r="33327" spans="23:23" x14ac:dyDescent="0.55000000000000004">
      <c r="W33327"/>
    </row>
    <row r="33328" spans="23:23" x14ac:dyDescent="0.55000000000000004">
      <c r="W33328"/>
    </row>
    <row r="33329" spans="23:23" x14ac:dyDescent="0.55000000000000004">
      <c r="W33329"/>
    </row>
    <row r="33330" spans="23:23" x14ac:dyDescent="0.55000000000000004">
      <c r="W33330"/>
    </row>
    <row r="33331" spans="23:23" x14ac:dyDescent="0.55000000000000004">
      <c r="W33331"/>
    </row>
    <row r="33332" spans="23:23" x14ac:dyDescent="0.55000000000000004">
      <c r="W33332"/>
    </row>
    <row r="33333" spans="23:23" x14ac:dyDescent="0.55000000000000004">
      <c r="W33333"/>
    </row>
    <row r="33334" spans="23:23" x14ac:dyDescent="0.55000000000000004">
      <c r="W33334"/>
    </row>
    <row r="33335" spans="23:23" x14ac:dyDescent="0.55000000000000004">
      <c r="W33335"/>
    </row>
    <row r="33336" spans="23:23" x14ac:dyDescent="0.55000000000000004">
      <c r="W33336"/>
    </row>
    <row r="33337" spans="23:23" x14ac:dyDescent="0.55000000000000004">
      <c r="W33337"/>
    </row>
    <row r="33338" spans="23:23" x14ac:dyDescent="0.55000000000000004">
      <c r="W33338"/>
    </row>
    <row r="33339" spans="23:23" x14ac:dyDescent="0.55000000000000004">
      <c r="W33339"/>
    </row>
    <row r="33340" spans="23:23" x14ac:dyDescent="0.55000000000000004">
      <c r="W33340"/>
    </row>
    <row r="33341" spans="23:23" x14ac:dyDescent="0.55000000000000004">
      <c r="W33341"/>
    </row>
    <row r="33342" spans="23:23" x14ac:dyDescent="0.55000000000000004">
      <c r="W33342"/>
    </row>
    <row r="33343" spans="23:23" x14ac:dyDescent="0.55000000000000004">
      <c r="W33343"/>
    </row>
    <row r="33344" spans="23:23" x14ac:dyDescent="0.55000000000000004">
      <c r="W33344"/>
    </row>
    <row r="33345" spans="23:23" x14ac:dyDescent="0.55000000000000004">
      <c r="W33345"/>
    </row>
    <row r="33346" spans="23:23" x14ac:dyDescent="0.55000000000000004">
      <c r="W33346"/>
    </row>
    <row r="33347" spans="23:23" x14ac:dyDescent="0.55000000000000004">
      <c r="W33347"/>
    </row>
    <row r="33348" spans="23:23" x14ac:dyDescent="0.55000000000000004">
      <c r="W33348"/>
    </row>
    <row r="33349" spans="23:23" x14ac:dyDescent="0.55000000000000004">
      <c r="W33349"/>
    </row>
    <row r="33350" spans="23:23" x14ac:dyDescent="0.55000000000000004">
      <c r="W33350"/>
    </row>
    <row r="33351" spans="23:23" x14ac:dyDescent="0.55000000000000004">
      <c r="W33351"/>
    </row>
    <row r="33352" spans="23:23" x14ac:dyDescent="0.55000000000000004">
      <c r="W33352"/>
    </row>
    <row r="33353" spans="23:23" x14ac:dyDescent="0.55000000000000004">
      <c r="W33353"/>
    </row>
    <row r="33354" spans="23:23" x14ac:dyDescent="0.55000000000000004">
      <c r="W33354"/>
    </row>
    <row r="33355" spans="23:23" x14ac:dyDescent="0.55000000000000004">
      <c r="W33355"/>
    </row>
    <row r="33356" spans="23:23" x14ac:dyDescent="0.55000000000000004">
      <c r="W33356"/>
    </row>
    <row r="33357" spans="23:23" x14ac:dyDescent="0.55000000000000004">
      <c r="W33357"/>
    </row>
    <row r="33358" spans="23:23" x14ac:dyDescent="0.55000000000000004">
      <c r="W33358"/>
    </row>
    <row r="33359" spans="23:23" x14ac:dyDescent="0.55000000000000004">
      <c r="W33359"/>
    </row>
    <row r="33360" spans="23:23" x14ac:dyDescent="0.55000000000000004">
      <c r="W33360"/>
    </row>
    <row r="33361" spans="23:23" x14ac:dyDescent="0.55000000000000004">
      <c r="W33361"/>
    </row>
    <row r="33362" spans="23:23" x14ac:dyDescent="0.55000000000000004">
      <c r="W33362"/>
    </row>
    <row r="33363" spans="23:23" x14ac:dyDescent="0.55000000000000004">
      <c r="W33363"/>
    </row>
    <row r="33364" spans="23:23" x14ac:dyDescent="0.55000000000000004">
      <c r="W33364"/>
    </row>
    <row r="33365" spans="23:23" x14ac:dyDescent="0.55000000000000004">
      <c r="W33365"/>
    </row>
    <row r="33366" spans="23:23" x14ac:dyDescent="0.55000000000000004">
      <c r="W33366"/>
    </row>
    <row r="33367" spans="23:23" x14ac:dyDescent="0.55000000000000004">
      <c r="W33367"/>
    </row>
    <row r="33368" spans="23:23" x14ac:dyDescent="0.55000000000000004">
      <c r="W33368"/>
    </row>
    <row r="33369" spans="23:23" x14ac:dyDescent="0.55000000000000004">
      <c r="W33369"/>
    </row>
    <row r="33370" spans="23:23" x14ac:dyDescent="0.55000000000000004">
      <c r="W33370"/>
    </row>
    <row r="33371" spans="23:23" x14ac:dyDescent="0.55000000000000004">
      <c r="W33371"/>
    </row>
    <row r="33372" spans="23:23" x14ac:dyDescent="0.55000000000000004">
      <c r="W33372"/>
    </row>
    <row r="33373" spans="23:23" x14ac:dyDescent="0.55000000000000004">
      <c r="W33373"/>
    </row>
    <row r="33374" spans="23:23" x14ac:dyDescent="0.55000000000000004">
      <c r="W33374"/>
    </row>
    <row r="33375" spans="23:23" x14ac:dyDescent="0.55000000000000004">
      <c r="W33375"/>
    </row>
    <row r="33376" spans="23:23" x14ac:dyDescent="0.55000000000000004">
      <c r="W33376"/>
    </row>
    <row r="33377" spans="23:23" x14ac:dyDescent="0.55000000000000004">
      <c r="W33377"/>
    </row>
    <row r="33378" spans="23:23" x14ac:dyDescent="0.55000000000000004">
      <c r="W33378"/>
    </row>
    <row r="33379" spans="23:23" x14ac:dyDescent="0.55000000000000004">
      <c r="W33379"/>
    </row>
    <row r="33380" spans="23:23" x14ac:dyDescent="0.55000000000000004">
      <c r="W33380"/>
    </row>
    <row r="33381" spans="23:23" x14ac:dyDescent="0.55000000000000004">
      <c r="W33381"/>
    </row>
    <row r="33382" spans="23:23" x14ac:dyDescent="0.55000000000000004">
      <c r="W33382"/>
    </row>
    <row r="33383" spans="23:23" x14ac:dyDescent="0.55000000000000004">
      <c r="W33383"/>
    </row>
    <row r="33384" spans="23:23" x14ac:dyDescent="0.55000000000000004">
      <c r="W33384"/>
    </row>
    <row r="33385" spans="23:23" x14ac:dyDescent="0.55000000000000004">
      <c r="W33385"/>
    </row>
    <row r="33386" spans="23:23" x14ac:dyDescent="0.55000000000000004">
      <c r="W33386"/>
    </row>
    <row r="33387" spans="23:23" x14ac:dyDescent="0.55000000000000004">
      <c r="W33387"/>
    </row>
    <row r="33388" spans="23:23" x14ac:dyDescent="0.55000000000000004">
      <c r="W33388"/>
    </row>
    <row r="33389" spans="23:23" x14ac:dyDescent="0.55000000000000004">
      <c r="W33389"/>
    </row>
    <row r="33390" spans="23:23" x14ac:dyDescent="0.55000000000000004">
      <c r="W33390"/>
    </row>
    <row r="33391" spans="23:23" x14ac:dyDescent="0.55000000000000004">
      <c r="W33391"/>
    </row>
    <row r="33392" spans="23:23" x14ac:dyDescent="0.55000000000000004">
      <c r="W33392"/>
    </row>
    <row r="33393" spans="23:23" x14ac:dyDescent="0.55000000000000004">
      <c r="W33393"/>
    </row>
    <row r="33394" spans="23:23" x14ac:dyDescent="0.55000000000000004">
      <c r="W33394"/>
    </row>
    <row r="33395" spans="23:23" x14ac:dyDescent="0.55000000000000004">
      <c r="W33395"/>
    </row>
    <row r="33396" spans="23:23" x14ac:dyDescent="0.55000000000000004">
      <c r="W33396"/>
    </row>
    <row r="33397" spans="23:23" x14ac:dyDescent="0.55000000000000004">
      <c r="W33397"/>
    </row>
    <row r="33398" spans="23:23" x14ac:dyDescent="0.55000000000000004">
      <c r="W33398"/>
    </row>
    <row r="33399" spans="23:23" x14ac:dyDescent="0.55000000000000004">
      <c r="W33399"/>
    </row>
    <row r="33400" spans="23:23" x14ac:dyDescent="0.55000000000000004">
      <c r="W33400"/>
    </row>
    <row r="33401" spans="23:23" x14ac:dyDescent="0.55000000000000004">
      <c r="W33401"/>
    </row>
    <row r="33402" spans="23:23" x14ac:dyDescent="0.55000000000000004">
      <c r="W33402"/>
    </row>
    <row r="33403" spans="23:23" x14ac:dyDescent="0.55000000000000004">
      <c r="W33403"/>
    </row>
    <row r="33404" spans="23:23" x14ac:dyDescent="0.55000000000000004">
      <c r="W33404"/>
    </row>
    <row r="33405" spans="23:23" x14ac:dyDescent="0.55000000000000004">
      <c r="W33405"/>
    </row>
    <row r="33406" spans="23:23" x14ac:dyDescent="0.55000000000000004">
      <c r="W33406"/>
    </row>
    <row r="33407" spans="23:23" x14ac:dyDescent="0.55000000000000004">
      <c r="W33407"/>
    </row>
    <row r="33408" spans="23:23" x14ac:dyDescent="0.55000000000000004">
      <c r="W33408"/>
    </row>
    <row r="33409" spans="23:23" x14ac:dyDescent="0.55000000000000004">
      <c r="W33409"/>
    </row>
    <row r="33410" spans="23:23" x14ac:dyDescent="0.55000000000000004">
      <c r="W33410"/>
    </row>
    <row r="33411" spans="23:23" x14ac:dyDescent="0.55000000000000004">
      <c r="W33411"/>
    </row>
    <row r="33412" spans="23:23" x14ac:dyDescent="0.55000000000000004">
      <c r="W33412"/>
    </row>
    <row r="33413" spans="23:23" x14ac:dyDescent="0.55000000000000004">
      <c r="W33413"/>
    </row>
    <row r="33414" spans="23:23" x14ac:dyDescent="0.55000000000000004">
      <c r="W33414"/>
    </row>
    <row r="33415" spans="23:23" x14ac:dyDescent="0.55000000000000004">
      <c r="W33415"/>
    </row>
    <row r="33416" spans="23:23" x14ac:dyDescent="0.55000000000000004">
      <c r="W33416"/>
    </row>
    <row r="33417" spans="23:23" x14ac:dyDescent="0.55000000000000004">
      <c r="W33417"/>
    </row>
    <row r="33418" spans="23:23" x14ac:dyDescent="0.55000000000000004">
      <c r="W33418"/>
    </row>
    <row r="33419" spans="23:23" x14ac:dyDescent="0.55000000000000004">
      <c r="W33419"/>
    </row>
    <row r="33420" spans="23:23" x14ac:dyDescent="0.55000000000000004">
      <c r="W33420"/>
    </row>
    <row r="33421" spans="23:23" x14ac:dyDescent="0.55000000000000004">
      <c r="W33421"/>
    </row>
    <row r="33422" spans="23:23" x14ac:dyDescent="0.55000000000000004">
      <c r="W33422"/>
    </row>
    <row r="33423" spans="23:23" x14ac:dyDescent="0.55000000000000004">
      <c r="W33423"/>
    </row>
    <row r="33424" spans="23:23" x14ac:dyDescent="0.55000000000000004">
      <c r="W33424"/>
    </row>
    <row r="33425" spans="23:23" x14ac:dyDescent="0.55000000000000004">
      <c r="W33425"/>
    </row>
    <row r="33426" spans="23:23" x14ac:dyDescent="0.55000000000000004">
      <c r="W33426"/>
    </row>
    <row r="33427" spans="23:23" x14ac:dyDescent="0.55000000000000004">
      <c r="W33427"/>
    </row>
    <row r="33428" spans="23:23" x14ac:dyDescent="0.55000000000000004">
      <c r="W33428"/>
    </row>
    <row r="33429" spans="23:23" x14ac:dyDescent="0.55000000000000004">
      <c r="W33429"/>
    </row>
    <row r="33430" spans="23:23" x14ac:dyDescent="0.55000000000000004">
      <c r="W33430"/>
    </row>
    <row r="33431" spans="23:23" x14ac:dyDescent="0.55000000000000004">
      <c r="W33431"/>
    </row>
    <row r="33432" spans="23:23" x14ac:dyDescent="0.55000000000000004">
      <c r="W33432"/>
    </row>
    <row r="33433" spans="23:23" x14ac:dyDescent="0.55000000000000004">
      <c r="W33433"/>
    </row>
    <row r="33434" spans="23:23" x14ac:dyDescent="0.55000000000000004">
      <c r="W33434"/>
    </row>
    <row r="33435" spans="23:23" x14ac:dyDescent="0.55000000000000004">
      <c r="W33435"/>
    </row>
    <row r="33436" spans="23:23" x14ac:dyDescent="0.55000000000000004">
      <c r="W33436"/>
    </row>
    <row r="33437" spans="23:23" x14ac:dyDescent="0.55000000000000004">
      <c r="W33437"/>
    </row>
    <row r="33438" spans="23:23" x14ac:dyDescent="0.55000000000000004">
      <c r="W33438"/>
    </row>
    <row r="33439" spans="23:23" x14ac:dyDescent="0.55000000000000004">
      <c r="W33439"/>
    </row>
    <row r="33440" spans="23:23" x14ac:dyDescent="0.55000000000000004">
      <c r="W33440"/>
    </row>
    <row r="33441" spans="23:23" x14ac:dyDescent="0.55000000000000004">
      <c r="W33441"/>
    </row>
    <row r="33442" spans="23:23" x14ac:dyDescent="0.55000000000000004">
      <c r="W33442"/>
    </row>
    <row r="33443" spans="23:23" x14ac:dyDescent="0.55000000000000004">
      <c r="W33443"/>
    </row>
    <row r="33444" spans="23:23" x14ac:dyDescent="0.55000000000000004">
      <c r="W33444"/>
    </row>
    <row r="33445" spans="23:23" x14ac:dyDescent="0.55000000000000004">
      <c r="W33445"/>
    </row>
    <row r="33446" spans="23:23" x14ac:dyDescent="0.55000000000000004">
      <c r="W33446"/>
    </row>
    <row r="33447" spans="23:23" x14ac:dyDescent="0.55000000000000004">
      <c r="W33447"/>
    </row>
    <row r="33448" spans="23:23" x14ac:dyDescent="0.55000000000000004">
      <c r="W33448"/>
    </row>
    <row r="33449" spans="23:23" x14ac:dyDescent="0.55000000000000004">
      <c r="W33449"/>
    </row>
    <row r="33450" spans="23:23" x14ac:dyDescent="0.55000000000000004">
      <c r="W33450"/>
    </row>
    <row r="33451" spans="23:23" x14ac:dyDescent="0.55000000000000004">
      <c r="W33451"/>
    </row>
    <row r="33452" spans="23:23" x14ac:dyDescent="0.55000000000000004">
      <c r="W33452"/>
    </row>
    <row r="33453" spans="23:23" x14ac:dyDescent="0.55000000000000004">
      <c r="W33453"/>
    </row>
    <row r="33454" spans="23:23" x14ac:dyDescent="0.55000000000000004">
      <c r="W33454"/>
    </row>
    <row r="33455" spans="23:23" x14ac:dyDescent="0.55000000000000004">
      <c r="W33455"/>
    </row>
    <row r="33456" spans="23:23" x14ac:dyDescent="0.55000000000000004">
      <c r="W33456"/>
    </row>
    <row r="33457" spans="23:23" x14ac:dyDescent="0.55000000000000004">
      <c r="W33457"/>
    </row>
    <row r="33458" spans="23:23" x14ac:dyDescent="0.55000000000000004">
      <c r="W33458"/>
    </row>
    <row r="33459" spans="23:23" x14ac:dyDescent="0.55000000000000004">
      <c r="W33459"/>
    </row>
    <row r="33460" spans="23:23" x14ac:dyDescent="0.55000000000000004">
      <c r="W33460"/>
    </row>
    <row r="33461" spans="23:23" x14ac:dyDescent="0.55000000000000004">
      <c r="W33461"/>
    </row>
    <row r="33462" spans="23:23" x14ac:dyDescent="0.55000000000000004">
      <c r="W33462"/>
    </row>
    <row r="33463" spans="23:23" x14ac:dyDescent="0.55000000000000004">
      <c r="W33463"/>
    </row>
    <row r="33464" spans="23:23" x14ac:dyDescent="0.55000000000000004">
      <c r="W33464"/>
    </row>
    <row r="33465" spans="23:23" x14ac:dyDescent="0.55000000000000004">
      <c r="W33465"/>
    </row>
    <row r="33466" spans="23:23" x14ac:dyDescent="0.55000000000000004">
      <c r="W33466"/>
    </row>
    <row r="33467" spans="23:23" x14ac:dyDescent="0.55000000000000004">
      <c r="W33467"/>
    </row>
    <row r="33468" spans="23:23" x14ac:dyDescent="0.55000000000000004">
      <c r="W33468"/>
    </row>
    <row r="33469" spans="23:23" x14ac:dyDescent="0.55000000000000004">
      <c r="W33469"/>
    </row>
    <row r="33470" spans="23:23" x14ac:dyDescent="0.55000000000000004">
      <c r="W33470"/>
    </row>
    <row r="33471" spans="23:23" x14ac:dyDescent="0.55000000000000004">
      <c r="W33471"/>
    </row>
    <row r="33472" spans="23:23" x14ac:dyDescent="0.55000000000000004">
      <c r="W33472"/>
    </row>
    <row r="33473" spans="23:23" x14ac:dyDescent="0.55000000000000004">
      <c r="W33473"/>
    </row>
    <row r="33474" spans="23:23" x14ac:dyDescent="0.55000000000000004">
      <c r="W33474"/>
    </row>
    <row r="33475" spans="23:23" x14ac:dyDescent="0.55000000000000004">
      <c r="W33475"/>
    </row>
    <row r="33476" spans="23:23" x14ac:dyDescent="0.55000000000000004">
      <c r="W33476"/>
    </row>
    <row r="33477" spans="23:23" x14ac:dyDescent="0.55000000000000004">
      <c r="W33477"/>
    </row>
    <row r="33478" spans="23:23" x14ac:dyDescent="0.55000000000000004">
      <c r="W33478"/>
    </row>
    <row r="33479" spans="23:23" x14ac:dyDescent="0.55000000000000004">
      <c r="W33479"/>
    </row>
    <row r="33480" spans="23:23" x14ac:dyDescent="0.55000000000000004">
      <c r="W33480"/>
    </row>
    <row r="33481" spans="23:23" x14ac:dyDescent="0.55000000000000004">
      <c r="W33481"/>
    </row>
    <row r="33482" spans="23:23" x14ac:dyDescent="0.55000000000000004">
      <c r="W33482"/>
    </row>
    <row r="33483" spans="23:23" x14ac:dyDescent="0.55000000000000004">
      <c r="W33483"/>
    </row>
    <row r="33484" spans="23:23" x14ac:dyDescent="0.55000000000000004">
      <c r="W33484"/>
    </row>
    <row r="33485" spans="23:23" x14ac:dyDescent="0.55000000000000004">
      <c r="W33485"/>
    </row>
    <row r="33486" spans="23:23" x14ac:dyDescent="0.55000000000000004">
      <c r="W33486"/>
    </row>
    <row r="33487" spans="23:23" x14ac:dyDescent="0.55000000000000004">
      <c r="W33487"/>
    </row>
    <row r="33488" spans="23:23" x14ac:dyDescent="0.55000000000000004">
      <c r="W33488"/>
    </row>
    <row r="33489" spans="23:23" x14ac:dyDescent="0.55000000000000004">
      <c r="W33489"/>
    </row>
    <row r="33490" spans="23:23" x14ac:dyDescent="0.55000000000000004">
      <c r="W33490"/>
    </row>
    <row r="33491" spans="23:23" x14ac:dyDescent="0.55000000000000004">
      <c r="W33491"/>
    </row>
    <row r="33492" spans="23:23" x14ac:dyDescent="0.55000000000000004">
      <c r="W33492"/>
    </row>
    <row r="33493" spans="23:23" x14ac:dyDescent="0.55000000000000004">
      <c r="W33493"/>
    </row>
    <row r="33494" spans="23:23" x14ac:dyDescent="0.55000000000000004">
      <c r="W33494"/>
    </row>
    <row r="33495" spans="23:23" x14ac:dyDescent="0.55000000000000004">
      <c r="W33495"/>
    </row>
    <row r="33496" spans="23:23" x14ac:dyDescent="0.55000000000000004">
      <c r="W33496"/>
    </row>
    <row r="33497" spans="23:23" x14ac:dyDescent="0.55000000000000004">
      <c r="W33497"/>
    </row>
    <row r="33498" spans="23:23" x14ac:dyDescent="0.55000000000000004">
      <c r="W33498"/>
    </row>
    <row r="33499" spans="23:23" x14ac:dyDescent="0.55000000000000004">
      <c r="W33499"/>
    </row>
    <row r="33500" spans="23:23" x14ac:dyDescent="0.55000000000000004">
      <c r="W33500"/>
    </row>
    <row r="33501" spans="23:23" x14ac:dyDescent="0.55000000000000004">
      <c r="W33501"/>
    </row>
    <row r="33502" spans="23:23" x14ac:dyDescent="0.55000000000000004">
      <c r="W33502"/>
    </row>
    <row r="33503" spans="23:23" x14ac:dyDescent="0.55000000000000004">
      <c r="W33503"/>
    </row>
    <row r="33504" spans="23:23" x14ac:dyDescent="0.55000000000000004">
      <c r="W33504"/>
    </row>
    <row r="33505" spans="23:23" x14ac:dyDescent="0.55000000000000004">
      <c r="W33505"/>
    </row>
    <row r="33506" spans="23:23" x14ac:dyDescent="0.55000000000000004">
      <c r="W33506"/>
    </row>
    <row r="33507" spans="23:23" x14ac:dyDescent="0.55000000000000004">
      <c r="W33507"/>
    </row>
    <row r="33508" spans="23:23" x14ac:dyDescent="0.55000000000000004">
      <c r="W33508"/>
    </row>
    <row r="33509" spans="23:23" x14ac:dyDescent="0.55000000000000004">
      <c r="W33509"/>
    </row>
    <row r="33510" spans="23:23" x14ac:dyDescent="0.55000000000000004">
      <c r="W33510"/>
    </row>
    <row r="33511" spans="23:23" x14ac:dyDescent="0.55000000000000004">
      <c r="W33511"/>
    </row>
    <row r="33512" spans="23:23" x14ac:dyDescent="0.55000000000000004">
      <c r="W33512"/>
    </row>
    <row r="33513" spans="23:23" x14ac:dyDescent="0.55000000000000004">
      <c r="W33513"/>
    </row>
    <row r="33514" spans="23:23" x14ac:dyDescent="0.55000000000000004">
      <c r="W33514"/>
    </row>
    <row r="33515" spans="23:23" x14ac:dyDescent="0.55000000000000004">
      <c r="W33515"/>
    </row>
    <row r="33516" spans="23:23" x14ac:dyDescent="0.55000000000000004">
      <c r="W33516"/>
    </row>
    <row r="33517" spans="23:23" x14ac:dyDescent="0.55000000000000004">
      <c r="W33517"/>
    </row>
    <row r="33518" spans="23:23" x14ac:dyDescent="0.55000000000000004">
      <c r="W33518"/>
    </row>
    <row r="33519" spans="23:23" x14ac:dyDescent="0.55000000000000004">
      <c r="W33519"/>
    </row>
    <row r="33520" spans="23:23" x14ac:dyDescent="0.55000000000000004">
      <c r="W33520"/>
    </row>
    <row r="33521" spans="23:23" x14ac:dyDescent="0.55000000000000004">
      <c r="W33521"/>
    </row>
    <row r="33522" spans="23:23" x14ac:dyDescent="0.55000000000000004">
      <c r="W33522"/>
    </row>
    <row r="33523" spans="23:23" x14ac:dyDescent="0.55000000000000004">
      <c r="W33523"/>
    </row>
    <row r="33524" spans="23:23" x14ac:dyDescent="0.55000000000000004">
      <c r="W33524"/>
    </row>
    <row r="33525" spans="23:23" x14ac:dyDescent="0.55000000000000004">
      <c r="W33525"/>
    </row>
    <row r="33526" spans="23:23" x14ac:dyDescent="0.55000000000000004">
      <c r="W33526"/>
    </row>
    <row r="33527" spans="23:23" x14ac:dyDescent="0.55000000000000004">
      <c r="W33527"/>
    </row>
    <row r="33528" spans="23:23" x14ac:dyDescent="0.55000000000000004">
      <c r="W33528"/>
    </row>
    <row r="33529" spans="23:23" x14ac:dyDescent="0.55000000000000004">
      <c r="W33529"/>
    </row>
    <row r="33530" spans="23:23" x14ac:dyDescent="0.55000000000000004">
      <c r="W33530"/>
    </row>
    <row r="33531" spans="23:23" x14ac:dyDescent="0.55000000000000004">
      <c r="W33531"/>
    </row>
    <row r="33532" spans="23:23" x14ac:dyDescent="0.55000000000000004">
      <c r="W33532"/>
    </row>
    <row r="33533" spans="23:23" x14ac:dyDescent="0.55000000000000004">
      <c r="W33533"/>
    </row>
    <row r="33534" spans="23:23" x14ac:dyDescent="0.55000000000000004">
      <c r="W33534"/>
    </row>
    <row r="33535" spans="23:23" x14ac:dyDescent="0.55000000000000004">
      <c r="W33535"/>
    </row>
    <row r="33536" spans="23:23" x14ac:dyDescent="0.55000000000000004">
      <c r="W33536"/>
    </row>
    <row r="33537" spans="23:23" x14ac:dyDescent="0.55000000000000004">
      <c r="W33537"/>
    </row>
    <row r="33538" spans="23:23" x14ac:dyDescent="0.55000000000000004">
      <c r="W33538"/>
    </row>
    <row r="33539" spans="23:23" x14ac:dyDescent="0.55000000000000004">
      <c r="W33539"/>
    </row>
    <row r="33540" spans="23:23" x14ac:dyDescent="0.55000000000000004">
      <c r="W33540"/>
    </row>
    <row r="33541" spans="23:23" x14ac:dyDescent="0.55000000000000004">
      <c r="W33541"/>
    </row>
    <row r="33542" spans="23:23" x14ac:dyDescent="0.55000000000000004">
      <c r="W33542"/>
    </row>
    <row r="33543" spans="23:23" x14ac:dyDescent="0.55000000000000004">
      <c r="W33543"/>
    </row>
    <row r="33544" spans="23:23" x14ac:dyDescent="0.55000000000000004">
      <c r="W33544"/>
    </row>
    <row r="33545" spans="23:23" x14ac:dyDescent="0.55000000000000004">
      <c r="W33545"/>
    </row>
    <row r="33546" spans="23:23" x14ac:dyDescent="0.55000000000000004">
      <c r="W33546"/>
    </row>
    <row r="33547" spans="23:23" x14ac:dyDescent="0.55000000000000004">
      <c r="W33547"/>
    </row>
    <row r="33548" spans="23:23" x14ac:dyDescent="0.55000000000000004">
      <c r="W33548"/>
    </row>
    <row r="33549" spans="23:23" x14ac:dyDescent="0.55000000000000004">
      <c r="W33549"/>
    </row>
    <row r="33550" spans="23:23" x14ac:dyDescent="0.55000000000000004">
      <c r="W33550"/>
    </row>
    <row r="33551" spans="23:23" x14ac:dyDescent="0.55000000000000004">
      <c r="W33551"/>
    </row>
    <row r="33552" spans="23:23" x14ac:dyDescent="0.55000000000000004">
      <c r="W33552"/>
    </row>
    <row r="33553" spans="23:23" x14ac:dyDescent="0.55000000000000004">
      <c r="W33553"/>
    </row>
    <row r="33554" spans="23:23" x14ac:dyDescent="0.55000000000000004">
      <c r="W33554"/>
    </row>
    <row r="33555" spans="23:23" x14ac:dyDescent="0.55000000000000004">
      <c r="W33555"/>
    </row>
    <row r="33556" spans="23:23" x14ac:dyDescent="0.55000000000000004">
      <c r="W33556"/>
    </row>
    <row r="33557" spans="23:23" x14ac:dyDescent="0.55000000000000004">
      <c r="W33557"/>
    </row>
    <row r="33558" spans="23:23" x14ac:dyDescent="0.55000000000000004">
      <c r="W33558"/>
    </row>
    <row r="33559" spans="23:23" x14ac:dyDescent="0.55000000000000004">
      <c r="W33559"/>
    </row>
    <row r="33560" spans="23:23" x14ac:dyDescent="0.55000000000000004">
      <c r="W33560"/>
    </row>
    <row r="33561" spans="23:23" x14ac:dyDescent="0.55000000000000004">
      <c r="W33561"/>
    </row>
    <row r="33562" spans="23:23" x14ac:dyDescent="0.55000000000000004">
      <c r="W33562"/>
    </row>
    <row r="33563" spans="23:23" x14ac:dyDescent="0.55000000000000004">
      <c r="W33563"/>
    </row>
    <row r="33564" spans="23:23" x14ac:dyDescent="0.55000000000000004">
      <c r="W33564"/>
    </row>
    <row r="33565" spans="23:23" x14ac:dyDescent="0.55000000000000004">
      <c r="W33565"/>
    </row>
    <row r="33566" spans="23:23" x14ac:dyDescent="0.55000000000000004">
      <c r="W33566"/>
    </row>
    <row r="33567" spans="23:23" x14ac:dyDescent="0.55000000000000004">
      <c r="W33567"/>
    </row>
    <row r="33568" spans="23:23" x14ac:dyDescent="0.55000000000000004">
      <c r="W33568"/>
    </row>
    <row r="33569" spans="23:23" x14ac:dyDescent="0.55000000000000004">
      <c r="W33569"/>
    </row>
    <row r="33570" spans="23:23" x14ac:dyDescent="0.55000000000000004">
      <c r="W33570"/>
    </row>
    <row r="33571" spans="23:23" x14ac:dyDescent="0.55000000000000004">
      <c r="W33571"/>
    </row>
    <row r="33572" spans="23:23" x14ac:dyDescent="0.55000000000000004">
      <c r="W33572"/>
    </row>
    <row r="33573" spans="23:23" x14ac:dyDescent="0.55000000000000004">
      <c r="W33573"/>
    </row>
    <row r="33574" spans="23:23" x14ac:dyDescent="0.55000000000000004">
      <c r="W33574"/>
    </row>
    <row r="33575" spans="23:23" x14ac:dyDescent="0.55000000000000004">
      <c r="W33575"/>
    </row>
    <row r="33576" spans="23:23" x14ac:dyDescent="0.55000000000000004">
      <c r="W33576"/>
    </row>
    <row r="33577" spans="23:23" x14ac:dyDescent="0.55000000000000004">
      <c r="W33577"/>
    </row>
    <row r="33578" spans="23:23" x14ac:dyDescent="0.55000000000000004">
      <c r="W33578"/>
    </row>
    <row r="33579" spans="23:23" x14ac:dyDescent="0.55000000000000004">
      <c r="W33579"/>
    </row>
    <row r="33580" spans="23:23" x14ac:dyDescent="0.55000000000000004">
      <c r="W33580"/>
    </row>
    <row r="33581" spans="23:23" x14ac:dyDescent="0.55000000000000004">
      <c r="W33581"/>
    </row>
    <row r="33582" spans="23:23" x14ac:dyDescent="0.55000000000000004">
      <c r="W33582"/>
    </row>
    <row r="33583" spans="23:23" x14ac:dyDescent="0.55000000000000004">
      <c r="W33583"/>
    </row>
    <row r="33584" spans="23:23" x14ac:dyDescent="0.55000000000000004">
      <c r="W33584"/>
    </row>
    <row r="33585" spans="23:23" x14ac:dyDescent="0.55000000000000004">
      <c r="W33585"/>
    </row>
    <row r="33586" spans="23:23" x14ac:dyDescent="0.55000000000000004">
      <c r="W33586"/>
    </row>
    <row r="33587" spans="23:23" x14ac:dyDescent="0.55000000000000004">
      <c r="W33587"/>
    </row>
    <row r="33588" spans="23:23" x14ac:dyDescent="0.55000000000000004">
      <c r="W33588"/>
    </row>
    <row r="33589" spans="23:23" x14ac:dyDescent="0.55000000000000004">
      <c r="W33589"/>
    </row>
    <row r="33590" spans="23:23" x14ac:dyDescent="0.55000000000000004">
      <c r="W33590"/>
    </row>
    <row r="33591" spans="23:23" x14ac:dyDescent="0.55000000000000004">
      <c r="W33591"/>
    </row>
    <row r="33592" spans="23:23" x14ac:dyDescent="0.55000000000000004">
      <c r="W33592"/>
    </row>
    <row r="33593" spans="23:23" x14ac:dyDescent="0.55000000000000004">
      <c r="W33593"/>
    </row>
    <row r="33594" spans="23:23" x14ac:dyDescent="0.55000000000000004">
      <c r="W33594"/>
    </row>
    <row r="33595" spans="23:23" x14ac:dyDescent="0.55000000000000004">
      <c r="W33595"/>
    </row>
    <row r="33596" spans="23:23" x14ac:dyDescent="0.55000000000000004">
      <c r="W33596"/>
    </row>
    <row r="33597" spans="23:23" x14ac:dyDescent="0.55000000000000004">
      <c r="W33597"/>
    </row>
    <row r="33598" spans="23:23" x14ac:dyDescent="0.55000000000000004">
      <c r="W33598"/>
    </row>
    <row r="33599" spans="23:23" x14ac:dyDescent="0.55000000000000004">
      <c r="W33599"/>
    </row>
    <row r="33600" spans="23:23" x14ac:dyDescent="0.55000000000000004">
      <c r="W33600"/>
    </row>
    <row r="33601" spans="23:23" x14ac:dyDescent="0.55000000000000004">
      <c r="W33601"/>
    </row>
    <row r="33602" spans="23:23" x14ac:dyDescent="0.55000000000000004">
      <c r="W33602"/>
    </row>
    <row r="33603" spans="23:23" x14ac:dyDescent="0.55000000000000004">
      <c r="W33603"/>
    </row>
    <row r="33604" spans="23:23" x14ac:dyDescent="0.55000000000000004">
      <c r="W33604"/>
    </row>
    <row r="33605" spans="23:23" x14ac:dyDescent="0.55000000000000004">
      <c r="W33605"/>
    </row>
    <row r="33606" spans="23:23" x14ac:dyDescent="0.55000000000000004">
      <c r="W33606"/>
    </row>
    <row r="33607" spans="23:23" x14ac:dyDescent="0.55000000000000004">
      <c r="W33607"/>
    </row>
    <row r="33608" spans="23:23" x14ac:dyDescent="0.55000000000000004">
      <c r="W33608"/>
    </row>
    <row r="33609" spans="23:23" x14ac:dyDescent="0.55000000000000004">
      <c r="W33609"/>
    </row>
    <row r="33610" spans="23:23" x14ac:dyDescent="0.55000000000000004">
      <c r="W33610"/>
    </row>
    <row r="33611" spans="23:23" x14ac:dyDescent="0.55000000000000004">
      <c r="W33611"/>
    </row>
    <row r="33612" spans="23:23" x14ac:dyDescent="0.55000000000000004">
      <c r="W33612"/>
    </row>
    <row r="33613" spans="23:23" x14ac:dyDescent="0.55000000000000004">
      <c r="W33613"/>
    </row>
    <row r="33614" spans="23:23" x14ac:dyDescent="0.55000000000000004">
      <c r="W33614"/>
    </row>
    <row r="33615" spans="23:23" x14ac:dyDescent="0.55000000000000004">
      <c r="W33615"/>
    </row>
    <row r="33616" spans="23:23" x14ac:dyDescent="0.55000000000000004">
      <c r="W33616"/>
    </row>
    <row r="33617" spans="23:23" x14ac:dyDescent="0.55000000000000004">
      <c r="W33617"/>
    </row>
    <row r="33618" spans="23:23" x14ac:dyDescent="0.55000000000000004">
      <c r="W33618"/>
    </row>
    <row r="33619" spans="23:23" x14ac:dyDescent="0.55000000000000004">
      <c r="W33619"/>
    </row>
    <row r="33620" spans="23:23" x14ac:dyDescent="0.55000000000000004">
      <c r="W33620"/>
    </row>
    <row r="33621" spans="23:23" x14ac:dyDescent="0.55000000000000004">
      <c r="W33621"/>
    </row>
    <row r="33622" spans="23:23" x14ac:dyDescent="0.55000000000000004">
      <c r="W33622"/>
    </row>
    <row r="33623" spans="23:23" x14ac:dyDescent="0.55000000000000004">
      <c r="W33623"/>
    </row>
    <row r="33624" spans="23:23" x14ac:dyDescent="0.55000000000000004">
      <c r="W33624"/>
    </row>
    <row r="33625" spans="23:23" x14ac:dyDescent="0.55000000000000004">
      <c r="W33625"/>
    </row>
    <row r="33626" spans="23:23" x14ac:dyDescent="0.55000000000000004">
      <c r="W33626"/>
    </row>
    <row r="33627" spans="23:23" x14ac:dyDescent="0.55000000000000004">
      <c r="W33627"/>
    </row>
    <row r="33628" spans="23:23" x14ac:dyDescent="0.55000000000000004">
      <c r="W33628"/>
    </row>
    <row r="33629" spans="23:23" x14ac:dyDescent="0.55000000000000004">
      <c r="W33629"/>
    </row>
    <row r="33630" spans="23:23" x14ac:dyDescent="0.55000000000000004">
      <c r="W33630"/>
    </row>
    <row r="33631" spans="23:23" x14ac:dyDescent="0.55000000000000004">
      <c r="W33631"/>
    </row>
    <row r="33632" spans="23:23" x14ac:dyDescent="0.55000000000000004">
      <c r="W33632"/>
    </row>
    <row r="33633" spans="23:23" x14ac:dyDescent="0.55000000000000004">
      <c r="W33633"/>
    </row>
    <row r="33634" spans="23:23" x14ac:dyDescent="0.55000000000000004">
      <c r="W33634"/>
    </row>
    <row r="33635" spans="23:23" x14ac:dyDescent="0.55000000000000004">
      <c r="W33635"/>
    </row>
    <row r="33636" spans="23:23" x14ac:dyDescent="0.55000000000000004">
      <c r="W33636"/>
    </row>
    <row r="33637" spans="23:23" x14ac:dyDescent="0.55000000000000004">
      <c r="W33637"/>
    </row>
    <row r="33638" spans="23:23" x14ac:dyDescent="0.55000000000000004">
      <c r="W33638"/>
    </row>
    <row r="33639" spans="23:23" x14ac:dyDescent="0.55000000000000004">
      <c r="W33639"/>
    </row>
    <row r="33640" spans="23:23" x14ac:dyDescent="0.55000000000000004">
      <c r="W33640"/>
    </row>
    <row r="33641" spans="23:23" x14ac:dyDescent="0.55000000000000004">
      <c r="W33641"/>
    </row>
    <row r="33642" spans="23:23" x14ac:dyDescent="0.55000000000000004">
      <c r="W33642"/>
    </row>
    <row r="33643" spans="23:23" x14ac:dyDescent="0.55000000000000004">
      <c r="W33643"/>
    </row>
    <row r="33644" spans="23:23" x14ac:dyDescent="0.55000000000000004">
      <c r="W33644"/>
    </row>
    <row r="33645" spans="23:23" x14ac:dyDescent="0.55000000000000004">
      <c r="W33645"/>
    </row>
    <row r="33646" spans="23:23" x14ac:dyDescent="0.55000000000000004">
      <c r="W33646"/>
    </row>
    <row r="33647" spans="23:23" x14ac:dyDescent="0.55000000000000004">
      <c r="W33647"/>
    </row>
    <row r="33648" spans="23:23" x14ac:dyDescent="0.55000000000000004">
      <c r="W33648"/>
    </row>
    <row r="33649" spans="23:23" x14ac:dyDescent="0.55000000000000004">
      <c r="W33649"/>
    </row>
    <row r="33650" spans="23:23" x14ac:dyDescent="0.55000000000000004">
      <c r="W33650"/>
    </row>
    <row r="33651" spans="23:23" x14ac:dyDescent="0.55000000000000004">
      <c r="W33651"/>
    </row>
    <row r="33652" spans="23:23" x14ac:dyDescent="0.55000000000000004">
      <c r="W33652"/>
    </row>
    <row r="33653" spans="23:23" x14ac:dyDescent="0.55000000000000004">
      <c r="W33653"/>
    </row>
    <row r="33654" spans="23:23" x14ac:dyDescent="0.55000000000000004">
      <c r="W33654"/>
    </row>
    <row r="33655" spans="23:23" x14ac:dyDescent="0.55000000000000004">
      <c r="W33655"/>
    </row>
    <row r="33656" spans="23:23" x14ac:dyDescent="0.55000000000000004">
      <c r="W33656"/>
    </row>
    <row r="33657" spans="23:23" x14ac:dyDescent="0.55000000000000004">
      <c r="W33657"/>
    </row>
    <row r="33658" spans="23:23" x14ac:dyDescent="0.55000000000000004">
      <c r="W33658"/>
    </row>
    <row r="33659" spans="23:23" x14ac:dyDescent="0.55000000000000004">
      <c r="W33659"/>
    </row>
    <row r="33660" spans="23:23" x14ac:dyDescent="0.55000000000000004">
      <c r="W33660"/>
    </row>
    <row r="33661" spans="23:23" x14ac:dyDescent="0.55000000000000004">
      <c r="W33661"/>
    </row>
    <row r="33662" spans="23:23" x14ac:dyDescent="0.55000000000000004">
      <c r="W33662"/>
    </row>
    <row r="33663" spans="23:23" x14ac:dyDescent="0.55000000000000004">
      <c r="W33663"/>
    </row>
    <row r="33664" spans="23:23" x14ac:dyDescent="0.55000000000000004">
      <c r="W33664"/>
    </row>
    <row r="33665" spans="23:23" x14ac:dyDescent="0.55000000000000004">
      <c r="W33665"/>
    </row>
    <row r="33666" spans="23:23" x14ac:dyDescent="0.55000000000000004">
      <c r="W33666"/>
    </row>
    <row r="33667" spans="23:23" x14ac:dyDescent="0.55000000000000004">
      <c r="W33667"/>
    </row>
    <row r="33668" spans="23:23" x14ac:dyDescent="0.55000000000000004">
      <c r="W33668"/>
    </row>
    <row r="33669" spans="23:23" x14ac:dyDescent="0.55000000000000004">
      <c r="W33669"/>
    </row>
    <row r="33670" spans="23:23" x14ac:dyDescent="0.55000000000000004">
      <c r="W33670"/>
    </row>
    <row r="33671" spans="23:23" x14ac:dyDescent="0.55000000000000004">
      <c r="W33671"/>
    </row>
    <row r="33672" spans="23:23" x14ac:dyDescent="0.55000000000000004">
      <c r="W33672"/>
    </row>
    <row r="33673" spans="23:23" x14ac:dyDescent="0.55000000000000004">
      <c r="W33673"/>
    </row>
    <row r="33674" spans="23:23" x14ac:dyDescent="0.55000000000000004">
      <c r="W33674"/>
    </row>
    <row r="33675" spans="23:23" x14ac:dyDescent="0.55000000000000004">
      <c r="W33675"/>
    </row>
    <row r="33676" spans="23:23" x14ac:dyDescent="0.55000000000000004">
      <c r="W33676"/>
    </row>
    <row r="33677" spans="23:23" x14ac:dyDescent="0.55000000000000004">
      <c r="W33677"/>
    </row>
    <row r="33678" spans="23:23" x14ac:dyDescent="0.55000000000000004">
      <c r="W33678"/>
    </row>
    <row r="33679" spans="23:23" x14ac:dyDescent="0.55000000000000004">
      <c r="W33679"/>
    </row>
    <row r="33680" spans="23:23" x14ac:dyDescent="0.55000000000000004">
      <c r="W33680"/>
    </row>
    <row r="33681" spans="23:23" x14ac:dyDescent="0.55000000000000004">
      <c r="W33681"/>
    </row>
    <row r="33682" spans="23:23" x14ac:dyDescent="0.55000000000000004">
      <c r="W33682"/>
    </row>
    <row r="33683" spans="23:23" x14ac:dyDescent="0.55000000000000004">
      <c r="W33683"/>
    </row>
    <row r="33684" spans="23:23" x14ac:dyDescent="0.55000000000000004">
      <c r="W33684"/>
    </row>
    <row r="33685" spans="23:23" x14ac:dyDescent="0.55000000000000004">
      <c r="W33685"/>
    </row>
    <row r="33686" spans="23:23" x14ac:dyDescent="0.55000000000000004">
      <c r="W33686"/>
    </row>
    <row r="33687" spans="23:23" x14ac:dyDescent="0.55000000000000004">
      <c r="W33687"/>
    </row>
    <row r="33688" spans="23:23" x14ac:dyDescent="0.55000000000000004">
      <c r="W33688"/>
    </row>
    <row r="33689" spans="23:23" x14ac:dyDescent="0.55000000000000004">
      <c r="W33689"/>
    </row>
    <row r="33690" spans="23:23" x14ac:dyDescent="0.55000000000000004">
      <c r="W33690"/>
    </row>
    <row r="33691" spans="23:23" x14ac:dyDescent="0.55000000000000004">
      <c r="W33691"/>
    </row>
    <row r="33692" spans="23:23" x14ac:dyDescent="0.55000000000000004">
      <c r="W33692"/>
    </row>
    <row r="33693" spans="23:23" x14ac:dyDescent="0.55000000000000004">
      <c r="W33693"/>
    </row>
    <row r="33694" spans="23:23" x14ac:dyDescent="0.55000000000000004">
      <c r="W33694"/>
    </row>
    <row r="33695" spans="23:23" x14ac:dyDescent="0.55000000000000004">
      <c r="W33695"/>
    </row>
    <row r="33696" spans="23:23" x14ac:dyDescent="0.55000000000000004">
      <c r="W33696"/>
    </row>
    <row r="33697" spans="23:23" x14ac:dyDescent="0.55000000000000004">
      <c r="W33697"/>
    </row>
    <row r="33698" spans="23:23" x14ac:dyDescent="0.55000000000000004">
      <c r="W33698"/>
    </row>
    <row r="33699" spans="23:23" x14ac:dyDescent="0.55000000000000004">
      <c r="W33699"/>
    </row>
    <row r="33700" spans="23:23" x14ac:dyDescent="0.55000000000000004">
      <c r="W33700"/>
    </row>
    <row r="33701" spans="23:23" x14ac:dyDescent="0.55000000000000004">
      <c r="W33701"/>
    </row>
    <row r="33702" spans="23:23" x14ac:dyDescent="0.55000000000000004">
      <c r="W33702"/>
    </row>
    <row r="33703" spans="23:23" x14ac:dyDescent="0.55000000000000004">
      <c r="W33703"/>
    </row>
    <row r="33704" spans="23:23" x14ac:dyDescent="0.55000000000000004">
      <c r="W33704"/>
    </row>
    <row r="33705" spans="23:23" x14ac:dyDescent="0.55000000000000004">
      <c r="W33705"/>
    </row>
    <row r="33706" spans="23:23" x14ac:dyDescent="0.55000000000000004">
      <c r="W33706"/>
    </row>
    <row r="33707" spans="23:23" x14ac:dyDescent="0.55000000000000004">
      <c r="W33707"/>
    </row>
    <row r="33708" spans="23:23" x14ac:dyDescent="0.55000000000000004">
      <c r="W33708"/>
    </row>
    <row r="33709" spans="23:23" x14ac:dyDescent="0.55000000000000004">
      <c r="W33709"/>
    </row>
    <row r="33710" spans="23:23" x14ac:dyDescent="0.55000000000000004">
      <c r="W33710"/>
    </row>
    <row r="33711" spans="23:23" x14ac:dyDescent="0.55000000000000004">
      <c r="W33711"/>
    </row>
    <row r="33712" spans="23:23" x14ac:dyDescent="0.55000000000000004">
      <c r="W33712"/>
    </row>
    <row r="33713" spans="23:23" x14ac:dyDescent="0.55000000000000004">
      <c r="W33713"/>
    </row>
    <row r="33714" spans="23:23" x14ac:dyDescent="0.55000000000000004">
      <c r="W33714"/>
    </row>
    <row r="33715" spans="23:23" x14ac:dyDescent="0.55000000000000004">
      <c r="W33715"/>
    </row>
    <row r="33716" spans="23:23" x14ac:dyDescent="0.55000000000000004">
      <c r="W33716"/>
    </row>
    <row r="33717" spans="23:23" x14ac:dyDescent="0.55000000000000004">
      <c r="W33717"/>
    </row>
    <row r="33718" spans="23:23" x14ac:dyDescent="0.55000000000000004">
      <c r="W33718"/>
    </row>
    <row r="33719" spans="23:23" x14ac:dyDescent="0.55000000000000004">
      <c r="W33719"/>
    </row>
    <row r="33720" spans="23:23" x14ac:dyDescent="0.55000000000000004">
      <c r="W33720"/>
    </row>
    <row r="33721" spans="23:23" x14ac:dyDescent="0.55000000000000004">
      <c r="W33721"/>
    </row>
    <row r="33722" spans="23:23" x14ac:dyDescent="0.55000000000000004">
      <c r="W33722"/>
    </row>
    <row r="33723" spans="23:23" x14ac:dyDescent="0.55000000000000004">
      <c r="W33723"/>
    </row>
    <row r="33724" spans="23:23" x14ac:dyDescent="0.55000000000000004">
      <c r="W33724"/>
    </row>
    <row r="33725" spans="23:23" x14ac:dyDescent="0.55000000000000004">
      <c r="W33725"/>
    </row>
    <row r="33726" spans="23:23" x14ac:dyDescent="0.55000000000000004">
      <c r="W33726"/>
    </row>
    <row r="33727" spans="23:23" x14ac:dyDescent="0.55000000000000004">
      <c r="W33727"/>
    </row>
    <row r="33728" spans="23:23" x14ac:dyDescent="0.55000000000000004">
      <c r="W33728"/>
    </row>
    <row r="33729" spans="23:23" x14ac:dyDescent="0.55000000000000004">
      <c r="W33729"/>
    </row>
    <row r="33730" spans="23:23" x14ac:dyDescent="0.55000000000000004">
      <c r="W33730"/>
    </row>
    <row r="33731" spans="23:23" x14ac:dyDescent="0.55000000000000004">
      <c r="W33731"/>
    </row>
    <row r="33732" spans="23:23" x14ac:dyDescent="0.55000000000000004">
      <c r="W33732"/>
    </row>
    <row r="33733" spans="23:23" x14ac:dyDescent="0.55000000000000004">
      <c r="W33733"/>
    </row>
    <row r="33734" spans="23:23" x14ac:dyDescent="0.55000000000000004">
      <c r="W33734"/>
    </row>
    <row r="33735" spans="23:23" x14ac:dyDescent="0.55000000000000004">
      <c r="W33735"/>
    </row>
    <row r="33736" spans="23:23" x14ac:dyDescent="0.55000000000000004">
      <c r="W33736"/>
    </row>
    <row r="33737" spans="23:23" x14ac:dyDescent="0.55000000000000004">
      <c r="W33737"/>
    </row>
    <row r="33738" spans="23:23" x14ac:dyDescent="0.55000000000000004">
      <c r="W33738"/>
    </row>
    <row r="33739" spans="23:23" x14ac:dyDescent="0.55000000000000004">
      <c r="W33739"/>
    </row>
    <row r="33740" spans="23:23" x14ac:dyDescent="0.55000000000000004">
      <c r="W33740"/>
    </row>
    <row r="33741" spans="23:23" x14ac:dyDescent="0.55000000000000004">
      <c r="W33741"/>
    </row>
    <row r="33742" spans="23:23" x14ac:dyDescent="0.55000000000000004">
      <c r="W33742"/>
    </row>
    <row r="33743" spans="23:23" x14ac:dyDescent="0.55000000000000004">
      <c r="W33743"/>
    </row>
    <row r="33744" spans="23:23" x14ac:dyDescent="0.55000000000000004">
      <c r="W33744"/>
    </row>
    <row r="33745" spans="23:23" x14ac:dyDescent="0.55000000000000004">
      <c r="W33745"/>
    </row>
    <row r="33746" spans="23:23" x14ac:dyDescent="0.55000000000000004">
      <c r="W33746"/>
    </row>
    <row r="33747" spans="23:23" x14ac:dyDescent="0.55000000000000004">
      <c r="W33747"/>
    </row>
    <row r="33748" spans="23:23" x14ac:dyDescent="0.55000000000000004">
      <c r="W33748"/>
    </row>
    <row r="33749" spans="23:23" x14ac:dyDescent="0.55000000000000004">
      <c r="W33749"/>
    </row>
    <row r="33750" spans="23:23" x14ac:dyDescent="0.55000000000000004">
      <c r="W33750"/>
    </row>
    <row r="33751" spans="23:23" x14ac:dyDescent="0.55000000000000004">
      <c r="W33751"/>
    </row>
    <row r="33752" spans="23:23" x14ac:dyDescent="0.55000000000000004">
      <c r="W33752"/>
    </row>
    <row r="33753" spans="23:23" x14ac:dyDescent="0.55000000000000004">
      <c r="W33753"/>
    </row>
    <row r="33754" spans="23:23" x14ac:dyDescent="0.55000000000000004">
      <c r="W33754"/>
    </row>
    <row r="33755" spans="23:23" x14ac:dyDescent="0.55000000000000004">
      <c r="W33755"/>
    </row>
    <row r="33756" spans="23:23" x14ac:dyDescent="0.55000000000000004">
      <c r="W33756"/>
    </row>
    <row r="33757" spans="23:23" x14ac:dyDescent="0.55000000000000004">
      <c r="W33757"/>
    </row>
    <row r="33758" spans="23:23" x14ac:dyDescent="0.55000000000000004">
      <c r="W33758"/>
    </row>
    <row r="33759" spans="23:23" x14ac:dyDescent="0.55000000000000004">
      <c r="W33759"/>
    </row>
    <row r="33760" spans="23:23" x14ac:dyDescent="0.55000000000000004">
      <c r="W33760"/>
    </row>
    <row r="33761" spans="23:23" x14ac:dyDescent="0.55000000000000004">
      <c r="W33761"/>
    </row>
    <row r="33762" spans="23:23" x14ac:dyDescent="0.55000000000000004">
      <c r="W33762"/>
    </row>
    <row r="33763" spans="23:23" x14ac:dyDescent="0.55000000000000004">
      <c r="W33763"/>
    </row>
    <row r="33764" spans="23:23" x14ac:dyDescent="0.55000000000000004">
      <c r="W33764"/>
    </row>
    <row r="33765" spans="23:23" x14ac:dyDescent="0.55000000000000004">
      <c r="W33765"/>
    </row>
    <row r="33766" spans="23:23" x14ac:dyDescent="0.55000000000000004">
      <c r="W33766"/>
    </row>
    <row r="33767" spans="23:23" x14ac:dyDescent="0.55000000000000004">
      <c r="W33767"/>
    </row>
    <row r="33768" spans="23:23" x14ac:dyDescent="0.55000000000000004">
      <c r="W33768"/>
    </row>
    <row r="33769" spans="23:23" x14ac:dyDescent="0.55000000000000004">
      <c r="W33769"/>
    </row>
    <row r="33770" spans="23:23" x14ac:dyDescent="0.55000000000000004">
      <c r="W33770"/>
    </row>
    <row r="33771" spans="23:23" x14ac:dyDescent="0.55000000000000004">
      <c r="W33771"/>
    </row>
    <row r="33772" spans="23:23" x14ac:dyDescent="0.55000000000000004">
      <c r="W33772"/>
    </row>
    <row r="33773" spans="23:23" x14ac:dyDescent="0.55000000000000004">
      <c r="W33773"/>
    </row>
    <row r="33774" spans="23:23" x14ac:dyDescent="0.55000000000000004">
      <c r="W33774"/>
    </row>
    <row r="33775" spans="23:23" x14ac:dyDescent="0.55000000000000004">
      <c r="W33775"/>
    </row>
    <row r="33776" spans="23:23" x14ac:dyDescent="0.55000000000000004">
      <c r="W33776"/>
    </row>
    <row r="33777" spans="23:23" x14ac:dyDescent="0.55000000000000004">
      <c r="W33777"/>
    </row>
    <row r="33778" spans="23:23" x14ac:dyDescent="0.55000000000000004">
      <c r="W33778"/>
    </row>
    <row r="33779" spans="23:23" x14ac:dyDescent="0.55000000000000004">
      <c r="W33779"/>
    </row>
    <row r="33780" spans="23:23" x14ac:dyDescent="0.55000000000000004">
      <c r="W33780"/>
    </row>
    <row r="33781" spans="23:23" x14ac:dyDescent="0.55000000000000004">
      <c r="W33781"/>
    </row>
    <row r="33782" spans="23:23" x14ac:dyDescent="0.55000000000000004">
      <c r="W33782"/>
    </row>
    <row r="33783" spans="23:23" x14ac:dyDescent="0.55000000000000004">
      <c r="W33783"/>
    </row>
    <row r="33784" spans="23:23" x14ac:dyDescent="0.55000000000000004">
      <c r="W33784"/>
    </row>
    <row r="33785" spans="23:23" x14ac:dyDescent="0.55000000000000004">
      <c r="W33785"/>
    </row>
    <row r="33786" spans="23:23" x14ac:dyDescent="0.55000000000000004">
      <c r="W33786"/>
    </row>
    <row r="33787" spans="23:23" x14ac:dyDescent="0.55000000000000004">
      <c r="W33787"/>
    </row>
    <row r="33788" spans="23:23" x14ac:dyDescent="0.55000000000000004">
      <c r="W33788"/>
    </row>
    <row r="33789" spans="23:23" x14ac:dyDescent="0.55000000000000004">
      <c r="W33789"/>
    </row>
    <row r="33790" spans="23:23" x14ac:dyDescent="0.55000000000000004">
      <c r="W33790"/>
    </row>
    <row r="33791" spans="23:23" x14ac:dyDescent="0.55000000000000004">
      <c r="W33791"/>
    </row>
    <row r="33792" spans="23:23" x14ac:dyDescent="0.55000000000000004">
      <c r="W33792"/>
    </row>
    <row r="33793" spans="23:23" x14ac:dyDescent="0.55000000000000004">
      <c r="W33793"/>
    </row>
    <row r="33794" spans="23:23" x14ac:dyDescent="0.55000000000000004">
      <c r="W33794"/>
    </row>
    <row r="33795" spans="23:23" x14ac:dyDescent="0.55000000000000004">
      <c r="W33795"/>
    </row>
    <row r="33796" spans="23:23" x14ac:dyDescent="0.55000000000000004">
      <c r="W33796"/>
    </row>
    <row r="33797" spans="23:23" x14ac:dyDescent="0.55000000000000004">
      <c r="W33797"/>
    </row>
    <row r="33798" spans="23:23" x14ac:dyDescent="0.55000000000000004">
      <c r="W33798"/>
    </row>
    <row r="33799" spans="23:23" x14ac:dyDescent="0.55000000000000004">
      <c r="W33799"/>
    </row>
    <row r="33800" spans="23:23" x14ac:dyDescent="0.55000000000000004">
      <c r="W33800"/>
    </row>
    <row r="33801" spans="23:23" x14ac:dyDescent="0.55000000000000004">
      <c r="W33801"/>
    </row>
    <row r="33802" spans="23:23" x14ac:dyDescent="0.55000000000000004">
      <c r="W33802"/>
    </row>
    <row r="33803" spans="23:23" x14ac:dyDescent="0.55000000000000004">
      <c r="W33803"/>
    </row>
    <row r="33804" spans="23:23" x14ac:dyDescent="0.55000000000000004">
      <c r="W33804"/>
    </row>
    <row r="33805" spans="23:23" x14ac:dyDescent="0.55000000000000004">
      <c r="W33805"/>
    </row>
    <row r="33806" spans="23:23" x14ac:dyDescent="0.55000000000000004">
      <c r="W33806"/>
    </row>
    <row r="33807" spans="23:23" x14ac:dyDescent="0.55000000000000004">
      <c r="W33807"/>
    </row>
    <row r="33808" spans="23:23" x14ac:dyDescent="0.55000000000000004">
      <c r="W33808"/>
    </row>
    <row r="33809" spans="23:23" x14ac:dyDescent="0.55000000000000004">
      <c r="W33809"/>
    </row>
    <row r="33810" spans="23:23" x14ac:dyDescent="0.55000000000000004">
      <c r="W33810"/>
    </row>
    <row r="33811" spans="23:23" x14ac:dyDescent="0.55000000000000004">
      <c r="W33811"/>
    </row>
    <row r="33812" spans="23:23" x14ac:dyDescent="0.55000000000000004">
      <c r="W33812"/>
    </row>
    <row r="33813" spans="23:23" x14ac:dyDescent="0.55000000000000004">
      <c r="W33813"/>
    </row>
    <row r="33814" spans="23:23" x14ac:dyDescent="0.55000000000000004">
      <c r="W33814"/>
    </row>
    <row r="33815" spans="23:23" x14ac:dyDescent="0.55000000000000004">
      <c r="W33815"/>
    </row>
    <row r="33816" spans="23:23" x14ac:dyDescent="0.55000000000000004">
      <c r="W33816"/>
    </row>
    <row r="33817" spans="23:23" x14ac:dyDescent="0.55000000000000004">
      <c r="W33817"/>
    </row>
    <row r="33818" spans="23:23" x14ac:dyDescent="0.55000000000000004">
      <c r="W33818"/>
    </row>
    <row r="33819" spans="23:23" x14ac:dyDescent="0.55000000000000004">
      <c r="W33819"/>
    </row>
    <row r="33820" spans="23:23" x14ac:dyDescent="0.55000000000000004">
      <c r="W33820"/>
    </row>
    <row r="33821" spans="23:23" x14ac:dyDescent="0.55000000000000004">
      <c r="W33821"/>
    </row>
    <row r="33822" spans="23:23" x14ac:dyDescent="0.55000000000000004">
      <c r="W33822"/>
    </row>
    <row r="33823" spans="23:23" x14ac:dyDescent="0.55000000000000004">
      <c r="W33823"/>
    </row>
    <row r="33824" spans="23:23" x14ac:dyDescent="0.55000000000000004">
      <c r="W33824"/>
    </row>
    <row r="33825" spans="23:23" x14ac:dyDescent="0.55000000000000004">
      <c r="W33825"/>
    </row>
    <row r="33826" spans="23:23" x14ac:dyDescent="0.55000000000000004">
      <c r="W33826"/>
    </row>
    <row r="33827" spans="23:23" x14ac:dyDescent="0.55000000000000004">
      <c r="W33827"/>
    </row>
    <row r="33828" spans="23:23" x14ac:dyDescent="0.55000000000000004">
      <c r="W33828"/>
    </row>
    <row r="33829" spans="23:23" x14ac:dyDescent="0.55000000000000004">
      <c r="W33829"/>
    </row>
    <row r="33830" spans="23:23" x14ac:dyDescent="0.55000000000000004">
      <c r="W33830"/>
    </row>
    <row r="33831" spans="23:23" x14ac:dyDescent="0.55000000000000004">
      <c r="W33831"/>
    </row>
    <row r="33832" spans="23:23" x14ac:dyDescent="0.55000000000000004">
      <c r="W33832"/>
    </row>
    <row r="33833" spans="23:23" x14ac:dyDescent="0.55000000000000004">
      <c r="W33833"/>
    </row>
    <row r="33834" spans="23:23" x14ac:dyDescent="0.55000000000000004">
      <c r="W33834"/>
    </row>
    <row r="33835" spans="23:23" x14ac:dyDescent="0.55000000000000004">
      <c r="W33835"/>
    </row>
    <row r="33836" spans="23:23" x14ac:dyDescent="0.55000000000000004">
      <c r="W33836"/>
    </row>
    <row r="33837" spans="23:23" x14ac:dyDescent="0.55000000000000004">
      <c r="W33837"/>
    </row>
    <row r="33838" spans="23:23" x14ac:dyDescent="0.55000000000000004">
      <c r="W33838"/>
    </row>
    <row r="33839" spans="23:23" x14ac:dyDescent="0.55000000000000004">
      <c r="W33839"/>
    </row>
    <row r="33840" spans="23:23" x14ac:dyDescent="0.55000000000000004">
      <c r="W33840"/>
    </row>
    <row r="33841" spans="23:23" x14ac:dyDescent="0.55000000000000004">
      <c r="W33841"/>
    </row>
    <row r="33842" spans="23:23" x14ac:dyDescent="0.55000000000000004">
      <c r="W33842"/>
    </row>
    <row r="33843" spans="23:23" x14ac:dyDescent="0.55000000000000004">
      <c r="W33843"/>
    </row>
    <row r="33844" spans="23:23" x14ac:dyDescent="0.55000000000000004">
      <c r="W33844"/>
    </row>
    <row r="33845" spans="23:23" x14ac:dyDescent="0.55000000000000004">
      <c r="W33845"/>
    </row>
    <row r="33846" spans="23:23" x14ac:dyDescent="0.55000000000000004">
      <c r="W33846"/>
    </row>
    <row r="33847" spans="23:23" x14ac:dyDescent="0.55000000000000004">
      <c r="W33847"/>
    </row>
    <row r="33848" spans="23:23" x14ac:dyDescent="0.55000000000000004">
      <c r="W33848"/>
    </row>
    <row r="33849" spans="23:23" x14ac:dyDescent="0.55000000000000004">
      <c r="W33849"/>
    </row>
    <row r="33850" spans="23:23" x14ac:dyDescent="0.55000000000000004">
      <c r="W33850"/>
    </row>
    <row r="33851" spans="23:23" x14ac:dyDescent="0.55000000000000004">
      <c r="W33851"/>
    </row>
    <row r="33852" spans="23:23" x14ac:dyDescent="0.55000000000000004">
      <c r="W33852"/>
    </row>
    <row r="33853" spans="23:23" x14ac:dyDescent="0.55000000000000004">
      <c r="W33853"/>
    </row>
    <row r="33854" spans="23:23" x14ac:dyDescent="0.55000000000000004">
      <c r="W33854"/>
    </row>
    <row r="33855" spans="23:23" x14ac:dyDescent="0.55000000000000004">
      <c r="W33855"/>
    </row>
    <row r="33856" spans="23:23" x14ac:dyDescent="0.55000000000000004">
      <c r="W33856"/>
    </row>
    <row r="33857" spans="23:23" x14ac:dyDescent="0.55000000000000004">
      <c r="W33857"/>
    </row>
    <row r="33858" spans="23:23" x14ac:dyDescent="0.55000000000000004">
      <c r="W33858"/>
    </row>
    <row r="33859" spans="23:23" x14ac:dyDescent="0.55000000000000004">
      <c r="W33859"/>
    </row>
    <row r="33860" spans="23:23" x14ac:dyDescent="0.55000000000000004">
      <c r="W33860"/>
    </row>
    <row r="33861" spans="23:23" x14ac:dyDescent="0.55000000000000004">
      <c r="W33861"/>
    </row>
    <row r="33862" spans="23:23" x14ac:dyDescent="0.55000000000000004">
      <c r="W33862"/>
    </row>
    <row r="33863" spans="23:23" x14ac:dyDescent="0.55000000000000004">
      <c r="W33863"/>
    </row>
    <row r="33864" spans="23:23" x14ac:dyDescent="0.55000000000000004">
      <c r="W33864"/>
    </row>
    <row r="33865" spans="23:23" x14ac:dyDescent="0.55000000000000004">
      <c r="W33865"/>
    </row>
    <row r="33866" spans="23:23" x14ac:dyDescent="0.55000000000000004">
      <c r="W33866"/>
    </row>
    <row r="33867" spans="23:23" x14ac:dyDescent="0.55000000000000004">
      <c r="W33867"/>
    </row>
    <row r="33868" spans="23:23" x14ac:dyDescent="0.55000000000000004">
      <c r="W33868"/>
    </row>
    <row r="33869" spans="23:23" x14ac:dyDescent="0.55000000000000004">
      <c r="W33869"/>
    </row>
    <row r="33870" spans="23:23" x14ac:dyDescent="0.55000000000000004">
      <c r="W33870"/>
    </row>
    <row r="33871" spans="23:23" x14ac:dyDescent="0.55000000000000004">
      <c r="W33871"/>
    </row>
    <row r="33872" spans="23:23" x14ac:dyDescent="0.55000000000000004">
      <c r="W33872"/>
    </row>
    <row r="33873" spans="23:23" x14ac:dyDescent="0.55000000000000004">
      <c r="W33873"/>
    </row>
    <row r="33874" spans="23:23" x14ac:dyDescent="0.55000000000000004">
      <c r="W33874"/>
    </row>
    <row r="33875" spans="23:23" x14ac:dyDescent="0.55000000000000004">
      <c r="W33875"/>
    </row>
    <row r="33876" spans="23:23" x14ac:dyDescent="0.55000000000000004">
      <c r="W33876"/>
    </row>
    <row r="33877" spans="23:23" x14ac:dyDescent="0.55000000000000004">
      <c r="W33877"/>
    </row>
    <row r="33878" spans="23:23" x14ac:dyDescent="0.55000000000000004">
      <c r="W33878"/>
    </row>
    <row r="33879" spans="23:23" x14ac:dyDescent="0.55000000000000004">
      <c r="W33879"/>
    </row>
    <row r="33880" spans="23:23" x14ac:dyDescent="0.55000000000000004">
      <c r="W33880"/>
    </row>
    <row r="33881" spans="23:23" x14ac:dyDescent="0.55000000000000004">
      <c r="W33881"/>
    </row>
    <row r="33882" spans="23:23" x14ac:dyDescent="0.55000000000000004">
      <c r="W33882"/>
    </row>
    <row r="33883" spans="23:23" x14ac:dyDescent="0.55000000000000004">
      <c r="W33883"/>
    </row>
    <row r="33884" spans="23:23" x14ac:dyDescent="0.55000000000000004">
      <c r="W33884"/>
    </row>
    <row r="33885" spans="23:23" x14ac:dyDescent="0.55000000000000004">
      <c r="W33885"/>
    </row>
    <row r="33886" spans="23:23" x14ac:dyDescent="0.55000000000000004">
      <c r="W33886"/>
    </row>
    <row r="33887" spans="23:23" x14ac:dyDescent="0.55000000000000004">
      <c r="W33887"/>
    </row>
    <row r="33888" spans="23:23" x14ac:dyDescent="0.55000000000000004">
      <c r="W33888"/>
    </row>
    <row r="33889" spans="23:23" x14ac:dyDescent="0.55000000000000004">
      <c r="W33889"/>
    </row>
    <row r="33890" spans="23:23" x14ac:dyDescent="0.55000000000000004">
      <c r="W33890"/>
    </row>
    <row r="33891" spans="23:23" x14ac:dyDescent="0.55000000000000004">
      <c r="W33891"/>
    </row>
    <row r="33892" spans="23:23" x14ac:dyDescent="0.55000000000000004">
      <c r="W33892"/>
    </row>
    <row r="33893" spans="23:23" x14ac:dyDescent="0.55000000000000004">
      <c r="W33893"/>
    </row>
    <row r="33894" spans="23:23" x14ac:dyDescent="0.55000000000000004">
      <c r="W33894"/>
    </row>
    <row r="33895" spans="23:23" x14ac:dyDescent="0.55000000000000004">
      <c r="W33895"/>
    </row>
    <row r="33896" spans="23:23" x14ac:dyDescent="0.55000000000000004">
      <c r="W33896"/>
    </row>
    <row r="33897" spans="23:23" x14ac:dyDescent="0.55000000000000004">
      <c r="W33897"/>
    </row>
    <row r="33898" spans="23:23" x14ac:dyDescent="0.55000000000000004">
      <c r="W33898"/>
    </row>
    <row r="33899" spans="23:23" x14ac:dyDescent="0.55000000000000004">
      <c r="W33899"/>
    </row>
    <row r="33900" spans="23:23" x14ac:dyDescent="0.55000000000000004">
      <c r="W33900"/>
    </row>
    <row r="33901" spans="23:23" x14ac:dyDescent="0.55000000000000004">
      <c r="W33901"/>
    </row>
    <row r="33902" spans="23:23" x14ac:dyDescent="0.55000000000000004">
      <c r="W33902"/>
    </row>
    <row r="33903" spans="23:23" x14ac:dyDescent="0.55000000000000004">
      <c r="W33903"/>
    </row>
    <row r="33904" spans="23:23" x14ac:dyDescent="0.55000000000000004">
      <c r="W33904"/>
    </row>
    <row r="33905" spans="23:23" x14ac:dyDescent="0.55000000000000004">
      <c r="W33905"/>
    </row>
    <row r="33906" spans="23:23" x14ac:dyDescent="0.55000000000000004">
      <c r="W33906"/>
    </row>
    <row r="33907" spans="23:23" x14ac:dyDescent="0.55000000000000004">
      <c r="W33907"/>
    </row>
    <row r="33908" spans="23:23" x14ac:dyDescent="0.55000000000000004">
      <c r="W33908"/>
    </row>
    <row r="33909" spans="23:23" x14ac:dyDescent="0.55000000000000004">
      <c r="W33909"/>
    </row>
    <row r="33910" spans="23:23" x14ac:dyDescent="0.55000000000000004">
      <c r="W33910"/>
    </row>
    <row r="33911" spans="23:23" x14ac:dyDescent="0.55000000000000004">
      <c r="W33911"/>
    </row>
    <row r="33912" spans="23:23" x14ac:dyDescent="0.55000000000000004">
      <c r="W33912"/>
    </row>
    <row r="33913" spans="23:23" x14ac:dyDescent="0.55000000000000004">
      <c r="W33913"/>
    </row>
    <row r="33914" spans="23:23" x14ac:dyDescent="0.55000000000000004">
      <c r="W33914"/>
    </row>
    <row r="33915" spans="23:23" x14ac:dyDescent="0.55000000000000004">
      <c r="W33915"/>
    </row>
    <row r="33916" spans="23:23" x14ac:dyDescent="0.55000000000000004">
      <c r="W33916"/>
    </row>
    <row r="33917" spans="23:23" x14ac:dyDescent="0.55000000000000004">
      <c r="W33917"/>
    </row>
    <row r="33918" spans="23:23" x14ac:dyDescent="0.55000000000000004">
      <c r="W33918"/>
    </row>
    <row r="33919" spans="23:23" x14ac:dyDescent="0.55000000000000004">
      <c r="W33919"/>
    </row>
    <row r="33920" spans="23:23" x14ac:dyDescent="0.55000000000000004">
      <c r="W33920"/>
    </row>
    <row r="33921" spans="23:23" x14ac:dyDescent="0.55000000000000004">
      <c r="W33921"/>
    </row>
    <row r="33922" spans="23:23" x14ac:dyDescent="0.55000000000000004">
      <c r="W33922"/>
    </row>
    <row r="33923" spans="23:23" x14ac:dyDescent="0.55000000000000004">
      <c r="W33923"/>
    </row>
    <row r="33924" spans="23:23" x14ac:dyDescent="0.55000000000000004">
      <c r="W33924"/>
    </row>
    <row r="33925" spans="23:23" x14ac:dyDescent="0.55000000000000004">
      <c r="W33925"/>
    </row>
    <row r="33926" spans="23:23" x14ac:dyDescent="0.55000000000000004">
      <c r="W33926"/>
    </row>
    <row r="33927" spans="23:23" x14ac:dyDescent="0.55000000000000004">
      <c r="W33927"/>
    </row>
    <row r="33928" spans="23:23" x14ac:dyDescent="0.55000000000000004">
      <c r="W33928"/>
    </row>
    <row r="33929" spans="23:23" x14ac:dyDescent="0.55000000000000004">
      <c r="W33929"/>
    </row>
    <row r="33930" spans="23:23" x14ac:dyDescent="0.55000000000000004">
      <c r="W33930"/>
    </row>
    <row r="33931" spans="23:23" x14ac:dyDescent="0.55000000000000004">
      <c r="W33931"/>
    </row>
    <row r="33932" spans="23:23" x14ac:dyDescent="0.55000000000000004">
      <c r="W33932"/>
    </row>
    <row r="33933" spans="23:23" x14ac:dyDescent="0.55000000000000004">
      <c r="W33933"/>
    </row>
    <row r="33934" spans="23:23" x14ac:dyDescent="0.55000000000000004">
      <c r="W33934"/>
    </row>
    <row r="33935" spans="23:23" x14ac:dyDescent="0.55000000000000004">
      <c r="W33935"/>
    </row>
    <row r="33936" spans="23:23" x14ac:dyDescent="0.55000000000000004">
      <c r="W33936"/>
    </row>
    <row r="33937" spans="23:23" x14ac:dyDescent="0.55000000000000004">
      <c r="W33937"/>
    </row>
    <row r="33938" spans="23:23" x14ac:dyDescent="0.55000000000000004">
      <c r="W33938"/>
    </row>
    <row r="33939" spans="23:23" x14ac:dyDescent="0.55000000000000004">
      <c r="W33939"/>
    </row>
    <row r="33940" spans="23:23" x14ac:dyDescent="0.55000000000000004">
      <c r="W33940"/>
    </row>
    <row r="33941" spans="23:23" x14ac:dyDescent="0.55000000000000004">
      <c r="W33941"/>
    </row>
    <row r="33942" spans="23:23" x14ac:dyDescent="0.55000000000000004">
      <c r="W33942"/>
    </row>
    <row r="33943" spans="23:23" x14ac:dyDescent="0.55000000000000004">
      <c r="W33943"/>
    </row>
    <row r="33944" spans="23:23" x14ac:dyDescent="0.55000000000000004">
      <c r="W33944"/>
    </row>
    <row r="33945" spans="23:23" x14ac:dyDescent="0.55000000000000004">
      <c r="W33945"/>
    </row>
    <row r="33946" spans="23:23" x14ac:dyDescent="0.55000000000000004">
      <c r="W33946"/>
    </row>
    <row r="33947" spans="23:23" x14ac:dyDescent="0.55000000000000004">
      <c r="W33947"/>
    </row>
    <row r="33948" spans="23:23" x14ac:dyDescent="0.55000000000000004">
      <c r="W33948"/>
    </row>
    <row r="33949" spans="23:23" x14ac:dyDescent="0.55000000000000004">
      <c r="W33949"/>
    </row>
    <row r="33950" spans="23:23" x14ac:dyDescent="0.55000000000000004">
      <c r="W33950"/>
    </row>
    <row r="33951" spans="23:23" x14ac:dyDescent="0.55000000000000004">
      <c r="W33951"/>
    </row>
    <row r="33952" spans="23:23" x14ac:dyDescent="0.55000000000000004">
      <c r="W33952"/>
    </row>
    <row r="33953" spans="23:23" x14ac:dyDescent="0.55000000000000004">
      <c r="W33953"/>
    </row>
    <row r="33954" spans="23:23" x14ac:dyDescent="0.55000000000000004">
      <c r="W33954"/>
    </row>
    <row r="33955" spans="23:23" x14ac:dyDescent="0.55000000000000004">
      <c r="W33955"/>
    </row>
    <row r="33956" spans="23:23" x14ac:dyDescent="0.55000000000000004">
      <c r="W33956"/>
    </row>
    <row r="33957" spans="23:23" x14ac:dyDescent="0.55000000000000004">
      <c r="W33957"/>
    </row>
    <row r="33958" spans="23:23" x14ac:dyDescent="0.55000000000000004">
      <c r="W33958"/>
    </row>
    <row r="33959" spans="23:23" x14ac:dyDescent="0.55000000000000004">
      <c r="W33959"/>
    </row>
    <row r="33960" spans="23:23" x14ac:dyDescent="0.55000000000000004">
      <c r="W33960"/>
    </row>
    <row r="33961" spans="23:23" x14ac:dyDescent="0.55000000000000004">
      <c r="W33961"/>
    </row>
    <row r="33962" spans="23:23" x14ac:dyDescent="0.55000000000000004">
      <c r="W33962"/>
    </row>
    <row r="33963" spans="23:23" x14ac:dyDescent="0.55000000000000004">
      <c r="W33963"/>
    </row>
    <row r="33964" spans="23:23" x14ac:dyDescent="0.55000000000000004">
      <c r="W33964"/>
    </row>
    <row r="33965" spans="23:23" x14ac:dyDescent="0.55000000000000004">
      <c r="W33965"/>
    </row>
    <row r="33966" spans="23:23" x14ac:dyDescent="0.55000000000000004">
      <c r="W33966"/>
    </row>
    <row r="33967" spans="23:23" x14ac:dyDescent="0.55000000000000004">
      <c r="W33967"/>
    </row>
    <row r="33968" spans="23:23" x14ac:dyDescent="0.55000000000000004">
      <c r="W33968"/>
    </row>
    <row r="33969" spans="23:23" x14ac:dyDescent="0.55000000000000004">
      <c r="W33969"/>
    </row>
    <row r="33970" spans="23:23" x14ac:dyDescent="0.55000000000000004">
      <c r="W33970"/>
    </row>
    <row r="33971" spans="23:23" x14ac:dyDescent="0.55000000000000004">
      <c r="W33971"/>
    </row>
    <row r="33972" spans="23:23" x14ac:dyDescent="0.55000000000000004">
      <c r="W33972"/>
    </row>
    <row r="33973" spans="23:23" x14ac:dyDescent="0.55000000000000004">
      <c r="W33973"/>
    </row>
    <row r="33974" spans="23:23" x14ac:dyDescent="0.55000000000000004">
      <c r="W33974"/>
    </row>
    <row r="33975" spans="23:23" x14ac:dyDescent="0.55000000000000004">
      <c r="W33975"/>
    </row>
    <row r="33976" spans="23:23" x14ac:dyDescent="0.55000000000000004">
      <c r="W33976"/>
    </row>
    <row r="33977" spans="23:23" x14ac:dyDescent="0.55000000000000004">
      <c r="W33977"/>
    </row>
    <row r="33978" spans="23:23" x14ac:dyDescent="0.55000000000000004">
      <c r="W33978"/>
    </row>
    <row r="33979" spans="23:23" x14ac:dyDescent="0.55000000000000004">
      <c r="W33979"/>
    </row>
    <row r="33980" spans="23:23" x14ac:dyDescent="0.55000000000000004">
      <c r="W33980"/>
    </row>
    <row r="33981" spans="23:23" x14ac:dyDescent="0.55000000000000004">
      <c r="W33981"/>
    </row>
    <row r="33982" spans="23:23" x14ac:dyDescent="0.55000000000000004">
      <c r="W33982"/>
    </row>
    <row r="33983" spans="23:23" x14ac:dyDescent="0.55000000000000004">
      <c r="W33983"/>
    </row>
    <row r="33984" spans="23:23" x14ac:dyDescent="0.55000000000000004">
      <c r="W33984"/>
    </row>
    <row r="33985" spans="23:23" x14ac:dyDescent="0.55000000000000004">
      <c r="W33985"/>
    </row>
    <row r="33986" spans="23:23" x14ac:dyDescent="0.55000000000000004">
      <c r="W33986"/>
    </row>
    <row r="33987" spans="23:23" x14ac:dyDescent="0.55000000000000004">
      <c r="W33987"/>
    </row>
    <row r="33988" spans="23:23" x14ac:dyDescent="0.55000000000000004">
      <c r="W33988"/>
    </row>
    <row r="33989" spans="23:23" x14ac:dyDescent="0.55000000000000004">
      <c r="W33989"/>
    </row>
    <row r="33990" spans="23:23" x14ac:dyDescent="0.55000000000000004">
      <c r="W33990"/>
    </row>
    <row r="33991" spans="23:23" x14ac:dyDescent="0.55000000000000004">
      <c r="W33991"/>
    </row>
    <row r="33992" spans="23:23" x14ac:dyDescent="0.55000000000000004">
      <c r="W33992"/>
    </row>
    <row r="33993" spans="23:23" x14ac:dyDescent="0.55000000000000004">
      <c r="W33993"/>
    </row>
    <row r="33994" spans="23:23" x14ac:dyDescent="0.55000000000000004">
      <c r="W33994"/>
    </row>
    <row r="33995" spans="23:23" x14ac:dyDescent="0.55000000000000004">
      <c r="W33995"/>
    </row>
    <row r="33996" spans="23:23" x14ac:dyDescent="0.55000000000000004">
      <c r="W33996"/>
    </row>
    <row r="33997" spans="23:23" x14ac:dyDescent="0.55000000000000004">
      <c r="W33997"/>
    </row>
    <row r="33998" spans="23:23" x14ac:dyDescent="0.55000000000000004">
      <c r="W33998"/>
    </row>
    <row r="33999" spans="23:23" x14ac:dyDescent="0.55000000000000004">
      <c r="W33999"/>
    </row>
    <row r="34000" spans="23:23" x14ac:dyDescent="0.55000000000000004">
      <c r="W34000"/>
    </row>
    <row r="34001" spans="23:23" x14ac:dyDescent="0.55000000000000004">
      <c r="W34001"/>
    </row>
    <row r="34002" spans="23:23" x14ac:dyDescent="0.55000000000000004">
      <c r="W34002"/>
    </row>
    <row r="34003" spans="23:23" x14ac:dyDescent="0.55000000000000004">
      <c r="W34003"/>
    </row>
    <row r="34004" spans="23:23" x14ac:dyDescent="0.55000000000000004">
      <c r="W34004"/>
    </row>
    <row r="34005" spans="23:23" x14ac:dyDescent="0.55000000000000004">
      <c r="W34005"/>
    </row>
    <row r="34006" spans="23:23" x14ac:dyDescent="0.55000000000000004">
      <c r="W34006"/>
    </row>
    <row r="34007" spans="23:23" x14ac:dyDescent="0.55000000000000004">
      <c r="W34007"/>
    </row>
    <row r="34008" spans="23:23" x14ac:dyDescent="0.55000000000000004">
      <c r="W34008"/>
    </row>
    <row r="34009" spans="23:23" x14ac:dyDescent="0.55000000000000004">
      <c r="W34009"/>
    </row>
    <row r="34010" spans="23:23" x14ac:dyDescent="0.55000000000000004">
      <c r="W34010"/>
    </row>
    <row r="34011" spans="23:23" x14ac:dyDescent="0.55000000000000004">
      <c r="W34011"/>
    </row>
    <row r="34012" spans="23:23" x14ac:dyDescent="0.55000000000000004">
      <c r="W34012"/>
    </row>
    <row r="34013" spans="23:23" x14ac:dyDescent="0.55000000000000004">
      <c r="W34013"/>
    </row>
    <row r="34014" spans="23:23" x14ac:dyDescent="0.55000000000000004">
      <c r="W34014"/>
    </row>
    <row r="34015" spans="23:23" x14ac:dyDescent="0.55000000000000004">
      <c r="W34015"/>
    </row>
    <row r="34016" spans="23:23" x14ac:dyDescent="0.55000000000000004">
      <c r="W34016"/>
    </row>
    <row r="34017" spans="23:23" x14ac:dyDescent="0.55000000000000004">
      <c r="W34017"/>
    </row>
    <row r="34018" spans="23:23" x14ac:dyDescent="0.55000000000000004">
      <c r="W34018"/>
    </row>
    <row r="34019" spans="23:23" x14ac:dyDescent="0.55000000000000004">
      <c r="W34019"/>
    </row>
    <row r="34020" spans="23:23" x14ac:dyDescent="0.55000000000000004">
      <c r="W34020"/>
    </row>
    <row r="34021" spans="23:23" x14ac:dyDescent="0.55000000000000004">
      <c r="W34021"/>
    </row>
    <row r="34022" spans="23:23" x14ac:dyDescent="0.55000000000000004">
      <c r="W34022"/>
    </row>
    <row r="34023" spans="23:23" x14ac:dyDescent="0.55000000000000004">
      <c r="W34023"/>
    </row>
    <row r="34024" spans="23:23" x14ac:dyDescent="0.55000000000000004">
      <c r="W34024"/>
    </row>
    <row r="34025" spans="23:23" x14ac:dyDescent="0.55000000000000004">
      <c r="W34025"/>
    </row>
    <row r="34026" spans="23:23" x14ac:dyDescent="0.55000000000000004">
      <c r="W34026"/>
    </row>
    <row r="34027" spans="23:23" x14ac:dyDescent="0.55000000000000004">
      <c r="W34027"/>
    </row>
    <row r="34028" spans="23:23" x14ac:dyDescent="0.55000000000000004">
      <c r="W34028"/>
    </row>
    <row r="34029" spans="23:23" x14ac:dyDescent="0.55000000000000004">
      <c r="W34029"/>
    </row>
    <row r="34030" spans="23:23" x14ac:dyDescent="0.55000000000000004">
      <c r="W34030"/>
    </row>
    <row r="34031" spans="23:23" x14ac:dyDescent="0.55000000000000004">
      <c r="W34031"/>
    </row>
    <row r="34032" spans="23:23" x14ac:dyDescent="0.55000000000000004">
      <c r="W34032"/>
    </row>
    <row r="34033" spans="23:23" x14ac:dyDescent="0.55000000000000004">
      <c r="W34033"/>
    </row>
    <row r="34034" spans="23:23" x14ac:dyDescent="0.55000000000000004">
      <c r="W34034"/>
    </row>
    <row r="34035" spans="23:23" x14ac:dyDescent="0.55000000000000004">
      <c r="W34035"/>
    </row>
    <row r="34036" spans="23:23" x14ac:dyDescent="0.55000000000000004">
      <c r="W34036"/>
    </row>
    <row r="34037" spans="23:23" x14ac:dyDescent="0.55000000000000004">
      <c r="W34037"/>
    </row>
    <row r="34038" spans="23:23" x14ac:dyDescent="0.55000000000000004">
      <c r="W34038"/>
    </row>
    <row r="34039" spans="23:23" x14ac:dyDescent="0.55000000000000004">
      <c r="W34039"/>
    </row>
    <row r="34040" spans="23:23" x14ac:dyDescent="0.55000000000000004">
      <c r="W34040"/>
    </row>
    <row r="34041" spans="23:23" x14ac:dyDescent="0.55000000000000004">
      <c r="W34041"/>
    </row>
    <row r="34042" spans="23:23" x14ac:dyDescent="0.55000000000000004">
      <c r="W34042"/>
    </row>
    <row r="34043" spans="23:23" x14ac:dyDescent="0.55000000000000004">
      <c r="W34043"/>
    </row>
    <row r="34044" spans="23:23" x14ac:dyDescent="0.55000000000000004">
      <c r="W34044"/>
    </row>
    <row r="34045" spans="23:23" x14ac:dyDescent="0.55000000000000004">
      <c r="W34045"/>
    </row>
    <row r="34046" spans="23:23" x14ac:dyDescent="0.55000000000000004">
      <c r="W34046"/>
    </row>
    <row r="34047" spans="23:23" x14ac:dyDescent="0.55000000000000004">
      <c r="W34047"/>
    </row>
    <row r="34048" spans="23:23" x14ac:dyDescent="0.55000000000000004">
      <c r="W34048"/>
    </row>
    <row r="34049" spans="23:23" x14ac:dyDescent="0.55000000000000004">
      <c r="W34049"/>
    </row>
    <row r="34050" spans="23:23" x14ac:dyDescent="0.55000000000000004">
      <c r="W34050"/>
    </row>
    <row r="34051" spans="23:23" x14ac:dyDescent="0.55000000000000004">
      <c r="W34051"/>
    </row>
    <row r="34052" spans="23:23" x14ac:dyDescent="0.55000000000000004">
      <c r="W34052"/>
    </row>
    <row r="34053" spans="23:23" x14ac:dyDescent="0.55000000000000004">
      <c r="W34053"/>
    </row>
    <row r="34054" spans="23:23" x14ac:dyDescent="0.55000000000000004">
      <c r="W34054"/>
    </row>
    <row r="34055" spans="23:23" x14ac:dyDescent="0.55000000000000004">
      <c r="W34055"/>
    </row>
    <row r="34056" spans="23:23" x14ac:dyDescent="0.55000000000000004">
      <c r="W34056"/>
    </row>
    <row r="34057" spans="23:23" x14ac:dyDescent="0.55000000000000004">
      <c r="W34057"/>
    </row>
    <row r="34058" spans="23:23" x14ac:dyDescent="0.55000000000000004">
      <c r="W34058"/>
    </row>
    <row r="34059" spans="23:23" x14ac:dyDescent="0.55000000000000004">
      <c r="W34059"/>
    </row>
    <row r="34060" spans="23:23" x14ac:dyDescent="0.55000000000000004">
      <c r="W34060"/>
    </row>
    <row r="34061" spans="23:23" x14ac:dyDescent="0.55000000000000004">
      <c r="W34061"/>
    </row>
    <row r="34062" spans="23:23" x14ac:dyDescent="0.55000000000000004">
      <c r="W34062"/>
    </row>
    <row r="34063" spans="23:23" x14ac:dyDescent="0.55000000000000004">
      <c r="W34063"/>
    </row>
    <row r="34064" spans="23:23" x14ac:dyDescent="0.55000000000000004">
      <c r="W34064"/>
    </row>
    <row r="34065" spans="23:23" x14ac:dyDescent="0.55000000000000004">
      <c r="W34065"/>
    </row>
    <row r="34066" spans="23:23" x14ac:dyDescent="0.55000000000000004">
      <c r="W34066"/>
    </row>
    <row r="34067" spans="23:23" x14ac:dyDescent="0.55000000000000004">
      <c r="W34067"/>
    </row>
    <row r="34068" spans="23:23" x14ac:dyDescent="0.55000000000000004">
      <c r="W34068"/>
    </row>
    <row r="34069" spans="23:23" x14ac:dyDescent="0.55000000000000004">
      <c r="W34069"/>
    </row>
    <row r="34070" spans="23:23" x14ac:dyDescent="0.55000000000000004">
      <c r="W34070"/>
    </row>
    <row r="34071" spans="23:23" x14ac:dyDescent="0.55000000000000004">
      <c r="W34071"/>
    </row>
    <row r="34072" spans="23:23" x14ac:dyDescent="0.55000000000000004">
      <c r="W34072"/>
    </row>
    <row r="34073" spans="23:23" x14ac:dyDescent="0.55000000000000004">
      <c r="W34073"/>
    </row>
    <row r="34074" spans="23:23" x14ac:dyDescent="0.55000000000000004">
      <c r="W34074"/>
    </row>
    <row r="34075" spans="23:23" x14ac:dyDescent="0.55000000000000004">
      <c r="W34075"/>
    </row>
    <row r="34076" spans="23:23" x14ac:dyDescent="0.55000000000000004">
      <c r="W34076"/>
    </row>
    <row r="34077" spans="23:23" x14ac:dyDescent="0.55000000000000004">
      <c r="W34077"/>
    </row>
    <row r="34078" spans="23:23" x14ac:dyDescent="0.55000000000000004">
      <c r="W34078"/>
    </row>
    <row r="34079" spans="23:23" x14ac:dyDescent="0.55000000000000004">
      <c r="W34079"/>
    </row>
    <row r="34080" spans="23:23" x14ac:dyDescent="0.55000000000000004">
      <c r="W34080"/>
    </row>
    <row r="34081" spans="23:23" x14ac:dyDescent="0.55000000000000004">
      <c r="W34081"/>
    </row>
    <row r="34082" spans="23:23" x14ac:dyDescent="0.55000000000000004">
      <c r="W34082"/>
    </row>
    <row r="34083" spans="23:23" x14ac:dyDescent="0.55000000000000004">
      <c r="W34083"/>
    </row>
    <row r="34084" spans="23:23" x14ac:dyDescent="0.55000000000000004">
      <c r="W34084"/>
    </row>
    <row r="34085" spans="23:23" x14ac:dyDescent="0.55000000000000004">
      <c r="W34085"/>
    </row>
    <row r="34086" spans="23:23" x14ac:dyDescent="0.55000000000000004">
      <c r="W34086"/>
    </row>
    <row r="34087" spans="23:23" x14ac:dyDescent="0.55000000000000004">
      <c r="W34087"/>
    </row>
    <row r="34088" spans="23:23" x14ac:dyDescent="0.55000000000000004">
      <c r="W34088"/>
    </row>
    <row r="34089" spans="23:23" x14ac:dyDescent="0.55000000000000004">
      <c r="W34089"/>
    </row>
    <row r="34090" spans="23:23" x14ac:dyDescent="0.55000000000000004">
      <c r="W34090"/>
    </row>
    <row r="34091" spans="23:23" x14ac:dyDescent="0.55000000000000004">
      <c r="W34091"/>
    </row>
    <row r="34092" spans="23:23" x14ac:dyDescent="0.55000000000000004">
      <c r="W34092"/>
    </row>
    <row r="34093" spans="23:23" x14ac:dyDescent="0.55000000000000004">
      <c r="W34093"/>
    </row>
    <row r="34094" spans="23:23" x14ac:dyDescent="0.55000000000000004">
      <c r="W34094"/>
    </row>
    <row r="34095" spans="23:23" x14ac:dyDescent="0.55000000000000004">
      <c r="W34095"/>
    </row>
    <row r="34096" spans="23:23" x14ac:dyDescent="0.55000000000000004">
      <c r="W34096"/>
    </row>
    <row r="34097" spans="23:23" x14ac:dyDescent="0.55000000000000004">
      <c r="W34097"/>
    </row>
    <row r="34098" spans="23:23" x14ac:dyDescent="0.55000000000000004">
      <c r="W34098"/>
    </row>
    <row r="34099" spans="23:23" x14ac:dyDescent="0.55000000000000004">
      <c r="W34099"/>
    </row>
    <row r="34100" spans="23:23" x14ac:dyDescent="0.55000000000000004">
      <c r="W34100"/>
    </row>
    <row r="34101" spans="23:23" x14ac:dyDescent="0.55000000000000004">
      <c r="W34101"/>
    </row>
    <row r="34102" spans="23:23" x14ac:dyDescent="0.55000000000000004">
      <c r="W34102"/>
    </row>
    <row r="34103" spans="23:23" x14ac:dyDescent="0.55000000000000004">
      <c r="W34103"/>
    </row>
    <row r="34104" spans="23:23" x14ac:dyDescent="0.55000000000000004">
      <c r="W34104"/>
    </row>
    <row r="34105" spans="23:23" x14ac:dyDescent="0.55000000000000004">
      <c r="W34105"/>
    </row>
    <row r="34106" spans="23:23" x14ac:dyDescent="0.55000000000000004">
      <c r="W34106"/>
    </row>
    <row r="34107" spans="23:23" x14ac:dyDescent="0.55000000000000004">
      <c r="W34107"/>
    </row>
    <row r="34108" spans="23:23" x14ac:dyDescent="0.55000000000000004">
      <c r="W34108"/>
    </row>
    <row r="34109" spans="23:23" x14ac:dyDescent="0.55000000000000004">
      <c r="W34109"/>
    </row>
    <row r="34110" spans="23:23" x14ac:dyDescent="0.55000000000000004">
      <c r="W34110"/>
    </row>
    <row r="34111" spans="23:23" x14ac:dyDescent="0.55000000000000004">
      <c r="W34111"/>
    </row>
    <row r="34112" spans="23:23" x14ac:dyDescent="0.55000000000000004">
      <c r="W34112"/>
    </row>
    <row r="34113" spans="23:23" x14ac:dyDescent="0.55000000000000004">
      <c r="W34113"/>
    </row>
    <row r="34114" spans="23:23" x14ac:dyDescent="0.55000000000000004">
      <c r="W34114"/>
    </row>
    <row r="34115" spans="23:23" x14ac:dyDescent="0.55000000000000004">
      <c r="W34115"/>
    </row>
    <row r="34116" spans="23:23" x14ac:dyDescent="0.55000000000000004">
      <c r="W34116"/>
    </row>
    <row r="34117" spans="23:23" x14ac:dyDescent="0.55000000000000004">
      <c r="W34117"/>
    </row>
    <row r="34118" spans="23:23" x14ac:dyDescent="0.55000000000000004">
      <c r="W34118"/>
    </row>
    <row r="34119" spans="23:23" x14ac:dyDescent="0.55000000000000004">
      <c r="W34119"/>
    </row>
    <row r="34120" spans="23:23" x14ac:dyDescent="0.55000000000000004">
      <c r="W34120"/>
    </row>
    <row r="34121" spans="23:23" x14ac:dyDescent="0.55000000000000004">
      <c r="W34121"/>
    </row>
    <row r="34122" spans="23:23" x14ac:dyDescent="0.55000000000000004">
      <c r="W34122"/>
    </row>
    <row r="34123" spans="23:23" x14ac:dyDescent="0.55000000000000004">
      <c r="W34123"/>
    </row>
    <row r="34124" spans="23:23" x14ac:dyDescent="0.55000000000000004">
      <c r="W34124"/>
    </row>
    <row r="34125" spans="23:23" x14ac:dyDescent="0.55000000000000004">
      <c r="W34125"/>
    </row>
    <row r="34126" spans="23:23" x14ac:dyDescent="0.55000000000000004">
      <c r="W34126"/>
    </row>
    <row r="34127" spans="23:23" x14ac:dyDescent="0.55000000000000004">
      <c r="W34127"/>
    </row>
    <row r="34128" spans="23:23" x14ac:dyDescent="0.55000000000000004">
      <c r="W34128"/>
    </row>
    <row r="34129" spans="23:23" x14ac:dyDescent="0.55000000000000004">
      <c r="W34129"/>
    </row>
    <row r="34130" spans="23:23" x14ac:dyDescent="0.55000000000000004">
      <c r="W34130"/>
    </row>
    <row r="34131" spans="23:23" x14ac:dyDescent="0.55000000000000004">
      <c r="W34131"/>
    </row>
    <row r="34132" spans="23:23" x14ac:dyDescent="0.55000000000000004">
      <c r="W34132"/>
    </row>
    <row r="34133" spans="23:23" x14ac:dyDescent="0.55000000000000004">
      <c r="W34133"/>
    </row>
    <row r="34134" spans="23:23" x14ac:dyDescent="0.55000000000000004">
      <c r="W34134"/>
    </row>
    <row r="34135" spans="23:23" x14ac:dyDescent="0.55000000000000004">
      <c r="W34135"/>
    </row>
    <row r="34136" spans="23:23" x14ac:dyDescent="0.55000000000000004">
      <c r="W34136"/>
    </row>
    <row r="34137" spans="23:23" x14ac:dyDescent="0.55000000000000004">
      <c r="W34137"/>
    </row>
    <row r="34138" spans="23:23" x14ac:dyDescent="0.55000000000000004">
      <c r="W34138"/>
    </row>
    <row r="34139" spans="23:23" x14ac:dyDescent="0.55000000000000004">
      <c r="W34139"/>
    </row>
    <row r="34140" spans="23:23" x14ac:dyDescent="0.55000000000000004">
      <c r="W34140"/>
    </row>
    <row r="34141" spans="23:23" x14ac:dyDescent="0.55000000000000004">
      <c r="W34141"/>
    </row>
    <row r="34142" spans="23:23" x14ac:dyDescent="0.55000000000000004">
      <c r="W34142"/>
    </row>
    <row r="34143" spans="23:23" x14ac:dyDescent="0.55000000000000004">
      <c r="W34143"/>
    </row>
    <row r="34144" spans="23:23" x14ac:dyDescent="0.55000000000000004">
      <c r="W34144"/>
    </row>
    <row r="34145" spans="23:23" x14ac:dyDescent="0.55000000000000004">
      <c r="W34145"/>
    </row>
    <row r="34146" spans="23:23" x14ac:dyDescent="0.55000000000000004">
      <c r="W34146"/>
    </row>
    <row r="34147" spans="23:23" x14ac:dyDescent="0.55000000000000004">
      <c r="W34147"/>
    </row>
    <row r="34148" spans="23:23" x14ac:dyDescent="0.55000000000000004">
      <c r="W34148"/>
    </row>
    <row r="34149" spans="23:23" x14ac:dyDescent="0.55000000000000004">
      <c r="W34149"/>
    </row>
    <row r="34150" spans="23:23" x14ac:dyDescent="0.55000000000000004">
      <c r="W34150"/>
    </row>
    <row r="34151" spans="23:23" x14ac:dyDescent="0.55000000000000004">
      <c r="W34151"/>
    </row>
    <row r="34152" spans="23:23" x14ac:dyDescent="0.55000000000000004">
      <c r="W34152"/>
    </row>
    <row r="34153" spans="23:23" x14ac:dyDescent="0.55000000000000004">
      <c r="W34153"/>
    </row>
    <row r="34154" spans="23:23" x14ac:dyDescent="0.55000000000000004">
      <c r="W34154"/>
    </row>
    <row r="34155" spans="23:23" x14ac:dyDescent="0.55000000000000004">
      <c r="W34155"/>
    </row>
    <row r="34156" spans="23:23" x14ac:dyDescent="0.55000000000000004">
      <c r="W34156"/>
    </row>
    <row r="34157" spans="23:23" x14ac:dyDescent="0.55000000000000004">
      <c r="W34157"/>
    </row>
    <row r="34158" spans="23:23" x14ac:dyDescent="0.55000000000000004">
      <c r="W34158"/>
    </row>
    <row r="34159" spans="23:23" x14ac:dyDescent="0.55000000000000004">
      <c r="W34159"/>
    </row>
    <row r="34160" spans="23:23" x14ac:dyDescent="0.55000000000000004">
      <c r="W34160"/>
    </row>
    <row r="34161" spans="23:23" x14ac:dyDescent="0.55000000000000004">
      <c r="W34161"/>
    </row>
    <row r="34162" spans="23:23" x14ac:dyDescent="0.55000000000000004">
      <c r="W34162"/>
    </row>
    <row r="34163" spans="23:23" x14ac:dyDescent="0.55000000000000004">
      <c r="W34163"/>
    </row>
    <row r="34164" spans="23:23" x14ac:dyDescent="0.55000000000000004">
      <c r="W34164"/>
    </row>
    <row r="34165" spans="23:23" x14ac:dyDescent="0.55000000000000004">
      <c r="W34165"/>
    </row>
    <row r="34166" spans="23:23" x14ac:dyDescent="0.55000000000000004">
      <c r="W34166"/>
    </row>
    <row r="34167" spans="23:23" x14ac:dyDescent="0.55000000000000004">
      <c r="W34167"/>
    </row>
    <row r="34168" spans="23:23" x14ac:dyDescent="0.55000000000000004">
      <c r="W34168"/>
    </row>
    <row r="34169" spans="23:23" x14ac:dyDescent="0.55000000000000004">
      <c r="W34169"/>
    </row>
    <row r="34170" spans="23:23" x14ac:dyDescent="0.55000000000000004">
      <c r="W34170"/>
    </row>
    <row r="34171" spans="23:23" x14ac:dyDescent="0.55000000000000004">
      <c r="W34171"/>
    </row>
    <row r="34172" spans="23:23" x14ac:dyDescent="0.55000000000000004">
      <c r="W34172"/>
    </row>
    <row r="34173" spans="23:23" x14ac:dyDescent="0.55000000000000004">
      <c r="W34173"/>
    </row>
    <row r="34174" spans="23:23" x14ac:dyDescent="0.55000000000000004">
      <c r="W34174"/>
    </row>
    <row r="34175" spans="23:23" x14ac:dyDescent="0.55000000000000004">
      <c r="W34175"/>
    </row>
    <row r="34176" spans="23:23" x14ac:dyDescent="0.55000000000000004">
      <c r="W34176"/>
    </row>
    <row r="34177" spans="23:23" x14ac:dyDescent="0.55000000000000004">
      <c r="W34177"/>
    </row>
    <row r="34178" spans="23:23" x14ac:dyDescent="0.55000000000000004">
      <c r="W34178"/>
    </row>
    <row r="34179" spans="23:23" x14ac:dyDescent="0.55000000000000004">
      <c r="W34179"/>
    </row>
    <row r="34180" spans="23:23" x14ac:dyDescent="0.55000000000000004">
      <c r="W34180"/>
    </row>
    <row r="34181" spans="23:23" x14ac:dyDescent="0.55000000000000004">
      <c r="W34181"/>
    </row>
    <row r="34182" spans="23:23" x14ac:dyDescent="0.55000000000000004">
      <c r="W34182"/>
    </row>
    <row r="34183" spans="23:23" x14ac:dyDescent="0.55000000000000004">
      <c r="W34183"/>
    </row>
    <row r="34184" spans="23:23" x14ac:dyDescent="0.55000000000000004">
      <c r="W34184"/>
    </row>
    <row r="34185" spans="23:23" x14ac:dyDescent="0.55000000000000004">
      <c r="W34185"/>
    </row>
    <row r="34186" spans="23:23" x14ac:dyDescent="0.55000000000000004">
      <c r="W34186"/>
    </row>
    <row r="34187" spans="23:23" x14ac:dyDescent="0.55000000000000004">
      <c r="W34187"/>
    </row>
    <row r="34188" spans="23:23" x14ac:dyDescent="0.55000000000000004">
      <c r="W34188"/>
    </row>
    <row r="34189" spans="23:23" x14ac:dyDescent="0.55000000000000004">
      <c r="W34189"/>
    </row>
    <row r="34190" spans="23:23" x14ac:dyDescent="0.55000000000000004">
      <c r="W34190"/>
    </row>
    <row r="34191" spans="23:23" x14ac:dyDescent="0.55000000000000004">
      <c r="W34191"/>
    </row>
    <row r="34192" spans="23:23" x14ac:dyDescent="0.55000000000000004">
      <c r="W34192"/>
    </row>
    <row r="34193" spans="23:23" x14ac:dyDescent="0.55000000000000004">
      <c r="W34193"/>
    </row>
    <row r="34194" spans="23:23" x14ac:dyDescent="0.55000000000000004">
      <c r="W34194"/>
    </row>
    <row r="34195" spans="23:23" x14ac:dyDescent="0.55000000000000004">
      <c r="W34195"/>
    </row>
    <row r="34196" spans="23:23" x14ac:dyDescent="0.55000000000000004">
      <c r="W34196"/>
    </row>
    <row r="34197" spans="23:23" x14ac:dyDescent="0.55000000000000004">
      <c r="W34197"/>
    </row>
    <row r="34198" spans="23:23" x14ac:dyDescent="0.55000000000000004">
      <c r="W34198"/>
    </row>
    <row r="34199" spans="23:23" x14ac:dyDescent="0.55000000000000004">
      <c r="W34199"/>
    </row>
    <row r="34200" spans="23:23" x14ac:dyDescent="0.55000000000000004">
      <c r="W34200"/>
    </row>
    <row r="34201" spans="23:23" x14ac:dyDescent="0.55000000000000004">
      <c r="W34201"/>
    </row>
    <row r="34202" spans="23:23" x14ac:dyDescent="0.55000000000000004">
      <c r="W34202"/>
    </row>
    <row r="34203" spans="23:23" x14ac:dyDescent="0.55000000000000004">
      <c r="W34203"/>
    </row>
    <row r="34204" spans="23:23" x14ac:dyDescent="0.55000000000000004">
      <c r="W34204"/>
    </row>
    <row r="34205" spans="23:23" x14ac:dyDescent="0.55000000000000004">
      <c r="W34205"/>
    </row>
    <row r="34206" spans="23:23" x14ac:dyDescent="0.55000000000000004">
      <c r="W34206"/>
    </row>
    <row r="34207" spans="23:23" x14ac:dyDescent="0.55000000000000004">
      <c r="W34207"/>
    </row>
    <row r="34208" spans="23:23" x14ac:dyDescent="0.55000000000000004">
      <c r="W34208"/>
    </row>
    <row r="34209" spans="23:23" x14ac:dyDescent="0.55000000000000004">
      <c r="W34209"/>
    </row>
    <row r="34210" spans="23:23" x14ac:dyDescent="0.55000000000000004">
      <c r="W34210"/>
    </row>
    <row r="34211" spans="23:23" x14ac:dyDescent="0.55000000000000004">
      <c r="W34211"/>
    </row>
    <row r="34212" spans="23:23" x14ac:dyDescent="0.55000000000000004">
      <c r="W34212"/>
    </row>
    <row r="34213" spans="23:23" x14ac:dyDescent="0.55000000000000004">
      <c r="W34213"/>
    </row>
    <row r="34214" spans="23:23" x14ac:dyDescent="0.55000000000000004">
      <c r="W34214"/>
    </row>
    <row r="34215" spans="23:23" x14ac:dyDescent="0.55000000000000004">
      <c r="W34215"/>
    </row>
    <row r="34216" spans="23:23" x14ac:dyDescent="0.55000000000000004">
      <c r="W34216"/>
    </row>
    <row r="34217" spans="23:23" x14ac:dyDescent="0.55000000000000004">
      <c r="W34217"/>
    </row>
    <row r="34218" spans="23:23" x14ac:dyDescent="0.55000000000000004">
      <c r="W34218"/>
    </row>
    <row r="34219" spans="23:23" x14ac:dyDescent="0.55000000000000004">
      <c r="W34219"/>
    </row>
    <row r="34220" spans="23:23" x14ac:dyDescent="0.55000000000000004">
      <c r="W34220"/>
    </row>
    <row r="34221" spans="23:23" x14ac:dyDescent="0.55000000000000004">
      <c r="W34221"/>
    </row>
    <row r="34222" spans="23:23" x14ac:dyDescent="0.55000000000000004">
      <c r="W34222"/>
    </row>
    <row r="34223" spans="23:23" x14ac:dyDescent="0.55000000000000004">
      <c r="W34223"/>
    </row>
    <row r="34224" spans="23:23" x14ac:dyDescent="0.55000000000000004">
      <c r="W34224"/>
    </row>
    <row r="34225" spans="23:23" x14ac:dyDescent="0.55000000000000004">
      <c r="W34225"/>
    </row>
    <row r="34226" spans="23:23" x14ac:dyDescent="0.55000000000000004">
      <c r="W34226"/>
    </row>
    <row r="34227" spans="23:23" x14ac:dyDescent="0.55000000000000004">
      <c r="W34227"/>
    </row>
    <row r="34228" spans="23:23" x14ac:dyDescent="0.55000000000000004">
      <c r="W34228"/>
    </row>
    <row r="34229" spans="23:23" x14ac:dyDescent="0.55000000000000004">
      <c r="W34229"/>
    </row>
    <row r="34230" spans="23:23" x14ac:dyDescent="0.55000000000000004">
      <c r="W34230"/>
    </row>
    <row r="34231" spans="23:23" x14ac:dyDescent="0.55000000000000004">
      <c r="W34231"/>
    </row>
    <row r="34232" spans="23:23" x14ac:dyDescent="0.55000000000000004">
      <c r="W34232"/>
    </row>
    <row r="34233" spans="23:23" x14ac:dyDescent="0.55000000000000004">
      <c r="W34233"/>
    </row>
    <row r="34234" spans="23:23" x14ac:dyDescent="0.55000000000000004">
      <c r="W34234"/>
    </row>
    <row r="34235" spans="23:23" x14ac:dyDescent="0.55000000000000004">
      <c r="W34235"/>
    </row>
    <row r="34236" spans="23:23" x14ac:dyDescent="0.55000000000000004">
      <c r="W34236"/>
    </row>
    <row r="34237" spans="23:23" x14ac:dyDescent="0.55000000000000004">
      <c r="W34237"/>
    </row>
    <row r="34238" spans="23:23" x14ac:dyDescent="0.55000000000000004">
      <c r="W34238"/>
    </row>
    <row r="34239" spans="23:23" x14ac:dyDescent="0.55000000000000004">
      <c r="W34239"/>
    </row>
    <row r="34240" spans="23:23" x14ac:dyDescent="0.55000000000000004">
      <c r="W34240"/>
    </row>
    <row r="34241" spans="23:23" x14ac:dyDescent="0.55000000000000004">
      <c r="W34241"/>
    </row>
    <row r="34242" spans="23:23" x14ac:dyDescent="0.55000000000000004">
      <c r="W34242"/>
    </row>
    <row r="34243" spans="23:23" x14ac:dyDescent="0.55000000000000004">
      <c r="W34243"/>
    </row>
    <row r="34244" spans="23:23" x14ac:dyDescent="0.55000000000000004">
      <c r="W34244"/>
    </row>
    <row r="34245" spans="23:23" x14ac:dyDescent="0.55000000000000004">
      <c r="W34245"/>
    </row>
    <row r="34246" spans="23:23" x14ac:dyDescent="0.55000000000000004">
      <c r="W34246"/>
    </row>
    <row r="34247" spans="23:23" x14ac:dyDescent="0.55000000000000004">
      <c r="W34247"/>
    </row>
    <row r="34248" spans="23:23" x14ac:dyDescent="0.55000000000000004">
      <c r="W34248"/>
    </row>
    <row r="34249" spans="23:23" x14ac:dyDescent="0.55000000000000004">
      <c r="W34249"/>
    </row>
    <row r="34250" spans="23:23" x14ac:dyDescent="0.55000000000000004">
      <c r="W34250"/>
    </row>
    <row r="34251" spans="23:23" x14ac:dyDescent="0.55000000000000004">
      <c r="W34251"/>
    </row>
    <row r="34252" spans="23:23" x14ac:dyDescent="0.55000000000000004">
      <c r="W34252"/>
    </row>
    <row r="34253" spans="23:23" x14ac:dyDescent="0.55000000000000004">
      <c r="W34253"/>
    </row>
    <row r="34254" spans="23:23" x14ac:dyDescent="0.55000000000000004">
      <c r="W34254"/>
    </row>
    <row r="34255" spans="23:23" x14ac:dyDescent="0.55000000000000004">
      <c r="W34255"/>
    </row>
    <row r="34256" spans="23:23" x14ac:dyDescent="0.55000000000000004">
      <c r="W34256"/>
    </row>
    <row r="34257" spans="23:23" x14ac:dyDescent="0.55000000000000004">
      <c r="W34257"/>
    </row>
    <row r="34258" spans="23:23" x14ac:dyDescent="0.55000000000000004">
      <c r="W34258"/>
    </row>
    <row r="34259" spans="23:23" x14ac:dyDescent="0.55000000000000004">
      <c r="W34259"/>
    </row>
    <row r="34260" spans="23:23" x14ac:dyDescent="0.55000000000000004">
      <c r="W34260"/>
    </row>
    <row r="34261" spans="23:23" x14ac:dyDescent="0.55000000000000004">
      <c r="W34261"/>
    </row>
    <row r="34262" spans="23:23" x14ac:dyDescent="0.55000000000000004">
      <c r="W34262"/>
    </row>
    <row r="34263" spans="23:23" x14ac:dyDescent="0.55000000000000004">
      <c r="W34263"/>
    </row>
    <row r="34264" spans="23:23" x14ac:dyDescent="0.55000000000000004">
      <c r="W34264"/>
    </row>
    <row r="34265" spans="23:23" x14ac:dyDescent="0.55000000000000004">
      <c r="W34265"/>
    </row>
    <row r="34266" spans="23:23" x14ac:dyDescent="0.55000000000000004">
      <c r="W34266"/>
    </row>
    <row r="34267" spans="23:23" x14ac:dyDescent="0.55000000000000004">
      <c r="W34267"/>
    </row>
    <row r="34268" spans="23:23" x14ac:dyDescent="0.55000000000000004">
      <c r="W34268"/>
    </row>
    <row r="34269" spans="23:23" x14ac:dyDescent="0.55000000000000004">
      <c r="W34269"/>
    </row>
    <row r="34270" spans="23:23" x14ac:dyDescent="0.55000000000000004">
      <c r="W34270"/>
    </row>
    <row r="34271" spans="23:23" x14ac:dyDescent="0.55000000000000004">
      <c r="W34271"/>
    </row>
    <row r="34272" spans="23:23" x14ac:dyDescent="0.55000000000000004">
      <c r="W34272"/>
    </row>
    <row r="34273" spans="23:23" x14ac:dyDescent="0.55000000000000004">
      <c r="W34273"/>
    </row>
    <row r="34274" spans="23:23" x14ac:dyDescent="0.55000000000000004">
      <c r="W34274"/>
    </row>
    <row r="34275" spans="23:23" x14ac:dyDescent="0.55000000000000004">
      <c r="W34275"/>
    </row>
    <row r="34276" spans="23:23" x14ac:dyDescent="0.55000000000000004">
      <c r="W34276"/>
    </row>
    <row r="34277" spans="23:23" x14ac:dyDescent="0.55000000000000004">
      <c r="W34277"/>
    </row>
    <row r="34278" spans="23:23" x14ac:dyDescent="0.55000000000000004">
      <c r="W34278"/>
    </row>
    <row r="34279" spans="23:23" x14ac:dyDescent="0.55000000000000004">
      <c r="W34279"/>
    </row>
    <row r="34280" spans="23:23" x14ac:dyDescent="0.55000000000000004">
      <c r="W34280"/>
    </row>
    <row r="34281" spans="23:23" x14ac:dyDescent="0.55000000000000004">
      <c r="W34281"/>
    </row>
    <row r="34282" spans="23:23" x14ac:dyDescent="0.55000000000000004">
      <c r="W34282"/>
    </row>
    <row r="34283" spans="23:23" x14ac:dyDescent="0.55000000000000004">
      <c r="W34283"/>
    </row>
    <row r="34284" spans="23:23" x14ac:dyDescent="0.55000000000000004">
      <c r="W34284"/>
    </row>
    <row r="34285" spans="23:23" x14ac:dyDescent="0.55000000000000004">
      <c r="W34285"/>
    </row>
    <row r="34286" spans="23:23" x14ac:dyDescent="0.55000000000000004">
      <c r="W34286"/>
    </row>
    <row r="34287" spans="23:23" x14ac:dyDescent="0.55000000000000004">
      <c r="W34287"/>
    </row>
    <row r="34288" spans="23:23" x14ac:dyDescent="0.55000000000000004">
      <c r="W34288"/>
    </row>
    <row r="34289" spans="23:23" x14ac:dyDescent="0.55000000000000004">
      <c r="W34289"/>
    </row>
    <row r="34290" spans="23:23" x14ac:dyDescent="0.55000000000000004">
      <c r="W34290"/>
    </row>
    <row r="34291" spans="23:23" x14ac:dyDescent="0.55000000000000004">
      <c r="W34291"/>
    </row>
    <row r="34292" spans="23:23" x14ac:dyDescent="0.55000000000000004">
      <c r="W34292"/>
    </row>
    <row r="34293" spans="23:23" x14ac:dyDescent="0.55000000000000004">
      <c r="W34293"/>
    </row>
    <row r="34294" spans="23:23" x14ac:dyDescent="0.55000000000000004">
      <c r="W34294"/>
    </row>
    <row r="34295" spans="23:23" x14ac:dyDescent="0.55000000000000004">
      <c r="W34295"/>
    </row>
    <row r="34296" spans="23:23" x14ac:dyDescent="0.55000000000000004">
      <c r="W34296"/>
    </row>
    <row r="34297" spans="23:23" x14ac:dyDescent="0.55000000000000004">
      <c r="W34297"/>
    </row>
    <row r="34298" spans="23:23" x14ac:dyDescent="0.55000000000000004">
      <c r="W34298"/>
    </row>
    <row r="34299" spans="23:23" x14ac:dyDescent="0.55000000000000004">
      <c r="W34299"/>
    </row>
    <row r="34300" spans="23:23" x14ac:dyDescent="0.55000000000000004">
      <c r="W34300"/>
    </row>
    <row r="34301" spans="23:23" x14ac:dyDescent="0.55000000000000004">
      <c r="W34301"/>
    </row>
    <row r="34302" spans="23:23" x14ac:dyDescent="0.55000000000000004">
      <c r="W34302"/>
    </row>
    <row r="34303" spans="23:23" x14ac:dyDescent="0.55000000000000004">
      <c r="W34303"/>
    </row>
    <row r="34304" spans="23:23" x14ac:dyDescent="0.55000000000000004">
      <c r="W34304"/>
    </row>
    <row r="34305" spans="23:23" x14ac:dyDescent="0.55000000000000004">
      <c r="W34305"/>
    </row>
    <row r="34306" spans="23:23" x14ac:dyDescent="0.55000000000000004">
      <c r="W34306"/>
    </row>
    <row r="34307" spans="23:23" x14ac:dyDescent="0.55000000000000004">
      <c r="W34307"/>
    </row>
    <row r="34308" spans="23:23" x14ac:dyDescent="0.55000000000000004">
      <c r="W34308"/>
    </row>
    <row r="34309" spans="23:23" x14ac:dyDescent="0.55000000000000004">
      <c r="W34309"/>
    </row>
    <row r="34310" spans="23:23" x14ac:dyDescent="0.55000000000000004">
      <c r="W34310"/>
    </row>
    <row r="34311" spans="23:23" x14ac:dyDescent="0.55000000000000004">
      <c r="W34311"/>
    </row>
    <row r="34312" spans="23:23" x14ac:dyDescent="0.55000000000000004">
      <c r="W34312"/>
    </row>
    <row r="34313" spans="23:23" x14ac:dyDescent="0.55000000000000004">
      <c r="W34313"/>
    </row>
    <row r="34314" spans="23:23" x14ac:dyDescent="0.55000000000000004">
      <c r="W34314"/>
    </row>
    <row r="34315" spans="23:23" x14ac:dyDescent="0.55000000000000004">
      <c r="W34315"/>
    </row>
    <row r="34316" spans="23:23" x14ac:dyDescent="0.55000000000000004">
      <c r="W34316"/>
    </row>
    <row r="34317" spans="23:23" x14ac:dyDescent="0.55000000000000004">
      <c r="W34317"/>
    </row>
    <row r="34318" spans="23:23" x14ac:dyDescent="0.55000000000000004">
      <c r="W34318"/>
    </row>
    <row r="34319" spans="23:23" x14ac:dyDescent="0.55000000000000004">
      <c r="W34319"/>
    </row>
    <row r="34320" spans="23:23" x14ac:dyDescent="0.55000000000000004">
      <c r="W34320"/>
    </row>
    <row r="34321" spans="23:23" x14ac:dyDescent="0.55000000000000004">
      <c r="W34321"/>
    </row>
    <row r="34322" spans="23:23" x14ac:dyDescent="0.55000000000000004">
      <c r="W34322"/>
    </row>
    <row r="34323" spans="23:23" x14ac:dyDescent="0.55000000000000004">
      <c r="W34323"/>
    </row>
    <row r="34324" spans="23:23" x14ac:dyDescent="0.55000000000000004">
      <c r="W34324"/>
    </row>
    <row r="34325" spans="23:23" x14ac:dyDescent="0.55000000000000004">
      <c r="W34325"/>
    </row>
    <row r="34326" spans="23:23" x14ac:dyDescent="0.55000000000000004">
      <c r="W34326"/>
    </row>
    <row r="34327" spans="23:23" x14ac:dyDescent="0.55000000000000004">
      <c r="W34327"/>
    </row>
    <row r="34328" spans="23:23" x14ac:dyDescent="0.55000000000000004">
      <c r="W34328"/>
    </row>
    <row r="34329" spans="23:23" x14ac:dyDescent="0.55000000000000004">
      <c r="W34329"/>
    </row>
    <row r="34330" spans="23:23" x14ac:dyDescent="0.55000000000000004">
      <c r="W34330"/>
    </row>
    <row r="34331" spans="23:23" x14ac:dyDescent="0.55000000000000004">
      <c r="W34331"/>
    </row>
    <row r="34332" spans="23:23" x14ac:dyDescent="0.55000000000000004">
      <c r="W34332"/>
    </row>
    <row r="34333" spans="23:23" x14ac:dyDescent="0.55000000000000004">
      <c r="W34333"/>
    </row>
    <row r="34334" spans="23:23" x14ac:dyDescent="0.55000000000000004">
      <c r="W34334"/>
    </row>
    <row r="34335" spans="23:23" x14ac:dyDescent="0.55000000000000004">
      <c r="W34335"/>
    </row>
    <row r="34336" spans="23:23" x14ac:dyDescent="0.55000000000000004">
      <c r="W34336"/>
    </row>
    <row r="34337" spans="23:23" x14ac:dyDescent="0.55000000000000004">
      <c r="W34337"/>
    </row>
    <row r="34338" spans="23:23" x14ac:dyDescent="0.55000000000000004">
      <c r="W34338"/>
    </row>
    <row r="34339" spans="23:23" x14ac:dyDescent="0.55000000000000004">
      <c r="W34339"/>
    </row>
    <row r="34340" spans="23:23" x14ac:dyDescent="0.55000000000000004">
      <c r="W34340"/>
    </row>
    <row r="34341" spans="23:23" x14ac:dyDescent="0.55000000000000004">
      <c r="W34341"/>
    </row>
    <row r="34342" spans="23:23" x14ac:dyDescent="0.55000000000000004">
      <c r="W34342"/>
    </row>
    <row r="34343" spans="23:23" x14ac:dyDescent="0.55000000000000004">
      <c r="W34343"/>
    </row>
    <row r="34344" spans="23:23" x14ac:dyDescent="0.55000000000000004">
      <c r="W34344"/>
    </row>
    <row r="34345" spans="23:23" x14ac:dyDescent="0.55000000000000004">
      <c r="W34345"/>
    </row>
    <row r="34346" spans="23:23" x14ac:dyDescent="0.55000000000000004">
      <c r="W34346"/>
    </row>
    <row r="34347" spans="23:23" x14ac:dyDescent="0.55000000000000004">
      <c r="W34347"/>
    </row>
    <row r="34348" spans="23:23" x14ac:dyDescent="0.55000000000000004">
      <c r="W34348"/>
    </row>
    <row r="34349" spans="23:23" x14ac:dyDescent="0.55000000000000004">
      <c r="W34349"/>
    </row>
    <row r="34350" spans="23:23" x14ac:dyDescent="0.55000000000000004">
      <c r="W34350"/>
    </row>
    <row r="34351" spans="23:23" x14ac:dyDescent="0.55000000000000004">
      <c r="W34351"/>
    </row>
    <row r="34352" spans="23:23" x14ac:dyDescent="0.55000000000000004">
      <c r="W34352"/>
    </row>
    <row r="34353" spans="23:23" x14ac:dyDescent="0.55000000000000004">
      <c r="W34353"/>
    </row>
    <row r="34354" spans="23:23" x14ac:dyDescent="0.55000000000000004">
      <c r="W34354"/>
    </row>
    <row r="34355" spans="23:23" x14ac:dyDescent="0.55000000000000004">
      <c r="W34355"/>
    </row>
    <row r="34356" spans="23:23" x14ac:dyDescent="0.55000000000000004">
      <c r="W34356"/>
    </row>
    <row r="34357" spans="23:23" x14ac:dyDescent="0.55000000000000004">
      <c r="W34357"/>
    </row>
    <row r="34358" spans="23:23" x14ac:dyDescent="0.55000000000000004">
      <c r="W34358"/>
    </row>
    <row r="34359" spans="23:23" x14ac:dyDescent="0.55000000000000004">
      <c r="W34359"/>
    </row>
    <row r="34360" spans="23:23" x14ac:dyDescent="0.55000000000000004">
      <c r="W34360"/>
    </row>
    <row r="34361" spans="23:23" x14ac:dyDescent="0.55000000000000004">
      <c r="W34361"/>
    </row>
    <row r="34362" spans="23:23" x14ac:dyDescent="0.55000000000000004">
      <c r="W34362"/>
    </row>
    <row r="34363" spans="23:23" x14ac:dyDescent="0.55000000000000004">
      <c r="W34363"/>
    </row>
    <row r="34364" spans="23:23" x14ac:dyDescent="0.55000000000000004">
      <c r="W34364"/>
    </row>
    <row r="34365" spans="23:23" x14ac:dyDescent="0.55000000000000004">
      <c r="W34365"/>
    </row>
    <row r="34366" spans="23:23" x14ac:dyDescent="0.55000000000000004">
      <c r="W34366"/>
    </row>
    <row r="34367" spans="23:23" x14ac:dyDescent="0.55000000000000004">
      <c r="W34367"/>
    </row>
    <row r="34368" spans="23:23" x14ac:dyDescent="0.55000000000000004">
      <c r="W34368"/>
    </row>
    <row r="34369" spans="23:23" x14ac:dyDescent="0.55000000000000004">
      <c r="W34369"/>
    </row>
    <row r="34370" spans="23:23" x14ac:dyDescent="0.55000000000000004">
      <c r="W34370"/>
    </row>
    <row r="34371" spans="23:23" x14ac:dyDescent="0.55000000000000004">
      <c r="W34371"/>
    </row>
    <row r="34372" spans="23:23" x14ac:dyDescent="0.55000000000000004">
      <c r="W34372"/>
    </row>
    <row r="34373" spans="23:23" x14ac:dyDescent="0.55000000000000004">
      <c r="W34373"/>
    </row>
    <row r="34374" spans="23:23" x14ac:dyDescent="0.55000000000000004">
      <c r="W34374"/>
    </row>
    <row r="34375" spans="23:23" x14ac:dyDescent="0.55000000000000004">
      <c r="W34375"/>
    </row>
    <row r="34376" spans="23:23" x14ac:dyDescent="0.55000000000000004">
      <c r="W34376"/>
    </row>
    <row r="34377" spans="23:23" x14ac:dyDescent="0.55000000000000004">
      <c r="W34377"/>
    </row>
    <row r="34378" spans="23:23" x14ac:dyDescent="0.55000000000000004">
      <c r="W34378"/>
    </row>
    <row r="34379" spans="23:23" x14ac:dyDescent="0.55000000000000004">
      <c r="W34379"/>
    </row>
    <row r="34380" spans="23:23" x14ac:dyDescent="0.55000000000000004">
      <c r="W34380"/>
    </row>
    <row r="34381" spans="23:23" x14ac:dyDescent="0.55000000000000004">
      <c r="W34381"/>
    </row>
    <row r="34382" spans="23:23" x14ac:dyDescent="0.55000000000000004">
      <c r="W34382"/>
    </row>
    <row r="34383" spans="23:23" x14ac:dyDescent="0.55000000000000004">
      <c r="W34383"/>
    </row>
    <row r="34384" spans="23:23" x14ac:dyDescent="0.55000000000000004">
      <c r="W34384"/>
    </row>
    <row r="34385" spans="23:23" x14ac:dyDescent="0.55000000000000004">
      <c r="W34385"/>
    </row>
    <row r="34386" spans="23:23" x14ac:dyDescent="0.55000000000000004">
      <c r="W34386"/>
    </row>
    <row r="34387" spans="23:23" x14ac:dyDescent="0.55000000000000004">
      <c r="W34387"/>
    </row>
    <row r="34388" spans="23:23" x14ac:dyDescent="0.55000000000000004">
      <c r="W34388"/>
    </row>
    <row r="34389" spans="23:23" x14ac:dyDescent="0.55000000000000004">
      <c r="W34389"/>
    </row>
    <row r="34390" spans="23:23" x14ac:dyDescent="0.55000000000000004">
      <c r="W34390"/>
    </row>
    <row r="34391" spans="23:23" x14ac:dyDescent="0.55000000000000004">
      <c r="W34391"/>
    </row>
    <row r="34392" spans="23:23" x14ac:dyDescent="0.55000000000000004">
      <c r="W34392"/>
    </row>
    <row r="34393" spans="23:23" x14ac:dyDescent="0.55000000000000004">
      <c r="W34393"/>
    </row>
    <row r="34394" spans="23:23" x14ac:dyDescent="0.55000000000000004">
      <c r="W34394"/>
    </row>
    <row r="34395" spans="23:23" x14ac:dyDescent="0.55000000000000004">
      <c r="W34395"/>
    </row>
    <row r="34396" spans="23:23" x14ac:dyDescent="0.55000000000000004">
      <c r="W34396"/>
    </row>
    <row r="34397" spans="23:23" x14ac:dyDescent="0.55000000000000004">
      <c r="W34397"/>
    </row>
    <row r="34398" spans="23:23" x14ac:dyDescent="0.55000000000000004">
      <c r="W34398"/>
    </row>
    <row r="34399" spans="23:23" x14ac:dyDescent="0.55000000000000004">
      <c r="W34399"/>
    </row>
    <row r="34400" spans="23:23" x14ac:dyDescent="0.55000000000000004">
      <c r="W34400"/>
    </row>
    <row r="34401" spans="23:23" x14ac:dyDescent="0.55000000000000004">
      <c r="W34401"/>
    </row>
    <row r="34402" spans="23:23" x14ac:dyDescent="0.55000000000000004">
      <c r="W34402"/>
    </row>
    <row r="34403" spans="23:23" x14ac:dyDescent="0.55000000000000004">
      <c r="W34403"/>
    </row>
    <row r="34404" spans="23:23" x14ac:dyDescent="0.55000000000000004">
      <c r="W34404"/>
    </row>
    <row r="34405" spans="23:23" x14ac:dyDescent="0.55000000000000004">
      <c r="W34405"/>
    </row>
    <row r="34406" spans="23:23" x14ac:dyDescent="0.55000000000000004">
      <c r="W34406"/>
    </row>
    <row r="34407" spans="23:23" x14ac:dyDescent="0.55000000000000004">
      <c r="W34407"/>
    </row>
    <row r="34408" spans="23:23" x14ac:dyDescent="0.55000000000000004">
      <c r="W34408"/>
    </row>
    <row r="34409" spans="23:23" x14ac:dyDescent="0.55000000000000004">
      <c r="W34409"/>
    </row>
    <row r="34410" spans="23:23" x14ac:dyDescent="0.55000000000000004">
      <c r="W34410"/>
    </row>
    <row r="34411" spans="23:23" x14ac:dyDescent="0.55000000000000004">
      <c r="W34411"/>
    </row>
    <row r="34412" spans="23:23" x14ac:dyDescent="0.55000000000000004">
      <c r="W34412"/>
    </row>
    <row r="34413" spans="23:23" x14ac:dyDescent="0.55000000000000004">
      <c r="W34413"/>
    </row>
    <row r="34414" spans="23:23" x14ac:dyDescent="0.55000000000000004">
      <c r="W34414"/>
    </row>
    <row r="34415" spans="23:23" x14ac:dyDescent="0.55000000000000004">
      <c r="W34415"/>
    </row>
    <row r="34416" spans="23:23" x14ac:dyDescent="0.55000000000000004">
      <c r="W34416"/>
    </row>
    <row r="34417" spans="23:23" x14ac:dyDescent="0.55000000000000004">
      <c r="W34417"/>
    </row>
    <row r="34418" spans="23:23" x14ac:dyDescent="0.55000000000000004">
      <c r="W34418"/>
    </row>
    <row r="34419" spans="23:23" x14ac:dyDescent="0.55000000000000004">
      <c r="W34419"/>
    </row>
    <row r="34420" spans="23:23" x14ac:dyDescent="0.55000000000000004">
      <c r="W34420"/>
    </row>
    <row r="34421" spans="23:23" x14ac:dyDescent="0.55000000000000004">
      <c r="W34421"/>
    </row>
    <row r="34422" spans="23:23" x14ac:dyDescent="0.55000000000000004">
      <c r="W34422"/>
    </row>
    <row r="34423" spans="23:23" x14ac:dyDescent="0.55000000000000004">
      <c r="W34423"/>
    </row>
    <row r="34424" spans="23:23" x14ac:dyDescent="0.55000000000000004">
      <c r="W34424"/>
    </row>
    <row r="34425" spans="23:23" x14ac:dyDescent="0.55000000000000004">
      <c r="W34425"/>
    </row>
    <row r="34426" spans="23:23" x14ac:dyDescent="0.55000000000000004">
      <c r="W34426"/>
    </row>
    <row r="34427" spans="23:23" x14ac:dyDescent="0.55000000000000004">
      <c r="W34427"/>
    </row>
    <row r="34428" spans="23:23" x14ac:dyDescent="0.55000000000000004">
      <c r="W34428"/>
    </row>
    <row r="34429" spans="23:23" x14ac:dyDescent="0.55000000000000004">
      <c r="W34429"/>
    </row>
    <row r="34430" spans="23:23" x14ac:dyDescent="0.55000000000000004">
      <c r="W34430"/>
    </row>
    <row r="34431" spans="23:23" x14ac:dyDescent="0.55000000000000004">
      <c r="W34431"/>
    </row>
    <row r="34432" spans="23:23" x14ac:dyDescent="0.55000000000000004">
      <c r="W34432"/>
    </row>
    <row r="34433" spans="23:23" x14ac:dyDescent="0.55000000000000004">
      <c r="W34433"/>
    </row>
    <row r="34434" spans="23:23" x14ac:dyDescent="0.55000000000000004">
      <c r="W34434"/>
    </row>
    <row r="34435" spans="23:23" x14ac:dyDescent="0.55000000000000004">
      <c r="W34435"/>
    </row>
    <row r="34436" spans="23:23" x14ac:dyDescent="0.55000000000000004">
      <c r="W34436"/>
    </row>
    <row r="34437" spans="23:23" x14ac:dyDescent="0.55000000000000004">
      <c r="W34437"/>
    </row>
    <row r="34438" spans="23:23" x14ac:dyDescent="0.55000000000000004">
      <c r="W34438"/>
    </row>
    <row r="34439" spans="23:23" x14ac:dyDescent="0.55000000000000004">
      <c r="W34439"/>
    </row>
    <row r="34440" spans="23:23" x14ac:dyDescent="0.55000000000000004">
      <c r="W34440"/>
    </row>
    <row r="34441" spans="23:23" x14ac:dyDescent="0.55000000000000004">
      <c r="W34441"/>
    </row>
    <row r="34442" spans="23:23" x14ac:dyDescent="0.55000000000000004">
      <c r="W34442"/>
    </row>
    <row r="34443" spans="23:23" x14ac:dyDescent="0.55000000000000004">
      <c r="W34443"/>
    </row>
    <row r="34444" spans="23:23" x14ac:dyDescent="0.55000000000000004">
      <c r="W34444"/>
    </row>
    <row r="34445" spans="23:23" x14ac:dyDescent="0.55000000000000004">
      <c r="W34445"/>
    </row>
    <row r="34446" spans="23:23" x14ac:dyDescent="0.55000000000000004">
      <c r="W34446"/>
    </row>
    <row r="34447" spans="23:23" x14ac:dyDescent="0.55000000000000004">
      <c r="W34447"/>
    </row>
    <row r="34448" spans="23:23" x14ac:dyDescent="0.55000000000000004">
      <c r="W34448"/>
    </row>
    <row r="34449" spans="23:23" x14ac:dyDescent="0.55000000000000004">
      <c r="W34449"/>
    </row>
    <row r="34450" spans="23:23" x14ac:dyDescent="0.55000000000000004">
      <c r="W34450"/>
    </row>
    <row r="34451" spans="23:23" x14ac:dyDescent="0.55000000000000004">
      <c r="W34451"/>
    </row>
    <row r="34452" spans="23:23" x14ac:dyDescent="0.55000000000000004">
      <c r="W34452"/>
    </row>
    <row r="34453" spans="23:23" x14ac:dyDescent="0.55000000000000004">
      <c r="W34453"/>
    </row>
    <row r="34454" spans="23:23" x14ac:dyDescent="0.55000000000000004">
      <c r="W34454"/>
    </row>
    <row r="34455" spans="23:23" x14ac:dyDescent="0.55000000000000004">
      <c r="W34455"/>
    </row>
    <row r="34456" spans="23:23" x14ac:dyDescent="0.55000000000000004">
      <c r="W34456"/>
    </row>
    <row r="34457" spans="23:23" x14ac:dyDescent="0.55000000000000004">
      <c r="W34457"/>
    </row>
    <row r="34458" spans="23:23" x14ac:dyDescent="0.55000000000000004">
      <c r="W34458"/>
    </row>
    <row r="34459" spans="23:23" x14ac:dyDescent="0.55000000000000004">
      <c r="W34459"/>
    </row>
    <row r="34460" spans="23:23" x14ac:dyDescent="0.55000000000000004">
      <c r="W34460"/>
    </row>
    <row r="34461" spans="23:23" x14ac:dyDescent="0.55000000000000004">
      <c r="W34461"/>
    </row>
    <row r="34462" spans="23:23" x14ac:dyDescent="0.55000000000000004">
      <c r="W34462"/>
    </row>
    <row r="34463" spans="23:23" x14ac:dyDescent="0.55000000000000004">
      <c r="W34463"/>
    </row>
    <row r="34464" spans="23:23" x14ac:dyDescent="0.55000000000000004">
      <c r="W34464"/>
    </row>
    <row r="34465" spans="23:23" x14ac:dyDescent="0.55000000000000004">
      <c r="W34465"/>
    </row>
    <row r="34466" spans="23:23" x14ac:dyDescent="0.55000000000000004">
      <c r="W34466"/>
    </row>
    <row r="34467" spans="23:23" x14ac:dyDescent="0.55000000000000004">
      <c r="W34467"/>
    </row>
    <row r="34468" spans="23:23" x14ac:dyDescent="0.55000000000000004">
      <c r="W34468"/>
    </row>
    <row r="34469" spans="23:23" x14ac:dyDescent="0.55000000000000004">
      <c r="W34469"/>
    </row>
    <row r="34470" spans="23:23" x14ac:dyDescent="0.55000000000000004">
      <c r="W34470"/>
    </row>
    <row r="34471" spans="23:23" x14ac:dyDescent="0.55000000000000004">
      <c r="W34471"/>
    </row>
    <row r="34472" spans="23:23" x14ac:dyDescent="0.55000000000000004">
      <c r="W34472"/>
    </row>
    <row r="34473" spans="23:23" x14ac:dyDescent="0.55000000000000004">
      <c r="W34473"/>
    </row>
    <row r="34474" spans="23:23" x14ac:dyDescent="0.55000000000000004">
      <c r="W34474"/>
    </row>
    <row r="34475" spans="23:23" x14ac:dyDescent="0.55000000000000004">
      <c r="W34475"/>
    </row>
    <row r="34476" spans="23:23" x14ac:dyDescent="0.55000000000000004">
      <c r="W34476"/>
    </row>
    <row r="34477" spans="23:23" x14ac:dyDescent="0.55000000000000004">
      <c r="W34477"/>
    </row>
    <row r="34478" spans="23:23" x14ac:dyDescent="0.55000000000000004">
      <c r="W34478"/>
    </row>
    <row r="34479" spans="23:23" x14ac:dyDescent="0.55000000000000004">
      <c r="W34479"/>
    </row>
    <row r="34480" spans="23:23" x14ac:dyDescent="0.55000000000000004">
      <c r="W34480"/>
    </row>
    <row r="34481" spans="23:23" x14ac:dyDescent="0.55000000000000004">
      <c r="W34481"/>
    </row>
    <row r="34482" spans="23:23" x14ac:dyDescent="0.55000000000000004">
      <c r="W34482"/>
    </row>
    <row r="34483" spans="23:23" x14ac:dyDescent="0.55000000000000004">
      <c r="W34483"/>
    </row>
    <row r="34484" spans="23:23" x14ac:dyDescent="0.55000000000000004">
      <c r="W34484"/>
    </row>
    <row r="34485" spans="23:23" x14ac:dyDescent="0.55000000000000004">
      <c r="W34485"/>
    </row>
    <row r="34486" spans="23:23" x14ac:dyDescent="0.55000000000000004">
      <c r="W34486"/>
    </row>
    <row r="34487" spans="23:23" x14ac:dyDescent="0.55000000000000004">
      <c r="W34487"/>
    </row>
    <row r="34488" spans="23:23" x14ac:dyDescent="0.55000000000000004">
      <c r="W34488"/>
    </row>
    <row r="34489" spans="23:23" x14ac:dyDescent="0.55000000000000004">
      <c r="W34489"/>
    </row>
    <row r="34490" spans="23:23" x14ac:dyDescent="0.55000000000000004">
      <c r="W34490"/>
    </row>
    <row r="34491" spans="23:23" x14ac:dyDescent="0.55000000000000004">
      <c r="W34491"/>
    </row>
    <row r="34492" spans="23:23" x14ac:dyDescent="0.55000000000000004">
      <c r="W34492"/>
    </row>
    <row r="34493" spans="23:23" x14ac:dyDescent="0.55000000000000004">
      <c r="W34493"/>
    </row>
    <row r="34494" spans="23:23" x14ac:dyDescent="0.55000000000000004">
      <c r="W34494"/>
    </row>
    <row r="34495" spans="23:23" x14ac:dyDescent="0.55000000000000004">
      <c r="W34495"/>
    </row>
    <row r="34496" spans="23:23" x14ac:dyDescent="0.55000000000000004">
      <c r="W34496"/>
    </row>
    <row r="34497" spans="23:23" x14ac:dyDescent="0.55000000000000004">
      <c r="W34497"/>
    </row>
    <row r="34498" spans="23:23" x14ac:dyDescent="0.55000000000000004">
      <c r="W34498"/>
    </row>
    <row r="34499" spans="23:23" x14ac:dyDescent="0.55000000000000004">
      <c r="W34499"/>
    </row>
    <row r="34500" spans="23:23" x14ac:dyDescent="0.55000000000000004">
      <c r="W34500"/>
    </row>
    <row r="34501" spans="23:23" x14ac:dyDescent="0.55000000000000004">
      <c r="W34501"/>
    </row>
    <row r="34502" spans="23:23" x14ac:dyDescent="0.55000000000000004">
      <c r="W34502"/>
    </row>
    <row r="34503" spans="23:23" x14ac:dyDescent="0.55000000000000004">
      <c r="W34503"/>
    </row>
    <row r="34504" spans="23:23" x14ac:dyDescent="0.55000000000000004">
      <c r="W34504"/>
    </row>
    <row r="34505" spans="23:23" x14ac:dyDescent="0.55000000000000004">
      <c r="W34505"/>
    </row>
    <row r="34506" spans="23:23" x14ac:dyDescent="0.55000000000000004">
      <c r="W34506"/>
    </row>
    <row r="34507" spans="23:23" x14ac:dyDescent="0.55000000000000004">
      <c r="W34507"/>
    </row>
    <row r="34508" spans="23:23" x14ac:dyDescent="0.55000000000000004">
      <c r="W34508"/>
    </row>
    <row r="34509" spans="23:23" x14ac:dyDescent="0.55000000000000004">
      <c r="W34509"/>
    </row>
    <row r="34510" spans="23:23" x14ac:dyDescent="0.55000000000000004">
      <c r="W34510"/>
    </row>
    <row r="34511" spans="23:23" x14ac:dyDescent="0.55000000000000004">
      <c r="W34511"/>
    </row>
    <row r="34512" spans="23:23" x14ac:dyDescent="0.55000000000000004">
      <c r="W34512"/>
    </row>
    <row r="34513" spans="23:23" x14ac:dyDescent="0.55000000000000004">
      <c r="W34513"/>
    </row>
    <row r="34514" spans="23:23" x14ac:dyDescent="0.55000000000000004">
      <c r="W34514"/>
    </row>
    <row r="34515" spans="23:23" x14ac:dyDescent="0.55000000000000004">
      <c r="W34515"/>
    </row>
    <row r="34516" spans="23:23" x14ac:dyDescent="0.55000000000000004">
      <c r="W34516"/>
    </row>
    <row r="34517" spans="23:23" x14ac:dyDescent="0.55000000000000004">
      <c r="W34517"/>
    </row>
    <row r="34518" spans="23:23" x14ac:dyDescent="0.55000000000000004">
      <c r="W34518"/>
    </row>
    <row r="34519" spans="23:23" x14ac:dyDescent="0.55000000000000004">
      <c r="W34519"/>
    </row>
    <row r="34520" spans="23:23" x14ac:dyDescent="0.55000000000000004">
      <c r="W34520"/>
    </row>
    <row r="34521" spans="23:23" x14ac:dyDescent="0.55000000000000004">
      <c r="W34521"/>
    </row>
    <row r="34522" spans="23:23" x14ac:dyDescent="0.55000000000000004">
      <c r="W34522"/>
    </row>
    <row r="34523" spans="23:23" x14ac:dyDescent="0.55000000000000004">
      <c r="W34523"/>
    </row>
    <row r="34524" spans="23:23" x14ac:dyDescent="0.55000000000000004">
      <c r="W34524"/>
    </row>
    <row r="34525" spans="23:23" x14ac:dyDescent="0.55000000000000004">
      <c r="W34525"/>
    </row>
    <row r="34526" spans="23:23" x14ac:dyDescent="0.55000000000000004">
      <c r="W34526"/>
    </row>
    <row r="34527" spans="23:23" x14ac:dyDescent="0.55000000000000004">
      <c r="W34527"/>
    </row>
    <row r="34528" spans="23:23" x14ac:dyDescent="0.55000000000000004">
      <c r="W34528"/>
    </row>
    <row r="34529" spans="23:23" x14ac:dyDescent="0.55000000000000004">
      <c r="W34529"/>
    </row>
    <row r="34530" spans="23:23" x14ac:dyDescent="0.55000000000000004">
      <c r="W34530"/>
    </row>
    <row r="34531" spans="23:23" x14ac:dyDescent="0.55000000000000004">
      <c r="W34531"/>
    </row>
    <row r="34532" spans="23:23" x14ac:dyDescent="0.55000000000000004">
      <c r="W34532"/>
    </row>
    <row r="34533" spans="23:23" x14ac:dyDescent="0.55000000000000004">
      <c r="W34533"/>
    </row>
    <row r="34534" spans="23:23" x14ac:dyDescent="0.55000000000000004">
      <c r="W34534"/>
    </row>
    <row r="34535" spans="23:23" x14ac:dyDescent="0.55000000000000004">
      <c r="W34535"/>
    </row>
    <row r="34536" spans="23:23" x14ac:dyDescent="0.55000000000000004">
      <c r="W34536"/>
    </row>
    <row r="34537" spans="23:23" x14ac:dyDescent="0.55000000000000004">
      <c r="W34537"/>
    </row>
    <row r="34538" spans="23:23" x14ac:dyDescent="0.55000000000000004">
      <c r="W34538"/>
    </row>
    <row r="34539" spans="23:23" x14ac:dyDescent="0.55000000000000004">
      <c r="W34539"/>
    </row>
    <row r="34540" spans="23:23" x14ac:dyDescent="0.55000000000000004">
      <c r="W34540"/>
    </row>
    <row r="34541" spans="23:23" x14ac:dyDescent="0.55000000000000004">
      <c r="W34541"/>
    </row>
    <row r="34542" spans="23:23" x14ac:dyDescent="0.55000000000000004">
      <c r="W34542"/>
    </row>
    <row r="34543" spans="23:23" x14ac:dyDescent="0.55000000000000004">
      <c r="W34543"/>
    </row>
    <row r="34544" spans="23:23" x14ac:dyDescent="0.55000000000000004">
      <c r="W34544"/>
    </row>
    <row r="34545" spans="23:23" x14ac:dyDescent="0.55000000000000004">
      <c r="W34545"/>
    </row>
    <row r="34546" spans="23:23" x14ac:dyDescent="0.55000000000000004">
      <c r="W34546"/>
    </row>
    <row r="34547" spans="23:23" x14ac:dyDescent="0.55000000000000004">
      <c r="W34547"/>
    </row>
    <row r="34548" spans="23:23" x14ac:dyDescent="0.55000000000000004">
      <c r="W34548"/>
    </row>
    <row r="34549" spans="23:23" x14ac:dyDescent="0.55000000000000004">
      <c r="W34549"/>
    </row>
    <row r="34550" spans="23:23" x14ac:dyDescent="0.55000000000000004">
      <c r="W34550"/>
    </row>
    <row r="34551" spans="23:23" x14ac:dyDescent="0.55000000000000004">
      <c r="W34551"/>
    </row>
    <row r="34552" spans="23:23" x14ac:dyDescent="0.55000000000000004">
      <c r="W34552"/>
    </row>
    <row r="34553" spans="23:23" x14ac:dyDescent="0.55000000000000004">
      <c r="W34553"/>
    </row>
    <row r="34554" spans="23:23" x14ac:dyDescent="0.55000000000000004">
      <c r="W34554"/>
    </row>
    <row r="34555" spans="23:23" x14ac:dyDescent="0.55000000000000004">
      <c r="W34555"/>
    </row>
    <row r="34556" spans="23:23" x14ac:dyDescent="0.55000000000000004">
      <c r="W34556"/>
    </row>
    <row r="34557" spans="23:23" x14ac:dyDescent="0.55000000000000004">
      <c r="W34557"/>
    </row>
    <row r="34558" spans="23:23" x14ac:dyDescent="0.55000000000000004">
      <c r="W34558"/>
    </row>
    <row r="34559" spans="23:23" x14ac:dyDescent="0.55000000000000004">
      <c r="W34559"/>
    </row>
    <row r="34560" spans="23:23" x14ac:dyDescent="0.55000000000000004">
      <c r="W34560"/>
    </row>
    <row r="34561" spans="23:23" x14ac:dyDescent="0.55000000000000004">
      <c r="W34561"/>
    </row>
    <row r="34562" spans="23:23" x14ac:dyDescent="0.55000000000000004">
      <c r="W34562"/>
    </row>
    <row r="34563" spans="23:23" x14ac:dyDescent="0.55000000000000004">
      <c r="W34563"/>
    </row>
    <row r="34564" spans="23:23" x14ac:dyDescent="0.55000000000000004">
      <c r="W34564"/>
    </row>
    <row r="34565" spans="23:23" x14ac:dyDescent="0.55000000000000004">
      <c r="W34565"/>
    </row>
    <row r="34566" spans="23:23" x14ac:dyDescent="0.55000000000000004">
      <c r="W34566"/>
    </row>
    <row r="34567" spans="23:23" x14ac:dyDescent="0.55000000000000004">
      <c r="W34567"/>
    </row>
    <row r="34568" spans="23:23" x14ac:dyDescent="0.55000000000000004">
      <c r="W34568"/>
    </row>
    <row r="34569" spans="23:23" x14ac:dyDescent="0.55000000000000004">
      <c r="W34569"/>
    </row>
    <row r="34570" spans="23:23" x14ac:dyDescent="0.55000000000000004">
      <c r="W34570"/>
    </row>
    <row r="34571" spans="23:23" x14ac:dyDescent="0.55000000000000004">
      <c r="W34571"/>
    </row>
    <row r="34572" spans="23:23" x14ac:dyDescent="0.55000000000000004">
      <c r="W34572"/>
    </row>
    <row r="34573" spans="23:23" x14ac:dyDescent="0.55000000000000004">
      <c r="W34573"/>
    </row>
    <row r="34574" spans="23:23" x14ac:dyDescent="0.55000000000000004">
      <c r="W34574"/>
    </row>
    <row r="34575" spans="23:23" x14ac:dyDescent="0.55000000000000004">
      <c r="W34575"/>
    </row>
    <row r="34576" spans="23:23" x14ac:dyDescent="0.55000000000000004">
      <c r="W34576"/>
    </row>
    <row r="34577" spans="23:23" x14ac:dyDescent="0.55000000000000004">
      <c r="W34577"/>
    </row>
    <row r="34578" spans="23:23" x14ac:dyDescent="0.55000000000000004">
      <c r="W34578"/>
    </row>
    <row r="34579" spans="23:23" x14ac:dyDescent="0.55000000000000004">
      <c r="W34579"/>
    </row>
    <row r="34580" spans="23:23" x14ac:dyDescent="0.55000000000000004">
      <c r="W34580"/>
    </row>
    <row r="34581" spans="23:23" x14ac:dyDescent="0.55000000000000004">
      <c r="W34581"/>
    </row>
    <row r="34582" spans="23:23" x14ac:dyDescent="0.55000000000000004">
      <c r="W34582"/>
    </row>
    <row r="34583" spans="23:23" x14ac:dyDescent="0.55000000000000004">
      <c r="W34583"/>
    </row>
    <row r="34584" spans="23:23" x14ac:dyDescent="0.55000000000000004">
      <c r="W34584"/>
    </row>
    <row r="34585" spans="23:23" x14ac:dyDescent="0.55000000000000004">
      <c r="W34585"/>
    </row>
    <row r="34586" spans="23:23" x14ac:dyDescent="0.55000000000000004">
      <c r="W34586"/>
    </row>
    <row r="34587" spans="23:23" x14ac:dyDescent="0.55000000000000004">
      <c r="W34587"/>
    </row>
    <row r="34588" spans="23:23" x14ac:dyDescent="0.55000000000000004">
      <c r="W34588"/>
    </row>
    <row r="34589" spans="23:23" x14ac:dyDescent="0.55000000000000004">
      <c r="W34589"/>
    </row>
    <row r="34590" spans="23:23" x14ac:dyDescent="0.55000000000000004">
      <c r="W34590"/>
    </row>
    <row r="34591" spans="23:23" x14ac:dyDescent="0.55000000000000004">
      <c r="W34591"/>
    </row>
    <row r="34592" spans="23:23" x14ac:dyDescent="0.55000000000000004">
      <c r="W34592"/>
    </row>
    <row r="34593" spans="23:23" x14ac:dyDescent="0.55000000000000004">
      <c r="W34593"/>
    </row>
    <row r="34594" spans="23:23" x14ac:dyDescent="0.55000000000000004">
      <c r="W34594"/>
    </row>
    <row r="34595" spans="23:23" x14ac:dyDescent="0.55000000000000004">
      <c r="W34595"/>
    </row>
    <row r="34596" spans="23:23" x14ac:dyDescent="0.55000000000000004">
      <c r="W34596"/>
    </row>
    <row r="34597" spans="23:23" x14ac:dyDescent="0.55000000000000004">
      <c r="W34597"/>
    </row>
    <row r="34598" spans="23:23" x14ac:dyDescent="0.55000000000000004">
      <c r="W34598"/>
    </row>
    <row r="34599" spans="23:23" x14ac:dyDescent="0.55000000000000004">
      <c r="W34599"/>
    </row>
    <row r="34600" spans="23:23" x14ac:dyDescent="0.55000000000000004">
      <c r="W34600"/>
    </row>
    <row r="34601" spans="23:23" x14ac:dyDescent="0.55000000000000004">
      <c r="W34601"/>
    </row>
    <row r="34602" spans="23:23" x14ac:dyDescent="0.55000000000000004">
      <c r="W34602"/>
    </row>
    <row r="34603" spans="23:23" x14ac:dyDescent="0.55000000000000004">
      <c r="W34603"/>
    </row>
    <row r="34604" spans="23:23" x14ac:dyDescent="0.55000000000000004">
      <c r="W34604"/>
    </row>
    <row r="34605" spans="23:23" x14ac:dyDescent="0.55000000000000004">
      <c r="W34605"/>
    </row>
    <row r="34606" spans="23:23" x14ac:dyDescent="0.55000000000000004">
      <c r="W34606"/>
    </row>
    <row r="34607" spans="23:23" x14ac:dyDescent="0.55000000000000004">
      <c r="W34607"/>
    </row>
    <row r="34608" spans="23:23" x14ac:dyDescent="0.55000000000000004">
      <c r="W34608"/>
    </row>
    <row r="34609" spans="23:23" x14ac:dyDescent="0.55000000000000004">
      <c r="W34609"/>
    </row>
    <row r="34610" spans="23:23" x14ac:dyDescent="0.55000000000000004">
      <c r="W34610"/>
    </row>
    <row r="34611" spans="23:23" x14ac:dyDescent="0.55000000000000004">
      <c r="W34611"/>
    </row>
    <row r="34612" spans="23:23" x14ac:dyDescent="0.55000000000000004">
      <c r="W34612"/>
    </row>
    <row r="34613" spans="23:23" x14ac:dyDescent="0.55000000000000004">
      <c r="W34613"/>
    </row>
    <row r="34614" spans="23:23" x14ac:dyDescent="0.55000000000000004">
      <c r="W34614"/>
    </row>
    <row r="34615" spans="23:23" x14ac:dyDescent="0.55000000000000004">
      <c r="W34615"/>
    </row>
    <row r="34616" spans="23:23" x14ac:dyDescent="0.55000000000000004">
      <c r="W34616"/>
    </row>
    <row r="34617" spans="23:23" x14ac:dyDescent="0.55000000000000004">
      <c r="W34617"/>
    </row>
    <row r="34618" spans="23:23" x14ac:dyDescent="0.55000000000000004">
      <c r="W34618"/>
    </row>
    <row r="34619" spans="23:23" x14ac:dyDescent="0.55000000000000004">
      <c r="W34619"/>
    </row>
    <row r="34620" spans="23:23" x14ac:dyDescent="0.55000000000000004">
      <c r="W34620"/>
    </row>
    <row r="34621" spans="23:23" x14ac:dyDescent="0.55000000000000004">
      <c r="W34621"/>
    </row>
    <row r="34622" spans="23:23" x14ac:dyDescent="0.55000000000000004">
      <c r="W34622"/>
    </row>
    <row r="34623" spans="23:23" x14ac:dyDescent="0.55000000000000004">
      <c r="W34623"/>
    </row>
    <row r="34624" spans="23:23" x14ac:dyDescent="0.55000000000000004">
      <c r="W34624"/>
    </row>
    <row r="34625" spans="23:23" x14ac:dyDescent="0.55000000000000004">
      <c r="W34625"/>
    </row>
    <row r="34626" spans="23:23" x14ac:dyDescent="0.55000000000000004">
      <c r="W34626"/>
    </row>
    <row r="34627" spans="23:23" x14ac:dyDescent="0.55000000000000004">
      <c r="W34627"/>
    </row>
    <row r="34628" spans="23:23" x14ac:dyDescent="0.55000000000000004">
      <c r="W34628"/>
    </row>
    <row r="34629" spans="23:23" x14ac:dyDescent="0.55000000000000004">
      <c r="W34629"/>
    </row>
    <row r="34630" spans="23:23" x14ac:dyDescent="0.55000000000000004">
      <c r="W34630"/>
    </row>
    <row r="34631" spans="23:23" x14ac:dyDescent="0.55000000000000004">
      <c r="W34631"/>
    </row>
    <row r="34632" spans="23:23" x14ac:dyDescent="0.55000000000000004">
      <c r="W34632"/>
    </row>
    <row r="34633" spans="23:23" x14ac:dyDescent="0.55000000000000004">
      <c r="W34633"/>
    </row>
    <row r="34634" spans="23:23" x14ac:dyDescent="0.55000000000000004">
      <c r="W34634"/>
    </row>
    <row r="34635" spans="23:23" x14ac:dyDescent="0.55000000000000004">
      <c r="W34635"/>
    </row>
    <row r="34636" spans="23:23" x14ac:dyDescent="0.55000000000000004">
      <c r="W34636"/>
    </row>
    <row r="34637" spans="23:23" x14ac:dyDescent="0.55000000000000004">
      <c r="W34637"/>
    </row>
    <row r="34638" spans="23:23" x14ac:dyDescent="0.55000000000000004">
      <c r="W34638"/>
    </row>
    <row r="34639" spans="23:23" x14ac:dyDescent="0.55000000000000004">
      <c r="W34639"/>
    </row>
    <row r="34640" spans="23:23" x14ac:dyDescent="0.55000000000000004">
      <c r="W34640"/>
    </row>
    <row r="34641" spans="23:23" x14ac:dyDescent="0.55000000000000004">
      <c r="W34641"/>
    </row>
    <row r="34642" spans="23:23" x14ac:dyDescent="0.55000000000000004">
      <c r="W34642"/>
    </row>
    <row r="34643" spans="23:23" x14ac:dyDescent="0.55000000000000004">
      <c r="W34643"/>
    </row>
    <row r="34644" spans="23:23" x14ac:dyDescent="0.55000000000000004">
      <c r="W34644"/>
    </row>
    <row r="34645" spans="23:23" x14ac:dyDescent="0.55000000000000004">
      <c r="W34645"/>
    </row>
    <row r="34646" spans="23:23" x14ac:dyDescent="0.55000000000000004">
      <c r="W34646"/>
    </row>
    <row r="34647" spans="23:23" x14ac:dyDescent="0.55000000000000004">
      <c r="W34647"/>
    </row>
    <row r="34648" spans="23:23" x14ac:dyDescent="0.55000000000000004">
      <c r="W34648"/>
    </row>
    <row r="34649" spans="23:23" x14ac:dyDescent="0.55000000000000004">
      <c r="W34649"/>
    </row>
    <row r="34650" spans="23:23" x14ac:dyDescent="0.55000000000000004">
      <c r="W34650"/>
    </row>
    <row r="34651" spans="23:23" x14ac:dyDescent="0.55000000000000004">
      <c r="W34651"/>
    </row>
    <row r="34652" spans="23:23" x14ac:dyDescent="0.55000000000000004">
      <c r="W34652"/>
    </row>
    <row r="34653" spans="23:23" x14ac:dyDescent="0.55000000000000004">
      <c r="W34653"/>
    </row>
    <row r="34654" spans="23:23" x14ac:dyDescent="0.55000000000000004">
      <c r="W34654"/>
    </row>
    <row r="34655" spans="23:23" x14ac:dyDescent="0.55000000000000004">
      <c r="W34655"/>
    </row>
    <row r="34656" spans="23:23" x14ac:dyDescent="0.55000000000000004">
      <c r="W34656"/>
    </row>
    <row r="34657" spans="23:23" x14ac:dyDescent="0.55000000000000004">
      <c r="W34657"/>
    </row>
    <row r="34658" spans="23:23" x14ac:dyDescent="0.55000000000000004">
      <c r="W34658"/>
    </row>
    <row r="34659" spans="23:23" x14ac:dyDescent="0.55000000000000004">
      <c r="W34659"/>
    </row>
    <row r="34660" spans="23:23" x14ac:dyDescent="0.55000000000000004">
      <c r="W34660"/>
    </row>
    <row r="34661" spans="23:23" x14ac:dyDescent="0.55000000000000004">
      <c r="W34661"/>
    </row>
    <row r="34662" spans="23:23" x14ac:dyDescent="0.55000000000000004">
      <c r="W34662"/>
    </row>
    <row r="34663" spans="23:23" x14ac:dyDescent="0.55000000000000004">
      <c r="W34663"/>
    </row>
    <row r="34664" spans="23:23" x14ac:dyDescent="0.55000000000000004">
      <c r="W34664"/>
    </row>
    <row r="34665" spans="23:23" x14ac:dyDescent="0.55000000000000004">
      <c r="W34665"/>
    </row>
    <row r="34666" spans="23:23" x14ac:dyDescent="0.55000000000000004">
      <c r="W34666"/>
    </row>
    <row r="34667" spans="23:23" x14ac:dyDescent="0.55000000000000004">
      <c r="W34667"/>
    </row>
    <row r="34668" spans="23:23" x14ac:dyDescent="0.55000000000000004">
      <c r="W34668"/>
    </row>
    <row r="34669" spans="23:23" x14ac:dyDescent="0.55000000000000004">
      <c r="W34669"/>
    </row>
    <row r="34670" spans="23:23" x14ac:dyDescent="0.55000000000000004">
      <c r="W34670"/>
    </row>
    <row r="34671" spans="23:23" x14ac:dyDescent="0.55000000000000004">
      <c r="W34671"/>
    </row>
    <row r="34672" spans="23:23" x14ac:dyDescent="0.55000000000000004">
      <c r="W34672"/>
    </row>
    <row r="34673" spans="23:23" x14ac:dyDescent="0.55000000000000004">
      <c r="W34673"/>
    </row>
    <row r="34674" spans="23:23" x14ac:dyDescent="0.55000000000000004">
      <c r="W34674"/>
    </row>
    <row r="34675" spans="23:23" x14ac:dyDescent="0.55000000000000004">
      <c r="W34675"/>
    </row>
    <row r="34676" spans="23:23" x14ac:dyDescent="0.55000000000000004">
      <c r="W34676"/>
    </row>
    <row r="34677" spans="23:23" x14ac:dyDescent="0.55000000000000004">
      <c r="W34677"/>
    </row>
    <row r="34678" spans="23:23" x14ac:dyDescent="0.55000000000000004">
      <c r="W34678"/>
    </row>
    <row r="34679" spans="23:23" x14ac:dyDescent="0.55000000000000004">
      <c r="W34679"/>
    </row>
    <row r="34680" spans="23:23" x14ac:dyDescent="0.55000000000000004">
      <c r="W34680"/>
    </row>
    <row r="34681" spans="23:23" x14ac:dyDescent="0.55000000000000004">
      <c r="W34681"/>
    </row>
    <row r="34682" spans="23:23" x14ac:dyDescent="0.55000000000000004">
      <c r="W34682"/>
    </row>
    <row r="34683" spans="23:23" x14ac:dyDescent="0.55000000000000004">
      <c r="W34683"/>
    </row>
    <row r="34684" spans="23:23" x14ac:dyDescent="0.55000000000000004">
      <c r="W34684"/>
    </row>
    <row r="34685" spans="23:23" x14ac:dyDescent="0.55000000000000004">
      <c r="W34685"/>
    </row>
    <row r="34686" spans="23:23" x14ac:dyDescent="0.55000000000000004">
      <c r="W34686"/>
    </row>
    <row r="34687" spans="23:23" x14ac:dyDescent="0.55000000000000004">
      <c r="W34687"/>
    </row>
    <row r="34688" spans="23:23" x14ac:dyDescent="0.55000000000000004">
      <c r="W34688"/>
    </row>
    <row r="34689" spans="23:23" x14ac:dyDescent="0.55000000000000004">
      <c r="W34689"/>
    </row>
    <row r="34690" spans="23:23" x14ac:dyDescent="0.55000000000000004">
      <c r="W34690"/>
    </row>
    <row r="34691" spans="23:23" x14ac:dyDescent="0.55000000000000004">
      <c r="W34691"/>
    </row>
    <row r="34692" spans="23:23" x14ac:dyDescent="0.55000000000000004">
      <c r="W34692"/>
    </row>
    <row r="34693" spans="23:23" x14ac:dyDescent="0.55000000000000004">
      <c r="W34693"/>
    </row>
    <row r="34694" spans="23:23" x14ac:dyDescent="0.55000000000000004">
      <c r="W34694"/>
    </row>
    <row r="34695" spans="23:23" x14ac:dyDescent="0.55000000000000004">
      <c r="W34695"/>
    </row>
    <row r="34696" spans="23:23" x14ac:dyDescent="0.55000000000000004">
      <c r="W34696"/>
    </row>
    <row r="34697" spans="23:23" x14ac:dyDescent="0.55000000000000004">
      <c r="W34697"/>
    </row>
    <row r="34698" spans="23:23" x14ac:dyDescent="0.55000000000000004">
      <c r="W34698"/>
    </row>
    <row r="34699" spans="23:23" x14ac:dyDescent="0.55000000000000004">
      <c r="W34699"/>
    </row>
    <row r="34700" spans="23:23" x14ac:dyDescent="0.55000000000000004">
      <c r="W34700"/>
    </row>
    <row r="34701" spans="23:23" x14ac:dyDescent="0.55000000000000004">
      <c r="W34701"/>
    </row>
    <row r="34702" spans="23:23" x14ac:dyDescent="0.55000000000000004">
      <c r="W34702"/>
    </row>
    <row r="34703" spans="23:23" x14ac:dyDescent="0.55000000000000004">
      <c r="W34703"/>
    </row>
    <row r="34704" spans="23:23" x14ac:dyDescent="0.55000000000000004">
      <c r="W34704"/>
    </row>
    <row r="34705" spans="23:23" x14ac:dyDescent="0.55000000000000004">
      <c r="W34705"/>
    </row>
    <row r="34706" spans="23:23" x14ac:dyDescent="0.55000000000000004">
      <c r="W34706"/>
    </row>
    <row r="34707" spans="23:23" x14ac:dyDescent="0.55000000000000004">
      <c r="W34707"/>
    </row>
    <row r="34708" spans="23:23" x14ac:dyDescent="0.55000000000000004">
      <c r="W34708"/>
    </row>
    <row r="34709" spans="23:23" x14ac:dyDescent="0.55000000000000004">
      <c r="W34709"/>
    </row>
    <row r="34710" spans="23:23" x14ac:dyDescent="0.55000000000000004">
      <c r="W34710"/>
    </row>
    <row r="34711" spans="23:23" x14ac:dyDescent="0.55000000000000004">
      <c r="W34711"/>
    </row>
    <row r="34712" spans="23:23" x14ac:dyDescent="0.55000000000000004">
      <c r="W34712"/>
    </row>
    <row r="34713" spans="23:23" x14ac:dyDescent="0.55000000000000004">
      <c r="W34713"/>
    </row>
    <row r="34714" spans="23:23" x14ac:dyDescent="0.55000000000000004">
      <c r="W34714"/>
    </row>
    <row r="34715" spans="23:23" x14ac:dyDescent="0.55000000000000004">
      <c r="W34715"/>
    </row>
    <row r="34716" spans="23:23" x14ac:dyDescent="0.55000000000000004">
      <c r="W34716"/>
    </row>
    <row r="34717" spans="23:23" x14ac:dyDescent="0.55000000000000004">
      <c r="W34717"/>
    </row>
    <row r="34718" spans="23:23" x14ac:dyDescent="0.55000000000000004">
      <c r="W34718"/>
    </row>
    <row r="34719" spans="23:23" x14ac:dyDescent="0.55000000000000004">
      <c r="W34719"/>
    </row>
    <row r="34720" spans="23:23" x14ac:dyDescent="0.55000000000000004">
      <c r="W34720"/>
    </row>
    <row r="34721" spans="23:23" x14ac:dyDescent="0.55000000000000004">
      <c r="W34721"/>
    </row>
    <row r="34722" spans="23:23" x14ac:dyDescent="0.55000000000000004">
      <c r="W34722"/>
    </row>
    <row r="34723" spans="23:23" x14ac:dyDescent="0.55000000000000004">
      <c r="W34723"/>
    </row>
    <row r="34724" spans="23:23" x14ac:dyDescent="0.55000000000000004">
      <c r="W34724"/>
    </row>
    <row r="34725" spans="23:23" x14ac:dyDescent="0.55000000000000004">
      <c r="W34725"/>
    </row>
    <row r="34726" spans="23:23" x14ac:dyDescent="0.55000000000000004">
      <c r="W34726"/>
    </row>
    <row r="34727" spans="23:23" x14ac:dyDescent="0.55000000000000004">
      <c r="W34727"/>
    </row>
    <row r="34728" spans="23:23" x14ac:dyDescent="0.55000000000000004">
      <c r="W34728"/>
    </row>
    <row r="34729" spans="23:23" x14ac:dyDescent="0.55000000000000004">
      <c r="W34729"/>
    </row>
    <row r="34730" spans="23:23" x14ac:dyDescent="0.55000000000000004">
      <c r="W34730"/>
    </row>
    <row r="34731" spans="23:23" x14ac:dyDescent="0.55000000000000004">
      <c r="W34731"/>
    </row>
    <row r="34732" spans="23:23" x14ac:dyDescent="0.55000000000000004">
      <c r="W34732"/>
    </row>
    <row r="34733" spans="23:23" x14ac:dyDescent="0.55000000000000004">
      <c r="W34733"/>
    </row>
    <row r="34734" spans="23:23" x14ac:dyDescent="0.55000000000000004">
      <c r="W34734"/>
    </row>
    <row r="34735" spans="23:23" x14ac:dyDescent="0.55000000000000004">
      <c r="W34735"/>
    </row>
    <row r="34736" spans="23:23" x14ac:dyDescent="0.55000000000000004">
      <c r="W34736"/>
    </row>
    <row r="34737" spans="23:23" x14ac:dyDescent="0.55000000000000004">
      <c r="W34737"/>
    </row>
    <row r="34738" spans="23:23" x14ac:dyDescent="0.55000000000000004">
      <c r="W34738"/>
    </row>
    <row r="34739" spans="23:23" x14ac:dyDescent="0.55000000000000004">
      <c r="W34739"/>
    </row>
    <row r="34740" spans="23:23" x14ac:dyDescent="0.55000000000000004">
      <c r="W34740"/>
    </row>
    <row r="34741" spans="23:23" x14ac:dyDescent="0.55000000000000004">
      <c r="W34741"/>
    </row>
    <row r="34742" spans="23:23" x14ac:dyDescent="0.55000000000000004">
      <c r="W34742"/>
    </row>
    <row r="34743" spans="23:23" x14ac:dyDescent="0.55000000000000004">
      <c r="W34743"/>
    </row>
    <row r="34744" spans="23:23" x14ac:dyDescent="0.55000000000000004">
      <c r="W34744"/>
    </row>
    <row r="34745" spans="23:23" x14ac:dyDescent="0.55000000000000004">
      <c r="W34745"/>
    </row>
    <row r="34746" spans="23:23" x14ac:dyDescent="0.55000000000000004">
      <c r="W34746"/>
    </row>
    <row r="34747" spans="23:23" x14ac:dyDescent="0.55000000000000004">
      <c r="W34747"/>
    </row>
    <row r="34748" spans="23:23" x14ac:dyDescent="0.55000000000000004">
      <c r="W34748"/>
    </row>
    <row r="34749" spans="23:23" x14ac:dyDescent="0.55000000000000004">
      <c r="W34749"/>
    </row>
    <row r="34750" spans="23:23" x14ac:dyDescent="0.55000000000000004">
      <c r="W34750"/>
    </row>
    <row r="34751" spans="23:23" x14ac:dyDescent="0.55000000000000004">
      <c r="W34751"/>
    </row>
    <row r="34752" spans="23:23" x14ac:dyDescent="0.55000000000000004">
      <c r="W34752"/>
    </row>
    <row r="34753" spans="23:23" x14ac:dyDescent="0.55000000000000004">
      <c r="W34753"/>
    </row>
    <row r="34754" spans="23:23" x14ac:dyDescent="0.55000000000000004">
      <c r="W34754"/>
    </row>
    <row r="34755" spans="23:23" x14ac:dyDescent="0.55000000000000004">
      <c r="W34755"/>
    </row>
    <row r="34756" spans="23:23" x14ac:dyDescent="0.55000000000000004">
      <c r="W34756"/>
    </row>
    <row r="34757" spans="23:23" x14ac:dyDescent="0.55000000000000004">
      <c r="W34757"/>
    </row>
    <row r="34758" spans="23:23" x14ac:dyDescent="0.55000000000000004">
      <c r="W34758"/>
    </row>
    <row r="34759" spans="23:23" x14ac:dyDescent="0.55000000000000004">
      <c r="W34759"/>
    </row>
    <row r="34760" spans="23:23" x14ac:dyDescent="0.55000000000000004">
      <c r="W34760"/>
    </row>
    <row r="34761" spans="23:23" x14ac:dyDescent="0.55000000000000004">
      <c r="W34761"/>
    </row>
    <row r="34762" spans="23:23" x14ac:dyDescent="0.55000000000000004">
      <c r="W34762"/>
    </row>
    <row r="34763" spans="23:23" x14ac:dyDescent="0.55000000000000004">
      <c r="W34763"/>
    </row>
    <row r="34764" spans="23:23" x14ac:dyDescent="0.55000000000000004">
      <c r="W34764"/>
    </row>
    <row r="34765" spans="23:23" x14ac:dyDescent="0.55000000000000004">
      <c r="W34765"/>
    </row>
    <row r="34766" spans="23:23" x14ac:dyDescent="0.55000000000000004">
      <c r="W34766"/>
    </row>
    <row r="34767" spans="23:23" x14ac:dyDescent="0.55000000000000004">
      <c r="W34767"/>
    </row>
    <row r="34768" spans="23:23" x14ac:dyDescent="0.55000000000000004">
      <c r="W34768"/>
    </row>
    <row r="34769" spans="23:23" x14ac:dyDescent="0.55000000000000004">
      <c r="W34769"/>
    </row>
    <row r="34770" spans="23:23" x14ac:dyDescent="0.55000000000000004">
      <c r="W34770"/>
    </row>
    <row r="34771" spans="23:23" x14ac:dyDescent="0.55000000000000004">
      <c r="W34771"/>
    </row>
    <row r="34772" spans="23:23" x14ac:dyDescent="0.55000000000000004">
      <c r="W34772"/>
    </row>
    <row r="34773" spans="23:23" x14ac:dyDescent="0.55000000000000004">
      <c r="W34773"/>
    </row>
    <row r="34774" spans="23:23" x14ac:dyDescent="0.55000000000000004">
      <c r="W34774"/>
    </row>
    <row r="34775" spans="23:23" x14ac:dyDescent="0.55000000000000004">
      <c r="W34775"/>
    </row>
    <row r="34776" spans="23:23" x14ac:dyDescent="0.55000000000000004">
      <c r="W34776"/>
    </row>
    <row r="34777" spans="23:23" x14ac:dyDescent="0.55000000000000004">
      <c r="W34777"/>
    </row>
    <row r="34778" spans="23:23" x14ac:dyDescent="0.55000000000000004">
      <c r="W34778"/>
    </row>
    <row r="34779" spans="23:23" x14ac:dyDescent="0.55000000000000004">
      <c r="W34779"/>
    </row>
    <row r="34780" spans="23:23" x14ac:dyDescent="0.55000000000000004">
      <c r="W34780"/>
    </row>
    <row r="34781" spans="23:23" x14ac:dyDescent="0.55000000000000004">
      <c r="W34781"/>
    </row>
    <row r="34782" spans="23:23" x14ac:dyDescent="0.55000000000000004">
      <c r="W34782"/>
    </row>
    <row r="34783" spans="23:23" x14ac:dyDescent="0.55000000000000004">
      <c r="W34783"/>
    </row>
    <row r="34784" spans="23:23" x14ac:dyDescent="0.55000000000000004">
      <c r="W34784"/>
    </row>
    <row r="34785" spans="23:23" x14ac:dyDescent="0.55000000000000004">
      <c r="W34785"/>
    </row>
    <row r="34786" spans="23:23" x14ac:dyDescent="0.55000000000000004">
      <c r="W34786"/>
    </row>
    <row r="34787" spans="23:23" x14ac:dyDescent="0.55000000000000004">
      <c r="W34787"/>
    </row>
    <row r="34788" spans="23:23" x14ac:dyDescent="0.55000000000000004">
      <c r="W34788"/>
    </row>
    <row r="34789" spans="23:23" x14ac:dyDescent="0.55000000000000004">
      <c r="W34789"/>
    </row>
    <row r="34790" spans="23:23" x14ac:dyDescent="0.55000000000000004">
      <c r="W34790"/>
    </row>
    <row r="34791" spans="23:23" x14ac:dyDescent="0.55000000000000004">
      <c r="W34791"/>
    </row>
    <row r="34792" spans="23:23" x14ac:dyDescent="0.55000000000000004">
      <c r="W34792"/>
    </row>
    <row r="34793" spans="23:23" x14ac:dyDescent="0.55000000000000004">
      <c r="W34793"/>
    </row>
    <row r="34794" spans="23:23" x14ac:dyDescent="0.55000000000000004">
      <c r="W34794"/>
    </row>
    <row r="34795" spans="23:23" x14ac:dyDescent="0.55000000000000004">
      <c r="W34795"/>
    </row>
    <row r="34796" spans="23:23" x14ac:dyDescent="0.55000000000000004">
      <c r="W34796"/>
    </row>
    <row r="34797" spans="23:23" x14ac:dyDescent="0.55000000000000004">
      <c r="W34797"/>
    </row>
    <row r="34798" spans="23:23" x14ac:dyDescent="0.55000000000000004">
      <c r="W34798"/>
    </row>
    <row r="34799" spans="23:23" x14ac:dyDescent="0.55000000000000004">
      <c r="W34799"/>
    </row>
    <row r="34800" spans="23:23" x14ac:dyDescent="0.55000000000000004">
      <c r="W34800"/>
    </row>
    <row r="34801" spans="23:23" x14ac:dyDescent="0.55000000000000004">
      <c r="W34801"/>
    </row>
    <row r="34802" spans="23:23" x14ac:dyDescent="0.55000000000000004">
      <c r="W34802"/>
    </row>
    <row r="34803" spans="23:23" x14ac:dyDescent="0.55000000000000004">
      <c r="W34803"/>
    </row>
    <row r="34804" spans="23:23" x14ac:dyDescent="0.55000000000000004">
      <c r="W34804"/>
    </row>
    <row r="34805" spans="23:23" x14ac:dyDescent="0.55000000000000004">
      <c r="W34805"/>
    </row>
    <row r="34806" spans="23:23" x14ac:dyDescent="0.55000000000000004">
      <c r="W34806"/>
    </row>
    <row r="34807" spans="23:23" x14ac:dyDescent="0.55000000000000004">
      <c r="W34807"/>
    </row>
    <row r="34808" spans="23:23" x14ac:dyDescent="0.55000000000000004">
      <c r="W34808"/>
    </row>
    <row r="34809" spans="23:23" x14ac:dyDescent="0.55000000000000004">
      <c r="W34809"/>
    </row>
    <row r="34810" spans="23:23" x14ac:dyDescent="0.55000000000000004">
      <c r="W34810"/>
    </row>
    <row r="34811" spans="23:23" x14ac:dyDescent="0.55000000000000004">
      <c r="W34811"/>
    </row>
    <row r="34812" spans="23:23" x14ac:dyDescent="0.55000000000000004">
      <c r="W34812"/>
    </row>
    <row r="34813" spans="23:23" x14ac:dyDescent="0.55000000000000004">
      <c r="W34813"/>
    </row>
    <row r="34814" spans="23:23" x14ac:dyDescent="0.55000000000000004">
      <c r="W34814"/>
    </row>
    <row r="34815" spans="23:23" x14ac:dyDescent="0.55000000000000004">
      <c r="W34815"/>
    </row>
    <row r="34816" spans="23:23" x14ac:dyDescent="0.55000000000000004">
      <c r="W34816"/>
    </row>
    <row r="34817" spans="23:23" x14ac:dyDescent="0.55000000000000004">
      <c r="W34817"/>
    </row>
    <row r="34818" spans="23:23" x14ac:dyDescent="0.55000000000000004">
      <c r="W34818"/>
    </row>
    <row r="34819" spans="23:23" x14ac:dyDescent="0.55000000000000004">
      <c r="W34819"/>
    </row>
    <row r="34820" spans="23:23" x14ac:dyDescent="0.55000000000000004">
      <c r="W34820"/>
    </row>
    <row r="34821" spans="23:23" x14ac:dyDescent="0.55000000000000004">
      <c r="W34821"/>
    </row>
    <row r="34822" spans="23:23" x14ac:dyDescent="0.55000000000000004">
      <c r="W34822"/>
    </row>
    <row r="34823" spans="23:23" x14ac:dyDescent="0.55000000000000004">
      <c r="W34823"/>
    </row>
    <row r="34824" spans="23:23" x14ac:dyDescent="0.55000000000000004">
      <c r="W34824"/>
    </row>
    <row r="34825" spans="23:23" x14ac:dyDescent="0.55000000000000004">
      <c r="W34825"/>
    </row>
    <row r="34826" spans="23:23" x14ac:dyDescent="0.55000000000000004">
      <c r="W34826"/>
    </row>
    <row r="34827" spans="23:23" x14ac:dyDescent="0.55000000000000004">
      <c r="W34827"/>
    </row>
    <row r="34828" spans="23:23" x14ac:dyDescent="0.55000000000000004">
      <c r="W34828"/>
    </row>
    <row r="34829" spans="23:23" x14ac:dyDescent="0.55000000000000004">
      <c r="W34829"/>
    </row>
    <row r="34830" spans="23:23" x14ac:dyDescent="0.55000000000000004">
      <c r="W34830"/>
    </row>
    <row r="34831" spans="23:23" x14ac:dyDescent="0.55000000000000004">
      <c r="W34831"/>
    </row>
    <row r="34832" spans="23:23" x14ac:dyDescent="0.55000000000000004">
      <c r="W34832"/>
    </row>
    <row r="34833" spans="23:23" x14ac:dyDescent="0.55000000000000004">
      <c r="W34833"/>
    </row>
    <row r="34834" spans="23:23" x14ac:dyDescent="0.55000000000000004">
      <c r="W34834"/>
    </row>
    <row r="34835" spans="23:23" x14ac:dyDescent="0.55000000000000004">
      <c r="W34835"/>
    </row>
    <row r="34836" spans="23:23" x14ac:dyDescent="0.55000000000000004">
      <c r="W34836"/>
    </row>
    <row r="34837" spans="23:23" x14ac:dyDescent="0.55000000000000004">
      <c r="W34837"/>
    </row>
    <row r="34838" spans="23:23" x14ac:dyDescent="0.55000000000000004">
      <c r="W34838"/>
    </row>
    <row r="34839" spans="23:23" x14ac:dyDescent="0.55000000000000004">
      <c r="W34839"/>
    </row>
    <row r="34840" spans="23:23" x14ac:dyDescent="0.55000000000000004">
      <c r="W34840"/>
    </row>
    <row r="34841" spans="23:23" x14ac:dyDescent="0.55000000000000004">
      <c r="W34841"/>
    </row>
    <row r="34842" spans="23:23" x14ac:dyDescent="0.55000000000000004">
      <c r="W34842"/>
    </row>
    <row r="34843" spans="23:23" x14ac:dyDescent="0.55000000000000004">
      <c r="W34843"/>
    </row>
    <row r="34844" spans="23:23" x14ac:dyDescent="0.55000000000000004">
      <c r="W34844"/>
    </row>
    <row r="34845" spans="23:23" x14ac:dyDescent="0.55000000000000004">
      <c r="W34845"/>
    </row>
    <row r="34846" spans="23:23" x14ac:dyDescent="0.55000000000000004">
      <c r="W34846"/>
    </row>
    <row r="34847" spans="23:23" x14ac:dyDescent="0.55000000000000004">
      <c r="W34847"/>
    </row>
    <row r="34848" spans="23:23" x14ac:dyDescent="0.55000000000000004">
      <c r="W34848"/>
    </row>
    <row r="34849" spans="23:23" x14ac:dyDescent="0.55000000000000004">
      <c r="W34849"/>
    </row>
    <row r="34850" spans="23:23" x14ac:dyDescent="0.55000000000000004">
      <c r="W34850"/>
    </row>
    <row r="34851" spans="23:23" x14ac:dyDescent="0.55000000000000004">
      <c r="W34851"/>
    </row>
    <row r="34852" spans="23:23" x14ac:dyDescent="0.55000000000000004">
      <c r="W34852"/>
    </row>
    <row r="34853" spans="23:23" x14ac:dyDescent="0.55000000000000004">
      <c r="W34853"/>
    </row>
    <row r="34854" spans="23:23" x14ac:dyDescent="0.55000000000000004">
      <c r="W34854"/>
    </row>
    <row r="34855" spans="23:23" x14ac:dyDescent="0.55000000000000004">
      <c r="W34855"/>
    </row>
    <row r="34856" spans="23:23" x14ac:dyDescent="0.55000000000000004">
      <c r="W34856"/>
    </row>
    <row r="34857" spans="23:23" x14ac:dyDescent="0.55000000000000004">
      <c r="W34857"/>
    </row>
    <row r="34858" spans="23:23" x14ac:dyDescent="0.55000000000000004">
      <c r="W34858"/>
    </row>
    <row r="34859" spans="23:23" x14ac:dyDescent="0.55000000000000004">
      <c r="W34859"/>
    </row>
    <row r="34860" spans="23:23" x14ac:dyDescent="0.55000000000000004">
      <c r="W34860"/>
    </row>
    <row r="34861" spans="23:23" x14ac:dyDescent="0.55000000000000004">
      <c r="W34861"/>
    </row>
    <row r="34862" spans="23:23" x14ac:dyDescent="0.55000000000000004">
      <c r="W34862"/>
    </row>
    <row r="34863" spans="23:23" x14ac:dyDescent="0.55000000000000004">
      <c r="W34863"/>
    </row>
    <row r="34864" spans="23:23" x14ac:dyDescent="0.55000000000000004">
      <c r="W34864"/>
    </row>
    <row r="34865" spans="23:23" x14ac:dyDescent="0.55000000000000004">
      <c r="W34865"/>
    </row>
    <row r="34866" spans="23:23" x14ac:dyDescent="0.55000000000000004">
      <c r="W34866"/>
    </row>
    <row r="34867" spans="23:23" x14ac:dyDescent="0.55000000000000004">
      <c r="W34867"/>
    </row>
    <row r="34868" spans="23:23" x14ac:dyDescent="0.55000000000000004">
      <c r="W34868"/>
    </row>
    <row r="34869" spans="23:23" x14ac:dyDescent="0.55000000000000004">
      <c r="W34869"/>
    </row>
    <row r="34870" spans="23:23" x14ac:dyDescent="0.55000000000000004">
      <c r="W34870"/>
    </row>
    <row r="34871" spans="23:23" x14ac:dyDescent="0.55000000000000004">
      <c r="W34871"/>
    </row>
    <row r="34872" spans="23:23" x14ac:dyDescent="0.55000000000000004">
      <c r="W34872"/>
    </row>
    <row r="34873" spans="23:23" x14ac:dyDescent="0.55000000000000004">
      <c r="W34873"/>
    </row>
    <row r="34874" spans="23:23" x14ac:dyDescent="0.55000000000000004">
      <c r="W34874"/>
    </row>
    <row r="34875" spans="23:23" x14ac:dyDescent="0.55000000000000004">
      <c r="W34875"/>
    </row>
    <row r="34876" spans="23:23" x14ac:dyDescent="0.55000000000000004">
      <c r="W34876"/>
    </row>
    <row r="34877" spans="23:23" x14ac:dyDescent="0.55000000000000004">
      <c r="W34877"/>
    </row>
    <row r="34878" spans="23:23" x14ac:dyDescent="0.55000000000000004">
      <c r="W34878"/>
    </row>
    <row r="34879" spans="23:23" x14ac:dyDescent="0.55000000000000004">
      <c r="W34879"/>
    </row>
    <row r="34880" spans="23:23" x14ac:dyDescent="0.55000000000000004">
      <c r="W34880"/>
    </row>
    <row r="34881" spans="23:23" x14ac:dyDescent="0.55000000000000004">
      <c r="W34881"/>
    </row>
    <row r="34882" spans="23:23" x14ac:dyDescent="0.55000000000000004">
      <c r="W34882"/>
    </row>
    <row r="34883" spans="23:23" x14ac:dyDescent="0.55000000000000004">
      <c r="W34883"/>
    </row>
    <row r="34884" spans="23:23" x14ac:dyDescent="0.55000000000000004">
      <c r="W34884"/>
    </row>
    <row r="34885" spans="23:23" x14ac:dyDescent="0.55000000000000004">
      <c r="W34885"/>
    </row>
    <row r="34886" spans="23:23" x14ac:dyDescent="0.55000000000000004">
      <c r="W34886"/>
    </row>
    <row r="34887" spans="23:23" x14ac:dyDescent="0.55000000000000004">
      <c r="W34887"/>
    </row>
    <row r="34888" spans="23:23" x14ac:dyDescent="0.55000000000000004">
      <c r="W34888"/>
    </row>
    <row r="34889" spans="23:23" x14ac:dyDescent="0.55000000000000004">
      <c r="W34889"/>
    </row>
    <row r="34890" spans="23:23" x14ac:dyDescent="0.55000000000000004">
      <c r="W34890"/>
    </row>
    <row r="34891" spans="23:23" x14ac:dyDescent="0.55000000000000004">
      <c r="W34891"/>
    </row>
    <row r="34892" spans="23:23" x14ac:dyDescent="0.55000000000000004">
      <c r="W34892"/>
    </row>
    <row r="34893" spans="23:23" x14ac:dyDescent="0.55000000000000004">
      <c r="W34893"/>
    </row>
    <row r="34894" spans="23:23" x14ac:dyDescent="0.55000000000000004">
      <c r="W34894"/>
    </row>
    <row r="34895" spans="23:23" x14ac:dyDescent="0.55000000000000004">
      <c r="W34895"/>
    </row>
    <row r="34896" spans="23:23" x14ac:dyDescent="0.55000000000000004">
      <c r="W34896"/>
    </row>
    <row r="34897" spans="23:23" x14ac:dyDescent="0.55000000000000004">
      <c r="W34897"/>
    </row>
    <row r="34898" spans="23:23" x14ac:dyDescent="0.55000000000000004">
      <c r="W34898"/>
    </row>
    <row r="34899" spans="23:23" x14ac:dyDescent="0.55000000000000004">
      <c r="W34899"/>
    </row>
    <row r="34900" spans="23:23" x14ac:dyDescent="0.55000000000000004">
      <c r="W34900"/>
    </row>
    <row r="34901" spans="23:23" x14ac:dyDescent="0.55000000000000004">
      <c r="W34901"/>
    </row>
    <row r="34902" spans="23:23" x14ac:dyDescent="0.55000000000000004">
      <c r="W34902"/>
    </row>
    <row r="34903" spans="23:23" x14ac:dyDescent="0.55000000000000004">
      <c r="W34903"/>
    </row>
    <row r="34904" spans="23:23" x14ac:dyDescent="0.55000000000000004">
      <c r="W34904"/>
    </row>
    <row r="34905" spans="23:23" x14ac:dyDescent="0.55000000000000004">
      <c r="W34905"/>
    </row>
    <row r="34906" spans="23:23" x14ac:dyDescent="0.55000000000000004">
      <c r="W34906"/>
    </row>
    <row r="34907" spans="23:23" x14ac:dyDescent="0.55000000000000004">
      <c r="W34907"/>
    </row>
    <row r="34908" spans="23:23" x14ac:dyDescent="0.55000000000000004">
      <c r="W34908"/>
    </row>
    <row r="34909" spans="23:23" x14ac:dyDescent="0.55000000000000004">
      <c r="W34909"/>
    </row>
    <row r="34910" spans="23:23" x14ac:dyDescent="0.55000000000000004">
      <c r="W34910"/>
    </row>
    <row r="34911" spans="23:23" x14ac:dyDescent="0.55000000000000004">
      <c r="W34911"/>
    </row>
    <row r="34912" spans="23:23" x14ac:dyDescent="0.55000000000000004">
      <c r="W34912"/>
    </row>
    <row r="34913" spans="23:23" x14ac:dyDescent="0.55000000000000004">
      <c r="W34913"/>
    </row>
    <row r="34914" spans="23:23" x14ac:dyDescent="0.55000000000000004">
      <c r="W34914"/>
    </row>
    <row r="34915" spans="23:23" x14ac:dyDescent="0.55000000000000004">
      <c r="W34915"/>
    </row>
    <row r="34916" spans="23:23" x14ac:dyDescent="0.55000000000000004">
      <c r="W34916"/>
    </row>
    <row r="34917" spans="23:23" x14ac:dyDescent="0.55000000000000004">
      <c r="W34917"/>
    </row>
    <row r="34918" spans="23:23" x14ac:dyDescent="0.55000000000000004">
      <c r="W34918"/>
    </row>
    <row r="34919" spans="23:23" x14ac:dyDescent="0.55000000000000004">
      <c r="W34919"/>
    </row>
    <row r="34920" spans="23:23" x14ac:dyDescent="0.55000000000000004">
      <c r="W34920"/>
    </row>
    <row r="34921" spans="23:23" x14ac:dyDescent="0.55000000000000004">
      <c r="W34921"/>
    </row>
    <row r="34922" spans="23:23" x14ac:dyDescent="0.55000000000000004">
      <c r="W34922"/>
    </row>
    <row r="34923" spans="23:23" x14ac:dyDescent="0.55000000000000004">
      <c r="W34923"/>
    </row>
    <row r="34924" spans="23:23" x14ac:dyDescent="0.55000000000000004">
      <c r="W34924"/>
    </row>
    <row r="34925" spans="23:23" x14ac:dyDescent="0.55000000000000004">
      <c r="W34925"/>
    </row>
    <row r="34926" spans="23:23" x14ac:dyDescent="0.55000000000000004">
      <c r="W34926"/>
    </row>
    <row r="34927" spans="23:23" x14ac:dyDescent="0.55000000000000004">
      <c r="W34927"/>
    </row>
    <row r="34928" spans="23:23" x14ac:dyDescent="0.55000000000000004">
      <c r="W34928"/>
    </row>
    <row r="34929" spans="23:23" x14ac:dyDescent="0.55000000000000004">
      <c r="W34929"/>
    </row>
    <row r="34930" spans="23:23" x14ac:dyDescent="0.55000000000000004">
      <c r="W34930"/>
    </row>
    <row r="34931" spans="23:23" x14ac:dyDescent="0.55000000000000004">
      <c r="W34931"/>
    </row>
    <row r="34932" spans="23:23" x14ac:dyDescent="0.55000000000000004">
      <c r="W34932"/>
    </row>
    <row r="34933" spans="23:23" x14ac:dyDescent="0.55000000000000004">
      <c r="W34933"/>
    </row>
    <row r="34934" spans="23:23" x14ac:dyDescent="0.55000000000000004">
      <c r="W34934"/>
    </row>
    <row r="34935" spans="23:23" x14ac:dyDescent="0.55000000000000004">
      <c r="W34935"/>
    </row>
    <row r="34936" spans="23:23" x14ac:dyDescent="0.55000000000000004">
      <c r="W34936"/>
    </row>
    <row r="34937" spans="23:23" x14ac:dyDescent="0.55000000000000004">
      <c r="W34937"/>
    </row>
    <row r="34938" spans="23:23" x14ac:dyDescent="0.55000000000000004">
      <c r="W34938"/>
    </row>
    <row r="34939" spans="23:23" x14ac:dyDescent="0.55000000000000004">
      <c r="W34939"/>
    </row>
    <row r="34940" spans="23:23" x14ac:dyDescent="0.55000000000000004">
      <c r="W34940"/>
    </row>
    <row r="34941" spans="23:23" x14ac:dyDescent="0.55000000000000004">
      <c r="W34941"/>
    </row>
    <row r="34942" spans="23:23" x14ac:dyDescent="0.55000000000000004">
      <c r="W34942"/>
    </row>
    <row r="34943" spans="23:23" x14ac:dyDescent="0.55000000000000004">
      <c r="W34943"/>
    </row>
    <row r="34944" spans="23:23" x14ac:dyDescent="0.55000000000000004">
      <c r="W34944"/>
    </row>
    <row r="34945" spans="23:23" x14ac:dyDescent="0.55000000000000004">
      <c r="W34945"/>
    </row>
    <row r="34946" spans="23:23" x14ac:dyDescent="0.55000000000000004">
      <c r="W34946"/>
    </row>
    <row r="34947" spans="23:23" x14ac:dyDescent="0.55000000000000004">
      <c r="W34947"/>
    </row>
    <row r="34948" spans="23:23" x14ac:dyDescent="0.55000000000000004">
      <c r="W34948"/>
    </row>
    <row r="34949" spans="23:23" x14ac:dyDescent="0.55000000000000004">
      <c r="W34949"/>
    </row>
    <row r="34950" spans="23:23" x14ac:dyDescent="0.55000000000000004">
      <c r="W34950"/>
    </row>
    <row r="34951" spans="23:23" x14ac:dyDescent="0.55000000000000004">
      <c r="W34951"/>
    </row>
    <row r="34952" spans="23:23" x14ac:dyDescent="0.55000000000000004">
      <c r="W34952"/>
    </row>
    <row r="34953" spans="23:23" x14ac:dyDescent="0.55000000000000004">
      <c r="W34953"/>
    </row>
    <row r="34954" spans="23:23" x14ac:dyDescent="0.55000000000000004">
      <c r="W34954"/>
    </row>
    <row r="34955" spans="23:23" x14ac:dyDescent="0.55000000000000004">
      <c r="W34955"/>
    </row>
    <row r="34956" spans="23:23" x14ac:dyDescent="0.55000000000000004">
      <c r="W34956"/>
    </row>
    <row r="34957" spans="23:23" x14ac:dyDescent="0.55000000000000004">
      <c r="W34957"/>
    </row>
    <row r="34958" spans="23:23" x14ac:dyDescent="0.55000000000000004">
      <c r="W34958"/>
    </row>
    <row r="34959" spans="23:23" x14ac:dyDescent="0.55000000000000004">
      <c r="W34959"/>
    </row>
    <row r="34960" spans="23:23" x14ac:dyDescent="0.55000000000000004">
      <c r="W34960"/>
    </row>
    <row r="34961" spans="23:23" x14ac:dyDescent="0.55000000000000004">
      <c r="W34961"/>
    </row>
    <row r="34962" spans="23:23" x14ac:dyDescent="0.55000000000000004">
      <c r="W34962"/>
    </row>
    <row r="34963" spans="23:23" x14ac:dyDescent="0.55000000000000004">
      <c r="W34963"/>
    </row>
    <row r="34964" spans="23:23" x14ac:dyDescent="0.55000000000000004">
      <c r="W34964"/>
    </row>
    <row r="34965" spans="23:23" x14ac:dyDescent="0.55000000000000004">
      <c r="W34965"/>
    </row>
    <row r="34966" spans="23:23" x14ac:dyDescent="0.55000000000000004">
      <c r="W34966"/>
    </row>
    <row r="34967" spans="23:23" x14ac:dyDescent="0.55000000000000004">
      <c r="W34967"/>
    </row>
    <row r="34968" spans="23:23" x14ac:dyDescent="0.55000000000000004">
      <c r="W34968"/>
    </row>
    <row r="34969" spans="23:23" x14ac:dyDescent="0.55000000000000004">
      <c r="W34969"/>
    </row>
    <row r="34970" spans="23:23" x14ac:dyDescent="0.55000000000000004">
      <c r="W34970"/>
    </row>
    <row r="34971" spans="23:23" x14ac:dyDescent="0.55000000000000004">
      <c r="W34971"/>
    </row>
    <row r="34972" spans="23:23" x14ac:dyDescent="0.55000000000000004">
      <c r="W34972"/>
    </row>
    <row r="34973" spans="23:23" x14ac:dyDescent="0.55000000000000004">
      <c r="W34973"/>
    </row>
    <row r="34974" spans="23:23" x14ac:dyDescent="0.55000000000000004">
      <c r="W34974"/>
    </row>
    <row r="34975" spans="23:23" x14ac:dyDescent="0.55000000000000004">
      <c r="W34975"/>
    </row>
    <row r="34976" spans="23:23" x14ac:dyDescent="0.55000000000000004">
      <c r="W34976"/>
    </row>
    <row r="34977" spans="23:23" x14ac:dyDescent="0.55000000000000004">
      <c r="W34977"/>
    </row>
    <row r="34978" spans="23:23" x14ac:dyDescent="0.55000000000000004">
      <c r="W34978"/>
    </row>
    <row r="34979" spans="23:23" x14ac:dyDescent="0.55000000000000004">
      <c r="W34979"/>
    </row>
    <row r="34980" spans="23:23" x14ac:dyDescent="0.55000000000000004">
      <c r="W34980"/>
    </row>
    <row r="34981" spans="23:23" x14ac:dyDescent="0.55000000000000004">
      <c r="W34981"/>
    </row>
    <row r="34982" spans="23:23" x14ac:dyDescent="0.55000000000000004">
      <c r="W34982"/>
    </row>
    <row r="34983" spans="23:23" x14ac:dyDescent="0.55000000000000004">
      <c r="W34983"/>
    </row>
    <row r="34984" spans="23:23" x14ac:dyDescent="0.55000000000000004">
      <c r="W34984"/>
    </row>
    <row r="34985" spans="23:23" x14ac:dyDescent="0.55000000000000004">
      <c r="W34985"/>
    </row>
    <row r="34986" spans="23:23" x14ac:dyDescent="0.55000000000000004">
      <c r="W34986"/>
    </row>
    <row r="34987" spans="23:23" x14ac:dyDescent="0.55000000000000004">
      <c r="W34987"/>
    </row>
    <row r="34988" spans="23:23" x14ac:dyDescent="0.55000000000000004">
      <c r="W34988"/>
    </row>
    <row r="34989" spans="23:23" x14ac:dyDescent="0.55000000000000004">
      <c r="W34989"/>
    </row>
    <row r="34990" spans="23:23" x14ac:dyDescent="0.55000000000000004">
      <c r="W34990"/>
    </row>
    <row r="34991" spans="23:23" x14ac:dyDescent="0.55000000000000004">
      <c r="W34991"/>
    </row>
    <row r="34992" spans="23:23" x14ac:dyDescent="0.55000000000000004">
      <c r="W34992"/>
    </row>
    <row r="34993" spans="23:23" x14ac:dyDescent="0.55000000000000004">
      <c r="W34993"/>
    </row>
    <row r="34994" spans="23:23" x14ac:dyDescent="0.55000000000000004">
      <c r="W34994"/>
    </row>
    <row r="34995" spans="23:23" x14ac:dyDescent="0.55000000000000004">
      <c r="W34995"/>
    </row>
    <row r="34996" spans="23:23" x14ac:dyDescent="0.55000000000000004">
      <c r="W34996"/>
    </row>
    <row r="34997" spans="23:23" x14ac:dyDescent="0.55000000000000004">
      <c r="W34997"/>
    </row>
    <row r="34998" spans="23:23" x14ac:dyDescent="0.55000000000000004">
      <c r="W34998"/>
    </row>
    <row r="34999" spans="23:23" x14ac:dyDescent="0.55000000000000004">
      <c r="W34999"/>
    </row>
    <row r="35000" spans="23:23" x14ac:dyDescent="0.55000000000000004">
      <c r="W35000"/>
    </row>
    <row r="35001" spans="23:23" x14ac:dyDescent="0.55000000000000004">
      <c r="W35001"/>
    </row>
    <row r="35002" spans="23:23" x14ac:dyDescent="0.55000000000000004">
      <c r="W35002"/>
    </row>
    <row r="35003" spans="23:23" x14ac:dyDescent="0.55000000000000004">
      <c r="W35003"/>
    </row>
    <row r="35004" spans="23:23" x14ac:dyDescent="0.55000000000000004">
      <c r="W35004"/>
    </row>
    <row r="35005" spans="23:23" x14ac:dyDescent="0.55000000000000004">
      <c r="W35005"/>
    </row>
    <row r="35006" spans="23:23" x14ac:dyDescent="0.55000000000000004">
      <c r="W35006"/>
    </row>
    <row r="35007" spans="23:23" x14ac:dyDescent="0.55000000000000004">
      <c r="W35007"/>
    </row>
    <row r="35008" spans="23:23" x14ac:dyDescent="0.55000000000000004">
      <c r="W35008"/>
    </row>
    <row r="35009" spans="23:23" x14ac:dyDescent="0.55000000000000004">
      <c r="W35009"/>
    </row>
    <row r="35010" spans="23:23" x14ac:dyDescent="0.55000000000000004">
      <c r="W35010"/>
    </row>
    <row r="35011" spans="23:23" x14ac:dyDescent="0.55000000000000004">
      <c r="W35011"/>
    </row>
    <row r="35012" spans="23:23" x14ac:dyDescent="0.55000000000000004">
      <c r="W35012"/>
    </row>
    <row r="35013" spans="23:23" x14ac:dyDescent="0.55000000000000004">
      <c r="W35013"/>
    </row>
    <row r="35014" spans="23:23" x14ac:dyDescent="0.55000000000000004">
      <c r="W35014"/>
    </row>
    <row r="35015" spans="23:23" x14ac:dyDescent="0.55000000000000004">
      <c r="W35015"/>
    </row>
    <row r="35016" spans="23:23" x14ac:dyDescent="0.55000000000000004">
      <c r="W35016"/>
    </row>
    <row r="35017" spans="23:23" x14ac:dyDescent="0.55000000000000004">
      <c r="W35017"/>
    </row>
    <row r="35018" spans="23:23" x14ac:dyDescent="0.55000000000000004">
      <c r="W35018"/>
    </row>
    <row r="35019" spans="23:23" x14ac:dyDescent="0.55000000000000004">
      <c r="W35019"/>
    </row>
    <row r="35020" spans="23:23" x14ac:dyDescent="0.55000000000000004">
      <c r="W35020"/>
    </row>
    <row r="35021" spans="23:23" x14ac:dyDescent="0.55000000000000004">
      <c r="W35021"/>
    </row>
    <row r="35022" spans="23:23" x14ac:dyDescent="0.55000000000000004">
      <c r="W35022"/>
    </row>
    <row r="35023" spans="23:23" x14ac:dyDescent="0.55000000000000004">
      <c r="W35023"/>
    </row>
    <row r="35024" spans="23:23" x14ac:dyDescent="0.55000000000000004">
      <c r="W35024"/>
    </row>
    <row r="35025" spans="23:23" x14ac:dyDescent="0.55000000000000004">
      <c r="W35025"/>
    </row>
    <row r="35026" spans="23:23" x14ac:dyDescent="0.55000000000000004">
      <c r="W35026"/>
    </row>
    <row r="35027" spans="23:23" x14ac:dyDescent="0.55000000000000004">
      <c r="W35027"/>
    </row>
    <row r="35028" spans="23:23" x14ac:dyDescent="0.55000000000000004">
      <c r="W35028"/>
    </row>
    <row r="35029" spans="23:23" x14ac:dyDescent="0.55000000000000004">
      <c r="W35029"/>
    </row>
    <row r="35030" spans="23:23" x14ac:dyDescent="0.55000000000000004">
      <c r="W35030"/>
    </row>
    <row r="35031" spans="23:23" x14ac:dyDescent="0.55000000000000004">
      <c r="W35031"/>
    </row>
    <row r="35032" spans="23:23" x14ac:dyDescent="0.55000000000000004">
      <c r="W35032"/>
    </row>
    <row r="35033" spans="23:23" x14ac:dyDescent="0.55000000000000004">
      <c r="W35033"/>
    </row>
    <row r="35034" spans="23:23" x14ac:dyDescent="0.55000000000000004">
      <c r="W35034"/>
    </row>
    <row r="35035" spans="23:23" x14ac:dyDescent="0.55000000000000004">
      <c r="W35035"/>
    </row>
    <row r="35036" spans="23:23" x14ac:dyDescent="0.55000000000000004">
      <c r="W35036"/>
    </row>
    <row r="35037" spans="23:23" x14ac:dyDescent="0.55000000000000004">
      <c r="W35037"/>
    </row>
    <row r="35038" spans="23:23" x14ac:dyDescent="0.55000000000000004">
      <c r="W35038"/>
    </row>
    <row r="35039" spans="23:23" x14ac:dyDescent="0.55000000000000004">
      <c r="W35039"/>
    </row>
    <row r="35040" spans="23:23" x14ac:dyDescent="0.55000000000000004">
      <c r="W35040"/>
    </row>
    <row r="35041" spans="23:23" x14ac:dyDescent="0.55000000000000004">
      <c r="W35041"/>
    </row>
    <row r="35042" spans="23:23" x14ac:dyDescent="0.55000000000000004">
      <c r="W35042"/>
    </row>
    <row r="35043" spans="23:23" x14ac:dyDescent="0.55000000000000004">
      <c r="W35043"/>
    </row>
    <row r="35044" spans="23:23" x14ac:dyDescent="0.55000000000000004">
      <c r="W35044"/>
    </row>
    <row r="35045" spans="23:23" x14ac:dyDescent="0.55000000000000004">
      <c r="W35045"/>
    </row>
    <row r="35046" spans="23:23" x14ac:dyDescent="0.55000000000000004">
      <c r="W35046"/>
    </row>
    <row r="35047" spans="23:23" x14ac:dyDescent="0.55000000000000004">
      <c r="W35047"/>
    </row>
    <row r="35048" spans="23:23" x14ac:dyDescent="0.55000000000000004">
      <c r="W35048"/>
    </row>
    <row r="35049" spans="23:23" x14ac:dyDescent="0.55000000000000004">
      <c r="W35049"/>
    </row>
    <row r="35050" spans="23:23" x14ac:dyDescent="0.55000000000000004">
      <c r="W35050"/>
    </row>
    <row r="35051" spans="23:23" x14ac:dyDescent="0.55000000000000004">
      <c r="W35051"/>
    </row>
    <row r="35052" spans="23:23" x14ac:dyDescent="0.55000000000000004">
      <c r="W35052"/>
    </row>
    <row r="35053" spans="23:23" x14ac:dyDescent="0.55000000000000004">
      <c r="W35053"/>
    </row>
    <row r="35054" spans="23:23" x14ac:dyDescent="0.55000000000000004">
      <c r="W35054"/>
    </row>
    <row r="35055" spans="23:23" x14ac:dyDescent="0.55000000000000004">
      <c r="W35055"/>
    </row>
    <row r="35056" spans="23:23" x14ac:dyDescent="0.55000000000000004">
      <c r="W35056"/>
    </row>
    <row r="35057" spans="23:23" x14ac:dyDescent="0.55000000000000004">
      <c r="W35057"/>
    </row>
    <row r="35058" spans="23:23" x14ac:dyDescent="0.55000000000000004">
      <c r="W35058"/>
    </row>
    <row r="35059" spans="23:23" x14ac:dyDescent="0.55000000000000004">
      <c r="W35059"/>
    </row>
    <row r="35060" spans="23:23" x14ac:dyDescent="0.55000000000000004">
      <c r="W35060"/>
    </row>
    <row r="35061" spans="23:23" x14ac:dyDescent="0.55000000000000004">
      <c r="W35061"/>
    </row>
    <row r="35062" spans="23:23" x14ac:dyDescent="0.55000000000000004">
      <c r="W35062"/>
    </row>
    <row r="35063" spans="23:23" x14ac:dyDescent="0.55000000000000004">
      <c r="W35063"/>
    </row>
    <row r="35064" spans="23:23" x14ac:dyDescent="0.55000000000000004">
      <c r="W35064"/>
    </row>
    <row r="35065" spans="23:23" x14ac:dyDescent="0.55000000000000004">
      <c r="W35065"/>
    </row>
    <row r="35066" spans="23:23" x14ac:dyDescent="0.55000000000000004">
      <c r="W35066"/>
    </row>
    <row r="35067" spans="23:23" x14ac:dyDescent="0.55000000000000004">
      <c r="W35067"/>
    </row>
    <row r="35068" spans="23:23" x14ac:dyDescent="0.55000000000000004">
      <c r="W35068"/>
    </row>
    <row r="35069" spans="23:23" x14ac:dyDescent="0.55000000000000004">
      <c r="W35069"/>
    </row>
    <row r="35070" spans="23:23" x14ac:dyDescent="0.55000000000000004">
      <c r="W35070"/>
    </row>
    <row r="35071" spans="23:23" x14ac:dyDescent="0.55000000000000004">
      <c r="W35071"/>
    </row>
    <row r="35072" spans="23:23" x14ac:dyDescent="0.55000000000000004">
      <c r="W35072"/>
    </row>
    <row r="35073" spans="23:23" x14ac:dyDescent="0.55000000000000004">
      <c r="W35073"/>
    </row>
    <row r="35074" spans="23:23" x14ac:dyDescent="0.55000000000000004">
      <c r="W35074"/>
    </row>
    <row r="35075" spans="23:23" x14ac:dyDescent="0.55000000000000004">
      <c r="W35075"/>
    </row>
    <row r="35076" spans="23:23" x14ac:dyDescent="0.55000000000000004">
      <c r="W35076"/>
    </row>
    <row r="35077" spans="23:23" x14ac:dyDescent="0.55000000000000004">
      <c r="W35077"/>
    </row>
    <row r="35078" spans="23:23" x14ac:dyDescent="0.55000000000000004">
      <c r="W35078"/>
    </row>
    <row r="35079" spans="23:23" x14ac:dyDescent="0.55000000000000004">
      <c r="W35079"/>
    </row>
    <row r="35080" spans="23:23" x14ac:dyDescent="0.55000000000000004">
      <c r="W35080"/>
    </row>
    <row r="35081" spans="23:23" x14ac:dyDescent="0.55000000000000004">
      <c r="W35081"/>
    </row>
    <row r="35082" spans="23:23" x14ac:dyDescent="0.55000000000000004">
      <c r="W35082"/>
    </row>
    <row r="35083" spans="23:23" x14ac:dyDescent="0.55000000000000004">
      <c r="W35083"/>
    </row>
    <row r="35084" spans="23:23" x14ac:dyDescent="0.55000000000000004">
      <c r="W35084"/>
    </row>
    <row r="35085" spans="23:23" x14ac:dyDescent="0.55000000000000004">
      <c r="W35085"/>
    </row>
    <row r="35086" spans="23:23" x14ac:dyDescent="0.55000000000000004">
      <c r="W35086"/>
    </row>
    <row r="35087" spans="23:23" x14ac:dyDescent="0.55000000000000004">
      <c r="W35087"/>
    </row>
    <row r="35088" spans="23:23" x14ac:dyDescent="0.55000000000000004">
      <c r="W35088"/>
    </row>
    <row r="35089" spans="23:23" x14ac:dyDescent="0.55000000000000004">
      <c r="W35089"/>
    </row>
    <row r="35090" spans="23:23" x14ac:dyDescent="0.55000000000000004">
      <c r="W35090"/>
    </row>
    <row r="35091" spans="23:23" x14ac:dyDescent="0.55000000000000004">
      <c r="W35091"/>
    </row>
    <row r="35092" spans="23:23" x14ac:dyDescent="0.55000000000000004">
      <c r="W35092"/>
    </row>
    <row r="35093" spans="23:23" x14ac:dyDescent="0.55000000000000004">
      <c r="W35093"/>
    </row>
    <row r="35094" spans="23:23" x14ac:dyDescent="0.55000000000000004">
      <c r="W35094"/>
    </row>
    <row r="35095" spans="23:23" x14ac:dyDescent="0.55000000000000004">
      <c r="W35095"/>
    </row>
    <row r="35096" spans="23:23" x14ac:dyDescent="0.55000000000000004">
      <c r="W35096"/>
    </row>
    <row r="35097" spans="23:23" x14ac:dyDescent="0.55000000000000004">
      <c r="W35097"/>
    </row>
    <row r="35098" spans="23:23" x14ac:dyDescent="0.55000000000000004">
      <c r="W35098"/>
    </row>
    <row r="35099" spans="23:23" x14ac:dyDescent="0.55000000000000004">
      <c r="W35099"/>
    </row>
    <row r="35100" spans="23:23" x14ac:dyDescent="0.55000000000000004">
      <c r="W35100"/>
    </row>
    <row r="35101" spans="23:23" x14ac:dyDescent="0.55000000000000004">
      <c r="W35101"/>
    </row>
    <row r="35102" spans="23:23" x14ac:dyDescent="0.55000000000000004">
      <c r="W35102"/>
    </row>
    <row r="35103" spans="23:23" x14ac:dyDescent="0.55000000000000004">
      <c r="W35103"/>
    </row>
    <row r="35104" spans="23:23" x14ac:dyDescent="0.55000000000000004">
      <c r="W35104"/>
    </row>
    <row r="35105" spans="23:23" x14ac:dyDescent="0.55000000000000004">
      <c r="W35105"/>
    </row>
    <row r="35106" spans="23:23" x14ac:dyDescent="0.55000000000000004">
      <c r="W35106"/>
    </row>
    <row r="35107" spans="23:23" x14ac:dyDescent="0.55000000000000004">
      <c r="W35107"/>
    </row>
    <row r="35108" spans="23:23" x14ac:dyDescent="0.55000000000000004">
      <c r="W35108"/>
    </row>
    <row r="35109" spans="23:23" x14ac:dyDescent="0.55000000000000004">
      <c r="W35109"/>
    </row>
    <row r="35110" spans="23:23" x14ac:dyDescent="0.55000000000000004">
      <c r="W35110"/>
    </row>
    <row r="35111" spans="23:23" x14ac:dyDescent="0.55000000000000004">
      <c r="W35111"/>
    </row>
    <row r="35112" spans="23:23" x14ac:dyDescent="0.55000000000000004">
      <c r="W35112"/>
    </row>
    <row r="35113" spans="23:23" x14ac:dyDescent="0.55000000000000004">
      <c r="W35113"/>
    </row>
    <row r="35114" spans="23:23" x14ac:dyDescent="0.55000000000000004">
      <c r="W35114"/>
    </row>
    <row r="35115" spans="23:23" x14ac:dyDescent="0.55000000000000004">
      <c r="W35115"/>
    </row>
    <row r="35116" spans="23:23" x14ac:dyDescent="0.55000000000000004">
      <c r="W35116"/>
    </row>
    <row r="35117" spans="23:23" x14ac:dyDescent="0.55000000000000004">
      <c r="W35117"/>
    </row>
    <row r="35118" spans="23:23" x14ac:dyDescent="0.55000000000000004">
      <c r="W35118"/>
    </row>
    <row r="35119" spans="23:23" x14ac:dyDescent="0.55000000000000004">
      <c r="W35119"/>
    </row>
    <row r="35120" spans="23:23" x14ac:dyDescent="0.55000000000000004">
      <c r="W35120"/>
    </row>
    <row r="35121" spans="23:23" x14ac:dyDescent="0.55000000000000004">
      <c r="W35121"/>
    </row>
    <row r="35122" spans="23:23" x14ac:dyDescent="0.55000000000000004">
      <c r="W35122"/>
    </row>
    <row r="35123" spans="23:23" x14ac:dyDescent="0.55000000000000004">
      <c r="W35123"/>
    </row>
    <row r="35124" spans="23:23" x14ac:dyDescent="0.55000000000000004">
      <c r="W35124"/>
    </row>
    <row r="35125" spans="23:23" x14ac:dyDescent="0.55000000000000004">
      <c r="W35125"/>
    </row>
    <row r="35126" spans="23:23" x14ac:dyDescent="0.55000000000000004">
      <c r="W35126"/>
    </row>
    <row r="35127" spans="23:23" x14ac:dyDescent="0.55000000000000004">
      <c r="W35127"/>
    </row>
    <row r="35128" spans="23:23" x14ac:dyDescent="0.55000000000000004">
      <c r="W35128"/>
    </row>
    <row r="35129" spans="23:23" x14ac:dyDescent="0.55000000000000004">
      <c r="W35129"/>
    </row>
    <row r="35130" spans="23:23" x14ac:dyDescent="0.55000000000000004">
      <c r="W35130"/>
    </row>
    <row r="35131" spans="23:23" x14ac:dyDescent="0.55000000000000004">
      <c r="W35131"/>
    </row>
    <row r="35132" spans="23:23" x14ac:dyDescent="0.55000000000000004">
      <c r="W35132"/>
    </row>
    <row r="35133" spans="23:23" x14ac:dyDescent="0.55000000000000004">
      <c r="W35133"/>
    </row>
    <row r="35134" spans="23:23" x14ac:dyDescent="0.55000000000000004">
      <c r="W35134"/>
    </row>
    <row r="35135" spans="23:23" x14ac:dyDescent="0.55000000000000004">
      <c r="W35135"/>
    </row>
    <row r="35136" spans="23:23" x14ac:dyDescent="0.55000000000000004">
      <c r="W35136"/>
    </row>
    <row r="35137" spans="23:23" x14ac:dyDescent="0.55000000000000004">
      <c r="W35137"/>
    </row>
    <row r="35138" spans="23:23" x14ac:dyDescent="0.55000000000000004">
      <c r="W35138"/>
    </row>
    <row r="35139" spans="23:23" x14ac:dyDescent="0.55000000000000004">
      <c r="W35139"/>
    </row>
    <row r="35140" spans="23:23" x14ac:dyDescent="0.55000000000000004">
      <c r="W35140"/>
    </row>
    <row r="35141" spans="23:23" x14ac:dyDescent="0.55000000000000004">
      <c r="W35141"/>
    </row>
    <row r="35142" spans="23:23" x14ac:dyDescent="0.55000000000000004">
      <c r="W35142"/>
    </row>
    <row r="35143" spans="23:23" x14ac:dyDescent="0.55000000000000004">
      <c r="W35143"/>
    </row>
    <row r="35144" spans="23:23" x14ac:dyDescent="0.55000000000000004">
      <c r="W35144"/>
    </row>
    <row r="35145" spans="23:23" x14ac:dyDescent="0.55000000000000004">
      <c r="W35145"/>
    </row>
    <row r="35146" spans="23:23" x14ac:dyDescent="0.55000000000000004">
      <c r="W35146"/>
    </row>
    <row r="35147" spans="23:23" x14ac:dyDescent="0.55000000000000004">
      <c r="W35147"/>
    </row>
    <row r="35148" spans="23:23" x14ac:dyDescent="0.55000000000000004">
      <c r="W35148"/>
    </row>
    <row r="35149" spans="23:23" x14ac:dyDescent="0.55000000000000004">
      <c r="W35149"/>
    </row>
    <row r="35150" spans="23:23" x14ac:dyDescent="0.55000000000000004">
      <c r="W35150"/>
    </row>
    <row r="35151" spans="23:23" x14ac:dyDescent="0.55000000000000004">
      <c r="W35151"/>
    </row>
    <row r="35152" spans="23:23" x14ac:dyDescent="0.55000000000000004">
      <c r="W35152"/>
    </row>
    <row r="35153" spans="23:23" x14ac:dyDescent="0.55000000000000004">
      <c r="W35153"/>
    </row>
    <row r="35154" spans="23:23" x14ac:dyDescent="0.55000000000000004">
      <c r="W35154"/>
    </row>
    <row r="35155" spans="23:23" x14ac:dyDescent="0.55000000000000004">
      <c r="W35155"/>
    </row>
    <row r="35156" spans="23:23" x14ac:dyDescent="0.55000000000000004">
      <c r="W35156"/>
    </row>
    <row r="35157" spans="23:23" x14ac:dyDescent="0.55000000000000004">
      <c r="W35157"/>
    </row>
    <row r="35158" spans="23:23" x14ac:dyDescent="0.55000000000000004">
      <c r="W35158"/>
    </row>
    <row r="35159" spans="23:23" x14ac:dyDescent="0.55000000000000004">
      <c r="W35159"/>
    </row>
    <row r="35160" spans="23:23" x14ac:dyDescent="0.55000000000000004">
      <c r="W35160"/>
    </row>
    <row r="35161" spans="23:23" x14ac:dyDescent="0.55000000000000004">
      <c r="W35161"/>
    </row>
    <row r="35162" spans="23:23" x14ac:dyDescent="0.55000000000000004">
      <c r="W35162"/>
    </row>
    <row r="35163" spans="23:23" x14ac:dyDescent="0.55000000000000004">
      <c r="W35163"/>
    </row>
    <row r="35164" spans="23:23" x14ac:dyDescent="0.55000000000000004">
      <c r="W35164"/>
    </row>
    <row r="35165" spans="23:23" x14ac:dyDescent="0.55000000000000004">
      <c r="W35165"/>
    </row>
    <row r="35166" spans="23:23" x14ac:dyDescent="0.55000000000000004">
      <c r="W35166"/>
    </row>
    <row r="35167" spans="23:23" x14ac:dyDescent="0.55000000000000004">
      <c r="W35167"/>
    </row>
    <row r="35168" spans="23:23" x14ac:dyDescent="0.55000000000000004">
      <c r="W35168"/>
    </row>
    <row r="35169" spans="23:23" x14ac:dyDescent="0.55000000000000004">
      <c r="W35169"/>
    </row>
    <row r="35170" spans="23:23" x14ac:dyDescent="0.55000000000000004">
      <c r="W35170"/>
    </row>
    <row r="35171" spans="23:23" x14ac:dyDescent="0.55000000000000004">
      <c r="W35171"/>
    </row>
    <row r="35172" spans="23:23" x14ac:dyDescent="0.55000000000000004">
      <c r="W35172"/>
    </row>
    <row r="35173" spans="23:23" x14ac:dyDescent="0.55000000000000004">
      <c r="W35173"/>
    </row>
    <row r="35174" spans="23:23" x14ac:dyDescent="0.55000000000000004">
      <c r="W35174"/>
    </row>
    <row r="35175" spans="23:23" x14ac:dyDescent="0.55000000000000004">
      <c r="W35175"/>
    </row>
    <row r="35176" spans="23:23" x14ac:dyDescent="0.55000000000000004">
      <c r="W35176"/>
    </row>
    <row r="35177" spans="23:23" x14ac:dyDescent="0.55000000000000004">
      <c r="W35177"/>
    </row>
    <row r="35178" spans="23:23" x14ac:dyDescent="0.55000000000000004">
      <c r="W35178"/>
    </row>
    <row r="35179" spans="23:23" x14ac:dyDescent="0.55000000000000004">
      <c r="W35179"/>
    </row>
    <row r="35180" spans="23:23" x14ac:dyDescent="0.55000000000000004">
      <c r="W35180"/>
    </row>
    <row r="35181" spans="23:23" x14ac:dyDescent="0.55000000000000004">
      <c r="W35181"/>
    </row>
    <row r="35182" spans="23:23" x14ac:dyDescent="0.55000000000000004">
      <c r="W35182"/>
    </row>
    <row r="35183" spans="23:23" x14ac:dyDescent="0.55000000000000004">
      <c r="W35183"/>
    </row>
    <row r="35184" spans="23:23" x14ac:dyDescent="0.55000000000000004">
      <c r="W35184"/>
    </row>
    <row r="35185" spans="23:23" x14ac:dyDescent="0.55000000000000004">
      <c r="W35185"/>
    </row>
    <row r="35186" spans="23:23" x14ac:dyDescent="0.55000000000000004">
      <c r="W35186"/>
    </row>
    <row r="35187" spans="23:23" x14ac:dyDescent="0.55000000000000004">
      <c r="W35187"/>
    </row>
    <row r="35188" spans="23:23" x14ac:dyDescent="0.55000000000000004">
      <c r="W35188"/>
    </row>
    <row r="35189" spans="23:23" x14ac:dyDescent="0.55000000000000004">
      <c r="W35189"/>
    </row>
    <row r="35190" spans="23:23" x14ac:dyDescent="0.55000000000000004">
      <c r="W35190"/>
    </row>
    <row r="35191" spans="23:23" x14ac:dyDescent="0.55000000000000004">
      <c r="W35191"/>
    </row>
    <row r="35192" spans="23:23" x14ac:dyDescent="0.55000000000000004">
      <c r="W35192"/>
    </row>
    <row r="35193" spans="23:23" x14ac:dyDescent="0.55000000000000004">
      <c r="W35193"/>
    </row>
    <row r="35194" spans="23:23" x14ac:dyDescent="0.55000000000000004">
      <c r="W35194"/>
    </row>
    <row r="35195" spans="23:23" x14ac:dyDescent="0.55000000000000004">
      <c r="W35195"/>
    </row>
    <row r="35196" spans="23:23" x14ac:dyDescent="0.55000000000000004">
      <c r="W35196"/>
    </row>
    <row r="35197" spans="23:23" x14ac:dyDescent="0.55000000000000004">
      <c r="W35197"/>
    </row>
    <row r="35198" spans="23:23" x14ac:dyDescent="0.55000000000000004">
      <c r="W35198"/>
    </row>
    <row r="35199" spans="23:23" x14ac:dyDescent="0.55000000000000004">
      <c r="W35199"/>
    </row>
    <row r="35200" spans="23:23" x14ac:dyDescent="0.55000000000000004">
      <c r="W35200"/>
    </row>
    <row r="35201" spans="23:23" x14ac:dyDescent="0.55000000000000004">
      <c r="W35201"/>
    </row>
    <row r="35202" spans="23:23" x14ac:dyDescent="0.55000000000000004">
      <c r="W35202"/>
    </row>
    <row r="35203" spans="23:23" x14ac:dyDescent="0.55000000000000004">
      <c r="W35203"/>
    </row>
    <row r="35204" spans="23:23" x14ac:dyDescent="0.55000000000000004">
      <c r="W35204"/>
    </row>
    <row r="35205" spans="23:23" x14ac:dyDescent="0.55000000000000004">
      <c r="W35205"/>
    </row>
    <row r="35206" spans="23:23" x14ac:dyDescent="0.55000000000000004">
      <c r="W35206"/>
    </row>
    <row r="35207" spans="23:23" x14ac:dyDescent="0.55000000000000004">
      <c r="W35207"/>
    </row>
    <row r="35208" spans="23:23" x14ac:dyDescent="0.55000000000000004">
      <c r="W35208"/>
    </row>
    <row r="35209" spans="23:23" x14ac:dyDescent="0.55000000000000004">
      <c r="W35209"/>
    </row>
    <row r="35210" spans="23:23" x14ac:dyDescent="0.55000000000000004">
      <c r="W35210"/>
    </row>
    <row r="35211" spans="23:23" x14ac:dyDescent="0.55000000000000004">
      <c r="W35211"/>
    </row>
    <row r="35212" spans="23:23" x14ac:dyDescent="0.55000000000000004">
      <c r="W35212"/>
    </row>
    <row r="35213" spans="23:23" x14ac:dyDescent="0.55000000000000004">
      <c r="W35213"/>
    </row>
    <row r="35214" spans="23:23" x14ac:dyDescent="0.55000000000000004">
      <c r="W35214"/>
    </row>
    <row r="35215" spans="23:23" x14ac:dyDescent="0.55000000000000004">
      <c r="W35215"/>
    </row>
    <row r="35216" spans="23:23" x14ac:dyDescent="0.55000000000000004">
      <c r="W35216"/>
    </row>
    <row r="35217" spans="23:23" x14ac:dyDescent="0.55000000000000004">
      <c r="W35217"/>
    </row>
    <row r="35218" spans="23:23" x14ac:dyDescent="0.55000000000000004">
      <c r="W35218"/>
    </row>
    <row r="35219" spans="23:23" x14ac:dyDescent="0.55000000000000004">
      <c r="W35219"/>
    </row>
    <row r="35220" spans="23:23" x14ac:dyDescent="0.55000000000000004">
      <c r="W35220"/>
    </row>
    <row r="35221" spans="23:23" x14ac:dyDescent="0.55000000000000004">
      <c r="W35221"/>
    </row>
    <row r="35222" spans="23:23" x14ac:dyDescent="0.55000000000000004">
      <c r="W35222"/>
    </row>
    <row r="35223" spans="23:23" x14ac:dyDescent="0.55000000000000004">
      <c r="W35223"/>
    </row>
    <row r="35224" spans="23:23" x14ac:dyDescent="0.55000000000000004">
      <c r="W35224"/>
    </row>
    <row r="35225" spans="23:23" x14ac:dyDescent="0.55000000000000004">
      <c r="W35225"/>
    </row>
    <row r="35226" spans="23:23" x14ac:dyDescent="0.55000000000000004">
      <c r="W35226"/>
    </row>
    <row r="35227" spans="23:23" x14ac:dyDescent="0.55000000000000004">
      <c r="W35227"/>
    </row>
    <row r="35228" spans="23:23" x14ac:dyDescent="0.55000000000000004">
      <c r="W35228"/>
    </row>
    <row r="35229" spans="23:23" x14ac:dyDescent="0.55000000000000004">
      <c r="W35229"/>
    </row>
    <row r="35230" spans="23:23" x14ac:dyDescent="0.55000000000000004">
      <c r="W35230"/>
    </row>
    <row r="35231" spans="23:23" x14ac:dyDescent="0.55000000000000004">
      <c r="W35231"/>
    </row>
    <row r="35232" spans="23:23" x14ac:dyDescent="0.55000000000000004">
      <c r="W35232"/>
    </row>
    <row r="35233" spans="23:23" x14ac:dyDescent="0.55000000000000004">
      <c r="W35233"/>
    </row>
    <row r="35234" spans="23:23" x14ac:dyDescent="0.55000000000000004">
      <c r="W35234"/>
    </row>
    <row r="35235" spans="23:23" x14ac:dyDescent="0.55000000000000004">
      <c r="W35235"/>
    </row>
    <row r="35236" spans="23:23" x14ac:dyDescent="0.55000000000000004">
      <c r="W35236"/>
    </row>
    <row r="35237" spans="23:23" x14ac:dyDescent="0.55000000000000004">
      <c r="W35237"/>
    </row>
    <row r="35238" spans="23:23" x14ac:dyDescent="0.55000000000000004">
      <c r="W35238"/>
    </row>
    <row r="35239" spans="23:23" x14ac:dyDescent="0.55000000000000004">
      <c r="W35239"/>
    </row>
    <row r="35240" spans="23:23" x14ac:dyDescent="0.55000000000000004">
      <c r="W35240"/>
    </row>
    <row r="35241" spans="23:23" x14ac:dyDescent="0.55000000000000004">
      <c r="W35241"/>
    </row>
    <row r="35242" spans="23:23" x14ac:dyDescent="0.55000000000000004">
      <c r="W35242"/>
    </row>
    <row r="35243" spans="23:23" x14ac:dyDescent="0.55000000000000004">
      <c r="W35243"/>
    </row>
    <row r="35244" spans="23:23" x14ac:dyDescent="0.55000000000000004">
      <c r="W35244"/>
    </row>
    <row r="35245" spans="23:23" x14ac:dyDescent="0.55000000000000004">
      <c r="W35245"/>
    </row>
    <row r="35246" spans="23:23" x14ac:dyDescent="0.55000000000000004">
      <c r="W35246"/>
    </row>
    <row r="35247" spans="23:23" x14ac:dyDescent="0.55000000000000004">
      <c r="W35247"/>
    </row>
    <row r="35248" spans="23:23" x14ac:dyDescent="0.55000000000000004">
      <c r="W35248"/>
    </row>
    <row r="35249" spans="23:23" x14ac:dyDescent="0.55000000000000004">
      <c r="W35249"/>
    </row>
    <row r="35250" spans="23:23" x14ac:dyDescent="0.55000000000000004">
      <c r="W35250"/>
    </row>
    <row r="35251" spans="23:23" x14ac:dyDescent="0.55000000000000004">
      <c r="W35251"/>
    </row>
    <row r="35252" spans="23:23" x14ac:dyDescent="0.55000000000000004">
      <c r="W35252"/>
    </row>
    <row r="35253" spans="23:23" x14ac:dyDescent="0.55000000000000004">
      <c r="W35253"/>
    </row>
    <row r="35254" spans="23:23" x14ac:dyDescent="0.55000000000000004">
      <c r="W35254"/>
    </row>
    <row r="35255" spans="23:23" x14ac:dyDescent="0.55000000000000004">
      <c r="W35255"/>
    </row>
    <row r="35256" spans="23:23" x14ac:dyDescent="0.55000000000000004">
      <c r="W35256"/>
    </row>
    <row r="35257" spans="23:23" x14ac:dyDescent="0.55000000000000004">
      <c r="W35257"/>
    </row>
    <row r="35258" spans="23:23" x14ac:dyDescent="0.55000000000000004">
      <c r="W35258"/>
    </row>
    <row r="35259" spans="23:23" x14ac:dyDescent="0.55000000000000004">
      <c r="W35259"/>
    </row>
    <row r="35260" spans="23:23" x14ac:dyDescent="0.55000000000000004">
      <c r="W35260"/>
    </row>
    <row r="35261" spans="23:23" x14ac:dyDescent="0.55000000000000004">
      <c r="W35261"/>
    </row>
    <row r="35262" spans="23:23" x14ac:dyDescent="0.55000000000000004">
      <c r="W35262"/>
    </row>
    <row r="35263" spans="23:23" x14ac:dyDescent="0.55000000000000004">
      <c r="W35263"/>
    </row>
    <row r="35264" spans="23:23" x14ac:dyDescent="0.55000000000000004">
      <c r="W35264"/>
    </row>
    <row r="35265" spans="23:23" x14ac:dyDescent="0.55000000000000004">
      <c r="W35265"/>
    </row>
    <row r="35266" spans="23:23" x14ac:dyDescent="0.55000000000000004">
      <c r="W35266"/>
    </row>
    <row r="35267" spans="23:23" x14ac:dyDescent="0.55000000000000004">
      <c r="W35267"/>
    </row>
    <row r="35268" spans="23:23" x14ac:dyDescent="0.55000000000000004">
      <c r="W35268"/>
    </row>
    <row r="35269" spans="23:23" x14ac:dyDescent="0.55000000000000004">
      <c r="W35269"/>
    </row>
    <row r="35270" spans="23:23" x14ac:dyDescent="0.55000000000000004">
      <c r="W35270"/>
    </row>
    <row r="35271" spans="23:23" x14ac:dyDescent="0.55000000000000004">
      <c r="W35271"/>
    </row>
    <row r="35272" spans="23:23" x14ac:dyDescent="0.55000000000000004">
      <c r="W35272"/>
    </row>
    <row r="35273" spans="23:23" x14ac:dyDescent="0.55000000000000004">
      <c r="W35273"/>
    </row>
    <row r="35274" spans="23:23" x14ac:dyDescent="0.55000000000000004">
      <c r="W35274"/>
    </row>
    <row r="35275" spans="23:23" x14ac:dyDescent="0.55000000000000004">
      <c r="W35275"/>
    </row>
    <row r="35276" spans="23:23" x14ac:dyDescent="0.55000000000000004">
      <c r="W35276"/>
    </row>
    <row r="35277" spans="23:23" x14ac:dyDescent="0.55000000000000004">
      <c r="W35277"/>
    </row>
    <row r="35278" spans="23:23" x14ac:dyDescent="0.55000000000000004">
      <c r="W35278"/>
    </row>
    <row r="35279" spans="23:23" x14ac:dyDescent="0.55000000000000004">
      <c r="W35279"/>
    </row>
    <row r="35280" spans="23:23" x14ac:dyDescent="0.55000000000000004">
      <c r="W35280"/>
    </row>
    <row r="35281" spans="23:23" x14ac:dyDescent="0.55000000000000004">
      <c r="W35281"/>
    </row>
    <row r="35282" spans="23:23" x14ac:dyDescent="0.55000000000000004">
      <c r="W35282"/>
    </row>
    <row r="35283" spans="23:23" x14ac:dyDescent="0.55000000000000004">
      <c r="W35283"/>
    </row>
    <row r="35284" spans="23:23" x14ac:dyDescent="0.55000000000000004">
      <c r="W35284"/>
    </row>
    <row r="35285" spans="23:23" x14ac:dyDescent="0.55000000000000004">
      <c r="W35285"/>
    </row>
    <row r="35286" spans="23:23" x14ac:dyDescent="0.55000000000000004">
      <c r="W35286"/>
    </row>
    <row r="35287" spans="23:23" x14ac:dyDescent="0.55000000000000004">
      <c r="W35287"/>
    </row>
    <row r="35288" spans="23:23" x14ac:dyDescent="0.55000000000000004">
      <c r="W35288"/>
    </row>
    <row r="35289" spans="23:23" x14ac:dyDescent="0.55000000000000004">
      <c r="W35289"/>
    </row>
    <row r="35290" spans="23:23" x14ac:dyDescent="0.55000000000000004">
      <c r="W35290"/>
    </row>
    <row r="35291" spans="23:23" x14ac:dyDescent="0.55000000000000004">
      <c r="W35291"/>
    </row>
    <row r="35292" spans="23:23" x14ac:dyDescent="0.55000000000000004">
      <c r="W35292"/>
    </row>
    <row r="35293" spans="23:23" x14ac:dyDescent="0.55000000000000004">
      <c r="W35293"/>
    </row>
    <row r="35294" spans="23:23" x14ac:dyDescent="0.55000000000000004">
      <c r="W35294"/>
    </row>
    <row r="35295" spans="23:23" x14ac:dyDescent="0.55000000000000004">
      <c r="W35295"/>
    </row>
    <row r="35296" spans="23:23" x14ac:dyDescent="0.55000000000000004">
      <c r="W35296"/>
    </row>
    <row r="35297" spans="23:23" x14ac:dyDescent="0.55000000000000004">
      <c r="W35297"/>
    </row>
    <row r="35298" spans="23:23" x14ac:dyDescent="0.55000000000000004">
      <c r="W35298"/>
    </row>
    <row r="35299" spans="23:23" x14ac:dyDescent="0.55000000000000004">
      <c r="W35299"/>
    </row>
    <row r="35300" spans="23:23" x14ac:dyDescent="0.55000000000000004">
      <c r="W35300"/>
    </row>
    <row r="35301" spans="23:23" x14ac:dyDescent="0.55000000000000004">
      <c r="W35301"/>
    </row>
    <row r="35302" spans="23:23" x14ac:dyDescent="0.55000000000000004">
      <c r="W35302"/>
    </row>
    <row r="35303" spans="23:23" x14ac:dyDescent="0.55000000000000004">
      <c r="W35303"/>
    </row>
    <row r="35304" spans="23:23" x14ac:dyDescent="0.55000000000000004">
      <c r="W35304"/>
    </row>
    <row r="35305" spans="23:23" x14ac:dyDescent="0.55000000000000004">
      <c r="W35305"/>
    </row>
    <row r="35306" spans="23:23" x14ac:dyDescent="0.55000000000000004">
      <c r="W35306"/>
    </row>
    <row r="35307" spans="23:23" x14ac:dyDescent="0.55000000000000004">
      <c r="W35307"/>
    </row>
    <row r="35308" spans="23:23" x14ac:dyDescent="0.55000000000000004">
      <c r="W35308"/>
    </row>
    <row r="35309" spans="23:23" x14ac:dyDescent="0.55000000000000004">
      <c r="W35309"/>
    </row>
    <row r="35310" spans="23:23" x14ac:dyDescent="0.55000000000000004">
      <c r="W35310"/>
    </row>
    <row r="35311" spans="23:23" x14ac:dyDescent="0.55000000000000004">
      <c r="W35311"/>
    </row>
    <row r="35312" spans="23:23" x14ac:dyDescent="0.55000000000000004">
      <c r="W35312"/>
    </row>
    <row r="35313" spans="23:23" x14ac:dyDescent="0.55000000000000004">
      <c r="W35313"/>
    </row>
    <row r="35314" spans="23:23" x14ac:dyDescent="0.55000000000000004">
      <c r="W35314"/>
    </row>
    <row r="35315" spans="23:23" x14ac:dyDescent="0.55000000000000004">
      <c r="W35315"/>
    </row>
    <row r="35316" spans="23:23" x14ac:dyDescent="0.55000000000000004">
      <c r="W35316"/>
    </row>
    <row r="35317" spans="23:23" x14ac:dyDescent="0.55000000000000004">
      <c r="W35317"/>
    </row>
    <row r="35318" spans="23:23" x14ac:dyDescent="0.55000000000000004">
      <c r="W35318"/>
    </row>
    <row r="35319" spans="23:23" x14ac:dyDescent="0.55000000000000004">
      <c r="W35319"/>
    </row>
    <row r="35320" spans="23:23" x14ac:dyDescent="0.55000000000000004">
      <c r="W35320"/>
    </row>
    <row r="35321" spans="23:23" x14ac:dyDescent="0.55000000000000004">
      <c r="W35321"/>
    </row>
    <row r="35322" spans="23:23" x14ac:dyDescent="0.55000000000000004">
      <c r="W35322"/>
    </row>
    <row r="35323" spans="23:23" x14ac:dyDescent="0.55000000000000004">
      <c r="W35323"/>
    </row>
    <row r="35324" spans="23:23" x14ac:dyDescent="0.55000000000000004">
      <c r="W35324"/>
    </row>
    <row r="35325" spans="23:23" x14ac:dyDescent="0.55000000000000004">
      <c r="W35325"/>
    </row>
    <row r="35326" spans="23:23" x14ac:dyDescent="0.55000000000000004">
      <c r="W35326"/>
    </row>
    <row r="35327" spans="23:23" x14ac:dyDescent="0.55000000000000004">
      <c r="W35327"/>
    </row>
    <row r="35328" spans="23:23" x14ac:dyDescent="0.55000000000000004">
      <c r="W35328"/>
    </row>
    <row r="35329" spans="23:23" x14ac:dyDescent="0.55000000000000004">
      <c r="W35329"/>
    </row>
    <row r="35330" spans="23:23" x14ac:dyDescent="0.55000000000000004">
      <c r="W35330"/>
    </row>
    <row r="35331" spans="23:23" x14ac:dyDescent="0.55000000000000004">
      <c r="W35331"/>
    </row>
    <row r="35332" spans="23:23" x14ac:dyDescent="0.55000000000000004">
      <c r="W35332"/>
    </row>
    <row r="35333" spans="23:23" x14ac:dyDescent="0.55000000000000004">
      <c r="W35333"/>
    </row>
    <row r="35334" spans="23:23" x14ac:dyDescent="0.55000000000000004">
      <c r="W35334"/>
    </row>
    <row r="35335" spans="23:23" x14ac:dyDescent="0.55000000000000004">
      <c r="W35335"/>
    </row>
    <row r="35336" spans="23:23" x14ac:dyDescent="0.55000000000000004">
      <c r="W35336"/>
    </row>
    <row r="35337" spans="23:23" x14ac:dyDescent="0.55000000000000004">
      <c r="W35337"/>
    </row>
    <row r="35338" spans="23:23" x14ac:dyDescent="0.55000000000000004">
      <c r="W35338"/>
    </row>
    <row r="35339" spans="23:23" x14ac:dyDescent="0.55000000000000004">
      <c r="W35339"/>
    </row>
    <row r="35340" spans="23:23" x14ac:dyDescent="0.55000000000000004">
      <c r="W35340"/>
    </row>
    <row r="35341" spans="23:23" x14ac:dyDescent="0.55000000000000004">
      <c r="W35341"/>
    </row>
    <row r="35342" spans="23:23" x14ac:dyDescent="0.55000000000000004">
      <c r="W35342"/>
    </row>
    <row r="35343" spans="23:23" x14ac:dyDescent="0.55000000000000004">
      <c r="W35343"/>
    </row>
    <row r="35344" spans="23:23" x14ac:dyDescent="0.55000000000000004">
      <c r="W35344"/>
    </row>
    <row r="35345" spans="23:23" x14ac:dyDescent="0.55000000000000004">
      <c r="W35345"/>
    </row>
    <row r="35346" spans="23:23" x14ac:dyDescent="0.55000000000000004">
      <c r="W35346"/>
    </row>
    <row r="35347" spans="23:23" x14ac:dyDescent="0.55000000000000004">
      <c r="W35347"/>
    </row>
    <row r="35348" spans="23:23" x14ac:dyDescent="0.55000000000000004">
      <c r="W35348"/>
    </row>
    <row r="35349" spans="23:23" x14ac:dyDescent="0.55000000000000004">
      <c r="W35349"/>
    </row>
    <row r="35350" spans="23:23" x14ac:dyDescent="0.55000000000000004">
      <c r="W35350"/>
    </row>
    <row r="35351" spans="23:23" x14ac:dyDescent="0.55000000000000004">
      <c r="W35351"/>
    </row>
    <row r="35352" spans="23:23" x14ac:dyDescent="0.55000000000000004">
      <c r="W35352"/>
    </row>
    <row r="35353" spans="23:23" x14ac:dyDescent="0.55000000000000004">
      <c r="W35353"/>
    </row>
    <row r="35354" spans="23:23" x14ac:dyDescent="0.55000000000000004">
      <c r="W35354"/>
    </row>
    <row r="35355" spans="23:23" x14ac:dyDescent="0.55000000000000004">
      <c r="W35355"/>
    </row>
    <row r="35356" spans="23:23" x14ac:dyDescent="0.55000000000000004">
      <c r="W35356"/>
    </row>
    <row r="35357" spans="23:23" x14ac:dyDescent="0.55000000000000004">
      <c r="W35357"/>
    </row>
    <row r="35358" spans="23:23" x14ac:dyDescent="0.55000000000000004">
      <c r="W35358"/>
    </row>
    <row r="35359" spans="23:23" x14ac:dyDescent="0.55000000000000004">
      <c r="W35359"/>
    </row>
    <row r="35360" spans="23:23" x14ac:dyDescent="0.55000000000000004">
      <c r="W35360"/>
    </row>
    <row r="35361" spans="23:23" x14ac:dyDescent="0.55000000000000004">
      <c r="W35361"/>
    </row>
    <row r="35362" spans="23:23" x14ac:dyDescent="0.55000000000000004">
      <c r="W35362"/>
    </row>
    <row r="35363" spans="23:23" x14ac:dyDescent="0.55000000000000004">
      <c r="W35363"/>
    </row>
    <row r="35364" spans="23:23" x14ac:dyDescent="0.55000000000000004">
      <c r="W35364"/>
    </row>
    <row r="35365" spans="23:23" x14ac:dyDescent="0.55000000000000004">
      <c r="W35365"/>
    </row>
    <row r="35366" spans="23:23" x14ac:dyDescent="0.55000000000000004">
      <c r="W35366"/>
    </row>
    <row r="35367" spans="23:23" x14ac:dyDescent="0.55000000000000004">
      <c r="W35367"/>
    </row>
    <row r="35368" spans="23:23" x14ac:dyDescent="0.55000000000000004">
      <c r="W35368"/>
    </row>
    <row r="35369" spans="23:23" x14ac:dyDescent="0.55000000000000004">
      <c r="W35369"/>
    </row>
    <row r="35370" spans="23:23" x14ac:dyDescent="0.55000000000000004">
      <c r="W35370"/>
    </row>
    <row r="35371" spans="23:23" x14ac:dyDescent="0.55000000000000004">
      <c r="W35371"/>
    </row>
    <row r="35372" spans="23:23" x14ac:dyDescent="0.55000000000000004">
      <c r="W35372"/>
    </row>
    <row r="35373" spans="23:23" x14ac:dyDescent="0.55000000000000004">
      <c r="W35373"/>
    </row>
    <row r="35374" spans="23:23" x14ac:dyDescent="0.55000000000000004">
      <c r="W35374"/>
    </row>
    <row r="35375" spans="23:23" x14ac:dyDescent="0.55000000000000004">
      <c r="W35375"/>
    </row>
    <row r="35376" spans="23:23" x14ac:dyDescent="0.55000000000000004">
      <c r="W35376"/>
    </row>
    <row r="35377" spans="23:23" x14ac:dyDescent="0.55000000000000004">
      <c r="W35377"/>
    </row>
    <row r="35378" spans="23:23" x14ac:dyDescent="0.55000000000000004">
      <c r="W35378"/>
    </row>
    <row r="35379" spans="23:23" x14ac:dyDescent="0.55000000000000004">
      <c r="W35379"/>
    </row>
    <row r="35380" spans="23:23" x14ac:dyDescent="0.55000000000000004">
      <c r="W35380"/>
    </row>
    <row r="35381" spans="23:23" x14ac:dyDescent="0.55000000000000004">
      <c r="W35381"/>
    </row>
    <row r="35382" spans="23:23" x14ac:dyDescent="0.55000000000000004">
      <c r="W35382"/>
    </row>
    <row r="35383" spans="23:23" x14ac:dyDescent="0.55000000000000004">
      <c r="W35383"/>
    </row>
    <row r="35384" spans="23:23" x14ac:dyDescent="0.55000000000000004">
      <c r="W35384"/>
    </row>
    <row r="35385" spans="23:23" x14ac:dyDescent="0.55000000000000004">
      <c r="W35385"/>
    </row>
    <row r="35386" spans="23:23" x14ac:dyDescent="0.55000000000000004">
      <c r="W35386"/>
    </row>
    <row r="35387" spans="23:23" x14ac:dyDescent="0.55000000000000004">
      <c r="W35387"/>
    </row>
    <row r="35388" spans="23:23" x14ac:dyDescent="0.55000000000000004">
      <c r="W35388"/>
    </row>
    <row r="35389" spans="23:23" x14ac:dyDescent="0.55000000000000004">
      <c r="W35389"/>
    </row>
    <row r="35390" spans="23:23" x14ac:dyDescent="0.55000000000000004">
      <c r="W35390"/>
    </row>
    <row r="35391" spans="23:23" x14ac:dyDescent="0.55000000000000004">
      <c r="W35391"/>
    </row>
    <row r="35392" spans="23:23" x14ac:dyDescent="0.55000000000000004">
      <c r="W35392"/>
    </row>
    <row r="35393" spans="23:23" x14ac:dyDescent="0.55000000000000004">
      <c r="W35393"/>
    </row>
    <row r="35394" spans="23:23" x14ac:dyDescent="0.55000000000000004">
      <c r="W35394"/>
    </row>
    <row r="35395" spans="23:23" x14ac:dyDescent="0.55000000000000004">
      <c r="W35395"/>
    </row>
    <row r="35396" spans="23:23" x14ac:dyDescent="0.55000000000000004">
      <c r="W35396"/>
    </row>
    <row r="35397" spans="23:23" x14ac:dyDescent="0.55000000000000004">
      <c r="W35397"/>
    </row>
    <row r="35398" spans="23:23" x14ac:dyDescent="0.55000000000000004">
      <c r="W35398"/>
    </row>
    <row r="35399" spans="23:23" x14ac:dyDescent="0.55000000000000004">
      <c r="W35399"/>
    </row>
    <row r="35400" spans="23:23" x14ac:dyDescent="0.55000000000000004">
      <c r="W35400"/>
    </row>
    <row r="35401" spans="23:23" x14ac:dyDescent="0.55000000000000004">
      <c r="W35401"/>
    </row>
    <row r="35402" spans="23:23" x14ac:dyDescent="0.55000000000000004">
      <c r="W35402"/>
    </row>
    <row r="35403" spans="23:23" x14ac:dyDescent="0.55000000000000004">
      <c r="W35403"/>
    </row>
    <row r="35404" spans="23:23" x14ac:dyDescent="0.55000000000000004">
      <c r="W35404"/>
    </row>
    <row r="35405" spans="23:23" x14ac:dyDescent="0.55000000000000004">
      <c r="W35405"/>
    </row>
    <row r="35406" spans="23:23" x14ac:dyDescent="0.55000000000000004">
      <c r="W35406"/>
    </row>
    <row r="35407" spans="23:23" x14ac:dyDescent="0.55000000000000004">
      <c r="W35407"/>
    </row>
    <row r="35408" spans="23:23" x14ac:dyDescent="0.55000000000000004">
      <c r="W35408"/>
    </row>
    <row r="35409" spans="23:23" x14ac:dyDescent="0.55000000000000004">
      <c r="W35409"/>
    </row>
    <row r="35410" spans="23:23" x14ac:dyDescent="0.55000000000000004">
      <c r="W35410"/>
    </row>
    <row r="35411" spans="23:23" x14ac:dyDescent="0.55000000000000004">
      <c r="W35411"/>
    </row>
    <row r="35412" spans="23:23" x14ac:dyDescent="0.55000000000000004">
      <c r="W35412"/>
    </row>
    <row r="35413" spans="23:23" x14ac:dyDescent="0.55000000000000004">
      <c r="W35413"/>
    </row>
    <row r="35414" spans="23:23" x14ac:dyDescent="0.55000000000000004">
      <c r="W35414"/>
    </row>
    <row r="35415" spans="23:23" x14ac:dyDescent="0.55000000000000004">
      <c r="W35415"/>
    </row>
    <row r="35416" spans="23:23" x14ac:dyDescent="0.55000000000000004">
      <c r="W35416"/>
    </row>
    <row r="35417" spans="23:23" x14ac:dyDescent="0.55000000000000004">
      <c r="W35417"/>
    </row>
    <row r="35418" spans="23:23" x14ac:dyDescent="0.55000000000000004">
      <c r="W35418"/>
    </row>
    <row r="35419" spans="23:23" x14ac:dyDescent="0.55000000000000004">
      <c r="W35419"/>
    </row>
    <row r="35420" spans="23:23" x14ac:dyDescent="0.55000000000000004">
      <c r="W35420"/>
    </row>
    <row r="35421" spans="23:23" x14ac:dyDescent="0.55000000000000004">
      <c r="W35421"/>
    </row>
    <row r="35422" spans="23:23" x14ac:dyDescent="0.55000000000000004">
      <c r="W35422"/>
    </row>
    <row r="35423" spans="23:23" x14ac:dyDescent="0.55000000000000004">
      <c r="W35423"/>
    </row>
    <row r="35424" spans="23:23" x14ac:dyDescent="0.55000000000000004">
      <c r="W35424"/>
    </row>
    <row r="35425" spans="23:23" x14ac:dyDescent="0.55000000000000004">
      <c r="W35425"/>
    </row>
    <row r="35426" spans="23:23" x14ac:dyDescent="0.55000000000000004">
      <c r="W35426"/>
    </row>
    <row r="35427" spans="23:23" x14ac:dyDescent="0.55000000000000004">
      <c r="W35427"/>
    </row>
    <row r="35428" spans="23:23" x14ac:dyDescent="0.55000000000000004">
      <c r="W35428"/>
    </row>
    <row r="35429" spans="23:23" x14ac:dyDescent="0.55000000000000004">
      <c r="W35429"/>
    </row>
    <row r="35430" spans="23:23" x14ac:dyDescent="0.55000000000000004">
      <c r="W35430"/>
    </row>
    <row r="35431" spans="23:23" x14ac:dyDescent="0.55000000000000004">
      <c r="W35431"/>
    </row>
    <row r="35432" spans="23:23" x14ac:dyDescent="0.55000000000000004">
      <c r="W35432"/>
    </row>
    <row r="35433" spans="23:23" x14ac:dyDescent="0.55000000000000004">
      <c r="W35433"/>
    </row>
    <row r="35434" spans="23:23" x14ac:dyDescent="0.55000000000000004">
      <c r="W35434"/>
    </row>
    <row r="35435" spans="23:23" x14ac:dyDescent="0.55000000000000004">
      <c r="W35435"/>
    </row>
    <row r="35436" spans="23:23" x14ac:dyDescent="0.55000000000000004">
      <c r="W35436"/>
    </row>
    <row r="35437" spans="23:23" x14ac:dyDescent="0.55000000000000004">
      <c r="W35437"/>
    </row>
    <row r="35438" spans="23:23" x14ac:dyDescent="0.55000000000000004">
      <c r="W35438"/>
    </row>
    <row r="35439" spans="23:23" x14ac:dyDescent="0.55000000000000004">
      <c r="W35439"/>
    </row>
    <row r="35440" spans="23:23" x14ac:dyDescent="0.55000000000000004">
      <c r="W35440"/>
    </row>
    <row r="35441" spans="23:23" x14ac:dyDescent="0.55000000000000004">
      <c r="W35441"/>
    </row>
    <row r="35442" spans="23:23" x14ac:dyDescent="0.55000000000000004">
      <c r="W35442"/>
    </row>
    <row r="35443" spans="23:23" x14ac:dyDescent="0.55000000000000004">
      <c r="W35443"/>
    </row>
    <row r="35444" spans="23:23" x14ac:dyDescent="0.55000000000000004">
      <c r="W35444"/>
    </row>
    <row r="35445" spans="23:23" x14ac:dyDescent="0.55000000000000004">
      <c r="W35445"/>
    </row>
    <row r="35446" spans="23:23" x14ac:dyDescent="0.55000000000000004">
      <c r="W35446"/>
    </row>
    <row r="35447" spans="23:23" x14ac:dyDescent="0.55000000000000004">
      <c r="W35447"/>
    </row>
    <row r="35448" spans="23:23" x14ac:dyDescent="0.55000000000000004">
      <c r="W35448"/>
    </row>
    <row r="35449" spans="23:23" x14ac:dyDescent="0.55000000000000004">
      <c r="W35449"/>
    </row>
    <row r="35450" spans="23:23" x14ac:dyDescent="0.55000000000000004">
      <c r="W35450"/>
    </row>
    <row r="35451" spans="23:23" x14ac:dyDescent="0.55000000000000004">
      <c r="W35451"/>
    </row>
    <row r="35452" spans="23:23" x14ac:dyDescent="0.55000000000000004">
      <c r="W35452"/>
    </row>
    <row r="35453" spans="23:23" x14ac:dyDescent="0.55000000000000004">
      <c r="W35453"/>
    </row>
    <row r="35454" spans="23:23" x14ac:dyDescent="0.55000000000000004">
      <c r="W35454"/>
    </row>
    <row r="35455" spans="23:23" x14ac:dyDescent="0.55000000000000004">
      <c r="W35455"/>
    </row>
    <row r="35456" spans="23:23" x14ac:dyDescent="0.55000000000000004">
      <c r="W35456"/>
    </row>
    <row r="35457" spans="23:23" x14ac:dyDescent="0.55000000000000004">
      <c r="W35457"/>
    </row>
    <row r="35458" spans="23:23" x14ac:dyDescent="0.55000000000000004">
      <c r="W35458"/>
    </row>
    <row r="35459" spans="23:23" x14ac:dyDescent="0.55000000000000004">
      <c r="W35459"/>
    </row>
    <row r="35460" spans="23:23" x14ac:dyDescent="0.55000000000000004">
      <c r="W35460"/>
    </row>
    <row r="35461" spans="23:23" x14ac:dyDescent="0.55000000000000004">
      <c r="W35461"/>
    </row>
    <row r="35462" spans="23:23" x14ac:dyDescent="0.55000000000000004">
      <c r="W35462"/>
    </row>
    <row r="35463" spans="23:23" x14ac:dyDescent="0.55000000000000004">
      <c r="W35463"/>
    </row>
    <row r="35464" spans="23:23" x14ac:dyDescent="0.55000000000000004">
      <c r="W35464"/>
    </row>
    <row r="35465" spans="23:23" x14ac:dyDescent="0.55000000000000004">
      <c r="W35465"/>
    </row>
    <row r="35466" spans="23:23" x14ac:dyDescent="0.55000000000000004">
      <c r="W35466"/>
    </row>
    <row r="35467" spans="23:23" x14ac:dyDescent="0.55000000000000004">
      <c r="W35467"/>
    </row>
    <row r="35468" spans="23:23" x14ac:dyDescent="0.55000000000000004">
      <c r="W35468"/>
    </row>
    <row r="35469" spans="23:23" x14ac:dyDescent="0.55000000000000004">
      <c r="W35469"/>
    </row>
    <row r="35470" spans="23:23" x14ac:dyDescent="0.55000000000000004">
      <c r="W35470"/>
    </row>
    <row r="35471" spans="23:23" x14ac:dyDescent="0.55000000000000004">
      <c r="W35471"/>
    </row>
    <row r="35472" spans="23:23" x14ac:dyDescent="0.55000000000000004">
      <c r="W35472"/>
    </row>
    <row r="35473" spans="23:23" x14ac:dyDescent="0.55000000000000004">
      <c r="W35473"/>
    </row>
    <row r="35474" spans="23:23" x14ac:dyDescent="0.55000000000000004">
      <c r="W35474"/>
    </row>
    <row r="35475" spans="23:23" x14ac:dyDescent="0.55000000000000004">
      <c r="W35475"/>
    </row>
    <row r="35476" spans="23:23" x14ac:dyDescent="0.55000000000000004">
      <c r="W35476"/>
    </row>
    <row r="35477" spans="23:23" x14ac:dyDescent="0.55000000000000004">
      <c r="W35477"/>
    </row>
    <row r="35478" spans="23:23" x14ac:dyDescent="0.55000000000000004">
      <c r="W35478"/>
    </row>
    <row r="35479" spans="23:23" x14ac:dyDescent="0.55000000000000004">
      <c r="W35479"/>
    </row>
    <row r="35480" spans="23:23" x14ac:dyDescent="0.55000000000000004">
      <c r="W35480"/>
    </row>
    <row r="35481" spans="23:23" x14ac:dyDescent="0.55000000000000004">
      <c r="W35481"/>
    </row>
    <row r="35482" spans="23:23" x14ac:dyDescent="0.55000000000000004">
      <c r="W35482"/>
    </row>
    <row r="35483" spans="23:23" x14ac:dyDescent="0.55000000000000004">
      <c r="W35483"/>
    </row>
    <row r="35484" spans="23:23" x14ac:dyDescent="0.55000000000000004">
      <c r="W35484"/>
    </row>
    <row r="35485" spans="23:23" x14ac:dyDescent="0.55000000000000004">
      <c r="W35485"/>
    </row>
    <row r="35486" spans="23:23" x14ac:dyDescent="0.55000000000000004">
      <c r="W35486"/>
    </row>
    <row r="35487" spans="23:23" x14ac:dyDescent="0.55000000000000004">
      <c r="W35487"/>
    </row>
    <row r="35488" spans="23:23" x14ac:dyDescent="0.55000000000000004">
      <c r="W35488"/>
    </row>
    <row r="35489" spans="23:23" x14ac:dyDescent="0.55000000000000004">
      <c r="W35489"/>
    </row>
    <row r="35490" spans="23:23" x14ac:dyDescent="0.55000000000000004">
      <c r="W35490"/>
    </row>
    <row r="35491" spans="23:23" x14ac:dyDescent="0.55000000000000004">
      <c r="W35491"/>
    </row>
    <row r="35492" spans="23:23" x14ac:dyDescent="0.55000000000000004">
      <c r="W35492"/>
    </row>
    <row r="35493" spans="23:23" x14ac:dyDescent="0.55000000000000004">
      <c r="W35493"/>
    </row>
    <row r="35494" spans="23:23" x14ac:dyDescent="0.55000000000000004">
      <c r="W35494"/>
    </row>
    <row r="35495" spans="23:23" x14ac:dyDescent="0.55000000000000004">
      <c r="W35495"/>
    </row>
    <row r="35496" spans="23:23" x14ac:dyDescent="0.55000000000000004">
      <c r="W35496"/>
    </row>
    <row r="35497" spans="23:23" x14ac:dyDescent="0.55000000000000004">
      <c r="W35497"/>
    </row>
    <row r="35498" spans="23:23" x14ac:dyDescent="0.55000000000000004">
      <c r="W35498"/>
    </row>
    <row r="35499" spans="23:23" x14ac:dyDescent="0.55000000000000004">
      <c r="W35499"/>
    </row>
    <row r="35500" spans="23:23" x14ac:dyDescent="0.55000000000000004">
      <c r="W35500"/>
    </row>
    <row r="35501" spans="23:23" x14ac:dyDescent="0.55000000000000004">
      <c r="W35501"/>
    </row>
    <row r="35502" spans="23:23" x14ac:dyDescent="0.55000000000000004">
      <c r="W35502"/>
    </row>
    <row r="35503" spans="23:23" x14ac:dyDescent="0.55000000000000004">
      <c r="W35503"/>
    </row>
    <row r="35504" spans="23:23" x14ac:dyDescent="0.55000000000000004">
      <c r="W35504"/>
    </row>
    <row r="35505" spans="23:23" x14ac:dyDescent="0.55000000000000004">
      <c r="W35505"/>
    </row>
    <row r="35506" spans="23:23" x14ac:dyDescent="0.55000000000000004">
      <c r="W35506"/>
    </row>
    <row r="35507" spans="23:23" x14ac:dyDescent="0.55000000000000004">
      <c r="W35507"/>
    </row>
    <row r="35508" spans="23:23" x14ac:dyDescent="0.55000000000000004">
      <c r="W35508"/>
    </row>
    <row r="35509" spans="23:23" x14ac:dyDescent="0.55000000000000004">
      <c r="W35509"/>
    </row>
    <row r="35510" spans="23:23" x14ac:dyDescent="0.55000000000000004">
      <c r="W35510"/>
    </row>
    <row r="35511" spans="23:23" x14ac:dyDescent="0.55000000000000004">
      <c r="W35511"/>
    </row>
    <row r="35512" spans="23:23" x14ac:dyDescent="0.55000000000000004">
      <c r="W35512"/>
    </row>
    <row r="35513" spans="23:23" x14ac:dyDescent="0.55000000000000004">
      <c r="W35513"/>
    </row>
    <row r="35514" spans="23:23" x14ac:dyDescent="0.55000000000000004">
      <c r="W35514"/>
    </row>
    <row r="35515" spans="23:23" x14ac:dyDescent="0.55000000000000004">
      <c r="W35515"/>
    </row>
    <row r="35516" spans="23:23" x14ac:dyDescent="0.55000000000000004">
      <c r="W35516"/>
    </row>
    <row r="35517" spans="23:23" x14ac:dyDescent="0.55000000000000004">
      <c r="W35517"/>
    </row>
    <row r="35518" spans="23:23" x14ac:dyDescent="0.55000000000000004">
      <c r="W35518"/>
    </row>
    <row r="35519" spans="23:23" x14ac:dyDescent="0.55000000000000004">
      <c r="W35519"/>
    </row>
    <row r="35520" spans="23:23" x14ac:dyDescent="0.55000000000000004">
      <c r="W35520"/>
    </row>
    <row r="35521" spans="23:23" x14ac:dyDescent="0.55000000000000004">
      <c r="W35521"/>
    </row>
    <row r="35522" spans="23:23" x14ac:dyDescent="0.55000000000000004">
      <c r="W35522"/>
    </row>
    <row r="35523" spans="23:23" x14ac:dyDescent="0.55000000000000004">
      <c r="W35523"/>
    </row>
    <row r="35524" spans="23:23" x14ac:dyDescent="0.55000000000000004">
      <c r="W35524"/>
    </row>
    <row r="35525" spans="23:23" x14ac:dyDescent="0.55000000000000004">
      <c r="W35525"/>
    </row>
    <row r="35526" spans="23:23" x14ac:dyDescent="0.55000000000000004">
      <c r="W35526"/>
    </row>
    <row r="35527" spans="23:23" x14ac:dyDescent="0.55000000000000004">
      <c r="W35527"/>
    </row>
    <row r="35528" spans="23:23" x14ac:dyDescent="0.55000000000000004">
      <c r="W35528"/>
    </row>
    <row r="35529" spans="23:23" x14ac:dyDescent="0.55000000000000004">
      <c r="W35529"/>
    </row>
    <row r="35530" spans="23:23" x14ac:dyDescent="0.55000000000000004">
      <c r="W35530"/>
    </row>
    <row r="35531" spans="23:23" x14ac:dyDescent="0.55000000000000004">
      <c r="W35531"/>
    </row>
    <row r="35532" spans="23:23" x14ac:dyDescent="0.55000000000000004">
      <c r="W35532"/>
    </row>
    <row r="35533" spans="23:23" x14ac:dyDescent="0.55000000000000004">
      <c r="W35533"/>
    </row>
    <row r="35534" spans="23:23" x14ac:dyDescent="0.55000000000000004">
      <c r="W35534"/>
    </row>
    <row r="35535" spans="23:23" x14ac:dyDescent="0.55000000000000004">
      <c r="W35535"/>
    </row>
    <row r="35536" spans="23:23" x14ac:dyDescent="0.55000000000000004">
      <c r="W35536"/>
    </row>
    <row r="35537" spans="23:23" x14ac:dyDescent="0.55000000000000004">
      <c r="W35537"/>
    </row>
    <row r="35538" spans="23:23" x14ac:dyDescent="0.55000000000000004">
      <c r="W35538"/>
    </row>
    <row r="35539" spans="23:23" x14ac:dyDescent="0.55000000000000004">
      <c r="W35539"/>
    </row>
    <row r="35540" spans="23:23" x14ac:dyDescent="0.55000000000000004">
      <c r="W35540"/>
    </row>
    <row r="35541" spans="23:23" x14ac:dyDescent="0.55000000000000004">
      <c r="W35541"/>
    </row>
    <row r="35542" spans="23:23" x14ac:dyDescent="0.55000000000000004">
      <c r="W35542"/>
    </row>
    <row r="35543" spans="23:23" x14ac:dyDescent="0.55000000000000004">
      <c r="W35543"/>
    </row>
    <row r="35544" spans="23:23" x14ac:dyDescent="0.55000000000000004">
      <c r="W35544"/>
    </row>
    <row r="35545" spans="23:23" x14ac:dyDescent="0.55000000000000004">
      <c r="W35545"/>
    </row>
    <row r="35546" spans="23:23" x14ac:dyDescent="0.55000000000000004">
      <c r="W35546"/>
    </row>
    <row r="35547" spans="23:23" x14ac:dyDescent="0.55000000000000004">
      <c r="W35547"/>
    </row>
    <row r="35548" spans="23:23" x14ac:dyDescent="0.55000000000000004">
      <c r="W35548"/>
    </row>
    <row r="35549" spans="23:23" x14ac:dyDescent="0.55000000000000004">
      <c r="W35549"/>
    </row>
    <row r="35550" spans="23:23" x14ac:dyDescent="0.55000000000000004">
      <c r="W35550"/>
    </row>
    <row r="35551" spans="23:23" x14ac:dyDescent="0.55000000000000004">
      <c r="W35551"/>
    </row>
    <row r="35552" spans="23:23" x14ac:dyDescent="0.55000000000000004">
      <c r="W35552"/>
    </row>
    <row r="35553" spans="23:23" x14ac:dyDescent="0.55000000000000004">
      <c r="W35553"/>
    </row>
    <row r="35554" spans="23:23" x14ac:dyDescent="0.55000000000000004">
      <c r="W35554"/>
    </row>
    <row r="35555" spans="23:23" x14ac:dyDescent="0.55000000000000004">
      <c r="W35555"/>
    </row>
    <row r="35556" spans="23:23" x14ac:dyDescent="0.55000000000000004">
      <c r="W35556"/>
    </row>
    <row r="35557" spans="23:23" x14ac:dyDescent="0.55000000000000004">
      <c r="W35557"/>
    </row>
    <row r="35558" spans="23:23" x14ac:dyDescent="0.55000000000000004">
      <c r="W35558"/>
    </row>
    <row r="35559" spans="23:23" x14ac:dyDescent="0.55000000000000004">
      <c r="W35559"/>
    </row>
    <row r="35560" spans="23:23" x14ac:dyDescent="0.55000000000000004">
      <c r="W35560"/>
    </row>
    <row r="35561" spans="23:23" x14ac:dyDescent="0.55000000000000004">
      <c r="W35561"/>
    </row>
    <row r="35562" spans="23:23" x14ac:dyDescent="0.55000000000000004">
      <c r="W35562"/>
    </row>
    <row r="35563" spans="23:23" x14ac:dyDescent="0.55000000000000004">
      <c r="W35563"/>
    </row>
    <row r="35564" spans="23:23" x14ac:dyDescent="0.55000000000000004">
      <c r="W35564"/>
    </row>
    <row r="35565" spans="23:23" x14ac:dyDescent="0.55000000000000004">
      <c r="W35565"/>
    </row>
    <row r="35566" spans="23:23" x14ac:dyDescent="0.55000000000000004">
      <c r="W35566"/>
    </row>
    <row r="35567" spans="23:23" x14ac:dyDescent="0.55000000000000004">
      <c r="W35567"/>
    </row>
    <row r="35568" spans="23:23" x14ac:dyDescent="0.55000000000000004">
      <c r="W35568"/>
    </row>
    <row r="35569" spans="23:23" x14ac:dyDescent="0.55000000000000004">
      <c r="W35569"/>
    </row>
    <row r="35570" spans="23:23" x14ac:dyDescent="0.55000000000000004">
      <c r="W35570"/>
    </row>
    <row r="35571" spans="23:23" x14ac:dyDescent="0.55000000000000004">
      <c r="W35571"/>
    </row>
    <row r="35572" spans="23:23" x14ac:dyDescent="0.55000000000000004">
      <c r="W35572"/>
    </row>
    <row r="35573" spans="23:23" x14ac:dyDescent="0.55000000000000004">
      <c r="W35573"/>
    </row>
    <row r="35574" spans="23:23" x14ac:dyDescent="0.55000000000000004">
      <c r="W35574"/>
    </row>
    <row r="35575" spans="23:23" x14ac:dyDescent="0.55000000000000004">
      <c r="W35575"/>
    </row>
    <row r="35576" spans="23:23" x14ac:dyDescent="0.55000000000000004">
      <c r="W35576"/>
    </row>
    <row r="35577" spans="23:23" x14ac:dyDescent="0.55000000000000004">
      <c r="W35577"/>
    </row>
    <row r="35578" spans="23:23" x14ac:dyDescent="0.55000000000000004">
      <c r="W35578"/>
    </row>
    <row r="35579" spans="23:23" x14ac:dyDescent="0.55000000000000004">
      <c r="W35579"/>
    </row>
    <row r="35580" spans="23:23" x14ac:dyDescent="0.55000000000000004">
      <c r="W35580"/>
    </row>
    <row r="35581" spans="23:23" x14ac:dyDescent="0.55000000000000004">
      <c r="W35581"/>
    </row>
    <row r="35582" spans="23:23" x14ac:dyDescent="0.55000000000000004">
      <c r="W35582"/>
    </row>
    <row r="35583" spans="23:23" x14ac:dyDescent="0.55000000000000004">
      <c r="W35583"/>
    </row>
    <row r="35584" spans="23:23" x14ac:dyDescent="0.55000000000000004">
      <c r="W35584"/>
    </row>
    <row r="35585" spans="23:23" x14ac:dyDescent="0.55000000000000004">
      <c r="W35585"/>
    </row>
    <row r="35586" spans="23:23" x14ac:dyDescent="0.55000000000000004">
      <c r="W35586"/>
    </row>
    <row r="35587" spans="23:23" x14ac:dyDescent="0.55000000000000004">
      <c r="W35587"/>
    </row>
    <row r="35588" spans="23:23" x14ac:dyDescent="0.55000000000000004">
      <c r="W35588"/>
    </row>
    <row r="35589" spans="23:23" x14ac:dyDescent="0.55000000000000004">
      <c r="W35589"/>
    </row>
    <row r="35590" spans="23:23" x14ac:dyDescent="0.55000000000000004">
      <c r="W35590"/>
    </row>
    <row r="35591" spans="23:23" x14ac:dyDescent="0.55000000000000004">
      <c r="W35591"/>
    </row>
    <row r="35592" spans="23:23" x14ac:dyDescent="0.55000000000000004">
      <c r="W35592"/>
    </row>
    <row r="35593" spans="23:23" x14ac:dyDescent="0.55000000000000004">
      <c r="W35593"/>
    </row>
    <row r="35594" spans="23:23" x14ac:dyDescent="0.55000000000000004">
      <c r="W35594"/>
    </row>
    <row r="35595" spans="23:23" x14ac:dyDescent="0.55000000000000004">
      <c r="W35595"/>
    </row>
    <row r="35596" spans="23:23" x14ac:dyDescent="0.55000000000000004">
      <c r="W35596"/>
    </row>
    <row r="35597" spans="23:23" x14ac:dyDescent="0.55000000000000004">
      <c r="W35597"/>
    </row>
    <row r="35598" spans="23:23" x14ac:dyDescent="0.55000000000000004">
      <c r="W35598"/>
    </row>
    <row r="35599" spans="23:23" x14ac:dyDescent="0.55000000000000004">
      <c r="W35599"/>
    </row>
    <row r="35600" spans="23:23" x14ac:dyDescent="0.55000000000000004">
      <c r="W35600"/>
    </row>
    <row r="35601" spans="23:23" x14ac:dyDescent="0.55000000000000004">
      <c r="W35601"/>
    </row>
    <row r="35602" spans="23:23" x14ac:dyDescent="0.55000000000000004">
      <c r="W35602"/>
    </row>
    <row r="35603" spans="23:23" x14ac:dyDescent="0.55000000000000004">
      <c r="W35603"/>
    </row>
    <row r="35604" spans="23:23" x14ac:dyDescent="0.55000000000000004">
      <c r="W35604"/>
    </row>
    <row r="35605" spans="23:23" x14ac:dyDescent="0.55000000000000004">
      <c r="W35605"/>
    </row>
    <row r="35606" spans="23:23" x14ac:dyDescent="0.55000000000000004">
      <c r="W35606"/>
    </row>
    <row r="35607" spans="23:23" x14ac:dyDescent="0.55000000000000004">
      <c r="W35607"/>
    </row>
    <row r="35608" spans="23:23" x14ac:dyDescent="0.55000000000000004">
      <c r="W35608"/>
    </row>
    <row r="35609" spans="23:23" x14ac:dyDescent="0.55000000000000004">
      <c r="W35609"/>
    </row>
    <row r="35610" spans="23:23" x14ac:dyDescent="0.55000000000000004">
      <c r="W35610"/>
    </row>
    <row r="35611" spans="23:23" x14ac:dyDescent="0.55000000000000004">
      <c r="W35611"/>
    </row>
    <row r="35612" spans="23:23" x14ac:dyDescent="0.55000000000000004">
      <c r="W35612"/>
    </row>
    <row r="35613" spans="23:23" x14ac:dyDescent="0.55000000000000004">
      <c r="W35613"/>
    </row>
    <row r="35614" spans="23:23" x14ac:dyDescent="0.55000000000000004">
      <c r="W35614"/>
    </row>
    <row r="35615" spans="23:23" x14ac:dyDescent="0.55000000000000004">
      <c r="W35615"/>
    </row>
    <row r="35616" spans="23:23" x14ac:dyDescent="0.55000000000000004">
      <c r="W35616"/>
    </row>
    <row r="35617" spans="23:23" x14ac:dyDescent="0.55000000000000004">
      <c r="W35617"/>
    </row>
    <row r="35618" spans="23:23" x14ac:dyDescent="0.55000000000000004">
      <c r="W35618"/>
    </row>
    <row r="35619" spans="23:23" x14ac:dyDescent="0.55000000000000004">
      <c r="W35619"/>
    </row>
    <row r="35620" spans="23:23" x14ac:dyDescent="0.55000000000000004">
      <c r="W35620"/>
    </row>
    <row r="35621" spans="23:23" x14ac:dyDescent="0.55000000000000004">
      <c r="W35621"/>
    </row>
    <row r="35622" spans="23:23" x14ac:dyDescent="0.55000000000000004">
      <c r="W35622"/>
    </row>
    <row r="35623" spans="23:23" x14ac:dyDescent="0.55000000000000004">
      <c r="W35623"/>
    </row>
    <row r="35624" spans="23:23" x14ac:dyDescent="0.55000000000000004">
      <c r="W35624"/>
    </row>
    <row r="35625" spans="23:23" x14ac:dyDescent="0.55000000000000004">
      <c r="W35625"/>
    </row>
    <row r="35626" spans="23:23" x14ac:dyDescent="0.55000000000000004">
      <c r="W35626"/>
    </row>
    <row r="35627" spans="23:23" x14ac:dyDescent="0.55000000000000004">
      <c r="W35627"/>
    </row>
    <row r="35628" spans="23:23" x14ac:dyDescent="0.55000000000000004">
      <c r="W35628"/>
    </row>
    <row r="35629" spans="23:23" x14ac:dyDescent="0.55000000000000004">
      <c r="W35629"/>
    </row>
    <row r="35630" spans="23:23" x14ac:dyDescent="0.55000000000000004">
      <c r="W35630"/>
    </row>
    <row r="35631" spans="23:23" x14ac:dyDescent="0.55000000000000004">
      <c r="W35631"/>
    </row>
    <row r="35632" spans="23:23" x14ac:dyDescent="0.55000000000000004">
      <c r="W35632"/>
    </row>
    <row r="35633" spans="23:23" x14ac:dyDescent="0.55000000000000004">
      <c r="W35633"/>
    </row>
    <row r="35634" spans="23:23" x14ac:dyDescent="0.55000000000000004">
      <c r="W35634"/>
    </row>
    <row r="35635" spans="23:23" x14ac:dyDescent="0.55000000000000004">
      <c r="W35635"/>
    </row>
    <row r="35636" spans="23:23" x14ac:dyDescent="0.55000000000000004">
      <c r="W35636"/>
    </row>
    <row r="35637" spans="23:23" x14ac:dyDescent="0.55000000000000004">
      <c r="W35637"/>
    </row>
    <row r="35638" spans="23:23" x14ac:dyDescent="0.55000000000000004">
      <c r="W35638"/>
    </row>
    <row r="35639" spans="23:23" x14ac:dyDescent="0.55000000000000004">
      <c r="W35639"/>
    </row>
    <row r="35640" spans="23:23" x14ac:dyDescent="0.55000000000000004">
      <c r="W35640"/>
    </row>
    <row r="35641" spans="23:23" x14ac:dyDescent="0.55000000000000004">
      <c r="W35641"/>
    </row>
    <row r="35642" spans="23:23" x14ac:dyDescent="0.55000000000000004">
      <c r="W35642"/>
    </row>
    <row r="35643" spans="23:23" x14ac:dyDescent="0.55000000000000004">
      <c r="W35643"/>
    </row>
    <row r="35644" spans="23:23" x14ac:dyDescent="0.55000000000000004">
      <c r="W35644"/>
    </row>
    <row r="35645" spans="23:23" x14ac:dyDescent="0.55000000000000004">
      <c r="W35645"/>
    </row>
    <row r="35646" spans="23:23" x14ac:dyDescent="0.55000000000000004">
      <c r="W35646"/>
    </row>
    <row r="35647" spans="23:23" x14ac:dyDescent="0.55000000000000004">
      <c r="W35647"/>
    </row>
    <row r="35648" spans="23:23" x14ac:dyDescent="0.55000000000000004">
      <c r="W35648"/>
    </row>
    <row r="35649" spans="23:23" x14ac:dyDescent="0.55000000000000004">
      <c r="W35649"/>
    </row>
    <row r="35650" spans="23:23" x14ac:dyDescent="0.55000000000000004">
      <c r="W35650"/>
    </row>
    <row r="35651" spans="23:23" x14ac:dyDescent="0.55000000000000004">
      <c r="W35651"/>
    </row>
    <row r="35652" spans="23:23" x14ac:dyDescent="0.55000000000000004">
      <c r="W35652"/>
    </row>
    <row r="35653" spans="23:23" x14ac:dyDescent="0.55000000000000004">
      <c r="W35653"/>
    </row>
    <row r="35654" spans="23:23" x14ac:dyDescent="0.55000000000000004">
      <c r="W35654"/>
    </row>
    <row r="35655" spans="23:23" x14ac:dyDescent="0.55000000000000004">
      <c r="W35655"/>
    </row>
    <row r="35656" spans="23:23" x14ac:dyDescent="0.55000000000000004">
      <c r="W35656"/>
    </row>
    <row r="35657" spans="23:23" x14ac:dyDescent="0.55000000000000004">
      <c r="W35657"/>
    </row>
    <row r="35658" spans="23:23" x14ac:dyDescent="0.55000000000000004">
      <c r="W35658"/>
    </row>
    <row r="35659" spans="23:23" x14ac:dyDescent="0.55000000000000004">
      <c r="W35659"/>
    </row>
    <row r="35660" spans="23:23" x14ac:dyDescent="0.55000000000000004">
      <c r="W35660"/>
    </row>
    <row r="35661" spans="23:23" x14ac:dyDescent="0.55000000000000004">
      <c r="W35661"/>
    </row>
    <row r="35662" spans="23:23" x14ac:dyDescent="0.55000000000000004">
      <c r="W35662"/>
    </row>
    <row r="35663" spans="23:23" x14ac:dyDescent="0.55000000000000004">
      <c r="W35663"/>
    </row>
    <row r="35664" spans="23:23" x14ac:dyDescent="0.55000000000000004">
      <c r="W35664"/>
    </row>
    <row r="35665" spans="23:23" x14ac:dyDescent="0.55000000000000004">
      <c r="W35665"/>
    </row>
    <row r="35666" spans="23:23" x14ac:dyDescent="0.55000000000000004">
      <c r="W35666"/>
    </row>
    <row r="35667" spans="23:23" x14ac:dyDescent="0.55000000000000004">
      <c r="W35667"/>
    </row>
    <row r="35668" spans="23:23" x14ac:dyDescent="0.55000000000000004">
      <c r="W35668"/>
    </row>
    <row r="35669" spans="23:23" x14ac:dyDescent="0.55000000000000004">
      <c r="W35669"/>
    </row>
    <row r="35670" spans="23:23" x14ac:dyDescent="0.55000000000000004">
      <c r="W35670"/>
    </row>
    <row r="35671" spans="23:23" x14ac:dyDescent="0.55000000000000004">
      <c r="W35671"/>
    </row>
    <row r="35672" spans="23:23" x14ac:dyDescent="0.55000000000000004">
      <c r="W35672"/>
    </row>
    <row r="35673" spans="23:23" x14ac:dyDescent="0.55000000000000004">
      <c r="W35673"/>
    </row>
    <row r="35674" spans="23:23" x14ac:dyDescent="0.55000000000000004">
      <c r="W35674"/>
    </row>
    <row r="35675" spans="23:23" x14ac:dyDescent="0.55000000000000004">
      <c r="W35675"/>
    </row>
    <row r="35676" spans="23:23" x14ac:dyDescent="0.55000000000000004">
      <c r="W35676"/>
    </row>
    <row r="35677" spans="23:23" x14ac:dyDescent="0.55000000000000004">
      <c r="W35677"/>
    </row>
    <row r="35678" spans="23:23" x14ac:dyDescent="0.55000000000000004">
      <c r="W35678"/>
    </row>
    <row r="35679" spans="23:23" x14ac:dyDescent="0.55000000000000004">
      <c r="W35679"/>
    </row>
    <row r="35680" spans="23:23" x14ac:dyDescent="0.55000000000000004">
      <c r="W35680"/>
    </row>
    <row r="35681" spans="23:23" x14ac:dyDescent="0.55000000000000004">
      <c r="W35681"/>
    </row>
    <row r="35682" spans="23:23" x14ac:dyDescent="0.55000000000000004">
      <c r="W35682"/>
    </row>
    <row r="35683" spans="23:23" x14ac:dyDescent="0.55000000000000004">
      <c r="W35683"/>
    </row>
    <row r="35684" spans="23:23" x14ac:dyDescent="0.55000000000000004">
      <c r="W35684"/>
    </row>
    <row r="35685" spans="23:23" x14ac:dyDescent="0.55000000000000004">
      <c r="W35685"/>
    </row>
    <row r="35686" spans="23:23" x14ac:dyDescent="0.55000000000000004">
      <c r="W35686"/>
    </row>
    <row r="35687" spans="23:23" x14ac:dyDescent="0.55000000000000004">
      <c r="W35687"/>
    </row>
    <row r="35688" spans="23:23" x14ac:dyDescent="0.55000000000000004">
      <c r="W35688"/>
    </row>
    <row r="35689" spans="23:23" x14ac:dyDescent="0.55000000000000004">
      <c r="W35689"/>
    </row>
    <row r="35690" spans="23:23" x14ac:dyDescent="0.55000000000000004">
      <c r="W35690"/>
    </row>
    <row r="35691" spans="23:23" x14ac:dyDescent="0.55000000000000004">
      <c r="W35691"/>
    </row>
    <row r="35692" spans="23:23" x14ac:dyDescent="0.55000000000000004">
      <c r="W35692"/>
    </row>
    <row r="35693" spans="23:23" x14ac:dyDescent="0.55000000000000004">
      <c r="W35693"/>
    </row>
    <row r="35694" spans="23:23" x14ac:dyDescent="0.55000000000000004">
      <c r="W35694"/>
    </row>
    <row r="35695" spans="23:23" x14ac:dyDescent="0.55000000000000004">
      <c r="W35695"/>
    </row>
    <row r="35696" spans="23:23" x14ac:dyDescent="0.55000000000000004">
      <c r="W35696"/>
    </row>
    <row r="35697" spans="23:23" x14ac:dyDescent="0.55000000000000004">
      <c r="W35697"/>
    </row>
    <row r="35698" spans="23:23" x14ac:dyDescent="0.55000000000000004">
      <c r="W35698"/>
    </row>
    <row r="35699" spans="23:23" x14ac:dyDescent="0.55000000000000004">
      <c r="W35699"/>
    </row>
    <row r="35700" spans="23:23" x14ac:dyDescent="0.55000000000000004">
      <c r="W35700"/>
    </row>
    <row r="35701" spans="23:23" x14ac:dyDescent="0.55000000000000004">
      <c r="W35701"/>
    </row>
    <row r="35702" spans="23:23" x14ac:dyDescent="0.55000000000000004">
      <c r="W35702"/>
    </row>
    <row r="35703" spans="23:23" x14ac:dyDescent="0.55000000000000004">
      <c r="W35703"/>
    </row>
    <row r="35704" spans="23:23" x14ac:dyDescent="0.55000000000000004">
      <c r="W35704"/>
    </row>
    <row r="35705" spans="23:23" x14ac:dyDescent="0.55000000000000004">
      <c r="W35705"/>
    </row>
    <row r="35706" spans="23:23" x14ac:dyDescent="0.55000000000000004">
      <c r="W35706"/>
    </row>
    <row r="35707" spans="23:23" x14ac:dyDescent="0.55000000000000004">
      <c r="W35707"/>
    </row>
    <row r="35708" spans="23:23" x14ac:dyDescent="0.55000000000000004">
      <c r="W35708"/>
    </row>
    <row r="35709" spans="23:23" x14ac:dyDescent="0.55000000000000004">
      <c r="W35709"/>
    </row>
    <row r="35710" spans="23:23" x14ac:dyDescent="0.55000000000000004">
      <c r="W35710"/>
    </row>
    <row r="35711" spans="23:23" x14ac:dyDescent="0.55000000000000004">
      <c r="W35711"/>
    </row>
    <row r="35712" spans="23:23" x14ac:dyDescent="0.55000000000000004">
      <c r="W35712"/>
    </row>
    <row r="35713" spans="23:23" x14ac:dyDescent="0.55000000000000004">
      <c r="W35713"/>
    </row>
    <row r="35714" spans="23:23" x14ac:dyDescent="0.55000000000000004">
      <c r="W35714"/>
    </row>
    <row r="35715" spans="23:23" x14ac:dyDescent="0.55000000000000004">
      <c r="W35715"/>
    </row>
    <row r="35716" spans="23:23" x14ac:dyDescent="0.55000000000000004">
      <c r="W35716"/>
    </row>
    <row r="35717" spans="23:23" x14ac:dyDescent="0.55000000000000004">
      <c r="W35717"/>
    </row>
    <row r="35718" spans="23:23" x14ac:dyDescent="0.55000000000000004">
      <c r="W35718"/>
    </row>
    <row r="35719" spans="23:23" x14ac:dyDescent="0.55000000000000004">
      <c r="W35719"/>
    </row>
    <row r="35720" spans="23:23" x14ac:dyDescent="0.55000000000000004">
      <c r="W35720"/>
    </row>
    <row r="35721" spans="23:23" x14ac:dyDescent="0.55000000000000004">
      <c r="W35721"/>
    </row>
    <row r="35722" spans="23:23" x14ac:dyDescent="0.55000000000000004">
      <c r="W35722"/>
    </row>
    <row r="35723" spans="23:23" x14ac:dyDescent="0.55000000000000004">
      <c r="W35723"/>
    </row>
    <row r="35724" spans="23:23" x14ac:dyDescent="0.55000000000000004">
      <c r="W35724"/>
    </row>
    <row r="35725" spans="23:23" x14ac:dyDescent="0.55000000000000004">
      <c r="W35725"/>
    </row>
    <row r="35726" spans="23:23" x14ac:dyDescent="0.55000000000000004">
      <c r="W35726"/>
    </row>
    <row r="35727" spans="23:23" x14ac:dyDescent="0.55000000000000004">
      <c r="W35727"/>
    </row>
    <row r="35728" spans="23:23" x14ac:dyDescent="0.55000000000000004">
      <c r="W35728"/>
    </row>
    <row r="35729" spans="23:23" x14ac:dyDescent="0.55000000000000004">
      <c r="W35729"/>
    </row>
    <row r="35730" spans="23:23" x14ac:dyDescent="0.55000000000000004">
      <c r="W35730"/>
    </row>
    <row r="35731" spans="23:23" x14ac:dyDescent="0.55000000000000004">
      <c r="W35731"/>
    </row>
    <row r="35732" spans="23:23" x14ac:dyDescent="0.55000000000000004">
      <c r="W35732"/>
    </row>
    <row r="35733" spans="23:23" x14ac:dyDescent="0.55000000000000004">
      <c r="W35733"/>
    </row>
    <row r="35734" spans="23:23" x14ac:dyDescent="0.55000000000000004">
      <c r="W35734"/>
    </row>
    <row r="35735" spans="23:23" x14ac:dyDescent="0.55000000000000004">
      <c r="W35735"/>
    </row>
    <row r="35736" spans="23:23" x14ac:dyDescent="0.55000000000000004">
      <c r="W35736"/>
    </row>
    <row r="35737" spans="23:23" x14ac:dyDescent="0.55000000000000004">
      <c r="W35737"/>
    </row>
    <row r="35738" spans="23:23" x14ac:dyDescent="0.55000000000000004">
      <c r="W35738"/>
    </row>
    <row r="35739" spans="23:23" x14ac:dyDescent="0.55000000000000004">
      <c r="W35739"/>
    </row>
    <row r="35740" spans="23:23" x14ac:dyDescent="0.55000000000000004">
      <c r="W35740"/>
    </row>
    <row r="35741" spans="23:23" x14ac:dyDescent="0.55000000000000004">
      <c r="W35741"/>
    </row>
    <row r="35742" spans="23:23" x14ac:dyDescent="0.55000000000000004">
      <c r="W35742"/>
    </row>
    <row r="35743" spans="23:23" x14ac:dyDescent="0.55000000000000004">
      <c r="W35743"/>
    </row>
    <row r="35744" spans="23:23" x14ac:dyDescent="0.55000000000000004">
      <c r="W35744"/>
    </row>
    <row r="35745" spans="23:23" x14ac:dyDescent="0.55000000000000004">
      <c r="W35745"/>
    </row>
    <row r="35746" spans="23:23" x14ac:dyDescent="0.55000000000000004">
      <c r="W35746"/>
    </row>
    <row r="35747" spans="23:23" x14ac:dyDescent="0.55000000000000004">
      <c r="W35747"/>
    </row>
    <row r="35748" spans="23:23" x14ac:dyDescent="0.55000000000000004">
      <c r="W35748"/>
    </row>
    <row r="35749" spans="23:23" x14ac:dyDescent="0.55000000000000004">
      <c r="W35749"/>
    </row>
    <row r="35750" spans="23:23" x14ac:dyDescent="0.55000000000000004">
      <c r="W35750"/>
    </row>
    <row r="35751" spans="23:23" x14ac:dyDescent="0.55000000000000004">
      <c r="W35751"/>
    </row>
    <row r="35752" spans="23:23" x14ac:dyDescent="0.55000000000000004">
      <c r="W35752"/>
    </row>
    <row r="35753" spans="23:23" x14ac:dyDescent="0.55000000000000004">
      <c r="W35753"/>
    </row>
    <row r="35754" spans="23:23" x14ac:dyDescent="0.55000000000000004">
      <c r="W35754"/>
    </row>
    <row r="35755" spans="23:23" x14ac:dyDescent="0.55000000000000004">
      <c r="W35755"/>
    </row>
    <row r="35756" spans="23:23" x14ac:dyDescent="0.55000000000000004">
      <c r="W35756"/>
    </row>
    <row r="35757" spans="23:23" x14ac:dyDescent="0.55000000000000004">
      <c r="W35757"/>
    </row>
    <row r="35758" spans="23:23" x14ac:dyDescent="0.55000000000000004">
      <c r="W35758"/>
    </row>
    <row r="35759" spans="23:23" x14ac:dyDescent="0.55000000000000004">
      <c r="W35759"/>
    </row>
    <row r="35760" spans="23:23" x14ac:dyDescent="0.55000000000000004">
      <c r="W35760"/>
    </row>
    <row r="35761" spans="23:23" x14ac:dyDescent="0.55000000000000004">
      <c r="W35761"/>
    </row>
    <row r="35762" spans="23:23" x14ac:dyDescent="0.55000000000000004">
      <c r="W35762"/>
    </row>
    <row r="35763" spans="23:23" x14ac:dyDescent="0.55000000000000004">
      <c r="W35763"/>
    </row>
    <row r="35764" spans="23:23" x14ac:dyDescent="0.55000000000000004">
      <c r="W35764"/>
    </row>
    <row r="35765" spans="23:23" x14ac:dyDescent="0.55000000000000004">
      <c r="W35765"/>
    </row>
    <row r="35766" spans="23:23" x14ac:dyDescent="0.55000000000000004">
      <c r="W35766"/>
    </row>
    <row r="35767" spans="23:23" x14ac:dyDescent="0.55000000000000004">
      <c r="W35767"/>
    </row>
    <row r="35768" spans="23:23" x14ac:dyDescent="0.55000000000000004">
      <c r="W35768"/>
    </row>
    <row r="35769" spans="23:23" x14ac:dyDescent="0.55000000000000004">
      <c r="W35769"/>
    </row>
    <row r="35770" spans="23:23" x14ac:dyDescent="0.55000000000000004">
      <c r="W35770"/>
    </row>
    <row r="35771" spans="23:23" x14ac:dyDescent="0.55000000000000004">
      <c r="W35771"/>
    </row>
    <row r="35772" spans="23:23" x14ac:dyDescent="0.55000000000000004">
      <c r="W35772"/>
    </row>
    <row r="35773" spans="23:23" x14ac:dyDescent="0.55000000000000004">
      <c r="W35773"/>
    </row>
    <row r="35774" spans="23:23" x14ac:dyDescent="0.55000000000000004">
      <c r="W35774"/>
    </row>
    <row r="35775" spans="23:23" x14ac:dyDescent="0.55000000000000004">
      <c r="W35775"/>
    </row>
    <row r="35776" spans="23:23" x14ac:dyDescent="0.55000000000000004">
      <c r="W35776"/>
    </row>
    <row r="35777" spans="23:23" x14ac:dyDescent="0.55000000000000004">
      <c r="W35777"/>
    </row>
    <row r="35778" spans="23:23" x14ac:dyDescent="0.55000000000000004">
      <c r="W35778"/>
    </row>
    <row r="35779" spans="23:23" x14ac:dyDescent="0.55000000000000004">
      <c r="W35779"/>
    </row>
    <row r="35780" spans="23:23" x14ac:dyDescent="0.55000000000000004">
      <c r="W35780"/>
    </row>
    <row r="35781" spans="23:23" x14ac:dyDescent="0.55000000000000004">
      <c r="W35781"/>
    </row>
    <row r="35782" spans="23:23" x14ac:dyDescent="0.55000000000000004">
      <c r="W35782"/>
    </row>
    <row r="35783" spans="23:23" x14ac:dyDescent="0.55000000000000004">
      <c r="W35783"/>
    </row>
    <row r="35784" spans="23:23" x14ac:dyDescent="0.55000000000000004">
      <c r="W35784"/>
    </row>
    <row r="35785" spans="23:23" x14ac:dyDescent="0.55000000000000004">
      <c r="W35785"/>
    </row>
    <row r="35786" spans="23:23" x14ac:dyDescent="0.55000000000000004">
      <c r="W35786"/>
    </row>
    <row r="35787" spans="23:23" x14ac:dyDescent="0.55000000000000004">
      <c r="W35787"/>
    </row>
    <row r="35788" spans="23:23" x14ac:dyDescent="0.55000000000000004">
      <c r="W35788"/>
    </row>
    <row r="35789" spans="23:23" x14ac:dyDescent="0.55000000000000004">
      <c r="W35789"/>
    </row>
    <row r="35790" spans="23:23" x14ac:dyDescent="0.55000000000000004">
      <c r="W35790"/>
    </row>
    <row r="35791" spans="23:23" x14ac:dyDescent="0.55000000000000004">
      <c r="W35791"/>
    </row>
    <row r="35792" spans="23:23" x14ac:dyDescent="0.55000000000000004">
      <c r="W35792"/>
    </row>
    <row r="35793" spans="23:23" x14ac:dyDescent="0.55000000000000004">
      <c r="W35793"/>
    </row>
    <row r="35794" spans="23:23" x14ac:dyDescent="0.55000000000000004">
      <c r="W35794"/>
    </row>
    <row r="35795" spans="23:23" x14ac:dyDescent="0.55000000000000004">
      <c r="W35795"/>
    </row>
    <row r="35796" spans="23:23" x14ac:dyDescent="0.55000000000000004">
      <c r="W35796"/>
    </row>
    <row r="35797" spans="23:23" x14ac:dyDescent="0.55000000000000004">
      <c r="W35797"/>
    </row>
    <row r="35798" spans="23:23" x14ac:dyDescent="0.55000000000000004">
      <c r="W35798"/>
    </row>
    <row r="35799" spans="23:23" x14ac:dyDescent="0.55000000000000004">
      <c r="W35799"/>
    </row>
    <row r="35800" spans="23:23" x14ac:dyDescent="0.55000000000000004">
      <c r="W35800"/>
    </row>
    <row r="35801" spans="23:23" x14ac:dyDescent="0.55000000000000004">
      <c r="W35801"/>
    </row>
    <row r="35802" spans="23:23" x14ac:dyDescent="0.55000000000000004">
      <c r="W35802"/>
    </row>
    <row r="35803" spans="23:23" x14ac:dyDescent="0.55000000000000004">
      <c r="W35803"/>
    </row>
    <row r="35804" spans="23:23" x14ac:dyDescent="0.55000000000000004">
      <c r="W35804"/>
    </row>
    <row r="35805" spans="23:23" x14ac:dyDescent="0.55000000000000004">
      <c r="W35805"/>
    </row>
    <row r="35806" spans="23:23" x14ac:dyDescent="0.55000000000000004">
      <c r="W35806"/>
    </row>
    <row r="35807" spans="23:23" x14ac:dyDescent="0.55000000000000004">
      <c r="W35807"/>
    </row>
    <row r="35808" spans="23:23" x14ac:dyDescent="0.55000000000000004">
      <c r="W35808"/>
    </row>
    <row r="35809" spans="23:23" x14ac:dyDescent="0.55000000000000004">
      <c r="W35809"/>
    </row>
    <row r="35810" spans="23:23" x14ac:dyDescent="0.55000000000000004">
      <c r="W35810"/>
    </row>
    <row r="35811" spans="23:23" x14ac:dyDescent="0.55000000000000004">
      <c r="W35811"/>
    </row>
    <row r="35812" spans="23:23" x14ac:dyDescent="0.55000000000000004">
      <c r="W35812"/>
    </row>
    <row r="35813" spans="23:23" x14ac:dyDescent="0.55000000000000004">
      <c r="W35813"/>
    </row>
    <row r="35814" spans="23:23" x14ac:dyDescent="0.55000000000000004">
      <c r="W35814"/>
    </row>
    <row r="35815" spans="23:23" x14ac:dyDescent="0.55000000000000004">
      <c r="W35815"/>
    </row>
    <row r="35816" spans="23:23" x14ac:dyDescent="0.55000000000000004">
      <c r="W35816"/>
    </row>
    <row r="35817" spans="23:23" x14ac:dyDescent="0.55000000000000004">
      <c r="W35817"/>
    </row>
    <row r="35818" spans="23:23" x14ac:dyDescent="0.55000000000000004">
      <c r="W35818"/>
    </row>
    <row r="35819" spans="23:23" x14ac:dyDescent="0.55000000000000004">
      <c r="W35819"/>
    </row>
    <row r="35820" spans="23:23" x14ac:dyDescent="0.55000000000000004">
      <c r="W35820"/>
    </row>
    <row r="35821" spans="23:23" x14ac:dyDescent="0.55000000000000004">
      <c r="W35821"/>
    </row>
    <row r="35822" spans="23:23" x14ac:dyDescent="0.55000000000000004">
      <c r="W35822"/>
    </row>
    <row r="35823" spans="23:23" x14ac:dyDescent="0.55000000000000004">
      <c r="W35823"/>
    </row>
    <row r="35824" spans="23:23" x14ac:dyDescent="0.55000000000000004">
      <c r="W35824"/>
    </row>
    <row r="35825" spans="23:23" x14ac:dyDescent="0.55000000000000004">
      <c r="W35825"/>
    </row>
    <row r="35826" spans="23:23" x14ac:dyDescent="0.55000000000000004">
      <c r="W35826"/>
    </row>
    <row r="35827" spans="23:23" x14ac:dyDescent="0.55000000000000004">
      <c r="W35827"/>
    </row>
    <row r="35828" spans="23:23" x14ac:dyDescent="0.55000000000000004">
      <c r="W35828"/>
    </row>
    <row r="35829" spans="23:23" x14ac:dyDescent="0.55000000000000004">
      <c r="W35829"/>
    </row>
    <row r="35830" spans="23:23" x14ac:dyDescent="0.55000000000000004">
      <c r="W35830"/>
    </row>
    <row r="35831" spans="23:23" x14ac:dyDescent="0.55000000000000004">
      <c r="W35831"/>
    </row>
    <row r="35832" spans="23:23" x14ac:dyDescent="0.55000000000000004">
      <c r="W35832"/>
    </row>
    <row r="35833" spans="23:23" x14ac:dyDescent="0.55000000000000004">
      <c r="W35833"/>
    </row>
    <row r="35834" spans="23:23" x14ac:dyDescent="0.55000000000000004">
      <c r="W35834"/>
    </row>
    <row r="35835" spans="23:23" x14ac:dyDescent="0.55000000000000004">
      <c r="W35835"/>
    </row>
    <row r="35836" spans="23:23" x14ac:dyDescent="0.55000000000000004">
      <c r="W35836"/>
    </row>
    <row r="35837" spans="23:23" x14ac:dyDescent="0.55000000000000004">
      <c r="W35837"/>
    </row>
    <row r="35838" spans="23:23" x14ac:dyDescent="0.55000000000000004">
      <c r="W35838"/>
    </row>
    <row r="35839" spans="23:23" x14ac:dyDescent="0.55000000000000004">
      <c r="W35839"/>
    </row>
    <row r="35840" spans="23:23" x14ac:dyDescent="0.55000000000000004">
      <c r="W35840"/>
    </row>
    <row r="35841" spans="23:23" x14ac:dyDescent="0.55000000000000004">
      <c r="W35841"/>
    </row>
    <row r="35842" spans="23:23" x14ac:dyDescent="0.55000000000000004">
      <c r="W35842"/>
    </row>
    <row r="35843" spans="23:23" x14ac:dyDescent="0.55000000000000004">
      <c r="W35843"/>
    </row>
    <row r="35844" spans="23:23" x14ac:dyDescent="0.55000000000000004">
      <c r="W35844"/>
    </row>
    <row r="35845" spans="23:23" x14ac:dyDescent="0.55000000000000004">
      <c r="W35845"/>
    </row>
    <row r="35846" spans="23:23" x14ac:dyDescent="0.55000000000000004">
      <c r="W35846"/>
    </row>
    <row r="35847" spans="23:23" x14ac:dyDescent="0.55000000000000004">
      <c r="W35847"/>
    </row>
    <row r="35848" spans="23:23" x14ac:dyDescent="0.55000000000000004">
      <c r="W35848"/>
    </row>
    <row r="35849" spans="23:23" x14ac:dyDescent="0.55000000000000004">
      <c r="W35849"/>
    </row>
    <row r="35850" spans="23:23" x14ac:dyDescent="0.55000000000000004">
      <c r="W35850"/>
    </row>
    <row r="35851" spans="23:23" x14ac:dyDescent="0.55000000000000004">
      <c r="W35851"/>
    </row>
    <row r="35852" spans="23:23" x14ac:dyDescent="0.55000000000000004">
      <c r="W35852"/>
    </row>
    <row r="35853" spans="23:23" x14ac:dyDescent="0.55000000000000004">
      <c r="W35853"/>
    </row>
    <row r="35854" spans="23:23" x14ac:dyDescent="0.55000000000000004">
      <c r="W35854"/>
    </row>
    <row r="35855" spans="23:23" x14ac:dyDescent="0.55000000000000004">
      <c r="W35855"/>
    </row>
    <row r="35856" spans="23:23" x14ac:dyDescent="0.55000000000000004">
      <c r="W35856"/>
    </row>
    <row r="35857" spans="23:23" x14ac:dyDescent="0.55000000000000004">
      <c r="W35857"/>
    </row>
    <row r="35858" spans="23:23" x14ac:dyDescent="0.55000000000000004">
      <c r="W35858"/>
    </row>
    <row r="35859" spans="23:23" x14ac:dyDescent="0.55000000000000004">
      <c r="W35859"/>
    </row>
    <row r="35860" spans="23:23" x14ac:dyDescent="0.55000000000000004">
      <c r="W35860"/>
    </row>
    <row r="35861" spans="23:23" x14ac:dyDescent="0.55000000000000004">
      <c r="W35861"/>
    </row>
    <row r="35862" spans="23:23" x14ac:dyDescent="0.55000000000000004">
      <c r="W35862"/>
    </row>
    <row r="35863" spans="23:23" x14ac:dyDescent="0.55000000000000004">
      <c r="W35863"/>
    </row>
    <row r="35864" spans="23:23" x14ac:dyDescent="0.55000000000000004">
      <c r="W35864"/>
    </row>
    <row r="35865" spans="23:23" x14ac:dyDescent="0.55000000000000004">
      <c r="W35865"/>
    </row>
    <row r="35866" spans="23:23" x14ac:dyDescent="0.55000000000000004">
      <c r="W35866"/>
    </row>
    <row r="35867" spans="23:23" x14ac:dyDescent="0.55000000000000004">
      <c r="W35867"/>
    </row>
    <row r="35868" spans="23:23" x14ac:dyDescent="0.55000000000000004">
      <c r="W35868"/>
    </row>
    <row r="35869" spans="23:23" x14ac:dyDescent="0.55000000000000004">
      <c r="W35869"/>
    </row>
    <row r="35870" spans="23:23" x14ac:dyDescent="0.55000000000000004">
      <c r="W35870"/>
    </row>
    <row r="35871" spans="23:23" x14ac:dyDescent="0.55000000000000004">
      <c r="W35871"/>
    </row>
    <row r="35872" spans="23:23" x14ac:dyDescent="0.55000000000000004">
      <c r="W35872"/>
    </row>
    <row r="35873" spans="23:23" x14ac:dyDescent="0.55000000000000004">
      <c r="W35873"/>
    </row>
    <row r="35874" spans="23:23" x14ac:dyDescent="0.55000000000000004">
      <c r="W35874"/>
    </row>
    <row r="35875" spans="23:23" x14ac:dyDescent="0.55000000000000004">
      <c r="W35875"/>
    </row>
    <row r="35876" spans="23:23" x14ac:dyDescent="0.55000000000000004">
      <c r="W35876"/>
    </row>
    <row r="35877" spans="23:23" x14ac:dyDescent="0.55000000000000004">
      <c r="W35877"/>
    </row>
    <row r="35878" spans="23:23" x14ac:dyDescent="0.55000000000000004">
      <c r="W35878"/>
    </row>
    <row r="35879" spans="23:23" x14ac:dyDescent="0.55000000000000004">
      <c r="W35879"/>
    </row>
    <row r="35880" spans="23:23" x14ac:dyDescent="0.55000000000000004">
      <c r="W35880"/>
    </row>
    <row r="35881" spans="23:23" x14ac:dyDescent="0.55000000000000004">
      <c r="W35881"/>
    </row>
    <row r="35882" spans="23:23" x14ac:dyDescent="0.55000000000000004">
      <c r="W35882"/>
    </row>
    <row r="35883" spans="23:23" x14ac:dyDescent="0.55000000000000004">
      <c r="W35883"/>
    </row>
    <row r="35884" spans="23:23" x14ac:dyDescent="0.55000000000000004">
      <c r="W35884"/>
    </row>
    <row r="35885" spans="23:23" x14ac:dyDescent="0.55000000000000004">
      <c r="W35885"/>
    </row>
    <row r="35886" spans="23:23" x14ac:dyDescent="0.55000000000000004">
      <c r="W35886"/>
    </row>
    <row r="35887" spans="23:23" x14ac:dyDescent="0.55000000000000004">
      <c r="W35887"/>
    </row>
    <row r="35888" spans="23:23" x14ac:dyDescent="0.55000000000000004">
      <c r="W35888"/>
    </row>
    <row r="35889" spans="23:23" x14ac:dyDescent="0.55000000000000004">
      <c r="W35889"/>
    </row>
    <row r="35890" spans="23:23" x14ac:dyDescent="0.55000000000000004">
      <c r="W35890"/>
    </row>
    <row r="35891" spans="23:23" x14ac:dyDescent="0.55000000000000004">
      <c r="W35891"/>
    </row>
    <row r="35892" spans="23:23" x14ac:dyDescent="0.55000000000000004">
      <c r="W35892"/>
    </row>
    <row r="35893" spans="23:23" x14ac:dyDescent="0.55000000000000004">
      <c r="W35893"/>
    </row>
    <row r="35894" spans="23:23" x14ac:dyDescent="0.55000000000000004">
      <c r="W35894"/>
    </row>
    <row r="35895" spans="23:23" x14ac:dyDescent="0.55000000000000004">
      <c r="W35895"/>
    </row>
    <row r="35896" spans="23:23" x14ac:dyDescent="0.55000000000000004">
      <c r="W35896"/>
    </row>
    <row r="35897" spans="23:23" x14ac:dyDescent="0.55000000000000004">
      <c r="W35897"/>
    </row>
    <row r="35898" spans="23:23" x14ac:dyDescent="0.55000000000000004">
      <c r="W35898"/>
    </row>
    <row r="35899" spans="23:23" x14ac:dyDescent="0.55000000000000004">
      <c r="W35899"/>
    </row>
    <row r="35900" spans="23:23" x14ac:dyDescent="0.55000000000000004">
      <c r="W35900"/>
    </row>
    <row r="35901" spans="23:23" x14ac:dyDescent="0.55000000000000004">
      <c r="W35901"/>
    </row>
    <row r="35902" spans="23:23" x14ac:dyDescent="0.55000000000000004">
      <c r="W35902"/>
    </row>
    <row r="35903" spans="23:23" x14ac:dyDescent="0.55000000000000004">
      <c r="W35903"/>
    </row>
    <row r="35904" spans="23:23" x14ac:dyDescent="0.55000000000000004">
      <c r="W35904"/>
    </row>
    <row r="35905" spans="23:23" x14ac:dyDescent="0.55000000000000004">
      <c r="W35905"/>
    </row>
    <row r="35906" spans="23:23" x14ac:dyDescent="0.55000000000000004">
      <c r="W35906"/>
    </row>
    <row r="35907" spans="23:23" x14ac:dyDescent="0.55000000000000004">
      <c r="W35907"/>
    </row>
    <row r="35908" spans="23:23" x14ac:dyDescent="0.55000000000000004">
      <c r="W35908"/>
    </row>
    <row r="35909" spans="23:23" x14ac:dyDescent="0.55000000000000004">
      <c r="W35909"/>
    </row>
    <row r="35910" spans="23:23" x14ac:dyDescent="0.55000000000000004">
      <c r="W35910"/>
    </row>
    <row r="35911" spans="23:23" x14ac:dyDescent="0.55000000000000004">
      <c r="W35911"/>
    </row>
    <row r="35912" spans="23:23" x14ac:dyDescent="0.55000000000000004">
      <c r="W35912"/>
    </row>
    <row r="35913" spans="23:23" x14ac:dyDescent="0.55000000000000004">
      <c r="W35913"/>
    </row>
    <row r="35914" spans="23:23" x14ac:dyDescent="0.55000000000000004">
      <c r="W35914"/>
    </row>
    <row r="35915" spans="23:23" x14ac:dyDescent="0.55000000000000004">
      <c r="W35915"/>
    </row>
    <row r="35916" spans="23:23" x14ac:dyDescent="0.55000000000000004">
      <c r="W35916"/>
    </row>
    <row r="35917" spans="23:23" x14ac:dyDescent="0.55000000000000004">
      <c r="W35917"/>
    </row>
    <row r="35918" spans="23:23" x14ac:dyDescent="0.55000000000000004">
      <c r="W35918"/>
    </row>
    <row r="35919" spans="23:23" x14ac:dyDescent="0.55000000000000004">
      <c r="W35919"/>
    </row>
    <row r="35920" spans="23:23" x14ac:dyDescent="0.55000000000000004">
      <c r="W35920"/>
    </row>
    <row r="35921" spans="23:23" x14ac:dyDescent="0.55000000000000004">
      <c r="W35921"/>
    </row>
    <row r="35922" spans="23:23" x14ac:dyDescent="0.55000000000000004">
      <c r="W35922"/>
    </row>
    <row r="35923" spans="23:23" x14ac:dyDescent="0.55000000000000004">
      <c r="W35923"/>
    </row>
    <row r="35924" spans="23:23" x14ac:dyDescent="0.55000000000000004">
      <c r="W35924"/>
    </row>
    <row r="35925" spans="23:23" x14ac:dyDescent="0.55000000000000004">
      <c r="W35925"/>
    </row>
    <row r="35926" spans="23:23" x14ac:dyDescent="0.55000000000000004">
      <c r="W35926"/>
    </row>
    <row r="35927" spans="23:23" x14ac:dyDescent="0.55000000000000004">
      <c r="W35927"/>
    </row>
    <row r="35928" spans="23:23" x14ac:dyDescent="0.55000000000000004">
      <c r="W35928"/>
    </row>
    <row r="35929" spans="23:23" x14ac:dyDescent="0.55000000000000004">
      <c r="W35929"/>
    </row>
    <row r="35930" spans="23:23" x14ac:dyDescent="0.55000000000000004">
      <c r="W35930"/>
    </row>
    <row r="35931" spans="23:23" x14ac:dyDescent="0.55000000000000004">
      <c r="W35931"/>
    </row>
    <row r="35932" spans="23:23" x14ac:dyDescent="0.55000000000000004">
      <c r="W35932"/>
    </row>
    <row r="35933" spans="23:23" x14ac:dyDescent="0.55000000000000004">
      <c r="W35933"/>
    </row>
    <row r="35934" spans="23:23" x14ac:dyDescent="0.55000000000000004">
      <c r="W35934"/>
    </row>
    <row r="35935" spans="23:23" x14ac:dyDescent="0.55000000000000004">
      <c r="W35935"/>
    </row>
    <row r="35936" spans="23:23" x14ac:dyDescent="0.55000000000000004">
      <c r="W35936"/>
    </row>
    <row r="35937" spans="23:23" x14ac:dyDescent="0.55000000000000004">
      <c r="W35937"/>
    </row>
    <row r="35938" spans="23:23" x14ac:dyDescent="0.55000000000000004">
      <c r="W35938"/>
    </row>
    <row r="35939" spans="23:23" x14ac:dyDescent="0.55000000000000004">
      <c r="W35939"/>
    </row>
    <row r="35940" spans="23:23" x14ac:dyDescent="0.55000000000000004">
      <c r="W35940"/>
    </row>
    <row r="35941" spans="23:23" x14ac:dyDescent="0.55000000000000004">
      <c r="W35941"/>
    </row>
    <row r="35942" spans="23:23" x14ac:dyDescent="0.55000000000000004">
      <c r="W35942"/>
    </row>
    <row r="35943" spans="23:23" x14ac:dyDescent="0.55000000000000004">
      <c r="W35943"/>
    </row>
    <row r="35944" spans="23:23" x14ac:dyDescent="0.55000000000000004">
      <c r="W35944"/>
    </row>
    <row r="35945" spans="23:23" x14ac:dyDescent="0.55000000000000004">
      <c r="W35945"/>
    </row>
    <row r="35946" spans="23:23" x14ac:dyDescent="0.55000000000000004">
      <c r="W35946"/>
    </row>
    <row r="35947" spans="23:23" x14ac:dyDescent="0.55000000000000004">
      <c r="W35947"/>
    </row>
    <row r="35948" spans="23:23" x14ac:dyDescent="0.55000000000000004">
      <c r="W35948"/>
    </row>
    <row r="35949" spans="23:23" x14ac:dyDescent="0.55000000000000004">
      <c r="W35949"/>
    </row>
    <row r="35950" spans="23:23" x14ac:dyDescent="0.55000000000000004">
      <c r="W35950"/>
    </row>
    <row r="35951" spans="23:23" x14ac:dyDescent="0.55000000000000004">
      <c r="W35951"/>
    </row>
    <row r="35952" spans="23:23" x14ac:dyDescent="0.55000000000000004">
      <c r="W35952"/>
    </row>
    <row r="35953" spans="23:23" x14ac:dyDescent="0.55000000000000004">
      <c r="W35953"/>
    </row>
    <row r="35954" spans="23:23" x14ac:dyDescent="0.55000000000000004">
      <c r="W35954"/>
    </row>
    <row r="35955" spans="23:23" x14ac:dyDescent="0.55000000000000004">
      <c r="W35955"/>
    </row>
    <row r="35956" spans="23:23" x14ac:dyDescent="0.55000000000000004">
      <c r="W35956"/>
    </row>
    <row r="35957" spans="23:23" x14ac:dyDescent="0.55000000000000004">
      <c r="W35957"/>
    </row>
    <row r="35958" spans="23:23" x14ac:dyDescent="0.55000000000000004">
      <c r="W35958"/>
    </row>
    <row r="35959" spans="23:23" x14ac:dyDescent="0.55000000000000004">
      <c r="W35959"/>
    </row>
    <row r="35960" spans="23:23" x14ac:dyDescent="0.55000000000000004">
      <c r="W35960"/>
    </row>
    <row r="35961" spans="23:23" x14ac:dyDescent="0.55000000000000004">
      <c r="W35961"/>
    </row>
    <row r="35962" spans="23:23" x14ac:dyDescent="0.55000000000000004">
      <c r="W35962"/>
    </row>
    <row r="35963" spans="23:23" x14ac:dyDescent="0.55000000000000004">
      <c r="W35963"/>
    </row>
    <row r="35964" spans="23:23" x14ac:dyDescent="0.55000000000000004">
      <c r="W35964"/>
    </row>
    <row r="35965" spans="23:23" x14ac:dyDescent="0.55000000000000004">
      <c r="W35965"/>
    </row>
    <row r="35966" spans="23:23" x14ac:dyDescent="0.55000000000000004">
      <c r="W35966"/>
    </row>
    <row r="35967" spans="23:23" x14ac:dyDescent="0.55000000000000004">
      <c r="W35967"/>
    </row>
    <row r="35968" spans="23:23" x14ac:dyDescent="0.55000000000000004">
      <c r="W35968"/>
    </row>
    <row r="35969" spans="23:23" x14ac:dyDescent="0.55000000000000004">
      <c r="W35969"/>
    </row>
    <row r="35970" spans="23:23" x14ac:dyDescent="0.55000000000000004">
      <c r="W35970"/>
    </row>
    <row r="35971" spans="23:23" x14ac:dyDescent="0.55000000000000004">
      <c r="W35971"/>
    </row>
    <row r="35972" spans="23:23" x14ac:dyDescent="0.55000000000000004">
      <c r="W35972"/>
    </row>
    <row r="35973" spans="23:23" x14ac:dyDescent="0.55000000000000004">
      <c r="W35973"/>
    </row>
    <row r="35974" spans="23:23" x14ac:dyDescent="0.55000000000000004">
      <c r="W35974"/>
    </row>
    <row r="35975" spans="23:23" x14ac:dyDescent="0.55000000000000004">
      <c r="W35975"/>
    </row>
    <row r="35976" spans="23:23" x14ac:dyDescent="0.55000000000000004">
      <c r="W35976"/>
    </row>
    <row r="35977" spans="23:23" x14ac:dyDescent="0.55000000000000004">
      <c r="W35977"/>
    </row>
    <row r="35978" spans="23:23" x14ac:dyDescent="0.55000000000000004">
      <c r="W35978"/>
    </row>
    <row r="35979" spans="23:23" x14ac:dyDescent="0.55000000000000004">
      <c r="W35979"/>
    </row>
    <row r="35980" spans="23:23" x14ac:dyDescent="0.55000000000000004">
      <c r="W35980"/>
    </row>
    <row r="35981" spans="23:23" x14ac:dyDescent="0.55000000000000004">
      <c r="W35981"/>
    </row>
    <row r="35982" spans="23:23" x14ac:dyDescent="0.55000000000000004">
      <c r="W35982"/>
    </row>
    <row r="35983" spans="23:23" x14ac:dyDescent="0.55000000000000004">
      <c r="W35983"/>
    </row>
    <row r="35984" spans="23:23" x14ac:dyDescent="0.55000000000000004">
      <c r="W35984"/>
    </row>
    <row r="35985" spans="23:23" x14ac:dyDescent="0.55000000000000004">
      <c r="W35985"/>
    </row>
    <row r="35986" spans="23:23" x14ac:dyDescent="0.55000000000000004">
      <c r="W35986"/>
    </row>
    <row r="35987" spans="23:23" x14ac:dyDescent="0.55000000000000004">
      <c r="W35987"/>
    </row>
    <row r="35988" spans="23:23" x14ac:dyDescent="0.55000000000000004">
      <c r="W35988"/>
    </row>
    <row r="35989" spans="23:23" x14ac:dyDescent="0.55000000000000004">
      <c r="W35989"/>
    </row>
    <row r="35990" spans="23:23" x14ac:dyDescent="0.55000000000000004">
      <c r="W35990"/>
    </row>
    <row r="35991" spans="23:23" x14ac:dyDescent="0.55000000000000004">
      <c r="W35991"/>
    </row>
    <row r="35992" spans="23:23" x14ac:dyDescent="0.55000000000000004">
      <c r="W35992"/>
    </row>
    <row r="35993" spans="23:23" x14ac:dyDescent="0.55000000000000004">
      <c r="W35993"/>
    </row>
    <row r="35994" spans="23:23" x14ac:dyDescent="0.55000000000000004">
      <c r="W35994"/>
    </row>
    <row r="35995" spans="23:23" x14ac:dyDescent="0.55000000000000004">
      <c r="W35995"/>
    </row>
    <row r="35996" spans="23:23" x14ac:dyDescent="0.55000000000000004">
      <c r="W35996"/>
    </row>
    <row r="35997" spans="23:23" x14ac:dyDescent="0.55000000000000004">
      <c r="W35997"/>
    </row>
    <row r="35998" spans="23:23" x14ac:dyDescent="0.55000000000000004">
      <c r="W35998"/>
    </row>
    <row r="35999" spans="23:23" x14ac:dyDescent="0.55000000000000004">
      <c r="W35999"/>
    </row>
    <row r="36000" spans="23:23" x14ac:dyDescent="0.55000000000000004">
      <c r="W36000"/>
    </row>
    <row r="36001" spans="23:23" x14ac:dyDescent="0.55000000000000004">
      <c r="W36001"/>
    </row>
    <row r="36002" spans="23:23" x14ac:dyDescent="0.55000000000000004">
      <c r="W36002"/>
    </row>
    <row r="36003" spans="23:23" x14ac:dyDescent="0.55000000000000004">
      <c r="W36003"/>
    </row>
    <row r="36004" spans="23:23" x14ac:dyDescent="0.55000000000000004">
      <c r="W36004"/>
    </row>
    <row r="36005" spans="23:23" x14ac:dyDescent="0.55000000000000004">
      <c r="W36005"/>
    </row>
    <row r="36006" spans="23:23" x14ac:dyDescent="0.55000000000000004">
      <c r="W36006"/>
    </row>
    <row r="36007" spans="23:23" x14ac:dyDescent="0.55000000000000004">
      <c r="W36007"/>
    </row>
    <row r="36008" spans="23:23" x14ac:dyDescent="0.55000000000000004">
      <c r="W36008"/>
    </row>
    <row r="36009" spans="23:23" x14ac:dyDescent="0.55000000000000004">
      <c r="W36009"/>
    </row>
    <row r="36010" spans="23:23" x14ac:dyDescent="0.55000000000000004">
      <c r="W36010"/>
    </row>
    <row r="36011" spans="23:23" x14ac:dyDescent="0.55000000000000004">
      <c r="W36011"/>
    </row>
    <row r="36012" spans="23:23" x14ac:dyDescent="0.55000000000000004">
      <c r="W36012"/>
    </row>
    <row r="36013" spans="23:23" x14ac:dyDescent="0.55000000000000004">
      <c r="W36013"/>
    </row>
    <row r="36014" spans="23:23" x14ac:dyDescent="0.55000000000000004">
      <c r="W36014"/>
    </row>
    <row r="36015" spans="23:23" x14ac:dyDescent="0.55000000000000004">
      <c r="W36015"/>
    </row>
    <row r="36016" spans="23:23" x14ac:dyDescent="0.55000000000000004">
      <c r="W36016"/>
    </row>
    <row r="36017" spans="23:23" x14ac:dyDescent="0.55000000000000004">
      <c r="W36017"/>
    </row>
    <row r="36018" spans="23:23" x14ac:dyDescent="0.55000000000000004">
      <c r="W36018"/>
    </row>
    <row r="36019" spans="23:23" x14ac:dyDescent="0.55000000000000004">
      <c r="W36019"/>
    </row>
    <row r="36020" spans="23:23" x14ac:dyDescent="0.55000000000000004">
      <c r="W36020"/>
    </row>
    <row r="36021" spans="23:23" x14ac:dyDescent="0.55000000000000004">
      <c r="W36021"/>
    </row>
    <row r="36022" spans="23:23" x14ac:dyDescent="0.55000000000000004">
      <c r="W36022"/>
    </row>
    <row r="36023" spans="23:23" x14ac:dyDescent="0.55000000000000004">
      <c r="W36023"/>
    </row>
    <row r="36024" spans="23:23" x14ac:dyDescent="0.55000000000000004">
      <c r="W36024"/>
    </row>
    <row r="36025" spans="23:23" x14ac:dyDescent="0.55000000000000004">
      <c r="W36025"/>
    </row>
    <row r="36026" spans="23:23" x14ac:dyDescent="0.55000000000000004">
      <c r="W36026"/>
    </row>
    <row r="36027" spans="23:23" x14ac:dyDescent="0.55000000000000004">
      <c r="W36027"/>
    </row>
    <row r="36028" spans="23:23" x14ac:dyDescent="0.55000000000000004">
      <c r="W36028"/>
    </row>
    <row r="36029" spans="23:23" x14ac:dyDescent="0.55000000000000004">
      <c r="W36029"/>
    </row>
    <row r="36030" spans="23:23" x14ac:dyDescent="0.55000000000000004">
      <c r="W36030"/>
    </row>
    <row r="36031" spans="23:23" x14ac:dyDescent="0.55000000000000004">
      <c r="W36031"/>
    </row>
    <row r="36032" spans="23:23" x14ac:dyDescent="0.55000000000000004">
      <c r="W36032"/>
    </row>
    <row r="36033" spans="23:23" x14ac:dyDescent="0.55000000000000004">
      <c r="W36033"/>
    </row>
    <row r="36034" spans="23:23" x14ac:dyDescent="0.55000000000000004">
      <c r="W36034"/>
    </row>
    <row r="36035" spans="23:23" x14ac:dyDescent="0.55000000000000004">
      <c r="W36035"/>
    </row>
    <row r="36036" spans="23:23" x14ac:dyDescent="0.55000000000000004">
      <c r="W36036"/>
    </row>
    <row r="36037" spans="23:23" x14ac:dyDescent="0.55000000000000004">
      <c r="W36037"/>
    </row>
    <row r="36038" spans="23:23" x14ac:dyDescent="0.55000000000000004">
      <c r="W36038"/>
    </row>
    <row r="36039" spans="23:23" x14ac:dyDescent="0.55000000000000004">
      <c r="W36039"/>
    </row>
    <row r="36040" spans="23:23" x14ac:dyDescent="0.55000000000000004">
      <c r="W36040"/>
    </row>
    <row r="36041" spans="23:23" x14ac:dyDescent="0.55000000000000004">
      <c r="W36041"/>
    </row>
    <row r="36042" spans="23:23" x14ac:dyDescent="0.55000000000000004">
      <c r="W36042"/>
    </row>
    <row r="36043" spans="23:23" x14ac:dyDescent="0.55000000000000004">
      <c r="W36043"/>
    </row>
    <row r="36044" spans="23:23" x14ac:dyDescent="0.55000000000000004">
      <c r="W36044"/>
    </row>
    <row r="36045" spans="23:23" x14ac:dyDescent="0.55000000000000004">
      <c r="W36045"/>
    </row>
    <row r="36046" spans="23:23" x14ac:dyDescent="0.55000000000000004">
      <c r="W36046"/>
    </row>
    <row r="36047" spans="23:23" x14ac:dyDescent="0.55000000000000004">
      <c r="W36047"/>
    </row>
    <row r="36048" spans="23:23" x14ac:dyDescent="0.55000000000000004">
      <c r="W36048"/>
    </row>
    <row r="36049" spans="23:23" x14ac:dyDescent="0.55000000000000004">
      <c r="W36049"/>
    </row>
    <row r="36050" spans="23:23" x14ac:dyDescent="0.55000000000000004">
      <c r="W36050"/>
    </row>
    <row r="36051" spans="23:23" x14ac:dyDescent="0.55000000000000004">
      <c r="W36051"/>
    </row>
    <row r="36052" spans="23:23" x14ac:dyDescent="0.55000000000000004">
      <c r="W36052"/>
    </row>
    <row r="36053" spans="23:23" x14ac:dyDescent="0.55000000000000004">
      <c r="W36053"/>
    </row>
    <row r="36054" spans="23:23" x14ac:dyDescent="0.55000000000000004">
      <c r="W36054"/>
    </row>
    <row r="36055" spans="23:23" x14ac:dyDescent="0.55000000000000004">
      <c r="W36055"/>
    </row>
    <row r="36056" spans="23:23" x14ac:dyDescent="0.55000000000000004">
      <c r="W36056"/>
    </row>
    <row r="36057" spans="23:23" x14ac:dyDescent="0.55000000000000004">
      <c r="W36057"/>
    </row>
    <row r="36058" spans="23:23" x14ac:dyDescent="0.55000000000000004">
      <c r="W36058"/>
    </row>
    <row r="36059" spans="23:23" x14ac:dyDescent="0.55000000000000004">
      <c r="W36059"/>
    </row>
    <row r="36060" spans="23:23" x14ac:dyDescent="0.55000000000000004">
      <c r="W36060"/>
    </row>
    <row r="36061" spans="23:23" x14ac:dyDescent="0.55000000000000004">
      <c r="W36061"/>
    </row>
    <row r="36062" spans="23:23" x14ac:dyDescent="0.55000000000000004">
      <c r="W36062"/>
    </row>
    <row r="36063" spans="23:23" x14ac:dyDescent="0.55000000000000004">
      <c r="W36063"/>
    </row>
    <row r="36064" spans="23:23" x14ac:dyDescent="0.55000000000000004">
      <c r="W36064"/>
    </row>
    <row r="36065" spans="23:23" x14ac:dyDescent="0.55000000000000004">
      <c r="W36065"/>
    </row>
    <row r="36066" spans="23:23" x14ac:dyDescent="0.55000000000000004">
      <c r="W36066"/>
    </row>
    <row r="36067" spans="23:23" x14ac:dyDescent="0.55000000000000004">
      <c r="W36067"/>
    </row>
    <row r="36068" spans="23:23" x14ac:dyDescent="0.55000000000000004">
      <c r="W36068"/>
    </row>
    <row r="36069" spans="23:23" x14ac:dyDescent="0.55000000000000004">
      <c r="W36069"/>
    </row>
    <row r="36070" spans="23:23" x14ac:dyDescent="0.55000000000000004">
      <c r="W36070"/>
    </row>
    <row r="36071" spans="23:23" x14ac:dyDescent="0.55000000000000004">
      <c r="W36071"/>
    </row>
    <row r="36072" spans="23:23" x14ac:dyDescent="0.55000000000000004">
      <c r="W36072"/>
    </row>
    <row r="36073" spans="23:23" x14ac:dyDescent="0.55000000000000004">
      <c r="W36073"/>
    </row>
    <row r="36074" spans="23:23" x14ac:dyDescent="0.55000000000000004">
      <c r="W36074"/>
    </row>
    <row r="36075" spans="23:23" x14ac:dyDescent="0.55000000000000004">
      <c r="W36075"/>
    </row>
    <row r="36076" spans="23:23" x14ac:dyDescent="0.55000000000000004">
      <c r="W36076"/>
    </row>
    <row r="36077" spans="23:23" x14ac:dyDescent="0.55000000000000004">
      <c r="W36077"/>
    </row>
    <row r="36078" spans="23:23" x14ac:dyDescent="0.55000000000000004">
      <c r="W36078"/>
    </row>
    <row r="36079" spans="23:23" x14ac:dyDescent="0.55000000000000004">
      <c r="W36079"/>
    </row>
    <row r="36080" spans="23:23" x14ac:dyDescent="0.55000000000000004">
      <c r="W36080"/>
    </row>
    <row r="36081" spans="23:23" x14ac:dyDescent="0.55000000000000004">
      <c r="W36081"/>
    </row>
    <row r="36082" spans="23:23" x14ac:dyDescent="0.55000000000000004">
      <c r="W36082"/>
    </row>
    <row r="36083" spans="23:23" x14ac:dyDescent="0.55000000000000004">
      <c r="W36083"/>
    </row>
    <row r="36084" spans="23:23" x14ac:dyDescent="0.55000000000000004">
      <c r="W36084"/>
    </row>
    <row r="36085" spans="23:23" x14ac:dyDescent="0.55000000000000004">
      <c r="W36085"/>
    </row>
    <row r="36086" spans="23:23" x14ac:dyDescent="0.55000000000000004">
      <c r="W36086"/>
    </row>
    <row r="36087" spans="23:23" x14ac:dyDescent="0.55000000000000004">
      <c r="W36087"/>
    </row>
    <row r="36088" spans="23:23" x14ac:dyDescent="0.55000000000000004">
      <c r="W36088"/>
    </row>
    <row r="36089" spans="23:23" x14ac:dyDescent="0.55000000000000004">
      <c r="W36089"/>
    </row>
    <row r="36090" spans="23:23" x14ac:dyDescent="0.55000000000000004">
      <c r="W36090"/>
    </row>
    <row r="36091" spans="23:23" x14ac:dyDescent="0.55000000000000004">
      <c r="W36091"/>
    </row>
    <row r="36092" spans="23:23" x14ac:dyDescent="0.55000000000000004">
      <c r="W36092"/>
    </row>
    <row r="36093" spans="23:23" x14ac:dyDescent="0.55000000000000004">
      <c r="W36093"/>
    </row>
    <row r="36094" spans="23:23" x14ac:dyDescent="0.55000000000000004">
      <c r="W36094"/>
    </row>
    <row r="36095" spans="23:23" x14ac:dyDescent="0.55000000000000004">
      <c r="W36095"/>
    </row>
    <row r="36096" spans="23:23" x14ac:dyDescent="0.55000000000000004">
      <c r="W36096"/>
    </row>
    <row r="36097" spans="23:23" x14ac:dyDescent="0.55000000000000004">
      <c r="W36097"/>
    </row>
    <row r="36098" spans="23:23" x14ac:dyDescent="0.55000000000000004">
      <c r="W36098"/>
    </row>
    <row r="36099" spans="23:23" x14ac:dyDescent="0.55000000000000004">
      <c r="W36099"/>
    </row>
    <row r="36100" spans="23:23" x14ac:dyDescent="0.55000000000000004">
      <c r="W36100"/>
    </row>
    <row r="36101" spans="23:23" x14ac:dyDescent="0.55000000000000004">
      <c r="W36101"/>
    </row>
    <row r="36102" spans="23:23" x14ac:dyDescent="0.55000000000000004">
      <c r="W36102"/>
    </row>
    <row r="36103" spans="23:23" x14ac:dyDescent="0.55000000000000004">
      <c r="W36103"/>
    </row>
    <row r="36104" spans="23:23" x14ac:dyDescent="0.55000000000000004">
      <c r="W36104"/>
    </row>
    <row r="36105" spans="23:23" x14ac:dyDescent="0.55000000000000004">
      <c r="W36105"/>
    </row>
    <row r="36106" spans="23:23" x14ac:dyDescent="0.55000000000000004">
      <c r="W36106"/>
    </row>
    <row r="36107" spans="23:23" x14ac:dyDescent="0.55000000000000004">
      <c r="W36107"/>
    </row>
    <row r="36108" spans="23:23" x14ac:dyDescent="0.55000000000000004">
      <c r="W36108"/>
    </row>
    <row r="36109" spans="23:23" x14ac:dyDescent="0.55000000000000004">
      <c r="W36109"/>
    </row>
    <row r="36110" spans="23:23" x14ac:dyDescent="0.55000000000000004">
      <c r="W36110"/>
    </row>
    <row r="36111" spans="23:23" x14ac:dyDescent="0.55000000000000004">
      <c r="W36111"/>
    </row>
    <row r="36112" spans="23:23" x14ac:dyDescent="0.55000000000000004">
      <c r="W36112"/>
    </row>
    <row r="36113" spans="23:23" x14ac:dyDescent="0.55000000000000004">
      <c r="W36113"/>
    </row>
    <row r="36114" spans="23:23" x14ac:dyDescent="0.55000000000000004">
      <c r="W36114"/>
    </row>
    <row r="36115" spans="23:23" x14ac:dyDescent="0.55000000000000004">
      <c r="W36115"/>
    </row>
    <row r="36116" spans="23:23" x14ac:dyDescent="0.55000000000000004">
      <c r="W36116"/>
    </row>
    <row r="36117" spans="23:23" x14ac:dyDescent="0.55000000000000004">
      <c r="W36117"/>
    </row>
    <row r="36118" spans="23:23" x14ac:dyDescent="0.55000000000000004">
      <c r="W36118"/>
    </row>
    <row r="36119" spans="23:23" x14ac:dyDescent="0.55000000000000004">
      <c r="W36119"/>
    </row>
    <row r="36120" spans="23:23" x14ac:dyDescent="0.55000000000000004">
      <c r="W36120"/>
    </row>
    <row r="36121" spans="23:23" x14ac:dyDescent="0.55000000000000004">
      <c r="W36121"/>
    </row>
    <row r="36122" spans="23:23" x14ac:dyDescent="0.55000000000000004">
      <c r="W36122"/>
    </row>
    <row r="36123" spans="23:23" x14ac:dyDescent="0.55000000000000004">
      <c r="W36123"/>
    </row>
    <row r="36124" spans="23:23" x14ac:dyDescent="0.55000000000000004">
      <c r="W36124"/>
    </row>
    <row r="36125" spans="23:23" x14ac:dyDescent="0.55000000000000004">
      <c r="W36125"/>
    </row>
    <row r="36126" spans="23:23" x14ac:dyDescent="0.55000000000000004">
      <c r="W36126"/>
    </row>
    <row r="36127" spans="23:23" x14ac:dyDescent="0.55000000000000004">
      <c r="W36127"/>
    </row>
    <row r="36128" spans="23:23" x14ac:dyDescent="0.55000000000000004">
      <c r="W36128"/>
    </row>
    <row r="36129" spans="23:23" x14ac:dyDescent="0.55000000000000004">
      <c r="W36129"/>
    </row>
    <row r="36130" spans="23:23" x14ac:dyDescent="0.55000000000000004">
      <c r="W36130"/>
    </row>
    <row r="36131" spans="23:23" x14ac:dyDescent="0.55000000000000004">
      <c r="W36131"/>
    </row>
    <row r="36132" spans="23:23" x14ac:dyDescent="0.55000000000000004">
      <c r="W36132"/>
    </row>
    <row r="36133" spans="23:23" x14ac:dyDescent="0.55000000000000004">
      <c r="W36133"/>
    </row>
    <row r="36134" spans="23:23" x14ac:dyDescent="0.55000000000000004">
      <c r="W36134"/>
    </row>
    <row r="36135" spans="23:23" x14ac:dyDescent="0.55000000000000004">
      <c r="W36135"/>
    </row>
    <row r="36136" spans="23:23" x14ac:dyDescent="0.55000000000000004">
      <c r="W36136"/>
    </row>
    <row r="36137" spans="23:23" x14ac:dyDescent="0.55000000000000004">
      <c r="W36137"/>
    </row>
    <row r="36138" spans="23:23" x14ac:dyDescent="0.55000000000000004">
      <c r="W36138"/>
    </row>
    <row r="36139" spans="23:23" x14ac:dyDescent="0.55000000000000004">
      <c r="W36139"/>
    </row>
    <row r="36140" spans="23:23" x14ac:dyDescent="0.55000000000000004">
      <c r="W36140"/>
    </row>
    <row r="36141" spans="23:23" x14ac:dyDescent="0.55000000000000004">
      <c r="W36141"/>
    </row>
    <row r="36142" spans="23:23" x14ac:dyDescent="0.55000000000000004">
      <c r="W36142"/>
    </row>
    <row r="36143" spans="23:23" x14ac:dyDescent="0.55000000000000004">
      <c r="W36143"/>
    </row>
    <row r="36144" spans="23:23" x14ac:dyDescent="0.55000000000000004">
      <c r="W36144"/>
    </row>
    <row r="36145" spans="23:23" x14ac:dyDescent="0.55000000000000004">
      <c r="W36145"/>
    </row>
    <row r="36146" spans="23:23" x14ac:dyDescent="0.55000000000000004">
      <c r="W36146"/>
    </row>
    <row r="36147" spans="23:23" x14ac:dyDescent="0.55000000000000004">
      <c r="W36147"/>
    </row>
    <row r="36148" spans="23:23" x14ac:dyDescent="0.55000000000000004">
      <c r="W36148"/>
    </row>
    <row r="36149" spans="23:23" x14ac:dyDescent="0.55000000000000004">
      <c r="W36149"/>
    </row>
    <row r="36150" spans="23:23" x14ac:dyDescent="0.55000000000000004">
      <c r="W36150"/>
    </row>
    <row r="36151" spans="23:23" x14ac:dyDescent="0.55000000000000004">
      <c r="W36151"/>
    </row>
    <row r="36152" spans="23:23" x14ac:dyDescent="0.55000000000000004">
      <c r="W36152"/>
    </row>
    <row r="36153" spans="23:23" x14ac:dyDescent="0.55000000000000004">
      <c r="W36153"/>
    </row>
    <row r="36154" spans="23:23" x14ac:dyDescent="0.55000000000000004">
      <c r="W36154"/>
    </row>
    <row r="36155" spans="23:23" x14ac:dyDescent="0.55000000000000004">
      <c r="W36155"/>
    </row>
    <row r="36156" spans="23:23" x14ac:dyDescent="0.55000000000000004">
      <c r="W36156"/>
    </row>
    <row r="36157" spans="23:23" x14ac:dyDescent="0.55000000000000004">
      <c r="W36157"/>
    </row>
    <row r="36158" spans="23:23" x14ac:dyDescent="0.55000000000000004">
      <c r="W36158"/>
    </row>
    <row r="36159" spans="23:23" x14ac:dyDescent="0.55000000000000004">
      <c r="W36159"/>
    </row>
    <row r="36160" spans="23:23" x14ac:dyDescent="0.55000000000000004">
      <c r="W36160"/>
    </row>
    <row r="36161" spans="23:23" x14ac:dyDescent="0.55000000000000004">
      <c r="W36161"/>
    </row>
    <row r="36162" spans="23:23" x14ac:dyDescent="0.55000000000000004">
      <c r="W36162"/>
    </row>
    <row r="36163" spans="23:23" x14ac:dyDescent="0.55000000000000004">
      <c r="W36163"/>
    </row>
    <row r="36164" spans="23:23" x14ac:dyDescent="0.55000000000000004">
      <c r="W36164"/>
    </row>
    <row r="36165" spans="23:23" x14ac:dyDescent="0.55000000000000004">
      <c r="W36165"/>
    </row>
    <row r="36166" spans="23:23" x14ac:dyDescent="0.55000000000000004">
      <c r="W36166"/>
    </row>
    <row r="36167" spans="23:23" x14ac:dyDescent="0.55000000000000004">
      <c r="W36167"/>
    </row>
    <row r="36168" spans="23:23" x14ac:dyDescent="0.55000000000000004">
      <c r="W36168"/>
    </row>
    <row r="36169" spans="23:23" x14ac:dyDescent="0.55000000000000004">
      <c r="W36169"/>
    </row>
    <row r="36170" spans="23:23" x14ac:dyDescent="0.55000000000000004">
      <c r="W36170"/>
    </row>
    <row r="36171" spans="23:23" x14ac:dyDescent="0.55000000000000004">
      <c r="W36171"/>
    </row>
    <row r="36172" spans="23:23" x14ac:dyDescent="0.55000000000000004">
      <c r="W36172"/>
    </row>
    <row r="36173" spans="23:23" x14ac:dyDescent="0.55000000000000004">
      <c r="W36173"/>
    </row>
    <row r="36174" spans="23:23" x14ac:dyDescent="0.55000000000000004">
      <c r="W36174"/>
    </row>
    <row r="36175" spans="23:23" x14ac:dyDescent="0.55000000000000004">
      <c r="W36175"/>
    </row>
    <row r="36176" spans="23:23" x14ac:dyDescent="0.55000000000000004">
      <c r="W36176"/>
    </row>
    <row r="36177" spans="23:23" x14ac:dyDescent="0.55000000000000004">
      <c r="W36177"/>
    </row>
    <row r="36178" spans="23:23" x14ac:dyDescent="0.55000000000000004">
      <c r="W36178"/>
    </row>
    <row r="36179" spans="23:23" x14ac:dyDescent="0.55000000000000004">
      <c r="W36179"/>
    </row>
    <row r="36180" spans="23:23" x14ac:dyDescent="0.55000000000000004">
      <c r="W36180"/>
    </row>
    <row r="36181" spans="23:23" x14ac:dyDescent="0.55000000000000004">
      <c r="W36181"/>
    </row>
    <row r="36182" spans="23:23" x14ac:dyDescent="0.55000000000000004">
      <c r="W36182"/>
    </row>
    <row r="36183" spans="23:23" x14ac:dyDescent="0.55000000000000004">
      <c r="W36183"/>
    </row>
    <row r="36184" spans="23:23" x14ac:dyDescent="0.55000000000000004">
      <c r="W36184"/>
    </row>
    <row r="36185" spans="23:23" x14ac:dyDescent="0.55000000000000004">
      <c r="W36185"/>
    </row>
    <row r="36186" spans="23:23" x14ac:dyDescent="0.55000000000000004">
      <c r="W36186"/>
    </row>
    <row r="36187" spans="23:23" x14ac:dyDescent="0.55000000000000004">
      <c r="W36187"/>
    </row>
    <row r="36188" spans="23:23" x14ac:dyDescent="0.55000000000000004">
      <c r="W36188"/>
    </row>
    <row r="36189" spans="23:23" x14ac:dyDescent="0.55000000000000004">
      <c r="W36189"/>
    </row>
    <row r="36190" spans="23:23" x14ac:dyDescent="0.55000000000000004">
      <c r="W36190"/>
    </row>
    <row r="36191" spans="23:23" x14ac:dyDescent="0.55000000000000004">
      <c r="W36191"/>
    </row>
    <row r="36192" spans="23:23" x14ac:dyDescent="0.55000000000000004">
      <c r="W36192"/>
    </row>
    <row r="36193" spans="23:23" x14ac:dyDescent="0.55000000000000004">
      <c r="W36193"/>
    </row>
    <row r="36194" spans="23:23" x14ac:dyDescent="0.55000000000000004">
      <c r="W36194"/>
    </row>
    <row r="36195" spans="23:23" x14ac:dyDescent="0.55000000000000004">
      <c r="W36195"/>
    </row>
    <row r="36196" spans="23:23" x14ac:dyDescent="0.55000000000000004">
      <c r="W36196"/>
    </row>
    <row r="36197" spans="23:23" x14ac:dyDescent="0.55000000000000004">
      <c r="W36197"/>
    </row>
    <row r="36198" spans="23:23" x14ac:dyDescent="0.55000000000000004">
      <c r="W36198"/>
    </row>
    <row r="36199" spans="23:23" x14ac:dyDescent="0.55000000000000004">
      <c r="W36199"/>
    </row>
    <row r="36200" spans="23:23" x14ac:dyDescent="0.55000000000000004">
      <c r="W36200"/>
    </row>
    <row r="36201" spans="23:23" x14ac:dyDescent="0.55000000000000004">
      <c r="W36201"/>
    </row>
    <row r="36202" spans="23:23" x14ac:dyDescent="0.55000000000000004">
      <c r="W36202"/>
    </row>
    <row r="36203" spans="23:23" x14ac:dyDescent="0.55000000000000004">
      <c r="W36203"/>
    </row>
    <row r="36204" spans="23:23" x14ac:dyDescent="0.55000000000000004">
      <c r="W36204"/>
    </row>
    <row r="36205" spans="23:23" x14ac:dyDescent="0.55000000000000004">
      <c r="W36205"/>
    </row>
    <row r="36206" spans="23:23" x14ac:dyDescent="0.55000000000000004">
      <c r="W36206"/>
    </row>
    <row r="36207" spans="23:23" x14ac:dyDescent="0.55000000000000004">
      <c r="W36207"/>
    </row>
    <row r="36208" spans="23:23" x14ac:dyDescent="0.55000000000000004">
      <c r="W36208"/>
    </row>
    <row r="36209" spans="23:23" x14ac:dyDescent="0.55000000000000004">
      <c r="W36209"/>
    </row>
    <row r="36210" spans="23:23" x14ac:dyDescent="0.55000000000000004">
      <c r="W36210"/>
    </row>
    <row r="36211" spans="23:23" x14ac:dyDescent="0.55000000000000004">
      <c r="W36211"/>
    </row>
    <row r="36212" spans="23:23" x14ac:dyDescent="0.55000000000000004">
      <c r="W36212"/>
    </row>
    <row r="36213" spans="23:23" x14ac:dyDescent="0.55000000000000004">
      <c r="W36213"/>
    </row>
    <row r="36214" spans="23:23" x14ac:dyDescent="0.55000000000000004">
      <c r="W36214"/>
    </row>
    <row r="36215" spans="23:23" x14ac:dyDescent="0.55000000000000004">
      <c r="W36215"/>
    </row>
    <row r="36216" spans="23:23" x14ac:dyDescent="0.55000000000000004">
      <c r="W36216"/>
    </row>
    <row r="36217" spans="23:23" x14ac:dyDescent="0.55000000000000004">
      <c r="W36217"/>
    </row>
    <row r="36218" spans="23:23" x14ac:dyDescent="0.55000000000000004">
      <c r="W36218"/>
    </row>
    <row r="36219" spans="23:23" x14ac:dyDescent="0.55000000000000004">
      <c r="W36219"/>
    </row>
    <row r="36220" spans="23:23" x14ac:dyDescent="0.55000000000000004">
      <c r="W36220"/>
    </row>
    <row r="36221" spans="23:23" x14ac:dyDescent="0.55000000000000004">
      <c r="W36221"/>
    </row>
    <row r="36222" spans="23:23" x14ac:dyDescent="0.55000000000000004">
      <c r="W36222"/>
    </row>
    <row r="36223" spans="23:23" x14ac:dyDescent="0.55000000000000004">
      <c r="W36223"/>
    </row>
    <row r="36224" spans="23:23" x14ac:dyDescent="0.55000000000000004">
      <c r="W36224"/>
    </row>
    <row r="36225" spans="23:23" x14ac:dyDescent="0.55000000000000004">
      <c r="W36225"/>
    </row>
    <row r="36226" spans="23:23" x14ac:dyDescent="0.55000000000000004">
      <c r="W36226"/>
    </row>
    <row r="36227" spans="23:23" x14ac:dyDescent="0.55000000000000004">
      <c r="W36227"/>
    </row>
    <row r="36228" spans="23:23" x14ac:dyDescent="0.55000000000000004">
      <c r="W36228"/>
    </row>
    <row r="36229" spans="23:23" x14ac:dyDescent="0.55000000000000004">
      <c r="W36229"/>
    </row>
    <row r="36230" spans="23:23" x14ac:dyDescent="0.55000000000000004">
      <c r="W36230"/>
    </row>
    <row r="36231" spans="23:23" x14ac:dyDescent="0.55000000000000004">
      <c r="W36231"/>
    </row>
    <row r="36232" spans="23:23" x14ac:dyDescent="0.55000000000000004">
      <c r="W36232"/>
    </row>
    <row r="36233" spans="23:23" x14ac:dyDescent="0.55000000000000004">
      <c r="W36233"/>
    </row>
    <row r="36234" spans="23:23" x14ac:dyDescent="0.55000000000000004">
      <c r="W36234"/>
    </row>
    <row r="36235" spans="23:23" x14ac:dyDescent="0.55000000000000004">
      <c r="W36235"/>
    </row>
    <row r="36236" spans="23:23" x14ac:dyDescent="0.55000000000000004">
      <c r="W36236"/>
    </row>
    <row r="36237" spans="23:23" x14ac:dyDescent="0.55000000000000004">
      <c r="W36237"/>
    </row>
    <row r="36238" spans="23:23" x14ac:dyDescent="0.55000000000000004">
      <c r="W36238"/>
    </row>
    <row r="36239" spans="23:23" x14ac:dyDescent="0.55000000000000004">
      <c r="W36239"/>
    </row>
    <row r="36240" spans="23:23" x14ac:dyDescent="0.55000000000000004">
      <c r="W36240"/>
    </row>
    <row r="36241" spans="23:23" x14ac:dyDescent="0.55000000000000004">
      <c r="W36241"/>
    </row>
    <row r="36242" spans="23:23" x14ac:dyDescent="0.55000000000000004">
      <c r="W36242"/>
    </row>
    <row r="36243" spans="23:23" x14ac:dyDescent="0.55000000000000004">
      <c r="W36243"/>
    </row>
    <row r="36244" spans="23:23" x14ac:dyDescent="0.55000000000000004">
      <c r="W36244"/>
    </row>
    <row r="36245" spans="23:23" x14ac:dyDescent="0.55000000000000004">
      <c r="W36245"/>
    </row>
    <row r="36246" spans="23:23" x14ac:dyDescent="0.55000000000000004">
      <c r="W36246"/>
    </row>
    <row r="36247" spans="23:23" x14ac:dyDescent="0.55000000000000004">
      <c r="W36247"/>
    </row>
    <row r="36248" spans="23:23" x14ac:dyDescent="0.55000000000000004">
      <c r="W36248"/>
    </row>
    <row r="36249" spans="23:23" x14ac:dyDescent="0.55000000000000004">
      <c r="W36249"/>
    </row>
    <row r="36250" spans="23:23" x14ac:dyDescent="0.55000000000000004">
      <c r="W36250"/>
    </row>
    <row r="36251" spans="23:23" x14ac:dyDescent="0.55000000000000004">
      <c r="W36251"/>
    </row>
    <row r="36252" spans="23:23" x14ac:dyDescent="0.55000000000000004">
      <c r="W36252"/>
    </row>
    <row r="36253" spans="23:23" x14ac:dyDescent="0.55000000000000004">
      <c r="W36253"/>
    </row>
    <row r="36254" spans="23:23" x14ac:dyDescent="0.55000000000000004">
      <c r="W36254"/>
    </row>
    <row r="36255" spans="23:23" x14ac:dyDescent="0.55000000000000004">
      <c r="W36255"/>
    </row>
    <row r="36256" spans="23:23" x14ac:dyDescent="0.55000000000000004">
      <c r="W36256"/>
    </row>
    <row r="36257" spans="23:23" x14ac:dyDescent="0.55000000000000004">
      <c r="W36257"/>
    </row>
    <row r="36258" spans="23:23" x14ac:dyDescent="0.55000000000000004">
      <c r="W36258"/>
    </row>
    <row r="36259" spans="23:23" x14ac:dyDescent="0.55000000000000004">
      <c r="W36259"/>
    </row>
    <row r="36260" spans="23:23" x14ac:dyDescent="0.55000000000000004">
      <c r="W36260"/>
    </row>
    <row r="36261" spans="23:23" x14ac:dyDescent="0.55000000000000004">
      <c r="W36261"/>
    </row>
    <row r="36262" spans="23:23" x14ac:dyDescent="0.55000000000000004">
      <c r="W36262"/>
    </row>
    <row r="36263" spans="23:23" x14ac:dyDescent="0.55000000000000004">
      <c r="W36263"/>
    </row>
    <row r="36264" spans="23:23" x14ac:dyDescent="0.55000000000000004">
      <c r="W36264"/>
    </row>
    <row r="36265" spans="23:23" x14ac:dyDescent="0.55000000000000004">
      <c r="W36265"/>
    </row>
    <row r="36266" spans="23:23" x14ac:dyDescent="0.55000000000000004">
      <c r="W36266"/>
    </row>
    <row r="36267" spans="23:23" x14ac:dyDescent="0.55000000000000004">
      <c r="W36267"/>
    </row>
    <row r="36268" spans="23:23" x14ac:dyDescent="0.55000000000000004">
      <c r="W36268"/>
    </row>
    <row r="36269" spans="23:23" x14ac:dyDescent="0.55000000000000004">
      <c r="W36269"/>
    </row>
    <row r="36270" spans="23:23" x14ac:dyDescent="0.55000000000000004">
      <c r="W36270"/>
    </row>
    <row r="36271" spans="23:23" x14ac:dyDescent="0.55000000000000004">
      <c r="W36271"/>
    </row>
    <row r="36272" spans="23:23" x14ac:dyDescent="0.55000000000000004">
      <c r="W36272"/>
    </row>
    <row r="36273" spans="23:23" x14ac:dyDescent="0.55000000000000004">
      <c r="W36273"/>
    </row>
    <row r="36274" spans="23:23" x14ac:dyDescent="0.55000000000000004">
      <c r="W36274"/>
    </row>
    <row r="36275" spans="23:23" x14ac:dyDescent="0.55000000000000004">
      <c r="W36275"/>
    </row>
    <row r="36276" spans="23:23" x14ac:dyDescent="0.55000000000000004">
      <c r="W36276"/>
    </row>
    <row r="36277" spans="23:23" x14ac:dyDescent="0.55000000000000004">
      <c r="W36277"/>
    </row>
    <row r="36278" spans="23:23" x14ac:dyDescent="0.55000000000000004">
      <c r="W36278"/>
    </row>
    <row r="36279" spans="23:23" x14ac:dyDescent="0.55000000000000004">
      <c r="W36279"/>
    </row>
    <row r="36280" spans="23:23" x14ac:dyDescent="0.55000000000000004">
      <c r="W36280"/>
    </row>
    <row r="36281" spans="23:23" x14ac:dyDescent="0.55000000000000004">
      <c r="W36281"/>
    </row>
    <row r="36282" spans="23:23" x14ac:dyDescent="0.55000000000000004">
      <c r="W36282"/>
    </row>
    <row r="36283" spans="23:23" x14ac:dyDescent="0.55000000000000004">
      <c r="W36283"/>
    </row>
    <row r="36284" spans="23:23" x14ac:dyDescent="0.55000000000000004">
      <c r="W36284"/>
    </row>
    <row r="36285" spans="23:23" x14ac:dyDescent="0.55000000000000004">
      <c r="W36285"/>
    </row>
    <row r="36286" spans="23:23" x14ac:dyDescent="0.55000000000000004">
      <c r="W36286"/>
    </row>
    <row r="36287" spans="23:23" x14ac:dyDescent="0.55000000000000004">
      <c r="W36287"/>
    </row>
    <row r="36288" spans="23:23" x14ac:dyDescent="0.55000000000000004">
      <c r="W36288"/>
    </row>
    <row r="36289" spans="23:23" x14ac:dyDescent="0.55000000000000004">
      <c r="W36289"/>
    </row>
    <row r="36290" spans="23:23" x14ac:dyDescent="0.55000000000000004">
      <c r="W36290"/>
    </row>
    <row r="36291" spans="23:23" x14ac:dyDescent="0.55000000000000004">
      <c r="W36291"/>
    </row>
    <row r="36292" spans="23:23" x14ac:dyDescent="0.55000000000000004">
      <c r="W36292"/>
    </row>
    <row r="36293" spans="23:23" x14ac:dyDescent="0.55000000000000004">
      <c r="W36293"/>
    </row>
    <row r="36294" spans="23:23" x14ac:dyDescent="0.55000000000000004">
      <c r="W36294"/>
    </row>
    <row r="36295" spans="23:23" x14ac:dyDescent="0.55000000000000004">
      <c r="W36295"/>
    </row>
    <row r="36296" spans="23:23" x14ac:dyDescent="0.55000000000000004">
      <c r="W36296"/>
    </row>
    <row r="36297" spans="23:23" x14ac:dyDescent="0.55000000000000004">
      <c r="W36297"/>
    </row>
    <row r="36298" spans="23:23" x14ac:dyDescent="0.55000000000000004">
      <c r="W36298"/>
    </row>
    <row r="36299" spans="23:23" x14ac:dyDescent="0.55000000000000004">
      <c r="W36299"/>
    </row>
    <row r="36300" spans="23:23" x14ac:dyDescent="0.55000000000000004">
      <c r="W36300"/>
    </row>
    <row r="36301" spans="23:23" x14ac:dyDescent="0.55000000000000004">
      <c r="W36301"/>
    </row>
    <row r="36302" spans="23:23" x14ac:dyDescent="0.55000000000000004">
      <c r="W36302"/>
    </row>
    <row r="36303" spans="23:23" x14ac:dyDescent="0.55000000000000004">
      <c r="W36303"/>
    </row>
    <row r="36304" spans="23:23" x14ac:dyDescent="0.55000000000000004">
      <c r="W36304"/>
    </row>
    <row r="36305" spans="23:23" x14ac:dyDescent="0.55000000000000004">
      <c r="W36305"/>
    </row>
    <row r="36306" spans="23:23" x14ac:dyDescent="0.55000000000000004">
      <c r="W36306"/>
    </row>
    <row r="36307" spans="23:23" x14ac:dyDescent="0.55000000000000004">
      <c r="W36307"/>
    </row>
    <row r="36308" spans="23:23" x14ac:dyDescent="0.55000000000000004">
      <c r="W36308"/>
    </row>
    <row r="36309" spans="23:23" x14ac:dyDescent="0.55000000000000004">
      <c r="W36309"/>
    </row>
    <row r="36310" spans="23:23" x14ac:dyDescent="0.55000000000000004">
      <c r="W36310"/>
    </row>
    <row r="36311" spans="23:23" x14ac:dyDescent="0.55000000000000004">
      <c r="W36311"/>
    </row>
    <row r="36312" spans="23:23" x14ac:dyDescent="0.55000000000000004">
      <c r="W36312"/>
    </row>
    <row r="36313" spans="23:23" x14ac:dyDescent="0.55000000000000004">
      <c r="W36313"/>
    </row>
    <row r="36314" spans="23:23" x14ac:dyDescent="0.55000000000000004">
      <c r="W36314"/>
    </row>
    <row r="36315" spans="23:23" x14ac:dyDescent="0.55000000000000004">
      <c r="W36315"/>
    </row>
    <row r="36316" spans="23:23" x14ac:dyDescent="0.55000000000000004">
      <c r="W36316"/>
    </row>
    <row r="36317" spans="23:23" x14ac:dyDescent="0.55000000000000004">
      <c r="W36317"/>
    </row>
    <row r="36318" spans="23:23" x14ac:dyDescent="0.55000000000000004">
      <c r="W36318"/>
    </row>
    <row r="36319" spans="23:23" x14ac:dyDescent="0.55000000000000004">
      <c r="W36319"/>
    </row>
    <row r="36320" spans="23:23" x14ac:dyDescent="0.55000000000000004">
      <c r="W36320"/>
    </row>
    <row r="36321" spans="23:23" x14ac:dyDescent="0.55000000000000004">
      <c r="W36321"/>
    </row>
    <row r="36322" spans="23:23" x14ac:dyDescent="0.55000000000000004">
      <c r="W36322"/>
    </row>
    <row r="36323" spans="23:23" x14ac:dyDescent="0.55000000000000004">
      <c r="W36323"/>
    </row>
    <row r="36324" spans="23:23" x14ac:dyDescent="0.55000000000000004">
      <c r="W36324"/>
    </row>
    <row r="36325" spans="23:23" x14ac:dyDescent="0.55000000000000004">
      <c r="W36325"/>
    </row>
    <row r="36326" spans="23:23" x14ac:dyDescent="0.55000000000000004">
      <c r="W36326"/>
    </row>
    <row r="36327" spans="23:23" x14ac:dyDescent="0.55000000000000004">
      <c r="W36327"/>
    </row>
    <row r="36328" spans="23:23" x14ac:dyDescent="0.55000000000000004">
      <c r="W36328"/>
    </row>
    <row r="36329" spans="23:23" x14ac:dyDescent="0.55000000000000004">
      <c r="W36329"/>
    </row>
    <row r="36330" spans="23:23" x14ac:dyDescent="0.55000000000000004">
      <c r="W36330"/>
    </row>
    <row r="36331" spans="23:23" x14ac:dyDescent="0.55000000000000004">
      <c r="W36331"/>
    </row>
    <row r="36332" spans="23:23" x14ac:dyDescent="0.55000000000000004">
      <c r="W36332"/>
    </row>
    <row r="36333" spans="23:23" x14ac:dyDescent="0.55000000000000004">
      <c r="W36333"/>
    </row>
    <row r="36334" spans="23:23" x14ac:dyDescent="0.55000000000000004">
      <c r="W36334"/>
    </row>
    <row r="36335" spans="23:23" x14ac:dyDescent="0.55000000000000004">
      <c r="W36335"/>
    </row>
    <row r="36336" spans="23:23" x14ac:dyDescent="0.55000000000000004">
      <c r="W36336"/>
    </row>
    <row r="36337" spans="23:23" x14ac:dyDescent="0.55000000000000004">
      <c r="W36337"/>
    </row>
    <row r="36338" spans="23:23" x14ac:dyDescent="0.55000000000000004">
      <c r="W36338"/>
    </row>
    <row r="36339" spans="23:23" x14ac:dyDescent="0.55000000000000004">
      <c r="W36339"/>
    </row>
    <row r="36340" spans="23:23" x14ac:dyDescent="0.55000000000000004">
      <c r="W36340"/>
    </row>
    <row r="36341" spans="23:23" x14ac:dyDescent="0.55000000000000004">
      <c r="W36341"/>
    </row>
    <row r="36342" spans="23:23" x14ac:dyDescent="0.55000000000000004">
      <c r="W36342"/>
    </row>
    <row r="36343" spans="23:23" x14ac:dyDescent="0.55000000000000004">
      <c r="W36343"/>
    </row>
    <row r="36344" spans="23:23" x14ac:dyDescent="0.55000000000000004">
      <c r="W36344"/>
    </row>
    <row r="36345" spans="23:23" x14ac:dyDescent="0.55000000000000004">
      <c r="W36345"/>
    </row>
    <row r="36346" spans="23:23" x14ac:dyDescent="0.55000000000000004">
      <c r="W36346"/>
    </row>
    <row r="36347" spans="23:23" x14ac:dyDescent="0.55000000000000004">
      <c r="W36347"/>
    </row>
    <row r="36348" spans="23:23" x14ac:dyDescent="0.55000000000000004">
      <c r="W36348"/>
    </row>
    <row r="36349" spans="23:23" x14ac:dyDescent="0.55000000000000004">
      <c r="W36349"/>
    </row>
    <row r="36350" spans="23:23" x14ac:dyDescent="0.55000000000000004">
      <c r="W36350"/>
    </row>
    <row r="36351" spans="23:23" x14ac:dyDescent="0.55000000000000004">
      <c r="W36351"/>
    </row>
    <row r="36352" spans="23:23" x14ac:dyDescent="0.55000000000000004">
      <c r="W36352"/>
    </row>
    <row r="36353" spans="23:23" x14ac:dyDescent="0.55000000000000004">
      <c r="W36353"/>
    </row>
    <row r="36354" spans="23:23" x14ac:dyDescent="0.55000000000000004">
      <c r="W36354"/>
    </row>
    <row r="36355" spans="23:23" x14ac:dyDescent="0.55000000000000004">
      <c r="W36355"/>
    </row>
    <row r="36356" spans="23:23" x14ac:dyDescent="0.55000000000000004">
      <c r="W36356"/>
    </row>
    <row r="36357" spans="23:23" x14ac:dyDescent="0.55000000000000004">
      <c r="W36357"/>
    </row>
    <row r="36358" spans="23:23" x14ac:dyDescent="0.55000000000000004">
      <c r="W36358"/>
    </row>
    <row r="36359" spans="23:23" x14ac:dyDescent="0.55000000000000004">
      <c r="W36359"/>
    </row>
    <row r="36360" spans="23:23" x14ac:dyDescent="0.55000000000000004">
      <c r="W36360"/>
    </row>
    <row r="36361" spans="23:23" x14ac:dyDescent="0.55000000000000004">
      <c r="W36361"/>
    </row>
    <row r="36362" spans="23:23" x14ac:dyDescent="0.55000000000000004">
      <c r="W36362"/>
    </row>
    <row r="36363" spans="23:23" x14ac:dyDescent="0.55000000000000004">
      <c r="W36363"/>
    </row>
    <row r="36364" spans="23:23" x14ac:dyDescent="0.55000000000000004">
      <c r="W36364"/>
    </row>
    <row r="36365" spans="23:23" x14ac:dyDescent="0.55000000000000004">
      <c r="W36365"/>
    </row>
    <row r="36366" spans="23:23" x14ac:dyDescent="0.55000000000000004">
      <c r="W36366"/>
    </row>
    <row r="36367" spans="23:23" x14ac:dyDescent="0.55000000000000004">
      <c r="W36367"/>
    </row>
    <row r="36368" spans="23:23" x14ac:dyDescent="0.55000000000000004">
      <c r="W36368"/>
    </row>
    <row r="36369" spans="23:23" x14ac:dyDescent="0.55000000000000004">
      <c r="W36369"/>
    </row>
    <row r="36370" spans="23:23" x14ac:dyDescent="0.55000000000000004">
      <c r="W36370"/>
    </row>
    <row r="36371" spans="23:23" x14ac:dyDescent="0.55000000000000004">
      <c r="W36371"/>
    </row>
    <row r="36372" spans="23:23" x14ac:dyDescent="0.55000000000000004">
      <c r="W36372"/>
    </row>
    <row r="36373" spans="23:23" x14ac:dyDescent="0.55000000000000004">
      <c r="W36373"/>
    </row>
    <row r="36374" spans="23:23" x14ac:dyDescent="0.55000000000000004">
      <c r="W36374"/>
    </row>
    <row r="36375" spans="23:23" x14ac:dyDescent="0.55000000000000004">
      <c r="W36375"/>
    </row>
    <row r="36376" spans="23:23" x14ac:dyDescent="0.55000000000000004">
      <c r="W36376"/>
    </row>
    <row r="36377" spans="23:23" x14ac:dyDescent="0.55000000000000004">
      <c r="W36377"/>
    </row>
    <row r="36378" spans="23:23" x14ac:dyDescent="0.55000000000000004">
      <c r="W36378"/>
    </row>
    <row r="36379" spans="23:23" x14ac:dyDescent="0.55000000000000004">
      <c r="W36379"/>
    </row>
    <row r="36380" spans="23:23" x14ac:dyDescent="0.55000000000000004">
      <c r="W36380"/>
    </row>
    <row r="36381" spans="23:23" x14ac:dyDescent="0.55000000000000004">
      <c r="W36381"/>
    </row>
    <row r="36382" spans="23:23" x14ac:dyDescent="0.55000000000000004">
      <c r="W36382"/>
    </row>
    <row r="36383" spans="23:23" x14ac:dyDescent="0.55000000000000004">
      <c r="W36383"/>
    </row>
    <row r="36384" spans="23:23" x14ac:dyDescent="0.55000000000000004">
      <c r="W36384"/>
    </row>
    <row r="36385" spans="23:23" x14ac:dyDescent="0.55000000000000004">
      <c r="W36385"/>
    </row>
    <row r="36386" spans="23:23" x14ac:dyDescent="0.55000000000000004">
      <c r="W36386"/>
    </row>
    <row r="36387" spans="23:23" x14ac:dyDescent="0.55000000000000004">
      <c r="W36387"/>
    </row>
    <row r="36388" spans="23:23" x14ac:dyDescent="0.55000000000000004">
      <c r="W36388"/>
    </row>
    <row r="36389" spans="23:23" x14ac:dyDescent="0.55000000000000004">
      <c r="W36389"/>
    </row>
    <row r="36390" spans="23:23" x14ac:dyDescent="0.55000000000000004">
      <c r="W36390"/>
    </row>
    <row r="36391" spans="23:23" x14ac:dyDescent="0.55000000000000004">
      <c r="W36391"/>
    </row>
    <row r="36392" spans="23:23" x14ac:dyDescent="0.55000000000000004">
      <c r="W36392"/>
    </row>
    <row r="36393" spans="23:23" x14ac:dyDescent="0.55000000000000004">
      <c r="W36393"/>
    </row>
    <row r="36394" spans="23:23" x14ac:dyDescent="0.55000000000000004">
      <c r="W36394"/>
    </row>
    <row r="36395" spans="23:23" x14ac:dyDescent="0.55000000000000004">
      <c r="W36395"/>
    </row>
    <row r="36396" spans="23:23" x14ac:dyDescent="0.55000000000000004">
      <c r="W36396"/>
    </row>
    <row r="36397" spans="23:23" x14ac:dyDescent="0.55000000000000004">
      <c r="W36397"/>
    </row>
    <row r="36398" spans="23:23" x14ac:dyDescent="0.55000000000000004">
      <c r="W36398"/>
    </row>
    <row r="36399" spans="23:23" x14ac:dyDescent="0.55000000000000004">
      <c r="W36399"/>
    </row>
    <row r="36400" spans="23:23" x14ac:dyDescent="0.55000000000000004">
      <c r="W36400"/>
    </row>
    <row r="36401" spans="23:23" x14ac:dyDescent="0.55000000000000004">
      <c r="W36401"/>
    </row>
    <row r="36402" spans="23:23" x14ac:dyDescent="0.55000000000000004">
      <c r="W36402"/>
    </row>
    <row r="36403" spans="23:23" x14ac:dyDescent="0.55000000000000004">
      <c r="W36403"/>
    </row>
    <row r="36404" spans="23:23" x14ac:dyDescent="0.55000000000000004">
      <c r="W36404"/>
    </row>
    <row r="36405" spans="23:23" x14ac:dyDescent="0.55000000000000004">
      <c r="W36405"/>
    </row>
    <row r="36406" spans="23:23" x14ac:dyDescent="0.55000000000000004">
      <c r="W36406"/>
    </row>
    <row r="36407" spans="23:23" x14ac:dyDescent="0.55000000000000004">
      <c r="W36407"/>
    </row>
    <row r="36408" spans="23:23" x14ac:dyDescent="0.55000000000000004">
      <c r="W36408"/>
    </row>
    <row r="36409" spans="23:23" x14ac:dyDescent="0.55000000000000004">
      <c r="W36409"/>
    </row>
    <row r="36410" spans="23:23" x14ac:dyDescent="0.55000000000000004">
      <c r="W36410"/>
    </row>
    <row r="36411" spans="23:23" x14ac:dyDescent="0.55000000000000004">
      <c r="W36411"/>
    </row>
    <row r="36412" spans="23:23" x14ac:dyDescent="0.55000000000000004">
      <c r="W36412"/>
    </row>
    <row r="36413" spans="23:23" x14ac:dyDescent="0.55000000000000004">
      <c r="W36413"/>
    </row>
    <row r="36414" spans="23:23" x14ac:dyDescent="0.55000000000000004">
      <c r="W36414"/>
    </row>
    <row r="36415" spans="23:23" x14ac:dyDescent="0.55000000000000004">
      <c r="W36415"/>
    </row>
    <row r="36416" spans="23:23" x14ac:dyDescent="0.55000000000000004">
      <c r="W36416"/>
    </row>
    <row r="36417" spans="23:23" x14ac:dyDescent="0.55000000000000004">
      <c r="W36417"/>
    </row>
    <row r="36418" spans="23:23" x14ac:dyDescent="0.55000000000000004">
      <c r="W36418"/>
    </row>
    <row r="36419" spans="23:23" x14ac:dyDescent="0.55000000000000004">
      <c r="W36419"/>
    </row>
    <row r="36420" spans="23:23" x14ac:dyDescent="0.55000000000000004">
      <c r="W36420"/>
    </row>
    <row r="36421" spans="23:23" x14ac:dyDescent="0.55000000000000004">
      <c r="W36421"/>
    </row>
    <row r="36422" spans="23:23" x14ac:dyDescent="0.55000000000000004">
      <c r="W36422"/>
    </row>
    <row r="36423" spans="23:23" x14ac:dyDescent="0.55000000000000004">
      <c r="W36423"/>
    </row>
    <row r="36424" spans="23:23" x14ac:dyDescent="0.55000000000000004">
      <c r="W36424"/>
    </row>
    <row r="36425" spans="23:23" x14ac:dyDescent="0.55000000000000004">
      <c r="W36425"/>
    </row>
    <row r="36426" spans="23:23" x14ac:dyDescent="0.55000000000000004">
      <c r="W36426"/>
    </row>
    <row r="36427" spans="23:23" x14ac:dyDescent="0.55000000000000004">
      <c r="W36427"/>
    </row>
    <row r="36428" spans="23:23" x14ac:dyDescent="0.55000000000000004">
      <c r="W36428"/>
    </row>
    <row r="36429" spans="23:23" x14ac:dyDescent="0.55000000000000004">
      <c r="W36429"/>
    </row>
    <row r="36430" spans="23:23" x14ac:dyDescent="0.55000000000000004">
      <c r="W36430"/>
    </row>
    <row r="36431" spans="23:23" x14ac:dyDescent="0.55000000000000004">
      <c r="W36431"/>
    </row>
    <row r="36432" spans="23:23" x14ac:dyDescent="0.55000000000000004">
      <c r="W36432"/>
    </row>
    <row r="36433" spans="23:23" x14ac:dyDescent="0.55000000000000004">
      <c r="W36433"/>
    </row>
    <row r="36434" spans="23:23" x14ac:dyDescent="0.55000000000000004">
      <c r="W36434"/>
    </row>
    <row r="36435" spans="23:23" x14ac:dyDescent="0.55000000000000004">
      <c r="W36435"/>
    </row>
    <row r="36436" spans="23:23" x14ac:dyDescent="0.55000000000000004">
      <c r="W36436"/>
    </row>
    <row r="36437" spans="23:23" x14ac:dyDescent="0.55000000000000004">
      <c r="W36437"/>
    </row>
    <row r="36438" spans="23:23" x14ac:dyDescent="0.55000000000000004">
      <c r="W36438"/>
    </row>
    <row r="36439" spans="23:23" x14ac:dyDescent="0.55000000000000004">
      <c r="W36439"/>
    </row>
    <row r="36440" spans="23:23" x14ac:dyDescent="0.55000000000000004">
      <c r="W36440"/>
    </row>
    <row r="36441" spans="23:23" x14ac:dyDescent="0.55000000000000004">
      <c r="W36441"/>
    </row>
    <row r="36442" spans="23:23" x14ac:dyDescent="0.55000000000000004">
      <c r="W36442"/>
    </row>
    <row r="36443" spans="23:23" x14ac:dyDescent="0.55000000000000004">
      <c r="W36443"/>
    </row>
    <row r="36444" spans="23:23" x14ac:dyDescent="0.55000000000000004">
      <c r="W36444"/>
    </row>
    <row r="36445" spans="23:23" x14ac:dyDescent="0.55000000000000004">
      <c r="W36445"/>
    </row>
    <row r="36446" spans="23:23" x14ac:dyDescent="0.55000000000000004">
      <c r="W36446"/>
    </row>
    <row r="36447" spans="23:23" x14ac:dyDescent="0.55000000000000004">
      <c r="W36447"/>
    </row>
    <row r="36448" spans="23:23" x14ac:dyDescent="0.55000000000000004">
      <c r="W36448"/>
    </row>
    <row r="36449" spans="23:23" x14ac:dyDescent="0.55000000000000004">
      <c r="W36449"/>
    </row>
    <row r="36450" spans="23:23" x14ac:dyDescent="0.55000000000000004">
      <c r="W36450"/>
    </row>
    <row r="36451" spans="23:23" x14ac:dyDescent="0.55000000000000004">
      <c r="W36451"/>
    </row>
    <row r="36452" spans="23:23" x14ac:dyDescent="0.55000000000000004">
      <c r="W36452"/>
    </row>
    <row r="36453" spans="23:23" x14ac:dyDescent="0.55000000000000004">
      <c r="W36453"/>
    </row>
    <row r="36454" spans="23:23" x14ac:dyDescent="0.55000000000000004">
      <c r="W36454"/>
    </row>
    <row r="36455" spans="23:23" x14ac:dyDescent="0.55000000000000004">
      <c r="W36455"/>
    </row>
    <row r="36456" spans="23:23" x14ac:dyDescent="0.55000000000000004">
      <c r="W36456"/>
    </row>
    <row r="36457" spans="23:23" x14ac:dyDescent="0.55000000000000004">
      <c r="W36457"/>
    </row>
    <row r="36458" spans="23:23" x14ac:dyDescent="0.55000000000000004">
      <c r="W36458"/>
    </row>
    <row r="36459" spans="23:23" x14ac:dyDescent="0.55000000000000004">
      <c r="W36459"/>
    </row>
    <row r="36460" spans="23:23" x14ac:dyDescent="0.55000000000000004">
      <c r="W36460"/>
    </row>
    <row r="36461" spans="23:23" x14ac:dyDescent="0.55000000000000004">
      <c r="W36461"/>
    </row>
    <row r="36462" spans="23:23" x14ac:dyDescent="0.55000000000000004">
      <c r="W36462"/>
    </row>
    <row r="36463" spans="23:23" x14ac:dyDescent="0.55000000000000004">
      <c r="W36463"/>
    </row>
    <row r="36464" spans="23:23" x14ac:dyDescent="0.55000000000000004">
      <c r="W36464"/>
    </row>
    <row r="36465" spans="23:23" x14ac:dyDescent="0.55000000000000004">
      <c r="W36465"/>
    </row>
    <row r="36466" spans="23:23" x14ac:dyDescent="0.55000000000000004">
      <c r="W36466"/>
    </row>
    <row r="36467" spans="23:23" x14ac:dyDescent="0.55000000000000004">
      <c r="W36467"/>
    </row>
    <row r="36468" spans="23:23" x14ac:dyDescent="0.55000000000000004">
      <c r="W36468"/>
    </row>
    <row r="36469" spans="23:23" x14ac:dyDescent="0.55000000000000004">
      <c r="W36469"/>
    </row>
    <row r="36470" spans="23:23" x14ac:dyDescent="0.55000000000000004">
      <c r="W36470"/>
    </row>
    <row r="36471" spans="23:23" x14ac:dyDescent="0.55000000000000004">
      <c r="W36471"/>
    </row>
    <row r="36472" spans="23:23" x14ac:dyDescent="0.55000000000000004">
      <c r="W36472"/>
    </row>
    <row r="36473" spans="23:23" x14ac:dyDescent="0.55000000000000004">
      <c r="W36473"/>
    </row>
    <row r="36474" spans="23:23" x14ac:dyDescent="0.55000000000000004">
      <c r="W36474"/>
    </row>
    <row r="36475" spans="23:23" x14ac:dyDescent="0.55000000000000004">
      <c r="W36475"/>
    </row>
    <row r="36476" spans="23:23" x14ac:dyDescent="0.55000000000000004">
      <c r="W36476"/>
    </row>
    <row r="36477" spans="23:23" x14ac:dyDescent="0.55000000000000004">
      <c r="W36477"/>
    </row>
    <row r="36478" spans="23:23" x14ac:dyDescent="0.55000000000000004">
      <c r="W36478"/>
    </row>
    <row r="36479" spans="23:23" x14ac:dyDescent="0.55000000000000004">
      <c r="W36479"/>
    </row>
    <row r="36480" spans="23:23" x14ac:dyDescent="0.55000000000000004">
      <c r="W36480"/>
    </row>
    <row r="36481" spans="23:23" x14ac:dyDescent="0.55000000000000004">
      <c r="W36481"/>
    </row>
    <row r="36482" spans="23:23" x14ac:dyDescent="0.55000000000000004">
      <c r="W36482"/>
    </row>
    <row r="36483" spans="23:23" x14ac:dyDescent="0.55000000000000004">
      <c r="W36483"/>
    </row>
    <row r="36484" spans="23:23" x14ac:dyDescent="0.55000000000000004">
      <c r="W36484"/>
    </row>
    <row r="36485" spans="23:23" x14ac:dyDescent="0.55000000000000004">
      <c r="W36485"/>
    </row>
    <row r="36486" spans="23:23" x14ac:dyDescent="0.55000000000000004">
      <c r="W36486"/>
    </row>
    <row r="36487" spans="23:23" x14ac:dyDescent="0.55000000000000004">
      <c r="W36487"/>
    </row>
    <row r="36488" spans="23:23" x14ac:dyDescent="0.55000000000000004">
      <c r="W36488"/>
    </row>
    <row r="36489" spans="23:23" x14ac:dyDescent="0.55000000000000004">
      <c r="W36489"/>
    </row>
    <row r="36490" spans="23:23" x14ac:dyDescent="0.55000000000000004">
      <c r="W36490"/>
    </row>
    <row r="36491" spans="23:23" x14ac:dyDescent="0.55000000000000004">
      <c r="W36491"/>
    </row>
    <row r="36492" spans="23:23" x14ac:dyDescent="0.55000000000000004">
      <c r="W36492"/>
    </row>
    <row r="36493" spans="23:23" x14ac:dyDescent="0.55000000000000004">
      <c r="W36493"/>
    </row>
    <row r="36494" spans="23:23" x14ac:dyDescent="0.55000000000000004">
      <c r="W36494"/>
    </row>
    <row r="36495" spans="23:23" x14ac:dyDescent="0.55000000000000004">
      <c r="W36495"/>
    </row>
    <row r="36496" spans="23:23" x14ac:dyDescent="0.55000000000000004">
      <c r="W36496"/>
    </row>
    <row r="36497" spans="23:23" x14ac:dyDescent="0.55000000000000004">
      <c r="W36497"/>
    </row>
    <row r="36498" spans="23:23" x14ac:dyDescent="0.55000000000000004">
      <c r="W36498"/>
    </row>
    <row r="36499" spans="23:23" x14ac:dyDescent="0.55000000000000004">
      <c r="W36499"/>
    </row>
    <row r="36500" spans="23:23" x14ac:dyDescent="0.55000000000000004">
      <c r="W36500"/>
    </row>
    <row r="36501" spans="23:23" x14ac:dyDescent="0.55000000000000004">
      <c r="W36501"/>
    </row>
    <row r="36502" spans="23:23" x14ac:dyDescent="0.55000000000000004">
      <c r="W36502"/>
    </row>
    <row r="36503" spans="23:23" x14ac:dyDescent="0.55000000000000004">
      <c r="W36503"/>
    </row>
    <row r="36504" spans="23:23" x14ac:dyDescent="0.55000000000000004">
      <c r="W36504"/>
    </row>
    <row r="36505" spans="23:23" x14ac:dyDescent="0.55000000000000004">
      <c r="W36505"/>
    </row>
    <row r="36506" spans="23:23" x14ac:dyDescent="0.55000000000000004">
      <c r="W36506"/>
    </row>
    <row r="36507" spans="23:23" x14ac:dyDescent="0.55000000000000004">
      <c r="W36507"/>
    </row>
    <row r="36508" spans="23:23" x14ac:dyDescent="0.55000000000000004">
      <c r="W36508"/>
    </row>
    <row r="36509" spans="23:23" x14ac:dyDescent="0.55000000000000004">
      <c r="W36509"/>
    </row>
    <row r="36510" spans="23:23" x14ac:dyDescent="0.55000000000000004">
      <c r="W36510"/>
    </row>
    <row r="36511" spans="23:23" x14ac:dyDescent="0.55000000000000004">
      <c r="W36511"/>
    </row>
    <row r="36512" spans="23:23" x14ac:dyDescent="0.55000000000000004">
      <c r="W36512"/>
    </row>
    <row r="36513" spans="23:23" x14ac:dyDescent="0.55000000000000004">
      <c r="W36513"/>
    </row>
    <row r="36514" spans="23:23" x14ac:dyDescent="0.55000000000000004">
      <c r="W36514"/>
    </row>
    <row r="36515" spans="23:23" x14ac:dyDescent="0.55000000000000004">
      <c r="W36515"/>
    </row>
    <row r="36516" spans="23:23" x14ac:dyDescent="0.55000000000000004">
      <c r="W36516"/>
    </row>
    <row r="36517" spans="23:23" x14ac:dyDescent="0.55000000000000004">
      <c r="W36517"/>
    </row>
    <row r="36518" spans="23:23" x14ac:dyDescent="0.55000000000000004">
      <c r="W36518"/>
    </row>
    <row r="36519" spans="23:23" x14ac:dyDescent="0.55000000000000004">
      <c r="W36519"/>
    </row>
    <row r="36520" spans="23:23" x14ac:dyDescent="0.55000000000000004">
      <c r="W36520"/>
    </row>
    <row r="36521" spans="23:23" x14ac:dyDescent="0.55000000000000004">
      <c r="W36521"/>
    </row>
    <row r="36522" spans="23:23" x14ac:dyDescent="0.55000000000000004">
      <c r="W36522"/>
    </row>
    <row r="36523" spans="23:23" x14ac:dyDescent="0.55000000000000004">
      <c r="W36523"/>
    </row>
    <row r="36524" spans="23:23" x14ac:dyDescent="0.55000000000000004">
      <c r="W36524"/>
    </row>
    <row r="36525" spans="23:23" x14ac:dyDescent="0.55000000000000004">
      <c r="W36525"/>
    </row>
    <row r="36526" spans="23:23" x14ac:dyDescent="0.55000000000000004">
      <c r="W36526"/>
    </row>
    <row r="36527" spans="23:23" x14ac:dyDescent="0.55000000000000004">
      <c r="W36527"/>
    </row>
    <row r="36528" spans="23:23" x14ac:dyDescent="0.55000000000000004">
      <c r="W36528"/>
    </row>
    <row r="36529" spans="23:23" x14ac:dyDescent="0.55000000000000004">
      <c r="W36529"/>
    </row>
    <row r="36530" spans="23:23" x14ac:dyDescent="0.55000000000000004">
      <c r="W36530"/>
    </row>
    <row r="36531" spans="23:23" x14ac:dyDescent="0.55000000000000004">
      <c r="W36531"/>
    </row>
    <row r="36532" spans="23:23" x14ac:dyDescent="0.55000000000000004">
      <c r="W36532"/>
    </row>
    <row r="36533" spans="23:23" x14ac:dyDescent="0.55000000000000004">
      <c r="W36533"/>
    </row>
    <row r="36534" spans="23:23" x14ac:dyDescent="0.55000000000000004">
      <c r="W36534"/>
    </row>
    <row r="36535" spans="23:23" x14ac:dyDescent="0.55000000000000004">
      <c r="W36535"/>
    </row>
    <row r="36536" spans="23:23" x14ac:dyDescent="0.55000000000000004">
      <c r="W36536"/>
    </row>
    <row r="36537" spans="23:23" x14ac:dyDescent="0.55000000000000004">
      <c r="W36537"/>
    </row>
    <row r="36538" spans="23:23" x14ac:dyDescent="0.55000000000000004">
      <c r="W36538"/>
    </row>
    <row r="36539" spans="23:23" x14ac:dyDescent="0.55000000000000004">
      <c r="W36539"/>
    </row>
    <row r="36540" spans="23:23" x14ac:dyDescent="0.55000000000000004">
      <c r="W36540"/>
    </row>
    <row r="36541" spans="23:23" x14ac:dyDescent="0.55000000000000004">
      <c r="W36541"/>
    </row>
    <row r="36542" spans="23:23" x14ac:dyDescent="0.55000000000000004">
      <c r="W36542"/>
    </row>
    <row r="36543" spans="23:23" x14ac:dyDescent="0.55000000000000004">
      <c r="W36543"/>
    </row>
    <row r="36544" spans="23:23" x14ac:dyDescent="0.55000000000000004">
      <c r="W36544"/>
    </row>
    <row r="36545" spans="23:23" x14ac:dyDescent="0.55000000000000004">
      <c r="W36545"/>
    </row>
    <row r="36546" spans="23:23" x14ac:dyDescent="0.55000000000000004">
      <c r="W36546"/>
    </row>
    <row r="36547" spans="23:23" x14ac:dyDescent="0.55000000000000004">
      <c r="W36547"/>
    </row>
    <row r="36548" spans="23:23" x14ac:dyDescent="0.55000000000000004">
      <c r="W36548"/>
    </row>
    <row r="36549" spans="23:23" x14ac:dyDescent="0.55000000000000004">
      <c r="W36549"/>
    </row>
    <row r="36550" spans="23:23" x14ac:dyDescent="0.55000000000000004">
      <c r="W36550"/>
    </row>
    <row r="36551" spans="23:23" x14ac:dyDescent="0.55000000000000004">
      <c r="W36551"/>
    </row>
    <row r="36552" spans="23:23" x14ac:dyDescent="0.55000000000000004">
      <c r="W36552"/>
    </row>
    <row r="36553" spans="23:23" x14ac:dyDescent="0.55000000000000004">
      <c r="W36553"/>
    </row>
    <row r="36554" spans="23:23" x14ac:dyDescent="0.55000000000000004">
      <c r="W36554"/>
    </row>
    <row r="36555" spans="23:23" x14ac:dyDescent="0.55000000000000004">
      <c r="W36555"/>
    </row>
    <row r="36556" spans="23:23" x14ac:dyDescent="0.55000000000000004">
      <c r="W36556"/>
    </row>
    <row r="36557" spans="23:23" x14ac:dyDescent="0.55000000000000004">
      <c r="W36557"/>
    </row>
    <row r="36558" spans="23:23" x14ac:dyDescent="0.55000000000000004">
      <c r="W36558"/>
    </row>
    <row r="36559" spans="23:23" x14ac:dyDescent="0.55000000000000004">
      <c r="W36559"/>
    </row>
    <row r="36560" spans="23:23" x14ac:dyDescent="0.55000000000000004">
      <c r="W36560"/>
    </row>
    <row r="36561" spans="23:23" x14ac:dyDescent="0.55000000000000004">
      <c r="W36561"/>
    </row>
    <row r="36562" spans="23:23" x14ac:dyDescent="0.55000000000000004">
      <c r="W36562"/>
    </row>
    <row r="36563" spans="23:23" x14ac:dyDescent="0.55000000000000004">
      <c r="W36563"/>
    </row>
    <row r="36564" spans="23:23" x14ac:dyDescent="0.55000000000000004">
      <c r="W36564"/>
    </row>
    <row r="36565" spans="23:23" x14ac:dyDescent="0.55000000000000004">
      <c r="W36565"/>
    </row>
    <row r="36566" spans="23:23" x14ac:dyDescent="0.55000000000000004">
      <c r="W36566"/>
    </row>
    <row r="36567" spans="23:23" x14ac:dyDescent="0.55000000000000004">
      <c r="W36567"/>
    </row>
    <row r="36568" spans="23:23" x14ac:dyDescent="0.55000000000000004">
      <c r="W36568"/>
    </row>
    <row r="36569" spans="23:23" x14ac:dyDescent="0.55000000000000004">
      <c r="W36569"/>
    </row>
    <row r="36570" spans="23:23" x14ac:dyDescent="0.55000000000000004">
      <c r="W36570"/>
    </row>
    <row r="36571" spans="23:23" x14ac:dyDescent="0.55000000000000004">
      <c r="W36571"/>
    </row>
    <row r="36572" spans="23:23" x14ac:dyDescent="0.55000000000000004">
      <c r="W36572"/>
    </row>
    <row r="36573" spans="23:23" x14ac:dyDescent="0.55000000000000004">
      <c r="W36573"/>
    </row>
    <row r="36574" spans="23:23" x14ac:dyDescent="0.55000000000000004">
      <c r="W36574"/>
    </row>
    <row r="36575" spans="23:23" x14ac:dyDescent="0.55000000000000004">
      <c r="W36575"/>
    </row>
    <row r="36576" spans="23:23" x14ac:dyDescent="0.55000000000000004">
      <c r="W36576"/>
    </row>
    <row r="36577" spans="23:23" x14ac:dyDescent="0.55000000000000004">
      <c r="W36577"/>
    </row>
    <row r="36578" spans="23:23" x14ac:dyDescent="0.55000000000000004">
      <c r="W36578"/>
    </row>
    <row r="36579" spans="23:23" x14ac:dyDescent="0.55000000000000004">
      <c r="W36579"/>
    </row>
    <row r="36580" spans="23:23" x14ac:dyDescent="0.55000000000000004">
      <c r="W36580"/>
    </row>
    <row r="36581" spans="23:23" x14ac:dyDescent="0.55000000000000004">
      <c r="W36581"/>
    </row>
    <row r="36582" spans="23:23" x14ac:dyDescent="0.55000000000000004">
      <c r="W36582"/>
    </row>
    <row r="36583" spans="23:23" x14ac:dyDescent="0.55000000000000004">
      <c r="W36583"/>
    </row>
    <row r="36584" spans="23:23" x14ac:dyDescent="0.55000000000000004">
      <c r="W36584"/>
    </row>
    <row r="36585" spans="23:23" x14ac:dyDescent="0.55000000000000004">
      <c r="W36585"/>
    </row>
    <row r="36586" spans="23:23" x14ac:dyDescent="0.55000000000000004">
      <c r="W36586"/>
    </row>
    <row r="36587" spans="23:23" x14ac:dyDescent="0.55000000000000004">
      <c r="W36587"/>
    </row>
    <row r="36588" spans="23:23" x14ac:dyDescent="0.55000000000000004">
      <c r="W36588"/>
    </row>
    <row r="36589" spans="23:23" x14ac:dyDescent="0.55000000000000004">
      <c r="W36589"/>
    </row>
    <row r="36590" spans="23:23" x14ac:dyDescent="0.55000000000000004">
      <c r="W36590"/>
    </row>
    <row r="36591" spans="23:23" x14ac:dyDescent="0.55000000000000004">
      <c r="W36591"/>
    </row>
    <row r="36592" spans="23:23" x14ac:dyDescent="0.55000000000000004">
      <c r="W36592"/>
    </row>
    <row r="36593" spans="23:23" x14ac:dyDescent="0.55000000000000004">
      <c r="W36593"/>
    </row>
    <row r="36594" spans="23:23" x14ac:dyDescent="0.55000000000000004">
      <c r="W36594"/>
    </row>
    <row r="36595" spans="23:23" x14ac:dyDescent="0.55000000000000004">
      <c r="W36595"/>
    </row>
    <row r="36596" spans="23:23" x14ac:dyDescent="0.55000000000000004">
      <c r="W36596"/>
    </row>
    <row r="36597" spans="23:23" x14ac:dyDescent="0.55000000000000004">
      <c r="W36597"/>
    </row>
    <row r="36598" spans="23:23" x14ac:dyDescent="0.55000000000000004">
      <c r="W36598"/>
    </row>
    <row r="36599" spans="23:23" x14ac:dyDescent="0.55000000000000004">
      <c r="W36599"/>
    </row>
    <row r="36600" spans="23:23" x14ac:dyDescent="0.55000000000000004">
      <c r="W36600"/>
    </row>
    <row r="36601" spans="23:23" x14ac:dyDescent="0.55000000000000004">
      <c r="W36601"/>
    </row>
    <row r="36602" spans="23:23" x14ac:dyDescent="0.55000000000000004">
      <c r="W36602"/>
    </row>
    <row r="36603" spans="23:23" x14ac:dyDescent="0.55000000000000004">
      <c r="W36603"/>
    </row>
    <row r="36604" spans="23:23" x14ac:dyDescent="0.55000000000000004">
      <c r="W36604"/>
    </row>
    <row r="36605" spans="23:23" x14ac:dyDescent="0.55000000000000004">
      <c r="W36605"/>
    </row>
    <row r="36606" spans="23:23" x14ac:dyDescent="0.55000000000000004">
      <c r="W36606"/>
    </row>
    <row r="36607" spans="23:23" x14ac:dyDescent="0.55000000000000004">
      <c r="W36607"/>
    </row>
    <row r="36608" spans="23:23" x14ac:dyDescent="0.55000000000000004">
      <c r="W36608"/>
    </row>
    <row r="36609" spans="23:23" x14ac:dyDescent="0.55000000000000004">
      <c r="W36609"/>
    </row>
    <row r="36610" spans="23:23" x14ac:dyDescent="0.55000000000000004">
      <c r="W36610"/>
    </row>
    <row r="36611" spans="23:23" x14ac:dyDescent="0.55000000000000004">
      <c r="W36611"/>
    </row>
    <row r="36612" spans="23:23" x14ac:dyDescent="0.55000000000000004">
      <c r="W36612"/>
    </row>
    <row r="36613" spans="23:23" x14ac:dyDescent="0.55000000000000004">
      <c r="W36613"/>
    </row>
    <row r="36614" spans="23:23" x14ac:dyDescent="0.55000000000000004">
      <c r="W36614"/>
    </row>
    <row r="36615" spans="23:23" x14ac:dyDescent="0.55000000000000004">
      <c r="W36615"/>
    </row>
    <row r="36616" spans="23:23" x14ac:dyDescent="0.55000000000000004">
      <c r="W36616"/>
    </row>
    <row r="36617" spans="23:23" x14ac:dyDescent="0.55000000000000004">
      <c r="W36617"/>
    </row>
    <row r="36618" spans="23:23" x14ac:dyDescent="0.55000000000000004">
      <c r="W36618"/>
    </row>
    <row r="36619" spans="23:23" x14ac:dyDescent="0.55000000000000004">
      <c r="W36619"/>
    </row>
    <row r="36620" spans="23:23" x14ac:dyDescent="0.55000000000000004">
      <c r="W36620"/>
    </row>
    <row r="36621" spans="23:23" x14ac:dyDescent="0.55000000000000004">
      <c r="W36621"/>
    </row>
    <row r="36622" spans="23:23" x14ac:dyDescent="0.55000000000000004">
      <c r="W36622"/>
    </row>
    <row r="36623" spans="23:23" x14ac:dyDescent="0.55000000000000004">
      <c r="W36623"/>
    </row>
    <row r="36624" spans="23:23" x14ac:dyDescent="0.55000000000000004">
      <c r="W36624"/>
    </row>
    <row r="36625" spans="23:23" x14ac:dyDescent="0.55000000000000004">
      <c r="W36625"/>
    </row>
    <row r="36626" spans="23:23" x14ac:dyDescent="0.55000000000000004">
      <c r="W36626"/>
    </row>
    <row r="36627" spans="23:23" x14ac:dyDescent="0.55000000000000004">
      <c r="W36627"/>
    </row>
    <row r="36628" spans="23:23" x14ac:dyDescent="0.55000000000000004">
      <c r="W36628"/>
    </row>
    <row r="36629" spans="23:23" x14ac:dyDescent="0.55000000000000004">
      <c r="W36629"/>
    </row>
    <row r="36630" spans="23:23" x14ac:dyDescent="0.55000000000000004">
      <c r="W36630"/>
    </row>
    <row r="36631" spans="23:23" x14ac:dyDescent="0.55000000000000004">
      <c r="W36631"/>
    </row>
    <row r="36632" spans="23:23" x14ac:dyDescent="0.55000000000000004">
      <c r="W36632"/>
    </row>
    <row r="36633" spans="23:23" x14ac:dyDescent="0.55000000000000004">
      <c r="W36633"/>
    </row>
    <row r="36634" spans="23:23" x14ac:dyDescent="0.55000000000000004">
      <c r="W36634"/>
    </row>
    <row r="36635" spans="23:23" x14ac:dyDescent="0.55000000000000004">
      <c r="W36635"/>
    </row>
    <row r="36636" spans="23:23" x14ac:dyDescent="0.55000000000000004">
      <c r="W36636"/>
    </row>
    <row r="36637" spans="23:23" x14ac:dyDescent="0.55000000000000004">
      <c r="W36637"/>
    </row>
    <row r="36638" spans="23:23" x14ac:dyDescent="0.55000000000000004">
      <c r="W36638"/>
    </row>
    <row r="36639" spans="23:23" x14ac:dyDescent="0.55000000000000004">
      <c r="W36639"/>
    </row>
    <row r="36640" spans="23:23" x14ac:dyDescent="0.55000000000000004">
      <c r="W36640"/>
    </row>
    <row r="36641" spans="23:23" x14ac:dyDescent="0.55000000000000004">
      <c r="W36641"/>
    </row>
    <row r="36642" spans="23:23" x14ac:dyDescent="0.55000000000000004">
      <c r="W36642"/>
    </row>
    <row r="36643" spans="23:23" x14ac:dyDescent="0.55000000000000004">
      <c r="W36643"/>
    </row>
    <row r="36644" spans="23:23" x14ac:dyDescent="0.55000000000000004">
      <c r="W36644"/>
    </row>
    <row r="36645" spans="23:23" x14ac:dyDescent="0.55000000000000004">
      <c r="W36645"/>
    </row>
    <row r="36646" spans="23:23" x14ac:dyDescent="0.55000000000000004">
      <c r="W36646"/>
    </row>
    <row r="36647" spans="23:23" x14ac:dyDescent="0.55000000000000004">
      <c r="W36647"/>
    </row>
    <row r="36648" spans="23:23" x14ac:dyDescent="0.55000000000000004">
      <c r="W36648"/>
    </row>
    <row r="36649" spans="23:23" x14ac:dyDescent="0.55000000000000004">
      <c r="W36649"/>
    </row>
    <row r="36650" spans="23:23" x14ac:dyDescent="0.55000000000000004">
      <c r="W36650"/>
    </row>
    <row r="36651" spans="23:23" x14ac:dyDescent="0.55000000000000004">
      <c r="W36651"/>
    </row>
    <row r="36652" spans="23:23" x14ac:dyDescent="0.55000000000000004">
      <c r="W36652"/>
    </row>
    <row r="36653" spans="23:23" x14ac:dyDescent="0.55000000000000004">
      <c r="W36653"/>
    </row>
    <row r="36654" spans="23:23" x14ac:dyDescent="0.55000000000000004">
      <c r="W36654"/>
    </row>
    <row r="36655" spans="23:23" x14ac:dyDescent="0.55000000000000004">
      <c r="W36655"/>
    </row>
    <row r="36656" spans="23:23" x14ac:dyDescent="0.55000000000000004">
      <c r="W36656"/>
    </row>
    <row r="36657" spans="23:23" x14ac:dyDescent="0.55000000000000004">
      <c r="W36657"/>
    </row>
    <row r="36658" spans="23:23" x14ac:dyDescent="0.55000000000000004">
      <c r="W36658"/>
    </row>
    <row r="36659" spans="23:23" x14ac:dyDescent="0.55000000000000004">
      <c r="W36659"/>
    </row>
    <row r="36660" spans="23:23" x14ac:dyDescent="0.55000000000000004">
      <c r="W36660"/>
    </row>
    <row r="36661" spans="23:23" x14ac:dyDescent="0.55000000000000004">
      <c r="W36661"/>
    </row>
    <row r="36662" spans="23:23" x14ac:dyDescent="0.55000000000000004">
      <c r="W36662"/>
    </row>
    <row r="36663" spans="23:23" x14ac:dyDescent="0.55000000000000004">
      <c r="W36663"/>
    </row>
    <row r="36664" spans="23:23" x14ac:dyDescent="0.55000000000000004">
      <c r="W36664"/>
    </row>
    <row r="36665" spans="23:23" x14ac:dyDescent="0.55000000000000004">
      <c r="W36665"/>
    </row>
    <row r="36666" spans="23:23" x14ac:dyDescent="0.55000000000000004">
      <c r="W36666"/>
    </row>
    <row r="36667" spans="23:23" x14ac:dyDescent="0.55000000000000004">
      <c r="W36667"/>
    </row>
    <row r="36668" spans="23:23" x14ac:dyDescent="0.55000000000000004">
      <c r="W36668"/>
    </row>
    <row r="36669" spans="23:23" x14ac:dyDescent="0.55000000000000004">
      <c r="W36669"/>
    </row>
    <row r="36670" spans="23:23" x14ac:dyDescent="0.55000000000000004">
      <c r="W36670"/>
    </row>
    <row r="36671" spans="23:23" x14ac:dyDescent="0.55000000000000004">
      <c r="W36671"/>
    </row>
    <row r="36672" spans="23:23" x14ac:dyDescent="0.55000000000000004">
      <c r="W36672"/>
    </row>
    <row r="36673" spans="23:23" x14ac:dyDescent="0.55000000000000004">
      <c r="W36673"/>
    </row>
    <row r="36674" spans="23:23" x14ac:dyDescent="0.55000000000000004">
      <c r="W36674"/>
    </row>
    <row r="36675" spans="23:23" x14ac:dyDescent="0.55000000000000004">
      <c r="W36675"/>
    </row>
    <row r="36676" spans="23:23" x14ac:dyDescent="0.55000000000000004">
      <c r="W36676"/>
    </row>
    <row r="36677" spans="23:23" x14ac:dyDescent="0.55000000000000004">
      <c r="W36677"/>
    </row>
    <row r="36678" spans="23:23" x14ac:dyDescent="0.55000000000000004">
      <c r="W36678"/>
    </row>
    <row r="36679" spans="23:23" x14ac:dyDescent="0.55000000000000004">
      <c r="W36679"/>
    </row>
    <row r="36680" spans="23:23" x14ac:dyDescent="0.55000000000000004">
      <c r="W36680"/>
    </row>
    <row r="36681" spans="23:23" x14ac:dyDescent="0.55000000000000004">
      <c r="W36681"/>
    </row>
    <row r="36682" spans="23:23" x14ac:dyDescent="0.55000000000000004">
      <c r="W36682"/>
    </row>
    <row r="36683" spans="23:23" x14ac:dyDescent="0.55000000000000004">
      <c r="W36683"/>
    </row>
    <row r="36684" spans="23:23" x14ac:dyDescent="0.55000000000000004">
      <c r="W36684"/>
    </row>
    <row r="36685" spans="23:23" x14ac:dyDescent="0.55000000000000004">
      <c r="W36685"/>
    </row>
    <row r="36686" spans="23:23" x14ac:dyDescent="0.55000000000000004">
      <c r="W36686"/>
    </row>
    <row r="36687" spans="23:23" x14ac:dyDescent="0.55000000000000004">
      <c r="W36687"/>
    </row>
    <row r="36688" spans="23:23" x14ac:dyDescent="0.55000000000000004">
      <c r="W36688"/>
    </row>
    <row r="36689" spans="23:23" x14ac:dyDescent="0.55000000000000004">
      <c r="W36689"/>
    </row>
    <row r="36690" spans="23:23" x14ac:dyDescent="0.55000000000000004">
      <c r="W36690"/>
    </row>
    <row r="36691" spans="23:23" x14ac:dyDescent="0.55000000000000004">
      <c r="W36691"/>
    </row>
    <row r="36692" spans="23:23" x14ac:dyDescent="0.55000000000000004">
      <c r="W36692"/>
    </row>
    <row r="36693" spans="23:23" x14ac:dyDescent="0.55000000000000004">
      <c r="W36693"/>
    </row>
    <row r="36694" spans="23:23" x14ac:dyDescent="0.55000000000000004">
      <c r="W36694"/>
    </row>
    <row r="36695" spans="23:23" x14ac:dyDescent="0.55000000000000004">
      <c r="W36695"/>
    </row>
    <row r="36696" spans="23:23" x14ac:dyDescent="0.55000000000000004">
      <c r="W36696"/>
    </row>
    <row r="36697" spans="23:23" x14ac:dyDescent="0.55000000000000004">
      <c r="W36697"/>
    </row>
    <row r="36698" spans="23:23" x14ac:dyDescent="0.55000000000000004">
      <c r="W36698"/>
    </row>
    <row r="36699" spans="23:23" x14ac:dyDescent="0.55000000000000004">
      <c r="W36699"/>
    </row>
    <row r="36700" spans="23:23" x14ac:dyDescent="0.55000000000000004">
      <c r="W36700"/>
    </row>
    <row r="36701" spans="23:23" x14ac:dyDescent="0.55000000000000004">
      <c r="W36701"/>
    </row>
    <row r="36702" spans="23:23" x14ac:dyDescent="0.55000000000000004">
      <c r="W36702"/>
    </row>
    <row r="36703" spans="23:23" x14ac:dyDescent="0.55000000000000004">
      <c r="W36703"/>
    </row>
    <row r="36704" spans="23:23" x14ac:dyDescent="0.55000000000000004">
      <c r="W36704"/>
    </row>
    <row r="36705" spans="23:23" x14ac:dyDescent="0.55000000000000004">
      <c r="W36705"/>
    </row>
    <row r="36706" spans="23:23" x14ac:dyDescent="0.55000000000000004">
      <c r="W36706"/>
    </row>
    <row r="36707" spans="23:23" x14ac:dyDescent="0.55000000000000004">
      <c r="W36707"/>
    </row>
    <row r="36708" spans="23:23" x14ac:dyDescent="0.55000000000000004">
      <c r="W36708"/>
    </row>
    <row r="36709" spans="23:23" x14ac:dyDescent="0.55000000000000004">
      <c r="W36709"/>
    </row>
    <row r="36710" spans="23:23" x14ac:dyDescent="0.55000000000000004">
      <c r="W36710"/>
    </row>
    <row r="36711" spans="23:23" x14ac:dyDescent="0.55000000000000004">
      <c r="W36711"/>
    </row>
    <row r="36712" spans="23:23" x14ac:dyDescent="0.55000000000000004">
      <c r="W36712"/>
    </row>
    <row r="36713" spans="23:23" x14ac:dyDescent="0.55000000000000004">
      <c r="W36713"/>
    </row>
    <row r="36714" spans="23:23" x14ac:dyDescent="0.55000000000000004">
      <c r="W36714"/>
    </row>
    <row r="36715" spans="23:23" x14ac:dyDescent="0.55000000000000004">
      <c r="W36715"/>
    </row>
    <row r="36716" spans="23:23" x14ac:dyDescent="0.55000000000000004">
      <c r="W36716"/>
    </row>
    <row r="36717" spans="23:23" x14ac:dyDescent="0.55000000000000004">
      <c r="W36717"/>
    </row>
    <row r="36718" spans="23:23" x14ac:dyDescent="0.55000000000000004">
      <c r="W36718"/>
    </row>
    <row r="36719" spans="23:23" x14ac:dyDescent="0.55000000000000004">
      <c r="W36719"/>
    </row>
    <row r="36720" spans="23:23" x14ac:dyDescent="0.55000000000000004">
      <c r="W36720"/>
    </row>
    <row r="36721" spans="23:23" x14ac:dyDescent="0.55000000000000004">
      <c r="W36721"/>
    </row>
    <row r="36722" spans="23:23" x14ac:dyDescent="0.55000000000000004">
      <c r="W36722"/>
    </row>
    <row r="36723" spans="23:23" x14ac:dyDescent="0.55000000000000004">
      <c r="W36723"/>
    </row>
    <row r="36724" spans="23:23" x14ac:dyDescent="0.55000000000000004">
      <c r="W36724"/>
    </row>
    <row r="36725" spans="23:23" x14ac:dyDescent="0.55000000000000004">
      <c r="W36725"/>
    </row>
    <row r="36726" spans="23:23" x14ac:dyDescent="0.55000000000000004">
      <c r="W36726"/>
    </row>
    <row r="36727" spans="23:23" x14ac:dyDescent="0.55000000000000004">
      <c r="W36727"/>
    </row>
    <row r="36728" spans="23:23" x14ac:dyDescent="0.55000000000000004">
      <c r="W36728"/>
    </row>
    <row r="36729" spans="23:23" x14ac:dyDescent="0.55000000000000004">
      <c r="W36729"/>
    </row>
    <row r="36730" spans="23:23" x14ac:dyDescent="0.55000000000000004">
      <c r="W36730"/>
    </row>
    <row r="36731" spans="23:23" x14ac:dyDescent="0.55000000000000004">
      <c r="W36731"/>
    </row>
    <row r="36732" spans="23:23" x14ac:dyDescent="0.55000000000000004">
      <c r="W36732"/>
    </row>
    <row r="36733" spans="23:23" x14ac:dyDescent="0.55000000000000004">
      <c r="W36733"/>
    </row>
    <row r="36734" spans="23:23" x14ac:dyDescent="0.55000000000000004">
      <c r="W36734"/>
    </row>
    <row r="36735" spans="23:23" x14ac:dyDescent="0.55000000000000004">
      <c r="W36735"/>
    </row>
    <row r="36736" spans="23:23" x14ac:dyDescent="0.55000000000000004">
      <c r="W36736"/>
    </row>
    <row r="36737" spans="23:23" x14ac:dyDescent="0.55000000000000004">
      <c r="W36737"/>
    </row>
    <row r="36738" spans="23:23" x14ac:dyDescent="0.55000000000000004">
      <c r="W36738"/>
    </row>
    <row r="36739" spans="23:23" x14ac:dyDescent="0.55000000000000004">
      <c r="W36739"/>
    </row>
    <row r="36740" spans="23:23" x14ac:dyDescent="0.55000000000000004">
      <c r="W36740"/>
    </row>
    <row r="36741" spans="23:23" x14ac:dyDescent="0.55000000000000004">
      <c r="W36741"/>
    </row>
    <row r="36742" spans="23:23" x14ac:dyDescent="0.55000000000000004">
      <c r="W36742"/>
    </row>
    <row r="36743" spans="23:23" x14ac:dyDescent="0.55000000000000004">
      <c r="W36743"/>
    </row>
    <row r="36744" spans="23:23" x14ac:dyDescent="0.55000000000000004">
      <c r="W36744"/>
    </row>
    <row r="36745" spans="23:23" x14ac:dyDescent="0.55000000000000004">
      <c r="W36745"/>
    </row>
    <row r="36746" spans="23:23" x14ac:dyDescent="0.55000000000000004">
      <c r="W36746"/>
    </row>
    <row r="36747" spans="23:23" x14ac:dyDescent="0.55000000000000004">
      <c r="W36747"/>
    </row>
    <row r="36748" spans="23:23" x14ac:dyDescent="0.55000000000000004">
      <c r="W36748"/>
    </row>
    <row r="36749" spans="23:23" x14ac:dyDescent="0.55000000000000004">
      <c r="W36749"/>
    </row>
    <row r="36750" spans="23:23" x14ac:dyDescent="0.55000000000000004">
      <c r="W36750"/>
    </row>
    <row r="36751" spans="23:23" x14ac:dyDescent="0.55000000000000004">
      <c r="W36751"/>
    </row>
    <row r="36752" spans="23:23" x14ac:dyDescent="0.55000000000000004">
      <c r="W36752"/>
    </row>
    <row r="36753" spans="23:23" x14ac:dyDescent="0.55000000000000004">
      <c r="W36753"/>
    </row>
    <row r="36754" spans="23:23" x14ac:dyDescent="0.55000000000000004">
      <c r="W36754"/>
    </row>
    <row r="36755" spans="23:23" x14ac:dyDescent="0.55000000000000004">
      <c r="W36755"/>
    </row>
    <row r="36756" spans="23:23" x14ac:dyDescent="0.55000000000000004">
      <c r="W36756"/>
    </row>
    <row r="36757" spans="23:23" x14ac:dyDescent="0.55000000000000004">
      <c r="W36757"/>
    </row>
    <row r="36758" spans="23:23" x14ac:dyDescent="0.55000000000000004">
      <c r="W36758"/>
    </row>
    <row r="36759" spans="23:23" x14ac:dyDescent="0.55000000000000004">
      <c r="W36759"/>
    </row>
    <row r="36760" spans="23:23" x14ac:dyDescent="0.55000000000000004">
      <c r="W36760"/>
    </row>
    <row r="36761" spans="23:23" x14ac:dyDescent="0.55000000000000004">
      <c r="W36761"/>
    </row>
    <row r="36762" spans="23:23" x14ac:dyDescent="0.55000000000000004">
      <c r="W36762"/>
    </row>
    <row r="36763" spans="23:23" x14ac:dyDescent="0.55000000000000004">
      <c r="W36763"/>
    </row>
    <row r="36764" spans="23:23" x14ac:dyDescent="0.55000000000000004">
      <c r="W36764"/>
    </row>
    <row r="36765" spans="23:23" x14ac:dyDescent="0.55000000000000004">
      <c r="W36765"/>
    </row>
    <row r="36766" spans="23:23" x14ac:dyDescent="0.55000000000000004">
      <c r="W36766"/>
    </row>
    <row r="36767" spans="23:23" x14ac:dyDescent="0.55000000000000004">
      <c r="W36767"/>
    </row>
    <row r="36768" spans="23:23" x14ac:dyDescent="0.55000000000000004">
      <c r="W36768"/>
    </row>
    <row r="36769" spans="23:23" x14ac:dyDescent="0.55000000000000004">
      <c r="W36769"/>
    </row>
    <row r="36770" spans="23:23" x14ac:dyDescent="0.55000000000000004">
      <c r="W36770"/>
    </row>
    <row r="36771" spans="23:23" x14ac:dyDescent="0.55000000000000004">
      <c r="W36771"/>
    </row>
    <row r="36772" spans="23:23" x14ac:dyDescent="0.55000000000000004">
      <c r="W36772"/>
    </row>
    <row r="36773" spans="23:23" x14ac:dyDescent="0.55000000000000004">
      <c r="W36773"/>
    </row>
    <row r="36774" spans="23:23" x14ac:dyDescent="0.55000000000000004">
      <c r="W36774"/>
    </row>
    <row r="36775" spans="23:23" x14ac:dyDescent="0.55000000000000004">
      <c r="W36775"/>
    </row>
    <row r="36776" spans="23:23" x14ac:dyDescent="0.55000000000000004">
      <c r="W36776"/>
    </row>
    <row r="36777" spans="23:23" x14ac:dyDescent="0.55000000000000004">
      <c r="W36777"/>
    </row>
    <row r="36778" spans="23:23" x14ac:dyDescent="0.55000000000000004">
      <c r="W36778"/>
    </row>
    <row r="36779" spans="23:23" x14ac:dyDescent="0.55000000000000004">
      <c r="W36779"/>
    </row>
    <row r="36780" spans="23:23" x14ac:dyDescent="0.55000000000000004">
      <c r="W36780"/>
    </row>
    <row r="36781" spans="23:23" x14ac:dyDescent="0.55000000000000004">
      <c r="W36781"/>
    </row>
    <row r="36782" spans="23:23" x14ac:dyDescent="0.55000000000000004">
      <c r="W36782"/>
    </row>
    <row r="36783" spans="23:23" x14ac:dyDescent="0.55000000000000004">
      <c r="W36783"/>
    </row>
    <row r="36784" spans="23:23" x14ac:dyDescent="0.55000000000000004">
      <c r="W36784"/>
    </row>
    <row r="36785" spans="23:23" x14ac:dyDescent="0.55000000000000004">
      <c r="W36785"/>
    </row>
    <row r="36786" spans="23:23" x14ac:dyDescent="0.55000000000000004">
      <c r="W36786"/>
    </row>
    <row r="36787" spans="23:23" x14ac:dyDescent="0.55000000000000004">
      <c r="W36787"/>
    </row>
    <row r="36788" spans="23:23" x14ac:dyDescent="0.55000000000000004">
      <c r="W36788"/>
    </row>
    <row r="36789" spans="23:23" x14ac:dyDescent="0.55000000000000004">
      <c r="W36789"/>
    </row>
    <row r="36790" spans="23:23" x14ac:dyDescent="0.55000000000000004">
      <c r="W36790"/>
    </row>
    <row r="36791" spans="23:23" x14ac:dyDescent="0.55000000000000004">
      <c r="W36791"/>
    </row>
    <row r="36792" spans="23:23" x14ac:dyDescent="0.55000000000000004">
      <c r="W36792"/>
    </row>
    <row r="36793" spans="23:23" x14ac:dyDescent="0.55000000000000004">
      <c r="W36793"/>
    </row>
    <row r="36794" spans="23:23" x14ac:dyDescent="0.55000000000000004">
      <c r="W36794"/>
    </row>
    <row r="36795" spans="23:23" x14ac:dyDescent="0.55000000000000004">
      <c r="W36795"/>
    </row>
    <row r="36796" spans="23:23" x14ac:dyDescent="0.55000000000000004">
      <c r="W36796"/>
    </row>
    <row r="36797" spans="23:23" x14ac:dyDescent="0.55000000000000004">
      <c r="W36797"/>
    </row>
    <row r="36798" spans="23:23" x14ac:dyDescent="0.55000000000000004">
      <c r="W36798"/>
    </row>
    <row r="36799" spans="23:23" x14ac:dyDescent="0.55000000000000004">
      <c r="W36799"/>
    </row>
    <row r="36800" spans="23:23" x14ac:dyDescent="0.55000000000000004">
      <c r="W36800"/>
    </row>
    <row r="36801" spans="23:23" x14ac:dyDescent="0.55000000000000004">
      <c r="W36801"/>
    </row>
    <row r="36802" spans="23:23" x14ac:dyDescent="0.55000000000000004">
      <c r="W36802"/>
    </row>
    <row r="36803" spans="23:23" x14ac:dyDescent="0.55000000000000004">
      <c r="W36803"/>
    </row>
    <row r="36804" spans="23:23" x14ac:dyDescent="0.55000000000000004">
      <c r="W36804"/>
    </row>
    <row r="36805" spans="23:23" x14ac:dyDescent="0.55000000000000004">
      <c r="W36805"/>
    </row>
    <row r="36806" spans="23:23" x14ac:dyDescent="0.55000000000000004">
      <c r="W36806"/>
    </row>
    <row r="36807" spans="23:23" x14ac:dyDescent="0.55000000000000004">
      <c r="W36807"/>
    </row>
    <row r="36808" spans="23:23" x14ac:dyDescent="0.55000000000000004">
      <c r="W36808"/>
    </row>
    <row r="36809" spans="23:23" x14ac:dyDescent="0.55000000000000004">
      <c r="W36809"/>
    </row>
    <row r="36810" spans="23:23" x14ac:dyDescent="0.55000000000000004">
      <c r="W36810"/>
    </row>
    <row r="36811" spans="23:23" x14ac:dyDescent="0.55000000000000004">
      <c r="W36811"/>
    </row>
    <row r="36812" spans="23:23" x14ac:dyDescent="0.55000000000000004">
      <c r="W36812"/>
    </row>
    <row r="36813" spans="23:23" x14ac:dyDescent="0.55000000000000004">
      <c r="W36813"/>
    </row>
    <row r="36814" spans="23:23" x14ac:dyDescent="0.55000000000000004">
      <c r="W36814"/>
    </row>
    <row r="36815" spans="23:23" x14ac:dyDescent="0.55000000000000004">
      <c r="W36815"/>
    </row>
    <row r="36816" spans="23:23" x14ac:dyDescent="0.55000000000000004">
      <c r="W36816"/>
    </row>
    <row r="36817" spans="23:23" x14ac:dyDescent="0.55000000000000004">
      <c r="W36817"/>
    </row>
    <row r="36818" spans="23:23" x14ac:dyDescent="0.55000000000000004">
      <c r="W36818"/>
    </row>
    <row r="36819" spans="23:23" x14ac:dyDescent="0.55000000000000004">
      <c r="W36819"/>
    </row>
    <row r="36820" spans="23:23" x14ac:dyDescent="0.55000000000000004">
      <c r="W36820"/>
    </row>
    <row r="36821" spans="23:23" x14ac:dyDescent="0.55000000000000004">
      <c r="W36821"/>
    </row>
    <row r="36822" spans="23:23" x14ac:dyDescent="0.55000000000000004">
      <c r="W36822"/>
    </row>
    <row r="36823" spans="23:23" x14ac:dyDescent="0.55000000000000004">
      <c r="W36823"/>
    </row>
    <row r="36824" spans="23:23" x14ac:dyDescent="0.55000000000000004">
      <c r="W36824"/>
    </row>
    <row r="36825" spans="23:23" x14ac:dyDescent="0.55000000000000004">
      <c r="W36825"/>
    </row>
    <row r="36826" spans="23:23" x14ac:dyDescent="0.55000000000000004">
      <c r="W36826"/>
    </row>
    <row r="36827" spans="23:23" x14ac:dyDescent="0.55000000000000004">
      <c r="W36827"/>
    </row>
    <row r="36828" spans="23:23" x14ac:dyDescent="0.55000000000000004">
      <c r="W36828"/>
    </row>
    <row r="36829" spans="23:23" x14ac:dyDescent="0.55000000000000004">
      <c r="W36829"/>
    </row>
    <row r="36830" spans="23:23" x14ac:dyDescent="0.55000000000000004">
      <c r="W36830"/>
    </row>
    <row r="36831" spans="23:23" x14ac:dyDescent="0.55000000000000004">
      <c r="W36831"/>
    </row>
    <row r="36832" spans="23:23" x14ac:dyDescent="0.55000000000000004">
      <c r="W36832"/>
    </row>
    <row r="36833" spans="23:23" x14ac:dyDescent="0.55000000000000004">
      <c r="W36833"/>
    </row>
    <row r="36834" spans="23:23" x14ac:dyDescent="0.55000000000000004">
      <c r="W36834"/>
    </row>
    <row r="36835" spans="23:23" x14ac:dyDescent="0.55000000000000004">
      <c r="W36835"/>
    </row>
    <row r="36836" spans="23:23" x14ac:dyDescent="0.55000000000000004">
      <c r="W36836"/>
    </row>
    <row r="36837" spans="23:23" x14ac:dyDescent="0.55000000000000004">
      <c r="W36837"/>
    </row>
    <row r="36838" spans="23:23" x14ac:dyDescent="0.55000000000000004">
      <c r="W36838"/>
    </row>
    <row r="36839" spans="23:23" x14ac:dyDescent="0.55000000000000004">
      <c r="W36839"/>
    </row>
    <row r="36840" spans="23:23" x14ac:dyDescent="0.55000000000000004">
      <c r="W36840"/>
    </row>
    <row r="36841" spans="23:23" x14ac:dyDescent="0.55000000000000004">
      <c r="W36841"/>
    </row>
    <row r="36842" spans="23:23" x14ac:dyDescent="0.55000000000000004">
      <c r="W36842"/>
    </row>
    <row r="36843" spans="23:23" x14ac:dyDescent="0.55000000000000004">
      <c r="W36843"/>
    </row>
    <row r="36844" spans="23:23" x14ac:dyDescent="0.55000000000000004">
      <c r="W36844"/>
    </row>
    <row r="36845" spans="23:23" x14ac:dyDescent="0.55000000000000004">
      <c r="W36845"/>
    </row>
    <row r="36846" spans="23:23" x14ac:dyDescent="0.55000000000000004">
      <c r="W36846"/>
    </row>
    <row r="36847" spans="23:23" x14ac:dyDescent="0.55000000000000004">
      <c r="W36847"/>
    </row>
    <row r="36848" spans="23:23" x14ac:dyDescent="0.55000000000000004">
      <c r="W36848"/>
    </row>
    <row r="36849" spans="23:23" x14ac:dyDescent="0.55000000000000004">
      <c r="W36849"/>
    </row>
    <row r="36850" spans="23:23" x14ac:dyDescent="0.55000000000000004">
      <c r="W36850"/>
    </row>
    <row r="36851" spans="23:23" x14ac:dyDescent="0.55000000000000004">
      <c r="W36851"/>
    </row>
    <row r="36852" spans="23:23" x14ac:dyDescent="0.55000000000000004">
      <c r="W36852"/>
    </row>
    <row r="36853" spans="23:23" x14ac:dyDescent="0.55000000000000004">
      <c r="W36853"/>
    </row>
    <row r="36854" spans="23:23" x14ac:dyDescent="0.55000000000000004">
      <c r="W36854"/>
    </row>
    <row r="36855" spans="23:23" x14ac:dyDescent="0.55000000000000004">
      <c r="W36855"/>
    </row>
    <row r="36856" spans="23:23" x14ac:dyDescent="0.55000000000000004">
      <c r="W36856"/>
    </row>
    <row r="36857" spans="23:23" x14ac:dyDescent="0.55000000000000004">
      <c r="W36857"/>
    </row>
    <row r="36858" spans="23:23" x14ac:dyDescent="0.55000000000000004">
      <c r="W36858"/>
    </row>
    <row r="36859" spans="23:23" x14ac:dyDescent="0.55000000000000004">
      <c r="W36859"/>
    </row>
    <row r="36860" spans="23:23" x14ac:dyDescent="0.55000000000000004">
      <c r="W36860"/>
    </row>
    <row r="36861" spans="23:23" x14ac:dyDescent="0.55000000000000004">
      <c r="W36861"/>
    </row>
    <row r="36862" spans="23:23" x14ac:dyDescent="0.55000000000000004">
      <c r="W36862"/>
    </row>
    <row r="36863" spans="23:23" x14ac:dyDescent="0.55000000000000004">
      <c r="W36863"/>
    </row>
    <row r="36864" spans="23:23" x14ac:dyDescent="0.55000000000000004">
      <c r="W36864"/>
    </row>
    <row r="36865" spans="23:23" x14ac:dyDescent="0.55000000000000004">
      <c r="W36865"/>
    </row>
    <row r="36866" spans="23:23" x14ac:dyDescent="0.55000000000000004">
      <c r="W36866"/>
    </row>
    <row r="36867" spans="23:23" x14ac:dyDescent="0.55000000000000004">
      <c r="W36867"/>
    </row>
    <row r="36868" spans="23:23" x14ac:dyDescent="0.55000000000000004">
      <c r="W36868"/>
    </row>
    <row r="36869" spans="23:23" x14ac:dyDescent="0.55000000000000004">
      <c r="W36869"/>
    </row>
    <row r="36870" spans="23:23" x14ac:dyDescent="0.55000000000000004">
      <c r="W36870"/>
    </row>
    <row r="36871" spans="23:23" x14ac:dyDescent="0.55000000000000004">
      <c r="W36871"/>
    </row>
    <row r="36872" spans="23:23" x14ac:dyDescent="0.55000000000000004">
      <c r="W36872"/>
    </row>
    <row r="36873" spans="23:23" x14ac:dyDescent="0.55000000000000004">
      <c r="W36873"/>
    </row>
    <row r="36874" spans="23:23" x14ac:dyDescent="0.55000000000000004">
      <c r="W36874"/>
    </row>
    <row r="36875" spans="23:23" x14ac:dyDescent="0.55000000000000004">
      <c r="W36875"/>
    </row>
    <row r="36876" spans="23:23" x14ac:dyDescent="0.55000000000000004">
      <c r="W36876"/>
    </row>
    <row r="36877" spans="23:23" x14ac:dyDescent="0.55000000000000004">
      <c r="W36877"/>
    </row>
    <row r="36878" spans="23:23" x14ac:dyDescent="0.55000000000000004">
      <c r="W36878"/>
    </row>
    <row r="36879" spans="23:23" x14ac:dyDescent="0.55000000000000004">
      <c r="W36879"/>
    </row>
    <row r="36880" spans="23:23" x14ac:dyDescent="0.55000000000000004">
      <c r="W36880"/>
    </row>
    <row r="36881" spans="23:23" x14ac:dyDescent="0.55000000000000004">
      <c r="W36881"/>
    </row>
    <row r="36882" spans="23:23" x14ac:dyDescent="0.55000000000000004">
      <c r="W36882"/>
    </row>
    <row r="36883" spans="23:23" x14ac:dyDescent="0.55000000000000004">
      <c r="W36883"/>
    </row>
    <row r="36884" spans="23:23" x14ac:dyDescent="0.55000000000000004">
      <c r="W36884"/>
    </row>
    <row r="36885" spans="23:23" x14ac:dyDescent="0.55000000000000004">
      <c r="W36885"/>
    </row>
    <row r="36886" spans="23:23" x14ac:dyDescent="0.55000000000000004">
      <c r="W36886"/>
    </row>
    <row r="36887" spans="23:23" x14ac:dyDescent="0.55000000000000004">
      <c r="W36887"/>
    </row>
    <row r="36888" spans="23:23" x14ac:dyDescent="0.55000000000000004">
      <c r="W36888"/>
    </row>
    <row r="36889" spans="23:23" x14ac:dyDescent="0.55000000000000004">
      <c r="W36889"/>
    </row>
    <row r="36890" spans="23:23" x14ac:dyDescent="0.55000000000000004">
      <c r="W36890"/>
    </row>
    <row r="36891" spans="23:23" x14ac:dyDescent="0.55000000000000004">
      <c r="W36891"/>
    </row>
    <row r="36892" spans="23:23" x14ac:dyDescent="0.55000000000000004">
      <c r="W36892"/>
    </row>
    <row r="36893" spans="23:23" x14ac:dyDescent="0.55000000000000004">
      <c r="W36893"/>
    </row>
    <row r="36894" spans="23:23" x14ac:dyDescent="0.55000000000000004">
      <c r="W36894"/>
    </row>
    <row r="36895" spans="23:23" x14ac:dyDescent="0.55000000000000004">
      <c r="W36895"/>
    </row>
    <row r="36896" spans="23:23" x14ac:dyDescent="0.55000000000000004">
      <c r="W36896"/>
    </row>
    <row r="36897" spans="23:23" x14ac:dyDescent="0.55000000000000004">
      <c r="W36897"/>
    </row>
    <row r="36898" spans="23:23" x14ac:dyDescent="0.55000000000000004">
      <c r="W36898"/>
    </row>
    <row r="36899" spans="23:23" x14ac:dyDescent="0.55000000000000004">
      <c r="W36899"/>
    </row>
    <row r="36900" spans="23:23" x14ac:dyDescent="0.55000000000000004">
      <c r="W36900"/>
    </row>
    <row r="36901" spans="23:23" x14ac:dyDescent="0.55000000000000004">
      <c r="W36901"/>
    </row>
    <row r="36902" spans="23:23" x14ac:dyDescent="0.55000000000000004">
      <c r="W36902"/>
    </row>
    <row r="36903" spans="23:23" x14ac:dyDescent="0.55000000000000004">
      <c r="W36903"/>
    </row>
    <row r="36904" spans="23:23" x14ac:dyDescent="0.55000000000000004">
      <c r="W36904"/>
    </row>
    <row r="36905" spans="23:23" x14ac:dyDescent="0.55000000000000004">
      <c r="W36905"/>
    </row>
    <row r="36906" spans="23:23" x14ac:dyDescent="0.55000000000000004">
      <c r="W36906"/>
    </row>
    <row r="36907" spans="23:23" x14ac:dyDescent="0.55000000000000004">
      <c r="W36907"/>
    </row>
    <row r="36908" spans="23:23" x14ac:dyDescent="0.55000000000000004">
      <c r="W36908"/>
    </row>
    <row r="36909" spans="23:23" x14ac:dyDescent="0.55000000000000004">
      <c r="W36909"/>
    </row>
    <row r="36910" spans="23:23" x14ac:dyDescent="0.55000000000000004">
      <c r="W36910"/>
    </row>
    <row r="36911" spans="23:23" x14ac:dyDescent="0.55000000000000004">
      <c r="W36911"/>
    </row>
    <row r="36912" spans="23:23" x14ac:dyDescent="0.55000000000000004">
      <c r="W36912"/>
    </row>
    <row r="36913" spans="23:23" x14ac:dyDescent="0.55000000000000004">
      <c r="W36913"/>
    </row>
    <row r="36914" spans="23:23" x14ac:dyDescent="0.55000000000000004">
      <c r="W36914"/>
    </row>
    <row r="36915" spans="23:23" x14ac:dyDescent="0.55000000000000004">
      <c r="W36915"/>
    </row>
    <row r="36916" spans="23:23" x14ac:dyDescent="0.55000000000000004">
      <c r="W36916"/>
    </row>
    <row r="36917" spans="23:23" x14ac:dyDescent="0.55000000000000004">
      <c r="W36917"/>
    </row>
    <row r="36918" spans="23:23" x14ac:dyDescent="0.55000000000000004">
      <c r="W36918"/>
    </row>
    <row r="36919" spans="23:23" x14ac:dyDescent="0.55000000000000004">
      <c r="W36919"/>
    </row>
    <row r="36920" spans="23:23" x14ac:dyDescent="0.55000000000000004">
      <c r="W36920"/>
    </row>
    <row r="36921" spans="23:23" x14ac:dyDescent="0.55000000000000004">
      <c r="W36921"/>
    </row>
    <row r="36922" spans="23:23" x14ac:dyDescent="0.55000000000000004">
      <c r="W36922"/>
    </row>
    <row r="36923" spans="23:23" x14ac:dyDescent="0.55000000000000004">
      <c r="W36923"/>
    </row>
    <row r="36924" spans="23:23" x14ac:dyDescent="0.55000000000000004">
      <c r="W36924"/>
    </row>
    <row r="36925" spans="23:23" x14ac:dyDescent="0.55000000000000004">
      <c r="W36925"/>
    </row>
    <row r="36926" spans="23:23" x14ac:dyDescent="0.55000000000000004">
      <c r="W36926"/>
    </row>
    <row r="36927" spans="23:23" x14ac:dyDescent="0.55000000000000004">
      <c r="W36927"/>
    </row>
    <row r="36928" spans="23:23" x14ac:dyDescent="0.55000000000000004">
      <c r="W36928"/>
    </row>
    <row r="36929" spans="23:23" x14ac:dyDescent="0.55000000000000004">
      <c r="W36929"/>
    </row>
    <row r="36930" spans="23:23" x14ac:dyDescent="0.55000000000000004">
      <c r="W36930"/>
    </row>
    <row r="36931" spans="23:23" x14ac:dyDescent="0.55000000000000004">
      <c r="W36931"/>
    </row>
    <row r="36932" spans="23:23" x14ac:dyDescent="0.55000000000000004">
      <c r="W36932"/>
    </row>
    <row r="36933" spans="23:23" x14ac:dyDescent="0.55000000000000004">
      <c r="W36933"/>
    </row>
    <row r="36934" spans="23:23" x14ac:dyDescent="0.55000000000000004">
      <c r="W36934"/>
    </row>
    <row r="36935" spans="23:23" x14ac:dyDescent="0.55000000000000004">
      <c r="W36935"/>
    </row>
    <row r="36936" spans="23:23" x14ac:dyDescent="0.55000000000000004">
      <c r="W36936"/>
    </row>
    <row r="36937" spans="23:23" x14ac:dyDescent="0.55000000000000004">
      <c r="W36937"/>
    </row>
    <row r="36938" spans="23:23" x14ac:dyDescent="0.55000000000000004">
      <c r="W36938"/>
    </row>
    <row r="36939" spans="23:23" x14ac:dyDescent="0.55000000000000004">
      <c r="W36939"/>
    </row>
    <row r="36940" spans="23:23" x14ac:dyDescent="0.55000000000000004">
      <c r="W36940"/>
    </row>
    <row r="36941" spans="23:23" x14ac:dyDescent="0.55000000000000004">
      <c r="W36941"/>
    </row>
    <row r="36942" spans="23:23" x14ac:dyDescent="0.55000000000000004">
      <c r="W36942"/>
    </row>
    <row r="36943" spans="23:23" x14ac:dyDescent="0.55000000000000004">
      <c r="W36943"/>
    </row>
    <row r="36944" spans="23:23" x14ac:dyDescent="0.55000000000000004">
      <c r="W36944"/>
    </row>
    <row r="36945" spans="23:23" x14ac:dyDescent="0.55000000000000004">
      <c r="W36945"/>
    </row>
    <row r="36946" spans="23:23" x14ac:dyDescent="0.55000000000000004">
      <c r="W36946"/>
    </row>
    <row r="36947" spans="23:23" x14ac:dyDescent="0.55000000000000004">
      <c r="W36947"/>
    </row>
    <row r="36948" spans="23:23" x14ac:dyDescent="0.55000000000000004">
      <c r="W36948"/>
    </row>
    <row r="36949" spans="23:23" x14ac:dyDescent="0.55000000000000004">
      <c r="W36949"/>
    </row>
    <row r="36950" spans="23:23" x14ac:dyDescent="0.55000000000000004">
      <c r="W36950"/>
    </row>
    <row r="36951" spans="23:23" x14ac:dyDescent="0.55000000000000004">
      <c r="W36951"/>
    </row>
    <row r="36952" spans="23:23" x14ac:dyDescent="0.55000000000000004">
      <c r="W36952"/>
    </row>
    <row r="36953" spans="23:23" x14ac:dyDescent="0.55000000000000004">
      <c r="W36953"/>
    </row>
    <row r="36954" spans="23:23" x14ac:dyDescent="0.55000000000000004">
      <c r="W36954"/>
    </row>
    <row r="36955" spans="23:23" x14ac:dyDescent="0.55000000000000004">
      <c r="W36955"/>
    </row>
    <row r="36956" spans="23:23" x14ac:dyDescent="0.55000000000000004">
      <c r="W36956"/>
    </row>
    <row r="36957" spans="23:23" x14ac:dyDescent="0.55000000000000004">
      <c r="W36957"/>
    </row>
    <row r="36958" spans="23:23" x14ac:dyDescent="0.55000000000000004">
      <c r="W36958"/>
    </row>
    <row r="36959" spans="23:23" x14ac:dyDescent="0.55000000000000004">
      <c r="W36959"/>
    </row>
    <row r="36960" spans="23:23" x14ac:dyDescent="0.55000000000000004">
      <c r="W36960"/>
    </row>
    <row r="36961" spans="23:23" x14ac:dyDescent="0.55000000000000004">
      <c r="W36961"/>
    </row>
    <row r="36962" spans="23:23" x14ac:dyDescent="0.55000000000000004">
      <c r="W36962"/>
    </row>
    <row r="36963" spans="23:23" x14ac:dyDescent="0.55000000000000004">
      <c r="W36963"/>
    </row>
    <row r="36964" spans="23:23" x14ac:dyDescent="0.55000000000000004">
      <c r="W36964"/>
    </row>
    <row r="36965" spans="23:23" x14ac:dyDescent="0.55000000000000004">
      <c r="W36965"/>
    </row>
    <row r="36966" spans="23:23" x14ac:dyDescent="0.55000000000000004">
      <c r="W36966"/>
    </row>
    <row r="36967" spans="23:23" x14ac:dyDescent="0.55000000000000004">
      <c r="W36967"/>
    </row>
    <row r="36968" spans="23:23" x14ac:dyDescent="0.55000000000000004">
      <c r="W36968"/>
    </row>
    <row r="36969" spans="23:23" x14ac:dyDescent="0.55000000000000004">
      <c r="W36969"/>
    </row>
    <row r="36970" spans="23:23" x14ac:dyDescent="0.55000000000000004">
      <c r="W36970"/>
    </row>
    <row r="36971" spans="23:23" x14ac:dyDescent="0.55000000000000004">
      <c r="W36971"/>
    </row>
    <row r="36972" spans="23:23" x14ac:dyDescent="0.55000000000000004">
      <c r="W36972"/>
    </row>
    <row r="36973" spans="23:23" x14ac:dyDescent="0.55000000000000004">
      <c r="W36973"/>
    </row>
    <row r="36974" spans="23:23" x14ac:dyDescent="0.55000000000000004">
      <c r="W36974"/>
    </row>
    <row r="36975" spans="23:23" x14ac:dyDescent="0.55000000000000004">
      <c r="W36975"/>
    </row>
    <row r="36976" spans="23:23" x14ac:dyDescent="0.55000000000000004">
      <c r="W36976"/>
    </row>
    <row r="36977" spans="23:23" x14ac:dyDescent="0.55000000000000004">
      <c r="W36977"/>
    </row>
    <row r="36978" spans="23:23" x14ac:dyDescent="0.55000000000000004">
      <c r="W36978"/>
    </row>
    <row r="36979" spans="23:23" x14ac:dyDescent="0.55000000000000004">
      <c r="W36979"/>
    </row>
    <row r="36980" spans="23:23" x14ac:dyDescent="0.55000000000000004">
      <c r="W36980"/>
    </row>
    <row r="36981" spans="23:23" x14ac:dyDescent="0.55000000000000004">
      <c r="W36981"/>
    </row>
    <row r="36982" spans="23:23" x14ac:dyDescent="0.55000000000000004">
      <c r="W36982"/>
    </row>
    <row r="36983" spans="23:23" x14ac:dyDescent="0.55000000000000004">
      <c r="W36983"/>
    </row>
    <row r="36984" spans="23:23" x14ac:dyDescent="0.55000000000000004">
      <c r="W36984"/>
    </row>
    <row r="36985" spans="23:23" x14ac:dyDescent="0.55000000000000004">
      <c r="W36985"/>
    </row>
    <row r="36986" spans="23:23" x14ac:dyDescent="0.55000000000000004">
      <c r="W36986"/>
    </row>
    <row r="36987" spans="23:23" x14ac:dyDescent="0.55000000000000004">
      <c r="W36987"/>
    </row>
    <row r="36988" spans="23:23" x14ac:dyDescent="0.55000000000000004">
      <c r="W36988"/>
    </row>
    <row r="36989" spans="23:23" x14ac:dyDescent="0.55000000000000004">
      <c r="W36989"/>
    </row>
    <row r="36990" spans="23:23" x14ac:dyDescent="0.55000000000000004">
      <c r="W36990"/>
    </row>
    <row r="36991" spans="23:23" x14ac:dyDescent="0.55000000000000004">
      <c r="W36991"/>
    </row>
    <row r="36992" spans="23:23" x14ac:dyDescent="0.55000000000000004">
      <c r="W36992"/>
    </row>
    <row r="36993" spans="23:23" x14ac:dyDescent="0.55000000000000004">
      <c r="W36993"/>
    </row>
    <row r="36994" spans="23:23" x14ac:dyDescent="0.55000000000000004">
      <c r="W36994"/>
    </row>
    <row r="36995" spans="23:23" x14ac:dyDescent="0.55000000000000004">
      <c r="W36995"/>
    </row>
    <row r="36996" spans="23:23" x14ac:dyDescent="0.55000000000000004">
      <c r="W36996"/>
    </row>
    <row r="36997" spans="23:23" x14ac:dyDescent="0.55000000000000004">
      <c r="W36997"/>
    </row>
    <row r="36998" spans="23:23" x14ac:dyDescent="0.55000000000000004">
      <c r="W36998"/>
    </row>
    <row r="36999" spans="23:23" x14ac:dyDescent="0.55000000000000004">
      <c r="W36999"/>
    </row>
    <row r="37000" spans="23:23" x14ac:dyDescent="0.55000000000000004">
      <c r="W37000"/>
    </row>
    <row r="37001" spans="23:23" x14ac:dyDescent="0.55000000000000004">
      <c r="W37001"/>
    </row>
    <row r="37002" spans="23:23" x14ac:dyDescent="0.55000000000000004">
      <c r="W37002"/>
    </row>
    <row r="37003" spans="23:23" x14ac:dyDescent="0.55000000000000004">
      <c r="W37003"/>
    </row>
    <row r="37004" spans="23:23" x14ac:dyDescent="0.55000000000000004">
      <c r="W37004"/>
    </row>
    <row r="37005" spans="23:23" x14ac:dyDescent="0.55000000000000004">
      <c r="W37005"/>
    </row>
    <row r="37006" spans="23:23" x14ac:dyDescent="0.55000000000000004">
      <c r="W37006"/>
    </row>
    <row r="37007" spans="23:23" x14ac:dyDescent="0.55000000000000004">
      <c r="W37007"/>
    </row>
    <row r="37008" spans="23:23" x14ac:dyDescent="0.55000000000000004">
      <c r="W37008"/>
    </row>
    <row r="37009" spans="23:23" x14ac:dyDescent="0.55000000000000004">
      <c r="W37009"/>
    </row>
    <row r="37010" spans="23:23" x14ac:dyDescent="0.55000000000000004">
      <c r="W37010"/>
    </row>
    <row r="37011" spans="23:23" x14ac:dyDescent="0.55000000000000004">
      <c r="W37011"/>
    </row>
    <row r="37012" spans="23:23" x14ac:dyDescent="0.55000000000000004">
      <c r="W37012"/>
    </row>
    <row r="37013" spans="23:23" x14ac:dyDescent="0.55000000000000004">
      <c r="W37013"/>
    </row>
    <row r="37014" spans="23:23" x14ac:dyDescent="0.55000000000000004">
      <c r="W37014"/>
    </row>
    <row r="37015" spans="23:23" x14ac:dyDescent="0.55000000000000004">
      <c r="W37015"/>
    </row>
    <row r="37016" spans="23:23" x14ac:dyDescent="0.55000000000000004">
      <c r="W37016"/>
    </row>
    <row r="37017" spans="23:23" x14ac:dyDescent="0.55000000000000004">
      <c r="W37017"/>
    </row>
    <row r="37018" spans="23:23" x14ac:dyDescent="0.55000000000000004">
      <c r="W37018"/>
    </row>
    <row r="37019" spans="23:23" x14ac:dyDescent="0.55000000000000004">
      <c r="W37019"/>
    </row>
    <row r="37020" spans="23:23" x14ac:dyDescent="0.55000000000000004">
      <c r="W37020"/>
    </row>
    <row r="37021" spans="23:23" x14ac:dyDescent="0.55000000000000004">
      <c r="W37021"/>
    </row>
    <row r="37022" spans="23:23" x14ac:dyDescent="0.55000000000000004">
      <c r="W37022"/>
    </row>
    <row r="37023" spans="23:23" x14ac:dyDescent="0.55000000000000004">
      <c r="W37023"/>
    </row>
    <row r="37024" spans="23:23" x14ac:dyDescent="0.55000000000000004">
      <c r="W37024"/>
    </row>
    <row r="37025" spans="23:23" x14ac:dyDescent="0.55000000000000004">
      <c r="W37025"/>
    </row>
    <row r="37026" spans="23:23" x14ac:dyDescent="0.55000000000000004">
      <c r="W37026"/>
    </row>
    <row r="37027" spans="23:23" x14ac:dyDescent="0.55000000000000004">
      <c r="W37027"/>
    </row>
    <row r="37028" spans="23:23" x14ac:dyDescent="0.55000000000000004">
      <c r="W37028"/>
    </row>
    <row r="37029" spans="23:23" x14ac:dyDescent="0.55000000000000004">
      <c r="W37029"/>
    </row>
    <row r="37030" spans="23:23" x14ac:dyDescent="0.55000000000000004">
      <c r="W37030"/>
    </row>
    <row r="37031" spans="23:23" x14ac:dyDescent="0.55000000000000004">
      <c r="W37031"/>
    </row>
    <row r="37032" spans="23:23" x14ac:dyDescent="0.55000000000000004">
      <c r="W37032"/>
    </row>
    <row r="37033" spans="23:23" x14ac:dyDescent="0.55000000000000004">
      <c r="W37033"/>
    </row>
    <row r="37034" spans="23:23" x14ac:dyDescent="0.55000000000000004">
      <c r="W37034"/>
    </row>
    <row r="37035" spans="23:23" x14ac:dyDescent="0.55000000000000004">
      <c r="W37035"/>
    </row>
    <row r="37036" spans="23:23" x14ac:dyDescent="0.55000000000000004">
      <c r="W37036"/>
    </row>
    <row r="37037" spans="23:23" x14ac:dyDescent="0.55000000000000004">
      <c r="W37037"/>
    </row>
    <row r="37038" spans="23:23" x14ac:dyDescent="0.55000000000000004">
      <c r="W37038"/>
    </row>
    <row r="37039" spans="23:23" x14ac:dyDescent="0.55000000000000004">
      <c r="W37039"/>
    </row>
    <row r="37040" spans="23:23" x14ac:dyDescent="0.55000000000000004">
      <c r="W37040"/>
    </row>
    <row r="37041" spans="23:23" x14ac:dyDescent="0.55000000000000004">
      <c r="W37041"/>
    </row>
    <row r="37042" spans="23:23" x14ac:dyDescent="0.55000000000000004">
      <c r="W37042"/>
    </row>
    <row r="37043" spans="23:23" x14ac:dyDescent="0.55000000000000004">
      <c r="W37043"/>
    </row>
    <row r="37044" spans="23:23" x14ac:dyDescent="0.55000000000000004">
      <c r="W37044"/>
    </row>
    <row r="37045" spans="23:23" x14ac:dyDescent="0.55000000000000004">
      <c r="W37045"/>
    </row>
    <row r="37046" spans="23:23" x14ac:dyDescent="0.55000000000000004">
      <c r="W37046"/>
    </row>
    <row r="37047" spans="23:23" x14ac:dyDescent="0.55000000000000004">
      <c r="W37047"/>
    </row>
    <row r="37048" spans="23:23" x14ac:dyDescent="0.55000000000000004">
      <c r="W37048"/>
    </row>
    <row r="37049" spans="23:23" x14ac:dyDescent="0.55000000000000004">
      <c r="W37049"/>
    </row>
    <row r="37050" spans="23:23" x14ac:dyDescent="0.55000000000000004">
      <c r="W37050"/>
    </row>
    <row r="37051" spans="23:23" x14ac:dyDescent="0.55000000000000004">
      <c r="W37051"/>
    </row>
    <row r="37052" spans="23:23" x14ac:dyDescent="0.55000000000000004">
      <c r="W37052"/>
    </row>
    <row r="37053" spans="23:23" x14ac:dyDescent="0.55000000000000004">
      <c r="W37053"/>
    </row>
    <row r="37054" spans="23:23" x14ac:dyDescent="0.55000000000000004">
      <c r="W37054"/>
    </row>
    <row r="37055" spans="23:23" x14ac:dyDescent="0.55000000000000004">
      <c r="W37055"/>
    </row>
    <row r="37056" spans="23:23" x14ac:dyDescent="0.55000000000000004">
      <c r="W37056"/>
    </row>
    <row r="37057" spans="23:23" x14ac:dyDescent="0.55000000000000004">
      <c r="W37057"/>
    </row>
    <row r="37058" spans="23:23" x14ac:dyDescent="0.55000000000000004">
      <c r="W37058"/>
    </row>
    <row r="37059" spans="23:23" x14ac:dyDescent="0.55000000000000004">
      <c r="W37059"/>
    </row>
    <row r="37060" spans="23:23" x14ac:dyDescent="0.55000000000000004">
      <c r="W37060"/>
    </row>
    <row r="37061" spans="23:23" x14ac:dyDescent="0.55000000000000004">
      <c r="W37061"/>
    </row>
    <row r="37062" spans="23:23" x14ac:dyDescent="0.55000000000000004">
      <c r="W37062"/>
    </row>
    <row r="37063" spans="23:23" x14ac:dyDescent="0.55000000000000004">
      <c r="W37063"/>
    </row>
    <row r="37064" spans="23:23" x14ac:dyDescent="0.55000000000000004">
      <c r="W37064"/>
    </row>
    <row r="37065" spans="23:23" x14ac:dyDescent="0.55000000000000004">
      <c r="W37065"/>
    </row>
    <row r="37066" spans="23:23" x14ac:dyDescent="0.55000000000000004">
      <c r="W37066"/>
    </row>
    <row r="37067" spans="23:23" x14ac:dyDescent="0.55000000000000004">
      <c r="W37067"/>
    </row>
    <row r="37068" spans="23:23" x14ac:dyDescent="0.55000000000000004">
      <c r="W37068"/>
    </row>
    <row r="37069" spans="23:23" x14ac:dyDescent="0.55000000000000004">
      <c r="W37069"/>
    </row>
    <row r="37070" spans="23:23" x14ac:dyDescent="0.55000000000000004">
      <c r="W37070"/>
    </row>
    <row r="37071" spans="23:23" x14ac:dyDescent="0.55000000000000004">
      <c r="W37071"/>
    </row>
    <row r="37072" spans="23:23" x14ac:dyDescent="0.55000000000000004">
      <c r="W37072"/>
    </row>
    <row r="37073" spans="23:23" x14ac:dyDescent="0.55000000000000004">
      <c r="W37073"/>
    </row>
    <row r="37074" spans="23:23" x14ac:dyDescent="0.55000000000000004">
      <c r="W37074"/>
    </row>
    <row r="37075" spans="23:23" x14ac:dyDescent="0.55000000000000004">
      <c r="W37075"/>
    </row>
    <row r="37076" spans="23:23" x14ac:dyDescent="0.55000000000000004">
      <c r="W37076"/>
    </row>
    <row r="37077" spans="23:23" x14ac:dyDescent="0.55000000000000004">
      <c r="W37077"/>
    </row>
    <row r="37078" spans="23:23" x14ac:dyDescent="0.55000000000000004">
      <c r="W37078"/>
    </row>
    <row r="37079" spans="23:23" x14ac:dyDescent="0.55000000000000004">
      <c r="W37079"/>
    </row>
    <row r="37080" spans="23:23" x14ac:dyDescent="0.55000000000000004">
      <c r="W37080"/>
    </row>
    <row r="37081" spans="23:23" x14ac:dyDescent="0.55000000000000004">
      <c r="W37081"/>
    </row>
    <row r="37082" spans="23:23" x14ac:dyDescent="0.55000000000000004">
      <c r="W37082"/>
    </row>
    <row r="37083" spans="23:23" x14ac:dyDescent="0.55000000000000004">
      <c r="W37083"/>
    </row>
    <row r="37084" spans="23:23" x14ac:dyDescent="0.55000000000000004">
      <c r="W37084"/>
    </row>
    <row r="37085" spans="23:23" x14ac:dyDescent="0.55000000000000004">
      <c r="W37085"/>
    </row>
    <row r="37086" spans="23:23" x14ac:dyDescent="0.55000000000000004">
      <c r="W37086"/>
    </row>
    <row r="37087" spans="23:23" x14ac:dyDescent="0.55000000000000004">
      <c r="W37087"/>
    </row>
    <row r="37088" spans="23:23" x14ac:dyDescent="0.55000000000000004">
      <c r="W37088"/>
    </row>
    <row r="37089" spans="23:23" x14ac:dyDescent="0.55000000000000004">
      <c r="W37089"/>
    </row>
    <row r="37090" spans="23:23" x14ac:dyDescent="0.55000000000000004">
      <c r="W37090"/>
    </row>
    <row r="37091" spans="23:23" x14ac:dyDescent="0.55000000000000004">
      <c r="W37091"/>
    </row>
    <row r="37092" spans="23:23" x14ac:dyDescent="0.55000000000000004">
      <c r="W37092"/>
    </row>
    <row r="37093" spans="23:23" x14ac:dyDescent="0.55000000000000004">
      <c r="W37093"/>
    </row>
    <row r="37094" spans="23:23" x14ac:dyDescent="0.55000000000000004">
      <c r="W37094"/>
    </row>
    <row r="37095" spans="23:23" x14ac:dyDescent="0.55000000000000004">
      <c r="W37095"/>
    </row>
    <row r="37096" spans="23:23" x14ac:dyDescent="0.55000000000000004">
      <c r="W37096"/>
    </row>
    <row r="37097" spans="23:23" x14ac:dyDescent="0.55000000000000004">
      <c r="W37097"/>
    </row>
    <row r="37098" spans="23:23" x14ac:dyDescent="0.55000000000000004">
      <c r="W37098"/>
    </row>
    <row r="37099" spans="23:23" x14ac:dyDescent="0.55000000000000004">
      <c r="W37099"/>
    </row>
    <row r="37100" spans="23:23" x14ac:dyDescent="0.55000000000000004">
      <c r="W37100"/>
    </row>
    <row r="37101" spans="23:23" x14ac:dyDescent="0.55000000000000004">
      <c r="W37101"/>
    </row>
    <row r="37102" spans="23:23" x14ac:dyDescent="0.55000000000000004">
      <c r="W37102"/>
    </row>
    <row r="37103" spans="23:23" x14ac:dyDescent="0.55000000000000004">
      <c r="W37103"/>
    </row>
    <row r="37104" spans="23:23" x14ac:dyDescent="0.55000000000000004">
      <c r="W37104"/>
    </row>
    <row r="37105" spans="23:23" x14ac:dyDescent="0.55000000000000004">
      <c r="W37105"/>
    </row>
    <row r="37106" spans="23:23" x14ac:dyDescent="0.55000000000000004">
      <c r="W37106"/>
    </row>
    <row r="37107" spans="23:23" x14ac:dyDescent="0.55000000000000004">
      <c r="W37107"/>
    </row>
    <row r="37108" spans="23:23" x14ac:dyDescent="0.55000000000000004">
      <c r="W37108"/>
    </row>
    <row r="37109" spans="23:23" x14ac:dyDescent="0.55000000000000004">
      <c r="W37109"/>
    </row>
    <row r="37110" spans="23:23" x14ac:dyDescent="0.55000000000000004">
      <c r="W37110"/>
    </row>
    <row r="37111" spans="23:23" x14ac:dyDescent="0.55000000000000004">
      <c r="W37111"/>
    </row>
    <row r="37112" spans="23:23" x14ac:dyDescent="0.55000000000000004">
      <c r="W37112"/>
    </row>
    <row r="37113" spans="23:23" x14ac:dyDescent="0.55000000000000004">
      <c r="W37113"/>
    </row>
    <row r="37114" spans="23:23" x14ac:dyDescent="0.55000000000000004">
      <c r="W37114"/>
    </row>
    <row r="37115" spans="23:23" x14ac:dyDescent="0.55000000000000004">
      <c r="W37115"/>
    </row>
    <row r="37116" spans="23:23" x14ac:dyDescent="0.55000000000000004">
      <c r="W37116"/>
    </row>
    <row r="37117" spans="23:23" x14ac:dyDescent="0.55000000000000004">
      <c r="W37117"/>
    </row>
    <row r="37118" spans="23:23" x14ac:dyDescent="0.55000000000000004">
      <c r="W37118"/>
    </row>
    <row r="37119" spans="23:23" x14ac:dyDescent="0.55000000000000004">
      <c r="W37119"/>
    </row>
    <row r="37120" spans="23:23" x14ac:dyDescent="0.55000000000000004">
      <c r="W37120"/>
    </row>
    <row r="37121" spans="23:23" x14ac:dyDescent="0.55000000000000004">
      <c r="W37121"/>
    </row>
    <row r="37122" spans="23:23" x14ac:dyDescent="0.55000000000000004">
      <c r="W37122"/>
    </row>
    <row r="37123" spans="23:23" x14ac:dyDescent="0.55000000000000004">
      <c r="W37123"/>
    </row>
    <row r="37124" spans="23:23" x14ac:dyDescent="0.55000000000000004">
      <c r="W37124"/>
    </row>
    <row r="37125" spans="23:23" x14ac:dyDescent="0.55000000000000004">
      <c r="W37125"/>
    </row>
    <row r="37126" spans="23:23" x14ac:dyDescent="0.55000000000000004">
      <c r="W37126"/>
    </row>
    <row r="37127" spans="23:23" x14ac:dyDescent="0.55000000000000004">
      <c r="W37127"/>
    </row>
    <row r="37128" spans="23:23" x14ac:dyDescent="0.55000000000000004">
      <c r="W37128"/>
    </row>
    <row r="37129" spans="23:23" x14ac:dyDescent="0.55000000000000004">
      <c r="W37129"/>
    </row>
    <row r="37130" spans="23:23" x14ac:dyDescent="0.55000000000000004">
      <c r="W37130"/>
    </row>
    <row r="37131" spans="23:23" x14ac:dyDescent="0.55000000000000004">
      <c r="W37131"/>
    </row>
    <row r="37132" spans="23:23" x14ac:dyDescent="0.55000000000000004">
      <c r="W37132"/>
    </row>
    <row r="37133" spans="23:23" x14ac:dyDescent="0.55000000000000004">
      <c r="W37133"/>
    </row>
    <row r="37134" spans="23:23" x14ac:dyDescent="0.55000000000000004">
      <c r="W37134"/>
    </row>
    <row r="37135" spans="23:23" x14ac:dyDescent="0.55000000000000004">
      <c r="W37135"/>
    </row>
    <row r="37136" spans="23:23" x14ac:dyDescent="0.55000000000000004">
      <c r="W37136"/>
    </row>
    <row r="37137" spans="23:23" x14ac:dyDescent="0.55000000000000004">
      <c r="W37137"/>
    </row>
    <row r="37138" spans="23:23" x14ac:dyDescent="0.55000000000000004">
      <c r="W37138"/>
    </row>
    <row r="37139" spans="23:23" x14ac:dyDescent="0.55000000000000004">
      <c r="W37139"/>
    </row>
    <row r="37140" spans="23:23" x14ac:dyDescent="0.55000000000000004">
      <c r="W37140"/>
    </row>
    <row r="37141" spans="23:23" x14ac:dyDescent="0.55000000000000004">
      <c r="W37141"/>
    </row>
    <row r="37142" spans="23:23" x14ac:dyDescent="0.55000000000000004">
      <c r="W37142"/>
    </row>
    <row r="37143" spans="23:23" x14ac:dyDescent="0.55000000000000004">
      <c r="W37143"/>
    </row>
    <row r="37144" spans="23:23" x14ac:dyDescent="0.55000000000000004">
      <c r="W37144"/>
    </row>
    <row r="37145" spans="23:23" x14ac:dyDescent="0.55000000000000004">
      <c r="W37145"/>
    </row>
    <row r="37146" spans="23:23" x14ac:dyDescent="0.55000000000000004">
      <c r="W37146"/>
    </row>
    <row r="37147" spans="23:23" x14ac:dyDescent="0.55000000000000004">
      <c r="W37147"/>
    </row>
    <row r="37148" spans="23:23" x14ac:dyDescent="0.55000000000000004">
      <c r="W37148"/>
    </row>
    <row r="37149" spans="23:23" x14ac:dyDescent="0.55000000000000004">
      <c r="W37149"/>
    </row>
    <row r="37150" spans="23:23" x14ac:dyDescent="0.55000000000000004">
      <c r="W37150"/>
    </row>
    <row r="37151" spans="23:23" x14ac:dyDescent="0.55000000000000004">
      <c r="W37151"/>
    </row>
    <row r="37152" spans="23:23" x14ac:dyDescent="0.55000000000000004">
      <c r="W37152"/>
    </row>
    <row r="37153" spans="23:23" x14ac:dyDescent="0.55000000000000004">
      <c r="W37153"/>
    </row>
    <row r="37154" spans="23:23" x14ac:dyDescent="0.55000000000000004">
      <c r="W37154"/>
    </row>
    <row r="37155" spans="23:23" x14ac:dyDescent="0.55000000000000004">
      <c r="W37155"/>
    </row>
    <row r="37156" spans="23:23" x14ac:dyDescent="0.55000000000000004">
      <c r="W37156"/>
    </row>
    <row r="37157" spans="23:23" x14ac:dyDescent="0.55000000000000004">
      <c r="W37157"/>
    </row>
    <row r="37158" spans="23:23" x14ac:dyDescent="0.55000000000000004">
      <c r="W37158"/>
    </row>
    <row r="37159" spans="23:23" x14ac:dyDescent="0.55000000000000004">
      <c r="W37159"/>
    </row>
    <row r="37160" spans="23:23" x14ac:dyDescent="0.55000000000000004">
      <c r="W37160"/>
    </row>
    <row r="37161" spans="23:23" x14ac:dyDescent="0.55000000000000004">
      <c r="W37161"/>
    </row>
    <row r="37162" spans="23:23" x14ac:dyDescent="0.55000000000000004">
      <c r="W37162"/>
    </row>
    <row r="37163" spans="23:23" x14ac:dyDescent="0.55000000000000004">
      <c r="W37163"/>
    </row>
    <row r="37164" spans="23:23" x14ac:dyDescent="0.55000000000000004">
      <c r="W37164"/>
    </row>
    <row r="37165" spans="23:23" x14ac:dyDescent="0.55000000000000004">
      <c r="W37165"/>
    </row>
    <row r="37166" spans="23:23" x14ac:dyDescent="0.55000000000000004">
      <c r="W37166"/>
    </row>
    <row r="37167" spans="23:23" x14ac:dyDescent="0.55000000000000004">
      <c r="W37167"/>
    </row>
    <row r="37168" spans="23:23" x14ac:dyDescent="0.55000000000000004">
      <c r="W37168"/>
    </row>
    <row r="37169" spans="23:23" x14ac:dyDescent="0.55000000000000004">
      <c r="W37169"/>
    </row>
    <row r="37170" spans="23:23" x14ac:dyDescent="0.55000000000000004">
      <c r="W37170"/>
    </row>
    <row r="37171" spans="23:23" x14ac:dyDescent="0.55000000000000004">
      <c r="W37171"/>
    </row>
    <row r="37172" spans="23:23" x14ac:dyDescent="0.55000000000000004">
      <c r="W37172"/>
    </row>
    <row r="37173" spans="23:23" x14ac:dyDescent="0.55000000000000004">
      <c r="W37173"/>
    </row>
    <row r="37174" spans="23:23" x14ac:dyDescent="0.55000000000000004">
      <c r="W37174"/>
    </row>
    <row r="37175" spans="23:23" x14ac:dyDescent="0.55000000000000004">
      <c r="W37175"/>
    </row>
    <row r="37176" spans="23:23" x14ac:dyDescent="0.55000000000000004">
      <c r="W37176"/>
    </row>
    <row r="37177" spans="23:23" x14ac:dyDescent="0.55000000000000004">
      <c r="W37177"/>
    </row>
    <row r="37178" spans="23:23" x14ac:dyDescent="0.55000000000000004">
      <c r="W37178"/>
    </row>
    <row r="37179" spans="23:23" x14ac:dyDescent="0.55000000000000004">
      <c r="W37179"/>
    </row>
    <row r="37180" spans="23:23" x14ac:dyDescent="0.55000000000000004">
      <c r="W37180"/>
    </row>
    <row r="37181" spans="23:23" x14ac:dyDescent="0.55000000000000004">
      <c r="W37181"/>
    </row>
    <row r="37182" spans="23:23" x14ac:dyDescent="0.55000000000000004">
      <c r="W37182"/>
    </row>
    <row r="37183" spans="23:23" x14ac:dyDescent="0.55000000000000004">
      <c r="W37183"/>
    </row>
    <row r="37184" spans="23:23" x14ac:dyDescent="0.55000000000000004">
      <c r="W37184"/>
    </row>
    <row r="37185" spans="23:23" x14ac:dyDescent="0.55000000000000004">
      <c r="W37185"/>
    </row>
    <row r="37186" spans="23:23" x14ac:dyDescent="0.55000000000000004">
      <c r="W37186"/>
    </row>
    <row r="37187" spans="23:23" x14ac:dyDescent="0.55000000000000004">
      <c r="W37187"/>
    </row>
    <row r="37188" spans="23:23" x14ac:dyDescent="0.55000000000000004">
      <c r="W37188"/>
    </row>
    <row r="37189" spans="23:23" x14ac:dyDescent="0.55000000000000004">
      <c r="W37189"/>
    </row>
    <row r="37190" spans="23:23" x14ac:dyDescent="0.55000000000000004">
      <c r="W37190"/>
    </row>
    <row r="37191" spans="23:23" x14ac:dyDescent="0.55000000000000004">
      <c r="W37191"/>
    </row>
    <row r="37192" spans="23:23" x14ac:dyDescent="0.55000000000000004">
      <c r="W37192"/>
    </row>
    <row r="37193" spans="23:23" x14ac:dyDescent="0.55000000000000004">
      <c r="W37193"/>
    </row>
    <row r="37194" spans="23:23" x14ac:dyDescent="0.55000000000000004">
      <c r="W37194"/>
    </row>
    <row r="37195" spans="23:23" x14ac:dyDescent="0.55000000000000004">
      <c r="W37195"/>
    </row>
    <row r="37196" spans="23:23" x14ac:dyDescent="0.55000000000000004">
      <c r="W37196"/>
    </row>
    <row r="37197" spans="23:23" x14ac:dyDescent="0.55000000000000004">
      <c r="W37197"/>
    </row>
    <row r="37198" spans="23:23" x14ac:dyDescent="0.55000000000000004">
      <c r="W37198"/>
    </row>
    <row r="37199" spans="23:23" x14ac:dyDescent="0.55000000000000004">
      <c r="W37199"/>
    </row>
    <row r="37200" spans="23:23" x14ac:dyDescent="0.55000000000000004">
      <c r="W37200"/>
    </row>
    <row r="37201" spans="23:23" x14ac:dyDescent="0.55000000000000004">
      <c r="W37201"/>
    </row>
    <row r="37202" spans="23:23" x14ac:dyDescent="0.55000000000000004">
      <c r="W37202"/>
    </row>
    <row r="37203" spans="23:23" x14ac:dyDescent="0.55000000000000004">
      <c r="W37203"/>
    </row>
    <row r="37204" spans="23:23" x14ac:dyDescent="0.55000000000000004">
      <c r="W37204"/>
    </row>
    <row r="37205" spans="23:23" x14ac:dyDescent="0.55000000000000004">
      <c r="W37205"/>
    </row>
    <row r="37206" spans="23:23" x14ac:dyDescent="0.55000000000000004">
      <c r="W37206"/>
    </row>
    <row r="37207" spans="23:23" x14ac:dyDescent="0.55000000000000004">
      <c r="W37207"/>
    </row>
    <row r="37208" spans="23:23" x14ac:dyDescent="0.55000000000000004">
      <c r="W37208"/>
    </row>
    <row r="37209" spans="23:23" x14ac:dyDescent="0.55000000000000004">
      <c r="W37209"/>
    </row>
    <row r="37210" spans="23:23" x14ac:dyDescent="0.55000000000000004">
      <c r="W37210"/>
    </row>
    <row r="37211" spans="23:23" x14ac:dyDescent="0.55000000000000004">
      <c r="W37211"/>
    </row>
    <row r="37212" spans="23:23" x14ac:dyDescent="0.55000000000000004">
      <c r="W37212"/>
    </row>
    <row r="37213" spans="23:23" x14ac:dyDescent="0.55000000000000004">
      <c r="W37213"/>
    </row>
    <row r="37214" spans="23:23" x14ac:dyDescent="0.55000000000000004">
      <c r="W37214"/>
    </row>
    <row r="37215" spans="23:23" x14ac:dyDescent="0.55000000000000004">
      <c r="W37215"/>
    </row>
    <row r="37216" spans="23:23" x14ac:dyDescent="0.55000000000000004">
      <c r="W37216"/>
    </row>
    <row r="37217" spans="23:23" x14ac:dyDescent="0.55000000000000004">
      <c r="W37217"/>
    </row>
    <row r="37218" spans="23:23" x14ac:dyDescent="0.55000000000000004">
      <c r="W37218"/>
    </row>
    <row r="37219" spans="23:23" x14ac:dyDescent="0.55000000000000004">
      <c r="W37219"/>
    </row>
    <row r="37220" spans="23:23" x14ac:dyDescent="0.55000000000000004">
      <c r="W37220"/>
    </row>
    <row r="37221" spans="23:23" x14ac:dyDescent="0.55000000000000004">
      <c r="W37221"/>
    </row>
    <row r="37222" spans="23:23" x14ac:dyDescent="0.55000000000000004">
      <c r="W37222"/>
    </row>
    <row r="37223" spans="23:23" x14ac:dyDescent="0.55000000000000004">
      <c r="W37223"/>
    </row>
    <row r="37224" spans="23:23" x14ac:dyDescent="0.55000000000000004">
      <c r="W37224"/>
    </row>
    <row r="37225" spans="23:23" x14ac:dyDescent="0.55000000000000004">
      <c r="W37225"/>
    </row>
    <row r="37226" spans="23:23" x14ac:dyDescent="0.55000000000000004">
      <c r="W37226"/>
    </row>
    <row r="37227" spans="23:23" x14ac:dyDescent="0.55000000000000004">
      <c r="W37227"/>
    </row>
    <row r="37228" spans="23:23" x14ac:dyDescent="0.55000000000000004">
      <c r="W37228"/>
    </row>
    <row r="37229" spans="23:23" x14ac:dyDescent="0.55000000000000004">
      <c r="W37229"/>
    </row>
    <row r="37230" spans="23:23" x14ac:dyDescent="0.55000000000000004">
      <c r="W37230"/>
    </row>
    <row r="37231" spans="23:23" x14ac:dyDescent="0.55000000000000004">
      <c r="W37231"/>
    </row>
    <row r="37232" spans="23:23" x14ac:dyDescent="0.55000000000000004">
      <c r="W37232"/>
    </row>
    <row r="37233" spans="23:23" x14ac:dyDescent="0.55000000000000004">
      <c r="W37233"/>
    </row>
    <row r="37234" spans="23:23" x14ac:dyDescent="0.55000000000000004">
      <c r="W37234"/>
    </row>
    <row r="37235" spans="23:23" x14ac:dyDescent="0.55000000000000004">
      <c r="W37235"/>
    </row>
    <row r="37236" spans="23:23" x14ac:dyDescent="0.55000000000000004">
      <c r="W37236"/>
    </row>
    <row r="37237" spans="23:23" x14ac:dyDescent="0.55000000000000004">
      <c r="W37237"/>
    </row>
    <row r="37238" spans="23:23" x14ac:dyDescent="0.55000000000000004">
      <c r="W37238"/>
    </row>
    <row r="37239" spans="23:23" x14ac:dyDescent="0.55000000000000004">
      <c r="W37239"/>
    </row>
    <row r="37240" spans="23:23" x14ac:dyDescent="0.55000000000000004">
      <c r="W37240"/>
    </row>
    <row r="37241" spans="23:23" x14ac:dyDescent="0.55000000000000004">
      <c r="W37241"/>
    </row>
    <row r="37242" spans="23:23" x14ac:dyDescent="0.55000000000000004">
      <c r="W37242"/>
    </row>
    <row r="37243" spans="23:23" x14ac:dyDescent="0.55000000000000004">
      <c r="W37243"/>
    </row>
    <row r="37244" spans="23:23" x14ac:dyDescent="0.55000000000000004">
      <c r="W37244"/>
    </row>
    <row r="37245" spans="23:23" x14ac:dyDescent="0.55000000000000004">
      <c r="W37245"/>
    </row>
    <row r="37246" spans="23:23" x14ac:dyDescent="0.55000000000000004">
      <c r="W37246"/>
    </row>
    <row r="37247" spans="23:23" x14ac:dyDescent="0.55000000000000004">
      <c r="W37247"/>
    </row>
    <row r="37248" spans="23:23" x14ac:dyDescent="0.55000000000000004">
      <c r="W37248"/>
    </row>
    <row r="37249" spans="23:23" x14ac:dyDescent="0.55000000000000004">
      <c r="W37249"/>
    </row>
    <row r="37250" spans="23:23" x14ac:dyDescent="0.55000000000000004">
      <c r="W37250"/>
    </row>
    <row r="37251" spans="23:23" x14ac:dyDescent="0.55000000000000004">
      <c r="W37251"/>
    </row>
    <row r="37252" spans="23:23" x14ac:dyDescent="0.55000000000000004">
      <c r="W37252"/>
    </row>
    <row r="37253" spans="23:23" x14ac:dyDescent="0.55000000000000004">
      <c r="W37253"/>
    </row>
    <row r="37254" spans="23:23" x14ac:dyDescent="0.55000000000000004">
      <c r="W37254"/>
    </row>
    <row r="37255" spans="23:23" x14ac:dyDescent="0.55000000000000004">
      <c r="W37255"/>
    </row>
    <row r="37256" spans="23:23" x14ac:dyDescent="0.55000000000000004">
      <c r="W37256"/>
    </row>
    <row r="37257" spans="23:23" x14ac:dyDescent="0.55000000000000004">
      <c r="W37257"/>
    </row>
    <row r="37258" spans="23:23" x14ac:dyDescent="0.55000000000000004">
      <c r="W37258"/>
    </row>
    <row r="37259" spans="23:23" x14ac:dyDescent="0.55000000000000004">
      <c r="W37259"/>
    </row>
    <row r="37260" spans="23:23" x14ac:dyDescent="0.55000000000000004">
      <c r="W37260"/>
    </row>
    <row r="37261" spans="23:23" x14ac:dyDescent="0.55000000000000004">
      <c r="W37261"/>
    </row>
    <row r="37262" spans="23:23" x14ac:dyDescent="0.55000000000000004">
      <c r="W37262"/>
    </row>
    <row r="37263" spans="23:23" x14ac:dyDescent="0.55000000000000004">
      <c r="W37263"/>
    </row>
    <row r="37264" spans="23:23" x14ac:dyDescent="0.55000000000000004">
      <c r="W37264"/>
    </row>
    <row r="37265" spans="23:23" x14ac:dyDescent="0.55000000000000004">
      <c r="W37265"/>
    </row>
    <row r="37266" spans="23:23" x14ac:dyDescent="0.55000000000000004">
      <c r="W37266"/>
    </row>
    <row r="37267" spans="23:23" x14ac:dyDescent="0.55000000000000004">
      <c r="W37267"/>
    </row>
    <row r="37268" spans="23:23" x14ac:dyDescent="0.55000000000000004">
      <c r="W37268"/>
    </row>
    <row r="37269" spans="23:23" x14ac:dyDescent="0.55000000000000004">
      <c r="W37269"/>
    </row>
    <row r="37270" spans="23:23" x14ac:dyDescent="0.55000000000000004">
      <c r="W37270"/>
    </row>
    <row r="37271" spans="23:23" x14ac:dyDescent="0.55000000000000004">
      <c r="W37271"/>
    </row>
    <row r="37272" spans="23:23" x14ac:dyDescent="0.55000000000000004">
      <c r="W37272"/>
    </row>
    <row r="37273" spans="23:23" x14ac:dyDescent="0.55000000000000004">
      <c r="W37273"/>
    </row>
    <row r="37274" spans="23:23" x14ac:dyDescent="0.55000000000000004">
      <c r="W37274"/>
    </row>
    <row r="37275" spans="23:23" x14ac:dyDescent="0.55000000000000004">
      <c r="W37275"/>
    </row>
    <row r="37276" spans="23:23" x14ac:dyDescent="0.55000000000000004">
      <c r="W37276"/>
    </row>
    <row r="37277" spans="23:23" x14ac:dyDescent="0.55000000000000004">
      <c r="W37277"/>
    </row>
    <row r="37278" spans="23:23" x14ac:dyDescent="0.55000000000000004">
      <c r="W37278"/>
    </row>
    <row r="37279" spans="23:23" x14ac:dyDescent="0.55000000000000004">
      <c r="W37279"/>
    </row>
    <row r="37280" spans="23:23" x14ac:dyDescent="0.55000000000000004">
      <c r="W37280"/>
    </row>
    <row r="37281" spans="23:23" x14ac:dyDescent="0.55000000000000004">
      <c r="W37281"/>
    </row>
    <row r="37282" spans="23:23" x14ac:dyDescent="0.55000000000000004">
      <c r="W37282"/>
    </row>
    <row r="37283" spans="23:23" x14ac:dyDescent="0.55000000000000004">
      <c r="W37283"/>
    </row>
    <row r="37284" spans="23:23" x14ac:dyDescent="0.55000000000000004">
      <c r="W37284"/>
    </row>
    <row r="37285" spans="23:23" x14ac:dyDescent="0.55000000000000004">
      <c r="W37285"/>
    </row>
    <row r="37286" spans="23:23" x14ac:dyDescent="0.55000000000000004">
      <c r="W37286"/>
    </row>
    <row r="37287" spans="23:23" x14ac:dyDescent="0.55000000000000004">
      <c r="W37287"/>
    </row>
    <row r="37288" spans="23:23" x14ac:dyDescent="0.55000000000000004">
      <c r="W37288"/>
    </row>
    <row r="37289" spans="23:23" x14ac:dyDescent="0.55000000000000004">
      <c r="W37289"/>
    </row>
    <row r="37290" spans="23:23" x14ac:dyDescent="0.55000000000000004">
      <c r="W37290"/>
    </row>
    <row r="37291" spans="23:23" x14ac:dyDescent="0.55000000000000004">
      <c r="W37291"/>
    </row>
    <row r="37292" spans="23:23" x14ac:dyDescent="0.55000000000000004">
      <c r="W37292"/>
    </row>
    <row r="37293" spans="23:23" x14ac:dyDescent="0.55000000000000004">
      <c r="W37293"/>
    </row>
    <row r="37294" spans="23:23" x14ac:dyDescent="0.55000000000000004">
      <c r="W37294"/>
    </row>
    <row r="37295" spans="23:23" x14ac:dyDescent="0.55000000000000004">
      <c r="W37295"/>
    </row>
    <row r="37296" spans="23:23" x14ac:dyDescent="0.55000000000000004">
      <c r="W37296"/>
    </row>
    <row r="37297" spans="23:23" x14ac:dyDescent="0.55000000000000004">
      <c r="W37297"/>
    </row>
    <row r="37298" spans="23:23" x14ac:dyDescent="0.55000000000000004">
      <c r="W37298"/>
    </row>
    <row r="37299" spans="23:23" x14ac:dyDescent="0.55000000000000004">
      <c r="W37299"/>
    </row>
    <row r="37300" spans="23:23" x14ac:dyDescent="0.55000000000000004">
      <c r="W37300"/>
    </row>
    <row r="37301" spans="23:23" x14ac:dyDescent="0.55000000000000004">
      <c r="W37301"/>
    </row>
    <row r="37302" spans="23:23" x14ac:dyDescent="0.55000000000000004">
      <c r="W37302"/>
    </row>
    <row r="37303" spans="23:23" x14ac:dyDescent="0.55000000000000004">
      <c r="W37303"/>
    </row>
    <row r="37304" spans="23:23" x14ac:dyDescent="0.55000000000000004">
      <c r="W37304"/>
    </row>
    <row r="37305" spans="23:23" x14ac:dyDescent="0.55000000000000004">
      <c r="W37305"/>
    </row>
    <row r="37306" spans="23:23" x14ac:dyDescent="0.55000000000000004">
      <c r="W37306"/>
    </row>
    <row r="37307" spans="23:23" x14ac:dyDescent="0.55000000000000004">
      <c r="W37307"/>
    </row>
    <row r="37308" spans="23:23" x14ac:dyDescent="0.55000000000000004">
      <c r="W37308"/>
    </row>
    <row r="37309" spans="23:23" x14ac:dyDescent="0.55000000000000004">
      <c r="W37309"/>
    </row>
    <row r="37310" spans="23:23" x14ac:dyDescent="0.55000000000000004">
      <c r="W37310"/>
    </row>
    <row r="37311" spans="23:23" x14ac:dyDescent="0.55000000000000004">
      <c r="W37311"/>
    </row>
    <row r="37312" spans="23:23" x14ac:dyDescent="0.55000000000000004">
      <c r="W37312"/>
    </row>
    <row r="37313" spans="23:23" x14ac:dyDescent="0.55000000000000004">
      <c r="W37313"/>
    </row>
    <row r="37314" spans="23:23" x14ac:dyDescent="0.55000000000000004">
      <c r="W37314"/>
    </row>
    <row r="37315" spans="23:23" x14ac:dyDescent="0.55000000000000004">
      <c r="W37315"/>
    </row>
    <row r="37316" spans="23:23" x14ac:dyDescent="0.55000000000000004">
      <c r="W37316"/>
    </row>
    <row r="37317" spans="23:23" x14ac:dyDescent="0.55000000000000004">
      <c r="W37317"/>
    </row>
    <row r="37318" spans="23:23" x14ac:dyDescent="0.55000000000000004">
      <c r="W37318"/>
    </row>
    <row r="37319" spans="23:23" x14ac:dyDescent="0.55000000000000004">
      <c r="W37319"/>
    </row>
    <row r="37320" spans="23:23" x14ac:dyDescent="0.55000000000000004">
      <c r="W37320"/>
    </row>
    <row r="37321" spans="23:23" x14ac:dyDescent="0.55000000000000004">
      <c r="W37321"/>
    </row>
    <row r="37322" spans="23:23" x14ac:dyDescent="0.55000000000000004">
      <c r="W37322"/>
    </row>
    <row r="37323" spans="23:23" x14ac:dyDescent="0.55000000000000004">
      <c r="W37323"/>
    </row>
    <row r="37324" spans="23:23" x14ac:dyDescent="0.55000000000000004">
      <c r="W37324"/>
    </row>
    <row r="37325" spans="23:23" x14ac:dyDescent="0.55000000000000004">
      <c r="W37325"/>
    </row>
    <row r="37326" spans="23:23" x14ac:dyDescent="0.55000000000000004">
      <c r="W37326"/>
    </row>
    <row r="37327" spans="23:23" x14ac:dyDescent="0.55000000000000004">
      <c r="W37327"/>
    </row>
    <row r="37328" spans="23:23" x14ac:dyDescent="0.55000000000000004">
      <c r="W37328"/>
    </row>
    <row r="37329" spans="23:23" x14ac:dyDescent="0.55000000000000004">
      <c r="W37329"/>
    </row>
    <row r="37330" spans="23:23" x14ac:dyDescent="0.55000000000000004">
      <c r="W37330"/>
    </row>
    <row r="37331" spans="23:23" x14ac:dyDescent="0.55000000000000004">
      <c r="W37331"/>
    </row>
    <row r="37332" spans="23:23" x14ac:dyDescent="0.55000000000000004">
      <c r="W37332"/>
    </row>
    <row r="37333" spans="23:23" x14ac:dyDescent="0.55000000000000004">
      <c r="W37333"/>
    </row>
    <row r="37334" spans="23:23" x14ac:dyDescent="0.55000000000000004">
      <c r="W37334"/>
    </row>
    <row r="37335" spans="23:23" x14ac:dyDescent="0.55000000000000004">
      <c r="W37335"/>
    </row>
    <row r="37336" spans="23:23" x14ac:dyDescent="0.55000000000000004">
      <c r="W37336"/>
    </row>
    <row r="37337" spans="23:23" x14ac:dyDescent="0.55000000000000004">
      <c r="W37337"/>
    </row>
    <row r="37338" spans="23:23" x14ac:dyDescent="0.55000000000000004">
      <c r="W37338"/>
    </row>
    <row r="37339" spans="23:23" x14ac:dyDescent="0.55000000000000004">
      <c r="W37339"/>
    </row>
    <row r="37340" spans="23:23" x14ac:dyDescent="0.55000000000000004">
      <c r="W37340"/>
    </row>
    <row r="37341" spans="23:23" x14ac:dyDescent="0.55000000000000004">
      <c r="W37341"/>
    </row>
    <row r="37342" spans="23:23" x14ac:dyDescent="0.55000000000000004">
      <c r="W37342"/>
    </row>
    <row r="37343" spans="23:23" x14ac:dyDescent="0.55000000000000004">
      <c r="W37343"/>
    </row>
    <row r="37344" spans="23:23" x14ac:dyDescent="0.55000000000000004">
      <c r="W37344"/>
    </row>
    <row r="37345" spans="23:23" x14ac:dyDescent="0.55000000000000004">
      <c r="W37345"/>
    </row>
    <row r="37346" spans="23:23" x14ac:dyDescent="0.55000000000000004">
      <c r="W37346"/>
    </row>
    <row r="37347" spans="23:23" x14ac:dyDescent="0.55000000000000004">
      <c r="W37347"/>
    </row>
    <row r="37348" spans="23:23" x14ac:dyDescent="0.55000000000000004">
      <c r="W37348"/>
    </row>
    <row r="37349" spans="23:23" x14ac:dyDescent="0.55000000000000004">
      <c r="W37349"/>
    </row>
    <row r="37350" spans="23:23" x14ac:dyDescent="0.55000000000000004">
      <c r="W37350"/>
    </row>
    <row r="37351" spans="23:23" x14ac:dyDescent="0.55000000000000004">
      <c r="W37351"/>
    </row>
    <row r="37352" spans="23:23" x14ac:dyDescent="0.55000000000000004">
      <c r="W37352"/>
    </row>
    <row r="37353" spans="23:23" x14ac:dyDescent="0.55000000000000004">
      <c r="W37353"/>
    </row>
    <row r="37354" spans="23:23" x14ac:dyDescent="0.55000000000000004">
      <c r="W37354"/>
    </row>
    <row r="37355" spans="23:23" x14ac:dyDescent="0.55000000000000004">
      <c r="W37355"/>
    </row>
    <row r="37356" spans="23:23" x14ac:dyDescent="0.55000000000000004">
      <c r="W37356"/>
    </row>
    <row r="37357" spans="23:23" x14ac:dyDescent="0.55000000000000004">
      <c r="W37357"/>
    </row>
    <row r="37358" spans="23:23" x14ac:dyDescent="0.55000000000000004">
      <c r="W37358"/>
    </row>
    <row r="37359" spans="23:23" x14ac:dyDescent="0.55000000000000004">
      <c r="W37359"/>
    </row>
    <row r="37360" spans="23:23" x14ac:dyDescent="0.55000000000000004">
      <c r="W37360"/>
    </row>
    <row r="37361" spans="23:23" x14ac:dyDescent="0.55000000000000004">
      <c r="W37361"/>
    </row>
    <row r="37362" spans="23:23" x14ac:dyDescent="0.55000000000000004">
      <c r="W37362"/>
    </row>
    <row r="37363" spans="23:23" x14ac:dyDescent="0.55000000000000004">
      <c r="W37363"/>
    </row>
    <row r="37364" spans="23:23" x14ac:dyDescent="0.55000000000000004">
      <c r="W37364"/>
    </row>
    <row r="37365" spans="23:23" x14ac:dyDescent="0.55000000000000004">
      <c r="W37365"/>
    </row>
    <row r="37366" spans="23:23" x14ac:dyDescent="0.55000000000000004">
      <c r="W37366"/>
    </row>
    <row r="37367" spans="23:23" x14ac:dyDescent="0.55000000000000004">
      <c r="W37367"/>
    </row>
    <row r="37368" spans="23:23" x14ac:dyDescent="0.55000000000000004">
      <c r="W37368"/>
    </row>
    <row r="37369" spans="23:23" x14ac:dyDescent="0.55000000000000004">
      <c r="W37369"/>
    </row>
    <row r="37370" spans="23:23" x14ac:dyDescent="0.55000000000000004">
      <c r="W37370"/>
    </row>
    <row r="37371" spans="23:23" x14ac:dyDescent="0.55000000000000004">
      <c r="W37371"/>
    </row>
    <row r="37372" spans="23:23" x14ac:dyDescent="0.55000000000000004">
      <c r="W37372"/>
    </row>
    <row r="37373" spans="23:23" x14ac:dyDescent="0.55000000000000004">
      <c r="W37373"/>
    </row>
    <row r="37374" spans="23:23" x14ac:dyDescent="0.55000000000000004">
      <c r="W37374"/>
    </row>
    <row r="37375" spans="23:23" x14ac:dyDescent="0.55000000000000004">
      <c r="W37375"/>
    </row>
    <row r="37376" spans="23:23" x14ac:dyDescent="0.55000000000000004">
      <c r="W37376"/>
    </row>
    <row r="37377" spans="23:23" x14ac:dyDescent="0.55000000000000004">
      <c r="W37377"/>
    </row>
    <row r="37378" spans="23:23" x14ac:dyDescent="0.55000000000000004">
      <c r="W37378"/>
    </row>
    <row r="37379" spans="23:23" x14ac:dyDescent="0.55000000000000004">
      <c r="W37379"/>
    </row>
    <row r="37380" spans="23:23" x14ac:dyDescent="0.55000000000000004">
      <c r="W37380"/>
    </row>
    <row r="37381" spans="23:23" x14ac:dyDescent="0.55000000000000004">
      <c r="W37381"/>
    </row>
    <row r="37382" spans="23:23" x14ac:dyDescent="0.55000000000000004">
      <c r="W37382"/>
    </row>
    <row r="37383" spans="23:23" x14ac:dyDescent="0.55000000000000004">
      <c r="W37383"/>
    </row>
    <row r="37384" spans="23:23" x14ac:dyDescent="0.55000000000000004">
      <c r="W37384"/>
    </row>
    <row r="37385" spans="23:23" x14ac:dyDescent="0.55000000000000004">
      <c r="W37385"/>
    </row>
    <row r="37386" spans="23:23" x14ac:dyDescent="0.55000000000000004">
      <c r="W37386"/>
    </row>
    <row r="37387" spans="23:23" x14ac:dyDescent="0.55000000000000004">
      <c r="W37387"/>
    </row>
    <row r="37388" spans="23:23" x14ac:dyDescent="0.55000000000000004">
      <c r="W37388"/>
    </row>
    <row r="37389" spans="23:23" x14ac:dyDescent="0.55000000000000004">
      <c r="W37389"/>
    </row>
    <row r="37390" spans="23:23" x14ac:dyDescent="0.55000000000000004">
      <c r="W37390"/>
    </row>
    <row r="37391" spans="23:23" x14ac:dyDescent="0.55000000000000004">
      <c r="W37391"/>
    </row>
    <row r="37392" spans="23:23" x14ac:dyDescent="0.55000000000000004">
      <c r="W37392"/>
    </row>
    <row r="37393" spans="23:23" x14ac:dyDescent="0.55000000000000004">
      <c r="W37393"/>
    </row>
    <row r="37394" spans="23:23" x14ac:dyDescent="0.55000000000000004">
      <c r="W37394"/>
    </row>
    <row r="37395" spans="23:23" x14ac:dyDescent="0.55000000000000004">
      <c r="W37395"/>
    </row>
    <row r="37396" spans="23:23" x14ac:dyDescent="0.55000000000000004">
      <c r="W37396"/>
    </row>
    <row r="37397" spans="23:23" x14ac:dyDescent="0.55000000000000004">
      <c r="W37397"/>
    </row>
    <row r="37398" spans="23:23" x14ac:dyDescent="0.55000000000000004">
      <c r="W37398"/>
    </row>
    <row r="37399" spans="23:23" x14ac:dyDescent="0.55000000000000004">
      <c r="W37399"/>
    </row>
    <row r="37400" spans="23:23" x14ac:dyDescent="0.55000000000000004">
      <c r="W37400"/>
    </row>
    <row r="37401" spans="23:23" x14ac:dyDescent="0.55000000000000004">
      <c r="W37401"/>
    </row>
    <row r="37402" spans="23:23" x14ac:dyDescent="0.55000000000000004">
      <c r="W37402"/>
    </row>
    <row r="37403" spans="23:23" x14ac:dyDescent="0.55000000000000004">
      <c r="W37403"/>
    </row>
    <row r="37404" spans="23:23" x14ac:dyDescent="0.55000000000000004">
      <c r="W37404"/>
    </row>
    <row r="37405" spans="23:23" x14ac:dyDescent="0.55000000000000004">
      <c r="W37405"/>
    </row>
    <row r="37406" spans="23:23" x14ac:dyDescent="0.55000000000000004">
      <c r="W37406"/>
    </row>
    <row r="37407" spans="23:23" x14ac:dyDescent="0.55000000000000004">
      <c r="W37407"/>
    </row>
    <row r="37408" spans="23:23" x14ac:dyDescent="0.55000000000000004">
      <c r="W37408"/>
    </row>
    <row r="37409" spans="23:23" x14ac:dyDescent="0.55000000000000004">
      <c r="W37409"/>
    </row>
    <row r="37410" spans="23:23" x14ac:dyDescent="0.55000000000000004">
      <c r="W37410"/>
    </row>
    <row r="37411" spans="23:23" x14ac:dyDescent="0.55000000000000004">
      <c r="W37411"/>
    </row>
    <row r="37412" spans="23:23" x14ac:dyDescent="0.55000000000000004">
      <c r="W37412"/>
    </row>
    <row r="37413" spans="23:23" x14ac:dyDescent="0.55000000000000004">
      <c r="W37413"/>
    </row>
    <row r="37414" spans="23:23" x14ac:dyDescent="0.55000000000000004">
      <c r="W37414"/>
    </row>
    <row r="37415" spans="23:23" x14ac:dyDescent="0.55000000000000004">
      <c r="W37415"/>
    </row>
    <row r="37416" spans="23:23" x14ac:dyDescent="0.55000000000000004">
      <c r="W37416"/>
    </row>
    <row r="37417" spans="23:23" x14ac:dyDescent="0.55000000000000004">
      <c r="W37417"/>
    </row>
    <row r="37418" spans="23:23" x14ac:dyDescent="0.55000000000000004">
      <c r="W37418"/>
    </row>
    <row r="37419" spans="23:23" x14ac:dyDescent="0.55000000000000004">
      <c r="W37419"/>
    </row>
    <row r="37420" spans="23:23" x14ac:dyDescent="0.55000000000000004">
      <c r="W37420"/>
    </row>
    <row r="37421" spans="23:23" x14ac:dyDescent="0.55000000000000004">
      <c r="W37421"/>
    </row>
    <row r="37422" spans="23:23" x14ac:dyDescent="0.55000000000000004">
      <c r="W37422"/>
    </row>
    <row r="37423" spans="23:23" x14ac:dyDescent="0.55000000000000004">
      <c r="W37423"/>
    </row>
    <row r="37424" spans="23:23" x14ac:dyDescent="0.55000000000000004">
      <c r="W37424"/>
    </row>
    <row r="37425" spans="23:23" x14ac:dyDescent="0.55000000000000004">
      <c r="W37425"/>
    </row>
    <row r="37426" spans="23:23" x14ac:dyDescent="0.55000000000000004">
      <c r="W37426"/>
    </row>
    <row r="37427" spans="23:23" x14ac:dyDescent="0.55000000000000004">
      <c r="W37427"/>
    </row>
    <row r="37428" spans="23:23" x14ac:dyDescent="0.55000000000000004">
      <c r="W37428"/>
    </row>
    <row r="37429" spans="23:23" x14ac:dyDescent="0.55000000000000004">
      <c r="W37429"/>
    </row>
    <row r="37430" spans="23:23" x14ac:dyDescent="0.55000000000000004">
      <c r="W37430"/>
    </row>
    <row r="37431" spans="23:23" x14ac:dyDescent="0.55000000000000004">
      <c r="W37431"/>
    </row>
    <row r="37432" spans="23:23" x14ac:dyDescent="0.55000000000000004">
      <c r="W37432"/>
    </row>
    <row r="37433" spans="23:23" x14ac:dyDescent="0.55000000000000004">
      <c r="W37433"/>
    </row>
    <row r="37434" spans="23:23" x14ac:dyDescent="0.55000000000000004">
      <c r="W37434"/>
    </row>
    <row r="37435" spans="23:23" x14ac:dyDescent="0.55000000000000004">
      <c r="W37435"/>
    </row>
    <row r="37436" spans="23:23" x14ac:dyDescent="0.55000000000000004">
      <c r="W37436"/>
    </row>
    <row r="37437" spans="23:23" x14ac:dyDescent="0.55000000000000004">
      <c r="W37437"/>
    </row>
    <row r="37438" spans="23:23" x14ac:dyDescent="0.55000000000000004">
      <c r="W37438"/>
    </row>
    <row r="37439" spans="23:23" x14ac:dyDescent="0.55000000000000004">
      <c r="W37439"/>
    </row>
    <row r="37440" spans="23:23" x14ac:dyDescent="0.55000000000000004">
      <c r="W37440"/>
    </row>
    <row r="37441" spans="23:23" x14ac:dyDescent="0.55000000000000004">
      <c r="W37441"/>
    </row>
    <row r="37442" spans="23:23" x14ac:dyDescent="0.55000000000000004">
      <c r="W37442"/>
    </row>
    <row r="37443" spans="23:23" x14ac:dyDescent="0.55000000000000004">
      <c r="W37443"/>
    </row>
    <row r="37444" spans="23:23" x14ac:dyDescent="0.55000000000000004">
      <c r="W37444"/>
    </row>
    <row r="37445" spans="23:23" x14ac:dyDescent="0.55000000000000004">
      <c r="W37445"/>
    </row>
    <row r="37446" spans="23:23" x14ac:dyDescent="0.55000000000000004">
      <c r="W37446"/>
    </row>
    <row r="37447" spans="23:23" x14ac:dyDescent="0.55000000000000004">
      <c r="W37447"/>
    </row>
    <row r="37448" spans="23:23" x14ac:dyDescent="0.55000000000000004">
      <c r="W37448"/>
    </row>
    <row r="37449" spans="23:23" x14ac:dyDescent="0.55000000000000004">
      <c r="W37449"/>
    </row>
    <row r="37450" spans="23:23" x14ac:dyDescent="0.55000000000000004">
      <c r="W37450"/>
    </row>
    <row r="37451" spans="23:23" x14ac:dyDescent="0.55000000000000004">
      <c r="W37451"/>
    </row>
    <row r="37452" spans="23:23" x14ac:dyDescent="0.55000000000000004">
      <c r="W37452"/>
    </row>
    <row r="37453" spans="23:23" x14ac:dyDescent="0.55000000000000004">
      <c r="W37453"/>
    </row>
    <row r="37454" spans="23:23" x14ac:dyDescent="0.55000000000000004">
      <c r="W37454"/>
    </row>
    <row r="37455" spans="23:23" x14ac:dyDescent="0.55000000000000004">
      <c r="W37455"/>
    </row>
    <row r="37456" spans="23:23" x14ac:dyDescent="0.55000000000000004">
      <c r="W37456"/>
    </row>
    <row r="37457" spans="23:23" x14ac:dyDescent="0.55000000000000004">
      <c r="W37457"/>
    </row>
    <row r="37458" spans="23:23" x14ac:dyDescent="0.55000000000000004">
      <c r="W37458"/>
    </row>
    <row r="37459" spans="23:23" x14ac:dyDescent="0.55000000000000004">
      <c r="W37459"/>
    </row>
    <row r="37460" spans="23:23" x14ac:dyDescent="0.55000000000000004">
      <c r="W37460"/>
    </row>
    <row r="37461" spans="23:23" x14ac:dyDescent="0.55000000000000004">
      <c r="W37461"/>
    </row>
    <row r="37462" spans="23:23" x14ac:dyDescent="0.55000000000000004">
      <c r="W37462"/>
    </row>
    <row r="37463" spans="23:23" x14ac:dyDescent="0.55000000000000004">
      <c r="W37463"/>
    </row>
    <row r="37464" spans="23:23" x14ac:dyDescent="0.55000000000000004">
      <c r="W37464"/>
    </row>
    <row r="37465" spans="23:23" x14ac:dyDescent="0.55000000000000004">
      <c r="W37465"/>
    </row>
    <row r="37466" spans="23:23" x14ac:dyDescent="0.55000000000000004">
      <c r="W37466"/>
    </row>
    <row r="37467" spans="23:23" x14ac:dyDescent="0.55000000000000004">
      <c r="W37467"/>
    </row>
    <row r="37468" spans="23:23" x14ac:dyDescent="0.55000000000000004">
      <c r="W37468"/>
    </row>
    <row r="37469" spans="23:23" x14ac:dyDescent="0.55000000000000004">
      <c r="W37469"/>
    </row>
    <row r="37470" spans="23:23" x14ac:dyDescent="0.55000000000000004">
      <c r="W37470"/>
    </row>
    <row r="37471" spans="23:23" x14ac:dyDescent="0.55000000000000004">
      <c r="W37471"/>
    </row>
    <row r="37472" spans="23:23" x14ac:dyDescent="0.55000000000000004">
      <c r="W37472"/>
    </row>
    <row r="37473" spans="23:23" x14ac:dyDescent="0.55000000000000004">
      <c r="W37473"/>
    </row>
    <row r="37474" spans="23:23" x14ac:dyDescent="0.55000000000000004">
      <c r="W37474"/>
    </row>
    <row r="37475" spans="23:23" x14ac:dyDescent="0.55000000000000004">
      <c r="W37475"/>
    </row>
    <row r="37476" spans="23:23" x14ac:dyDescent="0.55000000000000004">
      <c r="W37476"/>
    </row>
    <row r="37477" spans="23:23" x14ac:dyDescent="0.55000000000000004">
      <c r="W37477"/>
    </row>
    <row r="37478" spans="23:23" x14ac:dyDescent="0.55000000000000004">
      <c r="W37478"/>
    </row>
    <row r="37479" spans="23:23" x14ac:dyDescent="0.55000000000000004">
      <c r="W37479"/>
    </row>
    <row r="37480" spans="23:23" x14ac:dyDescent="0.55000000000000004">
      <c r="W37480"/>
    </row>
    <row r="37481" spans="23:23" x14ac:dyDescent="0.55000000000000004">
      <c r="W37481"/>
    </row>
    <row r="37482" spans="23:23" x14ac:dyDescent="0.55000000000000004">
      <c r="W37482"/>
    </row>
    <row r="37483" spans="23:23" x14ac:dyDescent="0.55000000000000004">
      <c r="W37483"/>
    </row>
    <row r="37484" spans="23:23" x14ac:dyDescent="0.55000000000000004">
      <c r="W37484"/>
    </row>
    <row r="37485" spans="23:23" x14ac:dyDescent="0.55000000000000004">
      <c r="W37485"/>
    </row>
    <row r="37486" spans="23:23" x14ac:dyDescent="0.55000000000000004">
      <c r="W37486"/>
    </row>
    <row r="37487" spans="23:23" x14ac:dyDescent="0.55000000000000004">
      <c r="W37487"/>
    </row>
    <row r="37488" spans="23:23" x14ac:dyDescent="0.55000000000000004">
      <c r="W37488"/>
    </row>
    <row r="37489" spans="23:23" x14ac:dyDescent="0.55000000000000004">
      <c r="W37489"/>
    </row>
    <row r="37490" spans="23:23" x14ac:dyDescent="0.55000000000000004">
      <c r="W37490"/>
    </row>
    <row r="37491" spans="23:23" x14ac:dyDescent="0.55000000000000004">
      <c r="W37491"/>
    </row>
    <row r="37492" spans="23:23" x14ac:dyDescent="0.55000000000000004">
      <c r="W37492"/>
    </row>
    <row r="37493" spans="23:23" x14ac:dyDescent="0.55000000000000004">
      <c r="W37493"/>
    </row>
    <row r="37494" spans="23:23" x14ac:dyDescent="0.55000000000000004">
      <c r="W37494"/>
    </row>
    <row r="37495" spans="23:23" x14ac:dyDescent="0.55000000000000004">
      <c r="W37495"/>
    </row>
    <row r="37496" spans="23:23" x14ac:dyDescent="0.55000000000000004">
      <c r="W37496"/>
    </row>
    <row r="37497" spans="23:23" x14ac:dyDescent="0.55000000000000004">
      <c r="W37497"/>
    </row>
    <row r="37498" spans="23:23" x14ac:dyDescent="0.55000000000000004">
      <c r="W37498"/>
    </row>
    <row r="37499" spans="23:23" x14ac:dyDescent="0.55000000000000004">
      <c r="W37499"/>
    </row>
    <row r="37500" spans="23:23" x14ac:dyDescent="0.55000000000000004">
      <c r="W37500"/>
    </row>
    <row r="37501" spans="23:23" x14ac:dyDescent="0.55000000000000004">
      <c r="W37501"/>
    </row>
    <row r="37502" spans="23:23" x14ac:dyDescent="0.55000000000000004">
      <c r="W37502"/>
    </row>
    <row r="37503" spans="23:23" x14ac:dyDescent="0.55000000000000004">
      <c r="W37503"/>
    </row>
    <row r="37504" spans="23:23" x14ac:dyDescent="0.55000000000000004">
      <c r="W37504"/>
    </row>
    <row r="37505" spans="23:23" x14ac:dyDescent="0.55000000000000004">
      <c r="W37505"/>
    </row>
    <row r="37506" spans="23:23" x14ac:dyDescent="0.55000000000000004">
      <c r="W37506"/>
    </row>
    <row r="37507" spans="23:23" x14ac:dyDescent="0.55000000000000004">
      <c r="W37507"/>
    </row>
    <row r="37508" spans="23:23" x14ac:dyDescent="0.55000000000000004">
      <c r="W37508"/>
    </row>
    <row r="37509" spans="23:23" x14ac:dyDescent="0.55000000000000004">
      <c r="W37509"/>
    </row>
    <row r="37510" spans="23:23" x14ac:dyDescent="0.55000000000000004">
      <c r="W37510"/>
    </row>
    <row r="37511" spans="23:23" x14ac:dyDescent="0.55000000000000004">
      <c r="W37511"/>
    </row>
    <row r="37512" spans="23:23" x14ac:dyDescent="0.55000000000000004">
      <c r="W37512"/>
    </row>
    <row r="37513" spans="23:23" x14ac:dyDescent="0.55000000000000004">
      <c r="W37513"/>
    </row>
    <row r="37514" spans="23:23" x14ac:dyDescent="0.55000000000000004">
      <c r="W37514"/>
    </row>
    <row r="37515" spans="23:23" x14ac:dyDescent="0.55000000000000004">
      <c r="W37515"/>
    </row>
    <row r="37516" spans="23:23" x14ac:dyDescent="0.55000000000000004">
      <c r="W37516"/>
    </row>
    <row r="37517" spans="23:23" x14ac:dyDescent="0.55000000000000004">
      <c r="W37517"/>
    </row>
    <row r="37518" spans="23:23" x14ac:dyDescent="0.55000000000000004">
      <c r="W37518"/>
    </row>
    <row r="37519" spans="23:23" x14ac:dyDescent="0.55000000000000004">
      <c r="W37519"/>
    </row>
    <row r="37520" spans="23:23" x14ac:dyDescent="0.55000000000000004">
      <c r="W37520"/>
    </row>
    <row r="37521" spans="23:23" x14ac:dyDescent="0.55000000000000004">
      <c r="W37521"/>
    </row>
    <row r="37522" spans="23:23" x14ac:dyDescent="0.55000000000000004">
      <c r="W37522"/>
    </row>
    <row r="37523" spans="23:23" x14ac:dyDescent="0.55000000000000004">
      <c r="W37523"/>
    </row>
    <row r="37524" spans="23:23" x14ac:dyDescent="0.55000000000000004">
      <c r="W37524"/>
    </row>
    <row r="37525" spans="23:23" x14ac:dyDescent="0.55000000000000004">
      <c r="W37525"/>
    </row>
    <row r="37526" spans="23:23" x14ac:dyDescent="0.55000000000000004">
      <c r="W37526"/>
    </row>
    <row r="37527" spans="23:23" x14ac:dyDescent="0.55000000000000004">
      <c r="W37527"/>
    </row>
    <row r="37528" spans="23:23" x14ac:dyDescent="0.55000000000000004">
      <c r="W37528"/>
    </row>
    <row r="37529" spans="23:23" x14ac:dyDescent="0.55000000000000004">
      <c r="W37529"/>
    </row>
    <row r="37530" spans="23:23" x14ac:dyDescent="0.55000000000000004">
      <c r="W37530"/>
    </row>
    <row r="37531" spans="23:23" x14ac:dyDescent="0.55000000000000004">
      <c r="W37531"/>
    </row>
    <row r="37532" spans="23:23" x14ac:dyDescent="0.55000000000000004">
      <c r="W37532"/>
    </row>
    <row r="37533" spans="23:23" x14ac:dyDescent="0.55000000000000004">
      <c r="W37533"/>
    </row>
    <row r="37534" spans="23:23" x14ac:dyDescent="0.55000000000000004">
      <c r="W37534"/>
    </row>
    <row r="37535" spans="23:23" x14ac:dyDescent="0.55000000000000004">
      <c r="W37535"/>
    </row>
    <row r="37536" spans="23:23" x14ac:dyDescent="0.55000000000000004">
      <c r="W37536"/>
    </row>
    <row r="37537" spans="23:23" x14ac:dyDescent="0.55000000000000004">
      <c r="W37537"/>
    </row>
    <row r="37538" spans="23:23" x14ac:dyDescent="0.55000000000000004">
      <c r="W37538"/>
    </row>
    <row r="37539" spans="23:23" x14ac:dyDescent="0.55000000000000004">
      <c r="W37539"/>
    </row>
    <row r="37540" spans="23:23" x14ac:dyDescent="0.55000000000000004">
      <c r="W37540"/>
    </row>
    <row r="37541" spans="23:23" x14ac:dyDescent="0.55000000000000004">
      <c r="W37541"/>
    </row>
    <row r="37542" spans="23:23" x14ac:dyDescent="0.55000000000000004">
      <c r="W37542"/>
    </row>
    <row r="37543" spans="23:23" x14ac:dyDescent="0.55000000000000004">
      <c r="W37543"/>
    </row>
    <row r="37544" spans="23:23" x14ac:dyDescent="0.55000000000000004">
      <c r="W37544"/>
    </row>
    <row r="37545" spans="23:23" x14ac:dyDescent="0.55000000000000004">
      <c r="W37545"/>
    </row>
    <row r="37546" spans="23:23" x14ac:dyDescent="0.55000000000000004">
      <c r="W37546"/>
    </row>
    <row r="37547" spans="23:23" x14ac:dyDescent="0.55000000000000004">
      <c r="W37547"/>
    </row>
    <row r="37548" spans="23:23" x14ac:dyDescent="0.55000000000000004">
      <c r="W37548"/>
    </row>
    <row r="37549" spans="23:23" x14ac:dyDescent="0.55000000000000004">
      <c r="W37549"/>
    </row>
    <row r="37550" spans="23:23" x14ac:dyDescent="0.55000000000000004">
      <c r="W37550"/>
    </row>
    <row r="37551" spans="23:23" x14ac:dyDescent="0.55000000000000004">
      <c r="W37551"/>
    </row>
    <row r="37552" spans="23:23" x14ac:dyDescent="0.55000000000000004">
      <c r="W37552"/>
    </row>
    <row r="37553" spans="23:23" x14ac:dyDescent="0.55000000000000004">
      <c r="W37553"/>
    </row>
    <row r="37554" spans="23:23" x14ac:dyDescent="0.55000000000000004">
      <c r="W37554"/>
    </row>
    <row r="37555" spans="23:23" x14ac:dyDescent="0.55000000000000004">
      <c r="W37555"/>
    </row>
    <row r="37556" spans="23:23" x14ac:dyDescent="0.55000000000000004">
      <c r="W37556"/>
    </row>
    <row r="37557" spans="23:23" x14ac:dyDescent="0.55000000000000004">
      <c r="W37557"/>
    </row>
    <row r="37558" spans="23:23" x14ac:dyDescent="0.55000000000000004">
      <c r="W37558"/>
    </row>
    <row r="37559" spans="23:23" x14ac:dyDescent="0.55000000000000004">
      <c r="W37559"/>
    </row>
    <row r="37560" spans="23:23" x14ac:dyDescent="0.55000000000000004">
      <c r="W37560"/>
    </row>
    <row r="37561" spans="23:23" x14ac:dyDescent="0.55000000000000004">
      <c r="W37561"/>
    </row>
    <row r="37562" spans="23:23" x14ac:dyDescent="0.55000000000000004">
      <c r="W37562"/>
    </row>
    <row r="37563" spans="23:23" x14ac:dyDescent="0.55000000000000004">
      <c r="W37563"/>
    </row>
    <row r="37564" spans="23:23" x14ac:dyDescent="0.55000000000000004">
      <c r="W37564"/>
    </row>
    <row r="37565" spans="23:23" x14ac:dyDescent="0.55000000000000004">
      <c r="W37565"/>
    </row>
    <row r="37566" spans="23:23" x14ac:dyDescent="0.55000000000000004">
      <c r="W37566"/>
    </row>
    <row r="37567" spans="23:23" x14ac:dyDescent="0.55000000000000004">
      <c r="W37567"/>
    </row>
    <row r="37568" spans="23:23" x14ac:dyDescent="0.55000000000000004">
      <c r="W37568"/>
    </row>
    <row r="37569" spans="23:23" x14ac:dyDescent="0.55000000000000004">
      <c r="W37569"/>
    </row>
    <row r="37570" spans="23:23" x14ac:dyDescent="0.55000000000000004">
      <c r="W37570"/>
    </row>
    <row r="37571" spans="23:23" x14ac:dyDescent="0.55000000000000004">
      <c r="W37571"/>
    </row>
    <row r="37572" spans="23:23" x14ac:dyDescent="0.55000000000000004">
      <c r="W37572"/>
    </row>
    <row r="37573" spans="23:23" x14ac:dyDescent="0.55000000000000004">
      <c r="W37573"/>
    </row>
    <row r="37574" spans="23:23" x14ac:dyDescent="0.55000000000000004">
      <c r="W37574"/>
    </row>
    <row r="37575" spans="23:23" x14ac:dyDescent="0.55000000000000004">
      <c r="W37575"/>
    </row>
    <row r="37576" spans="23:23" x14ac:dyDescent="0.55000000000000004">
      <c r="W37576"/>
    </row>
    <row r="37577" spans="23:23" x14ac:dyDescent="0.55000000000000004">
      <c r="W37577"/>
    </row>
    <row r="37578" spans="23:23" x14ac:dyDescent="0.55000000000000004">
      <c r="W37578"/>
    </row>
    <row r="37579" spans="23:23" x14ac:dyDescent="0.55000000000000004">
      <c r="W37579"/>
    </row>
    <row r="37580" spans="23:23" x14ac:dyDescent="0.55000000000000004">
      <c r="W37580"/>
    </row>
    <row r="37581" spans="23:23" x14ac:dyDescent="0.55000000000000004">
      <c r="W37581"/>
    </row>
    <row r="37582" spans="23:23" x14ac:dyDescent="0.55000000000000004">
      <c r="W37582"/>
    </row>
    <row r="37583" spans="23:23" x14ac:dyDescent="0.55000000000000004">
      <c r="W37583"/>
    </row>
    <row r="37584" spans="23:23" x14ac:dyDescent="0.55000000000000004">
      <c r="W37584"/>
    </row>
    <row r="37585" spans="23:23" x14ac:dyDescent="0.55000000000000004">
      <c r="W37585"/>
    </row>
    <row r="37586" spans="23:23" x14ac:dyDescent="0.55000000000000004">
      <c r="W37586"/>
    </row>
    <row r="37587" spans="23:23" x14ac:dyDescent="0.55000000000000004">
      <c r="W37587"/>
    </row>
    <row r="37588" spans="23:23" x14ac:dyDescent="0.55000000000000004">
      <c r="W37588"/>
    </row>
    <row r="37589" spans="23:23" x14ac:dyDescent="0.55000000000000004">
      <c r="W37589"/>
    </row>
    <row r="37590" spans="23:23" x14ac:dyDescent="0.55000000000000004">
      <c r="W37590"/>
    </row>
    <row r="37591" spans="23:23" x14ac:dyDescent="0.55000000000000004">
      <c r="W37591"/>
    </row>
    <row r="37592" spans="23:23" x14ac:dyDescent="0.55000000000000004">
      <c r="W37592"/>
    </row>
    <row r="37593" spans="23:23" x14ac:dyDescent="0.55000000000000004">
      <c r="W37593"/>
    </row>
    <row r="37594" spans="23:23" x14ac:dyDescent="0.55000000000000004">
      <c r="W37594"/>
    </row>
    <row r="37595" spans="23:23" x14ac:dyDescent="0.55000000000000004">
      <c r="W37595"/>
    </row>
    <row r="37596" spans="23:23" x14ac:dyDescent="0.55000000000000004">
      <c r="W37596"/>
    </row>
    <row r="37597" spans="23:23" x14ac:dyDescent="0.55000000000000004">
      <c r="W37597"/>
    </row>
    <row r="37598" spans="23:23" x14ac:dyDescent="0.55000000000000004">
      <c r="W37598"/>
    </row>
    <row r="37599" spans="23:23" x14ac:dyDescent="0.55000000000000004">
      <c r="W37599"/>
    </row>
    <row r="37600" spans="23:23" x14ac:dyDescent="0.55000000000000004">
      <c r="W37600"/>
    </row>
    <row r="37601" spans="23:23" x14ac:dyDescent="0.55000000000000004">
      <c r="W37601"/>
    </row>
    <row r="37602" spans="23:23" x14ac:dyDescent="0.55000000000000004">
      <c r="W37602"/>
    </row>
    <row r="37603" spans="23:23" x14ac:dyDescent="0.55000000000000004">
      <c r="W37603"/>
    </row>
    <row r="37604" spans="23:23" x14ac:dyDescent="0.55000000000000004">
      <c r="W37604"/>
    </row>
    <row r="37605" spans="23:23" x14ac:dyDescent="0.55000000000000004">
      <c r="W37605"/>
    </row>
    <row r="37606" spans="23:23" x14ac:dyDescent="0.55000000000000004">
      <c r="W37606"/>
    </row>
    <row r="37607" spans="23:23" x14ac:dyDescent="0.55000000000000004">
      <c r="W37607"/>
    </row>
    <row r="37608" spans="23:23" x14ac:dyDescent="0.55000000000000004">
      <c r="W37608"/>
    </row>
    <row r="37609" spans="23:23" x14ac:dyDescent="0.55000000000000004">
      <c r="W37609"/>
    </row>
    <row r="37610" spans="23:23" x14ac:dyDescent="0.55000000000000004">
      <c r="W37610"/>
    </row>
    <row r="37611" spans="23:23" x14ac:dyDescent="0.55000000000000004">
      <c r="W37611"/>
    </row>
    <row r="37612" spans="23:23" x14ac:dyDescent="0.55000000000000004">
      <c r="W37612"/>
    </row>
    <row r="37613" spans="23:23" x14ac:dyDescent="0.55000000000000004">
      <c r="W37613"/>
    </row>
    <row r="37614" spans="23:23" x14ac:dyDescent="0.55000000000000004">
      <c r="W37614"/>
    </row>
    <row r="37615" spans="23:23" x14ac:dyDescent="0.55000000000000004">
      <c r="W37615"/>
    </row>
    <row r="37616" spans="23:23" x14ac:dyDescent="0.55000000000000004">
      <c r="W37616"/>
    </row>
    <row r="37617" spans="23:23" x14ac:dyDescent="0.55000000000000004">
      <c r="W37617"/>
    </row>
    <row r="37618" spans="23:23" x14ac:dyDescent="0.55000000000000004">
      <c r="W37618"/>
    </row>
    <row r="37619" spans="23:23" x14ac:dyDescent="0.55000000000000004">
      <c r="W37619"/>
    </row>
    <row r="37620" spans="23:23" x14ac:dyDescent="0.55000000000000004">
      <c r="W37620"/>
    </row>
    <row r="37621" spans="23:23" x14ac:dyDescent="0.55000000000000004">
      <c r="W37621"/>
    </row>
    <row r="37622" spans="23:23" x14ac:dyDescent="0.55000000000000004">
      <c r="W37622"/>
    </row>
    <row r="37623" spans="23:23" x14ac:dyDescent="0.55000000000000004">
      <c r="W37623"/>
    </row>
    <row r="37624" spans="23:23" x14ac:dyDescent="0.55000000000000004">
      <c r="W37624"/>
    </row>
    <row r="37625" spans="23:23" x14ac:dyDescent="0.55000000000000004">
      <c r="W37625"/>
    </row>
    <row r="37626" spans="23:23" x14ac:dyDescent="0.55000000000000004">
      <c r="W37626"/>
    </row>
    <row r="37627" spans="23:23" x14ac:dyDescent="0.55000000000000004">
      <c r="W37627"/>
    </row>
    <row r="37628" spans="23:23" x14ac:dyDescent="0.55000000000000004">
      <c r="W37628"/>
    </row>
    <row r="37629" spans="23:23" x14ac:dyDescent="0.55000000000000004">
      <c r="W37629"/>
    </row>
    <row r="37630" spans="23:23" x14ac:dyDescent="0.55000000000000004">
      <c r="W37630"/>
    </row>
    <row r="37631" spans="23:23" x14ac:dyDescent="0.55000000000000004">
      <c r="W37631"/>
    </row>
    <row r="37632" spans="23:23" x14ac:dyDescent="0.55000000000000004">
      <c r="W37632"/>
    </row>
    <row r="37633" spans="23:23" x14ac:dyDescent="0.55000000000000004">
      <c r="W37633"/>
    </row>
    <row r="37634" spans="23:23" x14ac:dyDescent="0.55000000000000004">
      <c r="W37634"/>
    </row>
    <row r="37635" spans="23:23" x14ac:dyDescent="0.55000000000000004">
      <c r="W37635"/>
    </row>
    <row r="37636" spans="23:23" x14ac:dyDescent="0.55000000000000004">
      <c r="W37636"/>
    </row>
    <row r="37637" spans="23:23" x14ac:dyDescent="0.55000000000000004">
      <c r="W37637"/>
    </row>
    <row r="37638" spans="23:23" x14ac:dyDescent="0.55000000000000004">
      <c r="W37638"/>
    </row>
    <row r="37639" spans="23:23" x14ac:dyDescent="0.55000000000000004">
      <c r="W37639"/>
    </row>
    <row r="37640" spans="23:23" x14ac:dyDescent="0.55000000000000004">
      <c r="W37640"/>
    </row>
    <row r="37641" spans="23:23" x14ac:dyDescent="0.55000000000000004">
      <c r="W37641"/>
    </row>
    <row r="37642" spans="23:23" x14ac:dyDescent="0.55000000000000004">
      <c r="W37642"/>
    </row>
    <row r="37643" spans="23:23" x14ac:dyDescent="0.55000000000000004">
      <c r="W37643"/>
    </row>
    <row r="37644" spans="23:23" x14ac:dyDescent="0.55000000000000004">
      <c r="W37644"/>
    </row>
    <row r="37645" spans="23:23" x14ac:dyDescent="0.55000000000000004">
      <c r="W37645"/>
    </row>
    <row r="37646" spans="23:23" x14ac:dyDescent="0.55000000000000004">
      <c r="W37646"/>
    </row>
    <row r="37647" spans="23:23" x14ac:dyDescent="0.55000000000000004">
      <c r="W37647"/>
    </row>
    <row r="37648" spans="23:23" x14ac:dyDescent="0.55000000000000004">
      <c r="W37648"/>
    </row>
    <row r="37649" spans="23:23" x14ac:dyDescent="0.55000000000000004">
      <c r="W37649"/>
    </row>
    <row r="37650" spans="23:23" x14ac:dyDescent="0.55000000000000004">
      <c r="W37650"/>
    </row>
    <row r="37651" spans="23:23" x14ac:dyDescent="0.55000000000000004">
      <c r="W37651"/>
    </row>
    <row r="37652" spans="23:23" x14ac:dyDescent="0.55000000000000004">
      <c r="W37652"/>
    </row>
    <row r="37653" spans="23:23" x14ac:dyDescent="0.55000000000000004">
      <c r="W37653"/>
    </row>
    <row r="37654" spans="23:23" x14ac:dyDescent="0.55000000000000004">
      <c r="W37654"/>
    </row>
    <row r="37655" spans="23:23" x14ac:dyDescent="0.55000000000000004">
      <c r="W37655"/>
    </row>
    <row r="37656" spans="23:23" x14ac:dyDescent="0.55000000000000004">
      <c r="W37656"/>
    </row>
    <row r="37657" spans="23:23" x14ac:dyDescent="0.55000000000000004">
      <c r="W37657"/>
    </row>
    <row r="37658" spans="23:23" x14ac:dyDescent="0.55000000000000004">
      <c r="W37658"/>
    </row>
    <row r="37659" spans="23:23" x14ac:dyDescent="0.55000000000000004">
      <c r="W37659"/>
    </row>
    <row r="37660" spans="23:23" x14ac:dyDescent="0.55000000000000004">
      <c r="W37660"/>
    </row>
    <row r="37661" spans="23:23" x14ac:dyDescent="0.55000000000000004">
      <c r="W37661"/>
    </row>
    <row r="37662" spans="23:23" x14ac:dyDescent="0.55000000000000004">
      <c r="W37662"/>
    </row>
    <row r="37663" spans="23:23" x14ac:dyDescent="0.55000000000000004">
      <c r="W37663"/>
    </row>
    <row r="37664" spans="23:23" x14ac:dyDescent="0.55000000000000004">
      <c r="W37664"/>
    </row>
    <row r="37665" spans="23:23" x14ac:dyDescent="0.55000000000000004">
      <c r="W37665"/>
    </row>
    <row r="37666" spans="23:23" x14ac:dyDescent="0.55000000000000004">
      <c r="W37666"/>
    </row>
    <row r="37667" spans="23:23" x14ac:dyDescent="0.55000000000000004">
      <c r="W37667"/>
    </row>
    <row r="37668" spans="23:23" x14ac:dyDescent="0.55000000000000004">
      <c r="W37668"/>
    </row>
    <row r="37669" spans="23:23" x14ac:dyDescent="0.55000000000000004">
      <c r="W37669"/>
    </row>
    <row r="37670" spans="23:23" x14ac:dyDescent="0.55000000000000004">
      <c r="W37670"/>
    </row>
    <row r="37671" spans="23:23" x14ac:dyDescent="0.55000000000000004">
      <c r="W37671"/>
    </row>
    <row r="37672" spans="23:23" x14ac:dyDescent="0.55000000000000004">
      <c r="W37672"/>
    </row>
    <row r="37673" spans="23:23" x14ac:dyDescent="0.55000000000000004">
      <c r="W37673"/>
    </row>
    <row r="37674" spans="23:23" x14ac:dyDescent="0.55000000000000004">
      <c r="W37674"/>
    </row>
    <row r="37675" spans="23:23" x14ac:dyDescent="0.55000000000000004">
      <c r="W37675"/>
    </row>
    <row r="37676" spans="23:23" x14ac:dyDescent="0.55000000000000004">
      <c r="W37676"/>
    </row>
    <row r="37677" spans="23:23" x14ac:dyDescent="0.55000000000000004">
      <c r="W37677"/>
    </row>
    <row r="37678" spans="23:23" x14ac:dyDescent="0.55000000000000004">
      <c r="W37678"/>
    </row>
    <row r="37679" spans="23:23" x14ac:dyDescent="0.55000000000000004">
      <c r="W37679"/>
    </row>
    <row r="37680" spans="23:23" x14ac:dyDescent="0.55000000000000004">
      <c r="W37680"/>
    </row>
    <row r="37681" spans="23:23" x14ac:dyDescent="0.55000000000000004">
      <c r="W37681"/>
    </row>
    <row r="37682" spans="23:23" x14ac:dyDescent="0.55000000000000004">
      <c r="W37682"/>
    </row>
    <row r="37683" spans="23:23" x14ac:dyDescent="0.55000000000000004">
      <c r="W37683"/>
    </row>
    <row r="37684" spans="23:23" x14ac:dyDescent="0.55000000000000004">
      <c r="W37684"/>
    </row>
    <row r="37685" spans="23:23" x14ac:dyDescent="0.55000000000000004">
      <c r="W37685"/>
    </row>
    <row r="37686" spans="23:23" x14ac:dyDescent="0.55000000000000004">
      <c r="W37686"/>
    </row>
    <row r="37687" spans="23:23" x14ac:dyDescent="0.55000000000000004">
      <c r="W37687"/>
    </row>
    <row r="37688" spans="23:23" x14ac:dyDescent="0.55000000000000004">
      <c r="W37688"/>
    </row>
    <row r="37689" spans="23:23" x14ac:dyDescent="0.55000000000000004">
      <c r="W37689"/>
    </row>
    <row r="37690" spans="23:23" x14ac:dyDescent="0.55000000000000004">
      <c r="W37690"/>
    </row>
    <row r="37691" spans="23:23" x14ac:dyDescent="0.55000000000000004">
      <c r="W37691"/>
    </row>
    <row r="37692" spans="23:23" x14ac:dyDescent="0.55000000000000004">
      <c r="W37692"/>
    </row>
    <row r="37693" spans="23:23" x14ac:dyDescent="0.55000000000000004">
      <c r="W37693"/>
    </row>
    <row r="37694" spans="23:23" x14ac:dyDescent="0.55000000000000004">
      <c r="W37694"/>
    </row>
    <row r="37695" spans="23:23" x14ac:dyDescent="0.55000000000000004">
      <c r="W37695"/>
    </row>
    <row r="37696" spans="23:23" x14ac:dyDescent="0.55000000000000004">
      <c r="W37696"/>
    </row>
    <row r="37697" spans="23:23" x14ac:dyDescent="0.55000000000000004">
      <c r="W37697"/>
    </row>
    <row r="37698" spans="23:23" x14ac:dyDescent="0.55000000000000004">
      <c r="W37698"/>
    </row>
    <row r="37699" spans="23:23" x14ac:dyDescent="0.55000000000000004">
      <c r="W37699"/>
    </row>
    <row r="37700" spans="23:23" x14ac:dyDescent="0.55000000000000004">
      <c r="W37700"/>
    </row>
    <row r="37701" spans="23:23" x14ac:dyDescent="0.55000000000000004">
      <c r="W37701"/>
    </row>
    <row r="37702" spans="23:23" x14ac:dyDescent="0.55000000000000004">
      <c r="W37702"/>
    </row>
    <row r="37703" spans="23:23" x14ac:dyDescent="0.55000000000000004">
      <c r="W37703"/>
    </row>
    <row r="37704" spans="23:23" x14ac:dyDescent="0.55000000000000004">
      <c r="W37704"/>
    </row>
    <row r="37705" spans="23:23" x14ac:dyDescent="0.55000000000000004">
      <c r="W37705"/>
    </row>
    <row r="37706" spans="23:23" x14ac:dyDescent="0.55000000000000004">
      <c r="W37706"/>
    </row>
    <row r="37707" spans="23:23" x14ac:dyDescent="0.55000000000000004">
      <c r="W37707"/>
    </row>
    <row r="37708" spans="23:23" x14ac:dyDescent="0.55000000000000004">
      <c r="W37708"/>
    </row>
    <row r="37709" spans="23:23" x14ac:dyDescent="0.55000000000000004">
      <c r="W37709"/>
    </row>
    <row r="37710" spans="23:23" x14ac:dyDescent="0.55000000000000004">
      <c r="W37710"/>
    </row>
    <row r="37711" spans="23:23" x14ac:dyDescent="0.55000000000000004">
      <c r="W37711"/>
    </row>
    <row r="37712" spans="23:23" x14ac:dyDescent="0.55000000000000004">
      <c r="W37712"/>
    </row>
    <row r="37713" spans="23:23" x14ac:dyDescent="0.55000000000000004">
      <c r="W37713"/>
    </row>
    <row r="37714" spans="23:23" x14ac:dyDescent="0.55000000000000004">
      <c r="W37714"/>
    </row>
    <row r="37715" spans="23:23" x14ac:dyDescent="0.55000000000000004">
      <c r="W37715"/>
    </row>
    <row r="37716" spans="23:23" x14ac:dyDescent="0.55000000000000004">
      <c r="W37716"/>
    </row>
    <row r="37717" spans="23:23" x14ac:dyDescent="0.55000000000000004">
      <c r="W37717"/>
    </row>
    <row r="37718" spans="23:23" x14ac:dyDescent="0.55000000000000004">
      <c r="W37718"/>
    </row>
    <row r="37719" spans="23:23" x14ac:dyDescent="0.55000000000000004">
      <c r="W37719"/>
    </row>
    <row r="37720" spans="23:23" x14ac:dyDescent="0.55000000000000004">
      <c r="W37720"/>
    </row>
    <row r="37721" spans="23:23" x14ac:dyDescent="0.55000000000000004">
      <c r="W37721"/>
    </row>
    <row r="37722" spans="23:23" x14ac:dyDescent="0.55000000000000004">
      <c r="W37722"/>
    </row>
    <row r="37723" spans="23:23" x14ac:dyDescent="0.55000000000000004">
      <c r="W37723"/>
    </row>
    <row r="37724" spans="23:23" x14ac:dyDescent="0.55000000000000004">
      <c r="W37724"/>
    </row>
    <row r="37725" spans="23:23" x14ac:dyDescent="0.55000000000000004">
      <c r="W37725"/>
    </row>
    <row r="37726" spans="23:23" x14ac:dyDescent="0.55000000000000004">
      <c r="W37726"/>
    </row>
    <row r="37727" spans="23:23" x14ac:dyDescent="0.55000000000000004">
      <c r="W37727"/>
    </row>
    <row r="37728" spans="23:23" x14ac:dyDescent="0.55000000000000004">
      <c r="W37728"/>
    </row>
    <row r="37729" spans="23:23" x14ac:dyDescent="0.55000000000000004">
      <c r="W37729"/>
    </row>
    <row r="37730" spans="23:23" x14ac:dyDescent="0.55000000000000004">
      <c r="W37730"/>
    </row>
    <row r="37731" spans="23:23" x14ac:dyDescent="0.55000000000000004">
      <c r="W37731"/>
    </row>
    <row r="37732" spans="23:23" x14ac:dyDescent="0.55000000000000004">
      <c r="W37732"/>
    </row>
    <row r="37733" spans="23:23" x14ac:dyDescent="0.55000000000000004">
      <c r="W37733"/>
    </row>
    <row r="37734" spans="23:23" x14ac:dyDescent="0.55000000000000004">
      <c r="W37734"/>
    </row>
    <row r="37735" spans="23:23" x14ac:dyDescent="0.55000000000000004">
      <c r="W37735"/>
    </row>
    <row r="37736" spans="23:23" x14ac:dyDescent="0.55000000000000004">
      <c r="W37736"/>
    </row>
    <row r="37737" spans="23:23" x14ac:dyDescent="0.55000000000000004">
      <c r="W37737"/>
    </row>
    <row r="37738" spans="23:23" x14ac:dyDescent="0.55000000000000004">
      <c r="W37738"/>
    </row>
    <row r="37739" spans="23:23" x14ac:dyDescent="0.55000000000000004">
      <c r="W37739"/>
    </row>
    <row r="37740" spans="23:23" x14ac:dyDescent="0.55000000000000004">
      <c r="W37740"/>
    </row>
    <row r="37741" spans="23:23" x14ac:dyDescent="0.55000000000000004">
      <c r="W37741"/>
    </row>
    <row r="37742" spans="23:23" x14ac:dyDescent="0.55000000000000004">
      <c r="W37742"/>
    </row>
    <row r="37743" spans="23:23" x14ac:dyDescent="0.55000000000000004">
      <c r="W37743"/>
    </row>
    <row r="37744" spans="23:23" x14ac:dyDescent="0.55000000000000004">
      <c r="W37744"/>
    </row>
    <row r="37745" spans="23:23" x14ac:dyDescent="0.55000000000000004">
      <c r="W37745"/>
    </row>
    <row r="37746" spans="23:23" x14ac:dyDescent="0.55000000000000004">
      <c r="W37746"/>
    </row>
    <row r="37747" spans="23:23" x14ac:dyDescent="0.55000000000000004">
      <c r="W37747"/>
    </row>
    <row r="37748" spans="23:23" x14ac:dyDescent="0.55000000000000004">
      <c r="W37748"/>
    </row>
    <row r="37749" spans="23:23" x14ac:dyDescent="0.55000000000000004">
      <c r="W37749"/>
    </row>
    <row r="37750" spans="23:23" x14ac:dyDescent="0.55000000000000004">
      <c r="W37750"/>
    </row>
    <row r="37751" spans="23:23" x14ac:dyDescent="0.55000000000000004">
      <c r="W37751"/>
    </row>
    <row r="37752" spans="23:23" x14ac:dyDescent="0.55000000000000004">
      <c r="W37752"/>
    </row>
    <row r="37753" spans="23:23" x14ac:dyDescent="0.55000000000000004">
      <c r="W37753"/>
    </row>
    <row r="37754" spans="23:23" x14ac:dyDescent="0.55000000000000004">
      <c r="W37754"/>
    </row>
    <row r="37755" spans="23:23" x14ac:dyDescent="0.55000000000000004">
      <c r="W37755"/>
    </row>
    <row r="37756" spans="23:23" x14ac:dyDescent="0.55000000000000004">
      <c r="W37756"/>
    </row>
    <row r="37757" spans="23:23" x14ac:dyDescent="0.55000000000000004">
      <c r="W37757"/>
    </row>
    <row r="37758" spans="23:23" x14ac:dyDescent="0.55000000000000004">
      <c r="W37758"/>
    </row>
    <row r="37759" spans="23:23" x14ac:dyDescent="0.55000000000000004">
      <c r="W37759"/>
    </row>
    <row r="37760" spans="23:23" x14ac:dyDescent="0.55000000000000004">
      <c r="W37760"/>
    </row>
    <row r="37761" spans="23:23" x14ac:dyDescent="0.55000000000000004">
      <c r="W37761"/>
    </row>
    <row r="37762" spans="23:23" x14ac:dyDescent="0.55000000000000004">
      <c r="W37762"/>
    </row>
    <row r="37763" spans="23:23" x14ac:dyDescent="0.55000000000000004">
      <c r="W37763"/>
    </row>
    <row r="37764" spans="23:23" x14ac:dyDescent="0.55000000000000004">
      <c r="W37764"/>
    </row>
    <row r="37765" spans="23:23" x14ac:dyDescent="0.55000000000000004">
      <c r="W37765"/>
    </row>
    <row r="37766" spans="23:23" x14ac:dyDescent="0.55000000000000004">
      <c r="W37766"/>
    </row>
    <row r="37767" spans="23:23" x14ac:dyDescent="0.55000000000000004">
      <c r="W37767"/>
    </row>
    <row r="37768" spans="23:23" x14ac:dyDescent="0.55000000000000004">
      <c r="W37768"/>
    </row>
    <row r="37769" spans="23:23" x14ac:dyDescent="0.55000000000000004">
      <c r="W37769"/>
    </row>
    <row r="37770" spans="23:23" x14ac:dyDescent="0.55000000000000004">
      <c r="W37770"/>
    </row>
    <row r="37771" spans="23:23" x14ac:dyDescent="0.55000000000000004">
      <c r="W37771"/>
    </row>
    <row r="37772" spans="23:23" x14ac:dyDescent="0.55000000000000004">
      <c r="W37772"/>
    </row>
    <row r="37773" spans="23:23" x14ac:dyDescent="0.55000000000000004">
      <c r="W37773"/>
    </row>
    <row r="37774" spans="23:23" x14ac:dyDescent="0.55000000000000004">
      <c r="W37774"/>
    </row>
    <row r="37775" spans="23:23" x14ac:dyDescent="0.55000000000000004">
      <c r="W37775"/>
    </row>
    <row r="37776" spans="23:23" x14ac:dyDescent="0.55000000000000004">
      <c r="W37776"/>
    </row>
    <row r="37777" spans="23:23" x14ac:dyDescent="0.55000000000000004">
      <c r="W37777"/>
    </row>
    <row r="37778" spans="23:23" x14ac:dyDescent="0.55000000000000004">
      <c r="W37778"/>
    </row>
    <row r="37779" spans="23:23" x14ac:dyDescent="0.55000000000000004">
      <c r="W37779"/>
    </row>
    <row r="37780" spans="23:23" x14ac:dyDescent="0.55000000000000004">
      <c r="W37780"/>
    </row>
    <row r="37781" spans="23:23" x14ac:dyDescent="0.55000000000000004">
      <c r="W37781"/>
    </row>
    <row r="37782" spans="23:23" x14ac:dyDescent="0.55000000000000004">
      <c r="W37782"/>
    </row>
    <row r="37783" spans="23:23" x14ac:dyDescent="0.55000000000000004">
      <c r="W37783"/>
    </row>
    <row r="37784" spans="23:23" x14ac:dyDescent="0.55000000000000004">
      <c r="W37784"/>
    </row>
    <row r="37785" spans="23:23" x14ac:dyDescent="0.55000000000000004">
      <c r="W37785"/>
    </row>
    <row r="37786" spans="23:23" x14ac:dyDescent="0.55000000000000004">
      <c r="W37786"/>
    </row>
    <row r="37787" spans="23:23" x14ac:dyDescent="0.55000000000000004">
      <c r="W37787"/>
    </row>
    <row r="37788" spans="23:23" x14ac:dyDescent="0.55000000000000004">
      <c r="W37788"/>
    </row>
    <row r="37789" spans="23:23" x14ac:dyDescent="0.55000000000000004">
      <c r="W37789"/>
    </row>
    <row r="37790" spans="23:23" x14ac:dyDescent="0.55000000000000004">
      <c r="W37790"/>
    </row>
    <row r="37791" spans="23:23" x14ac:dyDescent="0.55000000000000004">
      <c r="W37791"/>
    </row>
    <row r="37792" spans="23:23" x14ac:dyDescent="0.55000000000000004">
      <c r="W37792"/>
    </row>
    <row r="37793" spans="23:23" x14ac:dyDescent="0.55000000000000004">
      <c r="W37793"/>
    </row>
    <row r="37794" spans="23:23" x14ac:dyDescent="0.55000000000000004">
      <c r="W37794"/>
    </row>
    <row r="37795" spans="23:23" x14ac:dyDescent="0.55000000000000004">
      <c r="W37795"/>
    </row>
    <row r="37796" spans="23:23" x14ac:dyDescent="0.55000000000000004">
      <c r="W37796"/>
    </row>
    <row r="37797" spans="23:23" x14ac:dyDescent="0.55000000000000004">
      <c r="W37797"/>
    </row>
    <row r="37798" spans="23:23" x14ac:dyDescent="0.55000000000000004">
      <c r="W37798"/>
    </row>
    <row r="37799" spans="23:23" x14ac:dyDescent="0.55000000000000004">
      <c r="W37799"/>
    </row>
    <row r="37800" spans="23:23" x14ac:dyDescent="0.55000000000000004">
      <c r="W37800"/>
    </row>
    <row r="37801" spans="23:23" x14ac:dyDescent="0.55000000000000004">
      <c r="W37801"/>
    </row>
    <row r="37802" spans="23:23" x14ac:dyDescent="0.55000000000000004">
      <c r="W37802"/>
    </row>
    <row r="37803" spans="23:23" x14ac:dyDescent="0.55000000000000004">
      <c r="W37803"/>
    </row>
    <row r="37804" spans="23:23" x14ac:dyDescent="0.55000000000000004">
      <c r="W37804"/>
    </row>
    <row r="37805" spans="23:23" x14ac:dyDescent="0.55000000000000004">
      <c r="W37805"/>
    </row>
    <row r="37806" spans="23:23" x14ac:dyDescent="0.55000000000000004">
      <c r="W37806"/>
    </row>
    <row r="37807" spans="23:23" x14ac:dyDescent="0.55000000000000004">
      <c r="W37807"/>
    </row>
    <row r="37808" spans="23:23" x14ac:dyDescent="0.55000000000000004">
      <c r="W37808"/>
    </row>
    <row r="37809" spans="23:23" x14ac:dyDescent="0.55000000000000004">
      <c r="W37809"/>
    </row>
    <row r="37810" spans="23:23" x14ac:dyDescent="0.55000000000000004">
      <c r="W37810"/>
    </row>
    <row r="37811" spans="23:23" x14ac:dyDescent="0.55000000000000004">
      <c r="W37811"/>
    </row>
    <row r="37812" spans="23:23" x14ac:dyDescent="0.55000000000000004">
      <c r="W37812"/>
    </row>
    <row r="37813" spans="23:23" x14ac:dyDescent="0.55000000000000004">
      <c r="W37813"/>
    </row>
    <row r="37814" spans="23:23" x14ac:dyDescent="0.55000000000000004">
      <c r="W37814"/>
    </row>
    <row r="37815" spans="23:23" x14ac:dyDescent="0.55000000000000004">
      <c r="W37815"/>
    </row>
    <row r="37816" spans="23:23" x14ac:dyDescent="0.55000000000000004">
      <c r="W37816"/>
    </row>
    <row r="37817" spans="23:23" x14ac:dyDescent="0.55000000000000004">
      <c r="W37817"/>
    </row>
    <row r="37818" spans="23:23" x14ac:dyDescent="0.55000000000000004">
      <c r="W37818"/>
    </row>
    <row r="37819" spans="23:23" x14ac:dyDescent="0.55000000000000004">
      <c r="W37819"/>
    </row>
    <row r="37820" spans="23:23" x14ac:dyDescent="0.55000000000000004">
      <c r="W37820"/>
    </row>
    <row r="37821" spans="23:23" x14ac:dyDescent="0.55000000000000004">
      <c r="W37821"/>
    </row>
    <row r="37822" spans="23:23" x14ac:dyDescent="0.55000000000000004">
      <c r="W37822"/>
    </row>
    <row r="37823" spans="23:23" x14ac:dyDescent="0.55000000000000004">
      <c r="W37823"/>
    </row>
    <row r="37824" spans="23:23" x14ac:dyDescent="0.55000000000000004">
      <c r="W37824"/>
    </row>
    <row r="37825" spans="23:23" x14ac:dyDescent="0.55000000000000004">
      <c r="W37825"/>
    </row>
    <row r="37826" spans="23:23" x14ac:dyDescent="0.55000000000000004">
      <c r="W37826"/>
    </row>
    <row r="37827" spans="23:23" x14ac:dyDescent="0.55000000000000004">
      <c r="W37827"/>
    </row>
    <row r="37828" spans="23:23" x14ac:dyDescent="0.55000000000000004">
      <c r="W37828"/>
    </row>
    <row r="37829" spans="23:23" x14ac:dyDescent="0.55000000000000004">
      <c r="W37829"/>
    </row>
    <row r="37830" spans="23:23" x14ac:dyDescent="0.55000000000000004">
      <c r="W37830"/>
    </row>
    <row r="37831" spans="23:23" x14ac:dyDescent="0.55000000000000004">
      <c r="W37831"/>
    </row>
    <row r="37832" spans="23:23" x14ac:dyDescent="0.55000000000000004">
      <c r="W37832"/>
    </row>
    <row r="37833" spans="23:23" x14ac:dyDescent="0.55000000000000004">
      <c r="W37833"/>
    </row>
    <row r="37834" spans="23:23" x14ac:dyDescent="0.55000000000000004">
      <c r="W37834"/>
    </row>
    <row r="37835" spans="23:23" x14ac:dyDescent="0.55000000000000004">
      <c r="W37835"/>
    </row>
    <row r="37836" spans="23:23" x14ac:dyDescent="0.55000000000000004">
      <c r="W37836"/>
    </row>
    <row r="37837" spans="23:23" x14ac:dyDescent="0.55000000000000004">
      <c r="W37837"/>
    </row>
    <row r="37838" spans="23:23" x14ac:dyDescent="0.55000000000000004">
      <c r="W37838"/>
    </row>
    <row r="37839" spans="23:23" x14ac:dyDescent="0.55000000000000004">
      <c r="W37839"/>
    </row>
    <row r="37840" spans="23:23" x14ac:dyDescent="0.55000000000000004">
      <c r="W37840"/>
    </row>
    <row r="37841" spans="23:23" x14ac:dyDescent="0.55000000000000004">
      <c r="W37841"/>
    </row>
    <row r="37842" spans="23:23" x14ac:dyDescent="0.55000000000000004">
      <c r="W37842"/>
    </row>
    <row r="37843" spans="23:23" x14ac:dyDescent="0.55000000000000004">
      <c r="W37843"/>
    </row>
    <row r="37844" spans="23:23" x14ac:dyDescent="0.55000000000000004">
      <c r="W37844"/>
    </row>
    <row r="37845" spans="23:23" x14ac:dyDescent="0.55000000000000004">
      <c r="W37845"/>
    </row>
    <row r="37846" spans="23:23" x14ac:dyDescent="0.55000000000000004">
      <c r="W37846"/>
    </row>
    <row r="37847" spans="23:23" x14ac:dyDescent="0.55000000000000004">
      <c r="W37847"/>
    </row>
    <row r="37848" spans="23:23" x14ac:dyDescent="0.55000000000000004">
      <c r="W37848"/>
    </row>
    <row r="37849" spans="23:23" x14ac:dyDescent="0.55000000000000004">
      <c r="W37849"/>
    </row>
    <row r="37850" spans="23:23" x14ac:dyDescent="0.55000000000000004">
      <c r="W37850"/>
    </row>
    <row r="37851" spans="23:23" x14ac:dyDescent="0.55000000000000004">
      <c r="W37851"/>
    </row>
    <row r="37852" spans="23:23" x14ac:dyDescent="0.55000000000000004">
      <c r="W37852"/>
    </row>
    <row r="37853" spans="23:23" x14ac:dyDescent="0.55000000000000004">
      <c r="W37853"/>
    </row>
    <row r="37854" spans="23:23" x14ac:dyDescent="0.55000000000000004">
      <c r="W37854"/>
    </row>
    <row r="37855" spans="23:23" x14ac:dyDescent="0.55000000000000004">
      <c r="W37855"/>
    </row>
    <row r="37856" spans="23:23" x14ac:dyDescent="0.55000000000000004">
      <c r="W37856"/>
    </row>
    <row r="37857" spans="23:23" x14ac:dyDescent="0.55000000000000004">
      <c r="W37857"/>
    </row>
    <row r="37858" spans="23:23" x14ac:dyDescent="0.55000000000000004">
      <c r="W37858"/>
    </row>
    <row r="37859" spans="23:23" x14ac:dyDescent="0.55000000000000004">
      <c r="W37859"/>
    </row>
    <row r="37860" spans="23:23" x14ac:dyDescent="0.55000000000000004">
      <c r="W37860"/>
    </row>
    <row r="37861" spans="23:23" x14ac:dyDescent="0.55000000000000004">
      <c r="W37861"/>
    </row>
    <row r="37862" spans="23:23" x14ac:dyDescent="0.55000000000000004">
      <c r="W37862"/>
    </row>
    <row r="37863" spans="23:23" x14ac:dyDescent="0.55000000000000004">
      <c r="W37863"/>
    </row>
    <row r="37864" spans="23:23" x14ac:dyDescent="0.55000000000000004">
      <c r="W37864"/>
    </row>
    <row r="37865" spans="23:23" x14ac:dyDescent="0.55000000000000004">
      <c r="W37865"/>
    </row>
    <row r="37866" spans="23:23" x14ac:dyDescent="0.55000000000000004">
      <c r="W37866"/>
    </row>
    <row r="37867" spans="23:23" x14ac:dyDescent="0.55000000000000004">
      <c r="W37867"/>
    </row>
    <row r="37868" spans="23:23" x14ac:dyDescent="0.55000000000000004">
      <c r="W37868"/>
    </row>
    <row r="37869" spans="23:23" x14ac:dyDescent="0.55000000000000004">
      <c r="W37869"/>
    </row>
    <row r="37870" spans="23:23" x14ac:dyDescent="0.55000000000000004">
      <c r="W37870"/>
    </row>
    <row r="37871" spans="23:23" x14ac:dyDescent="0.55000000000000004">
      <c r="W37871"/>
    </row>
    <row r="37872" spans="23:23" x14ac:dyDescent="0.55000000000000004">
      <c r="W37872"/>
    </row>
    <row r="37873" spans="23:23" x14ac:dyDescent="0.55000000000000004">
      <c r="W37873"/>
    </row>
    <row r="37874" spans="23:23" x14ac:dyDescent="0.55000000000000004">
      <c r="W37874"/>
    </row>
    <row r="37875" spans="23:23" x14ac:dyDescent="0.55000000000000004">
      <c r="W37875"/>
    </row>
    <row r="37876" spans="23:23" x14ac:dyDescent="0.55000000000000004">
      <c r="W37876"/>
    </row>
    <row r="37877" spans="23:23" x14ac:dyDescent="0.55000000000000004">
      <c r="W37877"/>
    </row>
    <row r="37878" spans="23:23" x14ac:dyDescent="0.55000000000000004">
      <c r="W37878"/>
    </row>
    <row r="37879" spans="23:23" x14ac:dyDescent="0.55000000000000004">
      <c r="W37879"/>
    </row>
    <row r="37880" spans="23:23" x14ac:dyDescent="0.55000000000000004">
      <c r="W37880"/>
    </row>
    <row r="37881" spans="23:23" x14ac:dyDescent="0.55000000000000004">
      <c r="W37881"/>
    </row>
    <row r="37882" spans="23:23" x14ac:dyDescent="0.55000000000000004">
      <c r="W37882"/>
    </row>
    <row r="37883" spans="23:23" x14ac:dyDescent="0.55000000000000004">
      <c r="W37883"/>
    </row>
    <row r="37884" spans="23:23" x14ac:dyDescent="0.55000000000000004">
      <c r="W37884"/>
    </row>
    <row r="37885" spans="23:23" x14ac:dyDescent="0.55000000000000004">
      <c r="W37885"/>
    </row>
    <row r="37886" spans="23:23" x14ac:dyDescent="0.55000000000000004">
      <c r="W37886"/>
    </row>
    <row r="37887" spans="23:23" x14ac:dyDescent="0.55000000000000004">
      <c r="W37887"/>
    </row>
    <row r="37888" spans="23:23" x14ac:dyDescent="0.55000000000000004">
      <c r="W37888"/>
    </row>
    <row r="37889" spans="23:23" x14ac:dyDescent="0.55000000000000004">
      <c r="W37889"/>
    </row>
    <row r="37890" spans="23:23" x14ac:dyDescent="0.55000000000000004">
      <c r="W37890"/>
    </row>
    <row r="37891" spans="23:23" x14ac:dyDescent="0.55000000000000004">
      <c r="W37891"/>
    </row>
    <row r="37892" spans="23:23" x14ac:dyDescent="0.55000000000000004">
      <c r="W37892"/>
    </row>
    <row r="37893" spans="23:23" x14ac:dyDescent="0.55000000000000004">
      <c r="W37893"/>
    </row>
    <row r="37894" spans="23:23" x14ac:dyDescent="0.55000000000000004">
      <c r="W37894"/>
    </row>
    <row r="37895" spans="23:23" x14ac:dyDescent="0.55000000000000004">
      <c r="W37895"/>
    </row>
    <row r="37896" spans="23:23" x14ac:dyDescent="0.55000000000000004">
      <c r="W37896"/>
    </row>
    <row r="37897" spans="23:23" x14ac:dyDescent="0.55000000000000004">
      <c r="W37897"/>
    </row>
    <row r="37898" spans="23:23" x14ac:dyDescent="0.55000000000000004">
      <c r="W37898"/>
    </row>
    <row r="37899" spans="23:23" x14ac:dyDescent="0.55000000000000004">
      <c r="W37899"/>
    </row>
    <row r="37900" spans="23:23" x14ac:dyDescent="0.55000000000000004">
      <c r="W37900"/>
    </row>
    <row r="37901" spans="23:23" x14ac:dyDescent="0.55000000000000004">
      <c r="W37901"/>
    </row>
    <row r="37902" spans="23:23" x14ac:dyDescent="0.55000000000000004">
      <c r="W37902"/>
    </row>
    <row r="37903" spans="23:23" x14ac:dyDescent="0.55000000000000004">
      <c r="W37903"/>
    </row>
    <row r="37904" spans="23:23" x14ac:dyDescent="0.55000000000000004">
      <c r="W37904"/>
    </row>
    <row r="37905" spans="23:23" x14ac:dyDescent="0.55000000000000004">
      <c r="W37905"/>
    </row>
    <row r="37906" spans="23:23" x14ac:dyDescent="0.55000000000000004">
      <c r="W37906"/>
    </row>
    <row r="37907" spans="23:23" x14ac:dyDescent="0.55000000000000004">
      <c r="W37907"/>
    </row>
    <row r="37908" spans="23:23" x14ac:dyDescent="0.55000000000000004">
      <c r="W37908"/>
    </row>
    <row r="37909" spans="23:23" x14ac:dyDescent="0.55000000000000004">
      <c r="W37909"/>
    </row>
    <row r="37910" spans="23:23" x14ac:dyDescent="0.55000000000000004">
      <c r="W37910"/>
    </row>
    <row r="37911" spans="23:23" x14ac:dyDescent="0.55000000000000004">
      <c r="W37911"/>
    </row>
    <row r="37912" spans="23:23" x14ac:dyDescent="0.55000000000000004">
      <c r="W37912"/>
    </row>
    <row r="37913" spans="23:23" x14ac:dyDescent="0.55000000000000004">
      <c r="W37913"/>
    </row>
    <row r="37914" spans="23:23" x14ac:dyDescent="0.55000000000000004">
      <c r="W37914"/>
    </row>
    <row r="37915" spans="23:23" x14ac:dyDescent="0.55000000000000004">
      <c r="W37915"/>
    </row>
    <row r="37916" spans="23:23" x14ac:dyDescent="0.55000000000000004">
      <c r="W37916"/>
    </row>
    <row r="37917" spans="23:23" x14ac:dyDescent="0.55000000000000004">
      <c r="W37917"/>
    </row>
    <row r="37918" spans="23:23" x14ac:dyDescent="0.55000000000000004">
      <c r="W37918"/>
    </row>
    <row r="37919" spans="23:23" x14ac:dyDescent="0.55000000000000004">
      <c r="W37919"/>
    </row>
    <row r="37920" spans="23:23" x14ac:dyDescent="0.55000000000000004">
      <c r="W37920"/>
    </row>
    <row r="37921" spans="23:23" x14ac:dyDescent="0.55000000000000004">
      <c r="W37921"/>
    </row>
    <row r="37922" spans="23:23" x14ac:dyDescent="0.55000000000000004">
      <c r="W37922"/>
    </row>
    <row r="37923" spans="23:23" x14ac:dyDescent="0.55000000000000004">
      <c r="W37923"/>
    </row>
    <row r="37924" spans="23:23" x14ac:dyDescent="0.55000000000000004">
      <c r="W37924"/>
    </row>
    <row r="37925" spans="23:23" x14ac:dyDescent="0.55000000000000004">
      <c r="W37925"/>
    </row>
    <row r="37926" spans="23:23" x14ac:dyDescent="0.55000000000000004">
      <c r="W37926"/>
    </row>
    <row r="37927" spans="23:23" x14ac:dyDescent="0.55000000000000004">
      <c r="W37927"/>
    </row>
    <row r="37928" spans="23:23" x14ac:dyDescent="0.55000000000000004">
      <c r="W37928"/>
    </row>
    <row r="37929" spans="23:23" x14ac:dyDescent="0.55000000000000004">
      <c r="W37929"/>
    </row>
    <row r="37930" spans="23:23" x14ac:dyDescent="0.55000000000000004">
      <c r="W37930"/>
    </row>
    <row r="37931" spans="23:23" x14ac:dyDescent="0.55000000000000004">
      <c r="W37931"/>
    </row>
    <row r="37932" spans="23:23" x14ac:dyDescent="0.55000000000000004">
      <c r="W37932"/>
    </row>
    <row r="37933" spans="23:23" x14ac:dyDescent="0.55000000000000004">
      <c r="W37933"/>
    </row>
    <row r="37934" spans="23:23" x14ac:dyDescent="0.55000000000000004">
      <c r="W37934"/>
    </row>
    <row r="37935" spans="23:23" x14ac:dyDescent="0.55000000000000004">
      <c r="W37935"/>
    </row>
    <row r="37936" spans="23:23" x14ac:dyDescent="0.55000000000000004">
      <c r="W37936"/>
    </row>
    <row r="37937" spans="23:23" x14ac:dyDescent="0.55000000000000004">
      <c r="W37937"/>
    </row>
    <row r="37938" spans="23:23" x14ac:dyDescent="0.55000000000000004">
      <c r="W37938"/>
    </row>
    <row r="37939" spans="23:23" x14ac:dyDescent="0.55000000000000004">
      <c r="W37939"/>
    </row>
    <row r="37940" spans="23:23" x14ac:dyDescent="0.55000000000000004">
      <c r="W37940"/>
    </row>
    <row r="37941" spans="23:23" x14ac:dyDescent="0.55000000000000004">
      <c r="W37941"/>
    </row>
    <row r="37942" spans="23:23" x14ac:dyDescent="0.55000000000000004">
      <c r="W37942"/>
    </row>
    <row r="37943" spans="23:23" x14ac:dyDescent="0.55000000000000004">
      <c r="W37943"/>
    </row>
    <row r="37944" spans="23:23" x14ac:dyDescent="0.55000000000000004">
      <c r="W37944"/>
    </row>
    <row r="37945" spans="23:23" x14ac:dyDescent="0.55000000000000004">
      <c r="W37945"/>
    </row>
    <row r="37946" spans="23:23" x14ac:dyDescent="0.55000000000000004">
      <c r="W37946"/>
    </row>
    <row r="37947" spans="23:23" x14ac:dyDescent="0.55000000000000004">
      <c r="W37947"/>
    </row>
    <row r="37948" spans="23:23" x14ac:dyDescent="0.55000000000000004">
      <c r="W37948"/>
    </row>
    <row r="37949" spans="23:23" x14ac:dyDescent="0.55000000000000004">
      <c r="W37949"/>
    </row>
    <row r="37950" spans="23:23" x14ac:dyDescent="0.55000000000000004">
      <c r="W37950"/>
    </row>
    <row r="37951" spans="23:23" x14ac:dyDescent="0.55000000000000004">
      <c r="W37951"/>
    </row>
    <row r="37952" spans="23:23" x14ac:dyDescent="0.55000000000000004">
      <c r="W37952"/>
    </row>
    <row r="37953" spans="23:23" x14ac:dyDescent="0.55000000000000004">
      <c r="W37953"/>
    </row>
    <row r="37954" spans="23:23" x14ac:dyDescent="0.55000000000000004">
      <c r="W37954"/>
    </row>
    <row r="37955" spans="23:23" x14ac:dyDescent="0.55000000000000004">
      <c r="W37955"/>
    </row>
    <row r="37956" spans="23:23" x14ac:dyDescent="0.55000000000000004">
      <c r="W37956"/>
    </row>
    <row r="37957" spans="23:23" x14ac:dyDescent="0.55000000000000004">
      <c r="W37957"/>
    </row>
    <row r="37958" spans="23:23" x14ac:dyDescent="0.55000000000000004">
      <c r="W37958"/>
    </row>
    <row r="37959" spans="23:23" x14ac:dyDescent="0.55000000000000004">
      <c r="W37959"/>
    </row>
    <row r="37960" spans="23:23" x14ac:dyDescent="0.55000000000000004">
      <c r="W37960"/>
    </row>
    <row r="37961" spans="23:23" x14ac:dyDescent="0.55000000000000004">
      <c r="W37961"/>
    </row>
    <row r="37962" spans="23:23" x14ac:dyDescent="0.55000000000000004">
      <c r="W37962"/>
    </row>
    <row r="37963" spans="23:23" x14ac:dyDescent="0.55000000000000004">
      <c r="W37963"/>
    </row>
    <row r="37964" spans="23:23" x14ac:dyDescent="0.55000000000000004">
      <c r="W37964"/>
    </row>
    <row r="37965" spans="23:23" x14ac:dyDescent="0.55000000000000004">
      <c r="W37965"/>
    </row>
    <row r="37966" spans="23:23" x14ac:dyDescent="0.55000000000000004">
      <c r="W37966"/>
    </row>
    <row r="37967" spans="23:23" x14ac:dyDescent="0.55000000000000004">
      <c r="W37967"/>
    </row>
    <row r="37968" spans="23:23" x14ac:dyDescent="0.55000000000000004">
      <c r="W37968"/>
    </row>
    <row r="37969" spans="23:23" x14ac:dyDescent="0.55000000000000004">
      <c r="W37969"/>
    </row>
    <row r="37970" spans="23:23" x14ac:dyDescent="0.55000000000000004">
      <c r="W37970"/>
    </row>
    <row r="37971" spans="23:23" x14ac:dyDescent="0.55000000000000004">
      <c r="W37971"/>
    </row>
    <row r="37972" spans="23:23" x14ac:dyDescent="0.55000000000000004">
      <c r="W37972"/>
    </row>
    <row r="37973" spans="23:23" x14ac:dyDescent="0.55000000000000004">
      <c r="W37973"/>
    </row>
    <row r="37974" spans="23:23" x14ac:dyDescent="0.55000000000000004">
      <c r="W37974"/>
    </row>
    <row r="37975" spans="23:23" x14ac:dyDescent="0.55000000000000004">
      <c r="W37975"/>
    </row>
    <row r="37976" spans="23:23" x14ac:dyDescent="0.55000000000000004">
      <c r="W37976"/>
    </row>
    <row r="37977" spans="23:23" x14ac:dyDescent="0.55000000000000004">
      <c r="W37977"/>
    </row>
    <row r="37978" spans="23:23" x14ac:dyDescent="0.55000000000000004">
      <c r="W37978"/>
    </row>
    <row r="37979" spans="23:23" x14ac:dyDescent="0.55000000000000004">
      <c r="W37979"/>
    </row>
    <row r="37980" spans="23:23" x14ac:dyDescent="0.55000000000000004">
      <c r="W37980"/>
    </row>
    <row r="37981" spans="23:23" x14ac:dyDescent="0.55000000000000004">
      <c r="W37981"/>
    </row>
    <row r="37982" spans="23:23" x14ac:dyDescent="0.55000000000000004">
      <c r="W37982"/>
    </row>
    <row r="37983" spans="23:23" x14ac:dyDescent="0.55000000000000004">
      <c r="W37983"/>
    </row>
    <row r="37984" spans="23:23" x14ac:dyDescent="0.55000000000000004">
      <c r="W37984"/>
    </row>
    <row r="37985" spans="23:23" x14ac:dyDescent="0.55000000000000004">
      <c r="W37985"/>
    </row>
    <row r="37986" spans="23:23" x14ac:dyDescent="0.55000000000000004">
      <c r="W37986"/>
    </row>
    <row r="37987" spans="23:23" x14ac:dyDescent="0.55000000000000004">
      <c r="W37987"/>
    </row>
    <row r="37988" spans="23:23" x14ac:dyDescent="0.55000000000000004">
      <c r="W37988"/>
    </row>
    <row r="37989" spans="23:23" x14ac:dyDescent="0.55000000000000004">
      <c r="W37989"/>
    </row>
    <row r="37990" spans="23:23" x14ac:dyDescent="0.55000000000000004">
      <c r="W37990"/>
    </row>
    <row r="37991" spans="23:23" x14ac:dyDescent="0.55000000000000004">
      <c r="W37991"/>
    </row>
    <row r="37992" spans="23:23" x14ac:dyDescent="0.55000000000000004">
      <c r="W37992"/>
    </row>
    <row r="37993" spans="23:23" x14ac:dyDescent="0.55000000000000004">
      <c r="W37993"/>
    </row>
    <row r="37994" spans="23:23" x14ac:dyDescent="0.55000000000000004">
      <c r="W37994"/>
    </row>
    <row r="37995" spans="23:23" x14ac:dyDescent="0.55000000000000004">
      <c r="W37995"/>
    </row>
    <row r="37996" spans="23:23" x14ac:dyDescent="0.55000000000000004">
      <c r="W37996"/>
    </row>
    <row r="37997" spans="23:23" x14ac:dyDescent="0.55000000000000004">
      <c r="W37997"/>
    </row>
    <row r="37998" spans="23:23" x14ac:dyDescent="0.55000000000000004">
      <c r="W37998"/>
    </row>
    <row r="37999" spans="23:23" x14ac:dyDescent="0.55000000000000004">
      <c r="W37999"/>
    </row>
    <row r="38000" spans="23:23" x14ac:dyDescent="0.55000000000000004">
      <c r="W38000"/>
    </row>
    <row r="38001" spans="23:23" x14ac:dyDescent="0.55000000000000004">
      <c r="W38001"/>
    </row>
    <row r="38002" spans="23:23" x14ac:dyDescent="0.55000000000000004">
      <c r="W38002"/>
    </row>
    <row r="38003" spans="23:23" x14ac:dyDescent="0.55000000000000004">
      <c r="W38003"/>
    </row>
    <row r="38004" spans="23:23" x14ac:dyDescent="0.55000000000000004">
      <c r="W38004"/>
    </row>
    <row r="38005" spans="23:23" x14ac:dyDescent="0.55000000000000004">
      <c r="W38005"/>
    </row>
    <row r="38006" spans="23:23" x14ac:dyDescent="0.55000000000000004">
      <c r="W38006"/>
    </row>
    <row r="38007" spans="23:23" x14ac:dyDescent="0.55000000000000004">
      <c r="W38007"/>
    </row>
    <row r="38008" spans="23:23" x14ac:dyDescent="0.55000000000000004">
      <c r="W38008"/>
    </row>
    <row r="38009" spans="23:23" x14ac:dyDescent="0.55000000000000004">
      <c r="W38009"/>
    </row>
    <row r="38010" spans="23:23" x14ac:dyDescent="0.55000000000000004">
      <c r="W38010"/>
    </row>
    <row r="38011" spans="23:23" x14ac:dyDescent="0.55000000000000004">
      <c r="W38011"/>
    </row>
    <row r="38012" spans="23:23" x14ac:dyDescent="0.55000000000000004">
      <c r="W38012"/>
    </row>
    <row r="38013" spans="23:23" x14ac:dyDescent="0.55000000000000004">
      <c r="W38013"/>
    </row>
    <row r="38014" spans="23:23" x14ac:dyDescent="0.55000000000000004">
      <c r="W38014"/>
    </row>
    <row r="38015" spans="23:23" x14ac:dyDescent="0.55000000000000004">
      <c r="W38015"/>
    </row>
    <row r="38016" spans="23:23" x14ac:dyDescent="0.55000000000000004">
      <c r="W38016"/>
    </row>
    <row r="38017" spans="23:23" x14ac:dyDescent="0.55000000000000004">
      <c r="W38017"/>
    </row>
    <row r="38018" spans="23:23" x14ac:dyDescent="0.55000000000000004">
      <c r="W38018"/>
    </row>
    <row r="38019" spans="23:23" x14ac:dyDescent="0.55000000000000004">
      <c r="W38019"/>
    </row>
    <row r="38020" spans="23:23" x14ac:dyDescent="0.55000000000000004">
      <c r="W38020"/>
    </row>
    <row r="38021" spans="23:23" x14ac:dyDescent="0.55000000000000004">
      <c r="W38021"/>
    </row>
    <row r="38022" spans="23:23" x14ac:dyDescent="0.55000000000000004">
      <c r="W38022"/>
    </row>
    <row r="38023" spans="23:23" x14ac:dyDescent="0.55000000000000004">
      <c r="W38023"/>
    </row>
    <row r="38024" spans="23:23" x14ac:dyDescent="0.55000000000000004">
      <c r="W38024"/>
    </row>
    <row r="38025" spans="23:23" x14ac:dyDescent="0.55000000000000004">
      <c r="W38025"/>
    </row>
    <row r="38026" spans="23:23" x14ac:dyDescent="0.55000000000000004">
      <c r="W38026"/>
    </row>
    <row r="38027" spans="23:23" x14ac:dyDescent="0.55000000000000004">
      <c r="W38027"/>
    </row>
    <row r="38028" spans="23:23" x14ac:dyDescent="0.55000000000000004">
      <c r="W38028"/>
    </row>
    <row r="38029" spans="23:23" x14ac:dyDescent="0.55000000000000004">
      <c r="W38029"/>
    </row>
    <row r="38030" spans="23:23" x14ac:dyDescent="0.55000000000000004">
      <c r="W38030"/>
    </row>
    <row r="38031" spans="23:23" x14ac:dyDescent="0.55000000000000004">
      <c r="W38031"/>
    </row>
    <row r="38032" spans="23:23" x14ac:dyDescent="0.55000000000000004">
      <c r="W38032"/>
    </row>
    <row r="38033" spans="23:23" x14ac:dyDescent="0.55000000000000004">
      <c r="W38033"/>
    </row>
    <row r="38034" spans="23:23" x14ac:dyDescent="0.55000000000000004">
      <c r="W38034"/>
    </row>
    <row r="38035" spans="23:23" x14ac:dyDescent="0.55000000000000004">
      <c r="W38035"/>
    </row>
    <row r="38036" spans="23:23" x14ac:dyDescent="0.55000000000000004">
      <c r="W38036"/>
    </row>
    <row r="38037" spans="23:23" x14ac:dyDescent="0.55000000000000004">
      <c r="W38037"/>
    </row>
    <row r="38038" spans="23:23" x14ac:dyDescent="0.55000000000000004">
      <c r="W38038"/>
    </row>
    <row r="38039" spans="23:23" x14ac:dyDescent="0.55000000000000004">
      <c r="W38039"/>
    </row>
    <row r="38040" spans="23:23" x14ac:dyDescent="0.55000000000000004">
      <c r="W38040"/>
    </row>
    <row r="38041" spans="23:23" x14ac:dyDescent="0.55000000000000004">
      <c r="W38041"/>
    </row>
    <row r="38042" spans="23:23" x14ac:dyDescent="0.55000000000000004">
      <c r="W38042"/>
    </row>
    <row r="38043" spans="23:23" x14ac:dyDescent="0.55000000000000004">
      <c r="W38043"/>
    </row>
    <row r="38044" spans="23:23" x14ac:dyDescent="0.55000000000000004">
      <c r="W38044"/>
    </row>
    <row r="38045" spans="23:23" x14ac:dyDescent="0.55000000000000004">
      <c r="W38045"/>
    </row>
    <row r="38046" spans="23:23" x14ac:dyDescent="0.55000000000000004">
      <c r="W38046"/>
    </row>
    <row r="38047" spans="23:23" x14ac:dyDescent="0.55000000000000004">
      <c r="W38047"/>
    </row>
    <row r="38048" spans="23:23" x14ac:dyDescent="0.55000000000000004">
      <c r="W38048"/>
    </row>
    <row r="38049" spans="23:23" x14ac:dyDescent="0.55000000000000004">
      <c r="W38049"/>
    </row>
    <row r="38050" spans="23:23" x14ac:dyDescent="0.55000000000000004">
      <c r="W38050"/>
    </row>
    <row r="38051" spans="23:23" x14ac:dyDescent="0.55000000000000004">
      <c r="W38051"/>
    </row>
    <row r="38052" spans="23:23" x14ac:dyDescent="0.55000000000000004">
      <c r="W38052"/>
    </row>
    <row r="38053" spans="23:23" x14ac:dyDescent="0.55000000000000004">
      <c r="W38053"/>
    </row>
    <row r="38054" spans="23:23" x14ac:dyDescent="0.55000000000000004">
      <c r="W38054"/>
    </row>
    <row r="38055" spans="23:23" x14ac:dyDescent="0.55000000000000004">
      <c r="W38055"/>
    </row>
    <row r="38056" spans="23:23" x14ac:dyDescent="0.55000000000000004">
      <c r="W38056"/>
    </row>
    <row r="38057" spans="23:23" x14ac:dyDescent="0.55000000000000004">
      <c r="W38057"/>
    </row>
    <row r="38058" spans="23:23" x14ac:dyDescent="0.55000000000000004">
      <c r="W38058"/>
    </row>
    <row r="38059" spans="23:23" x14ac:dyDescent="0.55000000000000004">
      <c r="W38059"/>
    </row>
    <row r="38060" spans="23:23" x14ac:dyDescent="0.55000000000000004">
      <c r="W38060"/>
    </row>
    <row r="38061" spans="23:23" x14ac:dyDescent="0.55000000000000004">
      <c r="W38061"/>
    </row>
    <row r="38062" spans="23:23" x14ac:dyDescent="0.55000000000000004">
      <c r="W38062"/>
    </row>
    <row r="38063" spans="23:23" x14ac:dyDescent="0.55000000000000004">
      <c r="W38063"/>
    </row>
    <row r="38064" spans="23:23" x14ac:dyDescent="0.55000000000000004">
      <c r="W38064"/>
    </row>
    <row r="38065" spans="23:23" x14ac:dyDescent="0.55000000000000004">
      <c r="W38065"/>
    </row>
    <row r="38066" spans="23:23" x14ac:dyDescent="0.55000000000000004">
      <c r="W38066"/>
    </row>
    <row r="38067" spans="23:23" x14ac:dyDescent="0.55000000000000004">
      <c r="W38067"/>
    </row>
    <row r="38068" spans="23:23" x14ac:dyDescent="0.55000000000000004">
      <c r="W38068"/>
    </row>
    <row r="38069" spans="23:23" x14ac:dyDescent="0.55000000000000004">
      <c r="W38069"/>
    </row>
    <row r="38070" spans="23:23" x14ac:dyDescent="0.55000000000000004">
      <c r="W38070"/>
    </row>
    <row r="38071" spans="23:23" x14ac:dyDescent="0.55000000000000004">
      <c r="W38071"/>
    </row>
    <row r="38072" spans="23:23" x14ac:dyDescent="0.55000000000000004">
      <c r="W38072"/>
    </row>
    <row r="38073" spans="23:23" x14ac:dyDescent="0.55000000000000004">
      <c r="W38073"/>
    </row>
    <row r="38074" spans="23:23" x14ac:dyDescent="0.55000000000000004">
      <c r="W38074"/>
    </row>
    <row r="38075" spans="23:23" x14ac:dyDescent="0.55000000000000004">
      <c r="W38075"/>
    </row>
    <row r="38076" spans="23:23" x14ac:dyDescent="0.55000000000000004">
      <c r="W38076"/>
    </row>
    <row r="38077" spans="23:23" x14ac:dyDescent="0.55000000000000004">
      <c r="W38077"/>
    </row>
    <row r="38078" spans="23:23" x14ac:dyDescent="0.55000000000000004">
      <c r="W38078"/>
    </row>
    <row r="38079" spans="23:23" x14ac:dyDescent="0.55000000000000004">
      <c r="W38079"/>
    </row>
    <row r="38080" spans="23:23" x14ac:dyDescent="0.55000000000000004">
      <c r="W38080"/>
    </row>
    <row r="38081" spans="23:23" x14ac:dyDescent="0.55000000000000004">
      <c r="W38081"/>
    </row>
    <row r="38082" spans="23:23" x14ac:dyDescent="0.55000000000000004">
      <c r="W38082"/>
    </row>
    <row r="38083" spans="23:23" x14ac:dyDescent="0.55000000000000004">
      <c r="W38083"/>
    </row>
    <row r="38084" spans="23:23" x14ac:dyDescent="0.55000000000000004">
      <c r="W38084"/>
    </row>
    <row r="38085" spans="23:23" x14ac:dyDescent="0.55000000000000004">
      <c r="W38085"/>
    </row>
    <row r="38086" spans="23:23" x14ac:dyDescent="0.55000000000000004">
      <c r="W38086"/>
    </row>
    <row r="38087" spans="23:23" x14ac:dyDescent="0.55000000000000004">
      <c r="W38087"/>
    </row>
    <row r="38088" spans="23:23" x14ac:dyDescent="0.55000000000000004">
      <c r="W38088"/>
    </row>
    <row r="38089" spans="23:23" x14ac:dyDescent="0.55000000000000004">
      <c r="W38089"/>
    </row>
    <row r="38090" spans="23:23" x14ac:dyDescent="0.55000000000000004">
      <c r="W38090"/>
    </row>
    <row r="38091" spans="23:23" x14ac:dyDescent="0.55000000000000004">
      <c r="W38091"/>
    </row>
    <row r="38092" spans="23:23" x14ac:dyDescent="0.55000000000000004">
      <c r="W38092"/>
    </row>
    <row r="38093" spans="23:23" x14ac:dyDescent="0.55000000000000004">
      <c r="W38093"/>
    </row>
    <row r="38094" spans="23:23" x14ac:dyDescent="0.55000000000000004">
      <c r="W38094"/>
    </row>
    <row r="38095" spans="23:23" x14ac:dyDescent="0.55000000000000004">
      <c r="W38095"/>
    </row>
    <row r="38096" spans="23:23" x14ac:dyDescent="0.55000000000000004">
      <c r="W38096"/>
    </row>
    <row r="38097" spans="23:23" x14ac:dyDescent="0.55000000000000004">
      <c r="W38097"/>
    </row>
    <row r="38098" spans="23:23" x14ac:dyDescent="0.55000000000000004">
      <c r="W38098"/>
    </row>
    <row r="38099" spans="23:23" x14ac:dyDescent="0.55000000000000004">
      <c r="W38099"/>
    </row>
    <row r="38100" spans="23:23" x14ac:dyDescent="0.55000000000000004">
      <c r="W38100"/>
    </row>
    <row r="38101" spans="23:23" x14ac:dyDescent="0.55000000000000004">
      <c r="W38101"/>
    </row>
    <row r="38102" spans="23:23" x14ac:dyDescent="0.55000000000000004">
      <c r="W38102"/>
    </row>
    <row r="38103" spans="23:23" x14ac:dyDescent="0.55000000000000004">
      <c r="W38103"/>
    </row>
    <row r="38104" spans="23:23" x14ac:dyDescent="0.55000000000000004">
      <c r="W38104"/>
    </row>
    <row r="38105" spans="23:23" x14ac:dyDescent="0.55000000000000004">
      <c r="W38105"/>
    </row>
    <row r="38106" spans="23:23" x14ac:dyDescent="0.55000000000000004">
      <c r="W38106"/>
    </row>
    <row r="38107" spans="23:23" x14ac:dyDescent="0.55000000000000004">
      <c r="W38107"/>
    </row>
    <row r="38108" spans="23:23" x14ac:dyDescent="0.55000000000000004">
      <c r="W38108"/>
    </row>
    <row r="38109" spans="23:23" x14ac:dyDescent="0.55000000000000004">
      <c r="W38109"/>
    </row>
    <row r="38110" spans="23:23" x14ac:dyDescent="0.55000000000000004">
      <c r="W38110"/>
    </row>
    <row r="38111" spans="23:23" x14ac:dyDescent="0.55000000000000004">
      <c r="W38111"/>
    </row>
    <row r="38112" spans="23:23" x14ac:dyDescent="0.55000000000000004">
      <c r="W38112"/>
    </row>
    <row r="38113" spans="23:23" x14ac:dyDescent="0.55000000000000004">
      <c r="W38113"/>
    </row>
    <row r="38114" spans="23:23" x14ac:dyDescent="0.55000000000000004">
      <c r="W38114"/>
    </row>
    <row r="38115" spans="23:23" x14ac:dyDescent="0.55000000000000004">
      <c r="W38115"/>
    </row>
    <row r="38116" spans="23:23" x14ac:dyDescent="0.55000000000000004">
      <c r="W38116"/>
    </row>
    <row r="38117" spans="23:23" x14ac:dyDescent="0.55000000000000004">
      <c r="W38117"/>
    </row>
    <row r="38118" spans="23:23" x14ac:dyDescent="0.55000000000000004">
      <c r="W38118"/>
    </row>
    <row r="38119" spans="23:23" x14ac:dyDescent="0.55000000000000004">
      <c r="W38119"/>
    </row>
    <row r="38120" spans="23:23" x14ac:dyDescent="0.55000000000000004">
      <c r="W38120"/>
    </row>
    <row r="38121" spans="23:23" x14ac:dyDescent="0.55000000000000004">
      <c r="W38121"/>
    </row>
    <row r="38122" spans="23:23" x14ac:dyDescent="0.55000000000000004">
      <c r="W38122"/>
    </row>
    <row r="38123" spans="23:23" x14ac:dyDescent="0.55000000000000004">
      <c r="W38123"/>
    </row>
    <row r="38124" spans="23:23" x14ac:dyDescent="0.55000000000000004">
      <c r="W38124"/>
    </row>
    <row r="38125" spans="23:23" x14ac:dyDescent="0.55000000000000004">
      <c r="W38125"/>
    </row>
    <row r="38126" spans="23:23" x14ac:dyDescent="0.55000000000000004">
      <c r="W38126"/>
    </row>
    <row r="38127" spans="23:23" x14ac:dyDescent="0.55000000000000004">
      <c r="W38127"/>
    </row>
    <row r="38128" spans="23:23" x14ac:dyDescent="0.55000000000000004">
      <c r="W38128"/>
    </row>
    <row r="38129" spans="23:23" x14ac:dyDescent="0.55000000000000004">
      <c r="W38129"/>
    </row>
    <row r="38130" spans="23:23" x14ac:dyDescent="0.55000000000000004">
      <c r="W38130"/>
    </row>
    <row r="38131" spans="23:23" x14ac:dyDescent="0.55000000000000004">
      <c r="W38131"/>
    </row>
    <row r="38132" spans="23:23" x14ac:dyDescent="0.55000000000000004">
      <c r="W38132"/>
    </row>
    <row r="38133" spans="23:23" x14ac:dyDescent="0.55000000000000004">
      <c r="W38133"/>
    </row>
    <row r="38134" spans="23:23" x14ac:dyDescent="0.55000000000000004">
      <c r="W38134"/>
    </row>
    <row r="38135" spans="23:23" x14ac:dyDescent="0.55000000000000004">
      <c r="W38135"/>
    </row>
    <row r="38136" spans="23:23" x14ac:dyDescent="0.55000000000000004">
      <c r="W38136"/>
    </row>
    <row r="38137" spans="23:23" x14ac:dyDescent="0.55000000000000004">
      <c r="W38137"/>
    </row>
    <row r="38138" spans="23:23" x14ac:dyDescent="0.55000000000000004">
      <c r="W38138"/>
    </row>
    <row r="38139" spans="23:23" x14ac:dyDescent="0.55000000000000004">
      <c r="W38139"/>
    </row>
    <row r="38140" spans="23:23" x14ac:dyDescent="0.55000000000000004">
      <c r="W38140"/>
    </row>
    <row r="38141" spans="23:23" x14ac:dyDescent="0.55000000000000004">
      <c r="W38141"/>
    </row>
    <row r="38142" spans="23:23" x14ac:dyDescent="0.55000000000000004">
      <c r="W38142"/>
    </row>
    <row r="38143" spans="23:23" x14ac:dyDescent="0.55000000000000004">
      <c r="W38143"/>
    </row>
    <row r="38144" spans="23:23" x14ac:dyDescent="0.55000000000000004">
      <c r="W38144"/>
    </row>
    <row r="38145" spans="23:23" x14ac:dyDescent="0.55000000000000004">
      <c r="W38145"/>
    </row>
    <row r="38146" spans="23:23" x14ac:dyDescent="0.55000000000000004">
      <c r="W38146"/>
    </row>
    <row r="38147" spans="23:23" x14ac:dyDescent="0.55000000000000004">
      <c r="W38147"/>
    </row>
    <row r="38148" spans="23:23" x14ac:dyDescent="0.55000000000000004">
      <c r="W38148"/>
    </row>
    <row r="38149" spans="23:23" x14ac:dyDescent="0.55000000000000004">
      <c r="W38149"/>
    </row>
    <row r="38150" spans="23:23" x14ac:dyDescent="0.55000000000000004">
      <c r="W38150"/>
    </row>
    <row r="38151" spans="23:23" x14ac:dyDescent="0.55000000000000004">
      <c r="W38151"/>
    </row>
    <row r="38152" spans="23:23" x14ac:dyDescent="0.55000000000000004">
      <c r="W38152"/>
    </row>
    <row r="38153" spans="23:23" x14ac:dyDescent="0.55000000000000004">
      <c r="W38153"/>
    </row>
    <row r="38154" spans="23:23" x14ac:dyDescent="0.55000000000000004">
      <c r="W38154"/>
    </row>
    <row r="38155" spans="23:23" x14ac:dyDescent="0.55000000000000004">
      <c r="W38155"/>
    </row>
    <row r="38156" spans="23:23" x14ac:dyDescent="0.55000000000000004">
      <c r="W38156"/>
    </row>
    <row r="38157" spans="23:23" x14ac:dyDescent="0.55000000000000004">
      <c r="W38157"/>
    </row>
    <row r="38158" spans="23:23" x14ac:dyDescent="0.55000000000000004">
      <c r="W38158"/>
    </row>
    <row r="38159" spans="23:23" x14ac:dyDescent="0.55000000000000004">
      <c r="W38159"/>
    </row>
    <row r="38160" spans="23:23" x14ac:dyDescent="0.55000000000000004">
      <c r="W38160"/>
    </row>
    <row r="38161" spans="23:23" x14ac:dyDescent="0.55000000000000004">
      <c r="W38161"/>
    </row>
    <row r="38162" spans="23:23" x14ac:dyDescent="0.55000000000000004">
      <c r="W38162"/>
    </row>
    <row r="38163" spans="23:23" x14ac:dyDescent="0.55000000000000004">
      <c r="W38163"/>
    </row>
    <row r="38164" spans="23:23" x14ac:dyDescent="0.55000000000000004">
      <c r="W38164"/>
    </row>
    <row r="38165" spans="23:23" x14ac:dyDescent="0.55000000000000004">
      <c r="W38165"/>
    </row>
    <row r="38166" spans="23:23" x14ac:dyDescent="0.55000000000000004">
      <c r="W38166"/>
    </row>
    <row r="38167" spans="23:23" x14ac:dyDescent="0.55000000000000004">
      <c r="W38167"/>
    </row>
    <row r="38168" spans="23:23" x14ac:dyDescent="0.55000000000000004">
      <c r="W38168"/>
    </row>
    <row r="38169" spans="23:23" x14ac:dyDescent="0.55000000000000004">
      <c r="W38169"/>
    </row>
    <row r="38170" spans="23:23" x14ac:dyDescent="0.55000000000000004">
      <c r="W38170"/>
    </row>
    <row r="38171" spans="23:23" x14ac:dyDescent="0.55000000000000004">
      <c r="W38171"/>
    </row>
    <row r="38172" spans="23:23" x14ac:dyDescent="0.55000000000000004">
      <c r="W38172"/>
    </row>
    <row r="38173" spans="23:23" x14ac:dyDescent="0.55000000000000004">
      <c r="W38173"/>
    </row>
    <row r="38174" spans="23:23" x14ac:dyDescent="0.55000000000000004">
      <c r="W38174"/>
    </row>
    <row r="38175" spans="23:23" x14ac:dyDescent="0.55000000000000004">
      <c r="W38175"/>
    </row>
    <row r="38176" spans="23:23" x14ac:dyDescent="0.55000000000000004">
      <c r="W38176"/>
    </row>
    <row r="38177" spans="23:23" x14ac:dyDescent="0.55000000000000004">
      <c r="W38177"/>
    </row>
    <row r="38178" spans="23:23" x14ac:dyDescent="0.55000000000000004">
      <c r="W38178"/>
    </row>
    <row r="38179" spans="23:23" x14ac:dyDescent="0.55000000000000004">
      <c r="W38179"/>
    </row>
    <row r="38180" spans="23:23" x14ac:dyDescent="0.55000000000000004">
      <c r="W38180"/>
    </row>
    <row r="38181" spans="23:23" x14ac:dyDescent="0.55000000000000004">
      <c r="W38181"/>
    </row>
    <row r="38182" spans="23:23" x14ac:dyDescent="0.55000000000000004">
      <c r="W38182"/>
    </row>
    <row r="38183" spans="23:23" x14ac:dyDescent="0.55000000000000004">
      <c r="W38183"/>
    </row>
    <row r="38184" spans="23:23" x14ac:dyDescent="0.55000000000000004">
      <c r="W38184"/>
    </row>
    <row r="38185" spans="23:23" x14ac:dyDescent="0.55000000000000004">
      <c r="W38185"/>
    </row>
    <row r="38186" spans="23:23" x14ac:dyDescent="0.55000000000000004">
      <c r="W38186"/>
    </row>
    <row r="38187" spans="23:23" x14ac:dyDescent="0.55000000000000004">
      <c r="W38187"/>
    </row>
    <row r="38188" spans="23:23" x14ac:dyDescent="0.55000000000000004">
      <c r="W38188"/>
    </row>
    <row r="38189" spans="23:23" x14ac:dyDescent="0.55000000000000004">
      <c r="W38189"/>
    </row>
    <row r="38190" spans="23:23" x14ac:dyDescent="0.55000000000000004">
      <c r="W38190"/>
    </row>
    <row r="38191" spans="23:23" x14ac:dyDescent="0.55000000000000004">
      <c r="W38191"/>
    </row>
    <row r="38192" spans="23:23" x14ac:dyDescent="0.55000000000000004">
      <c r="W38192"/>
    </row>
    <row r="38193" spans="23:23" x14ac:dyDescent="0.55000000000000004">
      <c r="W38193"/>
    </row>
    <row r="38194" spans="23:23" x14ac:dyDescent="0.55000000000000004">
      <c r="W38194"/>
    </row>
    <row r="38195" spans="23:23" x14ac:dyDescent="0.55000000000000004">
      <c r="W38195"/>
    </row>
    <row r="38196" spans="23:23" x14ac:dyDescent="0.55000000000000004">
      <c r="W38196"/>
    </row>
    <row r="38197" spans="23:23" x14ac:dyDescent="0.55000000000000004">
      <c r="W38197"/>
    </row>
    <row r="38198" spans="23:23" x14ac:dyDescent="0.55000000000000004">
      <c r="W38198"/>
    </row>
    <row r="38199" spans="23:23" x14ac:dyDescent="0.55000000000000004">
      <c r="W38199"/>
    </row>
    <row r="38200" spans="23:23" x14ac:dyDescent="0.55000000000000004">
      <c r="W38200"/>
    </row>
    <row r="38201" spans="23:23" x14ac:dyDescent="0.55000000000000004">
      <c r="W38201"/>
    </row>
    <row r="38202" spans="23:23" x14ac:dyDescent="0.55000000000000004">
      <c r="W38202"/>
    </row>
    <row r="38203" spans="23:23" x14ac:dyDescent="0.55000000000000004">
      <c r="W38203"/>
    </row>
    <row r="38204" spans="23:23" x14ac:dyDescent="0.55000000000000004">
      <c r="W38204"/>
    </row>
    <row r="38205" spans="23:23" x14ac:dyDescent="0.55000000000000004">
      <c r="W38205"/>
    </row>
    <row r="38206" spans="23:23" x14ac:dyDescent="0.55000000000000004">
      <c r="W38206"/>
    </row>
    <row r="38207" spans="23:23" x14ac:dyDescent="0.55000000000000004">
      <c r="W38207"/>
    </row>
    <row r="38208" spans="23:23" x14ac:dyDescent="0.55000000000000004">
      <c r="W38208"/>
    </row>
    <row r="38209" spans="23:23" x14ac:dyDescent="0.55000000000000004">
      <c r="W38209"/>
    </row>
    <row r="38210" spans="23:23" x14ac:dyDescent="0.55000000000000004">
      <c r="W38210"/>
    </row>
    <row r="38211" spans="23:23" x14ac:dyDescent="0.55000000000000004">
      <c r="W38211"/>
    </row>
    <row r="38212" spans="23:23" x14ac:dyDescent="0.55000000000000004">
      <c r="W38212"/>
    </row>
    <row r="38213" spans="23:23" x14ac:dyDescent="0.55000000000000004">
      <c r="W38213"/>
    </row>
    <row r="38214" spans="23:23" x14ac:dyDescent="0.55000000000000004">
      <c r="W38214"/>
    </row>
    <row r="38215" spans="23:23" x14ac:dyDescent="0.55000000000000004">
      <c r="W38215"/>
    </row>
    <row r="38216" spans="23:23" x14ac:dyDescent="0.55000000000000004">
      <c r="W38216"/>
    </row>
    <row r="38217" spans="23:23" x14ac:dyDescent="0.55000000000000004">
      <c r="W38217"/>
    </row>
    <row r="38218" spans="23:23" x14ac:dyDescent="0.55000000000000004">
      <c r="W38218"/>
    </row>
    <row r="38219" spans="23:23" x14ac:dyDescent="0.55000000000000004">
      <c r="W38219"/>
    </row>
    <row r="38220" spans="23:23" x14ac:dyDescent="0.55000000000000004">
      <c r="W38220"/>
    </row>
    <row r="38221" spans="23:23" x14ac:dyDescent="0.55000000000000004">
      <c r="W38221"/>
    </row>
    <row r="38222" spans="23:23" x14ac:dyDescent="0.55000000000000004">
      <c r="W38222"/>
    </row>
    <row r="38223" spans="23:23" x14ac:dyDescent="0.55000000000000004">
      <c r="W38223"/>
    </row>
    <row r="38224" spans="23:23" x14ac:dyDescent="0.55000000000000004">
      <c r="W38224"/>
    </row>
    <row r="38225" spans="23:23" x14ac:dyDescent="0.55000000000000004">
      <c r="W38225"/>
    </row>
    <row r="38226" spans="23:23" x14ac:dyDescent="0.55000000000000004">
      <c r="W38226"/>
    </row>
    <row r="38227" spans="23:23" x14ac:dyDescent="0.55000000000000004">
      <c r="W38227"/>
    </row>
    <row r="38228" spans="23:23" x14ac:dyDescent="0.55000000000000004">
      <c r="W38228"/>
    </row>
    <row r="38229" spans="23:23" x14ac:dyDescent="0.55000000000000004">
      <c r="W38229"/>
    </row>
    <row r="38230" spans="23:23" x14ac:dyDescent="0.55000000000000004">
      <c r="W38230"/>
    </row>
    <row r="38231" spans="23:23" x14ac:dyDescent="0.55000000000000004">
      <c r="W38231"/>
    </row>
    <row r="38232" spans="23:23" x14ac:dyDescent="0.55000000000000004">
      <c r="W38232"/>
    </row>
    <row r="38233" spans="23:23" x14ac:dyDescent="0.55000000000000004">
      <c r="W38233"/>
    </row>
    <row r="38234" spans="23:23" x14ac:dyDescent="0.55000000000000004">
      <c r="W38234"/>
    </row>
    <row r="38235" spans="23:23" x14ac:dyDescent="0.55000000000000004">
      <c r="W38235"/>
    </row>
    <row r="38236" spans="23:23" x14ac:dyDescent="0.55000000000000004">
      <c r="W38236"/>
    </row>
    <row r="38237" spans="23:23" x14ac:dyDescent="0.55000000000000004">
      <c r="W38237"/>
    </row>
    <row r="38238" spans="23:23" x14ac:dyDescent="0.55000000000000004">
      <c r="W38238"/>
    </row>
    <row r="38239" spans="23:23" x14ac:dyDescent="0.55000000000000004">
      <c r="W38239"/>
    </row>
    <row r="38240" spans="23:23" x14ac:dyDescent="0.55000000000000004">
      <c r="W38240"/>
    </row>
    <row r="38241" spans="23:23" x14ac:dyDescent="0.55000000000000004">
      <c r="W38241"/>
    </row>
    <row r="38242" spans="23:23" x14ac:dyDescent="0.55000000000000004">
      <c r="W38242"/>
    </row>
    <row r="38243" spans="23:23" x14ac:dyDescent="0.55000000000000004">
      <c r="W38243"/>
    </row>
    <row r="38244" spans="23:23" x14ac:dyDescent="0.55000000000000004">
      <c r="W38244"/>
    </row>
    <row r="38245" spans="23:23" x14ac:dyDescent="0.55000000000000004">
      <c r="W38245"/>
    </row>
    <row r="38246" spans="23:23" x14ac:dyDescent="0.55000000000000004">
      <c r="W38246"/>
    </row>
    <row r="38247" spans="23:23" x14ac:dyDescent="0.55000000000000004">
      <c r="W38247"/>
    </row>
    <row r="38248" spans="23:23" x14ac:dyDescent="0.55000000000000004">
      <c r="W38248"/>
    </row>
    <row r="38249" spans="23:23" x14ac:dyDescent="0.55000000000000004">
      <c r="W38249"/>
    </row>
    <row r="38250" spans="23:23" x14ac:dyDescent="0.55000000000000004">
      <c r="W38250"/>
    </row>
    <row r="38251" spans="23:23" x14ac:dyDescent="0.55000000000000004">
      <c r="W38251"/>
    </row>
    <row r="38252" spans="23:23" x14ac:dyDescent="0.55000000000000004">
      <c r="W38252"/>
    </row>
    <row r="38253" spans="23:23" x14ac:dyDescent="0.55000000000000004">
      <c r="W38253"/>
    </row>
    <row r="38254" spans="23:23" x14ac:dyDescent="0.55000000000000004">
      <c r="W38254"/>
    </row>
    <row r="38255" spans="23:23" x14ac:dyDescent="0.55000000000000004">
      <c r="W38255"/>
    </row>
    <row r="38256" spans="23:23" x14ac:dyDescent="0.55000000000000004">
      <c r="W38256"/>
    </row>
    <row r="38257" spans="23:23" x14ac:dyDescent="0.55000000000000004">
      <c r="W38257"/>
    </row>
    <row r="38258" spans="23:23" x14ac:dyDescent="0.55000000000000004">
      <c r="W38258"/>
    </row>
    <row r="38259" spans="23:23" x14ac:dyDescent="0.55000000000000004">
      <c r="W38259"/>
    </row>
    <row r="38260" spans="23:23" x14ac:dyDescent="0.55000000000000004">
      <c r="W38260"/>
    </row>
    <row r="38261" spans="23:23" x14ac:dyDescent="0.55000000000000004">
      <c r="W38261"/>
    </row>
    <row r="38262" spans="23:23" x14ac:dyDescent="0.55000000000000004">
      <c r="W38262"/>
    </row>
    <row r="38263" spans="23:23" x14ac:dyDescent="0.55000000000000004">
      <c r="W38263"/>
    </row>
    <row r="38264" spans="23:23" x14ac:dyDescent="0.55000000000000004">
      <c r="W38264"/>
    </row>
    <row r="38265" spans="23:23" x14ac:dyDescent="0.55000000000000004">
      <c r="W38265"/>
    </row>
    <row r="38266" spans="23:23" x14ac:dyDescent="0.55000000000000004">
      <c r="W38266"/>
    </row>
    <row r="38267" spans="23:23" x14ac:dyDescent="0.55000000000000004">
      <c r="W38267"/>
    </row>
    <row r="38268" spans="23:23" x14ac:dyDescent="0.55000000000000004">
      <c r="W38268"/>
    </row>
    <row r="38269" spans="23:23" x14ac:dyDescent="0.55000000000000004">
      <c r="W38269"/>
    </row>
    <row r="38270" spans="23:23" x14ac:dyDescent="0.55000000000000004">
      <c r="W38270"/>
    </row>
    <row r="38271" spans="23:23" x14ac:dyDescent="0.55000000000000004">
      <c r="W38271"/>
    </row>
    <row r="38272" spans="23:23" x14ac:dyDescent="0.55000000000000004">
      <c r="W38272"/>
    </row>
    <row r="38273" spans="23:23" x14ac:dyDescent="0.55000000000000004">
      <c r="W38273"/>
    </row>
    <row r="38274" spans="23:23" x14ac:dyDescent="0.55000000000000004">
      <c r="W38274"/>
    </row>
    <row r="38275" spans="23:23" x14ac:dyDescent="0.55000000000000004">
      <c r="W38275"/>
    </row>
    <row r="38276" spans="23:23" x14ac:dyDescent="0.55000000000000004">
      <c r="W38276"/>
    </row>
    <row r="38277" spans="23:23" x14ac:dyDescent="0.55000000000000004">
      <c r="W38277"/>
    </row>
    <row r="38278" spans="23:23" x14ac:dyDescent="0.55000000000000004">
      <c r="W38278"/>
    </row>
    <row r="38279" spans="23:23" x14ac:dyDescent="0.55000000000000004">
      <c r="W38279"/>
    </row>
    <row r="38280" spans="23:23" x14ac:dyDescent="0.55000000000000004">
      <c r="W38280"/>
    </row>
    <row r="38281" spans="23:23" x14ac:dyDescent="0.55000000000000004">
      <c r="W38281"/>
    </row>
    <row r="38282" spans="23:23" x14ac:dyDescent="0.55000000000000004">
      <c r="W38282"/>
    </row>
    <row r="38283" spans="23:23" x14ac:dyDescent="0.55000000000000004">
      <c r="W38283"/>
    </row>
    <row r="38284" spans="23:23" x14ac:dyDescent="0.55000000000000004">
      <c r="W38284"/>
    </row>
    <row r="38285" spans="23:23" x14ac:dyDescent="0.55000000000000004">
      <c r="W38285"/>
    </row>
    <row r="38286" spans="23:23" x14ac:dyDescent="0.55000000000000004">
      <c r="W38286"/>
    </row>
    <row r="38287" spans="23:23" x14ac:dyDescent="0.55000000000000004">
      <c r="W38287"/>
    </row>
    <row r="38288" spans="23:23" x14ac:dyDescent="0.55000000000000004">
      <c r="W38288"/>
    </row>
    <row r="38289" spans="23:23" x14ac:dyDescent="0.55000000000000004">
      <c r="W38289"/>
    </row>
    <row r="38290" spans="23:23" x14ac:dyDescent="0.55000000000000004">
      <c r="W38290"/>
    </row>
    <row r="38291" spans="23:23" x14ac:dyDescent="0.55000000000000004">
      <c r="W38291"/>
    </row>
    <row r="38292" spans="23:23" x14ac:dyDescent="0.55000000000000004">
      <c r="W38292"/>
    </row>
    <row r="38293" spans="23:23" x14ac:dyDescent="0.55000000000000004">
      <c r="W38293"/>
    </row>
    <row r="38294" spans="23:23" x14ac:dyDescent="0.55000000000000004">
      <c r="W38294"/>
    </row>
    <row r="38295" spans="23:23" x14ac:dyDescent="0.55000000000000004">
      <c r="W38295"/>
    </row>
    <row r="38296" spans="23:23" x14ac:dyDescent="0.55000000000000004">
      <c r="W38296"/>
    </row>
    <row r="38297" spans="23:23" x14ac:dyDescent="0.55000000000000004">
      <c r="W38297"/>
    </row>
    <row r="38298" spans="23:23" x14ac:dyDescent="0.55000000000000004">
      <c r="W38298"/>
    </row>
    <row r="38299" spans="23:23" x14ac:dyDescent="0.55000000000000004">
      <c r="W38299"/>
    </row>
    <row r="38300" spans="23:23" x14ac:dyDescent="0.55000000000000004">
      <c r="W38300"/>
    </row>
    <row r="38301" spans="23:23" x14ac:dyDescent="0.55000000000000004">
      <c r="W38301"/>
    </row>
    <row r="38302" spans="23:23" x14ac:dyDescent="0.55000000000000004">
      <c r="W38302"/>
    </row>
    <row r="38303" spans="23:23" x14ac:dyDescent="0.55000000000000004">
      <c r="W38303"/>
    </row>
    <row r="38304" spans="23:23" x14ac:dyDescent="0.55000000000000004">
      <c r="W38304"/>
    </row>
    <row r="38305" spans="23:23" x14ac:dyDescent="0.55000000000000004">
      <c r="W38305"/>
    </row>
    <row r="38306" spans="23:23" x14ac:dyDescent="0.55000000000000004">
      <c r="W38306"/>
    </row>
    <row r="38307" spans="23:23" x14ac:dyDescent="0.55000000000000004">
      <c r="W38307"/>
    </row>
    <row r="38308" spans="23:23" x14ac:dyDescent="0.55000000000000004">
      <c r="W38308"/>
    </row>
    <row r="38309" spans="23:23" x14ac:dyDescent="0.55000000000000004">
      <c r="W38309"/>
    </row>
    <row r="38310" spans="23:23" x14ac:dyDescent="0.55000000000000004">
      <c r="W38310"/>
    </row>
    <row r="38311" spans="23:23" x14ac:dyDescent="0.55000000000000004">
      <c r="W38311"/>
    </row>
    <row r="38312" spans="23:23" x14ac:dyDescent="0.55000000000000004">
      <c r="W38312"/>
    </row>
    <row r="38313" spans="23:23" x14ac:dyDescent="0.55000000000000004">
      <c r="W38313"/>
    </row>
    <row r="38314" spans="23:23" x14ac:dyDescent="0.55000000000000004">
      <c r="W38314"/>
    </row>
    <row r="38315" spans="23:23" x14ac:dyDescent="0.55000000000000004">
      <c r="W38315"/>
    </row>
    <row r="38316" spans="23:23" x14ac:dyDescent="0.55000000000000004">
      <c r="W38316"/>
    </row>
    <row r="38317" spans="23:23" x14ac:dyDescent="0.55000000000000004">
      <c r="W38317"/>
    </row>
    <row r="38318" spans="23:23" x14ac:dyDescent="0.55000000000000004">
      <c r="W38318"/>
    </row>
    <row r="38319" spans="23:23" x14ac:dyDescent="0.55000000000000004">
      <c r="W38319"/>
    </row>
    <row r="38320" spans="23:23" x14ac:dyDescent="0.55000000000000004">
      <c r="W38320"/>
    </row>
    <row r="38321" spans="23:23" x14ac:dyDescent="0.55000000000000004">
      <c r="W38321"/>
    </row>
    <row r="38322" spans="23:23" x14ac:dyDescent="0.55000000000000004">
      <c r="W38322"/>
    </row>
    <row r="38323" spans="23:23" x14ac:dyDescent="0.55000000000000004">
      <c r="W38323"/>
    </row>
    <row r="38324" spans="23:23" x14ac:dyDescent="0.55000000000000004">
      <c r="W38324"/>
    </row>
    <row r="38325" spans="23:23" x14ac:dyDescent="0.55000000000000004">
      <c r="W38325"/>
    </row>
    <row r="38326" spans="23:23" x14ac:dyDescent="0.55000000000000004">
      <c r="W38326"/>
    </row>
    <row r="38327" spans="23:23" x14ac:dyDescent="0.55000000000000004">
      <c r="W38327"/>
    </row>
    <row r="38328" spans="23:23" x14ac:dyDescent="0.55000000000000004">
      <c r="W38328"/>
    </row>
    <row r="38329" spans="23:23" x14ac:dyDescent="0.55000000000000004">
      <c r="W38329"/>
    </row>
    <row r="38330" spans="23:23" x14ac:dyDescent="0.55000000000000004">
      <c r="W38330"/>
    </row>
    <row r="38331" spans="23:23" x14ac:dyDescent="0.55000000000000004">
      <c r="W38331"/>
    </row>
    <row r="38332" spans="23:23" x14ac:dyDescent="0.55000000000000004">
      <c r="W38332"/>
    </row>
    <row r="38333" spans="23:23" x14ac:dyDescent="0.55000000000000004">
      <c r="W38333"/>
    </row>
    <row r="38334" spans="23:23" x14ac:dyDescent="0.55000000000000004">
      <c r="W38334"/>
    </row>
    <row r="38335" spans="23:23" x14ac:dyDescent="0.55000000000000004">
      <c r="W38335"/>
    </row>
    <row r="38336" spans="23:23" x14ac:dyDescent="0.55000000000000004">
      <c r="W38336"/>
    </row>
    <row r="38337" spans="23:23" x14ac:dyDescent="0.55000000000000004">
      <c r="W38337"/>
    </row>
    <row r="38338" spans="23:23" x14ac:dyDescent="0.55000000000000004">
      <c r="W38338"/>
    </row>
    <row r="38339" spans="23:23" x14ac:dyDescent="0.55000000000000004">
      <c r="W38339"/>
    </row>
    <row r="38340" spans="23:23" x14ac:dyDescent="0.55000000000000004">
      <c r="W38340"/>
    </row>
    <row r="38341" spans="23:23" x14ac:dyDescent="0.55000000000000004">
      <c r="W38341"/>
    </row>
    <row r="38342" spans="23:23" x14ac:dyDescent="0.55000000000000004">
      <c r="W38342"/>
    </row>
    <row r="38343" spans="23:23" x14ac:dyDescent="0.55000000000000004">
      <c r="W38343"/>
    </row>
    <row r="38344" spans="23:23" x14ac:dyDescent="0.55000000000000004">
      <c r="W38344"/>
    </row>
    <row r="38345" spans="23:23" x14ac:dyDescent="0.55000000000000004">
      <c r="W38345"/>
    </row>
    <row r="38346" spans="23:23" x14ac:dyDescent="0.55000000000000004">
      <c r="W38346"/>
    </row>
    <row r="38347" spans="23:23" x14ac:dyDescent="0.55000000000000004">
      <c r="W38347"/>
    </row>
    <row r="38348" spans="23:23" x14ac:dyDescent="0.55000000000000004">
      <c r="W38348"/>
    </row>
    <row r="38349" spans="23:23" x14ac:dyDescent="0.55000000000000004">
      <c r="W38349"/>
    </row>
    <row r="38350" spans="23:23" x14ac:dyDescent="0.55000000000000004">
      <c r="W38350"/>
    </row>
    <row r="38351" spans="23:23" x14ac:dyDescent="0.55000000000000004">
      <c r="W38351"/>
    </row>
    <row r="38352" spans="23:23" x14ac:dyDescent="0.55000000000000004">
      <c r="W38352"/>
    </row>
    <row r="38353" spans="23:23" x14ac:dyDescent="0.55000000000000004">
      <c r="W38353"/>
    </row>
    <row r="38354" spans="23:23" x14ac:dyDescent="0.55000000000000004">
      <c r="W38354"/>
    </row>
    <row r="38355" spans="23:23" x14ac:dyDescent="0.55000000000000004">
      <c r="W38355"/>
    </row>
    <row r="38356" spans="23:23" x14ac:dyDescent="0.55000000000000004">
      <c r="W38356"/>
    </row>
    <row r="38357" spans="23:23" x14ac:dyDescent="0.55000000000000004">
      <c r="W38357"/>
    </row>
    <row r="38358" spans="23:23" x14ac:dyDescent="0.55000000000000004">
      <c r="W38358"/>
    </row>
    <row r="38359" spans="23:23" x14ac:dyDescent="0.55000000000000004">
      <c r="W38359"/>
    </row>
    <row r="38360" spans="23:23" x14ac:dyDescent="0.55000000000000004">
      <c r="W38360"/>
    </row>
    <row r="38361" spans="23:23" x14ac:dyDescent="0.55000000000000004">
      <c r="W38361"/>
    </row>
    <row r="38362" spans="23:23" x14ac:dyDescent="0.55000000000000004">
      <c r="W38362"/>
    </row>
    <row r="38363" spans="23:23" x14ac:dyDescent="0.55000000000000004">
      <c r="W38363"/>
    </row>
    <row r="38364" spans="23:23" x14ac:dyDescent="0.55000000000000004">
      <c r="W38364"/>
    </row>
    <row r="38365" spans="23:23" x14ac:dyDescent="0.55000000000000004">
      <c r="W38365"/>
    </row>
    <row r="38366" spans="23:23" x14ac:dyDescent="0.55000000000000004">
      <c r="W38366"/>
    </row>
    <row r="38367" spans="23:23" x14ac:dyDescent="0.55000000000000004">
      <c r="W38367"/>
    </row>
    <row r="38368" spans="23:23" x14ac:dyDescent="0.55000000000000004">
      <c r="W38368"/>
    </row>
    <row r="38369" spans="23:23" x14ac:dyDescent="0.55000000000000004">
      <c r="W38369"/>
    </row>
    <row r="38370" spans="23:23" x14ac:dyDescent="0.55000000000000004">
      <c r="W38370"/>
    </row>
    <row r="38371" spans="23:23" x14ac:dyDescent="0.55000000000000004">
      <c r="W38371"/>
    </row>
    <row r="38372" spans="23:23" x14ac:dyDescent="0.55000000000000004">
      <c r="W38372"/>
    </row>
    <row r="38373" spans="23:23" x14ac:dyDescent="0.55000000000000004">
      <c r="W38373"/>
    </row>
    <row r="38374" spans="23:23" x14ac:dyDescent="0.55000000000000004">
      <c r="W38374"/>
    </row>
    <row r="38375" spans="23:23" x14ac:dyDescent="0.55000000000000004">
      <c r="W38375"/>
    </row>
    <row r="38376" spans="23:23" x14ac:dyDescent="0.55000000000000004">
      <c r="W38376"/>
    </row>
    <row r="38377" spans="23:23" x14ac:dyDescent="0.55000000000000004">
      <c r="W38377"/>
    </row>
    <row r="38378" spans="23:23" x14ac:dyDescent="0.55000000000000004">
      <c r="W38378"/>
    </row>
    <row r="38379" spans="23:23" x14ac:dyDescent="0.55000000000000004">
      <c r="W38379"/>
    </row>
    <row r="38380" spans="23:23" x14ac:dyDescent="0.55000000000000004">
      <c r="W38380"/>
    </row>
    <row r="38381" spans="23:23" x14ac:dyDescent="0.55000000000000004">
      <c r="W38381"/>
    </row>
    <row r="38382" spans="23:23" x14ac:dyDescent="0.55000000000000004">
      <c r="W38382"/>
    </row>
    <row r="38383" spans="23:23" x14ac:dyDescent="0.55000000000000004">
      <c r="W38383"/>
    </row>
    <row r="38384" spans="23:23" x14ac:dyDescent="0.55000000000000004">
      <c r="W38384"/>
    </row>
    <row r="38385" spans="23:23" x14ac:dyDescent="0.55000000000000004">
      <c r="W38385"/>
    </row>
    <row r="38386" spans="23:23" x14ac:dyDescent="0.55000000000000004">
      <c r="W38386"/>
    </row>
    <row r="38387" spans="23:23" x14ac:dyDescent="0.55000000000000004">
      <c r="W38387"/>
    </row>
    <row r="38388" spans="23:23" x14ac:dyDescent="0.55000000000000004">
      <c r="W38388"/>
    </row>
    <row r="38389" spans="23:23" x14ac:dyDescent="0.55000000000000004">
      <c r="W38389"/>
    </row>
    <row r="38390" spans="23:23" x14ac:dyDescent="0.55000000000000004">
      <c r="W38390"/>
    </row>
    <row r="38391" spans="23:23" x14ac:dyDescent="0.55000000000000004">
      <c r="W38391"/>
    </row>
    <row r="38392" spans="23:23" x14ac:dyDescent="0.55000000000000004">
      <c r="W38392"/>
    </row>
    <row r="38393" spans="23:23" x14ac:dyDescent="0.55000000000000004">
      <c r="W38393"/>
    </row>
    <row r="38394" spans="23:23" x14ac:dyDescent="0.55000000000000004">
      <c r="W38394"/>
    </row>
    <row r="38395" spans="23:23" x14ac:dyDescent="0.55000000000000004">
      <c r="W38395"/>
    </row>
    <row r="38396" spans="23:23" x14ac:dyDescent="0.55000000000000004">
      <c r="W38396"/>
    </row>
    <row r="38397" spans="23:23" x14ac:dyDescent="0.55000000000000004">
      <c r="W38397"/>
    </row>
    <row r="38398" spans="23:23" x14ac:dyDescent="0.55000000000000004">
      <c r="W38398"/>
    </row>
    <row r="38399" spans="23:23" x14ac:dyDescent="0.55000000000000004">
      <c r="W38399"/>
    </row>
    <row r="38400" spans="23:23" x14ac:dyDescent="0.55000000000000004">
      <c r="W38400"/>
    </row>
    <row r="38401" spans="23:23" x14ac:dyDescent="0.55000000000000004">
      <c r="W38401"/>
    </row>
    <row r="38402" spans="23:23" x14ac:dyDescent="0.55000000000000004">
      <c r="W38402"/>
    </row>
    <row r="38403" spans="23:23" x14ac:dyDescent="0.55000000000000004">
      <c r="W38403"/>
    </row>
    <row r="38404" spans="23:23" x14ac:dyDescent="0.55000000000000004">
      <c r="W38404"/>
    </row>
    <row r="38405" spans="23:23" x14ac:dyDescent="0.55000000000000004">
      <c r="W38405"/>
    </row>
    <row r="38406" spans="23:23" x14ac:dyDescent="0.55000000000000004">
      <c r="W38406"/>
    </row>
    <row r="38407" spans="23:23" x14ac:dyDescent="0.55000000000000004">
      <c r="W38407"/>
    </row>
    <row r="38408" spans="23:23" x14ac:dyDescent="0.55000000000000004">
      <c r="W38408"/>
    </row>
    <row r="38409" spans="23:23" x14ac:dyDescent="0.55000000000000004">
      <c r="W38409"/>
    </row>
    <row r="38410" spans="23:23" x14ac:dyDescent="0.55000000000000004">
      <c r="W38410"/>
    </row>
    <row r="38411" spans="23:23" x14ac:dyDescent="0.55000000000000004">
      <c r="W38411"/>
    </row>
    <row r="38412" spans="23:23" x14ac:dyDescent="0.55000000000000004">
      <c r="W38412"/>
    </row>
    <row r="38413" spans="23:23" x14ac:dyDescent="0.55000000000000004">
      <c r="W38413"/>
    </row>
    <row r="38414" spans="23:23" x14ac:dyDescent="0.55000000000000004">
      <c r="W38414"/>
    </row>
    <row r="38415" spans="23:23" x14ac:dyDescent="0.55000000000000004">
      <c r="W38415"/>
    </row>
    <row r="38416" spans="23:23" x14ac:dyDescent="0.55000000000000004">
      <c r="W38416"/>
    </row>
    <row r="38417" spans="23:23" x14ac:dyDescent="0.55000000000000004">
      <c r="W38417"/>
    </row>
    <row r="38418" spans="23:23" x14ac:dyDescent="0.55000000000000004">
      <c r="W38418"/>
    </row>
    <row r="38419" spans="23:23" x14ac:dyDescent="0.55000000000000004">
      <c r="W38419"/>
    </row>
    <row r="38420" spans="23:23" x14ac:dyDescent="0.55000000000000004">
      <c r="W38420"/>
    </row>
    <row r="38421" spans="23:23" x14ac:dyDescent="0.55000000000000004">
      <c r="W38421"/>
    </row>
    <row r="38422" spans="23:23" x14ac:dyDescent="0.55000000000000004">
      <c r="W38422"/>
    </row>
    <row r="38423" spans="23:23" x14ac:dyDescent="0.55000000000000004">
      <c r="W38423"/>
    </row>
    <row r="38424" spans="23:23" x14ac:dyDescent="0.55000000000000004">
      <c r="W38424"/>
    </row>
    <row r="38425" spans="23:23" x14ac:dyDescent="0.55000000000000004">
      <c r="W38425"/>
    </row>
    <row r="38426" spans="23:23" x14ac:dyDescent="0.55000000000000004">
      <c r="W38426"/>
    </row>
    <row r="38427" spans="23:23" x14ac:dyDescent="0.55000000000000004">
      <c r="W38427"/>
    </row>
    <row r="38428" spans="23:23" x14ac:dyDescent="0.55000000000000004">
      <c r="W38428"/>
    </row>
    <row r="38429" spans="23:23" x14ac:dyDescent="0.55000000000000004">
      <c r="W38429"/>
    </row>
    <row r="38430" spans="23:23" x14ac:dyDescent="0.55000000000000004">
      <c r="W38430"/>
    </row>
    <row r="38431" spans="23:23" x14ac:dyDescent="0.55000000000000004">
      <c r="W38431"/>
    </row>
    <row r="38432" spans="23:23" x14ac:dyDescent="0.55000000000000004">
      <c r="W38432"/>
    </row>
    <row r="38433" spans="23:23" x14ac:dyDescent="0.55000000000000004">
      <c r="W38433"/>
    </row>
    <row r="38434" spans="23:23" x14ac:dyDescent="0.55000000000000004">
      <c r="W38434"/>
    </row>
    <row r="38435" spans="23:23" x14ac:dyDescent="0.55000000000000004">
      <c r="W38435"/>
    </row>
    <row r="38436" spans="23:23" x14ac:dyDescent="0.55000000000000004">
      <c r="W38436"/>
    </row>
    <row r="38437" spans="23:23" x14ac:dyDescent="0.55000000000000004">
      <c r="W38437"/>
    </row>
    <row r="38438" spans="23:23" x14ac:dyDescent="0.55000000000000004">
      <c r="W38438"/>
    </row>
    <row r="38439" spans="23:23" x14ac:dyDescent="0.55000000000000004">
      <c r="W38439"/>
    </row>
    <row r="38440" spans="23:23" x14ac:dyDescent="0.55000000000000004">
      <c r="W38440"/>
    </row>
    <row r="38441" spans="23:23" x14ac:dyDescent="0.55000000000000004">
      <c r="W38441"/>
    </row>
    <row r="38442" spans="23:23" x14ac:dyDescent="0.55000000000000004">
      <c r="W38442"/>
    </row>
    <row r="38443" spans="23:23" x14ac:dyDescent="0.55000000000000004">
      <c r="W38443"/>
    </row>
    <row r="38444" spans="23:23" x14ac:dyDescent="0.55000000000000004">
      <c r="W38444"/>
    </row>
    <row r="38445" spans="23:23" x14ac:dyDescent="0.55000000000000004">
      <c r="W38445"/>
    </row>
    <row r="38446" spans="23:23" x14ac:dyDescent="0.55000000000000004">
      <c r="W38446"/>
    </row>
    <row r="38447" spans="23:23" x14ac:dyDescent="0.55000000000000004">
      <c r="W38447"/>
    </row>
    <row r="38448" spans="23:23" x14ac:dyDescent="0.55000000000000004">
      <c r="W38448"/>
    </row>
    <row r="38449" spans="23:23" x14ac:dyDescent="0.55000000000000004">
      <c r="W38449"/>
    </row>
    <row r="38450" spans="23:23" x14ac:dyDescent="0.55000000000000004">
      <c r="W38450"/>
    </row>
    <row r="38451" spans="23:23" x14ac:dyDescent="0.55000000000000004">
      <c r="W38451"/>
    </row>
    <row r="38452" spans="23:23" x14ac:dyDescent="0.55000000000000004">
      <c r="W38452"/>
    </row>
    <row r="38453" spans="23:23" x14ac:dyDescent="0.55000000000000004">
      <c r="W38453"/>
    </row>
    <row r="38454" spans="23:23" x14ac:dyDescent="0.55000000000000004">
      <c r="W38454"/>
    </row>
    <row r="38455" spans="23:23" x14ac:dyDescent="0.55000000000000004">
      <c r="W38455"/>
    </row>
    <row r="38456" spans="23:23" x14ac:dyDescent="0.55000000000000004">
      <c r="W38456"/>
    </row>
    <row r="38457" spans="23:23" x14ac:dyDescent="0.55000000000000004">
      <c r="W38457"/>
    </row>
    <row r="38458" spans="23:23" x14ac:dyDescent="0.55000000000000004">
      <c r="W38458"/>
    </row>
    <row r="38459" spans="23:23" x14ac:dyDescent="0.55000000000000004">
      <c r="W38459"/>
    </row>
    <row r="38460" spans="23:23" x14ac:dyDescent="0.55000000000000004">
      <c r="W38460"/>
    </row>
    <row r="38461" spans="23:23" x14ac:dyDescent="0.55000000000000004">
      <c r="W38461"/>
    </row>
    <row r="38462" spans="23:23" x14ac:dyDescent="0.55000000000000004">
      <c r="W38462"/>
    </row>
    <row r="38463" spans="23:23" x14ac:dyDescent="0.55000000000000004">
      <c r="W38463"/>
    </row>
    <row r="38464" spans="23:23" x14ac:dyDescent="0.55000000000000004">
      <c r="W38464"/>
    </row>
    <row r="38465" spans="23:23" x14ac:dyDescent="0.55000000000000004">
      <c r="W38465"/>
    </row>
    <row r="38466" spans="23:23" x14ac:dyDescent="0.55000000000000004">
      <c r="W38466"/>
    </row>
    <row r="38467" spans="23:23" x14ac:dyDescent="0.55000000000000004">
      <c r="W38467"/>
    </row>
    <row r="38468" spans="23:23" x14ac:dyDescent="0.55000000000000004">
      <c r="W38468"/>
    </row>
    <row r="38469" spans="23:23" x14ac:dyDescent="0.55000000000000004">
      <c r="W38469"/>
    </row>
    <row r="38470" spans="23:23" x14ac:dyDescent="0.55000000000000004">
      <c r="W38470"/>
    </row>
    <row r="38471" spans="23:23" x14ac:dyDescent="0.55000000000000004">
      <c r="W38471"/>
    </row>
    <row r="38472" spans="23:23" x14ac:dyDescent="0.55000000000000004">
      <c r="W38472"/>
    </row>
    <row r="38473" spans="23:23" x14ac:dyDescent="0.55000000000000004">
      <c r="W38473"/>
    </row>
    <row r="38474" spans="23:23" x14ac:dyDescent="0.55000000000000004">
      <c r="W38474"/>
    </row>
    <row r="38475" spans="23:23" x14ac:dyDescent="0.55000000000000004">
      <c r="W38475"/>
    </row>
    <row r="38476" spans="23:23" x14ac:dyDescent="0.55000000000000004">
      <c r="W38476"/>
    </row>
    <row r="38477" spans="23:23" x14ac:dyDescent="0.55000000000000004">
      <c r="W38477"/>
    </row>
    <row r="38478" spans="23:23" x14ac:dyDescent="0.55000000000000004">
      <c r="W38478"/>
    </row>
    <row r="38479" spans="23:23" x14ac:dyDescent="0.55000000000000004">
      <c r="W38479"/>
    </row>
    <row r="38480" spans="23:23" x14ac:dyDescent="0.55000000000000004">
      <c r="W38480"/>
    </row>
    <row r="38481" spans="23:23" x14ac:dyDescent="0.55000000000000004">
      <c r="W38481"/>
    </row>
    <row r="38482" spans="23:23" x14ac:dyDescent="0.55000000000000004">
      <c r="W38482"/>
    </row>
    <row r="38483" spans="23:23" x14ac:dyDescent="0.55000000000000004">
      <c r="W38483"/>
    </row>
    <row r="38484" spans="23:23" x14ac:dyDescent="0.55000000000000004">
      <c r="W38484"/>
    </row>
    <row r="38485" spans="23:23" x14ac:dyDescent="0.55000000000000004">
      <c r="W38485"/>
    </row>
    <row r="38486" spans="23:23" x14ac:dyDescent="0.55000000000000004">
      <c r="W38486"/>
    </row>
    <row r="38487" spans="23:23" x14ac:dyDescent="0.55000000000000004">
      <c r="W38487"/>
    </row>
    <row r="38488" spans="23:23" x14ac:dyDescent="0.55000000000000004">
      <c r="W38488"/>
    </row>
    <row r="38489" spans="23:23" x14ac:dyDescent="0.55000000000000004">
      <c r="W38489"/>
    </row>
    <row r="38490" spans="23:23" x14ac:dyDescent="0.55000000000000004">
      <c r="W38490"/>
    </row>
    <row r="38491" spans="23:23" x14ac:dyDescent="0.55000000000000004">
      <c r="W38491"/>
    </row>
    <row r="38492" spans="23:23" x14ac:dyDescent="0.55000000000000004">
      <c r="W38492"/>
    </row>
    <row r="38493" spans="23:23" x14ac:dyDescent="0.55000000000000004">
      <c r="W38493"/>
    </row>
    <row r="38494" spans="23:23" x14ac:dyDescent="0.55000000000000004">
      <c r="W38494"/>
    </row>
    <row r="38495" spans="23:23" x14ac:dyDescent="0.55000000000000004">
      <c r="W38495"/>
    </row>
    <row r="38496" spans="23:23" x14ac:dyDescent="0.55000000000000004">
      <c r="W38496"/>
    </row>
    <row r="38497" spans="23:23" x14ac:dyDescent="0.55000000000000004">
      <c r="W38497"/>
    </row>
    <row r="38498" spans="23:23" x14ac:dyDescent="0.55000000000000004">
      <c r="W38498"/>
    </row>
    <row r="38499" spans="23:23" x14ac:dyDescent="0.55000000000000004">
      <c r="W38499"/>
    </row>
    <row r="38500" spans="23:23" x14ac:dyDescent="0.55000000000000004">
      <c r="W38500"/>
    </row>
    <row r="38501" spans="23:23" x14ac:dyDescent="0.55000000000000004">
      <c r="W38501"/>
    </row>
    <row r="38502" spans="23:23" x14ac:dyDescent="0.55000000000000004">
      <c r="W38502"/>
    </row>
    <row r="38503" spans="23:23" x14ac:dyDescent="0.55000000000000004">
      <c r="W38503"/>
    </row>
    <row r="38504" spans="23:23" x14ac:dyDescent="0.55000000000000004">
      <c r="W38504"/>
    </row>
    <row r="38505" spans="23:23" x14ac:dyDescent="0.55000000000000004">
      <c r="W38505"/>
    </row>
    <row r="38506" spans="23:23" x14ac:dyDescent="0.55000000000000004">
      <c r="W38506"/>
    </row>
    <row r="38507" spans="23:23" x14ac:dyDescent="0.55000000000000004">
      <c r="W38507"/>
    </row>
    <row r="38508" spans="23:23" x14ac:dyDescent="0.55000000000000004">
      <c r="W38508"/>
    </row>
    <row r="38509" spans="23:23" x14ac:dyDescent="0.55000000000000004">
      <c r="W38509"/>
    </row>
    <row r="38510" spans="23:23" x14ac:dyDescent="0.55000000000000004">
      <c r="W38510"/>
    </row>
    <row r="38511" spans="23:23" x14ac:dyDescent="0.55000000000000004">
      <c r="W38511"/>
    </row>
    <row r="38512" spans="23:23" x14ac:dyDescent="0.55000000000000004">
      <c r="W38512"/>
    </row>
    <row r="38513" spans="23:23" x14ac:dyDescent="0.55000000000000004">
      <c r="W38513"/>
    </row>
    <row r="38514" spans="23:23" x14ac:dyDescent="0.55000000000000004">
      <c r="W38514"/>
    </row>
    <row r="38515" spans="23:23" x14ac:dyDescent="0.55000000000000004">
      <c r="W38515"/>
    </row>
    <row r="38516" spans="23:23" x14ac:dyDescent="0.55000000000000004">
      <c r="W38516"/>
    </row>
    <row r="38517" spans="23:23" x14ac:dyDescent="0.55000000000000004">
      <c r="W38517"/>
    </row>
    <row r="38518" spans="23:23" x14ac:dyDescent="0.55000000000000004">
      <c r="W38518"/>
    </row>
    <row r="38519" spans="23:23" x14ac:dyDescent="0.55000000000000004">
      <c r="W38519"/>
    </row>
    <row r="38520" spans="23:23" x14ac:dyDescent="0.55000000000000004">
      <c r="W38520"/>
    </row>
    <row r="38521" spans="23:23" x14ac:dyDescent="0.55000000000000004">
      <c r="W38521"/>
    </row>
    <row r="38522" spans="23:23" x14ac:dyDescent="0.55000000000000004">
      <c r="W38522"/>
    </row>
    <row r="38523" spans="23:23" x14ac:dyDescent="0.55000000000000004">
      <c r="W38523"/>
    </row>
    <row r="38524" spans="23:23" x14ac:dyDescent="0.55000000000000004">
      <c r="W38524"/>
    </row>
    <row r="38525" spans="23:23" x14ac:dyDescent="0.55000000000000004">
      <c r="W38525"/>
    </row>
    <row r="38526" spans="23:23" x14ac:dyDescent="0.55000000000000004">
      <c r="W38526"/>
    </row>
    <row r="38527" spans="23:23" x14ac:dyDescent="0.55000000000000004">
      <c r="W38527"/>
    </row>
    <row r="38528" spans="23:23" x14ac:dyDescent="0.55000000000000004">
      <c r="W38528"/>
    </row>
    <row r="38529" spans="23:23" x14ac:dyDescent="0.55000000000000004">
      <c r="W38529"/>
    </row>
    <row r="38530" spans="23:23" x14ac:dyDescent="0.55000000000000004">
      <c r="W38530"/>
    </row>
    <row r="38531" spans="23:23" x14ac:dyDescent="0.55000000000000004">
      <c r="W38531"/>
    </row>
    <row r="38532" spans="23:23" x14ac:dyDescent="0.55000000000000004">
      <c r="W38532"/>
    </row>
    <row r="38533" spans="23:23" x14ac:dyDescent="0.55000000000000004">
      <c r="W38533"/>
    </row>
    <row r="38534" spans="23:23" x14ac:dyDescent="0.55000000000000004">
      <c r="W38534"/>
    </row>
    <row r="38535" spans="23:23" x14ac:dyDescent="0.55000000000000004">
      <c r="W38535"/>
    </row>
    <row r="38536" spans="23:23" x14ac:dyDescent="0.55000000000000004">
      <c r="W38536"/>
    </row>
    <row r="38537" spans="23:23" x14ac:dyDescent="0.55000000000000004">
      <c r="W38537"/>
    </row>
    <row r="38538" spans="23:23" x14ac:dyDescent="0.55000000000000004">
      <c r="W38538"/>
    </row>
    <row r="38539" spans="23:23" x14ac:dyDescent="0.55000000000000004">
      <c r="W38539"/>
    </row>
    <row r="38540" spans="23:23" x14ac:dyDescent="0.55000000000000004">
      <c r="W38540"/>
    </row>
    <row r="38541" spans="23:23" x14ac:dyDescent="0.55000000000000004">
      <c r="W38541"/>
    </row>
    <row r="38542" spans="23:23" x14ac:dyDescent="0.55000000000000004">
      <c r="W38542"/>
    </row>
    <row r="38543" spans="23:23" x14ac:dyDescent="0.55000000000000004">
      <c r="W38543"/>
    </row>
    <row r="38544" spans="23:23" x14ac:dyDescent="0.55000000000000004">
      <c r="W38544"/>
    </row>
    <row r="38545" spans="23:23" x14ac:dyDescent="0.55000000000000004">
      <c r="W38545"/>
    </row>
    <row r="38546" spans="23:23" x14ac:dyDescent="0.55000000000000004">
      <c r="W38546"/>
    </row>
    <row r="38547" spans="23:23" x14ac:dyDescent="0.55000000000000004">
      <c r="W38547"/>
    </row>
    <row r="38548" spans="23:23" x14ac:dyDescent="0.55000000000000004">
      <c r="W38548"/>
    </row>
    <row r="38549" spans="23:23" x14ac:dyDescent="0.55000000000000004">
      <c r="W38549"/>
    </row>
    <row r="38550" spans="23:23" x14ac:dyDescent="0.55000000000000004">
      <c r="W38550"/>
    </row>
    <row r="38551" spans="23:23" x14ac:dyDescent="0.55000000000000004">
      <c r="W38551"/>
    </row>
    <row r="38552" spans="23:23" x14ac:dyDescent="0.55000000000000004">
      <c r="W38552"/>
    </row>
    <row r="38553" spans="23:23" x14ac:dyDescent="0.55000000000000004">
      <c r="W38553"/>
    </row>
    <row r="38554" spans="23:23" x14ac:dyDescent="0.55000000000000004">
      <c r="W38554"/>
    </row>
    <row r="38555" spans="23:23" x14ac:dyDescent="0.55000000000000004">
      <c r="W38555"/>
    </row>
    <row r="38556" spans="23:23" x14ac:dyDescent="0.55000000000000004">
      <c r="W38556"/>
    </row>
    <row r="38557" spans="23:23" x14ac:dyDescent="0.55000000000000004">
      <c r="W38557"/>
    </row>
    <row r="38558" spans="23:23" x14ac:dyDescent="0.55000000000000004">
      <c r="W38558"/>
    </row>
    <row r="38559" spans="23:23" x14ac:dyDescent="0.55000000000000004">
      <c r="W38559"/>
    </row>
    <row r="38560" spans="23:23" x14ac:dyDescent="0.55000000000000004">
      <c r="W38560"/>
    </row>
    <row r="38561" spans="23:23" x14ac:dyDescent="0.55000000000000004">
      <c r="W38561"/>
    </row>
    <row r="38562" spans="23:23" x14ac:dyDescent="0.55000000000000004">
      <c r="W38562"/>
    </row>
    <row r="38563" spans="23:23" x14ac:dyDescent="0.55000000000000004">
      <c r="W38563"/>
    </row>
    <row r="38564" spans="23:23" x14ac:dyDescent="0.55000000000000004">
      <c r="W38564"/>
    </row>
    <row r="38565" spans="23:23" x14ac:dyDescent="0.55000000000000004">
      <c r="W38565"/>
    </row>
    <row r="38566" spans="23:23" x14ac:dyDescent="0.55000000000000004">
      <c r="W38566"/>
    </row>
    <row r="38567" spans="23:23" x14ac:dyDescent="0.55000000000000004">
      <c r="W38567"/>
    </row>
    <row r="38568" spans="23:23" x14ac:dyDescent="0.55000000000000004">
      <c r="W38568"/>
    </row>
    <row r="38569" spans="23:23" x14ac:dyDescent="0.55000000000000004">
      <c r="W38569"/>
    </row>
    <row r="38570" spans="23:23" x14ac:dyDescent="0.55000000000000004">
      <c r="W38570"/>
    </row>
    <row r="38571" spans="23:23" x14ac:dyDescent="0.55000000000000004">
      <c r="W38571"/>
    </row>
    <row r="38572" spans="23:23" x14ac:dyDescent="0.55000000000000004">
      <c r="W38572"/>
    </row>
    <row r="38573" spans="23:23" x14ac:dyDescent="0.55000000000000004">
      <c r="W38573"/>
    </row>
    <row r="38574" spans="23:23" x14ac:dyDescent="0.55000000000000004">
      <c r="W38574"/>
    </row>
    <row r="38575" spans="23:23" x14ac:dyDescent="0.55000000000000004">
      <c r="W38575"/>
    </row>
    <row r="38576" spans="23:23" x14ac:dyDescent="0.55000000000000004">
      <c r="W38576"/>
    </row>
    <row r="38577" spans="23:23" x14ac:dyDescent="0.55000000000000004">
      <c r="W38577"/>
    </row>
    <row r="38578" spans="23:23" x14ac:dyDescent="0.55000000000000004">
      <c r="W38578"/>
    </row>
    <row r="38579" spans="23:23" x14ac:dyDescent="0.55000000000000004">
      <c r="W38579"/>
    </row>
    <row r="38580" spans="23:23" x14ac:dyDescent="0.55000000000000004">
      <c r="W38580"/>
    </row>
    <row r="38581" spans="23:23" x14ac:dyDescent="0.55000000000000004">
      <c r="W38581"/>
    </row>
    <row r="38582" spans="23:23" x14ac:dyDescent="0.55000000000000004">
      <c r="W38582"/>
    </row>
    <row r="38583" spans="23:23" x14ac:dyDescent="0.55000000000000004">
      <c r="W38583"/>
    </row>
    <row r="38584" spans="23:23" x14ac:dyDescent="0.55000000000000004">
      <c r="W38584"/>
    </row>
    <row r="38585" spans="23:23" x14ac:dyDescent="0.55000000000000004">
      <c r="W38585"/>
    </row>
    <row r="38586" spans="23:23" x14ac:dyDescent="0.55000000000000004">
      <c r="W38586"/>
    </row>
    <row r="38587" spans="23:23" x14ac:dyDescent="0.55000000000000004">
      <c r="W38587"/>
    </row>
    <row r="38588" spans="23:23" x14ac:dyDescent="0.55000000000000004">
      <c r="W38588"/>
    </row>
    <row r="38589" spans="23:23" x14ac:dyDescent="0.55000000000000004">
      <c r="W38589"/>
    </row>
    <row r="38590" spans="23:23" x14ac:dyDescent="0.55000000000000004">
      <c r="W38590"/>
    </row>
    <row r="38591" spans="23:23" x14ac:dyDescent="0.55000000000000004">
      <c r="W38591"/>
    </row>
    <row r="38592" spans="23:23" x14ac:dyDescent="0.55000000000000004">
      <c r="W38592"/>
    </row>
    <row r="38593" spans="23:23" x14ac:dyDescent="0.55000000000000004">
      <c r="W38593"/>
    </row>
    <row r="38594" spans="23:23" x14ac:dyDescent="0.55000000000000004">
      <c r="W38594"/>
    </row>
    <row r="38595" spans="23:23" x14ac:dyDescent="0.55000000000000004">
      <c r="W38595"/>
    </row>
    <row r="38596" spans="23:23" x14ac:dyDescent="0.55000000000000004">
      <c r="W38596"/>
    </row>
    <row r="38597" spans="23:23" x14ac:dyDescent="0.55000000000000004">
      <c r="W38597"/>
    </row>
    <row r="38598" spans="23:23" x14ac:dyDescent="0.55000000000000004">
      <c r="W38598"/>
    </row>
    <row r="38599" spans="23:23" x14ac:dyDescent="0.55000000000000004">
      <c r="W38599"/>
    </row>
    <row r="38600" spans="23:23" x14ac:dyDescent="0.55000000000000004">
      <c r="W38600"/>
    </row>
    <row r="38601" spans="23:23" x14ac:dyDescent="0.55000000000000004">
      <c r="W38601"/>
    </row>
    <row r="38602" spans="23:23" x14ac:dyDescent="0.55000000000000004">
      <c r="W38602"/>
    </row>
    <row r="38603" spans="23:23" x14ac:dyDescent="0.55000000000000004">
      <c r="W38603"/>
    </row>
    <row r="38604" spans="23:23" x14ac:dyDescent="0.55000000000000004">
      <c r="W38604"/>
    </row>
    <row r="38605" spans="23:23" x14ac:dyDescent="0.55000000000000004">
      <c r="W38605"/>
    </row>
    <row r="38606" spans="23:23" x14ac:dyDescent="0.55000000000000004">
      <c r="W38606"/>
    </row>
    <row r="38607" spans="23:23" x14ac:dyDescent="0.55000000000000004">
      <c r="W38607"/>
    </row>
    <row r="38608" spans="23:23" x14ac:dyDescent="0.55000000000000004">
      <c r="W38608"/>
    </row>
    <row r="38609" spans="23:23" x14ac:dyDescent="0.55000000000000004">
      <c r="W38609"/>
    </row>
    <row r="38610" spans="23:23" x14ac:dyDescent="0.55000000000000004">
      <c r="W38610"/>
    </row>
    <row r="38611" spans="23:23" x14ac:dyDescent="0.55000000000000004">
      <c r="W38611"/>
    </row>
    <row r="38612" spans="23:23" x14ac:dyDescent="0.55000000000000004">
      <c r="W38612"/>
    </row>
    <row r="38613" spans="23:23" x14ac:dyDescent="0.55000000000000004">
      <c r="W38613"/>
    </row>
    <row r="38614" spans="23:23" x14ac:dyDescent="0.55000000000000004">
      <c r="W38614"/>
    </row>
    <row r="38615" spans="23:23" x14ac:dyDescent="0.55000000000000004">
      <c r="W38615"/>
    </row>
    <row r="38616" spans="23:23" x14ac:dyDescent="0.55000000000000004">
      <c r="W38616"/>
    </row>
    <row r="38617" spans="23:23" x14ac:dyDescent="0.55000000000000004">
      <c r="W38617"/>
    </row>
    <row r="38618" spans="23:23" x14ac:dyDescent="0.55000000000000004">
      <c r="W38618"/>
    </row>
    <row r="38619" spans="23:23" x14ac:dyDescent="0.55000000000000004">
      <c r="W38619"/>
    </row>
    <row r="38620" spans="23:23" x14ac:dyDescent="0.55000000000000004">
      <c r="W38620"/>
    </row>
    <row r="38621" spans="23:23" x14ac:dyDescent="0.55000000000000004">
      <c r="W38621"/>
    </row>
    <row r="38622" spans="23:23" x14ac:dyDescent="0.55000000000000004">
      <c r="W38622"/>
    </row>
    <row r="38623" spans="23:23" x14ac:dyDescent="0.55000000000000004">
      <c r="W38623"/>
    </row>
    <row r="38624" spans="23:23" x14ac:dyDescent="0.55000000000000004">
      <c r="W38624"/>
    </row>
    <row r="38625" spans="23:23" x14ac:dyDescent="0.55000000000000004">
      <c r="W38625"/>
    </row>
    <row r="38626" spans="23:23" x14ac:dyDescent="0.55000000000000004">
      <c r="W38626"/>
    </row>
    <row r="38627" spans="23:23" x14ac:dyDescent="0.55000000000000004">
      <c r="W38627"/>
    </row>
    <row r="38628" spans="23:23" x14ac:dyDescent="0.55000000000000004">
      <c r="W38628"/>
    </row>
    <row r="38629" spans="23:23" x14ac:dyDescent="0.55000000000000004">
      <c r="W38629"/>
    </row>
    <row r="38630" spans="23:23" x14ac:dyDescent="0.55000000000000004">
      <c r="W38630"/>
    </row>
    <row r="38631" spans="23:23" x14ac:dyDescent="0.55000000000000004">
      <c r="W38631"/>
    </row>
    <row r="38632" spans="23:23" x14ac:dyDescent="0.55000000000000004">
      <c r="W38632"/>
    </row>
    <row r="38633" spans="23:23" x14ac:dyDescent="0.55000000000000004">
      <c r="W38633"/>
    </row>
    <row r="38634" spans="23:23" x14ac:dyDescent="0.55000000000000004">
      <c r="W38634"/>
    </row>
    <row r="38635" spans="23:23" x14ac:dyDescent="0.55000000000000004">
      <c r="W38635"/>
    </row>
    <row r="38636" spans="23:23" x14ac:dyDescent="0.55000000000000004">
      <c r="W38636"/>
    </row>
    <row r="38637" spans="23:23" x14ac:dyDescent="0.55000000000000004">
      <c r="W38637"/>
    </row>
    <row r="38638" spans="23:23" x14ac:dyDescent="0.55000000000000004">
      <c r="W38638"/>
    </row>
    <row r="38639" spans="23:23" x14ac:dyDescent="0.55000000000000004">
      <c r="W38639"/>
    </row>
    <row r="38640" spans="23:23" x14ac:dyDescent="0.55000000000000004">
      <c r="W38640"/>
    </row>
    <row r="38641" spans="23:23" x14ac:dyDescent="0.55000000000000004">
      <c r="W38641"/>
    </row>
    <row r="38642" spans="23:23" x14ac:dyDescent="0.55000000000000004">
      <c r="W38642"/>
    </row>
    <row r="38643" spans="23:23" x14ac:dyDescent="0.55000000000000004">
      <c r="W38643"/>
    </row>
    <row r="38644" spans="23:23" x14ac:dyDescent="0.55000000000000004">
      <c r="W38644"/>
    </row>
    <row r="38645" spans="23:23" x14ac:dyDescent="0.55000000000000004">
      <c r="W38645"/>
    </row>
    <row r="38646" spans="23:23" x14ac:dyDescent="0.55000000000000004">
      <c r="W38646"/>
    </row>
    <row r="38647" spans="23:23" x14ac:dyDescent="0.55000000000000004">
      <c r="W38647"/>
    </row>
    <row r="38648" spans="23:23" x14ac:dyDescent="0.55000000000000004">
      <c r="W38648"/>
    </row>
    <row r="38649" spans="23:23" x14ac:dyDescent="0.55000000000000004">
      <c r="W38649"/>
    </row>
    <row r="38650" spans="23:23" x14ac:dyDescent="0.55000000000000004">
      <c r="W38650"/>
    </row>
    <row r="38651" spans="23:23" x14ac:dyDescent="0.55000000000000004">
      <c r="W38651"/>
    </row>
    <row r="38652" spans="23:23" x14ac:dyDescent="0.55000000000000004">
      <c r="W38652"/>
    </row>
    <row r="38653" spans="23:23" x14ac:dyDescent="0.55000000000000004">
      <c r="W38653"/>
    </row>
    <row r="38654" spans="23:23" x14ac:dyDescent="0.55000000000000004">
      <c r="W38654"/>
    </row>
    <row r="38655" spans="23:23" x14ac:dyDescent="0.55000000000000004">
      <c r="W38655"/>
    </row>
    <row r="38656" spans="23:23" x14ac:dyDescent="0.55000000000000004">
      <c r="W38656"/>
    </row>
    <row r="38657" spans="23:23" x14ac:dyDescent="0.55000000000000004">
      <c r="W38657"/>
    </row>
    <row r="38658" spans="23:23" x14ac:dyDescent="0.55000000000000004">
      <c r="W38658"/>
    </row>
    <row r="38659" spans="23:23" x14ac:dyDescent="0.55000000000000004">
      <c r="W38659"/>
    </row>
    <row r="38660" spans="23:23" x14ac:dyDescent="0.55000000000000004">
      <c r="W38660"/>
    </row>
    <row r="38661" spans="23:23" x14ac:dyDescent="0.55000000000000004">
      <c r="W38661"/>
    </row>
    <row r="38662" spans="23:23" x14ac:dyDescent="0.55000000000000004">
      <c r="W38662"/>
    </row>
    <row r="38663" spans="23:23" x14ac:dyDescent="0.55000000000000004">
      <c r="W38663"/>
    </row>
    <row r="38664" spans="23:23" x14ac:dyDescent="0.55000000000000004">
      <c r="W38664"/>
    </row>
    <row r="38665" spans="23:23" x14ac:dyDescent="0.55000000000000004">
      <c r="W38665"/>
    </row>
    <row r="38666" spans="23:23" x14ac:dyDescent="0.55000000000000004">
      <c r="W38666"/>
    </row>
    <row r="38667" spans="23:23" x14ac:dyDescent="0.55000000000000004">
      <c r="W38667"/>
    </row>
    <row r="38668" spans="23:23" x14ac:dyDescent="0.55000000000000004">
      <c r="W38668"/>
    </row>
    <row r="38669" spans="23:23" x14ac:dyDescent="0.55000000000000004">
      <c r="W38669"/>
    </row>
    <row r="38670" spans="23:23" x14ac:dyDescent="0.55000000000000004">
      <c r="W38670"/>
    </row>
    <row r="38671" spans="23:23" x14ac:dyDescent="0.55000000000000004">
      <c r="W38671"/>
    </row>
    <row r="38672" spans="23:23" x14ac:dyDescent="0.55000000000000004">
      <c r="W38672"/>
    </row>
    <row r="38673" spans="23:23" x14ac:dyDescent="0.55000000000000004">
      <c r="W38673"/>
    </row>
    <row r="38674" spans="23:23" x14ac:dyDescent="0.55000000000000004">
      <c r="W38674"/>
    </row>
    <row r="38675" spans="23:23" x14ac:dyDescent="0.55000000000000004">
      <c r="W38675"/>
    </row>
    <row r="38676" spans="23:23" x14ac:dyDescent="0.55000000000000004">
      <c r="W38676"/>
    </row>
    <row r="38677" spans="23:23" x14ac:dyDescent="0.55000000000000004">
      <c r="W38677"/>
    </row>
    <row r="38678" spans="23:23" x14ac:dyDescent="0.55000000000000004">
      <c r="W38678"/>
    </row>
    <row r="38679" spans="23:23" x14ac:dyDescent="0.55000000000000004">
      <c r="W38679"/>
    </row>
    <row r="38680" spans="23:23" x14ac:dyDescent="0.55000000000000004">
      <c r="W38680"/>
    </row>
    <row r="38681" spans="23:23" x14ac:dyDescent="0.55000000000000004">
      <c r="W38681"/>
    </row>
    <row r="38682" spans="23:23" x14ac:dyDescent="0.55000000000000004">
      <c r="W38682"/>
    </row>
    <row r="38683" spans="23:23" x14ac:dyDescent="0.55000000000000004">
      <c r="W38683"/>
    </row>
    <row r="38684" spans="23:23" x14ac:dyDescent="0.55000000000000004">
      <c r="W38684"/>
    </row>
    <row r="38685" spans="23:23" x14ac:dyDescent="0.55000000000000004">
      <c r="W38685"/>
    </row>
    <row r="38686" spans="23:23" x14ac:dyDescent="0.55000000000000004">
      <c r="W38686"/>
    </row>
    <row r="38687" spans="23:23" x14ac:dyDescent="0.55000000000000004">
      <c r="W38687"/>
    </row>
    <row r="38688" spans="23:23" x14ac:dyDescent="0.55000000000000004">
      <c r="W38688"/>
    </row>
    <row r="38689" spans="23:23" x14ac:dyDescent="0.55000000000000004">
      <c r="W38689"/>
    </row>
    <row r="38690" spans="23:23" x14ac:dyDescent="0.55000000000000004">
      <c r="W38690"/>
    </row>
    <row r="38691" spans="23:23" x14ac:dyDescent="0.55000000000000004">
      <c r="W38691"/>
    </row>
    <row r="38692" spans="23:23" x14ac:dyDescent="0.55000000000000004">
      <c r="W38692"/>
    </row>
    <row r="38693" spans="23:23" x14ac:dyDescent="0.55000000000000004">
      <c r="W38693"/>
    </row>
    <row r="38694" spans="23:23" x14ac:dyDescent="0.55000000000000004">
      <c r="W38694"/>
    </row>
    <row r="38695" spans="23:23" x14ac:dyDescent="0.55000000000000004">
      <c r="W38695"/>
    </row>
    <row r="38696" spans="23:23" x14ac:dyDescent="0.55000000000000004">
      <c r="W38696"/>
    </row>
    <row r="38697" spans="23:23" x14ac:dyDescent="0.55000000000000004">
      <c r="W38697"/>
    </row>
    <row r="38698" spans="23:23" x14ac:dyDescent="0.55000000000000004">
      <c r="W38698"/>
    </row>
    <row r="38699" spans="23:23" x14ac:dyDescent="0.55000000000000004">
      <c r="W38699"/>
    </row>
    <row r="38700" spans="23:23" x14ac:dyDescent="0.55000000000000004">
      <c r="W38700"/>
    </row>
    <row r="38701" spans="23:23" x14ac:dyDescent="0.55000000000000004">
      <c r="W38701"/>
    </row>
    <row r="38702" spans="23:23" x14ac:dyDescent="0.55000000000000004">
      <c r="W38702"/>
    </row>
    <row r="38703" spans="23:23" x14ac:dyDescent="0.55000000000000004">
      <c r="W38703"/>
    </row>
    <row r="38704" spans="23:23" x14ac:dyDescent="0.55000000000000004">
      <c r="W38704"/>
    </row>
    <row r="38705" spans="23:23" x14ac:dyDescent="0.55000000000000004">
      <c r="W38705"/>
    </row>
    <row r="38706" spans="23:23" x14ac:dyDescent="0.55000000000000004">
      <c r="W38706"/>
    </row>
    <row r="38707" spans="23:23" x14ac:dyDescent="0.55000000000000004">
      <c r="W38707"/>
    </row>
    <row r="38708" spans="23:23" x14ac:dyDescent="0.55000000000000004">
      <c r="W38708"/>
    </row>
    <row r="38709" spans="23:23" x14ac:dyDescent="0.55000000000000004">
      <c r="W38709"/>
    </row>
    <row r="38710" spans="23:23" x14ac:dyDescent="0.55000000000000004">
      <c r="W38710"/>
    </row>
    <row r="38711" spans="23:23" x14ac:dyDescent="0.55000000000000004">
      <c r="W38711"/>
    </row>
    <row r="38712" spans="23:23" x14ac:dyDescent="0.55000000000000004">
      <c r="W38712"/>
    </row>
    <row r="38713" spans="23:23" x14ac:dyDescent="0.55000000000000004">
      <c r="W38713"/>
    </row>
    <row r="38714" spans="23:23" x14ac:dyDescent="0.55000000000000004">
      <c r="W38714"/>
    </row>
    <row r="38715" spans="23:23" x14ac:dyDescent="0.55000000000000004">
      <c r="W38715"/>
    </row>
    <row r="38716" spans="23:23" x14ac:dyDescent="0.55000000000000004">
      <c r="W38716"/>
    </row>
    <row r="38717" spans="23:23" x14ac:dyDescent="0.55000000000000004">
      <c r="W38717"/>
    </row>
    <row r="38718" spans="23:23" x14ac:dyDescent="0.55000000000000004">
      <c r="W38718"/>
    </row>
    <row r="38719" spans="23:23" x14ac:dyDescent="0.55000000000000004">
      <c r="W38719"/>
    </row>
    <row r="38720" spans="23:23" x14ac:dyDescent="0.55000000000000004">
      <c r="W38720"/>
    </row>
    <row r="38721" spans="23:23" x14ac:dyDescent="0.55000000000000004">
      <c r="W38721"/>
    </row>
    <row r="38722" spans="23:23" x14ac:dyDescent="0.55000000000000004">
      <c r="W38722"/>
    </row>
    <row r="38723" spans="23:23" x14ac:dyDescent="0.55000000000000004">
      <c r="W38723"/>
    </row>
    <row r="38724" spans="23:23" x14ac:dyDescent="0.55000000000000004">
      <c r="W38724"/>
    </row>
    <row r="38725" spans="23:23" x14ac:dyDescent="0.55000000000000004">
      <c r="W38725"/>
    </row>
    <row r="38726" spans="23:23" x14ac:dyDescent="0.55000000000000004">
      <c r="W38726"/>
    </row>
    <row r="38727" spans="23:23" x14ac:dyDescent="0.55000000000000004">
      <c r="W38727"/>
    </row>
    <row r="38728" spans="23:23" x14ac:dyDescent="0.55000000000000004">
      <c r="W38728"/>
    </row>
    <row r="38729" spans="23:23" x14ac:dyDescent="0.55000000000000004">
      <c r="W38729"/>
    </row>
    <row r="38730" spans="23:23" x14ac:dyDescent="0.55000000000000004">
      <c r="W38730"/>
    </row>
    <row r="38731" spans="23:23" x14ac:dyDescent="0.55000000000000004">
      <c r="W38731"/>
    </row>
    <row r="38732" spans="23:23" x14ac:dyDescent="0.55000000000000004">
      <c r="W38732"/>
    </row>
    <row r="38733" spans="23:23" x14ac:dyDescent="0.55000000000000004">
      <c r="W38733"/>
    </row>
    <row r="38734" spans="23:23" x14ac:dyDescent="0.55000000000000004">
      <c r="W38734"/>
    </row>
    <row r="38735" spans="23:23" x14ac:dyDescent="0.55000000000000004">
      <c r="W38735"/>
    </row>
    <row r="38736" spans="23:23" x14ac:dyDescent="0.55000000000000004">
      <c r="W38736"/>
    </row>
    <row r="38737" spans="23:23" x14ac:dyDescent="0.55000000000000004">
      <c r="W38737"/>
    </row>
    <row r="38738" spans="23:23" x14ac:dyDescent="0.55000000000000004">
      <c r="W38738"/>
    </row>
    <row r="38739" spans="23:23" x14ac:dyDescent="0.55000000000000004">
      <c r="W38739"/>
    </row>
    <row r="38740" spans="23:23" x14ac:dyDescent="0.55000000000000004">
      <c r="W38740"/>
    </row>
    <row r="38741" spans="23:23" x14ac:dyDescent="0.55000000000000004">
      <c r="W38741"/>
    </row>
    <row r="38742" spans="23:23" x14ac:dyDescent="0.55000000000000004">
      <c r="W38742"/>
    </row>
    <row r="38743" spans="23:23" x14ac:dyDescent="0.55000000000000004">
      <c r="W38743"/>
    </row>
    <row r="38744" spans="23:23" x14ac:dyDescent="0.55000000000000004">
      <c r="W38744"/>
    </row>
    <row r="38745" spans="23:23" x14ac:dyDescent="0.55000000000000004">
      <c r="W38745"/>
    </row>
    <row r="38746" spans="23:23" x14ac:dyDescent="0.55000000000000004">
      <c r="W38746"/>
    </row>
    <row r="38747" spans="23:23" x14ac:dyDescent="0.55000000000000004">
      <c r="W38747"/>
    </row>
    <row r="38748" spans="23:23" x14ac:dyDescent="0.55000000000000004">
      <c r="W38748"/>
    </row>
    <row r="38749" spans="23:23" x14ac:dyDescent="0.55000000000000004">
      <c r="W38749"/>
    </row>
    <row r="38750" spans="23:23" x14ac:dyDescent="0.55000000000000004">
      <c r="W38750"/>
    </row>
    <row r="38751" spans="23:23" x14ac:dyDescent="0.55000000000000004">
      <c r="W38751"/>
    </row>
    <row r="38752" spans="23:23" x14ac:dyDescent="0.55000000000000004">
      <c r="W38752"/>
    </row>
    <row r="38753" spans="23:23" x14ac:dyDescent="0.55000000000000004">
      <c r="W38753"/>
    </row>
    <row r="38754" spans="23:23" x14ac:dyDescent="0.55000000000000004">
      <c r="W38754"/>
    </row>
    <row r="38755" spans="23:23" x14ac:dyDescent="0.55000000000000004">
      <c r="W38755"/>
    </row>
    <row r="38756" spans="23:23" x14ac:dyDescent="0.55000000000000004">
      <c r="W38756"/>
    </row>
    <row r="38757" spans="23:23" x14ac:dyDescent="0.55000000000000004">
      <c r="W38757"/>
    </row>
    <row r="38758" spans="23:23" x14ac:dyDescent="0.55000000000000004">
      <c r="W38758"/>
    </row>
    <row r="38759" spans="23:23" x14ac:dyDescent="0.55000000000000004">
      <c r="W38759"/>
    </row>
    <row r="38760" spans="23:23" x14ac:dyDescent="0.55000000000000004">
      <c r="W38760"/>
    </row>
    <row r="38761" spans="23:23" x14ac:dyDescent="0.55000000000000004">
      <c r="W38761"/>
    </row>
    <row r="38762" spans="23:23" x14ac:dyDescent="0.55000000000000004">
      <c r="W38762"/>
    </row>
    <row r="38763" spans="23:23" x14ac:dyDescent="0.55000000000000004">
      <c r="W38763"/>
    </row>
    <row r="38764" spans="23:23" x14ac:dyDescent="0.55000000000000004">
      <c r="W38764"/>
    </row>
    <row r="38765" spans="23:23" x14ac:dyDescent="0.55000000000000004">
      <c r="W38765"/>
    </row>
    <row r="38766" spans="23:23" x14ac:dyDescent="0.55000000000000004">
      <c r="W38766"/>
    </row>
    <row r="38767" spans="23:23" x14ac:dyDescent="0.55000000000000004">
      <c r="W38767"/>
    </row>
    <row r="38768" spans="23:23" x14ac:dyDescent="0.55000000000000004">
      <c r="W38768"/>
    </row>
    <row r="38769" spans="23:23" x14ac:dyDescent="0.55000000000000004">
      <c r="W38769"/>
    </row>
    <row r="38770" spans="23:23" x14ac:dyDescent="0.55000000000000004">
      <c r="W38770"/>
    </row>
    <row r="38771" spans="23:23" x14ac:dyDescent="0.55000000000000004">
      <c r="W38771"/>
    </row>
    <row r="38772" spans="23:23" x14ac:dyDescent="0.55000000000000004">
      <c r="W38772"/>
    </row>
    <row r="38773" spans="23:23" x14ac:dyDescent="0.55000000000000004">
      <c r="W38773"/>
    </row>
    <row r="38774" spans="23:23" x14ac:dyDescent="0.55000000000000004">
      <c r="W38774"/>
    </row>
    <row r="38775" spans="23:23" x14ac:dyDescent="0.55000000000000004">
      <c r="W38775"/>
    </row>
    <row r="38776" spans="23:23" x14ac:dyDescent="0.55000000000000004">
      <c r="W38776"/>
    </row>
    <row r="38777" spans="23:23" x14ac:dyDescent="0.55000000000000004">
      <c r="W38777"/>
    </row>
    <row r="38778" spans="23:23" x14ac:dyDescent="0.55000000000000004">
      <c r="W38778"/>
    </row>
    <row r="38779" spans="23:23" x14ac:dyDescent="0.55000000000000004">
      <c r="W38779"/>
    </row>
    <row r="38780" spans="23:23" x14ac:dyDescent="0.55000000000000004">
      <c r="W38780"/>
    </row>
    <row r="38781" spans="23:23" x14ac:dyDescent="0.55000000000000004">
      <c r="W38781"/>
    </row>
    <row r="38782" spans="23:23" x14ac:dyDescent="0.55000000000000004">
      <c r="W38782"/>
    </row>
    <row r="38783" spans="23:23" x14ac:dyDescent="0.55000000000000004">
      <c r="W38783"/>
    </row>
    <row r="38784" spans="23:23" x14ac:dyDescent="0.55000000000000004">
      <c r="W38784"/>
    </row>
    <row r="38785" spans="23:23" x14ac:dyDescent="0.55000000000000004">
      <c r="W38785"/>
    </row>
    <row r="38786" spans="23:23" x14ac:dyDescent="0.55000000000000004">
      <c r="W38786"/>
    </row>
    <row r="38787" spans="23:23" x14ac:dyDescent="0.55000000000000004">
      <c r="W38787"/>
    </row>
    <row r="38788" spans="23:23" x14ac:dyDescent="0.55000000000000004">
      <c r="W38788"/>
    </row>
    <row r="38789" spans="23:23" x14ac:dyDescent="0.55000000000000004">
      <c r="W38789"/>
    </row>
    <row r="38790" spans="23:23" x14ac:dyDescent="0.55000000000000004">
      <c r="W38790"/>
    </row>
    <row r="38791" spans="23:23" x14ac:dyDescent="0.55000000000000004">
      <c r="W38791"/>
    </row>
    <row r="38792" spans="23:23" x14ac:dyDescent="0.55000000000000004">
      <c r="W38792"/>
    </row>
    <row r="38793" spans="23:23" x14ac:dyDescent="0.55000000000000004">
      <c r="W38793"/>
    </row>
    <row r="38794" spans="23:23" x14ac:dyDescent="0.55000000000000004">
      <c r="W38794"/>
    </row>
    <row r="38795" spans="23:23" x14ac:dyDescent="0.55000000000000004">
      <c r="W38795"/>
    </row>
    <row r="38796" spans="23:23" x14ac:dyDescent="0.55000000000000004">
      <c r="W38796"/>
    </row>
    <row r="38797" spans="23:23" x14ac:dyDescent="0.55000000000000004">
      <c r="W38797"/>
    </row>
    <row r="38798" spans="23:23" x14ac:dyDescent="0.55000000000000004">
      <c r="W38798"/>
    </row>
    <row r="38799" spans="23:23" x14ac:dyDescent="0.55000000000000004">
      <c r="W38799"/>
    </row>
    <row r="38800" spans="23:23" x14ac:dyDescent="0.55000000000000004">
      <c r="W38800"/>
    </row>
    <row r="38801" spans="23:23" x14ac:dyDescent="0.55000000000000004">
      <c r="W38801"/>
    </row>
    <row r="38802" spans="23:23" x14ac:dyDescent="0.55000000000000004">
      <c r="W38802"/>
    </row>
    <row r="38803" spans="23:23" x14ac:dyDescent="0.55000000000000004">
      <c r="W38803"/>
    </row>
    <row r="38804" spans="23:23" x14ac:dyDescent="0.55000000000000004">
      <c r="W38804"/>
    </row>
    <row r="38805" spans="23:23" x14ac:dyDescent="0.55000000000000004">
      <c r="W38805"/>
    </row>
    <row r="38806" spans="23:23" x14ac:dyDescent="0.55000000000000004">
      <c r="W38806"/>
    </row>
    <row r="38807" spans="23:23" x14ac:dyDescent="0.55000000000000004">
      <c r="W38807"/>
    </row>
    <row r="38808" spans="23:23" x14ac:dyDescent="0.55000000000000004">
      <c r="W38808"/>
    </row>
    <row r="38809" spans="23:23" x14ac:dyDescent="0.55000000000000004">
      <c r="W38809"/>
    </row>
    <row r="38810" spans="23:23" x14ac:dyDescent="0.55000000000000004">
      <c r="W38810"/>
    </row>
    <row r="38811" spans="23:23" x14ac:dyDescent="0.55000000000000004">
      <c r="W38811"/>
    </row>
    <row r="38812" spans="23:23" x14ac:dyDescent="0.55000000000000004">
      <c r="W38812"/>
    </row>
    <row r="38813" spans="23:23" x14ac:dyDescent="0.55000000000000004">
      <c r="W38813"/>
    </row>
    <row r="38814" spans="23:23" x14ac:dyDescent="0.55000000000000004">
      <c r="W38814"/>
    </row>
    <row r="38815" spans="23:23" x14ac:dyDescent="0.55000000000000004">
      <c r="W38815"/>
    </row>
    <row r="38816" spans="23:23" x14ac:dyDescent="0.55000000000000004">
      <c r="W38816"/>
    </row>
    <row r="38817" spans="23:23" x14ac:dyDescent="0.55000000000000004">
      <c r="W38817"/>
    </row>
    <row r="38818" spans="23:23" x14ac:dyDescent="0.55000000000000004">
      <c r="W38818"/>
    </row>
    <row r="38819" spans="23:23" x14ac:dyDescent="0.55000000000000004">
      <c r="W38819"/>
    </row>
    <row r="38820" spans="23:23" x14ac:dyDescent="0.55000000000000004">
      <c r="W38820"/>
    </row>
    <row r="38821" spans="23:23" x14ac:dyDescent="0.55000000000000004">
      <c r="W38821"/>
    </row>
    <row r="38822" spans="23:23" x14ac:dyDescent="0.55000000000000004">
      <c r="W38822"/>
    </row>
    <row r="38823" spans="23:23" x14ac:dyDescent="0.55000000000000004">
      <c r="W38823"/>
    </row>
    <row r="38824" spans="23:23" x14ac:dyDescent="0.55000000000000004">
      <c r="W38824"/>
    </row>
    <row r="38825" spans="23:23" x14ac:dyDescent="0.55000000000000004">
      <c r="W38825"/>
    </row>
    <row r="38826" spans="23:23" x14ac:dyDescent="0.55000000000000004">
      <c r="W38826"/>
    </row>
    <row r="38827" spans="23:23" x14ac:dyDescent="0.55000000000000004">
      <c r="W38827"/>
    </row>
    <row r="38828" spans="23:23" x14ac:dyDescent="0.55000000000000004">
      <c r="W38828"/>
    </row>
    <row r="38829" spans="23:23" x14ac:dyDescent="0.55000000000000004">
      <c r="W38829"/>
    </row>
    <row r="38830" spans="23:23" x14ac:dyDescent="0.55000000000000004">
      <c r="W38830"/>
    </row>
    <row r="38831" spans="23:23" x14ac:dyDescent="0.55000000000000004">
      <c r="W38831"/>
    </row>
    <row r="38832" spans="23:23" x14ac:dyDescent="0.55000000000000004">
      <c r="W38832"/>
    </row>
    <row r="38833" spans="23:23" x14ac:dyDescent="0.55000000000000004">
      <c r="W38833"/>
    </row>
    <row r="38834" spans="23:23" x14ac:dyDescent="0.55000000000000004">
      <c r="W38834"/>
    </row>
    <row r="38835" spans="23:23" x14ac:dyDescent="0.55000000000000004">
      <c r="W38835"/>
    </row>
    <row r="38836" spans="23:23" x14ac:dyDescent="0.55000000000000004">
      <c r="W38836"/>
    </row>
    <row r="38837" spans="23:23" x14ac:dyDescent="0.55000000000000004">
      <c r="W38837"/>
    </row>
    <row r="38838" spans="23:23" x14ac:dyDescent="0.55000000000000004">
      <c r="W38838"/>
    </row>
    <row r="38839" spans="23:23" x14ac:dyDescent="0.55000000000000004">
      <c r="W38839"/>
    </row>
    <row r="38840" spans="23:23" x14ac:dyDescent="0.55000000000000004">
      <c r="W38840"/>
    </row>
    <row r="38841" spans="23:23" x14ac:dyDescent="0.55000000000000004">
      <c r="W38841"/>
    </row>
    <row r="38842" spans="23:23" x14ac:dyDescent="0.55000000000000004">
      <c r="W38842"/>
    </row>
    <row r="38843" spans="23:23" x14ac:dyDescent="0.55000000000000004">
      <c r="W38843"/>
    </row>
    <row r="38844" spans="23:23" x14ac:dyDescent="0.55000000000000004">
      <c r="W38844"/>
    </row>
    <row r="38845" spans="23:23" x14ac:dyDescent="0.55000000000000004">
      <c r="W38845"/>
    </row>
    <row r="38846" spans="23:23" x14ac:dyDescent="0.55000000000000004">
      <c r="W38846"/>
    </row>
    <row r="38847" spans="23:23" x14ac:dyDescent="0.55000000000000004">
      <c r="W38847"/>
    </row>
    <row r="38848" spans="23:23" x14ac:dyDescent="0.55000000000000004">
      <c r="W38848"/>
    </row>
    <row r="38849" spans="23:23" x14ac:dyDescent="0.55000000000000004">
      <c r="W38849"/>
    </row>
    <row r="38850" spans="23:23" x14ac:dyDescent="0.55000000000000004">
      <c r="W38850"/>
    </row>
    <row r="38851" spans="23:23" x14ac:dyDescent="0.55000000000000004">
      <c r="W38851"/>
    </row>
    <row r="38852" spans="23:23" x14ac:dyDescent="0.55000000000000004">
      <c r="W38852"/>
    </row>
    <row r="38853" spans="23:23" x14ac:dyDescent="0.55000000000000004">
      <c r="W38853"/>
    </row>
    <row r="38854" spans="23:23" x14ac:dyDescent="0.55000000000000004">
      <c r="W38854"/>
    </row>
    <row r="38855" spans="23:23" x14ac:dyDescent="0.55000000000000004">
      <c r="W38855"/>
    </row>
    <row r="38856" spans="23:23" x14ac:dyDescent="0.55000000000000004">
      <c r="W38856"/>
    </row>
    <row r="38857" spans="23:23" x14ac:dyDescent="0.55000000000000004">
      <c r="W38857"/>
    </row>
    <row r="38858" spans="23:23" x14ac:dyDescent="0.55000000000000004">
      <c r="W38858"/>
    </row>
    <row r="38859" spans="23:23" x14ac:dyDescent="0.55000000000000004">
      <c r="W38859"/>
    </row>
    <row r="38860" spans="23:23" x14ac:dyDescent="0.55000000000000004">
      <c r="W38860"/>
    </row>
    <row r="38861" spans="23:23" x14ac:dyDescent="0.55000000000000004">
      <c r="W38861"/>
    </row>
    <row r="38862" spans="23:23" x14ac:dyDescent="0.55000000000000004">
      <c r="W38862"/>
    </row>
    <row r="38863" spans="23:23" x14ac:dyDescent="0.55000000000000004">
      <c r="W38863"/>
    </row>
    <row r="38864" spans="23:23" x14ac:dyDescent="0.55000000000000004">
      <c r="W38864"/>
    </row>
    <row r="38865" spans="23:23" x14ac:dyDescent="0.55000000000000004">
      <c r="W38865"/>
    </row>
    <row r="38866" spans="23:23" x14ac:dyDescent="0.55000000000000004">
      <c r="W38866"/>
    </row>
    <row r="38867" spans="23:23" x14ac:dyDescent="0.55000000000000004">
      <c r="W38867"/>
    </row>
    <row r="38868" spans="23:23" x14ac:dyDescent="0.55000000000000004">
      <c r="W38868"/>
    </row>
    <row r="38869" spans="23:23" x14ac:dyDescent="0.55000000000000004">
      <c r="W38869"/>
    </row>
    <row r="38870" spans="23:23" x14ac:dyDescent="0.55000000000000004">
      <c r="W38870"/>
    </row>
    <row r="38871" spans="23:23" x14ac:dyDescent="0.55000000000000004">
      <c r="W38871"/>
    </row>
    <row r="38872" spans="23:23" x14ac:dyDescent="0.55000000000000004">
      <c r="W38872"/>
    </row>
    <row r="38873" spans="23:23" x14ac:dyDescent="0.55000000000000004">
      <c r="W38873"/>
    </row>
    <row r="38874" spans="23:23" x14ac:dyDescent="0.55000000000000004">
      <c r="W38874"/>
    </row>
    <row r="38875" spans="23:23" x14ac:dyDescent="0.55000000000000004">
      <c r="W38875"/>
    </row>
    <row r="38876" spans="23:23" x14ac:dyDescent="0.55000000000000004">
      <c r="W38876"/>
    </row>
    <row r="38877" spans="23:23" x14ac:dyDescent="0.55000000000000004">
      <c r="W38877"/>
    </row>
    <row r="38878" spans="23:23" x14ac:dyDescent="0.55000000000000004">
      <c r="W38878"/>
    </row>
    <row r="38879" spans="23:23" x14ac:dyDescent="0.55000000000000004">
      <c r="W38879"/>
    </row>
    <row r="38880" spans="23:23" x14ac:dyDescent="0.55000000000000004">
      <c r="W38880"/>
    </row>
    <row r="38881" spans="23:23" x14ac:dyDescent="0.55000000000000004">
      <c r="W38881"/>
    </row>
    <row r="38882" spans="23:23" x14ac:dyDescent="0.55000000000000004">
      <c r="W38882"/>
    </row>
    <row r="38883" spans="23:23" x14ac:dyDescent="0.55000000000000004">
      <c r="W38883"/>
    </row>
    <row r="38884" spans="23:23" x14ac:dyDescent="0.55000000000000004">
      <c r="W38884"/>
    </row>
    <row r="38885" spans="23:23" x14ac:dyDescent="0.55000000000000004">
      <c r="W38885"/>
    </row>
    <row r="38886" spans="23:23" x14ac:dyDescent="0.55000000000000004">
      <c r="W38886"/>
    </row>
    <row r="38887" spans="23:23" x14ac:dyDescent="0.55000000000000004">
      <c r="W38887"/>
    </row>
    <row r="38888" spans="23:23" x14ac:dyDescent="0.55000000000000004">
      <c r="W38888"/>
    </row>
    <row r="38889" spans="23:23" x14ac:dyDescent="0.55000000000000004">
      <c r="W38889"/>
    </row>
    <row r="38890" spans="23:23" x14ac:dyDescent="0.55000000000000004">
      <c r="W38890"/>
    </row>
    <row r="38891" spans="23:23" x14ac:dyDescent="0.55000000000000004">
      <c r="W38891"/>
    </row>
    <row r="38892" spans="23:23" x14ac:dyDescent="0.55000000000000004">
      <c r="W38892"/>
    </row>
    <row r="38893" spans="23:23" x14ac:dyDescent="0.55000000000000004">
      <c r="W38893"/>
    </row>
    <row r="38894" spans="23:23" x14ac:dyDescent="0.55000000000000004">
      <c r="W38894"/>
    </row>
    <row r="38895" spans="23:23" x14ac:dyDescent="0.55000000000000004">
      <c r="W38895"/>
    </row>
    <row r="38896" spans="23:23" x14ac:dyDescent="0.55000000000000004">
      <c r="W38896"/>
    </row>
    <row r="38897" spans="23:23" x14ac:dyDescent="0.55000000000000004">
      <c r="W38897"/>
    </row>
    <row r="38898" spans="23:23" x14ac:dyDescent="0.55000000000000004">
      <c r="W38898"/>
    </row>
    <row r="38899" spans="23:23" x14ac:dyDescent="0.55000000000000004">
      <c r="W38899"/>
    </row>
    <row r="38900" spans="23:23" x14ac:dyDescent="0.55000000000000004">
      <c r="W38900"/>
    </row>
    <row r="38901" spans="23:23" x14ac:dyDescent="0.55000000000000004">
      <c r="W38901"/>
    </row>
    <row r="38902" spans="23:23" x14ac:dyDescent="0.55000000000000004">
      <c r="W38902"/>
    </row>
    <row r="38903" spans="23:23" x14ac:dyDescent="0.55000000000000004">
      <c r="W38903"/>
    </row>
    <row r="38904" spans="23:23" x14ac:dyDescent="0.55000000000000004">
      <c r="W38904"/>
    </row>
    <row r="38905" spans="23:23" x14ac:dyDescent="0.55000000000000004">
      <c r="W38905"/>
    </row>
    <row r="38906" spans="23:23" x14ac:dyDescent="0.55000000000000004">
      <c r="W38906"/>
    </row>
    <row r="38907" spans="23:23" x14ac:dyDescent="0.55000000000000004">
      <c r="W38907"/>
    </row>
    <row r="38908" spans="23:23" x14ac:dyDescent="0.55000000000000004">
      <c r="W38908"/>
    </row>
    <row r="38909" spans="23:23" x14ac:dyDescent="0.55000000000000004">
      <c r="W38909"/>
    </row>
    <row r="38910" spans="23:23" x14ac:dyDescent="0.55000000000000004">
      <c r="W38910"/>
    </row>
    <row r="38911" spans="23:23" x14ac:dyDescent="0.55000000000000004">
      <c r="W38911"/>
    </row>
    <row r="38912" spans="23:23" x14ac:dyDescent="0.55000000000000004">
      <c r="W38912"/>
    </row>
    <row r="38913" spans="23:23" x14ac:dyDescent="0.55000000000000004">
      <c r="W38913"/>
    </row>
    <row r="38914" spans="23:23" x14ac:dyDescent="0.55000000000000004">
      <c r="W38914"/>
    </row>
    <row r="38915" spans="23:23" x14ac:dyDescent="0.55000000000000004">
      <c r="W38915"/>
    </row>
    <row r="38916" spans="23:23" x14ac:dyDescent="0.55000000000000004">
      <c r="W38916"/>
    </row>
    <row r="38917" spans="23:23" x14ac:dyDescent="0.55000000000000004">
      <c r="W38917"/>
    </row>
    <row r="38918" spans="23:23" x14ac:dyDescent="0.55000000000000004">
      <c r="W38918"/>
    </row>
    <row r="38919" spans="23:23" x14ac:dyDescent="0.55000000000000004">
      <c r="W38919"/>
    </row>
    <row r="38920" spans="23:23" x14ac:dyDescent="0.55000000000000004">
      <c r="W38920"/>
    </row>
    <row r="38921" spans="23:23" x14ac:dyDescent="0.55000000000000004">
      <c r="W38921"/>
    </row>
    <row r="38922" spans="23:23" x14ac:dyDescent="0.55000000000000004">
      <c r="W38922"/>
    </row>
    <row r="38923" spans="23:23" x14ac:dyDescent="0.55000000000000004">
      <c r="W38923"/>
    </row>
    <row r="38924" spans="23:23" x14ac:dyDescent="0.55000000000000004">
      <c r="W38924"/>
    </row>
    <row r="38925" spans="23:23" x14ac:dyDescent="0.55000000000000004">
      <c r="W38925"/>
    </row>
    <row r="38926" spans="23:23" x14ac:dyDescent="0.55000000000000004">
      <c r="W38926"/>
    </row>
    <row r="38927" spans="23:23" x14ac:dyDescent="0.55000000000000004">
      <c r="W38927"/>
    </row>
    <row r="38928" spans="23:23" x14ac:dyDescent="0.55000000000000004">
      <c r="W38928"/>
    </row>
    <row r="38929" spans="23:23" x14ac:dyDescent="0.55000000000000004">
      <c r="W38929"/>
    </row>
    <row r="38930" spans="23:23" x14ac:dyDescent="0.55000000000000004">
      <c r="W38930"/>
    </row>
    <row r="38931" spans="23:23" x14ac:dyDescent="0.55000000000000004">
      <c r="W38931"/>
    </row>
    <row r="38932" spans="23:23" x14ac:dyDescent="0.55000000000000004">
      <c r="W38932"/>
    </row>
    <row r="38933" spans="23:23" x14ac:dyDescent="0.55000000000000004">
      <c r="W38933"/>
    </row>
    <row r="38934" spans="23:23" x14ac:dyDescent="0.55000000000000004">
      <c r="W38934"/>
    </row>
    <row r="38935" spans="23:23" x14ac:dyDescent="0.55000000000000004">
      <c r="W38935"/>
    </row>
    <row r="38936" spans="23:23" x14ac:dyDescent="0.55000000000000004">
      <c r="W38936"/>
    </row>
    <row r="38937" spans="23:23" x14ac:dyDescent="0.55000000000000004">
      <c r="W38937"/>
    </row>
    <row r="38938" spans="23:23" x14ac:dyDescent="0.55000000000000004">
      <c r="W38938"/>
    </row>
    <row r="38939" spans="23:23" x14ac:dyDescent="0.55000000000000004">
      <c r="W38939"/>
    </row>
    <row r="38940" spans="23:23" x14ac:dyDescent="0.55000000000000004">
      <c r="W38940"/>
    </row>
    <row r="38941" spans="23:23" x14ac:dyDescent="0.55000000000000004">
      <c r="W38941"/>
    </row>
    <row r="38942" spans="23:23" x14ac:dyDescent="0.55000000000000004">
      <c r="W38942"/>
    </row>
    <row r="38943" spans="23:23" x14ac:dyDescent="0.55000000000000004">
      <c r="W38943"/>
    </row>
    <row r="38944" spans="23:23" x14ac:dyDescent="0.55000000000000004">
      <c r="W38944"/>
    </row>
    <row r="38945" spans="23:23" x14ac:dyDescent="0.55000000000000004">
      <c r="W38945"/>
    </row>
    <row r="38946" spans="23:23" x14ac:dyDescent="0.55000000000000004">
      <c r="W38946"/>
    </row>
    <row r="38947" spans="23:23" x14ac:dyDescent="0.55000000000000004">
      <c r="W38947"/>
    </row>
    <row r="38948" spans="23:23" x14ac:dyDescent="0.55000000000000004">
      <c r="W38948"/>
    </row>
    <row r="38949" spans="23:23" x14ac:dyDescent="0.55000000000000004">
      <c r="W38949"/>
    </row>
    <row r="38950" spans="23:23" x14ac:dyDescent="0.55000000000000004">
      <c r="W38950"/>
    </row>
    <row r="38951" spans="23:23" x14ac:dyDescent="0.55000000000000004">
      <c r="W38951"/>
    </row>
    <row r="38952" spans="23:23" x14ac:dyDescent="0.55000000000000004">
      <c r="W38952"/>
    </row>
    <row r="38953" spans="23:23" x14ac:dyDescent="0.55000000000000004">
      <c r="W38953"/>
    </row>
    <row r="38954" spans="23:23" x14ac:dyDescent="0.55000000000000004">
      <c r="W38954"/>
    </row>
    <row r="38955" spans="23:23" x14ac:dyDescent="0.55000000000000004">
      <c r="W38955"/>
    </row>
    <row r="38956" spans="23:23" x14ac:dyDescent="0.55000000000000004">
      <c r="W38956"/>
    </row>
    <row r="38957" spans="23:23" x14ac:dyDescent="0.55000000000000004">
      <c r="W38957"/>
    </row>
    <row r="38958" spans="23:23" x14ac:dyDescent="0.55000000000000004">
      <c r="W38958"/>
    </row>
    <row r="38959" spans="23:23" x14ac:dyDescent="0.55000000000000004">
      <c r="W38959"/>
    </row>
    <row r="38960" spans="23:23" x14ac:dyDescent="0.55000000000000004">
      <c r="W38960"/>
    </row>
    <row r="38961" spans="23:23" x14ac:dyDescent="0.55000000000000004">
      <c r="W38961"/>
    </row>
    <row r="38962" spans="23:23" x14ac:dyDescent="0.55000000000000004">
      <c r="W38962"/>
    </row>
    <row r="38963" spans="23:23" x14ac:dyDescent="0.55000000000000004">
      <c r="W38963"/>
    </row>
    <row r="38964" spans="23:23" x14ac:dyDescent="0.55000000000000004">
      <c r="W38964"/>
    </row>
    <row r="38965" spans="23:23" x14ac:dyDescent="0.55000000000000004">
      <c r="W38965"/>
    </row>
    <row r="38966" spans="23:23" x14ac:dyDescent="0.55000000000000004">
      <c r="W38966"/>
    </row>
    <row r="38967" spans="23:23" x14ac:dyDescent="0.55000000000000004">
      <c r="W38967"/>
    </row>
    <row r="38968" spans="23:23" x14ac:dyDescent="0.55000000000000004">
      <c r="W38968"/>
    </row>
    <row r="38969" spans="23:23" x14ac:dyDescent="0.55000000000000004">
      <c r="W38969"/>
    </row>
    <row r="38970" spans="23:23" x14ac:dyDescent="0.55000000000000004">
      <c r="W38970"/>
    </row>
    <row r="38971" spans="23:23" x14ac:dyDescent="0.55000000000000004">
      <c r="W38971"/>
    </row>
    <row r="38972" spans="23:23" x14ac:dyDescent="0.55000000000000004">
      <c r="W38972"/>
    </row>
    <row r="38973" spans="23:23" x14ac:dyDescent="0.55000000000000004">
      <c r="W38973"/>
    </row>
    <row r="38974" spans="23:23" x14ac:dyDescent="0.55000000000000004">
      <c r="W38974"/>
    </row>
    <row r="38975" spans="23:23" x14ac:dyDescent="0.55000000000000004">
      <c r="W38975"/>
    </row>
    <row r="38976" spans="23:23" x14ac:dyDescent="0.55000000000000004">
      <c r="W38976"/>
    </row>
    <row r="38977" spans="23:23" x14ac:dyDescent="0.55000000000000004">
      <c r="W38977"/>
    </row>
    <row r="38978" spans="23:23" x14ac:dyDescent="0.55000000000000004">
      <c r="W38978"/>
    </row>
    <row r="38979" spans="23:23" x14ac:dyDescent="0.55000000000000004">
      <c r="W38979"/>
    </row>
    <row r="38980" spans="23:23" x14ac:dyDescent="0.55000000000000004">
      <c r="W38980"/>
    </row>
    <row r="38981" spans="23:23" x14ac:dyDescent="0.55000000000000004">
      <c r="W38981"/>
    </row>
    <row r="38982" spans="23:23" x14ac:dyDescent="0.55000000000000004">
      <c r="W38982"/>
    </row>
    <row r="38983" spans="23:23" x14ac:dyDescent="0.55000000000000004">
      <c r="W38983"/>
    </row>
    <row r="38984" spans="23:23" x14ac:dyDescent="0.55000000000000004">
      <c r="W38984"/>
    </row>
    <row r="38985" spans="23:23" x14ac:dyDescent="0.55000000000000004">
      <c r="W38985"/>
    </row>
    <row r="38986" spans="23:23" x14ac:dyDescent="0.55000000000000004">
      <c r="W38986"/>
    </row>
    <row r="38987" spans="23:23" x14ac:dyDescent="0.55000000000000004">
      <c r="W38987"/>
    </row>
    <row r="38988" spans="23:23" x14ac:dyDescent="0.55000000000000004">
      <c r="W38988"/>
    </row>
    <row r="38989" spans="23:23" x14ac:dyDescent="0.55000000000000004">
      <c r="W38989"/>
    </row>
    <row r="38990" spans="23:23" x14ac:dyDescent="0.55000000000000004">
      <c r="W38990"/>
    </row>
    <row r="38991" spans="23:23" x14ac:dyDescent="0.55000000000000004">
      <c r="W38991"/>
    </row>
    <row r="38992" spans="23:23" x14ac:dyDescent="0.55000000000000004">
      <c r="W38992"/>
    </row>
    <row r="38993" spans="23:23" x14ac:dyDescent="0.55000000000000004">
      <c r="W38993"/>
    </row>
    <row r="38994" spans="23:23" x14ac:dyDescent="0.55000000000000004">
      <c r="W38994"/>
    </row>
    <row r="38995" spans="23:23" x14ac:dyDescent="0.55000000000000004">
      <c r="W38995"/>
    </row>
    <row r="38996" spans="23:23" x14ac:dyDescent="0.55000000000000004">
      <c r="W38996"/>
    </row>
    <row r="38997" spans="23:23" x14ac:dyDescent="0.55000000000000004">
      <c r="W38997"/>
    </row>
    <row r="38998" spans="23:23" x14ac:dyDescent="0.55000000000000004">
      <c r="W38998"/>
    </row>
    <row r="38999" spans="23:23" x14ac:dyDescent="0.55000000000000004">
      <c r="W38999"/>
    </row>
    <row r="39000" spans="23:23" x14ac:dyDescent="0.55000000000000004">
      <c r="W39000"/>
    </row>
    <row r="39001" spans="23:23" x14ac:dyDescent="0.55000000000000004">
      <c r="W39001"/>
    </row>
    <row r="39002" spans="23:23" x14ac:dyDescent="0.55000000000000004">
      <c r="W39002"/>
    </row>
    <row r="39003" spans="23:23" x14ac:dyDescent="0.55000000000000004">
      <c r="W39003"/>
    </row>
    <row r="39004" spans="23:23" x14ac:dyDescent="0.55000000000000004">
      <c r="W39004"/>
    </row>
    <row r="39005" spans="23:23" x14ac:dyDescent="0.55000000000000004">
      <c r="W39005"/>
    </row>
    <row r="39006" spans="23:23" x14ac:dyDescent="0.55000000000000004">
      <c r="W39006"/>
    </row>
    <row r="39007" spans="23:23" x14ac:dyDescent="0.55000000000000004">
      <c r="W39007"/>
    </row>
    <row r="39008" spans="23:23" x14ac:dyDescent="0.55000000000000004">
      <c r="W39008"/>
    </row>
    <row r="39009" spans="23:23" x14ac:dyDescent="0.55000000000000004">
      <c r="W39009"/>
    </row>
    <row r="39010" spans="23:23" x14ac:dyDescent="0.55000000000000004">
      <c r="W39010"/>
    </row>
    <row r="39011" spans="23:23" x14ac:dyDescent="0.55000000000000004">
      <c r="W39011"/>
    </row>
    <row r="39012" spans="23:23" x14ac:dyDescent="0.55000000000000004">
      <c r="W39012"/>
    </row>
    <row r="39013" spans="23:23" x14ac:dyDescent="0.55000000000000004">
      <c r="W39013"/>
    </row>
    <row r="39014" spans="23:23" x14ac:dyDescent="0.55000000000000004">
      <c r="W39014"/>
    </row>
    <row r="39015" spans="23:23" x14ac:dyDescent="0.55000000000000004">
      <c r="W39015"/>
    </row>
    <row r="39016" spans="23:23" x14ac:dyDescent="0.55000000000000004">
      <c r="W39016"/>
    </row>
    <row r="39017" spans="23:23" x14ac:dyDescent="0.55000000000000004">
      <c r="W39017"/>
    </row>
    <row r="39018" spans="23:23" x14ac:dyDescent="0.55000000000000004">
      <c r="W39018"/>
    </row>
    <row r="39019" spans="23:23" x14ac:dyDescent="0.55000000000000004">
      <c r="W39019"/>
    </row>
    <row r="39020" spans="23:23" x14ac:dyDescent="0.55000000000000004">
      <c r="W39020"/>
    </row>
    <row r="39021" spans="23:23" x14ac:dyDescent="0.55000000000000004">
      <c r="W39021"/>
    </row>
    <row r="39022" spans="23:23" x14ac:dyDescent="0.55000000000000004">
      <c r="W39022"/>
    </row>
    <row r="39023" spans="23:23" x14ac:dyDescent="0.55000000000000004">
      <c r="W39023"/>
    </row>
    <row r="39024" spans="23:23" x14ac:dyDescent="0.55000000000000004">
      <c r="W39024"/>
    </row>
    <row r="39025" spans="23:23" x14ac:dyDescent="0.55000000000000004">
      <c r="W39025"/>
    </row>
    <row r="39026" spans="23:23" x14ac:dyDescent="0.55000000000000004">
      <c r="W39026"/>
    </row>
    <row r="39027" spans="23:23" x14ac:dyDescent="0.55000000000000004">
      <c r="W39027"/>
    </row>
    <row r="39028" spans="23:23" x14ac:dyDescent="0.55000000000000004">
      <c r="W39028"/>
    </row>
    <row r="39029" spans="23:23" x14ac:dyDescent="0.55000000000000004">
      <c r="W39029"/>
    </row>
    <row r="39030" spans="23:23" x14ac:dyDescent="0.55000000000000004">
      <c r="W39030"/>
    </row>
    <row r="39031" spans="23:23" x14ac:dyDescent="0.55000000000000004">
      <c r="W39031"/>
    </row>
    <row r="39032" spans="23:23" x14ac:dyDescent="0.55000000000000004">
      <c r="W39032"/>
    </row>
    <row r="39033" spans="23:23" x14ac:dyDescent="0.55000000000000004">
      <c r="W39033"/>
    </row>
    <row r="39034" spans="23:23" x14ac:dyDescent="0.55000000000000004">
      <c r="W39034"/>
    </row>
    <row r="39035" spans="23:23" x14ac:dyDescent="0.55000000000000004">
      <c r="W39035"/>
    </row>
    <row r="39036" spans="23:23" x14ac:dyDescent="0.55000000000000004">
      <c r="W39036"/>
    </row>
    <row r="39037" spans="23:23" x14ac:dyDescent="0.55000000000000004">
      <c r="W39037"/>
    </row>
    <row r="39038" spans="23:23" x14ac:dyDescent="0.55000000000000004">
      <c r="W39038"/>
    </row>
    <row r="39039" spans="23:23" x14ac:dyDescent="0.55000000000000004">
      <c r="W39039"/>
    </row>
    <row r="39040" spans="23:23" x14ac:dyDescent="0.55000000000000004">
      <c r="W39040"/>
    </row>
    <row r="39041" spans="23:23" x14ac:dyDescent="0.55000000000000004">
      <c r="W39041"/>
    </row>
    <row r="39042" spans="23:23" x14ac:dyDescent="0.55000000000000004">
      <c r="W39042"/>
    </row>
    <row r="39043" spans="23:23" x14ac:dyDescent="0.55000000000000004">
      <c r="W39043"/>
    </row>
    <row r="39044" spans="23:23" x14ac:dyDescent="0.55000000000000004">
      <c r="W39044"/>
    </row>
    <row r="39045" spans="23:23" x14ac:dyDescent="0.55000000000000004">
      <c r="W39045"/>
    </row>
    <row r="39046" spans="23:23" x14ac:dyDescent="0.55000000000000004">
      <c r="W39046"/>
    </row>
    <row r="39047" spans="23:23" x14ac:dyDescent="0.55000000000000004">
      <c r="W39047"/>
    </row>
    <row r="39048" spans="23:23" x14ac:dyDescent="0.55000000000000004">
      <c r="W39048"/>
    </row>
    <row r="39049" spans="23:23" x14ac:dyDescent="0.55000000000000004">
      <c r="W39049"/>
    </row>
    <row r="39050" spans="23:23" x14ac:dyDescent="0.55000000000000004">
      <c r="W39050"/>
    </row>
    <row r="39051" spans="23:23" x14ac:dyDescent="0.55000000000000004">
      <c r="W39051"/>
    </row>
    <row r="39052" spans="23:23" x14ac:dyDescent="0.55000000000000004">
      <c r="W39052"/>
    </row>
    <row r="39053" spans="23:23" x14ac:dyDescent="0.55000000000000004">
      <c r="W39053"/>
    </row>
    <row r="39054" spans="23:23" x14ac:dyDescent="0.55000000000000004">
      <c r="W39054"/>
    </row>
    <row r="39055" spans="23:23" x14ac:dyDescent="0.55000000000000004">
      <c r="W39055"/>
    </row>
    <row r="39056" spans="23:23" x14ac:dyDescent="0.55000000000000004">
      <c r="W39056"/>
    </row>
    <row r="39057" spans="23:23" x14ac:dyDescent="0.55000000000000004">
      <c r="W39057"/>
    </row>
    <row r="39058" spans="23:23" x14ac:dyDescent="0.55000000000000004">
      <c r="W39058"/>
    </row>
    <row r="39059" spans="23:23" x14ac:dyDescent="0.55000000000000004">
      <c r="W39059"/>
    </row>
    <row r="39060" spans="23:23" x14ac:dyDescent="0.55000000000000004">
      <c r="W39060"/>
    </row>
    <row r="39061" spans="23:23" x14ac:dyDescent="0.55000000000000004">
      <c r="W39061"/>
    </row>
    <row r="39062" spans="23:23" x14ac:dyDescent="0.55000000000000004">
      <c r="W39062"/>
    </row>
    <row r="39063" spans="23:23" x14ac:dyDescent="0.55000000000000004">
      <c r="W39063"/>
    </row>
    <row r="39064" spans="23:23" x14ac:dyDescent="0.55000000000000004">
      <c r="W39064"/>
    </row>
    <row r="39065" spans="23:23" x14ac:dyDescent="0.55000000000000004">
      <c r="W39065"/>
    </row>
    <row r="39066" spans="23:23" x14ac:dyDescent="0.55000000000000004">
      <c r="W39066"/>
    </row>
    <row r="39067" spans="23:23" x14ac:dyDescent="0.55000000000000004">
      <c r="W39067"/>
    </row>
    <row r="39068" spans="23:23" x14ac:dyDescent="0.55000000000000004">
      <c r="W39068"/>
    </row>
    <row r="39069" spans="23:23" x14ac:dyDescent="0.55000000000000004">
      <c r="W39069"/>
    </row>
    <row r="39070" spans="23:23" x14ac:dyDescent="0.55000000000000004">
      <c r="W39070"/>
    </row>
    <row r="39071" spans="23:23" x14ac:dyDescent="0.55000000000000004">
      <c r="W39071"/>
    </row>
    <row r="39072" spans="23:23" x14ac:dyDescent="0.55000000000000004">
      <c r="W39072"/>
    </row>
    <row r="39073" spans="23:23" x14ac:dyDescent="0.55000000000000004">
      <c r="W39073"/>
    </row>
    <row r="39074" spans="23:23" x14ac:dyDescent="0.55000000000000004">
      <c r="W39074"/>
    </row>
    <row r="39075" spans="23:23" x14ac:dyDescent="0.55000000000000004">
      <c r="W39075"/>
    </row>
    <row r="39076" spans="23:23" x14ac:dyDescent="0.55000000000000004">
      <c r="W39076"/>
    </row>
    <row r="39077" spans="23:23" x14ac:dyDescent="0.55000000000000004">
      <c r="W39077"/>
    </row>
    <row r="39078" spans="23:23" x14ac:dyDescent="0.55000000000000004">
      <c r="W39078"/>
    </row>
    <row r="39079" spans="23:23" x14ac:dyDescent="0.55000000000000004">
      <c r="W39079"/>
    </row>
    <row r="39080" spans="23:23" x14ac:dyDescent="0.55000000000000004">
      <c r="W39080"/>
    </row>
    <row r="39081" spans="23:23" x14ac:dyDescent="0.55000000000000004">
      <c r="W39081"/>
    </row>
    <row r="39082" spans="23:23" x14ac:dyDescent="0.55000000000000004">
      <c r="W39082"/>
    </row>
    <row r="39083" spans="23:23" x14ac:dyDescent="0.55000000000000004">
      <c r="W39083"/>
    </row>
    <row r="39084" spans="23:23" x14ac:dyDescent="0.55000000000000004">
      <c r="W39084"/>
    </row>
    <row r="39085" spans="23:23" x14ac:dyDescent="0.55000000000000004">
      <c r="W39085"/>
    </row>
    <row r="39086" spans="23:23" x14ac:dyDescent="0.55000000000000004">
      <c r="W39086"/>
    </row>
    <row r="39087" spans="23:23" x14ac:dyDescent="0.55000000000000004">
      <c r="W39087"/>
    </row>
    <row r="39088" spans="23:23" x14ac:dyDescent="0.55000000000000004">
      <c r="W39088"/>
    </row>
    <row r="39089" spans="23:23" x14ac:dyDescent="0.55000000000000004">
      <c r="W39089"/>
    </row>
    <row r="39090" spans="23:23" x14ac:dyDescent="0.55000000000000004">
      <c r="W39090"/>
    </row>
    <row r="39091" spans="23:23" x14ac:dyDescent="0.55000000000000004">
      <c r="W39091"/>
    </row>
    <row r="39092" spans="23:23" x14ac:dyDescent="0.55000000000000004">
      <c r="W39092"/>
    </row>
    <row r="39093" spans="23:23" x14ac:dyDescent="0.55000000000000004">
      <c r="W39093"/>
    </row>
    <row r="39094" spans="23:23" x14ac:dyDescent="0.55000000000000004">
      <c r="W39094"/>
    </row>
    <row r="39095" spans="23:23" x14ac:dyDescent="0.55000000000000004">
      <c r="W39095"/>
    </row>
    <row r="39096" spans="23:23" x14ac:dyDescent="0.55000000000000004">
      <c r="W39096"/>
    </row>
    <row r="39097" spans="23:23" x14ac:dyDescent="0.55000000000000004">
      <c r="W39097"/>
    </row>
    <row r="39098" spans="23:23" x14ac:dyDescent="0.55000000000000004">
      <c r="W39098"/>
    </row>
    <row r="39099" spans="23:23" x14ac:dyDescent="0.55000000000000004">
      <c r="W39099"/>
    </row>
    <row r="39100" spans="23:23" x14ac:dyDescent="0.55000000000000004">
      <c r="W39100"/>
    </row>
    <row r="39101" spans="23:23" x14ac:dyDescent="0.55000000000000004">
      <c r="W39101"/>
    </row>
    <row r="39102" spans="23:23" x14ac:dyDescent="0.55000000000000004">
      <c r="W39102"/>
    </row>
    <row r="39103" spans="23:23" x14ac:dyDescent="0.55000000000000004">
      <c r="W39103"/>
    </row>
    <row r="39104" spans="23:23" x14ac:dyDescent="0.55000000000000004">
      <c r="W39104"/>
    </row>
    <row r="39105" spans="23:23" x14ac:dyDescent="0.55000000000000004">
      <c r="W39105"/>
    </row>
    <row r="39106" spans="23:23" x14ac:dyDescent="0.55000000000000004">
      <c r="W39106"/>
    </row>
    <row r="39107" spans="23:23" x14ac:dyDescent="0.55000000000000004">
      <c r="W39107"/>
    </row>
    <row r="39108" spans="23:23" x14ac:dyDescent="0.55000000000000004">
      <c r="W39108"/>
    </row>
    <row r="39109" spans="23:23" x14ac:dyDescent="0.55000000000000004">
      <c r="W39109"/>
    </row>
    <row r="39110" spans="23:23" x14ac:dyDescent="0.55000000000000004">
      <c r="W39110"/>
    </row>
    <row r="39111" spans="23:23" x14ac:dyDescent="0.55000000000000004">
      <c r="W39111"/>
    </row>
    <row r="39112" spans="23:23" x14ac:dyDescent="0.55000000000000004">
      <c r="W39112"/>
    </row>
    <row r="39113" spans="23:23" x14ac:dyDescent="0.55000000000000004">
      <c r="W39113"/>
    </row>
    <row r="39114" spans="23:23" x14ac:dyDescent="0.55000000000000004">
      <c r="W39114"/>
    </row>
    <row r="39115" spans="23:23" x14ac:dyDescent="0.55000000000000004">
      <c r="W39115"/>
    </row>
    <row r="39116" spans="23:23" x14ac:dyDescent="0.55000000000000004">
      <c r="W39116"/>
    </row>
    <row r="39117" spans="23:23" x14ac:dyDescent="0.55000000000000004">
      <c r="W39117"/>
    </row>
    <row r="39118" spans="23:23" x14ac:dyDescent="0.55000000000000004">
      <c r="W39118"/>
    </row>
    <row r="39119" spans="23:23" x14ac:dyDescent="0.55000000000000004">
      <c r="W39119"/>
    </row>
    <row r="39120" spans="23:23" x14ac:dyDescent="0.55000000000000004">
      <c r="W39120"/>
    </row>
    <row r="39121" spans="23:23" x14ac:dyDescent="0.55000000000000004">
      <c r="W39121"/>
    </row>
    <row r="39122" spans="23:23" x14ac:dyDescent="0.55000000000000004">
      <c r="W39122"/>
    </row>
    <row r="39123" spans="23:23" x14ac:dyDescent="0.55000000000000004">
      <c r="W39123"/>
    </row>
    <row r="39124" spans="23:23" x14ac:dyDescent="0.55000000000000004">
      <c r="W39124"/>
    </row>
    <row r="39125" spans="23:23" x14ac:dyDescent="0.55000000000000004">
      <c r="W39125"/>
    </row>
    <row r="39126" spans="23:23" x14ac:dyDescent="0.55000000000000004">
      <c r="W39126"/>
    </row>
    <row r="39127" spans="23:23" x14ac:dyDescent="0.55000000000000004">
      <c r="W39127"/>
    </row>
    <row r="39128" spans="23:23" x14ac:dyDescent="0.55000000000000004">
      <c r="W39128"/>
    </row>
    <row r="39129" spans="23:23" x14ac:dyDescent="0.55000000000000004">
      <c r="W39129"/>
    </row>
    <row r="39130" spans="23:23" x14ac:dyDescent="0.55000000000000004">
      <c r="W39130"/>
    </row>
    <row r="39131" spans="23:23" x14ac:dyDescent="0.55000000000000004">
      <c r="W39131"/>
    </row>
    <row r="39132" spans="23:23" x14ac:dyDescent="0.55000000000000004">
      <c r="W39132"/>
    </row>
    <row r="39133" spans="23:23" x14ac:dyDescent="0.55000000000000004">
      <c r="W39133"/>
    </row>
    <row r="39134" spans="23:23" x14ac:dyDescent="0.55000000000000004">
      <c r="W39134"/>
    </row>
    <row r="39135" spans="23:23" x14ac:dyDescent="0.55000000000000004">
      <c r="W39135"/>
    </row>
    <row r="39136" spans="23:23" x14ac:dyDescent="0.55000000000000004">
      <c r="W39136"/>
    </row>
    <row r="39137" spans="23:23" x14ac:dyDescent="0.55000000000000004">
      <c r="W39137"/>
    </row>
    <row r="39138" spans="23:23" x14ac:dyDescent="0.55000000000000004">
      <c r="W39138"/>
    </row>
    <row r="39139" spans="23:23" x14ac:dyDescent="0.55000000000000004">
      <c r="W39139"/>
    </row>
    <row r="39140" spans="23:23" x14ac:dyDescent="0.55000000000000004">
      <c r="W39140"/>
    </row>
    <row r="39141" spans="23:23" x14ac:dyDescent="0.55000000000000004">
      <c r="W39141"/>
    </row>
    <row r="39142" spans="23:23" x14ac:dyDescent="0.55000000000000004">
      <c r="W39142"/>
    </row>
    <row r="39143" spans="23:23" x14ac:dyDescent="0.55000000000000004">
      <c r="W39143"/>
    </row>
    <row r="39144" spans="23:23" x14ac:dyDescent="0.55000000000000004">
      <c r="W39144"/>
    </row>
    <row r="39145" spans="23:23" x14ac:dyDescent="0.55000000000000004">
      <c r="W39145"/>
    </row>
    <row r="39146" spans="23:23" x14ac:dyDescent="0.55000000000000004">
      <c r="W39146"/>
    </row>
    <row r="39147" spans="23:23" x14ac:dyDescent="0.55000000000000004">
      <c r="W39147"/>
    </row>
    <row r="39148" spans="23:23" x14ac:dyDescent="0.55000000000000004">
      <c r="W39148"/>
    </row>
    <row r="39149" spans="23:23" x14ac:dyDescent="0.55000000000000004">
      <c r="W39149"/>
    </row>
    <row r="39150" spans="23:23" x14ac:dyDescent="0.55000000000000004">
      <c r="W39150"/>
    </row>
    <row r="39151" spans="23:23" x14ac:dyDescent="0.55000000000000004">
      <c r="W39151"/>
    </row>
    <row r="39152" spans="23:23" x14ac:dyDescent="0.55000000000000004">
      <c r="W39152"/>
    </row>
    <row r="39153" spans="23:23" x14ac:dyDescent="0.55000000000000004">
      <c r="W39153"/>
    </row>
    <row r="39154" spans="23:23" x14ac:dyDescent="0.55000000000000004">
      <c r="W39154"/>
    </row>
    <row r="39155" spans="23:23" x14ac:dyDescent="0.55000000000000004">
      <c r="W39155"/>
    </row>
    <row r="39156" spans="23:23" x14ac:dyDescent="0.55000000000000004">
      <c r="W39156"/>
    </row>
    <row r="39157" spans="23:23" x14ac:dyDescent="0.55000000000000004">
      <c r="W39157"/>
    </row>
    <row r="39158" spans="23:23" x14ac:dyDescent="0.55000000000000004">
      <c r="W39158"/>
    </row>
    <row r="39159" spans="23:23" x14ac:dyDescent="0.55000000000000004">
      <c r="W39159"/>
    </row>
    <row r="39160" spans="23:23" x14ac:dyDescent="0.55000000000000004">
      <c r="W39160"/>
    </row>
    <row r="39161" spans="23:23" x14ac:dyDescent="0.55000000000000004">
      <c r="W39161"/>
    </row>
    <row r="39162" spans="23:23" x14ac:dyDescent="0.55000000000000004">
      <c r="W39162"/>
    </row>
    <row r="39163" spans="23:23" x14ac:dyDescent="0.55000000000000004">
      <c r="W39163"/>
    </row>
    <row r="39164" spans="23:23" x14ac:dyDescent="0.55000000000000004">
      <c r="W39164"/>
    </row>
    <row r="39165" spans="23:23" x14ac:dyDescent="0.55000000000000004">
      <c r="W39165"/>
    </row>
    <row r="39166" spans="23:23" x14ac:dyDescent="0.55000000000000004">
      <c r="W39166"/>
    </row>
    <row r="39167" spans="23:23" x14ac:dyDescent="0.55000000000000004">
      <c r="W39167"/>
    </row>
    <row r="39168" spans="23:23" x14ac:dyDescent="0.55000000000000004">
      <c r="W39168"/>
    </row>
    <row r="39169" spans="23:23" x14ac:dyDescent="0.55000000000000004">
      <c r="W39169"/>
    </row>
    <row r="39170" spans="23:23" x14ac:dyDescent="0.55000000000000004">
      <c r="W39170"/>
    </row>
    <row r="39171" spans="23:23" x14ac:dyDescent="0.55000000000000004">
      <c r="W39171"/>
    </row>
    <row r="39172" spans="23:23" x14ac:dyDescent="0.55000000000000004">
      <c r="W39172"/>
    </row>
    <row r="39173" spans="23:23" x14ac:dyDescent="0.55000000000000004">
      <c r="W39173"/>
    </row>
    <row r="39174" spans="23:23" x14ac:dyDescent="0.55000000000000004">
      <c r="W39174"/>
    </row>
    <row r="39175" spans="23:23" x14ac:dyDescent="0.55000000000000004">
      <c r="W39175"/>
    </row>
    <row r="39176" spans="23:23" x14ac:dyDescent="0.55000000000000004">
      <c r="W39176"/>
    </row>
    <row r="39177" spans="23:23" x14ac:dyDescent="0.55000000000000004">
      <c r="W39177"/>
    </row>
    <row r="39178" spans="23:23" x14ac:dyDescent="0.55000000000000004">
      <c r="W39178"/>
    </row>
    <row r="39179" spans="23:23" x14ac:dyDescent="0.55000000000000004">
      <c r="W39179"/>
    </row>
    <row r="39180" spans="23:23" x14ac:dyDescent="0.55000000000000004">
      <c r="W39180"/>
    </row>
    <row r="39181" spans="23:23" x14ac:dyDescent="0.55000000000000004">
      <c r="W39181"/>
    </row>
    <row r="39182" spans="23:23" x14ac:dyDescent="0.55000000000000004">
      <c r="W39182"/>
    </row>
    <row r="39183" spans="23:23" x14ac:dyDescent="0.55000000000000004">
      <c r="W39183"/>
    </row>
    <row r="39184" spans="23:23" x14ac:dyDescent="0.55000000000000004">
      <c r="W39184"/>
    </row>
    <row r="39185" spans="23:23" x14ac:dyDescent="0.55000000000000004">
      <c r="W39185"/>
    </row>
    <row r="39186" spans="23:23" x14ac:dyDescent="0.55000000000000004">
      <c r="W39186"/>
    </row>
    <row r="39187" spans="23:23" x14ac:dyDescent="0.55000000000000004">
      <c r="W39187"/>
    </row>
    <row r="39188" spans="23:23" x14ac:dyDescent="0.55000000000000004">
      <c r="W39188"/>
    </row>
    <row r="39189" spans="23:23" x14ac:dyDescent="0.55000000000000004">
      <c r="W39189"/>
    </row>
    <row r="39190" spans="23:23" x14ac:dyDescent="0.55000000000000004">
      <c r="W39190"/>
    </row>
    <row r="39191" spans="23:23" x14ac:dyDescent="0.55000000000000004">
      <c r="W39191"/>
    </row>
    <row r="39192" spans="23:23" x14ac:dyDescent="0.55000000000000004">
      <c r="W39192"/>
    </row>
    <row r="39193" spans="23:23" x14ac:dyDescent="0.55000000000000004">
      <c r="W39193"/>
    </row>
    <row r="39194" spans="23:23" x14ac:dyDescent="0.55000000000000004">
      <c r="W39194"/>
    </row>
    <row r="39195" spans="23:23" x14ac:dyDescent="0.55000000000000004">
      <c r="W39195"/>
    </row>
    <row r="39196" spans="23:23" x14ac:dyDescent="0.55000000000000004">
      <c r="W39196"/>
    </row>
    <row r="39197" spans="23:23" x14ac:dyDescent="0.55000000000000004">
      <c r="W39197"/>
    </row>
    <row r="39198" spans="23:23" x14ac:dyDescent="0.55000000000000004">
      <c r="W39198"/>
    </row>
    <row r="39199" spans="23:23" x14ac:dyDescent="0.55000000000000004">
      <c r="W39199"/>
    </row>
    <row r="39200" spans="23:23" x14ac:dyDescent="0.55000000000000004">
      <c r="W39200"/>
    </row>
    <row r="39201" spans="23:23" x14ac:dyDescent="0.55000000000000004">
      <c r="W39201"/>
    </row>
    <row r="39202" spans="23:23" x14ac:dyDescent="0.55000000000000004">
      <c r="W39202"/>
    </row>
    <row r="39203" spans="23:23" x14ac:dyDescent="0.55000000000000004">
      <c r="W39203"/>
    </row>
    <row r="39204" spans="23:23" x14ac:dyDescent="0.55000000000000004">
      <c r="W39204"/>
    </row>
    <row r="39205" spans="23:23" x14ac:dyDescent="0.55000000000000004">
      <c r="W39205"/>
    </row>
    <row r="39206" spans="23:23" x14ac:dyDescent="0.55000000000000004">
      <c r="W39206"/>
    </row>
    <row r="39207" spans="23:23" x14ac:dyDescent="0.55000000000000004">
      <c r="W39207"/>
    </row>
    <row r="39208" spans="23:23" x14ac:dyDescent="0.55000000000000004">
      <c r="W39208"/>
    </row>
    <row r="39209" spans="23:23" x14ac:dyDescent="0.55000000000000004">
      <c r="W39209"/>
    </row>
    <row r="39210" spans="23:23" x14ac:dyDescent="0.55000000000000004">
      <c r="W39210"/>
    </row>
    <row r="39211" spans="23:23" x14ac:dyDescent="0.55000000000000004">
      <c r="W39211"/>
    </row>
    <row r="39212" spans="23:23" x14ac:dyDescent="0.55000000000000004">
      <c r="W39212"/>
    </row>
    <row r="39213" spans="23:23" x14ac:dyDescent="0.55000000000000004">
      <c r="W39213"/>
    </row>
    <row r="39214" spans="23:23" x14ac:dyDescent="0.55000000000000004">
      <c r="W39214"/>
    </row>
    <row r="39215" spans="23:23" x14ac:dyDescent="0.55000000000000004">
      <c r="W39215"/>
    </row>
    <row r="39216" spans="23:23" x14ac:dyDescent="0.55000000000000004">
      <c r="W39216"/>
    </row>
    <row r="39217" spans="23:23" x14ac:dyDescent="0.55000000000000004">
      <c r="W39217"/>
    </row>
    <row r="39218" spans="23:23" x14ac:dyDescent="0.55000000000000004">
      <c r="W39218"/>
    </row>
    <row r="39219" spans="23:23" x14ac:dyDescent="0.55000000000000004">
      <c r="W39219"/>
    </row>
    <row r="39220" spans="23:23" x14ac:dyDescent="0.55000000000000004">
      <c r="W39220"/>
    </row>
    <row r="39221" spans="23:23" x14ac:dyDescent="0.55000000000000004">
      <c r="W39221"/>
    </row>
    <row r="39222" spans="23:23" x14ac:dyDescent="0.55000000000000004">
      <c r="W39222"/>
    </row>
    <row r="39223" spans="23:23" x14ac:dyDescent="0.55000000000000004">
      <c r="W39223"/>
    </row>
    <row r="39224" spans="23:23" x14ac:dyDescent="0.55000000000000004">
      <c r="W39224"/>
    </row>
    <row r="39225" spans="23:23" x14ac:dyDescent="0.55000000000000004">
      <c r="W39225"/>
    </row>
    <row r="39226" spans="23:23" x14ac:dyDescent="0.55000000000000004">
      <c r="W39226"/>
    </row>
    <row r="39227" spans="23:23" x14ac:dyDescent="0.55000000000000004">
      <c r="W39227"/>
    </row>
    <row r="39228" spans="23:23" x14ac:dyDescent="0.55000000000000004">
      <c r="W39228"/>
    </row>
    <row r="39229" spans="23:23" x14ac:dyDescent="0.55000000000000004">
      <c r="W39229"/>
    </row>
    <row r="39230" spans="23:23" x14ac:dyDescent="0.55000000000000004">
      <c r="W39230"/>
    </row>
    <row r="39231" spans="23:23" x14ac:dyDescent="0.55000000000000004">
      <c r="W39231"/>
    </row>
    <row r="39232" spans="23:23" x14ac:dyDescent="0.55000000000000004">
      <c r="W39232"/>
    </row>
    <row r="39233" spans="23:23" x14ac:dyDescent="0.55000000000000004">
      <c r="W39233"/>
    </row>
    <row r="39234" spans="23:23" x14ac:dyDescent="0.55000000000000004">
      <c r="W39234"/>
    </row>
    <row r="39235" spans="23:23" x14ac:dyDescent="0.55000000000000004">
      <c r="W39235"/>
    </row>
    <row r="39236" spans="23:23" x14ac:dyDescent="0.55000000000000004">
      <c r="W39236"/>
    </row>
    <row r="39237" spans="23:23" x14ac:dyDescent="0.55000000000000004">
      <c r="W39237"/>
    </row>
    <row r="39238" spans="23:23" x14ac:dyDescent="0.55000000000000004">
      <c r="W39238"/>
    </row>
    <row r="39239" spans="23:23" x14ac:dyDescent="0.55000000000000004">
      <c r="W39239"/>
    </row>
    <row r="39240" spans="23:23" x14ac:dyDescent="0.55000000000000004">
      <c r="W39240"/>
    </row>
    <row r="39241" spans="23:23" x14ac:dyDescent="0.55000000000000004">
      <c r="W39241"/>
    </row>
    <row r="39242" spans="23:23" x14ac:dyDescent="0.55000000000000004">
      <c r="W39242"/>
    </row>
    <row r="39243" spans="23:23" x14ac:dyDescent="0.55000000000000004">
      <c r="W39243"/>
    </row>
    <row r="39244" spans="23:23" x14ac:dyDescent="0.55000000000000004">
      <c r="W39244"/>
    </row>
    <row r="39245" spans="23:23" x14ac:dyDescent="0.55000000000000004">
      <c r="W39245"/>
    </row>
    <row r="39246" spans="23:23" x14ac:dyDescent="0.55000000000000004">
      <c r="W39246"/>
    </row>
    <row r="39247" spans="23:23" x14ac:dyDescent="0.55000000000000004">
      <c r="W39247"/>
    </row>
    <row r="39248" spans="23:23" x14ac:dyDescent="0.55000000000000004">
      <c r="W39248"/>
    </row>
    <row r="39249" spans="23:23" x14ac:dyDescent="0.55000000000000004">
      <c r="W39249"/>
    </row>
    <row r="39250" spans="23:23" x14ac:dyDescent="0.55000000000000004">
      <c r="W39250"/>
    </row>
    <row r="39251" spans="23:23" x14ac:dyDescent="0.55000000000000004">
      <c r="W39251"/>
    </row>
    <row r="39252" spans="23:23" x14ac:dyDescent="0.55000000000000004">
      <c r="W39252"/>
    </row>
    <row r="39253" spans="23:23" x14ac:dyDescent="0.55000000000000004">
      <c r="W39253"/>
    </row>
    <row r="39254" spans="23:23" x14ac:dyDescent="0.55000000000000004">
      <c r="W39254"/>
    </row>
    <row r="39255" spans="23:23" x14ac:dyDescent="0.55000000000000004">
      <c r="W39255"/>
    </row>
    <row r="39256" spans="23:23" x14ac:dyDescent="0.55000000000000004">
      <c r="W39256"/>
    </row>
    <row r="39257" spans="23:23" x14ac:dyDescent="0.55000000000000004">
      <c r="W39257"/>
    </row>
    <row r="39258" spans="23:23" x14ac:dyDescent="0.55000000000000004">
      <c r="W39258"/>
    </row>
    <row r="39259" spans="23:23" x14ac:dyDescent="0.55000000000000004">
      <c r="W39259"/>
    </row>
    <row r="39260" spans="23:23" x14ac:dyDescent="0.55000000000000004">
      <c r="W39260"/>
    </row>
    <row r="39261" spans="23:23" x14ac:dyDescent="0.55000000000000004">
      <c r="W39261"/>
    </row>
    <row r="39262" spans="23:23" x14ac:dyDescent="0.55000000000000004">
      <c r="W39262"/>
    </row>
    <row r="39263" spans="23:23" x14ac:dyDescent="0.55000000000000004">
      <c r="W39263"/>
    </row>
    <row r="39264" spans="23:23" x14ac:dyDescent="0.55000000000000004">
      <c r="W39264"/>
    </row>
    <row r="39265" spans="23:23" x14ac:dyDescent="0.55000000000000004">
      <c r="W39265"/>
    </row>
    <row r="39266" spans="23:23" x14ac:dyDescent="0.55000000000000004">
      <c r="W39266"/>
    </row>
    <row r="39267" spans="23:23" x14ac:dyDescent="0.55000000000000004">
      <c r="W39267"/>
    </row>
    <row r="39268" spans="23:23" x14ac:dyDescent="0.55000000000000004">
      <c r="W39268"/>
    </row>
    <row r="39269" spans="23:23" x14ac:dyDescent="0.55000000000000004">
      <c r="W39269"/>
    </row>
    <row r="39270" spans="23:23" x14ac:dyDescent="0.55000000000000004">
      <c r="W39270"/>
    </row>
    <row r="39271" spans="23:23" x14ac:dyDescent="0.55000000000000004">
      <c r="W39271"/>
    </row>
    <row r="39272" spans="23:23" x14ac:dyDescent="0.55000000000000004">
      <c r="W39272"/>
    </row>
    <row r="39273" spans="23:23" x14ac:dyDescent="0.55000000000000004">
      <c r="W39273"/>
    </row>
    <row r="39274" spans="23:23" x14ac:dyDescent="0.55000000000000004">
      <c r="W39274"/>
    </row>
    <row r="39275" spans="23:23" x14ac:dyDescent="0.55000000000000004">
      <c r="W39275"/>
    </row>
    <row r="39276" spans="23:23" x14ac:dyDescent="0.55000000000000004">
      <c r="W39276"/>
    </row>
    <row r="39277" spans="23:23" x14ac:dyDescent="0.55000000000000004">
      <c r="W39277"/>
    </row>
    <row r="39278" spans="23:23" x14ac:dyDescent="0.55000000000000004">
      <c r="W39278"/>
    </row>
    <row r="39279" spans="23:23" x14ac:dyDescent="0.55000000000000004">
      <c r="W39279"/>
    </row>
    <row r="39280" spans="23:23" x14ac:dyDescent="0.55000000000000004">
      <c r="W39280"/>
    </row>
    <row r="39281" spans="23:23" x14ac:dyDescent="0.55000000000000004">
      <c r="W39281"/>
    </row>
    <row r="39282" spans="23:23" x14ac:dyDescent="0.55000000000000004">
      <c r="W39282"/>
    </row>
    <row r="39283" spans="23:23" x14ac:dyDescent="0.55000000000000004">
      <c r="W39283"/>
    </row>
    <row r="39284" spans="23:23" x14ac:dyDescent="0.55000000000000004">
      <c r="W39284"/>
    </row>
    <row r="39285" spans="23:23" x14ac:dyDescent="0.55000000000000004">
      <c r="W39285"/>
    </row>
    <row r="39286" spans="23:23" x14ac:dyDescent="0.55000000000000004">
      <c r="W39286"/>
    </row>
    <row r="39287" spans="23:23" x14ac:dyDescent="0.55000000000000004">
      <c r="W39287"/>
    </row>
    <row r="39288" spans="23:23" x14ac:dyDescent="0.55000000000000004">
      <c r="W39288"/>
    </row>
    <row r="39289" spans="23:23" x14ac:dyDescent="0.55000000000000004">
      <c r="W39289"/>
    </row>
    <row r="39290" spans="23:23" x14ac:dyDescent="0.55000000000000004">
      <c r="W39290"/>
    </row>
    <row r="39291" spans="23:23" x14ac:dyDescent="0.55000000000000004">
      <c r="W39291"/>
    </row>
    <row r="39292" spans="23:23" x14ac:dyDescent="0.55000000000000004">
      <c r="W39292"/>
    </row>
    <row r="39293" spans="23:23" x14ac:dyDescent="0.55000000000000004">
      <c r="W39293"/>
    </row>
    <row r="39294" spans="23:23" x14ac:dyDescent="0.55000000000000004">
      <c r="W39294"/>
    </row>
    <row r="39295" spans="23:23" x14ac:dyDescent="0.55000000000000004">
      <c r="W39295"/>
    </row>
    <row r="39296" spans="23:23" x14ac:dyDescent="0.55000000000000004">
      <c r="W39296"/>
    </row>
    <row r="39297" spans="23:23" x14ac:dyDescent="0.55000000000000004">
      <c r="W39297"/>
    </row>
    <row r="39298" spans="23:23" x14ac:dyDescent="0.55000000000000004">
      <c r="W39298"/>
    </row>
    <row r="39299" spans="23:23" x14ac:dyDescent="0.55000000000000004">
      <c r="W39299"/>
    </row>
    <row r="39300" spans="23:23" x14ac:dyDescent="0.55000000000000004">
      <c r="W39300"/>
    </row>
    <row r="39301" spans="23:23" x14ac:dyDescent="0.55000000000000004">
      <c r="W39301"/>
    </row>
    <row r="39302" spans="23:23" x14ac:dyDescent="0.55000000000000004">
      <c r="W39302"/>
    </row>
    <row r="39303" spans="23:23" x14ac:dyDescent="0.55000000000000004">
      <c r="W39303"/>
    </row>
    <row r="39304" spans="23:23" x14ac:dyDescent="0.55000000000000004">
      <c r="W39304"/>
    </row>
    <row r="39305" spans="23:23" x14ac:dyDescent="0.55000000000000004">
      <c r="W39305"/>
    </row>
    <row r="39306" spans="23:23" x14ac:dyDescent="0.55000000000000004">
      <c r="W39306"/>
    </row>
    <row r="39307" spans="23:23" x14ac:dyDescent="0.55000000000000004">
      <c r="W39307"/>
    </row>
    <row r="39308" spans="23:23" x14ac:dyDescent="0.55000000000000004">
      <c r="W39308"/>
    </row>
    <row r="39309" spans="23:23" x14ac:dyDescent="0.55000000000000004">
      <c r="W39309"/>
    </row>
    <row r="39310" spans="23:23" x14ac:dyDescent="0.55000000000000004">
      <c r="W39310"/>
    </row>
    <row r="39311" spans="23:23" x14ac:dyDescent="0.55000000000000004">
      <c r="W39311"/>
    </row>
    <row r="39312" spans="23:23" x14ac:dyDescent="0.55000000000000004">
      <c r="W39312"/>
    </row>
    <row r="39313" spans="23:23" x14ac:dyDescent="0.55000000000000004">
      <c r="W39313"/>
    </row>
    <row r="39314" spans="23:23" x14ac:dyDescent="0.55000000000000004">
      <c r="W39314"/>
    </row>
    <row r="39315" spans="23:23" x14ac:dyDescent="0.55000000000000004">
      <c r="W39315"/>
    </row>
    <row r="39316" spans="23:23" x14ac:dyDescent="0.55000000000000004">
      <c r="W39316"/>
    </row>
    <row r="39317" spans="23:23" x14ac:dyDescent="0.55000000000000004">
      <c r="W39317"/>
    </row>
    <row r="39318" spans="23:23" x14ac:dyDescent="0.55000000000000004">
      <c r="W39318"/>
    </row>
    <row r="39319" spans="23:23" x14ac:dyDescent="0.55000000000000004">
      <c r="W39319"/>
    </row>
    <row r="39320" spans="23:23" x14ac:dyDescent="0.55000000000000004">
      <c r="W39320"/>
    </row>
    <row r="39321" spans="23:23" x14ac:dyDescent="0.55000000000000004">
      <c r="W39321"/>
    </row>
    <row r="39322" spans="23:23" x14ac:dyDescent="0.55000000000000004">
      <c r="W39322"/>
    </row>
    <row r="39323" spans="23:23" x14ac:dyDescent="0.55000000000000004">
      <c r="W39323"/>
    </row>
    <row r="39324" spans="23:23" x14ac:dyDescent="0.55000000000000004">
      <c r="W39324"/>
    </row>
    <row r="39325" spans="23:23" x14ac:dyDescent="0.55000000000000004">
      <c r="W39325"/>
    </row>
    <row r="39326" spans="23:23" x14ac:dyDescent="0.55000000000000004">
      <c r="W39326"/>
    </row>
    <row r="39327" spans="23:23" x14ac:dyDescent="0.55000000000000004">
      <c r="W39327"/>
    </row>
    <row r="39328" spans="23:23" x14ac:dyDescent="0.55000000000000004">
      <c r="W39328"/>
    </row>
    <row r="39329" spans="23:23" x14ac:dyDescent="0.55000000000000004">
      <c r="W39329"/>
    </row>
    <row r="39330" spans="23:23" x14ac:dyDescent="0.55000000000000004">
      <c r="W39330"/>
    </row>
    <row r="39331" spans="23:23" x14ac:dyDescent="0.55000000000000004">
      <c r="W39331"/>
    </row>
    <row r="39332" spans="23:23" x14ac:dyDescent="0.55000000000000004">
      <c r="W39332"/>
    </row>
    <row r="39333" spans="23:23" x14ac:dyDescent="0.55000000000000004">
      <c r="W39333"/>
    </row>
    <row r="39334" spans="23:23" x14ac:dyDescent="0.55000000000000004">
      <c r="W39334"/>
    </row>
    <row r="39335" spans="23:23" x14ac:dyDescent="0.55000000000000004">
      <c r="W39335"/>
    </row>
    <row r="39336" spans="23:23" x14ac:dyDescent="0.55000000000000004">
      <c r="W39336"/>
    </row>
    <row r="39337" spans="23:23" x14ac:dyDescent="0.55000000000000004">
      <c r="W39337"/>
    </row>
    <row r="39338" spans="23:23" x14ac:dyDescent="0.55000000000000004">
      <c r="W39338"/>
    </row>
    <row r="39339" spans="23:23" x14ac:dyDescent="0.55000000000000004">
      <c r="W39339"/>
    </row>
    <row r="39340" spans="23:23" x14ac:dyDescent="0.55000000000000004">
      <c r="W39340"/>
    </row>
    <row r="39341" spans="23:23" x14ac:dyDescent="0.55000000000000004">
      <c r="W39341"/>
    </row>
    <row r="39342" spans="23:23" x14ac:dyDescent="0.55000000000000004">
      <c r="W39342"/>
    </row>
    <row r="39343" spans="23:23" x14ac:dyDescent="0.55000000000000004">
      <c r="W39343"/>
    </row>
    <row r="39344" spans="23:23" x14ac:dyDescent="0.55000000000000004">
      <c r="W39344"/>
    </row>
    <row r="39345" spans="23:23" x14ac:dyDescent="0.55000000000000004">
      <c r="W39345"/>
    </row>
    <row r="39346" spans="23:23" x14ac:dyDescent="0.55000000000000004">
      <c r="W39346"/>
    </row>
    <row r="39347" spans="23:23" x14ac:dyDescent="0.55000000000000004">
      <c r="W39347"/>
    </row>
    <row r="39348" spans="23:23" x14ac:dyDescent="0.55000000000000004">
      <c r="W39348"/>
    </row>
    <row r="39349" spans="23:23" x14ac:dyDescent="0.55000000000000004">
      <c r="W39349"/>
    </row>
    <row r="39350" spans="23:23" x14ac:dyDescent="0.55000000000000004">
      <c r="W39350"/>
    </row>
    <row r="39351" spans="23:23" x14ac:dyDescent="0.55000000000000004">
      <c r="W39351"/>
    </row>
    <row r="39352" spans="23:23" x14ac:dyDescent="0.55000000000000004">
      <c r="W39352"/>
    </row>
    <row r="39353" spans="23:23" x14ac:dyDescent="0.55000000000000004">
      <c r="W39353"/>
    </row>
    <row r="39354" spans="23:23" x14ac:dyDescent="0.55000000000000004">
      <c r="W39354"/>
    </row>
    <row r="39355" spans="23:23" x14ac:dyDescent="0.55000000000000004">
      <c r="W39355"/>
    </row>
    <row r="39356" spans="23:23" x14ac:dyDescent="0.55000000000000004">
      <c r="W39356"/>
    </row>
    <row r="39357" spans="23:23" x14ac:dyDescent="0.55000000000000004">
      <c r="W39357"/>
    </row>
    <row r="39358" spans="23:23" x14ac:dyDescent="0.55000000000000004">
      <c r="W39358"/>
    </row>
    <row r="39359" spans="23:23" x14ac:dyDescent="0.55000000000000004">
      <c r="W39359"/>
    </row>
    <row r="39360" spans="23:23" x14ac:dyDescent="0.55000000000000004">
      <c r="W39360"/>
    </row>
    <row r="39361" spans="23:23" x14ac:dyDescent="0.55000000000000004">
      <c r="W39361"/>
    </row>
    <row r="39362" spans="23:23" x14ac:dyDescent="0.55000000000000004">
      <c r="W39362"/>
    </row>
    <row r="39363" spans="23:23" x14ac:dyDescent="0.55000000000000004">
      <c r="W39363"/>
    </row>
    <row r="39364" spans="23:23" x14ac:dyDescent="0.55000000000000004">
      <c r="W39364"/>
    </row>
    <row r="39365" spans="23:23" x14ac:dyDescent="0.55000000000000004">
      <c r="W39365"/>
    </row>
    <row r="39366" spans="23:23" x14ac:dyDescent="0.55000000000000004">
      <c r="W39366"/>
    </row>
    <row r="39367" spans="23:23" x14ac:dyDescent="0.55000000000000004">
      <c r="W39367"/>
    </row>
    <row r="39368" spans="23:23" x14ac:dyDescent="0.55000000000000004">
      <c r="W39368"/>
    </row>
    <row r="39369" spans="23:23" x14ac:dyDescent="0.55000000000000004">
      <c r="W39369"/>
    </row>
    <row r="39370" spans="23:23" x14ac:dyDescent="0.55000000000000004">
      <c r="W39370"/>
    </row>
    <row r="39371" spans="23:23" x14ac:dyDescent="0.55000000000000004">
      <c r="W39371"/>
    </row>
    <row r="39372" spans="23:23" x14ac:dyDescent="0.55000000000000004">
      <c r="W39372"/>
    </row>
    <row r="39373" spans="23:23" x14ac:dyDescent="0.55000000000000004">
      <c r="W39373"/>
    </row>
    <row r="39374" spans="23:23" x14ac:dyDescent="0.55000000000000004">
      <c r="W39374"/>
    </row>
    <row r="39375" spans="23:23" x14ac:dyDescent="0.55000000000000004">
      <c r="W39375"/>
    </row>
    <row r="39376" spans="23:23" x14ac:dyDescent="0.55000000000000004">
      <c r="W39376"/>
    </row>
    <row r="39377" spans="23:23" x14ac:dyDescent="0.55000000000000004">
      <c r="W39377"/>
    </row>
    <row r="39378" spans="23:23" x14ac:dyDescent="0.55000000000000004">
      <c r="W39378"/>
    </row>
    <row r="39379" spans="23:23" x14ac:dyDescent="0.55000000000000004">
      <c r="W39379"/>
    </row>
    <row r="39380" spans="23:23" x14ac:dyDescent="0.55000000000000004">
      <c r="W39380"/>
    </row>
    <row r="39381" spans="23:23" x14ac:dyDescent="0.55000000000000004">
      <c r="W39381"/>
    </row>
    <row r="39382" spans="23:23" x14ac:dyDescent="0.55000000000000004">
      <c r="W39382"/>
    </row>
    <row r="39383" spans="23:23" x14ac:dyDescent="0.55000000000000004">
      <c r="W39383"/>
    </row>
    <row r="39384" spans="23:23" x14ac:dyDescent="0.55000000000000004">
      <c r="W39384"/>
    </row>
    <row r="39385" spans="23:23" x14ac:dyDescent="0.55000000000000004">
      <c r="W39385"/>
    </row>
    <row r="39386" spans="23:23" x14ac:dyDescent="0.55000000000000004">
      <c r="W39386"/>
    </row>
    <row r="39387" spans="23:23" x14ac:dyDescent="0.55000000000000004">
      <c r="W39387"/>
    </row>
    <row r="39388" spans="23:23" x14ac:dyDescent="0.55000000000000004">
      <c r="W39388"/>
    </row>
    <row r="39389" spans="23:23" x14ac:dyDescent="0.55000000000000004">
      <c r="W39389"/>
    </row>
    <row r="39390" spans="23:23" x14ac:dyDescent="0.55000000000000004">
      <c r="W39390"/>
    </row>
    <row r="39391" spans="23:23" x14ac:dyDescent="0.55000000000000004">
      <c r="W39391"/>
    </row>
    <row r="39392" spans="23:23" x14ac:dyDescent="0.55000000000000004">
      <c r="W39392"/>
    </row>
    <row r="39393" spans="23:23" x14ac:dyDescent="0.55000000000000004">
      <c r="W39393"/>
    </row>
    <row r="39394" spans="23:23" x14ac:dyDescent="0.55000000000000004">
      <c r="W39394"/>
    </row>
    <row r="39395" spans="23:23" x14ac:dyDescent="0.55000000000000004">
      <c r="W39395"/>
    </row>
    <row r="39396" spans="23:23" x14ac:dyDescent="0.55000000000000004">
      <c r="W39396"/>
    </row>
    <row r="39397" spans="23:23" x14ac:dyDescent="0.55000000000000004">
      <c r="W39397"/>
    </row>
    <row r="39398" spans="23:23" x14ac:dyDescent="0.55000000000000004">
      <c r="W39398"/>
    </row>
    <row r="39399" spans="23:23" x14ac:dyDescent="0.55000000000000004">
      <c r="W39399"/>
    </row>
    <row r="39400" spans="23:23" x14ac:dyDescent="0.55000000000000004">
      <c r="W39400"/>
    </row>
    <row r="39401" spans="23:23" x14ac:dyDescent="0.55000000000000004">
      <c r="W39401"/>
    </row>
    <row r="39402" spans="23:23" x14ac:dyDescent="0.55000000000000004">
      <c r="W39402"/>
    </row>
    <row r="39403" spans="23:23" x14ac:dyDescent="0.55000000000000004">
      <c r="W39403"/>
    </row>
    <row r="39404" spans="23:23" x14ac:dyDescent="0.55000000000000004">
      <c r="W39404"/>
    </row>
    <row r="39405" spans="23:23" x14ac:dyDescent="0.55000000000000004">
      <c r="W39405"/>
    </row>
    <row r="39406" spans="23:23" x14ac:dyDescent="0.55000000000000004">
      <c r="W39406"/>
    </row>
    <row r="39407" spans="23:23" x14ac:dyDescent="0.55000000000000004">
      <c r="W39407"/>
    </row>
    <row r="39408" spans="23:23" x14ac:dyDescent="0.55000000000000004">
      <c r="W39408"/>
    </row>
    <row r="39409" spans="23:23" x14ac:dyDescent="0.55000000000000004">
      <c r="W39409"/>
    </row>
    <row r="39410" spans="23:23" x14ac:dyDescent="0.55000000000000004">
      <c r="W39410"/>
    </row>
    <row r="39411" spans="23:23" x14ac:dyDescent="0.55000000000000004">
      <c r="W39411"/>
    </row>
    <row r="39412" spans="23:23" x14ac:dyDescent="0.55000000000000004">
      <c r="W39412"/>
    </row>
    <row r="39413" spans="23:23" x14ac:dyDescent="0.55000000000000004">
      <c r="W39413"/>
    </row>
    <row r="39414" spans="23:23" x14ac:dyDescent="0.55000000000000004">
      <c r="W39414"/>
    </row>
    <row r="39415" spans="23:23" x14ac:dyDescent="0.55000000000000004">
      <c r="W39415"/>
    </row>
    <row r="39416" spans="23:23" x14ac:dyDescent="0.55000000000000004">
      <c r="W39416"/>
    </row>
    <row r="39417" spans="23:23" x14ac:dyDescent="0.55000000000000004">
      <c r="W39417"/>
    </row>
    <row r="39418" spans="23:23" x14ac:dyDescent="0.55000000000000004">
      <c r="W39418"/>
    </row>
    <row r="39419" spans="23:23" x14ac:dyDescent="0.55000000000000004">
      <c r="W39419"/>
    </row>
    <row r="39420" spans="23:23" x14ac:dyDescent="0.55000000000000004">
      <c r="W39420"/>
    </row>
    <row r="39421" spans="23:23" x14ac:dyDescent="0.55000000000000004">
      <c r="W39421"/>
    </row>
    <row r="39422" spans="23:23" x14ac:dyDescent="0.55000000000000004">
      <c r="W39422"/>
    </row>
    <row r="39423" spans="23:23" x14ac:dyDescent="0.55000000000000004">
      <c r="W39423"/>
    </row>
    <row r="39424" spans="23:23" x14ac:dyDescent="0.55000000000000004">
      <c r="W39424"/>
    </row>
    <row r="39425" spans="23:23" x14ac:dyDescent="0.55000000000000004">
      <c r="W39425"/>
    </row>
    <row r="39426" spans="23:23" x14ac:dyDescent="0.55000000000000004">
      <c r="W39426"/>
    </row>
    <row r="39427" spans="23:23" x14ac:dyDescent="0.55000000000000004">
      <c r="W39427"/>
    </row>
    <row r="39428" spans="23:23" x14ac:dyDescent="0.55000000000000004">
      <c r="W39428"/>
    </row>
    <row r="39429" spans="23:23" x14ac:dyDescent="0.55000000000000004">
      <c r="W39429"/>
    </row>
    <row r="39430" spans="23:23" x14ac:dyDescent="0.55000000000000004">
      <c r="W39430"/>
    </row>
    <row r="39431" spans="23:23" x14ac:dyDescent="0.55000000000000004">
      <c r="W39431"/>
    </row>
    <row r="39432" spans="23:23" x14ac:dyDescent="0.55000000000000004">
      <c r="W39432"/>
    </row>
    <row r="39433" spans="23:23" x14ac:dyDescent="0.55000000000000004">
      <c r="W39433"/>
    </row>
    <row r="39434" spans="23:23" x14ac:dyDescent="0.55000000000000004">
      <c r="W39434"/>
    </row>
    <row r="39435" spans="23:23" x14ac:dyDescent="0.55000000000000004">
      <c r="W39435"/>
    </row>
    <row r="39436" spans="23:23" x14ac:dyDescent="0.55000000000000004">
      <c r="W39436"/>
    </row>
    <row r="39437" spans="23:23" x14ac:dyDescent="0.55000000000000004">
      <c r="W39437"/>
    </row>
    <row r="39438" spans="23:23" x14ac:dyDescent="0.55000000000000004">
      <c r="W39438"/>
    </row>
    <row r="39439" spans="23:23" x14ac:dyDescent="0.55000000000000004">
      <c r="W39439"/>
    </row>
    <row r="39440" spans="23:23" x14ac:dyDescent="0.55000000000000004">
      <c r="W39440"/>
    </row>
    <row r="39441" spans="23:23" x14ac:dyDescent="0.55000000000000004">
      <c r="W39441"/>
    </row>
    <row r="39442" spans="23:23" x14ac:dyDescent="0.55000000000000004">
      <c r="W39442"/>
    </row>
    <row r="39443" spans="23:23" x14ac:dyDescent="0.55000000000000004">
      <c r="W39443"/>
    </row>
    <row r="39444" spans="23:23" x14ac:dyDescent="0.55000000000000004">
      <c r="W39444"/>
    </row>
    <row r="39445" spans="23:23" x14ac:dyDescent="0.55000000000000004">
      <c r="W39445"/>
    </row>
    <row r="39446" spans="23:23" x14ac:dyDescent="0.55000000000000004">
      <c r="W39446"/>
    </row>
    <row r="39447" spans="23:23" x14ac:dyDescent="0.55000000000000004">
      <c r="W39447"/>
    </row>
    <row r="39448" spans="23:23" x14ac:dyDescent="0.55000000000000004">
      <c r="W39448"/>
    </row>
    <row r="39449" spans="23:23" x14ac:dyDescent="0.55000000000000004">
      <c r="W39449"/>
    </row>
    <row r="39450" spans="23:23" x14ac:dyDescent="0.55000000000000004">
      <c r="W39450"/>
    </row>
    <row r="39451" spans="23:23" x14ac:dyDescent="0.55000000000000004">
      <c r="W39451"/>
    </row>
    <row r="39452" spans="23:23" x14ac:dyDescent="0.55000000000000004">
      <c r="W39452"/>
    </row>
    <row r="39453" spans="23:23" x14ac:dyDescent="0.55000000000000004">
      <c r="W39453"/>
    </row>
    <row r="39454" spans="23:23" x14ac:dyDescent="0.55000000000000004">
      <c r="W39454"/>
    </row>
    <row r="39455" spans="23:23" x14ac:dyDescent="0.55000000000000004">
      <c r="W39455"/>
    </row>
    <row r="39456" spans="23:23" x14ac:dyDescent="0.55000000000000004">
      <c r="W39456"/>
    </row>
    <row r="39457" spans="23:23" x14ac:dyDescent="0.55000000000000004">
      <c r="W39457"/>
    </row>
    <row r="39458" spans="23:23" x14ac:dyDescent="0.55000000000000004">
      <c r="W39458"/>
    </row>
    <row r="39459" spans="23:23" x14ac:dyDescent="0.55000000000000004">
      <c r="W39459"/>
    </row>
    <row r="39460" spans="23:23" x14ac:dyDescent="0.55000000000000004">
      <c r="W39460"/>
    </row>
    <row r="39461" spans="23:23" x14ac:dyDescent="0.55000000000000004">
      <c r="W39461"/>
    </row>
    <row r="39462" spans="23:23" x14ac:dyDescent="0.55000000000000004">
      <c r="W39462"/>
    </row>
    <row r="39463" spans="23:23" x14ac:dyDescent="0.55000000000000004">
      <c r="W39463"/>
    </row>
    <row r="39464" spans="23:23" x14ac:dyDescent="0.55000000000000004">
      <c r="W39464"/>
    </row>
    <row r="39465" spans="23:23" x14ac:dyDescent="0.55000000000000004">
      <c r="W39465"/>
    </row>
    <row r="39466" spans="23:23" x14ac:dyDescent="0.55000000000000004">
      <c r="W39466"/>
    </row>
    <row r="39467" spans="23:23" x14ac:dyDescent="0.55000000000000004">
      <c r="W39467"/>
    </row>
    <row r="39468" spans="23:23" x14ac:dyDescent="0.55000000000000004">
      <c r="W39468"/>
    </row>
    <row r="39469" spans="23:23" x14ac:dyDescent="0.55000000000000004">
      <c r="W39469"/>
    </row>
    <row r="39470" spans="23:23" x14ac:dyDescent="0.55000000000000004">
      <c r="W39470"/>
    </row>
    <row r="39471" spans="23:23" x14ac:dyDescent="0.55000000000000004">
      <c r="W39471"/>
    </row>
    <row r="39472" spans="23:23" x14ac:dyDescent="0.55000000000000004">
      <c r="W39472"/>
    </row>
    <row r="39473" spans="23:23" x14ac:dyDescent="0.55000000000000004">
      <c r="W39473"/>
    </row>
    <row r="39474" spans="23:23" x14ac:dyDescent="0.55000000000000004">
      <c r="W39474"/>
    </row>
    <row r="39475" spans="23:23" x14ac:dyDescent="0.55000000000000004">
      <c r="W39475"/>
    </row>
    <row r="39476" spans="23:23" x14ac:dyDescent="0.55000000000000004">
      <c r="W39476"/>
    </row>
    <row r="39477" spans="23:23" x14ac:dyDescent="0.55000000000000004">
      <c r="W39477"/>
    </row>
    <row r="39478" spans="23:23" x14ac:dyDescent="0.55000000000000004">
      <c r="W39478"/>
    </row>
    <row r="39479" spans="23:23" x14ac:dyDescent="0.55000000000000004">
      <c r="W39479"/>
    </row>
    <row r="39480" spans="23:23" x14ac:dyDescent="0.55000000000000004">
      <c r="W39480"/>
    </row>
    <row r="39481" spans="23:23" x14ac:dyDescent="0.55000000000000004">
      <c r="W39481"/>
    </row>
    <row r="39482" spans="23:23" x14ac:dyDescent="0.55000000000000004">
      <c r="W39482"/>
    </row>
    <row r="39483" spans="23:23" x14ac:dyDescent="0.55000000000000004">
      <c r="W39483"/>
    </row>
    <row r="39484" spans="23:23" x14ac:dyDescent="0.55000000000000004">
      <c r="W39484"/>
    </row>
    <row r="39485" spans="23:23" x14ac:dyDescent="0.55000000000000004">
      <c r="W39485"/>
    </row>
    <row r="39486" spans="23:23" x14ac:dyDescent="0.55000000000000004">
      <c r="W39486"/>
    </row>
    <row r="39487" spans="23:23" x14ac:dyDescent="0.55000000000000004">
      <c r="W39487"/>
    </row>
    <row r="39488" spans="23:23" x14ac:dyDescent="0.55000000000000004">
      <c r="W39488"/>
    </row>
    <row r="39489" spans="23:23" x14ac:dyDescent="0.55000000000000004">
      <c r="W39489"/>
    </row>
    <row r="39490" spans="23:23" x14ac:dyDescent="0.55000000000000004">
      <c r="W39490"/>
    </row>
    <row r="39491" spans="23:23" x14ac:dyDescent="0.55000000000000004">
      <c r="W39491"/>
    </row>
    <row r="39492" spans="23:23" x14ac:dyDescent="0.55000000000000004">
      <c r="W39492"/>
    </row>
    <row r="39493" spans="23:23" x14ac:dyDescent="0.55000000000000004">
      <c r="W39493"/>
    </row>
    <row r="39494" spans="23:23" x14ac:dyDescent="0.55000000000000004">
      <c r="W39494"/>
    </row>
    <row r="39495" spans="23:23" x14ac:dyDescent="0.55000000000000004">
      <c r="W39495"/>
    </row>
    <row r="39496" spans="23:23" x14ac:dyDescent="0.55000000000000004">
      <c r="W39496"/>
    </row>
    <row r="39497" spans="23:23" x14ac:dyDescent="0.55000000000000004">
      <c r="W39497"/>
    </row>
    <row r="39498" spans="23:23" x14ac:dyDescent="0.55000000000000004">
      <c r="W39498"/>
    </row>
    <row r="39499" spans="23:23" x14ac:dyDescent="0.55000000000000004">
      <c r="W39499"/>
    </row>
    <row r="39500" spans="23:23" x14ac:dyDescent="0.55000000000000004">
      <c r="W39500"/>
    </row>
    <row r="39501" spans="23:23" x14ac:dyDescent="0.55000000000000004">
      <c r="W39501"/>
    </row>
    <row r="39502" spans="23:23" x14ac:dyDescent="0.55000000000000004">
      <c r="W39502"/>
    </row>
    <row r="39503" spans="23:23" x14ac:dyDescent="0.55000000000000004">
      <c r="W39503"/>
    </row>
    <row r="39504" spans="23:23" x14ac:dyDescent="0.55000000000000004">
      <c r="W39504"/>
    </row>
    <row r="39505" spans="23:23" x14ac:dyDescent="0.55000000000000004">
      <c r="W39505"/>
    </row>
    <row r="39506" spans="23:23" x14ac:dyDescent="0.55000000000000004">
      <c r="W39506"/>
    </row>
    <row r="39507" spans="23:23" x14ac:dyDescent="0.55000000000000004">
      <c r="W39507"/>
    </row>
    <row r="39508" spans="23:23" x14ac:dyDescent="0.55000000000000004">
      <c r="W39508"/>
    </row>
    <row r="39509" spans="23:23" x14ac:dyDescent="0.55000000000000004">
      <c r="W39509"/>
    </row>
    <row r="39510" spans="23:23" x14ac:dyDescent="0.55000000000000004">
      <c r="W39510"/>
    </row>
    <row r="39511" spans="23:23" x14ac:dyDescent="0.55000000000000004">
      <c r="W39511"/>
    </row>
    <row r="39512" spans="23:23" x14ac:dyDescent="0.55000000000000004">
      <c r="W39512"/>
    </row>
    <row r="39513" spans="23:23" x14ac:dyDescent="0.55000000000000004">
      <c r="W39513"/>
    </row>
    <row r="39514" spans="23:23" x14ac:dyDescent="0.55000000000000004">
      <c r="W39514"/>
    </row>
    <row r="39515" spans="23:23" x14ac:dyDescent="0.55000000000000004">
      <c r="W39515"/>
    </row>
    <row r="39516" spans="23:23" x14ac:dyDescent="0.55000000000000004">
      <c r="W39516"/>
    </row>
    <row r="39517" spans="23:23" x14ac:dyDescent="0.55000000000000004">
      <c r="W39517"/>
    </row>
    <row r="39518" spans="23:23" x14ac:dyDescent="0.55000000000000004">
      <c r="W39518"/>
    </row>
    <row r="39519" spans="23:23" x14ac:dyDescent="0.55000000000000004">
      <c r="W39519"/>
    </row>
    <row r="39520" spans="23:23" x14ac:dyDescent="0.55000000000000004">
      <c r="W39520"/>
    </row>
    <row r="39521" spans="23:23" x14ac:dyDescent="0.55000000000000004">
      <c r="W39521"/>
    </row>
    <row r="39522" spans="23:23" x14ac:dyDescent="0.55000000000000004">
      <c r="W39522"/>
    </row>
    <row r="39523" spans="23:23" x14ac:dyDescent="0.55000000000000004">
      <c r="W39523"/>
    </row>
    <row r="39524" spans="23:23" x14ac:dyDescent="0.55000000000000004">
      <c r="W39524"/>
    </row>
    <row r="39525" spans="23:23" x14ac:dyDescent="0.55000000000000004">
      <c r="W39525"/>
    </row>
    <row r="39526" spans="23:23" x14ac:dyDescent="0.55000000000000004">
      <c r="W39526"/>
    </row>
    <row r="39527" spans="23:23" x14ac:dyDescent="0.55000000000000004">
      <c r="W39527"/>
    </row>
    <row r="39528" spans="23:23" x14ac:dyDescent="0.55000000000000004">
      <c r="W39528"/>
    </row>
    <row r="39529" spans="23:23" x14ac:dyDescent="0.55000000000000004">
      <c r="W39529"/>
    </row>
    <row r="39530" spans="23:23" x14ac:dyDescent="0.55000000000000004">
      <c r="W39530"/>
    </row>
    <row r="39531" spans="23:23" x14ac:dyDescent="0.55000000000000004">
      <c r="W39531"/>
    </row>
    <row r="39532" spans="23:23" x14ac:dyDescent="0.55000000000000004">
      <c r="W39532"/>
    </row>
    <row r="39533" spans="23:23" x14ac:dyDescent="0.55000000000000004">
      <c r="W39533"/>
    </row>
    <row r="39534" spans="23:23" x14ac:dyDescent="0.55000000000000004">
      <c r="W39534"/>
    </row>
    <row r="39535" spans="23:23" x14ac:dyDescent="0.55000000000000004">
      <c r="W39535"/>
    </row>
    <row r="39536" spans="23:23" x14ac:dyDescent="0.55000000000000004">
      <c r="W39536"/>
    </row>
    <row r="39537" spans="23:23" x14ac:dyDescent="0.55000000000000004">
      <c r="W39537"/>
    </row>
    <row r="39538" spans="23:23" x14ac:dyDescent="0.55000000000000004">
      <c r="W39538"/>
    </row>
    <row r="39539" spans="23:23" x14ac:dyDescent="0.55000000000000004">
      <c r="W39539"/>
    </row>
    <row r="39540" spans="23:23" x14ac:dyDescent="0.55000000000000004">
      <c r="W39540"/>
    </row>
    <row r="39541" spans="23:23" x14ac:dyDescent="0.55000000000000004">
      <c r="W39541"/>
    </row>
    <row r="39542" spans="23:23" x14ac:dyDescent="0.55000000000000004">
      <c r="W39542"/>
    </row>
    <row r="39543" spans="23:23" x14ac:dyDescent="0.55000000000000004">
      <c r="W39543"/>
    </row>
    <row r="39544" spans="23:23" x14ac:dyDescent="0.55000000000000004">
      <c r="W39544"/>
    </row>
    <row r="39545" spans="23:23" x14ac:dyDescent="0.55000000000000004">
      <c r="W39545"/>
    </row>
    <row r="39546" spans="23:23" x14ac:dyDescent="0.55000000000000004">
      <c r="W39546"/>
    </row>
    <row r="39547" spans="23:23" x14ac:dyDescent="0.55000000000000004">
      <c r="W39547"/>
    </row>
    <row r="39548" spans="23:23" x14ac:dyDescent="0.55000000000000004">
      <c r="W39548"/>
    </row>
    <row r="39549" spans="23:23" x14ac:dyDescent="0.55000000000000004">
      <c r="W39549"/>
    </row>
    <row r="39550" spans="23:23" x14ac:dyDescent="0.55000000000000004">
      <c r="W39550"/>
    </row>
    <row r="39551" spans="23:23" x14ac:dyDescent="0.55000000000000004">
      <c r="W39551"/>
    </row>
    <row r="39552" spans="23:23" x14ac:dyDescent="0.55000000000000004">
      <c r="W39552"/>
    </row>
    <row r="39553" spans="23:23" x14ac:dyDescent="0.55000000000000004">
      <c r="W39553"/>
    </row>
    <row r="39554" spans="23:23" x14ac:dyDescent="0.55000000000000004">
      <c r="W39554"/>
    </row>
    <row r="39555" spans="23:23" x14ac:dyDescent="0.55000000000000004">
      <c r="W39555"/>
    </row>
    <row r="39556" spans="23:23" x14ac:dyDescent="0.55000000000000004">
      <c r="W39556"/>
    </row>
    <row r="39557" spans="23:23" x14ac:dyDescent="0.55000000000000004">
      <c r="W39557"/>
    </row>
    <row r="39558" spans="23:23" x14ac:dyDescent="0.55000000000000004">
      <c r="W39558"/>
    </row>
    <row r="39559" spans="23:23" x14ac:dyDescent="0.55000000000000004">
      <c r="W39559"/>
    </row>
    <row r="39560" spans="23:23" x14ac:dyDescent="0.55000000000000004">
      <c r="W39560"/>
    </row>
    <row r="39561" spans="23:23" x14ac:dyDescent="0.55000000000000004">
      <c r="W39561"/>
    </row>
    <row r="39562" spans="23:23" x14ac:dyDescent="0.55000000000000004">
      <c r="W39562"/>
    </row>
    <row r="39563" spans="23:23" x14ac:dyDescent="0.55000000000000004">
      <c r="W39563"/>
    </row>
    <row r="39564" spans="23:23" x14ac:dyDescent="0.55000000000000004">
      <c r="W39564"/>
    </row>
    <row r="39565" spans="23:23" x14ac:dyDescent="0.55000000000000004">
      <c r="W39565"/>
    </row>
    <row r="39566" spans="23:23" x14ac:dyDescent="0.55000000000000004">
      <c r="W39566"/>
    </row>
    <row r="39567" spans="23:23" x14ac:dyDescent="0.55000000000000004">
      <c r="W39567"/>
    </row>
    <row r="39568" spans="23:23" x14ac:dyDescent="0.55000000000000004">
      <c r="W39568"/>
    </row>
    <row r="39569" spans="23:23" x14ac:dyDescent="0.55000000000000004">
      <c r="W39569"/>
    </row>
    <row r="39570" spans="23:23" x14ac:dyDescent="0.55000000000000004">
      <c r="W39570"/>
    </row>
    <row r="39571" spans="23:23" x14ac:dyDescent="0.55000000000000004">
      <c r="W39571"/>
    </row>
    <row r="39572" spans="23:23" x14ac:dyDescent="0.55000000000000004">
      <c r="W39572"/>
    </row>
    <row r="39573" spans="23:23" x14ac:dyDescent="0.55000000000000004">
      <c r="W39573"/>
    </row>
    <row r="39574" spans="23:23" x14ac:dyDescent="0.55000000000000004">
      <c r="W39574"/>
    </row>
    <row r="39575" spans="23:23" x14ac:dyDescent="0.55000000000000004">
      <c r="W39575"/>
    </row>
    <row r="39576" spans="23:23" x14ac:dyDescent="0.55000000000000004">
      <c r="W39576"/>
    </row>
    <row r="39577" spans="23:23" x14ac:dyDescent="0.55000000000000004">
      <c r="W39577"/>
    </row>
    <row r="39578" spans="23:23" x14ac:dyDescent="0.55000000000000004">
      <c r="W39578"/>
    </row>
    <row r="39579" spans="23:23" x14ac:dyDescent="0.55000000000000004">
      <c r="W39579"/>
    </row>
    <row r="39580" spans="23:23" x14ac:dyDescent="0.55000000000000004">
      <c r="W39580"/>
    </row>
    <row r="39581" spans="23:23" x14ac:dyDescent="0.55000000000000004">
      <c r="W39581"/>
    </row>
    <row r="39582" spans="23:23" x14ac:dyDescent="0.55000000000000004">
      <c r="W39582"/>
    </row>
    <row r="39583" spans="23:23" x14ac:dyDescent="0.55000000000000004">
      <c r="W39583"/>
    </row>
    <row r="39584" spans="23:23" x14ac:dyDescent="0.55000000000000004">
      <c r="W39584"/>
    </row>
    <row r="39585" spans="23:23" x14ac:dyDescent="0.55000000000000004">
      <c r="W39585"/>
    </row>
    <row r="39586" spans="23:23" x14ac:dyDescent="0.55000000000000004">
      <c r="W39586"/>
    </row>
    <row r="39587" spans="23:23" x14ac:dyDescent="0.55000000000000004">
      <c r="W39587"/>
    </row>
    <row r="39588" spans="23:23" x14ac:dyDescent="0.55000000000000004">
      <c r="W39588"/>
    </row>
    <row r="39589" spans="23:23" x14ac:dyDescent="0.55000000000000004">
      <c r="W39589"/>
    </row>
    <row r="39590" spans="23:23" x14ac:dyDescent="0.55000000000000004">
      <c r="W39590"/>
    </row>
    <row r="39591" spans="23:23" x14ac:dyDescent="0.55000000000000004">
      <c r="W39591"/>
    </row>
    <row r="39592" spans="23:23" x14ac:dyDescent="0.55000000000000004">
      <c r="W39592"/>
    </row>
    <row r="39593" spans="23:23" x14ac:dyDescent="0.55000000000000004">
      <c r="W39593"/>
    </row>
    <row r="39594" spans="23:23" x14ac:dyDescent="0.55000000000000004">
      <c r="W39594"/>
    </row>
    <row r="39595" spans="23:23" x14ac:dyDescent="0.55000000000000004">
      <c r="W39595"/>
    </row>
    <row r="39596" spans="23:23" x14ac:dyDescent="0.55000000000000004">
      <c r="W39596"/>
    </row>
    <row r="39597" spans="23:23" x14ac:dyDescent="0.55000000000000004">
      <c r="W39597"/>
    </row>
    <row r="39598" spans="23:23" x14ac:dyDescent="0.55000000000000004">
      <c r="W39598"/>
    </row>
    <row r="39599" spans="23:23" x14ac:dyDescent="0.55000000000000004">
      <c r="W39599"/>
    </row>
    <row r="39600" spans="23:23" x14ac:dyDescent="0.55000000000000004">
      <c r="W39600"/>
    </row>
    <row r="39601" spans="23:23" x14ac:dyDescent="0.55000000000000004">
      <c r="W39601"/>
    </row>
    <row r="39602" spans="23:23" x14ac:dyDescent="0.55000000000000004">
      <c r="W39602"/>
    </row>
    <row r="39603" spans="23:23" x14ac:dyDescent="0.55000000000000004">
      <c r="W39603"/>
    </row>
    <row r="39604" spans="23:23" x14ac:dyDescent="0.55000000000000004">
      <c r="W39604"/>
    </row>
    <row r="39605" spans="23:23" x14ac:dyDescent="0.55000000000000004">
      <c r="W39605"/>
    </row>
    <row r="39606" spans="23:23" x14ac:dyDescent="0.55000000000000004">
      <c r="W39606"/>
    </row>
    <row r="39607" spans="23:23" x14ac:dyDescent="0.55000000000000004">
      <c r="W39607"/>
    </row>
    <row r="39608" spans="23:23" x14ac:dyDescent="0.55000000000000004">
      <c r="W39608"/>
    </row>
    <row r="39609" spans="23:23" x14ac:dyDescent="0.55000000000000004">
      <c r="W39609"/>
    </row>
    <row r="39610" spans="23:23" x14ac:dyDescent="0.55000000000000004">
      <c r="W39610"/>
    </row>
    <row r="39611" spans="23:23" x14ac:dyDescent="0.55000000000000004">
      <c r="W39611"/>
    </row>
    <row r="39612" spans="23:23" x14ac:dyDescent="0.55000000000000004">
      <c r="W39612"/>
    </row>
    <row r="39613" spans="23:23" x14ac:dyDescent="0.55000000000000004">
      <c r="W39613"/>
    </row>
    <row r="39614" spans="23:23" x14ac:dyDescent="0.55000000000000004">
      <c r="W39614"/>
    </row>
    <row r="39615" spans="23:23" x14ac:dyDescent="0.55000000000000004">
      <c r="W39615"/>
    </row>
    <row r="39616" spans="23:23" x14ac:dyDescent="0.55000000000000004">
      <c r="W39616"/>
    </row>
    <row r="39617" spans="23:23" x14ac:dyDescent="0.55000000000000004">
      <c r="W39617"/>
    </row>
    <row r="39618" spans="23:23" x14ac:dyDescent="0.55000000000000004">
      <c r="W39618"/>
    </row>
    <row r="39619" spans="23:23" x14ac:dyDescent="0.55000000000000004">
      <c r="W39619"/>
    </row>
    <row r="39620" spans="23:23" x14ac:dyDescent="0.55000000000000004">
      <c r="W39620"/>
    </row>
    <row r="39621" spans="23:23" x14ac:dyDescent="0.55000000000000004">
      <c r="W39621"/>
    </row>
    <row r="39622" spans="23:23" x14ac:dyDescent="0.55000000000000004">
      <c r="W39622"/>
    </row>
    <row r="39623" spans="23:23" x14ac:dyDescent="0.55000000000000004">
      <c r="W39623"/>
    </row>
    <row r="39624" spans="23:23" x14ac:dyDescent="0.55000000000000004">
      <c r="W39624"/>
    </row>
    <row r="39625" spans="23:23" x14ac:dyDescent="0.55000000000000004">
      <c r="W39625"/>
    </row>
    <row r="39626" spans="23:23" x14ac:dyDescent="0.55000000000000004">
      <c r="W39626"/>
    </row>
    <row r="39627" spans="23:23" x14ac:dyDescent="0.55000000000000004">
      <c r="W39627"/>
    </row>
    <row r="39628" spans="23:23" x14ac:dyDescent="0.55000000000000004">
      <c r="W39628"/>
    </row>
    <row r="39629" spans="23:23" x14ac:dyDescent="0.55000000000000004">
      <c r="W39629"/>
    </row>
    <row r="39630" spans="23:23" x14ac:dyDescent="0.55000000000000004">
      <c r="W39630"/>
    </row>
    <row r="39631" spans="23:23" x14ac:dyDescent="0.55000000000000004">
      <c r="W39631"/>
    </row>
    <row r="39632" spans="23:23" x14ac:dyDescent="0.55000000000000004">
      <c r="W39632"/>
    </row>
    <row r="39633" spans="23:23" x14ac:dyDescent="0.55000000000000004">
      <c r="W39633"/>
    </row>
    <row r="39634" spans="23:23" x14ac:dyDescent="0.55000000000000004">
      <c r="W39634"/>
    </row>
    <row r="39635" spans="23:23" x14ac:dyDescent="0.55000000000000004">
      <c r="W39635"/>
    </row>
    <row r="39636" spans="23:23" x14ac:dyDescent="0.55000000000000004">
      <c r="W39636"/>
    </row>
    <row r="39637" spans="23:23" x14ac:dyDescent="0.55000000000000004">
      <c r="W39637"/>
    </row>
    <row r="39638" spans="23:23" x14ac:dyDescent="0.55000000000000004">
      <c r="W39638"/>
    </row>
    <row r="39639" spans="23:23" x14ac:dyDescent="0.55000000000000004">
      <c r="W39639"/>
    </row>
    <row r="39640" spans="23:23" x14ac:dyDescent="0.55000000000000004">
      <c r="W39640"/>
    </row>
    <row r="39641" spans="23:23" x14ac:dyDescent="0.55000000000000004">
      <c r="W39641"/>
    </row>
    <row r="39642" spans="23:23" x14ac:dyDescent="0.55000000000000004">
      <c r="W39642"/>
    </row>
    <row r="39643" spans="23:23" x14ac:dyDescent="0.55000000000000004">
      <c r="W39643"/>
    </row>
    <row r="39644" spans="23:23" x14ac:dyDescent="0.55000000000000004">
      <c r="W39644"/>
    </row>
    <row r="39645" spans="23:23" x14ac:dyDescent="0.55000000000000004">
      <c r="W39645"/>
    </row>
    <row r="39646" spans="23:23" x14ac:dyDescent="0.55000000000000004">
      <c r="W39646"/>
    </row>
    <row r="39647" spans="23:23" x14ac:dyDescent="0.55000000000000004">
      <c r="W39647"/>
    </row>
    <row r="39648" spans="23:23" x14ac:dyDescent="0.55000000000000004">
      <c r="W39648"/>
    </row>
    <row r="39649" spans="23:23" x14ac:dyDescent="0.55000000000000004">
      <c r="W39649"/>
    </row>
    <row r="39650" spans="23:23" x14ac:dyDescent="0.55000000000000004">
      <c r="W39650"/>
    </row>
    <row r="39651" spans="23:23" x14ac:dyDescent="0.55000000000000004">
      <c r="W39651"/>
    </row>
    <row r="39652" spans="23:23" x14ac:dyDescent="0.55000000000000004">
      <c r="W39652"/>
    </row>
    <row r="39653" spans="23:23" x14ac:dyDescent="0.55000000000000004">
      <c r="W39653"/>
    </row>
    <row r="39654" spans="23:23" x14ac:dyDescent="0.55000000000000004">
      <c r="W39654"/>
    </row>
    <row r="39655" spans="23:23" x14ac:dyDescent="0.55000000000000004">
      <c r="W39655"/>
    </row>
    <row r="39656" spans="23:23" x14ac:dyDescent="0.55000000000000004">
      <c r="W39656"/>
    </row>
    <row r="39657" spans="23:23" x14ac:dyDescent="0.55000000000000004">
      <c r="W39657"/>
    </row>
    <row r="39658" spans="23:23" x14ac:dyDescent="0.55000000000000004">
      <c r="W39658"/>
    </row>
    <row r="39659" spans="23:23" x14ac:dyDescent="0.55000000000000004">
      <c r="W39659"/>
    </row>
    <row r="39660" spans="23:23" x14ac:dyDescent="0.55000000000000004">
      <c r="W39660"/>
    </row>
    <row r="39661" spans="23:23" x14ac:dyDescent="0.55000000000000004">
      <c r="W39661"/>
    </row>
    <row r="39662" spans="23:23" x14ac:dyDescent="0.55000000000000004">
      <c r="W39662"/>
    </row>
    <row r="39663" spans="23:23" x14ac:dyDescent="0.55000000000000004">
      <c r="W39663"/>
    </row>
    <row r="39664" spans="23:23" x14ac:dyDescent="0.55000000000000004">
      <c r="W39664"/>
    </row>
    <row r="39665" spans="23:23" x14ac:dyDescent="0.55000000000000004">
      <c r="W39665"/>
    </row>
    <row r="39666" spans="23:23" x14ac:dyDescent="0.55000000000000004">
      <c r="W39666"/>
    </row>
    <row r="39667" spans="23:23" x14ac:dyDescent="0.55000000000000004">
      <c r="W39667"/>
    </row>
    <row r="39668" spans="23:23" x14ac:dyDescent="0.55000000000000004">
      <c r="W39668"/>
    </row>
    <row r="39669" spans="23:23" x14ac:dyDescent="0.55000000000000004">
      <c r="W39669"/>
    </row>
    <row r="39670" spans="23:23" x14ac:dyDescent="0.55000000000000004">
      <c r="W39670"/>
    </row>
    <row r="39671" spans="23:23" x14ac:dyDescent="0.55000000000000004">
      <c r="W39671"/>
    </row>
    <row r="39672" spans="23:23" x14ac:dyDescent="0.55000000000000004">
      <c r="W39672"/>
    </row>
    <row r="39673" spans="23:23" x14ac:dyDescent="0.55000000000000004">
      <c r="W39673"/>
    </row>
    <row r="39674" spans="23:23" x14ac:dyDescent="0.55000000000000004">
      <c r="W39674"/>
    </row>
    <row r="39675" spans="23:23" x14ac:dyDescent="0.55000000000000004">
      <c r="W39675"/>
    </row>
    <row r="39676" spans="23:23" x14ac:dyDescent="0.55000000000000004">
      <c r="W39676"/>
    </row>
    <row r="39677" spans="23:23" x14ac:dyDescent="0.55000000000000004">
      <c r="W39677"/>
    </row>
    <row r="39678" spans="23:23" x14ac:dyDescent="0.55000000000000004">
      <c r="W39678"/>
    </row>
    <row r="39679" spans="23:23" x14ac:dyDescent="0.55000000000000004">
      <c r="W39679"/>
    </row>
    <row r="39680" spans="23:23" x14ac:dyDescent="0.55000000000000004">
      <c r="W39680"/>
    </row>
    <row r="39681" spans="23:23" x14ac:dyDescent="0.55000000000000004">
      <c r="W39681"/>
    </row>
    <row r="39682" spans="23:23" x14ac:dyDescent="0.55000000000000004">
      <c r="W39682"/>
    </row>
    <row r="39683" spans="23:23" x14ac:dyDescent="0.55000000000000004">
      <c r="W39683"/>
    </row>
    <row r="39684" spans="23:23" x14ac:dyDescent="0.55000000000000004">
      <c r="W39684"/>
    </row>
    <row r="39685" spans="23:23" x14ac:dyDescent="0.55000000000000004">
      <c r="W39685"/>
    </row>
    <row r="39686" spans="23:23" x14ac:dyDescent="0.55000000000000004">
      <c r="W39686"/>
    </row>
    <row r="39687" spans="23:23" x14ac:dyDescent="0.55000000000000004">
      <c r="W39687"/>
    </row>
    <row r="39688" spans="23:23" x14ac:dyDescent="0.55000000000000004">
      <c r="W39688"/>
    </row>
    <row r="39689" spans="23:23" x14ac:dyDescent="0.55000000000000004">
      <c r="W39689"/>
    </row>
    <row r="39690" spans="23:23" x14ac:dyDescent="0.55000000000000004">
      <c r="W39690"/>
    </row>
    <row r="39691" spans="23:23" x14ac:dyDescent="0.55000000000000004">
      <c r="W39691"/>
    </row>
    <row r="39692" spans="23:23" x14ac:dyDescent="0.55000000000000004">
      <c r="W39692"/>
    </row>
    <row r="39693" spans="23:23" x14ac:dyDescent="0.55000000000000004">
      <c r="W39693"/>
    </row>
    <row r="39694" spans="23:23" x14ac:dyDescent="0.55000000000000004">
      <c r="W39694"/>
    </row>
    <row r="39695" spans="23:23" x14ac:dyDescent="0.55000000000000004">
      <c r="W39695"/>
    </row>
    <row r="39696" spans="23:23" x14ac:dyDescent="0.55000000000000004">
      <c r="W39696"/>
    </row>
    <row r="39697" spans="23:23" x14ac:dyDescent="0.55000000000000004">
      <c r="W39697"/>
    </row>
    <row r="39698" spans="23:23" x14ac:dyDescent="0.55000000000000004">
      <c r="W39698"/>
    </row>
    <row r="39699" spans="23:23" x14ac:dyDescent="0.55000000000000004">
      <c r="W39699"/>
    </row>
    <row r="39700" spans="23:23" x14ac:dyDescent="0.55000000000000004">
      <c r="W39700"/>
    </row>
    <row r="39701" spans="23:23" x14ac:dyDescent="0.55000000000000004">
      <c r="W39701"/>
    </row>
    <row r="39702" spans="23:23" x14ac:dyDescent="0.55000000000000004">
      <c r="W39702"/>
    </row>
    <row r="39703" spans="23:23" x14ac:dyDescent="0.55000000000000004">
      <c r="W39703"/>
    </row>
    <row r="39704" spans="23:23" x14ac:dyDescent="0.55000000000000004">
      <c r="W39704"/>
    </row>
    <row r="39705" spans="23:23" x14ac:dyDescent="0.55000000000000004">
      <c r="W39705"/>
    </row>
    <row r="39706" spans="23:23" x14ac:dyDescent="0.55000000000000004">
      <c r="W39706"/>
    </row>
    <row r="39707" spans="23:23" x14ac:dyDescent="0.55000000000000004">
      <c r="W39707"/>
    </row>
    <row r="39708" spans="23:23" x14ac:dyDescent="0.55000000000000004">
      <c r="W39708"/>
    </row>
    <row r="39709" spans="23:23" x14ac:dyDescent="0.55000000000000004">
      <c r="W39709"/>
    </row>
    <row r="39710" spans="23:23" x14ac:dyDescent="0.55000000000000004">
      <c r="W39710"/>
    </row>
    <row r="39711" spans="23:23" x14ac:dyDescent="0.55000000000000004">
      <c r="W39711"/>
    </row>
    <row r="39712" spans="23:23" x14ac:dyDescent="0.55000000000000004">
      <c r="W39712"/>
    </row>
    <row r="39713" spans="23:23" x14ac:dyDescent="0.55000000000000004">
      <c r="W39713"/>
    </row>
    <row r="39714" spans="23:23" x14ac:dyDescent="0.55000000000000004">
      <c r="W39714"/>
    </row>
    <row r="39715" spans="23:23" x14ac:dyDescent="0.55000000000000004">
      <c r="W39715"/>
    </row>
    <row r="39716" spans="23:23" x14ac:dyDescent="0.55000000000000004">
      <c r="W39716"/>
    </row>
    <row r="39717" spans="23:23" x14ac:dyDescent="0.55000000000000004">
      <c r="W39717"/>
    </row>
    <row r="39718" spans="23:23" x14ac:dyDescent="0.55000000000000004">
      <c r="W39718"/>
    </row>
    <row r="39719" spans="23:23" x14ac:dyDescent="0.55000000000000004">
      <c r="W39719"/>
    </row>
    <row r="39720" spans="23:23" x14ac:dyDescent="0.55000000000000004">
      <c r="W39720"/>
    </row>
    <row r="39721" spans="23:23" x14ac:dyDescent="0.55000000000000004">
      <c r="W39721"/>
    </row>
    <row r="39722" spans="23:23" x14ac:dyDescent="0.55000000000000004">
      <c r="W39722"/>
    </row>
    <row r="39723" spans="23:23" x14ac:dyDescent="0.55000000000000004">
      <c r="W39723"/>
    </row>
    <row r="39724" spans="23:23" x14ac:dyDescent="0.55000000000000004">
      <c r="W39724"/>
    </row>
    <row r="39725" spans="23:23" x14ac:dyDescent="0.55000000000000004">
      <c r="W39725"/>
    </row>
    <row r="39726" spans="23:23" x14ac:dyDescent="0.55000000000000004">
      <c r="W39726"/>
    </row>
    <row r="39727" spans="23:23" x14ac:dyDescent="0.55000000000000004">
      <c r="W39727"/>
    </row>
    <row r="39728" spans="23:23" x14ac:dyDescent="0.55000000000000004">
      <c r="W39728"/>
    </row>
    <row r="39729" spans="23:23" x14ac:dyDescent="0.55000000000000004">
      <c r="W39729"/>
    </row>
    <row r="39730" spans="23:23" x14ac:dyDescent="0.55000000000000004">
      <c r="W39730"/>
    </row>
    <row r="39731" spans="23:23" x14ac:dyDescent="0.55000000000000004">
      <c r="W39731"/>
    </row>
    <row r="39732" spans="23:23" x14ac:dyDescent="0.55000000000000004">
      <c r="W39732"/>
    </row>
    <row r="39733" spans="23:23" x14ac:dyDescent="0.55000000000000004">
      <c r="W39733"/>
    </row>
    <row r="39734" spans="23:23" x14ac:dyDescent="0.55000000000000004">
      <c r="W39734"/>
    </row>
    <row r="39735" spans="23:23" x14ac:dyDescent="0.55000000000000004">
      <c r="W39735"/>
    </row>
    <row r="39736" spans="23:23" x14ac:dyDescent="0.55000000000000004">
      <c r="W39736"/>
    </row>
    <row r="39737" spans="23:23" x14ac:dyDescent="0.55000000000000004">
      <c r="W39737"/>
    </row>
    <row r="39738" spans="23:23" x14ac:dyDescent="0.55000000000000004">
      <c r="W39738"/>
    </row>
    <row r="39739" spans="23:23" x14ac:dyDescent="0.55000000000000004">
      <c r="W39739"/>
    </row>
    <row r="39740" spans="23:23" x14ac:dyDescent="0.55000000000000004">
      <c r="W39740"/>
    </row>
    <row r="39741" spans="23:23" x14ac:dyDescent="0.55000000000000004">
      <c r="W39741"/>
    </row>
    <row r="39742" spans="23:23" x14ac:dyDescent="0.55000000000000004">
      <c r="W39742"/>
    </row>
    <row r="39743" spans="23:23" x14ac:dyDescent="0.55000000000000004">
      <c r="W39743"/>
    </row>
    <row r="39744" spans="23:23" x14ac:dyDescent="0.55000000000000004">
      <c r="W39744"/>
    </row>
    <row r="39745" spans="23:23" x14ac:dyDescent="0.55000000000000004">
      <c r="W39745"/>
    </row>
    <row r="39746" spans="23:23" x14ac:dyDescent="0.55000000000000004">
      <c r="W39746"/>
    </row>
    <row r="39747" spans="23:23" x14ac:dyDescent="0.55000000000000004">
      <c r="W39747"/>
    </row>
    <row r="39748" spans="23:23" x14ac:dyDescent="0.55000000000000004">
      <c r="W39748"/>
    </row>
    <row r="39749" spans="23:23" x14ac:dyDescent="0.55000000000000004">
      <c r="W39749"/>
    </row>
    <row r="39750" spans="23:23" x14ac:dyDescent="0.55000000000000004">
      <c r="W39750"/>
    </row>
    <row r="39751" spans="23:23" x14ac:dyDescent="0.55000000000000004">
      <c r="W39751"/>
    </row>
    <row r="39752" spans="23:23" x14ac:dyDescent="0.55000000000000004">
      <c r="W39752"/>
    </row>
    <row r="39753" spans="23:23" x14ac:dyDescent="0.55000000000000004">
      <c r="W39753"/>
    </row>
    <row r="39754" spans="23:23" x14ac:dyDescent="0.55000000000000004">
      <c r="W39754"/>
    </row>
    <row r="39755" spans="23:23" x14ac:dyDescent="0.55000000000000004">
      <c r="W39755"/>
    </row>
    <row r="39756" spans="23:23" x14ac:dyDescent="0.55000000000000004">
      <c r="W39756"/>
    </row>
    <row r="39757" spans="23:23" x14ac:dyDescent="0.55000000000000004">
      <c r="W39757"/>
    </row>
    <row r="39758" spans="23:23" x14ac:dyDescent="0.55000000000000004">
      <c r="W39758"/>
    </row>
    <row r="39759" spans="23:23" x14ac:dyDescent="0.55000000000000004">
      <c r="W39759"/>
    </row>
    <row r="39760" spans="23:23" x14ac:dyDescent="0.55000000000000004">
      <c r="W39760"/>
    </row>
    <row r="39761" spans="23:23" x14ac:dyDescent="0.55000000000000004">
      <c r="W39761"/>
    </row>
    <row r="39762" spans="23:23" x14ac:dyDescent="0.55000000000000004">
      <c r="W39762"/>
    </row>
    <row r="39763" spans="23:23" x14ac:dyDescent="0.55000000000000004">
      <c r="W39763"/>
    </row>
    <row r="39764" spans="23:23" x14ac:dyDescent="0.55000000000000004">
      <c r="W39764"/>
    </row>
    <row r="39765" spans="23:23" x14ac:dyDescent="0.55000000000000004">
      <c r="W39765"/>
    </row>
    <row r="39766" spans="23:23" x14ac:dyDescent="0.55000000000000004">
      <c r="W39766"/>
    </row>
    <row r="39767" spans="23:23" x14ac:dyDescent="0.55000000000000004">
      <c r="W39767"/>
    </row>
    <row r="39768" spans="23:23" x14ac:dyDescent="0.55000000000000004">
      <c r="W39768"/>
    </row>
    <row r="39769" spans="23:23" x14ac:dyDescent="0.55000000000000004">
      <c r="W39769"/>
    </row>
    <row r="39770" spans="23:23" x14ac:dyDescent="0.55000000000000004">
      <c r="W39770"/>
    </row>
    <row r="39771" spans="23:23" x14ac:dyDescent="0.55000000000000004">
      <c r="W39771"/>
    </row>
    <row r="39772" spans="23:23" x14ac:dyDescent="0.55000000000000004">
      <c r="W39772"/>
    </row>
    <row r="39773" spans="23:23" x14ac:dyDescent="0.55000000000000004">
      <c r="W39773"/>
    </row>
    <row r="39774" spans="23:23" x14ac:dyDescent="0.55000000000000004">
      <c r="W39774"/>
    </row>
    <row r="39775" spans="23:23" x14ac:dyDescent="0.55000000000000004">
      <c r="W39775"/>
    </row>
    <row r="39776" spans="23:23" x14ac:dyDescent="0.55000000000000004">
      <c r="W39776"/>
    </row>
    <row r="39777" spans="23:23" x14ac:dyDescent="0.55000000000000004">
      <c r="W39777"/>
    </row>
    <row r="39778" spans="23:23" x14ac:dyDescent="0.55000000000000004">
      <c r="W39778"/>
    </row>
    <row r="39779" spans="23:23" x14ac:dyDescent="0.55000000000000004">
      <c r="W39779"/>
    </row>
    <row r="39780" spans="23:23" x14ac:dyDescent="0.55000000000000004">
      <c r="W39780"/>
    </row>
    <row r="39781" spans="23:23" x14ac:dyDescent="0.55000000000000004">
      <c r="W39781"/>
    </row>
    <row r="39782" spans="23:23" x14ac:dyDescent="0.55000000000000004">
      <c r="W39782"/>
    </row>
    <row r="39783" spans="23:23" x14ac:dyDescent="0.55000000000000004">
      <c r="W39783"/>
    </row>
    <row r="39784" spans="23:23" x14ac:dyDescent="0.55000000000000004">
      <c r="W39784"/>
    </row>
    <row r="39785" spans="23:23" x14ac:dyDescent="0.55000000000000004">
      <c r="W39785"/>
    </row>
    <row r="39786" spans="23:23" x14ac:dyDescent="0.55000000000000004">
      <c r="W39786"/>
    </row>
    <row r="39787" spans="23:23" x14ac:dyDescent="0.55000000000000004">
      <c r="W39787"/>
    </row>
    <row r="39788" spans="23:23" x14ac:dyDescent="0.55000000000000004">
      <c r="W39788"/>
    </row>
    <row r="39789" spans="23:23" x14ac:dyDescent="0.55000000000000004">
      <c r="W39789"/>
    </row>
    <row r="39790" spans="23:23" x14ac:dyDescent="0.55000000000000004">
      <c r="W39790"/>
    </row>
    <row r="39791" spans="23:23" x14ac:dyDescent="0.55000000000000004">
      <c r="W39791"/>
    </row>
    <row r="39792" spans="23:23" x14ac:dyDescent="0.55000000000000004">
      <c r="W39792"/>
    </row>
    <row r="39793" spans="23:23" x14ac:dyDescent="0.55000000000000004">
      <c r="W39793"/>
    </row>
    <row r="39794" spans="23:23" x14ac:dyDescent="0.55000000000000004">
      <c r="W39794"/>
    </row>
    <row r="39795" spans="23:23" x14ac:dyDescent="0.55000000000000004">
      <c r="W39795"/>
    </row>
    <row r="39796" spans="23:23" x14ac:dyDescent="0.55000000000000004">
      <c r="W39796"/>
    </row>
    <row r="39797" spans="23:23" x14ac:dyDescent="0.55000000000000004">
      <c r="W39797"/>
    </row>
    <row r="39798" spans="23:23" x14ac:dyDescent="0.55000000000000004">
      <c r="W39798"/>
    </row>
    <row r="39799" spans="23:23" x14ac:dyDescent="0.55000000000000004">
      <c r="W39799"/>
    </row>
    <row r="39800" spans="23:23" x14ac:dyDescent="0.55000000000000004">
      <c r="W39800"/>
    </row>
    <row r="39801" spans="23:23" x14ac:dyDescent="0.55000000000000004">
      <c r="W39801"/>
    </row>
    <row r="39802" spans="23:23" x14ac:dyDescent="0.55000000000000004">
      <c r="W39802"/>
    </row>
    <row r="39803" spans="23:23" x14ac:dyDescent="0.55000000000000004">
      <c r="W39803"/>
    </row>
    <row r="39804" spans="23:23" x14ac:dyDescent="0.55000000000000004">
      <c r="W39804"/>
    </row>
    <row r="39805" spans="23:23" x14ac:dyDescent="0.55000000000000004">
      <c r="W39805"/>
    </row>
    <row r="39806" spans="23:23" x14ac:dyDescent="0.55000000000000004">
      <c r="W39806"/>
    </row>
    <row r="39807" spans="23:23" x14ac:dyDescent="0.55000000000000004">
      <c r="W39807"/>
    </row>
    <row r="39808" spans="23:23" x14ac:dyDescent="0.55000000000000004">
      <c r="W39808"/>
    </row>
    <row r="39809" spans="23:23" x14ac:dyDescent="0.55000000000000004">
      <c r="W39809"/>
    </row>
    <row r="39810" spans="23:23" x14ac:dyDescent="0.55000000000000004">
      <c r="W39810"/>
    </row>
    <row r="39811" spans="23:23" x14ac:dyDescent="0.55000000000000004">
      <c r="W39811"/>
    </row>
    <row r="39812" spans="23:23" x14ac:dyDescent="0.55000000000000004">
      <c r="W39812"/>
    </row>
    <row r="39813" spans="23:23" x14ac:dyDescent="0.55000000000000004">
      <c r="W39813"/>
    </row>
    <row r="39814" spans="23:23" x14ac:dyDescent="0.55000000000000004">
      <c r="W39814"/>
    </row>
    <row r="39815" spans="23:23" x14ac:dyDescent="0.55000000000000004">
      <c r="W39815"/>
    </row>
    <row r="39816" spans="23:23" x14ac:dyDescent="0.55000000000000004">
      <c r="W39816"/>
    </row>
    <row r="39817" spans="23:23" x14ac:dyDescent="0.55000000000000004">
      <c r="W39817"/>
    </row>
    <row r="39818" spans="23:23" x14ac:dyDescent="0.55000000000000004">
      <c r="W39818"/>
    </row>
    <row r="39819" spans="23:23" x14ac:dyDescent="0.55000000000000004">
      <c r="W39819"/>
    </row>
    <row r="39820" spans="23:23" x14ac:dyDescent="0.55000000000000004">
      <c r="W39820"/>
    </row>
    <row r="39821" spans="23:23" x14ac:dyDescent="0.55000000000000004">
      <c r="W39821"/>
    </row>
    <row r="39822" spans="23:23" x14ac:dyDescent="0.55000000000000004">
      <c r="W39822"/>
    </row>
    <row r="39823" spans="23:23" x14ac:dyDescent="0.55000000000000004">
      <c r="W39823"/>
    </row>
    <row r="39824" spans="23:23" x14ac:dyDescent="0.55000000000000004">
      <c r="W39824"/>
    </row>
    <row r="39825" spans="23:23" x14ac:dyDescent="0.55000000000000004">
      <c r="W39825"/>
    </row>
    <row r="39826" spans="23:23" x14ac:dyDescent="0.55000000000000004">
      <c r="W39826"/>
    </row>
    <row r="39827" spans="23:23" x14ac:dyDescent="0.55000000000000004">
      <c r="W39827"/>
    </row>
    <row r="39828" spans="23:23" x14ac:dyDescent="0.55000000000000004">
      <c r="W39828"/>
    </row>
    <row r="39829" spans="23:23" x14ac:dyDescent="0.55000000000000004">
      <c r="W39829"/>
    </row>
    <row r="39830" spans="23:23" x14ac:dyDescent="0.55000000000000004">
      <c r="W39830"/>
    </row>
    <row r="39831" spans="23:23" x14ac:dyDescent="0.55000000000000004">
      <c r="W39831"/>
    </row>
    <row r="39832" spans="23:23" x14ac:dyDescent="0.55000000000000004">
      <c r="W39832"/>
    </row>
    <row r="39833" spans="23:23" x14ac:dyDescent="0.55000000000000004">
      <c r="W39833"/>
    </row>
    <row r="39834" spans="23:23" x14ac:dyDescent="0.55000000000000004">
      <c r="W39834"/>
    </row>
    <row r="39835" spans="23:23" x14ac:dyDescent="0.55000000000000004">
      <c r="W39835"/>
    </row>
    <row r="39836" spans="23:23" x14ac:dyDescent="0.55000000000000004">
      <c r="W39836"/>
    </row>
    <row r="39837" spans="23:23" x14ac:dyDescent="0.55000000000000004">
      <c r="W39837"/>
    </row>
    <row r="39838" spans="23:23" x14ac:dyDescent="0.55000000000000004">
      <c r="W39838"/>
    </row>
    <row r="39839" spans="23:23" x14ac:dyDescent="0.55000000000000004">
      <c r="W39839"/>
    </row>
    <row r="39840" spans="23:23" x14ac:dyDescent="0.55000000000000004">
      <c r="W39840"/>
    </row>
    <row r="39841" spans="23:23" x14ac:dyDescent="0.55000000000000004">
      <c r="W39841"/>
    </row>
    <row r="39842" spans="23:23" x14ac:dyDescent="0.55000000000000004">
      <c r="W39842"/>
    </row>
    <row r="39843" spans="23:23" x14ac:dyDescent="0.55000000000000004">
      <c r="W39843"/>
    </row>
    <row r="39844" spans="23:23" x14ac:dyDescent="0.55000000000000004">
      <c r="W39844"/>
    </row>
    <row r="39845" spans="23:23" x14ac:dyDescent="0.55000000000000004">
      <c r="W39845"/>
    </row>
    <row r="39846" spans="23:23" x14ac:dyDescent="0.55000000000000004">
      <c r="W39846"/>
    </row>
    <row r="39847" spans="23:23" x14ac:dyDescent="0.55000000000000004">
      <c r="W39847"/>
    </row>
    <row r="39848" spans="23:23" x14ac:dyDescent="0.55000000000000004">
      <c r="W39848"/>
    </row>
    <row r="39849" spans="23:23" x14ac:dyDescent="0.55000000000000004">
      <c r="W39849"/>
    </row>
    <row r="39850" spans="23:23" x14ac:dyDescent="0.55000000000000004">
      <c r="W39850"/>
    </row>
    <row r="39851" spans="23:23" x14ac:dyDescent="0.55000000000000004">
      <c r="W39851"/>
    </row>
    <row r="39852" spans="23:23" x14ac:dyDescent="0.55000000000000004">
      <c r="W39852"/>
    </row>
    <row r="39853" spans="23:23" x14ac:dyDescent="0.55000000000000004">
      <c r="W39853"/>
    </row>
    <row r="39854" spans="23:23" x14ac:dyDescent="0.55000000000000004">
      <c r="W39854"/>
    </row>
    <row r="39855" spans="23:23" x14ac:dyDescent="0.55000000000000004">
      <c r="W39855"/>
    </row>
    <row r="39856" spans="23:23" x14ac:dyDescent="0.55000000000000004">
      <c r="W39856"/>
    </row>
    <row r="39857" spans="23:23" x14ac:dyDescent="0.55000000000000004">
      <c r="W39857"/>
    </row>
    <row r="39858" spans="23:23" x14ac:dyDescent="0.55000000000000004">
      <c r="W39858"/>
    </row>
    <row r="39859" spans="23:23" x14ac:dyDescent="0.55000000000000004">
      <c r="W39859"/>
    </row>
    <row r="39860" spans="23:23" x14ac:dyDescent="0.55000000000000004">
      <c r="W39860"/>
    </row>
    <row r="39861" spans="23:23" x14ac:dyDescent="0.55000000000000004">
      <c r="W39861"/>
    </row>
    <row r="39862" spans="23:23" x14ac:dyDescent="0.55000000000000004">
      <c r="W39862"/>
    </row>
    <row r="39863" spans="23:23" x14ac:dyDescent="0.55000000000000004">
      <c r="W39863"/>
    </row>
    <row r="39864" spans="23:23" x14ac:dyDescent="0.55000000000000004">
      <c r="W39864"/>
    </row>
    <row r="39865" spans="23:23" x14ac:dyDescent="0.55000000000000004">
      <c r="W39865"/>
    </row>
    <row r="39866" spans="23:23" x14ac:dyDescent="0.55000000000000004">
      <c r="W39866"/>
    </row>
    <row r="39867" spans="23:23" x14ac:dyDescent="0.55000000000000004">
      <c r="W39867"/>
    </row>
    <row r="39868" spans="23:23" x14ac:dyDescent="0.55000000000000004">
      <c r="W39868"/>
    </row>
    <row r="39869" spans="23:23" x14ac:dyDescent="0.55000000000000004">
      <c r="W39869"/>
    </row>
    <row r="39870" spans="23:23" x14ac:dyDescent="0.55000000000000004">
      <c r="W39870"/>
    </row>
    <row r="39871" spans="23:23" x14ac:dyDescent="0.55000000000000004">
      <c r="W39871"/>
    </row>
    <row r="39872" spans="23:23" x14ac:dyDescent="0.55000000000000004">
      <c r="W39872"/>
    </row>
    <row r="39873" spans="23:23" x14ac:dyDescent="0.55000000000000004">
      <c r="W39873"/>
    </row>
    <row r="39874" spans="23:23" x14ac:dyDescent="0.55000000000000004">
      <c r="W39874"/>
    </row>
    <row r="39875" spans="23:23" x14ac:dyDescent="0.55000000000000004">
      <c r="W39875"/>
    </row>
    <row r="39876" spans="23:23" x14ac:dyDescent="0.55000000000000004">
      <c r="W39876"/>
    </row>
    <row r="39877" spans="23:23" x14ac:dyDescent="0.55000000000000004">
      <c r="W39877"/>
    </row>
    <row r="39878" spans="23:23" x14ac:dyDescent="0.55000000000000004">
      <c r="W39878"/>
    </row>
    <row r="39879" spans="23:23" x14ac:dyDescent="0.55000000000000004">
      <c r="W39879"/>
    </row>
    <row r="39880" spans="23:23" x14ac:dyDescent="0.55000000000000004">
      <c r="W39880"/>
    </row>
    <row r="39881" spans="23:23" x14ac:dyDescent="0.55000000000000004">
      <c r="W39881"/>
    </row>
    <row r="39882" spans="23:23" x14ac:dyDescent="0.55000000000000004">
      <c r="W39882"/>
    </row>
    <row r="39883" spans="23:23" x14ac:dyDescent="0.55000000000000004">
      <c r="W39883"/>
    </row>
    <row r="39884" spans="23:23" x14ac:dyDescent="0.55000000000000004">
      <c r="W39884"/>
    </row>
    <row r="39885" spans="23:23" x14ac:dyDescent="0.55000000000000004">
      <c r="W39885"/>
    </row>
    <row r="39886" spans="23:23" x14ac:dyDescent="0.55000000000000004">
      <c r="W39886"/>
    </row>
    <row r="39887" spans="23:23" x14ac:dyDescent="0.55000000000000004">
      <c r="W39887"/>
    </row>
    <row r="39888" spans="23:23" x14ac:dyDescent="0.55000000000000004">
      <c r="W39888"/>
    </row>
    <row r="39889" spans="23:23" x14ac:dyDescent="0.55000000000000004">
      <c r="W39889"/>
    </row>
    <row r="39890" spans="23:23" x14ac:dyDescent="0.55000000000000004">
      <c r="W39890"/>
    </row>
    <row r="39891" spans="23:23" x14ac:dyDescent="0.55000000000000004">
      <c r="W39891"/>
    </row>
    <row r="39892" spans="23:23" x14ac:dyDescent="0.55000000000000004">
      <c r="W39892"/>
    </row>
    <row r="39893" spans="23:23" x14ac:dyDescent="0.55000000000000004">
      <c r="W39893"/>
    </row>
    <row r="39894" spans="23:23" x14ac:dyDescent="0.55000000000000004">
      <c r="W39894"/>
    </row>
    <row r="39895" spans="23:23" x14ac:dyDescent="0.55000000000000004">
      <c r="W39895"/>
    </row>
    <row r="39896" spans="23:23" x14ac:dyDescent="0.55000000000000004">
      <c r="W39896"/>
    </row>
    <row r="39897" spans="23:23" x14ac:dyDescent="0.55000000000000004">
      <c r="W39897"/>
    </row>
    <row r="39898" spans="23:23" x14ac:dyDescent="0.55000000000000004">
      <c r="W39898"/>
    </row>
    <row r="39899" spans="23:23" x14ac:dyDescent="0.55000000000000004">
      <c r="W39899"/>
    </row>
    <row r="39900" spans="23:23" x14ac:dyDescent="0.55000000000000004">
      <c r="W39900"/>
    </row>
    <row r="39901" spans="23:23" x14ac:dyDescent="0.55000000000000004">
      <c r="W39901"/>
    </row>
    <row r="39902" spans="23:23" x14ac:dyDescent="0.55000000000000004">
      <c r="W39902"/>
    </row>
    <row r="39903" spans="23:23" x14ac:dyDescent="0.55000000000000004">
      <c r="W39903"/>
    </row>
    <row r="39904" spans="23:23" x14ac:dyDescent="0.55000000000000004">
      <c r="W39904"/>
    </row>
    <row r="39905" spans="23:23" x14ac:dyDescent="0.55000000000000004">
      <c r="W39905"/>
    </row>
    <row r="39906" spans="23:23" x14ac:dyDescent="0.55000000000000004">
      <c r="W39906"/>
    </row>
    <row r="39907" spans="23:23" x14ac:dyDescent="0.55000000000000004">
      <c r="W39907"/>
    </row>
    <row r="39908" spans="23:23" x14ac:dyDescent="0.55000000000000004">
      <c r="W39908"/>
    </row>
    <row r="39909" spans="23:23" x14ac:dyDescent="0.55000000000000004">
      <c r="W39909"/>
    </row>
    <row r="39910" spans="23:23" x14ac:dyDescent="0.55000000000000004">
      <c r="W39910"/>
    </row>
    <row r="39911" spans="23:23" x14ac:dyDescent="0.55000000000000004">
      <c r="W39911"/>
    </row>
    <row r="39912" spans="23:23" x14ac:dyDescent="0.55000000000000004">
      <c r="W39912"/>
    </row>
    <row r="39913" spans="23:23" x14ac:dyDescent="0.55000000000000004">
      <c r="W39913"/>
    </row>
    <row r="39914" spans="23:23" x14ac:dyDescent="0.55000000000000004">
      <c r="W39914"/>
    </row>
    <row r="39915" spans="23:23" x14ac:dyDescent="0.55000000000000004">
      <c r="W39915"/>
    </row>
    <row r="39916" spans="23:23" x14ac:dyDescent="0.55000000000000004">
      <c r="W39916"/>
    </row>
    <row r="39917" spans="23:23" x14ac:dyDescent="0.55000000000000004">
      <c r="W39917"/>
    </row>
    <row r="39918" spans="23:23" x14ac:dyDescent="0.55000000000000004">
      <c r="W39918"/>
    </row>
    <row r="39919" spans="23:23" x14ac:dyDescent="0.55000000000000004">
      <c r="W39919"/>
    </row>
    <row r="39920" spans="23:23" x14ac:dyDescent="0.55000000000000004">
      <c r="W39920"/>
    </row>
    <row r="39921" spans="23:23" x14ac:dyDescent="0.55000000000000004">
      <c r="W39921"/>
    </row>
    <row r="39922" spans="23:23" x14ac:dyDescent="0.55000000000000004">
      <c r="W39922"/>
    </row>
    <row r="39923" spans="23:23" x14ac:dyDescent="0.55000000000000004">
      <c r="W39923"/>
    </row>
    <row r="39924" spans="23:23" x14ac:dyDescent="0.55000000000000004">
      <c r="W39924"/>
    </row>
    <row r="39925" spans="23:23" x14ac:dyDescent="0.55000000000000004">
      <c r="W39925"/>
    </row>
    <row r="39926" spans="23:23" x14ac:dyDescent="0.55000000000000004">
      <c r="W39926"/>
    </row>
    <row r="39927" spans="23:23" x14ac:dyDescent="0.55000000000000004">
      <c r="W39927"/>
    </row>
    <row r="39928" spans="23:23" x14ac:dyDescent="0.55000000000000004">
      <c r="W39928"/>
    </row>
    <row r="39929" spans="23:23" x14ac:dyDescent="0.55000000000000004">
      <c r="W39929"/>
    </row>
    <row r="39930" spans="23:23" x14ac:dyDescent="0.55000000000000004">
      <c r="W39930"/>
    </row>
    <row r="39931" spans="23:23" x14ac:dyDescent="0.55000000000000004">
      <c r="W39931"/>
    </row>
    <row r="39932" spans="23:23" x14ac:dyDescent="0.55000000000000004">
      <c r="W39932"/>
    </row>
    <row r="39933" spans="23:23" x14ac:dyDescent="0.55000000000000004">
      <c r="W39933"/>
    </row>
    <row r="39934" spans="23:23" x14ac:dyDescent="0.55000000000000004">
      <c r="W39934"/>
    </row>
    <row r="39935" spans="23:23" x14ac:dyDescent="0.55000000000000004">
      <c r="W39935"/>
    </row>
    <row r="39936" spans="23:23" x14ac:dyDescent="0.55000000000000004">
      <c r="W39936"/>
    </row>
    <row r="39937" spans="23:23" x14ac:dyDescent="0.55000000000000004">
      <c r="W39937"/>
    </row>
    <row r="39938" spans="23:23" x14ac:dyDescent="0.55000000000000004">
      <c r="W39938"/>
    </row>
    <row r="39939" spans="23:23" x14ac:dyDescent="0.55000000000000004">
      <c r="W39939"/>
    </row>
    <row r="39940" spans="23:23" x14ac:dyDescent="0.55000000000000004">
      <c r="W39940"/>
    </row>
    <row r="39941" spans="23:23" x14ac:dyDescent="0.55000000000000004">
      <c r="W39941"/>
    </row>
    <row r="39942" spans="23:23" x14ac:dyDescent="0.55000000000000004">
      <c r="W39942"/>
    </row>
    <row r="39943" spans="23:23" x14ac:dyDescent="0.55000000000000004">
      <c r="W39943"/>
    </row>
    <row r="39944" spans="23:23" x14ac:dyDescent="0.55000000000000004">
      <c r="W39944"/>
    </row>
    <row r="39945" spans="23:23" x14ac:dyDescent="0.55000000000000004">
      <c r="W39945"/>
    </row>
    <row r="39946" spans="23:23" x14ac:dyDescent="0.55000000000000004">
      <c r="W39946"/>
    </row>
    <row r="39947" spans="23:23" x14ac:dyDescent="0.55000000000000004">
      <c r="W39947"/>
    </row>
    <row r="39948" spans="23:23" x14ac:dyDescent="0.55000000000000004">
      <c r="W39948"/>
    </row>
    <row r="39949" spans="23:23" x14ac:dyDescent="0.55000000000000004">
      <c r="W39949"/>
    </row>
    <row r="39950" spans="23:23" x14ac:dyDescent="0.55000000000000004">
      <c r="W39950"/>
    </row>
    <row r="39951" spans="23:23" x14ac:dyDescent="0.55000000000000004">
      <c r="W39951"/>
    </row>
    <row r="39952" spans="23:23" x14ac:dyDescent="0.55000000000000004">
      <c r="W39952"/>
    </row>
    <row r="39953" spans="23:23" x14ac:dyDescent="0.55000000000000004">
      <c r="W39953"/>
    </row>
    <row r="39954" spans="23:23" x14ac:dyDescent="0.55000000000000004">
      <c r="W39954"/>
    </row>
    <row r="39955" spans="23:23" x14ac:dyDescent="0.55000000000000004">
      <c r="W39955"/>
    </row>
    <row r="39956" spans="23:23" x14ac:dyDescent="0.55000000000000004">
      <c r="W39956"/>
    </row>
    <row r="39957" spans="23:23" x14ac:dyDescent="0.55000000000000004">
      <c r="W39957"/>
    </row>
    <row r="39958" spans="23:23" x14ac:dyDescent="0.55000000000000004">
      <c r="W39958"/>
    </row>
    <row r="39959" spans="23:23" x14ac:dyDescent="0.55000000000000004">
      <c r="W39959"/>
    </row>
    <row r="39960" spans="23:23" x14ac:dyDescent="0.55000000000000004">
      <c r="W39960"/>
    </row>
    <row r="39961" spans="23:23" x14ac:dyDescent="0.55000000000000004">
      <c r="W39961"/>
    </row>
    <row r="39962" spans="23:23" x14ac:dyDescent="0.55000000000000004">
      <c r="W39962"/>
    </row>
    <row r="39963" spans="23:23" x14ac:dyDescent="0.55000000000000004">
      <c r="W39963"/>
    </row>
    <row r="39964" spans="23:23" x14ac:dyDescent="0.55000000000000004">
      <c r="W39964"/>
    </row>
    <row r="39965" spans="23:23" x14ac:dyDescent="0.55000000000000004">
      <c r="W39965"/>
    </row>
    <row r="39966" spans="23:23" x14ac:dyDescent="0.55000000000000004">
      <c r="W39966"/>
    </row>
    <row r="39967" spans="23:23" x14ac:dyDescent="0.55000000000000004">
      <c r="W39967"/>
    </row>
    <row r="39968" spans="23:23" x14ac:dyDescent="0.55000000000000004">
      <c r="W39968"/>
    </row>
    <row r="39969" spans="23:23" x14ac:dyDescent="0.55000000000000004">
      <c r="W39969"/>
    </row>
    <row r="39970" spans="23:23" x14ac:dyDescent="0.55000000000000004">
      <c r="W39970"/>
    </row>
    <row r="39971" spans="23:23" x14ac:dyDescent="0.55000000000000004">
      <c r="W39971"/>
    </row>
    <row r="39972" spans="23:23" x14ac:dyDescent="0.55000000000000004">
      <c r="W39972"/>
    </row>
    <row r="39973" spans="23:23" x14ac:dyDescent="0.55000000000000004">
      <c r="W39973"/>
    </row>
    <row r="39974" spans="23:23" x14ac:dyDescent="0.55000000000000004">
      <c r="W39974"/>
    </row>
    <row r="39975" spans="23:23" x14ac:dyDescent="0.55000000000000004">
      <c r="W39975"/>
    </row>
    <row r="39976" spans="23:23" x14ac:dyDescent="0.55000000000000004">
      <c r="W39976"/>
    </row>
    <row r="39977" spans="23:23" x14ac:dyDescent="0.55000000000000004">
      <c r="W39977"/>
    </row>
    <row r="39978" spans="23:23" x14ac:dyDescent="0.55000000000000004">
      <c r="W39978"/>
    </row>
    <row r="39979" spans="23:23" x14ac:dyDescent="0.55000000000000004">
      <c r="W39979"/>
    </row>
    <row r="39980" spans="23:23" x14ac:dyDescent="0.55000000000000004">
      <c r="W39980"/>
    </row>
    <row r="39981" spans="23:23" x14ac:dyDescent="0.55000000000000004">
      <c r="W39981"/>
    </row>
    <row r="39982" spans="23:23" x14ac:dyDescent="0.55000000000000004">
      <c r="W39982"/>
    </row>
    <row r="39983" spans="23:23" x14ac:dyDescent="0.55000000000000004">
      <c r="W39983"/>
    </row>
    <row r="39984" spans="23:23" x14ac:dyDescent="0.55000000000000004">
      <c r="W39984"/>
    </row>
    <row r="39985" spans="23:23" x14ac:dyDescent="0.55000000000000004">
      <c r="W39985"/>
    </row>
    <row r="39986" spans="23:23" x14ac:dyDescent="0.55000000000000004">
      <c r="W39986"/>
    </row>
    <row r="39987" spans="23:23" x14ac:dyDescent="0.55000000000000004">
      <c r="W39987"/>
    </row>
    <row r="39988" spans="23:23" x14ac:dyDescent="0.55000000000000004">
      <c r="W39988"/>
    </row>
    <row r="39989" spans="23:23" x14ac:dyDescent="0.55000000000000004">
      <c r="W39989"/>
    </row>
    <row r="39990" spans="23:23" x14ac:dyDescent="0.55000000000000004">
      <c r="W39990"/>
    </row>
    <row r="39991" spans="23:23" x14ac:dyDescent="0.55000000000000004">
      <c r="W39991"/>
    </row>
    <row r="39992" spans="23:23" x14ac:dyDescent="0.55000000000000004">
      <c r="W39992"/>
    </row>
    <row r="39993" spans="23:23" x14ac:dyDescent="0.55000000000000004">
      <c r="W39993"/>
    </row>
    <row r="39994" spans="23:23" x14ac:dyDescent="0.55000000000000004">
      <c r="W39994"/>
    </row>
    <row r="39995" spans="23:23" x14ac:dyDescent="0.55000000000000004">
      <c r="W39995"/>
    </row>
    <row r="39996" spans="23:23" x14ac:dyDescent="0.55000000000000004">
      <c r="W39996"/>
    </row>
    <row r="39997" spans="23:23" x14ac:dyDescent="0.55000000000000004">
      <c r="W39997"/>
    </row>
    <row r="39998" spans="23:23" x14ac:dyDescent="0.55000000000000004">
      <c r="W39998"/>
    </row>
    <row r="39999" spans="23:23" x14ac:dyDescent="0.55000000000000004">
      <c r="W39999"/>
    </row>
    <row r="40000" spans="23:23" x14ac:dyDescent="0.55000000000000004">
      <c r="W40000"/>
    </row>
    <row r="40001" spans="23:23" x14ac:dyDescent="0.55000000000000004">
      <c r="W40001"/>
    </row>
    <row r="40002" spans="23:23" x14ac:dyDescent="0.55000000000000004">
      <c r="W40002"/>
    </row>
    <row r="40003" spans="23:23" x14ac:dyDescent="0.55000000000000004">
      <c r="W40003"/>
    </row>
    <row r="40004" spans="23:23" x14ac:dyDescent="0.55000000000000004">
      <c r="W40004"/>
    </row>
    <row r="40005" spans="23:23" x14ac:dyDescent="0.55000000000000004">
      <c r="W40005"/>
    </row>
    <row r="40006" spans="23:23" x14ac:dyDescent="0.55000000000000004">
      <c r="W40006"/>
    </row>
    <row r="40007" spans="23:23" x14ac:dyDescent="0.55000000000000004">
      <c r="W40007"/>
    </row>
    <row r="40008" spans="23:23" x14ac:dyDescent="0.55000000000000004">
      <c r="W40008"/>
    </row>
    <row r="40009" spans="23:23" x14ac:dyDescent="0.55000000000000004">
      <c r="W40009"/>
    </row>
    <row r="40010" spans="23:23" x14ac:dyDescent="0.55000000000000004">
      <c r="W40010"/>
    </row>
    <row r="40011" spans="23:23" x14ac:dyDescent="0.55000000000000004">
      <c r="W40011"/>
    </row>
    <row r="40012" spans="23:23" x14ac:dyDescent="0.55000000000000004">
      <c r="W40012"/>
    </row>
    <row r="40013" spans="23:23" x14ac:dyDescent="0.55000000000000004">
      <c r="W40013"/>
    </row>
    <row r="40014" spans="23:23" x14ac:dyDescent="0.55000000000000004">
      <c r="W40014"/>
    </row>
    <row r="40015" spans="23:23" x14ac:dyDescent="0.55000000000000004">
      <c r="W40015"/>
    </row>
    <row r="40016" spans="23:23" x14ac:dyDescent="0.55000000000000004">
      <c r="W40016"/>
    </row>
    <row r="40017" spans="23:23" x14ac:dyDescent="0.55000000000000004">
      <c r="W40017"/>
    </row>
    <row r="40018" spans="23:23" x14ac:dyDescent="0.55000000000000004">
      <c r="W40018"/>
    </row>
    <row r="40019" spans="23:23" x14ac:dyDescent="0.55000000000000004">
      <c r="W40019"/>
    </row>
    <row r="40020" spans="23:23" x14ac:dyDescent="0.55000000000000004">
      <c r="W40020"/>
    </row>
    <row r="40021" spans="23:23" x14ac:dyDescent="0.55000000000000004">
      <c r="W40021"/>
    </row>
    <row r="40022" spans="23:23" x14ac:dyDescent="0.55000000000000004">
      <c r="W40022"/>
    </row>
    <row r="40023" spans="23:23" x14ac:dyDescent="0.55000000000000004">
      <c r="W40023"/>
    </row>
    <row r="40024" spans="23:23" x14ac:dyDescent="0.55000000000000004">
      <c r="W40024"/>
    </row>
    <row r="40025" spans="23:23" x14ac:dyDescent="0.55000000000000004">
      <c r="W40025"/>
    </row>
    <row r="40026" spans="23:23" x14ac:dyDescent="0.55000000000000004">
      <c r="W40026"/>
    </row>
    <row r="40027" spans="23:23" x14ac:dyDescent="0.55000000000000004">
      <c r="W40027"/>
    </row>
    <row r="40028" spans="23:23" x14ac:dyDescent="0.55000000000000004">
      <c r="W40028"/>
    </row>
    <row r="40029" spans="23:23" x14ac:dyDescent="0.55000000000000004">
      <c r="W40029"/>
    </row>
    <row r="40030" spans="23:23" x14ac:dyDescent="0.55000000000000004">
      <c r="W40030"/>
    </row>
    <row r="40031" spans="23:23" x14ac:dyDescent="0.55000000000000004">
      <c r="W40031"/>
    </row>
    <row r="40032" spans="23:23" x14ac:dyDescent="0.55000000000000004">
      <c r="W40032"/>
    </row>
    <row r="40033" spans="23:23" x14ac:dyDescent="0.55000000000000004">
      <c r="W40033"/>
    </row>
    <row r="40034" spans="23:23" x14ac:dyDescent="0.55000000000000004">
      <c r="W40034"/>
    </row>
    <row r="40035" spans="23:23" x14ac:dyDescent="0.55000000000000004">
      <c r="W40035"/>
    </row>
    <row r="40036" spans="23:23" x14ac:dyDescent="0.55000000000000004">
      <c r="W40036"/>
    </row>
    <row r="40037" spans="23:23" x14ac:dyDescent="0.55000000000000004">
      <c r="W40037"/>
    </row>
    <row r="40038" spans="23:23" x14ac:dyDescent="0.55000000000000004">
      <c r="W40038"/>
    </row>
    <row r="40039" spans="23:23" x14ac:dyDescent="0.55000000000000004">
      <c r="W40039"/>
    </row>
    <row r="40040" spans="23:23" x14ac:dyDescent="0.55000000000000004">
      <c r="W40040"/>
    </row>
    <row r="40041" spans="23:23" x14ac:dyDescent="0.55000000000000004">
      <c r="W40041"/>
    </row>
    <row r="40042" spans="23:23" x14ac:dyDescent="0.55000000000000004">
      <c r="W40042"/>
    </row>
    <row r="40043" spans="23:23" x14ac:dyDescent="0.55000000000000004">
      <c r="W40043"/>
    </row>
    <row r="40044" spans="23:23" x14ac:dyDescent="0.55000000000000004">
      <c r="W40044"/>
    </row>
    <row r="40045" spans="23:23" x14ac:dyDescent="0.55000000000000004">
      <c r="W40045"/>
    </row>
    <row r="40046" spans="23:23" x14ac:dyDescent="0.55000000000000004">
      <c r="W40046"/>
    </row>
    <row r="40047" spans="23:23" x14ac:dyDescent="0.55000000000000004">
      <c r="W40047"/>
    </row>
    <row r="40048" spans="23:23" x14ac:dyDescent="0.55000000000000004">
      <c r="W40048"/>
    </row>
    <row r="40049" spans="23:23" x14ac:dyDescent="0.55000000000000004">
      <c r="W40049"/>
    </row>
    <row r="40050" spans="23:23" x14ac:dyDescent="0.55000000000000004">
      <c r="W40050"/>
    </row>
    <row r="40051" spans="23:23" x14ac:dyDescent="0.55000000000000004">
      <c r="W40051"/>
    </row>
    <row r="40052" spans="23:23" x14ac:dyDescent="0.55000000000000004">
      <c r="W40052"/>
    </row>
    <row r="40053" spans="23:23" x14ac:dyDescent="0.55000000000000004">
      <c r="W40053"/>
    </row>
    <row r="40054" spans="23:23" x14ac:dyDescent="0.55000000000000004">
      <c r="W40054"/>
    </row>
    <row r="40055" spans="23:23" x14ac:dyDescent="0.55000000000000004">
      <c r="W40055"/>
    </row>
    <row r="40056" spans="23:23" x14ac:dyDescent="0.55000000000000004">
      <c r="W40056"/>
    </row>
    <row r="40057" spans="23:23" x14ac:dyDescent="0.55000000000000004">
      <c r="W40057"/>
    </row>
    <row r="40058" spans="23:23" x14ac:dyDescent="0.55000000000000004">
      <c r="W40058"/>
    </row>
    <row r="40059" spans="23:23" x14ac:dyDescent="0.55000000000000004">
      <c r="W40059"/>
    </row>
    <row r="40060" spans="23:23" x14ac:dyDescent="0.55000000000000004">
      <c r="W40060"/>
    </row>
    <row r="40061" spans="23:23" x14ac:dyDescent="0.55000000000000004">
      <c r="W40061"/>
    </row>
    <row r="40062" spans="23:23" x14ac:dyDescent="0.55000000000000004">
      <c r="W40062"/>
    </row>
    <row r="40063" spans="23:23" x14ac:dyDescent="0.55000000000000004">
      <c r="W40063"/>
    </row>
    <row r="40064" spans="23:23" x14ac:dyDescent="0.55000000000000004">
      <c r="W40064"/>
    </row>
    <row r="40065" spans="23:23" x14ac:dyDescent="0.55000000000000004">
      <c r="W40065"/>
    </row>
    <row r="40066" spans="23:23" x14ac:dyDescent="0.55000000000000004">
      <c r="W40066"/>
    </row>
    <row r="40067" spans="23:23" x14ac:dyDescent="0.55000000000000004">
      <c r="W40067"/>
    </row>
    <row r="40068" spans="23:23" x14ac:dyDescent="0.55000000000000004">
      <c r="W40068"/>
    </row>
    <row r="40069" spans="23:23" x14ac:dyDescent="0.55000000000000004">
      <c r="W40069"/>
    </row>
    <row r="40070" spans="23:23" x14ac:dyDescent="0.55000000000000004">
      <c r="W40070"/>
    </row>
    <row r="40071" spans="23:23" x14ac:dyDescent="0.55000000000000004">
      <c r="W40071"/>
    </row>
    <row r="40072" spans="23:23" x14ac:dyDescent="0.55000000000000004">
      <c r="W40072"/>
    </row>
    <row r="40073" spans="23:23" x14ac:dyDescent="0.55000000000000004">
      <c r="W40073"/>
    </row>
    <row r="40074" spans="23:23" x14ac:dyDescent="0.55000000000000004">
      <c r="W40074"/>
    </row>
    <row r="40075" spans="23:23" x14ac:dyDescent="0.55000000000000004">
      <c r="W40075"/>
    </row>
    <row r="40076" spans="23:23" x14ac:dyDescent="0.55000000000000004">
      <c r="W40076"/>
    </row>
    <row r="40077" spans="23:23" x14ac:dyDescent="0.55000000000000004">
      <c r="W40077"/>
    </row>
    <row r="40078" spans="23:23" x14ac:dyDescent="0.55000000000000004">
      <c r="W40078"/>
    </row>
    <row r="40079" spans="23:23" x14ac:dyDescent="0.55000000000000004">
      <c r="W40079"/>
    </row>
    <row r="40080" spans="23:23" x14ac:dyDescent="0.55000000000000004">
      <c r="W40080"/>
    </row>
    <row r="40081" spans="23:23" x14ac:dyDescent="0.55000000000000004">
      <c r="W40081"/>
    </row>
    <row r="40082" spans="23:23" x14ac:dyDescent="0.55000000000000004">
      <c r="W40082"/>
    </row>
    <row r="40083" spans="23:23" x14ac:dyDescent="0.55000000000000004">
      <c r="W40083"/>
    </row>
    <row r="40084" spans="23:23" x14ac:dyDescent="0.55000000000000004">
      <c r="W40084"/>
    </row>
    <row r="40085" spans="23:23" x14ac:dyDescent="0.55000000000000004">
      <c r="W40085"/>
    </row>
    <row r="40086" spans="23:23" x14ac:dyDescent="0.55000000000000004">
      <c r="W40086"/>
    </row>
    <row r="40087" spans="23:23" x14ac:dyDescent="0.55000000000000004">
      <c r="W40087"/>
    </row>
    <row r="40088" spans="23:23" x14ac:dyDescent="0.55000000000000004">
      <c r="W40088"/>
    </row>
    <row r="40089" spans="23:23" x14ac:dyDescent="0.55000000000000004">
      <c r="W40089"/>
    </row>
    <row r="40090" spans="23:23" x14ac:dyDescent="0.55000000000000004">
      <c r="W40090"/>
    </row>
    <row r="40091" spans="23:23" x14ac:dyDescent="0.55000000000000004">
      <c r="W40091"/>
    </row>
    <row r="40092" spans="23:23" x14ac:dyDescent="0.55000000000000004">
      <c r="W40092"/>
    </row>
    <row r="40093" spans="23:23" x14ac:dyDescent="0.55000000000000004">
      <c r="W40093"/>
    </row>
    <row r="40094" spans="23:23" x14ac:dyDescent="0.55000000000000004">
      <c r="W40094"/>
    </row>
    <row r="40095" spans="23:23" x14ac:dyDescent="0.55000000000000004">
      <c r="W40095"/>
    </row>
    <row r="40096" spans="23:23" x14ac:dyDescent="0.55000000000000004">
      <c r="W40096"/>
    </row>
    <row r="40097" spans="23:23" x14ac:dyDescent="0.55000000000000004">
      <c r="W40097"/>
    </row>
    <row r="40098" spans="23:23" x14ac:dyDescent="0.55000000000000004">
      <c r="W40098"/>
    </row>
    <row r="40099" spans="23:23" x14ac:dyDescent="0.55000000000000004">
      <c r="W40099"/>
    </row>
    <row r="40100" spans="23:23" x14ac:dyDescent="0.55000000000000004">
      <c r="W40100"/>
    </row>
    <row r="40101" spans="23:23" x14ac:dyDescent="0.55000000000000004">
      <c r="W40101"/>
    </row>
    <row r="40102" spans="23:23" x14ac:dyDescent="0.55000000000000004">
      <c r="W40102"/>
    </row>
    <row r="40103" spans="23:23" x14ac:dyDescent="0.55000000000000004">
      <c r="W40103"/>
    </row>
    <row r="40104" spans="23:23" x14ac:dyDescent="0.55000000000000004">
      <c r="W40104"/>
    </row>
    <row r="40105" spans="23:23" x14ac:dyDescent="0.55000000000000004">
      <c r="W40105"/>
    </row>
    <row r="40106" spans="23:23" x14ac:dyDescent="0.55000000000000004">
      <c r="W40106"/>
    </row>
    <row r="40107" spans="23:23" x14ac:dyDescent="0.55000000000000004">
      <c r="W40107"/>
    </row>
    <row r="40108" spans="23:23" x14ac:dyDescent="0.55000000000000004">
      <c r="W40108"/>
    </row>
    <row r="40109" spans="23:23" x14ac:dyDescent="0.55000000000000004">
      <c r="W40109"/>
    </row>
    <row r="40110" spans="23:23" x14ac:dyDescent="0.55000000000000004">
      <c r="W40110"/>
    </row>
    <row r="40111" spans="23:23" x14ac:dyDescent="0.55000000000000004">
      <c r="W40111"/>
    </row>
    <row r="40112" spans="23:23" x14ac:dyDescent="0.55000000000000004">
      <c r="W40112"/>
    </row>
    <row r="40113" spans="23:23" x14ac:dyDescent="0.55000000000000004">
      <c r="W40113"/>
    </row>
    <row r="40114" spans="23:23" x14ac:dyDescent="0.55000000000000004">
      <c r="W40114"/>
    </row>
    <row r="40115" spans="23:23" x14ac:dyDescent="0.55000000000000004">
      <c r="W40115"/>
    </row>
    <row r="40116" spans="23:23" x14ac:dyDescent="0.55000000000000004">
      <c r="W40116"/>
    </row>
    <row r="40117" spans="23:23" x14ac:dyDescent="0.55000000000000004">
      <c r="W40117"/>
    </row>
    <row r="40118" spans="23:23" x14ac:dyDescent="0.55000000000000004">
      <c r="W40118"/>
    </row>
    <row r="40119" spans="23:23" x14ac:dyDescent="0.55000000000000004">
      <c r="W40119"/>
    </row>
    <row r="40120" spans="23:23" x14ac:dyDescent="0.55000000000000004">
      <c r="W40120"/>
    </row>
    <row r="40121" spans="23:23" x14ac:dyDescent="0.55000000000000004">
      <c r="W40121"/>
    </row>
    <row r="40122" spans="23:23" x14ac:dyDescent="0.55000000000000004">
      <c r="W40122"/>
    </row>
    <row r="40123" spans="23:23" x14ac:dyDescent="0.55000000000000004">
      <c r="W40123"/>
    </row>
    <row r="40124" spans="23:23" x14ac:dyDescent="0.55000000000000004">
      <c r="W40124"/>
    </row>
    <row r="40125" spans="23:23" x14ac:dyDescent="0.55000000000000004">
      <c r="W40125"/>
    </row>
    <row r="40126" spans="23:23" x14ac:dyDescent="0.55000000000000004">
      <c r="W40126"/>
    </row>
    <row r="40127" spans="23:23" x14ac:dyDescent="0.55000000000000004">
      <c r="W40127"/>
    </row>
    <row r="40128" spans="23:23" x14ac:dyDescent="0.55000000000000004">
      <c r="W40128"/>
    </row>
    <row r="40129" spans="23:23" x14ac:dyDescent="0.55000000000000004">
      <c r="W40129"/>
    </row>
    <row r="40130" spans="23:23" x14ac:dyDescent="0.55000000000000004">
      <c r="W40130"/>
    </row>
    <row r="40131" spans="23:23" x14ac:dyDescent="0.55000000000000004">
      <c r="W40131"/>
    </row>
    <row r="40132" spans="23:23" x14ac:dyDescent="0.55000000000000004">
      <c r="W40132"/>
    </row>
    <row r="40133" spans="23:23" x14ac:dyDescent="0.55000000000000004">
      <c r="W40133"/>
    </row>
    <row r="40134" spans="23:23" x14ac:dyDescent="0.55000000000000004">
      <c r="W40134"/>
    </row>
    <row r="40135" spans="23:23" x14ac:dyDescent="0.55000000000000004">
      <c r="W40135"/>
    </row>
    <row r="40136" spans="23:23" x14ac:dyDescent="0.55000000000000004">
      <c r="W40136"/>
    </row>
    <row r="40137" spans="23:23" x14ac:dyDescent="0.55000000000000004">
      <c r="W40137"/>
    </row>
    <row r="40138" spans="23:23" x14ac:dyDescent="0.55000000000000004">
      <c r="W40138"/>
    </row>
    <row r="40139" spans="23:23" x14ac:dyDescent="0.55000000000000004">
      <c r="W40139"/>
    </row>
    <row r="40140" spans="23:23" x14ac:dyDescent="0.55000000000000004">
      <c r="W40140"/>
    </row>
    <row r="40141" spans="23:23" x14ac:dyDescent="0.55000000000000004">
      <c r="W40141"/>
    </row>
    <row r="40142" spans="23:23" x14ac:dyDescent="0.55000000000000004">
      <c r="W40142"/>
    </row>
    <row r="40143" spans="23:23" x14ac:dyDescent="0.55000000000000004">
      <c r="W40143"/>
    </row>
    <row r="40144" spans="23:23" x14ac:dyDescent="0.55000000000000004">
      <c r="W40144"/>
    </row>
    <row r="40145" spans="23:23" x14ac:dyDescent="0.55000000000000004">
      <c r="W40145"/>
    </row>
    <row r="40146" spans="23:23" x14ac:dyDescent="0.55000000000000004">
      <c r="W40146"/>
    </row>
    <row r="40147" spans="23:23" x14ac:dyDescent="0.55000000000000004">
      <c r="W40147"/>
    </row>
    <row r="40148" spans="23:23" x14ac:dyDescent="0.55000000000000004">
      <c r="W40148"/>
    </row>
    <row r="40149" spans="23:23" x14ac:dyDescent="0.55000000000000004">
      <c r="W40149"/>
    </row>
    <row r="40150" spans="23:23" x14ac:dyDescent="0.55000000000000004">
      <c r="W40150"/>
    </row>
    <row r="40151" spans="23:23" x14ac:dyDescent="0.55000000000000004">
      <c r="W40151"/>
    </row>
    <row r="40152" spans="23:23" x14ac:dyDescent="0.55000000000000004">
      <c r="W40152"/>
    </row>
    <row r="40153" spans="23:23" x14ac:dyDescent="0.55000000000000004">
      <c r="W40153"/>
    </row>
    <row r="40154" spans="23:23" x14ac:dyDescent="0.55000000000000004">
      <c r="W40154"/>
    </row>
    <row r="40155" spans="23:23" x14ac:dyDescent="0.55000000000000004">
      <c r="W40155"/>
    </row>
    <row r="40156" spans="23:23" x14ac:dyDescent="0.55000000000000004">
      <c r="W40156"/>
    </row>
    <row r="40157" spans="23:23" x14ac:dyDescent="0.55000000000000004">
      <c r="W40157"/>
    </row>
    <row r="40158" spans="23:23" x14ac:dyDescent="0.55000000000000004">
      <c r="W40158"/>
    </row>
    <row r="40159" spans="23:23" x14ac:dyDescent="0.55000000000000004">
      <c r="W40159"/>
    </row>
    <row r="40160" spans="23:23" x14ac:dyDescent="0.55000000000000004">
      <c r="W40160"/>
    </row>
    <row r="40161" spans="23:23" x14ac:dyDescent="0.55000000000000004">
      <c r="W40161"/>
    </row>
    <row r="40162" spans="23:23" x14ac:dyDescent="0.55000000000000004">
      <c r="W40162"/>
    </row>
    <row r="40163" spans="23:23" x14ac:dyDescent="0.55000000000000004">
      <c r="W40163"/>
    </row>
    <row r="40164" spans="23:23" x14ac:dyDescent="0.55000000000000004">
      <c r="W40164"/>
    </row>
    <row r="40165" spans="23:23" x14ac:dyDescent="0.55000000000000004">
      <c r="W40165"/>
    </row>
    <row r="40166" spans="23:23" x14ac:dyDescent="0.55000000000000004">
      <c r="W40166"/>
    </row>
    <row r="40167" spans="23:23" x14ac:dyDescent="0.55000000000000004">
      <c r="W40167"/>
    </row>
    <row r="40168" spans="23:23" x14ac:dyDescent="0.55000000000000004">
      <c r="W40168"/>
    </row>
    <row r="40169" spans="23:23" x14ac:dyDescent="0.55000000000000004">
      <c r="W40169"/>
    </row>
    <row r="40170" spans="23:23" x14ac:dyDescent="0.55000000000000004">
      <c r="W40170"/>
    </row>
    <row r="40171" spans="23:23" x14ac:dyDescent="0.55000000000000004">
      <c r="W40171"/>
    </row>
    <row r="40172" spans="23:23" x14ac:dyDescent="0.55000000000000004">
      <c r="W40172"/>
    </row>
    <row r="40173" spans="23:23" x14ac:dyDescent="0.55000000000000004">
      <c r="W40173"/>
    </row>
    <row r="40174" spans="23:23" x14ac:dyDescent="0.55000000000000004">
      <c r="W40174"/>
    </row>
    <row r="40175" spans="23:23" x14ac:dyDescent="0.55000000000000004">
      <c r="W40175"/>
    </row>
    <row r="40176" spans="23:23" x14ac:dyDescent="0.55000000000000004">
      <c r="W40176"/>
    </row>
    <row r="40177" spans="23:23" x14ac:dyDescent="0.55000000000000004">
      <c r="W40177"/>
    </row>
    <row r="40178" spans="23:23" x14ac:dyDescent="0.55000000000000004">
      <c r="W40178"/>
    </row>
    <row r="40179" spans="23:23" x14ac:dyDescent="0.55000000000000004">
      <c r="W40179"/>
    </row>
    <row r="40180" spans="23:23" x14ac:dyDescent="0.55000000000000004">
      <c r="W40180"/>
    </row>
    <row r="40181" spans="23:23" x14ac:dyDescent="0.55000000000000004">
      <c r="W40181"/>
    </row>
    <row r="40182" spans="23:23" x14ac:dyDescent="0.55000000000000004">
      <c r="W40182"/>
    </row>
    <row r="40183" spans="23:23" x14ac:dyDescent="0.55000000000000004">
      <c r="W40183"/>
    </row>
    <row r="40184" spans="23:23" x14ac:dyDescent="0.55000000000000004">
      <c r="W40184"/>
    </row>
    <row r="40185" spans="23:23" x14ac:dyDescent="0.55000000000000004">
      <c r="W40185"/>
    </row>
    <row r="40186" spans="23:23" x14ac:dyDescent="0.55000000000000004">
      <c r="W40186"/>
    </row>
    <row r="40187" spans="23:23" x14ac:dyDescent="0.55000000000000004">
      <c r="W40187"/>
    </row>
    <row r="40188" spans="23:23" x14ac:dyDescent="0.55000000000000004">
      <c r="W40188"/>
    </row>
    <row r="40189" spans="23:23" x14ac:dyDescent="0.55000000000000004">
      <c r="W40189"/>
    </row>
    <row r="40190" spans="23:23" x14ac:dyDescent="0.55000000000000004">
      <c r="W40190"/>
    </row>
    <row r="40191" spans="23:23" x14ac:dyDescent="0.55000000000000004">
      <c r="W40191"/>
    </row>
    <row r="40192" spans="23:23" x14ac:dyDescent="0.55000000000000004">
      <c r="W40192"/>
    </row>
    <row r="40193" spans="23:23" x14ac:dyDescent="0.55000000000000004">
      <c r="W40193"/>
    </row>
    <row r="40194" spans="23:23" x14ac:dyDescent="0.55000000000000004">
      <c r="W40194"/>
    </row>
    <row r="40195" spans="23:23" x14ac:dyDescent="0.55000000000000004">
      <c r="W40195"/>
    </row>
    <row r="40196" spans="23:23" x14ac:dyDescent="0.55000000000000004">
      <c r="W40196"/>
    </row>
    <row r="40197" spans="23:23" x14ac:dyDescent="0.55000000000000004">
      <c r="W40197"/>
    </row>
    <row r="40198" spans="23:23" x14ac:dyDescent="0.55000000000000004">
      <c r="W40198"/>
    </row>
    <row r="40199" spans="23:23" x14ac:dyDescent="0.55000000000000004">
      <c r="W40199"/>
    </row>
    <row r="40200" spans="23:23" x14ac:dyDescent="0.55000000000000004">
      <c r="W40200"/>
    </row>
    <row r="40201" spans="23:23" x14ac:dyDescent="0.55000000000000004">
      <c r="W40201"/>
    </row>
    <row r="40202" spans="23:23" x14ac:dyDescent="0.55000000000000004">
      <c r="W40202"/>
    </row>
    <row r="40203" spans="23:23" x14ac:dyDescent="0.55000000000000004">
      <c r="W40203"/>
    </row>
    <row r="40204" spans="23:23" x14ac:dyDescent="0.55000000000000004">
      <c r="W40204"/>
    </row>
    <row r="40205" spans="23:23" x14ac:dyDescent="0.55000000000000004">
      <c r="W40205"/>
    </row>
    <row r="40206" spans="23:23" x14ac:dyDescent="0.55000000000000004">
      <c r="W40206"/>
    </row>
    <row r="40207" spans="23:23" x14ac:dyDescent="0.55000000000000004">
      <c r="W40207"/>
    </row>
    <row r="40208" spans="23:23" x14ac:dyDescent="0.55000000000000004">
      <c r="W40208"/>
    </row>
    <row r="40209" spans="23:23" x14ac:dyDescent="0.55000000000000004">
      <c r="W40209"/>
    </row>
    <row r="40210" spans="23:23" x14ac:dyDescent="0.55000000000000004">
      <c r="W40210"/>
    </row>
    <row r="40211" spans="23:23" x14ac:dyDescent="0.55000000000000004">
      <c r="W40211"/>
    </row>
    <row r="40212" spans="23:23" x14ac:dyDescent="0.55000000000000004">
      <c r="W40212"/>
    </row>
    <row r="40213" spans="23:23" x14ac:dyDescent="0.55000000000000004">
      <c r="W40213"/>
    </row>
    <row r="40214" spans="23:23" x14ac:dyDescent="0.55000000000000004">
      <c r="W40214"/>
    </row>
    <row r="40215" spans="23:23" x14ac:dyDescent="0.55000000000000004">
      <c r="W40215"/>
    </row>
    <row r="40216" spans="23:23" x14ac:dyDescent="0.55000000000000004">
      <c r="W40216"/>
    </row>
    <row r="40217" spans="23:23" x14ac:dyDescent="0.55000000000000004">
      <c r="W40217"/>
    </row>
    <row r="40218" spans="23:23" x14ac:dyDescent="0.55000000000000004">
      <c r="W40218"/>
    </row>
    <row r="40219" spans="23:23" x14ac:dyDescent="0.55000000000000004">
      <c r="W40219"/>
    </row>
    <row r="40220" spans="23:23" x14ac:dyDescent="0.55000000000000004">
      <c r="W40220"/>
    </row>
    <row r="40221" spans="23:23" x14ac:dyDescent="0.55000000000000004">
      <c r="W40221"/>
    </row>
    <row r="40222" spans="23:23" x14ac:dyDescent="0.55000000000000004">
      <c r="W40222"/>
    </row>
    <row r="40223" spans="23:23" x14ac:dyDescent="0.55000000000000004">
      <c r="W40223"/>
    </row>
    <row r="40224" spans="23:23" x14ac:dyDescent="0.55000000000000004">
      <c r="W40224"/>
    </row>
    <row r="40225" spans="23:23" x14ac:dyDescent="0.55000000000000004">
      <c r="W40225"/>
    </row>
    <row r="40226" spans="23:23" x14ac:dyDescent="0.55000000000000004">
      <c r="W40226"/>
    </row>
    <row r="40227" spans="23:23" x14ac:dyDescent="0.55000000000000004">
      <c r="W40227"/>
    </row>
    <row r="40228" spans="23:23" x14ac:dyDescent="0.55000000000000004">
      <c r="W40228"/>
    </row>
    <row r="40229" spans="23:23" x14ac:dyDescent="0.55000000000000004">
      <c r="W40229"/>
    </row>
    <row r="40230" spans="23:23" x14ac:dyDescent="0.55000000000000004">
      <c r="W40230"/>
    </row>
    <row r="40231" spans="23:23" x14ac:dyDescent="0.55000000000000004">
      <c r="W40231"/>
    </row>
    <row r="40232" spans="23:23" x14ac:dyDescent="0.55000000000000004">
      <c r="W40232"/>
    </row>
    <row r="40233" spans="23:23" x14ac:dyDescent="0.55000000000000004">
      <c r="W40233"/>
    </row>
    <row r="40234" spans="23:23" x14ac:dyDescent="0.55000000000000004">
      <c r="W40234"/>
    </row>
    <row r="40235" spans="23:23" x14ac:dyDescent="0.55000000000000004">
      <c r="W40235"/>
    </row>
    <row r="40236" spans="23:23" x14ac:dyDescent="0.55000000000000004">
      <c r="W40236"/>
    </row>
    <row r="40237" spans="23:23" x14ac:dyDescent="0.55000000000000004">
      <c r="W40237"/>
    </row>
    <row r="40238" spans="23:23" x14ac:dyDescent="0.55000000000000004">
      <c r="W40238"/>
    </row>
    <row r="40239" spans="23:23" x14ac:dyDescent="0.55000000000000004">
      <c r="W40239"/>
    </row>
    <row r="40240" spans="23:23" x14ac:dyDescent="0.55000000000000004">
      <c r="W40240"/>
    </row>
    <row r="40241" spans="23:23" x14ac:dyDescent="0.55000000000000004">
      <c r="W40241"/>
    </row>
    <row r="40242" spans="23:23" x14ac:dyDescent="0.55000000000000004">
      <c r="W40242"/>
    </row>
    <row r="40243" spans="23:23" x14ac:dyDescent="0.55000000000000004">
      <c r="W40243"/>
    </row>
    <row r="40244" spans="23:23" x14ac:dyDescent="0.55000000000000004">
      <c r="W40244"/>
    </row>
    <row r="40245" spans="23:23" x14ac:dyDescent="0.55000000000000004">
      <c r="W40245"/>
    </row>
    <row r="40246" spans="23:23" x14ac:dyDescent="0.55000000000000004">
      <c r="W40246"/>
    </row>
    <row r="40247" spans="23:23" x14ac:dyDescent="0.55000000000000004">
      <c r="W40247"/>
    </row>
    <row r="40248" spans="23:23" x14ac:dyDescent="0.55000000000000004">
      <c r="W40248"/>
    </row>
    <row r="40249" spans="23:23" x14ac:dyDescent="0.55000000000000004">
      <c r="W40249"/>
    </row>
    <row r="40250" spans="23:23" x14ac:dyDescent="0.55000000000000004">
      <c r="W40250"/>
    </row>
    <row r="40251" spans="23:23" x14ac:dyDescent="0.55000000000000004">
      <c r="W40251"/>
    </row>
    <row r="40252" spans="23:23" x14ac:dyDescent="0.55000000000000004">
      <c r="W40252"/>
    </row>
    <row r="40253" spans="23:23" x14ac:dyDescent="0.55000000000000004">
      <c r="W40253"/>
    </row>
    <row r="40254" spans="23:23" x14ac:dyDescent="0.55000000000000004">
      <c r="W40254"/>
    </row>
    <row r="40255" spans="23:23" x14ac:dyDescent="0.55000000000000004">
      <c r="W40255"/>
    </row>
    <row r="40256" spans="23:23" x14ac:dyDescent="0.55000000000000004">
      <c r="W40256"/>
    </row>
    <row r="40257" spans="23:23" x14ac:dyDescent="0.55000000000000004">
      <c r="W40257"/>
    </row>
    <row r="40258" spans="23:23" x14ac:dyDescent="0.55000000000000004">
      <c r="W40258"/>
    </row>
    <row r="40259" spans="23:23" x14ac:dyDescent="0.55000000000000004">
      <c r="W40259"/>
    </row>
    <row r="40260" spans="23:23" x14ac:dyDescent="0.55000000000000004">
      <c r="W40260"/>
    </row>
    <row r="40261" spans="23:23" x14ac:dyDescent="0.55000000000000004">
      <c r="W40261"/>
    </row>
    <row r="40262" spans="23:23" x14ac:dyDescent="0.55000000000000004">
      <c r="W40262"/>
    </row>
    <row r="40263" spans="23:23" x14ac:dyDescent="0.55000000000000004">
      <c r="W40263"/>
    </row>
    <row r="40264" spans="23:23" x14ac:dyDescent="0.55000000000000004">
      <c r="W40264"/>
    </row>
    <row r="40265" spans="23:23" x14ac:dyDescent="0.55000000000000004">
      <c r="W40265"/>
    </row>
    <row r="40266" spans="23:23" x14ac:dyDescent="0.55000000000000004">
      <c r="W40266"/>
    </row>
    <row r="40267" spans="23:23" x14ac:dyDescent="0.55000000000000004">
      <c r="W40267"/>
    </row>
    <row r="40268" spans="23:23" x14ac:dyDescent="0.55000000000000004">
      <c r="W40268"/>
    </row>
    <row r="40269" spans="23:23" x14ac:dyDescent="0.55000000000000004">
      <c r="W40269"/>
    </row>
    <row r="40270" spans="23:23" x14ac:dyDescent="0.55000000000000004">
      <c r="W40270"/>
    </row>
    <row r="40271" spans="23:23" x14ac:dyDescent="0.55000000000000004">
      <c r="W40271"/>
    </row>
    <row r="40272" spans="23:23" x14ac:dyDescent="0.55000000000000004">
      <c r="W40272"/>
    </row>
    <row r="40273" spans="23:23" x14ac:dyDescent="0.55000000000000004">
      <c r="W40273"/>
    </row>
    <row r="40274" spans="23:23" x14ac:dyDescent="0.55000000000000004">
      <c r="W40274"/>
    </row>
    <row r="40275" spans="23:23" x14ac:dyDescent="0.55000000000000004">
      <c r="W40275"/>
    </row>
    <row r="40276" spans="23:23" x14ac:dyDescent="0.55000000000000004">
      <c r="W40276"/>
    </row>
    <row r="40277" spans="23:23" x14ac:dyDescent="0.55000000000000004">
      <c r="W40277"/>
    </row>
    <row r="40278" spans="23:23" x14ac:dyDescent="0.55000000000000004">
      <c r="W40278"/>
    </row>
    <row r="40279" spans="23:23" x14ac:dyDescent="0.55000000000000004">
      <c r="W40279"/>
    </row>
    <row r="40280" spans="23:23" x14ac:dyDescent="0.55000000000000004">
      <c r="W40280"/>
    </row>
    <row r="40281" spans="23:23" x14ac:dyDescent="0.55000000000000004">
      <c r="W40281"/>
    </row>
    <row r="40282" spans="23:23" x14ac:dyDescent="0.55000000000000004">
      <c r="W40282"/>
    </row>
    <row r="40283" spans="23:23" x14ac:dyDescent="0.55000000000000004">
      <c r="W40283"/>
    </row>
    <row r="40284" spans="23:23" x14ac:dyDescent="0.55000000000000004">
      <c r="W40284"/>
    </row>
    <row r="40285" spans="23:23" x14ac:dyDescent="0.55000000000000004">
      <c r="W40285"/>
    </row>
    <row r="40286" spans="23:23" x14ac:dyDescent="0.55000000000000004">
      <c r="W40286"/>
    </row>
    <row r="40287" spans="23:23" x14ac:dyDescent="0.55000000000000004">
      <c r="W40287"/>
    </row>
    <row r="40288" spans="23:23" x14ac:dyDescent="0.55000000000000004">
      <c r="W40288"/>
    </row>
    <row r="40289" spans="23:23" x14ac:dyDescent="0.55000000000000004">
      <c r="W40289"/>
    </row>
    <row r="40290" spans="23:23" x14ac:dyDescent="0.55000000000000004">
      <c r="W40290"/>
    </row>
    <row r="40291" spans="23:23" x14ac:dyDescent="0.55000000000000004">
      <c r="W40291"/>
    </row>
    <row r="40292" spans="23:23" x14ac:dyDescent="0.55000000000000004">
      <c r="W40292"/>
    </row>
    <row r="40293" spans="23:23" x14ac:dyDescent="0.55000000000000004">
      <c r="W40293"/>
    </row>
    <row r="40294" spans="23:23" x14ac:dyDescent="0.55000000000000004">
      <c r="W40294"/>
    </row>
    <row r="40295" spans="23:23" x14ac:dyDescent="0.55000000000000004">
      <c r="W40295"/>
    </row>
    <row r="40296" spans="23:23" x14ac:dyDescent="0.55000000000000004">
      <c r="W40296"/>
    </row>
    <row r="40297" spans="23:23" x14ac:dyDescent="0.55000000000000004">
      <c r="W40297"/>
    </row>
    <row r="40298" spans="23:23" x14ac:dyDescent="0.55000000000000004">
      <c r="W40298"/>
    </row>
    <row r="40299" spans="23:23" x14ac:dyDescent="0.55000000000000004">
      <c r="W40299"/>
    </row>
    <row r="40300" spans="23:23" x14ac:dyDescent="0.55000000000000004">
      <c r="W40300"/>
    </row>
    <row r="40301" spans="23:23" x14ac:dyDescent="0.55000000000000004">
      <c r="W40301"/>
    </row>
    <row r="40302" spans="23:23" x14ac:dyDescent="0.55000000000000004">
      <c r="W40302"/>
    </row>
    <row r="40303" spans="23:23" x14ac:dyDescent="0.55000000000000004">
      <c r="W40303"/>
    </row>
    <row r="40304" spans="23:23" x14ac:dyDescent="0.55000000000000004">
      <c r="W40304"/>
    </row>
    <row r="40305" spans="23:23" x14ac:dyDescent="0.55000000000000004">
      <c r="W40305"/>
    </row>
    <row r="40306" spans="23:23" x14ac:dyDescent="0.55000000000000004">
      <c r="W40306"/>
    </row>
    <row r="40307" spans="23:23" x14ac:dyDescent="0.55000000000000004">
      <c r="W40307"/>
    </row>
    <row r="40308" spans="23:23" x14ac:dyDescent="0.55000000000000004">
      <c r="W40308"/>
    </row>
    <row r="40309" spans="23:23" x14ac:dyDescent="0.55000000000000004">
      <c r="W40309"/>
    </row>
    <row r="40310" spans="23:23" x14ac:dyDescent="0.55000000000000004">
      <c r="W40310"/>
    </row>
    <row r="40311" spans="23:23" x14ac:dyDescent="0.55000000000000004">
      <c r="W40311"/>
    </row>
    <row r="40312" spans="23:23" x14ac:dyDescent="0.55000000000000004">
      <c r="W40312"/>
    </row>
    <row r="40313" spans="23:23" x14ac:dyDescent="0.55000000000000004">
      <c r="W40313"/>
    </row>
    <row r="40314" spans="23:23" x14ac:dyDescent="0.55000000000000004">
      <c r="W40314"/>
    </row>
    <row r="40315" spans="23:23" x14ac:dyDescent="0.55000000000000004">
      <c r="W40315"/>
    </row>
    <row r="40316" spans="23:23" x14ac:dyDescent="0.55000000000000004">
      <c r="W40316"/>
    </row>
    <row r="40317" spans="23:23" x14ac:dyDescent="0.55000000000000004">
      <c r="W40317"/>
    </row>
    <row r="40318" spans="23:23" x14ac:dyDescent="0.55000000000000004">
      <c r="W40318"/>
    </row>
    <row r="40319" spans="23:23" x14ac:dyDescent="0.55000000000000004">
      <c r="W40319"/>
    </row>
    <row r="40320" spans="23:23" x14ac:dyDescent="0.55000000000000004">
      <c r="W40320"/>
    </row>
    <row r="40321" spans="23:23" x14ac:dyDescent="0.55000000000000004">
      <c r="W40321"/>
    </row>
    <row r="40322" spans="23:23" x14ac:dyDescent="0.55000000000000004">
      <c r="W40322"/>
    </row>
    <row r="40323" spans="23:23" x14ac:dyDescent="0.55000000000000004">
      <c r="W40323"/>
    </row>
    <row r="40324" spans="23:23" x14ac:dyDescent="0.55000000000000004">
      <c r="W40324"/>
    </row>
    <row r="40325" spans="23:23" x14ac:dyDescent="0.55000000000000004">
      <c r="W40325"/>
    </row>
    <row r="40326" spans="23:23" x14ac:dyDescent="0.55000000000000004">
      <c r="W40326"/>
    </row>
    <row r="40327" spans="23:23" x14ac:dyDescent="0.55000000000000004">
      <c r="W40327"/>
    </row>
    <row r="40328" spans="23:23" x14ac:dyDescent="0.55000000000000004">
      <c r="W40328"/>
    </row>
    <row r="40329" spans="23:23" x14ac:dyDescent="0.55000000000000004">
      <c r="W40329"/>
    </row>
    <row r="40330" spans="23:23" x14ac:dyDescent="0.55000000000000004">
      <c r="W40330"/>
    </row>
    <row r="40331" spans="23:23" x14ac:dyDescent="0.55000000000000004">
      <c r="W40331"/>
    </row>
    <row r="40332" spans="23:23" x14ac:dyDescent="0.55000000000000004">
      <c r="W40332"/>
    </row>
    <row r="40333" spans="23:23" x14ac:dyDescent="0.55000000000000004">
      <c r="W40333"/>
    </row>
    <row r="40334" spans="23:23" x14ac:dyDescent="0.55000000000000004">
      <c r="W40334"/>
    </row>
    <row r="40335" spans="23:23" x14ac:dyDescent="0.55000000000000004">
      <c r="W40335"/>
    </row>
    <row r="40336" spans="23:23" x14ac:dyDescent="0.55000000000000004">
      <c r="W40336"/>
    </row>
    <row r="40337" spans="23:23" x14ac:dyDescent="0.55000000000000004">
      <c r="W40337"/>
    </row>
    <row r="40338" spans="23:23" x14ac:dyDescent="0.55000000000000004">
      <c r="W40338"/>
    </row>
    <row r="40339" spans="23:23" x14ac:dyDescent="0.55000000000000004">
      <c r="W40339"/>
    </row>
    <row r="40340" spans="23:23" x14ac:dyDescent="0.55000000000000004">
      <c r="W40340"/>
    </row>
    <row r="40341" spans="23:23" x14ac:dyDescent="0.55000000000000004">
      <c r="W40341"/>
    </row>
    <row r="40342" spans="23:23" x14ac:dyDescent="0.55000000000000004">
      <c r="W40342"/>
    </row>
    <row r="40343" spans="23:23" x14ac:dyDescent="0.55000000000000004">
      <c r="W40343"/>
    </row>
    <row r="40344" spans="23:23" x14ac:dyDescent="0.55000000000000004">
      <c r="W40344"/>
    </row>
    <row r="40345" spans="23:23" x14ac:dyDescent="0.55000000000000004">
      <c r="W40345"/>
    </row>
    <row r="40346" spans="23:23" x14ac:dyDescent="0.55000000000000004">
      <c r="W40346"/>
    </row>
    <row r="40347" spans="23:23" x14ac:dyDescent="0.55000000000000004">
      <c r="W40347"/>
    </row>
    <row r="40348" spans="23:23" x14ac:dyDescent="0.55000000000000004">
      <c r="W40348"/>
    </row>
    <row r="40349" spans="23:23" x14ac:dyDescent="0.55000000000000004">
      <c r="W40349"/>
    </row>
    <row r="40350" spans="23:23" x14ac:dyDescent="0.55000000000000004">
      <c r="W40350"/>
    </row>
    <row r="40351" spans="23:23" x14ac:dyDescent="0.55000000000000004">
      <c r="W40351"/>
    </row>
    <row r="40352" spans="23:23" x14ac:dyDescent="0.55000000000000004">
      <c r="W40352"/>
    </row>
    <row r="40353" spans="23:23" x14ac:dyDescent="0.55000000000000004">
      <c r="W40353"/>
    </row>
    <row r="40354" spans="23:23" x14ac:dyDescent="0.55000000000000004">
      <c r="W40354"/>
    </row>
    <row r="40355" spans="23:23" x14ac:dyDescent="0.55000000000000004">
      <c r="W40355"/>
    </row>
    <row r="40356" spans="23:23" x14ac:dyDescent="0.55000000000000004">
      <c r="W40356"/>
    </row>
    <row r="40357" spans="23:23" x14ac:dyDescent="0.55000000000000004">
      <c r="W40357"/>
    </row>
    <row r="40358" spans="23:23" x14ac:dyDescent="0.55000000000000004">
      <c r="W40358"/>
    </row>
    <row r="40359" spans="23:23" x14ac:dyDescent="0.55000000000000004">
      <c r="W40359"/>
    </row>
    <row r="40360" spans="23:23" x14ac:dyDescent="0.55000000000000004">
      <c r="W40360"/>
    </row>
    <row r="40361" spans="23:23" x14ac:dyDescent="0.55000000000000004">
      <c r="W40361"/>
    </row>
    <row r="40362" spans="23:23" x14ac:dyDescent="0.55000000000000004">
      <c r="W40362"/>
    </row>
    <row r="40363" spans="23:23" x14ac:dyDescent="0.55000000000000004">
      <c r="W40363"/>
    </row>
    <row r="40364" spans="23:23" x14ac:dyDescent="0.55000000000000004">
      <c r="W40364"/>
    </row>
    <row r="40365" spans="23:23" x14ac:dyDescent="0.55000000000000004">
      <c r="W40365"/>
    </row>
    <row r="40366" spans="23:23" x14ac:dyDescent="0.55000000000000004">
      <c r="W40366"/>
    </row>
    <row r="40367" spans="23:23" x14ac:dyDescent="0.55000000000000004">
      <c r="W40367"/>
    </row>
    <row r="40368" spans="23:23" x14ac:dyDescent="0.55000000000000004">
      <c r="W40368"/>
    </row>
    <row r="40369" spans="23:23" x14ac:dyDescent="0.55000000000000004">
      <c r="W40369"/>
    </row>
    <row r="40370" spans="23:23" x14ac:dyDescent="0.55000000000000004">
      <c r="W40370"/>
    </row>
    <row r="40371" spans="23:23" x14ac:dyDescent="0.55000000000000004">
      <c r="W40371"/>
    </row>
    <row r="40372" spans="23:23" x14ac:dyDescent="0.55000000000000004">
      <c r="W40372"/>
    </row>
    <row r="40373" spans="23:23" x14ac:dyDescent="0.55000000000000004">
      <c r="W40373"/>
    </row>
    <row r="40374" spans="23:23" x14ac:dyDescent="0.55000000000000004">
      <c r="W40374"/>
    </row>
    <row r="40375" spans="23:23" x14ac:dyDescent="0.55000000000000004">
      <c r="W40375"/>
    </row>
    <row r="40376" spans="23:23" x14ac:dyDescent="0.55000000000000004">
      <c r="W40376"/>
    </row>
    <row r="40377" spans="23:23" x14ac:dyDescent="0.55000000000000004">
      <c r="W40377"/>
    </row>
    <row r="40378" spans="23:23" x14ac:dyDescent="0.55000000000000004">
      <c r="W40378"/>
    </row>
    <row r="40379" spans="23:23" x14ac:dyDescent="0.55000000000000004">
      <c r="W40379"/>
    </row>
    <row r="40380" spans="23:23" x14ac:dyDescent="0.55000000000000004">
      <c r="W40380"/>
    </row>
    <row r="40381" spans="23:23" x14ac:dyDescent="0.55000000000000004">
      <c r="W40381"/>
    </row>
    <row r="40382" spans="23:23" x14ac:dyDescent="0.55000000000000004">
      <c r="W40382"/>
    </row>
    <row r="40383" spans="23:23" x14ac:dyDescent="0.55000000000000004">
      <c r="W40383"/>
    </row>
    <row r="40384" spans="23:23" x14ac:dyDescent="0.55000000000000004">
      <c r="W40384"/>
    </row>
    <row r="40385" spans="23:23" x14ac:dyDescent="0.55000000000000004">
      <c r="W40385"/>
    </row>
    <row r="40386" spans="23:23" x14ac:dyDescent="0.55000000000000004">
      <c r="W40386"/>
    </row>
    <row r="40387" spans="23:23" x14ac:dyDescent="0.55000000000000004">
      <c r="W40387"/>
    </row>
    <row r="40388" spans="23:23" x14ac:dyDescent="0.55000000000000004">
      <c r="W40388"/>
    </row>
    <row r="40389" spans="23:23" x14ac:dyDescent="0.55000000000000004">
      <c r="W40389"/>
    </row>
    <row r="40390" spans="23:23" x14ac:dyDescent="0.55000000000000004">
      <c r="W40390"/>
    </row>
    <row r="40391" spans="23:23" x14ac:dyDescent="0.55000000000000004">
      <c r="W40391"/>
    </row>
    <row r="40392" spans="23:23" x14ac:dyDescent="0.55000000000000004">
      <c r="W40392"/>
    </row>
    <row r="40393" spans="23:23" x14ac:dyDescent="0.55000000000000004">
      <c r="W40393"/>
    </row>
    <row r="40394" spans="23:23" x14ac:dyDescent="0.55000000000000004">
      <c r="W40394"/>
    </row>
    <row r="40395" spans="23:23" x14ac:dyDescent="0.55000000000000004">
      <c r="W40395"/>
    </row>
    <row r="40396" spans="23:23" x14ac:dyDescent="0.55000000000000004">
      <c r="W40396"/>
    </row>
    <row r="40397" spans="23:23" x14ac:dyDescent="0.55000000000000004">
      <c r="W40397"/>
    </row>
    <row r="40398" spans="23:23" x14ac:dyDescent="0.55000000000000004">
      <c r="W40398"/>
    </row>
    <row r="40399" spans="23:23" x14ac:dyDescent="0.55000000000000004">
      <c r="W40399"/>
    </row>
    <row r="40400" spans="23:23" x14ac:dyDescent="0.55000000000000004">
      <c r="W40400"/>
    </row>
    <row r="40401" spans="23:23" x14ac:dyDescent="0.55000000000000004">
      <c r="W40401"/>
    </row>
    <row r="40402" spans="23:23" x14ac:dyDescent="0.55000000000000004">
      <c r="W40402"/>
    </row>
    <row r="40403" spans="23:23" x14ac:dyDescent="0.55000000000000004">
      <c r="W40403"/>
    </row>
    <row r="40404" spans="23:23" x14ac:dyDescent="0.55000000000000004">
      <c r="W40404"/>
    </row>
    <row r="40405" spans="23:23" x14ac:dyDescent="0.55000000000000004">
      <c r="W40405"/>
    </row>
    <row r="40406" spans="23:23" x14ac:dyDescent="0.55000000000000004">
      <c r="W40406"/>
    </row>
    <row r="40407" spans="23:23" x14ac:dyDescent="0.55000000000000004">
      <c r="W40407"/>
    </row>
    <row r="40408" spans="23:23" x14ac:dyDescent="0.55000000000000004">
      <c r="W40408"/>
    </row>
    <row r="40409" spans="23:23" x14ac:dyDescent="0.55000000000000004">
      <c r="W40409"/>
    </row>
    <row r="40410" spans="23:23" x14ac:dyDescent="0.55000000000000004">
      <c r="W40410"/>
    </row>
    <row r="40411" spans="23:23" x14ac:dyDescent="0.55000000000000004">
      <c r="W40411"/>
    </row>
    <row r="40412" spans="23:23" x14ac:dyDescent="0.55000000000000004">
      <c r="W40412"/>
    </row>
    <row r="40413" spans="23:23" x14ac:dyDescent="0.55000000000000004">
      <c r="W40413"/>
    </row>
    <row r="40414" spans="23:23" x14ac:dyDescent="0.55000000000000004">
      <c r="W40414"/>
    </row>
    <row r="40415" spans="23:23" x14ac:dyDescent="0.55000000000000004">
      <c r="W40415"/>
    </row>
    <row r="40416" spans="23:23" x14ac:dyDescent="0.55000000000000004">
      <c r="W40416"/>
    </row>
    <row r="40417" spans="23:23" x14ac:dyDescent="0.55000000000000004">
      <c r="W40417"/>
    </row>
    <row r="40418" spans="23:23" x14ac:dyDescent="0.55000000000000004">
      <c r="W40418"/>
    </row>
    <row r="40419" spans="23:23" x14ac:dyDescent="0.55000000000000004">
      <c r="W40419"/>
    </row>
    <row r="40420" spans="23:23" x14ac:dyDescent="0.55000000000000004">
      <c r="W40420"/>
    </row>
    <row r="40421" spans="23:23" x14ac:dyDescent="0.55000000000000004">
      <c r="W40421"/>
    </row>
    <row r="40422" spans="23:23" x14ac:dyDescent="0.55000000000000004">
      <c r="W40422"/>
    </row>
    <row r="40423" spans="23:23" x14ac:dyDescent="0.55000000000000004">
      <c r="W40423"/>
    </row>
    <row r="40424" spans="23:23" x14ac:dyDescent="0.55000000000000004">
      <c r="W40424"/>
    </row>
    <row r="40425" spans="23:23" x14ac:dyDescent="0.55000000000000004">
      <c r="W40425"/>
    </row>
    <row r="40426" spans="23:23" x14ac:dyDescent="0.55000000000000004">
      <c r="W40426"/>
    </row>
    <row r="40427" spans="23:23" x14ac:dyDescent="0.55000000000000004">
      <c r="W40427"/>
    </row>
    <row r="40428" spans="23:23" x14ac:dyDescent="0.55000000000000004">
      <c r="W40428"/>
    </row>
    <row r="40429" spans="23:23" x14ac:dyDescent="0.55000000000000004">
      <c r="W40429"/>
    </row>
    <row r="40430" spans="23:23" x14ac:dyDescent="0.55000000000000004">
      <c r="W40430"/>
    </row>
    <row r="40431" spans="23:23" x14ac:dyDescent="0.55000000000000004">
      <c r="W40431"/>
    </row>
    <row r="40432" spans="23:23" x14ac:dyDescent="0.55000000000000004">
      <c r="W40432"/>
    </row>
    <row r="40433" spans="23:23" x14ac:dyDescent="0.55000000000000004">
      <c r="W40433"/>
    </row>
    <row r="40434" spans="23:23" x14ac:dyDescent="0.55000000000000004">
      <c r="W40434"/>
    </row>
    <row r="40435" spans="23:23" x14ac:dyDescent="0.55000000000000004">
      <c r="W40435"/>
    </row>
    <row r="40436" spans="23:23" x14ac:dyDescent="0.55000000000000004">
      <c r="W40436"/>
    </row>
    <row r="40437" spans="23:23" x14ac:dyDescent="0.55000000000000004">
      <c r="W40437"/>
    </row>
    <row r="40438" spans="23:23" x14ac:dyDescent="0.55000000000000004">
      <c r="W40438"/>
    </row>
    <row r="40439" spans="23:23" x14ac:dyDescent="0.55000000000000004">
      <c r="W40439"/>
    </row>
    <row r="40440" spans="23:23" x14ac:dyDescent="0.55000000000000004">
      <c r="W40440"/>
    </row>
    <row r="40441" spans="23:23" x14ac:dyDescent="0.55000000000000004">
      <c r="W40441"/>
    </row>
    <row r="40442" spans="23:23" x14ac:dyDescent="0.55000000000000004">
      <c r="W40442"/>
    </row>
    <row r="40443" spans="23:23" x14ac:dyDescent="0.55000000000000004">
      <c r="W40443"/>
    </row>
    <row r="40444" spans="23:23" x14ac:dyDescent="0.55000000000000004">
      <c r="W40444"/>
    </row>
    <row r="40445" spans="23:23" x14ac:dyDescent="0.55000000000000004">
      <c r="W40445"/>
    </row>
    <row r="40446" spans="23:23" x14ac:dyDescent="0.55000000000000004">
      <c r="W40446"/>
    </row>
    <row r="40447" spans="23:23" x14ac:dyDescent="0.55000000000000004">
      <c r="W40447"/>
    </row>
    <row r="40448" spans="23:23" x14ac:dyDescent="0.55000000000000004">
      <c r="W40448"/>
    </row>
    <row r="40449" spans="23:23" x14ac:dyDescent="0.55000000000000004">
      <c r="W40449"/>
    </row>
    <row r="40450" spans="23:23" x14ac:dyDescent="0.55000000000000004">
      <c r="W40450"/>
    </row>
    <row r="40451" spans="23:23" x14ac:dyDescent="0.55000000000000004">
      <c r="W40451"/>
    </row>
    <row r="40452" spans="23:23" x14ac:dyDescent="0.55000000000000004">
      <c r="W40452"/>
    </row>
    <row r="40453" spans="23:23" x14ac:dyDescent="0.55000000000000004">
      <c r="W40453"/>
    </row>
    <row r="40454" spans="23:23" x14ac:dyDescent="0.55000000000000004">
      <c r="W40454"/>
    </row>
    <row r="40455" spans="23:23" x14ac:dyDescent="0.55000000000000004">
      <c r="W40455"/>
    </row>
    <row r="40456" spans="23:23" x14ac:dyDescent="0.55000000000000004">
      <c r="W40456"/>
    </row>
    <row r="40457" spans="23:23" x14ac:dyDescent="0.55000000000000004">
      <c r="W40457"/>
    </row>
    <row r="40458" spans="23:23" x14ac:dyDescent="0.55000000000000004">
      <c r="W40458"/>
    </row>
    <row r="40459" spans="23:23" x14ac:dyDescent="0.55000000000000004">
      <c r="W40459"/>
    </row>
    <row r="40460" spans="23:23" x14ac:dyDescent="0.55000000000000004">
      <c r="W40460"/>
    </row>
    <row r="40461" spans="23:23" x14ac:dyDescent="0.55000000000000004">
      <c r="W40461"/>
    </row>
    <row r="40462" spans="23:23" x14ac:dyDescent="0.55000000000000004">
      <c r="W40462"/>
    </row>
    <row r="40463" spans="23:23" x14ac:dyDescent="0.55000000000000004">
      <c r="W40463"/>
    </row>
    <row r="40464" spans="23:23" x14ac:dyDescent="0.55000000000000004">
      <c r="W40464"/>
    </row>
    <row r="40465" spans="23:23" x14ac:dyDescent="0.55000000000000004">
      <c r="W40465"/>
    </row>
    <row r="40466" spans="23:23" x14ac:dyDescent="0.55000000000000004">
      <c r="W40466"/>
    </row>
    <row r="40467" spans="23:23" x14ac:dyDescent="0.55000000000000004">
      <c r="W40467"/>
    </row>
    <row r="40468" spans="23:23" x14ac:dyDescent="0.55000000000000004">
      <c r="W40468"/>
    </row>
    <row r="40469" spans="23:23" x14ac:dyDescent="0.55000000000000004">
      <c r="W40469"/>
    </row>
    <row r="40470" spans="23:23" x14ac:dyDescent="0.55000000000000004">
      <c r="W40470"/>
    </row>
    <row r="40471" spans="23:23" x14ac:dyDescent="0.55000000000000004">
      <c r="W40471"/>
    </row>
    <row r="40472" spans="23:23" x14ac:dyDescent="0.55000000000000004">
      <c r="W40472"/>
    </row>
    <row r="40473" spans="23:23" x14ac:dyDescent="0.55000000000000004">
      <c r="W40473"/>
    </row>
    <row r="40474" spans="23:23" x14ac:dyDescent="0.55000000000000004">
      <c r="W40474"/>
    </row>
    <row r="40475" spans="23:23" x14ac:dyDescent="0.55000000000000004">
      <c r="W40475"/>
    </row>
    <row r="40476" spans="23:23" x14ac:dyDescent="0.55000000000000004">
      <c r="W40476"/>
    </row>
    <row r="40477" spans="23:23" x14ac:dyDescent="0.55000000000000004">
      <c r="W40477"/>
    </row>
    <row r="40478" spans="23:23" x14ac:dyDescent="0.55000000000000004">
      <c r="W40478"/>
    </row>
    <row r="40479" spans="23:23" x14ac:dyDescent="0.55000000000000004">
      <c r="W40479"/>
    </row>
    <row r="40480" spans="23:23" x14ac:dyDescent="0.55000000000000004">
      <c r="W40480"/>
    </row>
    <row r="40481" spans="23:23" x14ac:dyDescent="0.55000000000000004">
      <c r="W40481"/>
    </row>
    <row r="40482" spans="23:23" x14ac:dyDescent="0.55000000000000004">
      <c r="W40482"/>
    </row>
    <row r="40483" spans="23:23" x14ac:dyDescent="0.55000000000000004">
      <c r="W40483"/>
    </row>
    <row r="40484" spans="23:23" x14ac:dyDescent="0.55000000000000004">
      <c r="W40484"/>
    </row>
    <row r="40485" spans="23:23" x14ac:dyDescent="0.55000000000000004">
      <c r="W40485"/>
    </row>
    <row r="40486" spans="23:23" x14ac:dyDescent="0.55000000000000004">
      <c r="W40486"/>
    </row>
    <row r="40487" spans="23:23" x14ac:dyDescent="0.55000000000000004">
      <c r="W40487"/>
    </row>
    <row r="40488" spans="23:23" x14ac:dyDescent="0.55000000000000004">
      <c r="W40488"/>
    </row>
    <row r="40489" spans="23:23" x14ac:dyDescent="0.55000000000000004">
      <c r="W40489"/>
    </row>
    <row r="40490" spans="23:23" x14ac:dyDescent="0.55000000000000004">
      <c r="W40490"/>
    </row>
    <row r="40491" spans="23:23" x14ac:dyDescent="0.55000000000000004">
      <c r="W40491"/>
    </row>
    <row r="40492" spans="23:23" x14ac:dyDescent="0.55000000000000004">
      <c r="W40492"/>
    </row>
    <row r="40493" spans="23:23" x14ac:dyDescent="0.55000000000000004">
      <c r="W40493"/>
    </row>
    <row r="40494" spans="23:23" x14ac:dyDescent="0.55000000000000004">
      <c r="W40494"/>
    </row>
    <row r="40495" spans="23:23" x14ac:dyDescent="0.55000000000000004">
      <c r="W40495"/>
    </row>
    <row r="40496" spans="23:23" x14ac:dyDescent="0.55000000000000004">
      <c r="W40496"/>
    </row>
    <row r="40497" spans="23:23" x14ac:dyDescent="0.55000000000000004">
      <c r="W40497"/>
    </row>
    <row r="40498" spans="23:23" x14ac:dyDescent="0.55000000000000004">
      <c r="W40498"/>
    </row>
    <row r="40499" spans="23:23" x14ac:dyDescent="0.55000000000000004">
      <c r="W40499"/>
    </row>
    <row r="40500" spans="23:23" x14ac:dyDescent="0.55000000000000004">
      <c r="W40500"/>
    </row>
    <row r="40501" spans="23:23" x14ac:dyDescent="0.55000000000000004">
      <c r="W40501"/>
    </row>
    <row r="40502" spans="23:23" x14ac:dyDescent="0.55000000000000004">
      <c r="W40502"/>
    </row>
    <row r="40503" spans="23:23" x14ac:dyDescent="0.55000000000000004">
      <c r="W40503"/>
    </row>
    <row r="40504" spans="23:23" x14ac:dyDescent="0.55000000000000004">
      <c r="W40504"/>
    </row>
    <row r="40505" spans="23:23" x14ac:dyDescent="0.55000000000000004">
      <c r="W40505"/>
    </row>
    <row r="40506" spans="23:23" x14ac:dyDescent="0.55000000000000004">
      <c r="W40506"/>
    </row>
    <row r="40507" spans="23:23" x14ac:dyDescent="0.55000000000000004">
      <c r="W40507"/>
    </row>
    <row r="40508" spans="23:23" x14ac:dyDescent="0.55000000000000004">
      <c r="W40508"/>
    </row>
    <row r="40509" spans="23:23" x14ac:dyDescent="0.55000000000000004">
      <c r="W40509"/>
    </row>
    <row r="40510" spans="23:23" x14ac:dyDescent="0.55000000000000004">
      <c r="W40510"/>
    </row>
    <row r="40511" spans="23:23" x14ac:dyDescent="0.55000000000000004">
      <c r="W40511"/>
    </row>
    <row r="40512" spans="23:23" x14ac:dyDescent="0.55000000000000004">
      <c r="W40512"/>
    </row>
    <row r="40513" spans="23:23" x14ac:dyDescent="0.55000000000000004">
      <c r="W40513"/>
    </row>
    <row r="40514" spans="23:23" x14ac:dyDescent="0.55000000000000004">
      <c r="W40514"/>
    </row>
    <row r="40515" spans="23:23" x14ac:dyDescent="0.55000000000000004">
      <c r="W40515"/>
    </row>
    <row r="40516" spans="23:23" x14ac:dyDescent="0.55000000000000004">
      <c r="W40516"/>
    </row>
    <row r="40517" spans="23:23" x14ac:dyDescent="0.55000000000000004">
      <c r="W40517"/>
    </row>
    <row r="40518" spans="23:23" x14ac:dyDescent="0.55000000000000004">
      <c r="W40518"/>
    </row>
    <row r="40519" spans="23:23" x14ac:dyDescent="0.55000000000000004">
      <c r="W40519"/>
    </row>
    <row r="40520" spans="23:23" x14ac:dyDescent="0.55000000000000004">
      <c r="W40520"/>
    </row>
    <row r="40521" spans="23:23" x14ac:dyDescent="0.55000000000000004">
      <c r="W40521"/>
    </row>
    <row r="40522" spans="23:23" x14ac:dyDescent="0.55000000000000004">
      <c r="W40522"/>
    </row>
    <row r="40523" spans="23:23" x14ac:dyDescent="0.55000000000000004">
      <c r="W40523"/>
    </row>
    <row r="40524" spans="23:23" x14ac:dyDescent="0.55000000000000004">
      <c r="W40524"/>
    </row>
    <row r="40525" spans="23:23" x14ac:dyDescent="0.55000000000000004">
      <c r="W40525"/>
    </row>
    <row r="40526" spans="23:23" x14ac:dyDescent="0.55000000000000004">
      <c r="W40526"/>
    </row>
    <row r="40527" spans="23:23" x14ac:dyDescent="0.55000000000000004">
      <c r="W40527"/>
    </row>
    <row r="40528" spans="23:23" x14ac:dyDescent="0.55000000000000004">
      <c r="W40528"/>
    </row>
    <row r="40529" spans="23:23" x14ac:dyDescent="0.55000000000000004">
      <c r="W40529"/>
    </row>
    <row r="40530" spans="23:23" x14ac:dyDescent="0.55000000000000004">
      <c r="W40530"/>
    </row>
    <row r="40531" spans="23:23" x14ac:dyDescent="0.55000000000000004">
      <c r="W40531"/>
    </row>
    <row r="40532" spans="23:23" x14ac:dyDescent="0.55000000000000004">
      <c r="W40532"/>
    </row>
    <row r="40533" spans="23:23" x14ac:dyDescent="0.55000000000000004">
      <c r="W40533"/>
    </row>
    <row r="40534" spans="23:23" x14ac:dyDescent="0.55000000000000004">
      <c r="W40534"/>
    </row>
    <row r="40535" spans="23:23" x14ac:dyDescent="0.55000000000000004">
      <c r="W40535"/>
    </row>
    <row r="40536" spans="23:23" x14ac:dyDescent="0.55000000000000004">
      <c r="W40536"/>
    </row>
    <row r="40537" spans="23:23" x14ac:dyDescent="0.55000000000000004">
      <c r="W40537"/>
    </row>
    <row r="40538" spans="23:23" x14ac:dyDescent="0.55000000000000004">
      <c r="W40538"/>
    </row>
    <row r="40539" spans="23:23" x14ac:dyDescent="0.55000000000000004">
      <c r="W40539"/>
    </row>
    <row r="40540" spans="23:23" x14ac:dyDescent="0.55000000000000004">
      <c r="W40540"/>
    </row>
    <row r="40541" spans="23:23" x14ac:dyDescent="0.55000000000000004">
      <c r="W40541"/>
    </row>
    <row r="40542" spans="23:23" x14ac:dyDescent="0.55000000000000004">
      <c r="W40542"/>
    </row>
    <row r="40543" spans="23:23" x14ac:dyDescent="0.55000000000000004">
      <c r="W40543"/>
    </row>
    <row r="40544" spans="23:23" x14ac:dyDescent="0.55000000000000004">
      <c r="W40544"/>
    </row>
    <row r="40545" spans="23:23" x14ac:dyDescent="0.55000000000000004">
      <c r="W40545"/>
    </row>
    <row r="40546" spans="23:23" x14ac:dyDescent="0.55000000000000004">
      <c r="W40546"/>
    </row>
    <row r="40547" spans="23:23" x14ac:dyDescent="0.55000000000000004">
      <c r="W40547"/>
    </row>
    <row r="40548" spans="23:23" x14ac:dyDescent="0.55000000000000004">
      <c r="W40548"/>
    </row>
    <row r="40549" spans="23:23" x14ac:dyDescent="0.55000000000000004">
      <c r="W40549"/>
    </row>
    <row r="40550" spans="23:23" x14ac:dyDescent="0.55000000000000004">
      <c r="W40550"/>
    </row>
    <row r="40551" spans="23:23" x14ac:dyDescent="0.55000000000000004">
      <c r="W40551"/>
    </row>
    <row r="40552" spans="23:23" x14ac:dyDescent="0.55000000000000004">
      <c r="W40552"/>
    </row>
    <row r="40553" spans="23:23" x14ac:dyDescent="0.55000000000000004">
      <c r="W40553"/>
    </row>
    <row r="40554" spans="23:23" x14ac:dyDescent="0.55000000000000004">
      <c r="W40554"/>
    </row>
    <row r="40555" spans="23:23" x14ac:dyDescent="0.55000000000000004">
      <c r="W40555"/>
    </row>
    <row r="40556" spans="23:23" x14ac:dyDescent="0.55000000000000004">
      <c r="W40556"/>
    </row>
    <row r="40557" spans="23:23" x14ac:dyDescent="0.55000000000000004">
      <c r="W40557"/>
    </row>
    <row r="40558" spans="23:23" x14ac:dyDescent="0.55000000000000004">
      <c r="W40558"/>
    </row>
    <row r="40559" spans="23:23" x14ac:dyDescent="0.55000000000000004">
      <c r="W40559"/>
    </row>
    <row r="40560" spans="23:23" x14ac:dyDescent="0.55000000000000004">
      <c r="W40560"/>
    </row>
    <row r="40561" spans="23:23" x14ac:dyDescent="0.55000000000000004">
      <c r="W40561"/>
    </row>
    <row r="40562" spans="23:23" x14ac:dyDescent="0.55000000000000004">
      <c r="W40562"/>
    </row>
    <row r="40563" spans="23:23" x14ac:dyDescent="0.55000000000000004">
      <c r="W40563"/>
    </row>
    <row r="40564" spans="23:23" x14ac:dyDescent="0.55000000000000004">
      <c r="W40564"/>
    </row>
    <row r="40565" spans="23:23" x14ac:dyDescent="0.55000000000000004">
      <c r="W40565"/>
    </row>
    <row r="40566" spans="23:23" x14ac:dyDescent="0.55000000000000004">
      <c r="W40566"/>
    </row>
    <row r="40567" spans="23:23" x14ac:dyDescent="0.55000000000000004">
      <c r="W40567"/>
    </row>
    <row r="40568" spans="23:23" x14ac:dyDescent="0.55000000000000004">
      <c r="W40568"/>
    </row>
    <row r="40569" spans="23:23" x14ac:dyDescent="0.55000000000000004">
      <c r="W40569"/>
    </row>
    <row r="40570" spans="23:23" x14ac:dyDescent="0.55000000000000004">
      <c r="W40570"/>
    </row>
    <row r="40571" spans="23:23" x14ac:dyDescent="0.55000000000000004">
      <c r="W40571"/>
    </row>
    <row r="40572" spans="23:23" x14ac:dyDescent="0.55000000000000004">
      <c r="W40572"/>
    </row>
    <row r="40573" spans="23:23" x14ac:dyDescent="0.55000000000000004">
      <c r="W40573"/>
    </row>
    <row r="40574" spans="23:23" x14ac:dyDescent="0.55000000000000004">
      <c r="W40574"/>
    </row>
    <row r="40575" spans="23:23" x14ac:dyDescent="0.55000000000000004">
      <c r="W40575"/>
    </row>
    <row r="40576" spans="23:23" x14ac:dyDescent="0.55000000000000004">
      <c r="W40576"/>
    </row>
    <row r="40577" spans="23:23" x14ac:dyDescent="0.55000000000000004">
      <c r="W40577"/>
    </row>
    <row r="40578" spans="23:23" x14ac:dyDescent="0.55000000000000004">
      <c r="W40578"/>
    </row>
    <row r="40579" spans="23:23" x14ac:dyDescent="0.55000000000000004">
      <c r="W40579"/>
    </row>
    <row r="40580" spans="23:23" x14ac:dyDescent="0.55000000000000004">
      <c r="W40580"/>
    </row>
    <row r="40581" spans="23:23" x14ac:dyDescent="0.55000000000000004">
      <c r="W40581"/>
    </row>
    <row r="40582" spans="23:23" x14ac:dyDescent="0.55000000000000004">
      <c r="W40582"/>
    </row>
    <row r="40583" spans="23:23" x14ac:dyDescent="0.55000000000000004">
      <c r="W40583"/>
    </row>
    <row r="40584" spans="23:23" x14ac:dyDescent="0.55000000000000004">
      <c r="W40584"/>
    </row>
    <row r="40585" spans="23:23" x14ac:dyDescent="0.55000000000000004">
      <c r="W40585"/>
    </row>
    <row r="40586" spans="23:23" x14ac:dyDescent="0.55000000000000004">
      <c r="W40586"/>
    </row>
    <row r="40587" spans="23:23" x14ac:dyDescent="0.55000000000000004">
      <c r="W40587"/>
    </row>
    <row r="40588" spans="23:23" x14ac:dyDescent="0.55000000000000004">
      <c r="W40588"/>
    </row>
    <row r="40589" spans="23:23" x14ac:dyDescent="0.55000000000000004">
      <c r="W40589"/>
    </row>
    <row r="40590" spans="23:23" x14ac:dyDescent="0.55000000000000004">
      <c r="W40590"/>
    </row>
    <row r="40591" spans="23:23" x14ac:dyDescent="0.55000000000000004">
      <c r="W40591"/>
    </row>
    <row r="40592" spans="23:23" x14ac:dyDescent="0.55000000000000004">
      <c r="W40592"/>
    </row>
    <row r="40593" spans="23:23" x14ac:dyDescent="0.55000000000000004">
      <c r="W40593"/>
    </row>
    <row r="40594" spans="23:23" x14ac:dyDescent="0.55000000000000004">
      <c r="W40594"/>
    </row>
    <row r="40595" spans="23:23" x14ac:dyDescent="0.55000000000000004">
      <c r="W40595"/>
    </row>
    <row r="40596" spans="23:23" x14ac:dyDescent="0.55000000000000004">
      <c r="W40596"/>
    </row>
    <row r="40597" spans="23:23" x14ac:dyDescent="0.55000000000000004">
      <c r="W40597"/>
    </row>
    <row r="40598" spans="23:23" x14ac:dyDescent="0.55000000000000004">
      <c r="W40598"/>
    </row>
    <row r="40599" spans="23:23" x14ac:dyDescent="0.55000000000000004">
      <c r="W40599"/>
    </row>
    <row r="40600" spans="23:23" x14ac:dyDescent="0.55000000000000004">
      <c r="W40600"/>
    </row>
    <row r="40601" spans="23:23" x14ac:dyDescent="0.55000000000000004">
      <c r="W40601"/>
    </row>
    <row r="40602" spans="23:23" x14ac:dyDescent="0.55000000000000004">
      <c r="W40602"/>
    </row>
    <row r="40603" spans="23:23" x14ac:dyDescent="0.55000000000000004">
      <c r="W40603"/>
    </row>
    <row r="40604" spans="23:23" x14ac:dyDescent="0.55000000000000004">
      <c r="W40604"/>
    </row>
    <row r="40605" spans="23:23" x14ac:dyDescent="0.55000000000000004">
      <c r="W40605"/>
    </row>
    <row r="40606" spans="23:23" x14ac:dyDescent="0.55000000000000004">
      <c r="W40606"/>
    </row>
    <row r="40607" spans="23:23" x14ac:dyDescent="0.55000000000000004">
      <c r="W40607"/>
    </row>
    <row r="40608" spans="23:23" x14ac:dyDescent="0.55000000000000004">
      <c r="W40608"/>
    </row>
    <row r="40609" spans="23:23" x14ac:dyDescent="0.55000000000000004">
      <c r="W40609"/>
    </row>
    <row r="40610" spans="23:23" x14ac:dyDescent="0.55000000000000004">
      <c r="W40610"/>
    </row>
    <row r="40611" spans="23:23" x14ac:dyDescent="0.55000000000000004">
      <c r="W40611"/>
    </row>
    <row r="40612" spans="23:23" x14ac:dyDescent="0.55000000000000004">
      <c r="W40612"/>
    </row>
    <row r="40613" spans="23:23" x14ac:dyDescent="0.55000000000000004">
      <c r="W40613"/>
    </row>
    <row r="40614" spans="23:23" x14ac:dyDescent="0.55000000000000004">
      <c r="W40614"/>
    </row>
    <row r="40615" spans="23:23" x14ac:dyDescent="0.55000000000000004">
      <c r="W40615"/>
    </row>
    <row r="40616" spans="23:23" x14ac:dyDescent="0.55000000000000004">
      <c r="W40616"/>
    </row>
    <row r="40617" spans="23:23" x14ac:dyDescent="0.55000000000000004">
      <c r="W40617"/>
    </row>
    <row r="40618" spans="23:23" x14ac:dyDescent="0.55000000000000004">
      <c r="W40618"/>
    </row>
    <row r="40619" spans="23:23" x14ac:dyDescent="0.55000000000000004">
      <c r="W40619"/>
    </row>
    <row r="40620" spans="23:23" x14ac:dyDescent="0.55000000000000004">
      <c r="W40620"/>
    </row>
    <row r="40621" spans="23:23" x14ac:dyDescent="0.55000000000000004">
      <c r="W40621"/>
    </row>
    <row r="40622" spans="23:23" x14ac:dyDescent="0.55000000000000004">
      <c r="W40622"/>
    </row>
    <row r="40623" spans="23:23" x14ac:dyDescent="0.55000000000000004">
      <c r="W40623"/>
    </row>
    <row r="40624" spans="23:23" x14ac:dyDescent="0.55000000000000004">
      <c r="W40624"/>
    </row>
    <row r="40625" spans="23:23" x14ac:dyDescent="0.55000000000000004">
      <c r="W40625"/>
    </row>
    <row r="40626" spans="23:23" x14ac:dyDescent="0.55000000000000004">
      <c r="W40626"/>
    </row>
    <row r="40627" spans="23:23" x14ac:dyDescent="0.55000000000000004">
      <c r="W40627"/>
    </row>
    <row r="40628" spans="23:23" x14ac:dyDescent="0.55000000000000004">
      <c r="W40628"/>
    </row>
    <row r="40629" spans="23:23" x14ac:dyDescent="0.55000000000000004">
      <c r="W40629"/>
    </row>
    <row r="40630" spans="23:23" x14ac:dyDescent="0.55000000000000004">
      <c r="W40630"/>
    </row>
    <row r="40631" spans="23:23" x14ac:dyDescent="0.55000000000000004">
      <c r="W40631"/>
    </row>
    <row r="40632" spans="23:23" x14ac:dyDescent="0.55000000000000004">
      <c r="W40632"/>
    </row>
    <row r="40633" spans="23:23" x14ac:dyDescent="0.55000000000000004">
      <c r="W40633"/>
    </row>
    <row r="40634" spans="23:23" x14ac:dyDescent="0.55000000000000004">
      <c r="W40634"/>
    </row>
    <row r="40635" spans="23:23" x14ac:dyDescent="0.55000000000000004">
      <c r="W40635"/>
    </row>
    <row r="40636" spans="23:23" x14ac:dyDescent="0.55000000000000004">
      <c r="W40636"/>
    </row>
    <row r="40637" spans="23:23" x14ac:dyDescent="0.55000000000000004">
      <c r="W40637"/>
    </row>
    <row r="40638" spans="23:23" x14ac:dyDescent="0.55000000000000004">
      <c r="W40638"/>
    </row>
    <row r="40639" spans="23:23" x14ac:dyDescent="0.55000000000000004">
      <c r="W40639"/>
    </row>
    <row r="40640" spans="23:23" x14ac:dyDescent="0.55000000000000004">
      <c r="W40640"/>
    </row>
    <row r="40641" spans="23:23" x14ac:dyDescent="0.55000000000000004">
      <c r="W40641"/>
    </row>
    <row r="40642" spans="23:23" x14ac:dyDescent="0.55000000000000004">
      <c r="W40642"/>
    </row>
    <row r="40643" spans="23:23" x14ac:dyDescent="0.55000000000000004">
      <c r="W40643"/>
    </row>
    <row r="40644" spans="23:23" x14ac:dyDescent="0.55000000000000004">
      <c r="W40644"/>
    </row>
    <row r="40645" spans="23:23" x14ac:dyDescent="0.55000000000000004">
      <c r="W40645"/>
    </row>
    <row r="40646" spans="23:23" x14ac:dyDescent="0.55000000000000004">
      <c r="W40646"/>
    </row>
    <row r="40647" spans="23:23" x14ac:dyDescent="0.55000000000000004">
      <c r="W40647"/>
    </row>
    <row r="40648" spans="23:23" x14ac:dyDescent="0.55000000000000004">
      <c r="W40648"/>
    </row>
    <row r="40649" spans="23:23" x14ac:dyDescent="0.55000000000000004">
      <c r="W40649"/>
    </row>
    <row r="40650" spans="23:23" x14ac:dyDescent="0.55000000000000004">
      <c r="W40650"/>
    </row>
    <row r="40651" spans="23:23" x14ac:dyDescent="0.55000000000000004">
      <c r="W40651"/>
    </row>
    <row r="40652" spans="23:23" x14ac:dyDescent="0.55000000000000004">
      <c r="W40652"/>
    </row>
    <row r="40653" spans="23:23" x14ac:dyDescent="0.55000000000000004">
      <c r="W40653"/>
    </row>
    <row r="40654" spans="23:23" x14ac:dyDescent="0.55000000000000004">
      <c r="W40654"/>
    </row>
    <row r="40655" spans="23:23" x14ac:dyDescent="0.55000000000000004">
      <c r="W40655"/>
    </row>
    <row r="40656" spans="23:23" x14ac:dyDescent="0.55000000000000004">
      <c r="W40656"/>
    </row>
    <row r="40657" spans="23:23" x14ac:dyDescent="0.55000000000000004">
      <c r="W40657"/>
    </row>
    <row r="40658" spans="23:23" x14ac:dyDescent="0.55000000000000004">
      <c r="W40658"/>
    </row>
    <row r="40659" spans="23:23" x14ac:dyDescent="0.55000000000000004">
      <c r="W40659"/>
    </row>
    <row r="40660" spans="23:23" x14ac:dyDescent="0.55000000000000004">
      <c r="W40660"/>
    </row>
    <row r="40661" spans="23:23" x14ac:dyDescent="0.55000000000000004">
      <c r="W40661"/>
    </row>
    <row r="40662" spans="23:23" x14ac:dyDescent="0.55000000000000004">
      <c r="W40662"/>
    </row>
    <row r="40663" spans="23:23" x14ac:dyDescent="0.55000000000000004">
      <c r="W40663"/>
    </row>
    <row r="40664" spans="23:23" x14ac:dyDescent="0.55000000000000004">
      <c r="W40664"/>
    </row>
    <row r="40665" spans="23:23" x14ac:dyDescent="0.55000000000000004">
      <c r="W40665"/>
    </row>
    <row r="40666" spans="23:23" x14ac:dyDescent="0.55000000000000004">
      <c r="W40666"/>
    </row>
    <row r="40667" spans="23:23" x14ac:dyDescent="0.55000000000000004">
      <c r="W40667"/>
    </row>
    <row r="40668" spans="23:23" x14ac:dyDescent="0.55000000000000004">
      <c r="W40668"/>
    </row>
    <row r="40669" spans="23:23" x14ac:dyDescent="0.55000000000000004">
      <c r="W40669"/>
    </row>
    <row r="40670" spans="23:23" x14ac:dyDescent="0.55000000000000004">
      <c r="W40670"/>
    </row>
    <row r="40671" spans="23:23" x14ac:dyDescent="0.55000000000000004">
      <c r="W40671"/>
    </row>
    <row r="40672" spans="23:23" x14ac:dyDescent="0.55000000000000004">
      <c r="W40672"/>
    </row>
    <row r="40673" spans="23:23" x14ac:dyDescent="0.55000000000000004">
      <c r="W40673"/>
    </row>
    <row r="40674" spans="23:23" x14ac:dyDescent="0.55000000000000004">
      <c r="W40674"/>
    </row>
    <row r="40675" spans="23:23" x14ac:dyDescent="0.55000000000000004">
      <c r="W40675"/>
    </row>
    <row r="40676" spans="23:23" x14ac:dyDescent="0.55000000000000004">
      <c r="W40676"/>
    </row>
    <row r="40677" spans="23:23" x14ac:dyDescent="0.55000000000000004">
      <c r="W40677"/>
    </row>
    <row r="40678" spans="23:23" x14ac:dyDescent="0.55000000000000004">
      <c r="W40678"/>
    </row>
    <row r="40679" spans="23:23" x14ac:dyDescent="0.55000000000000004">
      <c r="W40679"/>
    </row>
    <row r="40680" spans="23:23" x14ac:dyDescent="0.55000000000000004">
      <c r="W40680"/>
    </row>
    <row r="40681" spans="23:23" x14ac:dyDescent="0.55000000000000004">
      <c r="W40681"/>
    </row>
    <row r="40682" spans="23:23" x14ac:dyDescent="0.55000000000000004">
      <c r="W40682"/>
    </row>
    <row r="40683" spans="23:23" x14ac:dyDescent="0.55000000000000004">
      <c r="W40683"/>
    </row>
    <row r="40684" spans="23:23" x14ac:dyDescent="0.55000000000000004">
      <c r="W40684"/>
    </row>
    <row r="40685" spans="23:23" x14ac:dyDescent="0.55000000000000004">
      <c r="W40685"/>
    </row>
    <row r="40686" spans="23:23" x14ac:dyDescent="0.55000000000000004">
      <c r="W40686"/>
    </row>
    <row r="40687" spans="23:23" x14ac:dyDescent="0.55000000000000004">
      <c r="W40687"/>
    </row>
    <row r="40688" spans="23:23" x14ac:dyDescent="0.55000000000000004">
      <c r="W40688"/>
    </row>
    <row r="40689" spans="23:23" x14ac:dyDescent="0.55000000000000004">
      <c r="W40689"/>
    </row>
    <row r="40690" spans="23:23" x14ac:dyDescent="0.55000000000000004">
      <c r="W40690"/>
    </row>
    <row r="40691" spans="23:23" x14ac:dyDescent="0.55000000000000004">
      <c r="W40691"/>
    </row>
    <row r="40692" spans="23:23" x14ac:dyDescent="0.55000000000000004">
      <c r="W40692"/>
    </row>
    <row r="40693" spans="23:23" x14ac:dyDescent="0.55000000000000004">
      <c r="W40693"/>
    </row>
    <row r="40694" spans="23:23" x14ac:dyDescent="0.55000000000000004">
      <c r="W40694"/>
    </row>
    <row r="40695" spans="23:23" x14ac:dyDescent="0.55000000000000004">
      <c r="W40695"/>
    </row>
    <row r="40696" spans="23:23" x14ac:dyDescent="0.55000000000000004">
      <c r="W40696"/>
    </row>
    <row r="40697" spans="23:23" x14ac:dyDescent="0.55000000000000004">
      <c r="W40697"/>
    </row>
    <row r="40698" spans="23:23" x14ac:dyDescent="0.55000000000000004">
      <c r="W40698"/>
    </row>
    <row r="40699" spans="23:23" x14ac:dyDescent="0.55000000000000004">
      <c r="W40699"/>
    </row>
    <row r="40700" spans="23:23" x14ac:dyDescent="0.55000000000000004">
      <c r="W40700"/>
    </row>
    <row r="40701" spans="23:23" x14ac:dyDescent="0.55000000000000004">
      <c r="W40701"/>
    </row>
    <row r="40702" spans="23:23" x14ac:dyDescent="0.55000000000000004">
      <c r="W40702"/>
    </row>
    <row r="40703" spans="23:23" x14ac:dyDescent="0.55000000000000004">
      <c r="W40703"/>
    </row>
    <row r="40704" spans="23:23" x14ac:dyDescent="0.55000000000000004">
      <c r="W40704"/>
    </row>
    <row r="40705" spans="23:23" x14ac:dyDescent="0.55000000000000004">
      <c r="W40705"/>
    </row>
    <row r="40706" spans="23:23" x14ac:dyDescent="0.55000000000000004">
      <c r="W40706"/>
    </row>
    <row r="40707" spans="23:23" x14ac:dyDescent="0.55000000000000004">
      <c r="W40707"/>
    </row>
    <row r="40708" spans="23:23" x14ac:dyDescent="0.55000000000000004">
      <c r="W40708"/>
    </row>
    <row r="40709" spans="23:23" x14ac:dyDescent="0.55000000000000004">
      <c r="W40709"/>
    </row>
    <row r="40710" spans="23:23" x14ac:dyDescent="0.55000000000000004">
      <c r="W40710"/>
    </row>
    <row r="40711" spans="23:23" x14ac:dyDescent="0.55000000000000004">
      <c r="W40711"/>
    </row>
    <row r="40712" spans="23:23" x14ac:dyDescent="0.55000000000000004">
      <c r="W40712"/>
    </row>
    <row r="40713" spans="23:23" x14ac:dyDescent="0.55000000000000004">
      <c r="W40713"/>
    </row>
    <row r="40714" spans="23:23" x14ac:dyDescent="0.55000000000000004">
      <c r="W40714"/>
    </row>
    <row r="40715" spans="23:23" x14ac:dyDescent="0.55000000000000004">
      <c r="W40715"/>
    </row>
    <row r="40716" spans="23:23" x14ac:dyDescent="0.55000000000000004">
      <c r="W40716"/>
    </row>
    <row r="40717" spans="23:23" x14ac:dyDescent="0.55000000000000004">
      <c r="W40717"/>
    </row>
    <row r="40718" spans="23:23" x14ac:dyDescent="0.55000000000000004">
      <c r="W40718"/>
    </row>
    <row r="40719" spans="23:23" x14ac:dyDescent="0.55000000000000004">
      <c r="W40719"/>
    </row>
    <row r="40720" spans="23:23" x14ac:dyDescent="0.55000000000000004">
      <c r="W40720"/>
    </row>
    <row r="40721" spans="23:23" x14ac:dyDescent="0.55000000000000004">
      <c r="W40721"/>
    </row>
    <row r="40722" spans="23:23" x14ac:dyDescent="0.55000000000000004">
      <c r="W40722"/>
    </row>
    <row r="40723" spans="23:23" x14ac:dyDescent="0.55000000000000004">
      <c r="W40723"/>
    </row>
    <row r="40724" spans="23:23" x14ac:dyDescent="0.55000000000000004">
      <c r="W40724"/>
    </row>
    <row r="40725" spans="23:23" x14ac:dyDescent="0.55000000000000004">
      <c r="W40725"/>
    </row>
    <row r="40726" spans="23:23" x14ac:dyDescent="0.55000000000000004">
      <c r="W40726"/>
    </row>
    <row r="40727" spans="23:23" x14ac:dyDescent="0.55000000000000004">
      <c r="W40727"/>
    </row>
    <row r="40728" spans="23:23" x14ac:dyDescent="0.55000000000000004">
      <c r="W40728"/>
    </row>
    <row r="40729" spans="23:23" x14ac:dyDescent="0.55000000000000004">
      <c r="W40729"/>
    </row>
    <row r="40730" spans="23:23" x14ac:dyDescent="0.55000000000000004">
      <c r="W40730"/>
    </row>
    <row r="40731" spans="23:23" x14ac:dyDescent="0.55000000000000004">
      <c r="W40731"/>
    </row>
    <row r="40732" spans="23:23" x14ac:dyDescent="0.55000000000000004">
      <c r="W40732"/>
    </row>
    <row r="40733" spans="23:23" x14ac:dyDescent="0.55000000000000004">
      <c r="W40733"/>
    </row>
    <row r="40734" spans="23:23" x14ac:dyDescent="0.55000000000000004">
      <c r="W40734"/>
    </row>
    <row r="40735" spans="23:23" x14ac:dyDescent="0.55000000000000004">
      <c r="W40735"/>
    </row>
    <row r="40736" spans="23:23" x14ac:dyDescent="0.55000000000000004">
      <c r="W40736"/>
    </row>
    <row r="40737" spans="23:23" x14ac:dyDescent="0.55000000000000004">
      <c r="W40737"/>
    </row>
    <row r="40738" spans="23:23" x14ac:dyDescent="0.55000000000000004">
      <c r="W40738"/>
    </row>
    <row r="40739" spans="23:23" x14ac:dyDescent="0.55000000000000004">
      <c r="W40739"/>
    </row>
    <row r="40740" spans="23:23" x14ac:dyDescent="0.55000000000000004">
      <c r="W40740"/>
    </row>
    <row r="40741" spans="23:23" x14ac:dyDescent="0.55000000000000004">
      <c r="W40741"/>
    </row>
    <row r="40742" spans="23:23" x14ac:dyDescent="0.55000000000000004">
      <c r="W40742"/>
    </row>
    <row r="40743" spans="23:23" x14ac:dyDescent="0.55000000000000004">
      <c r="W40743"/>
    </row>
    <row r="40744" spans="23:23" x14ac:dyDescent="0.55000000000000004">
      <c r="W40744"/>
    </row>
    <row r="40745" spans="23:23" x14ac:dyDescent="0.55000000000000004">
      <c r="W40745"/>
    </row>
    <row r="40746" spans="23:23" x14ac:dyDescent="0.55000000000000004">
      <c r="W40746"/>
    </row>
    <row r="40747" spans="23:23" x14ac:dyDescent="0.55000000000000004">
      <c r="W40747"/>
    </row>
    <row r="40748" spans="23:23" x14ac:dyDescent="0.55000000000000004">
      <c r="W40748"/>
    </row>
    <row r="40749" spans="23:23" x14ac:dyDescent="0.55000000000000004">
      <c r="W40749"/>
    </row>
    <row r="40750" spans="23:23" x14ac:dyDescent="0.55000000000000004">
      <c r="W40750"/>
    </row>
    <row r="40751" spans="23:23" x14ac:dyDescent="0.55000000000000004">
      <c r="W40751"/>
    </row>
    <row r="40752" spans="23:23" x14ac:dyDescent="0.55000000000000004">
      <c r="W40752"/>
    </row>
    <row r="40753" spans="23:23" x14ac:dyDescent="0.55000000000000004">
      <c r="W40753"/>
    </row>
    <row r="40754" spans="23:23" x14ac:dyDescent="0.55000000000000004">
      <c r="W40754"/>
    </row>
    <row r="40755" spans="23:23" x14ac:dyDescent="0.55000000000000004">
      <c r="W40755"/>
    </row>
    <row r="40756" spans="23:23" x14ac:dyDescent="0.55000000000000004">
      <c r="W40756"/>
    </row>
    <row r="40757" spans="23:23" x14ac:dyDescent="0.55000000000000004">
      <c r="W40757"/>
    </row>
    <row r="40758" spans="23:23" x14ac:dyDescent="0.55000000000000004">
      <c r="W40758"/>
    </row>
    <row r="40759" spans="23:23" x14ac:dyDescent="0.55000000000000004">
      <c r="W40759"/>
    </row>
    <row r="40760" spans="23:23" x14ac:dyDescent="0.55000000000000004">
      <c r="W40760"/>
    </row>
    <row r="40761" spans="23:23" x14ac:dyDescent="0.55000000000000004">
      <c r="W40761"/>
    </row>
    <row r="40762" spans="23:23" x14ac:dyDescent="0.55000000000000004">
      <c r="W40762"/>
    </row>
    <row r="40763" spans="23:23" x14ac:dyDescent="0.55000000000000004">
      <c r="W40763"/>
    </row>
    <row r="40764" spans="23:23" x14ac:dyDescent="0.55000000000000004">
      <c r="W40764"/>
    </row>
    <row r="40765" spans="23:23" x14ac:dyDescent="0.55000000000000004">
      <c r="W40765"/>
    </row>
    <row r="40766" spans="23:23" x14ac:dyDescent="0.55000000000000004">
      <c r="W40766"/>
    </row>
    <row r="40767" spans="23:23" x14ac:dyDescent="0.55000000000000004">
      <c r="W40767"/>
    </row>
    <row r="40768" spans="23:23" x14ac:dyDescent="0.55000000000000004">
      <c r="W40768"/>
    </row>
    <row r="40769" spans="23:23" x14ac:dyDescent="0.55000000000000004">
      <c r="W40769"/>
    </row>
    <row r="40770" spans="23:23" x14ac:dyDescent="0.55000000000000004">
      <c r="W40770"/>
    </row>
    <row r="40771" spans="23:23" x14ac:dyDescent="0.55000000000000004">
      <c r="W40771"/>
    </row>
    <row r="40772" spans="23:23" x14ac:dyDescent="0.55000000000000004">
      <c r="W40772"/>
    </row>
    <row r="40773" spans="23:23" x14ac:dyDescent="0.55000000000000004">
      <c r="W40773"/>
    </row>
    <row r="40774" spans="23:23" x14ac:dyDescent="0.55000000000000004">
      <c r="W40774"/>
    </row>
    <row r="40775" spans="23:23" x14ac:dyDescent="0.55000000000000004">
      <c r="W40775"/>
    </row>
    <row r="40776" spans="23:23" x14ac:dyDescent="0.55000000000000004">
      <c r="W40776"/>
    </row>
    <row r="40777" spans="23:23" x14ac:dyDescent="0.55000000000000004">
      <c r="W40777"/>
    </row>
    <row r="40778" spans="23:23" x14ac:dyDescent="0.55000000000000004">
      <c r="W40778"/>
    </row>
    <row r="40779" spans="23:23" x14ac:dyDescent="0.55000000000000004">
      <c r="W40779"/>
    </row>
    <row r="40780" spans="23:23" x14ac:dyDescent="0.55000000000000004">
      <c r="W40780"/>
    </row>
    <row r="40781" spans="23:23" x14ac:dyDescent="0.55000000000000004">
      <c r="W40781"/>
    </row>
    <row r="40782" spans="23:23" x14ac:dyDescent="0.55000000000000004">
      <c r="W40782"/>
    </row>
    <row r="40783" spans="23:23" x14ac:dyDescent="0.55000000000000004">
      <c r="W40783"/>
    </row>
    <row r="40784" spans="23:23" x14ac:dyDescent="0.55000000000000004">
      <c r="W40784"/>
    </row>
    <row r="40785" spans="23:23" x14ac:dyDescent="0.55000000000000004">
      <c r="W40785"/>
    </row>
    <row r="40786" spans="23:23" x14ac:dyDescent="0.55000000000000004">
      <c r="W40786"/>
    </row>
    <row r="40787" spans="23:23" x14ac:dyDescent="0.55000000000000004">
      <c r="W40787"/>
    </row>
    <row r="40788" spans="23:23" x14ac:dyDescent="0.55000000000000004">
      <c r="W40788"/>
    </row>
    <row r="40789" spans="23:23" x14ac:dyDescent="0.55000000000000004">
      <c r="W40789"/>
    </row>
    <row r="40790" spans="23:23" x14ac:dyDescent="0.55000000000000004">
      <c r="W40790"/>
    </row>
    <row r="40791" spans="23:23" x14ac:dyDescent="0.55000000000000004">
      <c r="W40791"/>
    </row>
    <row r="40792" spans="23:23" x14ac:dyDescent="0.55000000000000004">
      <c r="W40792"/>
    </row>
    <row r="40793" spans="23:23" x14ac:dyDescent="0.55000000000000004">
      <c r="W40793"/>
    </row>
    <row r="40794" spans="23:23" x14ac:dyDescent="0.55000000000000004">
      <c r="W40794"/>
    </row>
    <row r="40795" spans="23:23" x14ac:dyDescent="0.55000000000000004">
      <c r="W40795"/>
    </row>
    <row r="40796" spans="23:23" x14ac:dyDescent="0.55000000000000004">
      <c r="W40796"/>
    </row>
    <row r="40797" spans="23:23" x14ac:dyDescent="0.55000000000000004">
      <c r="W40797"/>
    </row>
    <row r="40798" spans="23:23" x14ac:dyDescent="0.55000000000000004">
      <c r="W40798"/>
    </row>
    <row r="40799" spans="23:23" x14ac:dyDescent="0.55000000000000004">
      <c r="W40799"/>
    </row>
    <row r="40800" spans="23:23" x14ac:dyDescent="0.55000000000000004">
      <c r="W40800"/>
    </row>
    <row r="40801" spans="23:23" x14ac:dyDescent="0.55000000000000004">
      <c r="W40801"/>
    </row>
    <row r="40802" spans="23:23" x14ac:dyDescent="0.55000000000000004">
      <c r="W40802"/>
    </row>
    <row r="40803" spans="23:23" x14ac:dyDescent="0.55000000000000004">
      <c r="W40803"/>
    </row>
    <row r="40804" spans="23:23" x14ac:dyDescent="0.55000000000000004">
      <c r="W40804"/>
    </row>
    <row r="40805" spans="23:23" x14ac:dyDescent="0.55000000000000004">
      <c r="W40805"/>
    </row>
    <row r="40806" spans="23:23" x14ac:dyDescent="0.55000000000000004">
      <c r="W40806"/>
    </row>
    <row r="40807" spans="23:23" x14ac:dyDescent="0.55000000000000004">
      <c r="W40807"/>
    </row>
    <row r="40808" spans="23:23" x14ac:dyDescent="0.55000000000000004">
      <c r="W40808"/>
    </row>
    <row r="40809" spans="23:23" x14ac:dyDescent="0.55000000000000004">
      <c r="W40809"/>
    </row>
    <row r="40810" spans="23:23" x14ac:dyDescent="0.55000000000000004">
      <c r="W40810"/>
    </row>
    <row r="40811" spans="23:23" x14ac:dyDescent="0.55000000000000004">
      <c r="W40811"/>
    </row>
    <row r="40812" spans="23:23" x14ac:dyDescent="0.55000000000000004">
      <c r="W40812"/>
    </row>
    <row r="40813" spans="23:23" x14ac:dyDescent="0.55000000000000004">
      <c r="W40813"/>
    </row>
    <row r="40814" spans="23:23" x14ac:dyDescent="0.55000000000000004">
      <c r="W40814"/>
    </row>
    <row r="40815" spans="23:23" x14ac:dyDescent="0.55000000000000004">
      <c r="W40815"/>
    </row>
    <row r="40816" spans="23:23" x14ac:dyDescent="0.55000000000000004">
      <c r="W40816"/>
    </row>
    <row r="40817" spans="23:23" x14ac:dyDescent="0.55000000000000004">
      <c r="W40817"/>
    </row>
    <row r="40818" spans="23:23" x14ac:dyDescent="0.55000000000000004">
      <c r="W40818"/>
    </row>
    <row r="40819" spans="23:23" x14ac:dyDescent="0.55000000000000004">
      <c r="W40819"/>
    </row>
    <row r="40820" spans="23:23" x14ac:dyDescent="0.55000000000000004">
      <c r="W40820"/>
    </row>
    <row r="40821" spans="23:23" x14ac:dyDescent="0.55000000000000004">
      <c r="W40821"/>
    </row>
    <row r="40822" spans="23:23" x14ac:dyDescent="0.55000000000000004">
      <c r="W40822"/>
    </row>
    <row r="40823" spans="23:23" x14ac:dyDescent="0.55000000000000004">
      <c r="W40823"/>
    </row>
    <row r="40824" spans="23:23" x14ac:dyDescent="0.55000000000000004">
      <c r="W40824"/>
    </row>
    <row r="40825" spans="23:23" x14ac:dyDescent="0.55000000000000004">
      <c r="W40825"/>
    </row>
    <row r="40826" spans="23:23" x14ac:dyDescent="0.55000000000000004">
      <c r="W40826"/>
    </row>
    <row r="40827" spans="23:23" x14ac:dyDescent="0.55000000000000004">
      <c r="W40827"/>
    </row>
    <row r="40828" spans="23:23" x14ac:dyDescent="0.55000000000000004">
      <c r="W40828"/>
    </row>
    <row r="40829" spans="23:23" x14ac:dyDescent="0.55000000000000004">
      <c r="W40829"/>
    </row>
    <row r="40830" spans="23:23" x14ac:dyDescent="0.55000000000000004">
      <c r="W40830"/>
    </row>
    <row r="40831" spans="23:23" x14ac:dyDescent="0.55000000000000004">
      <c r="W40831"/>
    </row>
    <row r="40832" spans="23:23" x14ac:dyDescent="0.55000000000000004">
      <c r="W40832"/>
    </row>
    <row r="40833" spans="23:23" x14ac:dyDescent="0.55000000000000004">
      <c r="W40833"/>
    </row>
    <row r="40834" spans="23:23" x14ac:dyDescent="0.55000000000000004">
      <c r="W40834"/>
    </row>
    <row r="40835" spans="23:23" x14ac:dyDescent="0.55000000000000004">
      <c r="W40835"/>
    </row>
    <row r="40836" spans="23:23" x14ac:dyDescent="0.55000000000000004">
      <c r="W40836"/>
    </row>
    <row r="40837" spans="23:23" x14ac:dyDescent="0.55000000000000004">
      <c r="W40837"/>
    </row>
    <row r="40838" spans="23:23" x14ac:dyDescent="0.55000000000000004">
      <c r="W40838"/>
    </row>
    <row r="40839" spans="23:23" x14ac:dyDescent="0.55000000000000004">
      <c r="W40839"/>
    </row>
    <row r="40840" spans="23:23" x14ac:dyDescent="0.55000000000000004">
      <c r="W40840"/>
    </row>
    <row r="40841" spans="23:23" x14ac:dyDescent="0.55000000000000004">
      <c r="W40841"/>
    </row>
    <row r="40842" spans="23:23" x14ac:dyDescent="0.55000000000000004">
      <c r="W40842"/>
    </row>
    <row r="40843" spans="23:23" x14ac:dyDescent="0.55000000000000004">
      <c r="W40843"/>
    </row>
    <row r="40844" spans="23:23" x14ac:dyDescent="0.55000000000000004">
      <c r="W40844"/>
    </row>
    <row r="40845" spans="23:23" x14ac:dyDescent="0.55000000000000004">
      <c r="W40845"/>
    </row>
    <row r="40846" spans="23:23" x14ac:dyDescent="0.55000000000000004">
      <c r="W40846"/>
    </row>
    <row r="40847" spans="23:23" x14ac:dyDescent="0.55000000000000004">
      <c r="W40847"/>
    </row>
    <row r="40848" spans="23:23" x14ac:dyDescent="0.55000000000000004">
      <c r="W40848"/>
    </row>
    <row r="40849" spans="23:23" x14ac:dyDescent="0.55000000000000004">
      <c r="W40849"/>
    </row>
    <row r="40850" spans="23:23" x14ac:dyDescent="0.55000000000000004">
      <c r="W40850"/>
    </row>
    <row r="40851" spans="23:23" x14ac:dyDescent="0.55000000000000004">
      <c r="W40851"/>
    </row>
    <row r="40852" spans="23:23" x14ac:dyDescent="0.55000000000000004">
      <c r="W40852"/>
    </row>
    <row r="40853" spans="23:23" x14ac:dyDescent="0.55000000000000004">
      <c r="W40853"/>
    </row>
    <row r="40854" spans="23:23" x14ac:dyDescent="0.55000000000000004">
      <c r="W40854"/>
    </row>
    <row r="40855" spans="23:23" x14ac:dyDescent="0.55000000000000004">
      <c r="W40855"/>
    </row>
    <row r="40856" spans="23:23" x14ac:dyDescent="0.55000000000000004">
      <c r="W40856"/>
    </row>
    <row r="40857" spans="23:23" x14ac:dyDescent="0.55000000000000004">
      <c r="W40857"/>
    </row>
    <row r="40858" spans="23:23" x14ac:dyDescent="0.55000000000000004">
      <c r="W40858"/>
    </row>
    <row r="40859" spans="23:23" x14ac:dyDescent="0.55000000000000004">
      <c r="W40859"/>
    </row>
    <row r="40860" spans="23:23" x14ac:dyDescent="0.55000000000000004">
      <c r="W40860"/>
    </row>
    <row r="40861" spans="23:23" x14ac:dyDescent="0.55000000000000004">
      <c r="W40861"/>
    </row>
    <row r="40862" spans="23:23" x14ac:dyDescent="0.55000000000000004">
      <c r="W40862"/>
    </row>
    <row r="40863" spans="23:23" x14ac:dyDescent="0.55000000000000004">
      <c r="W40863"/>
    </row>
    <row r="40864" spans="23:23" x14ac:dyDescent="0.55000000000000004">
      <c r="W40864"/>
    </row>
    <row r="40865" spans="23:23" x14ac:dyDescent="0.55000000000000004">
      <c r="W40865"/>
    </row>
    <row r="40866" spans="23:23" x14ac:dyDescent="0.55000000000000004">
      <c r="W40866"/>
    </row>
    <row r="40867" spans="23:23" x14ac:dyDescent="0.55000000000000004">
      <c r="W40867"/>
    </row>
    <row r="40868" spans="23:23" x14ac:dyDescent="0.55000000000000004">
      <c r="W40868"/>
    </row>
    <row r="40869" spans="23:23" x14ac:dyDescent="0.55000000000000004">
      <c r="W40869"/>
    </row>
    <row r="40870" spans="23:23" x14ac:dyDescent="0.55000000000000004">
      <c r="W40870"/>
    </row>
    <row r="40871" spans="23:23" x14ac:dyDescent="0.55000000000000004">
      <c r="W40871"/>
    </row>
    <row r="40872" spans="23:23" x14ac:dyDescent="0.55000000000000004">
      <c r="W40872"/>
    </row>
    <row r="40873" spans="23:23" x14ac:dyDescent="0.55000000000000004">
      <c r="W40873"/>
    </row>
    <row r="40874" spans="23:23" x14ac:dyDescent="0.55000000000000004">
      <c r="W40874"/>
    </row>
    <row r="40875" spans="23:23" x14ac:dyDescent="0.55000000000000004">
      <c r="W40875"/>
    </row>
    <row r="40876" spans="23:23" x14ac:dyDescent="0.55000000000000004">
      <c r="W40876"/>
    </row>
    <row r="40877" spans="23:23" x14ac:dyDescent="0.55000000000000004">
      <c r="W40877"/>
    </row>
    <row r="40878" spans="23:23" x14ac:dyDescent="0.55000000000000004">
      <c r="W40878"/>
    </row>
    <row r="40879" spans="23:23" x14ac:dyDescent="0.55000000000000004">
      <c r="W40879"/>
    </row>
    <row r="40880" spans="23:23" x14ac:dyDescent="0.55000000000000004">
      <c r="W40880"/>
    </row>
    <row r="40881" spans="23:23" x14ac:dyDescent="0.55000000000000004">
      <c r="W40881"/>
    </row>
    <row r="40882" spans="23:23" x14ac:dyDescent="0.55000000000000004">
      <c r="W40882"/>
    </row>
    <row r="40883" spans="23:23" x14ac:dyDescent="0.55000000000000004">
      <c r="W40883"/>
    </row>
    <row r="40884" spans="23:23" x14ac:dyDescent="0.55000000000000004">
      <c r="W40884"/>
    </row>
    <row r="40885" spans="23:23" x14ac:dyDescent="0.55000000000000004">
      <c r="W40885"/>
    </row>
    <row r="40886" spans="23:23" x14ac:dyDescent="0.55000000000000004">
      <c r="W40886"/>
    </row>
    <row r="40887" spans="23:23" x14ac:dyDescent="0.55000000000000004">
      <c r="W40887"/>
    </row>
    <row r="40888" spans="23:23" x14ac:dyDescent="0.55000000000000004">
      <c r="W40888"/>
    </row>
    <row r="40889" spans="23:23" x14ac:dyDescent="0.55000000000000004">
      <c r="W40889"/>
    </row>
    <row r="40890" spans="23:23" x14ac:dyDescent="0.55000000000000004">
      <c r="W40890"/>
    </row>
    <row r="40891" spans="23:23" x14ac:dyDescent="0.55000000000000004">
      <c r="W40891"/>
    </row>
    <row r="40892" spans="23:23" x14ac:dyDescent="0.55000000000000004">
      <c r="W40892"/>
    </row>
    <row r="40893" spans="23:23" x14ac:dyDescent="0.55000000000000004">
      <c r="W40893"/>
    </row>
    <row r="40894" spans="23:23" x14ac:dyDescent="0.55000000000000004">
      <c r="W40894"/>
    </row>
    <row r="40895" spans="23:23" x14ac:dyDescent="0.55000000000000004">
      <c r="W40895"/>
    </row>
    <row r="40896" spans="23:23" x14ac:dyDescent="0.55000000000000004">
      <c r="W40896"/>
    </row>
    <row r="40897" spans="23:23" x14ac:dyDescent="0.55000000000000004">
      <c r="W40897"/>
    </row>
    <row r="40898" spans="23:23" x14ac:dyDescent="0.55000000000000004">
      <c r="W40898"/>
    </row>
    <row r="40899" spans="23:23" x14ac:dyDescent="0.55000000000000004">
      <c r="W40899"/>
    </row>
    <row r="40900" spans="23:23" x14ac:dyDescent="0.55000000000000004">
      <c r="W40900"/>
    </row>
    <row r="40901" spans="23:23" x14ac:dyDescent="0.55000000000000004">
      <c r="W40901"/>
    </row>
    <row r="40902" spans="23:23" x14ac:dyDescent="0.55000000000000004">
      <c r="W40902"/>
    </row>
    <row r="40903" spans="23:23" x14ac:dyDescent="0.55000000000000004">
      <c r="W40903"/>
    </row>
    <row r="40904" spans="23:23" x14ac:dyDescent="0.55000000000000004">
      <c r="W40904"/>
    </row>
    <row r="40905" spans="23:23" x14ac:dyDescent="0.55000000000000004">
      <c r="W40905"/>
    </row>
    <row r="40906" spans="23:23" x14ac:dyDescent="0.55000000000000004">
      <c r="W40906"/>
    </row>
    <row r="40907" spans="23:23" x14ac:dyDescent="0.55000000000000004">
      <c r="W40907"/>
    </row>
    <row r="40908" spans="23:23" x14ac:dyDescent="0.55000000000000004">
      <c r="W40908"/>
    </row>
    <row r="40909" spans="23:23" x14ac:dyDescent="0.55000000000000004">
      <c r="W40909"/>
    </row>
    <row r="40910" spans="23:23" x14ac:dyDescent="0.55000000000000004">
      <c r="W40910"/>
    </row>
    <row r="40911" spans="23:23" x14ac:dyDescent="0.55000000000000004">
      <c r="W40911"/>
    </row>
    <row r="40912" spans="23:23" x14ac:dyDescent="0.55000000000000004">
      <c r="W40912"/>
    </row>
    <row r="40913" spans="23:23" x14ac:dyDescent="0.55000000000000004">
      <c r="W40913"/>
    </row>
    <row r="40914" spans="23:23" x14ac:dyDescent="0.55000000000000004">
      <c r="W40914"/>
    </row>
    <row r="40915" spans="23:23" x14ac:dyDescent="0.55000000000000004">
      <c r="W40915"/>
    </row>
    <row r="40916" spans="23:23" x14ac:dyDescent="0.55000000000000004">
      <c r="W40916"/>
    </row>
    <row r="40917" spans="23:23" x14ac:dyDescent="0.55000000000000004">
      <c r="W40917"/>
    </row>
    <row r="40918" spans="23:23" x14ac:dyDescent="0.55000000000000004">
      <c r="W40918"/>
    </row>
    <row r="40919" spans="23:23" x14ac:dyDescent="0.55000000000000004">
      <c r="W40919"/>
    </row>
    <row r="40920" spans="23:23" x14ac:dyDescent="0.55000000000000004">
      <c r="W40920"/>
    </row>
    <row r="40921" spans="23:23" x14ac:dyDescent="0.55000000000000004">
      <c r="W40921"/>
    </row>
    <row r="40922" spans="23:23" x14ac:dyDescent="0.55000000000000004">
      <c r="W40922"/>
    </row>
    <row r="40923" spans="23:23" x14ac:dyDescent="0.55000000000000004">
      <c r="W40923"/>
    </row>
    <row r="40924" spans="23:23" x14ac:dyDescent="0.55000000000000004">
      <c r="W40924"/>
    </row>
    <row r="40925" spans="23:23" x14ac:dyDescent="0.55000000000000004">
      <c r="W40925"/>
    </row>
    <row r="40926" spans="23:23" x14ac:dyDescent="0.55000000000000004">
      <c r="W40926"/>
    </row>
    <row r="40927" spans="23:23" x14ac:dyDescent="0.55000000000000004">
      <c r="W40927"/>
    </row>
    <row r="40928" spans="23:23" x14ac:dyDescent="0.55000000000000004">
      <c r="W40928"/>
    </row>
    <row r="40929" spans="23:23" x14ac:dyDescent="0.55000000000000004">
      <c r="W40929"/>
    </row>
    <row r="40930" spans="23:23" x14ac:dyDescent="0.55000000000000004">
      <c r="W40930"/>
    </row>
    <row r="40931" spans="23:23" x14ac:dyDescent="0.55000000000000004">
      <c r="W40931"/>
    </row>
    <row r="40932" spans="23:23" x14ac:dyDescent="0.55000000000000004">
      <c r="W40932"/>
    </row>
    <row r="40933" spans="23:23" x14ac:dyDescent="0.55000000000000004">
      <c r="W40933"/>
    </row>
    <row r="40934" spans="23:23" x14ac:dyDescent="0.55000000000000004">
      <c r="W40934"/>
    </row>
    <row r="40935" spans="23:23" x14ac:dyDescent="0.55000000000000004">
      <c r="W40935"/>
    </row>
    <row r="40936" spans="23:23" x14ac:dyDescent="0.55000000000000004">
      <c r="W40936"/>
    </row>
    <row r="40937" spans="23:23" x14ac:dyDescent="0.55000000000000004">
      <c r="W40937"/>
    </row>
    <row r="40938" spans="23:23" x14ac:dyDescent="0.55000000000000004">
      <c r="W40938"/>
    </row>
    <row r="40939" spans="23:23" x14ac:dyDescent="0.55000000000000004">
      <c r="W40939"/>
    </row>
    <row r="40940" spans="23:23" x14ac:dyDescent="0.55000000000000004">
      <c r="W40940"/>
    </row>
    <row r="40941" spans="23:23" x14ac:dyDescent="0.55000000000000004">
      <c r="W40941"/>
    </row>
    <row r="40942" spans="23:23" x14ac:dyDescent="0.55000000000000004">
      <c r="W40942"/>
    </row>
    <row r="40943" spans="23:23" x14ac:dyDescent="0.55000000000000004">
      <c r="W40943"/>
    </row>
    <row r="40944" spans="23:23" x14ac:dyDescent="0.55000000000000004">
      <c r="W40944"/>
    </row>
    <row r="40945" spans="23:23" x14ac:dyDescent="0.55000000000000004">
      <c r="W40945"/>
    </row>
    <row r="40946" spans="23:23" x14ac:dyDescent="0.55000000000000004">
      <c r="W40946"/>
    </row>
    <row r="40947" spans="23:23" x14ac:dyDescent="0.55000000000000004">
      <c r="W40947"/>
    </row>
    <row r="40948" spans="23:23" x14ac:dyDescent="0.55000000000000004">
      <c r="W40948"/>
    </row>
    <row r="40949" spans="23:23" x14ac:dyDescent="0.55000000000000004">
      <c r="W40949"/>
    </row>
    <row r="40950" spans="23:23" x14ac:dyDescent="0.55000000000000004">
      <c r="W40950"/>
    </row>
    <row r="40951" spans="23:23" x14ac:dyDescent="0.55000000000000004">
      <c r="W40951"/>
    </row>
    <row r="40952" spans="23:23" x14ac:dyDescent="0.55000000000000004">
      <c r="W40952"/>
    </row>
    <row r="40953" spans="23:23" x14ac:dyDescent="0.55000000000000004">
      <c r="W40953"/>
    </row>
    <row r="40954" spans="23:23" x14ac:dyDescent="0.55000000000000004">
      <c r="W40954"/>
    </row>
    <row r="40955" spans="23:23" x14ac:dyDescent="0.55000000000000004">
      <c r="W40955"/>
    </row>
    <row r="40956" spans="23:23" x14ac:dyDescent="0.55000000000000004">
      <c r="W40956"/>
    </row>
    <row r="40957" spans="23:23" x14ac:dyDescent="0.55000000000000004">
      <c r="W40957"/>
    </row>
    <row r="40958" spans="23:23" x14ac:dyDescent="0.55000000000000004">
      <c r="W40958"/>
    </row>
    <row r="40959" spans="23:23" x14ac:dyDescent="0.55000000000000004">
      <c r="W40959"/>
    </row>
    <row r="40960" spans="23:23" x14ac:dyDescent="0.55000000000000004">
      <c r="W40960"/>
    </row>
    <row r="40961" spans="23:23" x14ac:dyDescent="0.55000000000000004">
      <c r="W40961"/>
    </row>
    <row r="40962" spans="23:23" x14ac:dyDescent="0.55000000000000004">
      <c r="W40962"/>
    </row>
    <row r="40963" spans="23:23" x14ac:dyDescent="0.55000000000000004">
      <c r="W40963"/>
    </row>
    <row r="40964" spans="23:23" x14ac:dyDescent="0.55000000000000004">
      <c r="W40964"/>
    </row>
    <row r="40965" spans="23:23" x14ac:dyDescent="0.55000000000000004">
      <c r="W40965"/>
    </row>
    <row r="40966" spans="23:23" x14ac:dyDescent="0.55000000000000004">
      <c r="W40966"/>
    </row>
    <row r="40967" spans="23:23" x14ac:dyDescent="0.55000000000000004">
      <c r="W40967"/>
    </row>
    <row r="40968" spans="23:23" x14ac:dyDescent="0.55000000000000004">
      <c r="W40968"/>
    </row>
    <row r="40969" spans="23:23" x14ac:dyDescent="0.55000000000000004">
      <c r="W40969"/>
    </row>
    <row r="40970" spans="23:23" x14ac:dyDescent="0.55000000000000004">
      <c r="W40970"/>
    </row>
    <row r="40971" spans="23:23" x14ac:dyDescent="0.55000000000000004">
      <c r="W40971"/>
    </row>
    <row r="40972" spans="23:23" x14ac:dyDescent="0.55000000000000004">
      <c r="W40972"/>
    </row>
    <row r="40973" spans="23:23" x14ac:dyDescent="0.55000000000000004">
      <c r="W40973"/>
    </row>
    <row r="40974" spans="23:23" x14ac:dyDescent="0.55000000000000004">
      <c r="W40974"/>
    </row>
    <row r="40975" spans="23:23" x14ac:dyDescent="0.55000000000000004">
      <c r="W40975"/>
    </row>
    <row r="40976" spans="23:23" x14ac:dyDescent="0.55000000000000004">
      <c r="W40976"/>
    </row>
    <row r="40977" spans="23:23" x14ac:dyDescent="0.55000000000000004">
      <c r="W40977"/>
    </row>
    <row r="40978" spans="23:23" x14ac:dyDescent="0.55000000000000004">
      <c r="W40978"/>
    </row>
    <row r="40979" spans="23:23" x14ac:dyDescent="0.55000000000000004">
      <c r="W40979"/>
    </row>
    <row r="40980" spans="23:23" x14ac:dyDescent="0.55000000000000004">
      <c r="W40980"/>
    </row>
    <row r="40981" spans="23:23" x14ac:dyDescent="0.55000000000000004">
      <c r="W40981"/>
    </row>
    <row r="40982" spans="23:23" x14ac:dyDescent="0.55000000000000004">
      <c r="W40982"/>
    </row>
    <row r="40983" spans="23:23" x14ac:dyDescent="0.55000000000000004">
      <c r="W40983"/>
    </row>
    <row r="40984" spans="23:23" x14ac:dyDescent="0.55000000000000004">
      <c r="W40984"/>
    </row>
    <row r="40985" spans="23:23" x14ac:dyDescent="0.55000000000000004">
      <c r="W40985"/>
    </row>
    <row r="40986" spans="23:23" x14ac:dyDescent="0.55000000000000004">
      <c r="W40986"/>
    </row>
    <row r="40987" spans="23:23" x14ac:dyDescent="0.55000000000000004">
      <c r="W40987"/>
    </row>
    <row r="40988" spans="23:23" x14ac:dyDescent="0.55000000000000004">
      <c r="W40988"/>
    </row>
    <row r="40989" spans="23:23" x14ac:dyDescent="0.55000000000000004">
      <c r="W40989"/>
    </row>
    <row r="40990" spans="23:23" x14ac:dyDescent="0.55000000000000004">
      <c r="W40990"/>
    </row>
    <row r="40991" spans="23:23" x14ac:dyDescent="0.55000000000000004">
      <c r="W40991"/>
    </row>
    <row r="40992" spans="23:23" x14ac:dyDescent="0.55000000000000004">
      <c r="W40992"/>
    </row>
    <row r="40993" spans="23:23" x14ac:dyDescent="0.55000000000000004">
      <c r="W40993"/>
    </row>
    <row r="40994" spans="23:23" x14ac:dyDescent="0.55000000000000004">
      <c r="W40994"/>
    </row>
    <row r="40995" spans="23:23" x14ac:dyDescent="0.55000000000000004">
      <c r="W40995"/>
    </row>
    <row r="40996" spans="23:23" x14ac:dyDescent="0.55000000000000004">
      <c r="W40996"/>
    </row>
    <row r="40997" spans="23:23" x14ac:dyDescent="0.55000000000000004">
      <c r="W40997"/>
    </row>
    <row r="40998" spans="23:23" x14ac:dyDescent="0.55000000000000004">
      <c r="W40998"/>
    </row>
    <row r="40999" spans="23:23" x14ac:dyDescent="0.55000000000000004">
      <c r="W40999"/>
    </row>
    <row r="41000" spans="23:23" x14ac:dyDescent="0.55000000000000004">
      <c r="W41000"/>
    </row>
    <row r="41001" spans="23:23" x14ac:dyDescent="0.55000000000000004">
      <c r="W41001"/>
    </row>
    <row r="41002" spans="23:23" x14ac:dyDescent="0.55000000000000004">
      <c r="W41002"/>
    </row>
    <row r="41003" spans="23:23" x14ac:dyDescent="0.55000000000000004">
      <c r="W41003"/>
    </row>
    <row r="41004" spans="23:23" x14ac:dyDescent="0.55000000000000004">
      <c r="W41004"/>
    </row>
    <row r="41005" spans="23:23" x14ac:dyDescent="0.55000000000000004">
      <c r="W41005"/>
    </row>
    <row r="41006" spans="23:23" x14ac:dyDescent="0.55000000000000004">
      <c r="W41006"/>
    </row>
    <row r="41007" spans="23:23" x14ac:dyDescent="0.55000000000000004">
      <c r="W41007"/>
    </row>
    <row r="41008" spans="23:23" x14ac:dyDescent="0.55000000000000004">
      <c r="W41008"/>
    </row>
    <row r="41009" spans="23:23" x14ac:dyDescent="0.55000000000000004">
      <c r="W41009"/>
    </row>
    <row r="41010" spans="23:23" x14ac:dyDescent="0.55000000000000004">
      <c r="W41010"/>
    </row>
    <row r="41011" spans="23:23" x14ac:dyDescent="0.55000000000000004">
      <c r="W41011"/>
    </row>
    <row r="41012" spans="23:23" x14ac:dyDescent="0.55000000000000004">
      <c r="W41012"/>
    </row>
    <row r="41013" spans="23:23" x14ac:dyDescent="0.55000000000000004">
      <c r="W41013"/>
    </row>
    <row r="41014" spans="23:23" x14ac:dyDescent="0.55000000000000004">
      <c r="W41014"/>
    </row>
    <row r="41015" spans="23:23" x14ac:dyDescent="0.55000000000000004">
      <c r="W41015"/>
    </row>
    <row r="41016" spans="23:23" x14ac:dyDescent="0.55000000000000004">
      <c r="W41016"/>
    </row>
    <row r="41017" spans="23:23" x14ac:dyDescent="0.55000000000000004">
      <c r="W41017"/>
    </row>
    <row r="41018" spans="23:23" x14ac:dyDescent="0.55000000000000004">
      <c r="W41018"/>
    </row>
    <row r="41019" spans="23:23" x14ac:dyDescent="0.55000000000000004">
      <c r="W41019"/>
    </row>
    <row r="41020" spans="23:23" x14ac:dyDescent="0.55000000000000004">
      <c r="W41020"/>
    </row>
    <row r="41021" spans="23:23" x14ac:dyDescent="0.55000000000000004">
      <c r="W41021"/>
    </row>
    <row r="41022" spans="23:23" x14ac:dyDescent="0.55000000000000004">
      <c r="W41022"/>
    </row>
    <row r="41023" spans="23:23" x14ac:dyDescent="0.55000000000000004">
      <c r="W41023"/>
    </row>
    <row r="41024" spans="23:23" x14ac:dyDescent="0.55000000000000004">
      <c r="W41024"/>
    </row>
    <row r="41025" spans="23:23" x14ac:dyDescent="0.55000000000000004">
      <c r="W41025"/>
    </row>
    <row r="41026" spans="23:23" x14ac:dyDescent="0.55000000000000004">
      <c r="W41026"/>
    </row>
    <row r="41027" spans="23:23" x14ac:dyDescent="0.55000000000000004">
      <c r="W41027"/>
    </row>
    <row r="41028" spans="23:23" x14ac:dyDescent="0.55000000000000004">
      <c r="W41028"/>
    </row>
    <row r="41029" spans="23:23" x14ac:dyDescent="0.55000000000000004">
      <c r="W41029"/>
    </row>
    <row r="41030" spans="23:23" x14ac:dyDescent="0.55000000000000004">
      <c r="W41030"/>
    </row>
    <row r="41031" spans="23:23" x14ac:dyDescent="0.55000000000000004">
      <c r="W41031"/>
    </row>
    <row r="41032" spans="23:23" x14ac:dyDescent="0.55000000000000004">
      <c r="W41032"/>
    </row>
    <row r="41033" spans="23:23" x14ac:dyDescent="0.55000000000000004">
      <c r="W41033"/>
    </row>
    <row r="41034" spans="23:23" x14ac:dyDescent="0.55000000000000004">
      <c r="W41034"/>
    </row>
    <row r="41035" spans="23:23" x14ac:dyDescent="0.55000000000000004">
      <c r="W41035"/>
    </row>
    <row r="41036" spans="23:23" x14ac:dyDescent="0.55000000000000004">
      <c r="W41036"/>
    </row>
    <row r="41037" spans="23:23" x14ac:dyDescent="0.55000000000000004">
      <c r="W41037"/>
    </row>
    <row r="41038" spans="23:23" x14ac:dyDescent="0.55000000000000004">
      <c r="W41038"/>
    </row>
    <row r="41039" spans="23:23" x14ac:dyDescent="0.55000000000000004">
      <c r="W41039"/>
    </row>
    <row r="41040" spans="23:23" x14ac:dyDescent="0.55000000000000004">
      <c r="W41040"/>
    </row>
    <row r="41041" spans="23:23" x14ac:dyDescent="0.55000000000000004">
      <c r="W41041"/>
    </row>
    <row r="41042" spans="23:23" x14ac:dyDescent="0.55000000000000004">
      <c r="W41042"/>
    </row>
    <row r="41043" spans="23:23" x14ac:dyDescent="0.55000000000000004">
      <c r="W41043"/>
    </row>
    <row r="41044" spans="23:23" x14ac:dyDescent="0.55000000000000004">
      <c r="W41044"/>
    </row>
    <row r="41045" spans="23:23" x14ac:dyDescent="0.55000000000000004">
      <c r="W41045"/>
    </row>
    <row r="41046" spans="23:23" x14ac:dyDescent="0.55000000000000004">
      <c r="W41046"/>
    </row>
    <row r="41047" spans="23:23" x14ac:dyDescent="0.55000000000000004">
      <c r="W41047"/>
    </row>
    <row r="41048" spans="23:23" x14ac:dyDescent="0.55000000000000004">
      <c r="W41048"/>
    </row>
    <row r="41049" spans="23:23" x14ac:dyDescent="0.55000000000000004">
      <c r="W41049"/>
    </row>
    <row r="41050" spans="23:23" x14ac:dyDescent="0.55000000000000004">
      <c r="W41050"/>
    </row>
    <row r="41051" spans="23:23" x14ac:dyDescent="0.55000000000000004">
      <c r="W41051"/>
    </row>
    <row r="41052" spans="23:23" x14ac:dyDescent="0.55000000000000004">
      <c r="W41052"/>
    </row>
    <row r="41053" spans="23:23" x14ac:dyDescent="0.55000000000000004">
      <c r="W41053"/>
    </row>
    <row r="41054" spans="23:23" x14ac:dyDescent="0.55000000000000004">
      <c r="W41054"/>
    </row>
    <row r="41055" spans="23:23" x14ac:dyDescent="0.55000000000000004">
      <c r="W41055"/>
    </row>
    <row r="41056" spans="23:23" x14ac:dyDescent="0.55000000000000004">
      <c r="W41056"/>
    </row>
    <row r="41057" spans="23:23" x14ac:dyDescent="0.55000000000000004">
      <c r="W41057"/>
    </row>
    <row r="41058" spans="23:23" x14ac:dyDescent="0.55000000000000004">
      <c r="W41058"/>
    </row>
    <row r="41059" spans="23:23" x14ac:dyDescent="0.55000000000000004">
      <c r="W41059"/>
    </row>
    <row r="41060" spans="23:23" x14ac:dyDescent="0.55000000000000004">
      <c r="W41060"/>
    </row>
    <row r="41061" spans="23:23" x14ac:dyDescent="0.55000000000000004">
      <c r="W41061"/>
    </row>
    <row r="41062" spans="23:23" x14ac:dyDescent="0.55000000000000004">
      <c r="W41062"/>
    </row>
    <row r="41063" spans="23:23" x14ac:dyDescent="0.55000000000000004">
      <c r="W41063"/>
    </row>
    <row r="41064" spans="23:23" x14ac:dyDescent="0.55000000000000004">
      <c r="W41064"/>
    </row>
    <row r="41065" spans="23:23" x14ac:dyDescent="0.55000000000000004">
      <c r="W41065"/>
    </row>
    <row r="41066" spans="23:23" x14ac:dyDescent="0.55000000000000004">
      <c r="W41066"/>
    </row>
    <row r="41067" spans="23:23" x14ac:dyDescent="0.55000000000000004">
      <c r="W41067"/>
    </row>
    <row r="41068" spans="23:23" x14ac:dyDescent="0.55000000000000004">
      <c r="W41068"/>
    </row>
    <row r="41069" spans="23:23" x14ac:dyDescent="0.55000000000000004">
      <c r="W41069"/>
    </row>
    <row r="41070" spans="23:23" x14ac:dyDescent="0.55000000000000004">
      <c r="W41070"/>
    </row>
    <row r="41071" spans="23:23" x14ac:dyDescent="0.55000000000000004">
      <c r="W41071"/>
    </row>
    <row r="41072" spans="23:23" x14ac:dyDescent="0.55000000000000004">
      <c r="W41072"/>
    </row>
    <row r="41073" spans="23:23" x14ac:dyDescent="0.55000000000000004">
      <c r="W41073"/>
    </row>
    <row r="41074" spans="23:23" x14ac:dyDescent="0.55000000000000004">
      <c r="W41074"/>
    </row>
    <row r="41075" spans="23:23" x14ac:dyDescent="0.55000000000000004">
      <c r="W41075"/>
    </row>
    <row r="41076" spans="23:23" x14ac:dyDescent="0.55000000000000004">
      <c r="W41076"/>
    </row>
    <row r="41077" spans="23:23" x14ac:dyDescent="0.55000000000000004">
      <c r="W41077"/>
    </row>
    <row r="41078" spans="23:23" x14ac:dyDescent="0.55000000000000004">
      <c r="W41078"/>
    </row>
    <row r="41079" spans="23:23" x14ac:dyDescent="0.55000000000000004">
      <c r="W41079"/>
    </row>
    <row r="41080" spans="23:23" x14ac:dyDescent="0.55000000000000004">
      <c r="W41080"/>
    </row>
    <row r="41081" spans="23:23" x14ac:dyDescent="0.55000000000000004">
      <c r="W41081"/>
    </row>
    <row r="41082" spans="23:23" x14ac:dyDescent="0.55000000000000004">
      <c r="W41082"/>
    </row>
    <row r="41083" spans="23:23" x14ac:dyDescent="0.55000000000000004">
      <c r="W41083"/>
    </row>
    <row r="41084" spans="23:23" x14ac:dyDescent="0.55000000000000004">
      <c r="W41084"/>
    </row>
    <row r="41085" spans="23:23" x14ac:dyDescent="0.55000000000000004">
      <c r="W41085"/>
    </row>
    <row r="41086" spans="23:23" x14ac:dyDescent="0.55000000000000004">
      <c r="W41086"/>
    </row>
    <row r="41087" spans="23:23" x14ac:dyDescent="0.55000000000000004">
      <c r="W41087"/>
    </row>
    <row r="41088" spans="23:23" x14ac:dyDescent="0.55000000000000004">
      <c r="W41088"/>
    </row>
    <row r="41089" spans="23:23" x14ac:dyDescent="0.55000000000000004">
      <c r="W41089"/>
    </row>
    <row r="41090" spans="23:23" x14ac:dyDescent="0.55000000000000004">
      <c r="W41090"/>
    </row>
    <row r="41091" spans="23:23" x14ac:dyDescent="0.55000000000000004">
      <c r="W41091"/>
    </row>
    <row r="41092" spans="23:23" x14ac:dyDescent="0.55000000000000004">
      <c r="W41092"/>
    </row>
    <row r="41093" spans="23:23" x14ac:dyDescent="0.55000000000000004">
      <c r="W41093"/>
    </row>
    <row r="41094" spans="23:23" x14ac:dyDescent="0.55000000000000004">
      <c r="W41094"/>
    </row>
    <row r="41095" spans="23:23" x14ac:dyDescent="0.55000000000000004">
      <c r="W41095"/>
    </row>
    <row r="41096" spans="23:23" x14ac:dyDescent="0.55000000000000004">
      <c r="W41096"/>
    </row>
    <row r="41097" spans="23:23" x14ac:dyDescent="0.55000000000000004">
      <c r="W41097"/>
    </row>
    <row r="41098" spans="23:23" x14ac:dyDescent="0.55000000000000004">
      <c r="W41098"/>
    </row>
    <row r="41099" spans="23:23" x14ac:dyDescent="0.55000000000000004">
      <c r="W41099"/>
    </row>
    <row r="41100" spans="23:23" x14ac:dyDescent="0.55000000000000004">
      <c r="W41100"/>
    </row>
    <row r="41101" spans="23:23" x14ac:dyDescent="0.55000000000000004">
      <c r="W41101"/>
    </row>
    <row r="41102" spans="23:23" x14ac:dyDescent="0.55000000000000004">
      <c r="W41102"/>
    </row>
    <row r="41103" spans="23:23" x14ac:dyDescent="0.55000000000000004">
      <c r="W41103"/>
    </row>
    <row r="41104" spans="23:23" x14ac:dyDescent="0.55000000000000004">
      <c r="W41104"/>
    </row>
    <row r="41105" spans="23:23" x14ac:dyDescent="0.55000000000000004">
      <c r="W41105"/>
    </row>
    <row r="41106" spans="23:23" x14ac:dyDescent="0.55000000000000004">
      <c r="W41106"/>
    </row>
    <row r="41107" spans="23:23" x14ac:dyDescent="0.55000000000000004">
      <c r="W41107"/>
    </row>
    <row r="41108" spans="23:23" x14ac:dyDescent="0.55000000000000004">
      <c r="W41108"/>
    </row>
    <row r="41109" spans="23:23" x14ac:dyDescent="0.55000000000000004">
      <c r="W41109"/>
    </row>
    <row r="41110" spans="23:23" x14ac:dyDescent="0.55000000000000004">
      <c r="W41110"/>
    </row>
    <row r="41111" spans="23:23" x14ac:dyDescent="0.55000000000000004">
      <c r="W41111"/>
    </row>
    <row r="41112" spans="23:23" x14ac:dyDescent="0.55000000000000004">
      <c r="W41112"/>
    </row>
    <row r="41113" spans="23:23" x14ac:dyDescent="0.55000000000000004">
      <c r="W41113"/>
    </row>
    <row r="41114" spans="23:23" x14ac:dyDescent="0.55000000000000004">
      <c r="W41114"/>
    </row>
    <row r="41115" spans="23:23" x14ac:dyDescent="0.55000000000000004">
      <c r="W41115"/>
    </row>
    <row r="41116" spans="23:23" x14ac:dyDescent="0.55000000000000004">
      <c r="W41116"/>
    </row>
    <row r="41117" spans="23:23" x14ac:dyDescent="0.55000000000000004">
      <c r="W41117"/>
    </row>
    <row r="41118" spans="23:23" x14ac:dyDescent="0.55000000000000004">
      <c r="W41118"/>
    </row>
    <row r="41119" spans="23:23" x14ac:dyDescent="0.55000000000000004">
      <c r="W41119"/>
    </row>
    <row r="41120" spans="23:23" x14ac:dyDescent="0.55000000000000004">
      <c r="W41120"/>
    </row>
    <row r="41121" spans="23:23" x14ac:dyDescent="0.55000000000000004">
      <c r="W41121"/>
    </row>
    <row r="41122" spans="23:23" x14ac:dyDescent="0.55000000000000004">
      <c r="W41122"/>
    </row>
    <row r="41123" spans="23:23" x14ac:dyDescent="0.55000000000000004">
      <c r="W41123"/>
    </row>
    <row r="41124" spans="23:23" x14ac:dyDescent="0.55000000000000004">
      <c r="W41124"/>
    </row>
    <row r="41125" spans="23:23" x14ac:dyDescent="0.55000000000000004">
      <c r="W41125"/>
    </row>
    <row r="41126" spans="23:23" x14ac:dyDescent="0.55000000000000004">
      <c r="W41126"/>
    </row>
    <row r="41127" spans="23:23" x14ac:dyDescent="0.55000000000000004">
      <c r="W41127"/>
    </row>
    <row r="41128" spans="23:23" x14ac:dyDescent="0.55000000000000004">
      <c r="W41128"/>
    </row>
    <row r="41129" spans="23:23" x14ac:dyDescent="0.55000000000000004">
      <c r="W41129"/>
    </row>
    <row r="41130" spans="23:23" x14ac:dyDescent="0.55000000000000004">
      <c r="W41130"/>
    </row>
    <row r="41131" spans="23:23" x14ac:dyDescent="0.55000000000000004">
      <c r="W41131"/>
    </row>
    <row r="41132" spans="23:23" x14ac:dyDescent="0.55000000000000004">
      <c r="W41132"/>
    </row>
    <row r="41133" spans="23:23" x14ac:dyDescent="0.55000000000000004">
      <c r="W41133"/>
    </row>
    <row r="41134" spans="23:23" x14ac:dyDescent="0.55000000000000004">
      <c r="W41134"/>
    </row>
    <row r="41135" spans="23:23" x14ac:dyDescent="0.55000000000000004">
      <c r="W41135"/>
    </row>
    <row r="41136" spans="23:23" x14ac:dyDescent="0.55000000000000004">
      <c r="W41136"/>
    </row>
    <row r="41137" spans="23:23" x14ac:dyDescent="0.55000000000000004">
      <c r="W41137"/>
    </row>
    <row r="41138" spans="23:23" x14ac:dyDescent="0.55000000000000004">
      <c r="W41138"/>
    </row>
    <row r="41139" spans="23:23" x14ac:dyDescent="0.55000000000000004">
      <c r="W41139"/>
    </row>
    <row r="41140" spans="23:23" x14ac:dyDescent="0.55000000000000004">
      <c r="W41140"/>
    </row>
    <row r="41141" spans="23:23" x14ac:dyDescent="0.55000000000000004">
      <c r="W41141"/>
    </row>
    <row r="41142" spans="23:23" x14ac:dyDescent="0.55000000000000004">
      <c r="W41142"/>
    </row>
    <row r="41143" spans="23:23" x14ac:dyDescent="0.55000000000000004">
      <c r="W41143"/>
    </row>
    <row r="41144" spans="23:23" x14ac:dyDescent="0.55000000000000004">
      <c r="W41144"/>
    </row>
    <row r="41145" spans="23:23" x14ac:dyDescent="0.55000000000000004">
      <c r="W41145"/>
    </row>
    <row r="41146" spans="23:23" x14ac:dyDescent="0.55000000000000004">
      <c r="W41146"/>
    </row>
    <row r="41147" spans="23:23" x14ac:dyDescent="0.55000000000000004">
      <c r="W41147"/>
    </row>
    <row r="41148" spans="23:23" x14ac:dyDescent="0.55000000000000004">
      <c r="W41148"/>
    </row>
    <row r="41149" spans="23:23" x14ac:dyDescent="0.55000000000000004">
      <c r="W41149"/>
    </row>
    <row r="41150" spans="23:23" x14ac:dyDescent="0.55000000000000004">
      <c r="W41150"/>
    </row>
    <row r="41151" spans="23:23" x14ac:dyDescent="0.55000000000000004">
      <c r="W41151"/>
    </row>
    <row r="41152" spans="23:23" x14ac:dyDescent="0.55000000000000004">
      <c r="W41152"/>
    </row>
    <row r="41153" spans="23:23" x14ac:dyDescent="0.55000000000000004">
      <c r="W41153"/>
    </row>
    <row r="41154" spans="23:23" x14ac:dyDescent="0.55000000000000004">
      <c r="W41154"/>
    </row>
    <row r="41155" spans="23:23" x14ac:dyDescent="0.55000000000000004">
      <c r="W41155"/>
    </row>
    <row r="41156" spans="23:23" x14ac:dyDescent="0.55000000000000004">
      <c r="W41156"/>
    </row>
    <row r="41157" spans="23:23" x14ac:dyDescent="0.55000000000000004">
      <c r="W41157"/>
    </row>
    <row r="41158" spans="23:23" x14ac:dyDescent="0.55000000000000004">
      <c r="W41158"/>
    </row>
    <row r="41159" spans="23:23" x14ac:dyDescent="0.55000000000000004">
      <c r="W41159"/>
    </row>
    <row r="41160" spans="23:23" x14ac:dyDescent="0.55000000000000004">
      <c r="W41160"/>
    </row>
    <row r="41161" spans="23:23" x14ac:dyDescent="0.55000000000000004">
      <c r="W41161"/>
    </row>
    <row r="41162" spans="23:23" x14ac:dyDescent="0.55000000000000004">
      <c r="W41162"/>
    </row>
    <row r="41163" spans="23:23" x14ac:dyDescent="0.55000000000000004">
      <c r="W41163"/>
    </row>
    <row r="41164" spans="23:23" x14ac:dyDescent="0.55000000000000004">
      <c r="W41164"/>
    </row>
    <row r="41165" spans="23:23" x14ac:dyDescent="0.55000000000000004">
      <c r="W41165"/>
    </row>
    <row r="41166" spans="23:23" x14ac:dyDescent="0.55000000000000004">
      <c r="W41166"/>
    </row>
    <row r="41167" spans="23:23" x14ac:dyDescent="0.55000000000000004">
      <c r="W41167"/>
    </row>
    <row r="41168" spans="23:23" x14ac:dyDescent="0.55000000000000004">
      <c r="W41168"/>
    </row>
    <row r="41169" spans="23:23" x14ac:dyDescent="0.55000000000000004">
      <c r="W41169"/>
    </row>
    <row r="41170" spans="23:23" x14ac:dyDescent="0.55000000000000004">
      <c r="W41170"/>
    </row>
    <row r="41171" spans="23:23" x14ac:dyDescent="0.55000000000000004">
      <c r="W41171"/>
    </row>
    <row r="41172" spans="23:23" x14ac:dyDescent="0.55000000000000004">
      <c r="W41172"/>
    </row>
    <row r="41173" spans="23:23" x14ac:dyDescent="0.55000000000000004">
      <c r="W41173"/>
    </row>
    <row r="41174" spans="23:23" x14ac:dyDescent="0.55000000000000004">
      <c r="W41174"/>
    </row>
    <row r="41175" spans="23:23" x14ac:dyDescent="0.55000000000000004">
      <c r="W41175"/>
    </row>
    <row r="41176" spans="23:23" x14ac:dyDescent="0.55000000000000004">
      <c r="W41176"/>
    </row>
    <row r="41177" spans="23:23" x14ac:dyDescent="0.55000000000000004">
      <c r="W41177"/>
    </row>
    <row r="41178" spans="23:23" x14ac:dyDescent="0.55000000000000004">
      <c r="W41178"/>
    </row>
    <row r="41179" spans="23:23" x14ac:dyDescent="0.55000000000000004">
      <c r="W41179"/>
    </row>
    <row r="41180" spans="23:23" x14ac:dyDescent="0.55000000000000004">
      <c r="W41180"/>
    </row>
    <row r="41181" spans="23:23" x14ac:dyDescent="0.55000000000000004">
      <c r="W41181"/>
    </row>
    <row r="41182" spans="23:23" x14ac:dyDescent="0.55000000000000004">
      <c r="W41182"/>
    </row>
    <row r="41183" spans="23:23" x14ac:dyDescent="0.55000000000000004">
      <c r="W41183"/>
    </row>
    <row r="41184" spans="23:23" x14ac:dyDescent="0.55000000000000004">
      <c r="W41184"/>
    </row>
    <row r="41185" spans="23:23" x14ac:dyDescent="0.55000000000000004">
      <c r="W41185"/>
    </row>
    <row r="41186" spans="23:23" x14ac:dyDescent="0.55000000000000004">
      <c r="W41186"/>
    </row>
    <row r="41187" spans="23:23" x14ac:dyDescent="0.55000000000000004">
      <c r="W41187"/>
    </row>
    <row r="41188" spans="23:23" x14ac:dyDescent="0.55000000000000004">
      <c r="W41188"/>
    </row>
    <row r="41189" spans="23:23" x14ac:dyDescent="0.55000000000000004">
      <c r="W41189"/>
    </row>
    <row r="41190" spans="23:23" x14ac:dyDescent="0.55000000000000004">
      <c r="W41190"/>
    </row>
    <row r="41191" spans="23:23" x14ac:dyDescent="0.55000000000000004">
      <c r="W41191"/>
    </row>
    <row r="41192" spans="23:23" x14ac:dyDescent="0.55000000000000004">
      <c r="W41192"/>
    </row>
    <row r="41193" spans="23:23" x14ac:dyDescent="0.55000000000000004">
      <c r="W41193"/>
    </row>
    <row r="41194" spans="23:23" x14ac:dyDescent="0.55000000000000004">
      <c r="W41194"/>
    </row>
    <row r="41195" spans="23:23" x14ac:dyDescent="0.55000000000000004">
      <c r="W41195"/>
    </row>
    <row r="41196" spans="23:23" x14ac:dyDescent="0.55000000000000004">
      <c r="W41196"/>
    </row>
    <row r="41197" spans="23:23" x14ac:dyDescent="0.55000000000000004">
      <c r="W41197"/>
    </row>
    <row r="41198" spans="23:23" x14ac:dyDescent="0.55000000000000004">
      <c r="W41198"/>
    </row>
    <row r="41199" spans="23:23" x14ac:dyDescent="0.55000000000000004">
      <c r="W41199"/>
    </row>
    <row r="41200" spans="23:23" x14ac:dyDescent="0.55000000000000004">
      <c r="W41200"/>
    </row>
    <row r="41201" spans="23:23" x14ac:dyDescent="0.55000000000000004">
      <c r="W41201"/>
    </row>
    <row r="41202" spans="23:23" x14ac:dyDescent="0.55000000000000004">
      <c r="W41202"/>
    </row>
    <row r="41203" spans="23:23" x14ac:dyDescent="0.55000000000000004">
      <c r="W41203"/>
    </row>
    <row r="41204" spans="23:23" x14ac:dyDescent="0.55000000000000004">
      <c r="W41204"/>
    </row>
    <row r="41205" spans="23:23" x14ac:dyDescent="0.55000000000000004">
      <c r="W41205"/>
    </row>
    <row r="41206" spans="23:23" x14ac:dyDescent="0.55000000000000004">
      <c r="W41206"/>
    </row>
    <row r="41207" spans="23:23" x14ac:dyDescent="0.55000000000000004">
      <c r="W41207"/>
    </row>
    <row r="41208" spans="23:23" x14ac:dyDescent="0.55000000000000004">
      <c r="W41208"/>
    </row>
    <row r="41209" spans="23:23" x14ac:dyDescent="0.55000000000000004">
      <c r="W41209"/>
    </row>
    <row r="41210" spans="23:23" x14ac:dyDescent="0.55000000000000004">
      <c r="W41210"/>
    </row>
    <row r="41211" spans="23:23" x14ac:dyDescent="0.55000000000000004">
      <c r="W41211"/>
    </row>
    <row r="41212" spans="23:23" x14ac:dyDescent="0.55000000000000004">
      <c r="W41212"/>
    </row>
    <row r="41213" spans="23:23" x14ac:dyDescent="0.55000000000000004">
      <c r="W41213"/>
    </row>
    <row r="41214" spans="23:23" x14ac:dyDescent="0.55000000000000004">
      <c r="W41214"/>
    </row>
    <row r="41215" spans="23:23" x14ac:dyDescent="0.55000000000000004">
      <c r="W41215"/>
    </row>
    <row r="41216" spans="23:23" x14ac:dyDescent="0.55000000000000004">
      <c r="W41216"/>
    </row>
    <row r="41217" spans="23:23" x14ac:dyDescent="0.55000000000000004">
      <c r="W41217"/>
    </row>
    <row r="41218" spans="23:23" x14ac:dyDescent="0.55000000000000004">
      <c r="W41218"/>
    </row>
    <row r="41219" spans="23:23" x14ac:dyDescent="0.55000000000000004">
      <c r="W41219"/>
    </row>
    <row r="41220" spans="23:23" x14ac:dyDescent="0.55000000000000004">
      <c r="W41220"/>
    </row>
    <row r="41221" spans="23:23" x14ac:dyDescent="0.55000000000000004">
      <c r="W41221"/>
    </row>
    <row r="41222" spans="23:23" x14ac:dyDescent="0.55000000000000004">
      <c r="W41222"/>
    </row>
    <row r="41223" spans="23:23" x14ac:dyDescent="0.55000000000000004">
      <c r="W41223"/>
    </row>
    <row r="41224" spans="23:23" x14ac:dyDescent="0.55000000000000004">
      <c r="W41224"/>
    </row>
    <row r="41225" spans="23:23" x14ac:dyDescent="0.55000000000000004">
      <c r="W41225"/>
    </row>
    <row r="41226" spans="23:23" x14ac:dyDescent="0.55000000000000004">
      <c r="W41226"/>
    </row>
    <row r="41227" spans="23:23" x14ac:dyDescent="0.55000000000000004">
      <c r="W41227"/>
    </row>
    <row r="41228" spans="23:23" x14ac:dyDescent="0.55000000000000004">
      <c r="W41228"/>
    </row>
    <row r="41229" spans="23:23" x14ac:dyDescent="0.55000000000000004">
      <c r="W41229"/>
    </row>
    <row r="41230" spans="23:23" x14ac:dyDescent="0.55000000000000004">
      <c r="W41230"/>
    </row>
    <row r="41231" spans="23:23" x14ac:dyDescent="0.55000000000000004">
      <c r="W41231"/>
    </row>
    <row r="41232" spans="23:23" x14ac:dyDescent="0.55000000000000004">
      <c r="W41232"/>
    </row>
    <row r="41233" spans="23:23" x14ac:dyDescent="0.55000000000000004">
      <c r="W41233"/>
    </row>
    <row r="41234" spans="23:23" x14ac:dyDescent="0.55000000000000004">
      <c r="W41234"/>
    </row>
    <row r="41235" spans="23:23" x14ac:dyDescent="0.55000000000000004">
      <c r="W41235"/>
    </row>
    <row r="41236" spans="23:23" x14ac:dyDescent="0.55000000000000004">
      <c r="W41236"/>
    </row>
    <row r="41237" spans="23:23" x14ac:dyDescent="0.55000000000000004">
      <c r="W41237"/>
    </row>
    <row r="41238" spans="23:23" x14ac:dyDescent="0.55000000000000004">
      <c r="W41238"/>
    </row>
    <row r="41239" spans="23:23" x14ac:dyDescent="0.55000000000000004">
      <c r="W41239"/>
    </row>
    <row r="41240" spans="23:23" x14ac:dyDescent="0.55000000000000004">
      <c r="W41240"/>
    </row>
    <row r="41241" spans="23:23" x14ac:dyDescent="0.55000000000000004">
      <c r="W41241"/>
    </row>
    <row r="41242" spans="23:23" x14ac:dyDescent="0.55000000000000004">
      <c r="W41242"/>
    </row>
    <row r="41243" spans="23:23" x14ac:dyDescent="0.55000000000000004">
      <c r="W41243"/>
    </row>
    <row r="41244" spans="23:23" x14ac:dyDescent="0.55000000000000004">
      <c r="W41244"/>
    </row>
    <row r="41245" spans="23:23" x14ac:dyDescent="0.55000000000000004">
      <c r="W41245"/>
    </row>
    <row r="41246" spans="23:23" x14ac:dyDescent="0.55000000000000004">
      <c r="W41246"/>
    </row>
    <row r="41247" spans="23:23" x14ac:dyDescent="0.55000000000000004">
      <c r="W41247"/>
    </row>
    <row r="41248" spans="23:23" x14ac:dyDescent="0.55000000000000004">
      <c r="W41248"/>
    </row>
    <row r="41249" spans="23:23" x14ac:dyDescent="0.55000000000000004">
      <c r="W41249"/>
    </row>
    <row r="41250" spans="23:23" x14ac:dyDescent="0.55000000000000004">
      <c r="W41250"/>
    </row>
    <row r="41251" spans="23:23" x14ac:dyDescent="0.55000000000000004">
      <c r="W41251"/>
    </row>
    <row r="41252" spans="23:23" x14ac:dyDescent="0.55000000000000004">
      <c r="W41252"/>
    </row>
    <row r="41253" spans="23:23" x14ac:dyDescent="0.55000000000000004">
      <c r="W41253"/>
    </row>
    <row r="41254" spans="23:23" x14ac:dyDescent="0.55000000000000004">
      <c r="W41254"/>
    </row>
    <row r="41255" spans="23:23" x14ac:dyDescent="0.55000000000000004">
      <c r="W41255"/>
    </row>
    <row r="41256" spans="23:23" x14ac:dyDescent="0.55000000000000004">
      <c r="W41256"/>
    </row>
    <row r="41257" spans="23:23" x14ac:dyDescent="0.55000000000000004">
      <c r="W41257"/>
    </row>
    <row r="41258" spans="23:23" x14ac:dyDescent="0.55000000000000004">
      <c r="W41258"/>
    </row>
    <row r="41259" spans="23:23" x14ac:dyDescent="0.55000000000000004">
      <c r="W41259"/>
    </row>
    <row r="41260" spans="23:23" x14ac:dyDescent="0.55000000000000004">
      <c r="W41260"/>
    </row>
    <row r="41261" spans="23:23" x14ac:dyDescent="0.55000000000000004">
      <c r="W41261"/>
    </row>
    <row r="41262" spans="23:23" x14ac:dyDescent="0.55000000000000004">
      <c r="W41262"/>
    </row>
    <row r="41263" spans="23:23" x14ac:dyDescent="0.55000000000000004">
      <c r="W41263"/>
    </row>
    <row r="41264" spans="23:23" x14ac:dyDescent="0.55000000000000004">
      <c r="W41264"/>
    </row>
    <row r="41265" spans="23:23" x14ac:dyDescent="0.55000000000000004">
      <c r="W41265"/>
    </row>
    <row r="41266" spans="23:23" x14ac:dyDescent="0.55000000000000004">
      <c r="W41266"/>
    </row>
    <row r="41267" spans="23:23" x14ac:dyDescent="0.55000000000000004">
      <c r="W41267"/>
    </row>
    <row r="41268" spans="23:23" x14ac:dyDescent="0.55000000000000004">
      <c r="W41268"/>
    </row>
    <row r="41269" spans="23:23" x14ac:dyDescent="0.55000000000000004">
      <c r="W41269"/>
    </row>
    <row r="41270" spans="23:23" x14ac:dyDescent="0.55000000000000004">
      <c r="W41270"/>
    </row>
    <row r="41271" spans="23:23" x14ac:dyDescent="0.55000000000000004">
      <c r="W41271"/>
    </row>
    <row r="41272" spans="23:23" x14ac:dyDescent="0.55000000000000004">
      <c r="W41272"/>
    </row>
    <row r="41273" spans="23:23" x14ac:dyDescent="0.55000000000000004">
      <c r="W41273"/>
    </row>
    <row r="41274" spans="23:23" x14ac:dyDescent="0.55000000000000004">
      <c r="W41274"/>
    </row>
    <row r="41275" spans="23:23" x14ac:dyDescent="0.55000000000000004">
      <c r="W41275"/>
    </row>
    <row r="41276" spans="23:23" x14ac:dyDescent="0.55000000000000004">
      <c r="W41276"/>
    </row>
    <row r="41277" spans="23:23" x14ac:dyDescent="0.55000000000000004">
      <c r="W41277"/>
    </row>
    <row r="41278" spans="23:23" x14ac:dyDescent="0.55000000000000004">
      <c r="W41278"/>
    </row>
    <row r="41279" spans="23:23" x14ac:dyDescent="0.55000000000000004">
      <c r="W41279"/>
    </row>
    <row r="41280" spans="23:23" x14ac:dyDescent="0.55000000000000004">
      <c r="W41280"/>
    </row>
    <row r="41281" spans="23:23" x14ac:dyDescent="0.55000000000000004">
      <c r="W41281"/>
    </row>
    <row r="41282" spans="23:23" x14ac:dyDescent="0.55000000000000004">
      <c r="W41282"/>
    </row>
    <row r="41283" spans="23:23" x14ac:dyDescent="0.55000000000000004">
      <c r="W41283"/>
    </row>
    <row r="41284" spans="23:23" x14ac:dyDescent="0.55000000000000004">
      <c r="W41284"/>
    </row>
    <row r="41285" spans="23:23" x14ac:dyDescent="0.55000000000000004">
      <c r="W41285"/>
    </row>
    <row r="41286" spans="23:23" x14ac:dyDescent="0.55000000000000004">
      <c r="W41286"/>
    </row>
    <row r="41287" spans="23:23" x14ac:dyDescent="0.55000000000000004">
      <c r="W41287"/>
    </row>
    <row r="41288" spans="23:23" x14ac:dyDescent="0.55000000000000004">
      <c r="W41288"/>
    </row>
    <row r="41289" spans="23:23" x14ac:dyDescent="0.55000000000000004">
      <c r="W41289"/>
    </row>
    <row r="41290" spans="23:23" x14ac:dyDescent="0.55000000000000004">
      <c r="W41290"/>
    </row>
    <row r="41291" spans="23:23" x14ac:dyDescent="0.55000000000000004">
      <c r="W41291"/>
    </row>
    <row r="41292" spans="23:23" x14ac:dyDescent="0.55000000000000004">
      <c r="W41292"/>
    </row>
    <row r="41293" spans="23:23" x14ac:dyDescent="0.55000000000000004">
      <c r="W41293"/>
    </row>
    <row r="41294" spans="23:23" x14ac:dyDescent="0.55000000000000004">
      <c r="W41294"/>
    </row>
    <row r="41295" spans="23:23" x14ac:dyDescent="0.55000000000000004">
      <c r="W41295"/>
    </row>
    <row r="41296" spans="23:23" x14ac:dyDescent="0.55000000000000004">
      <c r="W41296"/>
    </row>
    <row r="41297" spans="23:23" x14ac:dyDescent="0.55000000000000004">
      <c r="W41297"/>
    </row>
    <row r="41298" spans="23:23" x14ac:dyDescent="0.55000000000000004">
      <c r="W41298"/>
    </row>
    <row r="41299" spans="23:23" x14ac:dyDescent="0.55000000000000004">
      <c r="W41299"/>
    </row>
    <row r="41300" spans="23:23" x14ac:dyDescent="0.55000000000000004">
      <c r="W41300"/>
    </row>
    <row r="41301" spans="23:23" x14ac:dyDescent="0.55000000000000004">
      <c r="W41301"/>
    </row>
    <row r="41302" spans="23:23" x14ac:dyDescent="0.55000000000000004">
      <c r="W41302"/>
    </row>
    <row r="41303" spans="23:23" x14ac:dyDescent="0.55000000000000004">
      <c r="W41303"/>
    </row>
    <row r="41304" spans="23:23" x14ac:dyDescent="0.55000000000000004">
      <c r="W41304"/>
    </row>
    <row r="41305" spans="23:23" x14ac:dyDescent="0.55000000000000004">
      <c r="W41305"/>
    </row>
    <row r="41306" spans="23:23" x14ac:dyDescent="0.55000000000000004">
      <c r="W41306"/>
    </row>
    <row r="41307" spans="23:23" x14ac:dyDescent="0.55000000000000004">
      <c r="W41307"/>
    </row>
    <row r="41308" spans="23:23" x14ac:dyDescent="0.55000000000000004">
      <c r="W41308"/>
    </row>
    <row r="41309" spans="23:23" x14ac:dyDescent="0.55000000000000004">
      <c r="W41309"/>
    </row>
    <row r="41310" spans="23:23" x14ac:dyDescent="0.55000000000000004">
      <c r="W41310"/>
    </row>
    <row r="41311" spans="23:23" x14ac:dyDescent="0.55000000000000004">
      <c r="W41311"/>
    </row>
    <row r="41312" spans="23:23" x14ac:dyDescent="0.55000000000000004">
      <c r="W41312"/>
    </row>
    <row r="41313" spans="23:23" x14ac:dyDescent="0.55000000000000004">
      <c r="W41313"/>
    </row>
    <row r="41314" spans="23:23" x14ac:dyDescent="0.55000000000000004">
      <c r="W41314"/>
    </row>
    <row r="41315" spans="23:23" x14ac:dyDescent="0.55000000000000004">
      <c r="W41315"/>
    </row>
    <row r="41316" spans="23:23" x14ac:dyDescent="0.55000000000000004">
      <c r="W41316"/>
    </row>
    <row r="41317" spans="23:23" x14ac:dyDescent="0.55000000000000004">
      <c r="W41317"/>
    </row>
    <row r="41318" spans="23:23" x14ac:dyDescent="0.55000000000000004">
      <c r="W41318"/>
    </row>
    <row r="41319" spans="23:23" x14ac:dyDescent="0.55000000000000004">
      <c r="W41319"/>
    </row>
    <row r="41320" spans="23:23" x14ac:dyDescent="0.55000000000000004">
      <c r="W41320"/>
    </row>
    <row r="41321" spans="23:23" x14ac:dyDescent="0.55000000000000004">
      <c r="W41321"/>
    </row>
    <row r="41322" spans="23:23" x14ac:dyDescent="0.55000000000000004">
      <c r="W41322"/>
    </row>
    <row r="41323" spans="23:23" x14ac:dyDescent="0.55000000000000004">
      <c r="W41323"/>
    </row>
    <row r="41324" spans="23:23" x14ac:dyDescent="0.55000000000000004">
      <c r="W41324"/>
    </row>
    <row r="41325" spans="23:23" x14ac:dyDescent="0.55000000000000004">
      <c r="W41325"/>
    </row>
    <row r="41326" spans="23:23" x14ac:dyDescent="0.55000000000000004">
      <c r="W41326"/>
    </row>
    <row r="41327" spans="23:23" x14ac:dyDescent="0.55000000000000004">
      <c r="W41327"/>
    </row>
    <row r="41328" spans="23:23" x14ac:dyDescent="0.55000000000000004">
      <c r="W41328"/>
    </row>
    <row r="41329" spans="23:23" x14ac:dyDescent="0.55000000000000004">
      <c r="W41329"/>
    </row>
    <row r="41330" spans="23:23" x14ac:dyDescent="0.55000000000000004">
      <c r="W41330"/>
    </row>
    <row r="41331" spans="23:23" x14ac:dyDescent="0.55000000000000004">
      <c r="W41331"/>
    </row>
    <row r="41332" spans="23:23" x14ac:dyDescent="0.55000000000000004">
      <c r="W41332"/>
    </row>
    <row r="41333" spans="23:23" x14ac:dyDescent="0.55000000000000004">
      <c r="W41333"/>
    </row>
    <row r="41334" spans="23:23" x14ac:dyDescent="0.55000000000000004">
      <c r="W41334"/>
    </row>
    <row r="41335" spans="23:23" x14ac:dyDescent="0.55000000000000004">
      <c r="W41335"/>
    </row>
    <row r="41336" spans="23:23" x14ac:dyDescent="0.55000000000000004">
      <c r="W41336"/>
    </row>
    <row r="41337" spans="23:23" x14ac:dyDescent="0.55000000000000004">
      <c r="W41337"/>
    </row>
    <row r="41338" spans="23:23" x14ac:dyDescent="0.55000000000000004">
      <c r="W41338"/>
    </row>
    <row r="41339" spans="23:23" x14ac:dyDescent="0.55000000000000004">
      <c r="W41339"/>
    </row>
    <row r="41340" spans="23:23" x14ac:dyDescent="0.55000000000000004">
      <c r="W41340"/>
    </row>
    <row r="41341" spans="23:23" x14ac:dyDescent="0.55000000000000004">
      <c r="W41341"/>
    </row>
    <row r="41342" spans="23:23" x14ac:dyDescent="0.55000000000000004">
      <c r="W41342"/>
    </row>
    <row r="41343" spans="23:23" x14ac:dyDescent="0.55000000000000004">
      <c r="W41343"/>
    </row>
    <row r="41344" spans="23:23" x14ac:dyDescent="0.55000000000000004">
      <c r="W41344"/>
    </row>
    <row r="41345" spans="23:23" x14ac:dyDescent="0.55000000000000004">
      <c r="W41345"/>
    </row>
    <row r="41346" spans="23:23" x14ac:dyDescent="0.55000000000000004">
      <c r="W41346"/>
    </row>
    <row r="41347" spans="23:23" x14ac:dyDescent="0.55000000000000004">
      <c r="W41347"/>
    </row>
    <row r="41348" spans="23:23" x14ac:dyDescent="0.55000000000000004">
      <c r="W41348"/>
    </row>
    <row r="41349" spans="23:23" x14ac:dyDescent="0.55000000000000004">
      <c r="W41349"/>
    </row>
    <row r="41350" spans="23:23" x14ac:dyDescent="0.55000000000000004">
      <c r="W41350"/>
    </row>
    <row r="41351" spans="23:23" x14ac:dyDescent="0.55000000000000004">
      <c r="W41351"/>
    </row>
    <row r="41352" spans="23:23" x14ac:dyDescent="0.55000000000000004">
      <c r="W41352"/>
    </row>
    <row r="41353" spans="23:23" x14ac:dyDescent="0.55000000000000004">
      <c r="W41353"/>
    </row>
    <row r="41354" spans="23:23" x14ac:dyDescent="0.55000000000000004">
      <c r="W41354"/>
    </row>
    <row r="41355" spans="23:23" x14ac:dyDescent="0.55000000000000004">
      <c r="W41355"/>
    </row>
    <row r="41356" spans="23:23" x14ac:dyDescent="0.55000000000000004">
      <c r="W41356"/>
    </row>
    <row r="41357" spans="23:23" x14ac:dyDescent="0.55000000000000004">
      <c r="W41357"/>
    </row>
    <row r="41358" spans="23:23" x14ac:dyDescent="0.55000000000000004">
      <c r="W41358"/>
    </row>
    <row r="41359" spans="23:23" x14ac:dyDescent="0.55000000000000004">
      <c r="W41359"/>
    </row>
    <row r="41360" spans="23:23" x14ac:dyDescent="0.55000000000000004">
      <c r="W41360"/>
    </row>
    <row r="41361" spans="23:23" x14ac:dyDescent="0.55000000000000004">
      <c r="W41361"/>
    </row>
    <row r="41362" spans="23:23" x14ac:dyDescent="0.55000000000000004">
      <c r="W41362"/>
    </row>
    <row r="41363" spans="23:23" x14ac:dyDescent="0.55000000000000004">
      <c r="W41363"/>
    </row>
    <row r="41364" spans="23:23" x14ac:dyDescent="0.55000000000000004">
      <c r="W41364"/>
    </row>
    <row r="41365" spans="23:23" x14ac:dyDescent="0.55000000000000004">
      <c r="W41365"/>
    </row>
    <row r="41366" spans="23:23" x14ac:dyDescent="0.55000000000000004">
      <c r="W41366"/>
    </row>
    <row r="41367" spans="23:23" x14ac:dyDescent="0.55000000000000004">
      <c r="W41367"/>
    </row>
    <row r="41368" spans="23:23" x14ac:dyDescent="0.55000000000000004">
      <c r="W41368"/>
    </row>
    <row r="41369" spans="23:23" x14ac:dyDescent="0.55000000000000004">
      <c r="W41369"/>
    </row>
    <row r="41370" spans="23:23" x14ac:dyDescent="0.55000000000000004">
      <c r="W41370"/>
    </row>
    <row r="41371" spans="23:23" x14ac:dyDescent="0.55000000000000004">
      <c r="W41371"/>
    </row>
    <row r="41372" spans="23:23" x14ac:dyDescent="0.55000000000000004">
      <c r="W41372"/>
    </row>
    <row r="41373" spans="23:23" x14ac:dyDescent="0.55000000000000004">
      <c r="W41373"/>
    </row>
    <row r="41374" spans="23:23" x14ac:dyDescent="0.55000000000000004">
      <c r="W41374"/>
    </row>
    <row r="41375" spans="23:23" x14ac:dyDescent="0.55000000000000004">
      <c r="W41375"/>
    </row>
    <row r="41376" spans="23:23" x14ac:dyDescent="0.55000000000000004">
      <c r="W41376"/>
    </row>
    <row r="41377" spans="23:23" x14ac:dyDescent="0.55000000000000004">
      <c r="W41377"/>
    </row>
    <row r="41378" spans="23:23" x14ac:dyDescent="0.55000000000000004">
      <c r="W41378"/>
    </row>
    <row r="41379" spans="23:23" x14ac:dyDescent="0.55000000000000004">
      <c r="W41379"/>
    </row>
    <row r="41380" spans="23:23" x14ac:dyDescent="0.55000000000000004">
      <c r="W41380"/>
    </row>
    <row r="41381" spans="23:23" x14ac:dyDescent="0.55000000000000004">
      <c r="W41381"/>
    </row>
    <row r="41382" spans="23:23" x14ac:dyDescent="0.55000000000000004">
      <c r="W41382"/>
    </row>
    <row r="41383" spans="23:23" x14ac:dyDescent="0.55000000000000004">
      <c r="W41383"/>
    </row>
    <row r="41384" spans="23:23" x14ac:dyDescent="0.55000000000000004">
      <c r="W41384"/>
    </row>
    <row r="41385" spans="23:23" x14ac:dyDescent="0.55000000000000004">
      <c r="W41385"/>
    </row>
    <row r="41386" spans="23:23" x14ac:dyDescent="0.55000000000000004">
      <c r="W41386"/>
    </row>
    <row r="41387" spans="23:23" x14ac:dyDescent="0.55000000000000004">
      <c r="W41387"/>
    </row>
    <row r="41388" spans="23:23" x14ac:dyDescent="0.55000000000000004">
      <c r="W41388"/>
    </row>
    <row r="41389" spans="23:23" x14ac:dyDescent="0.55000000000000004">
      <c r="W41389"/>
    </row>
    <row r="41390" spans="23:23" x14ac:dyDescent="0.55000000000000004">
      <c r="W41390"/>
    </row>
    <row r="41391" spans="23:23" x14ac:dyDescent="0.55000000000000004">
      <c r="W41391"/>
    </row>
    <row r="41392" spans="23:23" x14ac:dyDescent="0.55000000000000004">
      <c r="W41392"/>
    </row>
    <row r="41393" spans="23:23" x14ac:dyDescent="0.55000000000000004">
      <c r="W41393"/>
    </row>
    <row r="41394" spans="23:23" x14ac:dyDescent="0.55000000000000004">
      <c r="W41394"/>
    </row>
    <row r="41395" spans="23:23" x14ac:dyDescent="0.55000000000000004">
      <c r="W41395"/>
    </row>
    <row r="41396" spans="23:23" x14ac:dyDescent="0.55000000000000004">
      <c r="W41396"/>
    </row>
    <row r="41397" spans="23:23" x14ac:dyDescent="0.55000000000000004">
      <c r="W41397"/>
    </row>
    <row r="41398" spans="23:23" x14ac:dyDescent="0.55000000000000004">
      <c r="W41398"/>
    </row>
    <row r="41399" spans="23:23" x14ac:dyDescent="0.55000000000000004">
      <c r="W41399"/>
    </row>
    <row r="41400" spans="23:23" x14ac:dyDescent="0.55000000000000004">
      <c r="W41400"/>
    </row>
    <row r="41401" spans="23:23" x14ac:dyDescent="0.55000000000000004">
      <c r="W41401"/>
    </row>
    <row r="41402" spans="23:23" x14ac:dyDescent="0.55000000000000004">
      <c r="W41402"/>
    </row>
    <row r="41403" spans="23:23" x14ac:dyDescent="0.55000000000000004">
      <c r="W41403"/>
    </row>
    <row r="41404" spans="23:23" x14ac:dyDescent="0.55000000000000004">
      <c r="W41404"/>
    </row>
    <row r="41405" spans="23:23" x14ac:dyDescent="0.55000000000000004">
      <c r="W41405"/>
    </row>
    <row r="41406" spans="23:23" x14ac:dyDescent="0.55000000000000004">
      <c r="W41406"/>
    </row>
    <row r="41407" spans="23:23" x14ac:dyDescent="0.55000000000000004">
      <c r="W41407"/>
    </row>
    <row r="41408" spans="23:23" x14ac:dyDescent="0.55000000000000004">
      <c r="W41408"/>
    </row>
    <row r="41409" spans="23:23" x14ac:dyDescent="0.55000000000000004">
      <c r="W41409"/>
    </row>
    <row r="41410" spans="23:23" x14ac:dyDescent="0.55000000000000004">
      <c r="W41410"/>
    </row>
    <row r="41411" spans="23:23" x14ac:dyDescent="0.55000000000000004">
      <c r="W41411"/>
    </row>
    <row r="41412" spans="23:23" x14ac:dyDescent="0.55000000000000004">
      <c r="W41412"/>
    </row>
    <row r="41413" spans="23:23" x14ac:dyDescent="0.55000000000000004">
      <c r="W41413"/>
    </row>
    <row r="41414" spans="23:23" x14ac:dyDescent="0.55000000000000004">
      <c r="W41414"/>
    </row>
    <row r="41415" spans="23:23" x14ac:dyDescent="0.55000000000000004">
      <c r="W41415"/>
    </row>
    <row r="41416" spans="23:23" x14ac:dyDescent="0.55000000000000004">
      <c r="W41416"/>
    </row>
    <row r="41417" spans="23:23" x14ac:dyDescent="0.55000000000000004">
      <c r="W41417"/>
    </row>
    <row r="41418" spans="23:23" x14ac:dyDescent="0.55000000000000004">
      <c r="W41418"/>
    </row>
    <row r="41419" spans="23:23" x14ac:dyDescent="0.55000000000000004">
      <c r="W41419"/>
    </row>
    <row r="41420" spans="23:23" x14ac:dyDescent="0.55000000000000004">
      <c r="W41420"/>
    </row>
    <row r="41421" spans="23:23" x14ac:dyDescent="0.55000000000000004">
      <c r="W41421"/>
    </row>
    <row r="41422" spans="23:23" x14ac:dyDescent="0.55000000000000004">
      <c r="W41422"/>
    </row>
    <row r="41423" spans="23:23" x14ac:dyDescent="0.55000000000000004">
      <c r="W41423"/>
    </row>
    <row r="41424" spans="23:23" x14ac:dyDescent="0.55000000000000004">
      <c r="W41424"/>
    </row>
    <row r="41425" spans="23:23" x14ac:dyDescent="0.55000000000000004">
      <c r="W41425"/>
    </row>
    <row r="41426" spans="23:23" x14ac:dyDescent="0.55000000000000004">
      <c r="W41426"/>
    </row>
    <row r="41427" spans="23:23" x14ac:dyDescent="0.55000000000000004">
      <c r="W41427"/>
    </row>
    <row r="41428" spans="23:23" x14ac:dyDescent="0.55000000000000004">
      <c r="W41428"/>
    </row>
    <row r="41429" spans="23:23" x14ac:dyDescent="0.55000000000000004">
      <c r="W41429"/>
    </row>
    <row r="41430" spans="23:23" x14ac:dyDescent="0.55000000000000004">
      <c r="W41430"/>
    </row>
    <row r="41431" spans="23:23" x14ac:dyDescent="0.55000000000000004">
      <c r="W41431"/>
    </row>
    <row r="41432" spans="23:23" x14ac:dyDescent="0.55000000000000004">
      <c r="W41432"/>
    </row>
    <row r="41433" spans="23:23" x14ac:dyDescent="0.55000000000000004">
      <c r="W41433"/>
    </row>
    <row r="41434" spans="23:23" x14ac:dyDescent="0.55000000000000004">
      <c r="W41434"/>
    </row>
    <row r="41435" spans="23:23" x14ac:dyDescent="0.55000000000000004">
      <c r="W41435"/>
    </row>
    <row r="41436" spans="23:23" x14ac:dyDescent="0.55000000000000004">
      <c r="W41436"/>
    </row>
    <row r="41437" spans="23:23" x14ac:dyDescent="0.55000000000000004">
      <c r="W41437"/>
    </row>
    <row r="41438" spans="23:23" x14ac:dyDescent="0.55000000000000004">
      <c r="W41438"/>
    </row>
    <row r="41439" spans="23:23" x14ac:dyDescent="0.55000000000000004">
      <c r="W41439"/>
    </row>
    <row r="41440" spans="23:23" x14ac:dyDescent="0.55000000000000004">
      <c r="W41440"/>
    </row>
    <row r="41441" spans="23:23" x14ac:dyDescent="0.55000000000000004">
      <c r="W41441"/>
    </row>
    <row r="41442" spans="23:23" x14ac:dyDescent="0.55000000000000004">
      <c r="W41442"/>
    </row>
    <row r="41443" spans="23:23" x14ac:dyDescent="0.55000000000000004">
      <c r="W41443"/>
    </row>
    <row r="41444" spans="23:23" x14ac:dyDescent="0.55000000000000004">
      <c r="W41444"/>
    </row>
    <row r="41445" spans="23:23" x14ac:dyDescent="0.55000000000000004">
      <c r="W41445"/>
    </row>
    <row r="41446" spans="23:23" x14ac:dyDescent="0.55000000000000004">
      <c r="W41446"/>
    </row>
    <row r="41447" spans="23:23" x14ac:dyDescent="0.55000000000000004">
      <c r="W41447"/>
    </row>
    <row r="41448" spans="23:23" x14ac:dyDescent="0.55000000000000004">
      <c r="W41448"/>
    </row>
    <row r="41449" spans="23:23" x14ac:dyDescent="0.55000000000000004">
      <c r="W41449"/>
    </row>
    <row r="41450" spans="23:23" x14ac:dyDescent="0.55000000000000004">
      <c r="W41450"/>
    </row>
    <row r="41451" spans="23:23" x14ac:dyDescent="0.55000000000000004">
      <c r="W41451"/>
    </row>
    <row r="41452" spans="23:23" x14ac:dyDescent="0.55000000000000004">
      <c r="W41452"/>
    </row>
    <row r="41453" spans="23:23" x14ac:dyDescent="0.55000000000000004">
      <c r="W41453"/>
    </row>
    <row r="41454" spans="23:23" x14ac:dyDescent="0.55000000000000004">
      <c r="W41454"/>
    </row>
    <row r="41455" spans="23:23" x14ac:dyDescent="0.55000000000000004">
      <c r="W41455"/>
    </row>
    <row r="41456" spans="23:23" x14ac:dyDescent="0.55000000000000004">
      <c r="W41456"/>
    </row>
    <row r="41457" spans="23:23" x14ac:dyDescent="0.55000000000000004">
      <c r="W41457"/>
    </row>
    <row r="41458" spans="23:23" x14ac:dyDescent="0.55000000000000004">
      <c r="W41458"/>
    </row>
    <row r="41459" spans="23:23" x14ac:dyDescent="0.55000000000000004">
      <c r="W41459"/>
    </row>
    <row r="41460" spans="23:23" x14ac:dyDescent="0.55000000000000004">
      <c r="W41460"/>
    </row>
    <row r="41461" spans="23:23" x14ac:dyDescent="0.55000000000000004">
      <c r="W41461"/>
    </row>
    <row r="41462" spans="23:23" x14ac:dyDescent="0.55000000000000004">
      <c r="W41462"/>
    </row>
    <row r="41463" spans="23:23" x14ac:dyDescent="0.55000000000000004">
      <c r="W41463"/>
    </row>
    <row r="41464" spans="23:23" x14ac:dyDescent="0.55000000000000004">
      <c r="W41464"/>
    </row>
    <row r="41465" spans="23:23" x14ac:dyDescent="0.55000000000000004">
      <c r="W41465"/>
    </row>
    <row r="41466" spans="23:23" x14ac:dyDescent="0.55000000000000004">
      <c r="W41466"/>
    </row>
    <row r="41467" spans="23:23" x14ac:dyDescent="0.55000000000000004">
      <c r="W41467"/>
    </row>
    <row r="41468" spans="23:23" x14ac:dyDescent="0.55000000000000004">
      <c r="W41468"/>
    </row>
    <row r="41469" spans="23:23" x14ac:dyDescent="0.55000000000000004">
      <c r="W41469"/>
    </row>
    <row r="41470" spans="23:23" x14ac:dyDescent="0.55000000000000004">
      <c r="W41470"/>
    </row>
    <row r="41471" spans="23:23" x14ac:dyDescent="0.55000000000000004">
      <c r="W41471"/>
    </row>
    <row r="41472" spans="23:23" x14ac:dyDescent="0.55000000000000004">
      <c r="W41472"/>
    </row>
    <row r="41473" spans="23:23" x14ac:dyDescent="0.55000000000000004">
      <c r="W41473"/>
    </row>
    <row r="41474" spans="23:23" x14ac:dyDescent="0.55000000000000004">
      <c r="W41474"/>
    </row>
    <row r="41475" spans="23:23" x14ac:dyDescent="0.55000000000000004">
      <c r="W41475"/>
    </row>
    <row r="41476" spans="23:23" x14ac:dyDescent="0.55000000000000004">
      <c r="W41476"/>
    </row>
    <row r="41477" spans="23:23" x14ac:dyDescent="0.55000000000000004">
      <c r="W41477"/>
    </row>
    <row r="41478" spans="23:23" x14ac:dyDescent="0.55000000000000004">
      <c r="W41478"/>
    </row>
    <row r="41479" spans="23:23" x14ac:dyDescent="0.55000000000000004">
      <c r="W41479"/>
    </row>
    <row r="41480" spans="23:23" x14ac:dyDescent="0.55000000000000004">
      <c r="W41480"/>
    </row>
    <row r="41481" spans="23:23" x14ac:dyDescent="0.55000000000000004">
      <c r="W41481"/>
    </row>
    <row r="41482" spans="23:23" x14ac:dyDescent="0.55000000000000004">
      <c r="W41482"/>
    </row>
    <row r="41483" spans="23:23" x14ac:dyDescent="0.55000000000000004">
      <c r="W41483"/>
    </row>
    <row r="41484" spans="23:23" x14ac:dyDescent="0.55000000000000004">
      <c r="W41484"/>
    </row>
    <row r="41485" spans="23:23" x14ac:dyDescent="0.55000000000000004">
      <c r="W41485"/>
    </row>
    <row r="41486" spans="23:23" x14ac:dyDescent="0.55000000000000004">
      <c r="W41486"/>
    </row>
    <row r="41487" spans="23:23" x14ac:dyDescent="0.55000000000000004">
      <c r="W41487"/>
    </row>
    <row r="41488" spans="23:23" x14ac:dyDescent="0.55000000000000004">
      <c r="W41488"/>
    </row>
    <row r="41489" spans="23:23" x14ac:dyDescent="0.55000000000000004">
      <c r="W41489"/>
    </row>
    <row r="41490" spans="23:23" x14ac:dyDescent="0.55000000000000004">
      <c r="W41490"/>
    </row>
    <row r="41491" spans="23:23" x14ac:dyDescent="0.55000000000000004">
      <c r="W41491"/>
    </row>
    <row r="41492" spans="23:23" x14ac:dyDescent="0.55000000000000004">
      <c r="W41492"/>
    </row>
    <row r="41493" spans="23:23" x14ac:dyDescent="0.55000000000000004">
      <c r="W41493"/>
    </row>
    <row r="41494" spans="23:23" x14ac:dyDescent="0.55000000000000004">
      <c r="W41494"/>
    </row>
    <row r="41495" spans="23:23" x14ac:dyDescent="0.55000000000000004">
      <c r="W41495"/>
    </row>
    <row r="41496" spans="23:23" x14ac:dyDescent="0.55000000000000004">
      <c r="W41496"/>
    </row>
    <row r="41497" spans="23:23" x14ac:dyDescent="0.55000000000000004">
      <c r="W41497"/>
    </row>
    <row r="41498" spans="23:23" x14ac:dyDescent="0.55000000000000004">
      <c r="W41498"/>
    </row>
    <row r="41499" spans="23:23" x14ac:dyDescent="0.55000000000000004">
      <c r="W41499"/>
    </row>
    <row r="41500" spans="23:23" x14ac:dyDescent="0.55000000000000004">
      <c r="W41500"/>
    </row>
    <row r="41501" spans="23:23" x14ac:dyDescent="0.55000000000000004">
      <c r="W41501"/>
    </row>
    <row r="41502" spans="23:23" x14ac:dyDescent="0.55000000000000004">
      <c r="W41502"/>
    </row>
    <row r="41503" spans="23:23" x14ac:dyDescent="0.55000000000000004">
      <c r="W41503"/>
    </row>
    <row r="41504" spans="23:23" x14ac:dyDescent="0.55000000000000004">
      <c r="W41504"/>
    </row>
    <row r="41505" spans="23:23" x14ac:dyDescent="0.55000000000000004">
      <c r="W41505"/>
    </row>
    <row r="41506" spans="23:23" x14ac:dyDescent="0.55000000000000004">
      <c r="W41506"/>
    </row>
    <row r="41507" spans="23:23" x14ac:dyDescent="0.55000000000000004">
      <c r="W41507"/>
    </row>
    <row r="41508" spans="23:23" x14ac:dyDescent="0.55000000000000004">
      <c r="W41508"/>
    </row>
    <row r="41509" spans="23:23" x14ac:dyDescent="0.55000000000000004">
      <c r="W41509"/>
    </row>
    <row r="41510" spans="23:23" x14ac:dyDescent="0.55000000000000004">
      <c r="W41510"/>
    </row>
    <row r="41511" spans="23:23" x14ac:dyDescent="0.55000000000000004">
      <c r="W41511"/>
    </row>
    <row r="41512" spans="23:23" x14ac:dyDescent="0.55000000000000004">
      <c r="W41512"/>
    </row>
    <row r="41513" spans="23:23" x14ac:dyDescent="0.55000000000000004">
      <c r="W41513"/>
    </row>
    <row r="41514" spans="23:23" x14ac:dyDescent="0.55000000000000004">
      <c r="W41514"/>
    </row>
    <row r="41515" spans="23:23" x14ac:dyDescent="0.55000000000000004">
      <c r="W41515"/>
    </row>
    <row r="41516" spans="23:23" x14ac:dyDescent="0.55000000000000004">
      <c r="W41516"/>
    </row>
    <row r="41517" spans="23:23" x14ac:dyDescent="0.55000000000000004">
      <c r="W41517"/>
    </row>
    <row r="41518" spans="23:23" x14ac:dyDescent="0.55000000000000004">
      <c r="W41518"/>
    </row>
    <row r="41519" spans="23:23" x14ac:dyDescent="0.55000000000000004">
      <c r="W41519"/>
    </row>
    <row r="41520" spans="23:23" x14ac:dyDescent="0.55000000000000004">
      <c r="W41520"/>
    </row>
    <row r="41521" spans="23:23" x14ac:dyDescent="0.55000000000000004">
      <c r="W41521"/>
    </row>
    <row r="41522" spans="23:23" x14ac:dyDescent="0.55000000000000004">
      <c r="W41522"/>
    </row>
    <row r="41523" spans="23:23" x14ac:dyDescent="0.55000000000000004">
      <c r="W41523"/>
    </row>
    <row r="41524" spans="23:23" x14ac:dyDescent="0.55000000000000004">
      <c r="W41524"/>
    </row>
    <row r="41525" spans="23:23" x14ac:dyDescent="0.55000000000000004">
      <c r="W41525"/>
    </row>
    <row r="41526" spans="23:23" x14ac:dyDescent="0.55000000000000004">
      <c r="W41526"/>
    </row>
    <row r="41527" spans="23:23" x14ac:dyDescent="0.55000000000000004">
      <c r="W41527"/>
    </row>
    <row r="41528" spans="23:23" x14ac:dyDescent="0.55000000000000004">
      <c r="W41528"/>
    </row>
    <row r="41529" spans="23:23" x14ac:dyDescent="0.55000000000000004">
      <c r="W41529"/>
    </row>
    <row r="41530" spans="23:23" x14ac:dyDescent="0.55000000000000004">
      <c r="W41530"/>
    </row>
    <row r="41531" spans="23:23" x14ac:dyDescent="0.55000000000000004">
      <c r="W41531"/>
    </row>
    <row r="41532" spans="23:23" x14ac:dyDescent="0.55000000000000004">
      <c r="W41532"/>
    </row>
    <row r="41533" spans="23:23" x14ac:dyDescent="0.55000000000000004">
      <c r="W41533"/>
    </row>
    <row r="41534" spans="23:23" x14ac:dyDescent="0.55000000000000004">
      <c r="W41534"/>
    </row>
    <row r="41535" spans="23:23" x14ac:dyDescent="0.55000000000000004">
      <c r="W41535"/>
    </row>
    <row r="41536" spans="23:23" x14ac:dyDescent="0.55000000000000004">
      <c r="W41536"/>
    </row>
    <row r="41537" spans="23:23" x14ac:dyDescent="0.55000000000000004">
      <c r="W41537"/>
    </row>
    <row r="41538" spans="23:23" x14ac:dyDescent="0.55000000000000004">
      <c r="W41538"/>
    </row>
    <row r="41539" spans="23:23" x14ac:dyDescent="0.55000000000000004">
      <c r="W41539"/>
    </row>
    <row r="41540" spans="23:23" x14ac:dyDescent="0.55000000000000004">
      <c r="W41540"/>
    </row>
    <row r="41541" spans="23:23" x14ac:dyDescent="0.55000000000000004">
      <c r="W41541"/>
    </row>
    <row r="41542" spans="23:23" x14ac:dyDescent="0.55000000000000004">
      <c r="W41542"/>
    </row>
    <row r="41543" spans="23:23" x14ac:dyDescent="0.55000000000000004">
      <c r="W41543"/>
    </row>
    <row r="41544" spans="23:23" x14ac:dyDescent="0.55000000000000004">
      <c r="W41544"/>
    </row>
    <row r="41545" spans="23:23" x14ac:dyDescent="0.55000000000000004">
      <c r="W41545"/>
    </row>
    <row r="41546" spans="23:23" x14ac:dyDescent="0.55000000000000004">
      <c r="W41546"/>
    </row>
    <row r="41547" spans="23:23" x14ac:dyDescent="0.55000000000000004">
      <c r="W41547"/>
    </row>
    <row r="41548" spans="23:23" x14ac:dyDescent="0.55000000000000004">
      <c r="W41548"/>
    </row>
    <row r="41549" spans="23:23" x14ac:dyDescent="0.55000000000000004">
      <c r="W41549"/>
    </row>
    <row r="41550" spans="23:23" x14ac:dyDescent="0.55000000000000004">
      <c r="W41550"/>
    </row>
    <row r="41551" spans="23:23" x14ac:dyDescent="0.55000000000000004">
      <c r="W41551"/>
    </row>
    <row r="41552" spans="23:23" x14ac:dyDescent="0.55000000000000004">
      <c r="W41552"/>
    </row>
    <row r="41553" spans="23:23" x14ac:dyDescent="0.55000000000000004">
      <c r="W41553"/>
    </row>
    <row r="41554" spans="23:23" x14ac:dyDescent="0.55000000000000004">
      <c r="W41554"/>
    </row>
    <row r="41555" spans="23:23" x14ac:dyDescent="0.55000000000000004">
      <c r="W41555"/>
    </row>
    <row r="41556" spans="23:23" x14ac:dyDescent="0.55000000000000004">
      <c r="W41556"/>
    </row>
    <row r="41557" spans="23:23" x14ac:dyDescent="0.55000000000000004">
      <c r="W41557"/>
    </row>
    <row r="41558" spans="23:23" x14ac:dyDescent="0.55000000000000004">
      <c r="W41558"/>
    </row>
    <row r="41559" spans="23:23" x14ac:dyDescent="0.55000000000000004">
      <c r="W41559"/>
    </row>
    <row r="41560" spans="23:23" x14ac:dyDescent="0.55000000000000004">
      <c r="W41560"/>
    </row>
    <row r="41561" spans="23:23" x14ac:dyDescent="0.55000000000000004">
      <c r="W41561"/>
    </row>
    <row r="41562" spans="23:23" x14ac:dyDescent="0.55000000000000004">
      <c r="W41562"/>
    </row>
    <row r="41563" spans="23:23" x14ac:dyDescent="0.55000000000000004">
      <c r="W41563"/>
    </row>
    <row r="41564" spans="23:23" x14ac:dyDescent="0.55000000000000004">
      <c r="W41564"/>
    </row>
    <row r="41565" spans="23:23" x14ac:dyDescent="0.55000000000000004">
      <c r="W41565"/>
    </row>
    <row r="41566" spans="23:23" x14ac:dyDescent="0.55000000000000004">
      <c r="W41566"/>
    </row>
    <row r="41567" spans="23:23" x14ac:dyDescent="0.55000000000000004">
      <c r="W41567"/>
    </row>
    <row r="41568" spans="23:23" x14ac:dyDescent="0.55000000000000004">
      <c r="W41568"/>
    </row>
    <row r="41569" spans="23:23" x14ac:dyDescent="0.55000000000000004">
      <c r="W41569"/>
    </row>
    <row r="41570" spans="23:23" x14ac:dyDescent="0.55000000000000004">
      <c r="W41570"/>
    </row>
    <row r="41571" spans="23:23" x14ac:dyDescent="0.55000000000000004">
      <c r="W41571"/>
    </row>
    <row r="41572" spans="23:23" x14ac:dyDescent="0.55000000000000004">
      <c r="W41572"/>
    </row>
    <row r="41573" spans="23:23" x14ac:dyDescent="0.55000000000000004">
      <c r="W41573"/>
    </row>
    <row r="41574" spans="23:23" x14ac:dyDescent="0.55000000000000004">
      <c r="W41574"/>
    </row>
    <row r="41575" spans="23:23" x14ac:dyDescent="0.55000000000000004">
      <c r="W41575"/>
    </row>
    <row r="41576" spans="23:23" x14ac:dyDescent="0.55000000000000004">
      <c r="W41576"/>
    </row>
    <row r="41577" spans="23:23" x14ac:dyDescent="0.55000000000000004">
      <c r="W41577"/>
    </row>
    <row r="41578" spans="23:23" x14ac:dyDescent="0.55000000000000004">
      <c r="W41578"/>
    </row>
    <row r="41579" spans="23:23" x14ac:dyDescent="0.55000000000000004">
      <c r="W41579"/>
    </row>
    <row r="41580" spans="23:23" x14ac:dyDescent="0.55000000000000004">
      <c r="W41580"/>
    </row>
    <row r="41581" spans="23:23" x14ac:dyDescent="0.55000000000000004">
      <c r="W41581"/>
    </row>
    <row r="41582" spans="23:23" x14ac:dyDescent="0.55000000000000004">
      <c r="W41582"/>
    </row>
    <row r="41583" spans="23:23" x14ac:dyDescent="0.55000000000000004">
      <c r="W41583"/>
    </row>
    <row r="41584" spans="23:23" x14ac:dyDescent="0.55000000000000004">
      <c r="W41584"/>
    </row>
    <row r="41585" spans="23:23" x14ac:dyDescent="0.55000000000000004">
      <c r="W41585"/>
    </row>
    <row r="41586" spans="23:23" x14ac:dyDescent="0.55000000000000004">
      <c r="W41586"/>
    </row>
    <row r="41587" spans="23:23" x14ac:dyDescent="0.55000000000000004">
      <c r="W41587"/>
    </row>
    <row r="41588" spans="23:23" x14ac:dyDescent="0.55000000000000004">
      <c r="W41588"/>
    </row>
    <row r="41589" spans="23:23" x14ac:dyDescent="0.55000000000000004">
      <c r="W41589"/>
    </row>
    <row r="41590" spans="23:23" x14ac:dyDescent="0.55000000000000004">
      <c r="W41590"/>
    </row>
    <row r="41591" spans="23:23" x14ac:dyDescent="0.55000000000000004">
      <c r="W41591"/>
    </row>
    <row r="41592" spans="23:23" x14ac:dyDescent="0.55000000000000004">
      <c r="W41592"/>
    </row>
    <row r="41593" spans="23:23" x14ac:dyDescent="0.55000000000000004">
      <c r="W41593"/>
    </row>
    <row r="41594" spans="23:23" x14ac:dyDescent="0.55000000000000004">
      <c r="W41594"/>
    </row>
    <row r="41595" spans="23:23" x14ac:dyDescent="0.55000000000000004">
      <c r="W41595"/>
    </row>
    <row r="41596" spans="23:23" x14ac:dyDescent="0.55000000000000004">
      <c r="W41596"/>
    </row>
    <row r="41597" spans="23:23" x14ac:dyDescent="0.55000000000000004">
      <c r="W41597"/>
    </row>
    <row r="41598" spans="23:23" x14ac:dyDescent="0.55000000000000004">
      <c r="W41598"/>
    </row>
    <row r="41599" spans="23:23" x14ac:dyDescent="0.55000000000000004">
      <c r="W41599"/>
    </row>
    <row r="41600" spans="23:23" x14ac:dyDescent="0.55000000000000004">
      <c r="W41600"/>
    </row>
    <row r="41601" spans="23:23" x14ac:dyDescent="0.55000000000000004">
      <c r="W41601"/>
    </row>
    <row r="41602" spans="23:23" x14ac:dyDescent="0.55000000000000004">
      <c r="W41602"/>
    </row>
    <row r="41603" spans="23:23" x14ac:dyDescent="0.55000000000000004">
      <c r="W41603"/>
    </row>
    <row r="41604" spans="23:23" x14ac:dyDescent="0.55000000000000004">
      <c r="W41604"/>
    </row>
    <row r="41605" spans="23:23" x14ac:dyDescent="0.55000000000000004">
      <c r="W41605"/>
    </row>
    <row r="41606" spans="23:23" x14ac:dyDescent="0.55000000000000004">
      <c r="W41606"/>
    </row>
    <row r="41607" spans="23:23" x14ac:dyDescent="0.55000000000000004">
      <c r="W41607"/>
    </row>
    <row r="41608" spans="23:23" x14ac:dyDescent="0.55000000000000004">
      <c r="W41608"/>
    </row>
    <row r="41609" spans="23:23" x14ac:dyDescent="0.55000000000000004">
      <c r="W41609"/>
    </row>
    <row r="41610" spans="23:23" x14ac:dyDescent="0.55000000000000004">
      <c r="W41610"/>
    </row>
    <row r="41611" spans="23:23" x14ac:dyDescent="0.55000000000000004">
      <c r="W41611"/>
    </row>
    <row r="41612" spans="23:23" x14ac:dyDescent="0.55000000000000004">
      <c r="W41612"/>
    </row>
    <row r="41613" spans="23:23" x14ac:dyDescent="0.55000000000000004">
      <c r="W41613"/>
    </row>
    <row r="41614" spans="23:23" x14ac:dyDescent="0.55000000000000004">
      <c r="W41614"/>
    </row>
    <row r="41615" spans="23:23" x14ac:dyDescent="0.55000000000000004">
      <c r="W41615"/>
    </row>
    <row r="41616" spans="23:23" x14ac:dyDescent="0.55000000000000004">
      <c r="W41616"/>
    </row>
    <row r="41617" spans="23:23" x14ac:dyDescent="0.55000000000000004">
      <c r="W41617"/>
    </row>
    <row r="41618" spans="23:23" x14ac:dyDescent="0.55000000000000004">
      <c r="W41618"/>
    </row>
    <row r="41619" spans="23:23" x14ac:dyDescent="0.55000000000000004">
      <c r="W41619"/>
    </row>
    <row r="41620" spans="23:23" x14ac:dyDescent="0.55000000000000004">
      <c r="W41620"/>
    </row>
    <row r="41621" spans="23:23" x14ac:dyDescent="0.55000000000000004">
      <c r="W41621"/>
    </row>
    <row r="41622" spans="23:23" x14ac:dyDescent="0.55000000000000004">
      <c r="W41622"/>
    </row>
    <row r="41623" spans="23:23" x14ac:dyDescent="0.55000000000000004">
      <c r="W41623"/>
    </row>
    <row r="41624" spans="23:23" x14ac:dyDescent="0.55000000000000004">
      <c r="W41624"/>
    </row>
    <row r="41625" spans="23:23" x14ac:dyDescent="0.55000000000000004">
      <c r="W41625"/>
    </row>
    <row r="41626" spans="23:23" x14ac:dyDescent="0.55000000000000004">
      <c r="W41626"/>
    </row>
    <row r="41627" spans="23:23" x14ac:dyDescent="0.55000000000000004">
      <c r="W41627"/>
    </row>
    <row r="41628" spans="23:23" x14ac:dyDescent="0.55000000000000004">
      <c r="W41628"/>
    </row>
    <row r="41629" spans="23:23" x14ac:dyDescent="0.55000000000000004">
      <c r="W41629"/>
    </row>
    <row r="41630" spans="23:23" x14ac:dyDescent="0.55000000000000004">
      <c r="W41630"/>
    </row>
    <row r="41631" spans="23:23" x14ac:dyDescent="0.55000000000000004">
      <c r="W41631"/>
    </row>
    <row r="41632" spans="23:23" x14ac:dyDescent="0.55000000000000004">
      <c r="W41632"/>
    </row>
    <row r="41633" spans="23:23" x14ac:dyDescent="0.55000000000000004">
      <c r="W41633"/>
    </row>
    <row r="41634" spans="23:23" x14ac:dyDescent="0.55000000000000004">
      <c r="W41634"/>
    </row>
    <row r="41635" spans="23:23" x14ac:dyDescent="0.55000000000000004">
      <c r="W41635"/>
    </row>
    <row r="41636" spans="23:23" x14ac:dyDescent="0.55000000000000004">
      <c r="W41636"/>
    </row>
    <row r="41637" spans="23:23" x14ac:dyDescent="0.55000000000000004">
      <c r="W41637"/>
    </row>
    <row r="41638" spans="23:23" x14ac:dyDescent="0.55000000000000004">
      <c r="W41638"/>
    </row>
    <row r="41639" spans="23:23" x14ac:dyDescent="0.55000000000000004">
      <c r="W41639"/>
    </row>
    <row r="41640" spans="23:23" x14ac:dyDescent="0.55000000000000004">
      <c r="W41640"/>
    </row>
    <row r="41641" spans="23:23" x14ac:dyDescent="0.55000000000000004">
      <c r="W41641"/>
    </row>
    <row r="41642" spans="23:23" x14ac:dyDescent="0.55000000000000004">
      <c r="W41642"/>
    </row>
    <row r="41643" spans="23:23" x14ac:dyDescent="0.55000000000000004">
      <c r="W41643"/>
    </row>
    <row r="41644" spans="23:23" x14ac:dyDescent="0.55000000000000004">
      <c r="W41644"/>
    </row>
    <row r="41645" spans="23:23" x14ac:dyDescent="0.55000000000000004">
      <c r="W41645"/>
    </row>
    <row r="41646" spans="23:23" x14ac:dyDescent="0.55000000000000004">
      <c r="W41646"/>
    </row>
    <row r="41647" spans="23:23" x14ac:dyDescent="0.55000000000000004">
      <c r="W41647"/>
    </row>
    <row r="41648" spans="23:23" x14ac:dyDescent="0.55000000000000004">
      <c r="W41648"/>
    </row>
    <row r="41649" spans="23:23" x14ac:dyDescent="0.55000000000000004">
      <c r="W41649"/>
    </row>
    <row r="41650" spans="23:23" x14ac:dyDescent="0.55000000000000004">
      <c r="W41650"/>
    </row>
    <row r="41651" spans="23:23" x14ac:dyDescent="0.55000000000000004">
      <c r="W41651"/>
    </row>
    <row r="41652" spans="23:23" x14ac:dyDescent="0.55000000000000004">
      <c r="W41652"/>
    </row>
    <row r="41653" spans="23:23" x14ac:dyDescent="0.55000000000000004">
      <c r="W41653"/>
    </row>
    <row r="41654" spans="23:23" x14ac:dyDescent="0.55000000000000004">
      <c r="W41654"/>
    </row>
    <row r="41655" spans="23:23" x14ac:dyDescent="0.55000000000000004">
      <c r="W41655"/>
    </row>
    <row r="41656" spans="23:23" x14ac:dyDescent="0.55000000000000004">
      <c r="W41656"/>
    </row>
    <row r="41657" spans="23:23" x14ac:dyDescent="0.55000000000000004">
      <c r="W41657"/>
    </row>
    <row r="41658" spans="23:23" x14ac:dyDescent="0.55000000000000004">
      <c r="W41658"/>
    </row>
    <row r="41659" spans="23:23" x14ac:dyDescent="0.55000000000000004">
      <c r="W41659"/>
    </row>
    <row r="41660" spans="23:23" x14ac:dyDescent="0.55000000000000004">
      <c r="W41660"/>
    </row>
    <row r="41661" spans="23:23" x14ac:dyDescent="0.55000000000000004">
      <c r="W41661"/>
    </row>
    <row r="41662" spans="23:23" x14ac:dyDescent="0.55000000000000004">
      <c r="W41662"/>
    </row>
    <row r="41663" spans="23:23" x14ac:dyDescent="0.55000000000000004">
      <c r="W41663"/>
    </row>
    <row r="41664" spans="23:23" x14ac:dyDescent="0.55000000000000004">
      <c r="W41664"/>
    </row>
    <row r="41665" spans="23:23" x14ac:dyDescent="0.55000000000000004">
      <c r="W41665"/>
    </row>
    <row r="41666" spans="23:23" x14ac:dyDescent="0.55000000000000004">
      <c r="W41666"/>
    </row>
    <row r="41667" spans="23:23" x14ac:dyDescent="0.55000000000000004">
      <c r="W41667"/>
    </row>
    <row r="41668" spans="23:23" x14ac:dyDescent="0.55000000000000004">
      <c r="W41668"/>
    </row>
    <row r="41669" spans="23:23" x14ac:dyDescent="0.55000000000000004">
      <c r="W41669"/>
    </row>
    <row r="41670" spans="23:23" x14ac:dyDescent="0.55000000000000004">
      <c r="W41670"/>
    </row>
    <row r="41671" spans="23:23" x14ac:dyDescent="0.55000000000000004">
      <c r="W41671"/>
    </row>
    <row r="41672" spans="23:23" x14ac:dyDescent="0.55000000000000004">
      <c r="W41672"/>
    </row>
    <row r="41673" spans="23:23" x14ac:dyDescent="0.55000000000000004">
      <c r="W41673"/>
    </row>
    <row r="41674" spans="23:23" x14ac:dyDescent="0.55000000000000004">
      <c r="W41674"/>
    </row>
    <row r="41675" spans="23:23" x14ac:dyDescent="0.55000000000000004">
      <c r="W41675"/>
    </row>
    <row r="41676" spans="23:23" x14ac:dyDescent="0.55000000000000004">
      <c r="W41676"/>
    </row>
    <row r="41677" spans="23:23" x14ac:dyDescent="0.55000000000000004">
      <c r="W41677"/>
    </row>
    <row r="41678" spans="23:23" x14ac:dyDescent="0.55000000000000004">
      <c r="W41678"/>
    </row>
    <row r="41679" spans="23:23" x14ac:dyDescent="0.55000000000000004">
      <c r="W41679"/>
    </row>
    <row r="41680" spans="23:23" x14ac:dyDescent="0.55000000000000004">
      <c r="W41680"/>
    </row>
    <row r="41681" spans="23:23" x14ac:dyDescent="0.55000000000000004">
      <c r="W41681"/>
    </row>
    <row r="41682" spans="23:23" x14ac:dyDescent="0.55000000000000004">
      <c r="W41682"/>
    </row>
    <row r="41683" spans="23:23" x14ac:dyDescent="0.55000000000000004">
      <c r="W41683"/>
    </row>
    <row r="41684" spans="23:23" x14ac:dyDescent="0.55000000000000004">
      <c r="W41684"/>
    </row>
    <row r="41685" spans="23:23" x14ac:dyDescent="0.55000000000000004">
      <c r="W41685"/>
    </row>
    <row r="41686" spans="23:23" x14ac:dyDescent="0.55000000000000004">
      <c r="W41686"/>
    </row>
    <row r="41687" spans="23:23" x14ac:dyDescent="0.55000000000000004">
      <c r="W41687"/>
    </row>
    <row r="41688" spans="23:23" x14ac:dyDescent="0.55000000000000004">
      <c r="W41688"/>
    </row>
    <row r="41689" spans="23:23" x14ac:dyDescent="0.55000000000000004">
      <c r="W41689"/>
    </row>
    <row r="41690" spans="23:23" x14ac:dyDescent="0.55000000000000004">
      <c r="W41690"/>
    </row>
    <row r="41691" spans="23:23" x14ac:dyDescent="0.55000000000000004">
      <c r="W41691"/>
    </row>
    <row r="41692" spans="23:23" x14ac:dyDescent="0.55000000000000004">
      <c r="W41692"/>
    </row>
    <row r="41693" spans="23:23" x14ac:dyDescent="0.55000000000000004">
      <c r="W41693"/>
    </row>
    <row r="41694" spans="23:23" x14ac:dyDescent="0.55000000000000004">
      <c r="W41694"/>
    </row>
    <row r="41695" spans="23:23" x14ac:dyDescent="0.55000000000000004">
      <c r="W41695"/>
    </row>
    <row r="41696" spans="23:23" x14ac:dyDescent="0.55000000000000004">
      <c r="W41696"/>
    </row>
    <row r="41697" spans="23:23" x14ac:dyDescent="0.55000000000000004">
      <c r="W41697"/>
    </row>
    <row r="41698" spans="23:23" x14ac:dyDescent="0.55000000000000004">
      <c r="W41698"/>
    </row>
    <row r="41699" spans="23:23" x14ac:dyDescent="0.55000000000000004">
      <c r="W41699"/>
    </row>
    <row r="41700" spans="23:23" x14ac:dyDescent="0.55000000000000004">
      <c r="W41700"/>
    </row>
    <row r="41701" spans="23:23" x14ac:dyDescent="0.55000000000000004">
      <c r="W41701"/>
    </row>
    <row r="41702" spans="23:23" x14ac:dyDescent="0.55000000000000004">
      <c r="W41702"/>
    </row>
    <row r="41703" spans="23:23" x14ac:dyDescent="0.55000000000000004">
      <c r="W41703"/>
    </row>
    <row r="41704" spans="23:23" x14ac:dyDescent="0.55000000000000004">
      <c r="W41704"/>
    </row>
    <row r="41705" spans="23:23" x14ac:dyDescent="0.55000000000000004">
      <c r="W41705"/>
    </row>
    <row r="41706" spans="23:23" x14ac:dyDescent="0.55000000000000004">
      <c r="W41706"/>
    </row>
    <row r="41707" spans="23:23" x14ac:dyDescent="0.55000000000000004">
      <c r="W41707"/>
    </row>
    <row r="41708" spans="23:23" x14ac:dyDescent="0.55000000000000004">
      <c r="W41708"/>
    </row>
    <row r="41709" spans="23:23" x14ac:dyDescent="0.55000000000000004">
      <c r="W41709"/>
    </row>
    <row r="41710" spans="23:23" x14ac:dyDescent="0.55000000000000004">
      <c r="W41710"/>
    </row>
    <row r="41711" spans="23:23" x14ac:dyDescent="0.55000000000000004">
      <c r="W41711"/>
    </row>
    <row r="41712" spans="23:23" x14ac:dyDescent="0.55000000000000004">
      <c r="W41712"/>
    </row>
    <row r="41713" spans="23:23" x14ac:dyDescent="0.55000000000000004">
      <c r="W41713"/>
    </row>
    <row r="41714" spans="23:23" x14ac:dyDescent="0.55000000000000004">
      <c r="W41714"/>
    </row>
    <row r="41715" spans="23:23" x14ac:dyDescent="0.55000000000000004">
      <c r="W41715"/>
    </row>
    <row r="41716" spans="23:23" x14ac:dyDescent="0.55000000000000004">
      <c r="W41716"/>
    </row>
    <row r="41717" spans="23:23" x14ac:dyDescent="0.55000000000000004">
      <c r="W41717"/>
    </row>
    <row r="41718" spans="23:23" x14ac:dyDescent="0.55000000000000004">
      <c r="W41718"/>
    </row>
    <row r="41719" spans="23:23" x14ac:dyDescent="0.55000000000000004">
      <c r="W41719"/>
    </row>
    <row r="41720" spans="23:23" x14ac:dyDescent="0.55000000000000004">
      <c r="W41720"/>
    </row>
    <row r="41721" spans="23:23" x14ac:dyDescent="0.55000000000000004">
      <c r="W41721"/>
    </row>
    <row r="41722" spans="23:23" x14ac:dyDescent="0.55000000000000004">
      <c r="W41722"/>
    </row>
    <row r="41723" spans="23:23" x14ac:dyDescent="0.55000000000000004">
      <c r="W41723"/>
    </row>
    <row r="41724" spans="23:23" x14ac:dyDescent="0.55000000000000004">
      <c r="W41724"/>
    </row>
    <row r="41725" spans="23:23" x14ac:dyDescent="0.55000000000000004">
      <c r="W41725"/>
    </row>
    <row r="41726" spans="23:23" x14ac:dyDescent="0.55000000000000004">
      <c r="W41726"/>
    </row>
    <row r="41727" spans="23:23" x14ac:dyDescent="0.55000000000000004">
      <c r="W41727"/>
    </row>
    <row r="41728" spans="23:23" x14ac:dyDescent="0.55000000000000004">
      <c r="W41728"/>
    </row>
    <row r="41729" spans="23:23" x14ac:dyDescent="0.55000000000000004">
      <c r="W41729"/>
    </row>
    <row r="41730" spans="23:23" x14ac:dyDescent="0.55000000000000004">
      <c r="W41730"/>
    </row>
    <row r="41731" spans="23:23" x14ac:dyDescent="0.55000000000000004">
      <c r="W41731"/>
    </row>
    <row r="41732" spans="23:23" x14ac:dyDescent="0.55000000000000004">
      <c r="W41732"/>
    </row>
    <row r="41733" spans="23:23" x14ac:dyDescent="0.55000000000000004">
      <c r="W41733"/>
    </row>
    <row r="41734" spans="23:23" x14ac:dyDescent="0.55000000000000004">
      <c r="W41734"/>
    </row>
    <row r="41735" spans="23:23" x14ac:dyDescent="0.55000000000000004">
      <c r="W41735"/>
    </row>
    <row r="41736" spans="23:23" x14ac:dyDescent="0.55000000000000004">
      <c r="W41736"/>
    </row>
    <row r="41737" spans="23:23" x14ac:dyDescent="0.55000000000000004">
      <c r="W41737"/>
    </row>
    <row r="41738" spans="23:23" x14ac:dyDescent="0.55000000000000004">
      <c r="W41738"/>
    </row>
    <row r="41739" spans="23:23" x14ac:dyDescent="0.55000000000000004">
      <c r="W41739"/>
    </row>
    <row r="41740" spans="23:23" x14ac:dyDescent="0.55000000000000004">
      <c r="W41740"/>
    </row>
    <row r="41741" spans="23:23" x14ac:dyDescent="0.55000000000000004">
      <c r="W41741"/>
    </row>
    <row r="41742" spans="23:23" x14ac:dyDescent="0.55000000000000004">
      <c r="W41742"/>
    </row>
    <row r="41743" spans="23:23" x14ac:dyDescent="0.55000000000000004">
      <c r="W41743"/>
    </row>
    <row r="41744" spans="23:23" x14ac:dyDescent="0.55000000000000004">
      <c r="W41744"/>
    </row>
    <row r="41745" spans="23:23" x14ac:dyDescent="0.55000000000000004">
      <c r="W41745"/>
    </row>
    <row r="41746" spans="23:23" x14ac:dyDescent="0.55000000000000004">
      <c r="W41746"/>
    </row>
    <row r="41747" spans="23:23" x14ac:dyDescent="0.55000000000000004">
      <c r="W41747"/>
    </row>
    <row r="41748" spans="23:23" x14ac:dyDescent="0.55000000000000004">
      <c r="W41748"/>
    </row>
    <row r="41749" spans="23:23" x14ac:dyDescent="0.55000000000000004">
      <c r="W41749"/>
    </row>
    <row r="41750" spans="23:23" x14ac:dyDescent="0.55000000000000004">
      <c r="W41750"/>
    </row>
    <row r="41751" spans="23:23" x14ac:dyDescent="0.55000000000000004">
      <c r="W41751"/>
    </row>
    <row r="41752" spans="23:23" x14ac:dyDescent="0.55000000000000004">
      <c r="W41752"/>
    </row>
    <row r="41753" spans="23:23" x14ac:dyDescent="0.55000000000000004">
      <c r="W41753"/>
    </row>
    <row r="41754" spans="23:23" x14ac:dyDescent="0.55000000000000004">
      <c r="W41754"/>
    </row>
    <row r="41755" spans="23:23" x14ac:dyDescent="0.55000000000000004">
      <c r="W41755"/>
    </row>
    <row r="41756" spans="23:23" x14ac:dyDescent="0.55000000000000004">
      <c r="W41756"/>
    </row>
    <row r="41757" spans="23:23" x14ac:dyDescent="0.55000000000000004">
      <c r="W41757"/>
    </row>
    <row r="41758" spans="23:23" x14ac:dyDescent="0.55000000000000004">
      <c r="W41758"/>
    </row>
    <row r="41759" spans="23:23" x14ac:dyDescent="0.55000000000000004">
      <c r="W41759"/>
    </row>
    <row r="41760" spans="23:23" x14ac:dyDescent="0.55000000000000004">
      <c r="W41760"/>
    </row>
    <row r="41761" spans="23:23" x14ac:dyDescent="0.55000000000000004">
      <c r="W41761"/>
    </row>
    <row r="41762" spans="23:23" x14ac:dyDescent="0.55000000000000004">
      <c r="W41762"/>
    </row>
    <row r="41763" spans="23:23" x14ac:dyDescent="0.55000000000000004">
      <c r="W41763"/>
    </row>
    <row r="41764" spans="23:23" x14ac:dyDescent="0.55000000000000004">
      <c r="W41764"/>
    </row>
    <row r="41765" spans="23:23" x14ac:dyDescent="0.55000000000000004">
      <c r="W41765"/>
    </row>
    <row r="41766" spans="23:23" x14ac:dyDescent="0.55000000000000004">
      <c r="W41766"/>
    </row>
    <row r="41767" spans="23:23" x14ac:dyDescent="0.55000000000000004">
      <c r="W41767"/>
    </row>
    <row r="41768" spans="23:23" x14ac:dyDescent="0.55000000000000004">
      <c r="W41768"/>
    </row>
    <row r="41769" spans="23:23" x14ac:dyDescent="0.55000000000000004">
      <c r="W41769"/>
    </row>
    <row r="41770" spans="23:23" x14ac:dyDescent="0.55000000000000004">
      <c r="W41770"/>
    </row>
    <row r="41771" spans="23:23" x14ac:dyDescent="0.55000000000000004">
      <c r="W41771"/>
    </row>
    <row r="41772" spans="23:23" x14ac:dyDescent="0.55000000000000004">
      <c r="W41772"/>
    </row>
    <row r="41773" spans="23:23" x14ac:dyDescent="0.55000000000000004">
      <c r="W41773"/>
    </row>
    <row r="41774" spans="23:23" x14ac:dyDescent="0.55000000000000004">
      <c r="W41774"/>
    </row>
    <row r="41775" spans="23:23" x14ac:dyDescent="0.55000000000000004">
      <c r="W41775"/>
    </row>
    <row r="41776" spans="23:23" x14ac:dyDescent="0.55000000000000004">
      <c r="W41776"/>
    </row>
    <row r="41777" spans="23:23" x14ac:dyDescent="0.55000000000000004">
      <c r="W41777"/>
    </row>
    <row r="41778" spans="23:23" x14ac:dyDescent="0.55000000000000004">
      <c r="W41778"/>
    </row>
    <row r="41779" spans="23:23" x14ac:dyDescent="0.55000000000000004">
      <c r="W41779"/>
    </row>
    <row r="41780" spans="23:23" x14ac:dyDescent="0.55000000000000004">
      <c r="W41780"/>
    </row>
    <row r="41781" spans="23:23" x14ac:dyDescent="0.55000000000000004">
      <c r="W41781"/>
    </row>
    <row r="41782" spans="23:23" x14ac:dyDescent="0.55000000000000004">
      <c r="W41782"/>
    </row>
    <row r="41783" spans="23:23" x14ac:dyDescent="0.55000000000000004">
      <c r="W41783"/>
    </row>
    <row r="41784" spans="23:23" x14ac:dyDescent="0.55000000000000004">
      <c r="W41784"/>
    </row>
    <row r="41785" spans="23:23" x14ac:dyDescent="0.55000000000000004">
      <c r="W41785"/>
    </row>
    <row r="41786" spans="23:23" x14ac:dyDescent="0.55000000000000004">
      <c r="W41786"/>
    </row>
    <row r="41787" spans="23:23" x14ac:dyDescent="0.55000000000000004">
      <c r="W41787"/>
    </row>
    <row r="41788" spans="23:23" x14ac:dyDescent="0.55000000000000004">
      <c r="W41788"/>
    </row>
    <row r="41789" spans="23:23" x14ac:dyDescent="0.55000000000000004">
      <c r="W41789"/>
    </row>
    <row r="41790" spans="23:23" x14ac:dyDescent="0.55000000000000004">
      <c r="W41790"/>
    </row>
    <row r="41791" spans="23:23" x14ac:dyDescent="0.55000000000000004">
      <c r="W41791"/>
    </row>
    <row r="41792" spans="23:23" x14ac:dyDescent="0.55000000000000004">
      <c r="W41792"/>
    </row>
    <row r="41793" spans="23:23" x14ac:dyDescent="0.55000000000000004">
      <c r="W41793"/>
    </row>
    <row r="41794" spans="23:23" x14ac:dyDescent="0.55000000000000004">
      <c r="W41794"/>
    </row>
    <row r="41795" spans="23:23" x14ac:dyDescent="0.55000000000000004">
      <c r="W41795"/>
    </row>
    <row r="41796" spans="23:23" x14ac:dyDescent="0.55000000000000004">
      <c r="W41796"/>
    </row>
    <row r="41797" spans="23:23" x14ac:dyDescent="0.55000000000000004">
      <c r="W41797"/>
    </row>
    <row r="41798" spans="23:23" x14ac:dyDescent="0.55000000000000004">
      <c r="W41798"/>
    </row>
    <row r="41799" spans="23:23" x14ac:dyDescent="0.55000000000000004">
      <c r="W41799"/>
    </row>
    <row r="41800" spans="23:23" x14ac:dyDescent="0.55000000000000004">
      <c r="W41800"/>
    </row>
    <row r="41801" spans="23:23" x14ac:dyDescent="0.55000000000000004">
      <c r="W41801"/>
    </row>
    <row r="41802" spans="23:23" x14ac:dyDescent="0.55000000000000004">
      <c r="W41802"/>
    </row>
    <row r="41803" spans="23:23" x14ac:dyDescent="0.55000000000000004">
      <c r="W41803"/>
    </row>
    <row r="41804" spans="23:23" x14ac:dyDescent="0.55000000000000004">
      <c r="W41804"/>
    </row>
    <row r="41805" spans="23:23" x14ac:dyDescent="0.55000000000000004">
      <c r="W41805"/>
    </row>
    <row r="41806" spans="23:23" x14ac:dyDescent="0.55000000000000004">
      <c r="W41806"/>
    </row>
    <row r="41807" spans="23:23" x14ac:dyDescent="0.55000000000000004">
      <c r="W41807"/>
    </row>
    <row r="41808" spans="23:23" x14ac:dyDescent="0.55000000000000004">
      <c r="W41808"/>
    </row>
    <row r="41809" spans="23:23" x14ac:dyDescent="0.55000000000000004">
      <c r="W41809"/>
    </row>
    <row r="41810" spans="23:23" x14ac:dyDescent="0.55000000000000004">
      <c r="W41810"/>
    </row>
    <row r="41811" spans="23:23" x14ac:dyDescent="0.55000000000000004">
      <c r="W41811"/>
    </row>
    <row r="41812" spans="23:23" x14ac:dyDescent="0.55000000000000004">
      <c r="W41812"/>
    </row>
    <row r="41813" spans="23:23" x14ac:dyDescent="0.55000000000000004">
      <c r="W41813"/>
    </row>
    <row r="41814" spans="23:23" x14ac:dyDescent="0.55000000000000004">
      <c r="W41814"/>
    </row>
    <row r="41815" spans="23:23" x14ac:dyDescent="0.55000000000000004">
      <c r="W41815"/>
    </row>
    <row r="41816" spans="23:23" x14ac:dyDescent="0.55000000000000004">
      <c r="W41816"/>
    </row>
    <row r="41817" spans="23:23" x14ac:dyDescent="0.55000000000000004">
      <c r="W41817"/>
    </row>
    <row r="41818" spans="23:23" x14ac:dyDescent="0.55000000000000004">
      <c r="W41818"/>
    </row>
    <row r="41819" spans="23:23" x14ac:dyDescent="0.55000000000000004">
      <c r="W41819"/>
    </row>
    <row r="41820" spans="23:23" x14ac:dyDescent="0.55000000000000004">
      <c r="W41820"/>
    </row>
    <row r="41821" spans="23:23" x14ac:dyDescent="0.55000000000000004">
      <c r="W41821"/>
    </row>
    <row r="41822" spans="23:23" x14ac:dyDescent="0.55000000000000004">
      <c r="W41822"/>
    </row>
    <row r="41823" spans="23:23" x14ac:dyDescent="0.55000000000000004">
      <c r="W41823"/>
    </row>
    <row r="41824" spans="23:23" x14ac:dyDescent="0.55000000000000004">
      <c r="W41824"/>
    </row>
    <row r="41825" spans="23:23" x14ac:dyDescent="0.55000000000000004">
      <c r="W41825"/>
    </row>
    <row r="41826" spans="23:23" x14ac:dyDescent="0.55000000000000004">
      <c r="W41826"/>
    </row>
    <row r="41827" spans="23:23" x14ac:dyDescent="0.55000000000000004">
      <c r="W41827"/>
    </row>
    <row r="41828" spans="23:23" x14ac:dyDescent="0.55000000000000004">
      <c r="W41828"/>
    </row>
    <row r="41829" spans="23:23" x14ac:dyDescent="0.55000000000000004">
      <c r="W41829"/>
    </row>
    <row r="41830" spans="23:23" x14ac:dyDescent="0.55000000000000004">
      <c r="W41830"/>
    </row>
    <row r="41831" spans="23:23" x14ac:dyDescent="0.55000000000000004">
      <c r="W41831"/>
    </row>
    <row r="41832" spans="23:23" x14ac:dyDescent="0.55000000000000004">
      <c r="W41832"/>
    </row>
    <row r="41833" spans="23:23" x14ac:dyDescent="0.55000000000000004">
      <c r="W41833"/>
    </row>
    <row r="41834" spans="23:23" x14ac:dyDescent="0.55000000000000004">
      <c r="W41834"/>
    </row>
    <row r="41835" spans="23:23" x14ac:dyDescent="0.55000000000000004">
      <c r="W41835"/>
    </row>
    <row r="41836" spans="23:23" x14ac:dyDescent="0.55000000000000004">
      <c r="W41836"/>
    </row>
    <row r="41837" spans="23:23" x14ac:dyDescent="0.55000000000000004">
      <c r="W41837"/>
    </row>
    <row r="41838" spans="23:23" x14ac:dyDescent="0.55000000000000004">
      <c r="W41838"/>
    </row>
    <row r="41839" spans="23:23" x14ac:dyDescent="0.55000000000000004">
      <c r="W41839"/>
    </row>
    <row r="41840" spans="23:23" x14ac:dyDescent="0.55000000000000004">
      <c r="W41840"/>
    </row>
    <row r="41841" spans="23:23" x14ac:dyDescent="0.55000000000000004">
      <c r="W41841"/>
    </row>
    <row r="41842" spans="23:23" x14ac:dyDescent="0.55000000000000004">
      <c r="W41842"/>
    </row>
    <row r="41843" spans="23:23" x14ac:dyDescent="0.55000000000000004">
      <c r="W41843"/>
    </row>
    <row r="41844" spans="23:23" x14ac:dyDescent="0.55000000000000004">
      <c r="W41844"/>
    </row>
    <row r="41845" spans="23:23" x14ac:dyDescent="0.55000000000000004">
      <c r="W41845"/>
    </row>
    <row r="41846" spans="23:23" x14ac:dyDescent="0.55000000000000004">
      <c r="W41846"/>
    </row>
    <row r="41847" spans="23:23" x14ac:dyDescent="0.55000000000000004">
      <c r="W41847"/>
    </row>
    <row r="41848" spans="23:23" x14ac:dyDescent="0.55000000000000004">
      <c r="W41848"/>
    </row>
    <row r="41849" spans="23:23" x14ac:dyDescent="0.55000000000000004">
      <c r="W41849"/>
    </row>
    <row r="41850" spans="23:23" x14ac:dyDescent="0.55000000000000004">
      <c r="W41850"/>
    </row>
    <row r="41851" spans="23:23" x14ac:dyDescent="0.55000000000000004">
      <c r="W41851"/>
    </row>
    <row r="41852" spans="23:23" x14ac:dyDescent="0.55000000000000004">
      <c r="W41852"/>
    </row>
    <row r="41853" spans="23:23" x14ac:dyDescent="0.55000000000000004">
      <c r="W41853"/>
    </row>
    <row r="41854" spans="23:23" x14ac:dyDescent="0.55000000000000004">
      <c r="W41854"/>
    </row>
    <row r="41855" spans="23:23" x14ac:dyDescent="0.55000000000000004">
      <c r="W41855"/>
    </row>
    <row r="41856" spans="23:23" x14ac:dyDescent="0.55000000000000004">
      <c r="W41856"/>
    </row>
    <row r="41857" spans="23:23" x14ac:dyDescent="0.55000000000000004">
      <c r="W41857"/>
    </row>
    <row r="41858" spans="23:23" x14ac:dyDescent="0.55000000000000004">
      <c r="W41858"/>
    </row>
    <row r="41859" spans="23:23" x14ac:dyDescent="0.55000000000000004">
      <c r="W41859"/>
    </row>
    <row r="41860" spans="23:23" x14ac:dyDescent="0.55000000000000004">
      <c r="W41860"/>
    </row>
    <row r="41861" spans="23:23" x14ac:dyDescent="0.55000000000000004">
      <c r="W41861"/>
    </row>
    <row r="41862" spans="23:23" x14ac:dyDescent="0.55000000000000004">
      <c r="W41862"/>
    </row>
    <row r="41863" spans="23:23" x14ac:dyDescent="0.55000000000000004">
      <c r="W41863"/>
    </row>
    <row r="41864" spans="23:23" x14ac:dyDescent="0.55000000000000004">
      <c r="W41864"/>
    </row>
    <row r="41865" spans="23:23" x14ac:dyDescent="0.55000000000000004">
      <c r="W41865"/>
    </row>
    <row r="41866" spans="23:23" x14ac:dyDescent="0.55000000000000004">
      <c r="W41866"/>
    </row>
    <row r="41867" spans="23:23" x14ac:dyDescent="0.55000000000000004">
      <c r="W41867"/>
    </row>
    <row r="41868" spans="23:23" x14ac:dyDescent="0.55000000000000004">
      <c r="W41868"/>
    </row>
    <row r="41869" spans="23:23" x14ac:dyDescent="0.55000000000000004">
      <c r="W41869"/>
    </row>
    <row r="41870" spans="23:23" x14ac:dyDescent="0.55000000000000004">
      <c r="W41870"/>
    </row>
    <row r="41871" spans="23:23" x14ac:dyDescent="0.55000000000000004">
      <c r="W41871"/>
    </row>
    <row r="41872" spans="23:23" x14ac:dyDescent="0.55000000000000004">
      <c r="W41872"/>
    </row>
    <row r="41873" spans="23:23" x14ac:dyDescent="0.55000000000000004">
      <c r="W41873"/>
    </row>
    <row r="41874" spans="23:23" x14ac:dyDescent="0.55000000000000004">
      <c r="W41874"/>
    </row>
    <row r="41875" spans="23:23" x14ac:dyDescent="0.55000000000000004">
      <c r="W41875"/>
    </row>
    <row r="41876" spans="23:23" x14ac:dyDescent="0.55000000000000004">
      <c r="W41876"/>
    </row>
    <row r="41877" spans="23:23" x14ac:dyDescent="0.55000000000000004">
      <c r="W41877"/>
    </row>
    <row r="41878" spans="23:23" x14ac:dyDescent="0.55000000000000004">
      <c r="W41878"/>
    </row>
    <row r="41879" spans="23:23" x14ac:dyDescent="0.55000000000000004">
      <c r="W41879"/>
    </row>
    <row r="41880" spans="23:23" x14ac:dyDescent="0.55000000000000004">
      <c r="W41880"/>
    </row>
    <row r="41881" spans="23:23" x14ac:dyDescent="0.55000000000000004">
      <c r="W41881"/>
    </row>
    <row r="41882" spans="23:23" x14ac:dyDescent="0.55000000000000004">
      <c r="W41882"/>
    </row>
    <row r="41883" spans="23:23" x14ac:dyDescent="0.55000000000000004">
      <c r="W41883"/>
    </row>
    <row r="41884" spans="23:23" x14ac:dyDescent="0.55000000000000004">
      <c r="W41884"/>
    </row>
    <row r="41885" spans="23:23" x14ac:dyDescent="0.55000000000000004">
      <c r="W41885"/>
    </row>
    <row r="41886" spans="23:23" x14ac:dyDescent="0.55000000000000004">
      <c r="W41886"/>
    </row>
    <row r="41887" spans="23:23" x14ac:dyDescent="0.55000000000000004">
      <c r="W41887"/>
    </row>
    <row r="41888" spans="23:23" x14ac:dyDescent="0.55000000000000004">
      <c r="W41888"/>
    </row>
    <row r="41889" spans="23:23" x14ac:dyDescent="0.55000000000000004">
      <c r="W41889"/>
    </row>
    <row r="41890" spans="23:23" x14ac:dyDescent="0.55000000000000004">
      <c r="W41890"/>
    </row>
    <row r="41891" spans="23:23" x14ac:dyDescent="0.55000000000000004">
      <c r="W41891"/>
    </row>
    <row r="41892" spans="23:23" x14ac:dyDescent="0.55000000000000004">
      <c r="W41892"/>
    </row>
    <row r="41893" spans="23:23" x14ac:dyDescent="0.55000000000000004">
      <c r="W41893"/>
    </row>
    <row r="41894" spans="23:23" x14ac:dyDescent="0.55000000000000004">
      <c r="W41894"/>
    </row>
    <row r="41895" spans="23:23" x14ac:dyDescent="0.55000000000000004">
      <c r="W41895"/>
    </row>
    <row r="41896" spans="23:23" x14ac:dyDescent="0.55000000000000004">
      <c r="W41896"/>
    </row>
    <row r="41897" spans="23:23" x14ac:dyDescent="0.55000000000000004">
      <c r="W41897"/>
    </row>
    <row r="41898" spans="23:23" x14ac:dyDescent="0.55000000000000004">
      <c r="W41898"/>
    </row>
    <row r="41899" spans="23:23" x14ac:dyDescent="0.55000000000000004">
      <c r="W41899"/>
    </row>
    <row r="41900" spans="23:23" x14ac:dyDescent="0.55000000000000004">
      <c r="W41900"/>
    </row>
    <row r="41901" spans="23:23" x14ac:dyDescent="0.55000000000000004">
      <c r="W41901"/>
    </row>
    <row r="41902" spans="23:23" x14ac:dyDescent="0.55000000000000004">
      <c r="W41902"/>
    </row>
    <row r="41903" spans="23:23" x14ac:dyDescent="0.55000000000000004">
      <c r="W41903"/>
    </row>
    <row r="41904" spans="23:23" x14ac:dyDescent="0.55000000000000004">
      <c r="W41904"/>
    </row>
    <row r="41905" spans="23:23" x14ac:dyDescent="0.55000000000000004">
      <c r="W41905"/>
    </row>
    <row r="41906" spans="23:23" x14ac:dyDescent="0.55000000000000004">
      <c r="W41906"/>
    </row>
    <row r="41907" spans="23:23" x14ac:dyDescent="0.55000000000000004">
      <c r="W41907"/>
    </row>
    <row r="41908" spans="23:23" x14ac:dyDescent="0.55000000000000004">
      <c r="W41908"/>
    </row>
    <row r="41909" spans="23:23" x14ac:dyDescent="0.55000000000000004">
      <c r="W41909"/>
    </row>
    <row r="41910" spans="23:23" x14ac:dyDescent="0.55000000000000004">
      <c r="W41910"/>
    </row>
    <row r="41911" spans="23:23" x14ac:dyDescent="0.55000000000000004">
      <c r="W41911"/>
    </row>
    <row r="41912" spans="23:23" x14ac:dyDescent="0.55000000000000004">
      <c r="W41912"/>
    </row>
    <row r="41913" spans="23:23" x14ac:dyDescent="0.55000000000000004">
      <c r="W41913"/>
    </row>
    <row r="41914" spans="23:23" x14ac:dyDescent="0.55000000000000004">
      <c r="W41914"/>
    </row>
    <row r="41915" spans="23:23" x14ac:dyDescent="0.55000000000000004">
      <c r="W41915"/>
    </row>
    <row r="41916" spans="23:23" x14ac:dyDescent="0.55000000000000004">
      <c r="W41916"/>
    </row>
    <row r="41917" spans="23:23" x14ac:dyDescent="0.55000000000000004">
      <c r="W41917"/>
    </row>
    <row r="41918" spans="23:23" x14ac:dyDescent="0.55000000000000004">
      <c r="W41918"/>
    </row>
    <row r="41919" spans="23:23" x14ac:dyDescent="0.55000000000000004">
      <c r="W41919"/>
    </row>
    <row r="41920" spans="23:23" x14ac:dyDescent="0.55000000000000004">
      <c r="W41920"/>
    </row>
    <row r="41921" spans="23:23" x14ac:dyDescent="0.55000000000000004">
      <c r="W41921"/>
    </row>
    <row r="41922" spans="23:23" x14ac:dyDescent="0.55000000000000004">
      <c r="W41922"/>
    </row>
    <row r="41923" spans="23:23" x14ac:dyDescent="0.55000000000000004">
      <c r="W41923"/>
    </row>
    <row r="41924" spans="23:23" x14ac:dyDescent="0.55000000000000004">
      <c r="W41924"/>
    </row>
    <row r="41925" spans="23:23" x14ac:dyDescent="0.55000000000000004">
      <c r="W41925"/>
    </row>
    <row r="41926" spans="23:23" x14ac:dyDescent="0.55000000000000004">
      <c r="W41926"/>
    </row>
    <row r="41927" spans="23:23" x14ac:dyDescent="0.55000000000000004">
      <c r="W41927"/>
    </row>
    <row r="41928" spans="23:23" x14ac:dyDescent="0.55000000000000004">
      <c r="W41928"/>
    </row>
    <row r="41929" spans="23:23" x14ac:dyDescent="0.55000000000000004">
      <c r="W41929"/>
    </row>
    <row r="41930" spans="23:23" x14ac:dyDescent="0.55000000000000004">
      <c r="W41930"/>
    </row>
    <row r="41931" spans="23:23" x14ac:dyDescent="0.55000000000000004">
      <c r="W41931"/>
    </row>
    <row r="41932" spans="23:23" x14ac:dyDescent="0.55000000000000004">
      <c r="W41932"/>
    </row>
    <row r="41933" spans="23:23" x14ac:dyDescent="0.55000000000000004">
      <c r="W41933"/>
    </row>
    <row r="41934" spans="23:23" x14ac:dyDescent="0.55000000000000004">
      <c r="W41934"/>
    </row>
    <row r="41935" spans="23:23" x14ac:dyDescent="0.55000000000000004">
      <c r="W41935"/>
    </row>
    <row r="41936" spans="23:23" x14ac:dyDescent="0.55000000000000004">
      <c r="W41936"/>
    </row>
    <row r="41937" spans="23:23" x14ac:dyDescent="0.55000000000000004">
      <c r="W41937"/>
    </row>
    <row r="41938" spans="23:23" x14ac:dyDescent="0.55000000000000004">
      <c r="W41938"/>
    </row>
    <row r="41939" spans="23:23" x14ac:dyDescent="0.55000000000000004">
      <c r="W41939"/>
    </row>
    <row r="41940" spans="23:23" x14ac:dyDescent="0.55000000000000004">
      <c r="W41940"/>
    </row>
    <row r="41941" spans="23:23" x14ac:dyDescent="0.55000000000000004">
      <c r="W41941"/>
    </row>
    <row r="41942" spans="23:23" x14ac:dyDescent="0.55000000000000004">
      <c r="W41942"/>
    </row>
    <row r="41943" spans="23:23" x14ac:dyDescent="0.55000000000000004">
      <c r="W41943"/>
    </row>
    <row r="41944" spans="23:23" x14ac:dyDescent="0.55000000000000004">
      <c r="W41944"/>
    </row>
    <row r="41945" spans="23:23" x14ac:dyDescent="0.55000000000000004">
      <c r="W41945"/>
    </row>
    <row r="41946" spans="23:23" x14ac:dyDescent="0.55000000000000004">
      <c r="W41946"/>
    </row>
    <row r="41947" spans="23:23" x14ac:dyDescent="0.55000000000000004">
      <c r="W41947"/>
    </row>
    <row r="41948" spans="23:23" x14ac:dyDescent="0.55000000000000004">
      <c r="W41948"/>
    </row>
    <row r="41949" spans="23:23" x14ac:dyDescent="0.55000000000000004">
      <c r="W41949"/>
    </row>
    <row r="41950" spans="23:23" x14ac:dyDescent="0.55000000000000004">
      <c r="W41950"/>
    </row>
    <row r="41951" spans="23:23" x14ac:dyDescent="0.55000000000000004">
      <c r="W41951"/>
    </row>
    <row r="41952" spans="23:23" x14ac:dyDescent="0.55000000000000004">
      <c r="W41952"/>
    </row>
    <row r="41953" spans="23:23" x14ac:dyDescent="0.55000000000000004">
      <c r="W41953"/>
    </row>
    <row r="41954" spans="23:23" x14ac:dyDescent="0.55000000000000004">
      <c r="W41954"/>
    </row>
    <row r="41955" spans="23:23" x14ac:dyDescent="0.55000000000000004">
      <c r="W41955"/>
    </row>
    <row r="41956" spans="23:23" x14ac:dyDescent="0.55000000000000004">
      <c r="W41956"/>
    </row>
    <row r="41957" spans="23:23" x14ac:dyDescent="0.55000000000000004">
      <c r="W41957"/>
    </row>
    <row r="41958" spans="23:23" x14ac:dyDescent="0.55000000000000004">
      <c r="W41958"/>
    </row>
    <row r="41959" spans="23:23" x14ac:dyDescent="0.55000000000000004">
      <c r="W41959"/>
    </row>
    <row r="41960" spans="23:23" x14ac:dyDescent="0.55000000000000004">
      <c r="W41960"/>
    </row>
    <row r="41961" spans="23:23" x14ac:dyDescent="0.55000000000000004">
      <c r="W41961"/>
    </row>
    <row r="41962" spans="23:23" x14ac:dyDescent="0.55000000000000004">
      <c r="W41962"/>
    </row>
    <row r="41963" spans="23:23" x14ac:dyDescent="0.55000000000000004">
      <c r="W41963"/>
    </row>
    <row r="41964" spans="23:23" x14ac:dyDescent="0.55000000000000004">
      <c r="W41964"/>
    </row>
    <row r="41965" spans="23:23" x14ac:dyDescent="0.55000000000000004">
      <c r="W41965"/>
    </row>
    <row r="41966" spans="23:23" x14ac:dyDescent="0.55000000000000004">
      <c r="W41966"/>
    </row>
    <row r="41967" spans="23:23" x14ac:dyDescent="0.55000000000000004">
      <c r="W41967"/>
    </row>
    <row r="41968" spans="23:23" x14ac:dyDescent="0.55000000000000004">
      <c r="W41968"/>
    </row>
    <row r="41969" spans="23:23" x14ac:dyDescent="0.55000000000000004">
      <c r="W41969"/>
    </row>
    <row r="41970" spans="23:23" x14ac:dyDescent="0.55000000000000004">
      <c r="W41970"/>
    </row>
    <row r="41971" spans="23:23" x14ac:dyDescent="0.55000000000000004">
      <c r="W41971"/>
    </row>
    <row r="41972" spans="23:23" x14ac:dyDescent="0.55000000000000004">
      <c r="W41972"/>
    </row>
    <row r="41973" spans="23:23" x14ac:dyDescent="0.55000000000000004">
      <c r="W41973"/>
    </row>
    <row r="41974" spans="23:23" x14ac:dyDescent="0.55000000000000004">
      <c r="W41974"/>
    </row>
    <row r="41975" spans="23:23" x14ac:dyDescent="0.55000000000000004">
      <c r="W41975"/>
    </row>
    <row r="41976" spans="23:23" x14ac:dyDescent="0.55000000000000004">
      <c r="W41976"/>
    </row>
    <row r="41977" spans="23:23" x14ac:dyDescent="0.55000000000000004">
      <c r="W41977"/>
    </row>
    <row r="41978" spans="23:23" x14ac:dyDescent="0.55000000000000004">
      <c r="W41978"/>
    </row>
    <row r="41979" spans="23:23" x14ac:dyDescent="0.55000000000000004">
      <c r="W41979"/>
    </row>
    <row r="41980" spans="23:23" x14ac:dyDescent="0.55000000000000004">
      <c r="W41980"/>
    </row>
    <row r="41981" spans="23:23" x14ac:dyDescent="0.55000000000000004">
      <c r="W41981"/>
    </row>
    <row r="41982" spans="23:23" x14ac:dyDescent="0.55000000000000004">
      <c r="W41982"/>
    </row>
    <row r="41983" spans="23:23" x14ac:dyDescent="0.55000000000000004">
      <c r="W41983"/>
    </row>
    <row r="41984" spans="23:23" x14ac:dyDescent="0.55000000000000004">
      <c r="W41984"/>
    </row>
    <row r="41985" spans="23:23" x14ac:dyDescent="0.55000000000000004">
      <c r="W41985"/>
    </row>
    <row r="41986" spans="23:23" x14ac:dyDescent="0.55000000000000004">
      <c r="W41986"/>
    </row>
    <row r="41987" spans="23:23" x14ac:dyDescent="0.55000000000000004">
      <c r="W41987"/>
    </row>
    <row r="41988" spans="23:23" x14ac:dyDescent="0.55000000000000004">
      <c r="W41988"/>
    </row>
    <row r="41989" spans="23:23" x14ac:dyDescent="0.55000000000000004">
      <c r="W41989"/>
    </row>
    <row r="41990" spans="23:23" x14ac:dyDescent="0.55000000000000004">
      <c r="W41990"/>
    </row>
    <row r="41991" spans="23:23" x14ac:dyDescent="0.55000000000000004">
      <c r="W41991"/>
    </row>
    <row r="41992" spans="23:23" x14ac:dyDescent="0.55000000000000004">
      <c r="W41992"/>
    </row>
    <row r="41993" spans="23:23" x14ac:dyDescent="0.55000000000000004">
      <c r="W41993"/>
    </row>
    <row r="41994" spans="23:23" x14ac:dyDescent="0.55000000000000004">
      <c r="W41994"/>
    </row>
    <row r="41995" spans="23:23" x14ac:dyDescent="0.55000000000000004">
      <c r="W41995"/>
    </row>
    <row r="41996" spans="23:23" x14ac:dyDescent="0.55000000000000004">
      <c r="W41996"/>
    </row>
    <row r="41997" spans="23:23" x14ac:dyDescent="0.55000000000000004">
      <c r="W41997"/>
    </row>
    <row r="41998" spans="23:23" x14ac:dyDescent="0.55000000000000004">
      <c r="W41998"/>
    </row>
    <row r="41999" spans="23:23" x14ac:dyDescent="0.55000000000000004">
      <c r="W41999"/>
    </row>
    <row r="42000" spans="23:23" x14ac:dyDescent="0.55000000000000004">
      <c r="W42000"/>
    </row>
    <row r="42001" spans="23:23" x14ac:dyDescent="0.55000000000000004">
      <c r="W42001"/>
    </row>
    <row r="42002" spans="23:23" x14ac:dyDescent="0.55000000000000004">
      <c r="W42002"/>
    </row>
    <row r="42003" spans="23:23" x14ac:dyDescent="0.55000000000000004">
      <c r="W42003"/>
    </row>
    <row r="42004" spans="23:23" x14ac:dyDescent="0.55000000000000004">
      <c r="W42004"/>
    </row>
    <row r="42005" spans="23:23" x14ac:dyDescent="0.55000000000000004">
      <c r="W42005"/>
    </row>
    <row r="42006" spans="23:23" x14ac:dyDescent="0.55000000000000004">
      <c r="W42006"/>
    </row>
    <row r="42007" spans="23:23" x14ac:dyDescent="0.55000000000000004">
      <c r="W42007"/>
    </row>
    <row r="42008" spans="23:23" x14ac:dyDescent="0.55000000000000004">
      <c r="W42008"/>
    </row>
    <row r="42009" spans="23:23" x14ac:dyDescent="0.55000000000000004">
      <c r="W42009"/>
    </row>
    <row r="42010" spans="23:23" x14ac:dyDescent="0.55000000000000004">
      <c r="W42010"/>
    </row>
    <row r="42011" spans="23:23" x14ac:dyDescent="0.55000000000000004">
      <c r="W42011"/>
    </row>
    <row r="42012" spans="23:23" x14ac:dyDescent="0.55000000000000004">
      <c r="W42012"/>
    </row>
    <row r="42013" spans="23:23" x14ac:dyDescent="0.55000000000000004">
      <c r="W42013"/>
    </row>
    <row r="42014" spans="23:23" x14ac:dyDescent="0.55000000000000004">
      <c r="W42014"/>
    </row>
    <row r="42015" spans="23:23" x14ac:dyDescent="0.55000000000000004">
      <c r="W42015"/>
    </row>
    <row r="42016" spans="23:23" x14ac:dyDescent="0.55000000000000004">
      <c r="W42016"/>
    </row>
    <row r="42017" spans="23:23" x14ac:dyDescent="0.55000000000000004">
      <c r="W42017"/>
    </row>
    <row r="42018" spans="23:23" x14ac:dyDescent="0.55000000000000004">
      <c r="W42018"/>
    </row>
    <row r="42019" spans="23:23" x14ac:dyDescent="0.55000000000000004">
      <c r="W42019"/>
    </row>
    <row r="42020" spans="23:23" x14ac:dyDescent="0.55000000000000004">
      <c r="W42020"/>
    </row>
    <row r="42021" spans="23:23" x14ac:dyDescent="0.55000000000000004">
      <c r="W42021"/>
    </row>
    <row r="42022" spans="23:23" x14ac:dyDescent="0.55000000000000004">
      <c r="W42022"/>
    </row>
    <row r="42023" spans="23:23" x14ac:dyDescent="0.55000000000000004">
      <c r="W42023"/>
    </row>
    <row r="42024" spans="23:23" x14ac:dyDescent="0.55000000000000004">
      <c r="W42024"/>
    </row>
    <row r="42025" spans="23:23" x14ac:dyDescent="0.55000000000000004">
      <c r="W42025"/>
    </row>
    <row r="42026" spans="23:23" x14ac:dyDescent="0.55000000000000004">
      <c r="W42026"/>
    </row>
    <row r="42027" spans="23:23" x14ac:dyDescent="0.55000000000000004">
      <c r="W42027"/>
    </row>
    <row r="42028" spans="23:23" x14ac:dyDescent="0.55000000000000004">
      <c r="W42028"/>
    </row>
    <row r="42029" spans="23:23" x14ac:dyDescent="0.55000000000000004">
      <c r="W42029"/>
    </row>
    <row r="42030" spans="23:23" x14ac:dyDescent="0.55000000000000004">
      <c r="W42030"/>
    </row>
    <row r="42031" spans="23:23" x14ac:dyDescent="0.55000000000000004">
      <c r="W42031"/>
    </row>
    <row r="42032" spans="23:23" x14ac:dyDescent="0.55000000000000004">
      <c r="W42032"/>
    </row>
    <row r="42033" spans="23:23" x14ac:dyDescent="0.55000000000000004">
      <c r="W42033"/>
    </row>
    <row r="42034" spans="23:23" x14ac:dyDescent="0.55000000000000004">
      <c r="W42034"/>
    </row>
    <row r="42035" spans="23:23" x14ac:dyDescent="0.55000000000000004">
      <c r="W42035"/>
    </row>
    <row r="42036" spans="23:23" x14ac:dyDescent="0.55000000000000004">
      <c r="W42036"/>
    </row>
    <row r="42037" spans="23:23" x14ac:dyDescent="0.55000000000000004">
      <c r="W42037"/>
    </row>
    <row r="42038" spans="23:23" x14ac:dyDescent="0.55000000000000004">
      <c r="W42038"/>
    </row>
    <row r="42039" spans="23:23" x14ac:dyDescent="0.55000000000000004">
      <c r="W42039"/>
    </row>
    <row r="42040" spans="23:23" x14ac:dyDescent="0.55000000000000004">
      <c r="W42040"/>
    </row>
    <row r="42041" spans="23:23" x14ac:dyDescent="0.55000000000000004">
      <c r="W42041"/>
    </row>
    <row r="42042" spans="23:23" x14ac:dyDescent="0.55000000000000004">
      <c r="W42042"/>
    </row>
    <row r="42043" spans="23:23" x14ac:dyDescent="0.55000000000000004">
      <c r="W42043"/>
    </row>
    <row r="42044" spans="23:23" x14ac:dyDescent="0.55000000000000004">
      <c r="W42044"/>
    </row>
    <row r="42045" spans="23:23" x14ac:dyDescent="0.55000000000000004">
      <c r="W42045"/>
    </row>
    <row r="42046" spans="23:23" x14ac:dyDescent="0.55000000000000004">
      <c r="W42046"/>
    </row>
    <row r="42047" spans="23:23" x14ac:dyDescent="0.55000000000000004">
      <c r="W42047"/>
    </row>
    <row r="42048" spans="23:23" x14ac:dyDescent="0.55000000000000004">
      <c r="W42048"/>
    </row>
    <row r="42049" spans="23:23" x14ac:dyDescent="0.55000000000000004">
      <c r="W42049"/>
    </row>
    <row r="42050" spans="23:23" x14ac:dyDescent="0.55000000000000004">
      <c r="W42050"/>
    </row>
    <row r="42051" spans="23:23" x14ac:dyDescent="0.55000000000000004">
      <c r="W42051"/>
    </row>
    <row r="42052" spans="23:23" x14ac:dyDescent="0.55000000000000004">
      <c r="W42052"/>
    </row>
    <row r="42053" spans="23:23" x14ac:dyDescent="0.55000000000000004">
      <c r="W42053"/>
    </row>
    <row r="42054" spans="23:23" x14ac:dyDescent="0.55000000000000004">
      <c r="W42054"/>
    </row>
    <row r="42055" spans="23:23" x14ac:dyDescent="0.55000000000000004">
      <c r="W42055"/>
    </row>
    <row r="42056" spans="23:23" x14ac:dyDescent="0.55000000000000004">
      <c r="W42056"/>
    </row>
    <row r="42057" spans="23:23" x14ac:dyDescent="0.55000000000000004">
      <c r="W42057"/>
    </row>
    <row r="42058" spans="23:23" x14ac:dyDescent="0.55000000000000004">
      <c r="W42058"/>
    </row>
    <row r="42059" spans="23:23" x14ac:dyDescent="0.55000000000000004">
      <c r="W42059"/>
    </row>
    <row r="42060" spans="23:23" x14ac:dyDescent="0.55000000000000004">
      <c r="W42060"/>
    </row>
    <row r="42061" spans="23:23" x14ac:dyDescent="0.55000000000000004">
      <c r="W42061"/>
    </row>
    <row r="42062" spans="23:23" x14ac:dyDescent="0.55000000000000004">
      <c r="W42062"/>
    </row>
    <row r="42063" spans="23:23" x14ac:dyDescent="0.55000000000000004">
      <c r="W42063"/>
    </row>
    <row r="42064" spans="23:23" x14ac:dyDescent="0.55000000000000004">
      <c r="W42064"/>
    </row>
    <row r="42065" spans="23:23" x14ac:dyDescent="0.55000000000000004">
      <c r="W42065"/>
    </row>
    <row r="42066" spans="23:23" x14ac:dyDescent="0.55000000000000004">
      <c r="W42066"/>
    </row>
    <row r="42067" spans="23:23" x14ac:dyDescent="0.55000000000000004">
      <c r="W42067"/>
    </row>
    <row r="42068" spans="23:23" x14ac:dyDescent="0.55000000000000004">
      <c r="W42068"/>
    </row>
    <row r="42069" spans="23:23" x14ac:dyDescent="0.55000000000000004">
      <c r="W42069"/>
    </row>
    <row r="42070" spans="23:23" x14ac:dyDescent="0.55000000000000004">
      <c r="W42070"/>
    </row>
    <row r="42071" spans="23:23" x14ac:dyDescent="0.55000000000000004">
      <c r="W42071"/>
    </row>
    <row r="42072" spans="23:23" x14ac:dyDescent="0.55000000000000004">
      <c r="W42072"/>
    </row>
    <row r="42073" spans="23:23" x14ac:dyDescent="0.55000000000000004">
      <c r="W42073"/>
    </row>
    <row r="42074" spans="23:23" x14ac:dyDescent="0.55000000000000004">
      <c r="W42074"/>
    </row>
    <row r="42075" spans="23:23" x14ac:dyDescent="0.55000000000000004">
      <c r="W42075"/>
    </row>
    <row r="42076" spans="23:23" x14ac:dyDescent="0.55000000000000004">
      <c r="W42076"/>
    </row>
    <row r="42077" spans="23:23" x14ac:dyDescent="0.55000000000000004">
      <c r="W42077"/>
    </row>
    <row r="42078" spans="23:23" x14ac:dyDescent="0.55000000000000004">
      <c r="W42078"/>
    </row>
    <row r="42079" spans="23:23" x14ac:dyDescent="0.55000000000000004">
      <c r="W42079"/>
    </row>
    <row r="42080" spans="23:23" x14ac:dyDescent="0.55000000000000004">
      <c r="W42080"/>
    </row>
    <row r="42081" spans="23:23" x14ac:dyDescent="0.55000000000000004">
      <c r="W42081"/>
    </row>
    <row r="42082" spans="23:23" x14ac:dyDescent="0.55000000000000004">
      <c r="W42082"/>
    </row>
    <row r="42083" spans="23:23" x14ac:dyDescent="0.55000000000000004">
      <c r="W42083"/>
    </row>
    <row r="42084" spans="23:23" x14ac:dyDescent="0.55000000000000004">
      <c r="W42084"/>
    </row>
    <row r="42085" spans="23:23" x14ac:dyDescent="0.55000000000000004">
      <c r="W42085"/>
    </row>
    <row r="42086" spans="23:23" x14ac:dyDescent="0.55000000000000004">
      <c r="W42086"/>
    </row>
    <row r="42087" spans="23:23" x14ac:dyDescent="0.55000000000000004">
      <c r="W42087"/>
    </row>
    <row r="42088" spans="23:23" x14ac:dyDescent="0.55000000000000004">
      <c r="W42088"/>
    </row>
    <row r="42089" spans="23:23" x14ac:dyDescent="0.55000000000000004">
      <c r="W42089"/>
    </row>
    <row r="42090" spans="23:23" x14ac:dyDescent="0.55000000000000004">
      <c r="W42090"/>
    </row>
    <row r="42091" spans="23:23" x14ac:dyDescent="0.55000000000000004">
      <c r="W42091"/>
    </row>
    <row r="42092" spans="23:23" x14ac:dyDescent="0.55000000000000004">
      <c r="W42092"/>
    </row>
    <row r="42093" spans="23:23" x14ac:dyDescent="0.55000000000000004">
      <c r="W42093"/>
    </row>
    <row r="42094" spans="23:23" x14ac:dyDescent="0.55000000000000004">
      <c r="W42094"/>
    </row>
    <row r="42095" spans="23:23" x14ac:dyDescent="0.55000000000000004">
      <c r="W42095"/>
    </row>
    <row r="42096" spans="23:23" x14ac:dyDescent="0.55000000000000004">
      <c r="W42096"/>
    </row>
    <row r="42097" spans="23:23" x14ac:dyDescent="0.55000000000000004">
      <c r="W42097"/>
    </row>
    <row r="42098" spans="23:23" x14ac:dyDescent="0.55000000000000004">
      <c r="W42098"/>
    </row>
    <row r="42099" spans="23:23" x14ac:dyDescent="0.55000000000000004">
      <c r="W42099"/>
    </row>
    <row r="42100" spans="23:23" x14ac:dyDescent="0.55000000000000004">
      <c r="W42100"/>
    </row>
    <row r="42101" spans="23:23" x14ac:dyDescent="0.55000000000000004">
      <c r="W42101"/>
    </row>
    <row r="42102" spans="23:23" x14ac:dyDescent="0.55000000000000004">
      <c r="W42102"/>
    </row>
    <row r="42103" spans="23:23" x14ac:dyDescent="0.55000000000000004">
      <c r="W42103"/>
    </row>
    <row r="42104" spans="23:23" x14ac:dyDescent="0.55000000000000004">
      <c r="W42104"/>
    </row>
    <row r="42105" spans="23:23" x14ac:dyDescent="0.55000000000000004">
      <c r="W42105"/>
    </row>
    <row r="42106" spans="23:23" x14ac:dyDescent="0.55000000000000004">
      <c r="W42106"/>
    </row>
    <row r="42107" spans="23:23" x14ac:dyDescent="0.55000000000000004">
      <c r="W42107"/>
    </row>
    <row r="42108" spans="23:23" x14ac:dyDescent="0.55000000000000004">
      <c r="W42108"/>
    </row>
    <row r="42109" spans="23:23" x14ac:dyDescent="0.55000000000000004">
      <c r="W42109"/>
    </row>
    <row r="42110" spans="23:23" x14ac:dyDescent="0.55000000000000004">
      <c r="W42110"/>
    </row>
    <row r="42111" spans="23:23" x14ac:dyDescent="0.55000000000000004">
      <c r="W42111"/>
    </row>
    <row r="42112" spans="23:23" x14ac:dyDescent="0.55000000000000004">
      <c r="W42112"/>
    </row>
    <row r="42113" spans="23:23" x14ac:dyDescent="0.55000000000000004">
      <c r="W42113"/>
    </row>
    <row r="42114" spans="23:23" x14ac:dyDescent="0.55000000000000004">
      <c r="W42114"/>
    </row>
    <row r="42115" spans="23:23" x14ac:dyDescent="0.55000000000000004">
      <c r="W42115"/>
    </row>
    <row r="42116" spans="23:23" x14ac:dyDescent="0.55000000000000004">
      <c r="W42116"/>
    </row>
    <row r="42117" spans="23:23" x14ac:dyDescent="0.55000000000000004">
      <c r="W42117"/>
    </row>
    <row r="42118" spans="23:23" x14ac:dyDescent="0.55000000000000004">
      <c r="W42118"/>
    </row>
    <row r="42119" spans="23:23" x14ac:dyDescent="0.55000000000000004">
      <c r="W42119"/>
    </row>
    <row r="42120" spans="23:23" x14ac:dyDescent="0.55000000000000004">
      <c r="W42120"/>
    </row>
    <row r="42121" spans="23:23" x14ac:dyDescent="0.55000000000000004">
      <c r="W42121"/>
    </row>
    <row r="42122" spans="23:23" x14ac:dyDescent="0.55000000000000004">
      <c r="W42122"/>
    </row>
    <row r="42123" spans="23:23" x14ac:dyDescent="0.55000000000000004">
      <c r="W42123"/>
    </row>
    <row r="42124" spans="23:23" x14ac:dyDescent="0.55000000000000004">
      <c r="W42124"/>
    </row>
    <row r="42125" spans="23:23" x14ac:dyDescent="0.55000000000000004">
      <c r="W42125"/>
    </row>
    <row r="42126" spans="23:23" x14ac:dyDescent="0.55000000000000004">
      <c r="W42126"/>
    </row>
    <row r="42127" spans="23:23" x14ac:dyDescent="0.55000000000000004">
      <c r="W42127"/>
    </row>
    <row r="42128" spans="23:23" x14ac:dyDescent="0.55000000000000004">
      <c r="W42128"/>
    </row>
    <row r="42129" spans="23:23" x14ac:dyDescent="0.55000000000000004">
      <c r="W42129"/>
    </row>
    <row r="42130" spans="23:23" x14ac:dyDescent="0.55000000000000004">
      <c r="W42130"/>
    </row>
    <row r="42131" spans="23:23" x14ac:dyDescent="0.55000000000000004">
      <c r="W42131"/>
    </row>
    <row r="42132" spans="23:23" x14ac:dyDescent="0.55000000000000004">
      <c r="W42132"/>
    </row>
    <row r="42133" spans="23:23" x14ac:dyDescent="0.55000000000000004">
      <c r="W42133"/>
    </row>
    <row r="42134" spans="23:23" x14ac:dyDescent="0.55000000000000004">
      <c r="W42134"/>
    </row>
    <row r="42135" spans="23:23" x14ac:dyDescent="0.55000000000000004">
      <c r="W42135"/>
    </row>
    <row r="42136" spans="23:23" x14ac:dyDescent="0.55000000000000004">
      <c r="W42136"/>
    </row>
    <row r="42137" spans="23:23" x14ac:dyDescent="0.55000000000000004">
      <c r="W42137"/>
    </row>
    <row r="42138" spans="23:23" x14ac:dyDescent="0.55000000000000004">
      <c r="W42138"/>
    </row>
    <row r="42139" spans="23:23" x14ac:dyDescent="0.55000000000000004">
      <c r="W42139"/>
    </row>
    <row r="42140" spans="23:23" x14ac:dyDescent="0.55000000000000004">
      <c r="W42140"/>
    </row>
    <row r="42141" spans="23:23" x14ac:dyDescent="0.55000000000000004">
      <c r="W42141"/>
    </row>
    <row r="42142" spans="23:23" x14ac:dyDescent="0.55000000000000004">
      <c r="W42142"/>
    </row>
    <row r="42143" spans="23:23" x14ac:dyDescent="0.55000000000000004">
      <c r="W42143"/>
    </row>
    <row r="42144" spans="23:23" x14ac:dyDescent="0.55000000000000004">
      <c r="W42144"/>
    </row>
    <row r="42145" spans="23:23" x14ac:dyDescent="0.55000000000000004">
      <c r="W42145"/>
    </row>
    <row r="42146" spans="23:23" x14ac:dyDescent="0.55000000000000004">
      <c r="W42146"/>
    </row>
    <row r="42147" spans="23:23" x14ac:dyDescent="0.55000000000000004">
      <c r="W42147"/>
    </row>
    <row r="42148" spans="23:23" x14ac:dyDescent="0.55000000000000004">
      <c r="W42148"/>
    </row>
    <row r="42149" spans="23:23" x14ac:dyDescent="0.55000000000000004">
      <c r="W42149"/>
    </row>
    <row r="42150" spans="23:23" x14ac:dyDescent="0.55000000000000004">
      <c r="W42150"/>
    </row>
    <row r="42151" spans="23:23" x14ac:dyDescent="0.55000000000000004">
      <c r="W42151"/>
    </row>
    <row r="42152" spans="23:23" x14ac:dyDescent="0.55000000000000004">
      <c r="W42152"/>
    </row>
    <row r="42153" spans="23:23" x14ac:dyDescent="0.55000000000000004">
      <c r="W42153"/>
    </row>
    <row r="42154" spans="23:23" x14ac:dyDescent="0.55000000000000004">
      <c r="W42154"/>
    </row>
    <row r="42155" spans="23:23" x14ac:dyDescent="0.55000000000000004">
      <c r="W42155"/>
    </row>
    <row r="42156" spans="23:23" x14ac:dyDescent="0.55000000000000004">
      <c r="W42156"/>
    </row>
    <row r="42157" spans="23:23" x14ac:dyDescent="0.55000000000000004">
      <c r="W42157"/>
    </row>
    <row r="42158" spans="23:23" x14ac:dyDescent="0.55000000000000004">
      <c r="W42158"/>
    </row>
    <row r="42159" spans="23:23" x14ac:dyDescent="0.55000000000000004">
      <c r="W42159"/>
    </row>
    <row r="42160" spans="23:23" x14ac:dyDescent="0.55000000000000004">
      <c r="W42160"/>
    </row>
    <row r="42161" spans="23:23" x14ac:dyDescent="0.55000000000000004">
      <c r="W42161"/>
    </row>
    <row r="42162" spans="23:23" x14ac:dyDescent="0.55000000000000004">
      <c r="W42162"/>
    </row>
    <row r="42163" spans="23:23" x14ac:dyDescent="0.55000000000000004">
      <c r="W42163"/>
    </row>
    <row r="42164" spans="23:23" x14ac:dyDescent="0.55000000000000004">
      <c r="W42164"/>
    </row>
    <row r="42165" spans="23:23" x14ac:dyDescent="0.55000000000000004">
      <c r="W42165"/>
    </row>
    <row r="42166" spans="23:23" x14ac:dyDescent="0.55000000000000004">
      <c r="W42166"/>
    </row>
    <row r="42167" spans="23:23" x14ac:dyDescent="0.55000000000000004">
      <c r="W42167"/>
    </row>
    <row r="42168" spans="23:23" x14ac:dyDescent="0.55000000000000004">
      <c r="W42168"/>
    </row>
    <row r="42169" spans="23:23" x14ac:dyDescent="0.55000000000000004">
      <c r="W42169"/>
    </row>
    <row r="42170" spans="23:23" x14ac:dyDescent="0.55000000000000004">
      <c r="W42170"/>
    </row>
    <row r="42171" spans="23:23" x14ac:dyDescent="0.55000000000000004">
      <c r="W42171"/>
    </row>
    <row r="42172" spans="23:23" x14ac:dyDescent="0.55000000000000004">
      <c r="W42172"/>
    </row>
    <row r="42173" spans="23:23" x14ac:dyDescent="0.55000000000000004">
      <c r="W42173"/>
    </row>
    <row r="42174" spans="23:23" x14ac:dyDescent="0.55000000000000004">
      <c r="W42174"/>
    </row>
    <row r="42175" spans="23:23" x14ac:dyDescent="0.55000000000000004">
      <c r="W42175"/>
    </row>
    <row r="42176" spans="23:23" x14ac:dyDescent="0.55000000000000004">
      <c r="W42176"/>
    </row>
    <row r="42177" spans="23:23" x14ac:dyDescent="0.55000000000000004">
      <c r="W42177"/>
    </row>
    <row r="42178" spans="23:23" x14ac:dyDescent="0.55000000000000004">
      <c r="W42178"/>
    </row>
    <row r="42179" spans="23:23" x14ac:dyDescent="0.55000000000000004">
      <c r="W42179"/>
    </row>
    <row r="42180" spans="23:23" x14ac:dyDescent="0.55000000000000004">
      <c r="W42180"/>
    </row>
    <row r="42181" spans="23:23" x14ac:dyDescent="0.55000000000000004">
      <c r="W42181"/>
    </row>
    <row r="42182" spans="23:23" x14ac:dyDescent="0.55000000000000004">
      <c r="W42182"/>
    </row>
    <row r="42183" spans="23:23" x14ac:dyDescent="0.55000000000000004">
      <c r="W42183"/>
    </row>
    <row r="42184" spans="23:23" x14ac:dyDescent="0.55000000000000004">
      <c r="W42184"/>
    </row>
    <row r="42185" spans="23:23" x14ac:dyDescent="0.55000000000000004">
      <c r="W42185"/>
    </row>
    <row r="42186" spans="23:23" x14ac:dyDescent="0.55000000000000004">
      <c r="W42186"/>
    </row>
    <row r="42187" spans="23:23" x14ac:dyDescent="0.55000000000000004">
      <c r="W42187"/>
    </row>
    <row r="42188" spans="23:23" x14ac:dyDescent="0.55000000000000004">
      <c r="W42188"/>
    </row>
    <row r="42189" spans="23:23" x14ac:dyDescent="0.55000000000000004">
      <c r="W42189"/>
    </row>
    <row r="42190" spans="23:23" x14ac:dyDescent="0.55000000000000004">
      <c r="W42190"/>
    </row>
    <row r="42191" spans="23:23" x14ac:dyDescent="0.55000000000000004">
      <c r="W42191"/>
    </row>
    <row r="42192" spans="23:23" x14ac:dyDescent="0.55000000000000004">
      <c r="W42192"/>
    </row>
    <row r="42193" spans="23:23" x14ac:dyDescent="0.55000000000000004">
      <c r="W42193"/>
    </row>
    <row r="42194" spans="23:23" x14ac:dyDescent="0.55000000000000004">
      <c r="W42194"/>
    </row>
    <row r="42195" spans="23:23" x14ac:dyDescent="0.55000000000000004">
      <c r="W42195"/>
    </row>
    <row r="42196" spans="23:23" x14ac:dyDescent="0.55000000000000004">
      <c r="W42196"/>
    </row>
    <row r="42197" spans="23:23" x14ac:dyDescent="0.55000000000000004">
      <c r="W42197"/>
    </row>
    <row r="42198" spans="23:23" x14ac:dyDescent="0.55000000000000004">
      <c r="W42198"/>
    </row>
    <row r="42199" spans="23:23" x14ac:dyDescent="0.55000000000000004">
      <c r="W42199"/>
    </row>
    <row r="42200" spans="23:23" x14ac:dyDescent="0.55000000000000004">
      <c r="W42200"/>
    </row>
    <row r="42201" spans="23:23" x14ac:dyDescent="0.55000000000000004">
      <c r="W42201"/>
    </row>
    <row r="42202" spans="23:23" x14ac:dyDescent="0.55000000000000004">
      <c r="W42202"/>
    </row>
    <row r="42203" spans="23:23" x14ac:dyDescent="0.55000000000000004">
      <c r="W42203"/>
    </row>
    <row r="42204" spans="23:23" x14ac:dyDescent="0.55000000000000004">
      <c r="W42204"/>
    </row>
    <row r="42205" spans="23:23" x14ac:dyDescent="0.55000000000000004">
      <c r="W42205"/>
    </row>
    <row r="42206" spans="23:23" x14ac:dyDescent="0.55000000000000004">
      <c r="W42206"/>
    </row>
    <row r="42207" spans="23:23" x14ac:dyDescent="0.55000000000000004">
      <c r="W42207"/>
    </row>
    <row r="42208" spans="23:23" x14ac:dyDescent="0.55000000000000004">
      <c r="W42208"/>
    </row>
    <row r="42209" spans="23:23" x14ac:dyDescent="0.55000000000000004">
      <c r="W42209"/>
    </row>
    <row r="42210" spans="23:23" x14ac:dyDescent="0.55000000000000004">
      <c r="W42210"/>
    </row>
    <row r="42211" spans="23:23" x14ac:dyDescent="0.55000000000000004">
      <c r="W42211"/>
    </row>
    <row r="42212" spans="23:23" x14ac:dyDescent="0.55000000000000004">
      <c r="W42212"/>
    </row>
    <row r="42213" spans="23:23" x14ac:dyDescent="0.55000000000000004">
      <c r="W42213"/>
    </row>
    <row r="42214" spans="23:23" x14ac:dyDescent="0.55000000000000004">
      <c r="W42214"/>
    </row>
    <row r="42215" spans="23:23" x14ac:dyDescent="0.55000000000000004">
      <c r="W42215"/>
    </row>
    <row r="42216" spans="23:23" x14ac:dyDescent="0.55000000000000004">
      <c r="W42216"/>
    </row>
    <row r="42217" spans="23:23" x14ac:dyDescent="0.55000000000000004">
      <c r="W42217"/>
    </row>
    <row r="42218" spans="23:23" x14ac:dyDescent="0.55000000000000004">
      <c r="W42218"/>
    </row>
    <row r="42219" spans="23:23" x14ac:dyDescent="0.55000000000000004">
      <c r="W42219"/>
    </row>
    <row r="42220" spans="23:23" x14ac:dyDescent="0.55000000000000004">
      <c r="W42220"/>
    </row>
    <row r="42221" spans="23:23" x14ac:dyDescent="0.55000000000000004">
      <c r="W42221"/>
    </row>
    <row r="42222" spans="23:23" x14ac:dyDescent="0.55000000000000004">
      <c r="W42222"/>
    </row>
    <row r="42223" spans="23:23" x14ac:dyDescent="0.55000000000000004">
      <c r="W42223"/>
    </row>
    <row r="42224" spans="23:23" x14ac:dyDescent="0.55000000000000004">
      <c r="W42224"/>
    </row>
    <row r="42225" spans="23:23" x14ac:dyDescent="0.55000000000000004">
      <c r="W42225"/>
    </row>
    <row r="42226" spans="23:23" x14ac:dyDescent="0.55000000000000004">
      <c r="W42226"/>
    </row>
    <row r="42227" spans="23:23" x14ac:dyDescent="0.55000000000000004">
      <c r="W42227"/>
    </row>
    <row r="42228" spans="23:23" x14ac:dyDescent="0.55000000000000004">
      <c r="W42228"/>
    </row>
    <row r="42229" spans="23:23" x14ac:dyDescent="0.55000000000000004">
      <c r="W42229"/>
    </row>
    <row r="42230" spans="23:23" x14ac:dyDescent="0.55000000000000004">
      <c r="W42230"/>
    </row>
    <row r="42231" spans="23:23" x14ac:dyDescent="0.55000000000000004">
      <c r="W42231"/>
    </row>
    <row r="42232" spans="23:23" x14ac:dyDescent="0.55000000000000004">
      <c r="W42232"/>
    </row>
    <row r="42233" spans="23:23" x14ac:dyDescent="0.55000000000000004">
      <c r="W42233"/>
    </row>
    <row r="42234" spans="23:23" x14ac:dyDescent="0.55000000000000004">
      <c r="W42234"/>
    </row>
    <row r="42235" spans="23:23" x14ac:dyDescent="0.55000000000000004">
      <c r="W42235"/>
    </row>
    <row r="42236" spans="23:23" x14ac:dyDescent="0.55000000000000004">
      <c r="W42236"/>
    </row>
    <row r="42237" spans="23:23" x14ac:dyDescent="0.55000000000000004">
      <c r="W42237"/>
    </row>
    <row r="42238" spans="23:23" x14ac:dyDescent="0.55000000000000004">
      <c r="W42238"/>
    </row>
    <row r="42239" spans="23:23" x14ac:dyDescent="0.55000000000000004">
      <c r="W42239"/>
    </row>
    <row r="42240" spans="23:23" x14ac:dyDescent="0.55000000000000004">
      <c r="W42240"/>
    </row>
    <row r="42241" spans="23:23" x14ac:dyDescent="0.55000000000000004">
      <c r="W42241"/>
    </row>
    <row r="42242" spans="23:23" x14ac:dyDescent="0.55000000000000004">
      <c r="W42242"/>
    </row>
    <row r="42243" spans="23:23" x14ac:dyDescent="0.55000000000000004">
      <c r="W42243"/>
    </row>
    <row r="42244" spans="23:23" x14ac:dyDescent="0.55000000000000004">
      <c r="W42244"/>
    </row>
    <row r="42245" spans="23:23" x14ac:dyDescent="0.55000000000000004">
      <c r="W42245"/>
    </row>
    <row r="42246" spans="23:23" x14ac:dyDescent="0.55000000000000004">
      <c r="W42246"/>
    </row>
    <row r="42247" spans="23:23" x14ac:dyDescent="0.55000000000000004">
      <c r="W42247"/>
    </row>
    <row r="42248" spans="23:23" x14ac:dyDescent="0.55000000000000004">
      <c r="W42248"/>
    </row>
    <row r="42249" spans="23:23" x14ac:dyDescent="0.55000000000000004">
      <c r="W42249"/>
    </row>
    <row r="42250" spans="23:23" x14ac:dyDescent="0.55000000000000004">
      <c r="W42250"/>
    </row>
    <row r="42251" spans="23:23" x14ac:dyDescent="0.55000000000000004">
      <c r="W42251"/>
    </row>
    <row r="42252" spans="23:23" x14ac:dyDescent="0.55000000000000004">
      <c r="W42252"/>
    </row>
    <row r="42253" spans="23:23" x14ac:dyDescent="0.55000000000000004">
      <c r="W42253"/>
    </row>
    <row r="42254" spans="23:23" x14ac:dyDescent="0.55000000000000004">
      <c r="W42254"/>
    </row>
    <row r="42255" spans="23:23" x14ac:dyDescent="0.55000000000000004">
      <c r="W42255"/>
    </row>
    <row r="42256" spans="23:23" x14ac:dyDescent="0.55000000000000004">
      <c r="W42256"/>
    </row>
    <row r="42257" spans="23:23" x14ac:dyDescent="0.55000000000000004">
      <c r="W42257"/>
    </row>
    <row r="42258" spans="23:23" x14ac:dyDescent="0.55000000000000004">
      <c r="W42258"/>
    </row>
    <row r="42259" spans="23:23" x14ac:dyDescent="0.55000000000000004">
      <c r="W42259"/>
    </row>
    <row r="42260" spans="23:23" x14ac:dyDescent="0.55000000000000004">
      <c r="W42260"/>
    </row>
    <row r="42261" spans="23:23" x14ac:dyDescent="0.55000000000000004">
      <c r="W42261"/>
    </row>
    <row r="42262" spans="23:23" x14ac:dyDescent="0.55000000000000004">
      <c r="W42262"/>
    </row>
    <row r="42263" spans="23:23" x14ac:dyDescent="0.55000000000000004">
      <c r="W42263"/>
    </row>
    <row r="42264" spans="23:23" x14ac:dyDescent="0.55000000000000004">
      <c r="W42264"/>
    </row>
    <row r="42265" spans="23:23" x14ac:dyDescent="0.55000000000000004">
      <c r="W42265"/>
    </row>
    <row r="42266" spans="23:23" x14ac:dyDescent="0.55000000000000004">
      <c r="W42266"/>
    </row>
    <row r="42267" spans="23:23" x14ac:dyDescent="0.55000000000000004">
      <c r="W42267"/>
    </row>
    <row r="42268" spans="23:23" x14ac:dyDescent="0.55000000000000004">
      <c r="W42268"/>
    </row>
    <row r="42269" spans="23:23" x14ac:dyDescent="0.55000000000000004">
      <c r="W42269"/>
    </row>
    <row r="42270" spans="23:23" x14ac:dyDescent="0.55000000000000004">
      <c r="W42270"/>
    </row>
    <row r="42271" spans="23:23" x14ac:dyDescent="0.55000000000000004">
      <c r="W42271"/>
    </row>
    <row r="42272" spans="23:23" x14ac:dyDescent="0.55000000000000004">
      <c r="W42272"/>
    </row>
    <row r="42273" spans="23:23" x14ac:dyDescent="0.55000000000000004">
      <c r="W42273"/>
    </row>
    <row r="42274" spans="23:23" x14ac:dyDescent="0.55000000000000004">
      <c r="W42274"/>
    </row>
    <row r="42275" spans="23:23" x14ac:dyDescent="0.55000000000000004">
      <c r="W42275"/>
    </row>
    <row r="42276" spans="23:23" x14ac:dyDescent="0.55000000000000004">
      <c r="W42276"/>
    </row>
    <row r="42277" spans="23:23" x14ac:dyDescent="0.55000000000000004">
      <c r="W42277"/>
    </row>
    <row r="42278" spans="23:23" x14ac:dyDescent="0.55000000000000004">
      <c r="W42278"/>
    </row>
    <row r="42279" spans="23:23" x14ac:dyDescent="0.55000000000000004">
      <c r="W42279"/>
    </row>
    <row r="42280" spans="23:23" x14ac:dyDescent="0.55000000000000004">
      <c r="W42280"/>
    </row>
    <row r="42281" spans="23:23" x14ac:dyDescent="0.55000000000000004">
      <c r="W42281"/>
    </row>
    <row r="42282" spans="23:23" x14ac:dyDescent="0.55000000000000004">
      <c r="W42282"/>
    </row>
    <row r="42283" spans="23:23" x14ac:dyDescent="0.55000000000000004">
      <c r="W42283"/>
    </row>
    <row r="42284" spans="23:23" x14ac:dyDescent="0.55000000000000004">
      <c r="W42284"/>
    </row>
    <row r="42285" spans="23:23" x14ac:dyDescent="0.55000000000000004">
      <c r="W42285"/>
    </row>
    <row r="42286" spans="23:23" x14ac:dyDescent="0.55000000000000004">
      <c r="W42286"/>
    </row>
    <row r="42287" spans="23:23" x14ac:dyDescent="0.55000000000000004">
      <c r="W42287"/>
    </row>
    <row r="42288" spans="23:23" x14ac:dyDescent="0.55000000000000004">
      <c r="W42288"/>
    </row>
    <row r="42289" spans="23:23" x14ac:dyDescent="0.55000000000000004">
      <c r="W42289"/>
    </row>
    <row r="42290" spans="23:23" x14ac:dyDescent="0.55000000000000004">
      <c r="W42290"/>
    </row>
    <row r="42291" spans="23:23" x14ac:dyDescent="0.55000000000000004">
      <c r="W42291"/>
    </row>
    <row r="42292" spans="23:23" x14ac:dyDescent="0.55000000000000004">
      <c r="W42292"/>
    </row>
    <row r="42293" spans="23:23" x14ac:dyDescent="0.55000000000000004">
      <c r="W42293"/>
    </row>
    <row r="42294" spans="23:23" x14ac:dyDescent="0.55000000000000004">
      <c r="W42294"/>
    </row>
    <row r="42295" spans="23:23" x14ac:dyDescent="0.55000000000000004">
      <c r="W42295"/>
    </row>
    <row r="42296" spans="23:23" x14ac:dyDescent="0.55000000000000004">
      <c r="W42296"/>
    </row>
    <row r="42297" spans="23:23" x14ac:dyDescent="0.55000000000000004">
      <c r="W42297"/>
    </row>
    <row r="42298" spans="23:23" x14ac:dyDescent="0.55000000000000004">
      <c r="W42298"/>
    </row>
    <row r="42299" spans="23:23" x14ac:dyDescent="0.55000000000000004">
      <c r="W42299"/>
    </row>
    <row r="42300" spans="23:23" x14ac:dyDescent="0.55000000000000004">
      <c r="W42300"/>
    </row>
    <row r="42301" spans="23:23" x14ac:dyDescent="0.55000000000000004">
      <c r="W42301"/>
    </row>
    <row r="42302" spans="23:23" x14ac:dyDescent="0.55000000000000004">
      <c r="W42302"/>
    </row>
    <row r="42303" spans="23:23" x14ac:dyDescent="0.55000000000000004">
      <c r="W42303"/>
    </row>
    <row r="42304" spans="23:23" x14ac:dyDescent="0.55000000000000004">
      <c r="W42304"/>
    </row>
    <row r="42305" spans="23:23" x14ac:dyDescent="0.55000000000000004">
      <c r="W42305"/>
    </row>
    <row r="42306" spans="23:23" x14ac:dyDescent="0.55000000000000004">
      <c r="W42306"/>
    </row>
    <row r="42307" spans="23:23" x14ac:dyDescent="0.55000000000000004">
      <c r="W42307"/>
    </row>
    <row r="42308" spans="23:23" x14ac:dyDescent="0.55000000000000004">
      <c r="W42308"/>
    </row>
    <row r="42309" spans="23:23" x14ac:dyDescent="0.55000000000000004">
      <c r="W42309"/>
    </row>
    <row r="42310" spans="23:23" x14ac:dyDescent="0.55000000000000004">
      <c r="W42310"/>
    </row>
    <row r="42311" spans="23:23" x14ac:dyDescent="0.55000000000000004">
      <c r="W42311"/>
    </row>
    <row r="42312" spans="23:23" x14ac:dyDescent="0.55000000000000004">
      <c r="W42312"/>
    </row>
    <row r="42313" spans="23:23" x14ac:dyDescent="0.55000000000000004">
      <c r="W42313"/>
    </row>
    <row r="42314" spans="23:23" x14ac:dyDescent="0.55000000000000004">
      <c r="W42314"/>
    </row>
    <row r="42315" spans="23:23" x14ac:dyDescent="0.55000000000000004">
      <c r="W42315"/>
    </row>
    <row r="42316" spans="23:23" x14ac:dyDescent="0.55000000000000004">
      <c r="W42316"/>
    </row>
    <row r="42317" spans="23:23" x14ac:dyDescent="0.55000000000000004">
      <c r="W42317"/>
    </row>
    <row r="42318" spans="23:23" x14ac:dyDescent="0.55000000000000004">
      <c r="W42318"/>
    </row>
    <row r="42319" spans="23:23" x14ac:dyDescent="0.55000000000000004">
      <c r="W42319"/>
    </row>
    <row r="42320" spans="23:23" x14ac:dyDescent="0.55000000000000004">
      <c r="W42320"/>
    </row>
    <row r="42321" spans="23:23" x14ac:dyDescent="0.55000000000000004">
      <c r="W42321"/>
    </row>
    <row r="42322" spans="23:23" x14ac:dyDescent="0.55000000000000004">
      <c r="W42322"/>
    </row>
    <row r="42323" spans="23:23" x14ac:dyDescent="0.55000000000000004">
      <c r="W42323"/>
    </row>
    <row r="42324" spans="23:23" x14ac:dyDescent="0.55000000000000004">
      <c r="W42324"/>
    </row>
    <row r="42325" spans="23:23" x14ac:dyDescent="0.55000000000000004">
      <c r="W42325"/>
    </row>
    <row r="42326" spans="23:23" x14ac:dyDescent="0.55000000000000004">
      <c r="W42326"/>
    </row>
    <row r="42327" spans="23:23" x14ac:dyDescent="0.55000000000000004">
      <c r="W42327"/>
    </row>
    <row r="42328" spans="23:23" x14ac:dyDescent="0.55000000000000004">
      <c r="W42328"/>
    </row>
    <row r="42329" spans="23:23" x14ac:dyDescent="0.55000000000000004">
      <c r="W42329"/>
    </row>
    <row r="42330" spans="23:23" x14ac:dyDescent="0.55000000000000004">
      <c r="W42330"/>
    </row>
    <row r="42331" spans="23:23" x14ac:dyDescent="0.55000000000000004">
      <c r="W42331"/>
    </row>
    <row r="42332" spans="23:23" x14ac:dyDescent="0.55000000000000004">
      <c r="W42332"/>
    </row>
    <row r="42333" spans="23:23" x14ac:dyDescent="0.55000000000000004">
      <c r="W42333"/>
    </row>
    <row r="42334" spans="23:23" x14ac:dyDescent="0.55000000000000004">
      <c r="W42334"/>
    </row>
    <row r="42335" spans="23:23" x14ac:dyDescent="0.55000000000000004">
      <c r="W42335"/>
    </row>
    <row r="42336" spans="23:23" x14ac:dyDescent="0.55000000000000004">
      <c r="W42336"/>
    </row>
    <row r="42337" spans="23:23" x14ac:dyDescent="0.55000000000000004">
      <c r="W42337"/>
    </row>
    <row r="42338" spans="23:23" x14ac:dyDescent="0.55000000000000004">
      <c r="W42338"/>
    </row>
    <row r="42339" spans="23:23" x14ac:dyDescent="0.55000000000000004">
      <c r="W42339"/>
    </row>
    <row r="42340" spans="23:23" x14ac:dyDescent="0.55000000000000004">
      <c r="W42340"/>
    </row>
    <row r="42341" spans="23:23" x14ac:dyDescent="0.55000000000000004">
      <c r="W42341"/>
    </row>
    <row r="42342" spans="23:23" x14ac:dyDescent="0.55000000000000004">
      <c r="W42342"/>
    </row>
    <row r="42343" spans="23:23" x14ac:dyDescent="0.55000000000000004">
      <c r="W42343"/>
    </row>
    <row r="42344" spans="23:23" x14ac:dyDescent="0.55000000000000004">
      <c r="W42344"/>
    </row>
    <row r="42345" spans="23:23" x14ac:dyDescent="0.55000000000000004">
      <c r="W42345"/>
    </row>
    <row r="42346" spans="23:23" x14ac:dyDescent="0.55000000000000004">
      <c r="W42346"/>
    </row>
    <row r="42347" spans="23:23" x14ac:dyDescent="0.55000000000000004">
      <c r="W42347"/>
    </row>
    <row r="42348" spans="23:23" x14ac:dyDescent="0.55000000000000004">
      <c r="W42348"/>
    </row>
    <row r="42349" spans="23:23" x14ac:dyDescent="0.55000000000000004">
      <c r="W42349"/>
    </row>
    <row r="42350" spans="23:23" x14ac:dyDescent="0.55000000000000004">
      <c r="W42350"/>
    </row>
    <row r="42351" spans="23:23" x14ac:dyDescent="0.55000000000000004">
      <c r="W42351"/>
    </row>
    <row r="42352" spans="23:23" x14ac:dyDescent="0.55000000000000004">
      <c r="W42352"/>
    </row>
    <row r="42353" spans="23:23" x14ac:dyDescent="0.55000000000000004">
      <c r="W42353"/>
    </row>
    <row r="42354" spans="23:23" x14ac:dyDescent="0.55000000000000004">
      <c r="W42354"/>
    </row>
    <row r="42355" spans="23:23" x14ac:dyDescent="0.55000000000000004">
      <c r="W42355"/>
    </row>
    <row r="42356" spans="23:23" x14ac:dyDescent="0.55000000000000004">
      <c r="W42356"/>
    </row>
    <row r="42357" spans="23:23" x14ac:dyDescent="0.55000000000000004">
      <c r="W42357"/>
    </row>
    <row r="42358" spans="23:23" x14ac:dyDescent="0.55000000000000004">
      <c r="W42358"/>
    </row>
    <row r="42359" spans="23:23" x14ac:dyDescent="0.55000000000000004">
      <c r="W42359"/>
    </row>
    <row r="42360" spans="23:23" x14ac:dyDescent="0.55000000000000004">
      <c r="W42360"/>
    </row>
    <row r="42361" spans="23:23" x14ac:dyDescent="0.55000000000000004">
      <c r="W42361"/>
    </row>
    <row r="42362" spans="23:23" x14ac:dyDescent="0.55000000000000004">
      <c r="W42362"/>
    </row>
    <row r="42363" spans="23:23" x14ac:dyDescent="0.55000000000000004">
      <c r="W42363"/>
    </row>
    <row r="42364" spans="23:23" x14ac:dyDescent="0.55000000000000004">
      <c r="W42364"/>
    </row>
    <row r="42365" spans="23:23" x14ac:dyDescent="0.55000000000000004">
      <c r="W42365"/>
    </row>
    <row r="42366" spans="23:23" x14ac:dyDescent="0.55000000000000004">
      <c r="W42366"/>
    </row>
    <row r="42367" spans="23:23" x14ac:dyDescent="0.55000000000000004">
      <c r="W42367"/>
    </row>
    <row r="42368" spans="23:23" x14ac:dyDescent="0.55000000000000004">
      <c r="W42368"/>
    </row>
    <row r="42369" spans="23:23" x14ac:dyDescent="0.55000000000000004">
      <c r="W42369"/>
    </row>
    <row r="42370" spans="23:23" x14ac:dyDescent="0.55000000000000004">
      <c r="W42370"/>
    </row>
    <row r="42371" spans="23:23" x14ac:dyDescent="0.55000000000000004">
      <c r="W42371"/>
    </row>
    <row r="42372" spans="23:23" x14ac:dyDescent="0.55000000000000004">
      <c r="W42372"/>
    </row>
    <row r="42373" spans="23:23" x14ac:dyDescent="0.55000000000000004">
      <c r="W42373"/>
    </row>
    <row r="42374" spans="23:23" x14ac:dyDescent="0.55000000000000004">
      <c r="W42374"/>
    </row>
    <row r="42375" spans="23:23" x14ac:dyDescent="0.55000000000000004">
      <c r="W42375"/>
    </row>
    <row r="42376" spans="23:23" x14ac:dyDescent="0.55000000000000004">
      <c r="W42376"/>
    </row>
    <row r="42377" spans="23:23" x14ac:dyDescent="0.55000000000000004">
      <c r="W42377"/>
    </row>
    <row r="42378" spans="23:23" x14ac:dyDescent="0.55000000000000004">
      <c r="W42378"/>
    </row>
    <row r="42379" spans="23:23" x14ac:dyDescent="0.55000000000000004">
      <c r="W42379"/>
    </row>
    <row r="42380" spans="23:23" x14ac:dyDescent="0.55000000000000004">
      <c r="W42380"/>
    </row>
    <row r="42381" spans="23:23" x14ac:dyDescent="0.55000000000000004">
      <c r="W42381"/>
    </row>
    <row r="42382" spans="23:23" x14ac:dyDescent="0.55000000000000004">
      <c r="W42382"/>
    </row>
    <row r="42383" spans="23:23" x14ac:dyDescent="0.55000000000000004">
      <c r="W42383"/>
    </row>
    <row r="42384" spans="23:23" x14ac:dyDescent="0.55000000000000004">
      <c r="W42384"/>
    </row>
    <row r="42385" spans="23:23" x14ac:dyDescent="0.55000000000000004">
      <c r="W42385"/>
    </row>
    <row r="42386" spans="23:23" x14ac:dyDescent="0.55000000000000004">
      <c r="W42386"/>
    </row>
    <row r="42387" spans="23:23" x14ac:dyDescent="0.55000000000000004">
      <c r="W42387"/>
    </row>
    <row r="42388" spans="23:23" x14ac:dyDescent="0.55000000000000004">
      <c r="W42388"/>
    </row>
    <row r="42389" spans="23:23" x14ac:dyDescent="0.55000000000000004">
      <c r="W42389"/>
    </row>
    <row r="42390" spans="23:23" x14ac:dyDescent="0.55000000000000004">
      <c r="W42390"/>
    </row>
    <row r="42391" spans="23:23" x14ac:dyDescent="0.55000000000000004">
      <c r="W42391"/>
    </row>
    <row r="42392" spans="23:23" x14ac:dyDescent="0.55000000000000004">
      <c r="W42392"/>
    </row>
    <row r="42393" spans="23:23" x14ac:dyDescent="0.55000000000000004">
      <c r="W42393"/>
    </row>
    <row r="42394" spans="23:23" x14ac:dyDescent="0.55000000000000004">
      <c r="W42394"/>
    </row>
    <row r="42395" spans="23:23" x14ac:dyDescent="0.55000000000000004">
      <c r="W42395"/>
    </row>
    <row r="42396" spans="23:23" x14ac:dyDescent="0.55000000000000004">
      <c r="W42396"/>
    </row>
    <row r="42397" spans="23:23" x14ac:dyDescent="0.55000000000000004">
      <c r="W42397"/>
    </row>
    <row r="42398" spans="23:23" x14ac:dyDescent="0.55000000000000004">
      <c r="W42398"/>
    </row>
    <row r="42399" spans="23:23" x14ac:dyDescent="0.55000000000000004">
      <c r="W42399"/>
    </row>
    <row r="42400" spans="23:23" x14ac:dyDescent="0.55000000000000004">
      <c r="W42400"/>
    </row>
    <row r="42401" spans="23:23" x14ac:dyDescent="0.55000000000000004">
      <c r="W42401"/>
    </row>
    <row r="42402" spans="23:23" x14ac:dyDescent="0.55000000000000004">
      <c r="W42402"/>
    </row>
    <row r="42403" spans="23:23" x14ac:dyDescent="0.55000000000000004">
      <c r="W42403"/>
    </row>
    <row r="42404" spans="23:23" x14ac:dyDescent="0.55000000000000004">
      <c r="W42404"/>
    </row>
    <row r="42405" spans="23:23" x14ac:dyDescent="0.55000000000000004">
      <c r="W42405"/>
    </row>
    <row r="42406" spans="23:23" x14ac:dyDescent="0.55000000000000004">
      <c r="W42406"/>
    </row>
    <row r="42407" spans="23:23" x14ac:dyDescent="0.55000000000000004">
      <c r="W42407"/>
    </row>
    <row r="42408" spans="23:23" x14ac:dyDescent="0.55000000000000004">
      <c r="W42408"/>
    </row>
    <row r="42409" spans="23:23" x14ac:dyDescent="0.55000000000000004">
      <c r="W42409"/>
    </row>
    <row r="42410" spans="23:23" x14ac:dyDescent="0.55000000000000004">
      <c r="W42410"/>
    </row>
    <row r="42411" spans="23:23" x14ac:dyDescent="0.55000000000000004">
      <c r="W42411"/>
    </row>
    <row r="42412" spans="23:23" x14ac:dyDescent="0.55000000000000004">
      <c r="W42412"/>
    </row>
    <row r="42413" spans="23:23" x14ac:dyDescent="0.55000000000000004">
      <c r="W42413"/>
    </row>
    <row r="42414" spans="23:23" x14ac:dyDescent="0.55000000000000004">
      <c r="W42414"/>
    </row>
    <row r="42415" spans="23:23" x14ac:dyDescent="0.55000000000000004">
      <c r="W42415"/>
    </row>
    <row r="42416" spans="23:23" x14ac:dyDescent="0.55000000000000004">
      <c r="W42416"/>
    </row>
    <row r="42417" spans="23:23" x14ac:dyDescent="0.55000000000000004">
      <c r="W42417"/>
    </row>
    <row r="42418" spans="23:23" x14ac:dyDescent="0.55000000000000004">
      <c r="W42418"/>
    </row>
    <row r="42419" spans="23:23" x14ac:dyDescent="0.55000000000000004">
      <c r="W42419"/>
    </row>
    <row r="42420" spans="23:23" x14ac:dyDescent="0.55000000000000004">
      <c r="W42420"/>
    </row>
    <row r="42421" spans="23:23" x14ac:dyDescent="0.55000000000000004">
      <c r="W42421"/>
    </row>
    <row r="42422" spans="23:23" x14ac:dyDescent="0.55000000000000004">
      <c r="W42422"/>
    </row>
    <row r="42423" spans="23:23" x14ac:dyDescent="0.55000000000000004">
      <c r="W42423"/>
    </row>
    <row r="42424" spans="23:23" x14ac:dyDescent="0.55000000000000004">
      <c r="W42424"/>
    </row>
    <row r="42425" spans="23:23" x14ac:dyDescent="0.55000000000000004">
      <c r="W42425"/>
    </row>
    <row r="42426" spans="23:23" x14ac:dyDescent="0.55000000000000004">
      <c r="W42426"/>
    </row>
    <row r="42427" spans="23:23" x14ac:dyDescent="0.55000000000000004">
      <c r="W42427"/>
    </row>
    <row r="42428" spans="23:23" x14ac:dyDescent="0.55000000000000004">
      <c r="W42428"/>
    </row>
    <row r="42429" spans="23:23" x14ac:dyDescent="0.55000000000000004">
      <c r="W42429"/>
    </row>
    <row r="42430" spans="23:23" x14ac:dyDescent="0.55000000000000004">
      <c r="W42430"/>
    </row>
    <row r="42431" spans="23:23" x14ac:dyDescent="0.55000000000000004">
      <c r="W42431"/>
    </row>
    <row r="42432" spans="23:23" x14ac:dyDescent="0.55000000000000004">
      <c r="W42432"/>
    </row>
    <row r="42433" spans="23:23" x14ac:dyDescent="0.55000000000000004">
      <c r="W42433"/>
    </row>
    <row r="42434" spans="23:23" x14ac:dyDescent="0.55000000000000004">
      <c r="W42434"/>
    </row>
    <row r="42435" spans="23:23" x14ac:dyDescent="0.55000000000000004">
      <c r="W42435"/>
    </row>
    <row r="42436" spans="23:23" x14ac:dyDescent="0.55000000000000004">
      <c r="W42436"/>
    </row>
    <row r="42437" spans="23:23" x14ac:dyDescent="0.55000000000000004">
      <c r="W42437"/>
    </row>
    <row r="42438" spans="23:23" x14ac:dyDescent="0.55000000000000004">
      <c r="W42438"/>
    </row>
    <row r="42439" spans="23:23" x14ac:dyDescent="0.55000000000000004">
      <c r="W42439"/>
    </row>
    <row r="42440" spans="23:23" x14ac:dyDescent="0.55000000000000004">
      <c r="W42440"/>
    </row>
    <row r="42441" spans="23:23" x14ac:dyDescent="0.55000000000000004">
      <c r="W42441"/>
    </row>
    <row r="42442" spans="23:23" x14ac:dyDescent="0.55000000000000004">
      <c r="W42442"/>
    </row>
    <row r="42443" spans="23:23" x14ac:dyDescent="0.55000000000000004">
      <c r="W42443"/>
    </row>
    <row r="42444" spans="23:23" x14ac:dyDescent="0.55000000000000004">
      <c r="W42444"/>
    </row>
    <row r="42445" spans="23:23" x14ac:dyDescent="0.55000000000000004">
      <c r="W42445"/>
    </row>
    <row r="42446" spans="23:23" x14ac:dyDescent="0.55000000000000004">
      <c r="W42446"/>
    </row>
    <row r="42447" spans="23:23" x14ac:dyDescent="0.55000000000000004">
      <c r="W42447"/>
    </row>
    <row r="42448" spans="23:23" x14ac:dyDescent="0.55000000000000004">
      <c r="W42448"/>
    </row>
    <row r="42449" spans="23:23" x14ac:dyDescent="0.55000000000000004">
      <c r="W42449"/>
    </row>
    <row r="42450" spans="23:23" x14ac:dyDescent="0.55000000000000004">
      <c r="W42450"/>
    </row>
    <row r="42451" spans="23:23" x14ac:dyDescent="0.55000000000000004">
      <c r="W42451"/>
    </row>
    <row r="42452" spans="23:23" x14ac:dyDescent="0.55000000000000004">
      <c r="W42452"/>
    </row>
    <row r="42453" spans="23:23" x14ac:dyDescent="0.55000000000000004">
      <c r="W42453"/>
    </row>
    <row r="42454" spans="23:23" x14ac:dyDescent="0.55000000000000004">
      <c r="W42454"/>
    </row>
    <row r="42455" spans="23:23" x14ac:dyDescent="0.55000000000000004">
      <c r="W42455"/>
    </row>
    <row r="42456" spans="23:23" x14ac:dyDescent="0.55000000000000004">
      <c r="W42456"/>
    </row>
    <row r="42457" spans="23:23" x14ac:dyDescent="0.55000000000000004">
      <c r="W42457"/>
    </row>
    <row r="42458" spans="23:23" x14ac:dyDescent="0.55000000000000004">
      <c r="W42458"/>
    </row>
    <row r="42459" spans="23:23" x14ac:dyDescent="0.55000000000000004">
      <c r="W42459"/>
    </row>
    <row r="42460" spans="23:23" x14ac:dyDescent="0.55000000000000004">
      <c r="W42460"/>
    </row>
    <row r="42461" spans="23:23" x14ac:dyDescent="0.55000000000000004">
      <c r="W42461"/>
    </row>
    <row r="42462" spans="23:23" x14ac:dyDescent="0.55000000000000004">
      <c r="W42462"/>
    </row>
    <row r="42463" spans="23:23" x14ac:dyDescent="0.55000000000000004">
      <c r="W42463"/>
    </row>
    <row r="42464" spans="23:23" x14ac:dyDescent="0.55000000000000004">
      <c r="W42464"/>
    </row>
    <row r="42465" spans="23:23" x14ac:dyDescent="0.55000000000000004">
      <c r="W42465"/>
    </row>
    <row r="42466" spans="23:23" x14ac:dyDescent="0.55000000000000004">
      <c r="W42466"/>
    </row>
    <row r="42467" spans="23:23" x14ac:dyDescent="0.55000000000000004">
      <c r="W42467"/>
    </row>
    <row r="42468" spans="23:23" x14ac:dyDescent="0.55000000000000004">
      <c r="W42468"/>
    </row>
    <row r="42469" spans="23:23" x14ac:dyDescent="0.55000000000000004">
      <c r="W42469"/>
    </row>
    <row r="42470" spans="23:23" x14ac:dyDescent="0.55000000000000004">
      <c r="W42470"/>
    </row>
    <row r="42471" spans="23:23" x14ac:dyDescent="0.55000000000000004">
      <c r="W42471"/>
    </row>
    <row r="42472" spans="23:23" x14ac:dyDescent="0.55000000000000004">
      <c r="W42472"/>
    </row>
    <row r="42473" spans="23:23" x14ac:dyDescent="0.55000000000000004">
      <c r="W42473"/>
    </row>
    <row r="42474" spans="23:23" x14ac:dyDescent="0.55000000000000004">
      <c r="W42474"/>
    </row>
    <row r="42475" spans="23:23" x14ac:dyDescent="0.55000000000000004">
      <c r="W42475"/>
    </row>
    <row r="42476" spans="23:23" x14ac:dyDescent="0.55000000000000004">
      <c r="W42476"/>
    </row>
    <row r="42477" spans="23:23" x14ac:dyDescent="0.55000000000000004">
      <c r="W42477"/>
    </row>
    <row r="42478" spans="23:23" x14ac:dyDescent="0.55000000000000004">
      <c r="W42478"/>
    </row>
    <row r="42479" spans="23:23" x14ac:dyDescent="0.55000000000000004">
      <c r="W42479"/>
    </row>
    <row r="42480" spans="23:23" x14ac:dyDescent="0.55000000000000004">
      <c r="W42480"/>
    </row>
    <row r="42481" spans="23:23" x14ac:dyDescent="0.55000000000000004">
      <c r="W42481"/>
    </row>
    <row r="42482" spans="23:23" x14ac:dyDescent="0.55000000000000004">
      <c r="W42482"/>
    </row>
    <row r="42483" spans="23:23" x14ac:dyDescent="0.55000000000000004">
      <c r="W42483"/>
    </row>
    <row r="42484" spans="23:23" x14ac:dyDescent="0.55000000000000004">
      <c r="W42484"/>
    </row>
    <row r="42485" spans="23:23" x14ac:dyDescent="0.55000000000000004">
      <c r="W42485"/>
    </row>
    <row r="42486" spans="23:23" x14ac:dyDescent="0.55000000000000004">
      <c r="W42486"/>
    </row>
    <row r="42487" spans="23:23" x14ac:dyDescent="0.55000000000000004">
      <c r="W42487"/>
    </row>
    <row r="42488" spans="23:23" x14ac:dyDescent="0.55000000000000004">
      <c r="W42488"/>
    </row>
    <row r="42489" spans="23:23" x14ac:dyDescent="0.55000000000000004">
      <c r="W42489"/>
    </row>
    <row r="42490" spans="23:23" x14ac:dyDescent="0.55000000000000004">
      <c r="W42490"/>
    </row>
    <row r="42491" spans="23:23" x14ac:dyDescent="0.55000000000000004">
      <c r="W42491"/>
    </row>
    <row r="42492" spans="23:23" x14ac:dyDescent="0.55000000000000004">
      <c r="W42492"/>
    </row>
    <row r="42493" spans="23:23" x14ac:dyDescent="0.55000000000000004">
      <c r="W42493"/>
    </row>
    <row r="42494" spans="23:23" x14ac:dyDescent="0.55000000000000004">
      <c r="W42494"/>
    </row>
    <row r="42495" spans="23:23" x14ac:dyDescent="0.55000000000000004">
      <c r="W42495"/>
    </row>
    <row r="42496" spans="23:23" x14ac:dyDescent="0.55000000000000004">
      <c r="W42496"/>
    </row>
    <row r="42497" spans="23:23" x14ac:dyDescent="0.55000000000000004">
      <c r="W42497"/>
    </row>
    <row r="42498" spans="23:23" x14ac:dyDescent="0.55000000000000004">
      <c r="W42498"/>
    </row>
    <row r="42499" spans="23:23" x14ac:dyDescent="0.55000000000000004">
      <c r="W42499"/>
    </row>
    <row r="42500" spans="23:23" x14ac:dyDescent="0.55000000000000004">
      <c r="W42500"/>
    </row>
    <row r="42501" spans="23:23" x14ac:dyDescent="0.55000000000000004">
      <c r="W42501"/>
    </row>
    <row r="42502" spans="23:23" x14ac:dyDescent="0.55000000000000004">
      <c r="W42502"/>
    </row>
    <row r="42503" spans="23:23" x14ac:dyDescent="0.55000000000000004">
      <c r="W42503"/>
    </row>
    <row r="42504" spans="23:23" x14ac:dyDescent="0.55000000000000004">
      <c r="W42504"/>
    </row>
    <row r="42505" spans="23:23" x14ac:dyDescent="0.55000000000000004">
      <c r="W42505"/>
    </row>
    <row r="42506" spans="23:23" x14ac:dyDescent="0.55000000000000004">
      <c r="W42506"/>
    </row>
    <row r="42507" spans="23:23" x14ac:dyDescent="0.55000000000000004">
      <c r="W42507"/>
    </row>
    <row r="42508" spans="23:23" x14ac:dyDescent="0.55000000000000004">
      <c r="W42508"/>
    </row>
    <row r="42509" spans="23:23" x14ac:dyDescent="0.55000000000000004">
      <c r="W42509"/>
    </row>
    <row r="42510" spans="23:23" x14ac:dyDescent="0.55000000000000004">
      <c r="W42510"/>
    </row>
    <row r="42511" spans="23:23" x14ac:dyDescent="0.55000000000000004">
      <c r="W42511"/>
    </row>
    <row r="42512" spans="23:23" x14ac:dyDescent="0.55000000000000004">
      <c r="W42512"/>
    </row>
    <row r="42513" spans="23:23" x14ac:dyDescent="0.55000000000000004">
      <c r="W42513"/>
    </row>
    <row r="42514" spans="23:23" x14ac:dyDescent="0.55000000000000004">
      <c r="W42514"/>
    </row>
    <row r="42515" spans="23:23" x14ac:dyDescent="0.55000000000000004">
      <c r="W42515"/>
    </row>
    <row r="42516" spans="23:23" x14ac:dyDescent="0.55000000000000004">
      <c r="W42516"/>
    </row>
    <row r="42517" spans="23:23" x14ac:dyDescent="0.55000000000000004">
      <c r="W42517"/>
    </row>
    <row r="42518" spans="23:23" x14ac:dyDescent="0.55000000000000004">
      <c r="W42518"/>
    </row>
    <row r="42519" spans="23:23" x14ac:dyDescent="0.55000000000000004">
      <c r="W42519"/>
    </row>
    <row r="42520" spans="23:23" x14ac:dyDescent="0.55000000000000004">
      <c r="W42520"/>
    </row>
    <row r="42521" spans="23:23" x14ac:dyDescent="0.55000000000000004">
      <c r="W42521"/>
    </row>
    <row r="42522" spans="23:23" x14ac:dyDescent="0.55000000000000004">
      <c r="W42522"/>
    </row>
    <row r="42523" spans="23:23" x14ac:dyDescent="0.55000000000000004">
      <c r="W42523"/>
    </row>
    <row r="42524" spans="23:23" x14ac:dyDescent="0.55000000000000004">
      <c r="W42524"/>
    </row>
    <row r="42525" spans="23:23" x14ac:dyDescent="0.55000000000000004">
      <c r="W42525"/>
    </row>
    <row r="42526" spans="23:23" x14ac:dyDescent="0.55000000000000004">
      <c r="W42526"/>
    </row>
    <row r="42527" spans="23:23" x14ac:dyDescent="0.55000000000000004">
      <c r="W42527"/>
    </row>
    <row r="42528" spans="23:23" x14ac:dyDescent="0.55000000000000004">
      <c r="W42528"/>
    </row>
    <row r="42529" spans="23:23" x14ac:dyDescent="0.55000000000000004">
      <c r="W42529"/>
    </row>
    <row r="42530" spans="23:23" x14ac:dyDescent="0.55000000000000004">
      <c r="W42530"/>
    </row>
    <row r="42531" spans="23:23" x14ac:dyDescent="0.55000000000000004">
      <c r="W42531"/>
    </row>
    <row r="42532" spans="23:23" x14ac:dyDescent="0.55000000000000004">
      <c r="W42532"/>
    </row>
    <row r="42533" spans="23:23" x14ac:dyDescent="0.55000000000000004">
      <c r="W42533"/>
    </row>
    <row r="42534" spans="23:23" x14ac:dyDescent="0.55000000000000004">
      <c r="W42534"/>
    </row>
    <row r="42535" spans="23:23" x14ac:dyDescent="0.55000000000000004">
      <c r="W42535"/>
    </row>
    <row r="42536" spans="23:23" x14ac:dyDescent="0.55000000000000004">
      <c r="W42536"/>
    </row>
    <row r="42537" spans="23:23" x14ac:dyDescent="0.55000000000000004">
      <c r="W42537"/>
    </row>
    <row r="42538" spans="23:23" x14ac:dyDescent="0.55000000000000004">
      <c r="W42538"/>
    </row>
    <row r="42539" spans="23:23" x14ac:dyDescent="0.55000000000000004">
      <c r="W42539"/>
    </row>
    <row r="42540" spans="23:23" x14ac:dyDescent="0.55000000000000004">
      <c r="W42540"/>
    </row>
    <row r="42541" spans="23:23" x14ac:dyDescent="0.55000000000000004">
      <c r="W42541"/>
    </row>
    <row r="42542" spans="23:23" x14ac:dyDescent="0.55000000000000004">
      <c r="W42542"/>
    </row>
    <row r="42543" spans="23:23" x14ac:dyDescent="0.55000000000000004">
      <c r="W42543"/>
    </row>
    <row r="42544" spans="23:23" x14ac:dyDescent="0.55000000000000004">
      <c r="W42544"/>
    </row>
    <row r="42545" spans="23:23" x14ac:dyDescent="0.55000000000000004">
      <c r="W42545"/>
    </row>
    <row r="42546" spans="23:23" x14ac:dyDescent="0.55000000000000004">
      <c r="W42546"/>
    </row>
    <row r="42547" spans="23:23" x14ac:dyDescent="0.55000000000000004">
      <c r="W42547"/>
    </row>
    <row r="42548" spans="23:23" x14ac:dyDescent="0.55000000000000004">
      <c r="W42548"/>
    </row>
    <row r="42549" spans="23:23" x14ac:dyDescent="0.55000000000000004">
      <c r="W42549"/>
    </row>
    <row r="42550" spans="23:23" x14ac:dyDescent="0.55000000000000004">
      <c r="W42550"/>
    </row>
    <row r="42551" spans="23:23" x14ac:dyDescent="0.55000000000000004">
      <c r="W42551"/>
    </row>
    <row r="42552" spans="23:23" x14ac:dyDescent="0.55000000000000004">
      <c r="W42552"/>
    </row>
    <row r="42553" spans="23:23" x14ac:dyDescent="0.55000000000000004">
      <c r="W42553"/>
    </row>
    <row r="42554" spans="23:23" x14ac:dyDescent="0.55000000000000004">
      <c r="W42554"/>
    </row>
    <row r="42555" spans="23:23" x14ac:dyDescent="0.55000000000000004">
      <c r="W42555"/>
    </row>
    <row r="42556" spans="23:23" x14ac:dyDescent="0.55000000000000004">
      <c r="W42556"/>
    </row>
    <row r="42557" spans="23:23" x14ac:dyDescent="0.55000000000000004">
      <c r="W42557"/>
    </row>
    <row r="42558" spans="23:23" x14ac:dyDescent="0.55000000000000004">
      <c r="W42558"/>
    </row>
    <row r="42559" spans="23:23" x14ac:dyDescent="0.55000000000000004">
      <c r="W42559"/>
    </row>
    <row r="42560" spans="23:23" x14ac:dyDescent="0.55000000000000004">
      <c r="W42560"/>
    </row>
    <row r="42561" spans="23:23" x14ac:dyDescent="0.55000000000000004">
      <c r="W42561"/>
    </row>
    <row r="42562" spans="23:23" x14ac:dyDescent="0.55000000000000004">
      <c r="W42562"/>
    </row>
    <row r="42563" spans="23:23" x14ac:dyDescent="0.55000000000000004">
      <c r="W42563"/>
    </row>
    <row r="42564" spans="23:23" x14ac:dyDescent="0.55000000000000004">
      <c r="W42564"/>
    </row>
    <row r="42565" spans="23:23" x14ac:dyDescent="0.55000000000000004">
      <c r="W42565"/>
    </row>
    <row r="42566" spans="23:23" x14ac:dyDescent="0.55000000000000004">
      <c r="W42566"/>
    </row>
    <row r="42567" spans="23:23" x14ac:dyDescent="0.55000000000000004">
      <c r="W42567"/>
    </row>
    <row r="42568" spans="23:23" x14ac:dyDescent="0.55000000000000004">
      <c r="W42568"/>
    </row>
    <row r="42569" spans="23:23" x14ac:dyDescent="0.55000000000000004">
      <c r="W42569"/>
    </row>
    <row r="42570" spans="23:23" x14ac:dyDescent="0.55000000000000004">
      <c r="W42570"/>
    </row>
    <row r="42571" spans="23:23" x14ac:dyDescent="0.55000000000000004">
      <c r="W42571"/>
    </row>
    <row r="42572" spans="23:23" x14ac:dyDescent="0.55000000000000004">
      <c r="W42572"/>
    </row>
    <row r="42573" spans="23:23" x14ac:dyDescent="0.55000000000000004">
      <c r="W42573"/>
    </row>
    <row r="42574" spans="23:23" x14ac:dyDescent="0.55000000000000004">
      <c r="W42574"/>
    </row>
    <row r="42575" spans="23:23" x14ac:dyDescent="0.55000000000000004">
      <c r="W42575"/>
    </row>
    <row r="42576" spans="23:23" x14ac:dyDescent="0.55000000000000004">
      <c r="W42576"/>
    </row>
    <row r="42577" spans="23:23" x14ac:dyDescent="0.55000000000000004">
      <c r="W42577"/>
    </row>
    <row r="42578" spans="23:23" x14ac:dyDescent="0.55000000000000004">
      <c r="W42578"/>
    </row>
    <row r="42579" spans="23:23" x14ac:dyDescent="0.55000000000000004">
      <c r="W42579"/>
    </row>
    <row r="42580" spans="23:23" x14ac:dyDescent="0.55000000000000004">
      <c r="W42580"/>
    </row>
    <row r="42581" spans="23:23" x14ac:dyDescent="0.55000000000000004">
      <c r="W42581"/>
    </row>
    <row r="42582" spans="23:23" x14ac:dyDescent="0.55000000000000004">
      <c r="W42582"/>
    </row>
    <row r="42583" spans="23:23" x14ac:dyDescent="0.55000000000000004">
      <c r="W42583"/>
    </row>
    <row r="42584" spans="23:23" x14ac:dyDescent="0.55000000000000004">
      <c r="W42584"/>
    </row>
    <row r="42585" spans="23:23" x14ac:dyDescent="0.55000000000000004">
      <c r="W42585"/>
    </row>
    <row r="42586" spans="23:23" x14ac:dyDescent="0.55000000000000004">
      <c r="W42586"/>
    </row>
    <row r="42587" spans="23:23" x14ac:dyDescent="0.55000000000000004">
      <c r="W42587"/>
    </row>
    <row r="42588" spans="23:23" x14ac:dyDescent="0.55000000000000004">
      <c r="W42588"/>
    </row>
    <row r="42589" spans="23:23" x14ac:dyDescent="0.55000000000000004">
      <c r="W42589"/>
    </row>
    <row r="42590" spans="23:23" x14ac:dyDescent="0.55000000000000004">
      <c r="W42590"/>
    </row>
    <row r="42591" spans="23:23" x14ac:dyDescent="0.55000000000000004">
      <c r="W42591"/>
    </row>
    <row r="42592" spans="23:23" x14ac:dyDescent="0.55000000000000004">
      <c r="W42592"/>
    </row>
    <row r="42593" spans="23:23" x14ac:dyDescent="0.55000000000000004">
      <c r="W42593"/>
    </row>
    <row r="42594" spans="23:23" x14ac:dyDescent="0.55000000000000004">
      <c r="W42594"/>
    </row>
    <row r="42595" spans="23:23" x14ac:dyDescent="0.55000000000000004">
      <c r="W42595"/>
    </row>
    <row r="42596" spans="23:23" x14ac:dyDescent="0.55000000000000004">
      <c r="W42596"/>
    </row>
    <row r="42597" spans="23:23" x14ac:dyDescent="0.55000000000000004">
      <c r="W42597"/>
    </row>
    <row r="42598" spans="23:23" x14ac:dyDescent="0.55000000000000004">
      <c r="W42598"/>
    </row>
    <row r="42599" spans="23:23" x14ac:dyDescent="0.55000000000000004">
      <c r="W42599"/>
    </row>
    <row r="42600" spans="23:23" x14ac:dyDescent="0.55000000000000004">
      <c r="W42600"/>
    </row>
    <row r="42601" spans="23:23" x14ac:dyDescent="0.55000000000000004">
      <c r="W42601"/>
    </row>
    <row r="42602" spans="23:23" x14ac:dyDescent="0.55000000000000004">
      <c r="W42602"/>
    </row>
    <row r="42603" spans="23:23" x14ac:dyDescent="0.55000000000000004">
      <c r="W42603"/>
    </row>
    <row r="42604" spans="23:23" x14ac:dyDescent="0.55000000000000004">
      <c r="W42604"/>
    </row>
    <row r="42605" spans="23:23" x14ac:dyDescent="0.55000000000000004">
      <c r="W42605"/>
    </row>
    <row r="42606" spans="23:23" x14ac:dyDescent="0.55000000000000004">
      <c r="W42606"/>
    </row>
    <row r="42607" spans="23:23" x14ac:dyDescent="0.55000000000000004">
      <c r="W42607"/>
    </row>
    <row r="42608" spans="23:23" x14ac:dyDescent="0.55000000000000004">
      <c r="W42608"/>
    </row>
    <row r="42609" spans="23:23" x14ac:dyDescent="0.55000000000000004">
      <c r="W42609"/>
    </row>
    <row r="42610" spans="23:23" x14ac:dyDescent="0.55000000000000004">
      <c r="W42610"/>
    </row>
    <row r="42611" spans="23:23" x14ac:dyDescent="0.55000000000000004">
      <c r="W42611"/>
    </row>
    <row r="42612" spans="23:23" x14ac:dyDescent="0.55000000000000004">
      <c r="W42612"/>
    </row>
    <row r="42613" spans="23:23" x14ac:dyDescent="0.55000000000000004">
      <c r="W42613"/>
    </row>
    <row r="42614" spans="23:23" x14ac:dyDescent="0.55000000000000004">
      <c r="W42614"/>
    </row>
    <row r="42615" spans="23:23" x14ac:dyDescent="0.55000000000000004">
      <c r="W42615"/>
    </row>
    <row r="42616" spans="23:23" x14ac:dyDescent="0.55000000000000004">
      <c r="W42616"/>
    </row>
    <row r="42617" spans="23:23" x14ac:dyDescent="0.55000000000000004">
      <c r="W42617"/>
    </row>
    <row r="42618" spans="23:23" x14ac:dyDescent="0.55000000000000004">
      <c r="W42618"/>
    </row>
    <row r="42619" spans="23:23" x14ac:dyDescent="0.55000000000000004">
      <c r="W42619"/>
    </row>
    <row r="42620" spans="23:23" x14ac:dyDescent="0.55000000000000004">
      <c r="W42620"/>
    </row>
    <row r="42621" spans="23:23" x14ac:dyDescent="0.55000000000000004">
      <c r="W42621"/>
    </row>
    <row r="42622" spans="23:23" x14ac:dyDescent="0.55000000000000004">
      <c r="W42622"/>
    </row>
    <row r="42623" spans="23:23" x14ac:dyDescent="0.55000000000000004">
      <c r="W42623"/>
    </row>
    <row r="42624" spans="23:23" x14ac:dyDescent="0.55000000000000004">
      <c r="W42624"/>
    </row>
    <row r="42625" spans="23:23" x14ac:dyDescent="0.55000000000000004">
      <c r="W42625"/>
    </row>
    <row r="42626" spans="23:23" x14ac:dyDescent="0.55000000000000004">
      <c r="W42626"/>
    </row>
    <row r="42627" spans="23:23" x14ac:dyDescent="0.55000000000000004">
      <c r="W42627"/>
    </row>
    <row r="42628" spans="23:23" x14ac:dyDescent="0.55000000000000004">
      <c r="W42628"/>
    </row>
    <row r="42629" spans="23:23" x14ac:dyDescent="0.55000000000000004">
      <c r="W42629"/>
    </row>
    <row r="42630" spans="23:23" x14ac:dyDescent="0.55000000000000004">
      <c r="W42630"/>
    </row>
    <row r="42631" spans="23:23" x14ac:dyDescent="0.55000000000000004">
      <c r="W42631"/>
    </row>
    <row r="42632" spans="23:23" x14ac:dyDescent="0.55000000000000004">
      <c r="W42632"/>
    </row>
    <row r="42633" spans="23:23" x14ac:dyDescent="0.55000000000000004">
      <c r="W42633"/>
    </row>
    <row r="42634" spans="23:23" x14ac:dyDescent="0.55000000000000004">
      <c r="W42634"/>
    </row>
    <row r="42635" spans="23:23" x14ac:dyDescent="0.55000000000000004">
      <c r="W42635"/>
    </row>
    <row r="42636" spans="23:23" x14ac:dyDescent="0.55000000000000004">
      <c r="W42636"/>
    </row>
    <row r="42637" spans="23:23" x14ac:dyDescent="0.55000000000000004">
      <c r="W42637"/>
    </row>
    <row r="42638" spans="23:23" x14ac:dyDescent="0.55000000000000004">
      <c r="W42638"/>
    </row>
    <row r="42639" spans="23:23" x14ac:dyDescent="0.55000000000000004">
      <c r="W42639"/>
    </row>
    <row r="42640" spans="23:23" x14ac:dyDescent="0.55000000000000004">
      <c r="W42640"/>
    </row>
    <row r="42641" spans="23:23" x14ac:dyDescent="0.55000000000000004">
      <c r="W42641"/>
    </row>
    <row r="42642" spans="23:23" x14ac:dyDescent="0.55000000000000004">
      <c r="W42642"/>
    </row>
    <row r="42643" spans="23:23" x14ac:dyDescent="0.55000000000000004">
      <c r="W42643"/>
    </row>
    <row r="42644" spans="23:23" x14ac:dyDescent="0.55000000000000004">
      <c r="W42644"/>
    </row>
    <row r="42645" spans="23:23" x14ac:dyDescent="0.55000000000000004">
      <c r="W42645"/>
    </row>
    <row r="42646" spans="23:23" x14ac:dyDescent="0.55000000000000004">
      <c r="W42646"/>
    </row>
    <row r="42647" spans="23:23" x14ac:dyDescent="0.55000000000000004">
      <c r="W42647"/>
    </row>
    <row r="42648" spans="23:23" x14ac:dyDescent="0.55000000000000004">
      <c r="W42648"/>
    </row>
    <row r="42649" spans="23:23" x14ac:dyDescent="0.55000000000000004">
      <c r="W42649"/>
    </row>
    <row r="42650" spans="23:23" x14ac:dyDescent="0.55000000000000004">
      <c r="W42650"/>
    </row>
    <row r="42651" spans="23:23" x14ac:dyDescent="0.55000000000000004">
      <c r="W42651"/>
    </row>
    <row r="42652" spans="23:23" x14ac:dyDescent="0.55000000000000004">
      <c r="W42652"/>
    </row>
    <row r="42653" spans="23:23" x14ac:dyDescent="0.55000000000000004">
      <c r="W42653"/>
    </row>
    <row r="42654" spans="23:23" x14ac:dyDescent="0.55000000000000004">
      <c r="W42654"/>
    </row>
    <row r="42655" spans="23:23" x14ac:dyDescent="0.55000000000000004">
      <c r="W42655"/>
    </row>
    <row r="42656" spans="23:23" x14ac:dyDescent="0.55000000000000004">
      <c r="W42656"/>
    </row>
    <row r="42657" spans="23:23" x14ac:dyDescent="0.55000000000000004">
      <c r="W42657"/>
    </row>
    <row r="42658" spans="23:23" x14ac:dyDescent="0.55000000000000004">
      <c r="W42658"/>
    </row>
    <row r="42659" spans="23:23" x14ac:dyDescent="0.55000000000000004">
      <c r="W42659"/>
    </row>
    <row r="42660" spans="23:23" x14ac:dyDescent="0.55000000000000004">
      <c r="W42660"/>
    </row>
    <row r="42661" spans="23:23" x14ac:dyDescent="0.55000000000000004">
      <c r="W42661"/>
    </row>
    <row r="42662" spans="23:23" x14ac:dyDescent="0.55000000000000004">
      <c r="W42662"/>
    </row>
    <row r="42663" spans="23:23" x14ac:dyDescent="0.55000000000000004">
      <c r="W42663"/>
    </row>
    <row r="42664" spans="23:23" x14ac:dyDescent="0.55000000000000004">
      <c r="W42664"/>
    </row>
    <row r="42665" spans="23:23" x14ac:dyDescent="0.55000000000000004">
      <c r="W42665"/>
    </row>
    <row r="42666" spans="23:23" x14ac:dyDescent="0.55000000000000004">
      <c r="W42666"/>
    </row>
    <row r="42667" spans="23:23" x14ac:dyDescent="0.55000000000000004">
      <c r="W42667"/>
    </row>
    <row r="42668" spans="23:23" x14ac:dyDescent="0.55000000000000004">
      <c r="W42668"/>
    </row>
    <row r="42669" spans="23:23" x14ac:dyDescent="0.55000000000000004">
      <c r="W42669"/>
    </row>
    <row r="42670" spans="23:23" x14ac:dyDescent="0.55000000000000004">
      <c r="W42670"/>
    </row>
    <row r="42671" spans="23:23" x14ac:dyDescent="0.55000000000000004">
      <c r="W42671"/>
    </row>
    <row r="42672" spans="23:23" x14ac:dyDescent="0.55000000000000004">
      <c r="W42672"/>
    </row>
    <row r="42673" spans="23:23" x14ac:dyDescent="0.55000000000000004">
      <c r="W42673"/>
    </row>
    <row r="42674" spans="23:23" x14ac:dyDescent="0.55000000000000004">
      <c r="W42674"/>
    </row>
    <row r="42675" spans="23:23" x14ac:dyDescent="0.55000000000000004">
      <c r="W42675"/>
    </row>
    <row r="42676" spans="23:23" x14ac:dyDescent="0.55000000000000004">
      <c r="W42676"/>
    </row>
    <row r="42677" spans="23:23" x14ac:dyDescent="0.55000000000000004">
      <c r="W42677"/>
    </row>
    <row r="42678" spans="23:23" x14ac:dyDescent="0.55000000000000004">
      <c r="W42678"/>
    </row>
    <row r="42679" spans="23:23" x14ac:dyDescent="0.55000000000000004">
      <c r="W42679"/>
    </row>
    <row r="42680" spans="23:23" x14ac:dyDescent="0.55000000000000004">
      <c r="W42680"/>
    </row>
    <row r="42681" spans="23:23" x14ac:dyDescent="0.55000000000000004">
      <c r="W42681"/>
    </row>
    <row r="42682" spans="23:23" x14ac:dyDescent="0.55000000000000004">
      <c r="W42682"/>
    </row>
    <row r="42683" spans="23:23" x14ac:dyDescent="0.55000000000000004">
      <c r="W42683"/>
    </row>
    <row r="42684" spans="23:23" x14ac:dyDescent="0.55000000000000004">
      <c r="W42684"/>
    </row>
    <row r="42685" spans="23:23" x14ac:dyDescent="0.55000000000000004">
      <c r="W42685"/>
    </row>
    <row r="42686" spans="23:23" x14ac:dyDescent="0.55000000000000004">
      <c r="W42686"/>
    </row>
    <row r="42687" spans="23:23" x14ac:dyDescent="0.55000000000000004">
      <c r="W42687"/>
    </row>
    <row r="42688" spans="23:23" x14ac:dyDescent="0.55000000000000004">
      <c r="W42688"/>
    </row>
    <row r="42689" spans="23:23" x14ac:dyDescent="0.55000000000000004">
      <c r="W42689"/>
    </row>
    <row r="42690" spans="23:23" x14ac:dyDescent="0.55000000000000004">
      <c r="W42690"/>
    </row>
    <row r="42691" spans="23:23" x14ac:dyDescent="0.55000000000000004">
      <c r="W42691"/>
    </row>
    <row r="42692" spans="23:23" x14ac:dyDescent="0.55000000000000004">
      <c r="W42692"/>
    </row>
    <row r="42693" spans="23:23" x14ac:dyDescent="0.55000000000000004">
      <c r="W42693"/>
    </row>
    <row r="42694" spans="23:23" x14ac:dyDescent="0.55000000000000004">
      <c r="W42694"/>
    </row>
    <row r="42695" spans="23:23" x14ac:dyDescent="0.55000000000000004">
      <c r="W42695"/>
    </row>
    <row r="42696" spans="23:23" x14ac:dyDescent="0.55000000000000004">
      <c r="W42696"/>
    </row>
    <row r="42697" spans="23:23" x14ac:dyDescent="0.55000000000000004">
      <c r="W42697"/>
    </row>
    <row r="42698" spans="23:23" x14ac:dyDescent="0.55000000000000004">
      <c r="W42698"/>
    </row>
    <row r="42699" spans="23:23" x14ac:dyDescent="0.55000000000000004">
      <c r="W42699"/>
    </row>
    <row r="42700" spans="23:23" x14ac:dyDescent="0.55000000000000004">
      <c r="W42700"/>
    </row>
    <row r="42701" spans="23:23" x14ac:dyDescent="0.55000000000000004">
      <c r="W42701"/>
    </row>
    <row r="42702" spans="23:23" x14ac:dyDescent="0.55000000000000004">
      <c r="W42702"/>
    </row>
    <row r="42703" spans="23:23" x14ac:dyDescent="0.55000000000000004">
      <c r="W42703"/>
    </row>
    <row r="42704" spans="23:23" x14ac:dyDescent="0.55000000000000004">
      <c r="W42704"/>
    </row>
    <row r="42705" spans="23:23" x14ac:dyDescent="0.55000000000000004">
      <c r="W42705"/>
    </row>
    <row r="42706" spans="23:23" x14ac:dyDescent="0.55000000000000004">
      <c r="W42706"/>
    </row>
    <row r="42707" spans="23:23" x14ac:dyDescent="0.55000000000000004">
      <c r="W42707"/>
    </row>
    <row r="42708" spans="23:23" x14ac:dyDescent="0.55000000000000004">
      <c r="W42708"/>
    </row>
    <row r="42709" spans="23:23" x14ac:dyDescent="0.55000000000000004">
      <c r="W42709"/>
    </row>
    <row r="42710" spans="23:23" x14ac:dyDescent="0.55000000000000004">
      <c r="W42710"/>
    </row>
    <row r="42711" spans="23:23" x14ac:dyDescent="0.55000000000000004">
      <c r="W42711"/>
    </row>
    <row r="42712" spans="23:23" x14ac:dyDescent="0.55000000000000004">
      <c r="W42712"/>
    </row>
    <row r="42713" spans="23:23" x14ac:dyDescent="0.55000000000000004">
      <c r="W42713"/>
    </row>
    <row r="42714" spans="23:23" x14ac:dyDescent="0.55000000000000004">
      <c r="W42714"/>
    </row>
    <row r="42715" spans="23:23" x14ac:dyDescent="0.55000000000000004">
      <c r="W42715"/>
    </row>
    <row r="42716" spans="23:23" x14ac:dyDescent="0.55000000000000004">
      <c r="W42716"/>
    </row>
    <row r="42717" spans="23:23" x14ac:dyDescent="0.55000000000000004">
      <c r="W42717"/>
    </row>
    <row r="42718" spans="23:23" x14ac:dyDescent="0.55000000000000004">
      <c r="W42718"/>
    </row>
    <row r="42719" spans="23:23" x14ac:dyDescent="0.55000000000000004">
      <c r="W42719"/>
    </row>
    <row r="42720" spans="23:23" x14ac:dyDescent="0.55000000000000004">
      <c r="W42720"/>
    </row>
    <row r="42721" spans="23:23" x14ac:dyDescent="0.55000000000000004">
      <c r="W42721"/>
    </row>
    <row r="42722" spans="23:23" x14ac:dyDescent="0.55000000000000004">
      <c r="W42722"/>
    </row>
    <row r="42723" spans="23:23" x14ac:dyDescent="0.55000000000000004">
      <c r="W42723"/>
    </row>
    <row r="42724" spans="23:23" x14ac:dyDescent="0.55000000000000004">
      <c r="W42724"/>
    </row>
    <row r="42725" spans="23:23" x14ac:dyDescent="0.55000000000000004">
      <c r="W42725"/>
    </row>
    <row r="42726" spans="23:23" x14ac:dyDescent="0.55000000000000004">
      <c r="W42726"/>
    </row>
    <row r="42727" spans="23:23" x14ac:dyDescent="0.55000000000000004">
      <c r="W42727"/>
    </row>
    <row r="42728" spans="23:23" x14ac:dyDescent="0.55000000000000004">
      <c r="W42728"/>
    </row>
    <row r="42729" spans="23:23" x14ac:dyDescent="0.55000000000000004">
      <c r="W42729"/>
    </row>
    <row r="42730" spans="23:23" x14ac:dyDescent="0.55000000000000004">
      <c r="W42730"/>
    </row>
    <row r="42731" spans="23:23" x14ac:dyDescent="0.55000000000000004">
      <c r="W42731"/>
    </row>
    <row r="42732" spans="23:23" x14ac:dyDescent="0.55000000000000004">
      <c r="W42732"/>
    </row>
    <row r="42733" spans="23:23" x14ac:dyDescent="0.55000000000000004">
      <c r="W42733"/>
    </row>
    <row r="42734" spans="23:23" x14ac:dyDescent="0.55000000000000004">
      <c r="W42734"/>
    </row>
    <row r="42735" spans="23:23" x14ac:dyDescent="0.55000000000000004">
      <c r="W42735"/>
    </row>
    <row r="42736" spans="23:23" x14ac:dyDescent="0.55000000000000004">
      <c r="W42736"/>
    </row>
    <row r="42737" spans="23:23" x14ac:dyDescent="0.55000000000000004">
      <c r="W42737"/>
    </row>
    <row r="42738" spans="23:23" x14ac:dyDescent="0.55000000000000004">
      <c r="W42738"/>
    </row>
    <row r="42739" spans="23:23" x14ac:dyDescent="0.55000000000000004">
      <c r="W42739"/>
    </row>
    <row r="42740" spans="23:23" x14ac:dyDescent="0.55000000000000004">
      <c r="W42740"/>
    </row>
    <row r="42741" spans="23:23" x14ac:dyDescent="0.55000000000000004">
      <c r="W42741"/>
    </row>
    <row r="42742" spans="23:23" x14ac:dyDescent="0.55000000000000004">
      <c r="W42742"/>
    </row>
    <row r="42743" spans="23:23" x14ac:dyDescent="0.55000000000000004">
      <c r="W42743"/>
    </row>
    <row r="42744" spans="23:23" x14ac:dyDescent="0.55000000000000004">
      <c r="W42744"/>
    </row>
    <row r="42745" spans="23:23" x14ac:dyDescent="0.55000000000000004">
      <c r="W42745"/>
    </row>
    <row r="42746" spans="23:23" x14ac:dyDescent="0.55000000000000004">
      <c r="W42746"/>
    </row>
    <row r="42747" spans="23:23" x14ac:dyDescent="0.55000000000000004">
      <c r="W42747"/>
    </row>
    <row r="42748" spans="23:23" x14ac:dyDescent="0.55000000000000004">
      <c r="W42748"/>
    </row>
    <row r="42749" spans="23:23" x14ac:dyDescent="0.55000000000000004">
      <c r="W42749"/>
    </row>
    <row r="42750" spans="23:23" x14ac:dyDescent="0.55000000000000004">
      <c r="W42750"/>
    </row>
    <row r="42751" spans="23:23" x14ac:dyDescent="0.55000000000000004">
      <c r="W42751"/>
    </row>
    <row r="42752" spans="23:23" x14ac:dyDescent="0.55000000000000004">
      <c r="W42752"/>
    </row>
    <row r="42753" spans="23:23" x14ac:dyDescent="0.55000000000000004">
      <c r="W42753"/>
    </row>
    <row r="42754" spans="23:23" x14ac:dyDescent="0.55000000000000004">
      <c r="W42754"/>
    </row>
    <row r="42755" spans="23:23" x14ac:dyDescent="0.55000000000000004">
      <c r="W42755"/>
    </row>
    <row r="42756" spans="23:23" x14ac:dyDescent="0.55000000000000004">
      <c r="W42756"/>
    </row>
    <row r="42757" spans="23:23" x14ac:dyDescent="0.55000000000000004">
      <c r="W42757"/>
    </row>
    <row r="42758" spans="23:23" x14ac:dyDescent="0.55000000000000004">
      <c r="W42758"/>
    </row>
    <row r="42759" spans="23:23" x14ac:dyDescent="0.55000000000000004">
      <c r="W42759"/>
    </row>
    <row r="42760" spans="23:23" x14ac:dyDescent="0.55000000000000004">
      <c r="W42760"/>
    </row>
    <row r="42761" spans="23:23" x14ac:dyDescent="0.55000000000000004">
      <c r="W42761"/>
    </row>
    <row r="42762" spans="23:23" x14ac:dyDescent="0.55000000000000004">
      <c r="W42762"/>
    </row>
    <row r="42763" spans="23:23" x14ac:dyDescent="0.55000000000000004">
      <c r="W42763"/>
    </row>
    <row r="42764" spans="23:23" x14ac:dyDescent="0.55000000000000004">
      <c r="W42764"/>
    </row>
    <row r="42765" spans="23:23" x14ac:dyDescent="0.55000000000000004">
      <c r="W42765"/>
    </row>
    <row r="42766" spans="23:23" x14ac:dyDescent="0.55000000000000004">
      <c r="W42766"/>
    </row>
    <row r="42767" spans="23:23" x14ac:dyDescent="0.55000000000000004">
      <c r="W42767"/>
    </row>
    <row r="42768" spans="23:23" x14ac:dyDescent="0.55000000000000004">
      <c r="W42768"/>
    </row>
    <row r="42769" spans="23:23" x14ac:dyDescent="0.55000000000000004">
      <c r="W42769"/>
    </row>
    <row r="42770" spans="23:23" x14ac:dyDescent="0.55000000000000004">
      <c r="W42770"/>
    </row>
    <row r="42771" spans="23:23" x14ac:dyDescent="0.55000000000000004">
      <c r="W42771"/>
    </row>
    <row r="42772" spans="23:23" x14ac:dyDescent="0.55000000000000004">
      <c r="W42772"/>
    </row>
    <row r="42773" spans="23:23" x14ac:dyDescent="0.55000000000000004">
      <c r="W42773"/>
    </row>
    <row r="42774" spans="23:23" x14ac:dyDescent="0.55000000000000004">
      <c r="W42774"/>
    </row>
    <row r="42775" spans="23:23" x14ac:dyDescent="0.55000000000000004">
      <c r="W42775"/>
    </row>
    <row r="42776" spans="23:23" x14ac:dyDescent="0.55000000000000004">
      <c r="W42776"/>
    </row>
    <row r="42777" spans="23:23" x14ac:dyDescent="0.55000000000000004">
      <c r="W42777"/>
    </row>
    <row r="42778" spans="23:23" x14ac:dyDescent="0.55000000000000004">
      <c r="W42778"/>
    </row>
    <row r="42779" spans="23:23" x14ac:dyDescent="0.55000000000000004">
      <c r="W42779"/>
    </row>
    <row r="42780" spans="23:23" x14ac:dyDescent="0.55000000000000004">
      <c r="W42780"/>
    </row>
    <row r="42781" spans="23:23" x14ac:dyDescent="0.55000000000000004">
      <c r="W42781"/>
    </row>
    <row r="42782" spans="23:23" x14ac:dyDescent="0.55000000000000004">
      <c r="W42782"/>
    </row>
    <row r="42783" spans="23:23" x14ac:dyDescent="0.55000000000000004">
      <c r="W42783"/>
    </row>
    <row r="42784" spans="23:23" x14ac:dyDescent="0.55000000000000004">
      <c r="W42784"/>
    </row>
    <row r="42785" spans="23:23" x14ac:dyDescent="0.55000000000000004">
      <c r="W42785"/>
    </row>
    <row r="42786" spans="23:23" x14ac:dyDescent="0.55000000000000004">
      <c r="W42786"/>
    </row>
    <row r="42787" spans="23:23" x14ac:dyDescent="0.55000000000000004">
      <c r="W42787"/>
    </row>
    <row r="42788" spans="23:23" x14ac:dyDescent="0.55000000000000004">
      <c r="W42788"/>
    </row>
    <row r="42789" spans="23:23" x14ac:dyDescent="0.55000000000000004">
      <c r="W42789"/>
    </row>
    <row r="42790" spans="23:23" x14ac:dyDescent="0.55000000000000004">
      <c r="W42790"/>
    </row>
    <row r="42791" spans="23:23" x14ac:dyDescent="0.55000000000000004">
      <c r="W42791"/>
    </row>
    <row r="42792" spans="23:23" x14ac:dyDescent="0.55000000000000004">
      <c r="W42792"/>
    </row>
    <row r="42793" spans="23:23" x14ac:dyDescent="0.55000000000000004">
      <c r="W42793"/>
    </row>
    <row r="42794" spans="23:23" x14ac:dyDescent="0.55000000000000004">
      <c r="W42794"/>
    </row>
    <row r="42795" spans="23:23" x14ac:dyDescent="0.55000000000000004">
      <c r="W42795"/>
    </row>
    <row r="42796" spans="23:23" x14ac:dyDescent="0.55000000000000004">
      <c r="W42796"/>
    </row>
    <row r="42797" spans="23:23" x14ac:dyDescent="0.55000000000000004">
      <c r="W42797"/>
    </row>
    <row r="42798" spans="23:23" x14ac:dyDescent="0.55000000000000004">
      <c r="W42798"/>
    </row>
    <row r="42799" spans="23:23" x14ac:dyDescent="0.55000000000000004">
      <c r="W42799"/>
    </row>
    <row r="42800" spans="23:23" x14ac:dyDescent="0.55000000000000004">
      <c r="W42800"/>
    </row>
    <row r="42801" spans="23:23" x14ac:dyDescent="0.55000000000000004">
      <c r="W42801"/>
    </row>
    <row r="42802" spans="23:23" x14ac:dyDescent="0.55000000000000004">
      <c r="W42802"/>
    </row>
    <row r="42803" spans="23:23" x14ac:dyDescent="0.55000000000000004">
      <c r="W42803"/>
    </row>
    <row r="42804" spans="23:23" x14ac:dyDescent="0.55000000000000004">
      <c r="W42804"/>
    </row>
    <row r="42805" spans="23:23" x14ac:dyDescent="0.55000000000000004">
      <c r="W42805"/>
    </row>
    <row r="42806" spans="23:23" x14ac:dyDescent="0.55000000000000004">
      <c r="W42806"/>
    </row>
    <row r="42807" spans="23:23" x14ac:dyDescent="0.55000000000000004">
      <c r="W42807"/>
    </row>
    <row r="42808" spans="23:23" x14ac:dyDescent="0.55000000000000004">
      <c r="W42808"/>
    </row>
    <row r="42809" spans="23:23" x14ac:dyDescent="0.55000000000000004">
      <c r="W42809"/>
    </row>
    <row r="42810" spans="23:23" x14ac:dyDescent="0.55000000000000004">
      <c r="W42810"/>
    </row>
    <row r="42811" spans="23:23" x14ac:dyDescent="0.55000000000000004">
      <c r="W42811"/>
    </row>
    <row r="42812" spans="23:23" x14ac:dyDescent="0.55000000000000004">
      <c r="W42812"/>
    </row>
    <row r="42813" spans="23:23" x14ac:dyDescent="0.55000000000000004">
      <c r="W42813"/>
    </row>
    <row r="42814" spans="23:23" x14ac:dyDescent="0.55000000000000004">
      <c r="W42814"/>
    </row>
    <row r="42815" spans="23:23" x14ac:dyDescent="0.55000000000000004">
      <c r="W42815"/>
    </row>
    <row r="42816" spans="23:23" x14ac:dyDescent="0.55000000000000004">
      <c r="W42816"/>
    </row>
    <row r="42817" spans="23:23" x14ac:dyDescent="0.55000000000000004">
      <c r="W42817"/>
    </row>
    <row r="42818" spans="23:23" x14ac:dyDescent="0.55000000000000004">
      <c r="W42818"/>
    </row>
    <row r="42819" spans="23:23" x14ac:dyDescent="0.55000000000000004">
      <c r="W42819"/>
    </row>
    <row r="42820" spans="23:23" x14ac:dyDescent="0.55000000000000004">
      <c r="W42820"/>
    </row>
    <row r="42821" spans="23:23" x14ac:dyDescent="0.55000000000000004">
      <c r="W42821"/>
    </row>
    <row r="42822" spans="23:23" x14ac:dyDescent="0.55000000000000004">
      <c r="W42822"/>
    </row>
    <row r="42823" spans="23:23" x14ac:dyDescent="0.55000000000000004">
      <c r="W42823"/>
    </row>
    <row r="42824" spans="23:23" x14ac:dyDescent="0.55000000000000004">
      <c r="W42824"/>
    </row>
    <row r="42825" spans="23:23" x14ac:dyDescent="0.55000000000000004">
      <c r="W42825"/>
    </row>
    <row r="42826" spans="23:23" x14ac:dyDescent="0.55000000000000004">
      <c r="W42826"/>
    </row>
    <row r="42827" spans="23:23" x14ac:dyDescent="0.55000000000000004">
      <c r="W42827"/>
    </row>
    <row r="42828" spans="23:23" x14ac:dyDescent="0.55000000000000004">
      <c r="W42828"/>
    </row>
    <row r="42829" spans="23:23" x14ac:dyDescent="0.55000000000000004">
      <c r="W42829"/>
    </row>
    <row r="42830" spans="23:23" x14ac:dyDescent="0.55000000000000004">
      <c r="W42830"/>
    </row>
    <row r="42831" spans="23:23" x14ac:dyDescent="0.55000000000000004">
      <c r="W42831"/>
    </row>
    <row r="42832" spans="23:23" x14ac:dyDescent="0.55000000000000004">
      <c r="W42832"/>
    </row>
    <row r="42833" spans="23:23" x14ac:dyDescent="0.55000000000000004">
      <c r="W42833"/>
    </row>
    <row r="42834" spans="23:23" x14ac:dyDescent="0.55000000000000004">
      <c r="W42834"/>
    </row>
    <row r="42835" spans="23:23" x14ac:dyDescent="0.55000000000000004">
      <c r="W42835"/>
    </row>
    <row r="42836" spans="23:23" x14ac:dyDescent="0.55000000000000004">
      <c r="W42836"/>
    </row>
    <row r="42837" spans="23:23" x14ac:dyDescent="0.55000000000000004">
      <c r="W42837"/>
    </row>
    <row r="42838" spans="23:23" x14ac:dyDescent="0.55000000000000004">
      <c r="W42838"/>
    </row>
    <row r="42839" spans="23:23" x14ac:dyDescent="0.55000000000000004">
      <c r="W42839"/>
    </row>
    <row r="42840" spans="23:23" x14ac:dyDescent="0.55000000000000004">
      <c r="W42840"/>
    </row>
    <row r="42841" spans="23:23" x14ac:dyDescent="0.55000000000000004">
      <c r="W42841"/>
    </row>
    <row r="42842" spans="23:23" x14ac:dyDescent="0.55000000000000004">
      <c r="W42842"/>
    </row>
    <row r="42843" spans="23:23" x14ac:dyDescent="0.55000000000000004">
      <c r="W42843"/>
    </row>
    <row r="42844" spans="23:23" x14ac:dyDescent="0.55000000000000004">
      <c r="W42844"/>
    </row>
    <row r="42845" spans="23:23" x14ac:dyDescent="0.55000000000000004">
      <c r="W42845"/>
    </row>
    <row r="42846" spans="23:23" x14ac:dyDescent="0.55000000000000004">
      <c r="W42846"/>
    </row>
    <row r="42847" spans="23:23" x14ac:dyDescent="0.55000000000000004">
      <c r="W42847"/>
    </row>
    <row r="42848" spans="23:23" x14ac:dyDescent="0.55000000000000004">
      <c r="W42848"/>
    </row>
    <row r="42849" spans="23:23" x14ac:dyDescent="0.55000000000000004">
      <c r="W42849"/>
    </row>
    <row r="42850" spans="23:23" x14ac:dyDescent="0.55000000000000004">
      <c r="W42850"/>
    </row>
    <row r="42851" spans="23:23" x14ac:dyDescent="0.55000000000000004">
      <c r="W42851"/>
    </row>
    <row r="42852" spans="23:23" x14ac:dyDescent="0.55000000000000004">
      <c r="W42852"/>
    </row>
    <row r="42853" spans="23:23" x14ac:dyDescent="0.55000000000000004">
      <c r="W42853"/>
    </row>
    <row r="42854" spans="23:23" x14ac:dyDescent="0.55000000000000004">
      <c r="W42854"/>
    </row>
    <row r="42855" spans="23:23" x14ac:dyDescent="0.55000000000000004">
      <c r="W42855"/>
    </row>
    <row r="42856" spans="23:23" x14ac:dyDescent="0.55000000000000004">
      <c r="W42856"/>
    </row>
    <row r="42857" spans="23:23" x14ac:dyDescent="0.55000000000000004">
      <c r="W42857"/>
    </row>
    <row r="42858" spans="23:23" x14ac:dyDescent="0.55000000000000004">
      <c r="W42858"/>
    </row>
    <row r="42859" spans="23:23" x14ac:dyDescent="0.55000000000000004">
      <c r="W42859"/>
    </row>
    <row r="42860" spans="23:23" x14ac:dyDescent="0.55000000000000004">
      <c r="W42860"/>
    </row>
    <row r="42861" spans="23:23" x14ac:dyDescent="0.55000000000000004">
      <c r="W42861"/>
    </row>
    <row r="42862" spans="23:23" x14ac:dyDescent="0.55000000000000004">
      <c r="W42862"/>
    </row>
    <row r="42863" spans="23:23" x14ac:dyDescent="0.55000000000000004">
      <c r="W42863"/>
    </row>
    <row r="42864" spans="23:23" x14ac:dyDescent="0.55000000000000004">
      <c r="W42864"/>
    </row>
    <row r="42865" spans="23:23" x14ac:dyDescent="0.55000000000000004">
      <c r="W42865"/>
    </row>
    <row r="42866" spans="23:23" x14ac:dyDescent="0.55000000000000004">
      <c r="W42866"/>
    </row>
    <row r="42867" spans="23:23" x14ac:dyDescent="0.55000000000000004">
      <c r="W42867"/>
    </row>
    <row r="42868" spans="23:23" x14ac:dyDescent="0.55000000000000004">
      <c r="W42868"/>
    </row>
    <row r="42869" spans="23:23" x14ac:dyDescent="0.55000000000000004">
      <c r="W42869"/>
    </row>
    <row r="42870" spans="23:23" x14ac:dyDescent="0.55000000000000004">
      <c r="W42870"/>
    </row>
    <row r="42871" spans="23:23" x14ac:dyDescent="0.55000000000000004">
      <c r="W42871"/>
    </row>
    <row r="42872" spans="23:23" x14ac:dyDescent="0.55000000000000004">
      <c r="W42872"/>
    </row>
    <row r="42873" spans="23:23" x14ac:dyDescent="0.55000000000000004">
      <c r="W42873"/>
    </row>
    <row r="42874" spans="23:23" x14ac:dyDescent="0.55000000000000004">
      <c r="W42874"/>
    </row>
    <row r="42875" spans="23:23" x14ac:dyDescent="0.55000000000000004">
      <c r="W42875"/>
    </row>
    <row r="42876" spans="23:23" x14ac:dyDescent="0.55000000000000004">
      <c r="W42876"/>
    </row>
    <row r="42877" spans="23:23" x14ac:dyDescent="0.55000000000000004">
      <c r="W42877"/>
    </row>
    <row r="42878" spans="23:23" x14ac:dyDescent="0.55000000000000004">
      <c r="W42878"/>
    </row>
    <row r="42879" spans="23:23" x14ac:dyDescent="0.55000000000000004">
      <c r="W42879"/>
    </row>
    <row r="42880" spans="23:23" x14ac:dyDescent="0.55000000000000004">
      <c r="W42880"/>
    </row>
    <row r="42881" spans="23:23" x14ac:dyDescent="0.55000000000000004">
      <c r="W42881"/>
    </row>
    <row r="42882" spans="23:23" x14ac:dyDescent="0.55000000000000004">
      <c r="W42882"/>
    </row>
    <row r="42883" spans="23:23" x14ac:dyDescent="0.55000000000000004">
      <c r="W42883"/>
    </row>
    <row r="42884" spans="23:23" x14ac:dyDescent="0.55000000000000004">
      <c r="W42884"/>
    </row>
    <row r="42885" spans="23:23" x14ac:dyDescent="0.55000000000000004">
      <c r="W42885"/>
    </row>
    <row r="42886" spans="23:23" x14ac:dyDescent="0.55000000000000004">
      <c r="W42886"/>
    </row>
    <row r="42887" spans="23:23" x14ac:dyDescent="0.55000000000000004">
      <c r="W42887"/>
    </row>
    <row r="42888" spans="23:23" x14ac:dyDescent="0.55000000000000004">
      <c r="W42888"/>
    </row>
    <row r="42889" spans="23:23" x14ac:dyDescent="0.55000000000000004">
      <c r="W42889"/>
    </row>
    <row r="42890" spans="23:23" x14ac:dyDescent="0.55000000000000004">
      <c r="W42890"/>
    </row>
    <row r="42891" spans="23:23" x14ac:dyDescent="0.55000000000000004">
      <c r="W42891"/>
    </row>
    <row r="42892" spans="23:23" x14ac:dyDescent="0.55000000000000004">
      <c r="W42892"/>
    </row>
    <row r="42893" spans="23:23" x14ac:dyDescent="0.55000000000000004">
      <c r="W42893"/>
    </row>
    <row r="42894" spans="23:23" x14ac:dyDescent="0.55000000000000004">
      <c r="W42894"/>
    </row>
    <row r="42895" spans="23:23" x14ac:dyDescent="0.55000000000000004">
      <c r="W42895"/>
    </row>
    <row r="42896" spans="23:23" x14ac:dyDescent="0.55000000000000004">
      <c r="W42896"/>
    </row>
    <row r="42897" spans="23:23" x14ac:dyDescent="0.55000000000000004">
      <c r="W42897"/>
    </row>
    <row r="42898" spans="23:23" x14ac:dyDescent="0.55000000000000004">
      <c r="W42898"/>
    </row>
    <row r="42899" spans="23:23" x14ac:dyDescent="0.55000000000000004">
      <c r="W42899"/>
    </row>
    <row r="42900" spans="23:23" x14ac:dyDescent="0.55000000000000004">
      <c r="W42900"/>
    </row>
    <row r="42901" spans="23:23" x14ac:dyDescent="0.55000000000000004">
      <c r="W42901"/>
    </row>
    <row r="42902" spans="23:23" x14ac:dyDescent="0.55000000000000004">
      <c r="W42902"/>
    </row>
    <row r="42903" spans="23:23" x14ac:dyDescent="0.55000000000000004">
      <c r="W42903"/>
    </row>
    <row r="42904" spans="23:23" x14ac:dyDescent="0.55000000000000004">
      <c r="W42904"/>
    </row>
    <row r="42905" spans="23:23" x14ac:dyDescent="0.55000000000000004">
      <c r="W42905"/>
    </row>
    <row r="42906" spans="23:23" x14ac:dyDescent="0.55000000000000004">
      <c r="W42906"/>
    </row>
    <row r="42907" spans="23:23" x14ac:dyDescent="0.55000000000000004">
      <c r="W42907"/>
    </row>
    <row r="42908" spans="23:23" x14ac:dyDescent="0.55000000000000004">
      <c r="W42908"/>
    </row>
    <row r="42909" spans="23:23" x14ac:dyDescent="0.55000000000000004">
      <c r="W42909"/>
    </row>
    <row r="42910" spans="23:23" x14ac:dyDescent="0.55000000000000004">
      <c r="W42910"/>
    </row>
    <row r="42911" spans="23:23" x14ac:dyDescent="0.55000000000000004">
      <c r="W42911"/>
    </row>
    <row r="42912" spans="23:23" x14ac:dyDescent="0.55000000000000004">
      <c r="W42912"/>
    </row>
    <row r="42913" spans="23:23" x14ac:dyDescent="0.55000000000000004">
      <c r="W42913"/>
    </row>
    <row r="42914" spans="23:23" x14ac:dyDescent="0.55000000000000004">
      <c r="W42914"/>
    </row>
    <row r="42915" spans="23:23" x14ac:dyDescent="0.55000000000000004">
      <c r="W42915"/>
    </row>
    <row r="42916" spans="23:23" x14ac:dyDescent="0.55000000000000004">
      <c r="W42916"/>
    </row>
    <row r="42917" spans="23:23" x14ac:dyDescent="0.55000000000000004">
      <c r="W42917"/>
    </row>
    <row r="42918" spans="23:23" x14ac:dyDescent="0.55000000000000004">
      <c r="W42918"/>
    </row>
    <row r="42919" spans="23:23" x14ac:dyDescent="0.55000000000000004">
      <c r="W42919"/>
    </row>
    <row r="42920" spans="23:23" x14ac:dyDescent="0.55000000000000004">
      <c r="W42920"/>
    </row>
    <row r="42921" spans="23:23" x14ac:dyDescent="0.55000000000000004">
      <c r="W42921"/>
    </row>
    <row r="42922" spans="23:23" x14ac:dyDescent="0.55000000000000004">
      <c r="W42922"/>
    </row>
    <row r="42923" spans="23:23" x14ac:dyDescent="0.55000000000000004">
      <c r="W42923"/>
    </row>
    <row r="42924" spans="23:23" x14ac:dyDescent="0.55000000000000004">
      <c r="W42924"/>
    </row>
    <row r="42925" spans="23:23" x14ac:dyDescent="0.55000000000000004">
      <c r="W42925"/>
    </row>
    <row r="42926" spans="23:23" x14ac:dyDescent="0.55000000000000004">
      <c r="W42926"/>
    </row>
    <row r="42927" spans="23:23" x14ac:dyDescent="0.55000000000000004">
      <c r="W42927"/>
    </row>
    <row r="42928" spans="23:23" x14ac:dyDescent="0.55000000000000004">
      <c r="W42928"/>
    </row>
    <row r="42929" spans="23:23" x14ac:dyDescent="0.55000000000000004">
      <c r="W42929"/>
    </row>
    <row r="42930" spans="23:23" x14ac:dyDescent="0.55000000000000004">
      <c r="W42930"/>
    </row>
    <row r="42931" spans="23:23" x14ac:dyDescent="0.55000000000000004">
      <c r="W42931"/>
    </row>
    <row r="42932" spans="23:23" x14ac:dyDescent="0.55000000000000004">
      <c r="W42932"/>
    </row>
    <row r="42933" spans="23:23" x14ac:dyDescent="0.55000000000000004">
      <c r="W42933"/>
    </row>
    <row r="42934" spans="23:23" x14ac:dyDescent="0.55000000000000004">
      <c r="W42934"/>
    </row>
    <row r="42935" spans="23:23" x14ac:dyDescent="0.55000000000000004">
      <c r="W42935"/>
    </row>
    <row r="42936" spans="23:23" x14ac:dyDescent="0.55000000000000004">
      <c r="W42936"/>
    </row>
    <row r="42937" spans="23:23" x14ac:dyDescent="0.55000000000000004">
      <c r="W42937"/>
    </row>
    <row r="42938" spans="23:23" x14ac:dyDescent="0.55000000000000004">
      <c r="W42938"/>
    </row>
    <row r="42939" spans="23:23" x14ac:dyDescent="0.55000000000000004">
      <c r="W42939"/>
    </row>
    <row r="42940" spans="23:23" x14ac:dyDescent="0.55000000000000004">
      <c r="W42940"/>
    </row>
    <row r="42941" spans="23:23" x14ac:dyDescent="0.55000000000000004">
      <c r="W42941"/>
    </row>
    <row r="42942" spans="23:23" x14ac:dyDescent="0.55000000000000004">
      <c r="W42942"/>
    </row>
    <row r="42943" spans="23:23" x14ac:dyDescent="0.55000000000000004">
      <c r="W42943"/>
    </row>
    <row r="42944" spans="23:23" x14ac:dyDescent="0.55000000000000004">
      <c r="W42944"/>
    </row>
    <row r="42945" spans="23:23" x14ac:dyDescent="0.55000000000000004">
      <c r="W42945"/>
    </row>
    <row r="42946" spans="23:23" x14ac:dyDescent="0.55000000000000004">
      <c r="W42946"/>
    </row>
    <row r="42947" spans="23:23" x14ac:dyDescent="0.55000000000000004">
      <c r="W42947"/>
    </row>
    <row r="42948" spans="23:23" x14ac:dyDescent="0.55000000000000004">
      <c r="W42948"/>
    </row>
    <row r="42949" spans="23:23" x14ac:dyDescent="0.55000000000000004">
      <c r="W42949"/>
    </row>
    <row r="42950" spans="23:23" x14ac:dyDescent="0.55000000000000004">
      <c r="W42950"/>
    </row>
    <row r="42951" spans="23:23" x14ac:dyDescent="0.55000000000000004">
      <c r="W42951"/>
    </row>
    <row r="42952" spans="23:23" x14ac:dyDescent="0.55000000000000004">
      <c r="W42952"/>
    </row>
    <row r="42953" spans="23:23" x14ac:dyDescent="0.55000000000000004">
      <c r="W42953"/>
    </row>
    <row r="42954" spans="23:23" x14ac:dyDescent="0.55000000000000004">
      <c r="W42954"/>
    </row>
    <row r="42955" spans="23:23" x14ac:dyDescent="0.55000000000000004">
      <c r="W42955"/>
    </row>
    <row r="42956" spans="23:23" x14ac:dyDescent="0.55000000000000004">
      <c r="W42956"/>
    </row>
    <row r="42957" spans="23:23" x14ac:dyDescent="0.55000000000000004">
      <c r="W42957"/>
    </row>
    <row r="42958" spans="23:23" x14ac:dyDescent="0.55000000000000004">
      <c r="W42958"/>
    </row>
    <row r="42959" spans="23:23" x14ac:dyDescent="0.55000000000000004">
      <c r="W42959"/>
    </row>
    <row r="42960" spans="23:23" x14ac:dyDescent="0.55000000000000004">
      <c r="W42960"/>
    </row>
    <row r="42961" spans="23:23" x14ac:dyDescent="0.55000000000000004">
      <c r="W42961"/>
    </row>
    <row r="42962" spans="23:23" x14ac:dyDescent="0.55000000000000004">
      <c r="W42962"/>
    </row>
    <row r="42963" spans="23:23" x14ac:dyDescent="0.55000000000000004">
      <c r="W42963"/>
    </row>
    <row r="42964" spans="23:23" x14ac:dyDescent="0.55000000000000004">
      <c r="W42964"/>
    </row>
    <row r="42965" spans="23:23" x14ac:dyDescent="0.55000000000000004">
      <c r="W42965"/>
    </row>
    <row r="42966" spans="23:23" x14ac:dyDescent="0.55000000000000004">
      <c r="W42966"/>
    </row>
    <row r="42967" spans="23:23" x14ac:dyDescent="0.55000000000000004">
      <c r="W42967"/>
    </row>
    <row r="42968" spans="23:23" x14ac:dyDescent="0.55000000000000004">
      <c r="W42968"/>
    </row>
    <row r="42969" spans="23:23" x14ac:dyDescent="0.55000000000000004">
      <c r="W42969"/>
    </row>
    <row r="42970" spans="23:23" x14ac:dyDescent="0.55000000000000004">
      <c r="W42970"/>
    </row>
    <row r="42971" spans="23:23" x14ac:dyDescent="0.55000000000000004">
      <c r="W42971"/>
    </row>
    <row r="42972" spans="23:23" x14ac:dyDescent="0.55000000000000004">
      <c r="W42972"/>
    </row>
    <row r="42973" spans="23:23" x14ac:dyDescent="0.55000000000000004">
      <c r="W42973"/>
    </row>
    <row r="42974" spans="23:23" x14ac:dyDescent="0.55000000000000004">
      <c r="W42974"/>
    </row>
    <row r="42975" spans="23:23" x14ac:dyDescent="0.55000000000000004">
      <c r="W42975"/>
    </row>
    <row r="42976" spans="23:23" x14ac:dyDescent="0.55000000000000004">
      <c r="W42976"/>
    </row>
    <row r="42977" spans="23:23" x14ac:dyDescent="0.55000000000000004">
      <c r="W42977"/>
    </row>
    <row r="42978" spans="23:23" x14ac:dyDescent="0.55000000000000004">
      <c r="W42978"/>
    </row>
    <row r="42979" spans="23:23" x14ac:dyDescent="0.55000000000000004">
      <c r="W42979"/>
    </row>
    <row r="42980" spans="23:23" x14ac:dyDescent="0.55000000000000004">
      <c r="W42980"/>
    </row>
    <row r="42981" spans="23:23" x14ac:dyDescent="0.55000000000000004">
      <c r="W42981"/>
    </row>
    <row r="42982" spans="23:23" x14ac:dyDescent="0.55000000000000004">
      <c r="W42982"/>
    </row>
    <row r="42983" spans="23:23" x14ac:dyDescent="0.55000000000000004">
      <c r="W42983"/>
    </row>
    <row r="42984" spans="23:23" x14ac:dyDescent="0.55000000000000004">
      <c r="W42984"/>
    </row>
    <row r="42985" spans="23:23" x14ac:dyDescent="0.55000000000000004">
      <c r="W42985"/>
    </row>
    <row r="42986" spans="23:23" x14ac:dyDescent="0.55000000000000004">
      <c r="W42986"/>
    </row>
    <row r="42987" spans="23:23" x14ac:dyDescent="0.55000000000000004">
      <c r="W42987"/>
    </row>
    <row r="42988" spans="23:23" x14ac:dyDescent="0.55000000000000004">
      <c r="W42988"/>
    </row>
    <row r="42989" spans="23:23" x14ac:dyDescent="0.55000000000000004">
      <c r="W42989"/>
    </row>
    <row r="42990" spans="23:23" x14ac:dyDescent="0.55000000000000004">
      <c r="W42990"/>
    </row>
    <row r="42991" spans="23:23" x14ac:dyDescent="0.55000000000000004">
      <c r="W42991"/>
    </row>
    <row r="42992" spans="23:23" x14ac:dyDescent="0.55000000000000004">
      <c r="W42992"/>
    </row>
    <row r="42993" spans="23:23" x14ac:dyDescent="0.55000000000000004">
      <c r="W42993"/>
    </row>
    <row r="42994" spans="23:23" x14ac:dyDescent="0.55000000000000004">
      <c r="W42994"/>
    </row>
    <row r="42995" spans="23:23" x14ac:dyDescent="0.55000000000000004">
      <c r="W42995"/>
    </row>
    <row r="42996" spans="23:23" x14ac:dyDescent="0.55000000000000004">
      <c r="W42996"/>
    </row>
    <row r="42997" spans="23:23" x14ac:dyDescent="0.55000000000000004">
      <c r="W42997"/>
    </row>
    <row r="42998" spans="23:23" x14ac:dyDescent="0.55000000000000004">
      <c r="W42998"/>
    </row>
    <row r="42999" spans="23:23" x14ac:dyDescent="0.55000000000000004">
      <c r="W42999"/>
    </row>
    <row r="43000" spans="23:23" x14ac:dyDescent="0.55000000000000004">
      <c r="W43000"/>
    </row>
    <row r="43001" spans="23:23" x14ac:dyDescent="0.55000000000000004">
      <c r="W43001"/>
    </row>
    <row r="43002" spans="23:23" x14ac:dyDescent="0.55000000000000004">
      <c r="W43002"/>
    </row>
    <row r="43003" spans="23:23" x14ac:dyDescent="0.55000000000000004">
      <c r="W43003"/>
    </row>
    <row r="43004" spans="23:23" x14ac:dyDescent="0.55000000000000004">
      <c r="W43004"/>
    </row>
    <row r="43005" spans="23:23" x14ac:dyDescent="0.55000000000000004">
      <c r="W43005"/>
    </row>
    <row r="43006" spans="23:23" x14ac:dyDescent="0.55000000000000004">
      <c r="W43006"/>
    </row>
    <row r="43007" spans="23:23" x14ac:dyDescent="0.55000000000000004">
      <c r="W43007"/>
    </row>
    <row r="43008" spans="23:23" x14ac:dyDescent="0.55000000000000004">
      <c r="W43008"/>
    </row>
    <row r="43009" spans="23:23" x14ac:dyDescent="0.55000000000000004">
      <c r="W43009"/>
    </row>
    <row r="43010" spans="23:23" x14ac:dyDescent="0.55000000000000004">
      <c r="W43010"/>
    </row>
    <row r="43011" spans="23:23" x14ac:dyDescent="0.55000000000000004">
      <c r="W43011"/>
    </row>
    <row r="43012" spans="23:23" x14ac:dyDescent="0.55000000000000004">
      <c r="W43012"/>
    </row>
    <row r="43013" spans="23:23" x14ac:dyDescent="0.55000000000000004">
      <c r="W43013"/>
    </row>
    <row r="43014" spans="23:23" x14ac:dyDescent="0.55000000000000004">
      <c r="W43014"/>
    </row>
    <row r="43015" spans="23:23" x14ac:dyDescent="0.55000000000000004">
      <c r="W43015"/>
    </row>
    <row r="43016" spans="23:23" x14ac:dyDescent="0.55000000000000004">
      <c r="W43016"/>
    </row>
    <row r="43017" spans="23:23" x14ac:dyDescent="0.55000000000000004">
      <c r="W43017"/>
    </row>
    <row r="43018" spans="23:23" x14ac:dyDescent="0.55000000000000004">
      <c r="W43018"/>
    </row>
    <row r="43019" spans="23:23" x14ac:dyDescent="0.55000000000000004">
      <c r="W43019"/>
    </row>
    <row r="43020" spans="23:23" x14ac:dyDescent="0.55000000000000004">
      <c r="W43020"/>
    </row>
    <row r="43021" spans="23:23" x14ac:dyDescent="0.55000000000000004">
      <c r="W43021"/>
    </row>
    <row r="43022" spans="23:23" x14ac:dyDescent="0.55000000000000004">
      <c r="W43022"/>
    </row>
    <row r="43023" spans="23:23" x14ac:dyDescent="0.55000000000000004">
      <c r="W43023"/>
    </row>
    <row r="43024" spans="23:23" x14ac:dyDescent="0.55000000000000004">
      <c r="W43024"/>
    </row>
    <row r="43025" spans="23:23" x14ac:dyDescent="0.55000000000000004">
      <c r="W43025"/>
    </row>
    <row r="43026" spans="23:23" x14ac:dyDescent="0.55000000000000004">
      <c r="W43026"/>
    </row>
    <row r="43027" spans="23:23" x14ac:dyDescent="0.55000000000000004">
      <c r="W43027"/>
    </row>
    <row r="43028" spans="23:23" x14ac:dyDescent="0.55000000000000004">
      <c r="W43028"/>
    </row>
    <row r="43029" spans="23:23" x14ac:dyDescent="0.55000000000000004">
      <c r="W43029"/>
    </row>
    <row r="43030" spans="23:23" x14ac:dyDescent="0.55000000000000004">
      <c r="W43030"/>
    </row>
    <row r="43031" spans="23:23" x14ac:dyDescent="0.55000000000000004">
      <c r="W43031"/>
    </row>
    <row r="43032" spans="23:23" x14ac:dyDescent="0.55000000000000004">
      <c r="W43032"/>
    </row>
    <row r="43033" spans="23:23" x14ac:dyDescent="0.55000000000000004">
      <c r="W43033"/>
    </row>
    <row r="43034" spans="23:23" x14ac:dyDescent="0.55000000000000004">
      <c r="W43034"/>
    </row>
    <row r="43035" spans="23:23" x14ac:dyDescent="0.55000000000000004">
      <c r="W43035"/>
    </row>
    <row r="43036" spans="23:23" x14ac:dyDescent="0.55000000000000004">
      <c r="W43036"/>
    </row>
    <row r="43037" spans="23:23" x14ac:dyDescent="0.55000000000000004">
      <c r="W43037"/>
    </row>
    <row r="43038" spans="23:23" x14ac:dyDescent="0.55000000000000004">
      <c r="W43038"/>
    </row>
    <row r="43039" spans="23:23" x14ac:dyDescent="0.55000000000000004">
      <c r="W43039"/>
    </row>
    <row r="43040" spans="23:23" x14ac:dyDescent="0.55000000000000004">
      <c r="W43040"/>
    </row>
    <row r="43041" spans="23:23" x14ac:dyDescent="0.55000000000000004">
      <c r="W43041"/>
    </row>
    <row r="43042" spans="23:23" x14ac:dyDescent="0.55000000000000004">
      <c r="W43042"/>
    </row>
    <row r="43043" spans="23:23" x14ac:dyDescent="0.55000000000000004">
      <c r="W43043"/>
    </row>
    <row r="43044" spans="23:23" x14ac:dyDescent="0.55000000000000004">
      <c r="W43044"/>
    </row>
    <row r="43045" spans="23:23" x14ac:dyDescent="0.55000000000000004">
      <c r="W43045"/>
    </row>
    <row r="43046" spans="23:23" x14ac:dyDescent="0.55000000000000004">
      <c r="W43046"/>
    </row>
    <row r="43047" spans="23:23" x14ac:dyDescent="0.55000000000000004">
      <c r="W43047"/>
    </row>
    <row r="43048" spans="23:23" x14ac:dyDescent="0.55000000000000004">
      <c r="W43048"/>
    </row>
    <row r="43049" spans="23:23" x14ac:dyDescent="0.55000000000000004">
      <c r="W43049"/>
    </row>
    <row r="43050" spans="23:23" x14ac:dyDescent="0.55000000000000004">
      <c r="W43050"/>
    </row>
    <row r="43051" spans="23:23" x14ac:dyDescent="0.55000000000000004">
      <c r="W43051"/>
    </row>
    <row r="43052" spans="23:23" x14ac:dyDescent="0.55000000000000004">
      <c r="W43052"/>
    </row>
    <row r="43053" spans="23:23" x14ac:dyDescent="0.55000000000000004">
      <c r="W43053"/>
    </row>
    <row r="43054" spans="23:23" x14ac:dyDescent="0.55000000000000004">
      <c r="W43054"/>
    </row>
    <row r="43055" spans="23:23" x14ac:dyDescent="0.55000000000000004">
      <c r="W43055"/>
    </row>
    <row r="43056" spans="23:23" x14ac:dyDescent="0.55000000000000004">
      <c r="W43056"/>
    </row>
    <row r="43057" spans="23:23" x14ac:dyDescent="0.55000000000000004">
      <c r="W43057"/>
    </row>
    <row r="43058" spans="23:23" x14ac:dyDescent="0.55000000000000004">
      <c r="W43058"/>
    </row>
    <row r="43059" spans="23:23" x14ac:dyDescent="0.55000000000000004">
      <c r="W43059"/>
    </row>
    <row r="43060" spans="23:23" x14ac:dyDescent="0.55000000000000004">
      <c r="W43060"/>
    </row>
    <row r="43061" spans="23:23" x14ac:dyDescent="0.55000000000000004">
      <c r="W43061"/>
    </row>
    <row r="43062" spans="23:23" x14ac:dyDescent="0.55000000000000004">
      <c r="W43062"/>
    </row>
    <row r="43063" spans="23:23" x14ac:dyDescent="0.55000000000000004">
      <c r="W43063"/>
    </row>
    <row r="43064" spans="23:23" x14ac:dyDescent="0.55000000000000004">
      <c r="W43064"/>
    </row>
    <row r="43065" spans="23:23" x14ac:dyDescent="0.55000000000000004">
      <c r="W43065"/>
    </row>
    <row r="43066" spans="23:23" x14ac:dyDescent="0.55000000000000004">
      <c r="W43066"/>
    </row>
    <row r="43067" spans="23:23" x14ac:dyDescent="0.55000000000000004">
      <c r="W43067"/>
    </row>
    <row r="43068" spans="23:23" x14ac:dyDescent="0.55000000000000004">
      <c r="W43068"/>
    </row>
    <row r="43069" spans="23:23" x14ac:dyDescent="0.55000000000000004">
      <c r="W43069"/>
    </row>
    <row r="43070" spans="23:23" x14ac:dyDescent="0.55000000000000004">
      <c r="W43070"/>
    </row>
    <row r="43071" spans="23:23" x14ac:dyDescent="0.55000000000000004">
      <c r="W43071"/>
    </row>
    <row r="43072" spans="23:23" x14ac:dyDescent="0.55000000000000004">
      <c r="W43072"/>
    </row>
    <row r="43073" spans="23:23" x14ac:dyDescent="0.55000000000000004">
      <c r="W43073"/>
    </row>
    <row r="43074" spans="23:23" x14ac:dyDescent="0.55000000000000004">
      <c r="W43074"/>
    </row>
    <row r="43075" spans="23:23" x14ac:dyDescent="0.55000000000000004">
      <c r="W43075"/>
    </row>
    <row r="43076" spans="23:23" x14ac:dyDescent="0.55000000000000004">
      <c r="W43076"/>
    </row>
    <row r="43077" spans="23:23" x14ac:dyDescent="0.55000000000000004">
      <c r="W43077"/>
    </row>
    <row r="43078" spans="23:23" x14ac:dyDescent="0.55000000000000004">
      <c r="W43078"/>
    </row>
    <row r="43079" spans="23:23" x14ac:dyDescent="0.55000000000000004">
      <c r="W43079"/>
    </row>
    <row r="43080" spans="23:23" x14ac:dyDescent="0.55000000000000004">
      <c r="W43080"/>
    </row>
    <row r="43081" spans="23:23" x14ac:dyDescent="0.55000000000000004">
      <c r="W43081"/>
    </row>
    <row r="43082" spans="23:23" x14ac:dyDescent="0.55000000000000004">
      <c r="W43082"/>
    </row>
    <row r="43083" spans="23:23" x14ac:dyDescent="0.55000000000000004">
      <c r="W43083"/>
    </row>
    <row r="43084" spans="23:23" x14ac:dyDescent="0.55000000000000004">
      <c r="W43084"/>
    </row>
    <row r="43085" spans="23:23" x14ac:dyDescent="0.55000000000000004">
      <c r="W43085"/>
    </row>
    <row r="43086" spans="23:23" x14ac:dyDescent="0.55000000000000004">
      <c r="W43086"/>
    </row>
    <row r="43087" spans="23:23" x14ac:dyDescent="0.55000000000000004">
      <c r="W43087"/>
    </row>
    <row r="43088" spans="23:23" x14ac:dyDescent="0.55000000000000004">
      <c r="W43088"/>
    </row>
    <row r="43089" spans="23:23" x14ac:dyDescent="0.55000000000000004">
      <c r="W43089"/>
    </row>
    <row r="43090" spans="23:23" x14ac:dyDescent="0.55000000000000004">
      <c r="W43090"/>
    </row>
    <row r="43091" spans="23:23" x14ac:dyDescent="0.55000000000000004">
      <c r="W43091"/>
    </row>
    <row r="43092" spans="23:23" x14ac:dyDescent="0.55000000000000004">
      <c r="W43092"/>
    </row>
    <row r="43093" spans="23:23" x14ac:dyDescent="0.55000000000000004">
      <c r="W43093"/>
    </row>
    <row r="43094" spans="23:23" x14ac:dyDescent="0.55000000000000004">
      <c r="W43094"/>
    </row>
    <row r="43095" spans="23:23" x14ac:dyDescent="0.55000000000000004">
      <c r="W43095"/>
    </row>
    <row r="43096" spans="23:23" x14ac:dyDescent="0.55000000000000004">
      <c r="W43096"/>
    </row>
    <row r="43097" spans="23:23" x14ac:dyDescent="0.55000000000000004">
      <c r="W43097"/>
    </row>
    <row r="43098" spans="23:23" x14ac:dyDescent="0.55000000000000004">
      <c r="W43098"/>
    </row>
    <row r="43099" spans="23:23" x14ac:dyDescent="0.55000000000000004">
      <c r="W43099"/>
    </row>
    <row r="43100" spans="23:23" x14ac:dyDescent="0.55000000000000004">
      <c r="W43100"/>
    </row>
    <row r="43101" spans="23:23" x14ac:dyDescent="0.55000000000000004">
      <c r="W43101"/>
    </row>
    <row r="43102" spans="23:23" x14ac:dyDescent="0.55000000000000004">
      <c r="W43102"/>
    </row>
    <row r="43103" spans="23:23" x14ac:dyDescent="0.55000000000000004">
      <c r="W43103"/>
    </row>
    <row r="43104" spans="23:23" x14ac:dyDescent="0.55000000000000004">
      <c r="W43104"/>
    </row>
    <row r="43105" spans="23:23" x14ac:dyDescent="0.55000000000000004">
      <c r="W43105"/>
    </row>
    <row r="43106" spans="23:23" x14ac:dyDescent="0.55000000000000004">
      <c r="W43106"/>
    </row>
    <row r="43107" spans="23:23" x14ac:dyDescent="0.55000000000000004">
      <c r="W43107"/>
    </row>
    <row r="43108" spans="23:23" x14ac:dyDescent="0.55000000000000004">
      <c r="W43108"/>
    </row>
    <row r="43109" spans="23:23" x14ac:dyDescent="0.55000000000000004">
      <c r="W43109"/>
    </row>
    <row r="43110" spans="23:23" x14ac:dyDescent="0.55000000000000004">
      <c r="W43110"/>
    </row>
    <row r="43111" spans="23:23" x14ac:dyDescent="0.55000000000000004">
      <c r="W43111"/>
    </row>
    <row r="43112" spans="23:23" x14ac:dyDescent="0.55000000000000004">
      <c r="W43112"/>
    </row>
    <row r="43113" spans="23:23" x14ac:dyDescent="0.55000000000000004">
      <c r="W43113"/>
    </row>
    <row r="43114" spans="23:23" x14ac:dyDescent="0.55000000000000004">
      <c r="W43114"/>
    </row>
    <row r="43115" spans="23:23" x14ac:dyDescent="0.55000000000000004">
      <c r="W43115"/>
    </row>
    <row r="43116" spans="23:23" x14ac:dyDescent="0.55000000000000004">
      <c r="W43116"/>
    </row>
    <row r="43117" spans="23:23" x14ac:dyDescent="0.55000000000000004">
      <c r="W43117"/>
    </row>
    <row r="43118" spans="23:23" x14ac:dyDescent="0.55000000000000004">
      <c r="W43118"/>
    </row>
    <row r="43119" spans="23:23" x14ac:dyDescent="0.55000000000000004">
      <c r="W43119"/>
    </row>
    <row r="43120" spans="23:23" x14ac:dyDescent="0.55000000000000004">
      <c r="W43120"/>
    </row>
    <row r="43121" spans="23:23" x14ac:dyDescent="0.55000000000000004">
      <c r="W43121"/>
    </row>
    <row r="43122" spans="23:23" x14ac:dyDescent="0.55000000000000004">
      <c r="W43122"/>
    </row>
    <row r="43123" spans="23:23" x14ac:dyDescent="0.55000000000000004">
      <c r="W43123"/>
    </row>
    <row r="43124" spans="23:23" x14ac:dyDescent="0.55000000000000004">
      <c r="W43124"/>
    </row>
    <row r="43125" spans="23:23" x14ac:dyDescent="0.55000000000000004">
      <c r="W43125"/>
    </row>
    <row r="43126" spans="23:23" x14ac:dyDescent="0.55000000000000004">
      <c r="W43126"/>
    </row>
    <row r="43127" spans="23:23" x14ac:dyDescent="0.55000000000000004">
      <c r="W43127"/>
    </row>
    <row r="43128" spans="23:23" x14ac:dyDescent="0.55000000000000004">
      <c r="W43128"/>
    </row>
    <row r="43129" spans="23:23" x14ac:dyDescent="0.55000000000000004">
      <c r="W43129"/>
    </row>
    <row r="43130" spans="23:23" x14ac:dyDescent="0.55000000000000004">
      <c r="W43130"/>
    </row>
    <row r="43131" spans="23:23" x14ac:dyDescent="0.55000000000000004">
      <c r="W43131"/>
    </row>
    <row r="43132" spans="23:23" x14ac:dyDescent="0.55000000000000004">
      <c r="W43132"/>
    </row>
    <row r="43133" spans="23:23" x14ac:dyDescent="0.55000000000000004">
      <c r="W43133"/>
    </row>
    <row r="43134" spans="23:23" x14ac:dyDescent="0.55000000000000004">
      <c r="W43134"/>
    </row>
    <row r="43135" spans="23:23" x14ac:dyDescent="0.55000000000000004">
      <c r="W43135"/>
    </row>
    <row r="43136" spans="23:23" x14ac:dyDescent="0.55000000000000004">
      <c r="W43136"/>
    </row>
    <row r="43137" spans="23:23" x14ac:dyDescent="0.55000000000000004">
      <c r="W43137"/>
    </row>
    <row r="43138" spans="23:23" x14ac:dyDescent="0.55000000000000004">
      <c r="W43138"/>
    </row>
    <row r="43139" spans="23:23" x14ac:dyDescent="0.55000000000000004">
      <c r="W43139"/>
    </row>
    <row r="43140" spans="23:23" x14ac:dyDescent="0.55000000000000004">
      <c r="W43140"/>
    </row>
    <row r="43141" spans="23:23" x14ac:dyDescent="0.55000000000000004">
      <c r="W43141"/>
    </row>
    <row r="43142" spans="23:23" x14ac:dyDescent="0.55000000000000004">
      <c r="W43142"/>
    </row>
    <row r="43143" spans="23:23" x14ac:dyDescent="0.55000000000000004">
      <c r="W43143"/>
    </row>
    <row r="43144" spans="23:23" x14ac:dyDescent="0.55000000000000004">
      <c r="W43144"/>
    </row>
    <row r="43145" spans="23:23" x14ac:dyDescent="0.55000000000000004">
      <c r="W43145"/>
    </row>
    <row r="43146" spans="23:23" x14ac:dyDescent="0.55000000000000004">
      <c r="W43146"/>
    </row>
    <row r="43147" spans="23:23" x14ac:dyDescent="0.55000000000000004">
      <c r="W43147"/>
    </row>
    <row r="43148" spans="23:23" x14ac:dyDescent="0.55000000000000004">
      <c r="W43148"/>
    </row>
    <row r="43149" spans="23:23" x14ac:dyDescent="0.55000000000000004">
      <c r="W43149"/>
    </row>
    <row r="43150" spans="23:23" x14ac:dyDescent="0.55000000000000004">
      <c r="W43150"/>
    </row>
    <row r="43151" spans="23:23" x14ac:dyDescent="0.55000000000000004">
      <c r="W43151"/>
    </row>
    <row r="43152" spans="23:23" x14ac:dyDescent="0.55000000000000004">
      <c r="W43152"/>
    </row>
    <row r="43153" spans="23:23" x14ac:dyDescent="0.55000000000000004">
      <c r="W43153"/>
    </row>
    <row r="43154" spans="23:23" x14ac:dyDescent="0.55000000000000004">
      <c r="W43154"/>
    </row>
    <row r="43155" spans="23:23" x14ac:dyDescent="0.55000000000000004">
      <c r="W43155"/>
    </row>
    <row r="43156" spans="23:23" x14ac:dyDescent="0.55000000000000004">
      <c r="W43156"/>
    </row>
    <row r="43157" spans="23:23" x14ac:dyDescent="0.55000000000000004">
      <c r="W43157"/>
    </row>
    <row r="43158" spans="23:23" x14ac:dyDescent="0.55000000000000004">
      <c r="W43158"/>
    </row>
    <row r="43159" spans="23:23" x14ac:dyDescent="0.55000000000000004">
      <c r="W43159"/>
    </row>
    <row r="43160" spans="23:23" x14ac:dyDescent="0.55000000000000004">
      <c r="W43160"/>
    </row>
    <row r="43161" spans="23:23" x14ac:dyDescent="0.55000000000000004">
      <c r="W43161"/>
    </row>
    <row r="43162" spans="23:23" x14ac:dyDescent="0.55000000000000004">
      <c r="W43162"/>
    </row>
    <row r="43163" spans="23:23" x14ac:dyDescent="0.55000000000000004">
      <c r="W43163"/>
    </row>
    <row r="43164" spans="23:23" x14ac:dyDescent="0.55000000000000004">
      <c r="W43164"/>
    </row>
    <row r="43165" spans="23:23" x14ac:dyDescent="0.55000000000000004">
      <c r="W43165"/>
    </row>
    <row r="43166" spans="23:23" x14ac:dyDescent="0.55000000000000004">
      <c r="W43166"/>
    </row>
    <row r="43167" spans="23:23" x14ac:dyDescent="0.55000000000000004">
      <c r="W43167"/>
    </row>
    <row r="43168" spans="23:23" x14ac:dyDescent="0.55000000000000004">
      <c r="W43168"/>
    </row>
    <row r="43169" spans="23:23" x14ac:dyDescent="0.55000000000000004">
      <c r="W43169"/>
    </row>
    <row r="43170" spans="23:23" x14ac:dyDescent="0.55000000000000004">
      <c r="W43170"/>
    </row>
    <row r="43171" spans="23:23" x14ac:dyDescent="0.55000000000000004">
      <c r="W43171"/>
    </row>
    <row r="43172" spans="23:23" x14ac:dyDescent="0.55000000000000004">
      <c r="W43172"/>
    </row>
    <row r="43173" spans="23:23" x14ac:dyDescent="0.55000000000000004">
      <c r="W43173"/>
    </row>
    <row r="43174" spans="23:23" x14ac:dyDescent="0.55000000000000004">
      <c r="W43174"/>
    </row>
    <row r="43175" spans="23:23" x14ac:dyDescent="0.55000000000000004">
      <c r="W43175"/>
    </row>
    <row r="43176" spans="23:23" x14ac:dyDescent="0.55000000000000004">
      <c r="W43176"/>
    </row>
    <row r="43177" spans="23:23" x14ac:dyDescent="0.55000000000000004">
      <c r="W43177"/>
    </row>
    <row r="43178" spans="23:23" x14ac:dyDescent="0.55000000000000004">
      <c r="W43178"/>
    </row>
    <row r="43179" spans="23:23" x14ac:dyDescent="0.55000000000000004">
      <c r="W43179"/>
    </row>
    <row r="43180" spans="23:23" x14ac:dyDescent="0.55000000000000004">
      <c r="W43180"/>
    </row>
    <row r="43181" spans="23:23" x14ac:dyDescent="0.55000000000000004">
      <c r="W43181"/>
    </row>
    <row r="43182" spans="23:23" x14ac:dyDescent="0.55000000000000004">
      <c r="W43182"/>
    </row>
    <row r="43183" spans="23:23" x14ac:dyDescent="0.55000000000000004">
      <c r="W43183"/>
    </row>
    <row r="43184" spans="23:23" x14ac:dyDescent="0.55000000000000004">
      <c r="W43184"/>
    </row>
    <row r="43185" spans="23:23" x14ac:dyDescent="0.55000000000000004">
      <c r="W43185"/>
    </row>
    <row r="43186" spans="23:23" x14ac:dyDescent="0.55000000000000004">
      <c r="W43186"/>
    </row>
    <row r="43187" spans="23:23" x14ac:dyDescent="0.55000000000000004">
      <c r="W43187"/>
    </row>
    <row r="43188" spans="23:23" x14ac:dyDescent="0.55000000000000004">
      <c r="W43188"/>
    </row>
    <row r="43189" spans="23:23" x14ac:dyDescent="0.55000000000000004">
      <c r="W43189"/>
    </row>
    <row r="43190" spans="23:23" x14ac:dyDescent="0.55000000000000004">
      <c r="W43190"/>
    </row>
    <row r="43191" spans="23:23" x14ac:dyDescent="0.55000000000000004">
      <c r="W43191"/>
    </row>
    <row r="43192" spans="23:23" x14ac:dyDescent="0.55000000000000004">
      <c r="W43192"/>
    </row>
    <row r="43193" spans="23:23" x14ac:dyDescent="0.55000000000000004">
      <c r="W43193"/>
    </row>
    <row r="43194" spans="23:23" x14ac:dyDescent="0.55000000000000004">
      <c r="W43194"/>
    </row>
    <row r="43195" spans="23:23" x14ac:dyDescent="0.55000000000000004">
      <c r="W43195"/>
    </row>
    <row r="43196" spans="23:23" x14ac:dyDescent="0.55000000000000004">
      <c r="W43196"/>
    </row>
    <row r="43197" spans="23:23" x14ac:dyDescent="0.55000000000000004">
      <c r="W43197"/>
    </row>
    <row r="43198" spans="23:23" x14ac:dyDescent="0.55000000000000004">
      <c r="W43198"/>
    </row>
    <row r="43199" spans="23:23" x14ac:dyDescent="0.55000000000000004">
      <c r="W43199"/>
    </row>
    <row r="43200" spans="23:23" x14ac:dyDescent="0.55000000000000004">
      <c r="W43200"/>
    </row>
    <row r="43201" spans="23:23" x14ac:dyDescent="0.55000000000000004">
      <c r="W43201"/>
    </row>
    <row r="43202" spans="23:23" x14ac:dyDescent="0.55000000000000004">
      <c r="W43202"/>
    </row>
    <row r="43203" spans="23:23" x14ac:dyDescent="0.55000000000000004">
      <c r="W43203"/>
    </row>
    <row r="43204" spans="23:23" x14ac:dyDescent="0.55000000000000004">
      <c r="W43204"/>
    </row>
    <row r="43205" spans="23:23" x14ac:dyDescent="0.55000000000000004">
      <c r="W43205"/>
    </row>
    <row r="43206" spans="23:23" x14ac:dyDescent="0.55000000000000004">
      <c r="W43206"/>
    </row>
    <row r="43207" spans="23:23" x14ac:dyDescent="0.55000000000000004">
      <c r="W43207"/>
    </row>
    <row r="43208" spans="23:23" x14ac:dyDescent="0.55000000000000004">
      <c r="W43208"/>
    </row>
    <row r="43209" spans="23:23" x14ac:dyDescent="0.55000000000000004">
      <c r="W43209"/>
    </row>
    <row r="43210" spans="23:23" x14ac:dyDescent="0.55000000000000004">
      <c r="W43210"/>
    </row>
    <row r="43211" spans="23:23" x14ac:dyDescent="0.55000000000000004">
      <c r="W43211"/>
    </row>
    <row r="43212" spans="23:23" x14ac:dyDescent="0.55000000000000004">
      <c r="W43212"/>
    </row>
    <row r="43213" spans="23:23" x14ac:dyDescent="0.55000000000000004">
      <c r="W43213"/>
    </row>
    <row r="43214" spans="23:23" x14ac:dyDescent="0.55000000000000004">
      <c r="W43214"/>
    </row>
    <row r="43215" spans="23:23" x14ac:dyDescent="0.55000000000000004">
      <c r="W43215"/>
    </row>
    <row r="43216" spans="23:23" x14ac:dyDescent="0.55000000000000004">
      <c r="W43216"/>
    </row>
    <row r="43217" spans="23:23" x14ac:dyDescent="0.55000000000000004">
      <c r="W43217"/>
    </row>
    <row r="43218" spans="23:23" x14ac:dyDescent="0.55000000000000004">
      <c r="W43218"/>
    </row>
    <row r="43219" spans="23:23" x14ac:dyDescent="0.55000000000000004">
      <c r="W43219"/>
    </row>
    <row r="43220" spans="23:23" x14ac:dyDescent="0.55000000000000004">
      <c r="W43220"/>
    </row>
    <row r="43221" spans="23:23" x14ac:dyDescent="0.55000000000000004">
      <c r="W43221"/>
    </row>
    <row r="43222" spans="23:23" x14ac:dyDescent="0.55000000000000004">
      <c r="W43222"/>
    </row>
    <row r="43223" spans="23:23" x14ac:dyDescent="0.55000000000000004">
      <c r="W43223"/>
    </row>
    <row r="43224" spans="23:23" x14ac:dyDescent="0.55000000000000004">
      <c r="W43224"/>
    </row>
    <row r="43225" spans="23:23" x14ac:dyDescent="0.55000000000000004">
      <c r="W43225"/>
    </row>
    <row r="43226" spans="23:23" x14ac:dyDescent="0.55000000000000004">
      <c r="W43226"/>
    </row>
    <row r="43227" spans="23:23" x14ac:dyDescent="0.55000000000000004">
      <c r="W43227"/>
    </row>
    <row r="43228" spans="23:23" x14ac:dyDescent="0.55000000000000004">
      <c r="W43228"/>
    </row>
    <row r="43229" spans="23:23" x14ac:dyDescent="0.55000000000000004">
      <c r="W43229"/>
    </row>
    <row r="43230" spans="23:23" x14ac:dyDescent="0.55000000000000004">
      <c r="W43230"/>
    </row>
    <row r="43231" spans="23:23" x14ac:dyDescent="0.55000000000000004">
      <c r="W43231"/>
    </row>
    <row r="43232" spans="23:23" x14ac:dyDescent="0.55000000000000004">
      <c r="W43232"/>
    </row>
    <row r="43233" spans="23:23" x14ac:dyDescent="0.55000000000000004">
      <c r="W43233"/>
    </row>
    <row r="43234" spans="23:23" x14ac:dyDescent="0.55000000000000004">
      <c r="W43234"/>
    </row>
    <row r="43235" spans="23:23" x14ac:dyDescent="0.55000000000000004">
      <c r="W43235"/>
    </row>
    <row r="43236" spans="23:23" x14ac:dyDescent="0.55000000000000004">
      <c r="W43236"/>
    </row>
    <row r="43237" spans="23:23" x14ac:dyDescent="0.55000000000000004">
      <c r="W43237"/>
    </row>
    <row r="43238" spans="23:23" x14ac:dyDescent="0.55000000000000004">
      <c r="W43238"/>
    </row>
    <row r="43239" spans="23:23" x14ac:dyDescent="0.55000000000000004">
      <c r="W43239"/>
    </row>
    <row r="43240" spans="23:23" x14ac:dyDescent="0.55000000000000004">
      <c r="W43240"/>
    </row>
    <row r="43241" spans="23:23" x14ac:dyDescent="0.55000000000000004">
      <c r="W43241"/>
    </row>
    <row r="43242" spans="23:23" x14ac:dyDescent="0.55000000000000004">
      <c r="W43242"/>
    </row>
    <row r="43243" spans="23:23" x14ac:dyDescent="0.55000000000000004">
      <c r="W43243"/>
    </row>
    <row r="43244" spans="23:23" x14ac:dyDescent="0.55000000000000004">
      <c r="W43244"/>
    </row>
    <row r="43245" spans="23:23" x14ac:dyDescent="0.55000000000000004">
      <c r="W43245"/>
    </row>
    <row r="43246" spans="23:23" x14ac:dyDescent="0.55000000000000004">
      <c r="W43246"/>
    </row>
    <row r="43247" spans="23:23" x14ac:dyDescent="0.55000000000000004">
      <c r="W43247"/>
    </row>
    <row r="43248" spans="23:23" x14ac:dyDescent="0.55000000000000004">
      <c r="W43248"/>
    </row>
    <row r="43249" spans="23:23" x14ac:dyDescent="0.55000000000000004">
      <c r="W43249"/>
    </row>
    <row r="43250" spans="23:23" x14ac:dyDescent="0.55000000000000004">
      <c r="W43250"/>
    </row>
    <row r="43251" spans="23:23" x14ac:dyDescent="0.55000000000000004">
      <c r="W43251"/>
    </row>
    <row r="43252" spans="23:23" x14ac:dyDescent="0.55000000000000004">
      <c r="W43252"/>
    </row>
    <row r="43253" spans="23:23" x14ac:dyDescent="0.55000000000000004">
      <c r="W43253"/>
    </row>
    <row r="43254" spans="23:23" x14ac:dyDescent="0.55000000000000004">
      <c r="W43254"/>
    </row>
    <row r="43255" spans="23:23" x14ac:dyDescent="0.55000000000000004">
      <c r="W43255"/>
    </row>
    <row r="43256" spans="23:23" x14ac:dyDescent="0.55000000000000004">
      <c r="W43256"/>
    </row>
    <row r="43257" spans="23:23" x14ac:dyDescent="0.55000000000000004">
      <c r="W43257"/>
    </row>
    <row r="43258" spans="23:23" x14ac:dyDescent="0.55000000000000004">
      <c r="W43258"/>
    </row>
    <row r="43259" spans="23:23" x14ac:dyDescent="0.55000000000000004">
      <c r="W43259"/>
    </row>
    <row r="43260" spans="23:23" x14ac:dyDescent="0.55000000000000004">
      <c r="W43260"/>
    </row>
    <row r="43261" spans="23:23" x14ac:dyDescent="0.55000000000000004">
      <c r="W43261"/>
    </row>
    <row r="43262" spans="23:23" x14ac:dyDescent="0.55000000000000004">
      <c r="W43262"/>
    </row>
    <row r="43263" spans="23:23" x14ac:dyDescent="0.55000000000000004">
      <c r="W43263"/>
    </row>
    <row r="43264" spans="23:23" x14ac:dyDescent="0.55000000000000004">
      <c r="W43264"/>
    </row>
    <row r="43265" spans="23:23" x14ac:dyDescent="0.55000000000000004">
      <c r="W43265"/>
    </row>
    <row r="43266" spans="23:23" x14ac:dyDescent="0.55000000000000004">
      <c r="W43266"/>
    </row>
    <row r="43267" spans="23:23" x14ac:dyDescent="0.55000000000000004">
      <c r="W43267"/>
    </row>
    <row r="43268" spans="23:23" x14ac:dyDescent="0.55000000000000004">
      <c r="W43268"/>
    </row>
    <row r="43269" spans="23:23" x14ac:dyDescent="0.55000000000000004">
      <c r="W43269"/>
    </row>
    <row r="43270" spans="23:23" x14ac:dyDescent="0.55000000000000004">
      <c r="W43270"/>
    </row>
    <row r="43271" spans="23:23" x14ac:dyDescent="0.55000000000000004">
      <c r="W43271"/>
    </row>
    <row r="43272" spans="23:23" x14ac:dyDescent="0.55000000000000004">
      <c r="W43272"/>
    </row>
    <row r="43273" spans="23:23" x14ac:dyDescent="0.55000000000000004">
      <c r="W43273"/>
    </row>
    <row r="43274" spans="23:23" x14ac:dyDescent="0.55000000000000004">
      <c r="W43274"/>
    </row>
    <row r="43275" spans="23:23" x14ac:dyDescent="0.55000000000000004">
      <c r="W43275"/>
    </row>
    <row r="43276" spans="23:23" x14ac:dyDescent="0.55000000000000004">
      <c r="W43276"/>
    </row>
    <row r="43277" spans="23:23" x14ac:dyDescent="0.55000000000000004">
      <c r="W43277"/>
    </row>
    <row r="43278" spans="23:23" x14ac:dyDescent="0.55000000000000004">
      <c r="W43278"/>
    </row>
    <row r="43279" spans="23:23" x14ac:dyDescent="0.55000000000000004">
      <c r="W43279"/>
    </row>
    <row r="43280" spans="23:23" x14ac:dyDescent="0.55000000000000004">
      <c r="W43280"/>
    </row>
    <row r="43281" spans="23:23" x14ac:dyDescent="0.55000000000000004">
      <c r="W43281"/>
    </row>
    <row r="43282" spans="23:23" x14ac:dyDescent="0.55000000000000004">
      <c r="W43282"/>
    </row>
    <row r="43283" spans="23:23" x14ac:dyDescent="0.55000000000000004">
      <c r="W43283"/>
    </row>
    <row r="43284" spans="23:23" x14ac:dyDescent="0.55000000000000004">
      <c r="W43284"/>
    </row>
    <row r="43285" spans="23:23" x14ac:dyDescent="0.55000000000000004">
      <c r="W43285"/>
    </row>
    <row r="43286" spans="23:23" x14ac:dyDescent="0.55000000000000004">
      <c r="W43286"/>
    </row>
    <row r="43287" spans="23:23" x14ac:dyDescent="0.55000000000000004">
      <c r="W43287"/>
    </row>
    <row r="43288" spans="23:23" x14ac:dyDescent="0.55000000000000004">
      <c r="W43288"/>
    </row>
    <row r="43289" spans="23:23" x14ac:dyDescent="0.55000000000000004">
      <c r="W43289"/>
    </row>
    <row r="43290" spans="23:23" x14ac:dyDescent="0.55000000000000004">
      <c r="W43290"/>
    </row>
    <row r="43291" spans="23:23" x14ac:dyDescent="0.55000000000000004">
      <c r="W43291"/>
    </row>
    <row r="43292" spans="23:23" x14ac:dyDescent="0.55000000000000004">
      <c r="W43292"/>
    </row>
    <row r="43293" spans="23:23" x14ac:dyDescent="0.55000000000000004">
      <c r="W43293"/>
    </row>
    <row r="43294" spans="23:23" x14ac:dyDescent="0.55000000000000004">
      <c r="W43294"/>
    </row>
    <row r="43295" spans="23:23" x14ac:dyDescent="0.55000000000000004">
      <c r="W43295"/>
    </row>
    <row r="43296" spans="23:23" x14ac:dyDescent="0.55000000000000004">
      <c r="W43296"/>
    </row>
    <row r="43297" spans="23:23" x14ac:dyDescent="0.55000000000000004">
      <c r="W43297"/>
    </row>
    <row r="43298" spans="23:23" x14ac:dyDescent="0.55000000000000004">
      <c r="W43298"/>
    </row>
    <row r="43299" spans="23:23" x14ac:dyDescent="0.55000000000000004">
      <c r="W43299"/>
    </row>
    <row r="43300" spans="23:23" x14ac:dyDescent="0.55000000000000004">
      <c r="W43300"/>
    </row>
    <row r="43301" spans="23:23" x14ac:dyDescent="0.55000000000000004">
      <c r="W43301"/>
    </row>
    <row r="43302" spans="23:23" x14ac:dyDescent="0.55000000000000004">
      <c r="W43302"/>
    </row>
    <row r="43303" spans="23:23" x14ac:dyDescent="0.55000000000000004">
      <c r="W43303"/>
    </row>
    <row r="43304" spans="23:23" x14ac:dyDescent="0.55000000000000004">
      <c r="W43304"/>
    </row>
    <row r="43305" spans="23:23" x14ac:dyDescent="0.55000000000000004">
      <c r="W43305"/>
    </row>
    <row r="43306" spans="23:23" x14ac:dyDescent="0.55000000000000004">
      <c r="W43306"/>
    </row>
    <row r="43307" spans="23:23" x14ac:dyDescent="0.55000000000000004">
      <c r="W43307"/>
    </row>
    <row r="43308" spans="23:23" x14ac:dyDescent="0.55000000000000004">
      <c r="W43308"/>
    </row>
    <row r="43309" spans="23:23" x14ac:dyDescent="0.55000000000000004">
      <c r="W43309"/>
    </row>
    <row r="43310" spans="23:23" x14ac:dyDescent="0.55000000000000004">
      <c r="W43310"/>
    </row>
    <row r="43311" spans="23:23" x14ac:dyDescent="0.55000000000000004">
      <c r="W43311"/>
    </row>
    <row r="43312" spans="23:23" x14ac:dyDescent="0.55000000000000004">
      <c r="W43312"/>
    </row>
    <row r="43313" spans="23:23" x14ac:dyDescent="0.55000000000000004">
      <c r="W43313"/>
    </row>
    <row r="43314" spans="23:23" x14ac:dyDescent="0.55000000000000004">
      <c r="W43314"/>
    </row>
    <row r="43315" spans="23:23" x14ac:dyDescent="0.55000000000000004">
      <c r="W43315"/>
    </row>
    <row r="43316" spans="23:23" x14ac:dyDescent="0.55000000000000004">
      <c r="W43316"/>
    </row>
    <row r="43317" spans="23:23" x14ac:dyDescent="0.55000000000000004">
      <c r="W43317"/>
    </row>
    <row r="43318" spans="23:23" x14ac:dyDescent="0.55000000000000004">
      <c r="W43318"/>
    </row>
    <row r="43319" spans="23:23" x14ac:dyDescent="0.55000000000000004">
      <c r="W43319"/>
    </row>
    <row r="43320" spans="23:23" x14ac:dyDescent="0.55000000000000004">
      <c r="W43320"/>
    </row>
    <row r="43321" spans="23:23" x14ac:dyDescent="0.55000000000000004">
      <c r="W43321"/>
    </row>
    <row r="43322" spans="23:23" x14ac:dyDescent="0.55000000000000004">
      <c r="W43322"/>
    </row>
    <row r="43323" spans="23:23" x14ac:dyDescent="0.55000000000000004">
      <c r="W43323"/>
    </row>
    <row r="43324" spans="23:23" x14ac:dyDescent="0.55000000000000004">
      <c r="W43324"/>
    </row>
    <row r="43325" spans="23:23" x14ac:dyDescent="0.55000000000000004">
      <c r="W43325"/>
    </row>
    <row r="43326" spans="23:23" x14ac:dyDescent="0.55000000000000004">
      <c r="W43326"/>
    </row>
    <row r="43327" spans="23:23" x14ac:dyDescent="0.55000000000000004">
      <c r="W43327"/>
    </row>
    <row r="43328" spans="23:23" x14ac:dyDescent="0.55000000000000004">
      <c r="W43328"/>
    </row>
    <row r="43329" spans="23:23" x14ac:dyDescent="0.55000000000000004">
      <c r="W43329"/>
    </row>
    <row r="43330" spans="23:23" x14ac:dyDescent="0.55000000000000004">
      <c r="W43330"/>
    </row>
    <row r="43331" spans="23:23" x14ac:dyDescent="0.55000000000000004">
      <c r="W43331"/>
    </row>
    <row r="43332" spans="23:23" x14ac:dyDescent="0.55000000000000004">
      <c r="W43332"/>
    </row>
    <row r="43333" spans="23:23" x14ac:dyDescent="0.55000000000000004">
      <c r="W43333"/>
    </row>
    <row r="43334" spans="23:23" x14ac:dyDescent="0.55000000000000004">
      <c r="W43334"/>
    </row>
    <row r="43335" spans="23:23" x14ac:dyDescent="0.55000000000000004">
      <c r="W43335"/>
    </row>
    <row r="43336" spans="23:23" x14ac:dyDescent="0.55000000000000004">
      <c r="W43336"/>
    </row>
    <row r="43337" spans="23:23" x14ac:dyDescent="0.55000000000000004">
      <c r="W43337"/>
    </row>
    <row r="43338" spans="23:23" x14ac:dyDescent="0.55000000000000004">
      <c r="W43338"/>
    </row>
    <row r="43339" spans="23:23" x14ac:dyDescent="0.55000000000000004">
      <c r="W43339"/>
    </row>
    <row r="43340" spans="23:23" x14ac:dyDescent="0.55000000000000004">
      <c r="W43340"/>
    </row>
    <row r="43341" spans="23:23" x14ac:dyDescent="0.55000000000000004">
      <c r="W43341"/>
    </row>
    <row r="43342" spans="23:23" x14ac:dyDescent="0.55000000000000004">
      <c r="W43342"/>
    </row>
    <row r="43343" spans="23:23" x14ac:dyDescent="0.55000000000000004">
      <c r="W43343"/>
    </row>
    <row r="43344" spans="23:23" x14ac:dyDescent="0.55000000000000004">
      <c r="W43344"/>
    </row>
    <row r="43345" spans="23:23" x14ac:dyDescent="0.55000000000000004">
      <c r="W43345"/>
    </row>
    <row r="43346" spans="23:23" x14ac:dyDescent="0.55000000000000004">
      <c r="W43346"/>
    </row>
    <row r="43347" spans="23:23" x14ac:dyDescent="0.55000000000000004">
      <c r="W43347"/>
    </row>
    <row r="43348" spans="23:23" x14ac:dyDescent="0.55000000000000004">
      <c r="W43348"/>
    </row>
    <row r="43349" spans="23:23" x14ac:dyDescent="0.55000000000000004">
      <c r="W43349"/>
    </row>
    <row r="43350" spans="23:23" x14ac:dyDescent="0.55000000000000004">
      <c r="W43350"/>
    </row>
    <row r="43351" spans="23:23" x14ac:dyDescent="0.55000000000000004">
      <c r="W43351"/>
    </row>
    <row r="43352" spans="23:23" x14ac:dyDescent="0.55000000000000004">
      <c r="W43352"/>
    </row>
    <row r="43353" spans="23:23" x14ac:dyDescent="0.55000000000000004">
      <c r="W43353"/>
    </row>
    <row r="43354" spans="23:23" x14ac:dyDescent="0.55000000000000004">
      <c r="W43354"/>
    </row>
    <row r="43355" spans="23:23" x14ac:dyDescent="0.55000000000000004">
      <c r="W43355"/>
    </row>
    <row r="43356" spans="23:23" x14ac:dyDescent="0.55000000000000004">
      <c r="W43356"/>
    </row>
    <row r="43357" spans="23:23" x14ac:dyDescent="0.55000000000000004">
      <c r="W43357"/>
    </row>
    <row r="43358" spans="23:23" x14ac:dyDescent="0.55000000000000004">
      <c r="W43358"/>
    </row>
    <row r="43359" spans="23:23" x14ac:dyDescent="0.55000000000000004">
      <c r="W43359"/>
    </row>
    <row r="43360" spans="23:23" x14ac:dyDescent="0.55000000000000004">
      <c r="W43360"/>
    </row>
    <row r="43361" spans="23:23" x14ac:dyDescent="0.55000000000000004">
      <c r="W43361"/>
    </row>
    <row r="43362" spans="23:23" x14ac:dyDescent="0.55000000000000004">
      <c r="W43362"/>
    </row>
    <row r="43363" spans="23:23" x14ac:dyDescent="0.55000000000000004">
      <c r="W43363"/>
    </row>
    <row r="43364" spans="23:23" x14ac:dyDescent="0.55000000000000004">
      <c r="W43364"/>
    </row>
    <row r="43365" spans="23:23" x14ac:dyDescent="0.55000000000000004">
      <c r="W43365"/>
    </row>
    <row r="43366" spans="23:23" x14ac:dyDescent="0.55000000000000004">
      <c r="W43366"/>
    </row>
    <row r="43367" spans="23:23" x14ac:dyDescent="0.55000000000000004">
      <c r="W43367"/>
    </row>
    <row r="43368" spans="23:23" x14ac:dyDescent="0.55000000000000004">
      <c r="W43368"/>
    </row>
    <row r="43369" spans="23:23" x14ac:dyDescent="0.55000000000000004">
      <c r="W43369"/>
    </row>
    <row r="43370" spans="23:23" x14ac:dyDescent="0.55000000000000004">
      <c r="W43370"/>
    </row>
    <row r="43371" spans="23:23" x14ac:dyDescent="0.55000000000000004">
      <c r="W43371"/>
    </row>
    <row r="43372" spans="23:23" x14ac:dyDescent="0.55000000000000004">
      <c r="W43372"/>
    </row>
    <row r="43373" spans="23:23" x14ac:dyDescent="0.55000000000000004">
      <c r="W43373"/>
    </row>
    <row r="43374" spans="23:23" x14ac:dyDescent="0.55000000000000004">
      <c r="W43374"/>
    </row>
    <row r="43375" spans="23:23" x14ac:dyDescent="0.55000000000000004">
      <c r="W43375"/>
    </row>
    <row r="43376" spans="23:23" x14ac:dyDescent="0.55000000000000004">
      <c r="W43376"/>
    </row>
    <row r="43377" spans="23:23" x14ac:dyDescent="0.55000000000000004">
      <c r="W43377"/>
    </row>
    <row r="43378" spans="23:23" x14ac:dyDescent="0.55000000000000004">
      <c r="W43378"/>
    </row>
    <row r="43379" spans="23:23" x14ac:dyDescent="0.55000000000000004">
      <c r="W43379"/>
    </row>
    <row r="43380" spans="23:23" x14ac:dyDescent="0.55000000000000004">
      <c r="W43380"/>
    </row>
    <row r="43381" spans="23:23" x14ac:dyDescent="0.55000000000000004">
      <c r="W43381"/>
    </row>
    <row r="43382" spans="23:23" x14ac:dyDescent="0.55000000000000004">
      <c r="W43382"/>
    </row>
    <row r="43383" spans="23:23" x14ac:dyDescent="0.55000000000000004">
      <c r="W43383"/>
    </row>
    <row r="43384" spans="23:23" x14ac:dyDescent="0.55000000000000004">
      <c r="W43384"/>
    </row>
    <row r="43385" spans="23:23" x14ac:dyDescent="0.55000000000000004">
      <c r="W43385"/>
    </row>
    <row r="43386" spans="23:23" x14ac:dyDescent="0.55000000000000004">
      <c r="W43386"/>
    </row>
    <row r="43387" spans="23:23" x14ac:dyDescent="0.55000000000000004">
      <c r="W43387"/>
    </row>
    <row r="43388" spans="23:23" x14ac:dyDescent="0.55000000000000004">
      <c r="W43388"/>
    </row>
    <row r="43389" spans="23:23" x14ac:dyDescent="0.55000000000000004">
      <c r="W43389"/>
    </row>
    <row r="43390" spans="23:23" x14ac:dyDescent="0.55000000000000004">
      <c r="W43390"/>
    </row>
    <row r="43391" spans="23:23" x14ac:dyDescent="0.55000000000000004">
      <c r="W43391"/>
    </row>
    <row r="43392" spans="23:23" x14ac:dyDescent="0.55000000000000004">
      <c r="W43392"/>
    </row>
    <row r="43393" spans="23:23" x14ac:dyDescent="0.55000000000000004">
      <c r="W43393"/>
    </row>
    <row r="43394" spans="23:23" x14ac:dyDescent="0.55000000000000004">
      <c r="W43394"/>
    </row>
    <row r="43395" spans="23:23" x14ac:dyDescent="0.55000000000000004">
      <c r="W43395"/>
    </row>
    <row r="43396" spans="23:23" x14ac:dyDescent="0.55000000000000004">
      <c r="W43396"/>
    </row>
    <row r="43397" spans="23:23" x14ac:dyDescent="0.55000000000000004">
      <c r="W43397"/>
    </row>
    <row r="43398" spans="23:23" x14ac:dyDescent="0.55000000000000004">
      <c r="W43398"/>
    </row>
    <row r="43399" spans="23:23" x14ac:dyDescent="0.55000000000000004">
      <c r="W43399"/>
    </row>
    <row r="43400" spans="23:23" x14ac:dyDescent="0.55000000000000004">
      <c r="W43400"/>
    </row>
    <row r="43401" spans="23:23" x14ac:dyDescent="0.55000000000000004">
      <c r="W43401"/>
    </row>
    <row r="43402" spans="23:23" x14ac:dyDescent="0.55000000000000004">
      <c r="W43402"/>
    </row>
    <row r="43403" spans="23:23" x14ac:dyDescent="0.55000000000000004">
      <c r="W43403"/>
    </row>
    <row r="43404" spans="23:23" x14ac:dyDescent="0.55000000000000004">
      <c r="W43404"/>
    </row>
    <row r="43405" spans="23:23" x14ac:dyDescent="0.55000000000000004">
      <c r="W43405"/>
    </row>
    <row r="43406" spans="23:23" x14ac:dyDescent="0.55000000000000004">
      <c r="W43406"/>
    </row>
    <row r="43407" spans="23:23" x14ac:dyDescent="0.55000000000000004">
      <c r="W43407"/>
    </row>
    <row r="43408" spans="23:23" x14ac:dyDescent="0.55000000000000004">
      <c r="W43408"/>
    </row>
    <row r="43409" spans="23:23" x14ac:dyDescent="0.55000000000000004">
      <c r="W43409"/>
    </row>
    <row r="43410" spans="23:23" x14ac:dyDescent="0.55000000000000004">
      <c r="W43410"/>
    </row>
    <row r="43411" spans="23:23" x14ac:dyDescent="0.55000000000000004">
      <c r="W43411"/>
    </row>
    <row r="43412" spans="23:23" x14ac:dyDescent="0.55000000000000004">
      <c r="W43412"/>
    </row>
    <row r="43413" spans="23:23" x14ac:dyDescent="0.55000000000000004">
      <c r="W43413"/>
    </row>
    <row r="43414" spans="23:23" x14ac:dyDescent="0.55000000000000004">
      <c r="W43414"/>
    </row>
    <row r="43415" spans="23:23" x14ac:dyDescent="0.55000000000000004">
      <c r="W43415"/>
    </row>
    <row r="43416" spans="23:23" x14ac:dyDescent="0.55000000000000004">
      <c r="W43416"/>
    </row>
    <row r="43417" spans="23:23" x14ac:dyDescent="0.55000000000000004">
      <c r="W43417"/>
    </row>
    <row r="43418" spans="23:23" x14ac:dyDescent="0.55000000000000004">
      <c r="W43418"/>
    </row>
    <row r="43419" spans="23:23" x14ac:dyDescent="0.55000000000000004">
      <c r="W43419"/>
    </row>
    <row r="43420" spans="23:23" x14ac:dyDescent="0.55000000000000004">
      <c r="W43420"/>
    </row>
    <row r="43421" spans="23:23" x14ac:dyDescent="0.55000000000000004">
      <c r="W43421"/>
    </row>
    <row r="43422" spans="23:23" x14ac:dyDescent="0.55000000000000004">
      <c r="W43422"/>
    </row>
    <row r="43423" spans="23:23" x14ac:dyDescent="0.55000000000000004">
      <c r="W43423"/>
    </row>
    <row r="43424" spans="23:23" x14ac:dyDescent="0.55000000000000004">
      <c r="W43424"/>
    </row>
    <row r="43425" spans="23:23" x14ac:dyDescent="0.55000000000000004">
      <c r="W43425"/>
    </row>
    <row r="43426" spans="23:23" x14ac:dyDescent="0.55000000000000004">
      <c r="W43426"/>
    </row>
    <row r="43427" spans="23:23" x14ac:dyDescent="0.55000000000000004">
      <c r="W43427"/>
    </row>
    <row r="43428" spans="23:23" x14ac:dyDescent="0.55000000000000004">
      <c r="W43428"/>
    </row>
    <row r="43429" spans="23:23" x14ac:dyDescent="0.55000000000000004">
      <c r="W43429"/>
    </row>
    <row r="43430" spans="23:23" x14ac:dyDescent="0.55000000000000004">
      <c r="W43430"/>
    </row>
    <row r="43431" spans="23:23" x14ac:dyDescent="0.55000000000000004">
      <c r="W43431"/>
    </row>
    <row r="43432" spans="23:23" x14ac:dyDescent="0.55000000000000004">
      <c r="W43432"/>
    </row>
    <row r="43433" spans="23:23" x14ac:dyDescent="0.55000000000000004">
      <c r="W43433"/>
    </row>
    <row r="43434" spans="23:23" x14ac:dyDescent="0.55000000000000004">
      <c r="W43434"/>
    </row>
    <row r="43435" spans="23:23" x14ac:dyDescent="0.55000000000000004">
      <c r="W43435"/>
    </row>
    <row r="43436" spans="23:23" x14ac:dyDescent="0.55000000000000004">
      <c r="W43436"/>
    </row>
    <row r="43437" spans="23:23" x14ac:dyDescent="0.55000000000000004">
      <c r="W43437"/>
    </row>
    <row r="43438" spans="23:23" x14ac:dyDescent="0.55000000000000004">
      <c r="W43438"/>
    </row>
    <row r="43439" spans="23:23" x14ac:dyDescent="0.55000000000000004">
      <c r="W43439"/>
    </row>
    <row r="43440" spans="23:23" x14ac:dyDescent="0.55000000000000004">
      <c r="W43440"/>
    </row>
    <row r="43441" spans="23:23" x14ac:dyDescent="0.55000000000000004">
      <c r="W43441"/>
    </row>
    <row r="43442" spans="23:23" x14ac:dyDescent="0.55000000000000004">
      <c r="W43442"/>
    </row>
    <row r="43443" spans="23:23" x14ac:dyDescent="0.55000000000000004">
      <c r="W43443"/>
    </row>
    <row r="43444" spans="23:23" x14ac:dyDescent="0.55000000000000004">
      <c r="W43444"/>
    </row>
    <row r="43445" spans="23:23" x14ac:dyDescent="0.55000000000000004">
      <c r="W43445"/>
    </row>
    <row r="43446" spans="23:23" x14ac:dyDescent="0.55000000000000004">
      <c r="W43446"/>
    </row>
    <row r="43447" spans="23:23" x14ac:dyDescent="0.55000000000000004">
      <c r="W43447"/>
    </row>
    <row r="43448" spans="23:23" x14ac:dyDescent="0.55000000000000004">
      <c r="W43448"/>
    </row>
    <row r="43449" spans="23:23" x14ac:dyDescent="0.55000000000000004">
      <c r="W43449"/>
    </row>
    <row r="43450" spans="23:23" x14ac:dyDescent="0.55000000000000004">
      <c r="W43450"/>
    </row>
    <row r="43451" spans="23:23" x14ac:dyDescent="0.55000000000000004">
      <c r="W43451"/>
    </row>
    <row r="43452" spans="23:23" x14ac:dyDescent="0.55000000000000004">
      <c r="W43452"/>
    </row>
    <row r="43453" spans="23:23" x14ac:dyDescent="0.55000000000000004">
      <c r="W43453"/>
    </row>
    <row r="43454" spans="23:23" x14ac:dyDescent="0.55000000000000004">
      <c r="W43454"/>
    </row>
    <row r="43455" spans="23:23" x14ac:dyDescent="0.55000000000000004">
      <c r="W43455"/>
    </row>
    <row r="43456" spans="23:23" x14ac:dyDescent="0.55000000000000004">
      <c r="W43456"/>
    </row>
    <row r="43457" spans="23:23" x14ac:dyDescent="0.55000000000000004">
      <c r="W43457"/>
    </row>
    <row r="43458" spans="23:23" x14ac:dyDescent="0.55000000000000004">
      <c r="W43458"/>
    </row>
    <row r="43459" spans="23:23" x14ac:dyDescent="0.55000000000000004">
      <c r="W43459"/>
    </row>
    <row r="43460" spans="23:23" x14ac:dyDescent="0.55000000000000004">
      <c r="W43460"/>
    </row>
    <row r="43461" spans="23:23" x14ac:dyDescent="0.55000000000000004">
      <c r="W43461"/>
    </row>
    <row r="43462" spans="23:23" x14ac:dyDescent="0.55000000000000004">
      <c r="W43462"/>
    </row>
    <row r="43463" spans="23:23" x14ac:dyDescent="0.55000000000000004">
      <c r="W43463"/>
    </row>
    <row r="43464" spans="23:23" x14ac:dyDescent="0.55000000000000004">
      <c r="W43464"/>
    </row>
    <row r="43465" spans="23:23" x14ac:dyDescent="0.55000000000000004">
      <c r="W43465"/>
    </row>
    <row r="43466" spans="23:23" x14ac:dyDescent="0.55000000000000004">
      <c r="W43466"/>
    </row>
    <row r="43467" spans="23:23" x14ac:dyDescent="0.55000000000000004">
      <c r="W43467"/>
    </row>
    <row r="43468" spans="23:23" x14ac:dyDescent="0.55000000000000004">
      <c r="W43468"/>
    </row>
    <row r="43469" spans="23:23" x14ac:dyDescent="0.55000000000000004">
      <c r="W43469"/>
    </row>
    <row r="43470" spans="23:23" x14ac:dyDescent="0.55000000000000004">
      <c r="W43470"/>
    </row>
    <row r="43471" spans="23:23" x14ac:dyDescent="0.55000000000000004">
      <c r="W43471"/>
    </row>
    <row r="43472" spans="23:23" x14ac:dyDescent="0.55000000000000004">
      <c r="W43472"/>
    </row>
    <row r="43473" spans="23:23" x14ac:dyDescent="0.55000000000000004">
      <c r="W43473"/>
    </row>
    <row r="43474" spans="23:23" x14ac:dyDescent="0.55000000000000004">
      <c r="W43474"/>
    </row>
    <row r="43475" spans="23:23" x14ac:dyDescent="0.55000000000000004">
      <c r="W43475"/>
    </row>
    <row r="43476" spans="23:23" x14ac:dyDescent="0.55000000000000004">
      <c r="W43476"/>
    </row>
    <row r="43477" spans="23:23" x14ac:dyDescent="0.55000000000000004">
      <c r="W43477"/>
    </row>
    <row r="43478" spans="23:23" x14ac:dyDescent="0.55000000000000004">
      <c r="W43478"/>
    </row>
    <row r="43479" spans="23:23" x14ac:dyDescent="0.55000000000000004">
      <c r="W43479"/>
    </row>
    <row r="43480" spans="23:23" x14ac:dyDescent="0.55000000000000004">
      <c r="W43480"/>
    </row>
    <row r="43481" spans="23:23" x14ac:dyDescent="0.55000000000000004">
      <c r="W43481"/>
    </row>
    <row r="43482" spans="23:23" x14ac:dyDescent="0.55000000000000004">
      <c r="W43482"/>
    </row>
    <row r="43483" spans="23:23" x14ac:dyDescent="0.55000000000000004">
      <c r="W43483"/>
    </row>
    <row r="43484" spans="23:23" x14ac:dyDescent="0.55000000000000004">
      <c r="W43484"/>
    </row>
    <row r="43485" spans="23:23" x14ac:dyDescent="0.55000000000000004">
      <c r="W43485"/>
    </row>
    <row r="43486" spans="23:23" x14ac:dyDescent="0.55000000000000004">
      <c r="W43486"/>
    </row>
    <row r="43487" spans="23:23" x14ac:dyDescent="0.55000000000000004">
      <c r="W43487"/>
    </row>
    <row r="43488" spans="23:23" x14ac:dyDescent="0.55000000000000004">
      <c r="W43488"/>
    </row>
    <row r="43489" spans="23:23" x14ac:dyDescent="0.55000000000000004">
      <c r="W43489"/>
    </row>
    <row r="43490" spans="23:23" x14ac:dyDescent="0.55000000000000004">
      <c r="W43490"/>
    </row>
    <row r="43491" spans="23:23" x14ac:dyDescent="0.55000000000000004">
      <c r="W43491"/>
    </row>
    <row r="43492" spans="23:23" x14ac:dyDescent="0.55000000000000004">
      <c r="W43492"/>
    </row>
    <row r="43493" spans="23:23" x14ac:dyDescent="0.55000000000000004">
      <c r="W43493"/>
    </row>
    <row r="43494" spans="23:23" x14ac:dyDescent="0.55000000000000004">
      <c r="W43494"/>
    </row>
    <row r="43495" spans="23:23" x14ac:dyDescent="0.55000000000000004">
      <c r="W43495"/>
    </row>
    <row r="43496" spans="23:23" x14ac:dyDescent="0.55000000000000004">
      <c r="W43496"/>
    </row>
    <row r="43497" spans="23:23" x14ac:dyDescent="0.55000000000000004">
      <c r="W43497"/>
    </row>
    <row r="43498" spans="23:23" x14ac:dyDescent="0.55000000000000004">
      <c r="W43498"/>
    </row>
    <row r="43499" spans="23:23" x14ac:dyDescent="0.55000000000000004">
      <c r="W43499"/>
    </row>
    <row r="43500" spans="23:23" x14ac:dyDescent="0.55000000000000004">
      <c r="W43500"/>
    </row>
    <row r="43501" spans="23:23" x14ac:dyDescent="0.55000000000000004">
      <c r="W43501"/>
    </row>
    <row r="43502" spans="23:23" x14ac:dyDescent="0.55000000000000004">
      <c r="W43502"/>
    </row>
    <row r="43503" spans="23:23" x14ac:dyDescent="0.55000000000000004">
      <c r="W43503"/>
    </row>
    <row r="43504" spans="23:23" x14ac:dyDescent="0.55000000000000004">
      <c r="W43504"/>
    </row>
    <row r="43505" spans="23:23" x14ac:dyDescent="0.55000000000000004">
      <c r="W43505"/>
    </row>
    <row r="43506" spans="23:23" x14ac:dyDescent="0.55000000000000004">
      <c r="W43506"/>
    </row>
    <row r="43507" spans="23:23" x14ac:dyDescent="0.55000000000000004">
      <c r="W43507"/>
    </row>
    <row r="43508" spans="23:23" x14ac:dyDescent="0.55000000000000004">
      <c r="W43508"/>
    </row>
    <row r="43509" spans="23:23" x14ac:dyDescent="0.55000000000000004">
      <c r="W43509"/>
    </row>
    <row r="43510" spans="23:23" x14ac:dyDescent="0.55000000000000004">
      <c r="W43510"/>
    </row>
    <row r="43511" spans="23:23" x14ac:dyDescent="0.55000000000000004">
      <c r="W43511"/>
    </row>
    <row r="43512" spans="23:23" x14ac:dyDescent="0.55000000000000004">
      <c r="W43512"/>
    </row>
    <row r="43513" spans="23:23" x14ac:dyDescent="0.55000000000000004">
      <c r="W43513"/>
    </row>
    <row r="43514" spans="23:23" x14ac:dyDescent="0.55000000000000004">
      <c r="W43514"/>
    </row>
    <row r="43515" spans="23:23" x14ac:dyDescent="0.55000000000000004">
      <c r="W43515"/>
    </row>
    <row r="43516" spans="23:23" x14ac:dyDescent="0.55000000000000004">
      <c r="W43516"/>
    </row>
    <row r="43517" spans="23:23" x14ac:dyDescent="0.55000000000000004">
      <c r="W43517"/>
    </row>
    <row r="43518" spans="23:23" x14ac:dyDescent="0.55000000000000004">
      <c r="W43518"/>
    </row>
    <row r="43519" spans="23:23" x14ac:dyDescent="0.55000000000000004">
      <c r="W43519"/>
    </row>
    <row r="43520" spans="23:23" x14ac:dyDescent="0.55000000000000004">
      <c r="W43520"/>
    </row>
    <row r="43521" spans="23:23" x14ac:dyDescent="0.55000000000000004">
      <c r="W43521"/>
    </row>
    <row r="43522" spans="23:23" x14ac:dyDescent="0.55000000000000004">
      <c r="W43522"/>
    </row>
    <row r="43523" spans="23:23" x14ac:dyDescent="0.55000000000000004">
      <c r="W43523"/>
    </row>
    <row r="43524" spans="23:23" x14ac:dyDescent="0.55000000000000004">
      <c r="W43524"/>
    </row>
    <row r="43525" spans="23:23" x14ac:dyDescent="0.55000000000000004">
      <c r="W43525"/>
    </row>
    <row r="43526" spans="23:23" x14ac:dyDescent="0.55000000000000004">
      <c r="W43526"/>
    </row>
    <row r="43527" spans="23:23" x14ac:dyDescent="0.55000000000000004">
      <c r="W43527"/>
    </row>
    <row r="43528" spans="23:23" x14ac:dyDescent="0.55000000000000004">
      <c r="W43528"/>
    </row>
    <row r="43529" spans="23:23" x14ac:dyDescent="0.55000000000000004">
      <c r="W43529"/>
    </row>
    <row r="43530" spans="23:23" x14ac:dyDescent="0.55000000000000004">
      <c r="W43530"/>
    </row>
    <row r="43531" spans="23:23" x14ac:dyDescent="0.55000000000000004">
      <c r="W43531"/>
    </row>
    <row r="43532" spans="23:23" x14ac:dyDescent="0.55000000000000004">
      <c r="W43532"/>
    </row>
    <row r="43533" spans="23:23" x14ac:dyDescent="0.55000000000000004">
      <c r="W43533"/>
    </row>
    <row r="43534" spans="23:23" x14ac:dyDescent="0.55000000000000004">
      <c r="W43534"/>
    </row>
    <row r="43535" spans="23:23" x14ac:dyDescent="0.55000000000000004">
      <c r="W43535"/>
    </row>
    <row r="43536" spans="23:23" x14ac:dyDescent="0.55000000000000004">
      <c r="W43536"/>
    </row>
    <row r="43537" spans="23:23" x14ac:dyDescent="0.55000000000000004">
      <c r="W43537"/>
    </row>
    <row r="43538" spans="23:23" x14ac:dyDescent="0.55000000000000004">
      <c r="W43538"/>
    </row>
    <row r="43539" spans="23:23" x14ac:dyDescent="0.55000000000000004">
      <c r="W43539"/>
    </row>
    <row r="43540" spans="23:23" x14ac:dyDescent="0.55000000000000004">
      <c r="W43540"/>
    </row>
    <row r="43541" spans="23:23" x14ac:dyDescent="0.55000000000000004">
      <c r="W43541"/>
    </row>
    <row r="43542" spans="23:23" x14ac:dyDescent="0.55000000000000004">
      <c r="W43542"/>
    </row>
    <row r="43543" spans="23:23" x14ac:dyDescent="0.55000000000000004">
      <c r="W43543"/>
    </row>
    <row r="43544" spans="23:23" x14ac:dyDescent="0.55000000000000004">
      <c r="W43544"/>
    </row>
    <row r="43545" spans="23:23" x14ac:dyDescent="0.55000000000000004">
      <c r="W43545"/>
    </row>
    <row r="43546" spans="23:23" x14ac:dyDescent="0.55000000000000004">
      <c r="W43546"/>
    </row>
    <row r="43547" spans="23:23" x14ac:dyDescent="0.55000000000000004">
      <c r="W43547"/>
    </row>
    <row r="43548" spans="23:23" x14ac:dyDescent="0.55000000000000004">
      <c r="W43548"/>
    </row>
    <row r="43549" spans="23:23" x14ac:dyDescent="0.55000000000000004">
      <c r="W43549"/>
    </row>
    <row r="43550" spans="23:23" x14ac:dyDescent="0.55000000000000004">
      <c r="W43550"/>
    </row>
    <row r="43551" spans="23:23" x14ac:dyDescent="0.55000000000000004">
      <c r="W43551"/>
    </row>
    <row r="43552" spans="23:23" x14ac:dyDescent="0.55000000000000004">
      <c r="W43552"/>
    </row>
    <row r="43553" spans="23:23" x14ac:dyDescent="0.55000000000000004">
      <c r="W43553"/>
    </row>
    <row r="43554" spans="23:23" x14ac:dyDescent="0.55000000000000004">
      <c r="W43554"/>
    </row>
    <row r="43555" spans="23:23" x14ac:dyDescent="0.55000000000000004">
      <c r="W43555"/>
    </row>
    <row r="43556" spans="23:23" x14ac:dyDescent="0.55000000000000004">
      <c r="W43556"/>
    </row>
    <row r="43557" spans="23:23" x14ac:dyDescent="0.55000000000000004">
      <c r="W43557"/>
    </row>
    <row r="43558" spans="23:23" x14ac:dyDescent="0.55000000000000004">
      <c r="W43558"/>
    </row>
    <row r="43559" spans="23:23" x14ac:dyDescent="0.55000000000000004">
      <c r="W43559"/>
    </row>
    <row r="43560" spans="23:23" x14ac:dyDescent="0.55000000000000004">
      <c r="W43560"/>
    </row>
    <row r="43561" spans="23:23" x14ac:dyDescent="0.55000000000000004">
      <c r="W43561"/>
    </row>
    <row r="43562" spans="23:23" x14ac:dyDescent="0.55000000000000004">
      <c r="W43562"/>
    </row>
    <row r="43563" spans="23:23" x14ac:dyDescent="0.55000000000000004">
      <c r="W43563"/>
    </row>
    <row r="43564" spans="23:23" x14ac:dyDescent="0.55000000000000004">
      <c r="W43564"/>
    </row>
    <row r="43565" spans="23:23" x14ac:dyDescent="0.55000000000000004">
      <c r="W43565"/>
    </row>
    <row r="43566" spans="23:23" x14ac:dyDescent="0.55000000000000004">
      <c r="W43566"/>
    </row>
    <row r="43567" spans="23:23" x14ac:dyDescent="0.55000000000000004">
      <c r="W43567"/>
    </row>
    <row r="43568" spans="23:23" x14ac:dyDescent="0.55000000000000004">
      <c r="W43568"/>
    </row>
    <row r="43569" spans="23:23" x14ac:dyDescent="0.55000000000000004">
      <c r="W43569"/>
    </row>
    <row r="43570" spans="23:23" x14ac:dyDescent="0.55000000000000004">
      <c r="W43570"/>
    </row>
    <row r="43571" spans="23:23" x14ac:dyDescent="0.55000000000000004">
      <c r="W43571"/>
    </row>
    <row r="43572" spans="23:23" x14ac:dyDescent="0.55000000000000004">
      <c r="W43572"/>
    </row>
    <row r="43573" spans="23:23" x14ac:dyDescent="0.55000000000000004">
      <c r="W43573"/>
    </row>
    <row r="43574" spans="23:23" x14ac:dyDescent="0.55000000000000004">
      <c r="W43574"/>
    </row>
    <row r="43575" spans="23:23" x14ac:dyDescent="0.55000000000000004">
      <c r="W43575"/>
    </row>
    <row r="43576" spans="23:23" x14ac:dyDescent="0.55000000000000004">
      <c r="W43576"/>
    </row>
    <row r="43577" spans="23:23" x14ac:dyDescent="0.55000000000000004">
      <c r="W43577"/>
    </row>
    <row r="43578" spans="23:23" x14ac:dyDescent="0.55000000000000004">
      <c r="W43578"/>
    </row>
    <row r="43579" spans="23:23" x14ac:dyDescent="0.55000000000000004">
      <c r="W43579"/>
    </row>
    <row r="43580" spans="23:23" x14ac:dyDescent="0.55000000000000004">
      <c r="W43580"/>
    </row>
    <row r="43581" spans="23:23" x14ac:dyDescent="0.55000000000000004">
      <c r="W43581"/>
    </row>
    <row r="43582" spans="23:23" x14ac:dyDescent="0.55000000000000004">
      <c r="W43582"/>
    </row>
    <row r="43583" spans="23:23" x14ac:dyDescent="0.55000000000000004">
      <c r="W43583"/>
    </row>
    <row r="43584" spans="23:23" x14ac:dyDescent="0.55000000000000004">
      <c r="W43584"/>
    </row>
    <row r="43585" spans="23:23" x14ac:dyDescent="0.55000000000000004">
      <c r="W43585"/>
    </row>
    <row r="43586" spans="23:23" x14ac:dyDescent="0.55000000000000004">
      <c r="W43586"/>
    </row>
    <row r="43587" spans="23:23" x14ac:dyDescent="0.55000000000000004">
      <c r="W43587"/>
    </row>
    <row r="43588" spans="23:23" x14ac:dyDescent="0.55000000000000004">
      <c r="W43588"/>
    </row>
    <row r="43589" spans="23:23" x14ac:dyDescent="0.55000000000000004">
      <c r="W43589"/>
    </row>
    <row r="43590" spans="23:23" x14ac:dyDescent="0.55000000000000004">
      <c r="W43590"/>
    </row>
    <row r="43591" spans="23:23" x14ac:dyDescent="0.55000000000000004">
      <c r="W43591"/>
    </row>
    <row r="43592" spans="23:23" x14ac:dyDescent="0.55000000000000004">
      <c r="W43592"/>
    </row>
    <row r="43593" spans="23:23" x14ac:dyDescent="0.55000000000000004">
      <c r="W43593"/>
    </row>
    <row r="43594" spans="23:23" x14ac:dyDescent="0.55000000000000004">
      <c r="W43594"/>
    </row>
    <row r="43595" spans="23:23" x14ac:dyDescent="0.55000000000000004">
      <c r="W43595"/>
    </row>
    <row r="43596" spans="23:23" x14ac:dyDescent="0.55000000000000004">
      <c r="W43596"/>
    </row>
    <row r="43597" spans="23:23" x14ac:dyDescent="0.55000000000000004">
      <c r="W43597"/>
    </row>
    <row r="43598" spans="23:23" x14ac:dyDescent="0.55000000000000004">
      <c r="W43598"/>
    </row>
    <row r="43599" spans="23:23" x14ac:dyDescent="0.55000000000000004">
      <c r="W43599"/>
    </row>
    <row r="43600" spans="23:23" x14ac:dyDescent="0.55000000000000004">
      <c r="W43600"/>
    </row>
    <row r="43601" spans="23:23" x14ac:dyDescent="0.55000000000000004">
      <c r="W43601"/>
    </row>
    <row r="43602" spans="23:23" x14ac:dyDescent="0.55000000000000004">
      <c r="W43602"/>
    </row>
    <row r="43603" spans="23:23" x14ac:dyDescent="0.55000000000000004">
      <c r="W43603"/>
    </row>
    <row r="43604" spans="23:23" x14ac:dyDescent="0.55000000000000004">
      <c r="W43604"/>
    </row>
    <row r="43605" spans="23:23" x14ac:dyDescent="0.55000000000000004">
      <c r="W43605"/>
    </row>
    <row r="43606" spans="23:23" x14ac:dyDescent="0.55000000000000004">
      <c r="W43606"/>
    </row>
    <row r="43607" spans="23:23" x14ac:dyDescent="0.55000000000000004">
      <c r="W43607"/>
    </row>
    <row r="43608" spans="23:23" x14ac:dyDescent="0.55000000000000004">
      <c r="W43608"/>
    </row>
    <row r="43609" spans="23:23" x14ac:dyDescent="0.55000000000000004">
      <c r="W43609"/>
    </row>
    <row r="43610" spans="23:23" x14ac:dyDescent="0.55000000000000004">
      <c r="W43610"/>
    </row>
    <row r="43611" spans="23:23" x14ac:dyDescent="0.55000000000000004">
      <c r="W43611"/>
    </row>
    <row r="43612" spans="23:23" x14ac:dyDescent="0.55000000000000004">
      <c r="W43612"/>
    </row>
    <row r="43613" spans="23:23" x14ac:dyDescent="0.55000000000000004">
      <c r="W43613"/>
    </row>
    <row r="43614" spans="23:23" x14ac:dyDescent="0.55000000000000004">
      <c r="W43614"/>
    </row>
    <row r="43615" spans="23:23" x14ac:dyDescent="0.55000000000000004">
      <c r="W43615"/>
    </row>
    <row r="43616" spans="23:23" x14ac:dyDescent="0.55000000000000004">
      <c r="W43616"/>
    </row>
    <row r="43617" spans="23:23" x14ac:dyDescent="0.55000000000000004">
      <c r="W43617"/>
    </row>
    <row r="43618" spans="23:23" x14ac:dyDescent="0.55000000000000004">
      <c r="W43618"/>
    </row>
    <row r="43619" spans="23:23" x14ac:dyDescent="0.55000000000000004">
      <c r="W43619"/>
    </row>
    <row r="43620" spans="23:23" x14ac:dyDescent="0.55000000000000004">
      <c r="W43620"/>
    </row>
    <row r="43621" spans="23:23" x14ac:dyDescent="0.55000000000000004">
      <c r="W43621"/>
    </row>
    <row r="43622" spans="23:23" x14ac:dyDescent="0.55000000000000004">
      <c r="W43622"/>
    </row>
    <row r="43623" spans="23:23" x14ac:dyDescent="0.55000000000000004">
      <c r="W43623"/>
    </row>
    <row r="43624" spans="23:23" x14ac:dyDescent="0.55000000000000004">
      <c r="W43624"/>
    </row>
    <row r="43625" spans="23:23" x14ac:dyDescent="0.55000000000000004">
      <c r="W43625"/>
    </row>
    <row r="43626" spans="23:23" x14ac:dyDescent="0.55000000000000004">
      <c r="W43626"/>
    </row>
    <row r="43627" spans="23:23" x14ac:dyDescent="0.55000000000000004">
      <c r="W43627"/>
    </row>
    <row r="43628" spans="23:23" x14ac:dyDescent="0.55000000000000004">
      <c r="W43628"/>
    </row>
    <row r="43629" spans="23:23" x14ac:dyDescent="0.55000000000000004">
      <c r="W43629"/>
    </row>
    <row r="43630" spans="23:23" x14ac:dyDescent="0.55000000000000004">
      <c r="W43630"/>
    </row>
    <row r="43631" spans="23:23" x14ac:dyDescent="0.55000000000000004">
      <c r="W43631"/>
    </row>
    <row r="43632" spans="23:23" x14ac:dyDescent="0.55000000000000004">
      <c r="W43632"/>
    </row>
    <row r="43633" spans="23:23" x14ac:dyDescent="0.55000000000000004">
      <c r="W43633"/>
    </row>
    <row r="43634" spans="23:23" x14ac:dyDescent="0.55000000000000004">
      <c r="W43634"/>
    </row>
    <row r="43635" spans="23:23" x14ac:dyDescent="0.55000000000000004">
      <c r="W43635"/>
    </row>
    <row r="43636" spans="23:23" x14ac:dyDescent="0.55000000000000004">
      <c r="W43636"/>
    </row>
    <row r="43637" spans="23:23" x14ac:dyDescent="0.55000000000000004">
      <c r="W43637"/>
    </row>
    <row r="43638" spans="23:23" x14ac:dyDescent="0.55000000000000004">
      <c r="W43638"/>
    </row>
    <row r="43639" spans="23:23" x14ac:dyDescent="0.55000000000000004">
      <c r="W43639"/>
    </row>
    <row r="43640" spans="23:23" x14ac:dyDescent="0.55000000000000004">
      <c r="W43640"/>
    </row>
    <row r="43641" spans="23:23" x14ac:dyDescent="0.55000000000000004">
      <c r="W43641"/>
    </row>
    <row r="43642" spans="23:23" x14ac:dyDescent="0.55000000000000004">
      <c r="W43642"/>
    </row>
    <row r="43643" spans="23:23" x14ac:dyDescent="0.55000000000000004">
      <c r="W43643"/>
    </row>
    <row r="43644" spans="23:23" x14ac:dyDescent="0.55000000000000004">
      <c r="W43644"/>
    </row>
    <row r="43645" spans="23:23" x14ac:dyDescent="0.55000000000000004">
      <c r="W43645"/>
    </row>
    <row r="43646" spans="23:23" x14ac:dyDescent="0.55000000000000004">
      <c r="W43646"/>
    </row>
    <row r="43647" spans="23:23" x14ac:dyDescent="0.55000000000000004">
      <c r="W43647"/>
    </row>
    <row r="43648" spans="23:23" x14ac:dyDescent="0.55000000000000004">
      <c r="W43648"/>
    </row>
    <row r="43649" spans="23:23" x14ac:dyDescent="0.55000000000000004">
      <c r="W43649"/>
    </row>
    <row r="43650" spans="23:23" x14ac:dyDescent="0.55000000000000004">
      <c r="W43650"/>
    </row>
    <row r="43651" spans="23:23" x14ac:dyDescent="0.55000000000000004">
      <c r="W43651"/>
    </row>
    <row r="43652" spans="23:23" x14ac:dyDescent="0.55000000000000004">
      <c r="W43652"/>
    </row>
    <row r="43653" spans="23:23" x14ac:dyDescent="0.55000000000000004">
      <c r="W43653"/>
    </row>
    <row r="43654" spans="23:23" x14ac:dyDescent="0.55000000000000004">
      <c r="W43654"/>
    </row>
    <row r="43655" spans="23:23" x14ac:dyDescent="0.55000000000000004">
      <c r="W43655"/>
    </row>
    <row r="43656" spans="23:23" x14ac:dyDescent="0.55000000000000004">
      <c r="W43656"/>
    </row>
    <row r="43657" spans="23:23" x14ac:dyDescent="0.55000000000000004">
      <c r="W43657"/>
    </row>
    <row r="43658" spans="23:23" x14ac:dyDescent="0.55000000000000004">
      <c r="W43658"/>
    </row>
    <row r="43659" spans="23:23" x14ac:dyDescent="0.55000000000000004">
      <c r="W43659"/>
    </row>
    <row r="43660" spans="23:23" x14ac:dyDescent="0.55000000000000004">
      <c r="W43660"/>
    </row>
    <row r="43661" spans="23:23" x14ac:dyDescent="0.55000000000000004">
      <c r="W43661"/>
    </row>
    <row r="43662" spans="23:23" x14ac:dyDescent="0.55000000000000004">
      <c r="W43662"/>
    </row>
    <row r="43663" spans="23:23" x14ac:dyDescent="0.55000000000000004">
      <c r="W43663"/>
    </row>
    <row r="43664" spans="23:23" x14ac:dyDescent="0.55000000000000004">
      <c r="W43664"/>
    </row>
    <row r="43665" spans="23:23" x14ac:dyDescent="0.55000000000000004">
      <c r="W43665"/>
    </row>
    <row r="43666" spans="23:23" x14ac:dyDescent="0.55000000000000004">
      <c r="W43666"/>
    </row>
    <row r="43667" spans="23:23" x14ac:dyDescent="0.55000000000000004">
      <c r="W43667"/>
    </row>
    <row r="43668" spans="23:23" x14ac:dyDescent="0.55000000000000004">
      <c r="W43668"/>
    </row>
    <row r="43669" spans="23:23" x14ac:dyDescent="0.55000000000000004">
      <c r="W43669"/>
    </row>
    <row r="43670" spans="23:23" x14ac:dyDescent="0.55000000000000004">
      <c r="W43670"/>
    </row>
    <row r="43671" spans="23:23" x14ac:dyDescent="0.55000000000000004">
      <c r="W43671"/>
    </row>
    <row r="43672" spans="23:23" x14ac:dyDescent="0.55000000000000004">
      <c r="W43672"/>
    </row>
    <row r="43673" spans="23:23" x14ac:dyDescent="0.55000000000000004">
      <c r="W43673"/>
    </row>
    <row r="43674" spans="23:23" x14ac:dyDescent="0.55000000000000004">
      <c r="W43674"/>
    </row>
    <row r="43675" spans="23:23" x14ac:dyDescent="0.55000000000000004">
      <c r="W43675"/>
    </row>
    <row r="43676" spans="23:23" x14ac:dyDescent="0.55000000000000004">
      <c r="W43676"/>
    </row>
    <row r="43677" spans="23:23" x14ac:dyDescent="0.55000000000000004">
      <c r="W43677"/>
    </row>
    <row r="43678" spans="23:23" x14ac:dyDescent="0.55000000000000004">
      <c r="W43678"/>
    </row>
    <row r="43679" spans="23:23" x14ac:dyDescent="0.55000000000000004">
      <c r="W43679"/>
    </row>
    <row r="43680" spans="23:23" x14ac:dyDescent="0.55000000000000004">
      <c r="W43680"/>
    </row>
    <row r="43681" spans="23:23" x14ac:dyDescent="0.55000000000000004">
      <c r="W43681"/>
    </row>
    <row r="43682" spans="23:23" x14ac:dyDescent="0.55000000000000004">
      <c r="W43682"/>
    </row>
    <row r="43683" spans="23:23" x14ac:dyDescent="0.55000000000000004">
      <c r="W43683"/>
    </row>
    <row r="43684" spans="23:23" x14ac:dyDescent="0.55000000000000004">
      <c r="W43684"/>
    </row>
    <row r="43685" spans="23:23" x14ac:dyDescent="0.55000000000000004">
      <c r="W43685"/>
    </row>
    <row r="43686" spans="23:23" x14ac:dyDescent="0.55000000000000004">
      <c r="W43686"/>
    </row>
    <row r="43687" spans="23:23" x14ac:dyDescent="0.55000000000000004">
      <c r="W43687"/>
    </row>
    <row r="43688" spans="23:23" x14ac:dyDescent="0.55000000000000004">
      <c r="W43688"/>
    </row>
    <row r="43689" spans="23:23" x14ac:dyDescent="0.55000000000000004">
      <c r="W43689"/>
    </row>
    <row r="43690" spans="23:23" x14ac:dyDescent="0.55000000000000004">
      <c r="W43690"/>
    </row>
    <row r="43691" spans="23:23" x14ac:dyDescent="0.55000000000000004">
      <c r="W43691"/>
    </row>
    <row r="43692" spans="23:23" x14ac:dyDescent="0.55000000000000004">
      <c r="W43692"/>
    </row>
    <row r="43693" spans="23:23" x14ac:dyDescent="0.55000000000000004">
      <c r="W43693"/>
    </row>
    <row r="43694" spans="23:23" x14ac:dyDescent="0.55000000000000004">
      <c r="W43694"/>
    </row>
    <row r="43695" spans="23:23" x14ac:dyDescent="0.55000000000000004">
      <c r="W43695"/>
    </row>
    <row r="43696" spans="23:23" x14ac:dyDescent="0.55000000000000004">
      <c r="W43696"/>
    </row>
    <row r="43697" spans="23:23" x14ac:dyDescent="0.55000000000000004">
      <c r="W43697"/>
    </row>
    <row r="43698" spans="23:23" x14ac:dyDescent="0.55000000000000004">
      <c r="W43698"/>
    </row>
    <row r="43699" spans="23:23" x14ac:dyDescent="0.55000000000000004">
      <c r="W43699"/>
    </row>
    <row r="43700" spans="23:23" x14ac:dyDescent="0.55000000000000004">
      <c r="W43700"/>
    </row>
    <row r="43701" spans="23:23" x14ac:dyDescent="0.55000000000000004">
      <c r="W43701"/>
    </row>
    <row r="43702" spans="23:23" x14ac:dyDescent="0.55000000000000004">
      <c r="W43702"/>
    </row>
    <row r="43703" spans="23:23" x14ac:dyDescent="0.55000000000000004">
      <c r="W43703"/>
    </row>
    <row r="43704" spans="23:23" x14ac:dyDescent="0.55000000000000004">
      <c r="W43704"/>
    </row>
    <row r="43705" spans="23:23" x14ac:dyDescent="0.55000000000000004">
      <c r="W43705"/>
    </row>
    <row r="43706" spans="23:23" x14ac:dyDescent="0.55000000000000004">
      <c r="W43706"/>
    </row>
    <row r="43707" spans="23:23" x14ac:dyDescent="0.55000000000000004">
      <c r="W43707"/>
    </row>
    <row r="43708" spans="23:23" x14ac:dyDescent="0.55000000000000004">
      <c r="W43708"/>
    </row>
    <row r="43709" spans="23:23" x14ac:dyDescent="0.55000000000000004">
      <c r="W43709"/>
    </row>
    <row r="43710" spans="23:23" x14ac:dyDescent="0.55000000000000004">
      <c r="W43710"/>
    </row>
    <row r="43711" spans="23:23" x14ac:dyDescent="0.55000000000000004">
      <c r="W43711"/>
    </row>
    <row r="43712" spans="23:23" x14ac:dyDescent="0.55000000000000004">
      <c r="W43712"/>
    </row>
    <row r="43713" spans="23:23" x14ac:dyDescent="0.55000000000000004">
      <c r="W43713"/>
    </row>
    <row r="43714" spans="23:23" x14ac:dyDescent="0.55000000000000004">
      <c r="W43714"/>
    </row>
    <row r="43715" spans="23:23" x14ac:dyDescent="0.55000000000000004">
      <c r="W43715"/>
    </row>
    <row r="43716" spans="23:23" x14ac:dyDescent="0.55000000000000004">
      <c r="W43716"/>
    </row>
    <row r="43717" spans="23:23" x14ac:dyDescent="0.55000000000000004">
      <c r="W43717"/>
    </row>
    <row r="43718" spans="23:23" x14ac:dyDescent="0.55000000000000004">
      <c r="W43718"/>
    </row>
    <row r="43719" spans="23:23" x14ac:dyDescent="0.55000000000000004">
      <c r="W43719"/>
    </row>
    <row r="43720" spans="23:23" x14ac:dyDescent="0.55000000000000004">
      <c r="W43720"/>
    </row>
    <row r="43721" spans="23:23" x14ac:dyDescent="0.55000000000000004">
      <c r="W43721"/>
    </row>
    <row r="43722" spans="23:23" x14ac:dyDescent="0.55000000000000004">
      <c r="W43722"/>
    </row>
    <row r="43723" spans="23:23" x14ac:dyDescent="0.55000000000000004">
      <c r="W43723"/>
    </row>
    <row r="43724" spans="23:23" x14ac:dyDescent="0.55000000000000004">
      <c r="W43724"/>
    </row>
    <row r="43725" spans="23:23" x14ac:dyDescent="0.55000000000000004">
      <c r="W43725"/>
    </row>
    <row r="43726" spans="23:23" x14ac:dyDescent="0.55000000000000004">
      <c r="W43726"/>
    </row>
    <row r="43727" spans="23:23" x14ac:dyDescent="0.55000000000000004">
      <c r="W43727"/>
    </row>
    <row r="43728" spans="23:23" x14ac:dyDescent="0.55000000000000004">
      <c r="W43728"/>
    </row>
    <row r="43729" spans="23:23" x14ac:dyDescent="0.55000000000000004">
      <c r="W43729"/>
    </row>
    <row r="43730" spans="23:23" x14ac:dyDescent="0.55000000000000004">
      <c r="W43730"/>
    </row>
    <row r="43731" spans="23:23" x14ac:dyDescent="0.55000000000000004">
      <c r="W43731"/>
    </row>
    <row r="43732" spans="23:23" x14ac:dyDescent="0.55000000000000004">
      <c r="W43732"/>
    </row>
    <row r="43733" spans="23:23" x14ac:dyDescent="0.55000000000000004">
      <c r="W43733"/>
    </row>
    <row r="43734" spans="23:23" x14ac:dyDescent="0.55000000000000004">
      <c r="W43734"/>
    </row>
    <row r="43735" spans="23:23" x14ac:dyDescent="0.55000000000000004">
      <c r="W43735"/>
    </row>
    <row r="43736" spans="23:23" x14ac:dyDescent="0.55000000000000004">
      <c r="W43736"/>
    </row>
    <row r="43737" spans="23:23" x14ac:dyDescent="0.55000000000000004">
      <c r="W43737"/>
    </row>
    <row r="43738" spans="23:23" x14ac:dyDescent="0.55000000000000004">
      <c r="W43738"/>
    </row>
    <row r="43739" spans="23:23" x14ac:dyDescent="0.55000000000000004">
      <c r="W43739"/>
    </row>
    <row r="43740" spans="23:23" x14ac:dyDescent="0.55000000000000004">
      <c r="W43740"/>
    </row>
    <row r="43741" spans="23:23" x14ac:dyDescent="0.55000000000000004">
      <c r="W43741"/>
    </row>
    <row r="43742" spans="23:23" x14ac:dyDescent="0.55000000000000004">
      <c r="W43742"/>
    </row>
    <row r="43743" spans="23:23" x14ac:dyDescent="0.55000000000000004">
      <c r="W43743"/>
    </row>
    <row r="43744" spans="23:23" x14ac:dyDescent="0.55000000000000004">
      <c r="W43744"/>
    </row>
    <row r="43745" spans="23:23" x14ac:dyDescent="0.55000000000000004">
      <c r="W43745"/>
    </row>
    <row r="43746" spans="23:23" x14ac:dyDescent="0.55000000000000004">
      <c r="W43746"/>
    </row>
    <row r="43747" spans="23:23" x14ac:dyDescent="0.55000000000000004">
      <c r="W43747"/>
    </row>
    <row r="43748" spans="23:23" x14ac:dyDescent="0.55000000000000004">
      <c r="W43748"/>
    </row>
    <row r="43749" spans="23:23" x14ac:dyDescent="0.55000000000000004">
      <c r="W43749"/>
    </row>
    <row r="43750" spans="23:23" x14ac:dyDescent="0.55000000000000004">
      <c r="W43750"/>
    </row>
    <row r="43751" spans="23:23" x14ac:dyDescent="0.55000000000000004">
      <c r="W43751"/>
    </row>
    <row r="43752" spans="23:23" x14ac:dyDescent="0.55000000000000004">
      <c r="W43752"/>
    </row>
    <row r="43753" spans="23:23" x14ac:dyDescent="0.55000000000000004">
      <c r="W43753"/>
    </row>
    <row r="43754" spans="23:23" x14ac:dyDescent="0.55000000000000004">
      <c r="W43754"/>
    </row>
    <row r="43755" spans="23:23" x14ac:dyDescent="0.55000000000000004">
      <c r="W43755"/>
    </row>
    <row r="43756" spans="23:23" x14ac:dyDescent="0.55000000000000004">
      <c r="W43756"/>
    </row>
    <row r="43757" spans="23:23" x14ac:dyDescent="0.55000000000000004">
      <c r="W43757"/>
    </row>
    <row r="43758" spans="23:23" x14ac:dyDescent="0.55000000000000004">
      <c r="W43758"/>
    </row>
    <row r="43759" spans="23:23" x14ac:dyDescent="0.55000000000000004">
      <c r="W43759"/>
    </row>
    <row r="43760" spans="23:23" x14ac:dyDescent="0.55000000000000004">
      <c r="W43760"/>
    </row>
    <row r="43761" spans="23:23" x14ac:dyDescent="0.55000000000000004">
      <c r="W43761"/>
    </row>
    <row r="43762" spans="23:23" x14ac:dyDescent="0.55000000000000004">
      <c r="W43762"/>
    </row>
    <row r="43763" spans="23:23" x14ac:dyDescent="0.55000000000000004">
      <c r="W43763"/>
    </row>
    <row r="43764" spans="23:23" x14ac:dyDescent="0.55000000000000004">
      <c r="W43764"/>
    </row>
    <row r="43765" spans="23:23" x14ac:dyDescent="0.55000000000000004">
      <c r="W43765"/>
    </row>
    <row r="43766" spans="23:23" x14ac:dyDescent="0.55000000000000004">
      <c r="W43766"/>
    </row>
    <row r="43767" spans="23:23" x14ac:dyDescent="0.55000000000000004">
      <c r="W43767"/>
    </row>
    <row r="43768" spans="23:23" x14ac:dyDescent="0.55000000000000004">
      <c r="W43768"/>
    </row>
    <row r="43769" spans="23:23" x14ac:dyDescent="0.55000000000000004">
      <c r="W43769"/>
    </row>
    <row r="43770" spans="23:23" x14ac:dyDescent="0.55000000000000004">
      <c r="W43770"/>
    </row>
    <row r="43771" spans="23:23" x14ac:dyDescent="0.55000000000000004">
      <c r="W43771"/>
    </row>
    <row r="43772" spans="23:23" x14ac:dyDescent="0.55000000000000004">
      <c r="W43772"/>
    </row>
    <row r="43773" spans="23:23" x14ac:dyDescent="0.55000000000000004">
      <c r="W43773"/>
    </row>
    <row r="43774" spans="23:23" x14ac:dyDescent="0.55000000000000004">
      <c r="W43774"/>
    </row>
    <row r="43775" spans="23:23" x14ac:dyDescent="0.55000000000000004">
      <c r="W43775"/>
    </row>
    <row r="43776" spans="23:23" x14ac:dyDescent="0.55000000000000004">
      <c r="W43776"/>
    </row>
    <row r="43777" spans="23:23" x14ac:dyDescent="0.55000000000000004">
      <c r="W43777"/>
    </row>
    <row r="43778" spans="23:23" x14ac:dyDescent="0.55000000000000004">
      <c r="W43778"/>
    </row>
    <row r="43779" spans="23:23" x14ac:dyDescent="0.55000000000000004">
      <c r="W43779"/>
    </row>
    <row r="43780" spans="23:23" x14ac:dyDescent="0.55000000000000004">
      <c r="W43780"/>
    </row>
    <row r="43781" spans="23:23" x14ac:dyDescent="0.55000000000000004">
      <c r="W43781"/>
    </row>
    <row r="43782" spans="23:23" x14ac:dyDescent="0.55000000000000004">
      <c r="W43782"/>
    </row>
    <row r="43783" spans="23:23" x14ac:dyDescent="0.55000000000000004">
      <c r="W43783"/>
    </row>
    <row r="43784" spans="23:23" x14ac:dyDescent="0.55000000000000004">
      <c r="W43784"/>
    </row>
    <row r="43785" spans="23:23" x14ac:dyDescent="0.55000000000000004">
      <c r="W43785"/>
    </row>
    <row r="43786" spans="23:23" x14ac:dyDescent="0.55000000000000004">
      <c r="W43786"/>
    </row>
    <row r="43787" spans="23:23" x14ac:dyDescent="0.55000000000000004">
      <c r="W43787"/>
    </row>
    <row r="43788" spans="23:23" x14ac:dyDescent="0.55000000000000004">
      <c r="W43788"/>
    </row>
    <row r="43789" spans="23:23" x14ac:dyDescent="0.55000000000000004">
      <c r="W43789"/>
    </row>
    <row r="43790" spans="23:23" x14ac:dyDescent="0.55000000000000004">
      <c r="W43790"/>
    </row>
    <row r="43791" spans="23:23" x14ac:dyDescent="0.55000000000000004">
      <c r="W43791"/>
    </row>
    <row r="43792" spans="23:23" x14ac:dyDescent="0.55000000000000004">
      <c r="W43792"/>
    </row>
    <row r="43793" spans="23:23" x14ac:dyDescent="0.55000000000000004">
      <c r="W43793"/>
    </row>
    <row r="43794" spans="23:23" x14ac:dyDescent="0.55000000000000004">
      <c r="W43794"/>
    </row>
    <row r="43795" spans="23:23" x14ac:dyDescent="0.55000000000000004">
      <c r="W43795"/>
    </row>
    <row r="43796" spans="23:23" x14ac:dyDescent="0.55000000000000004">
      <c r="W43796"/>
    </row>
    <row r="43797" spans="23:23" x14ac:dyDescent="0.55000000000000004">
      <c r="W43797"/>
    </row>
    <row r="43798" spans="23:23" x14ac:dyDescent="0.55000000000000004">
      <c r="W43798"/>
    </row>
    <row r="43799" spans="23:23" x14ac:dyDescent="0.55000000000000004">
      <c r="W43799"/>
    </row>
    <row r="43800" spans="23:23" x14ac:dyDescent="0.55000000000000004">
      <c r="W43800"/>
    </row>
    <row r="43801" spans="23:23" x14ac:dyDescent="0.55000000000000004">
      <c r="W43801"/>
    </row>
    <row r="43802" spans="23:23" x14ac:dyDescent="0.55000000000000004">
      <c r="W43802"/>
    </row>
    <row r="43803" spans="23:23" x14ac:dyDescent="0.55000000000000004">
      <c r="W43803"/>
    </row>
    <row r="43804" spans="23:23" x14ac:dyDescent="0.55000000000000004">
      <c r="W43804"/>
    </row>
    <row r="43805" spans="23:23" x14ac:dyDescent="0.55000000000000004">
      <c r="W43805"/>
    </row>
    <row r="43806" spans="23:23" x14ac:dyDescent="0.55000000000000004">
      <c r="W43806"/>
    </row>
    <row r="43807" spans="23:23" x14ac:dyDescent="0.55000000000000004">
      <c r="W43807"/>
    </row>
    <row r="43808" spans="23:23" x14ac:dyDescent="0.55000000000000004">
      <c r="W43808"/>
    </row>
    <row r="43809" spans="23:23" x14ac:dyDescent="0.55000000000000004">
      <c r="W43809"/>
    </row>
    <row r="43810" spans="23:23" x14ac:dyDescent="0.55000000000000004">
      <c r="W43810"/>
    </row>
    <row r="43811" spans="23:23" x14ac:dyDescent="0.55000000000000004">
      <c r="W43811"/>
    </row>
    <row r="43812" spans="23:23" x14ac:dyDescent="0.55000000000000004">
      <c r="W43812"/>
    </row>
    <row r="43813" spans="23:23" x14ac:dyDescent="0.55000000000000004">
      <c r="W43813"/>
    </row>
    <row r="43814" spans="23:23" x14ac:dyDescent="0.55000000000000004">
      <c r="W43814"/>
    </row>
    <row r="43815" spans="23:23" x14ac:dyDescent="0.55000000000000004">
      <c r="W43815"/>
    </row>
    <row r="43816" spans="23:23" x14ac:dyDescent="0.55000000000000004">
      <c r="W43816"/>
    </row>
    <row r="43817" spans="23:23" x14ac:dyDescent="0.55000000000000004">
      <c r="W43817"/>
    </row>
    <row r="43818" spans="23:23" x14ac:dyDescent="0.55000000000000004">
      <c r="W43818"/>
    </row>
    <row r="43819" spans="23:23" x14ac:dyDescent="0.55000000000000004">
      <c r="W43819"/>
    </row>
    <row r="43820" spans="23:23" x14ac:dyDescent="0.55000000000000004">
      <c r="W43820"/>
    </row>
    <row r="43821" spans="23:23" x14ac:dyDescent="0.55000000000000004">
      <c r="W43821"/>
    </row>
    <row r="43822" spans="23:23" x14ac:dyDescent="0.55000000000000004">
      <c r="W43822"/>
    </row>
    <row r="43823" spans="23:23" x14ac:dyDescent="0.55000000000000004">
      <c r="W43823"/>
    </row>
    <row r="43824" spans="23:23" x14ac:dyDescent="0.55000000000000004">
      <c r="W43824"/>
    </row>
    <row r="43825" spans="23:23" x14ac:dyDescent="0.55000000000000004">
      <c r="W43825"/>
    </row>
    <row r="43826" spans="23:23" x14ac:dyDescent="0.55000000000000004">
      <c r="W43826"/>
    </row>
    <row r="43827" spans="23:23" x14ac:dyDescent="0.55000000000000004">
      <c r="W43827"/>
    </row>
    <row r="43828" spans="23:23" x14ac:dyDescent="0.55000000000000004">
      <c r="W43828"/>
    </row>
    <row r="43829" spans="23:23" x14ac:dyDescent="0.55000000000000004">
      <c r="W43829"/>
    </row>
    <row r="43830" spans="23:23" x14ac:dyDescent="0.55000000000000004">
      <c r="W43830"/>
    </row>
    <row r="43831" spans="23:23" x14ac:dyDescent="0.55000000000000004">
      <c r="W43831"/>
    </row>
    <row r="43832" spans="23:23" x14ac:dyDescent="0.55000000000000004">
      <c r="W43832"/>
    </row>
    <row r="43833" spans="23:23" x14ac:dyDescent="0.55000000000000004">
      <c r="W43833"/>
    </row>
    <row r="43834" spans="23:23" x14ac:dyDescent="0.55000000000000004">
      <c r="W43834"/>
    </row>
    <row r="43835" spans="23:23" x14ac:dyDescent="0.55000000000000004">
      <c r="W43835"/>
    </row>
    <row r="43836" spans="23:23" x14ac:dyDescent="0.55000000000000004">
      <c r="W43836"/>
    </row>
    <row r="43837" spans="23:23" x14ac:dyDescent="0.55000000000000004">
      <c r="W43837"/>
    </row>
    <row r="43838" spans="23:23" x14ac:dyDescent="0.55000000000000004">
      <c r="W43838"/>
    </row>
    <row r="43839" spans="23:23" x14ac:dyDescent="0.55000000000000004">
      <c r="W43839"/>
    </row>
    <row r="43840" spans="23:23" x14ac:dyDescent="0.55000000000000004">
      <c r="W43840"/>
    </row>
    <row r="43841" spans="23:23" x14ac:dyDescent="0.55000000000000004">
      <c r="W43841"/>
    </row>
    <row r="43842" spans="23:23" x14ac:dyDescent="0.55000000000000004">
      <c r="W43842"/>
    </row>
    <row r="43843" spans="23:23" x14ac:dyDescent="0.55000000000000004">
      <c r="W43843"/>
    </row>
    <row r="43844" spans="23:23" x14ac:dyDescent="0.55000000000000004">
      <c r="W43844"/>
    </row>
    <row r="43845" spans="23:23" x14ac:dyDescent="0.55000000000000004">
      <c r="W43845"/>
    </row>
    <row r="43846" spans="23:23" x14ac:dyDescent="0.55000000000000004">
      <c r="W43846"/>
    </row>
    <row r="43847" spans="23:23" x14ac:dyDescent="0.55000000000000004">
      <c r="W43847"/>
    </row>
    <row r="43848" spans="23:23" x14ac:dyDescent="0.55000000000000004">
      <c r="W43848"/>
    </row>
    <row r="43849" spans="23:23" x14ac:dyDescent="0.55000000000000004">
      <c r="W43849"/>
    </row>
    <row r="43850" spans="23:23" x14ac:dyDescent="0.55000000000000004">
      <c r="W43850"/>
    </row>
    <row r="43851" spans="23:23" x14ac:dyDescent="0.55000000000000004">
      <c r="W43851"/>
    </row>
    <row r="43852" spans="23:23" x14ac:dyDescent="0.55000000000000004">
      <c r="W43852"/>
    </row>
    <row r="43853" spans="23:23" x14ac:dyDescent="0.55000000000000004">
      <c r="W43853"/>
    </row>
    <row r="43854" spans="23:23" x14ac:dyDescent="0.55000000000000004">
      <c r="W43854"/>
    </row>
    <row r="43855" spans="23:23" x14ac:dyDescent="0.55000000000000004">
      <c r="W43855"/>
    </row>
    <row r="43856" spans="23:23" x14ac:dyDescent="0.55000000000000004">
      <c r="W43856"/>
    </row>
    <row r="43857" spans="23:23" x14ac:dyDescent="0.55000000000000004">
      <c r="W43857"/>
    </row>
    <row r="43858" spans="23:23" x14ac:dyDescent="0.55000000000000004">
      <c r="W43858"/>
    </row>
    <row r="43859" spans="23:23" x14ac:dyDescent="0.55000000000000004">
      <c r="W43859"/>
    </row>
    <row r="43860" spans="23:23" x14ac:dyDescent="0.55000000000000004">
      <c r="W43860"/>
    </row>
    <row r="43861" spans="23:23" x14ac:dyDescent="0.55000000000000004">
      <c r="W43861"/>
    </row>
    <row r="43862" spans="23:23" x14ac:dyDescent="0.55000000000000004">
      <c r="W43862"/>
    </row>
    <row r="43863" spans="23:23" x14ac:dyDescent="0.55000000000000004">
      <c r="W43863"/>
    </row>
    <row r="43864" spans="23:23" x14ac:dyDescent="0.55000000000000004">
      <c r="W43864"/>
    </row>
    <row r="43865" spans="23:23" x14ac:dyDescent="0.55000000000000004">
      <c r="W43865"/>
    </row>
    <row r="43866" spans="23:23" x14ac:dyDescent="0.55000000000000004">
      <c r="W43866"/>
    </row>
    <row r="43867" spans="23:23" x14ac:dyDescent="0.55000000000000004">
      <c r="W43867"/>
    </row>
    <row r="43868" spans="23:23" x14ac:dyDescent="0.55000000000000004">
      <c r="W43868"/>
    </row>
    <row r="43869" spans="23:23" x14ac:dyDescent="0.55000000000000004">
      <c r="W43869"/>
    </row>
    <row r="43870" spans="23:23" x14ac:dyDescent="0.55000000000000004">
      <c r="W43870"/>
    </row>
    <row r="43871" spans="23:23" x14ac:dyDescent="0.55000000000000004">
      <c r="W43871"/>
    </row>
    <row r="43872" spans="23:23" x14ac:dyDescent="0.55000000000000004">
      <c r="W43872"/>
    </row>
    <row r="43873" spans="23:23" x14ac:dyDescent="0.55000000000000004">
      <c r="W43873"/>
    </row>
    <row r="43874" spans="23:23" x14ac:dyDescent="0.55000000000000004">
      <c r="W43874"/>
    </row>
    <row r="43875" spans="23:23" x14ac:dyDescent="0.55000000000000004">
      <c r="W43875"/>
    </row>
    <row r="43876" spans="23:23" x14ac:dyDescent="0.55000000000000004">
      <c r="W43876"/>
    </row>
    <row r="43877" spans="23:23" x14ac:dyDescent="0.55000000000000004">
      <c r="W43877"/>
    </row>
    <row r="43878" spans="23:23" x14ac:dyDescent="0.55000000000000004">
      <c r="W43878"/>
    </row>
    <row r="43879" spans="23:23" x14ac:dyDescent="0.55000000000000004">
      <c r="W43879"/>
    </row>
    <row r="43880" spans="23:23" x14ac:dyDescent="0.55000000000000004">
      <c r="W43880"/>
    </row>
    <row r="43881" spans="23:23" x14ac:dyDescent="0.55000000000000004">
      <c r="W43881"/>
    </row>
    <row r="43882" spans="23:23" x14ac:dyDescent="0.55000000000000004">
      <c r="W43882"/>
    </row>
    <row r="43883" spans="23:23" x14ac:dyDescent="0.55000000000000004">
      <c r="W43883"/>
    </row>
    <row r="43884" spans="23:23" x14ac:dyDescent="0.55000000000000004">
      <c r="W43884"/>
    </row>
    <row r="43885" spans="23:23" x14ac:dyDescent="0.55000000000000004">
      <c r="W43885"/>
    </row>
    <row r="43886" spans="23:23" x14ac:dyDescent="0.55000000000000004">
      <c r="W43886"/>
    </row>
    <row r="43887" spans="23:23" x14ac:dyDescent="0.55000000000000004">
      <c r="W43887"/>
    </row>
    <row r="43888" spans="23:23" x14ac:dyDescent="0.55000000000000004">
      <c r="W43888"/>
    </row>
    <row r="43889" spans="23:23" x14ac:dyDescent="0.55000000000000004">
      <c r="W43889"/>
    </row>
    <row r="43890" spans="23:23" x14ac:dyDescent="0.55000000000000004">
      <c r="W43890"/>
    </row>
    <row r="43891" spans="23:23" x14ac:dyDescent="0.55000000000000004">
      <c r="W43891"/>
    </row>
    <row r="43892" spans="23:23" x14ac:dyDescent="0.55000000000000004">
      <c r="W43892"/>
    </row>
    <row r="43893" spans="23:23" x14ac:dyDescent="0.55000000000000004">
      <c r="W43893"/>
    </row>
    <row r="43894" spans="23:23" x14ac:dyDescent="0.55000000000000004">
      <c r="W43894"/>
    </row>
    <row r="43895" spans="23:23" x14ac:dyDescent="0.55000000000000004">
      <c r="W43895"/>
    </row>
    <row r="43896" spans="23:23" x14ac:dyDescent="0.55000000000000004">
      <c r="W43896"/>
    </row>
    <row r="43897" spans="23:23" x14ac:dyDescent="0.55000000000000004">
      <c r="W43897"/>
    </row>
    <row r="43898" spans="23:23" x14ac:dyDescent="0.55000000000000004">
      <c r="W43898"/>
    </row>
    <row r="43899" spans="23:23" x14ac:dyDescent="0.55000000000000004">
      <c r="W43899"/>
    </row>
    <row r="43900" spans="23:23" x14ac:dyDescent="0.55000000000000004">
      <c r="W43900"/>
    </row>
    <row r="43901" spans="23:23" x14ac:dyDescent="0.55000000000000004">
      <c r="W43901"/>
    </row>
    <row r="43902" spans="23:23" x14ac:dyDescent="0.55000000000000004">
      <c r="W43902"/>
    </row>
    <row r="43903" spans="23:23" x14ac:dyDescent="0.55000000000000004">
      <c r="W43903"/>
    </row>
    <row r="43904" spans="23:23" x14ac:dyDescent="0.55000000000000004">
      <c r="W43904"/>
    </row>
    <row r="43905" spans="23:23" x14ac:dyDescent="0.55000000000000004">
      <c r="W43905"/>
    </row>
    <row r="43906" spans="23:23" x14ac:dyDescent="0.55000000000000004">
      <c r="W43906"/>
    </row>
    <row r="43907" spans="23:23" x14ac:dyDescent="0.55000000000000004">
      <c r="W43907"/>
    </row>
    <row r="43908" spans="23:23" x14ac:dyDescent="0.55000000000000004">
      <c r="W43908"/>
    </row>
    <row r="43909" spans="23:23" x14ac:dyDescent="0.55000000000000004">
      <c r="W43909"/>
    </row>
    <row r="43910" spans="23:23" x14ac:dyDescent="0.55000000000000004">
      <c r="W43910"/>
    </row>
    <row r="43911" spans="23:23" x14ac:dyDescent="0.55000000000000004">
      <c r="W43911"/>
    </row>
    <row r="43912" spans="23:23" x14ac:dyDescent="0.55000000000000004">
      <c r="W43912"/>
    </row>
    <row r="43913" spans="23:23" x14ac:dyDescent="0.55000000000000004">
      <c r="W43913"/>
    </row>
    <row r="43914" spans="23:23" x14ac:dyDescent="0.55000000000000004">
      <c r="W43914"/>
    </row>
    <row r="43915" spans="23:23" x14ac:dyDescent="0.55000000000000004">
      <c r="W43915"/>
    </row>
    <row r="43916" spans="23:23" x14ac:dyDescent="0.55000000000000004">
      <c r="W43916"/>
    </row>
    <row r="43917" spans="23:23" x14ac:dyDescent="0.55000000000000004">
      <c r="W43917"/>
    </row>
    <row r="43918" spans="23:23" x14ac:dyDescent="0.55000000000000004">
      <c r="W43918"/>
    </row>
    <row r="43919" spans="23:23" x14ac:dyDescent="0.55000000000000004">
      <c r="W43919"/>
    </row>
    <row r="43920" spans="23:23" x14ac:dyDescent="0.55000000000000004">
      <c r="W43920"/>
    </row>
    <row r="43921" spans="23:23" x14ac:dyDescent="0.55000000000000004">
      <c r="W43921"/>
    </row>
    <row r="43922" spans="23:23" x14ac:dyDescent="0.55000000000000004">
      <c r="W43922"/>
    </row>
    <row r="43923" spans="23:23" x14ac:dyDescent="0.55000000000000004">
      <c r="W43923"/>
    </row>
    <row r="43924" spans="23:23" x14ac:dyDescent="0.55000000000000004">
      <c r="W43924"/>
    </row>
    <row r="43925" spans="23:23" x14ac:dyDescent="0.55000000000000004">
      <c r="W43925"/>
    </row>
    <row r="43926" spans="23:23" x14ac:dyDescent="0.55000000000000004">
      <c r="W43926"/>
    </row>
    <row r="43927" spans="23:23" x14ac:dyDescent="0.55000000000000004">
      <c r="W43927"/>
    </row>
    <row r="43928" spans="23:23" x14ac:dyDescent="0.55000000000000004">
      <c r="W43928"/>
    </row>
    <row r="43929" spans="23:23" x14ac:dyDescent="0.55000000000000004">
      <c r="W43929"/>
    </row>
    <row r="43930" spans="23:23" x14ac:dyDescent="0.55000000000000004">
      <c r="W43930"/>
    </row>
    <row r="43931" spans="23:23" x14ac:dyDescent="0.55000000000000004">
      <c r="W43931"/>
    </row>
    <row r="43932" spans="23:23" x14ac:dyDescent="0.55000000000000004">
      <c r="W43932"/>
    </row>
    <row r="43933" spans="23:23" x14ac:dyDescent="0.55000000000000004">
      <c r="W43933"/>
    </row>
    <row r="43934" spans="23:23" x14ac:dyDescent="0.55000000000000004">
      <c r="W43934"/>
    </row>
    <row r="43935" spans="23:23" x14ac:dyDescent="0.55000000000000004">
      <c r="W43935"/>
    </row>
    <row r="43936" spans="23:23" x14ac:dyDescent="0.55000000000000004">
      <c r="W43936"/>
    </row>
    <row r="43937" spans="23:23" x14ac:dyDescent="0.55000000000000004">
      <c r="W43937"/>
    </row>
    <row r="43938" spans="23:23" x14ac:dyDescent="0.55000000000000004">
      <c r="W43938"/>
    </row>
    <row r="43939" spans="23:23" x14ac:dyDescent="0.55000000000000004">
      <c r="W43939"/>
    </row>
    <row r="43940" spans="23:23" x14ac:dyDescent="0.55000000000000004">
      <c r="W43940"/>
    </row>
    <row r="43941" spans="23:23" x14ac:dyDescent="0.55000000000000004">
      <c r="W43941"/>
    </row>
    <row r="43942" spans="23:23" x14ac:dyDescent="0.55000000000000004">
      <c r="W43942"/>
    </row>
    <row r="43943" spans="23:23" x14ac:dyDescent="0.55000000000000004">
      <c r="W43943"/>
    </row>
    <row r="43944" spans="23:23" x14ac:dyDescent="0.55000000000000004">
      <c r="W43944"/>
    </row>
    <row r="43945" spans="23:23" x14ac:dyDescent="0.55000000000000004">
      <c r="W43945"/>
    </row>
    <row r="43946" spans="23:23" x14ac:dyDescent="0.55000000000000004">
      <c r="W43946"/>
    </row>
    <row r="43947" spans="23:23" x14ac:dyDescent="0.55000000000000004">
      <c r="W43947"/>
    </row>
    <row r="43948" spans="23:23" x14ac:dyDescent="0.55000000000000004">
      <c r="W43948"/>
    </row>
    <row r="43949" spans="23:23" x14ac:dyDescent="0.55000000000000004">
      <c r="W43949"/>
    </row>
    <row r="43950" spans="23:23" x14ac:dyDescent="0.55000000000000004">
      <c r="W43950"/>
    </row>
    <row r="43951" spans="23:23" x14ac:dyDescent="0.55000000000000004">
      <c r="W43951"/>
    </row>
    <row r="43952" spans="23:23" x14ac:dyDescent="0.55000000000000004">
      <c r="W43952"/>
    </row>
    <row r="43953" spans="23:23" x14ac:dyDescent="0.55000000000000004">
      <c r="W43953"/>
    </row>
    <row r="43954" spans="23:23" x14ac:dyDescent="0.55000000000000004">
      <c r="W43954"/>
    </row>
    <row r="43955" spans="23:23" x14ac:dyDescent="0.55000000000000004">
      <c r="W43955"/>
    </row>
    <row r="43956" spans="23:23" x14ac:dyDescent="0.55000000000000004">
      <c r="W43956"/>
    </row>
    <row r="43957" spans="23:23" x14ac:dyDescent="0.55000000000000004">
      <c r="W43957"/>
    </row>
    <row r="43958" spans="23:23" x14ac:dyDescent="0.55000000000000004">
      <c r="W43958"/>
    </row>
    <row r="43959" spans="23:23" x14ac:dyDescent="0.55000000000000004">
      <c r="W43959"/>
    </row>
    <row r="43960" spans="23:23" x14ac:dyDescent="0.55000000000000004">
      <c r="W43960"/>
    </row>
    <row r="43961" spans="23:23" x14ac:dyDescent="0.55000000000000004">
      <c r="W43961"/>
    </row>
    <row r="43962" spans="23:23" x14ac:dyDescent="0.55000000000000004">
      <c r="W43962"/>
    </row>
    <row r="43963" spans="23:23" x14ac:dyDescent="0.55000000000000004">
      <c r="W43963"/>
    </row>
    <row r="43964" spans="23:23" x14ac:dyDescent="0.55000000000000004">
      <c r="W43964"/>
    </row>
    <row r="43965" spans="23:23" x14ac:dyDescent="0.55000000000000004">
      <c r="W43965"/>
    </row>
    <row r="43966" spans="23:23" x14ac:dyDescent="0.55000000000000004">
      <c r="W43966"/>
    </row>
    <row r="43967" spans="23:23" x14ac:dyDescent="0.55000000000000004">
      <c r="W43967"/>
    </row>
    <row r="43968" spans="23:23" x14ac:dyDescent="0.55000000000000004">
      <c r="W43968"/>
    </row>
    <row r="43969" spans="23:23" x14ac:dyDescent="0.55000000000000004">
      <c r="W43969"/>
    </row>
    <row r="43970" spans="23:23" x14ac:dyDescent="0.55000000000000004">
      <c r="W43970"/>
    </row>
    <row r="43971" spans="23:23" x14ac:dyDescent="0.55000000000000004">
      <c r="W43971"/>
    </row>
    <row r="43972" spans="23:23" x14ac:dyDescent="0.55000000000000004">
      <c r="W43972"/>
    </row>
    <row r="43973" spans="23:23" x14ac:dyDescent="0.55000000000000004">
      <c r="W43973"/>
    </row>
    <row r="43974" spans="23:23" x14ac:dyDescent="0.55000000000000004">
      <c r="W43974"/>
    </row>
    <row r="43975" spans="23:23" x14ac:dyDescent="0.55000000000000004">
      <c r="W43975"/>
    </row>
    <row r="43976" spans="23:23" x14ac:dyDescent="0.55000000000000004">
      <c r="W43976"/>
    </row>
    <row r="43977" spans="23:23" x14ac:dyDescent="0.55000000000000004">
      <c r="W43977"/>
    </row>
    <row r="43978" spans="23:23" x14ac:dyDescent="0.55000000000000004">
      <c r="W43978"/>
    </row>
    <row r="43979" spans="23:23" x14ac:dyDescent="0.55000000000000004">
      <c r="W43979"/>
    </row>
    <row r="43980" spans="23:23" x14ac:dyDescent="0.55000000000000004">
      <c r="W43980"/>
    </row>
    <row r="43981" spans="23:23" x14ac:dyDescent="0.55000000000000004">
      <c r="W43981"/>
    </row>
    <row r="43982" spans="23:23" x14ac:dyDescent="0.55000000000000004">
      <c r="W43982"/>
    </row>
    <row r="43983" spans="23:23" x14ac:dyDescent="0.55000000000000004">
      <c r="W43983"/>
    </row>
    <row r="43984" spans="23:23" x14ac:dyDescent="0.55000000000000004">
      <c r="W43984"/>
    </row>
    <row r="43985" spans="23:23" x14ac:dyDescent="0.55000000000000004">
      <c r="W43985"/>
    </row>
    <row r="43986" spans="23:23" x14ac:dyDescent="0.55000000000000004">
      <c r="W43986"/>
    </row>
    <row r="43987" spans="23:23" x14ac:dyDescent="0.55000000000000004">
      <c r="W43987"/>
    </row>
    <row r="43988" spans="23:23" x14ac:dyDescent="0.55000000000000004">
      <c r="W43988"/>
    </row>
    <row r="43989" spans="23:23" x14ac:dyDescent="0.55000000000000004">
      <c r="W43989"/>
    </row>
    <row r="43990" spans="23:23" x14ac:dyDescent="0.55000000000000004">
      <c r="W43990"/>
    </row>
    <row r="43991" spans="23:23" x14ac:dyDescent="0.55000000000000004">
      <c r="W43991"/>
    </row>
    <row r="43992" spans="23:23" x14ac:dyDescent="0.55000000000000004">
      <c r="W43992"/>
    </row>
    <row r="43993" spans="23:23" x14ac:dyDescent="0.55000000000000004">
      <c r="W43993"/>
    </row>
    <row r="43994" spans="23:23" x14ac:dyDescent="0.55000000000000004">
      <c r="W43994"/>
    </row>
    <row r="43995" spans="23:23" x14ac:dyDescent="0.55000000000000004">
      <c r="W43995"/>
    </row>
    <row r="43996" spans="23:23" x14ac:dyDescent="0.55000000000000004">
      <c r="W43996"/>
    </row>
    <row r="43997" spans="23:23" x14ac:dyDescent="0.55000000000000004">
      <c r="W43997"/>
    </row>
    <row r="43998" spans="23:23" x14ac:dyDescent="0.55000000000000004">
      <c r="W43998"/>
    </row>
    <row r="43999" spans="23:23" x14ac:dyDescent="0.55000000000000004">
      <c r="W43999"/>
    </row>
    <row r="44000" spans="23:23" x14ac:dyDescent="0.55000000000000004">
      <c r="W44000"/>
    </row>
    <row r="44001" spans="23:23" x14ac:dyDescent="0.55000000000000004">
      <c r="W44001"/>
    </row>
    <row r="44002" spans="23:23" x14ac:dyDescent="0.55000000000000004">
      <c r="W44002"/>
    </row>
    <row r="44003" spans="23:23" x14ac:dyDescent="0.55000000000000004">
      <c r="W44003"/>
    </row>
    <row r="44004" spans="23:23" x14ac:dyDescent="0.55000000000000004">
      <c r="W44004"/>
    </row>
    <row r="44005" spans="23:23" x14ac:dyDescent="0.55000000000000004">
      <c r="W44005"/>
    </row>
    <row r="44006" spans="23:23" x14ac:dyDescent="0.55000000000000004">
      <c r="W44006"/>
    </row>
    <row r="44007" spans="23:23" x14ac:dyDescent="0.55000000000000004">
      <c r="W44007"/>
    </row>
    <row r="44008" spans="23:23" x14ac:dyDescent="0.55000000000000004">
      <c r="W44008"/>
    </row>
    <row r="44009" spans="23:23" x14ac:dyDescent="0.55000000000000004">
      <c r="W44009"/>
    </row>
    <row r="44010" spans="23:23" x14ac:dyDescent="0.55000000000000004">
      <c r="W44010"/>
    </row>
    <row r="44011" spans="23:23" x14ac:dyDescent="0.55000000000000004">
      <c r="W44011"/>
    </row>
    <row r="44012" spans="23:23" x14ac:dyDescent="0.55000000000000004">
      <c r="W44012"/>
    </row>
    <row r="44013" spans="23:23" x14ac:dyDescent="0.55000000000000004">
      <c r="W44013"/>
    </row>
    <row r="44014" spans="23:23" x14ac:dyDescent="0.55000000000000004">
      <c r="W44014"/>
    </row>
    <row r="44015" spans="23:23" x14ac:dyDescent="0.55000000000000004">
      <c r="W44015"/>
    </row>
    <row r="44016" spans="23:23" x14ac:dyDescent="0.55000000000000004">
      <c r="W44016"/>
    </row>
    <row r="44017" spans="23:23" x14ac:dyDescent="0.55000000000000004">
      <c r="W44017"/>
    </row>
    <row r="44018" spans="23:23" x14ac:dyDescent="0.55000000000000004">
      <c r="W44018"/>
    </row>
    <row r="44019" spans="23:23" x14ac:dyDescent="0.55000000000000004">
      <c r="W44019"/>
    </row>
    <row r="44020" spans="23:23" x14ac:dyDescent="0.55000000000000004">
      <c r="W44020"/>
    </row>
    <row r="44021" spans="23:23" x14ac:dyDescent="0.55000000000000004">
      <c r="W44021"/>
    </row>
    <row r="44022" spans="23:23" x14ac:dyDescent="0.55000000000000004">
      <c r="W44022"/>
    </row>
    <row r="44023" spans="23:23" x14ac:dyDescent="0.55000000000000004">
      <c r="W44023"/>
    </row>
    <row r="44024" spans="23:23" x14ac:dyDescent="0.55000000000000004">
      <c r="W44024"/>
    </row>
    <row r="44025" spans="23:23" x14ac:dyDescent="0.55000000000000004">
      <c r="W44025"/>
    </row>
    <row r="44026" spans="23:23" x14ac:dyDescent="0.55000000000000004">
      <c r="W44026"/>
    </row>
    <row r="44027" spans="23:23" x14ac:dyDescent="0.55000000000000004">
      <c r="W44027"/>
    </row>
    <row r="44028" spans="23:23" x14ac:dyDescent="0.55000000000000004">
      <c r="W44028"/>
    </row>
    <row r="44029" spans="23:23" x14ac:dyDescent="0.55000000000000004">
      <c r="W44029"/>
    </row>
    <row r="44030" spans="23:23" x14ac:dyDescent="0.55000000000000004">
      <c r="W44030"/>
    </row>
    <row r="44031" spans="23:23" x14ac:dyDescent="0.55000000000000004">
      <c r="W44031"/>
    </row>
    <row r="44032" spans="23:23" x14ac:dyDescent="0.55000000000000004">
      <c r="W44032"/>
    </row>
    <row r="44033" spans="23:23" x14ac:dyDescent="0.55000000000000004">
      <c r="W44033"/>
    </row>
    <row r="44034" spans="23:23" x14ac:dyDescent="0.55000000000000004">
      <c r="W44034"/>
    </row>
    <row r="44035" spans="23:23" x14ac:dyDescent="0.55000000000000004">
      <c r="W44035"/>
    </row>
    <row r="44036" spans="23:23" x14ac:dyDescent="0.55000000000000004">
      <c r="W44036"/>
    </row>
    <row r="44037" spans="23:23" x14ac:dyDescent="0.55000000000000004">
      <c r="W44037"/>
    </row>
    <row r="44038" spans="23:23" x14ac:dyDescent="0.55000000000000004">
      <c r="W44038"/>
    </row>
    <row r="44039" spans="23:23" x14ac:dyDescent="0.55000000000000004">
      <c r="W44039"/>
    </row>
    <row r="44040" spans="23:23" x14ac:dyDescent="0.55000000000000004">
      <c r="W44040"/>
    </row>
    <row r="44041" spans="23:23" x14ac:dyDescent="0.55000000000000004">
      <c r="W44041"/>
    </row>
    <row r="44042" spans="23:23" x14ac:dyDescent="0.55000000000000004">
      <c r="W44042"/>
    </row>
    <row r="44043" spans="23:23" x14ac:dyDescent="0.55000000000000004">
      <c r="W44043"/>
    </row>
    <row r="44044" spans="23:23" x14ac:dyDescent="0.55000000000000004">
      <c r="W44044"/>
    </row>
    <row r="44045" spans="23:23" x14ac:dyDescent="0.55000000000000004">
      <c r="W44045"/>
    </row>
    <row r="44046" spans="23:23" x14ac:dyDescent="0.55000000000000004">
      <c r="W44046"/>
    </row>
    <row r="44047" spans="23:23" x14ac:dyDescent="0.55000000000000004">
      <c r="W44047"/>
    </row>
    <row r="44048" spans="23:23" x14ac:dyDescent="0.55000000000000004">
      <c r="W44048"/>
    </row>
    <row r="44049" spans="23:23" x14ac:dyDescent="0.55000000000000004">
      <c r="W44049"/>
    </row>
    <row r="44050" spans="23:23" x14ac:dyDescent="0.55000000000000004">
      <c r="W44050"/>
    </row>
    <row r="44051" spans="23:23" x14ac:dyDescent="0.55000000000000004">
      <c r="W44051"/>
    </row>
    <row r="44052" spans="23:23" x14ac:dyDescent="0.55000000000000004">
      <c r="W44052"/>
    </row>
    <row r="44053" spans="23:23" x14ac:dyDescent="0.55000000000000004">
      <c r="W44053"/>
    </row>
    <row r="44054" spans="23:23" x14ac:dyDescent="0.55000000000000004">
      <c r="W44054"/>
    </row>
    <row r="44055" spans="23:23" x14ac:dyDescent="0.55000000000000004">
      <c r="W44055"/>
    </row>
    <row r="44056" spans="23:23" x14ac:dyDescent="0.55000000000000004">
      <c r="W44056"/>
    </row>
    <row r="44057" spans="23:23" x14ac:dyDescent="0.55000000000000004">
      <c r="W44057"/>
    </row>
    <row r="44058" spans="23:23" x14ac:dyDescent="0.55000000000000004">
      <c r="W44058"/>
    </row>
    <row r="44059" spans="23:23" x14ac:dyDescent="0.55000000000000004">
      <c r="W44059"/>
    </row>
    <row r="44060" spans="23:23" x14ac:dyDescent="0.55000000000000004">
      <c r="W44060"/>
    </row>
    <row r="44061" spans="23:23" x14ac:dyDescent="0.55000000000000004">
      <c r="W44061"/>
    </row>
    <row r="44062" spans="23:23" x14ac:dyDescent="0.55000000000000004">
      <c r="W44062"/>
    </row>
    <row r="44063" spans="23:23" x14ac:dyDescent="0.55000000000000004">
      <c r="W44063"/>
    </row>
    <row r="44064" spans="23:23" x14ac:dyDescent="0.55000000000000004">
      <c r="W44064"/>
    </row>
    <row r="44065" spans="23:23" x14ac:dyDescent="0.55000000000000004">
      <c r="W44065"/>
    </row>
    <row r="44066" spans="23:23" x14ac:dyDescent="0.55000000000000004">
      <c r="W44066"/>
    </row>
    <row r="44067" spans="23:23" x14ac:dyDescent="0.55000000000000004">
      <c r="W44067"/>
    </row>
    <row r="44068" spans="23:23" x14ac:dyDescent="0.55000000000000004">
      <c r="W44068"/>
    </row>
    <row r="44069" spans="23:23" x14ac:dyDescent="0.55000000000000004">
      <c r="W44069"/>
    </row>
    <row r="44070" spans="23:23" x14ac:dyDescent="0.55000000000000004">
      <c r="W44070"/>
    </row>
    <row r="44071" spans="23:23" x14ac:dyDescent="0.55000000000000004">
      <c r="W44071"/>
    </row>
    <row r="44072" spans="23:23" x14ac:dyDescent="0.55000000000000004">
      <c r="W44072"/>
    </row>
    <row r="44073" spans="23:23" x14ac:dyDescent="0.55000000000000004">
      <c r="W44073"/>
    </row>
    <row r="44074" spans="23:23" x14ac:dyDescent="0.55000000000000004">
      <c r="W44074"/>
    </row>
    <row r="44075" spans="23:23" x14ac:dyDescent="0.55000000000000004">
      <c r="W44075"/>
    </row>
    <row r="44076" spans="23:23" x14ac:dyDescent="0.55000000000000004">
      <c r="W44076"/>
    </row>
    <row r="44077" spans="23:23" x14ac:dyDescent="0.55000000000000004">
      <c r="W44077"/>
    </row>
    <row r="44078" spans="23:23" x14ac:dyDescent="0.55000000000000004">
      <c r="W44078"/>
    </row>
    <row r="44079" spans="23:23" x14ac:dyDescent="0.55000000000000004">
      <c r="W44079"/>
    </row>
    <row r="44080" spans="23:23" x14ac:dyDescent="0.55000000000000004">
      <c r="W44080"/>
    </row>
    <row r="44081" spans="23:23" x14ac:dyDescent="0.55000000000000004">
      <c r="W44081"/>
    </row>
    <row r="44082" spans="23:23" x14ac:dyDescent="0.55000000000000004">
      <c r="W44082"/>
    </row>
    <row r="44083" spans="23:23" x14ac:dyDescent="0.55000000000000004">
      <c r="W44083"/>
    </row>
    <row r="44084" spans="23:23" x14ac:dyDescent="0.55000000000000004">
      <c r="W44084"/>
    </row>
    <row r="44085" spans="23:23" x14ac:dyDescent="0.55000000000000004">
      <c r="W44085"/>
    </row>
    <row r="44086" spans="23:23" x14ac:dyDescent="0.55000000000000004">
      <c r="W44086"/>
    </row>
    <row r="44087" spans="23:23" x14ac:dyDescent="0.55000000000000004">
      <c r="W44087"/>
    </row>
    <row r="44088" spans="23:23" x14ac:dyDescent="0.55000000000000004">
      <c r="W44088"/>
    </row>
    <row r="44089" spans="23:23" x14ac:dyDescent="0.55000000000000004">
      <c r="W44089"/>
    </row>
    <row r="44090" spans="23:23" x14ac:dyDescent="0.55000000000000004">
      <c r="W44090"/>
    </row>
    <row r="44091" spans="23:23" x14ac:dyDescent="0.55000000000000004">
      <c r="W44091"/>
    </row>
    <row r="44092" spans="23:23" x14ac:dyDescent="0.55000000000000004">
      <c r="W44092"/>
    </row>
    <row r="44093" spans="23:23" x14ac:dyDescent="0.55000000000000004">
      <c r="W44093"/>
    </row>
    <row r="44094" spans="23:23" x14ac:dyDescent="0.55000000000000004">
      <c r="W44094"/>
    </row>
    <row r="44095" spans="23:23" x14ac:dyDescent="0.55000000000000004">
      <c r="W44095"/>
    </row>
    <row r="44096" spans="23:23" x14ac:dyDescent="0.55000000000000004">
      <c r="W44096"/>
    </row>
    <row r="44097" spans="23:23" x14ac:dyDescent="0.55000000000000004">
      <c r="W44097"/>
    </row>
    <row r="44098" spans="23:23" x14ac:dyDescent="0.55000000000000004">
      <c r="W44098"/>
    </row>
    <row r="44099" spans="23:23" x14ac:dyDescent="0.55000000000000004">
      <c r="W44099"/>
    </row>
    <row r="44100" spans="23:23" x14ac:dyDescent="0.55000000000000004">
      <c r="W44100"/>
    </row>
    <row r="44101" spans="23:23" x14ac:dyDescent="0.55000000000000004">
      <c r="W44101"/>
    </row>
    <row r="44102" spans="23:23" x14ac:dyDescent="0.55000000000000004">
      <c r="W44102"/>
    </row>
    <row r="44103" spans="23:23" x14ac:dyDescent="0.55000000000000004">
      <c r="W44103"/>
    </row>
    <row r="44104" spans="23:23" x14ac:dyDescent="0.55000000000000004">
      <c r="W44104"/>
    </row>
    <row r="44105" spans="23:23" x14ac:dyDescent="0.55000000000000004">
      <c r="W44105"/>
    </row>
    <row r="44106" spans="23:23" x14ac:dyDescent="0.55000000000000004">
      <c r="W44106"/>
    </row>
    <row r="44107" spans="23:23" x14ac:dyDescent="0.55000000000000004">
      <c r="W44107"/>
    </row>
    <row r="44108" spans="23:23" x14ac:dyDescent="0.55000000000000004">
      <c r="W44108"/>
    </row>
    <row r="44109" spans="23:23" x14ac:dyDescent="0.55000000000000004">
      <c r="W44109"/>
    </row>
    <row r="44110" spans="23:23" x14ac:dyDescent="0.55000000000000004">
      <c r="W44110"/>
    </row>
    <row r="44111" spans="23:23" x14ac:dyDescent="0.55000000000000004">
      <c r="W44111"/>
    </row>
    <row r="44112" spans="23:23" x14ac:dyDescent="0.55000000000000004">
      <c r="W44112"/>
    </row>
    <row r="44113" spans="23:23" x14ac:dyDescent="0.55000000000000004">
      <c r="W44113"/>
    </row>
    <row r="44114" spans="23:23" x14ac:dyDescent="0.55000000000000004">
      <c r="W44114"/>
    </row>
    <row r="44115" spans="23:23" x14ac:dyDescent="0.55000000000000004">
      <c r="W44115"/>
    </row>
    <row r="44116" spans="23:23" x14ac:dyDescent="0.55000000000000004">
      <c r="W44116"/>
    </row>
    <row r="44117" spans="23:23" x14ac:dyDescent="0.55000000000000004">
      <c r="W44117"/>
    </row>
    <row r="44118" spans="23:23" x14ac:dyDescent="0.55000000000000004">
      <c r="W44118"/>
    </row>
    <row r="44119" spans="23:23" x14ac:dyDescent="0.55000000000000004">
      <c r="W44119"/>
    </row>
    <row r="44120" spans="23:23" x14ac:dyDescent="0.55000000000000004">
      <c r="W44120"/>
    </row>
    <row r="44121" spans="23:23" x14ac:dyDescent="0.55000000000000004">
      <c r="W44121"/>
    </row>
    <row r="44122" spans="23:23" x14ac:dyDescent="0.55000000000000004">
      <c r="W44122"/>
    </row>
    <row r="44123" spans="23:23" x14ac:dyDescent="0.55000000000000004">
      <c r="W44123"/>
    </row>
    <row r="44124" spans="23:23" x14ac:dyDescent="0.55000000000000004">
      <c r="W44124"/>
    </row>
    <row r="44125" spans="23:23" x14ac:dyDescent="0.55000000000000004">
      <c r="W44125"/>
    </row>
    <row r="44126" spans="23:23" x14ac:dyDescent="0.55000000000000004">
      <c r="W44126"/>
    </row>
    <row r="44127" spans="23:23" x14ac:dyDescent="0.55000000000000004">
      <c r="W44127"/>
    </row>
    <row r="44128" spans="23:23" x14ac:dyDescent="0.55000000000000004">
      <c r="W44128"/>
    </row>
    <row r="44129" spans="23:23" x14ac:dyDescent="0.55000000000000004">
      <c r="W44129"/>
    </row>
    <row r="44130" spans="23:23" x14ac:dyDescent="0.55000000000000004">
      <c r="W44130"/>
    </row>
    <row r="44131" spans="23:23" x14ac:dyDescent="0.55000000000000004">
      <c r="W44131"/>
    </row>
    <row r="44132" spans="23:23" x14ac:dyDescent="0.55000000000000004">
      <c r="W44132"/>
    </row>
    <row r="44133" spans="23:23" x14ac:dyDescent="0.55000000000000004">
      <c r="W44133"/>
    </row>
    <row r="44134" spans="23:23" x14ac:dyDescent="0.55000000000000004">
      <c r="W44134"/>
    </row>
    <row r="44135" spans="23:23" x14ac:dyDescent="0.55000000000000004">
      <c r="W44135"/>
    </row>
    <row r="44136" spans="23:23" x14ac:dyDescent="0.55000000000000004">
      <c r="W44136"/>
    </row>
    <row r="44137" spans="23:23" x14ac:dyDescent="0.55000000000000004">
      <c r="W44137"/>
    </row>
    <row r="44138" spans="23:23" x14ac:dyDescent="0.55000000000000004">
      <c r="W44138"/>
    </row>
    <row r="44139" spans="23:23" x14ac:dyDescent="0.55000000000000004">
      <c r="W44139"/>
    </row>
    <row r="44140" spans="23:23" x14ac:dyDescent="0.55000000000000004">
      <c r="W44140"/>
    </row>
    <row r="44141" spans="23:23" x14ac:dyDescent="0.55000000000000004">
      <c r="W44141"/>
    </row>
    <row r="44142" spans="23:23" x14ac:dyDescent="0.55000000000000004">
      <c r="W44142"/>
    </row>
    <row r="44143" spans="23:23" x14ac:dyDescent="0.55000000000000004">
      <c r="W44143"/>
    </row>
    <row r="44144" spans="23:23" x14ac:dyDescent="0.55000000000000004">
      <c r="W44144"/>
    </row>
    <row r="44145" spans="23:23" x14ac:dyDescent="0.55000000000000004">
      <c r="W44145"/>
    </row>
    <row r="44146" spans="23:23" x14ac:dyDescent="0.55000000000000004">
      <c r="W44146"/>
    </row>
    <row r="44147" spans="23:23" x14ac:dyDescent="0.55000000000000004">
      <c r="W44147"/>
    </row>
    <row r="44148" spans="23:23" x14ac:dyDescent="0.55000000000000004">
      <c r="W44148"/>
    </row>
    <row r="44149" spans="23:23" x14ac:dyDescent="0.55000000000000004">
      <c r="W44149"/>
    </row>
    <row r="44150" spans="23:23" x14ac:dyDescent="0.55000000000000004">
      <c r="W44150"/>
    </row>
    <row r="44151" spans="23:23" x14ac:dyDescent="0.55000000000000004">
      <c r="W44151"/>
    </row>
    <row r="44152" spans="23:23" x14ac:dyDescent="0.55000000000000004">
      <c r="W44152"/>
    </row>
    <row r="44153" spans="23:23" x14ac:dyDescent="0.55000000000000004">
      <c r="W44153"/>
    </row>
    <row r="44154" spans="23:23" x14ac:dyDescent="0.55000000000000004">
      <c r="W44154"/>
    </row>
    <row r="44155" spans="23:23" x14ac:dyDescent="0.55000000000000004">
      <c r="W44155"/>
    </row>
    <row r="44156" spans="23:23" x14ac:dyDescent="0.55000000000000004">
      <c r="W44156"/>
    </row>
    <row r="44157" spans="23:23" x14ac:dyDescent="0.55000000000000004">
      <c r="W44157"/>
    </row>
    <row r="44158" spans="23:23" x14ac:dyDescent="0.55000000000000004">
      <c r="W44158"/>
    </row>
    <row r="44159" spans="23:23" x14ac:dyDescent="0.55000000000000004">
      <c r="W44159"/>
    </row>
    <row r="44160" spans="23:23" x14ac:dyDescent="0.55000000000000004">
      <c r="W44160"/>
    </row>
    <row r="44161" spans="23:23" x14ac:dyDescent="0.55000000000000004">
      <c r="W44161"/>
    </row>
    <row r="44162" spans="23:23" x14ac:dyDescent="0.55000000000000004">
      <c r="W44162"/>
    </row>
    <row r="44163" spans="23:23" x14ac:dyDescent="0.55000000000000004">
      <c r="W44163"/>
    </row>
    <row r="44164" spans="23:23" x14ac:dyDescent="0.55000000000000004">
      <c r="W44164"/>
    </row>
    <row r="44165" spans="23:23" x14ac:dyDescent="0.55000000000000004">
      <c r="W44165"/>
    </row>
    <row r="44166" spans="23:23" x14ac:dyDescent="0.55000000000000004">
      <c r="W44166"/>
    </row>
    <row r="44167" spans="23:23" x14ac:dyDescent="0.55000000000000004">
      <c r="W44167"/>
    </row>
    <row r="44168" spans="23:23" x14ac:dyDescent="0.55000000000000004">
      <c r="W44168"/>
    </row>
    <row r="44169" spans="23:23" x14ac:dyDescent="0.55000000000000004">
      <c r="W44169"/>
    </row>
    <row r="44170" spans="23:23" x14ac:dyDescent="0.55000000000000004">
      <c r="W44170"/>
    </row>
    <row r="44171" spans="23:23" x14ac:dyDescent="0.55000000000000004">
      <c r="W44171"/>
    </row>
    <row r="44172" spans="23:23" x14ac:dyDescent="0.55000000000000004">
      <c r="W44172"/>
    </row>
    <row r="44173" spans="23:23" x14ac:dyDescent="0.55000000000000004">
      <c r="W44173"/>
    </row>
    <row r="44174" spans="23:23" x14ac:dyDescent="0.55000000000000004">
      <c r="W44174"/>
    </row>
    <row r="44175" spans="23:23" x14ac:dyDescent="0.55000000000000004">
      <c r="W44175"/>
    </row>
    <row r="44176" spans="23:23" x14ac:dyDescent="0.55000000000000004">
      <c r="W44176"/>
    </row>
    <row r="44177" spans="23:23" x14ac:dyDescent="0.55000000000000004">
      <c r="W44177"/>
    </row>
    <row r="44178" spans="23:23" x14ac:dyDescent="0.55000000000000004">
      <c r="W44178"/>
    </row>
    <row r="44179" spans="23:23" x14ac:dyDescent="0.55000000000000004">
      <c r="W44179"/>
    </row>
    <row r="44180" spans="23:23" x14ac:dyDescent="0.55000000000000004">
      <c r="W44180"/>
    </row>
    <row r="44181" spans="23:23" x14ac:dyDescent="0.55000000000000004">
      <c r="W44181"/>
    </row>
    <row r="44182" spans="23:23" x14ac:dyDescent="0.55000000000000004">
      <c r="W44182"/>
    </row>
    <row r="44183" spans="23:23" x14ac:dyDescent="0.55000000000000004">
      <c r="W44183"/>
    </row>
    <row r="44184" spans="23:23" x14ac:dyDescent="0.55000000000000004">
      <c r="W44184"/>
    </row>
    <row r="44185" spans="23:23" x14ac:dyDescent="0.55000000000000004">
      <c r="W44185"/>
    </row>
    <row r="44186" spans="23:23" x14ac:dyDescent="0.55000000000000004">
      <c r="W44186"/>
    </row>
    <row r="44187" spans="23:23" x14ac:dyDescent="0.55000000000000004">
      <c r="W44187"/>
    </row>
    <row r="44188" spans="23:23" x14ac:dyDescent="0.55000000000000004">
      <c r="W44188"/>
    </row>
    <row r="44189" spans="23:23" x14ac:dyDescent="0.55000000000000004">
      <c r="W44189"/>
    </row>
    <row r="44190" spans="23:23" x14ac:dyDescent="0.55000000000000004">
      <c r="W44190"/>
    </row>
    <row r="44191" spans="23:23" x14ac:dyDescent="0.55000000000000004">
      <c r="W44191"/>
    </row>
    <row r="44192" spans="23:23" x14ac:dyDescent="0.55000000000000004">
      <c r="W44192"/>
    </row>
    <row r="44193" spans="23:23" x14ac:dyDescent="0.55000000000000004">
      <c r="W44193"/>
    </row>
    <row r="44194" spans="23:23" x14ac:dyDescent="0.55000000000000004">
      <c r="W44194"/>
    </row>
    <row r="44195" spans="23:23" x14ac:dyDescent="0.55000000000000004">
      <c r="W44195"/>
    </row>
    <row r="44196" spans="23:23" x14ac:dyDescent="0.55000000000000004">
      <c r="W44196"/>
    </row>
    <row r="44197" spans="23:23" x14ac:dyDescent="0.55000000000000004">
      <c r="W44197"/>
    </row>
    <row r="44198" spans="23:23" x14ac:dyDescent="0.55000000000000004">
      <c r="W44198"/>
    </row>
    <row r="44199" spans="23:23" x14ac:dyDescent="0.55000000000000004">
      <c r="W44199"/>
    </row>
    <row r="44200" spans="23:23" x14ac:dyDescent="0.55000000000000004">
      <c r="W44200"/>
    </row>
    <row r="44201" spans="23:23" x14ac:dyDescent="0.55000000000000004">
      <c r="W44201"/>
    </row>
    <row r="44202" spans="23:23" x14ac:dyDescent="0.55000000000000004">
      <c r="W44202"/>
    </row>
    <row r="44203" spans="23:23" x14ac:dyDescent="0.55000000000000004">
      <c r="W44203"/>
    </row>
    <row r="44204" spans="23:23" x14ac:dyDescent="0.55000000000000004">
      <c r="W44204"/>
    </row>
    <row r="44205" spans="23:23" x14ac:dyDescent="0.55000000000000004">
      <c r="W44205"/>
    </row>
    <row r="44206" spans="23:23" x14ac:dyDescent="0.55000000000000004">
      <c r="W44206"/>
    </row>
    <row r="44207" spans="23:23" x14ac:dyDescent="0.55000000000000004">
      <c r="W44207"/>
    </row>
    <row r="44208" spans="23:23" x14ac:dyDescent="0.55000000000000004">
      <c r="W44208"/>
    </row>
    <row r="44209" spans="23:23" x14ac:dyDescent="0.55000000000000004">
      <c r="W44209"/>
    </row>
    <row r="44210" spans="23:23" x14ac:dyDescent="0.55000000000000004">
      <c r="W44210"/>
    </row>
    <row r="44211" spans="23:23" x14ac:dyDescent="0.55000000000000004">
      <c r="W44211"/>
    </row>
    <row r="44212" spans="23:23" x14ac:dyDescent="0.55000000000000004">
      <c r="W44212"/>
    </row>
    <row r="44213" spans="23:23" x14ac:dyDescent="0.55000000000000004">
      <c r="W44213"/>
    </row>
    <row r="44214" spans="23:23" x14ac:dyDescent="0.55000000000000004">
      <c r="W44214"/>
    </row>
    <row r="44215" spans="23:23" x14ac:dyDescent="0.55000000000000004">
      <c r="W44215"/>
    </row>
    <row r="44216" spans="23:23" x14ac:dyDescent="0.55000000000000004">
      <c r="W44216"/>
    </row>
    <row r="44217" spans="23:23" x14ac:dyDescent="0.55000000000000004">
      <c r="W44217"/>
    </row>
    <row r="44218" spans="23:23" x14ac:dyDescent="0.55000000000000004">
      <c r="W44218"/>
    </row>
    <row r="44219" spans="23:23" x14ac:dyDescent="0.55000000000000004">
      <c r="W44219"/>
    </row>
    <row r="44220" spans="23:23" x14ac:dyDescent="0.55000000000000004">
      <c r="W44220"/>
    </row>
    <row r="44221" spans="23:23" x14ac:dyDescent="0.55000000000000004">
      <c r="W44221"/>
    </row>
    <row r="44222" spans="23:23" x14ac:dyDescent="0.55000000000000004">
      <c r="W44222"/>
    </row>
    <row r="44223" spans="23:23" x14ac:dyDescent="0.55000000000000004">
      <c r="W44223"/>
    </row>
    <row r="44224" spans="23:23" x14ac:dyDescent="0.55000000000000004">
      <c r="W44224"/>
    </row>
    <row r="44225" spans="23:23" x14ac:dyDescent="0.55000000000000004">
      <c r="W44225"/>
    </row>
    <row r="44226" spans="23:23" x14ac:dyDescent="0.55000000000000004">
      <c r="W44226"/>
    </row>
    <row r="44227" spans="23:23" x14ac:dyDescent="0.55000000000000004">
      <c r="W44227"/>
    </row>
    <row r="44228" spans="23:23" x14ac:dyDescent="0.55000000000000004">
      <c r="W44228"/>
    </row>
    <row r="44229" spans="23:23" x14ac:dyDescent="0.55000000000000004">
      <c r="W44229"/>
    </row>
    <row r="44230" spans="23:23" x14ac:dyDescent="0.55000000000000004">
      <c r="W44230"/>
    </row>
    <row r="44231" spans="23:23" x14ac:dyDescent="0.55000000000000004">
      <c r="W44231"/>
    </row>
    <row r="44232" spans="23:23" x14ac:dyDescent="0.55000000000000004">
      <c r="W44232"/>
    </row>
    <row r="44233" spans="23:23" x14ac:dyDescent="0.55000000000000004">
      <c r="W44233"/>
    </row>
    <row r="44234" spans="23:23" x14ac:dyDescent="0.55000000000000004">
      <c r="W44234"/>
    </row>
    <row r="44235" spans="23:23" x14ac:dyDescent="0.55000000000000004">
      <c r="W44235"/>
    </row>
    <row r="44236" spans="23:23" x14ac:dyDescent="0.55000000000000004">
      <c r="W44236"/>
    </row>
    <row r="44237" spans="23:23" x14ac:dyDescent="0.55000000000000004">
      <c r="W44237"/>
    </row>
    <row r="44238" spans="23:23" x14ac:dyDescent="0.55000000000000004">
      <c r="W44238"/>
    </row>
    <row r="44239" spans="23:23" x14ac:dyDescent="0.55000000000000004">
      <c r="W44239"/>
    </row>
    <row r="44240" spans="23:23" x14ac:dyDescent="0.55000000000000004">
      <c r="W44240"/>
    </row>
    <row r="44241" spans="23:23" x14ac:dyDescent="0.55000000000000004">
      <c r="W44241"/>
    </row>
    <row r="44242" spans="23:23" x14ac:dyDescent="0.55000000000000004">
      <c r="W44242"/>
    </row>
    <row r="44243" spans="23:23" x14ac:dyDescent="0.55000000000000004">
      <c r="W44243"/>
    </row>
    <row r="44244" spans="23:23" x14ac:dyDescent="0.55000000000000004">
      <c r="W44244"/>
    </row>
    <row r="44245" spans="23:23" x14ac:dyDescent="0.55000000000000004">
      <c r="W44245"/>
    </row>
    <row r="44246" spans="23:23" x14ac:dyDescent="0.55000000000000004">
      <c r="W44246"/>
    </row>
    <row r="44247" spans="23:23" x14ac:dyDescent="0.55000000000000004">
      <c r="W44247"/>
    </row>
    <row r="44248" spans="23:23" x14ac:dyDescent="0.55000000000000004">
      <c r="W44248"/>
    </row>
    <row r="44249" spans="23:23" x14ac:dyDescent="0.55000000000000004">
      <c r="W44249"/>
    </row>
    <row r="44250" spans="23:23" x14ac:dyDescent="0.55000000000000004">
      <c r="W44250"/>
    </row>
    <row r="44251" spans="23:23" x14ac:dyDescent="0.55000000000000004">
      <c r="W44251"/>
    </row>
    <row r="44252" spans="23:23" x14ac:dyDescent="0.55000000000000004">
      <c r="W44252"/>
    </row>
    <row r="44253" spans="23:23" x14ac:dyDescent="0.55000000000000004">
      <c r="W44253"/>
    </row>
    <row r="44254" spans="23:23" x14ac:dyDescent="0.55000000000000004">
      <c r="W44254"/>
    </row>
    <row r="44255" spans="23:23" x14ac:dyDescent="0.55000000000000004">
      <c r="W44255"/>
    </row>
    <row r="44256" spans="23:23" x14ac:dyDescent="0.55000000000000004">
      <c r="W44256"/>
    </row>
    <row r="44257" spans="23:23" x14ac:dyDescent="0.55000000000000004">
      <c r="W44257"/>
    </row>
    <row r="44258" spans="23:23" x14ac:dyDescent="0.55000000000000004">
      <c r="W44258"/>
    </row>
    <row r="44259" spans="23:23" x14ac:dyDescent="0.55000000000000004">
      <c r="W44259"/>
    </row>
    <row r="44260" spans="23:23" x14ac:dyDescent="0.55000000000000004">
      <c r="W44260"/>
    </row>
    <row r="44261" spans="23:23" x14ac:dyDescent="0.55000000000000004">
      <c r="W44261"/>
    </row>
    <row r="44262" spans="23:23" x14ac:dyDescent="0.55000000000000004">
      <c r="W44262"/>
    </row>
    <row r="44263" spans="23:23" x14ac:dyDescent="0.55000000000000004">
      <c r="W44263"/>
    </row>
    <row r="44264" spans="23:23" x14ac:dyDescent="0.55000000000000004">
      <c r="W44264"/>
    </row>
    <row r="44265" spans="23:23" x14ac:dyDescent="0.55000000000000004">
      <c r="W44265"/>
    </row>
    <row r="44266" spans="23:23" x14ac:dyDescent="0.55000000000000004">
      <c r="W44266"/>
    </row>
    <row r="44267" spans="23:23" x14ac:dyDescent="0.55000000000000004">
      <c r="W44267"/>
    </row>
    <row r="44268" spans="23:23" x14ac:dyDescent="0.55000000000000004">
      <c r="W44268"/>
    </row>
    <row r="44269" spans="23:23" x14ac:dyDescent="0.55000000000000004">
      <c r="W44269"/>
    </row>
    <row r="44270" spans="23:23" x14ac:dyDescent="0.55000000000000004">
      <c r="W44270"/>
    </row>
    <row r="44271" spans="23:23" x14ac:dyDescent="0.55000000000000004">
      <c r="W44271"/>
    </row>
    <row r="44272" spans="23:23" x14ac:dyDescent="0.55000000000000004">
      <c r="W44272"/>
    </row>
    <row r="44273" spans="23:23" x14ac:dyDescent="0.55000000000000004">
      <c r="W44273"/>
    </row>
    <row r="44274" spans="23:23" x14ac:dyDescent="0.55000000000000004">
      <c r="W44274"/>
    </row>
    <row r="44275" spans="23:23" x14ac:dyDescent="0.55000000000000004">
      <c r="W44275"/>
    </row>
    <row r="44276" spans="23:23" x14ac:dyDescent="0.55000000000000004">
      <c r="W44276"/>
    </row>
    <row r="44277" spans="23:23" x14ac:dyDescent="0.55000000000000004">
      <c r="W44277"/>
    </row>
    <row r="44278" spans="23:23" x14ac:dyDescent="0.55000000000000004">
      <c r="W44278"/>
    </row>
    <row r="44279" spans="23:23" x14ac:dyDescent="0.55000000000000004">
      <c r="W44279"/>
    </row>
    <row r="44280" spans="23:23" x14ac:dyDescent="0.55000000000000004">
      <c r="W44280"/>
    </row>
    <row r="44281" spans="23:23" x14ac:dyDescent="0.55000000000000004">
      <c r="W44281"/>
    </row>
    <row r="44282" spans="23:23" x14ac:dyDescent="0.55000000000000004">
      <c r="W44282"/>
    </row>
    <row r="44283" spans="23:23" x14ac:dyDescent="0.55000000000000004">
      <c r="W44283"/>
    </row>
    <row r="44284" spans="23:23" x14ac:dyDescent="0.55000000000000004">
      <c r="W44284"/>
    </row>
    <row r="44285" spans="23:23" x14ac:dyDescent="0.55000000000000004">
      <c r="W44285"/>
    </row>
    <row r="44286" spans="23:23" x14ac:dyDescent="0.55000000000000004">
      <c r="W44286"/>
    </row>
    <row r="44287" spans="23:23" x14ac:dyDescent="0.55000000000000004">
      <c r="W44287"/>
    </row>
    <row r="44288" spans="23:23" x14ac:dyDescent="0.55000000000000004">
      <c r="W44288"/>
    </row>
    <row r="44289" spans="23:23" x14ac:dyDescent="0.55000000000000004">
      <c r="W44289"/>
    </row>
    <row r="44290" spans="23:23" x14ac:dyDescent="0.55000000000000004">
      <c r="W44290"/>
    </row>
    <row r="44291" spans="23:23" x14ac:dyDescent="0.55000000000000004">
      <c r="W44291"/>
    </row>
    <row r="44292" spans="23:23" x14ac:dyDescent="0.55000000000000004">
      <c r="W44292"/>
    </row>
    <row r="44293" spans="23:23" x14ac:dyDescent="0.55000000000000004">
      <c r="W44293"/>
    </row>
    <row r="44294" spans="23:23" x14ac:dyDescent="0.55000000000000004">
      <c r="W44294"/>
    </row>
    <row r="44295" spans="23:23" x14ac:dyDescent="0.55000000000000004">
      <c r="W44295"/>
    </row>
    <row r="44296" spans="23:23" x14ac:dyDescent="0.55000000000000004">
      <c r="W44296"/>
    </row>
    <row r="44297" spans="23:23" x14ac:dyDescent="0.55000000000000004">
      <c r="W44297"/>
    </row>
    <row r="44298" spans="23:23" x14ac:dyDescent="0.55000000000000004">
      <c r="W44298"/>
    </row>
    <row r="44299" spans="23:23" x14ac:dyDescent="0.55000000000000004">
      <c r="W44299"/>
    </row>
    <row r="44300" spans="23:23" x14ac:dyDescent="0.55000000000000004">
      <c r="W44300"/>
    </row>
    <row r="44301" spans="23:23" x14ac:dyDescent="0.55000000000000004">
      <c r="W44301"/>
    </row>
    <row r="44302" spans="23:23" x14ac:dyDescent="0.55000000000000004">
      <c r="W44302"/>
    </row>
    <row r="44303" spans="23:23" x14ac:dyDescent="0.55000000000000004">
      <c r="W44303"/>
    </row>
    <row r="44304" spans="23:23" x14ac:dyDescent="0.55000000000000004">
      <c r="W44304"/>
    </row>
    <row r="44305" spans="23:23" x14ac:dyDescent="0.55000000000000004">
      <c r="W44305"/>
    </row>
    <row r="44306" spans="23:23" x14ac:dyDescent="0.55000000000000004">
      <c r="W44306"/>
    </row>
    <row r="44307" spans="23:23" x14ac:dyDescent="0.55000000000000004">
      <c r="W44307"/>
    </row>
    <row r="44308" spans="23:23" x14ac:dyDescent="0.55000000000000004">
      <c r="W44308"/>
    </row>
    <row r="44309" spans="23:23" x14ac:dyDescent="0.55000000000000004">
      <c r="W44309"/>
    </row>
    <row r="44310" spans="23:23" x14ac:dyDescent="0.55000000000000004">
      <c r="W44310"/>
    </row>
    <row r="44311" spans="23:23" x14ac:dyDescent="0.55000000000000004">
      <c r="W44311"/>
    </row>
    <row r="44312" spans="23:23" x14ac:dyDescent="0.55000000000000004">
      <c r="W44312"/>
    </row>
    <row r="44313" spans="23:23" x14ac:dyDescent="0.55000000000000004">
      <c r="W44313"/>
    </row>
    <row r="44314" spans="23:23" x14ac:dyDescent="0.55000000000000004">
      <c r="W44314"/>
    </row>
    <row r="44315" spans="23:23" x14ac:dyDescent="0.55000000000000004">
      <c r="W44315"/>
    </row>
    <row r="44316" spans="23:23" x14ac:dyDescent="0.55000000000000004">
      <c r="W44316"/>
    </row>
    <row r="44317" spans="23:23" x14ac:dyDescent="0.55000000000000004">
      <c r="W44317"/>
    </row>
    <row r="44318" spans="23:23" x14ac:dyDescent="0.55000000000000004">
      <c r="W44318"/>
    </row>
    <row r="44319" spans="23:23" x14ac:dyDescent="0.55000000000000004">
      <c r="W44319"/>
    </row>
    <row r="44320" spans="23:23" x14ac:dyDescent="0.55000000000000004">
      <c r="W44320"/>
    </row>
    <row r="44321" spans="23:23" x14ac:dyDescent="0.55000000000000004">
      <c r="W44321"/>
    </row>
    <row r="44322" spans="23:23" x14ac:dyDescent="0.55000000000000004">
      <c r="W44322"/>
    </row>
    <row r="44323" spans="23:23" x14ac:dyDescent="0.55000000000000004">
      <c r="W44323"/>
    </row>
    <row r="44324" spans="23:23" x14ac:dyDescent="0.55000000000000004">
      <c r="W44324"/>
    </row>
    <row r="44325" spans="23:23" x14ac:dyDescent="0.55000000000000004">
      <c r="W44325"/>
    </row>
    <row r="44326" spans="23:23" x14ac:dyDescent="0.55000000000000004">
      <c r="W44326"/>
    </row>
    <row r="44327" spans="23:23" x14ac:dyDescent="0.55000000000000004">
      <c r="W44327"/>
    </row>
    <row r="44328" spans="23:23" x14ac:dyDescent="0.55000000000000004">
      <c r="W44328"/>
    </row>
    <row r="44329" spans="23:23" x14ac:dyDescent="0.55000000000000004">
      <c r="W44329"/>
    </row>
    <row r="44330" spans="23:23" x14ac:dyDescent="0.55000000000000004">
      <c r="W44330"/>
    </row>
    <row r="44331" spans="23:23" x14ac:dyDescent="0.55000000000000004">
      <c r="W44331"/>
    </row>
    <row r="44332" spans="23:23" x14ac:dyDescent="0.55000000000000004">
      <c r="W44332"/>
    </row>
    <row r="44333" spans="23:23" x14ac:dyDescent="0.55000000000000004">
      <c r="W44333"/>
    </row>
    <row r="44334" spans="23:23" x14ac:dyDescent="0.55000000000000004">
      <c r="W44334"/>
    </row>
    <row r="44335" spans="23:23" x14ac:dyDescent="0.55000000000000004">
      <c r="W44335"/>
    </row>
    <row r="44336" spans="23:23" x14ac:dyDescent="0.55000000000000004">
      <c r="W44336"/>
    </row>
    <row r="44337" spans="23:23" x14ac:dyDescent="0.55000000000000004">
      <c r="W44337"/>
    </row>
    <row r="44338" spans="23:23" x14ac:dyDescent="0.55000000000000004">
      <c r="W44338"/>
    </row>
    <row r="44339" spans="23:23" x14ac:dyDescent="0.55000000000000004">
      <c r="W44339"/>
    </row>
    <row r="44340" spans="23:23" x14ac:dyDescent="0.55000000000000004">
      <c r="W44340"/>
    </row>
    <row r="44341" spans="23:23" x14ac:dyDescent="0.55000000000000004">
      <c r="W44341"/>
    </row>
    <row r="44342" spans="23:23" x14ac:dyDescent="0.55000000000000004">
      <c r="W44342"/>
    </row>
    <row r="44343" spans="23:23" x14ac:dyDescent="0.55000000000000004">
      <c r="W44343"/>
    </row>
    <row r="44344" spans="23:23" x14ac:dyDescent="0.55000000000000004">
      <c r="W44344"/>
    </row>
    <row r="44345" spans="23:23" x14ac:dyDescent="0.55000000000000004">
      <c r="W44345"/>
    </row>
    <row r="44346" spans="23:23" x14ac:dyDescent="0.55000000000000004">
      <c r="W44346"/>
    </row>
    <row r="44347" spans="23:23" x14ac:dyDescent="0.55000000000000004">
      <c r="W44347"/>
    </row>
    <row r="44348" spans="23:23" x14ac:dyDescent="0.55000000000000004">
      <c r="W44348"/>
    </row>
    <row r="44349" spans="23:23" x14ac:dyDescent="0.55000000000000004">
      <c r="W44349"/>
    </row>
    <row r="44350" spans="23:23" x14ac:dyDescent="0.55000000000000004">
      <c r="W44350"/>
    </row>
    <row r="44351" spans="23:23" x14ac:dyDescent="0.55000000000000004">
      <c r="W44351"/>
    </row>
    <row r="44352" spans="23:23" x14ac:dyDescent="0.55000000000000004">
      <c r="W44352"/>
    </row>
    <row r="44353" spans="23:23" x14ac:dyDescent="0.55000000000000004">
      <c r="W44353"/>
    </row>
    <row r="44354" spans="23:23" x14ac:dyDescent="0.55000000000000004">
      <c r="W44354"/>
    </row>
    <row r="44355" spans="23:23" x14ac:dyDescent="0.55000000000000004">
      <c r="W44355"/>
    </row>
    <row r="44356" spans="23:23" x14ac:dyDescent="0.55000000000000004">
      <c r="W44356"/>
    </row>
    <row r="44357" spans="23:23" x14ac:dyDescent="0.55000000000000004">
      <c r="W44357"/>
    </row>
    <row r="44358" spans="23:23" x14ac:dyDescent="0.55000000000000004">
      <c r="W44358"/>
    </row>
    <row r="44359" spans="23:23" x14ac:dyDescent="0.55000000000000004">
      <c r="W44359"/>
    </row>
    <row r="44360" spans="23:23" x14ac:dyDescent="0.55000000000000004">
      <c r="W44360"/>
    </row>
    <row r="44361" spans="23:23" x14ac:dyDescent="0.55000000000000004">
      <c r="W44361"/>
    </row>
    <row r="44362" spans="23:23" x14ac:dyDescent="0.55000000000000004">
      <c r="W44362"/>
    </row>
    <row r="44363" spans="23:23" x14ac:dyDescent="0.55000000000000004">
      <c r="W44363"/>
    </row>
    <row r="44364" spans="23:23" x14ac:dyDescent="0.55000000000000004">
      <c r="W44364"/>
    </row>
    <row r="44365" spans="23:23" x14ac:dyDescent="0.55000000000000004">
      <c r="W44365"/>
    </row>
    <row r="44366" spans="23:23" x14ac:dyDescent="0.55000000000000004">
      <c r="W44366"/>
    </row>
    <row r="44367" spans="23:23" x14ac:dyDescent="0.55000000000000004">
      <c r="W44367"/>
    </row>
    <row r="44368" spans="23:23" x14ac:dyDescent="0.55000000000000004">
      <c r="W44368"/>
    </row>
    <row r="44369" spans="23:23" x14ac:dyDescent="0.55000000000000004">
      <c r="W44369"/>
    </row>
    <row r="44370" spans="23:23" x14ac:dyDescent="0.55000000000000004">
      <c r="W44370"/>
    </row>
    <row r="44371" spans="23:23" x14ac:dyDescent="0.55000000000000004">
      <c r="W44371"/>
    </row>
    <row r="44372" spans="23:23" x14ac:dyDescent="0.55000000000000004">
      <c r="W44372"/>
    </row>
    <row r="44373" spans="23:23" x14ac:dyDescent="0.55000000000000004">
      <c r="W44373"/>
    </row>
    <row r="44374" spans="23:23" x14ac:dyDescent="0.55000000000000004">
      <c r="W44374"/>
    </row>
    <row r="44375" spans="23:23" x14ac:dyDescent="0.55000000000000004">
      <c r="W44375"/>
    </row>
    <row r="44376" spans="23:23" x14ac:dyDescent="0.55000000000000004">
      <c r="W44376"/>
    </row>
    <row r="44377" spans="23:23" x14ac:dyDescent="0.55000000000000004">
      <c r="W44377"/>
    </row>
    <row r="44378" spans="23:23" x14ac:dyDescent="0.55000000000000004">
      <c r="W44378"/>
    </row>
    <row r="44379" spans="23:23" x14ac:dyDescent="0.55000000000000004">
      <c r="W44379"/>
    </row>
    <row r="44380" spans="23:23" x14ac:dyDescent="0.55000000000000004">
      <c r="W44380"/>
    </row>
    <row r="44381" spans="23:23" x14ac:dyDescent="0.55000000000000004">
      <c r="W44381"/>
    </row>
    <row r="44382" spans="23:23" x14ac:dyDescent="0.55000000000000004">
      <c r="W44382"/>
    </row>
    <row r="44383" spans="23:23" x14ac:dyDescent="0.55000000000000004">
      <c r="W44383"/>
    </row>
    <row r="44384" spans="23:23" x14ac:dyDescent="0.55000000000000004">
      <c r="W44384"/>
    </row>
    <row r="44385" spans="23:23" x14ac:dyDescent="0.55000000000000004">
      <c r="W44385"/>
    </row>
    <row r="44386" spans="23:23" x14ac:dyDescent="0.55000000000000004">
      <c r="W44386"/>
    </row>
    <row r="44387" spans="23:23" x14ac:dyDescent="0.55000000000000004">
      <c r="W44387"/>
    </row>
    <row r="44388" spans="23:23" x14ac:dyDescent="0.55000000000000004">
      <c r="W44388"/>
    </row>
    <row r="44389" spans="23:23" x14ac:dyDescent="0.55000000000000004">
      <c r="W44389"/>
    </row>
    <row r="44390" spans="23:23" x14ac:dyDescent="0.55000000000000004">
      <c r="W44390"/>
    </row>
    <row r="44391" spans="23:23" x14ac:dyDescent="0.55000000000000004">
      <c r="W44391"/>
    </row>
    <row r="44392" spans="23:23" x14ac:dyDescent="0.55000000000000004">
      <c r="W44392"/>
    </row>
    <row r="44393" spans="23:23" x14ac:dyDescent="0.55000000000000004">
      <c r="W44393"/>
    </row>
    <row r="44394" spans="23:23" x14ac:dyDescent="0.55000000000000004">
      <c r="W44394"/>
    </row>
    <row r="44395" spans="23:23" x14ac:dyDescent="0.55000000000000004">
      <c r="W44395"/>
    </row>
    <row r="44396" spans="23:23" x14ac:dyDescent="0.55000000000000004">
      <c r="W44396"/>
    </row>
    <row r="44397" spans="23:23" x14ac:dyDescent="0.55000000000000004">
      <c r="W44397"/>
    </row>
    <row r="44398" spans="23:23" x14ac:dyDescent="0.55000000000000004">
      <c r="W44398"/>
    </row>
    <row r="44399" spans="23:23" x14ac:dyDescent="0.55000000000000004">
      <c r="W44399"/>
    </row>
    <row r="44400" spans="23:23" x14ac:dyDescent="0.55000000000000004">
      <c r="W44400"/>
    </row>
    <row r="44401" spans="23:23" x14ac:dyDescent="0.55000000000000004">
      <c r="W44401"/>
    </row>
    <row r="44402" spans="23:23" x14ac:dyDescent="0.55000000000000004">
      <c r="W44402"/>
    </row>
    <row r="44403" spans="23:23" x14ac:dyDescent="0.55000000000000004">
      <c r="W44403"/>
    </row>
    <row r="44404" spans="23:23" x14ac:dyDescent="0.55000000000000004">
      <c r="W44404"/>
    </row>
    <row r="44405" spans="23:23" x14ac:dyDescent="0.55000000000000004">
      <c r="W44405"/>
    </row>
    <row r="44406" spans="23:23" x14ac:dyDescent="0.55000000000000004">
      <c r="W44406"/>
    </row>
    <row r="44407" spans="23:23" x14ac:dyDescent="0.55000000000000004">
      <c r="W44407"/>
    </row>
    <row r="44408" spans="23:23" x14ac:dyDescent="0.55000000000000004">
      <c r="W44408"/>
    </row>
    <row r="44409" spans="23:23" x14ac:dyDescent="0.55000000000000004">
      <c r="W44409"/>
    </row>
    <row r="44410" spans="23:23" x14ac:dyDescent="0.55000000000000004">
      <c r="W44410"/>
    </row>
    <row r="44411" spans="23:23" x14ac:dyDescent="0.55000000000000004">
      <c r="W44411"/>
    </row>
    <row r="44412" spans="23:23" x14ac:dyDescent="0.55000000000000004">
      <c r="W44412"/>
    </row>
    <row r="44413" spans="23:23" x14ac:dyDescent="0.55000000000000004">
      <c r="W44413"/>
    </row>
    <row r="44414" spans="23:23" x14ac:dyDescent="0.55000000000000004">
      <c r="W44414"/>
    </row>
    <row r="44415" spans="23:23" x14ac:dyDescent="0.55000000000000004">
      <c r="W44415"/>
    </row>
    <row r="44416" spans="23:23" x14ac:dyDescent="0.55000000000000004">
      <c r="W44416"/>
    </row>
    <row r="44417" spans="23:23" x14ac:dyDescent="0.55000000000000004">
      <c r="W44417"/>
    </row>
    <row r="44418" spans="23:23" x14ac:dyDescent="0.55000000000000004">
      <c r="W44418"/>
    </row>
    <row r="44419" spans="23:23" x14ac:dyDescent="0.55000000000000004">
      <c r="W44419"/>
    </row>
    <row r="44420" spans="23:23" x14ac:dyDescent="0.55000000000000004">
      <c r="W44420"/>
    </row>
    <row r="44421" spans="23:23" x14ac:dyDescent="0.55000000000000004">
      <c r="W44421"/>
    </row>
    <row r="44422" spans="23:23" x14ac:dyDescent="0.55000000000000004">
      <c r="W44422"/>
    </row>
    <row r="44423" spans="23:23" x14ac:dyDescent="0.55000000000000004">
      <c r="W44423"/>
    </row>
    <row r="44424" spans="23:23" x14ac:dyDescent="0.55000000000000004">
      <c r="W44424"/>
    </row>
    <row r="44425" spans="23:23" x14ac:dyDescent="0.55000000000000004">
      <c r="W44425"/>
    </row>
    <row r="44426" spans="23:23" x14ac:dyDescent="0.55000000000000004">
      <c r="W44426"/>
    </row>
    <row r="44427" spans="23:23" x14ac:dyDescent="0.55000000000000004">
      <c r="W44427"/>
    </row>
    <row r="44428" spans="23:23" x14ac:dyDescent="0.55000000000000004">
      <c r="W44428"/>
    </row>
    <row r="44429" spans="23:23" x14ac:dyDescent="0.55000000000000004">
      <c r="W44429"/>
    </row>
    <row r="44430" spans="23:23" x14ac:dyDescent="0.55000000000000004">
      <c r="W44430"/>
    </row>
    <row r="44431" spans="23:23" x14ac:dyDescent="0.55000000000000004">
      <c r="W44431"/>
    </row>
    <row r="44432" spans="23:23" x14ac:dyDescent="0.55000000000000004">
      <c r="W44432"/>
    </row>
    <row r="44433" spans="23:23" x14ac:dyDescent="0.55000000000000004">
      <c r="W44433"/>
    </row>
    <row r="44434" spans="23:23" x14ac:dyDescent="0.55000000000000004">
      <c r="W44434"/>
    </row>
    <row r="44435" spans="23:23" x14ac:dyDescent="0.55000000000000004">
      <c r="W44435"/>
    </row>
    <row r="44436" spans="23:23" x14ac:dyDescent="0.55000000000000004">
      <c r="W44436"/>
    </row>
    <row r="44437" spans="23:23" x14ac:dyDescent="0.55000000000000004">
      <c r="W44437"/>
    </row>
    <row r="44438" spans="23:23" x14ac:dyDescent="0.55000000000000004">
      <c r="W44438"/>
    </row>
    <row r="44439" spans="23:23" x14ac:dyDescent="0.55000000000000004">
      <c r="W44439"/>
    </row>
    <row r="44440" spans="23:23" x14ac:dyDescent="0.55000000000000004">
      <c r="W44440"/>
    </row>
    <row r="44441" spans="23:23" x14ac:dyDescent="0.55000000000000004">
      <c r="W44441"/>
    </row>
    <row r="44442" spans="23:23" x14ac:dyDescent="0.55000000000000004">
      <c r="W44442"/>
    </row>
    <row r="44443" spans="23:23" x14ac:dyDescent="0.55000000000000004">
      <c r="W44443"/>
    </row>
    <row r="44444" spans="23:23" x14ac:dyDescent="0.55000000000000004">
      <c r="W44444"/>
    </row>
    <row r="44445" spans="23:23" x14ac:dyDescent="0.55000000000000004">
      <c r="W44445"/>
    </row>
    <row r="44446" spans="23:23" x14ac:dyDescent="0.55000000000000004">
      <c r="W44446"/>
    </row>
    <row r="44447" spans="23:23" x14ac:dyDescent="0.55000000000000004">
      <c r="W44447"/>
    </row>
    <row r="44448" spans="23:23" x14ac:dyDescent="0.55000000000000004">
      <c r="W44448"/>
    </row>
    <row r="44449" spans="23:23" x14ac:dyDescent="0.55000000000000004">
      <c r="W44449"/>
    </row>
    <row r="44450" spans="23:23" x14ac:dyDescent="0.55000000000000004">
      <c r="W44450"/>
    </row>
    <row r="44451" spans="23:23" x14ac:dyDescent="0.55000000000000004">
      <c r="W44451"/>
    </row>
    <row r="44452" spans="23:23" x14ac:dyDescent="0.55000000000000004">
      <c r="W44452"/>
    </row>
    <row r="44453" spans="23:23" x14ac:dyDescent="0.55000000000000004">
      <c r="W44453"/>
    </row>
    <row r="44454" spans="23:23" x14ac:dyDescent="0.55000000000000004">
      <c r="W44454"/>
    </row>
    <row r="44455" spans="23:23" x14ac:dyDescent="0.55000000000000004">
      <c r="W44455"/>
    </row>
    <row r="44456" spans="23:23" x14ac:dyDescent="0.55000000000000004">
      <c r="W44456"/>
    </row>
    <row r="44457" spans="23:23" x14ac:dyDescent="0.55000000000000004">
      <c r="W44457"/>
    </row>
    <row r="44458" spans="23:23" x14ac:dyDescent="0.55000000000000004">
      <c r="W44458"/>
    </row>
    <row r="44459" spans="23:23" x14ac:dyDescent="0.55000000000000004">
      <c r="W44459"/>
    </row>
    <row r="44460" spans="23:23" x14ac:dyDescent="0.55000000000000004">
      <c r="W44460"/>
    </row>
    <row r="44461" spans="23:23" x14ac:dyDescent="0.55000000000000004">
      <c r="W44461"/>
    </row>
    <row r="44462" spans="23:23" x14ac:dyDescent="0.55000000000000004">
      <c r="W44462"/>
    </row>
    <row r="44463" spans="23:23" x14ac:dyDescent="0.55000000000000004">
      <c r="W44463"/>
    </row>
    <row r="44464" spans="23:23" x14ac:dyDescent="0.55000000000000004">
      <c r="W44464"/>
    </row>
    <row r="44465" spans="23:23" x14ac:dyDescent="0.55000000000000004">
      <c r="W44465"/>
    </row>
    <row r="44466" spans="23:23" x14ac:dyDescent="0.55000000000000004">
      <c r="W44466"/>
    </row>
    <row r="44467" spans="23:23" x14ac:dyDescent="0.55000000000000004">
      <c r="W44467"/>
    </row>
    <row r="44468" spans="23:23" x14ac:dyDescent="0.55000000000000004">
      <c r="W44468"/>
    </row>
    <row r="44469" spans="23:23" x14ac:dyDescent="0.55000000000000004">
      <c r="W44469"/>
    </row>
    <row r="44470" spans="23:23" x14ac:dyDescent="0.55000000000000004">
      <c r="W44470"/>
    </row>
    <row r="44471" spans="23:23" x14ac:dyDescent="0.55000000000000004">
      <c r="W44471"/>
    </row>
    <row r="44472" spans="23:23" x14ac:dyDescent="0.55000000000000004">
      <c r="W44472"/>
    </row>
    <row r="44473" spans="23:23" x14ac:dyDescent="0.55000000000000004">
      <c r="W44473"/>
    </row>
    <row r="44474" spans="23:23" x14ac:dyDescent="0.55000000000000004">
      <c r="W44474"/>
    </row>
    <row r="44475" spans="23:23" x14ac:dyDescent="0.55000000000000004">
      <c r="W44475"/>
    </row>
    <row r="44476" spans="23:23" x14ac:dyDescent="0.55000000000000004">
      <c r="W44476"/>
    </row>
    <row r="44477" spans="23:23" x14ac:dyDescent="0.55000000000000004">
      <c r="W44477"/>
    </row>
    <row r="44478" spans="23:23" x14ac:dyDescent="0.55000000000000004">
      <c r="W44478"/>
    </row>
    <row r="44479" spans="23:23" x14ac:dyDescent="0.55000000000000004">
      <c r="W44479"/>
    </row>
    <row r="44480" spans="23:23" x14ac:dyDescent="0.55000000000000004">
      <c r="W44480"/>
    </row>
    <row r="44481" spans="23:23" x14ac:dyDescent="0.55000000000000004">
      <c r="W44481"/>
    </row>
    <row r="44482" spans="23:23" x14ac:dyDescent="0.55000000000000004">
      <c r="W44482"/>
    </row>
    <row r="44483" spans="23:23" x14ac:dyDescent="0.55000000000000004">
      <c r="W44483"/>
    </row>
    <row r="44484" spans="23:23" x14ac:dyDescent="0.55000000000000004">
      <c r="W44484"/>
    </row>
    <row r="44485" spans="23:23" x14ac:dyDescent="0.55000000000000004">
      <c r="W44485"/>
    </row>
    <row r="44486" spans="23:23" x14ac:dyDescent="0.55000000000000004">
      <c r="W44486"/>
    </row>
    <row r="44487" spans="23:23" x14ac:dyDescent="0.55000000000000004">
      <c r="W44487"/>
    </row>
    <row r="44488" spans="23:23" x14ac:dyDescent="0.55000000000000004">
      <c r="W44488"/>
    </row>
    <row r="44489" spans="23:23" x14ac:dyDescent="0.55000000000000004">
      <c r="W44489"/>
    </row>
    <row r="44490" spans="23:23" x14ac:dyDescent="0.55000000000000004">
      <c r="W44490"/>
    </row>
    <row r="44491" spans="23:23" x14ac:dyDescent="0.55000000000000004">
      <c r="W44491"/>
    </row>
    <row r="44492" spans="23:23" x14ac:dyDescent="0.55000000000000004">
      <c r="W44492"/>
    </row>
    <row r="44493" spans="23:23" x14ac:dyDescent="0.55000000000000004">
      <c r="W44493"/>
    </row>
    <row r="44494" spans="23:23" x14ac:dyDescent="0.55000000000000004">
      <c r="W44494"/>
    </row>
    <row r="44495" spans="23:23" x14ac:dyDescent="0.55000000000000004">
      <c r="W44495"/>
    </row>
    <row r="44496" spans="23:23" x14ac:dyDescent="0.55000000000000004">
      <c r="W44496"/>
    </row>
    <row r="44497" spans="23:23" x14ac:dyDescent="0.55000000000000004">
      <c r="W44497"/>
    </row>
    <row r="44498" spans="23:23" x14ac:dyDescent="0.55000000000000004">
      <c r="W44498"/>
    </row>
    <row r="44499" spans="23:23" x14ac:dyDescent="0.55000000000000004">
      <c r="W44499"/>
    </row>
    <row r="44500" spans="23:23" x14ac:dyDescent="0.55000000000000004">
      <c r="W44500"/>
    </row>
    <row r="44501" spans="23:23" x14ac:dyDescent="0.55000000000000004">
      <c r="W44501"/>
    </row>
    <row r="44502" spans="23:23" x14ac:dyDescent="0.55000000000000004">
      <c r="W44502"/>
    </row>
    <row r="44503" spans="23:23" x14ac:dyDescent="0.55000000000000004">
      <c r="W44503"/>
    </row>
    <row r="44504" spans="23:23" x14ac:dyDescent="0.55000000000000004">
      <c r="W44504"/>
    </row>
    <row r="44505" spans="23:23" x14ac:dyDescent="0.55000000000000004">
      <c r="W44505"/>
    </row>
    <row r="44506" spans="23:23" x14ac:dyDescent="0.55000000000000004">
      <c r="W44506"/>
    </row>
    <row r="44507" spans="23:23" x14ac:dyDescent="0.55000000000000004">
      <c r="W44507"/>
    </row>
    <row r="44508" spans="23:23" x14ac:dyDescent="0.55000000000000004">
      <c r="W44508"/>
    </row>
    <row r="44509" spans="23:23" x14ac:dyDescent="0.55000000000000004">
      <c r="W44509"/>
    </row>
    <row r="44510" spans="23:23" x14ac:dyDescent="0.55000000000000004">
      <c r="W44510"/>
    </row>
    <row r="44511" spans="23:23" x14ac:dyDescent="0.55000000000000004">
      <c r="W44511"/>
    </row>
    <row r="44512" spans="23:23" x14ac:dyDescent="0.55000000000000004">
      <c r="W44512"/>
    </row>
    <row r="44513" spans="23:23" x14ac:dyDescent="0.55000000000000004">
      <c r="W44513"/>
    </row>
    <row r="44514" spans="23:23" x14ac:dyDescent="0.55000000000000004">
      <c r="W44514"/>
    </row>
    <row r="44515" spans="23:23" x14ac:dyDescent="0.55000000000000004">
      <c r="W44515"/>
    </row>
    <row r="44516" spans="23:23" x14ac:dyDescent="0.55000000000000004">
      <c r="W44516"/>
    </row>
    <row r="44517" spans="23:23" x14ac:dyDescent="0.55000000000000004">
      <c r="W44517"/>
    </row>
    <row r="44518" spans="23:23" x14ac:dyDescent="0.55000000000000004">
      <c r="W44518"/>
    </row>
    <row r="44519" spans="23:23" x14ac:dyDescent="0.55000000000000004">
      <c r="W44519"/>
    </row>
    <row r="44520" spans="23:23" x14ac:dyDescent="0.55000000000000004">
      <c r="W44520"/>
    </row>
    <row r="44521" spans="23:23" x14ac:dyDescent="0.55000000000000004">
      <c r="W44521"/>
    </row>
    <row r="44522" spans="23:23" x14ac:dyDescent="0.55000000000000004">
      <c r="W44522"/>
    </row>
    <row r="44523" spans="23:23" x14ac:dyDescent="0.55000000000000004">
      <c r="W44523"/>
    </row>
    <row r="44524" spans="23:23" x14ac:dyDescent="0.55000000000000004">
      <c r="W44524"/>
    </row>
    <row r="44525" spans="23:23" x14ac:dyDescent="0.55000000000000004">
      <c r="W44525"/>
    </row>
    <row r="44526" spans="23:23" x14ac:dyDescent="0.55000000000000004">
      <c r="W44526"/>
    </row>
    <row r="44527" spans="23:23" x14ac:dyDescent="0.55000000000000004">
      <c r="W44527"/>
    </row>
    <row r="44528" spans="23:23" x14ac:dyDescent="0.55000000000000004">
      <c r="W44528"/>
    </row>
    <row r="44529" spans="23:23" x14ac:dyDescent="0.55000000000000004">
      <c r="W44529"/>
    </row>
    <row r="44530" spans="23:23" x14ac:dyDescent="0.55000000000000004">
      <c r="W44530"/>
    </row>
    <row r="44531" spans="23:23" x14ac:dyDescent="0.55000000000000004">
      <c r="W44531"/>
    </row>
    <row r="44532" spans="23:23" x14ac:dyDescent="0.55000000000000004">
      <c r="W44532"/>
    </row>
    <row r="44533" spans="23:23" x14ac:dyDescent="0.55000000000000004">
      <c r="W44533"/>
    </row>
    <row r="44534" spans="23:23" x14ac:dyDescent="0.55000000000000004">
      <c r="W44534"/>
    </row>
    <row r="44535" spans="23:23" x14ac:dyDescent="0.55000000000000004">
      <c r="W44535"/>
    </row>
    <row r="44536" spans="23:23" x14ac:dyDescent="0.55000000000000004">
      <c r="W44536"/>
    </row>
    <row r="44537" spans="23:23" x14ac:dyDescent="0.55000000000000004">
      <c r="W44537"/>
    </row>
    <row r="44538" spans="23:23" x14ac:dyDescent="0.55000000000000004">
      <c r="W44538"/>
    </row>
    <row r="44539" spans="23:23" x14ac:dyDescent="0.55000000000000004">
      <c r="W44539"/>
    </row>
    <row r="44540" spans="23:23" x14ac:dyDescent="0.55000000000000004">
      <c r="W44540"/>
    </row>
    <row r="44541" spans="23:23" x14ac:dyDescent="0.55000000000000004">
      <c r="W44541"/>
    </row>
    <row r="44542" spans="23:23" x14ac:dyDescent="0.55000000000000004">
      <c r="W44542"/>
    </row>
    <row r="44543" spans="23:23" x14ac:dyDescent="0.55000000000000004">
      <c r="W44543"/>
    </row>
    <row r="44544" spans="23:23" x14ac:dyDescent="0.55000000000000004">
      <c r="W44544"/>
    </row>
    <row r="44545" spans="23:23" x14ac:dyDescent="0.55000000000000004">
      <c r="W44545"/>
    </row>
    <row r="44546" spans="23:23" x14ac:dyDescent="0.55000000000000004">
      <c r="W44546"/>
    </row>
    <row r="44547" spans="23:23" x14ac:dyDescent="0.55000000000000004">
      <c r="W44547"/>
    </row>
    <row r="44548" spans="23:23" x14ac:dyDescent="0.55000000000000004">
      <c r="W44548"/>
    </row>
    <row r="44549" spans="23:23" x14ac:dyDescent="0.55000000000000004">
      <c r="W44549"/>
    </row>
    <row r="44550" spans="23:23" x14ac:dyDescent="0.55000000000000004">
      <c r="W44550"/>
    </row>
    <row r="44551" spans="23:23" x14ac:dyDescent="0.55000000000000004">
      <c r="W44551"/>
    </row>
    <row r="44552" spans="23:23" x14ac:dyDescent="0.55000000000000004">
      <c r="W44552"/>
    </row>
    <row r="44553" spans="23:23" x14ac:dyDescent="0.55000000000000004">
      <c r="W44553"/>
    </row>
    <row r="44554" spans="23:23" x14ac:dyDescent="0.55000000000000004">
      <c r="W44554"/>
    </row>
    <row r="44555" spans="23:23" x14ac:dyDescent="0.55000000000000004">
      <c r="W44555"/>
    </row>
    <row r="44556" spans="23:23" x14ac:dyDescent="0.55000000000000004">
      <c r="W44556"/>
    </row>
    <row r="44557" spans="23:23" x14ac:dyDescent="0.55000000000000004">
      <c r="W44557"/>
    </row>
    <row r="44558" spans="23:23" x14ac:dyDescent="0.55000000000000004">
      <c r="W44558"/>
    </row>
    <row r="44559" spans="23:23" x14ac:dyDescent="0.55000000000000004">
      <c r="W44559"/>
    </row>
    <row r="44560" spans="23:23" x14ac:dyDescent="0.55000000000000004">
      <c r="W44560"/>
    </row>
    <row r="44561" spans="23:23" x14ac:dyDescent="0.55000000000000004">
      <c r="W44561"/>
    </row>
    <row r="44562" spans="23:23" x14ac:dyDescent="0.55000000000000004">
      <c r="W44562"/>
    </row>
    <row r="44563" spans="23:23" x14ac:dyDescent="0.55000000000000004">
      <c r="W44563"/>
    </row>
    <row r="44564" spans="23:23" x14ac:dyDescent="0.55000000000000004">
      <c r="W44564"/>
    </row>
    <row r="44565" spans="23:23" x14ac:dyDescent="0.55000000000000004">
      <c r="W44565"/>
    </row>
    <row r="44566" spans="23:23" x14ac:dyDescent="0.55000000000000004">
      <c r="W44566"/>
    </row>
    <row r="44567" spans="23:23" x14ac:dyDescent="0.55000000000000004">
      <c r="W44567"/>
    </row>
    <row r="44568" spans="23:23" x14ac:dyDescent="0.55000000000000004">
      <c r="W44568"/>
    </row>
    <row r="44569" spans="23:23" x14ac:dyDescent="0.55000000000000004">
      <c r="W44569"/>
    </row>
    <row r="44570" spans="23:23" x14ac:dyDescent="0.55000000000000004">
      <c r="W44570"/>
    </row>
    <row r="44571" spans="23:23" x14ac:dyDescent="0.55000000000000004">
      <c r="W44571"/>
    </row>
    <row r="44572" spans="23:23" x14ac:dyDescent="0.55000000000000004">
      <c r="W44572"/>
    </row>
    <row r="44573" spans="23:23" x14ac:dyDescent="0.55000000000000004">
      <c r="W44573"/>
    </row>
    <row r="44574" spans="23:23" x14ac:dyDescent="0.55000000000000004">
      <c r="W44574"/>
    </row>
    <row r="44575" spans="23:23" x14ac:dyDescent="0.55000000000000004">
      <c r="W44575"/>
    </row>
    <row r="44576" spans="23:23" x14ac:dyDescent="0.55000000000000004">
      <c r="W44576"/>
    </row>
    <row r="44577" spans="23:23" x14ac:dyDescent="0.55000000000000004">
      <c r="W44577"/>
    </row>
    <row r="44578" spans="23:23" x14ac:dyDescent="0.55000000000000004">
      <c r="W44578"/>
    </row>
    <row r="44579" spans="23:23" x14ac:dyDescent="0.55000000000000004">
      <c r="W44579"/>
    </row>
    <row r="44580" spans="23:23" x14ac:dyDescent="0.55000000000000004">
      <c r="W44580"/>
    </row>
    <row r="44581" spans="23:23" x14ac:dyDescent="0.55000000000000004">
      <c r="W44581"/>
    </row>
    <row r="44582" spans="23:23" x14ac:dyDescent="0.55000000000000004">
      <c r="W44582"/>
    </row>
    <row r="44583" spans="23:23" x14ac:dyDescent="0.55000000000000004">
      <c r="W44583"/>
    </row>
    <row r="44584" spans="23:23" x14ac:dyDescent="0.55000000000000004">
      <c r="W44584"/>
    </row>
    <row r="44585" spans="23:23" x14ac:dyDescent="0.55000000000000004">
      <c r="W44585"/>
    </row>
    <row r="44586" spans="23:23" x14ac:dyDescent="0.55000000000000004">
      <c r="W44586"/>
    </row>
    <row r="44587" spans="23:23" x14ac:dyDescent="0.55000000000000004">
      <c r="W44587"/>
    </row>
    <row r="44588" spans="23:23" x14ac:dyDescent="0.55000000000000004">
      <c r="W44588"/>
    </row>
    <row r="44589" spans="23:23" x14ac:dyDescent="0.55000000000000004">
      <c r="W44589"/>
    </row>
    <row r="44590" spans="23:23" x14ac:dyDescent="0.55000000000000004">
      <c r="W44590"/>
    </row>
    <row r="44591" spans="23:23" x14ac:dyDescent="0.55000000000000004">
      <c r="W44591"/>
    </row>
    <row r="44592" spans="23:23" x14ac:dyDescent="0.55000000000000004">
      <c r="W44592"/>
    </row>
    <row r="44593" spans="23:23" x14ac:dyDescent="0.55000000000000004">
      <c r="W44593"/>
    </row>
    <row r="44594" spans="23:23" x14ac:dyDescent="0.55000000000000004">
      <c r="W44594"/>
    </row>
    <row r="44595" spans="23:23" x14ac:dyDescent="0.55000000000000004">
      <c r="W44595"/>
    </row>
    <row r="44596" spans="23:23" x14ac:dyDescent="0.55000000000000004">
      <c r="W44596"/>
    </row>
    <row r="44597" spans="23:23" x14ac:dyDescent="0.55000000000000004">
      <c r="W44597"/>
    </row>
    <row r="44598" spans="23:23" x14ac:dyDescent="0.55000000000000004">
      <c r="W44598"/>
    </row>
    <row r="44599" spans="23:23" x14ac:dyDescent="0.55000000000000004">
      <c r="W44599"/>
    </row>
    <row r="44600" spans="23:23" x14ac:dyDescent="0.55000000000000004">
      <c r="W44600"/>
    </row>
    <row r="44601" spans="23:23" x14ac:dyDescent="0.55000000000000004">
      <c r="W44601"/>
    </row>
    <row r="44602" spans="23:23" x14ac:dyDescent="0.55000000000000004">
      <c r="W44602"/>
    </row>
    <row r="44603" spans="23:23" x14ac:dyDescent="0.55000000000000004">
      <c r="W44603"/>
    </row>
    <row r="44604" spans="23:23" x14ac:dyDescent="0.55000000000000004">
      <c r="W44604"/>
    </row>
    <row r="44605" spans="23:23" x14ac:dyDescent="0.55000000000000004">
      <c r="W44605"/>
    </row>
    <row r="44606" spans="23:23" x14ac:dyDescent="0.55000000000000004">
      <c r="W44606"/>
    </row>
    <row r="44607" spans="23:23" x14ac:dyDescent="0.55000000000000004">
      <c r="W44607"/>
    </row>
    <row r="44608" spans="23:23" x14ac:dyDescent="0.55000000000000004">
      <c r="W44608"/>
    </row>
    <row r="44609" spans="23:23" x14ac:dyDescent="0.55000000000000004">
      <c r="W44609"/>
    </row>
    <row r="44610" spans="23:23" x14ac:dyDescent="0.55000000000000004">
      <c r="W44610"/>
    </row>
    <row r="44611" spans="23:23" x14ac:dyDescent="0.55000000000000004">
      <c r="W44611"/>
    </row>
    <row r="44612" spans="23:23" x14ac:dyDescent="0.55000000000000004">
      <c r="W44612"/>
    </row>
    <row r="44613" spans="23:23" x14ac:dyDescent="0.55000000000000004">
      <c r="W44613"/>
    </row>
    <row r="44614" spans="23:23" x14ac:dyDescent="0.55000000000000004">
      <c r="W44614"/>
    </row>
    <row r="44615" spans="23:23" x14ac:dyDescent="0.55000000000000004">
      <c r="W44615"/>
    </row>
    <row r="44616" spans="23:23" x14ac:dyDescent="0.55000000000000004">
      <c r="W44616"/>
    </row>
    <row r="44617" spans="23:23" x14ac:dyDescent="0.55000000000000004">
      <c r="W44617"/>
    </row>
    <row r="44618" spans="23:23" x14ac:dyDescent="0.55000000000000004">
      <c r="W44618"/>
    </row>
    <row r="44619" spans="23:23" x14ac:dyDescent="0.55000000000000004">
      <c r="W44619"/>
    </row>
    <row r="44620" spans="23:23" x14ac:dyDescent="0.55000000000000004">
      <c r="W44620"/>
    </row>
    <row r="44621" spans="23:23" x14ac:dyDescent="0.55000000000000004">
      <c r="W44621"/>
    </row>
    <row r="44622" spans="23:23" x14ac:dyDescent="0.55000000000000004">
      <c r="W44622"/>
    </row>
    <row r="44623" spans="23:23" x14ac:dyDescent="0.55000000000000004">
      <c r="W44623"/>
    </row>
    <row r="44624" spans="23:23" x14ac:dyDescent="0.55000000000000004">
      <c r="W44624"/>
    </row>
    <row r="44625" spans="23:23" x14ac:dyDescent="0.55000000000000004">
      <c r="W44625"/>
    </row>
    <row r="44626" spans="23:23" x14ac:dyDescent="0.55000000000000004">
      <c r="W44626"/>
    </row>
    <row r="44627" spans="23:23" x14ac:dyDescent="0.55000000000000004">
      <c r="W44627"/>
    </row>
    <row r="44628" spans="23:23" x14ac:dyDescent="0.55000000000000004">
      <c r="W44628"/>
    </row>
    <row r="44629" spans="23:23" x14ac:dyDescent="0.55000000000000004">
      <c r="W44629"/>
    </row>
    <row r="44630" spans="23:23" x14ac:dyDescent="0.55000000000000004">
      <c r="W44630"/>
    </row>
    <row r="44631" spans="23:23" x14ac:dyDescent="0.55000000000000004">
      <c r="W44631"/>
    </row>
    <row r="44632" spans="23:23" x14ac:dyDescent="0.55000000000000004">
      <c r="W44632"/>
    </row>
    <row r="44633" spans="23:23" x14ac:dyDescent="0.55000000000000004">
      <c r="W44633"/>
    </row>
    <row r="44634" spans="23:23" x14ac:dyDescent="0.55000000000000004">
      <c r="W44634"/>
    </row>
    <row r="44635" spans="23:23" x14ac:dyDescent="0.55000000000000004">
      <c r="W44635"/>
    </row>
    <row r="44636" spans="23:23" x14ac:dyDescent="0.55000000000000004">
      <c r="W44636"/>
    </row>
    <row r="44637" spans="23:23" x14ac:dyDescent="0.55000000000000004">
      <c r="W44637"/>
    </row>
    <row r="44638" spans="23:23" x14ac:dyDescent="0.55000000000000004">
      <c r="W44638"/>
    </row>
    <row r="44639" spans="23:23" x14ac:dyDescent="0.55000000000000004">
      <c r="W44639"/>
    </row>
    <row r="44640" spans="23:23" x14ac:dyDescent="0.55000000000000004">
      <c r="W44640"/>
    </row>
    <row r="44641" spans="23:23" x14ac:dyDescent="0.55000000000000004">
      <c r="W44641"/>
    </row>
    <row r="44642" spans="23:23" x14ac:dyDescent="0.55000000000000004">
      <c r="W44642"/>
    </row>
    <row r="44643" spans="23:23" x14ac:dyDescent="0.55000000000000004">
      <c r="W44643"/>
    </row>
    <row r="44644" spans="23:23" x14ac:dyDescent="0.55000000000000004">
      <c r="W44644"/>
    </row>
    <row r="44645" spans="23:23" x14ac:dyDescent="0.55000000000000004">
      <c r="W44645"/>
    </row>
    <row r="44646" spans="23:23" x14ac:dyDescent="0.55000000000000004">
      <c r="W44646"/>
    </row>
    <row r="44647" spans="23:23" x14ac:dyDescent="0.55000000000000004">
      <c r="W44647"/>
    </row>
    <row r="44648" spans="23:23" x14ac:dyDescent="0.55000000000000004">
      <c r="W44648"/>
    </row>
    <row r="44649" spans="23:23" x14ac:dyDescent="0.55000000000000004">
      <c r="W44649"/>
    </row>
    <row r="44650" spans="23:23" x14ac:dyDescent="0.55000000000000004">
      <c r="W44650"/>
    </row>
    <row r="44651" spans="23:23" x14ac:dyDescent="0.55000000000000004">
      <c r="W44651"/>
    </row>
    <row r="44652" spans="23:23" x14ac:dyDescent="0.55000000000000004">
      <c r="W44652"/>
    </row>
    <row r="44653" spans="23:23" x14ac:dyDescent="0.55000000000000004">
      <c r="W44653"/>
    </row>
    <row r="44654" spans="23:23" x14ac:dyDescent="0.55000000000000004">
      <c r="W44654"/>
    </row>
    <row r="44655" spans="23:23" x14ac:dyDescent="0.55000000000000004">
      <c r="W44655"/>
    </row>
    <row r="44656" spans="23:23" x14ac:dyDescent="0.55000000000000004">
      <c r="W44656"/>
    </row>
    <row r="44657" spans="23:23" x14ac:dyDescent="0.55000000000000004">
      <c r="W44657"/>
    </row>
    <row r="44658" spans="23:23" x14ac:dyDescent="0.55000000000000004">
      <c r="W44658"/>
    </row>
    <row r="44659" spans="23:23" x14ac:dyDescent="0.55000000000000004">
      <c r="W44659"/>
    </row>
    <row r="44660" spans="23:23" x14ac:dyDescent="0.55000000000000004">
      <c r="W44660"/>
    </row>
    <row r="44661" spans="23:23" x14ac:dyDescent="0.55000000000000004">
      <c r="W44661"/>
    </row>
    <row r="44662" spans="23:23" x14ac:dyDescent="0.55000000000000004">
      <c r="W44662"/>
    </row>
    <row r="44663" spans="23:23" x14ac:dyDescent="0.55000000000000004">
      <c r="W44663"/>
    </row>
    <row r="44664" spans="23:23" x14ac:dyDescent="0.55000000000000004">
      <c r="W44664"/>
    </row>
    <row r="44665" spans="23:23" x14ac:dyDescent="0.55000000000000004">
      <c r="W44665"/>
    </row>
    <row r="44666" spans="23:23" x14ac:dyDescent="0.55000000000000004">
      <c r="W44666"/>
    </row>
    <row r="44667" spans="23:23" x14ac:dyDescent="0.55000000000000004">
      <c r="W44667"/>
    </row>
    <row r="44668" spans="23:23" x14ac:dyDescent="0.55000000000000004">
      <c r="W44668"/>
    </row>
    <row r="44669" spans="23:23" x14ac:dyDescent="0.55000000000000004">
      <c r="W44669"/>
    </row>
    <row r="44670" spans="23:23" x14ac:dyDescent="0.55000000000000004">
      <c r="W44670"/>
    </row>
    <row r="44671" spans="23:23" x14ac:dyDescent="0.55000000000000004">
      <c r="W44671"/>
    </row>
    <row r="44672" spans="23:23" x14ac:dyDescent="0.55000000000000004">
      <c r="W44672"/>
    </row>
    <row r="44673" spans="23:23" x14ac:dyDescent="0.55000000000000004">
      <c r="W44673"/>
    </row>
    <row r="44674" spans="23:23" x14ac:dyDescent="0.55000000000000004">
      <c r="W44674"/>
    </row>
    <row r="44675" spans="23:23" x14ac:dyDescent="0.55000000000000004">
      <c r="W44675"/>
    </row>
    <row r="44676" spans="23:23" x14ac:dyDescent="0.55000000000000004">
      <c r="W44676"/>
    </row>
    <row r="44677" spans="23:23" x14ac:dyDescent="0.55000000000000004">
      <c r="W44677"/>
    </row>
    <row r="44678" spans="23:23" x14ac:dyDescent="0.55000000000000004">
      <c r="W44678"/>
    </row>
    <row r="44679" spans="23:23" x14ac:dyDescent="0.55000000000000004">
      <c r="W44679"/>
    </row>
    <row r="44680" spans="23:23" x14ac:dyDescent="0.55000000000000004">
      <c r="W44680"/>
    </row>
    <row r="44681" spans="23:23" x14ac:dyDescent="0.55000000000000004">
      <c r="W44681"/>
    </row>
    <row r="44682" spans="23:23" x14ac:dyDescent="0.55000000000000004">
      <c r="W44682"/>
    </row>
    <row r="44683" spans="23:23" x14ac:dyDescent="0.55000000000000004">
      <c r="W44683"/>
    </row>
    <row r="44684" spans="23:23" x14ac:dyDescent="0.55000000000000004">
      <c r="W44684"/>
    </row>
    <row r="44685" spans="23:23" x14ac:dyDescent="0.55000000000000004">
      <c r="W44685"/>
    </row>
    <row r="44686" spans="23:23" x14ac:dyDescent="0.55000000000000004">
      <c r="W44686"/>
    </row>
    <row r="44687" spans="23:23" x14ac:dyDescent="0.55000000000000004">
      <c r="W44687"/>
    </row>
    <row r="44688" spans="23:23" x14ac:dyDescent="0.55000000000000004">
      <c r="W44688"/>
    </row>
    <row r="44689" spans="23:23" x14ac:dyDescent="0.55000000000000004">
      <c r="W44689"/>
    </row>
    <row r="44690" spans="23:23" x14ac:dyDescent="0.55000000000000004">
      <c r="W44690"/>
    </row>
    <row r="44691" spans="23:23" x14ac:dyDescent="0.55000000000000004">
      <c r="W44691"/>
    </row>
    <row r="44692" spans="23:23" x14ac:dyDescent="0.55000000000000004">
      <c r="W44692"/>
    </row>
    <row r="44693" spans="23:23" x14ac:dyDescent="0.55000000000000004">
      <c r="W44693"/>
    </row>
    <row r="44694" spans="23:23" x14ac:dyDescent="0.55000000000000004">
      <c r="W44694"/>
    </row>
    <row r="44695" spans="23:23" x14ac:dyDescent="0.55000000000000004">
      <c r="W44695"/>
    </row>
    <row r="44696" spans="23:23" x14ac:dyDescent="0.55000000000000004">
      <c r="W44696"/>
    </row>
    <row r="44697" spans="23:23" x14ac:dyDescent="0.55000000000000004">
      <c r="W44697"/>
    </row>
    <row r="44698" spans="23:23" x14ac:dyDescent="0.55000000000000004">
      <c r="W44698"/>
    </row>
    <row r="44699" spans="23:23" x14ac:dyDescent="0.55000000000000004">
      <c r="W44699"/>
    </row>
    <row r="44700" spans="23:23" x14ac:dyDescent="0.55000000000000004">
      <c r="W44700"/>
    </row>
    <row r="44701" spans="23:23" x14ac:dyDescent="0.55000000000000004">
      <c r="W44701"/>
    </row>
    <row r="44702" spans="23:23" x14ac:dyDescent="0.55000000000000004">
      <c r="W44702"/>
    </row>
    <row r="44703" spans="23:23" x14ac:dyDescent="0.55000000000000004">
      <c r="W44703"/>
    </row>
    <row r="44704" spans="23:23" x14ac:dyDescent="0.55000000000000004">
      <c r="W44704"/>
    </row>
    <row r="44705" spans="23:23" x14ac:dyDescent="0.55000000000000004">
      <c r="W44705"/>
    </row>
    <row r="44706" spans="23:23" x14ac:dyDescent="0.55000000000000004">
      <c r="W44706"/>
    </row>
    <row r="44707" spans="23:23" x14ac:dyDescent="0.55000000000000004">
      <c r="W44707"/>
    </row>
    <row r="44708" spans="23:23" x14ac:dyDescent="0.55000000000000004">
      <c r="W44708"/>
    </row>
    <row r="44709" spans="23:23" x14ac:dyDescent="0.55000000000000004">
      <c r="W44709"/>
    </row>
    <row r="44710" spans="23:23" x14ac:dyDescent="0.55000000000000004">
      <c r="W44710"/>
    </row>
    <row r="44711" spans="23:23" x14ac:dyDescent="0.55000000000000004">
      <c r="W44711"/>
    </row>
    <row r="44712" spans="23:23" x14ac:dyDescent="0.55000000000000004">
      <c r="W44712"/>
    </row>
    <row r="44713" spans="23:23" x14ac:dyDescent="0.55000000000000004">
      <c r="W44713"/>
    </row>
    <row r="44714" spans="23:23" x14ac:dyDescent="0.55000000000000004">
      <c r="W44714"/>
    </row>
    <row r="44715" spans="23:23" x14ac:dyDescent="0.55000000000000004">
      <c r="W44715"/>
    </row>
    <row r="44716" spans="23:23" x14ac:dyDescent="0.55000000000000004">
      <c r="W44716"/>
    </row>
    <row r="44717" spans="23:23" x14ac:dyDescent="0.55000000000000004">
      <c r="W44717"/>
    </row>
    <row r="44718" spans="23:23" x14ac:dyDescent="0.55000000000000004">
      <c r="W44718"/>
    </row>
    <row r="44719" spans="23:23" x14ac:dyDescent="0.55000000000000004">
      <c r="W44719"/>
    </row>
    <row r="44720" spans="23:23" x14ac:dyDescent="0.55000000000000004">
      <c r="W44720"/>
    </row>
    <row r="44721" spans="23:23" x14ac:dyDescent="0.55000000000000004">
      <c r="W44721"/>
    </row>
    <row r="44722" spans="23:23" x14ac:dyDescent="0.55000000000000004">
      <c r="W44722"/>
    </row>
    <row r="44723" spans="23:23" x14ac:dyDescent="0.55000000000000004">
      <c r="W44723"/>
    </row>
    <row r="44724" spans="23:23" x14ac:dyDescent="0.55000000000000004">
      <c r="W44724"/>
    </row>
    <row r="44725" spans="23:23" x14ac:dyDescent="0.55000000000000004">
      <c r="W44725"/>
    </row>
    <row r="44726" spans="23:23" x14ac:dyDescent="0.55000000000000004">
      <c r="W44726"/>
    </row>
    <row r="44727" spans="23:23" x14ac:dyDescent="0.55000000000000004">
      <c r="W44727"/>
    </row>
    <row r="44728" spans="23:23" x14ac:dyDescent="0.55000000000000004">
      <c r="W44728"/>
    </row>
    <row r="44729" spans="23:23" x14ac:dyDescent="0.55000000000000004">
      <c r="W44729"/>
    </row>
    <row r="44730" spans="23:23" x14ac:dyDescent="0.55000000000000004">
      <c r="W44730"/>
    </row>
    <row r="44731" spans="23:23" x14ac:dyDescent="0.55000000000000004">
      <c r="W44731"/>
    </row>
    <row r="44732" spans="23:23" x14ac:dyDescent="0.55000000000000004">
      <c r="W44732"/>
    </row>
    <row r="44733" spans="23:23" x14ac:dyDescent="0.55000000000000004">
      <c r="W44733"/>
    </row>
    <row r="44734" spans="23:23" x14ac:dyDescent="0.55000000000000004">
      <c r="W44734"/>
    </row>
    <row r="44735" spans="23:23" x14ac:dyDescent="0.55000000000000004">
      <c r="W44735"/>
    </row>
    <row r="44736" spans="23:23" x14ac:dyDescent="0.55000000000000004">
      <c r="W44736"/>
    </row>
    <row r="44737" spans="23:23" x14ac:dyDescent="0.55000000000000004">
      <c r="W44737"/>
    </row>
    <row r="44738" spans="23:23" x14ac:dyDescent="0.55000000000000004">
      <c r="W44738"/>
    </row>
    <row r="44739" spans="23:23" x14ac:dyDescent="0.55000000000000004">
      <c r="W44739"/>
    </row>
    <row r="44740" spans="23:23" x14ac:dyDescent="0.55000000000000004">
      <c r="W44740"/>
    </row>
    <row r="44741" spans="23:23" x14ac:dyDescent="0.55000000000000004">
      <c r="W44741"/>
    </row>
    <row r="44742" spans="23:23" x14ac:dyDescent="0.55000000000000004">
      <c r="W44742"/>
    </row>
    <row r="44743" spans="23:23" x14ac:dyDescent="0.55000000000000004">
      <c r="W44743"/>
    </row>
    <row r="44744" spans="23:23" x14ac:dyDescent="0.55000000000000004">
      <c r="W44744"/>
    </row>
    <row r="44745" spans="23:23" x14ac:dyDescent="0.55000000000000004">
      <c r="W44745"/>
    </row>
    <row r="44746" spans="23:23" x14ac:dyDescent="0.55000000000000004">
      <c r="W44746"/>
    </row>
    <row r="44747" spans="23:23" x14ac:dyDescent="0.55000000000000004">
      <c r="W44747"/>
    </row>
    <row r="44748" spans="23:23" x14ac:dyDescent="0.55000000000000004">
      <c r="W44748"/>
    </row>
    <row r="44749" spans="23:23" x14ac:dyDescent="0.55000000000000004">
      <c r="W44749"/>
    </row>
    <row r="44750" spans="23:23" x14ac:dyDescent="0.55000000000000004">
      <c r="W44750"/>
    </row>
    <row r="44751" spans="23:23" x14ac:dyDescent="0.55000000000000004">
      <c r="W44751"/>
    </row>
    <row r="44752" spans="23:23" x14ac:dyDescent="0.55000000000000004">
      <c r="W44752"/>
    </row>
    <row r="44753" spans="23:23" x14ac:dyDescent="0.55000000000000004">
      <c r="W44753"/>
    </row>
    <row r="44754" spans="23:23" x14ac:dyDescent="0.55000000000000004">
      <c r="W44754"/>
    </row>
    <row r="44755" spans="23:23" x14ac:dyDescent="0.55000000000000004">
      <c r="W44755"/>
    </row>
    <row r="44756" spans="23:23" x14ac:dyDescent="0.55000000000000004">
      <c r="W44756"/>
    </row>
    <row r="44757" spans="23:23" x14ac:dyDescent="0.55000000000000004">
      <c r="W44757"/>
    </row>
    <row r="44758" spans="23:23" x14ac:dyDescent="0.55000000000000004">
      <c r="W44758"/>
    </row>
    <row r="44759" spans="23:23" x14ac:dyDescent="0.55000000000000004">
      <c r="W44759"/>
    </row>
    <row r="44760" spans="23:23" x14ac:dyDescent="0.55000000000000004">
      <c r="W44760"/>
    </row>
    <row r="44761" spans="23:23" x14ac:dyDescent="0.55000000000000004">
      <c r="W44761"/>
    </row>
    <row r="44762" spans="23:23" x14ac:dyDescent="0.55000000000000004">
      <c r="W44762"/>
    </row>
    <row r="44763" spans="23:23" x14ac:dyDescent="0.55000000000000004">
      <c r="W44763"/>
    </row>
    <row r="44764" spans="23:23" x14ac:dyDescent="0.55000000000000004">
      <c r="W44764"/>
    </row>
    <row r="44765" spans="23:23" x14ac:dyDescent="0.55000000000000004">
      <c r="W44765"/>
    </row>
    <row r="44766" spans="23:23" x14ac:dyDescent="0.55000000000000004">
      <c r="W44766"/>
    </row>
    <row r="44767" spans="23:23" x14ac:dyDescent="0.55000000000000004">
      <c r="W44767"/>
    </row>
    <row r="44768" spans="23:23" x14ac:dyDescent="0.55000000000000004">
      <c r="W44768"/>
    </row>
    <row r="44769" spans="23:23" x14ac:dyDescent="0.55000000000000004">
      <c r="W44769"/>
    </row>
    <row r="44770" spans="23:23" x14ac:dyDescent="0.55000000000000004">
      <c r="W44770"/>
    </row>
    <row r="44771" spans="23:23" x14ac:dyDescent="0.55000000000000004">
      <c r="W44771"/>
    </row>
    <row r="44772" spans="23:23" x14ac:dyDescent="0.55000000000000004">
      <c r="W44772"/>
    </row>
    <row r="44773" spans="23:23" x14ac:dyDescent="0.55000000000000004">
      <c r="W44773"/>
    </row>
    <row r="44774" spans="23:23" x14ac:dyDescent="0.55000000000000004">
      <c r="W44774"/>
    </row>
    <row r="44775" spans="23:23" x14ac:dyDescent="0.55000000000000004">
      <c r="W44775"/>
    </row>
    <row r="44776" spans="23:23" x14ac:dyDescent="0.55000000000000004">
      <c r="W44776"/>
    </row>
    <row r="44777" spans="23:23" x14ac:dyDescent="0.55000000000000004">
      <c r="W44777"/>
    </row>
    <row r="44778" spans="23:23" x14ac:dyDescent="0.55000000000000004">
      <c r="W44778"/>
    </row>
    <row r="44779" spans="23:23" x14ac:dyDescent="0.55000000000000004">
      <c r="W44779"/>
    </row>
    <row r="44780" spans="23:23" x14ac:dyDescent="0.55000000000000004">
      <c r="W44780"/>
    </row>
    <row r="44781" spans="23:23" x14ac:dyDescent="0.55000000000000004">
      <c r="W44781"/>
    </row>
    <row r="44782" spans="23:23" x14ac:dyDescent="0.55000000000000004">
      <c r="W44782"/>
    </row>
    <row r="44783" spans="23:23" x14ac:dyDescent="0.55000000000000004">
      <c r="W44783"/>
    </row>
    <row r="44784" spans="23:23" x14ac:dyDescent="0.55000000000000004">
      <c r="W44784"/>
    </row>
    <row r="44785" spans="23:23" x14ac:dyDescent="0.55000000000000004">
      <c r="W44785"/>
    </row>
    <row r="44786" spans="23:23" x14ac:dyDescent="0.55000000000000004">
      <c r="W44786"/>
    </row>
    <row r="44787" spans="23:23" x14ac:dyDescent="0.55000000000000004">
      <c r="W44787"/>
    </row>
    <row r="44788" spans="23:23" x14ac:dyDescent="0.55000000000000004">
      <c r="W44788"/>
    </row>
    <row r="44789" spans="23:23" x14ac:dyDescent="0.55000000000000004">
      <c r="W44789"/>
    </row>
    <row r="44790" spans="23:23" x14ac:dyDescent="0.55000000000000004">
      <c r="W44790"/>
    </row>
    <row r="44791" spans="23:23" x14ac:dyDescent="0.55000000000000004">
      <c r="W44791"/>
    </row>
    <row r="44792" spans="23:23" x14ac:dyDescent="0.55000000000000004">
      <c r="W44792"/>
    </row>
    <row r="44793" spans="23:23" x14ac:dyDescent="0.55000000000000004">
      <c r="W44793"/>
    </row>
    <row r="44794" spans="23:23" x14ac:dyDescent="0.55000000000000004">
      <c r="W44794"/>
    </row>
    <row r="44795" spans="23:23" x14ac:dyDescent="0.55000000000000004">
      <c r="W44795"/>
    </row>
    <row r="44796" spans="23:23" x14ac:dyDescent="0.55000000000000004">
      <c r="W44796"/>
    </row>
    <row r="44797" spans="23:23" x14ac:dyDescent="0.55000000000000004">
      <c r="W44797"/>
    </row>
    <row r="44798" spans="23:23" x14ac:dyDescent="0.55000000000000004">
      <c r="W44798"/>
    </row>
    <row r="44799" spans="23:23" x14ac:dyDescent="0.55000000000000004">
      <c r="W44799"/>
    </row>
    <row r="44800" spans="23:23" x14ac:dyDescent="0.55000000000000004">
      <c r="W44800"/>
    </row>
    <row r="44801" spans="23:23" x14ac:dyDescent="0.55000000000000004">
      <c r="W44801"/>
    </row>
    <row r="44802" spans="23:23" x14ac:dyDescent="0.55000000000000004">
      <c r="W44802"/>
    </row>
    <row r="44803" spans="23:23" x14ac:dyDescent="0.55000000000000004">
      <c r="W44803"/>
    </row>
    <row r="44804" spans="23:23" x14ac:dyDescent="0.55000000000000004">
      <c r="W44804"/>
    </row>
    <row r="44805" spans="23:23" x14ac:dyDescent="0.55000000000000004">
      <c r="W44805"/>
    </row>
    <row r="44806" spans="23:23" x14ac:dyDescent="0.55000000000000004">
      <c r="W44806"/>
    </row>
    <row r="44807" spans="23:23" x14ac:dyDescent="0.55000000000000004">
      <c r="W44807"/>
    </row>
    <row r="44808" spans="23:23" x14ac:dyDescent="0.55000000000000004">
      <c r="W44808"/>
    </row>
    <row r="44809" spans="23:23" x14ac:dyDescent="0.55000000000000004">
      <c r="W44809"/>
    </row>
    <row r="44810" spans="23:23" x14ac:dyDescent="0.55000000000000004">
      <c r="W44810"/>
    </row>
    <row r="44811" spans="23:23" x14ac:dyDescent="0.55000000000000004">
      <c r="W44811"/>
    </row>
    <row r="44812" spans="23:23" x14ac:dyDescent="0.55000000000000004">
      <c r="W44812"/>
    </row>
    <row r="44813" spans="23:23" x14ac:dyDescent="0.55000000000000004">
      <c r="W44813"/>
    </row>
    <row r="44814" spans="23:23" x14ac:dyDescent="0.55000000000000004">
      <c r="W44814"/>
    </row>
    <row r="44815" spans="23:23" x14ac:dyDescent="0.55000000000000004">
      <c r="W44815"/>
    </row>
    <row r="44816" spans="23:23" x14ac:dyDescent="0.55000000000000004">
      <c r="W44816"/>
    </row>
    <row r="44817" spans="23:23" x14ac:dyDescent="0.55000000000000004">
      <c r="W44817"/>
    </row>
    <row r="44818" spans="23:23" x14ac:dyDescent="0.55000000000000004">
      <c r="W44818"/>
    </row>
    <row r="44819" spans="23:23" x14ac:dyDescent="0.55000000000000004">
      <c r="W44819"/>
    </row>
    <row r="44820" spans="23:23" x14ac:dyDescent="0.55000000000000004">
      <c r="W44820"/>
    </row>
    <row r="44821" spans="23:23" x14ac:dyDescent="0.55000000000000004">
      <c r="W44821"/>
    </row>
    <row r="44822" spans="23:23" x14ac:dyDescent="0.55000000000000004">
      <c r="W44822"/>
    </row>
    <row r="44823" spans="23:23" x14ac:dyDescent="0.55000000000000004">
      <c r="W44823"/>
    </row>
    <row r="44824" spans="23:23" x14ac:dyDescent="0.55000000000000004">
      <c r="W44824"/>
    </row>
    <row r="44825" spans="23:23" x14ac:dyDescent="0.55000000000000004">
      <c r="W44825"/>
    </row>
    <row r="44826" spans="23:23" x14ac:dyDescent="0.55000000000000004">
      <c r="W44826"/>
    </row>
    <row r="44827" spans="23:23" x14ac:dyDescent="0.55000000000000004">
      <c r="W44827"/>
    </row>
    <row r="44828" spans="23:23" x14ac:dyDescent="0.55000000000000004">
      <c r="W44828"/>
    </row>
    <row r="44829" spans="23:23" x14ac:dyDescent="0.55000000000000004">
      <c r="W44829"/>
    </row>
    <row r="44830" spans="23:23" x14ac:dyDescent="0.55000000000000004">
      <c r="W44830"/>
    </row>
    <row r="44831" spans="23:23" x14ac:dyDescent="0.55000000000000004">
      <c r="W44831"/>
    </row>
    <row r="44832" spans="23:23" x14ac:dyDescent="0.55000000000000004">
      <c r="W44832"/>
    </row>
    <row r="44833" spans="23:23" x14ac:dyDescent="0.55000000000000004">
      <c r="W44833"/>
    </row>
    <row r="44834" spans="23:23" x14ac:dyDescent="0.55000000000000004">
      <c r="W44834"/>
    </row>
    <row r="44835" spans="23:23" x14ac:dyDescent="0.55000000000000004">
      <c r="W44835"/>
    </row>
    <row r="44836" spans="23:23" x14ac:dyDescent="0.55000000000000004">
      <c r="W44836"/>
    </row>
    <row r="44837" spans="23:23" x14ac:dyDescent="0.55000000000000004">
      <c r="W44837"/>
    </row>
    <row r="44838" spans="23:23" x14ac:dyDescent="0.55000000000000004">
      <c r="W44838"/>
    </row>
    <row r="44839" spans="23:23" x14ac:dyDescent="0.55000000000000004">
      <c r="W44839"/>
    </row>
    <row r="44840" spans="23:23" x14ac:dyDescent="0.55000000000000004">
      <c r="W44840"/>
    </row>
    <row r="44841" spans="23:23" x14ac:dyDescent="0.55000000000000004">
      <c r="W44841"/>
    </row>
    <row r="44842" spans="23:23" x14ac:dyDescent="0.55000000000000004">
      <c r="W44842"/>
    </row>
    <row r="44843" spans="23:23" x14ac:dyDescent="0.55000000000000004">
      <c r="W44843"/>
    </row>
    <row r="44844" spans="23:23" x14ac:dyDescent="0.55000000000000004">
      <c r="W44844"/>
    </row>
    <row r="44845" spans="23:23" x14ac:dyDescent="0.55000000000000004">
      <c r="W44845"/>
    </row>
    <row r="44846" spans="23:23" x14ac:dyDescent="0.55000000000000004">
      <c r="W44846"/>
    </row>
    <row r="44847" spans="23:23" x14ac:dyDescent="0.55000000000000004">
      <c r="W44847"/>
    </row>
    <row r="44848" spans="23:23" x14ac:dyDescent="0.55000000000000004">
      <c r="W44848"/>
    </row>
    <row r="44849" spans="23:23" x14ac:dyDescent="0.55000000000000004">
      <c r="W44849"/>
    </row>
    <row r="44850" spans="23:23" x14ac:dyDescent="0.55000000000000004">
      <c r="W44850"/>
    </row>
    <row r="44851" spans="23:23" x14ac:dyDescent="0.55000000000000004">
      <c r="W44851"/>
    </row>
    <row r="44852" spans="23:23" x14ac:dyDescent="0.55000000000000004">
      <c r="W44852"/>
    </row>
    <row r="44853" spans="23:23" x14ac:dyDescent="0.55000000000000004">
      <c r="W44853"/>
    </row>
    <row r="44854" spans="23:23" x14ac:dyDescent="0.55000000000000004">
      <c r="W44854"/>
    </row>
    <row r="44855" spans="23:23" x14ac:dyDescent="0.55000000000000004">
      <c r="W44855"/>
    </row>
    <row r="44856" spans="23:23" x14ac:dyDescent="0.55000000000000004">
      <c r="W44856"/>
    </row>
    <row r="44857" spans="23:23" x14ac:dyDescent="0.55000000000000004">
      <c r="W44857"/>
    </row>
    <row r="44858" spans="23:23" x14ac:dyDescent="0.55000000000000004">
      <c r="W44858"/>
    </row>
    <row r="44859" spans="23:23" x14ac:dyDescent="0.55000000000000004">
      <c r="W44859"/>
    </row>
    <row r="44860" spans="23:23" x14ac:dyDescent="0.55000000000000004">
      <c r="W44860"/>
    </row>
    <row r="44861" spans="23:23" x14ac:dyDescent="0.55000000000000004">
      <c r="W44861"/>
    </row>
    <row r="44862" spans="23:23" x14ac:dyDescent="0.55000000000000004">
      <c r="W44862"/>
    </row>
    <row r="44863" spans="23:23" x14ac:dyDescent="0.55000000000000004">
      <c r="W44863"/>
    </row>
    <row r="44864" spans="23:23" x14ac:dyDescent="0.55000000000000004">
      <c r="W44864"/>
    </row>
    <row r="44865" spans="23:23" x14ac:dyDescent="0.55000000000000004">
      <c r="W44865"/>
    </row>
    <row r="44866" spans="23:23" x14ac:dyDescent="0.55000000000000004">
      <c r="W44866"/>
    </row>
    <row r="44867" spans="23:23" x14ac:dyDescent="0.55000000000000004">
      <c r="W44867"/>
    </row>
    <row r="44868" spans="23:23" x14ac:dyDescent="0.55000000000000004">
      <c r="W44868"/>
    </row>
    <row r="44869" spans="23:23" x14ac:dyDescent="0.55000000000000004">
      <c r="W44869"/>
    </row>
    <row r="44870" spans="23:23" x14ac:dyDescent="0.55000000000000004">
      <c r="W44870"/>
    </row>
    <row r="44871" spans="23:23" x14ac:dyDescent="0.55000000000000004">
      <c r="W44871"/>
    </row>
    <row r="44872" spans="23:23" x14ac:dyDescent="0.55000000000000004">
      <c r="W44872"/>
    </row>
    <row r="44873" spans="23:23" x14ac:dyDescent="0.55000000000000004">
      <c r="W44873"/>
    </row>
    <row r="44874" spans="23:23" x14ac:dyDescent="0.55000000000000004">
      <c r="W44874"/>
    </row>
    <row r="44875" spans="23:23" x14ac:dyDescent="0.55000000000000004">
      <c r="W44875"/>
    </row>
    <row r="44876" spans="23:23" x14ac:dyDescent="0.55000000000000004">
      <c r="W44876"/>
    </row>
    <row r="44877" spans="23:23" x14ac:dyDescent="0.55000000000000004">
      <c r="W44877"/>
    </row>
    <row r="44878" spans="23:23" x14ac:dyDescent="0.55000000000000004">
      <c r="W44878"/>
    </row>
    <row r="44879" spans="23:23" x14ac:dyDescent="0.55000000000000004">
      <c r="W44879"/>
    </row>
    <row r="44880" spans="23:23" x14ac:dyDescent="0.55000000000000004">
      <c r="W44880"/>
    </row>
    <row r="44881" spans="23:23" x14ac:dyDescent="0.55000000000000004">
      <c r="W44881"/>
    </row>
    <row r="44882" spans="23:23" x14ac:dyDescent="0.55000000000000004">
      <c r="W44882"/>
    </row>
    <row r="44883" spans="23:23" x14ac:dyDescent="0.55000000000000004">
      <c r="W44883"/>
    </row>
    <row r="44884" spans="23:23" x14ac:dyDescent="0.55000000000000004">
      <c r="W44884"/>
    </row>
    <row r="44885" spans="23:23" x14ac:dyDescent="0.55000000000000004">
      <c r="W44885"/>
    </row>
    <row r="44886" spans="23:23" x14ac:dyDescent="0.55000000000000004">
      <c r="W44886"/>
    </row>
    <row r="44887" spans="23:23" x14ac:dyDescent="0.55000000000000004">
      <c r="W44887"/>
    </row>
    <row r="44888" spans="23:23" x14ac:dyDescent="0.55000000000000004">
      <c r="W44888"/>
    </row>
    <row r="44889" spans="23:23" x14ac:dyDescent="0.55000000000000004">
      <c r="W44889"/>
    </row>
    <row r="44890" spans="23:23" x14ac:dyDescent="0.55000000000000004">
      <c r="W44890"/>
    </row>
    <row r="44891" spans="23:23" x14ac:dyDescent="0.55000000000000004">
      <c r="W44891"/>
    </row>
    <row r="44892" spans="23:23" x14ac:dyDescent="0.55000000000000004">
      <c r="W44892"/>
    </row>
    <row r="44893" spans="23:23" x14ac:dyDescent="0.55000000000000004">
      <c r="W44893"/>
    </row>
    <row r="44894" spans="23:23" x14ac:dyDescent="0.55000000000000004">
      <c r="W44894"/>
    </row>
    <row r="44895" spans="23:23" x14ac:dyDescent="0.55000000000000004">
      <c r="W44895"/>
    </row>
    <row r="44896" spans="23:23" x14ac:dyDescent="0.55000000000000004">
      <c r="W44896"/>
    </row>
    <row r="44897" spans="23:23" x14ac:dyDescent="0.55000000000000004">
      <c r="W44897"/>
    </row>
    <row r="44898" spans="23:23" x14ac:dyDescent="0.55000000000000004">
      <c r="W44898"/>
    </row>
    <row r="44899" spans="23:23" x14ac:dyDescent="0.55000000000000004">
      <c r="W44899"/>
    </row>
    <row r="44900" spans="23:23" x14ac:dyDescent="0.55000000000000004">
      <c r="W44900"/>
    </row>
    <row r="44901" spans="23:23" x14ac:dyDescent="0.55000000000000004">
      <c r="W44901"/>
    </row>
    <row r="44902" spans="23:23" x14ac:dyDescent="0.55000000000000004">
      <c r="W44902"/>
    </row>
    <row r="44903" spans="23:23" x14ac:dyDescent="0.55000000000000004">
      <c r="W44903"/>
    </row>
    <row r="44904" spans="23:23" x14ac:dyDescent="0.55000000000000004">
      <c r="W44904"/>
    </row>
    <row r="44905" spans="23:23" x14ac:dyDescent="0.55000000000000004">
      <c r="W44905"/>
    </row>
    <row r="44906" spans="23:23" x14ac:dyDescent="0.55000000000000004">
      <c r="W44906"/>
    </row>
    <row r="44907" spans="23:23" x14ac:dyDescent="0.55000000000000004">
      <c r="W44907"/>
    </row>
    <row r="44908" spans="23:23" x14ac:dyDescent="0.55000000000000004">
      <c r="W44908"/>
    </row>
    <row r="44909" spans="23:23" x14ac:dyDescent="0.55000000000000004">
      <c r="W44909"/>
    </row>
    <row r="44910" spans="23:23" x14ac:dyDescent="0.55000000000000004">
      <c r="W44910"/>
    </row>
    <row r="44911" spans="23:23" x14ac:dyDescent="0.55000000000000004">
      <c r="W44911"/>
    </row>
    <row r="44912" spans="23:23" x14ac:dyDescent="0.55000000000000004">
      <c r="W44912"/>
    </row>
    <row r="44913" spans="23:23" x14ac:dyDescent="0.55000000000000004">
      <c r="W44913"/>
    </row>
    <row r="44914" spans="23:23" x14ac:dyDescent="0.55000000000000004">
      <c r="W44914"/>
    </row>
    <row r="44915" spans="23:23" x14ac:dyDescent="0.55000000000000004">
      <c r="W44915"/>
    </row>
    <row r="44916" spans="23:23" x14ac:dyDescent="0.55000000000000004">
      <c r="W44916"/>
    </row>
    <row r="44917" spans="23:23" x14ac:dyDescent="0.55000000000000004">
      <c r="W44917"/>
    </row>
    <row r="44918" spans="23:23" x14ac:dyDescent="0.55000000000000004">
      <c r="W44918"/>
    </row>
    <row r="44919" spans="23:23" x14ac:dyDescent="0.55000000000000004">
      <c r="W44919"/>
    </row>
    <row r="44920" spans="23:23" x14ac:dyDescent="0.55000000000000004">
      <c r="W44920"/>
    </row>
    <row r="44921" spans="23:23" x14ac:dyDescent="0.55000000000000004">
      <c r="W44921"/>
    </row>
    <row r="44922" spans="23:23" x14ac:dyDescent="0.55000000000000004">
      <c r="W44922"/>
    </row>
    <row r="44923" spans="23:23" x14ac:dyDescent="0.55000000000000004">
      <c r="W44923"/>
    </row>
    <row r="44924" spans="23:23" x14ac:dyDescent="0.55000000000000004">
      <c r="W44924"/>
    </row>
    <row r="44925" spans="23:23" x14ac:dyDescent="0.55000000000000004">
      <c r="W44925"/>
    </row>
    <row r="44926" spans="23:23" x14ac:dyDescent="0.55000000000000004">
      <c r="W44926"/>
    </row>
    <row r="44927" spans="23:23" x14ac:dyDescent="0.55000000000000004">
      <c r="W44927"/>
    </row>
    <row r="44928" spans="23:23" x14ac:dyDescent="0.55000000000000004">
      <c r="W44928"/>
    </row>
    <row r="44929" spans="23:23" x14ac:dyDescent="0.55000000000000004">
      <c r="W44929"/>
    </row>
    <row r="44930" spans="23:23" x14ac:dyDescent="0.55000000000000004">
      <c r="W44930"/>
    </row>
    <row r="44931" spans="23:23" x14ac:dyDescent="0.55000000000000004">
      <c r="W44931"/>
    </row>
    <row r="44932" spans="23:23" x14ac:dyDescent="0.55000000000000004">
      <c r="W44932"/>
    </row>
    <row r="44933" spans="23:23" x14ac:dyDescent="0.55000000000000004">
      <c r="W44933"/>
    </row>
    <row r="44934" spans="23:23" x14ac:dyDescent="0.55000000000000004">
      <c r="W44934"/>
    </row>
    <row r="44935" spans="23:23" x14ac:dyDescent="0.55000000000000004">
      <c r="W44935"/>
    </row>
    <row r="44936" spans="23:23" x14ac:dyDescent="0.55000000000000004">
      <c r="W44936"/>
    </row>
    <row r="44937" spans="23:23" x14ac:dyDescent="0.55000000000000004">
      <c r="W44937"/>
    </row>
    <row r="44938" spans="23:23" x14ac:dyDescent="0.55000000000000004">
      <c r="W44938"/>
    </row>
    <row r="44939" spans="23:23" x14ac:dyDescent="0.55000000000000004">
      <c r="W44939"/>
    </row>
    <row r="44940" spans="23:23" x14ac:dyDescent="0.55000000000000004">
      <c r="W44940"/>
    </row>
    <row r="44941" spans="23:23" x14ac:dyDescent="0.55000000000000004">
      <c r="W44941"/>
    </row>
    <row r="44942" spans="23:23" x14ac:dyDescent="0.55000000000000004">
      <c r="W44942"/>
    </row>
    <row r="44943" spans="23:23" x14ac:dyDescent="0.55000000000000004">
      <c r="W44943"/>
    </row>
    <row r="44944" spans="23:23" x14ac:dyDescent="0.55000000000000004">
      <c r="W44944"/>
    </row>
    <row r="44945" spans="23:23" x14ac:dyDescent="0.55000000000000004">
      <c r="W44945"/>
    </row>
    <row r="44946" spans="23:23" x14ac:dyDescent="0.55000000000000004">
      <c r="W44946"/>
    </row>
    <row r="44947" spans="23:23" x14ac:dyDescent="0.55000000000000004">
      <c r="W44947"/>
    </row>
    <row r="44948" spans="23:23" x14ac:dyDescent="0.55000000000000004">
      <c r="W44948"/>
    </row>
    <row r="44949" spans="23:23" x14ac:dyDescent="0.55000000000000004">
      <c r="W44949"/>
    </row>
    <row r="44950" spans="23:23" x14ac:dyDescent="0.55000000000000004">
      <c r="W44950"/>
    </row>
    <row r="44951" spans="23:23" x14ac:dyDescent="0.55000000000000004">
      <c r="W44951"/>
    </row>
    <row r="44952" spans="23:23" x14ac:dyDescent="0.55000000000000004">
      <c r="W44952"/>
    </row>
    <row r="44953" spans="23:23" x14ac:dyDescent="0.55000000000000004">
      <c r="W44953"/>
    </row>
    <row r="44954" spans="23:23" x14ac:dyDescent="0.55000000000000004">
      <c r="W44954"/>
    </row>
    <row r="44955" spans="23:23" x14ac:dyDescent="0.55000000000000004">
      <c r="W44955"/>
    </row>
    <row r="44956" spans="23:23" x14ac:dyDescent="0.55000000000000004">
      <c r="W44956"/>
    </row>
    <row r="44957" spans="23:23" x14ac:dyDescent="0.55000000000000004">
      <c r="W44957"/>
    </row>
    <row r="44958" spans="23:23" x14ac:dyDescent="0.55000000000000004">
      <c r="W44958"/>
    </row>
    <row r="44959" spans="23:23" x14ac:dyDescent="0.55000000000000004">
      <c r="W44959"/>
    </row>
    <row r="44960" spans="23:23" x14ac:dyDescent="0.55000000000000004">
      <c r="W44960"/>
    </row>
    <row r="44961" spans="23:23" x14ac:dyDescent="0.55000000000000004">
      <c r="W44961"/>
    </row>
    <row r="44962" spans="23:23" x14ac:dyDescent="0.55000000000000004">
      <c r="W44962"/>
    </row>
    <row r="44963" spans="23:23" x14ac:dyDescent="0.55000000000000004">
      <c r="W44963"/>
    </row>
    <row r="44964" spans="23:23" x14ac:dyDescent="0.55000000000000004">
      <c r="W44964"/>
    </row>
    <row r="44965" spans="23:23" x14ac:dyDescent="0.55000000000000004">
      <c r="W44965"/>
    </row>
    <row r="44966" spans="23:23" x14ac:dyDescent="0.55000000000000004">
      <c r="W44966"/>
    </row>
    <row r="44967" spans="23:23" x14ac:dyDescent="0.55000000000000004">
      <c r="W44967"/>
    </row>
    <row r="44968" spans="23:23" x14ac:dyDescent="0.55000000000000004">
      <c r="W44968"/>
    </row>
    <row r="44969" spans="23:23" x14ac:dyDescent="0.55000000000000004">
      <c r="W44969"/>
    </row>
    <row r="44970" spans="23:23" x14ac:dyDescent="0.55000000000000004">
      <c r="W44970"/>
    </row>
    <row r="44971" spans="23:23" x14ac:dyDescent="0.55000000000000004">
      <c r="W44971"/>
    </row>
    <row r="44972" spans="23:23" x14ac:dyDescent="0.55000000000000004">
      <c r="W44972"/>
    </row>
    <row r="44973" spans="23:23" x14ac:dyDescent="0.55000000000000004">
      <c r="W44973"/>
    </row>
    <row r="44974" spans="23:23" x14ac:dyDescent="0.55000000000000004">
      <c r="W44974"/>
    </row>
    <row r="44975" spans="23:23" x14ac:dyDescent="0.55000000000000004">
      <c r="W44975"/>
    </row>
    <row r="44976" spans="23:23" x14ac:dyDescent="0.55000000000000004">
      <c r="W44976"/>
    </row>
    <row r="44977" spans="23:23" x14ac:dyDescent="0.55000000000000004">
      <c r="W44977"/>
    </row>
    <row r="44978" spans="23:23" x14ac:dyDescent="0.55000000000000004">
      <c r="W44978"/>
    </row>
    <row r="44979" spans="23:23" x14ac:dyDescent="0.55000000000000004">
      <c r="W44979"/>
    </row>
    <row r="44980" spans="23:23" x14ac:dyDescent="0.55000000000000004">
      <c r="W44980"/>
    </row>
    <row r="44981" spans="23:23" x14ac:dyDescent="0.55000000000000004">
      <c r="W44981"/>
    </row>
    <row r="44982" spans="23:23" x14ac:dyDescent="0.55000000000000004">
      <c r="W44982"/>
    </row>
    <row r="44983" spans="23:23" x14ac:dyDescent="0.55000000000000004">
      <c r="W44983"/>
    </row>
    <row r="44984" spans="23:23" x14ac:dyDescent="0.55000000000000004">
      <c r="W44984"/>
    </row>
    <row r="44985" spans="23:23" x14ac:dyDescent="0.55000000000000004">
      <c r="W44985"/>
    </row>
    <row r="44986" spans="23:23" x14ac:dyDescent="0.55000000000000004">
      <c r="W44986"/>
    </row>
    <row r="44987" spans="23:23" x14ac:dyDescent="0.55000000000000004">
      <c r="W44987"/>
    </row>
    <row r="44988" spans="23:23" x14ac:dyDescent="0.55000000000000004">
      <c r="W44988"/>
    </row>
    <row r="44989" spans="23:23" x14ac:dyDescent="0.55000000000000004">
      <c r="W44989"/>
    </row>
    <row r="44990" spans="23:23" x14ac:dyDescent="0.55000000000000004">
      <c r="W44990"/>
    </row>
    <row r="44991" spans="23:23" x14ac:dyDescent="0.55000000000000004">
      <c r="W44991"/>
    </row>
    <row r="44992" spans="23:23" x14ac:dyDescent="0.55000000000000004">
      <c r="W44992"/>
    </row>
    <row r="44993" spans="23:23" x14ac:dyDescent="0.55000000000000004">
      <c r="W44993"/>
    </row>
    <row r="44994" spans="23:23" x14ac:dyDescent="0.55000000000000004">
      <c r="W44994"/>
    </row>
    <row r="44995" spans="23:23" x14ac:dyDescent="0.55000000000000004">
      <c r="W44995"/>
    </row>
    <row r="44996" spans="23:23" x14ac:dyDescent="0.55000000000000004">
      <c r="W44996"/>
    </row>
    <row r="44997" spans="23:23" x14ac:dyDescent="0.55000000000000004">
      <c r="W44997"/>
    </row>
    <row r="44998" spans="23:23" x14ac:dyDescent="0.55000000000000004">
      <c r="W44998"/>
    </row>
    <row r="44999" spans="23:23" x14ac:dyDescent="0.55000000000000004">
      <c r="W44999"/>
    </row>
    <row r="45000" spans="23:23" x14ac:dyDescent="0.55000000000000004">
      <c r="W45000"/>
    </row>
    <row r="45001" spans="23:23" x14ac:dyDescent="0.55000000000000004">
      <c r="W45001"/>
    </row>
    <row r="45002" spans="23:23" x14ac:dyDescent="0.55000000000000004">
      <c r="W45002"/>
    </row>
    <row r="45003" spans="23:23" x14ac:dyDescent="0.55000000000000004">
      <c r="W45003"/>
    </row>
    <row r="45004" spans="23:23" x14ac:dyDescent="0.55000000000000004">
      <c r="W45004"/>
    </row>
    <row r="45005" spans="23:23" x14ac:dyDescent="0.55000000000000004">
      <c r="W45005"/>
    </row>
    <row r="45006" spans="23:23" x14ac:dyDescent="0.55000000000000004">
      <c r="W45006"/>
    </row>
    <row r="45007" spans="23:23" x14ac:dyDescent="0.55000000000000004">
      <c r="W45007"/>
    </row>
    <row r="45008" spans="23:23" x14ac:dyDescent="0.55000000000000004">
      <c r="W45008"/>
    </row>
    <row r="45009" spans="23:23" x14ac:dyDescent="0.55000000000000004">
      <c r="W45009"/>
    </row>
    <row r="45010" spans="23:23" x14ac:dyDescent="0.55000000000000004">
      <c r="W45010"/>
    </row>
    <row r="45011" spans="23:23" x14ac:dyDescent="0.55000000000000004">
      <c r="W45011"/>
    </row>
    <row r="45012" spans="23:23" x14ac:dyDescent="0.55000000000000004">
      <c r="W45012"/>
    </row>
    <row r="45013" spans="23:23" x14ac:dyDescent="0.55000000000000004">
      <c r="W45013"/>
    </row>
    <row r="45014" spans="23:23" x14ac:dyDescent="0.55000000000000004">
      <c r="W45014"/>
    </row>
    <row r="45015" spans="23:23" x14ac:dyDescent="0.55000000000000004">
      <c r="W45015"/>
    </row>
    <row r="45016" spans="23:23" x14ac:dyDescent="0.55000000000000004">
      <c r="W45016"/>
    </row>
    <row r="45017" spans="23:23" x14ac:dyDescent="0.55000000000000004">
      <c r="W45017"/>
    </row>
    <row r="45018" spans="23:23" x14ac:dyDescent="0.55000000000000004">
      <c r="W45018"/>
    </row>
    <row r="45019" spans="23:23" x14ac:dyDescent="0.55000000000000004">
      <c r="W45019"/>
    </row>
    <row r="45020" spans="23:23" x14ac:dyDescent="0.55000000000000004">
      <c r="W45020"/>
    </row>
    <row r="45021" spans="23:23" x14ac:dyDescent="0.55000000000000004">
      <c r="W45021"/>
    </row>
    <row r="45022" spans="23:23" x14ac:dyDescent="0.55000000000000004">
      <c r="W45022"/>
    </row>
    <row r="45023" spans="23:23" x14ac:dyDescent="0.55000000000000004">
      <c r="W45023"/>
    </row>
    <row r="45024" spans="23:23" x14ac:dyDescent="0.55000000000000004">
      <c r="W45024"/>
    </row>
    <row r="45025" spans="23:23" x14ac:dyDescent="0.55000000000000004">
      <c r="W45025"/>
    </row>
    <row r="45026" spans="23:23" x14ac:dyDescent="0.55000000000000004">
      <c r="W45026"/>
    </row>
    <row r="45027" spans="23:23" x14ac:dyDescent="0.55000000000000004">
      <c r="W45027"/>
    </row>
    <row r="45028" spans="23:23" x14ac:dyDescent="0.55000000000000004">
      <c r="W45028"/>
    </row>
    <row r="45029" spans="23:23" x14ac:dyDescent="0.55000000000000004">
      <c r="W45029"/>
    </row>
    <row r="45030" spans="23:23" x14ac:dyDescent="0.55000000000000004">
      <c r="W45030"/>
    </row>
    <row r="45031" spans="23:23" x14ac:dyDescent="0.55000000000000004">
      <c r="W45031"/>
    </row>
    <row r="45032" spans="23:23" x14ac:dyDescent="0.55000000000000004">
      <c r="W45032"/>
    </row>
    <row r="45033" spans="23:23" x14ac:dyDescent="0.55000000000000004">
      <c r="W45033"/>
    </row>
    <row r="45034" spans="23:23" x14ac:dyDescent="0.55000000000000004">
      <c r="W45034"/>
    </row>
    <row r="45035" spans="23:23" x14ac:dyDescent="0.55000000000000004">
      <c r="W45035"/>
    </row>
    <row r="45036" spans="23:23" x14ac:dyDescent="0.55000000000000004">
      <c r="W45036"/>
    </row>
    <row r="45037" spans="23:23" x14ac:dyDescent="0.55000000000000004">
      <c r="W45037"/>
    </row>
    <row r="45038" spans="23:23" x14ac:dyDescent="0.55000000000000004">
      <c r="W45038"/>
    </row>
    <row r="45039" spans="23:23" x14ac:dyDescent="0.55000000000000004">
      <c r="W45039"/>
    </row>
    <row r="45040" spans="23:23" x14ac:dyDescent="0.55000000000000004">
      <c r="W45040"/>
    </row>
    <row r="45041" spans="23:23" x14ac:dyDescent="0.55000000000000004">
      <c r="W45041"/>
    </row>
    <row r="45042" spans="23:23" x14ac:dyDescent="0.55000000000000004">
      <c r="W45042"/>
    </row>
    <row r="45043" spans="23:23" x14ac:dyDescent="0.55000000000000004">
      <c r="W45043"/>
    </row>
    <row r="45044" spans="23:23" x14ac:dyDescent="0.55000000000000004">
      <c r="W45044"/>
    </row>
    <row r="45045" spans="23:23" x14ac:dyDescent="0.55000000000000004">
      <c r="W45045"/>
    </row>
    <row r="45046" spans="23:23" x14ac:dyDescent="0.55000000000000004">
      <c r="W45046"/>
    </row>
    <row r="45047" spans="23:23" x14ac:dyDescent="0.55000000000000004">
      <c r="W45047"/>
    </row>
    <row r="45048" spans="23:23" x14ac:dyDescent="0.55000000000000004">
      <c r="W45048"/>
    </row>
    <row r="45049" spans="23:23" x14ac:dyDescent="0.55000000000000004">
      <c r="W45049"/>
    </row>
    <row r="45050" spans="23:23" x14ac:dyDescent="0.55000000000000004">
      <c r="W45050"/>
    </row>
    <row r="45051" spans="23:23" x14ac:dyDescent="0.55000000000000004">
      <c r="W45051"/>
    </row>
    <row r="45052" spans="23:23" x14ac:dyDescent="0.55000000000000004">
      <c r="W45052"/>
    </row>
    <row r="45053" spans="23:23" x14ac:dyDescent="0.55000000000000004">
      <c r="W45053"/>
    </row>
    <row r="45054" spans="23:23" x14ac:dyDescent="0.55000000000000004">
      <c r="W45054"/>
    </row>
    <row r="45055" spans="23:23" x14ac:dyDescent="0.55000000000000004">
      <c r="W45055"/>
    </row>
    <row r="45056" spans="23:23" x14ac:dyDescent="0.55000000000000004">
      <c r="W45056"/>
    </row>
    <row r="45057" spans="23:23" x14ac:dyDescent="0.55000000000000004">
      <c r="W45057"/>
    </row>
    <row r="45058" spans="23:23" x14ac:dyDescent="0.55000000000000004">
      <c r="W45058"/>
    </row>
    <row r="45059" spans="23:23" x14ac:dyDescent="0.55000000000000004">
      <c r="W45059"/>
    </row>
    <row r="45060" spans="23:23" x14ac:dyDescent="0.55000000000000004">
      <c r="W45060"/>
    </row>
    <row r="45061" spans="23:23" x14ac:dyDescent="0.55000000000000004">
      <c r="W45061"/>
    </row>
    <row r="45062" spans="23:23" x14ac:dyDescent="0.55000000000000004">
      <c r="W45062"/>
    </row>
    <row r="45063" spans="23:23" x14ac:dyDescent="0.55000000000000004">
      <c r="W45063"/>
    </row>
    <row r="45064" spans="23:23" x14ac:dyDescent="0.55000000000000004">
      <c r="W45064"/>
    </row>
    <row r="45065" spans="23:23" x14ac:dyDescent="0.55000000000000004">
      <c r="W45065"/>
    </row>
    <row r="45066" spans="23:23" x14ac:dyDescent="0.55000000000000004">
      <c r="W45066"/>
    </row>
    <row r="45067" spans="23:23" x14ac:dyDescent="0.55000000000000004">
      <c r="W45067"/>
    </row>
    <row r="45068" spans="23:23" x14ac:dyDescent="0.55000000000000004">
      <c r="W45068"/>
    </row>
    <row r="45069" spans="23:23" x14ac:dyDescent="0.55000000000000004">
      <c r="W45069"/>
    </row>
    <row r="45070" spans="23:23" x14ac:dyDescent="0.55000000000000004">
      <c r="W45070"/>
    </row>
    <row r="45071" spans="23:23" x14ac:dyDescent="0.55000000000000004">
      <c r="W45071"/>
    </row>
    <row r="45072" spans="23:23" x14ac:dyDescent="0.55000000000000004">
      <c r="W45072"/>
    </row>
    <row r="45073" spans="23:23" x14ac:dyDescent="0.55000000000000004">
      <c r="W45073"/>
    </row>
    <row r="45074" spans="23:23" x14ac:dyDescent="0.55000000000000004">
      <c r="W45074"/>
    </row>
    <row r="45075" spans="23:23" x14ac:dyDescent="0.55000000000000004">
      <c r="W45075"/>
    </row>
    <row r="45076" spans="23:23" x14ac:dyDescent="0.55000000000000004">
      <c r="W45076"/>
    </row>
    <row r="45077" spans="23:23" x14ac:dyDescent="0.55000000000000004">
      <c r="W45077"/>
    </row>
    <row r="45078" spans="23:23" x14ac:dyDescent="0.55000000000000004">
      <c r="W45078"/>
    </row>
    <row r="45079" spans="23:23" x14ac:dyDescent="0.55000000000000004">
      <c r="W45079"/>
    </row>
    <row r="45080" spans="23:23" x14ac:dyDescent="0.55000000000000004">
      <c r="W45080"/>
    </row>
    <row r="45081" spans="23:23" x14ac:dyDescent="0.55000000000000004">
      <c r="W45081"/>
    </row>
    <row r="45082" spans="23:23" x14ac:dyDescent="0.55000000000000004">
      <c r="W45082"/>
    </row>
    <row r="45083" spans="23:23" x14ac:dyDescent="0.55000000000000004">
      <c r="W45083"/>
    </row>
    <row r="45084" spans="23:23" x14ac:dyDescent="0.55000000000000004">
      <c r="W45084"/>
    </row>
    <row r="45085" spans="23:23" x14ac:dyDescent="0.55000000000000004">
      <c r="W45085"/>
    </row>
    <row r="45086" spans="23:23" x14ac:dyDescent="0.55000000000000004">
      <c r="W45086"/>
    </row>
    <row r="45087" spans="23:23" x14ac:dyDescent="0.55000000000000004">
      <c r="W45087"/>
    </row>
    <row r="45088" spans="23:23" x14ac:dyDescent="0.55000000000000004">
      <c r="W45088"/>
    </row>
    <row r="45089" spans="23:23" x14ac:dyDescent="0.55000000000000004">
      <c r="W45089"/>
    </row>
    <row r="45090" spans="23:23" x14ac:dyDescent="0.55000000000000004">
      <c r="W45090"/>
    </row>
    <row r="45091" spans="23:23" x14ac:dyDescent="0.55000000000000004">
      <c r="W45091"/>
    </row>
    <row r="45092" spans="23:23" x14ac:dyDescent="0.55000000000000004">
      <c r="W45092"/>
    </row>
    <row r="45093" spans="23:23" x14ac:dyDescent="0.55000000000000004">
      <c r="W45093"/>
    </row>
    <row r="45094" spans="23:23" x14ac:dyDescent="0.55000000000000004">
      <c r="W45094"/>
    </row>
    <row r="45095" spans="23:23" x14ac:dyDescent="0.55000000000000004">
      <c r="W45095"/>
    </row>
    <row r="45096" spans="23:23" x14ac:dyDescent="0.55000000000000004">
      <c r="W45096"/>
    </row>
    <row r="45097" spans="23:23" x14ac:dyDescent="0.55000000000000004">
      <c r="W45097"/>
    </row>
    <row r="45098" spans="23:23" x14ac:dyDescent="0.55000000000000004">
      <c r="W45098"/>
    </row>
    <row r="45099" spans="23:23" x14ac:dyDescent="0.55000000000000004">
      <c r="W45099"/>
    </row>
    <row r="45100" spans="23:23" x14ac:dyDescent="0.55000000000000004">
      <c r="W45100"/>
    </row>
    <row r="45101" spans="23:23" x14ac:dyDescent="0.55000000000000004">
      <c r="W45101"/>
    </row>
    <row r="45102" spans="23:23" x14ac:dyDescent="0.55000000000000004">
      <c r="W45102"/>
    </row>
    <row r="45103" spans="23:23" x14ac:dyDescent="0.55000000000000004">
      <c r="W45103"/>
    </row>
    <row r="45104" spans="23:23" x14ac:dyDescent="0.55000000000000004">
      <c r="W45104"/>
    </row>
    <row r="45105" spans="23:23" x14ac:dyDescent="0.55000000000000004">
      <c r="W45105"/>
    </row>
    <row r="45106" spans="23:23" x14ac:dyDescent="0.55000000000000004">
      <c r="W45106"/>
    </row>
    <row r="45107" spans="23:23" x14ac:dyDescent="0.55000000000000004">
      <c r="W45107"/>
    </row>
    <row r="45108" spans="23:23" x14ac:dyDescent="0.55000000000000004">
      <c r="W45108"/>
    </row>
    <row r="45109" spans="23:23" x14ac:dyDescent="0.55000000000000004">
      <c r="W45109"/>
    </row>
    <row r="45110" spans="23:23" x14ac:dyDescent="0.55000000000000004">
      <c r="W45110"/>
    </row>
    <row r="45111" spans="23:23" x14ac:dyDescent="0.55000000000000004">
      <c r="W45111"/>
    </row>
    <row r="45112" spans="23:23" x14ac:dyDescent="0.55000000000000004">
      <c r="W45112"/>
    </row>
    <row r="45113" spans="23:23" x14ac:dyDescent="0.55000000000000004">
      <c r="W45113"/>
    </row>
    <row r="45114" spans="23:23" x14ac:dyDescent="0.55000000000000004">
      <c r="W45114"/>
    </row>
    <row r="45115" spans="23:23" x14ac:dyDescent="0.55000000000000004">
      <c r="W45115"/>
    </row>
    <row r="45116" spans="23:23" x14ac:dyDescent="0.55000000000000004">
      <c r="W45116"/>
    </row>
    <row r="45117" spans="23:23" x14ac:dyDescent="0.55000000000000004">
      <c r="W45117"/>
    </row>
    <row r="45118" spans="23:23" x14ac:dyDescent="0.55000000000000004">
      <c r="W45118"/>
    </row>
    <row r="45119" spans="23:23" x14ac:dyDescent="0.55000000000000004">
      <c r="W45119"/>
    </row>
    <row r="45120" spans="23:23" x14ac:dyDescent="0.55000000000000004">
      <c r="W45120"/>
    </row>
    <row r="45121" spans="23:23" x14ac:dyDescent="0.55000000000000004">
      <c r="W45121"/>
    </row>
    <row r="45122" spans="23:23" x14ac:dyDescent="0.55000000000000004">
      <c r="W45122"/>
    </row>
    <row r="45123" spans="23:23" x14ac:dyDescent="0.55000000000000004">
      <c r="W45123"/>
    </row>
    <row r="45124" spans="23:23" x14ac:dyDescent="0.55000000000000004">
      <c r="W45124"/>
    </row>
    <row r="45125" spans="23:23" x14ac:dyDescent="0.55000000000000004">
      <c r="W45125"/>
    </row>
    <row r="45126" spans="23:23" x14ac:dyDescent="0.55000000000000004">
      <c r="W45126"/>
    </row>
    <row r="45127" spans="23:23" x14ac:dyDescent="0.55000000000000004">
      <c r="W45127"/>
    </row>
    <row r="45128" spans="23:23" x14ac:dyDescent="0.55000000000000004">
      <c r="W45128"/>
    </row>
    <row r="45129" spans="23:23" x14ac:dyDescent="0.55000000000000004">
      <c r="W45129"/>
    </row>
    <row r="45130" spans="23:23" x14ac:dyDescent="0.55000000000000004">
      <c r="W45130"/>
    </row>
    <row r="45131" spans="23:23" x14ac:dyDescent="0.55000000000000004">
      <c r="W45131"/>
    </row>
    <row r="45132" spans="23:23" x14ac:dyDescent="0.55000000000000004">
      <c r="W45132"/>
    </row>
    <row r="45133" spans="23:23" x14ac:dyDescent="0.55000000000000004">
      <c r="W45133"/>
    </row>
    <row r="45134" spans="23:23" x14ac:dyDescent="0.55000000000000004">
      <c r="W45134"/>
    </row>
    <row r="45135" spans="23:23" x14ac:dyDescent="0.55000000000000004">
      <c r="W45135"/>
    </row>
    <row r="45136" spans="23:23" x14ac:dyDescent="0.55000000000000004">
      <c r="W45136"/>
    </row>
    <row r="45137" spans="23:23" x14ac:dyDescent="0.55000000000000004">
      <c r="W45137"/>
    </row>
    <row r="45138" spans="23:23" x14ac:dyDescent="0.55000000000000004">
      <c r="W45138"/>
    </row>
    <row r="45139" spans="23:23" x14ac:dyDescent="0.55000000000000004">
      <c r="W45139"/>
    </row>
    <row r="45140" spans="23:23" x14ac:dyDescent="0.55000000000000004">
      <c r="W45140"/>
    </row>
    <row r="45141" spans="23:23" x14ac:dyDescent="0.55000000000000004">
      <c r="W45141"/>
    </row>
    <row r="45142" spans="23:23" x14ac:dyDescent="0.55000000000000004">
      <c r="W45142"/>
    </row>
    <row r="45143" spans="23:23" x14ac:dyDescent="0.55000000000000004">
      <c r="W45143"/>
    </row>
    <row r="45144" spans="23:23" x14ac:dyDescent="0.55000000000000004">
      <c r="W45144"/>
    </row>
    <row r="45145" spans="23:23" x14ac:dyDescent="0.55000000000000004">
      <c r="W45145"/>
    </row>
    <row r="45146" spans="23:23" x14ac:dyDescent="0.55000000000000004">
      <c r="W45146"/>
    </row>
    <row r="45147" spans="23:23" x14ac:dyDescent="0.55000000000000004">
      <c r="W45147"/>
    </row>
    <row r="45148" spans="23:23" x14ac:dyDescent="0.55000000000000004">
      <c r="W45148"/>
    </row>
    <row r="45149" spans="23:23" x14ac:dyDescent="0.55000000000000004">
      <c r="W45149"/>
    </row>
    <row r="45150" spans="23:23" x14ac:dyDescent="0.55000000000000004">
      <c r="W45150"/>
    </row>
    <row r="45151" spans="23:23" x14ac:dyDescent="0.55000000000000004">
      <c r="W45151"/>
    </row>
    <row r="45152" spans="23:23" x14ac:dyDescent="0.55000000000000004">
      <c r="W45152"/>
    </row>
    <row r="45153" spans="23:23" x14ac:dyDescent="0.55000000000000004">
      <c r="W45153"/>
    </row>
    <row r="45154" spans="23:23" x14ac:dyDescent="0.55000000000000004">
      <c r="W45154"/>
    </row>
    <row r="45155" spans="23:23" x14ac:dyDescent="0.55000000000000004">
      <c r="W45155"/>
    </row>
    <row r="45156" spans="23:23" x14ac:dyDescent="0.55000000000000004">
      <c r="W45156"/>
    </row>
    <row r="45157" spans="23:23" x14ac:dyDescent="0.55000000000000004">
      <c r="W45157"/>
    </row>
    <row r="45158" spans="23:23" x14ac:dyDescent="0.55000000000000004">
      <c r="W45158"/>
    </row>
    <row r="45159" spans="23:23" x14ac:dyDescent="0.55000000000000004">
      <c r="W45159"/>
    </row>
    <row r="45160" spans="23:23" x14ac:dyDescent="0.55000000000000004">
      <c r="W45160"/>
    </row>
    <row r="45161" spans="23:23" x14ac:dyDescent="0.55000000000000004">
      <c r="W45161"/>
    </row>
    <row r="45162" spans="23:23" x14ac:dyDescent="0.55000000000000004">
      <c r="W45162"/>
    </row>
    <row r="45163" spans="23:23" x14ac:dyDescent="0.55000000000000004">
      <c r="W45163"/>
    </row>
    <row r="45164" spans="23:23" x14ac:dyDescent="0.55000000000000004">
      <c r="W45164"/>
    </row>
    <row r="45165" spans="23:23" x14ac:dyDescent="0.55000000000000004">
      <c r="W45165"/>
    </row>
    <row r="45166" spans="23:23" x14ac:dyDescent="0.55000000000000004">
      <c r="W45166"/>
    </row>
    <row r="45167" spans="23:23" x14ac:dyDescent="0.55000000000000004">
      <c r="W45167"/>
    </row>
    <row r="45168" spans="23:23" x14ac:dyDescent="0.55000000000000004">
      <c r="W45168"/>
    </row>
    <row r="45169" spans="23:23" x14ac:dyDescent="0.55000000000000004">
      <c r="W45169"/>
    </row>
    <row r="45170" spans="23:23" x14ac:dyDescent="0.55000000000000004">
      <c r="W45170"/>
    </row>
    <row r="45171" spans="23:23" x14ac:dyDescent="0.55000000000000004">
      <c r="W45171"/>
    </row>
    <row r="45172" spans="23:23" x14ac:dyDescent="0.55000000000000004">
      <c r="W45172"/>
    </row>
    <row r="45173" spans="23:23" x14ac:dyDescent="0.55000000000000004">
      <c r="W45173"/>
    </row>
    <row r="45174" spans="23:23" x14ac:dyDescent="0.55000000000000004">
      <c r="W45174"/>
    </row>
    <row r="45175" spans="23:23" x14ac:dyDescent="0.55000000000000004">
      <c r="W45175"/>
    </row>
    <row r="45176" spans="23:23" x14ac:dyDescent="0.55000000000000004">
      <c r="W45176"/>
    </row>
    <row r="45177" spans="23:23" x14ac:dyDescent="0.55000000000000004">
      <c r="W45177"/>
    </row>
    <row r="45178" spans="23:23" x14ac:dyDescent="0.55000000000000004">
      <c r="W45178"/>
    </row>
    <row r="45179" spans="23:23" x14ac:dyDescent="0.55000000000000004">
      <c r="W45179"/>
    </row>
    <row r="45180" spans="23:23" x14ac:dyDescent="0.55000000000000004">
      <c r="W45180"/>
    </row>
    <row r="45181" spans="23:23" x14ac:dyDescent="0.55000000000000004">
      <c r="W45181"/>
    </row>
    <row r="45182" spans="23:23" x14ac:dyDescent="0.55000000000000004">
      <c r="W45182"/>
    </row>
    <row r="45183" spans="23:23" x14ac:dyDescent="0.55000000000000004">
      <c r="W45183"/>
    </row>
    <row r="45184" spans="23:23" x14ac:dyDescent="0.55000000000000004">
      <c r="W45184"/>
    </row>
    <row r="45185" spans="23:23" x14ac:dyDescent="0.55000000000000004">
      <c r="W45185"/>
    </row>
    <row r="45186" spans="23:23" x14ac:dyDescent="0.55000000000000004">
      <c r="W45186"/>
    </row>
    <row r="45187" spans="23:23" x14ac:dyDescent="0.55000000000000004">
      <c r="W45187"/>
    </row>
    <row r="45188" spans="23:23" x14ac:dyDescent="0.55000000000000004">
      <c r="W45188"/>
    </row>
    <row r="45189" spans="23:23" x14ac:dyDescent="0.55000000000000004">
      <c r="W45189"/>
    </row>
    <row r="45190" spans="23:23" x14ac:dyDescent="0.55000000000000004">
      <c r="W45190"/>
    </row>
    <row r="45191" spans="23:23" x14ac:dyDescent="0.55000000000000004">
      <c r="W45191"/>
    </row>
    <row r="45192" spans="23:23" x14ac:dyDescent="0.55000000000000004">
      <c r="W45192"/>
    </row>
    <row r="45193" spans="23:23" x14ac:dyDescent="0.55000000000000004">
      <c r="W45193"/>
    </row>
    <row r="45194" spans="23:23" x14ac:dyDescent="0.55000000000000004">
      <c r="W45194"/>
    </row>
    <row r="45195" spans="23:23" x14ac:dyDescent="0.55000000000000004">
      <c r="W45195"/>
    </row>
    <row r="45196" spans="23:23" x14ac:dyDescent="0.55000000000000004">
      <c r="W45196"/>
    </row>
    <row r="45197" spans="23:23" x14ac:dyDescent="0.55000000000000004">
      <c r="W45197"/>
    </row>
    <row r="45198" spans="23:23" x14ac:dyDescent="0.55000000000000004">
      <c r="W45198"/>
    </row>
    <row r="45199" spans="23:23" x14ac:dyDescent="0.55000000000000004">
      <c r="W45199"/>
    </row>
    <row r="45200" spans="23:23" x14ac:dyDescent="0.55000000000000004">
      <c r="W45200"/>
    </row>
    <row r="45201" spans="23:23" x14ac:dyDescent="0.55000000000000004">
      <c r="W45201"/>
    </row>
    <row r="45202" spans="23:23" x14ac:dyDescent="0.55000000000000004">
      <c r="W45202"/>
    </row>
    <row r="45203" spans="23:23" x14ac:dyDescent="0.55000000000000004">
      <c r="W45203"/>
    </row>
    <row r="45204" spans="23:23" x14ac:dyDescent="0.55000000000000004">
      <c r="W45204"/>
    </row>
    <row r="45205" spans="23:23" x14ac:dyDescent="0.55000000000000004">
      <c r="W45205"/>
    </row>
    <row r="45206" spans="23:23" x14ac:dyDescent="0.55000000000000004">
      <c r="W45206"/>
    </row>
    <row r="45207" spans="23:23" x14ac:dyDescent="0.55000000000000004">
      <c r="W45207"/>
    </row>
    <row r="45208" spans="23:23" x14ac:dyDescent="0.55000000000000004">
      <c r="W45208"/>
    </row>
    <row r="45209" spans="23:23" x14ac:dyDescent="0.55000000000000004">
      <c r="W45209"/>
    </row>
    <row r="45210" spans="23:23" x14ac:dyDescent="0.55000000000000004">
      <c r="W45210"/>
    </row>
    <row r="45211" spans="23:23" x14ac:dyDescent="0.55000000000000004">
      <c r="W45211"/>
    </row>
    <row r="45212" spans="23:23" x14ac:dyDescent="0.55000000000000004">
      <c r="W45212"/>
    </row>
    <row r="45213" spans="23:23" x14ac:dyDescent="0.55000000000000004">
      <c r="W45213"/>
    </row>
    <row r="45214" spans="23:23" x14ac:dyDescent="0.55000000000000004">
      <c r="W45214"/>
    </row>
    <row r="45215" spans="23:23" x14ac:dyDescent="0.55000000000000004">
      <c r="W45215"/>
    </row>
    <row r="45216" spans="23:23" x14ac:dyDescent="0.55000000000000004">
      <c r="W45216"/>
    </row>
    <row r="45217" spans="23:23" x14ac:dyDescent="0.55000000000000004">
      <c r="W45217"/>
    </row>
    <row r="45218" spans="23:23" x14ac:dyDescent="0.55000000000000004">
      <c r="W45218"/>
    </row>
    <row r="45219" spans="23:23" x14ac:dyDescent="0.55000000000000004">
      <c r="W45219"/>
    </row>
    <row r="45220" spans="23:23" x14ac:dyDescent="0.55000000000000004">
      <c r="W45220"/>
    </row>
    <row r="45221" spans="23:23" x14ac:dyDescent="0.55000000000000004">
      <c r="W45221"/>
    </row>
    <row r="45222" spans="23:23" x14ac:dyDescent="0.55000000000000004">
      <c r="W45222"/>
    </row>
    <row r="45223" spans="23:23" x14ac:dyDescent="0.55000000000000004">
      <c r="W45223"/>
    </row>
    <row r="45224" spans="23:23" x14ac:dyDescent="0.55000000000000004">
      <c r="W45224"/>
    </row>
    <row r="45225" spans="23:23" x14ac:dyDescent="0.55000000000000004">
      <c r="W45225"/>
    </row>
    <row r="45226" spans="23:23" x14ac:dyDescent="0.55000000000000004">
      <c r="W45226"/>
    </row>
    <row r="45227" spans="23:23" x14ac:dyDescent="0.55000000000000004">
      <c r="W45227"/>
    </row>
    <row r="45228" spans="23:23" x14ac:dyDescent="0.55000000000000004">
      <c r="W45228"/>
    </row>
    <row r="45229" spans="23:23" x14ac:dyDescent="0.55000000000000004">
      <c r="W45229"/>
    </row>
    <row r="45230" spans="23:23" x14ac:dyDescent="0.55000000000000004">
      <c r="W45230"/>
    </row>
    <row r="45231" spans="23:23" x14ac:dyDescent="0.55000000000000004">
      <c r="W45231"/>
    </row>
    <row r="45232" spans="23:23" x14ac:dyDescent="0.55000000000000004">
      <c r="W45232"/>
    </row>
    <row r="45233" spans="23:23" x14ac:dyDescent="0.55000000000000004">
      <c r="W45233"/>
    </row>
    <row r="45234" spans="23:23" x14ac:dyDescent="0.55000000000000004">
      <c r="W45234"/>
    </row>
    <row r="45235" spans="23:23" x14ac:dyDescent="0.55000000000000004">
      <c r="W45235"/>
    </row>
    <row r="45236" spans="23:23" x14ac:dyDescent="0.55000000000000004">
      <c r="W45236"/>
    </row>
    <row r="45237" spans="23:23" x14ac:dyDescent="0.55000000000000004">
      <c r="W45237"/>
    </row>
    <row r="45238" spans="23:23" x14ac:dyDescent="0.55000000000000004">
      <c r="W45238"/>
    </row>
    <row r="45239" spans="23:23" x14ac:dyDescent="0.55000000000000004">
      <c r="W45239"/>
    </row>
    <row r="45240" spans="23:23" x14ac:dyDescent="0.55000000000000004">
      <c r="W45240"/>
    </row>
    <row r="45241" spans="23:23" x14ac:dyDescent="0.55000000000000004">
      <c r="W45241"/>
    </row>
    <row r="45242" spans="23:23" x14ac:dyDescent="0.55000000000000004">
      <c r="W45242"/>
    </row>
    <row r="45243" spans="23:23" x14ac:dyDescent="0.55000000000000004">
      <c r="W45243"/>
    </row>
    <row r="45244" spans="23:23" x14ac:dyDescent="0.55000000000000004">
      <c r="W45244"/>
    </row>
    <row r="45245" spans="23:23" x14ac:dyDescent="0.55000000000000004">
      <c r="W45245"/>
    </row>
    <row r="45246" spans="23:23" x14ac:dyDescent="0.55000000000000004">
      <c r="W45246"/>
    </row>
    <row r="45247" spans="23:23" x14ac:dyDescent="0.55000000000000004">
      <c r="W45247"/>
    </row>
    <row r="45248" spans="23:23" x14ac:dyDescent="0.55000000000000004">
      <c r="W45248"/>
    </row>
    <row r="45249" spans="23:23" x14ac:dyDescent="0.55000000000000004">
      <c r="W45249"/>
    </row>
    <row r="45250" spans="23:23" x14ac:dyDescent="0.55000000000000004">
      <c r="W45250"/>
    </row>
    <row r="45251" spans="23:23" x14ac:dyDescent="0.55000000000000004">
      <c r="W45251"/>
    </row>
    <row r="45252" spans="23:23" x14ac:dyDescent="0.55000000000000004">
      <c r="W45252"/>
    </row>
    <row r="45253" spans="23:23" x14ac:dyDescent="0.55000000000000004">
      <c r="W45253"/>
    </row>
    <row r="45254" spans="23:23" x14ac:dyDescent="0.55000000000000004">
      <c r="W45254"/>
    </row>
    <row r="45255" spans="23:23" x14ac:dyDescent="0.55000000000000004">
      <c r="W45255"/>
    </row>
    <row r="45256" spans="23:23" x14ac:dyDescent="0.55000000000000004">
      <c r="W45256"/>
    </row>
    <row r="45257" spans="23:23" x14ac:dyDescent="0.55000000000000004">
      <c r="W45257"/>
    </row>
    <row r="45258" spans="23:23" x14ac:dyDescent="0.55000000000000004">
      <c r="W45258"/>
    </row>
    <row r="45259" spans="23:23" x14ac:dyDescent="0.55000000000000004">
      <c r="W45259"/>
    </row>
    <row r="45260" spans="23:23" x14ac:dyDescent="0.55000000000000004">
      <c r="W45260"/>
    </row>
    <row r="45261" spans="23:23" x14ac:dyDescent="0.55000000000000004">
      <c r="W45261"/>
    </row>
    <row r="45262" spans="23:23" x14ac:dyDescent="0.55000000000000004">
      <c r="W45262"/>
    </row>
    <row r="45263" spans="23:23" x14ac:dyDescent="0.55000000000000004">
      <c r="W45263"/>
    </row>
    <row r="45264" spans="23:23" x14ac:dyDescent="0.55000000000000004">
      <c r="W45264"/>
    </row>
    <row r="45265" spans="23:23" x14ac:dyDescent="0.55000000000000004">
      <c r="W45265"/>
    </row>
    <row r="45266" spans="23:23" x14ac:dyDescent="0.55000000000000004">
      <c r="W45266"/>
    </row>
    <row r="45267" spans="23:23" x14ac:dyDescent="0.55000000000000004">
      <c r="W45267"/>
    </row>
    <row r="45268" spans="23:23" x14ac:dyDescent="0.55000000000000004">
      <c r="W45268"/>
    </row>
    <row r="45269" spans="23:23" x14ac:dyDescent="0.55000000000000004">
      <c r="W45269"/>
    </row>
    <row r="45270" spans="23:23" x14ac:dyDescent="0.55000000000000004">
      <c r="W45270"/>
    </row>
    <row r="45271" spans="23:23" x14ac:dyDescent="0.55000000000000004">
      <c r="W45271"/>
    </row>
    <row r="45272" spans="23:23" x14ac:dyDescent="0.55000000000000004">
      <c r="W45272"/>
    </row>
    <row r="45273" spans="23:23" x14ac:dyDescent="0.55000000000000004">
      <c r="W45273"/>
    </row>
    <row r="45274" spans="23:23" x14ac:dyDescent="0.55000000000000004">
      <c r="W45274"/>
    </row>
    <row r="45275" spans="23:23" x14ac:dyDescent="0.55000000000000004">
      <c r="W45275"/>
    </row>
    <row r="45276" spans="23:23" x14ac:dyDescent="0.55000000000000004">
      <c r="W45276"/>
    </row>
    <row r="45277" spans="23:23" x14ac:dyDescent="0.55000000000000004">
      <c r="W45277"/>
    </row>
    <row r="45278" spans="23:23" x14ac:dyDescent="0.55000000000000004">
      <c r="W45278"/>
    </row>
    <row r="45279" spans="23:23" x14ac:dyDescent="0.55000000000000004">
      <c r="W45279"/>
    </row>
    <row r="45280" spans="23:23" x14ac:dyDescent="0.55000000000000004">
      <c r="W45280"/>
    </row>
    <row r="45281" spans="23:23" x14ac:dyDescent="0.55000000000000004">
      <c r="W45281"/>
    </row>
    <row r="45282" spans="23:23" x14ac:dyDescent="0.55000000000000004">
      <c r="W45282"/>
    </row>
    <row r="45283" spans="23:23" x14ac:dyDescent="0.55000000000000004">
      <c r="W45283"/>
    </row>
    <row r="45284" spans="23:23" x14ac:dyDescent="0.55000000000000004">
      <c r="W45284"/>
    </row>
    <row r="45285" spans="23:23" x14ac:dyDescent="0.55000000000000004">
      <c r="W45285"/>
    </row>
    <row r="45286" spans="23:23" x14ac:dyDescent="0.55000000000000004">
      <c r="W45286"/>
    </row>
    <row r="45287" spans="23:23" x14ac:dyDescent="0.55000000000000004">
      <c r="W45287"/>
    </row>
    <row r="45288" spans="23:23" x14ac:dyDescent="0.55000000000000004">
      <c r="W45288"/>
    </row>
    <row r="45289" spans="23:23" x14ac:dyDescent="0.55000000000000004">
      <c r="W45289"/>
    </row>
    <row r="45290" spans="23:23" x14ac:dyDescent="0.55000000000000004">
      <c r="W45290"/>
    </row>
    <row r="45291" spans="23:23" x14ac:dyDescent="0.55000000000000004">
      <c r="W45291"/>
    </row>
    <row r="45292" spans="23:23" x14ac:dyDescent="0.55000000000000004">
      <c r="W45292"/>
    </row>
    <row r="45293" spans="23:23" x14ac:dyDescent="0.55000000000000004">
      <c r="W45293"/>
    </row>
    <row r="45294" spans="23:23" x14ac:dyDescent="0.55000000000000004">
      <c r="W45294"/>
    </row>
    <row r="45295" spans="23:23" x14ac:dyDescent="0.55000000000000004">
      <c r="W45295"/>
    </row>
    <row r="45296" spans="23:23" x14ac:dyDescent="0.55000000000000004">
      <c r="W45296"/>
    </row>
    <row r="45297" spans="23:23" x14ac:dyDescent="0.55000000000000004">
      <c r="W45297"/>
    </row>
    <row r="45298" spans="23:23" x14ac:dyDescent="0.55000000000000004">
      <c r="W45298"/>
    </row>
    <row r="45299" spans="23:23" x14ac:dyDescent="0.55000000000000004">
      <c r="W45299"/>
    </row>
    <row r="45300" spans="23:23" x14ac:dyDescent="0.55000000000000004">
      <c r="W45300"/>
    </row>
    <row r="45301" spans="23:23" x14ac:dyDescent="0.55000000000000004">
      <c r="W45301"/>
    </row>
    <row r="45302" spans="23:23" x14ac:dyDescent="0.55000000000000004">
      <c r="W45302"/>
    </row>
    <row r="45303" spans="23:23" x14ac:dyDescent="0.55000000000000004">
      <c r="W45303"/>
    </row>
    <row r="45304" spans="23:23" x14ac:dyDescent="0.55000000000000004">
      <c r="W45304"/>
    </row>
    <row r="45305" spans="23:23" x14ac:dyDescent="0.55000000000000004">
      <c r="W45305"/>
    </row>
    <row r="45306" spans="23:23" x14ac:dyDescent="0.55000000000000004">
      <c r="W45306"/>
    </row>
    <row r="45307" spans="23:23" x14ac:dyDescent="0.55000000000000004">
      <c r="W45307"/>
    </row>
    <row r="45308" spans="23:23" x14ac:dyDescent="0.55000000000000004">
      <c r="W45308"/>
    </row>
    <row r="45309" spans="23:23" x14ac:dyDescent="0.55000000000000004">
      <c r="W45309"/>
    </row>
    <row r="45310" spans="23:23" x14ac:dyDescent="0.55000000000000004">
      <c r="W45310"/>
    </row>
    <row r="45311" spans="23:23" x14ac:dyDescent="0.55000000000000004">
      <c r="W45311"/>
    </row>
    <row r="45312" spans="23:23" x14ac:dyDescent="0.55000000000000004">
      <c r="W45312"/>
    </row>
    <row r="45313" spans="23:23" x14ac:dyDescent="0.55000000000000004">
      <c r="W45313"/>
    </row>
    <row r="45314" spans="23:23" x14ac:dyDescent="0.55000000000000004">
      <c r="W45314"/>
    </row>
    <row r="45315" spans="23:23" x14ac:dyDescent="0.55000000000000004">
      <c r="W45315"/>
    </row>
    <row r="45316" spans="23:23" x14ac:dyDescent="0.55000000000000004">
      <c r="W45316"/>
    </row>
    <row r="45317" spans="23:23" x14ac:dyDescent="0.55000000000000004">
      <c r="W45317"/>
    </row>
    <row r="45318" spans="23:23" x14ac:dyDescent="0.55000000000000004">
      <c r="W45318"/>
    </row>
    <row r="45319" spans="23:23" x14ac:dyDescent="0.55000000000000004">
      <c r="W45319"/>
    </row>
    <row r="45320" spans="23:23" x14ac:dyDescent="0.55000000000000004">
      <c r="W45320"/>
    </row>
    <row r="45321" spans="23:23" x14ac:dyDescent="0.55000000000000004">
      <c r="W45321"/>
    </row>
    <row r="45322" spans="23:23" x14ac:dyDescent="0.55000000000000004">
      <c r="W45322"/>
    </row>
    <row r="45323" spans="23:23" x14ac:dyDescent="0.55000000000000004">
      <c r="W45323"/>
    </row>
    <row r="45324" spans="23:23" x14ac:dyDescent="0.55000000000000004">
      <c r="W45324"/>
    </row>
    <row r="45325" spans="23:23" x14ac:dyDescent="0.55000000000000004">
      <c r="W45325"/>
    </row>
    <row r="45326" spans="23:23" x14ac:dyDescent="0.55000000000000004">
      <c r="W45326"/>
    </row>
    <row r="45327" spans="23:23" x14ac:dyDescent="0.55000000000000004">
      <c r="W45327"/>
    </row>
    <row r="45328" spans="23:23" x14ac:dyDescent="0.55000000000000004">
      <c r="W45328"/>
    </row>
    <row r="45329" spans="23:23" x14ac:dyDescent="0.55000000000000004">
      <c r="W45329"/>
    </row>
    <row r="45330" spans="23:23" x14ac:dyDescent="0.55000000000000004">
      <c r="W45330"/>
    </row>
    <row r="45331" spans="23:23" x14ac:dyDescent="0.55000000000000004">
      <c r="W45331"/>
    </row>
    <row r="45332" spans="23:23" x14ac:dyDescent="0.55000000000000004">
      <c r="W45332"/>
    </row>
    <row r="45333" spans="23:23" x14ac:dyDescent="0.55000000000000004">
      <c r="W45333"/>
    </row>
    <row r="45334" spans="23:23" x14ac:dyDescent="0.55000000000000004">
      <c r="W45334"/>
    </row>
    <row r="45335" spans="23:23" x14ac:dyDescent="0.55000000000000004">
      <c r="W45335"/>
    </row>
    <row r="45336" spans="23:23" x14ac:dyDescent="0.55000000000000004">
      <c r="W45336"/>
    </row>
    <row r="45337" spans="23:23" x14ac:dyDescent="0.55000000000000004">
      <c r="W45337"/>
    </row>
    <row r="45338" spans="23:23" x14ac:dyDescent="0.55000000000000004">
      <c r="W45338"/>
    </row>
    <row r="45339" spans="23:23" x14ac:dyDescent="0.55000000000000004">
      <c r="W45339"/>
    </row>
    <row r="45340" spans="23:23" x14ac:dyDescent="0.55000000000000004">
      <c r="W45340"/>
    </row>
    <row r="45341" spans="23:23" x14ac:dyDescent="0.55000000000000004">
      <c r="W45341"/>
    </row>
    <row r="45342" spans="23:23" x14ac:dyDescent="0.55000000000000004">
      <c r="W45342"/>
    </row>
    <row r="45343" spans="23:23" x14ac:dyDescent="0.55000000000000004">
      <c r="W45343"/>
    </row>
    <row r="45344" spans="23:23" x14ac:dyDescent="0.55000000000000004">
      <c r="W45344"/>
    </row>
    <row r="45345" spans="23:23" x14ac:dyDescent="0.55000000000000004">
      <c r="W45345"/>
    </row>
    <row r="45346" spans="23:23" x14ac:dyDescent="0.55000000000000004">
      <c r="W45346"/>
    </row>
    <row r="45347" spans="23:23" x14ac:dyDescent="0.55000000000000004">
      <c r="W45347"/>
    </row>
    <row r="45348" spans="23:23" x14ac:dyDescent="0.55000000000000004">
      <c r="W45348"/>
    </row>
    <row r="45349" spans="23:23" x14ac:dyDescent="0.55000000000000004">
      <c r="W45349"/>
    </row>
    <row r="45350" spans="23:23" x14ac:dyDescent="0.55000000000000004">
      <c r="W45350"/>
    </row>
    <row r="45351" spans="23:23" x14ac:dyDescent="0.55000000000000004">
      <c r="W45351"/>
    </row>
    <row r="45352" spans="23:23" x14ac:dyDescent="0.55000000000000004">
      <c r="W45352"/>
    </row>
    <row r="45353" spans="23:23" x14ac:dyDescent="0.55000000000000004">
      <c r="W45353"/>
    </row>
    <row r="45354" spans="23:23" x14ac:dyDescent="0.55000000000000004">
      <c r="W45354"/>
    </row>
    <row r="45355" spans="23:23" x14ac:dyDescent="0.55000000000000004">
      <c r="W45355"/>
    </row>
    <row r="45356" spans="23:23" x14ac:dyDescent="0.55000000000000004">
      <c r="W45356"/>
    </row>
    <row r="45357" spans="23:23" x14ac:dyDescent="0.55000000000000004">
      <c r="W45357"/>
    </row>
    <row r="45358" spans="23:23" x14ac:dyDescent="0.55000000000000004">
      <c r="W45358"/>
    </row>
    <row r="45359" spans="23:23" x14ac:dyDescent="0.55000000000000004">
      <c r="W45359"/>
    </row>
    <row r="45360" spans="23:23" x14ac:dyDescent="0.55000000000000004">
      <c r="W45360"/>
    </row>
    <row r="45361" spans="23:23" x14ac:dyDescent="0.55000000000000004">
      <c r="W45361"/>
    </row>
    <row r="45362" spans="23:23" x14ac:dyDescent="0.55000000000000004">
      <c r="W45362"/>
    </row>
    <row r="45363" spans="23:23" x14ac:dyDescent="0.55000000000000004">
      <c r="W45363"/>
    </row>
    <row r="45364" spans="23:23" x14ac:dyDescent="0.55000000000000004">
      <c r="W45364"/>
    </row>
    <row r="45365" spans="23:23" x14ac:dyDescent="0.55000000000000004">
      <c r="W45365"/>
    </row>
    <row r="45366" spans="23:23" x14ac:dyDescent="0.55000000000000004">
      <c r="W45366"/>
    </row>
    <row r="45367" spans="23:23" x14ac:dyDescent="0.55000000000000004">
      <c r="W45367"/>
    </row>
    <row r="45368" spans="23:23" x14ac:dyDescent="0.55000000000000004">
      <c r="W45368"/>
    </row>
    <row r="45369" spans="23:23" x14ac:dyDescent="0.55000000000000004">
      <c r="W45369"/>
    </row>
    <row r="45370" spans="23:23" x14ac:dyDescent="0.55000000000000004">
      <c r="W45370"/>
    </row>
    <row r="45371" spans="23:23" x14ac:dyDescent="0.55000000000000004">
      <c r="W45371"/>
    </row>
    <row r="45372" spans="23:23" x14ac:dyDescent="0.55000000000000004">
      <c r="W45372"/>
    </row>
    <row r="45373" spans="23:23" x14ac:dyDescent="0.55000000000000004">
      <c r="W45373"/>
    </row>
    <row r="45374" spans="23:23" x14ac:dyDescent="0.55000000000000004">
      <c r="W45374"/>
    </row>
    <row r="45375" spans="23:23" x14ac:dyDescent="0.55000000000000004">
      <c r="W45375"/>
    </row>
    <row r="45376" spans="23:23" x14ac:dyDescent="0.55000000000000004">
      <c r="W45376"/>
    </row>
    <row r="45377" spans="23:23" x14ac:dyDescent="0.55000000000000004">
      <c r="W45377"/>
    </row>
    <row r="45378" spans="23:23" x14ac:dyDescent="0.55000000000000004">
      <c r="W45378"/>
    </row>
    <row r="45379" spans="23:23" x14ac:dyDescent="0.55000000000000004">
      <c r="W45379"/>
    </row>
    <row r="45380" spans="23:23" x14ac:dyDescent="0.55000000000000004">
      <c r="W45380"/>
    </row>
    <row r="45381" spans="23:23" x14ac:dyDescent="0.55000000000000004">
      <c r="W45381"/>
    </row>
    <row r="45382" spans="23:23" x14ac:dyDescent="0.55000000000000004">
      <c r="W45382"/>
    </row>
    <row r="45383" spans="23:23" x14ac:dyDescent="0.55000000000000004">
      <c r="W45383"/>
    </row>
    <row r="45384" spans="23:23" x14ac:dyDescent="0.55000000000000004">
      <c r="W45384"/>
    </row>
    <row r="45385" spans="23:23" x14ac:dyDescent="0.55000000000000004">
      <c r="W45385"/>
    </row>
    <row r="45386" spans="23:23" x14ac:dyDescent="0.55000000000000004">
      <c r="W45386"/>
    </row>
    <row r="45387" spans="23:23" x14ac:dyDescent="0.55000000000000004">
      <c r="W45387"/>
    </row>
    <row r="45388" spans="23:23" x14ac:dyDescent="0.55000000000000004">
      <c r="W45388"/>
    </row>
    <row r="45389" spans="23:23" x14ac:dyDescent="0.55000000000000004">
      <c r="W45389"/>
    </row>
    <row r="45390" spans="23:23" x14ac:dyDescent="0.55000000000000004">
      <c r="W45390"/>
    </row>
    <row r="45391" spans="23:23" x14ac:dyDescent="0.55000000000000004">
      <c r="W45391"/>
    </row>
    <row r="45392" spans="23:23" x14ac:dyDescent="0.55000000000000004">
      <c r="W45392"/>
    </row>
    <row r="45393" spans="23:23" x14ac:dyDescent="0.55000000000000004">
      <c r="W45393"/>
    </row>
    <row r="45394" spans="23:23" x14ac:dyDescent="0.55000000000000004">
      <c r="W45394"/>
    </row>
    <row r="45395" spans="23:23" x14ac:dyDescent="0.55000000000000004">
      <c r="W45395"/>
    </row>
    <row r="45396" spans="23:23" x14ac:dyDescent="0.55000000000000004">
      <c r="W45396"/>
    </row>
    <row r="45397" spans="23:23" x14ac:dyDescent="0.55000000000000004">
      <c r="W45397"/>
    </row>
    <row r="45398" spans="23:23" x14ac:dyDescent="0.55000000000000004">
      <c r="W45398"/>
    </row>
    <row r="45399" spans="23:23" x14ac:dyDescent="0.55000000000000004">
      <c r="W45399"/>
    </row>
    <row r="45400" spans="23:23" x14ac:dyDescent="0.55000000000000004">
      <c r="W45400"/>
    </row>
    <row r="45401" spans="23:23" x14ac:dyDescent="0.55000000000000004">
      <c r="W45401"/>
    </row>
    <row r="45402" spans="23:23" x14ac:dyDescent="0.55000000000000004">
      <c r="W45402"/>
    </row>
    <row r="45403" spans="23:23" x14ac:dyDescent="0.55000000000000004">
      <c r="W45403"/>
    </row>
    <row r="45404" spans="23:23" x14ac:dyDescent="0.55000000000000004">
      <c r="W45404"/>
    </row>
    <row r="45405" spans="23:23" x14ac:dyDescent="0.55000000000000004">
      <c r="W45405"/>
    </row>
    <row r="45406" spans="23:23" x14ac:dyDescent="0.55000000000000004">
      <c r="W45406"/>
    </row>
    <row r="45407" spans="23:23" x14ac:dyDescent="0.55000000000000004">
      <c r="W45407"/>
    </row>
    <row r="45408" spans="23:23" x14ac:dyDescent="0.55000000000000004">
      <c r="W45408"/>
    </row>
    <row r="45409" spans="23:23" x14ac:dyDescent="0.55000000000000004">
      <c r="W45409"/>
    </row>
    <row r="45410" spans="23:23" x14ac:dyDescent="0.55000000000000004">
      <c r="W45410"/>
    </row>
    <row r="45411" spans="23:23" x14ac:dyDescent="0.55000000000000004">
      <c r="W45411"/>
    </row>
    <row r="45412" spans="23:23" x14ac:dyDescent="0.55000000000000004">
      <c r="W45412"/>
    </row>
    <row r="45413" spans="23:23" x14ac:dyDescent="0.55000000000000004">
      <c r="W45413"/>
    </row>
    <row r="45414" spans="23:23" x14ac:dyDescent="0.55000000000000004">
      <c r="W45414"/>
    </row>
    <row r="45415" spans="23:23" x14ac:dyDescent="0.55000000000000004">
      <c r="W45415"/>
    </row>
    <row r="45416" spans="23:23" x14ac:dyDescent="0.55000000000000004">
      <c r="W45416"/>
    </row>
    <row r="45417" spans="23:23" x14ac:dyDescent="0.55000000000000004">
      <c r="W45417"/>
    </row>
    <row r="45418" spans="23:23" x14ac:dyDescent="0.55000000000000004">
      <c r="W45418"/>
    </row>
    <row r="45419" spans="23:23" x14ac:dyDescent="0.55000000000000004">
      <c r="W45419"/>
    </row>
    <row r="45420" spans="23:23" x14ac:dyDescent="0.55000000000000004">
      <c r="W45420"/>
    </row>
    <row r="45421" spans="23:23" x14ac:dyDescent="0.55000000000000004">
      <c r="W45421"/>
    </row>
    <row r="45422" spans="23:23" x14ac:dyDescent="0.55000000000000004">
      <c r="W45422"/>
    </row>
    <row r="45423" spans="23:23" x14ac:dyDescent="0.55000000000000004">
      <c r="W45423"/>
    </row>
    <row r="45424" spans="23:23" x14ac:dyDescent="0.55000000000000004">
      <c r="W45424"/>
    </row>
    <row r="45425" spans="23:23" x14ac:dyDescent="0.55000000000000004">
      <c r="W45425"/>
    </row>
    <row r="45426" spans="23:23" x14ac:dyDescent="0.55000000000000004">
      <c r="W45426"/>
    </row>
    <row r="45427" spans="23:23" x14ac:dyDescent="0.55000000000000004">
      <c r="W45427"/>
    </row>
    <row r="45428" spans="23:23" x14ac:dyDescent="0.55000000000000004">
      <c r="W45428"/>
    </row>
    <row r="45429" spans="23:23" x14ac:dyDescent="0.55000000000000004">
      <c r="W45429"/>
    </row>
    <row r="45430" spans="23:23" x14ac:dyDescent="0.55000000000000004">
      <c r="W45430"/>
    </row>
    <row r="45431" spans="23:23" x14ac:dyDescent="0.55000000000000004">
      <c r="W45431"/>
    </row>
    <row r="45432" spans="23:23" x14ac:dyDescent="0.55000000000000004">
      <c r="W45432"/>
    </row>
    <row r="45433" spans="23:23" x14ac:dyDescent="0.55000000000000004">
      <c r="W45433"/>
    </row>
    <row r="45434" spans="23:23" x14ac:dyDescent="0.55000000000000004">
      <c r="W45434"/>
    </row>
    <row r="45435" spans="23:23" x14ac:dyDescent="0.55000000000000004">
      <c r="W45435"/>
    </row>
    <row r="45436" spans="23:23" x14ac:dyDescent="0.55000000000000004">
      <c r="W45436"/>
    </row>
    <row r="45437" spans="23:23" x14ac:dyDescent="0.55000000000000004">
      <c r="W45437"/>
    </row>
    <row r="45438" spans="23:23" x14ac:dyDescent="0.55000000000000004">
      <c r="W45438"/>
    </row>
    <row r="45439" spans="23:23" x14ac:dyDescent="0.55000000000000004">
      <c r="W45439"/>
    </row>
    <row r="45440" spans="23:23" x14ac:dyDescent="0.55000000000000004">
      <c r="W45440"/>
    </row>
    <row r="45441" spans="23:23" x14ac:dyDescent="0.55000000000000004">
      <c r="W45441"/>
    </row>
    <row r="45442" spans="23:23" x14ac:dyDescent="0.55000000000000004">
      <c r="W45442"/>
    </row>
    <row r="45443" spans="23:23" x14ac:dyDescent="0.55000000000000004">
      <c r="W45443"/>
    </row>
    <row r="45444" spans="23:23" x14ac:dyDescent="0.55000000000000004">
      <c r="W45444"/>
    </row>
    <row r="45445" spans="23:23" x14ac:dyDescent="0.55000000000000004">
      <c r="W45445"/>
    </row>
    <row r="45446" spans="23:23" x14ac:dyDescent="0.55000000000000004">
      <c r="W45446"/>
    </row>
    <row r="45447" spans="23:23" x14ac:dyDescent="0.55000000000000004">
      <c r="W45447"/>
    </row>
    <row r="45448" spans="23:23" x14ac:dyDescent="0.55000000000000004">
      <c r="W45448"/>
    </row>
    <row r="45449" spans="23:23" x14ac:dyDescent="0.55000000000000004">
      <c r="W45449"/>
    </row>
    <row r="45450" spans="23:23" x14ac:dyDescent="0.55000000000000004">
      <c r="W45450"/>
    </row>
    <row r="45451" spans="23:23" x14ac:dyDescent="0.55000000000000004">
      <c r="W45451"/>
    </row>
    <row r="45452" spans="23:23" x14ac:dyDescent="0.55000000000000004">
      <c r="W45452"/>
    </row>
    <row r="45453" spans="23:23" x14ac:dyDescent="0.55000000000000004">
      <c r="W45453"/>
    </row>
    <row r="45454" spans="23:23" x14ac:dyDescent="0.55000000000000004">
      <c r="W45454"/>
    </row>
    <row r="45455" spans="23:23" x14ac:dyDescent="0.55000000000000004">
      <c r="W45455"/>
    </row>
    <row r="45456" spans="23:23" x14ac:dyDescent="0.55000000000000004">
      <c r="W45456"/>
    </row>
    <row r="45457" spans="23:23" x14ac:dyDescent="0.55000000000000004">
      <c r="W45457"/>
    </row>
    <row r="45458" spans="23:23" x14ac:dyDescent="0.55000000000000004">
      <c r="W45458"/>
    </row>
    <row r="45459" spans="23:23" x14ac:dyDescent="0.55000000000000004">
      <c r="W45459"/>
    </row>
    <row r="45460" spans="23:23" x14ac:dyDescent="0.55000000000000004">
      <c r="W45460"/>
    </row>
    <row r="45461" spans="23:23" x14ac:dyDescent="0.55000000000000004">
      <c r="W45461"/>
    </row>
    <row r="45462" spans="23:23" x14ac:dyDescent="0.55000000000000004">
      <c r="W45462"/>
    </row>
    <row r="45463" spans="23:23" x14ac:dyDescent="0.55000000000000004">
      <c r="W45463"/>
    </row>
    <row r="45464" spans="23:23" x14ac:dyDescent="0.55000000000000004">
      <c r="W45464"/>
    </row>
    <row r="45465" spans="23:23" x14ac:dyDescent="0.55000000000000004">
      <c r="W45465"/>
    </row>
    <row r="45466" spans="23:23" x14ac:dyDescent="0.55000000000000004">
      <c r="W45466"/>
    </row>
    <row r="45467" spans="23:23" x14ac:dyDescent="0.55000000000000004">
      <c r="W45467"/>
    </row>
    <row r="45468" spans="23:23" x14ac:dyDescent="0.55000000000000004">
      <c r="W45468"/>
    </row>
    <row r="45469" spans="23:23" x14ac:dyDescent="0.55000000000000004">
      <c r="W45469"/>
    </row>
    <row r="45470" spans="23:23" x14ac:dyDescent="0.55000000000000004">
      <c r="W45470"/>
    </row>
    <row r="45471" spans="23:23" x14ac:dyDescent="0.55000000000000004">
      <c r="W45471"/>
    </row>
    <row r="45472" spans="23:23" x14ac:dyDescent="0.55000000000000004">
      <c r="W45472"/>
    </row>
    <row r="45473" spans="23:23" x14ac:dyDescent="0.55000000000000004">
      <c r="W45473"/>
    </row>
    <row r="45474" spans="23:23" x14ac:dyDescent="0.55000000000000004">
      <c r="W45474"/>
    </row>
    <row r="45475" spans="23:23" x14ac:dyDescent="0.55000000000000004">
      <c r="W45475"/>
    </row>
    <row r="45476" spans="23:23" x14ac:dyDescent="0.55000000000000004">
      <c r="W45476"/>
    </row>
    <row r="45477" spans="23:23" x14ac:dyDescent="0.55000000000000004">
      <c r="W45477"/>
    </row>
    <row r="45478" spans="23:23" x14ac:dyDescent="0.55000000000000004">
      <c r="W45478"/>
    </row>
    <row r="45479" spans="23:23" x14ac:dyDescent="0.55000000000000004">
      <c r="W45479"/>
    </row>
    <row r="45480" spans="23:23" x14ac:dyDescent="0.55000000000000004">
      <c r="W45480"/>
    </row>
    <row r="45481" spans="23:23" x14ac:dyDescent="0.55000000000000004">
      <c r="W45481"/>
    </row>
    <row r="45482" spans="23:23" x14ac:dyDescent="0.55000000000000004">
      <c r="W45482"/>
    </row>
    <row r="45483" spans="23:23" x14ac:dyDescent="0.55000000000000004">
      <c r="W45483"/>
    </row>
    <row r="45484" spans="23:23" x14ac:dyDescent="0.55000000000000004">
      <c r="W45484"/>
    </row>
    <row r="45485" spans="23:23" x14ac:dyDescent="0.55000000000000004">
      <c r="W45485"/>
    </row>
    <row r="45486" spans="23:23" x14ac:dyDescent="0.55000000000000004">
      <c r="W45486"/>
    </row>
    <row r="45487" spans="23:23" x14ac:dyDescent="0.55000000000000004">
      <c r="W45487"/>
    </row>
    <row r="45488" spans="23:23" x14ac:dyDescent="0.55000000000000004">
      <c r="W45488"/>
    </row>
    <row r="45489" spans="23:23" x14ac:dyDescent="0.55000000000000004">
      <c r="W45489"/>
    </row>
    <row r="45490" spans="23:23" x14ac:dyDescent="0.55000000000000004">
      <c r="W45490"/>
    </row>
    <row r="45491" spans="23:23" x14ac:dyDescent="0.55000000000000004">
      <c r="W45491"/>
    </row>
    <row r="45492" spans="23:23" x14ac:dyDescent="0.55000000000000004">
      <c r="W45492"/>
    </row>
    <row r="45493" spans="23:23" x14ac:dyDescent="0.55000000000000004">
      <c r="W45493"/>
    </row>
    <row r="45494" spans="23:23" x14ac:dyDescent="0.55000000000000004">
      <c r="W45494"/>
    </row>
    <row r="45495" spans="23:23" x14ac:dyDescent="0.55000000000000004">
      <c r="W45495"/>
    </row>
    <row r="45496" spans="23:23" x14ac:dyDescent="0.55000000000000004">
      <c r="W45496"/>
    </row>
    <row r="45497" spans="23:23" x14ac:dyDescent="0.55000000000000004">
      <c r="W45497"/>
    </row>
    <row r="45498" spans="23:23" x14ac:dyDescent="0.55000000000000004">
      <c r="W45498"/>
    </row>
    <row r="45499" spans="23:23" x14ac:dyDescent="0.55000000000000004">
      <c r="W45499"/>
    </row>
    <row r="45500" spans="23:23" x14ac:dyDescent="0.55000000000000004">
      <c r="W45500"/>
    </row>
    <row r="45501" spans="23:23" x14ac:dyDescent="0.55000000000000004">
      <c r="W45501"/>
    </row>
    <row r="45502" spans="23:23" x14ac:dyDescent="0.55000000000000004">
      <c r="W45502"/>
    </row>
    <row r="45503" spans="23:23" x14ac:dyDescent="0.55000000000000004">
      <c r="W45503"/>
    </row>
    <row r="45504" spans="23:23" x14ac:dyDescent="0.55000000000000004">
      <c r="W45504"/>
    </row>
    <row r="45505" spans="23:23" x14ac:dyDescent="0.55000000000000004">
      <c r="W45505"/>
    </row>
    <row r="45506" spans="23:23" x14ac:dyDescent="0.55000000000000004">
      <c r="W45506"/>
    </row>
    <row r="45507" spans="23:23" x14ac:dyDescent="0.55000000000000004">
      <c r="W45507"/>
    </row>
    <row r="45508" spans="23:23" x14ac:dyDescent="0.55000000000000004">
      <c r="W45508"/>
    </row>
    <row r="45509" spans="23:23" x14ac:dyDescent="0.55000000000000004">
      <c r="W45509"/>
    </row>
    <row r="45510" spans="23:23" x14ac:dyDescent="0.55000000000000004">
      <c r="W45510"/>
    </row>
    <row r="45511" spans="23:23" x14ac:dyDescent="0.55000000000000004">
      <c r="W45511"/>
    </row>
    <row r="45512" spans="23:23" x14ac:dyDescent="0.55000000000000004">
      <c r="W45512"/>
    </row>
    <row r="45513" spans="23:23" x14ac:dyDescent="0.55000000000000004">
      <c r="W45513"/>
    </row>
    <row r="45514" spans="23:23" x14ac:dyDescent="0.55000000000000004">
      <c r="W45514"/>
    </row>
    <row r="45515" spans="23:23" x14ac:dyDescent="0.55000000000000004">
      <c r="W45515"/>
    </row>
    <row r="45516" spans="23:23" x14ac:dyDescent="0.55000000000000004">
      <c r="W45516"/>
    </row>
    <row r="45517" spans="23:23" x14ac:dyDescent="0.55000000000000004">
      <c r="W45517"/>
    </row>
    <row r="45518" spans="23:23" x14ac:dyDescent="0.55000000000000004">
      <c r="W45518"/>
    </row>
    <row r="45519" spans="23:23" x14ac:dyDescent="0.55000000000000004">
      <c r="W45519"/>
    </row>
    <row r="45520" spans="23:23" x14ac:dyDescent="0.55000000000000004">
      <c r="W45520"/>
    </row>
    <row r="45521" spans="23:23" x14ac:dyDescent="0.55000000000000004">
      <c r="W45521"/>
    </row>
    <row r="45522" spans="23:23" x14ac:dyDescent="0.55000000000000004">
      <c r="W45522"/>
    </row>
    <row r="45523" spans="23:23" x14ac:dyDescent="0.55000000000000004">
      <c r="W45523"/>
    </row>
    <row r="45524" spans="23:23" x14ac:dyDescent="0.55000000000000004">
      <c r="W45524"/>
    </row>
    <row r="45525" spans="23:23" x14ac:dyDescent="0.55000000000000004">
      <c r="W45525"/>
    </row>
    <row r="45526" spans="23:23" x14ac:dyDescent="0.55000000000000004">
      <c r="W45526"/>
    </row>
    <row r="45527" spans="23:23" x14ac:dyDescent="0.55000000000000004">
      <c r="W45527"/>
    </row>
    <row r="45528" spans="23:23" x14ac:dyDescent="0.55000000000000004">
      <c r="W45528"/>
    </row>
    <row r="45529" spans="23:23" x14ac:dyDescent="0.55000000000000004">
      <c r="W45529"/>
    </row>
    <row r="45530" spans="23:23" x14ac:dyDescent="0.55000000000000004">
      <c r="W45530"/>
    </row>
    <row r="45531" spans="23:23" x14ac:dyDescent="0.55000000000000004">
      <c r="W45531"/>
    </row>
    <row r="45532" spans="23:23" x14ac:dyDescent="0.55000000000000004">
      <c r="W45532"/>
    </row>
    <row r="45533" spans="23:23" x14ac:dyDescent="0.55000000000000004">
      <c r="W45533"/>
    </row>
    <row r="45534" spans="23:23" x14ac:dyDescent="0.55000000000000004">
      <c r="W45534"/>
    </row>
    <row r="45535" spans="23:23" x14ac:dyDescent="0.55000000000000004">
      <c r="W45535"/>
    </row>
    <row r="45536" spans="23:23" x14ac:dyDescent="0.55000000000000004">
      <c r="W45536"/>
    </row>
    <row r="45537" spans="23:23" x14ac:dyDescent="0.55000000000000004">
      <c r="W45537"/>
    </row>
    <row r="45538" spans="23:23" x14ac:dyDescent="0.55000000000000004">
      <c r="W45538"/>
    </row>
    <row r="45539" spans="23:23" x14ac:dyDescent="0.55000000000000004">
      <c r="W45539"/>
    </row>
    <row r="45540" spans="23:23" x14ac:dyDescent="0.55000000000000004">
      <c r="W45540"/>
    </row>
    <row r="45541" spans="23:23" x14ac:dyDescent="0.55000000000000004">
      <c r="W45541"/>
    </row>
    <row r="45542" spans="23:23" x14ac:dyDescent="0.55000000000000004">
      <c r="W45542"/>
    </row>
    <row r="45543" spans="23:23" x14ac:dyDescent="0.55000000000000004">
      <c r="W45543"/>
    </row>
    <row r="45544" spans="23:23" x14ac:dyDescent="0.55000000000000004">
      <c r="W45544"/>
    </row>
    <row r="45545" spans="23:23" x14ac:dyDescent="0.55000000000000004">
      <c r="W45545"/>
    </row>
    <row r="45546" spans="23:23" x14ac:dyDescent="0.55000000000000004">
      <c r="W45546"/>
    </row>
    <row r="45547" spans="23:23" x14ac:dyDescent="0.55000000000000004">
      <c r="W45547"/>
    </row>
    <row r="45548" spans="23:23" x14ac:dyDescent="0.55000000000000004">
      <c r="W45548"/>
    </row>
    <row r="45549" spans="23:23" x14ac:dyDescent="0.55000000000000004">
      <c r="W45549"/>
    </row>
    <row r="45550" spans="23:23" x14ac:dyDescent="0.55000000000000004">
      <c r="W45550"/>
    </row>
    <row r="45551" spans="23:23" x14ac:dyDescent="0.55000000000000004">
      <c r="W45551"/>
    </row>
    <row r="45552" spans="23:23" x14ac:dyDescent="0.55000000000000004">
      <c r="W45552"/>
    </row>
    <row r="45553" spans="23:23" x14ac:dyDescent="0.55000000000000004">
      <c r="W45553"/>
    </row>
    <row r="45554" spans="23:23" x14ac:dyDescent="0.55000000000000004">
      <c r="W45554"/>
    </row>
    <row r="45555" spans="23:23" x14ac:dyDescent="0.55000000000000004">
      <c r="W45555"/>
    </row>
    <row r="45556" spans="23:23" x14ac:dyDescent="0.55000000000000004">
      <c r="W45556"/>
    </row>
    <row r="45557" spans="23:23" x14ac:dyDescent="0.55000000000000004">
      <c r="W45557"/>
    </row>
    <row r="45558" spans="23:23" x14ac:dyDescent="0.55000000000000004">
      <c r="W45558"/>
    </row>
    <row r="45559" spans="23:23" x14ac:dyDescent="0.55000000000000004">
      <c r="W45559"/>
    </row>
    <row r="45560" spans="23:23" x14ac:dyDescent="0.55000000000000004">
      <c r="W45560"/>
    </row>
    <row r="45561" spans="23:23" x14ac:dyDescent="0.55000000000000004">
      <c r="W45561"/>
    </row>
    <row r="45562" spans="23:23" x14ac:dyDescent="0.55000000000000004">
      <c r="W45562"/>
    </row>
    <row r="45563" spans="23:23" x14ac:dyDescent="0.55000000000000004">
      <c r="W45563"/>
    </row>
    <row r="45564" spans="23:23" x14ac:dyDescent="0.55000000000000004">
      <c r="W45564"/>
    </row>
    <row r="45565" spans="23:23" x14ac:dyDescent="0.55000000000000004">
      <c r="W45565"/>
    </row>
    <row r="45566" spans="23:23" x14ac:dyDescent="0.55000000000000004">
      <c r="W45566"/>
    </row>
    <row r="45567" spans="23:23" x14ac:dyDescent="0.55000000000000004">
      <c r="W45567"/>
    </row>
    <row r="45568" spans="23:23" x14ac:dyDescent="0.55000000000000004">
      <c r="W45568"/>
    </row>
    <row r="45569" spans="23:23" x14ac:dyDescent="0.55000000000000004">
      <c r="W45569"/>
    </row>
    <row r="45570" spans="23:23" x14ac:dyDescent="0.55000000000000004">
      <c r="W45570"/>
    </row>
    <row r="45571" spans="23:23" x14ac:dyDescent="0.55000000000000004">
      <c r="W45571"/>
    </row>
    <row r="45572" spans="23:23" x14ac:dyDescent="0.55000000000000004">
      <c r="W45572"/>
    </row>
    <row r="45573" spans="23:23" x14ac:dyDescent="0.55000000000000004">
      <c r="W45573"/>
    </row>
    <row r="45574" spans="23:23" x14ac:dyDescent="0.55000000000000004">
      <c r="W45574"/>
    </row>
    <row r="45575" spans="23:23" x14ac:dyDescent="0.55000000000000004">
      <c r="W45575"/>
    </row>
    <row r="45576" spans="23:23" x14ac:dyDescent="0.55000000000000004">
      <c r="W45576"/>
    </row>
    <row r="45577" spans="23:23" x14ac:dyDescent="0.55000000000000004">
      <c r="W45577"/>
    </row>
    <row r="45578" spans="23:23" x14ac:dyDescent="0.55000000000000004">
      <c r="W45578"/>
    </row>
    <row r="45579" spans="23:23" x14ac:dyDescent="0.55000000000000004">
      <c r="W45579"/>
    </row>
    <row r="45580" spans="23:23" x14ac:dyDescent="0.55000000000000004">
      <c r="W45580"/>
    </row>
    <row r="45581" spans="23:23" x14ac:dyDescent="0.55000000000000004">
      <c r="W45581"/>
    </row>
    <row r="45582" spans="23:23" x14ac:dyDescent="0.55000000000000004">
      <c r="W45582"/>
    </row>
    <row r="45583" spans="23:23" x14ac:dyDescent="0.55000000000000004">
      <c r="W45583"/>
    </row>
    <row r="45584" spans="23:23" x14ac:dyDescent="0.55000000000000004">
      <c r="W45584"/>
    </row>
    <row r="45585" spans="23:23" x14ac:dyDescent="0.55000000000000004">
      <c r="W45585"/>
    </row>
    <row r="45586" spans="23:23" x14ac:dyDescent="0.55000000000000004">
      <c r="W45586"/>
    </row>
    <row r="45587" spans="23:23" x14ac:dyDescent="0.55000000000000004">
      <c r="W45587"/>
    </row>
    <row r="45588" spans="23:23" x14ac:dyDescent="0.55000000000000004">
      <c r="W45588"/>
    </row>
    <row r="45589" spans="23:23" x14ac:dyDescent="0.55000000000000004">
      <c r="W45589"/>
    </row>
    <row r="45590" spans="23:23" x14ac:dyDescent="0.55000000000000004">
      <c r="W45590"/>
    </row>
    <row r="45591" spans="23:23" x14ac:dyDescent="0.55000000000000004">
      <c r="W45591"/>
    </row>
    <row r="45592" spans="23:23" x14ac:dyDescent="0.55000000000000004">
      <c r="W45592"/>
    </row>
    <row r="45593" spans="23:23" x14ac:dyDescent="0.55000000000000004">
      <c r="W45593"/>
    </row>
    <row r="45594" spans="23:23" x14ac:dyDescent="0.55000000000000004">
      <c r="W45594"/>
    </row>
    <row r="45595" spans="23:23" x14ac:dyDescent="0.55000000000000004">
      <c r="W45595"/>
    </row>
    <row r="45596" spans="23:23" x14ac:dyDescent="0.55000000000000004">
      <c r="W45596"/>
    </row>
    <row r="45597" spans="23:23" x14ac:dyDescent="0.55000000000000004">
      <c r="W45597"/>
    </row>
    <row r="45598" spans="23:23" x14ac:dyDescent="0.55000000000000004">
      <c r="W45598"/>
    </row>
    <row r="45599" spans="23:23" x14ac:dyDescent="0.55000000000000004">
      <c r="W45599"/>
    </row>
    <row r="45600" spans="23:23" x14ac:dyDescent="0.55000000000000004">
      <c r="W45600"/>
    </row>
    <row r="45601" spans="23:23" x14ac:dyDescent="0.55000000000000004">
      <c r="W45601"/>
    </row>
    <row r="45602" spans="23:23" x14ac:dyDescent="0.55000000000000004">
      <c r="W45602"/>
    </row>
    <row r="45603" spans="23:23" x14ac:dyDescent="0.55000000000000004">
      <c r="W45603"/>
    </row>
    <row r="45604" spans="23:23" x14ac:dyDescent="0.55000000000000004">
      <c r="W45604"/>
    </row>
    <row r="45605" spans="23:23" x14ac:dyDescent="0.55000000000000004">
      <c r="W45605"/>
    </row>
    <row r="45606" spans="23:23" x14ac:dyDescent="0.55000000000000004">
      <c r="W45606"/>
    </row>
    <row r="45607" spans="23:23" x14ac:dyDescent="0.55000000000000004">
      <c r="W45607"/>
    </row>
    <row r="45608" spans="23:23" x14ac:dyDescent="0.55000000000000004">
      <c r="W45608"/>
    </row>
    <row r="45609" spans="23:23" x14ac:dyDescent="0.55000000000000004">
      <c r="W45609"/>
    </row>
    <row r="45610" spans="23:23" x14ac:dyDescent="0.55000000000000004">
      <c r="W45610"/>
    </row>
    <row r="45611" spans="23:23" x14ac:dyDescent="0.55000000000000004">
      <c r="W45611"/>
    </row>
    <row r="45612" spans="23:23" x14ac:dyDescent="0.55000000000000004">
      <c r="W45612"/>
    </row>
    <row r="45613" spans="23:23" x14ac:dyDescent="0.55000000000000004">
      <c r="W45613"/>
    </row>
    <row r="45614" spans="23:23" x14ac:dyDescent="0.55000000000000004">
      <c r="W45614"/>
    </row>
    <row r="45615" spans="23:23" x14ac:dyDescent="0.55000000000000004">
      <c r="W45615"/>
    </row>
    <row r="45616" spans="23:23" x14ac:dyDescent="0.55000000000000004">
      <c r="W45616"/>
    </row>
    <row r="45617" spans="23:23" x14ac:dyDescent="0.55000000000000004">
      <c r="W45617"/>
    </row>
    <row r="45618" spans="23:23" x14ac:dyDescent="0.55000000000000004">
      <c r="W45618"/>
    </row>
    <row r="45619" spans="23:23" x14ac:dyDescent="0.55000000000000004">
      <c r="W45619"/>
    </row>
    <row r="45620" spans="23:23" x14ac:dyDescent="0.55000000000000004">
      <c r="W45620"/>
    </row>
    <row r="45621" spans="23:23" x14ac:dyDescent="0.55000000000000004">
      <c r="W45621"/>
    </row>
    <row r="45622" spans="23:23" x14ac:dyDescent="0.55000000000000004">
      <c r="W45622"/>
    </row>
    <row r="45623" spans="23:23" x14ac:dyDescent="0.55000000000000004">
      <c r="W45623"/>
    </row>
    <row r="45624" spans="23:23" x14ac:dyDescent="0.55000000000000004">
      <c r="W45624"/>
    </row>
    <row r="45625" spans="23:23" x14ac:dyDescent="0.55000000000000004">
      <c r="W45625"/>
    </row>
    <row r="45626" spans="23:23" x14ac:dyDescent="0.55000000000000004">
      <c r="W45626"/>
    </row>
    <row r="45627" spans="23:23" x14ac:dyDescent="0.55000000000000004">
      <c r="W45627"/>
    </row>
    <row r="45628" spans="23:23" x14ac:dyDescent="0.55000000000000004">
      <c r="W45628"/>
    </row>
    <row r="45629" spans="23:23" x14ac:dyDescent="0.55000000000000004">
      <c r="W45629"/>
    </row>
    <row r="45630" spans="23:23" x14ac:dyDescent="0.55000000000000004">
      <c r="W45630"/>
    </row>
    <row r="45631" spans="23:23" x14ac:dyDescent="0.55000000000000004">
      <c r="W45631"/>
    </row>
    <row r="45632" spans="23:23" x14ac:dyDescent="0.55000000000000004">
      <c r="W45632"/>
    </row>
    <row r="45633" spans="23:23" x14ac:dyDescent="0.55000000000000004">
      <c r="W45633"/>
    </row>
    <row r="45634" spans="23:23" x14ac:dyDescent="0.55000000000000004">
      <c r="W45634"/>
    </row>
    <row r="45635" spans="23:23" x14ac:dyDescent="0.55000000000000004">
      <c r="W45635"/>
    </row>
    <row r="45636" spans="23:23" x14ac:dyDescent="0.55000000000000004">
      <c r="W45636"/>
    </row>
    <row r="45637" spans="23:23" x14ac:dyDescent="0.55000000000000004">
      <c r="W45637"/>
    </row>
    <row r="45638" spans="23:23" x14ac:dyDescent="0.55000000000000004">
      <c r="W45638"/>
    </row>
    <row r="45639" spans="23:23" x14ac:dyDescent="0.55000000000000004">
      <c r="W45639"/>
    </row>
    <row r="45640" spans="23:23" x14ac:dyDescent="0.55000000000000004">
      <c r="W45640"/>
    </row>
    <row r="45641" spans="23:23" x14ac:dyDescent="0.55000000000000004">
      <c r="W45641"/>
    </row>
    <row r="45642" spans="23:23" x14ac:dyDescent="0.55000000000000004">
      <c r="W45642"/>
    </row>
    <row r="45643" spans="23:23" x14ac:dyDescent="0.55000000000000004">
      <c r="W45643"/>
    </row>
    <row r="45644" spans="23:23" x14ac:dyDescent="0.55000000000000004">
      <c r="W45644"/>
    </row>
    <row r="45645" spans="23:23" x14ac:dyDescent="0.55000000000000004">
      <c r="W45645"/>
    </row>
    <row r="45646" spans="23:23" x14ac:dyDescent="0.55000000000000004">
      <c r="W45646"/>
    </row>
    <row r="45647" spans="23:23" x14ac:dyDescent="0.55000000000000004">
      <c r="W45647"/>
    </row>
    <row r="45648" spans="23:23" x14ac:dyDescent="0.55000000000000004">
      <c r="W45648"/>
    </row>
    <row r="45649" spans="23:23" x14ac:dyDescent="0.55000000000000004">
      <c r="W45649"/>
    </row>
    <row r="45650" spans="23:23" x14ac:dyDescent="0.55000000000000004">
      <c r="W45650"/>
    </row>
    <row r="45651" spans="23:23" x14ac:dyDescent="0.55000000000000004">
      <c r="W45651"/>
    </row>
    <row r="45652" spans="23:23" x14ac:dyDescent="0.55000000000000004">
      <c r="W45652"/>
    </row>
    <row r="45653" spans="23:23" x14ac:dyDescent="0.55000000000000004">
      <c r="W45653"/>
    </row>
    <row r="45654" spans="23:23" x14ac:dyDescent="0.55000000000000004">
      <c r="W45654"/>
    </row>
    <row r="45655" spans="23:23" x14ac:dyDescent="0.55000000000000004">
      <c r="W45655"/>
    </row>
    <row r="45656" spans="23:23" x14ac:dyDescent="0.55000000000000004">
      <c r="W45656"/>
    </row>
    <row r="45657" spans="23:23" x14ac:dyDescent="0.55000000000000004">
      <c r="W45657"/>
    </row>
    <row r="45658" spans="23:23" x14ac:dyDescent="0.55000000000000004">
      <c r="W45658"/>
    </row>
    <row r="45659" spans="23:23" x14ac:dyDescent="0.55000000000000004">
      <c r="W45659"/>
    </row>
    <row r="45660" spans="23:23" x14ac:dyDescent="0.55000000000000004">
      <c r="W45660"/>
    </row>
    <row r="45661" spans="23:23" x14ac:dyDescent="0.55000000000000004">
      <c r="W45661"/>
    </row>
    <row r="45662" spans="23:23" x14ac:dyDescent="0.55000000000000004">
      <c r="W45662"/>
    </row>
    <row r="45663" spans="23:23" x14ac:dyDescent="0.55000000000000004">
      <c r="W45663"/>
    </row>
    <row r="45664" spans="23:23" x14ac:dyDescent="0.55000000000000004">
      <c r="W45664"/>
    </row>
    <row r="45665" spans="23:23" x14ac:dyDescent="0.55000000000000004">
      <c r="W45665"/>
    </row>
    <row r="45666" spans="23:23" x14ac:dyDescent="0.55000000000000004">
      <c r="W45666"/>
    </row>
    <row r="45667" spans="23:23" x14ac:dyDescent="0.55000000000000004">
      <c r="W45667"/>
    </row>
    <row r="45668" spans="23:23" x14ac:dyDescent="0.55000000000000004">
      <c r="W45668"/>
    </row>
    <row r="45669" spans="23:23" x14ac:dyDescent="0.55000000000000004">
      <c r="W45669"/>
    </row>
    <row r="45670" spans="23:23" x14ac:dyDescent="0.55000000000000004">
      <c r="W45670"/>
    </row>
    <row r="45671" spans="23:23" x14ac:dyDescent="0.55000000000000004">
      <c r="W45671"/>
    </row>
    <row r="45672" spans="23:23" x14ac:dyDescent="0.55000000000000004">
      <c r="W45672"/>
    </row>
    <row r="45673" spans="23:23" x14ac:dyDescent="0.55000000000000004">
      <c r="W45673"/>
    </row>
    <row r="45674" spans="23:23" x14ac:dyDescent="0.55000000000000004">
      <c r="W45674"/>
    </row>
    <row r="45675" spans="23:23" x14ac:dyDescent="0.55000000000000004">
      <c r="W45675"/>
    </row>
    <row r="45676" spans="23:23" x14ac:dyDescent="0.55000000000000004">
      <c r="W45676"/>
    </row>
    <row r="45677" spans="23:23" x14ac:dyDescent="0.55000000000000004">
      <c r="W45677"/>
    </row>
    <row r="45678" spans="23:23" x14ac:dyDescent="0.55000000000000004">
      <c r="W45678"/>
    </row>
    <row r="45679" spans="23:23" x14ac:dyDescent="0.55000000000000004">
      <c r="W45679"/>
    </row>
    <row r="45680" spans="23:23" x14ac:dyDescent="0.55000000000000004">
      <c r="W45680"/>
    </row>
    <row r="45681" spans="23:23" x14ac:dyDescent="0.55000000000000004">
      <c r="W45681"/>
    </row>
    <row r="45682" spans="23:23" x14ac:dyDescent="0.55000000000000004">
      <c r="W45682"/>
    </row>
    <row r="45683" spans="23:23" x14ac:dyDescent="0.55000000000000004">
      <c r="W45683"/>
    </row>
    <row r="45684" spans="23:23" x14ac:dyDescent="0.55000000000000004">
      <c r="W45684"/>
    </row>
    <row r="45685" spans="23:23" x14ac:dyDescent="0.55000000000000004">
      <c r="W45685"/>
    </row>
    <row r="45686" spans="23:23" x14ac:dyDescent="0.55000000000000004">
      <c r="W45686"/>
    </row>
    <row r="45687" spans="23:23" x14ac:dyDescent="0.55000000000000004">
      <c r="W45687"/>
    </row>
    <row r="45688" spans="23:23" x14ac:dyDescent="0.55000000000000004">
      <c r="W45688"/>
    </row>
    <row r="45689" spans="23:23" x14ac:dyDescent="0.55000000000000004">
      <c r="W45689"/>
    </row>
    <row r="45690" spans="23:23" x14ac:dyDescent="0.55000000000000004">
      <c r="W45690"/>
    </row>
    <row r="45691" spans="23:23" x14ac:dyDescent="0.55000000000000004">
      <c r="W45691"/>
    </row>
    <row r="45692" spans="23:23" x14ac:dyDescent="0.55000000000000004">
      <c r="W45692"/>
    </row>
    <row r="45693" spans="23:23" x14ac:dyDescent="0.55000000000000004">
      <c r="W45693"/>
    </row>
    <row r="45694" spans="23:23" x14ac:dyDescent="0.55000000000000004">
      <c r="W45694"/>
    </row>
    <row r="45695" spans="23:23" x14ac:dyDescent="0.55000000000000004">
      <c r="W45695"/>
    </row>
    <row r="45696" spans="23:23" x14ac:dyDescent="0.55000000000000004">
      <c r="W45696"/>
    </row>
    <row r="45697" spans="23:23" x14ac:dyDescent="0.55000000000000004">
      <c r="W45697"/>
    </row>
    <row r="45698" spans="23:23" x14ac:dyDescent="0.55000000000000004">
      <c r="W45698"/>
    </row>
    <row r="45699" spans="23:23" x14ac:dyDescent="0.55000000000000004">
      <c r="W45699"/>
    </row>
    <row r="45700" spans="23:23" x14ac:dyDescent="0.55000000000000004">
      <c r="W45700"/>
    </row>
    <row r="45701" spans="23:23" x14ac:dyDescent="0.55000000000000004">
      <c r="W45701"/>
    </row>
    <row r="45702" spans="23:23" x14ac:dyDescent="0.55000000000000004">
      <c r="W45702"/>
    </row>
    <row r="45703" spans="23:23" x14ac:dyDescent="0.55000000000000004">
      <c r="W45703"/>
    </row>
    <row r="45704" spans="23:23" x14ac:dyDescent="0.55000000000000004">
      <c r="W45704"/>
    </row>
    <row r="45705" spans="23:23" x14ac:dyDescent="0.55000000000000004">
      <c r="W45705"/>
    </row>
    <row r="45706" spans="23:23" x14ac:dyDescent="0.55000000000000004">
      <c r="W45706"/>
    </row>
    <row r="45707" spans="23:23" x14ac:dyDescent="0.55000000000000004">
      <c r="W45707"/>
    </row>
    <row r="45708" spans="23:23" x14ac:dyDescent="0.55000000000000004">
      <c r="W45708"/>
    </row>
    <row r="45709" spans="23:23" x14ac:dyDescent="0.55000000000000004">
      <c r="W45709"/>
    </row>
    <row r="45710" spans="23:23" x14ac:dyDescent="0.55000000000000004">
      <c r="W45710"/>
    </row>
    <row r="45711" spans="23:23" x14ac:dyDescent="0.55000000000000004">
      <c r="W45711"/>
    </row>
    <row r="45712" spans="23:23" x14ac:dyDescent="0.55000000000000004">
      <c r="W45712"/>
    </row>
    <row r="45713" spans="23:23" x14ac:dyDescent="0.55000000000000004">
      <c r="W45713"/>
    </row>
    <row r="45714" spans="23:23" x14ac:dyDescent="0.55000000000000004">
      <c r="W45714"/>
    </row>
    <row r="45715" spans="23:23" x14ac:dyDescent="0.55000000000000004">
      <c r="W45715"/>
    </row>
    <row r="45716" spans="23:23" x14ac:dyDescent="0.55000000000000004">
      <c r="W45716"/>
    </row>
    <row r="45717" spans="23:23" x14ac:dyDescent="0.55000000000000004">
      <c r="W45717"/>
    </row>
    <row r="45718" spans="23:23" x14ac:dyDescent="0.55000000000000004">
      <c r="W45718"/>
    </row>
    <row r="45719" spans="23:23" x14ac:dyDescent="0.55000000000000004">
      <c r="W45719"/>
    </row>
    <row r="45720" spans="23:23" x14ac:dyDescent="0.55000000000000004">
      <c r="W45720"/>
    </row>
    <row r="45721" spans="23:23" x14ac:dyDescent="0.55000000000000004">
      <c r="W45721"/>
    </row>
    <row r="45722" spans="23:23" x14ac:dyDescent="0.55000000000000004">
      <c r="W45722"/>
    </row>
    <row r="45723" spans="23:23" x14ac:dyDescent="0.55000000000000004">
      <c r="W45723"/>
    </row>
    <row r="45724" spans="23:23" x14ac:dyDescent="0.55000000000000004">
      <c r="W45724"/>
    </row>
    <row r="45725" spans="23:23" x14ac:dyDescent="0.55000000000000004">
      <c r="W45725"/>
    </row>
    <row r="45726" spans="23:23" x14ac:dyDescent="0.55000000000000004">
      <c r="W45726"/>
    </row>
    <row r="45727" spans="23:23" x14ac:dyDescent="0.55000000000000004">
      <c r="W45727"/>
    </row>
    <row r="45728" spans="23:23" x14ac:dyDescent="0.55000000000000004">
      <c r="W45728"/>
    </row>
    <row r="45729" spans="23:23" x14ac:dyDescent="0.55000000000000004">
      <c r="W45729"/>
    </row>
    <row r="45730" spans="23:23" x14ac:dyDescent="0.55000000000000004">
      <c r="W45730"/>
    </row>
    <row r="45731" spans="23:23" x14ac:dyDescent="0.55000000000000004">
      <c r="W45731"/>
    </row>
    <row r="45732" spans="23:23" x14ac:dyDescent="0.55000000000000004">
      <c r="W45732"/>
    </row>
    <row r="45733" spans="23:23" x14ac:dyDescent="0.55000000000000004">
      <c r="W45733"/>
    </row>
    <row r="45734" spans="23:23" x14ac:dyDescent="0.55000000000000004">
      <c r="W45734"/>
    </row>
    <row r="45735" spans="23:23" x14ac:dyDescent="0.55000000000000004">
      <c r="W45735"/>
    </row>
    <row r="45736" spans="23:23" x14ac:dyDescent="0.55000000000000004">
      <c r="W45736"/>
    </row>
    <row r="45737" spans="23:23" x14ac:dyDescent="0.55000000000000004">
      <c r="W45737"/>
    </row>
    <row r="45738" spans="23:23" x14ac:dyDescent="0.55000000000000004">
      <c r="W45738"/>
    </row>
    <row r="45739" spans="23:23" x14ac:dyDescent="0.55000000000000004">
      <c r="W45739"/>
    </row>
    <row r="45740" spans="23:23" x14ac:dyDescent="0.55000000000000004">
      <c r="W45740"/>
    </row>
    <row r="45741" spans="23:23" x14ac:dyDescent="0.55000000000000004">
      <c r="W45741"/>
    </row>
    <row r="45742" spans="23:23" x14ac:dyDescent="0.55000000000000004">
      <c r="W45742"/>
    </row>
    <row r="45743" spans="23:23" x14ac:dyDescent="0.55000000000000004">
      <c r="W45743"/>
    </row>
    <row r="45744" spans="23:23" x14ac:dyDescent="0.55000000000000004">
      <c r="W45744"/>
    </row>
    <row r="45745" spans="23:23" x14ac:dyDescent="0.55000000000000004">
      <c r="W45745"/>
    </row>
    <row r="45746" spans="23:23" x14ac:dyDescent="0.55000000000000004">
      <c r="W45746"/>
    </row>
    <row r="45747" spans="23:23" x14ac:dyDescent="0.55000000000000004">
      <c r="W45747"/>
    </row>
    <row r="45748" spans="23:23" x14ac:dyDescent="0.55000000000000004">
      <c r="W45748"/>
    </row>
    <row r="45749" spans="23:23" x14ac:dyDescent="0.55000000000000004">
      <c r="W45749"/>
    </row>
    <row r="45750" spans="23:23" x14ac:dyDescent="0.55000000000000004">
      <c r="W45750"/>
    </row>
    <row r="45751" spans="23:23" x14ac:dyDescent="0.55000000000000004">
      <c r="W45751"/>
    </row>
    <row r="45752" spans="23:23" x14ac:dyDescent="0.55000000000000004">
      <c r="W45752"/>
    </row>
    <row r="45753" spans="23:23" x14ac:dyDescent="0.55000000000000004">
      <c r="W45753"/>
    </row>
    <row r="45754" spans="23:23" x14ac:dyDescent="0.55000000000000004">
      <c r="W45754"/>
    </row>
    <row r="45755" spans="23:23" x14ac:dyDescent="0.55000000000000004">
      <c r="W45755"/>
    </row>
    <row r="45756" spans="23:23" x14ac:dyDescent="0.55000000000000004">
      <c r="W45756"/>
    </row>
    <row r="45757" spans="23:23" x14ac:dyDescent="0.55000000000000004">
      <c r="W45757"/>
    </row>
    <row r="45758" spans="23:23" x14ac:dyDescent="0.55000000000000004">
      <c r="W45758"/>
    </row>
    <row r="45759" spans="23:23" x14ac:dyDescent="0.55000000000000004">
      <c r="W45759"/>
    </row>
    <row r="45760" spans="23:23" x14ac:dyDescent="0.55000000000000004">
      <c r="W45760"/>
    </row>
    <row r="45761" spans="23:23" x14ac:dyDescent="0.55000000000000004">
      <c r="W45761"/>
    </row>
    <row r="45762" spans="23:23" x14ac:dyDescent="0.55000000000000004">
      <c r="W45762"/>
    </row>
    <row r="45763" spans="23:23" x14ac:dyDescent="0.55000000000000004">
      <c r="W45763"/>
    </row>
    <row r="45764" spans="23:23" x14ac:dyDescent="0.55000000000000004">
      <c r="W45764"/>
    </row>
    <row r="45765" spans="23:23" x14ac:dyDescent="0.55000000000000004">
      <c r="W45765"/>
    </row>
    <row r="45766" spans="23:23" x14ac:dyDescent="0.55000000000000004">
      <c r="W45766"/>
    </row>
    <row r="45767" spans="23:23" x14ac:dyDescent="0.55000000000000004">
      <c r="W45767"/>
    </row>
    <row r="45768" spans="23:23" x14ac:dyDescent="0.55000000000000004">
      <c r="W45768"/>
    </row>
    <row r="45769" spans="23:23" x14ac:dyDescent="0.55000000000000004">
      <c r="W45769"/>
    </row>
    <row r="45770" spans="23:23" x14ac:dyDescent="0.55000000000000004">
      <c r="W45770"/>
    </row>
    <row r="45771" spans="23:23" x14ac:dyDescent="0.55000000000000004">
      <c r="W45771"/>
    </row>
    <row r="45772" spans="23:23" x14ac:dyDescent="0.55000000000000004">
      <c r="W45772"/>
    </row>
    <row r="45773" spans="23:23" x14ac:dyDescent="0.55000000000000004">
      <c r="W45773"/>
    </row>
    <row r="45774" spans="23:23" x14ac:dyDescent="0.55000000000000004">
      <c r="W45774"/>
    </row>
    <row r="45775" spans="23:23" x14ac:dyDescent="0.55000000000000004">
      <c r="W45775"/>
    </row>
    <row r="45776" spans="23:23" x14ac:dyDescent="0.55000000000000004">
      <c r="W45776"/>
    </row>
    <row r="45777" spans="23:23" x14ac:dyDescent="0.55000000000000004">
      <c r="W45777"/>
    </row>
    <row r="45778" spans="23:23" x14ac:dyDescent="0.55000000000000004">
      <c r="W45778"/>
    </row>
    <row r="45779" spans="23:23" x14ac:dyDescent="0.55000000000000004">
      <c r="W45779"/>
    </row>
    <row r="45780" spans="23:23" x14ac:dyDescent="0.55000000000000004">
      <c r="W45780"/>
    </row>
    <row r="45781" spans="23:23" x14ac:dyDescent="0.55000000000000004">
      <c r="W45781"/>
    </row>
    <row r="45782" spans="23:23" x14ac:dyDescent="0.55000000000000004">
      <c r="W45782"/>
    </row>
    <row r="45783" spans="23:23" x14ac:dyDescent="0.55000000000000004">
      <c r="W45783"/>
    </row>
    <row r="45784" spans="23:23" x14ac:dyDescent="0.55000000000000004">
      <c r="W45784"/>
    </row>
    <row r="45785" spans="23:23" x14ac:dyDescent="0.55000000000000004">
      <c r="W45785"/>
    </row>
    <row r="45786" spans="23:23" x14ac:dyDescent="0.55000000000000004">
      <c r="W45786"/>
    </row>
    <row r="45787" spans="23:23" x14ac:dyDescent="0.55000000000000004">
      <c r="W45787"/>
    </row>
    <row r="45788" spans="23:23" x14ac:dyDescent="0.55000000000000004">
      <c r="W45788"/>
    </row>
    <row r="45789" spans="23:23" x14ac:dyDescent="0.55000000000000004">
      <c r="W45789"/>
    </row>
    <row r="45790" spans="23:23" x14ac:dyDescent="0.55000000000000004">
      <c r="W45790"/>
    </row>
    <row r="45791" spans="23:23" x14ac:dyDescent="0.55000000000000004">
      <c r="W45791"/>
    </row>
    <row r="45792" spans="23:23" x14ac:dyDescent="0.55000000000000004">
      <c r="W45792"/>
    </row>
    <row r="45793" spans="23:23" x14ac:dyDescent="0.55000000000000004">
      <c r="W45793"/>
    </row>
    <row r="45794" spans="23:23" x14ac:dyDescent="0.55000000000000004">
      <c r="W45794"/>
    </row>
    <row r="45795" spans="23:23" x14ac:dyDescent="0.55000000000000004">
      <c r="W45795"/>
    </row>
    <row r="45796" spans="23:23" x14ac:dyDescent="0.55000000000000004">
      <c r="W45796"/>
    </row>
    <row r="45797" spans="23:23" x14ac:dyDescent="0.55000000000000004">
      <c r="W45797"/>
    </row>
    <row r="45798" spans="23:23" x14ac:dyDescent="0.55000000000000004">
      <c r="W45798"/>
    </row>
    <row r="45799" spans="23:23" x14ac:dyDescent="0.55000000000000004">
      <c r="W45799"/>
    </row>
    <row r="45800" spans="23:23" x14ac:dyDescent="0.55000000000000004">
      <c r="W45800"/>
    </row>
    <row r="45801" spans="23:23" x14ac:dyDescent="0.55000000000000004">
      <c r="W45801"/>
    </row>
    <row r="45802" spans="23:23" x14ac:dyDescent="0.55000000000000004">
      <c r="W45802"/>
    </row>
    <row r="45803" spans="23:23" x14ac:dyDescent="0.55000000000000004">
      <c r="W45803"/>
    </row>
    <row r="45804" spans="23:23" x14ac:dyDescent="0.55000000000000004">
      <c r="W45804"/>
    </row>
    <row r="45805" spans="23:23" x14ac:dyDescent="0.55000000000000004">
      <c r="W45805"/>
    </row>
    <row r="45806" spans="23:23" x14ac:dyDescent="0.55000000000000004">
      <c r="W45806"/>
    </row>
    <row r="45807" spans="23:23" x14ac:dyDescent="0.55000000000000004">
      <c r="W45807"/>
    </row>
    <row r="45808" spans="23:23" x14ac:dyDescent="0.55000000000000004">
      <c r="W45808"/>
    </row>
    <row r="45809" spans="23:23" x14ac:dyDescent="0.55000000000000004">
      <c r="W45809"/>
    </row>
    <row r="45810" spans="23:23" x14ac:dyDescent="0.55000000000000004">
      <c r="W45810"/>
    </row>
    <row r="45811" spans="23:23" x14ac:dyDescent="0.55000000000000004">
      <c r="W45811"/>
    </row>
    <row r="45812" spans="23:23" x14ac:dyDescent="0.55000000000000004">
      <c r="W45812"/>
    </row>
    <row r="45813" spans="23:23" x14ac:dyDescent="0.55000000000000004">
      <c r="W45813"/>
    </row>
    <row r="45814" spans="23:23" x14ac:dyDescent="0.55000000000000004">
      <c r="W45814"/>
    </row>
    <row r="45815" spans="23:23" x14ac:dyDescent="0.55000000000000004">
      <c r="W45815"/>
    </row>
    <row r="45816" spans="23:23" x14ac:dyDescent="0.55000000000000004">
      <c r="W45816"/>
    </row>
    <row r="45817" spans="23:23" x14ac:dyDescent="0.55000000000000004">
      <c r="W45817"/>
    </row>
    <row r="45818" spans="23:23" x14ac:dyDescent="0.55000000000000004">
      <c r="W45818"/>
    </row>
    <row r="45819" spans="23:23" x14ac:dyDescent="0.55000000000000004">
      <c r="W45819"/>
    </row>
    <row r="45820" spans="23:23" x14ac:dyDescent="0.55000000000000004">
      <c r="W45820"/>
    </row>
    <row r="45821" spans="23:23" x14ac:dyDescent="0.55000000000000004">
      <c r="W45821"/>
    </row>
    <row r="45822" spans="23:23" x14ac:dyDescent="0.55000000000000004">
      <c r="W45822"/>
    </row>
    <row r="45823" spans="23:23" x14ac:dyDescent="0.55000000000000004">
      <c r="W45823"/>
    </row>
    <row r="45824" spans="23:23" x14ac:dyDescent="0.55000000000000004">
      <c r="W45824"/>
    </row>
    <row r="45825" spans="23:23" x14ac:dyDescent="0.55000000000000004">
      <c r="W45825"/>
    </row>
    <row r="45826" spans="23:23" x14ac:dyDescent="0.55000000000000004">
      <c r="W45826"/>
    </row>
    <row r="45827" spans="23:23" x14ac:dyDescent="0.55000000000000004">
      <c r="W45827"/>
    </row>
    <row r="45828" spans="23:23" x14ac:dyDescent="0.55000000000000004">
      <c r="W45828"/>
    </row>
    <row r="45829" spans="23:23" x14ac:dyDescent="0.55000000000000004">
      <c r="W45829"/>
    </row>
    <row r="45830" spans="23:23" x14ac:dyDescent="0.55000000000000004">
      <c r="W45830"/>
    </row>
    <row r="45831" spans="23:23" x14ac:dyDescent="0.55000000000000004">
      <c r="W45831"/>
    </row>
    <row r="45832" spans="23:23" x14ac:dyDescent="0.55000000000000004">
      <c r="W45832"/>
    </row>
    <row r="45833" spans="23:23" x14ac:dyDescent="0.55000000000000004">
      <c r="W45833"/>
    </row>
    <row r="45834" spans="23:23" x14ac:dyDescent="0.55000000000000004">
      <c r="W45834"/>
    </row>
    <row r="45835" spans="23:23" x14ac:dyDescent="0.55000000000000004">
      <c r="W45835"/>
    </row>
    <row r="45836" spans="23:23" x14ac:dyDescent="0.55000000000000004">
      <c r="W45836"/>
    </row>
    <row r="45837" spans="23:23" x14ac:dyDescent="0.55000000000000004">
      <c r="W45837"/>
    </row>
    <row r="45838" spans="23:23" x14ac:dyDescent="0.55000000000000004">
      <c r="W45838"/>
    </row>
    <row r="45839" spans="23:23" x14ac:dyDescent="0.55000000000000004">
      <c r="W45839"/>
    </row>
    <row r="45840" spans="23:23" x14ac:dyDescent="0.55000000000000004">
      <c r="W45840"/>
    </row>
    <row r="45841" spans="23:23" x14ac:dyDescent="0.55000000000000004">
      <c r="W45841"/>
    </row>
    <row r="45842" spans="23:23" x14ac:dyDescent="0.55000000000000004">
      <c r="W45842"/>
    </row>
    <row r="45843" spans="23:23" x14ac:dyDescent="0.55000000000000004">
      <c r="W45843"/>
    </row>
    <row r="45844" spans="23:23" x14ac:dyDescent="0.55000000000000004">
      <c r="W45844"/>
    </row>
    <row r="45845" spans="23:23" x14ac:dyDescent="0.55000000000000004">
      <c r="W45845"/>
    </row>
    <row r="45846" spans="23:23" x14ac:dyDescent="0.55000000000000004">
      <c r="W45846"/>
    </row>
    <row r="45847" spans="23:23" x14ac:dyDescent="0.55000000000000004">
      <c r="W45847"/>
    </row>
    <row r="45848" spans="23:23" x14ac:dyDescent="0.55000000000000004">
      <c r="W45848"/>
    </row>
    <row r="45849" spans="23:23" x14ac:dyDescent="0.55000000000000004">
      <c r="W45849"/>
    </row>
    <row r="45850" spans="23:23" x14ac:dyDescent="0.55000000000000004">
      <c r="W45850"/>
    </row>
    <row r="45851" spans="23:23" x14ac:dyDescent="0.55000000000000004">
      <c r="W45851"/>
    </row>
    <row r="45852" spans="23:23" x14ac:dyDescent="0.55000000000000004">
      <c r="W45852"/>
    </row>
    <row r="45853" spans="23:23" x14ac:dyDescent="0.55000000000000004">
      <c r="W45853"/>
    </row>
    <row r="45854" spans="23:23" x14ac:dyDescent="0.55000000000000004">
      <c r="W45854"/>
    </row>
    <row r="45855" spans="23:23" x14ac:dyDescent="0.55000000000000004">
      <c r="W45855"/>
    </row>
    <row r="45856" spans="23:23" x14ac:dyDescent="0.55000000000000004">
      <c r="W45856"/>
    </row>
    <row r="45857" spans="23:23" x14ac:dyDescent="0.55000000000000004">
      <c r="W45857"/>
    </row>
    <row r="45858" spans="23:23" x14ac:dyDescent="0.55000000000000004">
      <c r="W45858"/>
    </row>
    <row r="45859" spans="23:23" x14ac:dyDescent="0.55000000000000004">
      <c r="W45859"/>
    </row>
    <row r="45860" spans="23:23" x14ac:dyDescent="0.55000000000000004">
      <c r="W45860"/>
    </row>
    <row r="45861" spans="23:23" x14ac:dyDescent="0.55000000000000004">
      <c r="W45861"/>
    </row>
    <row r="45862" spans="23:23" x14ac:dyDescent="0.55000000000000004">
      <c r="W45862"/>
    </row>
    <row r="45863" spans="23:23" x14ac:dyDescent="0.55000000000000004">
      <c r="W45863"/>
    </row>
    <row r="45864" spans="23:23" x14ac:dyDescent="0.55000000000000004">
      <c r="W45864"/>
    </row>
    <row r="45865" spans="23:23" x14ac:dyDescent="0.55000000000000004">
      <c r="W45865"/>
    </row>
    <row r="45866" spans="23:23" x14ac:dyDescent="0.55000000000000004">
      <c r="W45866"/>
    </row>
    <row r="45867" spans="23:23" x14ac:dyDescent="0.55000000000000004">
      <c r="W45867"/>
    </row>
    <row r="45868" spans="23:23" x14ac:dyDescent="0.55000000000000004">
      <c r="W45868"/>
    </row>
    <row r="45869" spans="23:23" x14ac:dyDescent="0.55000000000000004">
      <c r="W45869"/>
    </row>
    <row r="45870" spans="23:23" x14ac:dyDescent="0.55000000000000004">
      <c r="W45870"/>
    </row>
    <row r="45871" spans="23:23" x14ac:dyDescent="0.55000000000000004">
      <c r="W45871"/>
    </row>
    <row r="45872" spans="23:23" x14ac:dyDescent="0.55000000000000004">
      <c r="W45872"/>
    </row>
    <row r="45873" spans="23:23" x14ac:dyDescent="0.55000000000000004">
      <c r="W45873"/>
    </row>
    <row r="45874" spans="23:23" x14ac:dyDescent="0.55000000000000004">
      <c r="W45874"/>
    </row>
    <row r="45875" spans="23:23" x14ac:dyDescent="0.55000000000000004">
      <c r="W45875"/>
    </row>
    <row r="45876" spans="23:23" x14ac:dyDescent="0.55000000000000004">
      <c r="W45876"/>
    </row>
    <row r="45877" spans="23:23" x14ac:dyDescent="0.55000000000000004">
      <c r="W45877"/>
    </row>
    <row r="45878" spans="23:23" x14ac:dyDescent="0.55000000000000004">
      <c r="W45878"/>
    </row>
    <row r="45879" spans="23:23" x14ac:dyDescent="0.55000000000000004">
      <c r="W45879"/>
    </row>
    <row r="45880" spans="23:23" x14ac:dyDescent="0.55000000000000004">
      <c r="W45880"/>
    </row>
    <row r="45881" spans="23:23" x14ac:dyDescent="0.55000000000000004">
      <c r="W45881"/>
    </row>
    <row r="45882" spans="23:23" x14ac:dyDescent="0.55000000000000004">
      <c r="W45882"/>
    </row>
    <row r="45883" spans="23:23" x14ac:dyDescent="0.55000000000000004">
      <c r="W45883"/>
    </row>
    <row r="45884" spans="23:23" x14ac:dyDescent="0.55000000000000004">
      <c r="W45884"/>
    </row>
    <row r="45885" spans="23:23" x14ac:dyDescent="0.55000000000000004">
      <c r="W45885"/>
    </row>
    <row r="45886" spans="23:23" x14ac:dyDescent="0.55000000000000004">
      <c r="W45886"/>
    </row>
    <row r="45887" spans="23:23" x14ac:dyDescent="0.55000000000000004">
      <c r="W45887"/>
    </row>
    <row r="45888" spans="23:23" x14ac:dyDescent="0.55000000000000004">
      <c r="W45888"/>
    </row>
    <row r="45889" spans="23:23" x14ac:dyDescent="0.55000000000000004">
      <c r="W45889"/>
    </row>
    <row r="45890" spans="23:23" x14ac:dyDescent="0.55000000000000004">
      <c r="W45890"/>
    </row>
    <row r="45891" spans="23:23" x14ac:dyDescent="0.55000000000000004">
      <c r="W45891"/>
    </row>
    <row r="45892" spans="23:23" x14ac:dyDescent="0.55000000000000004">
      <c r="W45892"/>
    </row>
    <row r="45893" spans="23:23" x14ac:dyDescent="0.55000000000000004">
      <c r="W45893"/>
    </row>
    <row r="45894" spans="23:23" x14ac:dyDescent="0.55000000000000004">
      <c r="W45894"/>
    </row>
    <row r="45895" spans="23:23" x14ac:dyDescent="0.55000000000000004">
      <c r="W45895"/>
    </row>
    <row r="45896" spans="23:23" x14ac:dyDescent="0.55000000000000004">
      <c r="W45896"/>
    </row>
    <row r="45897" spans="23:23" x14ac:dyDescent="0.55000000000000004">
      <c r="W45897"/>
    </row>
    <row r="45898" spans="23:23" x14ac:dyDescent="0.55000000000000004">
      <c r="W45898"/>
    </row>
    <row r="45899" spans="23:23" x14ac:dyDescent="0.55000000000000004">
      <c r="W45899"/>
    </row>
    <row r="45900" spans="23:23" x14ac:dyDescent="0.55000000000000004">
      <c r="W45900"/>
    </row>
    <row r="45901" spans="23:23" x14ac:dyDescent="0.55000000000000004">
      <c r="W45901"/>
    </row>
    <row r="45902" spans="23:23" x14ac:dyDescent="0.55000000000000004">
      <c r="W45902"/>
    </row>
    <row r="45903" spans="23:23" x14ac:dyDescent="0.55000000000000004">
      <c r="W45903"/>
    </row>
    <row r="45904" spans="23:23" x14ac:dyDescent="0.55000000000000004">
      <c r="W45904"/>
    </row>
    <row r="45905" spans="23:23" x14ac:dyDescent="0.55000000000000004">
      <c r="W45905"/>
    </row>
    <row r="45906" spans="23:23" x14ac:dyDescent="0.55000000000000004">
      <c r="W45906"/>
    </row>
    <row r="45907" spans="23:23" x14ac:dyDescent="0.55000000000000004">
      <c r="W45907"/>
    </row>
    <row r="45908" spans="23:23" x14ac:dyDescent="0.55000000000000004">
      <c r="W45908"/>
    </row>
    <row r="45909" spans="23:23" x14ac:dyDescent="0.55000000000000004">
      <c r="W45909"/>
    </row>
    <row r="45910" spans="23:23" x14ac:dyDescent="0.55000000000000004">
      <c r="W45910"/>
    </row>
    <row r="45911" spans="23:23" x14ac:dyDescent="0.55000000000000004">
      <c r="W45911"/>
    </row>
    <row r="45912" spans="23:23" x14ac:dyDescent="0.55000000000000004">
      <c r="W45912"/>
    </row>
    <row r="45913" spans="23:23" x14ac:dyDescent="0.55000000000000004">
      <c r="W45913"/>
    </row>
    <row r="45914" spans="23:23" x14ac:dyDescent="0.55000000000000004">
      <c r="W45914"/>
    </row>
    <row r="45915" spans="23:23" x14ac:dyDescent="0.55000000000000004">
      <c r="W45915"/>
    </row>
    <row r="45916" spans="23:23" x14ac:dyDescent="0.55000000000000004">
      <c r="W45916"/>
    </row>
    <row r="45917" spans="23:23" x14ac:dyDescent="0.55000000000000004">
      <c r="W45917"/>
    </row>
    <row r="45918" spans="23:23" x14ac:dyDescent="0.55000000000000004">
      <c r="W45918"/>
    </row>
    <row r="45919" spans="23:23" x14ac:dyDescent="0.55000000000000004">
      <c r="W45919"/>
    </row>
    <row r="45920" spans="23:23" x14ac:dyDescent="0.55000000000000004">
      <c r="W45920"/>
    </row>
    <row r="45921" spans="23:23" x14ac:dyDescent="0.55000000000000004">
      <c r="W45921"/>
    </row>
    <row r="45922" spans="23:23" x14ac:dyDescent="0.55000000000000004">
      <c r="W45922"/>
    </row>
    <row r="45923" spans="23:23" x14ac:dyDescent="0.55000000000000004">
      <c r="W45923"/>
    </row>
    <row r="45924" spans="23:23" x14ac:dyDescent="0.55000000000000004">
      <c r="W45924"/>
    </row>
    <row r="45925" spans="23:23" x14ac:dyDescent="0.55000000000000004">
      <c r="W45925"/>
    </row>
    <row r="45926" spans="23:23" x14ac:dyDescent="0.55000000000000004">
      <c r="W45926"/>
    </row>
    <row r="45927" spans="23:23" x14ac:dyDescent="0.55000000000000004">
      <c r="W45927"/>
    </row>
    <row r="45928" spans="23:23" x14ac:dyDescent="0.55000000000000004">
      <c r="W45928"/>
    </row>
    <row r="45929" spans="23:23" x14ac:dyDescent="0.55000000000000004">
      <c r="W45929"/>
    </row>
    <row r="45930" spans="23:23" x14ac:dyDescent="0.55000000000000004">
      <c r="W45930"/>
    </row>
    <row r="45931" spans="23:23" x14ac:dyDescent="0.55000000000000004">
      <c r="W45931"/>
    </row>
    <row r="45932" spans="23:23" x14ac:dyDescent="0.55000000000000004">
      <c r="W45932"/>
    </row>
    <row r="45933" spans="23:23" x14ac:dyDescent="0.55000000000000004">
      <c r="W45933"/>
    </row>
    <row r="45934" spans="23:23" x14ac:dyDescent="0.55000000000000004">
      <c r="W45934"/>
    </row>
    <row r="45935" spans="23:23" x14ac:dyDescent="0.55000000000000004">
      <c r="W45935"/>
    </row>
    <row r="45936" spans="23:23" x14ac:dyDescent="0.55000000000000004">
      <c r="W45936"/>
    </row>
    <row r="45937" spans="23:23" x14ac:dyDescent="0.55000000000000004">
      <c r="W45937"/>
    </row>
    <row r="45938" spans="23:23" x14ac:dyDescent="0.55000000000000004">
      <c r="W45938"/>
    </row>
    <row r="45939" spans="23:23" x14ac:dyDescent="0.55000000000000004">
      <c r="W45939"/>
    </row>
    <row r="45940" spans="23:23" x14ac:dyDescent="0.55000000000000004">
      <c r="W45940"/>
    </row>
    <row r="45941" spans="23:23" x14ac:dyDescent="0.55000000000000004">
      <c r="W45941"/>
    </row>
    <row r="45942" spans="23:23" x14ac:dyDescent="0.55000000000000004">
      <c r="W45942"/>
    </row>
    <row r="45943" spans="23:23" x14ac:dyDescent="0.55000000000000004">
      <c r="W45943"/>
    </row>
    <row r="45944" spans="23:23" x14ac:dyDescent="0.55000000000000004">
      <c r="W45944"/>
    </row>
    <row r="45945" spans="23:23" x14ac:dyDescent="0.55000000000000004">
      <c r="W45945"/>
    </row>
    <row r="45946" spans="23:23" x14ac:dyDescent="0.55000000000000004">
      <c r="W45946"/>
    </row>
    <row r="45947" spans="23:23" x14ac:dyDescent="0.55000000000000004">
      <c r="W45947"/>
    </row>
    <row r="45948" spans="23:23" x14ac:dyDescent="0.55000000000000004">
      <c r="W45948"/>
    </row>
    <row r="45949" spans="23:23" x14ac:dyDescent="0.55000000000000004">
      <c r="W45949"/>
    </row>
    <row r="45950" spans="23:23" x14ac:dyDescent="0.55000000000000004">
      <c r="W45950"/>
    </row>
    <row r="45951" spans="23:23" x14ac:dyDescent="0.55000000000000004">
      <c r="W45951"/>
    </row>
    <row r="45952" spans="23:23" x14ac:dyDescent="0.55000000000000004">
      <c r="W45952"/>
    </row>
    <row r="45953" spans="23:23" x14ac:dyDescent="0.55000000000000004">
      <c r="W45953"/>
    </row>
    <row r="45954" spans="23:23" x14ac:dyDescent="0.55000000000000004">
      <c r="W45954"/>
    </row>
    <row r="45955" spans="23:23" x14ac:dyDescent="0.55000000000000004">
      <c r="W45955"/>
    </row>
    <row r="45956" spans="23:23" x14ac:dyDescent="0.55000000000000004">
      <c r="W45956"/>
    </row>
    <row r="45957" spans="23:23" x14ac:dyDescent="0.55000000000000004">
      <c r="W45957"/>
    </row>
    <row r="45958" spans="23:23" x14ac:dyDescent="0.55000000000000004">
      <c r="W45958"/>
    </row>
    <row r="45959" spans="23:23" x14ac:dyDescent="0.55000000000000004">
      <c r="W45959"/>
    </row>
    <row r="45960" spans="23:23" x14ac:dyDescent="0.55000000000000004">
      <c r="W45960"/>
    </row>
    <row r="45961" spans="23:23" x14ac:dyDescent="0.55000000000000004">
      <c r="W45961"/>
    </row>
    <row r="45962" spans="23:23" x14ac:dyDescent="0.55000000000000004">
      <c r="W45962"/>
    </row>
    <row r="45963" spans="23:23" x14ac:dyDescent="0.55000000000000004">
      <c r="W45963"/>
    </row>
    <row r="45964" spans="23:23" x14ac:dyDescent="0.55000000000000004">
      <c r="W45964"/>
    </row>
    <row r="45965" spans="23:23" x14ac:dyDescent="0.55000000000000004">
      <c r="W45965"/>
    </row>
    <row r="45966" spans="23:23" x14ac:dyDescent="0.55000000000000004">
      <c r="W45966"/>
    </row>
    <row r="45967" spans="23:23" x14ac:dyDescent="0.55000000000000004">
      <c r="W45967"/>
    </row>
    <row r="45968" spans="23:23" x14ac:dyDescent="0.55000000000000004">
      <c r="W45968"/>
    </row>
    <row r="45969" spans="23:23" x14ac:dyDescent="0.55000000000000004">
      <c r="W45969"/>
    </row>
    <row r="45970" spans="23:23" x14ac:dyDescent="0.55000000000000004">
      <c r="W45970"/>
    </row>
    <row r="45971" spans="23:23" x14ac:dyDescent="0.55000000000000004">
      <c r="W45971"/>
    </row>
    <row r="45972" spans="23:23" x14ac:dyDescent="0.55000000000000004">
      <c r="W45972"/>
    </row>
    <row r="45973" spans="23:23" x14ac:dyDescent="0.55000000000000004">
      <c r="W45973"/>
    </row>
    <row r="45974" spans="23:23" x14ac:dyDescent="0.55000000000000004">
      <c r="W45974"/>
    </row>
    <row r="45975" spans="23:23" x14ac:dyDescent="0.55000000000000004">
      <c r="W45975"/>
    </row>
    <row r="45976" spans="23:23" x14ac:dyDescent="0.55000000000000004">
      <c r="W45976"/>
    </row>
    <row r="45977" spans="23:23" x14ac:dyDescent="0.55000000000000004">
      <c r="W45977"/>
    </row>
    <row r="45978" spans="23:23" x14ac:dyDescent="0.55000000000000004">
      <c r="W45978"/>
    </row>
    <row r="45979" spans="23:23" x14ac:dyDescent="0.55000000000000004">
      <c r="W45979"/>
    </row>
    <row r="45980" spans="23:23" x14ac:dyDescent="0.55000000000000004">
      <c r="W45980"/>
    </row>
    <row r="45981" spans="23:23" x14ac:dyDescent="0.55000000000000004">
      <c r="W45981"/>
    </row>
    <row r="45982" spans="23:23" x14ac:dyDescent="0.55000000000000004">
      <c r="W45982"/>
    </row>
    <row r="45983" spans="23:23" x14ac:dyDescent="0.55000000000000004">
      <c r="W45983"/>
    </row>
    <row r="45984" spans="23:23" x14ac:dyDescent="0.55000000000000004">
      <c r="W45984"/>
    </row>
    <row r="45985" spans="23:23" x14ac:dyDescent="0.55000000000000004">
      <c r="W45985"/>
    </row>
    <row r="45986" spans="23:23" x14ac:dyDescent="0.55000000000000004">
      <c r="W45986"/>
    </row>
    <row r="45987" spans="23:23" x14ac:dyDescent="0.55000000000000004">
      <c r="W45987"/>
    </row>
    <row r="45988" spans="23:23" x14ac:dyDescent="0.55000000000000004">
      <c r="W45988"/>
    </row>
    <row r="45989" spans="23:23" x14ac:dyDescent="0.55000000000000004">
      <c r="W45989"/>
    </row>
    <row r="45990" spans="23:23" x14ac:dyDescent="0.55000000000000004">
      <c r="W45990"/>
    </row>
    <row r="45991" spans="23:23" x14ac:dyDescent="0.55000000000000004">
      <c r="W45991"/>
    </row>
    <row r="45992" spans="23:23" x14ac:dyDescent="0.55000000000000004">
      <c r="W45992"/>
    </row>
    <row r="45993" spans="23:23" x14ac:dyDescent="0.55000000000000004">
      <c r="W45993"/>
    </row>
    <row r="45994" spans="23:23" x14ac:dyDescent="0.55000000000000004">
      <c r="W45994"/>
    </row>
    <row r="45995" spans="23:23" x14ac:dyDescent="0.55000000000000004">
      <c r="W45995"/>
    </row>
    <row r="45996" spans="23:23" x14ac:dyDescent="0.55000000000000004">
      <c r="W45996"/>
    </row>
    <row r="45997" spans="23:23" x14ac:dyDescent="0.55000000000000004">
      <c r="W45997"/>
    </row>
    <row r="45998" spans="23:23" x14ac:dyDescent="0.55000000000000004">
      <c r="W45998"/>
    </row>
    <row r="45999" spans="23:23" x14ac:dyDescent="0.55000000000000004">
      <c r="W45999"/>
    </row>
    <row r="46000" spans="23:23" x14ac:dyDescent="0.55000000000000004">
      <c r="W46000"/>
    </row>
    <row r="46001" spans="23:23" x14ac:dyDescent="0.55000000000000004">
      <c r="W46001"/>
    </row>
    <row r="46002" spans="23:23" x14ac:dyDescent="0.55000000000000004">
      <c r="W46002"/>
    </row>
    <row r="46003" spans="23:23" x14ac:dyDescent="0.55000000000000004">
      <c r="W46003"/>
    </row>
    <row r="46004" spans="23:23" x14ac:dyDescent="0.55000000000000004">
      <c r="W46004"/>
    </row>
    <row r="46005" spans="23:23" x14ac:dyDescent="0.55000000000000004">
      <c r="W46005"/>
    </row>
    <row r="46006" spans="23:23" x14ac:dyDescent="0.55000000000000004">
      <c r="W46006"/>
    </row>
    <row r="46007" spans="23:23" x14ac:dyDescent="0.55000000000000004">
      <c r="W46007"/>
    </row>
    <row r="46008" spans="23:23" x14ac:dyDescent="0.55000000000000004">
      <c r="W46008"/>
    </row>
    <row r="46009" spans="23:23" x14ac:dyDescent="0.55000000000000004">
      <c r="W46009"/>
    </row>
    <row r="46010" spans="23:23" x14ac:dyDescent="0.55000000000000004">
      <c r="W46010"/>
    </row>
    <row r="46011" spans="23:23" x14ac:dyDescent="0.55000000000000004">
      <c r="W46011"/>
    </row>
    <row r="46012" spans="23:23" x14ac:dyDescent="0.55000000000000004">
      <c r="W46012"/>
    </row>
    <row r="46013" spans="23:23" x14ac:dyDescent="0.55000000000000004">
      <c r="W46013"/>
    </row>
    <row r="46014" spans="23:23" x14ac:dyDescent="0.55000000000000004">
      <c r="W46014"/>
    </row>
    <row r="46015" spans="23:23" x14ac:dyDescent="0.55000000000000004">
      <c r="W46015"/>
    </row>
    <row r="46016" spans="23:23" x14ac:dyDescent="0.55000000000000004">
      <c r="W46016"/>
    </row>
    <row r="46017" spans="23:23" x14ac:dyDescent="0.55000000000000004">
      <c r="W46017"/>
    </row>
    <row r="46018" spans="23:23" x14ac:dyDescent="0.55000000000000004">
      <c r="W46018"/>
    </row>
    <row r="46019" spans="23:23" x14ac:dyDescent="0.55000000000000004">
      <c r="W46019"/>
    </row>
    <row r="46020" spans="23:23" x14ac:dyDescent="0.55000000000000004">
      <c r="W46020"/>
    </row>
    <row r="46021" spans="23:23" x14ac:dyDescent="0.55000000000000004">
      <c r="W46021"/>
    </row>
    <row r="46022" spans="23:23" x14ac:dyDescent="0.55000000000000004">
      <c r="W46022"/>
    </row>
    <row r="46023" spans="23:23" x14ac:dyDescent="0.55000000000000004">
      <c r="W46023"/>
    </row>
    <row r="46024" spans="23:23" x14ac:dyDescent="0.55000000000000004">
      <c r="W46024"/>
    </row>
    <row r="46025" spans="23:23" x14ac:dyDescent="0.55000000000000004">
      <c r="W46025"/>
    </row>
    <row r="46026" spans="23:23" x14ac:dyDescent="0.55000000000000004">
      <c r="W46026"/>
    </row>
    <row r="46027" spans="23:23" x14ac:dyDescent="0.55000000000000004">
      <c r="W46027"/>
    </row>
    <row r="46028" spans="23:23" x14ac:dyDescent="0.55000000000000004">
      <c r="W46028"/>
    </row>
    <row r="46029" spans="23:23" x14ac:dyDescent="0.55000000000000004">
      <c r="W46029"/>
    </row>
    <row r="46030" spans="23:23" x14ac:dyDescent="0.55000000000000004">
      <c r="W46030"/>
    </row>
    <row r="46031" spans="23:23" x14ac:dyDescent="0.55000000000000004">
      <c r="W46031"/>
    </row>
    <row r="46032" spans="23:23" x14ac:dyDescent="0.55000000000000004">
      <c r="W46032"/>
    </row>
    <row r="46033" spans="23:23" x14ac:dyDescent="0.55000000000000004">
      <c r="W46033"/>
    </row>
    <row r="46034" spans="23:23" x14ac:dyDescent="0.55000000000000004">
      <c r="W46034"/>
    </row>
    <row r="46035" spans="23:23" x14ac:dyDescent="0.55000000000000004">
      <c r="W46035"/>
    </row>
    <row r="46036" spans="23:23" x14ac:dyDescent="0.55000000000000004">
      <c r="W46036"/>
    </row>
    <row r="46037" spans="23:23" x14ac:dyDescent="0.55000000000000004">
      <c r="W46037"/>
    </row>
    <row r="46038" spans="23:23" x14ac:dyDescent="0.55000000000000004">
      <c r="W46038"/>
    </row>
    <row r="46039" spans="23:23" x14ac:dyDescent="0.55000000000000004">
      <c r="W46039"/>
    </row>
    <row r="46040" spans="23:23" x14ac:dyDescent="0.55000000000000004">
      <c r="W46040"/>
    </row>
    <row r="46041" spans="23:23" x14ac:dyDescent="0.55000000000000004">
      <c r="W46041"/>
    </row>
    <row r="46042" spans="23:23" x14ac:dyDescent="0.55000000000000004">
      <c r="W46042"/>
    </row>
    <row r="46043" spans="23:23" x14ac:dyDescent="0.55000000000000004">
      <c r="W46043"/>
    </row>
    <row r="46044" spans="23:23" x14ac:dyDescent="0.55000000000000004">
      <c r="W46044"/>
    </row>
    <row r="46045" spans="23:23" x14ac:dyDescent="0.55000000000000004">
      <c r="W46045"/>
    </row>
    <row r="46046" spans="23:23" x14ac:dyDescent="0.55000000000000004">
      <c r="W46046"/>
    </row>
    <row r="46047" spans="23:23" x14ac:dyDescent="0.55000000000000004">
      <c r="W46047"/>
    </row>
    <row r="46048" spans="23:23" x14ac:dyDescent="0.55000000000000004">
      <c r="W46048"/>
    </row>
    <row r="46049" spans="23:23" x14ac:dyDescent="0.55000000000000004">
      <c r="W46049"/>
    </row>
    <row r="46050" spans="23:23" x14ac:dyDescent="0.55000000000000004">
      <c r="W46050"/>
    </row>
    <row r="46051" spans="23:23" x14ac:dyDescent="0.55000000000000004">
      <c r="W46051"/>
    </row>
    <row r="46052" spans="23:23" x14ac:dyDescent="0.55000000000000004">
      <c r="W46052"/>
    </row>
    <row r="46053" spans="23:23" x14ac:dyDescent="0.55000000000000004">
      <c r="W46053"/>
    </row>
    <row r="46054" spans="23:23" x14ac:dyDescent="0.55000000000000004">
      <c r="W46054"/>
    </row>
    <row r="46055" spans="23:23" x14ac:dyDescent="0.55000000000000004">
      <c r="W46055"/>
    </row>
    <row r="46056" spans="23:23" x14ac:dyDescent="0.55000000000000004">
      <c r="W46056"/>
    </row>
    <row r="46057" spans="23:23" x14ac:dyDescent="0.55000000000000004">
      <c r="W46057"/>
    </row>
    <row r="46058" spans="23:23" x14ac:dyDescent="0.55000000000000004">
      <c r="W46058"/>
    </row>
    <row r="46059" spans="23:23" x14ac:dyDescent="0.55000000000000004">
      <c r="W46059"/>
    </row>
    <row r="46060" spans="23:23" x14ac:dyDescent="0.55000000000000004">
      <c r="W46060"/>
    </row>
    <row r="46061" spans="23:23" x14ac:dyDescent="0.55000000000000004">
      <c r="W46061"/>
    </row>
    <row r="46062" spans="23:23" x14ac:dyDescent="0.55000000000000004">
      <c r="W46062"/>
    </row>
    <row r="46063" spans="23:23" x14ac:dyDescent="0.55000000000000004">
      <c r="W46063"/>
    </row>
    <row r="46064" spans="23:23" x14ac:dyDescent="0.55000000000000004">
      <c r="W46064"/>
    </row>
    <row r="46065" spans="23:23" x14ac:dyDescent="0.55000000000000004">
      <c r="W46065"/>
    </row>
    <row r="46066" spans="23:23" x14ac:dyDescent="0.55000000000000004">
      <c r="W46066"/>
    </row>
    <row r="46067" spans="23:23" x14ac:dyDescent="0.55000000000000004">
      <c r="W46067"/>
    </row>
    <row r="46068" spans="23:23" x14ac:dyDescent="0.55000000000000004">
      <c r="W46068"/>
    </row>
    <row r="46069" spans="23:23" x14ac:dyDescent="0.55000000000000004">
      <c r="W46069"/>
    </row>
    <row r="46070" spans="23:23" x14ac:dyDescent="0.55000000000000004">
      <c r="W46070"/>
    </row>
    <row r="46071" spans="23:23" x14ac:dyDescent="0.55000000000000004">
      <c r="W46071"/>
    </row>
    <row r="46072" spans="23:23" x14ac:dyDescent="0.55000000000000004">
      <c r="W46072"/>
    </row>
    <row r="46073" spans="23:23" x14ac:dyDescent="0.55000000000000004">
      <c r="W46073"/>
    </row>
    <row r="46074" spans="23:23" x14ac:dyDescent="0.55000000000000004">
      <c r="W46074"/>
    </row>
    <row r="46075" spans="23:23" x14ac:dyDescent="0.55000000000000004">
      <c r="W46075"/>
    </row>
    <row r="46076" spans="23:23" x14ac:dyDescent="0.55000000000000004">
      <c r="W46076"/>
    </row>
    <row r="46077" spans="23:23" x14ac:dyDescent="0.55000000000000004">
      <c r="W46077"/>
    </row>
    <row r="46078" spans="23:23" x14ac:dyDescent="0.55000000000000004">
      <c r="W46078"/>
    </row>
    <row r="46079" spans="23:23" x14ac:dyDescent="0.55000000000000004">
      <c r="W46079"/>
    </row>
    <row r="46080" spans="23:23" x14ac:dyDescent="0.55000000000000004">
      <c r="W46080"/>
    </row>
    <row r="46081" spans="23:23" x14ac:dyDescent="0.55000000000000004">
      <c r="W46081"/>
    </row>
    <row r="46082" spans="23:23" x14ac:dyDescent="0.55000000000000004">
      <c r="W46082"/>
    </row>
    <row r="46083" spans="23:23" x14ac:dyDescent="0.55000000000000004">
      <c r="W46083"/>
    </row>
    <row r="46084" spans="23:23" x14ac:dyDescent="0.55000000000000004">
      <c r="W46084"/>
    </row>
    <row r="46085" spans="23:23" x14ac:dyDescent="0.55000000000000004">
      <c r="W46085"/>
    </row>
    <row r="46086" spans="23:23" x14ac:dyDescent="0.55000000000000004">
      <c r="W46086"/>
    </row>
    <row r="46087" spans="23:23" x14ac:dyDescent="0.55000000000000004">
      <c r="W46087"/>
    </row>
    <row r="46088" spans="23:23" x14ac:dyDescent="0.55000000000000004">
      <c r="W46088"/>
    </row>
    <row r="46089" spans="23:23" x14ac:dyDescent="0.55000000000000004">
      <c r="W46089"/>
    </row>
    <row r="46090" spans="23:23" x14ac:dyDescent="0.55000000000000004">
      <c r="W46090"/>
    </row>
    <row r="46091" spans="23:23" x14ac:dyDescent="0.55000000000000004">
      <c r="W46091"/>
    </row>
    <row r="46092" spans="23:23" x14ac:dyDescent="0.55000000000000004">
      <c r="W46092"/>
    </row>
    <row r="46093" spans="23:23" x14ac:dyDescent="0.55000000000000004">
      <c r="W46093"/>
    </row>
    <row r="46094" spans="23:23" x14ac:dyDescent="0.55000000000000004">
      <c r="W46094"/>
    </row>
    <row r="46095" spans="23:23" x14ac:dyDescent="0.55000000000000004">
      <c r="W46095"/>
    </row>
    <row r="46096" spans="23:23" x14ac:dyDescent="0.55000000000000004">
      <c r="W46096"/>
    </row>
    <row r="46097" spans="23:23" x14ac:dyDescent="0.55000000000000004">
      <c r="W46097"/>
    </row>
    <row r="46098" spans="23:23" x14ac:dyDescent="0.55000000000000004">
      <c r="W46098"/>
    </row>
    <row r="46099" spans="23:23" x14ac:dyDescent="0.55000000000000004">
      <c r="W46099"/>
    </row>
    <row r="46100" spans="23:23" x14ac:dyDescent="0.55000000000000004">
      <c r="W46100"/>
    </row>
    <row r="46101" spans="23:23" x14ac:dyDescent="0.55000000000000004">
      <c r="W46101"/>
    </row>
    <row r="46102" spans="23:23" x14ac:dyDescent="0.55000000000000004">
      <c r="W46102"/>
    </row>
    <row r="46103" spans="23:23" x14ac:dyDescent="0.55000000000000004">
      <c r="W46103"/>
    </row>
    <row r="46104" spans="23:23" x14ac:dyDescent="0.55000000000000004">
      <c r="W46104"/>
    </row>
    <row r="46105" spans="23:23" x14ac:dyDescent="0.55000000000000004">
      <c r="W46105"/>
    </row>
    <row r="46106" spans="23:23" x14ac:dyDescent="0.55000000000000004">
      <c r="W46106"/>
    </row>
    <row r="46107" spans="23:23" x14ac:dyDescent="0.55000000000000004">
      <c r="W46107"/>
    </row>
    <row r="46108" spans="23:23" x14ac:dyDescent="0.55000000000000004">
      <c r="W46108"/>
    </row>
    <row r="46109" spans="23:23" x14ac:dyDescent="0.55000000000000004">
      <c r="W46109"/>
    </row>
    <row r="46110" spans="23:23" x14ac:dyDescent="0.55000000000000004">
      <c r="W46110"/>
    </row>
    <row r="46111" spans="23:23" x14ac:dyDescent="0.55000000000000004">
      <c r="W46111"/>
    </row>
    <row r="46112" spans="23:23" x14ac:dyDescent="0.55000000000000004">
      <c r="W46112"/>
    </row>
    <row r="46113" spans="23:23" x14ac:dyDescent="0.55000000000000004">
      <c r="W46113"/>
    </row>
    <row r="46114" spans="23:23" x14ac:dyDescent="0.55000000000000004">
      <c r="W46114"/>
    </row>
    <row r="46115" spans="23:23" x14ac:dyDescent="0.55000000000000004">
      <c r="W46115"/>
    </row>
    <row r="46116" spans="23:23" x14ac:dyDescent="0.55000000000000004">
      <c r="W46116"/>
    </row>
    <row r="46117" spans="23:23" x14ac:dyDescent="0.55000000000000004">
      <c r="W46117"/>
    </row>
    <row r="46118" spans="23:23" x14ac:dyDescent="0.55000000000000004">
      <c r="W46118"/>
    </row>
    <row r="46119" spans="23:23" x14ac:dyDescent="0.55000000000000004">
      <c r="W46119"/>
    </row>
    <row r="46120" spans="23:23" x14ac:dyDescent="0.55000000000000004">
      <c r="W46120"/>
    </row>
    <row r="46121" spans="23:23" x14ac:dyDescent="0.55000000000000004">
      <c r="W46121"/>
    </row>
    <row r="46122" spans="23:23" x14ac:dyDescent="0.55000000000000004">
      <c r="W46122"/>
    </row>
    <row r="46123" spans="23:23" x14ac:dyDescent="0.55000000000000004">
      <c r="W46123"/>
    </row>
    <row r="46124" spans="23:23" x14ac:dyDescent="0.55000000000000004">
      <c r="W46124"/>
    </row>
    <row r="46125" spans="23:23" x14ac:dyDescent="0.55000000000000004">
      <c r="W46125"/>
    </row>
    <row r="46126" spans="23:23" x14ac:dyDescent="0.55000000000000004">
      <c r="W46126"/>
    </row>
    <row r="46127" spans="23:23" x14ac:dyDescent="0.55000000000000004">
      <c r="W46127"/>
    </row>
    <row r="46128" spans="23:23" x14ac:dyDescent="0.55000000000000004">
      <c r="W46128"/>
    </row>
    <row r="46129" spans="23:23" x14ac:dyDescent="0.55000000000000004">
      <c r="W46129"/>
    </row>
    <row r="46130" spans="23:23" x14ac:dyDescent="0.55000000000000004">
      <c r="W46130"/>
    </row>
    <row r="46131" spans="23:23" x14ac:dyDescent="0.55000000000000004">
      <c r="W46131"/>
    </row>
    <row r="46132" spans="23:23" x14ac:dyDescent="0.55000000000000004">
      <c r="W46132"/>
    </row>
    <row r="46133" spans="23:23" x14ac:dyDescent="0.55000000000000004">
      <c r="W46133"/>
    </row>
    <row r="46134" spans="23:23" x14ac:dyDescent="0.55000000000000004">
      <c r="W46134"/>
    </row>
    <row r="46135" spans="23:23" x14ac:dyDescent="0.55000000000000004">
      <c r="W46135"/>
    </row>
    <row r="46136" spans="23:23" x14ac:dyDescent="0.55000000000000004">
      <c r="W46136"/>
    </row>
    <row r="46137" spans="23:23" x14ac:dyDescent="0.55000000000000004">
      <c r="W46137"/>
    </row>
    <row r="46138" spans="23:23" x14ac:dyDescent="0.55000000000000004">
      <c r="W46138"/>
    </row>
    <row r="46139" spans="23:23" x14ac:dyDescent="0.55000000000000004">
      <c r="W46139"/>
    </row>
    <row r="46140" spans="23:23" x14ac:dyDescent="0.55000000000000004">
      <c r="W46140"/>
    </row>
    <row r="46141" spans="23:23" x14ac:dyDescent="0.55000000000000004">
      <c r="W46141"/>
    </row>
    <row r="46142" spans="23:23" x14ac:dyDescent="0.55000000000000004">
      <c r="W46142"/>
    </row>
    <row r="46143" spans="23:23" x14ac:dyDescent="0.55000000000000004">
      <c r="W46143"/>
    </row>
    <row r="46144" spans="23:23" x14ac:dyDescent="0.55000000000000004">
      <c r="W46144"/>
    </row>
    <row r="46145" spans="23:23" x14ac:dyDescent="0.55000000000000004">
      <c r="W46145"/>
    </row>
    <row r="46146" spans="23:23" x14ac:dyDescent="0.55000000000000004">
      <c r="W46146"/>
    </row>
    <row r="46147" spans="23:23" x14ac:dyDescent="0.55000000000000004">
      <c r="W46147"/>
    </row>
    <row r="46148" spans="23:23" x14ac:dyDescent="0.55000000000000004">
      <c r="W46148"/>
    </row>
    <row r="46149" spans="23:23" x14ac:dyDescent="0.55000000000000004">
      <c r="W46149"/>
    </row>
    <row r="46150" spans="23:23" x14ac:dyDescent="0.55000000000000004">
      <c r="W46150"/>
    </row>
    <row r="46151" spans="23:23" x14ac:dyDescent="0.55000000000000004">
      <c r="W46151"/>
    </row>
    <row r="46152" spans="23:23" x14ac:dyDescent="0.55000000000000004">
      <c r="W46152"/>
    </row>
    <row r="46153" spans="23:23" x14ac:dyDescent="0.55000000000000004">
      <c r="W46153"/>
    </row>
    <row r="46154" spans="23:23" x14ac:dyDescent="0.55000000000000004">
      <c r="W46154"/>
    </row>
    <row r="46155" spans="23:23" x14ac:dyDescent="0.55000000000000004">
      <c r="W46155"/>
    </row>
    <row r="46156" spans="23:23" x14ac:dyDescent="0.55000000000000004">
      <c r="W46156"/>
    </row>
    <row r="46157" spans="23:23" x14ac:dyDescent="0.55000000000000004">
      <c r="W46157"/>
    </row>
    <row r="46158" spans="23:23" x14ac:dyDescent="0.55000000000000004">
      <c r="W46158"/>
    </row>
    <row r="46159" spans="23:23" x14ac:dyDescent="0.55000000000000004">
      <c r="W46159"/>
    </row>
    <row r="46160" spans="23:23" x14ac:dyDescent="0.55000000000000004">
      <c r="W46160"/>
    </row>
    <row r="46161" spans="23:23" x14ac:dyDescent="0.55000000000000004">
      <c r="W46161"/>
    </row>
    <row r="46162" spans="23:23" x14ac:dyDescent="0.55000000000000004">
      <c r="W46162"/>
    </row>
    <row r="46163" spans="23:23" x14ac:dyDescent="0.55000000000000004">
      <c r="W46163"/>
    </row>
    <row r="46164" spans="23:23" x14ac:dyDescent="0.55000000000000004">
      <c r="W46164"/>
    </row>
    <row r="46165" spans="23:23" x14ac:dyDescent="0.55000000000000004">
      <c r="W46165"/>
    </row>
    <row r="46166" spans="23:23" x14ac:dyDescent="0.55000000000000004">
      <c r="W46166"/>
    </row>
    <row r="46167" spans="23:23" x14ac:dyDescent="0.55000000000000004">
      <c r="W46167"/>
    </row>
    <row r="46168" spans="23:23" x14ac:dyDescent="0.55000000000000004">
      <c r="W46168"/>
    </row>
    <row r="46169" spans="23:23" x14ac:dyDescent="0.55000000000000004">
      <c r="W46169"/>
    </row>
    <row r="46170" spans="23:23" x14ac:dyDescent="0.55000000000000004">
      <c r="W46170"/>
    </row>
    <row r="46171" spans="23:23" x14ac:dyDescent="0.55000000000000004">
      <c r="W46171"/>
    </row>
    <row r="46172" spans="23:23" x14ac:dyDescent="0.55000000000000004">
      <c r="W46172"/>
    </row>
    <row r="46173" spans="23:23" x14ac:dyDescent="0.55000000000000004">
      <c r="W46173"/>
    </row>
    <row r="46174" spans="23:23" x14ac:dyDescent="0.55000000000000004">
      <c r="W46174"/>
    </row>
    <row r="46175" spans="23:23" x14ac:dyDescent="0.55000000000000004">
      <c r="W46175"/>
    </row>
    <row r="46176" spans="23:23" x14ac:dyDescent="0.55000000000000004">
      <c r="W46176"/>
    </row>
    <row r="46177" spans="23:23" x14ac:dyDescent="0.55000000000000004">
      <c r="W46177"/>
    </row>
    <row r="46178" spans="23:23" x14ac:dyDescent="0.55000000000000004">
      <c r="W46178"/>
    </row>
    <row r="46179" spans="23:23" x14ac:dyDescent="0.55000000000000004">
      <c r="W46179"/>
    </row>
    <row r="46180" spans="23:23" x14ac:dyDescent="0.55000000000000004">
      <c r="W46180"/>
    </row>
    <row r="46181" spans="23:23" x14ac:dyDescent="0.55000000000000004">
      <c r="W46181"/>
    </row>
    <row r="46182" spans="23:23" x14ac:dyDescent="0.55000000000000004">
      <c r="W46182"/>
    </row>
    <row r="46183" spans="23:23" x14ac:dyDescent="0.55000000000000004">
      <c r="W46183"/>
    </row>
    <row r="46184" spans="23:23" x14ac:dyDescent="0.55000000000000004">
      <c r="W46184"/>
    </row>
    <row r="46185" spans="23:23" x14ac:dyDescent="0.55000000000000004">
      <c r="W46185"/>
    </row>
    <row r="46186" spans="23:23" x14ac:dyDescent="0.55000000000000004">
      <c r="W46186"/>
    </row>
    <row r="46187" spans="23:23" x14ac:dyDescent="0.55000000000000004">
      <c r="W46187"/>
    </row>
    <row r="46188" spans="23:23" x14ac:dyDescent="0.55000000000000004">
      <c r="W46188"/>
    </row>
    <row r="46189" spans="23:23" x14ac:dyDescent="0.55000000000000004">
      <c r="W46189"/>
    </row>
    <row r="46190" spans="23:23" x14ac:dyDescent="0.55000000000000004">
      <c r="W46190"/>
    </row>
    <row r="46191" spans="23:23" x14ac:dyDescent="0.55000000000000004">
      <c r="W46191"/>
    </row>
    <row r="46192" spans="23:23" x14ac:dyDescent="0.55000000000000004">
      <c r="W46192"/>
    </row>
    <row r="46193" spans="23:23" x14ac:dyDescent="0.55000000000000004">
      <c r="W46193"/>
    </row>
    <row r="46194" spans="23:23" x14ac:dyDescent="0.55000000000000004">
      <c r="W46194"/>
    </row>
    <row r="46195" spans="23:23" x14ac:dyDescent="0.55000000000000004">
      <c r="W46195"/>
    </row>
    <row r="46196" spans="23:23" x14ac:dyDescent="0.55000000000000004">
      <c r="W46196"/>
    </row>
    <row r="46197" spans="23:23" x14ac:dyDescent="0.55000000000000004">
      <c r="W46197"/>
    </row>
    <row r="46198" spans="23:23" x14ac:dyDescent="0.55000000000000004">
      <c r="W46198"/>
    </row>
    <row r="46199" spans="23:23" x14ac:dyDescent="0.55000000000000004">
      <c r="W46199"/>
    </row>
    <row r="46200" spans="23:23" x14ac:dyDescent="0.55000000000000004">
      <c r="W46200"/>
    </row>
    <row r="46201" spans="23:23" x14ac:dyDescent="0.55000000000000004">
      <c r="W46201"/>
    </row>
    <row r="46202" spans="23:23" x14ac:dyDescent="0.55000000000000004">
      <c r="W46202"/>
    </row>
    <row r="46203" spans="23:23" x14ac:dyDescent="0.55000000000000004">
      <c r="W46203"/>
    </row>
    <row r="46204" spans="23:23" x14ac:dyDescent="0.55000000000000004">
      <c r="W46204"/>
    </row>
    <row r="46205" spans="23:23" x14ac:dyDescent="0.55000000000000004">
      <c r="W46205"/>
    </row>
    <row r="46206" spans="23:23" x14ac:dyDescent="0.55000000000000004">
      <c r="W46206"/>
    </row>
    <row r="46207" spans="23:23" x14ac:dyDescent="0.55000000000000004">
      <c r="W46207"/>
    </row>
    <row r="46208" spans="23:23" x14ac:dyDescent="0.55000000000000004">
      <c r="W46208"/>
    </row>
    <row r="46209" spans="23:23" x14ac:dyDescent="0.55000000000000004">
      <c r="W46209"/>
    </row>
    <row r="46210" spans="23:23" x14ac:dyDescent="0.55000000000000004">
      <c r="W46210"/>
    </row>
    <row r="46211" spans="23:23" x14ac:dyDescent="0.55000000000000004">
      <c r="W46211"/>
    </row>
    <row r="46212" spans="23:23" x14ac:dyDescent="0.55000000000000004">
      <c r="W46212"/>
    </row>
    <row r="46213" spans="23:23" x14ac:dyDescent="0.55000000000000004">
      <c r="W46213"/>
    </row>
    <row r="46214" spans="23:23" x14ac:dyDescent="0.55000000000000004">
      <c r="W46214"/>
    </row>
    <row r="46215" spans="23:23" x14ac:dyDescent="0.55000000000000004">
      <c r="W46215"/>
    </row>
    <row r="46216" spans="23:23" x14ac:dyDescent="0.55000000000000004">
      <c r="W46216"/>
    </row>
    <row r="46217" spans="23:23" x14ac:dyDescent="0.55000000000000004">
      <c r="W46217"/>
    </row>
    <row r="46218" spans="23:23" x14ac:dyDescent="0.55000000000000004">
      <c r="W46218"/>
    </row>
    <row r="46219" spans="23:23" x14ac:dyDescent="0.55000000000000004">
      <c r="W46219"/>
    </row>
    <row r="46220" spans="23:23" x14ac:dyDescent="0.55000000000000004">
      <c r="W46220"/>
    </row>
    <row r="46221" spans="23:23" x14ac:dyDescent="0.55000000000000004">
      <c r="W46221"/>
    </row>
    <row r="46222" spans="23:23" x14ac:dyDescent="0.55000000000000004">
      <c r="W46222"/>
    </row>
    <row r="46223" spans="23:23" x14ac:dyDescent="0.55000000000000004">
      <c r="W46223"/>
    </row>
    <row r="46224" spans="23:23" x14ac:dyDescent="0.55000000000000004">
      <c r="W46224"/>
    </row>
    <row r="46225" spans="23:23" x14ac:dyDescent="0.55000000000000004">
      <c r="W46225"/>
    </row>
    <row r="46226" spans="23:23" x14ac:dyDescent="0.55000000000000004">
      <c r="W46226"/>
    </row>
    <row r="46227" spans="23:23" x14ac:dyDescent="0.55000000000000004">
      <c r="W46227"/>
    </row>
    <row r="46228" spans="23:23" x14ac:dyDescent="0.55000000000000004">
      <c r="W46228"/>
    </row>
    <row r="46229" spans="23:23" x14ac:dyDescent="0.55000000000000004">
      <c r="W46229"/>
    </row>
    <row r="46230" spans="23:23" x14ac:dyDescent="0.55000000000000004">
      <c r="W46230"/>
    </row>
    <row r="46231" spans="23:23" x14ac:dyDescent="0.55000000000000004">
      <c r="W46231"/>
    </row>
    <row r="46232" spans="23:23" x14ac:dyDescent="0.55000000000000004">
      <c r="W46232"/>
    </row>
    <row r="46233" spans="23:23" x14ac:dyDescent="0.55000000000000004">
      <c r="W46233"/>
    </row>
    <row r="46234" spans="23:23" x14ac:dyDescent="0.55000000000000004">
      <c r="W46234"/>
    </row>
    <row r="46235" spans="23:23" x14ac:dyDescent="0.55000000000000004">
      <c r="W46235"/>
    </row>
    <row r="46236" spans="23:23" x14ac:dyDescent="0.55000000000000004">
      <c r="W46236"/>
    </row>
    <row r="46237" spans="23:23" x14ac:dyDescent="0.55000000000000004">
      <c r="W46237"/>
    </row>
    <row r="46238" spans="23:23" x14ac:dyDescent="0.55000000000000004">
      <c r="W46238"/>
    </row>
    <row r="46239" spans="23:23" x14ac:dyDescent="0.55000000000000004">
      <c r="W46239"/>
    </row>
    <row r="46240" spans="23:23" x14ac:dyDescent="0.55000000000000004">
      <c r="W46240"/>
    </row>
    <row r="46241" spans="23:23" x14ac:dyDescent="0.55000000000000004">
      <c r="W46241"/>
    </row>
    <row r="46242" spans="23:23" x14ac:dyDescent="0.55000000000000004">
      <c r="W46242"/>
    </row>
    <row r="46243" spans="23:23" x14ac:dyDescent="0.55000000000000004">
      <c r="W46243"/>
    </row>
    <row r="46244" spans="23:23" x14ac:dyDescent="0.55000000000000004">
      <c r="W46244"/>
    </row>
    <row r="46245" spans="23:23" x14ac:dyDescent="0.55000000000000004">
      <c r="W46245"/>
    </row>
    <row r="46246" spans="23:23" x14ac:dyDescent="0.55000000000000004">
      <c r="W46246"/>
    </row>
    <row r="46247" spans="23:23" x14ac:dyDescent="0.55000000000000004">
      <c r="W46247"/>
    </row>
    <row r="46248" spans="23:23" x14ac:dyDescent="0.55000000000000004">
      <c r="W46248"/>
    </row>
    <row r="46249" spans="23:23" x14ac:dyDescent="0.55000000000000004">
      <c r="W46249"/>
    </row>
    <row r="46250" spans="23:23" x14ac:dyDescent="0.55000000000000004">
      <c r="W46250"/>
    </row>
    <row r="46251" spans="23:23" x14ac:dyDescent="0.55000000000000004">
      <c r="W46251"/>
    </row>
    <row r="46252" spans="23:23" x14ac:dyDescent="0.55000000000000004">
      <c r="W46252"/>
    </row>
    <row r="46253" spans="23:23" x14ac:dyDescent="0.55000000000000004">
      <c r="W46253"/>
    </row>
    <row r="46254" spans="23:23" x14ac:dyDescent="0.55000000000000004">
      <c r="W46254"/>
    </row>
    <row r="46255" spans="23:23" x14ac:dyDescent="0.55000000000000004">
      <c r="W46255"/>
    </row>
    <row r="46256" spans="23:23" x14ac:dyDescent="0.55000000000000004">
      <c r="W46256"/>
    </row>
    <row r="46257" spans="23:23" x14ac:dyDescent="0.55000000000000004">
      <c r="W46257"/>
    </row>
    <row r="46258" spans="23:23" x14ac:dyDescent="0.55000000000000004">
      <c r="W46258"/>
    </row>
    <row r="46259" spans="23:23" x14ac:dyDescent="0.55000000000000004">
      <c r="W46259"/>
    </row>
    <row r="46260" spans="23:23" x14ac:dyDescent="0.55000000000000004">
      <c r="W46260"/>
    </row>
    <row r="46261" spans="23:23" x14ac:dyDescent="0.55000000000000004">
      <c r="W46261"/>
    </row>
    <row r="46262" spans="23:23" x14ac:dyDescent="0.55000000000000004">
      <c r="W46262"/>
    </row>
    <row r="46263" spans="23:23" x14ac:dyDescent="0.55000000000000004">
      <c r="W46263"/>
    </row>
    <row r="46264" spans="23:23" x14ac:dyDescent="0.55000000000000004">
      <c r="W46264"/>
    </row>
    <row r="46265" spans="23:23" x14ac:dyDescent="0.55000000000000004">
      <c r="W46265"/>
    </row>
    <row r="46266" spans="23:23" x14ac:dyDescent="0.55000000000000004">
      <c r="W46266"/>
    </row>
    <row r="46267" spans="23:23" x14ac:dyDescent="0.55000000000000004">
      <c r="W46267"/>
    </row>
    <row r="46268" spans="23:23" x14ac:dyDescent="0.55000000000000004">
      <c r="W46268"/>
    </row>
    <row r="46269" spans="23:23" x14ac:dyDescent="0.55000000000000004">
      <c r="W46269"/>
    </row>
    <row r="46270" spans="23:23" x14ac:dyDescent="0.55000000000000004">
      <c r="W46270"/>
    </row>
    <row r="46271" spans="23:23" x14ac:dyDescent="0.55000000000000004">
      <c r="W46271"/>
    </row>
    <row r="46272" spans="23:23" x14ac:dyDescent="0.55000000000000004">
      <c r="W46272"/>
    </row>
    <row r="46273" spans="23:23" x14ac:dyDescent="0.55000000000000004">
      <c r="W46273"/>
    </row>
    <row r="46274" spans="23:23" x14ac:dyDescent="0.55000000000000004">
      <c r="W46274"/>
    </row>
    <row r="46275" spans="23:23" x14ac:dyDescent="0.55000000000000004">
      <c r="W46275"/>
    </row>
    <row r="46276" spans="23:23" x14ac:dyDescent="0.55000000000000004">
      <c r="W46276"/>
    </row>
    <row r="46277" spans="23:23" x14ac:dyDescent="0.55000000000000004">
      <c r="W46277"/>
    </row>
    <row r="46278" spans="23:23" x14ac:dyDescent="0.55000000000000004">
      <c r="W46278"/>
    </row>
    <row r="46279" spans="23:23" x14ac:dyDescent="0.55000000000000004">
      <c r="W46279"/>
    </row>
    <row r="46280" spans="23:23" x14ac:dyDescent="0.55000000000000004">
      <c r="W46280"/>
    </row>
    <row r="46281" spans="23:23" x14ac:dyDescent="0.55000000000000004">
      <c r="W46281"/>
    </row>
    <row r="46282" spans="23:23" x14ac:dyDescent="0.55000000000000004">
      <c r="W46282"/>
    </row>
    <row r="46283" spans="23:23" x14ac:dyDescent="0.55000000000000004">
      <c r="W46283"/>
    </row>
    <row r="46284" spans="23:23" x14ac:dyDescent="0.55000000000000004">
      <c r="W46284"/>
    </row>
    <row r="46285" spans="23:23" x14ac:dyDescent="0.55000000000000004">
      <c r="W46285"/>
    </row>
    <row r="46286" spans="23:23" x14ac:dyDescent="0.55000000000000004">
      <c r="W46286"/>
    </row>
    <row r="46287" spans="23:23" x14ac:dyDescent="0.55000000000000004">
      <c r="W46287"/>
    </row>
    <row r="46288" spans="23:23" x14ac:dyDescent="0.55000000000000004">
      <c r="W46288"/>
    </row>
    <row r="46289" spans="23:23" x14ac:dyDescent="0.55000000000000004">
      <c r="W46289"/>
    </row>
    <row r="46290" spans="23:23" x14ac:dyDescent="0.55000000000000004">
      <c r="W46290"/>
    </row>
    <row r="46291" spans="23:23" x14ac:dyDescent="0.55000000000000004">
      <c r="W46291"/>
    </row>
    <row r="46292" spans="23:23" x14ac:dyDescent="0.55000000000000004">
      <c r="W46292"/>
    </row>
    <row r="46293" spans="23:23" x14ac:dyDescent="0.55000000000000004">
      <c r="W46293"/>
    </row>
    <row r="46294" spans="23:23" x14ac:dyDescent="0.55000000000000004">
      <c r="W46294"/>
    </row>
    <row r="46295" spans="23:23" x14ac:dyDescent="0.55000000000000004">
      <c r="W46295"/>
    </row>
    <row r="46296" spans="23:23" x14ac:dyDescent="0.55000000000000004">
      <c r="W46296"/>
    </row>
    <row r="46297" spans="23:23" x14ac:dyDescent="0.55000000000000004">
      <c r="W46297"/>
    </row>
    <row r="46298" spans="23:23" x14ac:dyDescent="0.55000000000000004">
      <c r="W46298"/>
    </row>
    <row r="46299" spans="23:23" x14ac:dyDescent="0.55000000000000004">
      <c r="W46299"/>
    </row>
    <row r="46300" spans="23:23" x14ac:dyDescent="0.55000000000000004">
      <c r="W46300"/>
    </row>
    <row r="46301" spans="23:23" x14ac:dyDescent="0.55000000000000004">
      <c r="W46301"/>
    </row>
    <row r="46302" spans="23:23" x14ac:dyDescent="0.55000000000000004">
      <c r="W46302"/>
    </row>
    <row r="46303" spans="23:23" x14ac:dyDescent="0.55000000000000004">
      <c r="W46303"/>
    </row>
    <row r="46304" spans="23:23" x14ac:dyDescent="0.55000000000000004">
      <c r="W46304"/>
    </row>
    <row r="46305" spans="23:23" x14ac:dyDescent="0.55000000000000004">
      <c r="W46305"/>
    </row>
    <row r="46306" spans="23:23" x14ac:dyDescent="0.55000000000000004">
      <c r="W46306"/>
    </row>
    <row r="46307" spans="23:23" x14ac:dyDescent="0.55000000000000004">
      <c r="W46307"/>
    </row>
    <row r="46308" spans="23:23" x14ac:dyDescent="0.55000000000000004">
      <c r="W46308"/>
    </row>
    <row r="46309" spans="23:23" x14ac:dyDescent="0.55000000000000004">
      <c r="W46309"/>
    </row>
    <row r="46310" spans="23:23" x14ac:dyDescent="0.55000000000000004">
      <c r="W46310"/>
    </row>
    <row r="46311" spans="23:23" x14ac:dyDescent="0.55000000000000004">
      <c r="W46311"/>
    </row>
    <row r="46312" spans="23:23" x14ac:dyDescent="0.55000000000000004">
      <c r="W46312"/>
    </row>
    <row r="46313" spans="23:23" x14ac:dyDescent="0.55000000000000004">
      <c r="W46313"/>
    </row>
    <row r="46314" spans="23:23" x14ac:dyDescent="0.55000000000000004">
      <c r="W46314"/>
    </row>
    <row r="46315" spans="23:23" x14ac:dyDescent="0.55000000000000004">
      <c r="W46315"/>
    </row>
    <row r="46316" spans="23:23" x14ac:dyDescent="0.55000000000000004">
      <c r="W46316"/>
    </row>
    <row r="46317" spans="23:23" x14ac:dyDescent="0.55000000000000004">
      <c r="W46317"/>
    </row>
    <row r="46318" spans="23:23" x14ac:dyDescent="0.55000000000000004">
      <c r="W46318"/>
    </row>
    <row r="46319" spans="23:23" x14ac:dyDescent="0.55000000000000004">
      <c r="W46319"/>
    </row>
    <row r="46320" spans="23:23" x14ac:dyDescent="0.55000000000000004">
      <c r="W46320"/>
    </row>
    <row r="46321" spans="23:23" x14ac:dyDescent="0.55000000000000004">
      <c r="W46321"/>
    </row>
    <row r="46322" spans="23:23" x14ac:dyDescent="0.55000000000000004">
      <c r="W46322"/>
    </row>
    <row r="46323" spans="23:23" x14ac:dyDescent="0.55000000000000004">
      <c r="W46323"/>
    </row>
    <row r="46324" spans="23:23" x14ac:dyDescent="0.55000000000000004">
      <c r="W46324"/>
    </row>
    <row r="46325" spans="23:23" x14ac:dyDescent="0.55000000000000004">
      <c r="W46325"/>
    </row>
    <row r="46326" spans="23:23" x14ac:dyDescent="0.55000000000000004">
      <c r="W46326"/>
    </row>
    <row r="46327" spans="23:23" x14ac:dyDescent="0.55000000000000004">
      <c r="W46327"/>
    </row>
    <row r="46328" spans="23:23" x14ac:dyDescent="0.55000000000000004">
      <c r="W46328"/>
    </row>
    <row r="46329" spans="23:23" x14ac:dyDescent="0.55000000000000004">
      <c r="W46329"/>
    </row>
    <row r="46330" spans="23:23" x14ac:dyDescent="0.55000000000000004">
      <c r="W46330"/>
    </row>
    <row r="46331" spans="23:23" x14ac:dyDescent="0.55000000000000004">
      <c r="W46331"/>
    </row>
    <row r="46332" spans="23:23" x14ac:dyDescent="0.55000000000000004">
      <c r="W46332"/>
    </row>
    <row r="46333" spans="23:23" x14ac:dyDescent="0.55000000000000004">
      <c r="W46333"/>
    </row>
    <row r="46334" spans="23:23" x14ac:dyDescent="0.55000000000000004">
      <c r="W46334"/>
    </row>
    <row r="46335" spans="23:23" x14ac:dyDescent="0.55000000000000004">
      <c r="W46335"/>
    </row>
    <row r="46336" spans="23:23" x14ac:dyDescent="0.55000000000000004">
      <c r="W46336"/>
    </row>
    <row r="46337" spans="23:23" x14ac:dyDescent="0.55000000000000004">
      <c r="W46337"/>
    </row>
    <row r="46338" spans="23:23" x14ac:dyDescent="0.55000000000000004">
      <c r="W46338"/>
    </row>
    <row r="46339" spans="23:23" x14ac:dyDescent="0.55000000000000004">
      <c r="W46339"/>
    </row>
    <row r="46340" spans="23:23" x14ac:dyDescent="0.55000000000000004">
      <c r="W46340"/>
    </row>
    <row r="46341" spans="23:23" x14ac:dyDescent="0.55000000000000004">
      <c r="W46341"/>
    </row>
    <row r="46342" spans="23:23" x14ac:dyDescent="0.55000000000000004">
      <c r="W46342"/>
    </row>
    <row r="46343" spans="23:23" x14ac:dyDescent="0.55000000000000004">
      <c r="W46343"/>
    </row>
    <row r="46344" spans="23:23" x14ac:dyDescent="0.55000000000000004">
      <c r="W46344"/>
    </row>
    <row r="46345" spans="23:23" x14ac:dyDescent="0.55000000000000004">
      <c r="W46345"/>
    </row>
    <row r="46346" spans="23:23" x14ac:dyDescent="0.55000000000000004">
      <c r="W46346"/>
    </row>
    <row r="46347" spans="23:23" x14ac:dyDescent="0.55000000000000004">
      <c r="W46347"/>
    </row>
    <row r="46348" spans="23:23" x14ac:dyDescent="0.55000000000000004">
      <c r="W46348"/>
    </row>
    <row r="46349" spans="23:23" x14ac:dyDescent="0.55000000000000004">
      <c r="W46349"/>
    </row>
    <row r="46350" spans="23:23" x14ac:dyDescent="0.55000000000000004">
      <c r="W46350"/>
    </row>
    <row r="46351" spans="23:23" x14ac:dyDescent="0.55000000000000004">
      <c r="W46351"/>
    </row>
    <row r="46352" spans="23:23" x14ac:dyDescent="0.55000000000000004">
      <c r="W46352"/>
    </row>
    <row r="46353" spans="23:23" x14ac:dyDescent="0.55000000000000004">
      <c r="W46353"/>
    </row>
    <row r="46354" spans="23:23" x14ac:dyDescent="0.55000000000000004">
      <c r="W46354"/>
    </row>
    <row r="46355" spans="23:23" x14ac:dyDescent="0.55000000000000004">
      <c r="W46355"/>
    </row>
    <row r="46356" spans="23:23" x14ac:dyDescent="0.55000000000000004">
      <c r="W46356"/>
    </row>
    <row r="46357" spans="23:23" x14ac:dyDescent="0.55000000000000004">
      <c r="W46357"/>
    </row>
    <row r="46358" spans="23:23" x14ac:dyDescent="0.55000000000000004">
      <c r="W46358"/>
    </row>
    <row r="46359" spans="23:23" x14ac:dyDescent="0.55000000000000004">
      <c r="W46359"/>
    </row>
    <row r="46360" spans="23:23" x14ac:dyDescent="0.55000000000000004">
      <c r="W46360"/>
    </row>
    <row r="46361" spans="23:23" x14ac:dyDescent="0.55000000000000004">
      <c r="W46361"/>
    </row>
    <row r="46362" spans="23:23" x14ac:dyDescent="0.55000000000000004">
      <c r="W46362"/>
    </row>
    <row r="46363" spans="23:23" x14ac:dyDescent="0.55000000000000004">
      <c r="W46363"/>
    </row>
    <row r="46364" spans="23:23" x14ac:dyDescent="0.55000000000000004">
      <c r="W46364"/>
    </row>
    <row r="46365" spans="23:23" x14ac:dyDescent="0.55000000000000004">
      <c r="W46365"/>
    </row>
    <row r="46366" spans="23:23" x14ac:dyDescent="0.55000000000000004">
      <c r="W46366"/>
    </row>
    <row r="46367" spans="23:23" x14ac:dyDescent="0.55000000000000004">
      <c r="W46367"/>
    </row>
    <row r="46368" spans="23:23" x14ac:dyDescent="0.55000000000000004">
      <c r="W46368"/>
    </row>
    <row r="46369" spans="23:23" x14ac:dyDescent="0.55000000000000004">
      <c r="W46369"/>
    </row>
    <row r="46370" spans="23:23" x14ac:dyDescent="0.55000000000000004">
      <c r="W46370"/>
    </row>
    <row r="46371" spans="23:23" x14ac:dyDescent="0.55000000000000004">
      <c r="W46371"/>
    </row>
    <row r="46372" spans="23:23" x14ac:dyDescent="0.55000000000000004">
      <c r="W46372"/>
    </row>
    <row r="46373" spans="23:23" x14ac:dyDescent="0.55000000000000004">
      <c r="W46373"/>
    </row>
    <row r="46374" spans="23:23" x14ac:dyDescent="0.55000000000000004">
      <c r="W46374"/>
    </row>
    <row r="46375" spans="23:23" x14ac:dyDescent="0.55000000000000004">
      <c r="W46375"/>
    </row>
    <row r="46376" spans="23:23" x14ac:dyDescent="0.55000000000000004">
      <c r="W46376"/>
    </row>
    <row r="46377" spans="23:23" x14ac:dyDescent="0.55000000000000004">
      <c r="W46377"/>
    </row>
    <row r="46378" spans="23:23" x14ac:dyDescent="0.55000000000000004">
      <c r="W46378"/>
    </row>
    <row r="46379" spans="23:23" x14ac:dyDescent="0.55000000000000004">
      <c r="W46379"/>
    </row>
    <row r="46380" spans="23:23" x14ac:dyDescent="0.55000000000000004">
      <c r="W46380"/>
    </row>
    <row r="46381" spans="23:23" x14ac:dyDescent="0.55000000000000004">
      <c r="W46381"/>
    </row>
    <row r="46382" spans="23:23" x14ac:dyDescent="0.55000000000000004">
      <c r="W46382"/>
    </row>
    <row r="46383" spans="23:23" x14ac:dyDescent="0.55000000000000004">
      <c r="W46383"/>
    </row>
    <row r="46384" spans="23:23" x14ac:dyDescent="0.55000000000000004">
      <c r="W46384"/>
    </row>
    <row r="46385" spans="23:23" x14ac:dyDescent="0.55000000000000004">
      <c r="W46385"/>
    </row>
    <row r="46386" spans="23:23" x14ac:dyDescent="0.55000000000000004">
      <c r="W46386"/>
    </row>
    <row r="46387" spans="23:23" x14ac:dyDescent="0.55000000000000004">
      <c r="W46387"/>
    </row>
    <row r="46388" spans="23:23" x14ac:dyDescent="0.55000000000000004">
      <c r="W46388"/>
    </row>
    <row r="46389" spans="23:23" x14ac:dyDescent="0.55000000000000004">
      <c r="W46389"/>
    </row>
    <row r="46390" spans="23:23" x14ac:dyDescent="0.55000000000000004">
      <c r="W46390"/>
    </row>
    <row r="46391" spans="23:23" x14ac:dyDescent="0.55000000000000004">
      <c r="W46391"/>
    </row>
    <row r="46392" spans="23:23" x14ac:dyDescent="0.55000000000000004">
      <c r="W46392"/>
    </row>
    <row r="46393" spans="23:23" x14ac:dyDescent="0.55000000000000004">
      <c r="W46393"/>
    </row>
    <row r="46394" spans="23:23" x14ac:dyDescent="0.55000000000000004">
      <c r="W46394"/>
    </row>
    <row r="46395" spans="23:23" x14ac:dyDescent="0.55000000000000004">
      <c r="W46395"/>
    </row>
    <row r="46396" spans="23:23" x14ac:dyDescent="0.55000000000000004">
      <c r="W46396"/>
    </row>
    <row r="46397" spans="23:23" x14ac:dyDescent="0.55000000000000004">
      <c r="W46397"/>
    </row>
    <row r="46398" spans="23:23" x14ac:dyDescent="0.55000000000000004">
      <c r="W46398"/>
    </row>
    <row r="46399" spans="23:23" x14ac:dyDescent="0.55000000000000004">
      <c r="W46399"/>
    </row>
    <row r="46400" spans="23:23" x14ac:dyDescent="0.55000000000000004">
      <c r="W46400"/>
    </row>
    <row r="46401" spans="23:23" x14ac:dyDescent="0.55000000000000004">
      <c r="W46401"/>
    </row>
    <row r="46402" spans="23:23" x14ac:dyDescent="0.55000000000000004">
      <c r="W46402"/>
    </row>
    <row r="46403" spans="23:23" x14ac:dyDescent="0.55000000000000004">
      <c r="W46403"/>
    </row>
    <row r="46404" spans="23:23" x14ac:dyDescent="0.55000000000000004">
      <c r="W46404"/>
    </row>
    <row r="46405" spans="23:23" x14ac:dyDescent="0.55000000000000004">
      <c r="W46405"/>
    </row>
    <row r="46406" spans="23:23" x14ac:dyDescent="0.55000000000000004">
      <c r="W46406"/>
    </row>
    <row r="46407" spans="23:23" x14ac:dyDescent="0.55000000000000004">
      <c r="W46407"/>
    </row>
    <row r="46408" spans="23:23" x14ac:dyDescent="0.55000000000000004">
      <c r="W46408"/>
    </row>
    <row r="46409" spans="23:23" x14ac:dyDescent="0.55000000000000004">
      <c r="W46409"/>
    </row>
    <row r="46410" spans="23:23" x14ac:dyDescent="0.55000000000000004">
      <c r="W46410"/>
    </row>
    <row r="46411" spans="23:23" x14ac:dyDescent="0.55000000000000004">
      <c r="W46411"/>
    </row>
    <row r="46412" spans="23:23" x14ac:dyDescent="0.55000000000000004">
      <c r="W46412"/>
    </row>
    <row r="46413" spans="23:23" x14ac:dyDescent="0.55000000000000004">
      <c r="W46413"/>
    </row>
    <row r="46414" spans="23:23" x14ac:dyDescent="0.55000000000000004">
      <c r="W46414"/>
    </row>
    <row r="46415" spans="23:23" x14ac:dyDescent="0.55000000000000004">
      <c r="W46415"/>
    </row>
    <row r="46416" spans="23:23" x14ac:dyDescent="0.55000000000000004">
      <c r="W46416"/>
    </row>
    <row r="46417" spans="23:23" x14ac:dyDescent="0.55000000000000004">
      <c r="W46417"/>
    </row>
    <row r="46418" spans="23:23" x14ac:dyDescent="0.55000000000000004">
      <c r="W46418"/>
    </row>
    <row r="46419" spans="23:23" x14ac:dyDescent="0.55000000000000004">
      <c r="W46419"/>
    </row>
    <row r="46420" spans="23:23" x14ac:dyDescent="0.55000000000000004">
      <c r="W46420"/>
    </row>
    <row r="46421" spans="23:23" x14ac:dyDescent="0.55000000000000004">
      <c r="W46421"/>
    </row>
    <row r="46422" spans="23:23" x14ac:dyDescent="0.55000000000000004">
      <c r="W46422"/>
    </row>
    <row r="46423" spans="23:23" x14ac:dyDescent="0.55000000000000004">
      <c r="W46423"/>
    </row>
    <row r="46424" spans="23:23" x14ac:dyDescent="0.55000000000000004">
      <c r="W46424"/>
    </row>
    <row r="46425" spans="23:23" x14ac:dyDescent="0.55000000000000004">
      <c r="W46425"/>
    </row>
    <row r="46426" spans="23:23" x14ac:dyDescent="0.55000000000000004">
      <c r="W46426"/>
    </row>
    <row r="46427" spans="23:23" x14ac:dyDescent="0.55000000000000004">
      <c r="W46427"/>
    </row>
    <row r="46428" spans="23:23" x14ac:dyDescent="0.55000000000000004">
      <c r="W46428"/>
    </row>
    <row r="46429" spans="23:23" x14ac:dyDescent="0.55000000000000004">
      <c r="W46429"/>
    </row>
    <row r="46430" spans="23:23" x14ac:dyDescent="0.55000000000000004">
      <c r="W46430"/>
    </row>
    <row r="46431" spans="23:23" x14ac:dyDescent="0.55000000000000004">
      <c r="W46431"/>
    </row>
    <row r="46432" spans="23:23" x14ac:dyDescent="0.55000000000000004">
      <c r="W46432"/>
    </row>
    <row r="46433" spans="23:23" x14ac:dyDescent="0.55000000000000004">
      <c r="W46433"/>
    </row>
    <row r="46434" spans="23:23" x14ac:dyDescent="0.55000000000000004">
      <c r="W46434"/>
    </row>
    <row r="46435" spans="23:23" x14ac:dyDescent="0.55000000000000004">
      <c r="W46435"/>
    </row>
    <row r="46436" spans="23:23" x14ac:dyDescent="0.55000000000000004">
      <c r="W46436"/>
    </row>
    <row r="46437" spans="23:23" x14ac:dyDescent="0.55000000000000004">
      <c r="W46437"/>
    </row>
    <row r="46438" spans="23:23" x14ac:dyDescent="0.55000000000000004">
      <c r="W46438"/>
    </row>
    <row r="46439" spans="23:23" x14ac:dyDescent="0.55000000000000004">
      <c r="W46439"/>
    </row>
    <row r="46440" spans="23:23" x14ac:dyDescent="0.55000000000000004">
      <c r="W46440"/>
    </row>
    <row r="46441" spans="23:23" x14ac:dyDescent="0.55000000000000004">
      <c r="W46441"/>
    </row>
    <row r="46442" spans="23:23" x14ac:dyDescent="0.55000000000000004">
      <c r="W46442"/>
    </row>
    <row r="46443" spans="23:23" x14ac:dyDescent="0.55000000000000004">
      <c r="W46443"/>
    </row>
    <row r="46444" spans="23:23" x14ac:dyDescent="0.55000000000000004">
      <c r="W46444"/>
    </row>
    <row r="46445" spans="23:23" x14ac:dyDescent="0.55000000000000004">
      <c r="W46445"/>
    </row>
    <row r="46446" spans="23:23" x14ac:dyDescent="0.55000000000000004">
      <c r="W46446"/>
    </row>
    <row r="46447" spans="23:23" x14ac:dyDescent="0.55000000000000004">
      <c r="W46447"/>
    </row>
    <row r="46448" spans="23:23" x14ac:dyDescent="0.55000000000000004">
      <c r="W46448"/>
    </row>
    <row r="46449" spans="23:23" x14ac:dyDescent="0.55000000000000004">
      <c r="W46449"/>
    </row>
    <row r="46450" spans="23:23" x14ac:dyDescent="0.55000000000000004">
      <c r="W46450"/>
    </row>
    <row r="46451" spans="23:23" x14ac:dyDescent="0.55000000000000004">
      <c r="W46451"/>
    </row>
    <row r="46452" spans="23:23" x14ac:dyDescent="0.55000000000000004">
      <c r="W46452"/>
    </row>
    <row r="46453" spans="23:23" x14ac:dyDescent="0.55000000000000004">
      <c r="W46453"/>
    </row>
    <row r="46454" spans="23:23" x14ac:dyDescent="0.55000000000000004">
      <c r="W46454"/>
    </row>
    <row r="46455" spans="23:23" x14ac:dyDescent="0.55000000000000004">
      <c r="W46455"/>
    </row>
    <row r="46456" spans="23:23" x14ac:dyDescent="0.55000000000000004">
      <c r="W46456"/>
    </row>
    <row r="46457" spans="23:23" x14ac:dyDescent="0.55000000000000004">
      <c r="W46457"/>
    </row>
    <row r="46458" spans="23:23" x14ac:dyDescent="0.55000000000000004">
      <c r="W46458"/>
    </row>
    <row r="46459" spans="23:23" x14ac:dyDescent="0.55000000000000004">
      <c r="W46459"/>
    </row>
    <row r="46460" spans="23:23" x14ac:dyDescent="0.55000000000000004">
      <c r="W46460"/>
    </row>
    <row r="46461" spans="23:23" x14ac:dyDescent="0.55000000000000004">
      <c r="W46461"/>
    </row>
    <row r="46462" spans="23:23" x14ac:dyDescent="0.55000000000000004">
      <c r="W46462"/>
    </row>
    <row r="46463" spans="23:23" x14ac:dyDescent="0.55000000000000004">
      <c r="W46463"/>
    </row>
    <row r="46464" spans="23:23" x14ac:dyDescent="0.55000000000000004">
      <c r="W46464"/>
    </row>
    <row r="46465" spans="23:23" x14ac:dyDescent="0.55000000000000004">
      <c r="W46465"/>
    </row>
    <row r="46466" spans="23:23" x14ac:dyDescent="0.55000000000000004">
      <c r="W46466"/>
    </row>
    <row r="46467" spans="23:23" x14ac:dyDescent="0.55000000000000004">
      <c r="W46467"/>
    </row>
    <row r="46468" spans="23:23" x14ac:dyDescent="0.55000000000000004">
      <c r="W46468"/>
    </row>
    <row r="46469" spans="23:23" x14ac:dyDescent="0.55000000000000004">
      <c r="W46469"/>
    </row>
    <row r="46470" spans="23:23" x14ac:dyDescent="0.55000000000000004">
      <c r="W46470"/>
    </row>
    <row r="46471" spans="23:23" x14ac:dyDescent="0.55000000000000004">
      <c r="W46471"/>
    </row>
    <row r="46472" spans="23:23" x14ac:dyDescent="0.55000000000000004">
      <c r="W46472"/>
    </row>
    <row r="46473" spans="23:23" x14ac:dyDescent="0.55000000000000004">
      <c r="W46473"/>
    </row>
    <row r="46474" spans="23:23" x14ac:dyDescent="0.55000000000000004">
      <c r="W46474"/>
    </row>
    <row r="46475" spans="23:23" x14ac:dyDescent="0.55000000000000004">
      <c r="W46475"/>
    </row>
    <row r="46476" spans="23:23" x14ac:dyDescent="0.55000000000000004">
      <c r="W46476"/>
    </row>
    <row r="46477" spans="23:23" x14ac:dyDescent="0.55000000000000004">
      <c r="W46477"/>
    </row>
    <row r="46478" spans="23:23" x14ac:dyDescent="0.55000000000000004">
      <c r="W46478"/>
    </row>
    <row r="46479" spans="23:23" x14ac:dyDescent="0.55000000000000004">
      <c r="W46479"/>
    </row>
    <row r="46480" spans="23:23" x14ac:dyDescent="0.55000000000000004">
      <c r="W46480"/>
    </row>
    <row r="46481" spans="23:23" x14ac:dyDescent="0.55000000000000004">
      <c r="W46481"/>
    </row>
    <row r="46482" spans="23:23" x14ac:dyDescent="0.55000000000000004">
      <c r="W46482"/>
    </row>
    <row r="46483" spans="23:23" x14ac:dyDescent="0.55000000000000004">
      <c r="W46483"/>
    </row>
    <row r="46484" spans="23:23" x14ac:dyDescent="0.55000000000000004">
      <c r="W46484"/>
    </row>
    <row r="46485" spans="23:23" x14ac:dyDescent="0.55000000000000004">
      <c r="W46485"/>
    </row>
    <row r="46486" spans="23:23" x14ac:dyDescent="0.55000000000000004">
      <c r="W46486"/>
    </row>
    <row r="46487" spans="23:23" x14ac:dyDescent="0.55000000000000004">
      <c r="W46487"/>
    </row>
    <row r="46488" spans="23:23" x14ac:dyDescent="0.55000000000000004">
      <c r="W46488"/>
    </row>
    <row r="46489" spans="23:23" x14ac:dyDescent="0.55000000000000004">
      <c r="W46489"/>
    </row>
    <row r="46490" spans="23:23" x14ac:dyDescent="0.55000000000000004">
      <c r="W46490"/>
    </row>
    <row r="46491" spans="23:23" x14ac:dyDescent="0.55000000000000004">
      <c r="W46491"/>
    </row>
    <row r="46492" spans="23:23" x14ac:dyDescent="0.55000000000000004">
      <c r="W46492"/>
    </row>
    <row r="46493" spans="23:23" x14ac:dyDescent="0.55000000000000004">
      <c r="W46493"/>
    </row>
    <row r="46494" spans="23:23" x14ac:dyDescent="0.55000000000000004">
      <c r="W46494"/>
    </row>
    <row r="46495" spans="23:23" x14ac:dyDescent="0.55000000000000004">
      <c r="W46495"/>
    </row>
    <row r="46496" spans="23:23" x14ac:dyDescent="0.55000000000000004">
      <c r="W46496"/>
    </row>
    <row r="46497" spans="23:23" x14ac:dyDescent="0.55000000000000004">
      <c r="W46497"/>
    </row>
    <row r="46498" spans="23:23" x14ac:dyDescent="0.55000000000000004">
      <c r="W46498"/>
    </row>
    <row r="46499" spans="23:23" x14ac:dyDescent="0.55000000000000004">
      <c r="W46499"/>
    </row>
    <row r="46500" spans="23:23" x14ac:dyDescent="0.55000000000000004">
      <c r="W46500"/>
    </row>
    <row r="46501" spans="23:23" x14ac:dyDescent="0.55000000000000004">
      <c r="W46501"/>
    </row>
    <row r="46502" spans="23:23" x14ac:dyDescent="0.55000000000000004">
      <c r="W46502"/>
    </row>
    <row r="46503" spans="23:23" x14ac:dyDescent="0.55000000000000004">
      <c r="W46503"/>
    </row>
    <row r="46504" spans="23:23" x14ac:dyDescent="0.55000000000000004">
      <c r="W46504"/>
    </row>
    <row r="46505" spans="23:23" x14ac:dyDescent="0.55000000000000004">
      <c r="W46505"/>
    </row>
    <row r="46506" spans="23:23" x14ac:dyDescent="0.55000000000000004">
      <c r="W46506"/>
    </row>
    <row r="46507" spans="23:23" x14ac:dyDescent="0.55000000000000004">
      <c r="W46507"/>
    </row>
    <row r="46508" spans="23:23" x14ac:dyDescent="0.55000000000000004">
      <c r="W46508"/>
    </row>
    <row r="46509" spans="23:23" x14ac:dyDescent="0.55000000000000004">
      <c r="W46509"/>
    </row>
    <row r="46510" spans="23:23" x14ac:dyDescent="0.55000000000000004">
      <c r="W46510"/>
    </row>
    <row r="46511" spans="23:23" x14ac:dyDescent="0.55000000000000004">
      <c r="W46511"/>
    </row>
    <row r="46512" spans="23:23" x14ac:dyDescent="0.55000000000000004">
      <c r="W46512"/>
    </row>
    <row r="46513" spans="23:23" x14ac:dyDescent="0.55000000000000004">
      <c r="W46513"/>
    </row>
    <row r="46514" spans="23:23" x14ac:dyDescent="0.55000000000000004">
      <c r="W46514"/>
    </row>
    <row r="46515" spans="23:23" x14ac:dyDescent="0.55000000000000004">
      <c r="W46515"/>
    </row>
    <row r="46516" spans="23:23" x14ac:dyDescent="0.55000000000000004">
      <c r="W46516"/>
    </row>
    <row r="46517" spans="23:23" x14ac:dyDescent="0.55000000000000004">
      <c r="W46517"/>
    </row>
    <row r="46518" spans="23:23" x14ac:dyDescent="0.55000000000000004">
      <c r="W46518"/>
    </row>
    <row r="46519" spans="23:23" x14ac:dyDescent="0.55000000000000004">
      <c r="W46519"/>
    </row>
    <row r="46520" spans="23:23" x14ac:dyDescent="0.55000000000000004">
      <c r="W46520"/>
    </row>
    <row r="46521" spans="23:23" x14ac:dyDescent="0.55000000000000004">
      <c r="W46521"/>
    </row>
    <row r="46522" spans="23:23" x14ac:dyDescent="0.55000000000000004">
      <c r="W46522"/>
    </row>
    <row r="46523" spans="23:23" x14ac:dyDescent="0.55000000000000004">
      <c r="W46523"/>
    </row>
    <row r="46524" spans="23:23" x14ac:dyDescent="0.55000000000000004">
      <c r="W46524"/>
    </row>
    <row r="46525" spans="23:23" x14ac:dyDescent="0.55000000000000004">
      <c r="W46525"/>
    </row>
    <row r="46526" spans="23:23" x14ac:dyDescent="0.55000000000000004">
      <c r="W46526"/>
    </row>
    <row r="46527" spans="23:23" x14ac:dyDescent="0.55000000000000004">
      <c r="W46527"/>
    </row>
    <row r="46528" spans="23:23" x14ac:dyDescent="0.55000000000000004">
      <c r="W46528"/>
    </row>
    <row r="46529" spans="23:23" x14ac:dyDescent="0.55000000000000004">
      <c r="W46529"/>
    </row>
    <row r="46530" spans="23:23" x14ac:dyDescent="0.55000000000000004">
      <c r="W46530"/>
    </row>
    <row r="46531" spans="23:23" x14ac:dyDescent="0.55000000000000004">
      <c r="W46531"/>
    </row>
    <row r="46532" spans="23:23" x14ac:dyDescent="0.55000000000000004">
      <c r="W46532"/>
    </row>
    <row r="46533" spans="23:23" x14ac:dyDescent="0.55000000000000004">
      <c r="W46533"/>
    </row>
    <row r="46534" spans="23:23" x14ac:dyDescent="0.55000000000000004">
      <c r="W46534"/>
    </row>
    <row r="46535" spans="23:23" x14ac:dyDescent="0.55000000000000004">
      <c r="W46535"/>
    </row>
    <row r="46536" spans="23:23" x14ac:dyDescent="0.55000000000000004">
      <c r="W46536"/>
    </row>
    <row r="46537" spans="23:23" x14ac:dyDescent="0.55000000000000004">
      <c r="W46537"/>
    </row>
    <row r="46538" spans="23:23" x14ac:dyDescent="0.55000000000000004">
      <c r="W46538"/>
    </row>
    <row r="46539" spans="23:23" x14ac:dyDescent="0.55000000000000004">
      <c r="W46539"/>
    </row>
    <row r="46540" spans="23:23" x14ac:dyDescent="0.55000000000000004">
      <c r="W46540"/>
    </row>
    <row r="46541" spans="23:23" x14ac:dyDescent="0.55000000000000004">
      <c r="W46541"/>
    </row>
    <row r="46542" spans="23:23" x14ac:dyDescent="0.55000000000000004">
      <c r="W46542"/>
    </row>
    <row r="46543" spans="23:23" x14ac:dyDescent="0.55000000000000004">
      <c r="W46543"/>
    </row>
    <row r="46544" spans="23:23" x14ac:dyDescent="0.55000000000000004">
      <c r="W46544"/>
    </row>
    <row r="46545" spans="23:23" x14ac:dyDescent="0.55000000000000004">
      <c r="W46545"/>
    </row>
    <row r="46546" spans="23:23" x14ac:dyDescent="0.55000000000000004">
      <c r="W46546"/>
    </row>
    <row r="46547" spans="23:23" x14ac:dyDescent="0.55000000000000004">
      <c r="W46547"/>
    </row>
    <row r="46548" spans="23:23" x14ac:dyDescent="0.55000000000000004">
      <c r="W46548"/>
    </row>
    <row r="46549" spans="23:23" x14ac:dyDescent="0.55000000000000004">
      <c r="W46549"/>
    </row>
    <row r="46550" spans="23:23" x14ac:dyDescent="0.55000000000000004">
      <c r="W46550"/>
    </row>
    <row r="46551" spans="23:23" x14ac:dyDescent="0.55000000000000004">
      <c r="W46551"/>
    </row>
    <row r="46552" spans="23:23" x14ac:dyDescent="0.55000000000000004">
      <c r="W46552"/>
    </row>
    <row r="46553" spans="23:23" x14ac:dyDescent="0.55000000000000004">
      <c r="W46553"/>
    </row>
    <row r="46554" spans="23:23" x14ac:dyDescent="0.55000000000000004">
      <c r="W46554"/>
    </row>
    <row r="46555" spans="23:23" x14ac:dyDescent="0.55000000000000004">
      <c r="W46555"/>
    </row>
    <row r="46556" spans="23:23" x14ac:dyDescent="0.55000000000000004">
      <c r="W46556"/>
    </row>
    <row r="46557" spans="23:23" x14ac:dyDescent="0.55000000000000004">
      <c r="W46557"/>
    </row>
    <row r="46558" spans="23:23" x14ac:dyDescent="0.55000000000000004">
      <c r="W46558"/>
    </row>
    <row r="46559" spans="23:23" x14ac:dyDescent="0.55000000000000004">
      <c r="W46559"/>
    </row>
    <row r="46560" spans="23:23" x14ac:dyDescent="0.55000000000000004">
      <c r="W46560"/>
    </row>
    <row r="46561" spans="23:23" x14ac:dyDescent="0.55000000000000004">
      <c r="W46561"/>
    </row>
    <row r="46562" spans="23:23" x14ac:dyDescent="0.55000000000000004">
      <c r="W46562"/>
    </row>
    <row r="46563" spans="23:23" x14ac:dyDescent="0.55000000000000004">
      <c r="W46563"/>
    </row>
    <row r="46564" spans="23:23" x14ac:dyDescent="0.55000000000000004">
      <c r="W46564"/>
    </row>
    <row r="46565" spans="23:23" x14ac:dyDescent="0.55000000000000004">
      <c r="W46565"/>
    </row>
    <row r="46566" spans="23:23" x14ac:dyDescent="0.55000000000000004">
      <c r="W46566"/>
    </row>
    <row r="46567" spans="23:23" x14ac:dyDescent="0.55000000000000004">
      <c r="W46567"/>
    </row>
    <row r="46568" spans="23:23" x14ac:dyDescent="0.55000000000000004">
      <c r="W46568"/>
    </row>
    <row r="46569" spans="23:23" x14ac:dyDescent="0.55000000000000004">
      <c r="W46569"/>
    </row>
    <row r="46570" spans="23:23" x14ac:dyDescent="0.55000000000000004">
      <c r="W46570"/>
    </row>
    <row r="46571" spans="23:23" x14ac:dyDescent="0.55000000000000004">
      <c r="W46571"/>
    </row>
    <row r="46572" spans="23:23" x14ac:dyDescent="0.55000000000000004">
      <c r="W46572"/>
    </row>
    <row r="46573" spans="23:23" x14ac:dyDescent="0.55000000000000004">
      <c r="W46573"/>
    </row>
    <row r="46574" spans="23:23" x14ac:dyDescent="0.55000000000000004">
      <c r="W46574"/>
    </row>
    <row r="46575" spans="23:23" x14ac:dyDescent="0.55000000000000004">
      <c r="W46575"/>
    </row>
    <row r="46576" spans="23:23" x14ac:dyDescent="0.55000000000000004">
      <c r="W46576"/>
    </row>
    <row r="46577" spans="23:23" x14ac:dyDescent="0.55000000000000004">
      <c r="W46577"/>
    </row>
    <row r="46578" spans="23:23" x14ac:dyDescent="0.55000000000000004">
      <c r="W46578"/>
    </row>
    <row r="46579" spans="23:23" x14ac:dyDescent="0.55000000000000004">
      <c r="W46579"/>
    </row>
    <row r="46580" spans="23:23" x14ac:dyDescent="0.55000000000000004">
      <c r="W46580"/>
    </row>
    <row r="46581" spans="23:23" x14ac:dyDescent="0.55000000000000004">
      <c r="W46581"/>
    </row>
    <row r="46582" spans="23:23" x14ac:dyDescent="0.55000000000000004">
      <c r="W46582"/>
    </row>
    <row r="46583" spans="23:23" x14ac:dyDescent="0.55000000000000004">
      <c r="W46583"/>
    </row>
    <row r="46584" spans="23:23" x14ac:dyDescent="0.55000000000000004">
      <c r="W46584"/>
    </row>
    <row r="46585" spans="23:23" x14ac:dyDescent="0.55000000000000004">
      <c r="W46585"/>
    </row>
    <row r="46586" spans="23:23" x14ac:dyDescent="0.55000000000000004">
      <c r="W46586"/>
    </row>
    <row r="46587" spans="23:23" x14ac:dyDescent="0.55000000000000004">
      <c r="W46587"/>
    </row>
    <row r="46588" spans="23:23" x14ac:dyDescent="0.55000000000000004">
      <c r="W46588"/>
    </row>
    <row r="46589" spans="23:23" x14ac:dyDescent="0.55000000000000004">
      <c r="W46589"/>
    </row>
    <row r="46590" spans="23:23" x14ac:dyDescent="0.55000000000000004">
      <c r="W46590"/>
    </row>
    <row r="46591" spans="23:23" x14ac:dyDescent="0.55000000000000004">
      <c r="W46591"/>
    </row>
    <row r="46592" spans="23:23" x14ac:dyDescent="0.55000000000000004">
      <c r="W46592"/>
    </row>
    <row r="46593" spans="23:23" x14ac:dyDescent="0.55000000000000004">
      <c r="W46593"/>
    </row>
    <row r="46594" spans="23:23" x14ac:dyDescent="0.55000000000000004">
      <c r="W46594"/>
    </row>
    <row r="46595" spans="23:23" x14ac:dyDescent="0.55000000000000004">
      <c r="W46595"/>
    </row>
    <row r="46596" spans="23:23" x14ac:dyDescent="0.55000000000000004">
      <c r="W46596"/>
    </row>
    <row r="46597" spans="23:23" x14ac:dyDescent="0.55000000000000004">
      <c r="W46597"/>
    </row>
    <row r="46598" spans="23:23" x14ac:dyDescent="0.55000000000000004">
      <c r="W46598"/>
    </row>
    <row r="46599" spans="23:23" x14ac:dyDescent="0.55000000000000004">
      <c r="W46599"/>
    </row>
    <row r="46600" spans="23:23" x14ac:dyDescent="0.55000000000000004">
      <c r="W46600"/>
    </row>
    <row r="46601" spans="23:23" x14ac:dyDescent="0.55000000000000004">
      <c r="W46601"/>
    </row>
    <row r="46602" spans="23:23" x14ac:dyDescent="0.55000000000000004">
      <c r="W46602"/>
    </row>
    <row r="46603" spans="23:23" x14ac:dyDescent="0.55000000000000004">
      <c r="W46603"/>
    </row>
    <row r="46604" spans="23:23" x14ac:dyDescent="0.55000000000000004">
      <c r="W46604"/>
    </row>
    <row r="46605" spans="23:23" x14ac:dyDescent="0.55000000000000004">
      <c r="W46605"/>
    </row>
    <row r="46606" spans="23:23" x14ac:dyDescent="0.55000000000000004">
      <c r="W46606"/>
    </row>
    <row r="46607" spans="23:23" x14ac:dyDescent="0.55000000000000004">
      <c r="W46607"/>
    </row>
    <row r="46608" spans="23:23" x14ac:dyDescent="0.55000000000000004">
      <c r="W46608"/>
    </row>
    <row r="46609" spans="23:23" x14ac:dyDescent="0.55000000000000004">
      <c r="W46609"/>
    </row>
    <row r="46610" spans="23:23" x14ac:dyDescent="0.55000000000000004">
      <c r="W46610"/>
    </row>
    <row r="46611" spans="23:23" x14ac:dyDescent="0.55000000000000004">
      <c r="W46611"/>
    </row>
    <row r="46612" spans="23:23" x14ac:dyDescent="0.55000000000000004">
      <c r="W46612"/>
    </row>
    <row r="46613" spans="23:23" x14ac:dyDescent="0.55000000000000004">
      <c r="W46613"/>
    </row>
    <row r="46614" spans="23:23" x14ac:dyDescent="0.55000000000000004">
      <c r="W46614"/>
    </row>
    <row r="46615" spans="23:23" x14ac:dyDescent="0.55000000000000004">
      <c r="W46615"/>
    </row>
    <row r="46616" spans="23:23" x14ac:dyDescent="0.55000000000000004">
      <c r="W46616"/>
    </row>
    <row r="46617" spans="23:23" x14ac:dyDescent="0.55000000000000004">
      <c r="W46617"/>
    </row>
    <row r="46618" spans="23:23" x14ac:dyDescent="0.55000000000000004">
      <c r="W46618"/>
    </row>
    <row r="46619" spans="23:23" x14ac:dyDescent="0.55000000000000004">
      <c r="W46619"/>
    </row>
    <row r="46620" spans="23:23" x14ac:dyDescent="0.55000000000000004">
      <c r="W46620"/>
    </row>
    <row r="46621" spans="23:23" x14ac:dyDescent="0.55000000000000004">
      <c r="W46621"/>
    </row>
    <row r="46622" spans="23:23" x14ac:dyDescent="0.55000000000000004">
      <c r="W46622"/>
    </row>
    <row r="46623" spans="23:23" x14ac:dyDescent="0.55000000000000004">
      <c r="W46623"/>
    </row>
    <row r="46624" spans="23:23" x14ac:dyDescent="0.55000000000000004">
      <c r="W46624"/>
    </row>
    <row r="46625" spans="23:23" x14ac:dyDescent="0.55000000000000004">
      <c r="W46625"/>
    </row>
    <row r="46626" spans="23:23" x14ac:dyDescent="0.55000000000000004">
      <c r="W46626"/>
    </row>
    <row r="46627" spans="23:23" x14ac:dyDescent="0.55000000000000004">
      <c r="W46627"/>
    </row>
    <row r="46628" spans="23:23" x14ac:dyDescent="0.55000000000000004">
      <c r="W46628"/>
    </row>
    <row r="46629" spans="23:23" x14ac:dyDescent="0.55000000000000004">
      <c r="W46629"/>
    </row>
    <row r="46630" spans="23:23" x14ac:dyDescent="0.55000000000000004">
      <c r="W46630"/>
    </row>
    <row r="46631" spans="23:23" x14ac:dyDescent="0.55000000000000004">
      <c r="W46631"/>
    </row>
    <row r="46632" spans="23:23" x14ac:dyDescent="0.55000000000000004">
      <c r="W46632"/>
    </row>
    <row r="46633" spans="23:23" x14ac:dyDescent="0.55000000000000004">
      <c r="W46633"/>
    </row>
    <row r="46634" spans="23:23" x14ac:dyDescent="0.55000000000000004">
      <c r="W46634"/>
    </row>
    <row r="46635" spans="23:23" x14ac:dyDescent="0.55000000000000004">
      <c r="W46635"/>
    </row>
    <row r="46636" spans="23:23" x14ac:dyDescent="0.55000000000000004">
      <c r="W46636"/>
    </row>
    <row r="46637" spans="23:23" x14ac:dyDescent="0.55000000000000004">
      <c r="W46637"/>
    </row>
    <row r="46638" spans="23:23" x14ac:dyDescent="0.55000000000000004">
      <c r="W46638"/>
    </row>
    <row r="46639" spans="23:23" x14ac:dyDescent="0.55000000000000004">
      <c r="W46639"/>
    </row>
    <row r="46640" spans="23:23" x14ac:dyDescent="0.55000000000000004">
      <c r="W46640"/>
    </row>
    <row r="46641" spans="23:23" x14ac:dyDescent="0.55000000000000004">
      <c r="W46641"/>
    </row>
    <row r="46642" spans="23:23" x14ac:dyDescent="0.55000000000000004">
      <c r="W46642"/>
    </row>
    <row r="46643" spans="23:23" x14ac:dyDescent="0.55000000000000004">
      <c r="W46643"/>
    </row>
    <row r="46644" spans="23:23" x14ac:dyDescent="0.55000000000000004">
      <c r="W46644"/>
    </row>
    <row r="46645" spans="23:23" x14ac:dyDescent="0.55000000000000004">
      <c r="W46645"/>
    </row>
    <row r="46646" spans="23:23" x14ac:dyDescent="0.55000000000000004">
      <c r="W46646"/>
    </row>
    <row r="46647" spans="23:23" x14ac:dyDescent="0.55000000000000004">
      <c r="W46647"/>
    </row>
    <row r="46648" spans="23:23" x14ac:dyDescent="0.55000000000000004">
      <c r="W46648"/>
    </row>
    <row r="46649" spans="23:23" x14ac:dyDescent="0.55000000000000004">
      <c r="W46649"/>
    </row>
    <row r="46650" spans="23:23" x14ac:dyDescent="0.55000000000000004">
      <c r="W46650"/>
    </row>
    <row r="46651" spans="23:23" x14ac:dyDescent="0.55000000000000004">
      <c r="W46651"/>
    </row>
    <row r="46652" spans="23:23" x14ac:dyDescent="0.55000000000000004">
      <c r="W46652"/>
    </row>
    <row r="46653" spans="23:23" x14ac:dyDescent="0.55000000000000004">
      <c r="W46653"/>
    </row>
    <row r="46654" spans="23:23" x14ac:dyDescent="0.55000000000000004">
      <c r="W46654"/>
    </row>
    <row r="46655" spans="23:23" x14ac:dyDescent="0.55000000000000004">
      <c r="W46655"/>
    </row>
    <row r="46656" spans="23:23" x14ac:dyDescent="0.55000000000000004">
      <c r="W46656"/>
    </row>
    <row r="46657" spans="23:23" x14ac:dyDescent="0.55000000000000004">
      <c r="W46657"/>
    </row>
    <row r="46658" spans="23:23" x14ac:dyDescent="0.55000000000000004">
      <c r="W46658"/>
    </row>
    <row r="46659" spans="23:23" x14ac:dyDescent="0.55000000000000004">
      <c r="W46659"/>
    </row>
    <row r="46660" spans="23:23" x14ac:dyDescent="0.55000000000000004">
      <c r="W46660"/>
    </row>
    <row r="46661" spans="23:23" x14ac:dyDescent="0.55000000000000004">
      <c r="W46661"/>
    </row>
    <row r="46662" spans="23:23" x14ac:dyDescent="0.55000000000000004">
      <c r="W46662"/>
    </row>
    <row r="46663" spans="23:23" x14ac:dyDescent="0.55000000000000004">
      <c r="W46663"/>
    </row>
    <row r="46664" spans="23:23" x14ac:dyDescent="0.55000000000000004">
      <c r="W46664"/>
    </row>
    <row r="46665" spans="23:23" x14ac:dyDescent="0.55000000000000004">
      <c r="W46665"/>
    </row>
    <row r="46666" spans="23:23" x14ac:dyDescent="0.55000000000000004">
      <c r="W46666"/>
    </row>
    <row r="46667" spans="23:23" x14ac:dyDescent="0.55000000000000004">
      <c r="W46667"/>
    </row>
    <row r="46668" spans="23:23" x14ac:dyDescent="0.55000000000000004">
      <c r="W46668"/>
    </row>
    <row r="46669" spans="23:23" x14ac:dyDescent="0.55000000000000004">
      <c r="W46669"/>
    </row>
    <row r="46670" spans="23:23" x14ac:dyDescent="0.55000000000000004">
      <c r="W46670"/>
    </row>
    <row r="46671" spans="23:23" x14ac:dyDescent="0.55000000000000004">
      <c r="W46671"/>
    </row>
    <row r="46672" spans="23:23" x14ac:dyDescent="0.55000000000000004">
      <c r="W46672"/>
    </row>
    <row r="46673" spans="23:23" x14ac:dyDescent="0.55000000000000004">
      <c r="W46673"/>
    </row>
    <row r="46674" spans="23:23" x14ac:dyDescent="0.55000000000000004">
      <c r="W46674"/>
    </row>
    <row r="46675" spans="23:23" x14ac:dyDescent="0.55000000000000004">
      <c r="W46675"/>
    </row>
    <row r="46676" spans="23:23" x14ac:dyDescent="0.55000000000000004">
      <c r="W46676"/>
    </row>
    <row r="46677" spans="23:23" x14ac:dyDescent="0.55000000000000004">
      <c r="W46677"/>
    </row>
    <row r="46678" spans="23:23" x14ac:dyDescent="0.55000000000000004">
      <c r="W46678"/>
    </row>
    <row r="46679" spans="23:23" x14ac:dyDescent="0.55000000000000004">
      <c r="W46679"/>
    </row>
    <row r="46680" spans="23:23" x14ac:dyDescent="0.55000000000000004">
      <c r="W46680"/>
    </row>
    <row r="46681" spans="23:23" x14ac:dyDescent="0.55000000000000004">
      <c r="W46681"/>
    </row>
    <row r="46682" spans="23:23" x14ac:dyDescent="0.55000000000000004">
      <c r="W46682"/>
    </row>
    <row r="46683" spans="23:23" x14ac:dyDescent="0.55000000000000004">
      <c r="W46683"/>
    </row>
    <row r="46684" spans="23:23" x14ac:dyDescent="0.55000000000000004">
      <c r="W46684"/>
    </row>
    <row r="46685" spans="23:23" x14ac:dyDescent="0.55000000000000004">
      <c r="W46685"/>
    </row>
    <row r="46686" spans="23:23" x14ac:dyDescent="0.55000000000000004">
      <c r="W46686"/>
    </row>
    <row r="46687" spans="23:23" x14ac:dyDescent="0.55000000000000004">
      <c r="W46687"/>
    </row>
    <row r="46688" spans="23:23" x14ac:dyDescent="0.55000000000000004">
      <c r="W46688"/>
    </row>
    <row r="46689" spans="23:23" x14ac:dyDescent="0.55000000000000004">
      <c r="W46689"/>
    </row>
    <row r="46690" spans="23:23" x14ac:dyDescent="0.55000000000000004">
      <c r="W46690"/>
    </row>
    <row r="46691" spans="23:23" x14ac:dyDescent="0.55000000000000004">
      <c r="W46691"/>
    </row>
    <row r="46692" spans="23:23" x14ac:dyDescent="0.55000000000000004">
      <c r="W46692"/>
    </row>
    <row r="46693" spans="23:23" x14ac:dyDescent="0.55000000000000004">
      <c r="W46693"/>
    </row>
    <row r="46694" spans="23:23" x14ac:dyDescent="0.55000000000000004">
      <c r="W46694"/>
    </row>
    <row r="46695" spans="23:23" x14ac:dyDescent="0.55000000000000004">
      <c r="W46695"/>
    </row>
    <row r="46696" spans="23:23" x14ac:dyDescent="0.55000000000000004">
      <c r="W46696"/>
    </row>
    <row r="46697" spans="23:23" x14ac:dyDescent="0.55000000000000004">
      <c r="W46697"/>
    </row>
    <row r="46698" spans="23:23" x14ac:dyDescent="0.55000000000000004">
      <c r="W46698"/>
    </row>
    <row r="46699" spans="23:23" x14ac:dyDescent="0.55000000000000004">
      <c r="W46699"/>
    </row>
    <row r="46700" spans="23:23" x14ac:dyDescent="0.55000000000000004">
      <c r="W46700"/>
    </row>
    <row r="46701" spans="23:23" x14ac:dyDescent="0.55000000000000004">
      <c r="W46701"/>
    </row>
    <row r="46702" spans="23:23" x14ac:dyDescent="0.55000000000000004">
      <c r="W46702"/>
    </row>
    <row r="46703" spans="23:23" x14ac:dyDescent="0.55000000000000004">
      <c r="W46703"/>
    </row>
    <row r="46704" spans="23:23" x14ac:dyDescent="0.55000000000000004">
      <c r="W46704"/>
    </row>
    <row r="46705" spans="23:23" x14ac:dyDescent="0.55000000000000004">
      <c r="W46705"/>
    </row>
    <row r="46706" spans="23:23" x14ac:dyDescent="0.55000000000000004">
      <c r="W46706"/>
    </row>
    <row r="46707" spans="23:23" x14ac:dyDescent="0.55000000000000004">
      <c r="W46707"/>
    </row>
    <row r="46708" spans="23:23" x14ac:dyDescent="0.55000000000000004">
      <c r="W46708"/>
    </row>
    <row r="46709" spans="23:23" x14ac:dyDescent="0.55000000000000004">
      <c r="W46709"/>
    </row>
    <row r="46710" spans="23:23" x14ac:dyDescent="0.55000000000000004">
      <c r="W46710"/>
    </row>
    <row r="46711" spans="23:23" x14ac:dyDescent="0.55000000000000004">
      <c r="W46711"/>
    </row>
    <row r="46712" spans="23:23" x14ac:dyDescent="0.55000000000000004">
      <c r="W46712"/>
    </row>
    <row r="46713" spans="23:23" x14ac:dyDescent="0.55000000000000004">
      <c r="W46713"/>
    </row>
    <row r="46714" spans="23:23" x14ac:dyDescent="0.55000000000000004">
      <c r="W46714"/>
    </row>
    <row r="46715" spans="23:23" x14ac:dyDescent="0.55000000000000004">
      <c r="W46715"/>
    </row>
    <row r="46716" spans="23:23" x14ac:dyDescent="0.55000000000000004">
      <c r="W46716"/>
    </row>
    <row r="46717" spans="23:23" x14ac:dyDescent="0.55000000000000004">
      <c r="W46717"/>
    </row>
    <row r="46718" spans="23:23" x14ac:dyDescent="0.55000000000000004">
      <c r="W46718"/>
    </row>
    <row r="46719" spans="23:23" x14ac:dyDescent="0.55000000000000004">
      <c r="W46719"/>
    </row>
    <row r="46720" spans="23:23" x14ac:dyDescent="0.55000000000000004">
      <c r="W46720"/>
    </row>
    <row r="46721" spans="23:23" x14ac:dyDescent="0.55000000000000004">
      <c r="W46721"/>
    </row>
    <row r="46722" spans="23:23" x14ac:dyDescent="0.55000000000000004">
      <c r="W46722"/>
    </row>
    <row r="46723" spans="23:23" x14ac:dyDescent="0.55000000000000004">
      <c r="W46723"/>
    </row>
    <row r="46724" spans="23:23" x14ac:dyDescent="0.55000000000000004">
      <c r="W46724"/>
    </row>
    <row r="46725" spans="23:23" x14ac:dyDescent="0.55000000000000004">
      <c r="W46725"/>
    </row>
    <row r="46726" spans="23:23" x14ac:dyDescent="0.55000000000000004">
      <c r="W46726"/>
    </row>
    <row r="46727" spans="23:23" x14ac:dyDescent="0.55000000000000004">
      <c r="W46727"/>
    </row>
    <row r="46728" spans="23:23" x14ac:dyDescent="0.55000000000000004">
      <c r="W46728"/>
    </row>
    <row r="46729" spans="23:23" x14ac:dyDescent="0.55000000000000004">
      <c r="W46729"/>
    </row>
    <row r="46730" spans="23:23" x14ac:dyDescent="0.55000000000000004">
      <c r="W46730"/>
    </row>
    <row r="46731" spans="23:23" x14ac:dyDescent="0.55000000000000004">
      <c r="W46731"/>
    </row>
    <row r="46732" spans="23:23" x14ac:dyDescent="0.55000000000000004">
      <c r="W46732"/>
    </row>
    <row r="46733" spans="23:23" x14ac:dyDescent="0.55000000000000004">
      <c r="W46733"/>
    </row>
    <row r="46734" spans="23:23" x14ac:dyDescent="0.55000000000000004">
      <c r="W46734"/>
    </row>
    <row r="46735" spans="23:23" x14ac:dyDescent="0.55000000000000004">
      <c r="W46735"/>
    </row>
    <row r="46736" spans="23:23" x14ac:dyDescent="0.55000000000000004">
      <c r="W46736"/>
    </row>
    <row r="46737" spans="23:23" x14ac:dyDescent="0.55000000000000004">
      <c r="W46737"/>
    </row>
    <row r="46738" spans="23:23" x14ac:dyDescent="0.55000000000000004">
      <c r="W46738"/>
    </row>
    <row r="46739" spans="23:23" x14ac:dyDescent="0.55000000000000004">
      <c r="W46739"/>
    </row>
    <row r="46740" spans="23:23" x14ac:dyDescent="0.55000000000000004">
      <c r="W46740"/>
    </row>
    <row r="46741" spans="23:23" x14ac:dyDescent="0.55000000000000004">
      <c r="W46741"/>
    </row>
    <row r="46742" spans="23:23" x14ac:dyDescent="0.55000000000000004">
      <c r="W46742"/>
    </row>
    <row r="46743" spans="23:23" x14ac:dyDescent="0.55000000000000004">
      <c r="W46743"/>
    </row>
    <row r="46744" spans="23:23" x14ac:dyDescent="0.55000000000000004">
      <c r="W46744"/>
    </row>
    <row r="46745" spans="23:23" x14ac:dyDescent="0.55000000000000004">
      <c r="W46745"/>
    </row>
    <row r="46746" spans="23:23" x14ac:dyDescent="0.55000000000000004">
      <c r="W46746"/>
    </row>
    <row r="46747" spans="23:23" x14ac:dyDescent="0.55000000000000004">
      <c r="W46747"/>
    </row>
    <row r="46748" spans="23:23" x14ac:dyDescent="0.55000000000000004">
      <c r="W46748"/>
    </row>
    <row r="46749" spans="23:23" x14ac:dyDescent="0.55000000000000004">
      <c r="W46749"/>
    </row>
    <row r="46750" spans="23:23" x14ac:dyDescent="0.55000000000000004">
      <c r="W46750"/>
    </row>
    <row r="46751" spans="23:23" x14ac:dyDescent="0.55000000000000004">
      <c r="W46751"/>
    </row>
    <row r="46752" spans="23:23" x14ac:dyDescent="0.55000000000000004">
      <c r="W46752"/>
    </row>
    <row r="46753" spans="23:23" x14ac:dyDescent="0.55000000000000004">
      <c r="W46753"/>
    </row>
    <row r="46754" spans="23:23" x14ac:dyDescent="0.55000000000000004">
      <c r="W46754"/>
    </row>
    <row r="46755" spans="23:23" x14ac:dyDescent="0.55000000000000004">
      <c r="W46755"/>
    </row>
    <row r="46756" spans="23:23" x14ac:dyDescent="0.55000000000000004">
      <c r="W46756"/>
    </row>
    <row r="46757" spans="23:23" x14ac:dyDescent="0.55000000000000004">
      <c r="W46757"/>
    </row>
    <row r="46758" spans="23:23" x14ac:dyDescent="0.55000000000000004">
      <c r="W46758"/>
    </row>
    <row r="46759" spans="23:23" x14ac:dyDescent="0.55000000000000004">
      <c r="W46759"/>
    </row>
    <row r="46760" spans="23:23" x14ac:dyDescent="0.55000000000000004">
      <c r="W46760"/>
    </row>
    <row r="46761" spans="23:23" x14ac:dyDescent="0.55000000000000004">
      <c r="W46761"/>
    </row>
    <row r="46762" spans="23:23" x14ac:dyDescent="0.55000000000000004">
      <c r="W46762"/>
    </row>
    <row r="46763" spans="23:23" x14ac:dyDescent="0.55000000000000004">
      <c r="W46763"/>
    </row>
    <row r="46764" spans="23:23" x14ac:dyDescent="0.55000000000000004">
      <c r="W46764"/>
    </row>
    <row r="46765" spans="23:23" x14ac:dyDescent="0.55000000000000004">
      <c r="W46765"/>
    </row>
    <row r="46766" spans="23:23" x14ac:dyDescent="0.55000000000000004">
      <c r="W46766"/>
    </row>
    <row r="46767" spans="23:23" x14ac:dyDescent="0.55000000000000004">
      <c r="W46767"/>
    </row>
    <row r="46768" spans="23:23" x14ac:dyDescent="0.55000000000000004">
      <c r="W46768"/>
    </row>
    <row r="46769" spans="23:23" x14ac:dyDescent="0.55000000000000004">
      <c r="W46769"/>
    </row>
    <row r="46770" spans="23:23" x14ac:dyDescent="0.55000000000000004">
      <c r="W46770"/>
    </row>
    <row r="46771" spans="23:23" x14ac:dyDescent="0.55000000000000004">
      <c r="W46771"/>
    </row>
    <row r="46772" spans="23:23" x14ac:dyDescent="0.55000000000000004">
      <c r="W46772"/>
    </row>
    <row r="46773" spans="23:23" x14ac:dyDescent="0.55000000000000004">
      <c r="W46773"/>
    </row>
    <row r="46774" spans="23:23" x14ac:dyDescent="0.55000000000000004">
      <c r="W46774"/>
    </row>
    <row r="46775" spans="23:23" x14ac:dyDescent="0.55000000000000004">
      <c r="W46775"/>
    </row>
    <row r="46776" spans="23:23" x14ac:dyDescent="0.55000000000000004">
      <c r="W46776"/>
    </row>
    <row r="46777" spans="23:23" x14ac:dyDescent="0.55000000000000004">
      <c r="W46777"/>
    </row>
    <row r="46778" spans="23:23" x14ac:dyDescent="0.55000000000000004">
      <c r="W46778"/>
    </row>
    <row r="46779" spans="23:23" x14ac:dyDescent="0.55000000000000004">
      <c r="W46779"/>
    </row>
    <row r="46780" spans="23:23" x14ac:dyDescent="0.55000000000000004">
      <c r="W46780"/>
    </row>
    <row r="46781" spans="23:23" x14ac:dyDescent="0.55000000000000004">
      <c r="W46781"/>
    </row>
    <row r="46782" spans="23:23" x14ac:dyDescent="0.55000000000000004">
      <c r="W46782"/>
    </row>
    <row r="46783" spans="23:23" x14ac:dyDescent="0.55000000000000004">
      <c r="W46783"/>
    </row>
    <row r="46784" spans="23:23" x14ac:dyDescent="0.55000000000000004">
      <c r="W46784"/>
    </row>
    <row r="46785" spans="23:23" x14ac:dyDescent="0.55000000000000004">
      <c r="W46785"/>
    </row>
    <row r="46786" spans="23:23" x14ac:dyDescent="0.55000000000000004">
      <c r="W46786"/>
    </row>
    <row r="46787" spans="23:23" x14ac:dyDescent="0.55000000000000004">
      <c r="W46787"/>
    </row>
    <row r="46788" spans="23:23" x14ac:dyDescent="0.55000000000000004">
      <c r="W46788"/>
    </row>
    <row r="46789" spans="23:23" x14ac:dyDescent="0.55000000000000004">
      <c r="W46789"/>
    </row>
    <row r="46790" spans="23:23" x14ac:dyDescent="0.55000000000000004">
      <c r="W46790"/>
    </row>
    <row r="46791" spans="23:23" x14ac:dyDescent="0.55000000000000004">
      <c r="W46791"/>
    </row>
    <row r="46792" spans="23:23" x14ac:dyDescent="0.55000000000000004">
      <c r="W46792"/>
    </row>
    <row r="46793" spans="23:23" x14ac:dyDescent="0.55000000000000004">
      <c r="W46793"/>
    </row>
    <row r="46794" spans="23:23" x14ac:dyDescent="0.55000000000000004">
      <c r="W46794"/>
    </row>
    <row r="46795" spans="23:23" x14ac:dyDescent="0.55000000000000004">
      <c r="W46795"/>
    </row>
    <row r="46796" spans="23:23" x14ac:dyDescent="0.55000000000000004">
      <c r="W46796"/>
    </row>
    <row r="46797" spans="23:23" x14ac:dyDescent="0.55000000000000004">
      <c r="W46797"/>
    </row>
    <row r="46798" spans="23:23" x14ac:dyDescent="0.55000000000000004">
      <c r="W46798"/>
    </row>
    <row r="46799" spans="23:23" x14ac:dyDescent="0.55000000000000004">
      <c r="W46799"/>
    </row>
    <row r="46800" spans="23:23" x14ac:dyDescent="0.55000000000000004">
      <c r="W46800"/>
    </row>
    <row r="46801" spans="23:23" x14ac:dyDescent="0.55000000000000004">
      <c r="W46801"/>
    </row>
    <row r="46802" spans="23:23" x14ac:dyDescent="0.55000000000000004">
      <c r="W46802"/>
    </row>
    <row r="46803" spans="23:23" x14ac:dyDescent="0.55000000000000004">
      <c r="W46803"/>
    </row>
    <row r="46804" spans="23:23" x14ac:dyDescent="0.55000000000000004">
      <c r="W46804"/>
    </row>
    <row r="46805" spans="23:23" x14ac:dyDescent="0.55000000000000004">
      <c r="W46805"/>
    </row>
    <row r="46806" spans="23:23" x14ac:dyDescent="0.55000000000000004">
      <c r="W46806"/>
    </row>
    <row r="46807" spans="23:23" x14ac:dyDescent="0.55000000000000004">
      <c r="W46807"/>
    </row>
    <row r="46808" spans="23:23" x14ac:dyDescent="0.55000000000000004">
      <c r="W46808"/>
    </row>
    <row r="46809" spans="23:23" x14ac:dyDescent="0.55000000000000004">
      <c r="W46809"/>
    </row>
    <row r="46810" spans="23:23" x14ac:dyDescent="0.55000000000000004">
      <c r="W46810"/>
    </row>
    <row r="46811" spans="23:23" x14ac:dyDescent="0.55000000000000004">
      <c r="W46811"/>
    </row>
    <row r="46812" spans="23:23" x14ac:dyDescent="0.55000000000000004">
      <c r="W46812"/>
    </row>
    <row r="46813" spans="23:23" x14ac:dyDescent="0.55000000000000004">
      <c r="W46813"/>
    </row>
    <row r="46814" spans="23:23" x14ac:dyDescent="0.55000000000000004">
      <c r="W46814"/>
    </row>
    <row r="46815" spans="23:23" x14ac:dyDescent="0.55000000000000004">
      <c r="W46815"/>
    </row>
    <row r="46816" spans="23:23" x14ac:dyDescent="0.55000000000000004">
      <c r="W46816"/>
    </row>
    <row r="46817" spans="23:23" x14ac:dyDescent="0.55000000000000004">
      <c r="W46817"/>
    </row>
    <row r="46818" spans="23:23" x14ac:dyDescent="0.55000000000000004">
      <c r="W46818"/>
    </row>
    <row r="46819" spans="23:23" x14ac:dyDescent="0.55000000000000004">
      <c r="W46819"/>
    </row>
    <row r="46820" spans="23:23" x14ac:dyDescent="0.55000000000000004">
      <c r="W46820"/>
    </row>
    <row r="46821" spans="23:23" x14ac:dyDescent="0.55000000000000004">
      <c r="W46821"/>
    </row>
    <row r="46822" spans="23:23" x14ac:dyDescent="0.55000000000000004">
      <c r="W46822"/>
    </row>
    <row r="46823" spans="23:23" x14ac:dyDescent="0.55000000000000004">
      <c r="W46823"/>
    </row>
    <row r="46824" spans="23:23" x14ac:dyDescent="0.55000000000000004">
      <c r="W46824"/>
    </row>
    <row r="46825" spans="23:23" x14ac:dyDescent="0.55000000000000004">
      <c r="W46825"/>
    </row>
    <row r="46826" spans="23:23" x14ac:dyDescent="0.55000000000000004">
      <c r="W46826"/>
    </row>
    <row r="46827" spans="23:23" x14ac:dyDescent="0.55000000000000004">
      <c r="W46827"/>
    </row>
    <row r="46828" spans="23:23" x14ac:dyDescent="0.55000000000000004">
      <c r="W46828"/>
    </row>
    <row r="46829" spans="23:23" x14ac:dyDescent="0.55000000000000004">
      <c r="W46829"/>
    </row>
    <row r="46830" spans="23:23" x14ac:dyDescent="0.55000000000000004">
      <c r="W46830"/>
    </row>
    <row r="46831" spans="23:23" x14ac:dyDescent="0.55000000000000004">
      <c r="W46831"/>
    </row>
    <row r="46832" spans="23:23" x14ac:dyDescent="0.55000000000000004">
      <c r="W46832"/>
    </row>
    <row r="46833" spans="23:23" x14ac:dyDescent="0.55000000000000004">
      <c r="W46833"/>
    </row>
    <row r="46834" spans="23:23" x14ac:dyDescent="0.55000000000000004">
      <c r="W46834"/>
    </row>
    <row r="46835" spans="23:23" x14ac:dyDescent="0.55000000000000004">
      <c r="W46835"/>
    </row>
    <row r="46836" spans="23:23" x14ac:dyDescent="0.55000000000000004">
      <c r="W46836"/>
    </row>
    <row r="46837" spans="23:23" x14ac:dyDescent="0.55000000000000004">
      <c r="W46837"/>
    </row>
    <row r="46838" spans="23:23" x14ac:dyDescent="0.55000000000000004">
      <c r="W46838"/>
    </row>
    <row r="46839" spans="23:23" x14ac:dyDescent="0.55000000000000004">
      <c r="W46839"/>
    </row>
    <row r="46840" spans="23:23" x14ac:dyDescent="0.55000000000000004">
      <c r="W46840"/>
    </row>
    <row r="46841" spans="23:23" x14ac:dyDescent="0.55000000000000004">
      <c r="W46841"/>
    </row>
    <row r="46842" spans="23:23" x14ac:dyDescent="0.55000000000000004">
      <c r="W46842"/>
    </row>
    <row r="46843" spans="23:23" x14ac:dyDescent="0.55000000000000004">
      <c r="W46843"/>
    </row>
    <row r="46844" spans="23:23" x14ac:dyDescent="0.55000000000000004">
      <c r="W46844"/>
    </row>
    <row r="46845" spans="23:23" x14ac:dyDescent="0.55000000000000004">
      <c r="W46845"/>
    </row>
    <row r="46846" spans="23:23" x14ac:dyDescent="0.55000000000000004">
      <c r="W46846"/>
    </row>
    <row r="46847" spans="23:23" x14ac:dyDescent="0.55000000000000004">
      <c r="W46847"/>
    </row>
    <row r="46848" spans="23:23" x14ac:dyDescent="0.55000000000000004">
      <c r="W46848"/>
    </row>
    <row r="46849" spans="23:23" x14ac:dyDescent="0.55000000000000004">
      <c r="W46849"/>
    </row>
    <row r="46850" spans="23:23" x14ac:dyDescent="0.55000000000000004">
      <c r="W46850"/>
    </row>
    <row r="46851" spans="23:23" x14ac:dyDescent="0.55000000000000004">
      <c r="W46851"/>
    </row>
    <row r="46852" spans="23:23" x14ac:dyDescent="0.55000000000000004">
      <c r="W46852"/>
    </row>
    <row r="46853" spans="23:23" x14ac:dyDescent="0.55000000000000004">
      <c r="W46853"/>
    </row>
    <row r="46854" spans="23:23" x14ac:dyDescent="0.55000000000000004">
      <c r="W46854"/>
    </row>
    <row r="46855" spans="23:23" x14ac:dyDescent="0.55000000000000004">
      <c r="W46855"/>
    </row>
    <row r="46856" spans="23:23" x14ac:dyDescent="0.55000000000000004">
      <c r="W46856"/>
    </row>
    <row r="46857" spans="23:23" x14ac:dyDescent="0.55000000000000004">
      <c r="W46857"/>
    </row>
    <row r="46858" spans="23:23" x14ac:dyDescent="0.55000000000000004">
      <c r="W46858"/>
    </row>
    <row r="46859" spans="23:23" x14ac:dyDescent="0.55000000000000004">
      <c r="W46859"/>
    </row>
    <row r="46860" spans="23:23" x14ac:dyDescent="0.55000000000000004">
      <c r="W46860"/>
    </row>
    <row r="46861" spans="23:23" x14ac:dyDescent="0.55000000000000004">
      <c r="W46861"/>
    </row>
    <row r="46862" spans="23:23" x14ac:dyDescent="0.55000000000000004">
      <c r="W46862"/>
    </row>
    <row r="46863" spans="23:23" x14ac:dyDescent="0.55000000000000004">
      <c r="W46863"/>
    </row>
    <row r="46864" spans="23:23" x14ac:dyDescent="0.55000000000000004">
      <c r="W46864"/>
    </row>
    <row r="46865" spans="23:23" x14ac:dyDescent="0.55000000000000004">
      <c r="W46865"/>
    </row>
    <row r="46866" spans="23:23" x14ac:dyDescent="0.55000000000000004">
      <c r="W46866"/>
    </row>
    <row r="46867" spans="23:23" x14ac:dyDescent="0.55000000000000004">
      <c r="W46867"/>
    </row>
    <row r="46868" spans="23:23" x14ac:dyDescent="0.55000000000000004">
      <c r="W46868"/>
    </row>
    <row r="46869" spans="23:23" x14ac:dyDescent="0.55000000000000004">
      <c r="W46869"/>
    </row>
    <row r="46870" spans="23:23" x14ac:dyDescent="0.55000000000000004">
      <c r="W46870"/>
    </row>
    <row r="46871" spans="23:23" x14ac:dyDescent="0.55000000000000004">
      <c r="W46871"/>
    </row>
    <row r="46872" spans="23:23" x14ac:dyDescent="0.55000000000000004">
      <c r="W46872"/>
    </row>
    <row r="46873" spans="23:23" x14ac:dyDescent="0.55000000000000004">
      <c r="W46873"/>
    </row>
    <row r="46874" spans="23:23" x14ac:dyDescent="0.55000000000000004">
      <c r="W46874"/>
    </row>
    <row r="46875" spans="23:23" x14ac:dyDescent="0.55000000000000004">
      <c r="W46875"/>
    </row>
    <row r="46876" spans="23:23" x14ac:dyDescent="0.55000000000000004">
      <c r="W46876"/>
    </row>
    <row r="46877" spans="23:23" x14ac:dyDescent="0.55000000000000004">
      <c r="W46877"/>
    </row>
    <row r="46878" spans="23:23" x14ac:dyDescent="0.55000000000000004">
      <c r="W46878"/>
    </row>
    <row r="46879" spans="23:23" x14ac:dyDescent="0.55000000000000004">
      <c r="W46879"/>
    </row>
    <row r="46880" spans="23:23" x14ac:dyDescent="0.55000000000000004">
      <c r="W46880"/>
    </row>
    <row r="46881" spans="23:23" x14ac:dyDescent="0.55000000000000004">
      <c r="W46881"/>
    </row>
    <row r="46882" spans="23:23" x14ac:dyDescent="0.55000000000000004">
      <c r="W46882"/>
    </row>
    <row r="46883" spans="23:23" x14ac:dyDescent="0.55000000000000004">
      <c r="W46883"/>
    </row>
    <row r="46884" spans="23:23" x14ac:dyDescent="0.55000000000000004">
      <c r="W46884"/>
    </row>
    <row r="46885" spans="23:23" x14ac:dyDescent="0.55000000000000004">
      <c r="W46885"/>
    </row>
    <row r="46886" spans="23:23" x14ac:dyDescent="0.55000000000000004">
      <c r="W46886"/>
    </row>
    <row r="46887" spans="23:23" x14ac:dyDescent="0.55000000000000004">
      <c r="W46887"/>
    </row>
    <row r="46888" spans="23:23" x14ac:dyDescent="0.55000000000000004">
      <c r="W46888"/>
    </row>
    <row r="46889" spans="23:23" x14ac:dyDescent="0.55000000000000004">
      <c r="W46889"/>
    </row>
    <row r="46890" spans="23:23" x14ac:dyDescent="0.55000000000000004">
      <c r="W46890"/>
    </row>
    <row r="46891" spans="23:23" x14ac:dyDescent="0.55000000000000004">
      <c r="W46891"/>
    </row>
    <row r="46892" spans="23:23" x14ac:dyDescent="0.55000000000000004">
      <c r="W46892"/>
    </row>
    <row r="46893" spans="23:23" x14ac:dyDescent="0.55000000000000004">
      <c r="W46893"/>
    </row>
    <row r="46894" spans="23:23" x14ac:dyDescent="0.55000000000000004">
      <c r="W46894"/>
    </row>
    <row r="46895" spans="23:23" x14ac:dyDescent="0.55000000000000004">
      <c r="W46895"/>
    </row>
    <row r="46896" spans="23:23" x14ac:dyDescent="0.55000000000000004">
      <c r="W46896"/>
    </row>
    <row r="46897" spans="23:23" x14ac:dyDescent="0.55000000000000004">
      <c r="W46897"/>
    </row>
    <row r="46898" spans="23:23" x14ac:dyDescent="0.55000000000000004">
      <c r="W46898"/>
    </row>
    <row r="46899" spans="23:23" x14ac:dyDescent="0.55000000000000004">
      <c r="W46899"/>
    </row>
    <row r="46900" spans="23:23" x14ac:dyDescent="0.55000000000000004">
      <c r="W46900"/>
    </row>
    <row r="46901" spans="23:23" x14ac:dyDescent="0.55000000000000004">
      <c r="W46901"/>
    </row>
    <row r="46902" spans="23:23" x14ac:dyDescent="0.55000000000000004">
      <c r="W46902"/>
    </row>
    <row r="46903" spans="23:23" x14ac:dyDescent="0.55000000000000004">
      <c r="W46903"/>
    </row>
    <row r="46904" spans="23:23" x14ac:dyDescent="0.55000000000000004">
      <c r="W46904"/>
    </row>
    <row r="46905" spans="23:23" x14ac:dyDescent="0.55000000000000004">
      <c r="W46905"/>
    </row>
    <row r="46906" spans="23:23" x14ac:dyDescent="0.55000000000000004">
      <c r="W46906"/>
    </row>
    <row r="46907" spans="23:23" x14ac:dyDescent="0.55000000000000004">
      <c r="W46907"/>
    </row>
    <row r="46908" spans="23:23" x14ac:dyDescent="0.55000000000000004">
      <c r="W46908"/>
    </row>
    <row r="46909" spans="23:23" x14ac:dyDescent="0.55000000000000004">
      <c r="W46909"/>
    </row>
    <row r="46910" spans="23:23" x14ac:dyDescent="0.55000000000000004">
      <c r="W46910"/>
    </row>
    <row r="46911" spans="23:23" x14ac:dyDescent="0.55000000000000004">
      <c r="W46911"/>
    </row>
    <row r="46912" spans="23:23" x14ac:dyDescent="0.55000000000000004">
      <c r="W46912"/>
    </row>
    <row r="46913" spans="23:23" x14ac:dyDescent="0.55000000000000004">
      <c r="W46913"/>
    </row>
    <row r="46914" spans="23:23" x14ac:dyDescent="0.55000000000000004">
      <c r="W46914"/>
    </row>
    <row r="46915" spans="23:23" x14ac:dyDescent="0.55000000000000004">
      <c r="W46915"/>
    </row>
    <row r="46916" spans="23:23" x14ac:dyDescent="0.55000000000000004">
      <c r="W46916"/>
    </row>
    <row r="46917" spans="23:23" x14ac:dyDescent="0.55000000000000004">
      <c r="W46917"/>
    </row>
    <row r="46918" spans="23:23" x14ac:dyDescent="0.55000000000000004">
      <c r="W46918"/>
    </row>
    <row r="46919" spans="23:23" x14ac:dyDescent="0.55000000000000004">
      <c r="W46919"/>
    </row>
    <row r="46920" spans="23:23" x14ac:dyDescent="0.55000000000000004">
      <c r="W46920"/>
    </row>
    <row r="46921" spans="23:23" x14ac:dyDescent="0.55000000000000004">
      <c r="W46921"/>
    </row>
    <row r="46922" spans="23:23" x14ac:dyDescent="0.55000000000000004">
      <c r="W46922"/>
    </row>
    <row r="46923" spans="23:23" x14ac:dyDescent="0.55000000000000004">
      <c r="W46923"/>
    </row>
    <row r="46924" spans="23:23" x14ac:dyDescent="0.55000000000000004">
      <c r="W46924"/>
    </row>
    <row r="46925" spans="23:23" x14ac:dyDescent="0.55000000000000004">
      <c r="W46925"/>
    </row>
    <row r="46926" spans="23:23" x14ac:dyDescent="0.55000000000000004">
      <c r="W46926"/>
    </row>
    <row r="46927" spans="23:23" x14ac:dyDescent="0.55000000000000004">
      <c r="W46927"/>
    </row>
    <row r="46928" spans="23:23" x14ac:dyDescent="0.55000000000000004">
      <c r="W46928"/>
    </row>
    <row r="46929" spans="23:23" x14ac:dyDescent="0.55000000000000004">
      <c r="W46929"/>
    </row>
    <row r="46930" spans="23:23" x14ac:dyDescent="0.55000000000000004">
      <c r="W46930"/>
    </row>
    <row r="46931" spans="23:23" x14ac:dyDescent="0.55000000000000004">
      <c r="W46931"/>
    </row>
    <row r="46932" spans="23:23" x14ac:dyDescent="0.55000000000000004">
      <c r="W46932"/>
    </row>
    <row r="46933" spans="23:23" x14ac:dyDescent="0.55000000000000004">
      <c r="W46933"/>
    </row>
    <row r="46934" spans="23:23" x14ac:dyDescent="0.55000000000000004">
      <c r="W46934"/>
    </row>
    <row r="46935" spans="23:23" x14ac:dyDescent="0.55000000000000004">
      <c r="W46935"/>
    </row>
    <row r="46936" spans="23:23" x14ac:dyDescent="0.55000000000000004">
      <c r="W46936"/>
    </row>
    <row r="46937" spans="23:23" x14ac:dyDescent="0.55000000000000004">
      <c r="W46937"/>
    </row>
    <row r="46938" spans="23:23" x14ac:dyDescent="0.55000000000000004">
      <c r="W46938"/>
    </row>
    <row r="46939" spans="23:23" x14ac:dyDescent="0.55000000000000004">
      <c r="W46939"/>
    </row>
    <row r="46940" spans="23:23" x14ac:dyDescent="0.55000000000000004">
      <c r="W46940"/>
    </row>
    <row r="46941" spans="23:23" x14ac:dyDescent="0.55000000000000004">
      <c r="W46941"/>
    </row>
    <row r="46942" spans="23:23" x14ac:dyDescent="0.55000000000000004">
      <c r="W46942"/>
    </row>
    <row r="46943" spans="23:23" x14ac:dyDescent="0.55000000000000004">
      <c r="W46943"/>
    </row>
    <row r="46944" spans="23:23" x14ac:dyDescent="0.55000000000000004">
      <c r="W46944"/>
    </row>
    <row r="46945" spans="23:23" x14ac:dyDescent="0.55000000000000004">
      <c r="W46945"/>
    </row>
    <row r="46946" spans="23:23" x14ac:dyDescent="0.55000000000000004">
      <c r="W46946"/>
    </row>
    <row r="46947" spans="23:23" x14ac:dyDescent="0.55000000000000004">
      <c r="W46947"/>
    </row>
    <row r="46948" spans="23:23" x14ac:dyDescent="0.55000000000000004">
      <c r="W46948"/>
    </row>
    <row r="46949" spans="23:23" x14ac:dyDescent="0.55000000000000004">
      <c r="W46949"/>
    </row>
    <row r="46950" spans="23:23" x14ac:dyDescent="0.55000000000000004">
      <c r="W46950"/>
    </row>
    <row r="46951" spans="23:23" x14ac:dyDescent="0.55000000000000004">
      <c r="W46951"/>
    </row>
    <row r="46952" spans="23:23" x14ac:dyDescent="0.55000000000000004">
      <c r="W46952"/>
    </row>
    <row r="46953" spans="23:23" x14ac:dyDescent="0.55000000000000004">
      <c r="W46953"/>
    </row>
    <row r="46954" spans="23:23" x14ac:dyDescent="0.55000000000000004">
      <c r="W46954"/>
    </row>
    <row r="46955" spans="23:23" x14ac:dyDescent="0.55000000000000004">
      <c r="W46955"/>
    </row>
    <row r="46956" spans="23:23" x14ac:dyDescent="0.55000000000000004">
      <c r="W46956"/>
    </row>
    <row r="46957" spans="23:23" x14ac:dyDescent="0.55000000000000004">
      <c r="W46957"/>
    </row>
    <row r="46958" spans="23:23" x14ac:dyDescent="0.55000000000000004">
      <c r="W46958"/>
    </row>
    <row r="46959" spans="23:23" x14ac:dyDescent="0.55000000000000004">
      <c r="W46959"/>
    </row>
    <row r="46960" spans="23:23" x14ac:dyDescent="0.55000000000000004">
      <c r="W46960"/>
    </row>
    <row r="46961" spans="23:23" x14ac:dyDescent="0.55000000000000004">
      <c r="W46961"/>
    </row>
    <row r="46962" spans="23:23" x14ac:dyDescent="0.55000000000000004">
      <c r="W46962"/>
    </row>
    <row r="46963" spans="23:23" x14ac:dyDescent="0.55000000000000004">
      <c r="W46963"/>
    </row>
    <row r="46964" spans="23:23" x14ac:dyDescent="0.55000000000000004">
      <c r="W46964"/>
    </row>
    <row r="46965" spans="23:23" x14ac:dyDescent="0.55000000000000004">
      <c r="W46965"/>
    </row>
    <row r="46966" spans="23:23" x14ac:dyDescent="0.55000000000000004">
      <c r="W46966"/>
    </row>
    <row r="46967" spans="23:23" x14ac:dyDescent="0.55000000000000004">
      <c r="W46967"/>
    </row>
    <row r="46968" spans="23:23" x14ac:dyDescent="0.55000000000000004">
      <c r="W46968"/>
    </row>
    <row r="46969" spans="23:23" x14ac:dyDescent="0.55000000000000004">
      <c r="W46969"/>
    </row>
    <row r="46970" spans="23:23" x14ac:dyDescent="0.55000000000000004">
      <c r="W46970"/>
    </row>
    <row r="46971" spans="23:23" x14ac:dyDescent="0.55000000000000004">
      <c r="W46971"/>
    </row>
    <row r="46972" spans="23:23" x14ac:dyDescent="0.55000000000000004">
      <c r="W46972"/>
    </row>
    <row r="46973" spans="23:23" x14ac:dyDescent="0.55000000000000004">
      <c r="W46973"/>
    </row>
    <row r="46974" spans="23:23" x14ac:dyDescent="0.55000000000000004">
      <c r="W46974"/>
    </row>
    <row r="46975" spans="23:23" x14ac:dyDescent="0.55000000000000004">
      <c r="W46975"/>
    </row>
    <row r="46976" spans="23:23" x14ac:dyDescent="0.55000000000000004">
      <c r="W46976"/>
    </row>
    <row r="46977" spans="23:23" x14ac:dyDescent="0.55000000000000004">
      <c r="W46977"/>
    </row>
    <row r="46978" spans="23:23" x14ac:dyDescent="0.55000000000000004">
      <c r="W46978"/>
    </row>
    <row r="46979" spans="23:23" x14ac:dyDescent="0.55000000000000004">
      <c r="W46979"/>
    </row>
    <row r="46980" spans="23:23" x14ac:dyDescent="0.55000000000000004">
      <c r="W46980"/>
    </row>
    <row r="46981" spans="23:23" x14ac:dyDescent="0.55000000000000004">
      <c r="W46981"/>
    </row>
    <row r="46982" spans="23:23" x14ac:dyDescent="0.55000000000000004">
      <c r="W46982"/>
    </row>
    <row r="46983" spans="23:23" x14ac:dyDescent="0.55000000000000004">
      <c r="W46983"/>
    </row>
    <row r="46984" spans="23:23" x14ac:dyDescent="0.55000000000000004">
      <c r="W46984"/>
    </row>
    <row r="46985" spans="23:23" x14ac:dyDescent="0.55000000000000004">
      <c r="W46985"/>
    </row>
    <row r="46986" spans="23:23" x14ac:dyDescent="0.55000000000000004">
      <c r="W46986"/>
    </row>
    <row r="46987" spans="23:23" x14ac:dyDescent="0.55000000000000004">
      <c r="W46987"/>
    </row>
    <row r="46988" spans="23:23" x14ac:dyDescent="0.55000000000000004">
      <c r="W46988"/>
    </row>
    <row r="46989" spans="23:23" x14ac:dyDescent="0.55000000000000004">
      <c r="W46989"/>
    </row>
    <row r="46990" spans="23:23" x14ac:dyDescent="0.55000000000000004">
      <c r="W46990"/>
    </row>
    <row r="46991" spans="23:23" x14ac:dyDescent="0.55000000000000004">
      <c r="W46991"/>
    </row>
    <row r="46992" spans="23:23" x14ac:dyDescent="0.55000000000000004">
      <c r="W46992"/>
    </row>
    <row r="46993" spans="23:23" x14ac:dyDescent="0.55000000000000004">
      <c r="W46993"/>
    </row>
    <row r="46994" spans="23:23" x14ac:dyDescent="0.55000000000000004">
      <c r="W46994"/>
    </row>
    <row r="46995" spans="23:23" x14ac:dyDescent="0.55000000000000004">
      <c r="W46995"/>
    </row>
    <row r="46996" spans="23:23" x14ac:dyDescent="0.55000000000000004">
      <c r="W46996"/>
    </row>
    <row r="46997" spans="23:23" x14ac:dyDescent="0.55000000000000004">
      <c r="W46997"/>
    </row>
    <row r="46998" spans="23:23" x14ac:dyDescent="0.55000000000000004">
      <c r="W46998"/>
    </row>
    <row r="46999" spans="23:23" x14ac:dyDescent="0.55000000000000004">
      <c r="W46999"/>
    </row>
    <row r="47000" spans="23:23" x14ac:dyDescent="0.55000000000000004">
      <c r="W47000"/>
    </row>
    <row r="47001" spans="23:23" x14ac:dyDescent="0.55000000000000004">
      <c r="W47001"/>
    </row>
    <row r="47002" spans="23:23" x14ac:dyDescent="0.55000000000000004">
      <c r="W47002"/>
    </row>
    <row r="47003" spans="23:23" x14ac:dyDescent="0.55000000000000004">
      <c r="W47003"/>
    </row>
    <row r="47004" spans="23:23" x14ac:dyDescent="0.55000000000000004">
      <c r="W47004"/>
    </row>
    <row r="47005" spans="23:23" x14ac:dyDescent="0.55000000000000004">
      <c r="W47005"/>
    </row>
    <row r="47006" spans="23:23" x14ac:dyDescent="0.55000000000000004">
      <c r="W47006"/>
    </row>
    <row r="47007" spans="23:23" x14ac:dyDescent="0.55000000000000004">
      <c r="W47007"/>
    </row>
    <row r="47008" spans="23:23" x14ac:dyDescent="0.55000000000000004">
      <c r="W47008"/>
    </row>
    <row r="47009" spans="23:23" x14ac:dyDescent="0.55000000000000004">
      <c r="W47009"/>
    </row>
    <row r="47010" spans="23:23" x14ac:dyDescent="0.55000000000000004">
      <c r="W47010"/>
    </row>
    <row r="47011" spans="23:23" x14ac:dyDescent="0.55000000000000004">
      <c r="W47011"/>
    </row>
    <row r="47012" spans="23:23" x14ac:dyDescent="0.55000000000000004">
      <c r="W47012"/>
    </row>
    <row r="47013" spans="23:23" x14ac:dyDescent="0.55000000000000004">
      <c r="W47013"/>
    </row>
    <row r="47014" spans="23:23" x14ac:dyDescent="0.55000000000000004">
      <c r="W47014"/>
    </row>
    <row r="47015" spans="23:23" x14ac:dyDescent="0.55000000000000004">
      <c r="W47015"/>
    </row>
    <row r="47016" spans="23:23" x14ac:dyDescent="0.55000000000000004">
      <c r="W47016"/>
    </row>
    <row r="47017" spans="23:23" x14ac:dyDescent="0.55000000000000004">
      <c r="W47017"/>
    </row>
    <row r="47018" spans="23:23" x14ac:dyDescent="0.55000000000000004">
      <c r="W47018"/>
    </row>
    <row r="47019" spans="23:23" x14ac:dyDescent="0.55000000000000004">
      <c r="W47019"/>
    </row>
    <row r="47020" spans="23:23" x14ac:dyDescent="0.55000000000000004">
      <c r="W47020"/>
    </row>
    <row r="47021" spans="23:23" x14ac:dyDescent="0.55000000000000004">
      <c r="W47021"/>
    </row>
    <row r="47022" spans="23:23" x14ac:dyDescent="0.55000000000000004">
      <c r="W47022"/>
    </row>
    <row r="47023" spans="23:23" x14ac:dyDescent="0.55000000000000004">
      <c r="W47023"/>
    </row>
    <row r="47024" spans="23:23" x14ac:dyDescent="0.55000000000000004">
      <c r="W47024"/>
    </row>
    <row r="47025" spans="23:23" x14ac:dyDescent="0.55000000000000004">
      <c r="W47025"/>
    </row>
    <row r="47026" spans="23:23" x14ac:dyDescent="0.55000000000000004">
      <c r="W47026"/>
    </row>
    <row r="47027" spans="23:23" x14ac:dyDescent="0.55000000000000004">
      <c r="W47027"/>
    </row>
    <row r="47028" spans="23:23" x14ac:dyDescent="0.55000000000000004">
      <c r="W47028"/>
    </row>
    <row r="47029" spans="23:23" x14ac:dyDescent="0.55000000000000004">
      <c r="W47029"/>
    </row>
    <row r="47030" spans="23:23" x14ac:dyDescent="0.55000000000000004">
      <c r="W47030"/>
    </row>
    <row r="47031" spans="23:23" x14ac:dyDescent="0.55000000000000004">
      <c r="W47031"/>
    </row>
    <row r="47032" spans="23:23" x14ac:dyDescent="0.55000000000000004">
      <c r="W47032"/>
    </row>
    <row r="47033" spans="23:23" x14ac:dyDescent="0.55000000000000004">
      <c r="W47033"/>
    </row>
    <row r="47034" spans="23:23" x14ac:dyDescent="0.55000000000000004">
      <c r="W47034"/>
    </row>
    <row r="47035" spans="23:23" x14ac:dyDescent="0.55000000000000004">
      <c r="W47035"/>
    </row>
    <row r="47036" spans="23:23" x14ac:dyDescent="0.55000000000000004">
      <c r="W47036"/>
    </row>
    <row r="47037" spans="23:23" x14ac:dyDescent="0.55000000000000004">
      <c r="W47037"/>
    </row>
    <row r="47038" spans="23:23" x14ac:dyDescent="0.55000000000000004">
      <c r="W47038"/>
    </row>
    <row r="47039" spans="23:23" x14ac:dyDescent="0.55000000000000004">
      <c r="W47039"/>
    </row>
    <row r="47040" spans="23:23" x14ac:dyDescent="0.55000000000000004">
      <c r="W47040"/>
    </row>
    <row r="47041" spans="23:23" x14ac:dyDescent="0.55000000000000004">
      <c r="W47041"/>
    </row>
    <row r="47042" spans="23:23" x14ac:dyDescent="0.55000000000000004">
      <c r="W47042"/>
    </row>
    <row r="47043" spans="23:23" x14ac:dyDescent="0.55000000000000004">
      <c r="W47043"/>
    </row>
    <row r="47044" spans="23:23" x14ac:dyDescent="0.55000000000000004">
      <c r="W47044"/>
    </row>
    <row r="47045" spans="23:23" x14ac:dyDescent="0.55000000000000004">
      <c r="W47045"/>
    </row>
    <row r="47046" spans="23:23" x14ac:dyDescent="0.55000000000000004">
      <c r="W47046"/>
    </row>
    <row r="47047" spans="23:23" x14ac:dyDescent="0.55000000000000004">
      <c r="W47047"/>
    </row>
    <row r="47048" spans="23:23" x14ac:dyDescent="0.55000000000000004">
      <c r="W47048"/>
    </row>
    <row r="47049" spans="23:23" x14ac:dyDescent="0.55000000000000004">
      <c r="W47049"/>
    </row>
    <row r="47050" spans="23:23" x14ac:dyDescent="0.55000000000000004">
      <c r="W47050"/>
    </row>
    <row r="47051" spans="23:23" x14ac:dyDescent="0.55000000000000004">
      <c r="W47051"/>
    </row>
    <row r="47052" spans="23:23" x14ac:dyDescent="0.55000000000000004">
      <c r="W47052"/>
    </row>
    <row r="47053" spans="23:23" x14ac:dyDescent="0.55000000000000004">
      <c r="W47053"/>
    </row>
    <row r="47054" spans="23:23" x14ac:dyDescent="0.55000000000000004">
      <c r="W47054"/>
    </row>
    <row r="47055" spans="23:23" x14ac:dyDescent="0.55000000000000004">
      <c r="W47055"/>
    </row>
    <row r="47056" spans="23:23" x14ac:dyDescent="0.55000000000000004">
      <c r="W47056"/>
    </row>
    <row r="47057" spans="23:23" x14ac:dyDescent="0.55000000000000004">
      <c r="W47057"/>
    </row>
    <row r="47058" spans="23:23" x14ac:dyDescent="0.55000000000000004">
      <c r="W47058"/>
    </row>
    <row r="47059" spans="23:23" x14ac:dyDescent="0.55000000000000004">
      <c r="W47059"/>
    </row>
    <row r="47060" spans="23:23" x14ac:dyDescent="0.55000000000000004">
      <c r="W47060"/>
    </row>
    <row r="47061" spans="23:23" x14ac:dyDescent="0.55000000000000004">
      <c r="W47061"/>
    </row>
    <row r="47062" spans="23:23" x14ac:dyDescent="0.55000000000000004">
      <c r="W47062"/>
    </row>
    <row r="47063" spans="23:23" x14ac:dyDescent="0.55000000000000004">
      <c r="W47063"/>
    </row>
    <row r="47064" spans="23:23" x14ac:dyDescent="0.55000000000000004">
      <c r="W47064"/>
    </row>
    <row r="47065" spans="23:23" x14ac:dyDescent="0.55000000000000004">
      <c r="W47065"/>
    </row>
    <row r="47066" spans="23:23" x14ac:dyDescent="0.55000000000000004">
      <c r="W47066"/>
    </row>
    <row r="47067" spans="23:23" x14ac:dyDescent="0.55000000000000004">
      <c r="W47067"/>
    </row>
    <row r="47068" spans="23:23" x14ac:dyDescent="0.55000000000000004">
      <c r="W47068"/>
    </row>
    <row r="47069" spans="23:23" x14ac:dyDescent="0.55000000000000004">
      <c r="W47069"/>
    </row>
    <row r="47070" spans="23:23" x14ac:dyDescent="0.55000000000000004">
      <c r="W47070"/>
    </row>
    <row r="47071" spans="23:23" x14ac:dyDescent="0.55000000000000004">
      <c r="W47071"/>
    </row>
    <row r="47072" spans="23:23" x14ac:dyDescent="0.55000000000000004">
      <c r="W47072"/>
    </row>
    <row r="47073" spans="23:23" x14ac:dyDescent="0.55000000000000004">
      <c r="W47073"/>
    </row>
    <row r="47074" spans="23:23" x14ac:dyDescent="0.55000000000000004">
      <c r="W47074"/>
    </row>
    <row r="47075" spans="23:23" x14ac:dyDescent="0.55000000000000004">
      <c r="W47075"/>
    </row>
    <row r="47076" spans="23:23" x14ac:dyDescent="0.55000000000000004">
      <c r="W47076"/>
    </row>
    <row r="47077" spans="23:23" x14ac:dyDescent="0.55000000000000004">
      <c r="W47077"/>
    </row>
    <row r="47078" spans="23:23" x14ac:dyDescent="0.55000000000000004">
      <c r="W47078"/>
    </row>
    <row r="47079" spans="23:23" x14ac:dyDescent="0.55000000000000004">
      <c r="W47079"/>
    </row>
    <row r="47080" spans="23:23" x14ac:dyDescent="0.55000000000000004">
      <c r="W47080"/>
    </row>
    <row r="47081" spans="23:23" x14ac:dyDescent="0.55000000000000004">
      <c r="W47081"/>
    </row>
    <row r="47082" spans="23:23" x14ac:dyDescent="0.55000000000000004">
      <c r="W47082"/>
    </row>
    <row r="47083" spans="23:23" x14ac:dyDescent="0.55000000000000004">
      <c r="W47083"/>
    </row>
    <row r="47084" spans="23:23" x14ac:dyDescent="0.55000000000000004">
      <c r="W47084"/>
    </row>
    <row r="47085" spans="23:23" x14ac:dyDescent="0.55000000000000004">
      <c r="W47085"/>
    </row>
    <row r="47086" spans="23:23" x14ac:dyDescent="0.55000000000000004">
      <c r="W47086"/>
    </row>
    <row r="47087" spans="23:23" x14ac:dyDescent="0.55000000000000004">
      <c r="W47087"/>
    </row>
    <row r="47088" spans="23:23" x14ac:dyDescent="0.55000000000000004">
      <c r="W47088"/>
    </row>
    <row r="47089" spans="23:23" x14ac:dyDescent="0.55000000000000004">
      <c r="W47089"/>
    </row>
    <row r="47090" spans="23:23" x14ac:dyDescent="0.55000000000000004">
      <c r="W47090"/>
    </row>
    <row r="47091" spans="23:23" x14ac:dyDescent="0.55000000000000004">
      <c r="W47091"/>
    </row>
    <row r="47092" spans="23:23" x14ac:dyDescent="0.55000000000000004">
      <c r="W47092"/>
    </row>
    <row r="47093" spans="23:23" x14ac:dyDescent="0.55000000000000004">
      <c r="W47093"/>
    </row>
    <row r="47094" spans="23:23" x14ac:dyDescent="0.55000000000000004">
      <c r="W47094"/>
    </row>
    <row r="47095" spans="23:23" x14ac:dyDescent="0.55000000000000004">
      <c r="W47095"/>
    </row>
    <row r="47096" spans="23:23" x14ac:dyDescent="0.55000000000000004">
      <c r="W47096"/>
    </row>
    <row r="47097" spans="23:23" x14ac:dyDescent="0.55000000000000004">
      <c r="W47097"/>
    </row>
    <row r="47098" spans="23:23" x14ac:dyDescent="0.55000000000000004">
      <c r="W47098"/>
    </row>
    <row r="47099" spans="23:23" x14ac:dyDescent="0.55000000000000004">
      <c r="W47099"/>
    </row>
    <row r="47100" spans="23:23" x14ac:dyDescent="0.55000000000000004">
      <c r="W47100"/>
    </row>
    <row r="47101" spans="23:23" x14ac:dyDescent="0.55000000000000004">
      <c r="W47101"/>
    </row>
    <row r="47102" spans="23:23" x14ac:dyDescent="0.55000000000000004">
      <c r="W47102"/>
    </row>
    <row r="47103" spans="23:23" x14ac:dyDescent="0.55000000000000004">
      <c r="W47103"/>
    </row>
    <row r="47104" spans="23:23" x14ac:dyDescent="0.55000000000000004">
      <c r="W47104"/>
    </row>
    <row r="47105" spans="23:23" x14ac:dyDescent="0.55000000000000004">
      <c r="W47105"/>
    </row>
    <row r="47106" spans="23:23" x14ac:dyDescent="0.55000000000000004">
      <c r="W47106"/>
    </row>
    <row r="47107" spans="23:23" x14ac:dyDescent="0.55000000000000004">
      <c r="W47107"/>
    </row>
    <row r="47108" spans="23:23" x14ac:dyDescent="0.55000000000000004">
      <c r="W47108"/>
    </row>
    <row r="47109" spans="23:23" x14ac:dyDescent="0.55000000000000004">
      <c r="W47109"/>
    </row>
    <row r="47110" spans="23:23" x14ac:dyDescent="0.55000000000000004">
      <c r="W47110"/>
    </row>
    <row r="47111" spans="23:23" x14ac:dyDescent="0.55000000000000004">
      <c r="W47111"/>
    </row>
    <row r="47112" spans="23:23" x14ac:dyDescent="0.55000000000000004">
      <c r="W47112"/>
    </row>
    <row r="47113" spans="23:23" x14ac:dyDescent="0.55000000000000004">
      <c r="W47113"/>
    </row>
    <row r="47114" spans="23:23" x14ac:dyDescent="0.55000000000000004">
      <c r="W47114"/>
    </row>
    <row r="47115" spans="23:23" x14ac:dyDescent="0.55000000000000004">
      <c r="W47115"/>
    </row>
    <row r="47116" spans="23:23" x14ac:dyDescent="0.55000000000000004">
      <c r="W47116"/>
    </row>
    <row r="47117" spans="23:23" x14ac:dyDescent="0.55000000000000004">
      <c r="W47117"/>
    </row>
    <row r="47118" spans="23:23" x14ac:dyDescent="0.55000000000000004">
      <c r="W47118"/>
    </row>
    <row r="47119" spans="23:23" x14ac:dyDescent="0.55000000000000004">
      <c r="W47119"/>
    </row>
    <row r="47120" spans="23:23" x14ac:dyDescent="0.55000000000000004">
      <c r="W47120"/>
    </row>
    <row r="47121" spans="23:23" x14ac:dyDescent="0.55000000000000004">
      <c r="W47121"/>
    </row>
    <row r="47122" spans="23:23" x14ac:dyDescent="0.55000000000000004">
      <c r="W47122"/>
    </row>
    <row r="47123" spans="23:23" x14ac:dyDescent="0.55000000000000004">
      <c r="W47123"/>
    </row>
    <row r="47124" spans="23:23" x14ac:dyDescent="0.55000000000000004">
      <c r="W47124"/>
    </row>
    <row r="47125" spans="23:23" x14ac:dyDescent="0.55000000000000004">
      <c r="W47125"/>
    </row>
    <row r="47126" spans="23:23" x14ac:dyDescent="0.55000000000000004">
      <c r="W47126"/>
    </row>
    <row r="47127" spans="23:23" x14ac:dyDescent="0.55000000000000004">
      <c r="W47127"/>
    </row>
    <row r="47128" spans="23:23" x14ac:dyDescent="0.55000000000000004">
      <c r="W47128"/>
    </row>
    <row r="47129" spans="23:23" x14ac:dyDescent="0.55000000000000004">
      <c r="W47129"/>
    </row>
    <row r="47130" spans="23:23" x14ac:dyDescent="0.55000000000000004">
      <c r="W47130"/>
    </row>
    <row r="47131" spans="23:23" x14ac:dyDescent="0.55000000000000004">
      <c r="W47131"/>
    </row>
    <row r="47132" spans="23:23" x14ac:dyDescent="0.55000000000000004">
      <c r="W47132"/>
    </row>
    <row r="47133" spans="23:23" x14ac:dyDescent="0.55000000000000004">
      <c r="W47133"/>
    </row>
    <row r="47134" spans="23:23" x14ac:dyDescent="0.55000000000000004">
      <c r="W47134"/>
    </row>
    <row r="47135" spans="23:23" x14ac:dyDescent="0.55000000000000004">
      <c r="W47135"/>
    </row>
    <row r="47136" spans="23:23" x14ac:dyDescent="0.55000000000000004">
      <c r="W47136"/>
    </row>
    <row r="47137" spans="23:23" x14ac:dyDescent="0.55000000000000004">
      <c r="W47137"/>
    </row>
    <row r="47138" spans="23:23" x14ac:dyDescent="0.55000000000000004">
      <c r="W47138"/>
    </row>
    <row r="47139" spans="23:23" x14ac:dyDescent="0.55000000000000004">
      <c r="W47139"/>
    </row>
    <row r="47140" spans="23:23" x14ac:dyDescent="0.55000000000000004">
      <c r="W47140"/>
    </row>
    <row r="47141" spans="23:23" x14ac:dyDescent="0.55000000000000004">
      <c r="W47141"/>
    </row>
    <row r="47142" spans="23:23" x14ac:dyDescent="0.55000000000000004">
      <c r="W47142"/>
    </row>
    <row r="47143" spans="23:23" x14ac:dyDescent="0.55000000000000004">
      <c r="W47143"/>
    </row>
    <row r="47144" spans="23:23" x14ac:dyDescent="0.55000000000000004">
      <c r="W47144"/>
    </row>
    <row r="47145" spans="23:23" x14ac:dyDescent="0.55000000000000004">
      <c r="W47145"/>
    </row>
    <row r="47146" spans="23:23" x14ac:dyDescent="0.55000000000000004">
      <c r="W47146"/>
    </row>
    <row r="47147" spans="23:23" x14ac:dyDescent="0.55000000000000004">
      <c r="W47147"/>
    </row>
    <row r="47148" spans="23:23" x14ac:dyDescent="0.55000000000000004">
      <c r="W47148"/>
    </row>
    <row r="47149" spans="23:23" x14ac:dyDescent="0.55000000000000004">
      <c r="W47149"/>
    </row>
    <row r="47150" spans="23:23" x14ac:dyDescent="0.55000000000000004">
      <c r="W47150"/>
    </row>
    <row r="47151" spans="23:23" x14ac:dyDescent="0.55000000000000004">
      <c r="W47151"/>
    </row>
    <row r="47152" spans="23:23" x14ac:dyDescent="0.55000000000000004">
      <c r="W47152"/>
    </row>
    <row r="47153" spans="23:23" x14ac:dyDescent="0.55000000000000004">
      <c r="W47153"/>
    </row>
    <row r="47154" spans="23:23" x14ac:dyDescent="0.55000000000000004">
      <c r="W47154"/>
    </row>
    <row r="47155" spans="23:23" x14ac:dyDescent="0.55000000000000004">
      <c r="W47155"/>
    </row>
    <row r="47156" spans="23:23" x14ac:dyDescent="0.55000000000000004">
      <c r="W47156"/>
    </row>
    <row r="47157" spans="23:23" x14ac:dyDescent="0.55000000000000004">
      <c r="W47157"/>
    </row>
    <row r="47158" spans="23:23" x14ac:dyDescent="0.55000000000000004">
      <c r="W47158"/>
    </row>
    <row r="47159" spans="23:23" x14ac:dyDescent="0.55000000000000004">
      <c r="W47159"/>
    </row>
    <row r="47160" spans="23:23" x14ac:dyDescent="0.55000000000000004">
      <c r="W47160"/>
    </row>
    <row r="47161" spans="23:23" x14ac:dyDescent="0.55000000000000004">
      <c r="W47161"/>
    </row>
    <row r="47162" spans="23:23" x14ac:dyDescent="0.55000000000000004">
      <c r="W47162"/>
    </row>
    <row r="47163" spans="23:23" x14ac:dyDescent="0.55000000000000004">
      <c r="W47163"/>
    </row>
    <row r="47164" spans="23:23" x14ac:dyDescent="0.55000000000000004">
      <c r="W47164"/>
    </row>
    <row r="47165" spans="23:23" x14ac:dyDescent="0.55000000000000004">
      <c r="W47165"/>
    </row>
    <row r="47166" spans="23:23" x14ac:dyDescent="0.55000000000000004">
      <c r="W47166"/>
    </row>
    <row r="47167" spans="23:23" x14ac:dyDescent="0.55000000000000004">
      <c r="W47167"/>
    </row>
    <row r="47168" spans="23:23" x14ac:dyDescent="0.55000000000000004">
      <c r="W47168"/>
    </row>
    <row r="47169" spans="23:23" x14ac:dyDescent="0.55000000000000004">
      <c r="W47169"/>
    </row>
    <row r="47170" spans="23:23" x14ac:dyDescent="0.55000000000000004">
      <c r="W47170"/>
    </row>
    <row r="47171" spans="23:23" x14ac:dyDescent="0.55000000000000004">
      <c r="W47171"/>
    </row>
    <row r="47172" spans="23:23" x14ac:dyDescent="0.55000000000000004">
      <c r="W47172"/>
    </row>
    <row r="47173" spans="23:23" x14ac:dyDescent="0.55000000000000004">
      <c r="W47173"/>
    </row>
    <row r="47174" spans="23:23" x14ac:dyDescent="0.55000000000000004">
      <c r="W47174"/>
    </row>
    <row r="47175" spans="23:23" x14ac:dyDescent="0.55000000000000004">
      <c r="W47175"/>
    </row>
    <row r="47176" spans="23:23" x14ac:dyDescent="0.55000000000000004">
      <c r="W47176"/>
    </row>
    <row r="47177" spans="23:23" x14ac:dyDescent="0.55000000000000004">
      <c r="W47177"/>
    </row>
    <row r="47178" spans="23:23" x14ac:dyDescent="0.55000000000000004">
      <c r="W47178"/>
    </row>
    <row r="47179" spans="23:23" x14ac:dyDescent="0.55000000000000004">
      <c r="W47179"/>
    </row>
    <row r="47180" spans="23:23" x14ac:dyDescent="0.55000000000000004">
      <c r="W47180"/>
    </row>
    <row r="47181" spans="23:23" x14ac:dyDescent="0.55000000000000004">
      <c r="W47181"/>
    </row>
    <row r="47182" spans="23:23" x14ac:dyDescent="0.55000000000000004">
      <c r="W47182"/>
    </row>
    <row r="47183" spans="23:23" x14ac:dyDescent="0.55000000000000004">
      <c r="W47183"/>
    </row>
    <row r="47184" spans="23:23" x14ac:dyDescent="0.55000000000000004">
      <c r="W47184"/>
    </row>
    <row r="47185" spans="23:23" x14ac:dyDescent="0.55000000000000004">
      <c r="W47185"/>
    </row>
    <row r="47186" spans="23:23" x14ac:dyDescent="0.55000000000000004">
      <c r="W47186"/>
    </row>
    <row r="47187" spans="23:23" x14ac:dyDescent="0.55000000000000004">
      <c r="W47187"/>
    </row>
    <row r="47188" spans="23:23" x14ac:dyDescent="0.55000000000000004">
      <c r="W47188"/>
    </row>
    <row r="47189" spans="23:23" x14ac:dyDescent="0.55000000000000004">
      <c r="W47189"/>
    </row>
    <row r="47190" spans="23:23" x14ac:dyDescent="0.55000000000000004">
      <c r="W47190"/>
    </row>
    <row r="47191" spans="23:23" x14ac:dyDescent="0.55000000000000004">
      <c r="W47191"/>
    </row>
    <row r="47192" spans="23:23" x14ac:dyDescent="0.55000000000000004">
      <c r="W47192"/>
    </row>
    <row r="47193" spans="23:23" x14ac:dyDescent="0.55000000000000004">
      <c r="W47193"/>
    </row>
    <row r="47194" spans="23:23" x14ac:dyDescent="0.55000000000000004">
      <c r="W47194"/>
    </row>
    <row r="47195" spans="23:23" x14ac:dyDescent="0.55000000000000004">
      <c r="W47195"/>
    </row>
    <row r="47196" spans="23:23" x14ac:dyDescent="0.55000000000000004">
      <c r="W47196"/>
    </row>
    <row r="47197" spans="23:23" x14ac:dyDescent="0.55000000000000004">
      <c r="W47197"/>
    </row>
    <row r="47198" spans="23:23" x14ac:dyDescent="0.55000000000000004">
      <c r="W47198"/>
    </row>
    <row r="47199" spans="23:23" x14ac:dyDescent="0.55000000000000004">
      <c r="W47199"/>
    </row>
    <row r="47200" spans="23:23" x14ac:dyDescent="0.55000000000000004">
      <c r="W47200"/>
    </row>
    <row r="47201" spans="23:23" x14ac:dyDescent="0.55000000000000004">
      <c r="W47201"/>
    </row>
    <row r="47202" spans="23:23" x14ac:dyDescent="0.55000000000000004">
      <c r="W47202"/>
    </row>
    <row r="47203" spans="23:23" x14ac:dyDescent="0.55000000000000004">
      <c r="W47203"/>
    </row>
    <row r="47204" spans="23:23" x14ac:dyDescent="0.55000000000000004">
      <c r="W47204"/>
    </row>
    <row r="47205" spans="23:23" x14ac:dyDescent="0.55000000000000004">
      <c r="W47205"/>
    </row>
    <row r="47206" spans="23:23" x14ac:dyDescent="0.55000000000000004">
      <c r="W47206"/>
    </row>
    <row r="47207" spans="23:23" x14ac:dyDescent="0.55000000000000004">
      <c r="W47207"/>
    </row>
    <row r="47208" spans="23:23" x14ac:dyDescent="0.55000000000000004">
      <c r="W47208"/>
    </row>
    <row r="47209" spans="23:23" x14ac:dyDescent="0.55000000000000004">
      <c r="W47209"/>
    </row>
    <row r="47210" spans="23:23" x14ac:dyDescent="0.55000000000000004">
      <c r="W47210"/>
    </row>
    <row r="47211" spans="23:23" x14ac:dyDescent="0.55000000000000004">
      <c r="W47211"/>
    </row>
    <row r="47212" spans="23:23" x14ac:dyDescent="0.55000000000000004">
      <c r="W47212"/>
    </row>
    <row r="47213" spans="23:23" x14ac:dyDescent="0.55000000000000004">
      <c r="W47213"/>
    </row>
    <row r="47214" spans="23:23" x14ac:dyDescent="0.55000000000000004">
      <c r="W47214"/>
    </row>
    <row r="47215" spans="23:23" x14ac:dyDescent="0.55000000000000004">
      <c r="W47215"/>
    </row>
    <row r="47216" spans="23:23" x14ac:dyDescent="0.55000000000000004">
      <c r="W47216"/>
    </row>
    <row r="47217" spans="23:23" x14ac:dyDescent="0.55000000000000004">
      <c r="W47217"/>
    </row>
    <row r="47218" spans="23:23" x14ac:dyDescent="0.55000000000000004">
      <c r="W47218"/>
    </row>
    <row r="47219" spans="23:23" x14ac:dyDescent="0.55000000000000004">
      <c r="W47219"/>
    </row>
    <row r="47220" spans="23:23" x14ac:dyDescent="0.55000000000000004">
      <c r="W47220"/>
    </row>
    <row r="47221" spans="23:23" x14ac:dyDescent="0.55000000000000004">
      <c r="W47221"/>
    </row>
    <row r="47222" spans="23:23" x14ac:dyDescent="0.55000000000000004">
      <c r="W47222"/>
    </row>
    <row r="47223" spans="23:23" x14ac:dyDescent="0.55000000000000004">
      <c r="W47223"/>
    </row>
    <row r="47224" spans="23:23" x14ac:dyDescent="0.55000000000000004">
      <c r="W47224"/>
    </row>
    <row r="47225" spans="23:23" x14ac:dyDescent="0.55000000000000004">
      <c r="W47225"/>
    </row>
    <row r="47226" spans="23:23" x14ac:dyDescent="0.55000000000000004">
      <c r="W47226"/>
    </row>
    <row r="47227" spans="23:23" x14ac:dyDescent="0.55000000000000004">
      <c r="W47227"/>
    </row>
    <row r="47228" spans="23:23" x14ac:dyDescent="0.55000000000000004">
      <c r="W47228"/>
    </row>
    <row r="47229" spans="23:23" x14ac:dyDescent="0.55000000000000004">
      <c r="W47229"/>
    </row>
    <row r="47230" spans="23:23" x14ac:dyDescent="0.55000000000000004">
      <c r="W47230"/>
    </row>
    <row r="47231" spans="23:23" x14ac:dyDescent="0.55000000000000004">
      <c r="W47231"/>
    </row>
    <row r="47232" spans="23:23" x14ac:dyDescent="0.55000000000000004">
      <c r="W47232"/>
    </row>
    <row r="47233" spans="23:23" x14ac:dyDescent="0.55000000000000004">
      <c r="W47233"/>
    </row>
    <row r="47234" spans="23:23" x14ac:dyDescent="0.55000000000000004">
      <c r="W47234"/>
    </row>
    <row r="47235" spans="23:23" x14ac:dyDescent="0.55000000000000004">
      <c r="W47235"/>
    </row>
    <row r="47236" spans="23:23" x14ac:dyDescent="0.55000000000000004">
      <c r="W47236"/>
    </row>
    <row r="47237" spans="23:23" x14ac:dyDescent="0.55000000000000004">
      <c r="W47237"/>
    </row>
    <row r="47238" spans="23:23" x14ac:dyDescent="0.55000000000000004">
      <c r="W47238"/>
    </row>
    <row r="47239" spans="23:23" x14ac:dyDescent="0.55000000000000004">
      <c r="W47239"/>
    </row>
    <row r="47240" spans="23:23" x14ac:dyDescent="0.55000000000000004">
      <c r="W47240"/>
    </row>
    <row r="47241" spans="23:23" x14ac:dyDescent="0.55000000000000004">
      <c r="W47241"/>
    </row>
    <row r="47242" spans="23:23" x14ac:dyDescent="0.55000000000000004">
      <c r="W47242"/>
    </row>
    <row r="47243" spans="23:23" x14ac:dyDescent="0.55000000000000004">
      <c r="W47243"/>
    </row>
    <row r="47244" spans="23:23" x14ac:dyDescent="0.55000000000000004">
      <c r="W47244"/>
    </row>
    <row r="47245" spans="23:23" x14ac:dyDescent="0.55000000000000004">
      <c r="W47245"/>
    </row>
    <row r="47246" spans="23:23" x14ac:dyDescent="0.55000000000000004">
      <c r="W47246"/>
    </row>
    <row r="47247" spans="23:23" x14ac:dyDescent="0.55000000000000004">
      <c r="W47247"/>
    </row>
    <row r="47248" spans="23:23" x14ac:dyDescent="0.55000000000000004">
      <c r="W47248"/>
    </row>
    <row r="47249" spans="23:23" x14ac:dyDescent="0.55000000000000004">
      <c r="W47249"/>
    </row>
    <row r="47250" spans="23:23" x14ac:dyDescent="0.55000000000000004">
      <c r="W47250"/>
    </row>
    <row r="47251" spans="23:23" x14ac:dyDescent="0.55000000000000004">
      <c r="W47251"/>
    </row>
    <row r="47252" spans="23:23" x14ac:dyDescent="0.55000000000000004">
      <c r="W47252"/>
    </row>
    <row r="47253" spans="23:23" x14ac:dyDescent="0.55000000000000004">
      <c r="W47253"/>
    </row>
    <row r="47254" spans="23:23" x14ac:dyDescent="0.55000000000000004">
      <c r="W47254"/>
    </row>
    <row r="47255" spans="23:23" x14ac:dyDescent="0.55000000000000004">
      <c r="W47255"/>
    </row>
    <row r="47256" spans="23:23" x14ac:dyDescent="0.55000000000000004">
      <c r="W47256"/>
    </row>
    <row r="47257" spans="23:23" x14ac:dyDescent="0.55000000000000004">
      <c r="W47257"/>
    </row>
    <row r="47258" spans="23:23" x14ac:dyDescent="0.55000000000000004">
      <c r="W47258"/>
    </row>
    <row r="47259" spans="23:23" x14ac:dyDescent="0.55000000000000004">
      <c r="W47259"/>
    </row>
    <row r="47260" spans="23:23" x14ac:dyDescent="0.55000000000000004">
      <c r="W47260"/>
    </row>
    <row r="47261" spans="23:23" x14ac:dyDescent="0.55000000000000004">
      <c r="W47261"/>
    </row>
    <row r="47262" spans="23:23" x14ac:dyDescent="0.55000000000000004">
      <c r="W47262"/>
    </row>
    <row r="47263" spans="23:23" x14ac:dyDescent="0.55000000000000004">
      <c r="W47263"/>
    </row>
    <row r="47264" spans="23:23" x14ac:dyDescent="0.55000000000000004">
      <c r="W47264"/>
    </row>
    <row r="47265" spans="23:23" x14ac:dyDescent="0.55000000000000004">
      <c r="W47265"/>
    </row>
    <row r="47266" spans="23:23" x14ac:dyDescent="0.55000000000000004">
      <c r="W47266"/>
    </row>
    <row r="47267" spans="23:23" x14ac:dyDescent="0.55000000000000004">
      <c r="W47267"/>
    </row>
    <row r="47268" spans="23:23" x14ac:dyDescent="0.55000000000000004">
      <c r="W47268"/>
    </row>
    <row r="47269" spans="23:23" x14ac:dyDescent="0.55000000000000004">
      <c r="W47269"/>
    </row>
    <row r="47270" spans="23:23" x14ac:dyDescent="0.55000000000000004">
      <c r="W47270"/>
    </row>
    <row r="47271" spans="23:23" x14ac:dyDescent="0.55000000000000004">
      <c r="W47271"/>
    </row>
    <row r="47272" spans="23:23" x14ac:dyDescent="0.55000000000000004">
      <c r="W47272"/>
    </row>
    <row r="47273" spans="23:23" x14ac:dyDescent="0.55000000000000004">
      <c r="W47273"/>
    </row>
    <row r="47274" spans="23:23" x14ac:dyDescent="0.55000000000000004">
      <c r="W47274"/>
    </row>
    <row r="47275" spans="23:23" x14ac:dyDescent="0.55000000000000004">
      <c r="W47275"/>
    </row>
    <row r="47276" spans="23:23" x14ac:dyDescent="0.55000000000000004">
      <c r="W47276"/>
    </row>
    <row r="47277" spans="23:23" x14ac:dyDescent="0.55000000000000004">
      <c r="W47277"/>
    </row>
    <row r="47278" spans="23:23" x14ac:dyDescent="0.55000000000000004">
      <c r="W47278"/>
    </row>
    <row r="47279" spans="23:23" x14ac:dyDescent="0.55000000000000004">
      <c r="W47279"/>
    </row>
    <row r="47280" spans="23:23" x14ac:dyDescent="0.55000000000000004">
      <c r="W47280"/>
    </row>
    <row r="47281" spans="23:23" x14ac:dyDescent="0.55000000000000004">
      <c r="W47281"/>
    </row>
    <row r="47282" spans="23:23" x14ac:dyDescent="0.55000000000000004">
      <c r="W47282"/>
    </row>
    <row r="47283" spans="23:23" x14ac:dyDescent="0.55000000000000004">
      <c r="W47283"/>
    </row>
    <row r="47284" spans="23:23" x14ac:dyDescent="0.55000000000000004">
      <c r="W47284"/>
    </row>
    <row r="47285" spans="23:23" x14ac:dyDescent="0.55000000000000004">
      <c r="W47285"/>
    </row>
    <row r="47286" spans="23:23" x14ac:dyDescent="0.55000000000000004">
      <c r="W47286"/>
    </row>
    <row r="47287" spans="23:23" x14ac:dyDescent="0.55000000000000004">
      <c r="W47287"/>
    </row>
    <row r="47288" spans="23:23" x14ac:dyDescent="0.55000000000000004">
      <c r="W47288"/>
    </row>
    <row r="47289" spans="23:23" x14ac:dyDescent="0.55000000000000004">
      <c r="W47289"/>
    </row>
    <row r="47290" spans="23:23" x14ac:dyDescent="0.55000000000000004">
      <c r="W47290"/>
    </row>
    <row r="47291" spans="23:23" x14ac:dyDescent="0.55000000000000004">
      <c r="W47291"/>
    </row>
    <row r="47292" spans="23:23" x14ac:dyDescent="0.55000000000000004">
      <c r="W47292"/>
    </row>
    <row r="47293" spans="23:23" x14ac:dyDescent="0.55000000000000004">
      <c r="W47293"/>
    </row>
    <row r="47294" spans="23:23" x14ac:dyDescent="0.55000000000000004">
      <c r="W47294"/>
    </row>
    <row r="47295" spans="23:23" x14ac:dyDescent="0.55000000000000004">
      <c r="W47295"/>
    </row>
    <row r="47296" spans="23:23" x14ac:dyDescent="0.55000000000000004">
      <c r="W47296"/>
    </row>
    <row r="47297" spans="23:23" x14ac:dyDescent="0.55000000000000004">
      <c r="W47297"/>
    </row>
    <row r="47298" spans="23:23" x14ac:dyDescent="0.55000000000000004">
      <c r="W47298"/>
    </row>
    <row r="47299" spans="23:23" x14ac:dyDescent="0.55000000000000004">
      <c r="W47299"/>
    </row>
    <row r="47300" spans="23:23" x14ac:dyDescent="0.55000000000000004">
      <c r="W47300"/>
    </row>
    <row r="47301" spans="23:23" x14ac:dyDescent="0.55000000000000004">
      <c r="W47301"/>
    </row>
    <row r="47302" spans="23:23" x14ac:dyDescent="0.55000000000000004">
      <c r="W47302"/>
    </row>
    <row r="47303" spans="23:23" x14ac:dyDescent="0.55000000000000004">
      <c r="W47303"/>
    </row>
    <row r="47304" spans="23:23" x14ac:dyDescent="0.55000000000000004">
      <c r="W47304"/>
    </row>
    <row r="47305" spans="23:23" x14ac:dyDescent="0.55000000000000004">
      <c r="W47305"/>
    </row>
    <row r="47306" spans="23:23" x14ac:dyDescent="0.55000000000000004">
      <c r="W47306"/>
    </row>
    <row r="47307" spans="23:23" x14ac:dyDescent="0.55000000000000004">
      <c r="W47307"/>
    </row>
    <row r="47308" spans="23:23" x14ac:dyDescent="0.55000000000000004">
      <c r="W47308"/>
    </row>
    <row r="47309" spans="23:23" x14ac:dyDescent="0.55000000000000004">
      <c r="W47309"/>
    </row>
    <row r="47310" spans="23:23" x14ac:dyDescent="0.55000000000000004">
      <c r="W47310"/>
    </row>
    <row r="47311" spans="23:23" x14ac:dyDescent="0.55000000000000004">
      <c r="W47311"/>
    </row>
    <row r="47312" spans="23:23" x14ac:dyDescent="0.55000000000000004">
      <c r="W47312"/>
    </row>
    <row r="47313" spans="23:23" x14ac:dyDescent="0.55000000000000004">
      <c r="W47313"/>
    </row>
    <row r="47314" spans="23:23" x14ac:dyDescent="0.55000000000000004">
      <c r="W47314"/>
    </row>
    <row r="47315" spans="23:23" x14ac:dyDescent="0.55000000000000004">
      <c r="W47315"/>
    </row>
    <row r="47316" spans="23:23" x14ac:dyDescent="0.55000000000000004">
      <c r="W47316"/>
    </row>
    <row r="47317" spans="23:23" x14ac:dyDescent="0.55000000000000004">
      <c r="W47317"/>
    </row>
    <row r="47318" spans="23:23" x14ac:dyDescent="0.55000000000000004">
      <c r="W47318"/>
    </row>
    <row r="47319" spans="23:23" x14ac:dyDescent="0.55000000000000004">
      <c r="W47319"/>
    </row>
    <row r="47320" spans="23:23" x14ac:dyDescent="0.55000000000000004">
      <c r="W47320"/>
    </row>
    <row r="47321" spans="23:23" x14ac:dyDescent="0.55000000000000004">
      <c r="W47321"/>
    </row>
    <row r="47322" spans="23:23" x14ac:dyDescent="0.55000000000000004">
      <c r="W47322"/>
    </row>
    <row r="47323" spans="23:23" x14ac:dyDescent="0.55000000000000004">
      <c r="W47323"/>
    </row>
    <row r="47324" spans="23:23" x14ac:dyDescent="0.55000000000000004">
      <c r="W47324"/>
    </row>
    <row r="47325" spans="23:23" x14ac:dyDescent="0.55000000000000004">
      <c r="W47325"/>
    </row>
    <row r="47326" spans="23:23" x14ac:dyDescent="0.55000000000000004">
      <c r="W47326"/>
    </row>
    <row r="47327" spans="23:23" x14ac:dyDescent="0.55000000000000004">
      <c r="W47327"/>
    </row>
    <row r="47328" spans="23:23" x14ac:dyDescent="0.55000000000000004">
      <c r="W47328"/>
    </row>
    <row r="47329" spans="23:23" x14ac:dyDescent="0.55000000000000004">
      <c r="W47329"/>
    </row>
    <row r="47330" spans="23:23" x14ac:dyDescent="0.55000000000000004">
      <c r="W47330"/>
    </row>
    <row r="47331" spans="23:23" x14ac:dyDescent="0.55000000000000004">
      <c r="W47331"/>
    </row>
    <row r="47332" spans="23:23" x14ac:dyDescent="0.55000000000000004">
      <c r="W47332"/>
    </row>
    <row r="47333" spans="23:23" x14ac:dyDescent="0.55000000000000004">
      <c r="W47333"/>
    </row>
    <row r="47334" spans="23:23" x14ac:dyDescent="0.55000000000000004">
      <c r="W47334"/>
    </row>
    <row r="47335" spans="23:23" x14ac:dyDescent="0.55000000000000004">
      <c r="W47335"/>
    </row>
    <row r="47336" spans="23:23" x14ac:dyDescent="0.55000000000000004">
      <c r="W47336"/>
    </row>
    <row r="47337" spans="23:23" x14ac:dyDescent="0.55000000000000004">
      <c r="W47337"/>
    </row>
    <row r="47338" spans="23:23" x14ac:dyDescent="0.55000000000000004">
      <c r="W47338"/>
    </row>
    <row r="47339" spans="23:23" x14ac:dyDescent="0.55000000000000004">
      <c r="W47339"/>
    </row>
    <row r="47340" spans="23:23" x14ac:dyDescent="0.55000000000000004">
      <c r="W47340"/>
    </row>
    <row r="47341" spans="23:23" x14ac:dyDescent="0.55000000000000004">
      <c r="W47341"/>
    </row>
    <row r="47342" spans="23:23" x14ac:dyDescent="0.55000000000000004">
      <c r="W47342"/>
    </row>
    <row r="47343" spans="23:23" x14ac:dyDescent="0.55000000000000004">
      <c r="W47343"/>
    </row>
    <row r="47344" spans="23:23" x14ac:dyDescent="0.55000000000000004">
      <c r="W47344"/>
    </row>
    <row r="47345" spans="23:23" x14ac:dyDescent="0.55000000000000004">
      <c r="W47345"/>
    </row>
    <row r="47346" spans="23:23" x14ac:dyDescent="0.55000000000000004">
      <c r="W47346"/>
    </row>
    <row r="47347" spans="23:23" x14ac:dyDescent="0.55000000000000004">
      <c r="W47347"/>
    </row>
    <row r="47348" spans="23:23" x14ac:dyDescent="0.55000000000000004">
      <c r="W47348"/>
    </row>
    <row r="47349" spans="23:23" x14ac:dyDescent="0.55000000000000004">
      <c r="W47349"/>
    </row>
    <row r="47350" spans="23:23" x14ac:dyDescent="0.55000000000000004">
      <c r="W47350"/>
    </row>
    <row r="47351" spans="23:23" x14ac:dyDescent="0.55000000000000004">
      <c r="W47351"/>
    </row>
    <row r="47352" spans="23:23" x14ac:dyDescent="0.55000000000000004">
      <c r="W47352"/>
    </row>
    <row r="47353" spans="23:23" x14ac:dyDescent="0.55000000000000004">
      <c r="W47353"/>
    </row>
    <row r="47354" spans="23:23" x14ac:dyDescent="0.55000000000000004">
      <c r="W47354"/>
    </row>
    <row r="47355" spans="23:23" x14ac:dyDescent="0.55000000000000004">
      <c r="W47355"/>
    </row>
    <row r="47356" spans="23:23" x14ac:dyDescent="0.55000000000000004">
      <c r="W47356"/>
    </row>
    <row r="47357" spans="23:23" x14ac:dyDescent="0.55000000000000004">
      <c r="W47357"/>
    </row>
    <row r="47358" spans="23:23" x14ac:dyDescent="0.55000000000000004">
      <c r="W47358"/>
    </row>
    <row r="47359" spans="23:23" x14ac:dyDescent="0.55000000000000004">
      <c r="W47359"/>
    </row>
    <row r="47360" spans="23:23" x14ac:dyDescent="0.55000000000000004">
      <c r="W47360"/>
    </row>
    <row r="47361" spans="23:23" x14ac:dyDescent="0.55000000000000004">
      <c r="W47361"/>
    </row>
    <row r="47362" spans="23:23" x14ac:dyDescent="0.55000000000000004">
      <c r="W47362"/>
    </row>
    <row r="47363" spans="23:23" x14ac:dyDescent="0.55000000000000004">
      <c r="W47363"/>
    </row>
    <row r="47364" spans="23:23" x14ac:dyDescent="0.55000000000000004">
      <c r="W47364"/>
    </row>
    <row r="47365" spans="23:23" x14ac:dyDescent="0.55000000000000004">
      <c r="W47365"/>
    </row>
    <row r="47366" spans="23:23" x14ac:dyDescent="0.55000000000000004">
      <c r="W47366"/>
    </row>
    <row r="47367" spans="23:23" x14ac:dyDescent="0.55000000000000004">
      <c r="W47367"/>
    </row>
    <row r="47368" spans="23:23" x14ac:dyDescent="0.55000000000000004">
      <c r="W47368"/>
    </row>
    <row r="47369" spans="23:23" x14ac:dyDescent="0.55000000000000004">
      <c r="W47369"/>
    </row>
    <row r="47370" spans="23:23" x14ac:dyDescent="0.55000000000000004">
      <c r="W47370"/>
    </row>
    <row r="47371" spans="23:23" x14ac:dyDescent="0.55000000000000004">
      <c r="W47371"/>
    </row>
    <row r="47372" spans="23:23" x14ac:dyDescent="0.55000000000000004">
      <c r="W47372"/>
    </row>
    <row r="47373" spans="23:23" x14ac:dyDescent="0.55000000000000004">
      <c r="W47373"/>
    </row>
    <row r="47374" spans="23:23" x14ac:dyDescent="0.55000000000000004">
      <c r="W47374"/>
    </row>
    <row r="47375" spans="23:23" x14ac:dyDescent="0.55000000000000004">
      <c r="W47375"/>
    </row>
    <row r="47376" spans="23:23" x14ac:dyDescent="0.55000000000000004">
      <c r="W47376"/>
    </row>
    <row r="47377" spans="23:23" x14ac:dyDescent="0.55000000000000004">
      <c r="W47377"/>
    </row>
    <row r="47378" spans="23:23" x14ac:dyDescent="0.55000000000000004">
      <c r="W47378"/>
    </row>
    <row r="47379" spans="23:23" x14ac:dyDescent="0.55000000000000004">
      <c r="W47379"/>
    </row>
    <row r="47380" spans="23:23" x14ac:dyDescent="0.55000000000000004">
      <c r="W47380"/>
    </row>
    <row r="47381" spans="23:23" x14ac:dyDescent="0.55000000000000004">
      <c r="W47381"/>
    </row>
    <row r="47382" spans="23:23" x14ac:dyDescent="0.55000000000000004">
      <c r="W47382"/>
    </row>
    <row r="47383" spans="23:23" x14ac:dyDescent="0.55000000000000004">
      <c r="W47383"/>
    </row>
    <row r="47384" spans="23:23" x14ac:dyDescent="0.55000000000000004">
      <c r="W47384"/>
    </row>
    <row r="47385" spans="23:23" x14ac:dyDescent="0.55000000000000004">
      <c r="W47385"/>
    </row>
    <row r="47386" spans="23:23" x14ac:dyDescent="0.55000000000000004">
      <c r="W47386"/>
    </row>
    <row r="47387" spans="23:23" x14ac:dyDescent="0.55000000000000004">
      <c r="W47387"/>
    </row>
    <row r="47388" spans="23:23" x14ac:dyDescent="0.55000000000000004">
      <c r="W47388"/>
    </row>
    <row r="47389" spans="23:23" x14ac:dyDescent="0.55000000000000004">
      <c r="W47389"/>
    </row>
    <row r="47390" spans="23:23" x14ac:dyDescent="0.55000000000000004">
      <c r="W47390"/>
    </row>
    <row r="47391" spans="23:23" x14ac:dyDescent="0.55000000000000004">
      <c r="W47391"/>
    </row>
    <row r="47392" spans="23:23" x14ac:dyDescent="0.55000000000000004">
      <c r="W47392"/>
    </row>
    <row r="47393" spans="23:23" x14ac:dyDescent="0.55000000000000004">
      <c r="W47393"/>
    </row>
    <row r="47394" spans="23:23" x14ac:dyDescent="0.55000000000000004">
      <c r="W47394"/>
    </row>
    <row r="47395" spans="23:23" x14ac:dyDescent="0.55000000000000004">
      <c r="W47395"/>
    </row>
    <row r="47396" spans="23:23" x14ac:dyDescent="0.55000000000000004">
      <c r="W47396"/>
    </row>
    <row r="47397" spans="23:23" x14ac:dyDescent="0.55000000000000004">
      <c r="W47397"/>
    </row>
    <row r="47398" spans="23:23" x14ac:dyDescent="0.55000000000000004">
      <c r="W47398"/>
    </row>
    <row r="47399" spans="23:23" x14ac:dyDescent="0.55000000000000004">
      <c r="W47399"/>
    </row>
    <row r="47400" spans="23:23" x14ac:dyDescent="0.55000000000000004">
      <c r="W47400"/>
    </row>
    <row r="47401" spans="23:23" x14ac:dyDescent="0.55000000000000004">
      <c r="W47401"/>
    </row>
    <row r="47402" spans="23:23" x14ac:dyDescent="0.55000000000000004">
      <c r="W47402"/>
    </row>
    <row r="47403" spans="23:23" x14ac:dyDescent="0.55000000000000004">
      <c r="W47403"/>
    </row>
    <row r="47404" spans="23:23" x14ac:dyDescent="0.55000000000000004">
      <c r="W47404"/>
    </row>
    <row r="47405" spans="23:23" x14ac:dyDescent="0.55000000000000004">
      <c r="W47405"/>
    </row>
    <row r="47406" spans="23:23" x14ac:dyDescent="0.55000000000000004">
      <c r="W47406"/>
    </row>
    <row r="47407" spans="23:23" x14ac:dyDescent="0.55000000000000004">
      <c r="W47407"/>
    </row>
    <row r="47408" spans="23:23" x14ac:dyDescent="0.55000000000000004">
      <c r="W47408"/>
    </row>
    <row r="47409" spans="23:23" x14ac:dyDescent="0.55000000000000004">
      <c r="W47409"/>
    </row>
    <row r="47410" spans="23:23" x14ac:dyDescent="0.55000000000000004">
      <c r="W47410"/>
    </row>
    <row r="47411" spans="23:23" x14ac:dyDescent="0.55000000000000004">
      <c r="W47411"/>
    </row>
    <row r="47412" spans="23:23" x14ac:dyDescent="0.55000000000000004">
      <c r="W47412"/>
    </row>
    <row r="47413" spans="23:23" x14ac:dyDescent="0.55000000000000004">
      <c r="W47413"/>
    </row>
    <row r="47414" spans="23:23" x14ac:dyDescent="0.55000000000000004">
      <c r="W47414"/>
    </row>
    <row r="47415" spans="23:23" x14ac:dyDescent="0.55000000000000004">
      <c r="W47415"/>
    </row>
    <row r="47416" spans="23:23" x14ac:dyDescent="0.55000000000000004">
      <c r="W47416"/>
    </row>
    <row r="47417" spans="23:23" x14ac:dyDescent="0.55000000000000004">
      <c r="W47417"/>
    </row>
    <row r="47418" spans="23:23" x14ac:dyDescent="0.55000000000000004">
      <c r="W47418"/>
    </row>
    <row r="47419" spans="23:23" x14ac:dyDescent="0.55000000000000004">
      <c r="W47419"/>
    </row>
    <row r="47420" spans="23:23" x14ac:dyDescent="0.55000000000000004">
      <c r="W47420"/>
    </row>
    <row r="47421" spans="23:23" x14ac:dyDescent="0.55000000000000004">
      <c r="W47421"/>
    </row>
    <row r="47422" spans="23:23" x14ac:dyDescent="0.55000000000000004">
      <c r="W47422"/>
    </row>
    <row r="47423" spans="23:23" x14ac:dyDescent="0.55000000000000004">
      <c r="W47423"/>
    </row>
    <row r="47424" spans="23:23" x14ac:dyDescent="0.55000000000000004">
      <c r="W47424"/>
    </row>
    <row r="47425" spans="23:23" x14ac:dyDescent="0.55000000000000004">
      <c r="W47425"/>
    </row>
    <row r="47426" spans="23:23" x14ac:dyDescent="0.55000000000000004">
      <c r="W47426"/>
    </row>
    <row r="47427" spans="23:23" x14ac:dyDescent="0.55000000000000004">
      <c r="W47427"/>
    </row>
    <row r="47428" spans="23:23" x14ac:dyDescent="0.55000000000000004">
      <c r="W47428"/>
    </row>
    <row r="47429" spans="23:23" x14ac:dyDescent="0.55000000000000004">
      <c r="W47429"/>
    </row>
    <row r="47430" spans="23:23" x14ac:dyDescent="0.55000000000000004">
      <c r="W47430"/>
    </row>
    <row r="47431" spans="23:23" x14ac:dyDescent="0.55000000000000004">
      <c r="W47431"/>
    </row>
    <row r="47432" spans="23:23" x14ac:dyDescent="0.55000000000000004">
      <c r="W47432"/>
    </row>
    <row r="47433" spans="23:23" x14ac:dyDescent="0.55000000000000004">
      <c r="W47433"/>
    </row>
    <row r="47434" spans="23:23" x14ac:dyDescent="0.55000000000000004">
      <c r="W47434"/>
    </row>
    <row r="47435" spans="23:23" x14ac:dyDescent="0.55000000000000004">
      <c r="W47435"/>
    </row>
    <row r="47436" spans="23:23" x14ac:dyDescent="0.55000000000000004">
      <c r="W47436"/>
    </row>
    <row r="47437" spans="23:23" x14ac:dyDescent="0.55000000000000004">
      <c r="W47437"/>
    </row>
    <row r="47438" spans="23:23" x14ac:dyDescent="0.55000000000000004">
      <c r="W47438"/>
    </row>
    <row r="47439" spans="23:23" x14ac:dyDescent="0.55000000000000004">
      <c r="W47439"/>
    </row>
    <row r="47440" spans="23:23" x14ac:dyDescent="0.55000000000000004">
      <c r="W47440"/>
    </row>
    <row r="47441" spans="23:23" x14ac:dyDescent="0.55000000000000004">
      <c r="W47441"/>
    </row>
    <row r="47442" spans="23:23" x14ac:dyDescent="0.55000000000000004">
      <c r="W47442"/>
    </row>
    <row r="47443" spans="23:23" x14ac:dyDescent="0.55000000000000004">
      <c r="W47443"/>
    </row>
    <row r="47444" spans="23:23" x14ac:dyDescent="0.55000000000000004">
      <c r="W47444"/>
    </row>
    <row r="47445" spans="23:23" x14ac:dyDescent="0.55000000000000004">
      <c r="W47445"/>
    </row>
    <row r="47446" spans="23:23" x14ac:dyDescent="0.55000000000000004">
      <c r="W47446"/>
    </row>
    <row r="47447" spans="23:23" x14ac:dyDescent="0.55000000000000004">
      <c r="W47447"/>
    </row>
    <row r="47448" spans="23:23" x14ac:dyDescent="0.55000000000000004">
      <c r="W47448"/>
    </row>
    <row r="47449" spans="23:23" x14ac:dyDescent="0.55000000000000004">
      <c r="W47449"/>
    </row>
    <row r="47450" spans="23:23" x14ac:dyDescent="0.55000000000000004">
      <c r="W47450"/>
    </row>
    <row r="47451" spans="23:23" x14ac:dyDescent="0.55000000000000004">
      <c r="W47451"/>
    </row>
    <row r="47452" spans="23:23" x14ac:dyDescent="0.55000000000000004">
      <c r="W47452"/>
    </row>
    <row r="47453" spans="23:23" x14ac:dyDescent="0.55000000000000004">
      <c r="W47453"/>
    </row>
    <row r="47454" spans="23:23" x14ac:dyDescent="0.55000000000000004">
      <c r="W47454"/>
    </row>
    <row r="47455" spans="23:23" x14ac:dyDescent="0.55000000000000004">
      <c r="W47455"/>
    </row>
    <row r="47456" spans="23:23" x14ac:dyDescent="0.55000000000000004">
      <c r="W47456"/>
    </row>
    <row r="47457" spans="23:23" x14ac:dyDescent="0.55000000000000004">
      <c r="W47457"/>
    </row>
    <row r="47458" spans="23:23" x14ac:dyDescent="0.55000000000000004">
      <c r="W47458"/>
    </row>
    <row r="47459" spans="23:23" x14ac:dyDescent="0.55000000000000004">
      <c r="W47459"/>
    </row>
    <row r="47460" spans="23:23" x14ac:dyDescent="0.55000000000000004">
      <c r="W47460"/>
    </row>
    <row r="47461" spans="23:23" x14ac:dyDescent="0.55000000000000004">
      <c r="W47461"/>
    </row>
    <row r="47462" spans="23:23" x14ac:dyDescent="0.55000000000000004">
      <c r="W47462"/>
    </row>
    <row r="47463" spans="23:23" x14ac:dyDescent="0.55000000000000004">
      <c r="W47463"/>
    </row>
    <row r="47464" spans="23:23" x14ac:dyDescent="0.55000000000000004">
      <c r="W47464"/>
    </row>
    <row r="47465" spans="23:23" x14ac:dyDescent="0.55000000000000004">
      <c r="W47465"/>
    </row>
    <row r="47466" spans="23:23" x14ac:dyDescent="0.55000000000000004">
      <c r="W47466"/>
    </row>
    <row r="47467" spans="23:23" x14ac:dyDescent="0.55000000000000004">
      <c r="W47467"/>
    </row>
    <row r="47468" spans="23:23" x14ac:dyDescent="0.55000000000000004">
      <c r="W47468"/>
    </row>
    <row r="47469" spans="23:23" x14ac:dyDescent="0.55000000000000004">
      <c r="W47469"/>
    </row>
    <row r="47470" spans="23:23" x14ac:dyDescent="0.55000000000000004">
      <c r="W47470"/>
    </row>
    <row r="47471" spans="23:23" x14ac:dyDescent="0.55000000000000004">
      <c r="W47471"/>
    </row>
    <row r="47472" spans="23:23" x14ac:dyDescent="0.55000000000000004">
      <c r="W47472"/>
    </row>
    <row r="47473" spans="23:23" x14ac:dyDescent="0.55000000000000004">
      <c r="W47473"/>
    </row>
    <row r="47474" spans="23:23" x14ac:dyDescent="0.55000000000000004">
      <c r="W47474"/>
    </row>
    <row r="47475" spans="23:23" x14ac:dyDescent="0.55000000000000004">
      <c r="W47475"/>
    </row>
    <row r="47476" spans="23:23" x14ac:dyDescent="0.55000000000000004">
      <c r="W47476"/>
    </row>
    <row r="47477" spans="23:23" x14ac:dyDescent="0.55000000000000004">
      <c r="W47477"/>
    </row>
    <row r="47478" spans="23:23" x14ac:dyDescent="0.55000000000000004">
      <c r="W47478"/>
    </row>
    <row r="47479" spans="23:23" x14ac:dyDescent="0.55000000000000004">
      <c r="W47479"/>
    </row>
    <row r="47480" spans="23:23" x14ac:dyDescent="0.55000000000000004">
      <c r="W47480"/>
    </row>
    <row r="47481" spans="23:23" x14ac:dyDescent="0.55000000000000004">
      <c r="W47481"/>
    </row>
    <row r="47482" spans="23:23" x14ac:dyDescent="0.55000000000000004">
      <c r="W47482"/>
    </row>
    <row r="47483" spans="23:23" x14ac:dyDescent="0.55000000000000004">
      <c r="W47483"/>
    </row>
    <row r="47484" spans="23:23" x14ac:dyDescent="0.55000000000000004">
      <c r="W47484"/>
    </row>
    <row r="47485" spans="23:23" x14ac:dyDescent="0.55000000000000004">
      <c r="W47485"/>
    </row>
    <row r="47486" spans="23:23" x14ac:dyDescent="0.55000000000000004">
      <c r="W47486"/>
    </row>
    <row r="47487" spans="23:23" x14ac:dyDescent="0.55000000000000004">
      <c r="W47487"/>
    </row>
    <row r="47488" spans="23:23" x14ac:dyDescent="0.55000000000000004">
      <c r="W47488"/>
    </row>
    <row r="47489" spans="23:23" x14ac:dyDescent="0.55000000000000004">
      <c r="W47489"/>
    </row>
    <row r="47490" spans="23:23" x14ac:dyDescent="0.55000000000000004">
      <c r="W47490"/>
    </row>
    <row r="47491" spans="23:23" x14ac:dyDescent="0.55000000000000004">
      <c r="W47491"/>
    </row>
    <row r="47492" spans="23:23" x14ac:dyDescent="0.55000000000000004">
      <c r="W47492"/>
    </row>
    <row r="47493" spans="23:23" x14ac:dyDescent="0.55000000000000004">
      <c r="W47493"/>
    </row>
    <row r="47494" spans="23:23" x14ac:dyDescent="0.55000000000000004">
      <c r="W47494"/>
    </row>
    <row r="47495" spans="23:23" x14ac:dyDescent="0.55000000000000004">
      <c r="W47495"/>
    </row>
    <row r="47496" spans="23:23" x14ac:dyDescent="0.55000000000000004">
      <c r="W47496"/>
    </row>
    <row r="47497" spans="23:23" x14ac:dyDescent="0.55000000000000004">
      <c r="W47497"/>
    </row>
    <row r="47498" spans="23:23" x14ac:dyDescent="0.55000000000000004">
      <c r="W47498"/>
    </row>
    <row r="47499" spans="23:23" x14ac:dyDescent="0.55000000000000004">
      <c r="W47499"/>
    </row>
    <row r="47500" spans="23:23" x14ac:dyDescent="0.55000000000000004">
      <c r="W47500"/>
    </row>
    <row r="47501" spans="23:23" x14ac:dyDescent="0.55000000000000004">
      <c r="W47501"/>
    </row>
    <row r="47502" spans="23:23" x14ac:dyDescent="0.55000000000000004">
      <c r="W47502"/>
    </row>
    <row r="47503" spans="23:23" x14ac:dyDescent="0.55000000000000004">
      <c r="W47503"/>
    </row>
    <row r="47504" spans="23:23" x14ac:dyDescent="0.55000000000000004">
      <c r="W47504"/>
    </row>
    <row r="47505" spans="23:23" x14ac:dyDescent="0.55000000000000004">
      <c r="W47505"/>
    </row>
    <row r="47506" spans="23:23" x14ac:dyDescent="0.55000000000000004">
      <c r="W47506"/>
    </row>
    <row r="47507" spans="23:23" x14ac:dyDescent="0.55000000000000004">
      <c r="W47507"/>
    </row>
    <row r="47508" spans="23:23" x14ac:dyDescent="0.55000000000000004">
      <c r="W47508"/>
    </row>
    <row r="47509" spans="23:23" x14ac:dyDescent="0.55000000000000004">
      <c r="W47509"/>
    </row>
    <row r="47510" spans="23:23" x14ac:dyDescent="0.55000000000000004">
      <c r="W47510"/>
    </row>
    <row r="47511" spans="23:23" x14ac:dyDescent="0.55000000000000004">
      <c r="W47511"/>
    </row>
    <row r="47512" spans="23:23" x14ac:dyDescent="0.55000000000000004">
      <c r="W47512"/>
    </row>
    <row r="47513" spans="23:23" x14ac:dyDescent="0.55000000000000004">
      <c r="W47513"/>
    </row>
    <row r="47514" spans="23:23" x14ac:dyDescent="0.55000000000000004">
      <c r="W47514"/>
    </row>
    <row r="47515" spans="23:23" x14ac:dyDescent="0.55000000000000004">
      <c r="W47515"/>
    </row>
    <row r="47516" spans="23:23" x14ac:dyDescent="0.55000000000000004">
      <c r="W47516"/>
    </row>
    <row r="47517" spans="23:23" x14ac:dyDescent="0.55000000000000004">
      <c r="W47517"/>
    </row>
    <row r="47518" spans="23:23" x14ac:dyDescent="0.55000000000000004">
      <c r="W47518"/>
    </row>
    <row r="47519" spans="23:23" x14ac:dyDescent="0.55000000000000004">
      <c r="W47519"/>
    </row>
    <row r="47520" spans="23:23" x14ac:dyDescent="0.55000000000000004">
      <c r="W47520"/>
    </row>
    <row r="47521" spans="23:23" x14ac:dyDescent="0.55000000000000004">
      <c r="W47521"/>
    </row>
    <row r="47522" spans="23:23" x14ac:dyDescent="0.55000000000000004">
      <c r="W47522"/>
    </row>
    <row r="47523" spans="23:23" x14ac:dyDescent="0.55000000000000004">
      <c r="W47523"/>
    </row>
    <row r="47524" spans="23:23" x14ac:dyDescent="0.55000000000000004">
      <c r="W47524"/>
    </row>
    <row r="47525" spans="23:23" x14ac:dyDescent="0.55000000000000004">
      <c r="W47525"/>
    </row>
    <row r="47526" spans="23:23" x14ac:dyDescent="0.55000000000000004">
      <c r="W47526"/>
    </row>
    <row r="47527" spans="23:23" x14ac:dyDescent="0.55000000000000004">
      <c r="W47527"/>
    </row>
    <row r="47528" spans="23:23" x14ac:dyDescent="0.55000000000000004">
      <c r="W47528"/>
    </row>
    <row r="47529" spans="23:23" x14ac:dyDescent="0.55000000000000004">
      <c r="W47529"/>
    </row>
    <row r="47530" spans="23:23" x14ac:dyDescent="0.55000000000000004">
      <c r="W47530"/>
    </row>
    <row r="47531" spans="23:23" x14ac:dyDescent="0.55000000000000004">
      <c r="W47531"/>
    </row>
    <row r="47532" spans="23:23" x14ac:dyDescent="0.55000000000000004">
      <c r="W47532"/>
    </row>
    <row r="47533" spans="23:23" x14ac:dyDescent="0.55000000000000004">
      <c r="W47533"/>
    </row>
    <row r="47534" spans="23:23" x14ac:dyDescent="0.55000000000000004">
      <c r="W47534"/>
    </row>
    <row r="47535" spans="23:23" x14ac:dyDescent="0.55000000000000004">
      <c r="W47535"/>
    </row>
    <row r="47536" spans="23:23" x14ac:dyDescent="0.55000000000000004">
      <c r="W47536"/>
    </row>
    <row r="47537" spans="23:23" x14ac:dyDescent="0.55000000000000004">
      <c r="W47537"/>
    </row>
    <row r="47538" spans="23:23" x14ac:dyDescent="0.55000000000000004">
      <c r="W47538"/>
    </row>
    <row r="47539" spans="23:23" x14ac:dyDescent="0.55000000000000004">
      <c r="W47539"/>
    </row>
    <row r="47540" spans="23:23" x14ac:dyDescent="0.55000000000000004">
      <c r="W47540"/>
    </row>
    <row r="47541" spans="23:23" x14ac:dyDescent="0.55000000000000004">
      <c r="W47541"/>
    </row>
    <row r="47542" spans="23:23" x14ac:dyDescent="0.55000000000000004">
      <c r="W47542"/>
    </row>
    <row r="47543" spans="23:23" x14ac:dyDescent="0.55000000000000004">
      <c r="W47543"/>
    </row>
    <row r="47544" spans="23:23" x14ac:dyDescent="0.55000000000000004">
      <c r="W47544"/>
    </row>
    <row r="47545" spans="23:23" x14ac:dyDescent="0.55000000000000004">
      <c r="W47545"/>
    </row>
    <row r="47546" spans="23:23" x14ac:dyDescent="0.55000000000000004">
      <c r="W47546"/>
    </row>
    <row r="47547" spans="23:23" x14ac:dyDescent="0.55000000000000004">
      <c r="W47547"/>
    </row>
    <row r="47548" spans="23:23" x14ac:dyDescent="0.55000000000000004">
      <c r="W47548"/>
    </row>
    <row r="47549" spans="23:23" x14ac:dyDescent="0.55000000000000004">
      <c r="W47549"/>
    </row>
    <row r="47550" spans="23:23" x14ac:dyDescent="0.55000000000000004">
      <c r="W47550"/>
    </row>
    <row r="47551" spans="23:23" x14ac:dyDescent="0.55000000000000004">
      <c r="W47551"/>
    </row>
    <row r="47552" spans="23:23" x14ac:dyDescent="0.55000000000000004">
      <c r="W47552"/>
    </row>
    <row r="47553" spans="23:23" x14ac:dyDescent="0.55000000000000004">
      <c r="W47553"/>
    </row>
    <row r="47554" spans="23:23" x14ac:dyDescent="0.55000000000000004">
      <c r="W47554"/>
    </row>
    <row r="47555" spans="23:23" x14ac:dyDescent="0.55000000000000004">
      <c r="W47555"/>
    </row>
    <row r="47556" spans="23:23" x14ac:dyDescent="0.55000000000000004">
      <c r="W47556"/>
    </row>
    <row r="47557" spans="23:23" x14ac:dyDescent="0.55000000000000004">
      <c r="W47557"/>
    </row>
    <row r="47558" spans="23:23" x14ac:dyDescent="0.55000000000000004">
      <c r="W47558"/>
    </row>
    <row r="47559" spans="23:23" x14ac:dyDescent="0.55000000000000004">
      <c r="W47559"/>
    </row>
    <row r="47560" spans="23:23" x14ac:dyDescent="0.55000000000000004">
      <c r="W47560"/>
    </row>
    <row r="47561" spans="23:23" x14ac:dyDescent="0.55000000000000004">
      <c r="W47561"/>
    </row>
    <row r="47562" spans="23:23" x14ac:dyDescent="0.55000000000000004">
      <c r="W47562"/>
    </row>
    <row r="47563" spans="23:23" x14ac:dyDescent="0.55000000000000004">
      <c r="W47563"/>
    </row>
    <row r="47564" spans="23:23" x14ac:dyDescent="0.55000000000000004">
      <c r="W47564"/>
    </row>
    <row r="47565" spans="23:23" x14ac:dyDescent="0.55000000000000004">
      <c r="W47565"/>
    </row>
    <row r="47566" spans="23:23" x14ac:dyDescent="0.55000000000000004">
      <c r="W47566"/>
    </row>
    <row r="47567" spans="23:23" x14ac:dyDescent="0.55000000000000004">
      <c r="W47567"/>
    </row>
    <row r="47568" spans="23:23" x14ac:dyDescent="0.55000000000000004">
      <c r="W47568"/>
    </row>
    <row r="47569" spans="23:23" x14ac:dyDescent="0.55000000000000004">
      <c r="W47569"/>
    </row>
    <row r="47570" spans="23:23" x14ac:dyDescent="0.55000000000000004">
      <c r="W47570"/>
    </row>
    <row r="47571" spans="23:23" x14ac:dyDescent="0.55000000000000004">
      <c r="W47571"/>
    </row>
    <row r="47572" spans="23:23" x14ac:dyDescent="0.55000000000000004">
      <c r="W47572"/>
    </row>
    <row r="47573" spans="23:23" x14ac:dyDescent="0.55000000000000004">
      <c r="W47573"/>
    </row>
    <row r="47574" spans="23:23" x14ac:dyDescent="0.55000000000000004">
      <c r="W47574"/>
    </row>
    <row r="47575" spans="23:23" x14ac:dyDescent="0.55000000000000004">
      <c r="W47575"/>
    </row>
    <row r="47576" spans="23:23" x14ac:dyDescent="0.55000000000000004">
      <c r="W47576"/>
    </row>
    <row r="47577" spans="23:23" x14ac:dyDescent="0.55000000000000004">
      <c r="W47577"/>
    </row>
    <row r="47578" spans="23:23" x14ac:dyDescent="0.55000000000000004">
      <c r="W47578"/>
    </row>
    <row r="47579" spans="23:23" x14ac:dyDescent="0.55000000000000004">
      <c r="W47579"/>
    </row>
    <row r="47580" spans="23:23" x14ac:dyDescent="0.55000000000000004">
      <c r="W47580"/>
    </row>
    <row r="47581" spans="23:23" x14ac:dyDescent="0.55000000000000004">
      <c r="W47581"/>
    </row>
    <row r="47582" spans="23:23" x14ac:dyDescent="0.55000000000000004">
      <c r="W47582"/>
    </row>
    <row r="47583" spans="23:23" x14ac:dyDescent="0.55000000000000004">
      <c r="W47583"/>
    </row>
    <row r="47584" spans="23:23" x14ac:dyDescent="0.55000000000000004">
      <c r="W47584"/>
    </row>
    <row r="47585" spans="23:23" x14ac:dyDescent="0.55000000000000004">
      <c r="W47585"/>
    </row>
    <row r="47586" spans="23:23" x14ac:dyDescent="0.55000000000000004">
      <c r="W47586"/>
    </row>
    <row r="47587" spans="23:23" x14ac:dyDescent="0.55000000000000004">
      <c r="W47587"/>
    </row>
    <row r="47588" spans="23:23" x14ac:dyDescent="0.55000000000000004">
      <c r="W47588"/>
    </row>
    <row r="47589" spans="23:23" x14ac:dyDescent="0.55000000000000004">
      <c r="W47589"/>
    </row>
    <row r="47590" spans="23:23" x14ac:dyDescent="0.55000000000000004">
      <c r="W47590"/>
    </row>
    <row r="47591" spans="23:23" x14ac:dyDescent="0.55000000000000004">
      <c r="W47591"/>
    </row>
    <row r="47592" spans="23:23" x14ac:dyDescent="0.55000000000000004">
      <c r="W47592"/>
    </row>
    <row r="47593" spans="23:23" x14ac:dyDescent="0.55000000000000004">
      <c r="W47593"/>
    </row>
    <row r="47594" spans="23:23" x14ac:dyDescent="0.55000000000000004">
      <c r="W47594"/>
    </row>
    <row r="47595" spans="23:23" x14ac:dyDescent="0.55000000000000004">
      <c r="W47595"/>
    </row>
    <row r="47596" spans="23:23" x14ac:dyDescent="0.55000000000000004">
      <c r="W47596"/>
    </row>
    <row r="47597" spans="23:23" x14ac:dyDescent="0.55000000000000004">
      <c r="W47597"/>
    </row>
    <row r="47598" spans="23:23" x14ac:dyDescent="0.55000000000000004">
      <c r="W47598"/>
    </row>
    <row r="47599" spans="23:23" x14ac:dyDescent="0.55000000000000004">
      <c r="W47599"/>
    </row>
    <row r="47600" spans="23:23" x14ac:dyDescent="0.55000000000000004">
      <c r="W47600"/>
    </row>
    <row r="47601" spans="23:23" x14ac:dyDescent="0.55000000000000004">
      <c r="W47601"/>
    </row>
    <row r="47602" spans="23:23" x14ac:dyDescent="0.55000000000000004">
      <c r="W47602"/>
    </row>
    <row r="47603" spans="23:23" x14ac:dyDescent="0.55000000000000004">
      <c r="W47603"/>
    </row>
    <row r="47604" spans="23:23" x14ac:dyDescent="0.55000000000000004">
      <c r="W47604"/>
    </row>
    <row r="47605" spans="23:23" x14ac:dyDescent="0.55000000000000004">
      <c r="W47605"/>
    </row>
    <row r="47606" spans="23:23" x14ac:dyDescent="0.55000000000000004">
      <c r="W47606"/>
    </row>
    <row r="47607" spans="23:23" x14ac:dyDescent="0.55000000000000004">
      <c r="W47607"/>
    </row>
    <row r="47608" spans="23:23" x14ac:dyDescent="0.55000000000000004">
      <c r="W47608"/>
    </row>
    <row r="47609" spans="23:23" x14ac:dyDescent="0.55000000000000004">
      <c r="W47609"/>
    </row>
    <row r="47610" spans="23:23" x14ac:dyDescent="0.55000000000000004">
      <c r="W47610"/>
    </row>
    <row r="47611" spans="23:23" x14ac:dyDescent="0.55000000000000004">
      <c r="W47611"/>
    </row>
    <row r="47612" spans="23:23" x14ac:dyDescent="0.55000000000000004">
      <c r="W47612"/>
    </row>
    <row r="47613" spans="23:23" x14ac:dyDescent="0.55000000000000004">
      <c r="W47613"/>
    </row>
    <row r="47614" spans="23:23" x14ac:dyDescent="0.55000000000000004">
      <c r="W47614"/>
    </row>
    <row r="47615" spans="23:23" x14ac:dyDescent="0.55000000000000004">
      <c r="W47615"/>
    </row>
    <row r="47616" spans="23:23" x14ac:dyDescent="0.55000000000000004">
      <c r="W47616"/>
    </row>
    <row r="47617" spans="23:23" x14ac:dyDescent="0.55000000000000004">
      <c r="W47617"/>
    </row>
    <row r="47618" spans="23:23" x14ac:dyDescent="0.55000000000000004">
      <c r="W47618"/>
    </row>
    <row r="47619" spans="23:23" x14ac:dyDescent="0.55000000000000004">
      <c r="W47619"/>
    </row>
    <row r="47620" spans="23:23" x14ac:dyDescent="0.55000000000000004">
      <c r="W47620"/>
    </row>
    <row r="47621" spans="23:23" x14ac:dyDescent="0.55000000000000004">
      <c r="W47621"/>
    </row>
    <row r="47622" spans="23:23" x14ac:dyDescent="0.55000000000000004">
      <c r="W47622"/>
    </row>
    <row r="47623" spans="23:23" x14ac:dyDescent="0.55000000000000004">
      <c r="W47623"/>
    </row>
    <row r="47624" spans="23:23" x14ac:dyDescent="0.55000000000000004">
      <c r="W47624"/>
    </row>
    <row r="47625" spans="23:23" x14ac:dyDescent="0.55000000000000004">
      <c r="W47625"/>
    </row>
    <row r="47626" spans="23:23" x14ac:dyDescent="0.55000000000000004">
      <c r="W47626"/>
    </row>
    <row r="47627" spans="23:23" x14ac:dyDescent="0.55000000000000004">
      <c r="W47627"/>
    </row>
    <row r="47628" spans="23:23" x14ac:dyDescent="0.55000000000000004">
      <c r="W47628"/>
    </row>
    <row r="47629" spans="23:23" x14ac:dyDescent="0.55000000000000004">
      <c r="W47629"/>
    </row>
    <row r="47630" spans="23:23" x14ac:dyDescent="0.55000000000000004">
      <c r="W47630"/>
    </row>
    <row r="47631" spans="23:23" x14ac:dyDescent="0.55000000000000004">
      <c r="W47631"/>
    </row>
    <row r="47632" spans="23:23" x14ac:dyDescent="0.55000000000000004">
      <c r="W47632"/>
    </row>
    <row r="47633" spans="23:23" x14ac:dyDescent="0.55000000000000004">
      <c r="W47633"/>
    </row>
    <row r="47634" spans="23:23" x14ac:dyDescent="0.55000000000000004">
      <c r="W47634"/>
    </row>
    <row r="47635" spans="23:23" x14ac:dyDescent="0.55000000000000004">
      <c r="W47635"/>
    </row>
    <row r="47636" spans="23:23" x14ac:dyDescent="0.55000000000000004">
      <c r="W47636"/>
    </row>
    <row r="47637" spans="23:23" x14ac:dyDescent="0.55000000000000004">
      <c r="W47637"/>
    </row>
    <row r="47638" spans="23:23" x14ac:dyDescent="0.55000000000000004">
      <c r="W47638"/>
    </row>
    <row r="47639" spans="23:23" x14ac:dyDescent="0.55000000000000004">
      <c r="W47639"/>
    </row>
    <row r="47640" spans="23:23" x14ac:dyDescent="0.55000000000000004">
      <c r="W47640"/>
    </row>
    <row r="47641" spans="23:23" x14ac:dyDescent="0.55000000000000004">
      <c r="W47641"/>
    </row>
    <row r="47642" spans="23:23" x14ac:dyDescent="0.55000000000000004">
      <c r="W47642"/>
    </row>
    <row r="47643" spans="23:23" x14ac:dyDescent="0.55000000000000004">
      <c r="W47643"/>
    </row>
    <row r="47644" spans="23:23" x14ac:dyDescent="0.55000000000000004">
      <c r="W47644"/>
    </row>
    <row r="47645" spans="23:23" x14ac:dyDescent="0.55000000000000004">
      <c r="W47645"/>
    </row>
    <row r="47646" spans="23:23" x14ac:dyDescent="0.55000000000000004">
      <c r="W47646"/>
    </row>
    <row r="47647" spans="23:23" x14ac:dyDescent="0.55000000000000004">
      <c r="W47647"/>
    </row>
    <row r="47648" spans="23:23" x14ac:dyDescent="0.55000000000000004">
      <c r="W47648"/>
    </row>
    <row r="47649" spans="23:23" x14ac:dyDescent="0.55000000000000004">
      <c r="W47649"/>
    </row>
    <row r="47650" spans="23:23" x14ac:dyDescent="0.55000000000000004">
      <c r="W47650"/>
    </row>
    <row r="47651" spans="23:23" x14ac:dyDescent="0.55000000000000004">
      <c r="W47651"/>
    </row>
    <row r="47652" spans="23:23" x14ac:dyDescent="0.55000000000000004">
      <c r="W47652"/>
    </row>
    <row r="47653" spans="23:23" x14ac:dyDescent="0.55000000000000004">
      <c r="W47653"/>
    </row>
    <row r="47654" spans="23:23" x14ac:dyDescent="0.55000000000000004">
      <c r="W47654"/>
    </row>
    <row r="47655" spans="23:23" x14ac:dyDescent="0.55000000000000004">
      <c r="W47655"/>
    </row>
    <row r="47656" spans="23:23" x14ac:dyDescent="0.55000000000000004">
      <c r="W47656"/>
    </row>
    <row r="47657" spans="23:23" x14ac:dyDescent="0.55000000000000004">
      <c r="W47657"/>
    </row>
    <row r="47658" spans="23:23" x14ac:dyDescent="0.55000000000000004">
      <c r="W47658"/>
    </row>
    <row r="47659" spans="23:23" x14ac:dyDescent="0.55000000000000004">
      <c r="W47659"/>
    </row>
    <row r="47660" spans="23:23" x14ac:dyDescent="0.55000000000000004">
      <c r="W47660"/>
    </row>
    <row r="47661" spans="23:23" x14ac:dyDescent="0.55000000000000004">
      <c r="W47661"/>
    </row>
    <row r="47662" spans="23:23" x14ac:dyDescent="0.55000000000000004">
      <c r="W47662"/>
    </row>
    <row r="47663" spans="23:23" x14ac:dyDescent="0.55000000000000004">
      <c r="W47663"/>
    </row>
    <row r="47664" spans="23:23" x14ac:dyDescent="0.55000000000000004">
      <c r="W47664"/>
    </row>
    <row r="47665" spans="23:23" x14ac:dyDescent="0.55000000000000004">
      <c r="W47665"/>
    </row>
    <row r="47666" spans="23:23" x14ac:dyDescent="0.55000000000000004">
      <c r="W47666"/>
    </row>
    <row r="47667" spans="23:23" x14ac:dyDescent="0.55000000000000004">
      <c r="W47667"/>
    </row>
    <row r="47668" spans="23:23" x14ac:dyDescent="0.55000000000000004">
      <c r="W47668"/>
    </row>
    <row r="47669" spans="23:23" x14ac:dyDescent="0.55000000000000004">
      <c r="W47669"/>
    </row>
    <row r="47670" spans="23:23" x14ac:dyDescent="0.55000000000000004">
      <c r="W47670"/>
    </row>
    <row r="47671" spans="23:23" x14ac:dyDescent="0.55000000000000004">
      <c r="W47671"/>
    </row>
    <row r="47672" spans="23:23" x14ac:dyDescent="0.55000000000000004">
      <c r="W47672"/>
    </row>
    <row r="47673" spans="23:23" x14ac:dyDescent="0.55000000000000004">
      <c r="W47673"/>
    </row>
    <row r="47674" spans="23:23" x14ac:dyDescent="0.55000000000000004">
      <c r="W47674"/>
    </row>
    <row r="47675" spans="23:23" x14ac:dyDescent="0.55000000000000004">
      <c r="W47675"/>
    </row>
    <row r="47676" spans="23:23" x14ac:dyDescent="0.55000000000000004">
      <c r="W47676"/>
    </row>
    <row r="47677" spans="23:23" x14ac:dyDescent="0.55000000000000004">
      <c r="W47677"/>
    </row>
    <row r="47678" spans="23:23" x14ac:dyDescent="0.55000000000000004">
      <c r="W47678"/>
    </row>
    <row r="47679" spans="23:23" x14ac:dyDescent="0.55000000000000004">
      <c r="W47679"/>
    </row>
    <row r="47680" spans="23:23" x14ac:dyDescent="0.55000000000000004">
      <c r="W47680"/>
    </row>
    <row r="47681" spans="23:23" x14ac:dyDescent="0.55000000000000004">
      <c r="W47681"/>
    </row>
    <row r="47682" spans="23:23" x14ac:dyDescent="0.55000000000000004">
      <c r="W47682"/>
    </row>
    <row r="47683" spans="23:23" x14ac:dyDescent="0.55000000000000004">
      <c r="W47683"/>
    </row>
    <row r="47684" spans="23:23" x14ac:dyDescent="0.55000000000000004">
      <c r="W47684"/>
    </row>
    <row r="47685" spans="23:23" x14ac:dyDescent="0.55000000000000004">
      <c r="W47685"/>
    </row>
    <row r="47686" spans="23:23" x14ac:dyDescent="0.55000000000000004">
      <c r="W47686"/>
    </row>
    <row r="47687" spans="23:23" x14ac:dyDescent="0.55000000000000004">
      <c r="W47687"/>
    </row>
    <row r="47688" spans="23:23" x14ac:dyDescent="0.55000000000000004">
      <c r="W47688"/>
    </row>
    <row r="47689" spans="23:23" x14ac:dyDescent="0.55000000000000004">
      <c r="W47689"/>
    </row>
    <row r="47690" spans="23:23" x14ac:dyDescent="0.55000000000000004">
      <c r="W47690"/>
    </row>
    <row r="47691" spans="23:23" x14ac:dyDescent="0.55000000000000004">
      <c r="W47691"/>
    </row>
    <row r="47692" spans="23:23" x14ac:dyDescent="0.55000000000000004">
      <c r="W47692"/>
    </row>
    <row r="47693" spans="23:23" x14ac:dyDescent="0.55000000000000004">
      <c r="W47693"/>
    </row>
    <row r="47694" spans="23:23" x14ac:dyDescent="0.55000000000000004">
      <c r="W47694"/>
    </row>
    <row r="47695" spans="23:23" x14ac:dyDescent="0.55000000000000004">
      <c r="W47695"/>
    </row>
    <row r="47696" spans="23:23" x14ac:dyDescent="0.55000000000000004">
      <c r="W47696"/>
    </row>
    <row r="47697" spans="23:23" x14ac:dyDescent="0.55000000000000004">
      <c r="W47697"/>
    </row>
    <row r="47698" spans="23:23" x14ac:dyDescent="0.55000000000000004">
      <c r="W47698"/>
    </row>
    <row r="47699" spans="23:23" x14ac:dyDescent="0.55000000000000004">
      <c r="W47699"/>
    </row>
    <row r="47700" spans="23:23" x14ac:dyDescent="0.55000000000000004">
      <c r="W47700"/>
    </row>
    <row r="47701" spans="23:23" x14ac:dyDescent="0.55000000000000004">
      <c r="W47701"/>
    </row>
    <row r="47702" spans="23:23" x14ac:dyDescent="0.55000000000000004">
      <c r="W47702"/>
    </row>
    <row r="47703" spans="23:23" x14ac:dyDescent="0.55000000000000004">
      <c r="W47703"/>
    </row>
    <row r="47704" spans="23:23" x14ac:dyDescent="0.55000000000000004">
      <c r="W47704"/>
    </row>
    <row r="47705" spans="23:23" x14ac:dyDescent="0.55000000000000004">
      <c r="W47705"/>
    </row>
    <row r="47706" spans="23:23" x14ac:dyDescent="0.55000000000000004">
      <c r="W47706"/>
    </row>
    <row r="47707" spans="23:23" x14ac:dyDescent="0.55000000000000004">
      <c r="W47707"/>
    </row>
    <row r="47708" spans="23:23" x14ac:dyDescent="0.55000000000000004">
      <c r="W47708"/>
    </row>
    <row r="47709" spans="23:23" x14ac:dyDescent="0.55000000000000004">
      <c r="W47709"/>
    </row>
    <row r="47710" spans="23:23" x14ac:dyDescent="0.55000000000000004">
      <c r="W47710"/>
    </row>
    <row r="47711" spans="23:23" x14ac:dyDescent="0.55000000000000004">
      <c r="W47711"/>
    </row>
    <row r="47712" spans="23:23" x14ac:dyDescent="0.55000000000000004">
      <c r="W47712"/>
    </row>
    <row r="47713" spans="23:23" x14ac:dyDescent="0.55000000000000004">
      <c r="W47713"/>
    </row>
    <row r="47714" spans="23:23" x14ac:dyDescent="0.55000000000000004">
      <c r="W47714"/>
    </row>
    <row r="47715" spans="23:23" x14ac:dyDescent="0.55000000000000004">
      <c r="W47715"/>
    </row>
    <row r="47716" spans="23:23" x14ac:dyDescent="0.55000000000000004">
      <c r="W47716"/>
    </row>
    <row r="47717" spans="23:23" x14ac:dyDescent="0.55000000000000004">
      <c r="W47717"/>
    </row>
    <row r="47718" spans="23:23" x14ac:dyDescent="0.55000000000000004">
      <c r="W47718"/>
    </row>
    <row r="47719" spans="23:23" x14ac:dyDescent="0.55000000000000004">
      <c r="W47719"/>
    </row>
    <row r="47720" spans="23:23" x14ac:dyDescent="0.55000000000000004">
      <c r="W47720"/>
    </row>
    <row r="47721" spans="23:23" x14ac:dyDescent="0.55000000000000004">
      <c r="W47721"/>
    </row>
    <row r="47722" spans="23:23" x14ac:dyDescent="0.55000000000000004">
      <c r="W47722"/>
    </row>
    <row r="47723" spans="23:23" x14ac:dyDescent="0.55000000000000004">
      <c r="W47723"/>
    </row>
    <row r="47724" spans="23:23" x14ac:dyDescent="0.55000000000000004">
      <c r="W47724"/>
    </row>
    <row r="47725" spans="23:23" x14ac:dyDescent="0.55000000000000004">
      <c r="W47725"/>
    </row>
    <row r="47726" spans="23:23" x14ac:dyDescent="0.55000000000000004">
      <c r="W47726"/>
    </row>
    <row r="47727" spans="23:23" x14ac:dyDescent="0.55000000000000004">
      <c r="W47727"/>
    </row>
    <row r="47728" spans="23:23" x14ac:dyDescent="0.55000000000000004">
      <c r="W47728"/>
    </row>
    <row r="47729" spans="23:23" x14ac:dyDescent="0.55000000000000004">
      <c r="W47729"/>
    </row>
    <row r="47730" spans="23:23" x14ac:dyDescent="0.55000000000000004">
      <c r="W47730"/>
    </row>
    <row r="47731" spans="23:23" x14ac:dyDescent="0.55000000000000004">
      <c r="W47731"/>
    </row>
    <row r="47732" spans="23:23" x14ac:dyDescent="0.55000000000000004">
      <c r="W47732"/>
    </row>
    <row r="47733" spans="23:23" x14ac:dyDescent="0.55000000000000004">
      <c r="W47733"/>
    </row>
    <row r="47734" spans="23:23" x14ac:dyDescent="0.55000000000000004">
      <c r="W47734"/>
    </row>
    <row r="47735" spans="23:23" x14ac:dyDescent="0.55000000000000004">
      <c r="W47735"/>
    </row>
    <row r="47736" spans="23:23" x14ac:dyDescent="0.55000000000000004">
      <c r="W47736"/>
    </row>
    <row r="47737" spans="23:23" x14ac:dyDescent="0.55000000000000004">
      <c r="W47737"/>
    </row>
    <row r="47738" spans="23:23" x14ac:dyDescent="0.55000000000000004">
      <c r="W47738"/>
    </row>
    <row r="47739" spans="23:23" x14ac:dyDescent="0.55000000000000004">
      <c r="W47739"/>
    </row>
    <row r="47740" spans="23:23" x14ac:dyDescent="0.55000000000000004">
      <c r="W47740"/>
    </row>
    <row r="47741" spans="23:23" x14ac:dyDescent="0.55000000000000004">
      <c r="W47741"/>
    </row>
    <row r="47742" spans="23:23" x14ac:dyDescent="0.55000000000000004">
      <c r="W47742"/>
    </row>
    <row r="47743" spans="23:23" x14ac:dyDescent="0.55000000000000004">
      <c r="W47743"/>
    </row>
    <row r="47744" spans="23:23" x14ac:dyDescent="0.55000000000000004">
      <c r="W47744"/>
    </row>
    <row r="47745" spans="23:23" x14ac:dyDescent="0.55000000000000004">
      <c r="W47745"/>
    </row>
    <row r="47746" spans="23:23" x14ac:dyDescent="0.55000000000000004">
      <c r="W47746"/>
    </row>
    <row r="47747" spans="23:23" x14ac:dyDescent="0.55000000000000004">
      <c r="W47747"/>
    </row>
    <row r="47748" spans="23:23" x14ac:dyDescent="0.55000000000000004">
      <c r="W47748"/>
    </row>
    <row r="47749" spans="23:23" x14ac:dyDescent="0.55000000000000004">
      <c r="W47749"/>
    </row>
    <row r="47750" spans="23:23" x14ac:dyDescent="0.55000000000000004">
      <c r="W47750"/>
    </row>
    <row r="47751" spans="23:23" x14ac:dyDescent="0.55000000000000004">
      <c r="W47751"/>
    </row>
    <row r="47752" spans="23:23" x14ac:dyDescent="0.55000000000000004">
      <c r="W47752"/>
    </row>
    <row r="47753" spans="23:23" x14ac:dyDescent="0.55000000000000004">
      <c r="W47753"/>
    </row>
    <row r="47754" spans="23:23" x14ac:dyDescent="0.55000000000000004">
      <c r="W47754"/>
    </row>
    <row r="47755" spans="23:23" x14ac:dyDescent="0.55000000000000004">
      <c r="W47755"/>
    </row>
    <row r="47756" spans="23:23" x14ac:dyDescent="0.55000000000000004">
      <c r="W47756"/>
    </row>
    <row r="47757" spans="23:23" x14ac:dyDescent="0.55000000000000004">
      <c r="W47757"/>
    </row>
    <row r="47758" spans="23:23" x14ac:dyDescent="0.55000000000000004">
      <c r="W47758"/>
    </row>
    <row r="47759" spans="23:23" x14ac:dyDescent="0.55000000000000004">
      <c r="W47759"/>
    </row>
    <row r="47760" spans="23:23" x14ac:dyDescent="0.55000000000000004">
      <c r="W47760"/>
    </row>
    <row r="47761" spans="23:23" x14ac:dyDescent="0.55000000000000004">
      <c r="W47761"/>
    </row>
    <row r="47762" spans="23:23" x14ac:dyDescent="0.55000000000000004">
      <c r="W47762"/>
    </row>
    <row r="47763" spans="23:23" x14ac:dyDescent="0.55000000000000004">
      <c r="W47763"/>
    </row>
    <row r="47764" spans="23:23" x14ac:dyDescent="0.55000000000000004">
      <c r="W47764"/>
    </row>
    <row r="47765" spans="23:23" x14ac:dyDescent="0.55000000000000004">
      <c r="W47765"/>
    </row>
    <row r="47766" spans="23:23" x14ac:dyDescent="0.55000000000000004">
      <c r="W47766"/>
    </row>
    <row r="47767" spans="23:23" x14ac:dyDescent="0.55000000000000004">
      <c r="W47767"/>
    </row>
    <row r="47768" spans="23:23" x14ac:dyDescent="0.55000000000000004">
      <c r="W47768"/>
    </row>
    <row r="47769" spans="23:23" x14ac:dyDescent="0.55000000000000004">
      <c r="W47769"/>
    </row>
    <row r="47770" spans="23:23" x14ac:dyDescent="0.55000000000000004">
      <c r="W47770"/>
    </row>
    <row r="47771" spans="23:23" x14ac:dyDescent="0.55000000000000004">
      <c r="W47771"/>
    </row>
    <row r="47772" spans="23:23" x14ac:dyDescent="0.55000000000000004">
      <c r="W47772"/>
    </row>
    <row r="47773" spans="23:23" x14ac:dyDescent="0.55000000000000004">
      <c r="W47773"/>
    </row>
    <row r="47774" spans="23:23" x14ac:dyDescent="0.55000000000000004">
      <c r="W47774"/>
    </row>
    <row r="47775" spans="23:23" x14ac:dyDescent="0.55000000000000004">
      <c r="W47775"/>
    </row>
    <row r="47776" spans="23:23" x14ac:dyDescent="0.55000000000000004">
      <c r="W47776"/>
    </row>
    <row r="47777" spans="23:23" x14ac:dyDescent="0.55000000000000004">
      <c r="W47777"/>
    </row>
    <row r="47778" spans="23:23" x14ac:dyDescent="0.55000000000000004">
      <c r="W47778"/>
    </row>
    <row r="47779" spans="23:23" x14ac:dyDescent="0.55000000000000004">
      <c r="W47779"/>
    </row>
    <row r="47780" spans="23:23" x14ac:dyDescent="0.55000000000000004">
      <c r="W47780"/>
    </row>
    <row r="47781" spans="23:23" x14ac:dyDescent="0.55000000000000004">
      <c r="W47781"/>
    </row>
    <row r="47782" spans="23:23" x14ac:dyDescent="0.55000000000000004">
      <c r="W47782"/>
    </row>
    <row r="47783" spans="23:23" x14ac:dyDescent="0.55000000000000004">
      <c r="W47783"/>
    </row>
    <row r="47784" spans="23:23" x14ac:dyDescent="0.55000000000000004">
      <c r="W47784"/>
    </row>
    <row r="47785" spans="23:23" x14ac:dyDescent="0.55000000000000004">
      <c r="W47785"/>
    </row>
    <row r="47786" spans="23:23" x14ac:dyDescent="0.55000000000000004">
      <c r="W47786"/>
    </row>
    <row r="47787" spans="23:23" x14ac:dyDescent="0.55000000000000004">
      <c r="W47787"/>
    </row>
    <row r="47788" spans="23:23" x14ac:dyDescent="0.55000000000000004">
      <c r="W47788"/>
    </row>
    <row r="47789" spans="23:23" x14ac:dyDescent="0.55000000000000004">
      <c r="W47789"/>
    </row>
    <row r="47790" spans="23:23" x14ac:dyDescent="0.55000000000000004">
      <c r="W47790"/>
    </row>
    <row r="47791" spans="23:23" x14ac:dyDescent="0.55000000000000004">
      <c r="W47791"/>
    </row>
    <row r="47792" spans="23:23" x14ac:dyDescent="0.55000000000000004">
      <c r="W47792"/>
    </row>
    <row r="47793" spans="23:23" x14ac:dyDescent="0.55000000000000004">
      <c r="W47793"/>
    </row>
    <row r="47794" spans="23:23" x14ac:dyDescent="0.55000000000000004">
      <c r="W47794"/>
    </row>
    <row r="47795" spans="23:23" x14ac:dyDescent="0.55000000000000004">
      <c r="W47795"/>
    </row>
    <row r="47796" spans="23:23" x14ac:dyDescent="0.55000000000000004">
      <c r="W47796"/>
    </row>
    <row r="47797" spans="23:23" x14ac:dyDescent="0.55000000000000004">
      <c r="W47797"/>
    </row>
    <row r="47798" spans="23:23" x14ac:dyDescent="0.55000000000000004">
      <c r="W47798"/>
    </row>
    <row r="47799" spans="23:23" x14ac:dyDescent="0.55000000000000004">
      <c r="W47799"/>
    </row>
    <row r="47800" spans="23:23" x14ac:dyDescent="0.55000000000000004">
      <c r="W47800"/>
    </row>
    <row r="47801" spans="23:23" x14ac:dyDescent="0.55000000000000004">
      <c r="W47801"/>
    </row>
    <row r="47802" spans="23:23" x14ac:dyDescent="0.55000000000000004">
      <c r="W47802"/>
    </row>
    <row r="47803" spans="23:23" x14ac:dyDescent="0.55000000000000004">
      <c r="W47803"/>
    </row>
    <row r="47804" spans="23:23" x14ac:dyDescent="0.55000000000000004">
      <c r="W47804"/>
    </row>
    <row r="47805" spans="23:23" x14ac:dyDescent="0.55000000000000004">
      <c r="W47805"/>
    </row>
    <row r="47806" spans="23:23" x14ac:dyDescent="0.55000000000000004">
      <c r="W47806"/>
    </row>
    <row r="47807" spans="23:23" x14ac:dyDescent="0.55000000000000004">
      <c r="W47807"/>
    </row>
    <row r="47808" spans="23:23" x14ac:dyDescent="0.55000000000000004">
      <c r="W47808"/>
    </row>
    <row r="47809" spans="23:23" x14ac:dyDescent="0.55000000000000004">
      <c r="W47809"/>
    </row>
    <row r="47810" spans="23:23" x14ac:dyDescent="0.55000000000000004">
      <c r="W47810"/>
    </row>
    <row r="47811" spans="23:23" x14ac:dyDescent="0.55000000000000004">
      <c r="W47811"/>
    </row>
    <row r="47812" spans="23:23" x14ac:dyDescent="0.55000000000000004">
      <c r="W47812"/>
    </row>
    <row r="47813" spans="23:23" x14ac:dyDescent="0.55000000000000004">
      <c r="W47813"/>
    </row>
    <row r="47814" spans="23:23" x14ac:dyDescent="0.55000000000000004">
      <c r="W47814"/>
    </row>
    <row r="47815" spans="23:23" x14ac:dyDescent="0.55000000000000004">
      <c r="W47815"/>
    </row>
    <row r="47816" spans="23:23" x14ac:dyDescent="0.55000000000000004">
      <c r="W47816"/>
    </row>
    <row r="47817" spans="23:23" x14ac:dyDescent="0.55000000000000004">
      <c r="W47817"/>
    </row>
    <row r="47818" spans="23:23" x14ac:dyDescent="0.55000000000000004">
      <c r="W47818"/>
    </row>
    <row r="47819" spans="23:23" x14ac:dyDescent="0.55000000000000004">
      <c r="W47819"/>
    </row>
    <row r="47820" spans="23:23" x14ac:dyDescent="0.55000000000000004">
      <c r="W47820"/>
    </row>
    <row r="47821" spans="23:23" x14ac:dyDescent="0.55000000000000004">
      <c r="W47821"/>
    </row>
    <row r="47822" spans="23:23" x14ac:dyDescent="0.55000000000000004">
      <c r="W47822"/>
    </row>
    <row r="47823" spans="23:23" x14ac:dyDescent="0.55000000000000004">
      <c r="W47823"/>
    </row>
    <row r="47824" spans="23:23" x14ac:dyDescent="0.55000000000000004">
      <c r="W47824"/>
    </row>
    <row r="47825" spans="23:23" x14ac:dyDescent="0.55000000000000004">
      <c r="W47825"/>
    </row>
    <row r="47826" spans="23:23" x14ac:dyDescent="0.55000000000000004">
      <c r="W47826"/>
    </row>
    <row r="47827" spans="23:23" x14ac:dyDescent="0.55000000000000004">
      <c r="W47827"/>
    </row>
    <row r="47828" spans="23:23" x14ac:dyDescent="0.55000000000000004">
      <c r="W47828"/>
    </row>
    <row r="47829" spans="23:23" x14ac:dyDescent="0.55000000000000004">
      <c r="W47829"/>
    </row>
    <row r="47830" spans="23:23" x14ac:dyDescent="0.55000000000000004">
      <c r="W47830"/>
    </row>
    <row r="47831" spans="23:23" x14ac:dyDescent="0.55000000000000004">
      <c r="W47831"/>
    </row>
    <row r="47832" spans="23:23" x14ac:dyDescent="0.55000000000000004">
      <c r="W47832"/>
    </row>
    <row r="47833" spans="23:23" x14ac:dyDescent="0.55000000000000004">
      <c r="W47833"/>
    </row>
    <row r="47834" spans="23:23" x14ac:dyDescent="0.55000000000000004">
      <c r="W47834"/>
    </row>
    <row r="47835" spans="23:23" x14ac:dyDescent="0.55000000000000004">
      <c r="W47835"/>
    </row>
    <row r="47836" spans="23:23" x14ac:dyDescent="0.55000000000000004">
      <c r="W47836"/>
    </row>
    <row r="47837" spans="23:23" x14ac:dyDescent="0.55000000000000004">
      <c r="W47837"/>
    </row>
    <row r="47838" spans="23:23" x14ac:dyDescent="0.55000000000000004">
      <c r="W47838"/>
    </row>
    <row r="47839" spans="23:23" x14ac:dyDescent="0.55000000000000004">
      <c r="W47839"/>
    </row>
    <row r="47840" spans="23:23" x14ac:dyDescent="0.55000000000000004">
      <c r="W47840"/>
    </row>
    <row r="47841" spans="23:23" x14ac:dyDescent="0.55000000000000004">
      <c r="W47841"/>
    </row>
    <row r="47842" spans="23:23" x14ac:dyDescent="0.55000000000000004">
      <c r="W47842"/>
    </row>
    <row r="47843" spans="23:23" x14ac:dyDescent="0.55000000000000004">
      <c r="W47843"/>
    </row>
    <row r="47844" spans="23:23" x14ac:dyDescent="0.55000000000000004">
      <c r="W47844"/>
    </row>
    <row r="47845" spans="23:23" x14ac:dyDescent="0.55000000000000004">
      <c r="W47845"/>
    </row>
    <row r="47846" spans="23:23" x14ac:dyDescent="0.55000000000000004">
      <c r="W47846"/>
    </row>
    <row r="47847" spans="23:23" x14ac:dyDescent="0.55000000000000004">
      <c r="W47847"/>
    </row>
    <row r="47848" spans="23:23" x14ac:dyDescent="0.55000000000000004">
      <c r="W47848"/>
    </row>
    <row r="47849" spans="23:23" x14ac:dyDescent="0.55000000000000004">
      <c r="W47849"/>
    </row>
    <row r="47850" spans="23:23" x14ac:dyDescent="0.55000000000000004">
      <c r="W47850"/>
    </row>
    <row r="47851" spans="23:23" x14ac:dyDescent="0.55000000000000004">
      <c r="W47851"/>
    </row>
    <row r="47852" spans="23:23" x14ac:dyDescent="0.55000000000000004">
      <c r="W47852"/>
    </row>
    <row r="47853" spans="23:23" x14ac:dyDescent="0.55000000000000004">
      <c r="W47853"/>
    </row>
    <row r="47854" spans="23:23" x14ac:dyDescent="0.55000000000000004">
      <c r="W47854"/>
    </row>
    <row r="47855" spans="23:23" x14ac:dyDescent="0.55000000000000004">
      <c r="W47855"/>
    </row>
    <row r="47856" spans="23:23" x14ac:dyDescent="0.55000000000000004">
      <c r="W47856"/>
    </row>
    <row r="47857" spans="23:23" x14ac:dyDescent="0.55000000000000004">
      <c r="W47857"/>
    </row>
    <row r="47858" spans="23:23" x14ac:dyDescent="0.55000000000000004">
      <c r="W47858"/>
    </row>
    <row r="47859" spans="23:23" x14ac:dyDescent="0.55000000000000004">
      <c r="W47859"/>
    </row>
    <row r="47860" spans="23:23" x14ac:dyDescent="0.55000000000000004">
      <c r="W47860"/>
    </row>
    <row r="47861" spans="23:23" x14ac:dyDescent="0.55000000000000004">
      <c r="W47861"/>
    </row>
    <row r="47862" spans="23:23" x14ac:dyDescent="0.55000000000000004">
      <c r="W47862"/>
    </row>
    <row r="47863" spans="23:23" x14ac:dyDescent="0.55000000000000004">
      <c r="W47863"/>
    </row>
    <row r="47864" spans="23:23" x14ac:dyDescent="0.55000000000000004">
      <c r="W47864"/>
    </row>
    <row r="47865" spans="23:23" x14ac:dyDescent="0.55000000000000004">
      <c r="W47865"/>
    </row>
    <row r="47866" spans="23:23" x14ac:dyDescent="0.55000000000000004">
      <c r="W47866"/>
    </row>
    <row r="47867" spans="23:23" x14ac:dyDescent="0.55000000000000004">
      <c r="W47867"/>
    </row>
    <row r="47868" spans="23:23" x14ac:dyDescent="0.55000000000000004">
      <c r="W47868"/>
    </row>
    <row r="47869" spans="23:23" x14ac:dyDescent="0.55000000000000004">
      <c r="W47869"/>
    </row>
    <row r="47870" spans="23:23" x14ac:dyDescent="0.55000000000000004">
      <c r="W47870"/>
    </row>
    <row r="47871" spans="23:23" x14ac:dyDescent="0.55000000000000004">
      <c r="W47871"/>
    </row>
    <row r="47872" spans="23:23" x14ac:dyDescent="0.55000000000000004">
      <c r="W47872"/>
    </row>
    <row r="47873" spans="23:23" x14ac:dyDescent="0.55000000000000004">
      <c r="W47873"/>
    </row>
    <row r="47874" spans="23:23" x14ac:dyDescent="0.55000000000000004">
      <c r="W47874"/>
    </row>
    <row r="47875" spans="23:23" x14ac:dyDescent="0.55000000000000004">
      <c r="W47875"/>
    </row>
    <row r="47876" spans="23:23" x14ac:dyDescent="0.55000000000000004">
      <c r="W47876"/>
    </row>
    <row r="47877" spans="23:23" x14ac:dyDescent="0.55000000000000004">
      <c r="W47877"/>
    </row>
    <row r="47878" spans="23:23" x14ac:dyDescent="0.55000000000000004">
      <c r="W47878"/>
    </row>
    <row r="47879" spans="23:23" x14ac:dyDescent="0.55000000000000004">
      <c r="W47879"/>
    </row>
    <row r="47880" spans="23:23" x14ac:dyDescent="0.55000000000000004">
      <c r="W47880"/>
    </row>
    <row r="47881" spans="23:23" x14ac:dyDescent="0.55000000000000004">
      <c r="W47881"/>
    </row>
    <row r="47882" spans="23:23" x14ac:dyDescent="0.55000000000000004">
      <c r="W47882"/>
    </row>
    <row r="47883" spans="23:23" x14ac:dyDescent="0.55000000000000004">
      <c r="W47883"/>
    </row>
    <row r="47884" spans="23:23" x14ac:dyDescent="0.55000000000000004">
      <c r="W47884"/>
    </row>
    <row r="47885" spans="23:23" x14ac:dyDescent="0.55000000000000004">
      <c r="W47885"/>
    </row>
    <row r="47886" spans="23:23" x14ac:dyDescent="0.55000000000000004">
      <c r="W47886"/>
    </row>
    <row r="47887" spans="23:23" x14ac:dyDescent="0.55000000000000004">
      <c r="W47887"/>
    </row>
    <row r="47888" spans="23:23" x14ac:dyDescent="0.55000000000000004">
      <c r="W47888"/>
    </row>
    <row r="47889" spans="23:23" x14ac:dyDescent="0.55000000000000004">
      <c r="W47889"/>
    </row>
    <row r="47890" spans="23:23" x14ac:dyDescent="0.55000000000000004">
      <c r="W47890"/>
    </row>
    <row r="47891" spans="23:23" x14ac:dyDescent="0.55000000000000004">
      <c r="W47891"/>
    </row>
    <row r="47892" spans="23:23" x14ac:dyDescent="0.55000000000000004">
      <c r="W47892"/>
    </row>
    <row r="47893" spans="23:23" x14ac:dyDescent="0.55000000000000004">
      <c r="W47893"/>
    </row>
    <row r="47894" spans="23:23" x14ac:dyDescent="0.55000000000000004">
      <c r="W47894"/>
    </row>
    <row r="47895" spans="23:23" x14ac:dyDescent="0.55000000000000004">
      <c r="W47895"/>
    </row>
    <row r="47896" spans="23:23" x14ac:dyDescent="0.55000000000000004">
      <c r="W47896"/>
    </row>
    <row r="47897" spans="23:23" x14ac:dyDescent="0.55000000000000004">
      <c r="W47897"/>
    </row>
    <row r="47898" spans="23:23" x14ac:dyDescent="0.55000000000000004">
      <c r="W47898"/>
    </row>
    <row r="47899" spans="23:23" x14ac:dyDescent="0.55000000000000004">
      <c r="W47899"/>
    </row>
    <row r="47900" spans="23:23" x14ac:dyDescent="0.55000000000000004">
      <c r="W47900"/>
    </row>
    <row r="47901" spans="23:23" x14ac:dyDescent="0.55000000000000004">
      <c r="W47901"/>
    </row>
    <row r="47902" spans="23:23" x14ac:dyDescent="0.55000000000000004">
      <c r="W47902"/>
    </row>
    <row r="47903" spans="23:23" x14ac:dyDescent="0.55000000000000004">
      <c r="W47903"/>
    </row>
    <row r="47904" spans="23:23" x14ac:dyDescent="0.55000000000000004">
      <c r="W47904"/>
    </row>
    <row r="47905" spans="23:23" x14ac:dyDescent="0.55000000000000004">
      <c r="W47905"/>
    </row>
    <row r="47906" spans="23:23" x14ac:dyDescent="0.55000000000000004">
      <c r="W47906"/>
    </row>
    <row r="47907" spans="23:23" x14ac:dyDescent="0.55000000000000004">
      <c r="W47907"/>
    </row>
    <row r="47908" spans="23:23" x14ac:dyDescent="0.55000000000000004">
      <c r="W47908"/>
    </row>
    <row r="47909" spans="23:23" x14ac:dyDescent="0.55000000000000004">
      <c r="W47909"/>
    </row>
    <row r="47910" spans="23:23" x14ac:dyDescent="0.55000000000000004">
      <c r="W47910"/>
    </row>
    <row r="47911" spans="23:23" x14ac:dyDescent="0.55000000000000004">
      <c r="W47911"/>
    </row>
    <row r="47912" spans="23:23" x14ac:dyDescent="0.55000000000000004">
      <c r="W47912"/>
    </row>
    <row r="47913" spans="23:23" x14ac:dyDescent="0.55000000000000004">
      <c r="W47913"/>
    </row>
    <row r="47914" spans="23:23" x14ac:dyDescent="0.55000000000000004">
      <c r="W47914"/>
    </row>
    <row r="47915" spans="23:23" x14ac:dyDescent="0.55000000000000004">
      <c r="W47915"/>
    </row>
    <row r="47916" spans="23:23" x14ac:dyDescent="0.55000000000000004">
      <c r="W47916"/>
    </row>
    <row r="47917" spans="23:23" x14ac:dyDescent="0.55000000000000004">
      <c r="W47917"/>
    </row>
    <row r="47918" spans="23:23" x14ac:dyDescent="0.55000000000000004">
      <c r="W47918"/>
    </row>
    <row r="47919" spans="23:23" x14ac:dyDescent="0.55000000000000004">
      <c r="W47919"/>
    </row>
    <row r="47920" spans="23:23" x14ac:dyDescent="0.55000000000000004">
      <c r="W47920"/>
    </row>
    <row r="47921" spans="23:23" x14ac:dyDescent="0.55000000000000004">
      <c r="W47921"/>
    </row>
    <row r="47922" spans="23:23" x14ac:dyDescent="0.55000000000000004">
      <c r="W47922"/>
    </row>
    <row r="47923" spans="23:23" x14ac:dyDescent="0.55000000000000004">
      <c r="W47923"/>
    </row>
    <row r="47924" spans="23:23" x14ac:dyDescent="0.55000000000000004">
      <c r="W47924"/>
    </row>
    <row r="47925" spans="23:23" x14ac:dyDescent="0.55000000000000004">
      <c r="W47925"/>
    </row>
    <row r="47926" spans="23:23" x14ac:dyDescent="0.55000000000000004">
      <c r="W47926"/>
    </row>
    <row r="47927" spans="23:23" x14ac:dyDescent="0.55000000000000004">
      <c r="W47927"/>
    </row>
    <row r="47928" spans="23:23" x14ac:dyDescent="0.55000000000000004">
      <c r="W47928"/>
    </row>
    <row r="47929" spans="23:23" x14ac:dyDescent="0.55000000000000004">
      <c r="W47929"/>
    </row>
    <row r="47930" spans="23:23" x14ac:dyDescent="0.55000000000000004">
      <c r="W47930"/>
    </row>
    <row r="47931" spans="23:23" x14ac:dyDescent="0.55000000000000004">
      <c r="W47931"/>
    </row>
    <row r="47932" spans="23:23" x14ac:dyDescent="0.55000000000000004">
      <c r="W47932"/>
    </row>
    <row r="47933" spans="23:23" x14ac:dyDescent="0.55000000000000004">
      <c r="W47933"/>
    </row>
    <row r="47934" spans="23:23" x14ac:dyDescent="0.55000000000000004">
      <c r="W47934"/>
    </row>
    <row r="47935" spans="23:23" x14ac:dyDescent="0.55000000000000004">
      <c r="W47935"/>
    </row>
    <row r="47936" spans="23:23" x14ac:dyDescent="0.55000000000000004">
      <c r="W47936"/>
    </row>
    <row r="47937" spans="23:23" x14ac:dyDescent="0.55000000000000004">
      <c r="W47937"/>
    </row>
    <row r="47938" spans="23:23" x14ac:dyDescent="0.55000000000000004">
      <c r="W47938"/>
    </row>
    <row r="47939" spans="23:23" x14ac:dyDescent="0.55000000000000004">
      <c r="W47939"/>
    </row>
    <row r="47940" spans="23:23" x14ac:dyDescent="0.55000000000000004">
      <c r="W47940"/>
    </row>
    <row r="47941" spans="23:23" x14ac:dyDescent="0.55000000000000004">
      <c r="W47941"/>
    </row>
    <row r="47942" spans="23:23" x14ac:dyDescent="0.55000000000000004">
      <c r="W47942"/>
    </row>
    <row r="47943" spans="23:23" x14ac:dyDescent="0.55000000000000004">
      <c r="W47943"/>
    </row>
    <row r="47944" spans="23:23" x14ac:dyDescent="0.55000000000000004">
      <c r="W47944"/>
    </row>
    <row r="47945" spans="23:23" x14ac:dyDescent="0.55000000000000004">
      <c r="W47945"/>
    </row>
    <row r="47946" spans="23:23" x14ac:dyDescent="0.55000000000000004">
      <c r="W47946"/>
    </row>
    <row r="47947" spans="23:23" x14ac:dyDescent="0.55000000000000004">
      <c r="W47947"/>
    </row>
    <row r="47948" spans="23:23" x14ac:dyDescent="0.55000000000000004">
      <c r="W47948"/>
    </row>
    <row r="47949" spans="23:23" x14ac:dyDescent="0.55000000000000004">
      <c r="W47949"/>
    </row>
    <row r="47950" spans="23:23" x14ac:dyDescent="0.55000000000000004">
      <c r="W47950"/>
    </row>
    <row r="47951" spans="23:23" x14ac:dyDescent="0.55000000000000004">
      <c r="W47951"/>
    </row>
    <row r="47952" spans="23:23" x14ac:dyDescent="0.55000000000000004">
      <c r="W47952"/>
    </row>
    <row r="47953" spans="23:23" x14ac:dyDescent="0.55000000000000004">
      <c r="W47953"/>
    </row>
    <row r="47954" spans="23:23" x14ac:dyDescent="0.55000000000000004">
      <c r="W47954"/>
    </row>
    <row r="47955" spans="23:23" x14ac:dyDescent="0.55000000000000004">
      <c r="W47955"/>
    </row>
    <row r="47956" spans="23:23" x14ac:dyDescent="0.55000000000000004">
      <c r="W47956"/>
    </row>
    <row r="47957" spans="23:23" x14ac:dyDescent="0.55000000000000004">
      <c r="W47957"/>
    </row>
    <row r="47958" spans="23:23" x14ac:dyDescent="0.55000000000000004">
      <c r="W47958"/>
    </row>
    <row r="47959" spans="23:23" x14ac:dyDescent="0.55000000000000004">
      <c r="W47959"/>
    </row>
    <row r="47960" spans="23:23" x14ac:dyDescent="0.55000000000000004">
      <c r="W47960"/>
    </row>
    <row r="47961" spans="23:23" x14ac:dyDescent="0.55000000000000004">
      <c r="W47961"/>
    </row>
    <row r="47962" spans="23:23" x14ac:dyDescent="0.55000000000000004">
      <c r="W47962"/>
    </row>
    <row r="47963" spans="23:23" x14ac:dyDescent="0.55000000000000004">
      <c r="W47963"/>
    </row>
    <row r="47964" spans="23:23" x14ac:dyDescent="0.55000000000000004">
      <c r="W47964"/>
    </row>
    <row r="47965" spans="23:23" x14ac:dyDescent="0.55000000000000004">
      <c r="W47965"/>
    </row>
    <row r="47966" spans="23:23" x14ac:dyDescent="0.55000000000000004">
      <c r="W47966"/>
    </row>
    <row r="47967" spans="23:23" x14ac:dyDescent="0.55000000000000004">
      <c r="W47967"/>
    </row>
    <row r="47968" spans="23:23" x14ac:dyDescent="0.55000000000000004">
      <c r="W47968"/>
    </row>
    <row r="47969" spans="23:23" x14ac:dyDescent="0.55000000000000004">
      <c r="W47969"/>
    </row>
    <row r="47970" spans="23:23" x14ac:dyDescent="0.55000000000000004">
      <c r="W47970"/>
    </row>
    <row r="47971" spans="23:23" x14ac:dyDescent="0.55000000000000004">
      <c r="W47971"/>
    </row>
    <row r="47972" spans="23:23" x14ac:dyDescent="0.55000000000000004">
      <c r="W47972"/>
    </row>
    <row r="47973" spans="23:23" x14ac:dyDescent="0.55000000000000004">
      <c r="W47973"/>
    </row>
    <row r="47974" spans="23:23" x14ac:dyDescent="0.55000000000000004">
      <c r="W47974"/>
    </row>
    <row r="47975" spans="23:23" x14ac:dyDescent="0.55000000000000004">
      <c r="W47975"/>
    </row>
    <row r="47976" spans="23:23" x14ac:dyDescent="0.55000000000000004">
      <c r="W47976"/>
    </row>
    <row r="47977" spans="23:23" x14ac:dyDescent="0.55000000000000004">
      <c r="W47977"/>
    </row>
    <row r="47978" spans="23:23" x14ac:dyDescent="0.55000000000000004">
      <c r="W47978"/>
    </row>
    <row r="47979" spans="23:23" x14ac:dyDescent="0.55000000000000004">
      <c r="W47979"/>
    </row>
    <row r="47980" spans="23:23" x14ac:dyDescent="0.55000000000000004">
      <c r="W47980"/>
    </row>
    <row r="47981" spans="23:23" x14ac:dyDescent="0.55000000000000004">
      <c r="W47981"/>
    </row>
    <row r="47982" spans="23:23" x14ac:dyDescent="0.55000000000000004">
      <c r="W47982"/>
    </row>
    <row r="47983" spans="23:23" x14ac:dyDescent="0.55000000000000004">
      <c r="W47983"/>
    </row>
    <row r="47984" spans="23:23" x14ac:dyDescent="0.55000000000000004">
      <c r="W47984"/>
    </row>
    <row r="47985" spans="23:23" x14ac:dyDescent="0.55000000000000004">
      <c r="W47985"/>
    </row>
    <row r="47986" spans="23:23" x14ac:dyDescent="0.55000000000000004">
      <c r="W47986"/>
    </row>
    <row r="47987" spans="23:23" x14ac:dyDescent="0.55000000000000004">
      <c r="W47987"/>
    </row>
    <row r="47988" spans="23:23" x14ac:dyDescent="0.55000000000000004">
      <c r="W47988"/>
    </row>
    <row r="47989" spans="23:23" x14ac:dyDescent="0.55000000000000004">
      <c r="W47989"/>
    </row>
    <row r="47990" spans="23:23" x14ac:dyDescent="0.55000000000000004">
      <c r="W47990"/>
    </row>
    <row r="47991" spans="23:23" x14ac:dyDescent="0.55000000000000004">
      <c r="W47991"/>
    </row>
    <row r="47992" spans="23:23" x14ac:dyDescent="0.55000000000000004">
      <c r="W47992"/>
    </row>
    <row r="47993" spans="23:23" x14ac:dyDescent="0.55000000000000004">
      <c r="W47993"/>
    </row>
    <row r="47994" spans="23:23" x14ac:dyDescent="0.55000000000000004">
      <c r="W47994"/>
    </row>
    <row r="47995" spans="23:23" x14ac:dyDescent="0.55000000000000004">
      <c r="W47995"/>
    </row>
    <row r="47996" spans="23:23" x14ac:dyDescent="0.55000000000000004">
      <c r="W47996"/>
    </row>
    <row r="47997" spans="23:23" x14ac:dyDescent="0.55000000000000004">
      <c r="W47997"/>
    </row>
    <row r="47998" spans="23:23" x14ac:dyDescent="0.55000000000000004">
      <c r="W47998"/>
    </row>
    <row r="47999" spans="23:23" x14ac:dyDescent="0.55000000000000004">
      <c r="W47999"/>
    </row>
    <row r="48000" spans="23:23" x14ac:dyDescent="0.55000000000000004">
      <c r="W48000"/>
    </row>
    <row r="48001" spans="23:23" x14ac:dyDescent="0.55000000000000004">
      <c r="W48001"/>
    </row>
    <row r="48002" spans="23:23" x14ac:dyDescent="0.55000000000000004">
      <c r="W48002"/>
    </row>
    <row r="48003" spans="23:23" x14ac:dyDescent="0.55000000000000004">
      <c r="W48003"/>
    </row>
    <row r="48004" spans="23:23" x14ac:dyDescent="0.55000000000000004">
      <c r="W48004"/>
    </row>
    <row r="48005" spans="23:23" x14ac:dyDescent="0.55000000000000004">
      <c r="W48005"/>
    </row>
    <row r="48006" spans="23:23" x14ac:dyDescent="0.55000000000000004">
      <c r="W48006"/>
    </row>
    <row r="48007" spans="23:23" x14ac:dyDescent="0.55000000000000004">
      <c r="W48007"/>
    </row>
    <row r="48008" spans="23:23" x14ac:dyDescent="0.55000000000000004">
      <c r="W48008"/>
    </row>
    <row r="48009" spans="23:23" x14ac:dyDescent="0.55000000000000004">
      <c r="W48009"/>
    </row>
    <row r="48010" spans="23:23" x14ac:dyDescent="0.55000000000000004">
      <c r="W48010"/>
    </row>
    <row r="48011" spans="23:23" x14ac:dyDescent="0.55000000000000004">
      <c r="W48011"/>
    </row>
    <row r="48012" spans="23:23" x14ac:dyDescent="0.55000000000000004">
      <c r="W48012"/>
    </row>
    <row r="48013" spans="23:23" x14ac:dyDescent="0.55000000000000004">
      <c r="W48013"/>
    </row>
    <row r="48014" spans="23:23" x14ac:dyDescent="0.55000000000000004">
      <c r="W48014"/>
    </row>
    <row r="48015" spans="23:23" x14ac:dyDescent="0.55000000000000004">
      <c r="W48015"/>
    </row>
    <row r="48016" spans="23:23" x14ac:dyDescent="0.55000000000000004">
      <c r="W48016"/>
    </row>
    <row r="48017" spans="23:23" x14ac:dyDescent="0.55000000000000004">
      <c r="W48017"/>
    </row>
    <row r="48018" spans="23:23" x14ac:dyDescent="0.55000000000000004">
      <c r="W48018"/>
    </row>
    <row r="48019" spans="23:23" x14ac:dyDescent="0.55000000000000004">
      <c r="W48019"/>
    </row>
    <row r="48020" spans="23:23" x14ac:dyDescent="0.55000000000000004">
      <c r="W48020"/>
    </row>
    <row r="48021" spans="23:23" x14ac:dyDescent="0.55000000000000004">
      <c r="W48021"/>
    </row>
    <row r="48022" spans="23:23" x14ac:dyDescent="0.55000000000000004">
      <c r="W48022"/>
    </row>
    <row r="48023" spans="23:23" x14ac:dyDescent="0.55000000000000004">
      <c r="W48023"/>
    </row>
    <row r="48024" spans="23:23" x14ac:dyDescent="0.55000000000000004">
      <c r="W48024"/>
    </row>
    <row r="48025" spans="23:23" x14ac:dyDescent="0.55000000000000004">
      <c r="W48025"/>
    </row>
    <row r="48026" spans="23:23" x14ac:dyDescent="0.55000000000000004">
      <c r="W48026"/>
    </row>
    <row r="48027" spans="23:23" x14ac:dyDescent="0.55000000000000004">
      <c r="W48027"/>
    </row>
    <row r="48028" spans="23:23" x14ac:dyDescent="0.55000000000000004">
      <c r="W48028"/>
    </row>
    <row r="48029" spans="23:23" x14ac:dyDescent="0.55000000000000004">
      <c r="W48029"/>
    </row>
    <row r="48030" spans="23:23" x14ac:dyDescent="0.55000000000000004">
      <c r="W48030"/>
    </row>
    <row r="48031" spans="23:23" x14ac:dyDescent="0.55000000000000004">
      <c r="W48031"/>
    </row>
    <row r="48032" spans="23:23" x14ac:dyDescent="0.55000000000000004">
      <c r="W48032"/>
    </row>
    <row r="48033" spans="23:23" x14ac:dyDescent="0.55000000000000004">
      <c r="W48033"/>
    </row>
    <row r="48034" spans="23:23" x14ac:dyDescent="0.55000000000000004">
      <c r="W48034"/>
    </row>
    <row r="48035" spans="23:23" x14ac:dyDescent="0.55000000000000004">
      <c r="W48035"/>
    </row>
    <row r="48036" spans="23:23" x14ac:dyDescent="0.55000000000000004">
      <c r="W48036"/>
    </row>
    <row r="48037" spans="23:23" x14ac:dyDescent="0.55000000000000004">
      <c r="W48037"/>
    </row>
    <row r="48038" spans="23:23" x14ac:dyDescent="0.55000000000000004">
      <c r="W48038"/>
    </row>
    <row r="48039" spans="23:23" x14ac:dyDescent="0.55000000000000004">
      <c r="W48039"/>
    </row>
    <row r="48040" spans="23:23" x14ac:dyDescent="0.55000000000000004">
      <c r="W48040"/>
    </row>
    <row r="48041" spans="23:23" x14ac:dyDescent="0.55000000000000004">
      <c r="W48041"/>
    </row>
    <row r="48042" spans="23:23" x14ac:dyDescent="0.55000000000000004">
      <c r="W48042"/>
    </row>
    <row r="48043" spans="23:23" x14ac:dyDescent="0.55000000000000004">
      <c r="W48043"/>
    </row>
    <row r="48044" spans="23:23" x14ac:dyDescent="0.55000000000000004">
      <c r="W48044"/>
    </row>
    <row r="48045" spans="23:23" x14ac:dyDescent="0.55000000000000004">
      <c r="W48045"/>
    </row>
    <row r="48046" spans="23:23" x14ac:dyDescent="0.55000000000000004">
      <c r="W48046"/>
    </row>
    <row r="48047" spans="23:23" x14ac:dyDescent="0.55000000000000004">
      <c r="W48047"/>
    </row>
    <row r="48048" spans="23:23" x14ac:dyDescent="0.55000000000000004">
      <c r="W48048"/>
    </row>
    <row r="48049" spans="23:23" x14ac:dyDescent="0.55000000000000004">
      <c r="W48049"/>
    </row>
    <row r="48050" spans="23:23" x14ac:dyDescent="0.55000000000000004">
      <c r="W48050"/>
    </row>
    <row r="48051" spans="23:23" x14ac:dyDescent="0.55000000000000004">
      <c r="W48051"/>
    </row>
    <row r="48052" spans="23:23" x14ac:dyDescent="0.55000000000000004">
      <c r="W48052"/>
    </row>
    <row r="48053" spans="23:23" x14ac:dyDescent="0.55000000000000004">
      <c r="W48053"/>
    </row>
    <row r="48054" spans="23:23" x14ac:dyDescent="0.55000000000000004">
      <c r="W48054"/>
    </row>
    <row r="48055" spans="23:23" x14ac:dyDescent="0.55000000000000004">
      <c r="W48055"/>
    </row>
    <row r="48056" spans="23:23" x14ac:dyDescent="0.55000000000000004">
      <c r="W48056"/>
    </row>
    <row r="48057" spans="23:23" x14ac:dyDescent="0.55000000000000004">
      <c r="W48057"/>
    </row>
    <row r="48058" spans="23:23" x14ac:dyDescent="0.55000000000000004">
      <c r="W48058"/>
    </row>
    <row r="48059" spans="23:23" x14ac:dyDescent="0.55000000000000004">
      <c r="W48059"/>
    </row>
    <row r="48060" spans="23:23" x14ac:dyDescent="0.55000000000000004">
      <c r="W48060"/>
    </row>
    <row r="48061" spans="23:23" x14ac:dyDescent="0.55000000000000004">
      <c r="W48061"/>
    </row>
    <row r="48062" spans="23:23" x14ac:dyDescent="0.55000000000000004">
      <c r="W48062"/>
    </row>
    <row r="48063" spans="23:23" x14ac:dyDescent="0.55000000000000004">
      <c r="W48063"/>
    </row>
    <row r="48064" spans="23:23" x14ac:dyDescent="0.55000000000000004">
      <c r="W48064"/>
    </row>
    <row r="48065" spans="23:23" x14ac:dyDescent="0.55000000000000004">
      <c r="W48065"/>
    </row>
    <row r="48066" spans="23:23" x14ac:dyDescent="0.55000000000000004">
      <c r="W48066"/>
    </row>
    <row r="48067" spans="23:23" x14ac:dyDescent="0.55000000000000004">
      <c r="W48067"/>
    </row>
    <row r="48068" spans="23:23" x14ac:dyDescent="0.55000000000000004">
      <c r="W48068"/>
    </row>
    <row r="48069" spans="23:23" x14ac:dyDescent="0.55000000000000004">
      <c r="W48069"/>
    </row>
    <row r="48070" spans="23:23" x14ac:dyDescent="0.55000000000000004">
      <c r="W48070"/>
    </row>
    <row r="48071" spans="23:23" x14ac:dyDescent="0.55000000000000004">
      <c r="W48071"/>
    </row>
    <row r="48072" spans="23:23" x14ac:dyDescent="0.55000000000000004">
      <c r="W48072"/>
    </row>
    <row r="48073" spans="23:23" x14ac:dyDescent="0.55000000000000004">
      <c r="W48073"/>
    </row>
    <row r="48074" spans="23:23" x14ac:dyDescent="0.55000000000000004">
      <c r="W48074"/>
    </row>
    <row r="48075" spans="23:23" x14ac:dyDescent="0.55000000000000004">
      <c r="W48075"/>
    </row>
    <row r="48076" spans="23:23" x14ac:dyDescent="0.55000000000000004">
      <c r="W48076"/>
    </row>
    <row r="48077" spans="23:23" x14ac:dyDescent="0.55000000000000004">
      <c r="W48077"/>
    </row>
    <row r="48078" spans="23:23" x14ac:dyDescent="0.55000000000000004">
      <c r="W48078"/>
    </row>
    <row r="48079" spans="23:23" x14ac:dyDescent="0.55000000000000004">
      <c r="W48079"/>
    </row>
    <row r="48080" spans="23:23" x14ac:dyDescent="0.55000000000000004">
      <c r="W48080"/>
    </row>
    <row r="48081" spans="23:23" x14ac:dyDescent="0.55000000000000004">
      <c r="W48081"/>
    </row>
    <row r="48082" spans="23:23" x14ac:dyDescent="0.55000000000000004">
      <c r="W48082"/>
    </row>
    <row r="48083" spans="23:23" x14ac:dyDescent="0.55000000000000004">
      <c r="W48083"/>
    </row>
    <row r="48084" spans="23:23" x14ac:dyDescent="0.55000000000000004">
      <c r="W48084"/>
    </row>
    <row r="48085" spans="23:23" x14ac:dyDescent="0.55000000000000004">
      <c r="W48085"/>
    </row>
    <row r="48086" spans="23:23" x14ac:dyDescent="0.55000000000000004">
      <c r="W48086"/>
    </row>
    <row r="48087" spans="23:23" x14ac:dyDescent="0.55000000000000004">
      <c r="W48087"/>
    </row>
    <row r="48088" spans="23:23" x14ac:dyDescent="0.55000000000000004">
      <c r="W48088"/>
    </row>
    <row r="48089" spans="23:23" x14ac:dyDescent="0.55000000000000004">
      <c r="W48089"/>
    </row>
    <row r="48090" spans="23:23" x14ac:dyDescent="0.55000000000000004">
      <c r="W48090"/>
    </row>
    <row r="48091" spans="23:23" x14ac:dyDescent="0.55000000000000004">
      <c r="W48091"/>
    </row>
    <row r="48092" spans="23:23" x14ac:dyDescent="0.55000000000000004">
      <c r="W48092"/>
    </row>
    <row r="48093" spans="23:23" x14ac:dyDescent="0.55000000000000004">
      <c r="W48093"/>
    </row>
    <row r="48094" spans="23:23" x14ac:dyDescent="0.55000000000000004">
      <c r="W48094"/>
    </row>
    <row r="48095" spans="23:23" x14ac:dyDescent="0.55000000000000004">
      <c r="W48095"/>
    </row>
    <row r="48096" spans="23:23" x14ac:dyDescent="0.55000000000000004">
      <c r="W48096"/>
    </row>
    <row r="48097" spans="23:23" x14ac:dyDescent="0.55000000000000004">
      <c r="W48097"/>
    </row>
    <row r="48098" spans="23:23" x14ac:dyDescent="0.55000000000000004">
      <c r="W48098"/>
    </row>
    <row r="48099" spans="23:23" x14ac:dyDescent="0.55000000000000004">
      <c r="W48099"/>
    </row>
    <row r="48100" spans="23:23" x14ac:dyDescent="0.55000000000000004">
      <c r="W48100"/>
    </row>
    <row r="48101" spans="23:23" x14ac:dyDescent="0.55000000000000004">
      <c r="W48101"/>
    </row>
    <row r="48102" spans="23:23" x14ac:dyDescent="0.55000000000000004">
      <c r="W48102"/>
    </row>
    <row r="48103" spans="23:23" x14ac:dyDescent="0.55000000000000004">
      <c r="W48103"/>
    </row>
    <row r="48104" spans="23:23" x14ac:dyDescent="0.55000000000000004">
      <c r="W48104"/>
    </row>
    <row r="48105" spans="23:23" x14ac:dyDescent="0.55000000000000004">
      <c r="W48105"/>
    </row>
    <row r="48106" spans="23:23" x14ac:dyDescent="0.55000000000000004">
      <c r="W48106"/>
    </row>
    <row r="48107" spans="23:23" x14ac:dyDescent="0.55000000000000004">
      <c r="W48107"/>
    </row>
    <row r="48108" spans="23:23" x14ac:dyDescent="0.55000000000000004">
      <c r="W48108"/>
    </row>
    <row r="48109" spans="23:23" x14ac:dyDescent="0.55000000000000004">
      <c r="W48109"/>
    </row>
    <row r="48110" spans="23:23" x14ac:dyDescent="0.55000000000000004">
      <c r="W48110"/>
    </row>
    <row r="48111" spans="23:23" x14ac:dyDescent="0.55000000000000004">
      <c r="W48111"/>
    </row>
    <row r="48112" spans="23:23" x14ac:dyDescent="0.55000000000000004">
      <c r="W48112"/>
    </row>
    <row r="48113" spans="23:23" x14ac:dyDescent="0.55000000000000004">
      <c r="W48113"/>
    </row>
    <row r="48114" spans="23:23" x14ac:dyDescent="0.55000000000000004">
      <c r="W48114"/>
    </row>
    <row r="48115" spans="23:23" x14ac:dyDescent="0.55000000000000004">
      <c r="W48115"/>
    </row>
    <row r="48116" spans="23:23" x14ac:dyDescent="0.55000000000000004">
      <c r="W48116"/>
    </row>
    <row r="48117" spans="23:23" x14ac:dyDescent="0.55000000000000004">
      <c r="W48117"/>
    </row>
    <row r="48118" spans="23:23" x14ac:dyDescent="0.55000000000000004">
      <c r="W48118"/>
    </row>
    <row r="48119" spans="23:23" x14ac:dyDescent="0.55000000000000004">
      <c r="W48119"/>
    </row>
    <row r="48120" spans="23:23" x14ac:dyDescent="0.55000000000000004">
      <c r="W48120"/>
    </row>
    <row r="48121" spans="23:23" x14ac:dyDescent="0.55000000000000004">
      <c r="W48121"/>
    </row>
    <row r="48122" spans="23:23" x14ac:dyDescent="0.55000000000000004">
      <c r="W48122"/>
    </row>
    <row r="48123" spans="23:23" x14ac:dyDescent="0.55000000000000004">
      <c r="W48123"/>
    </row>
    <row r="48124" spans="23:23" x14ac:dyDescent="0.55000000000000004">
      <c r="W48124"/>
    </row>
    <row r="48125" spans="23:23" x14ac:dyDescent="0.55000000000000004">
      <c r="W48125"/>
    </row>
    <row r="48126" spans="23:23" x14ac:dyDescent="0.55000000000000004">
      <c r="W48126"/>
    </row>
    <row r="48127" spans="23:23" x14ac:dyDescent="0.55000000000000004">
      <c r="W48127"/>
    </row>
    <row r="48128" spans="23:23" x14ac:dyDescent="0.55000000000000004">
      <c r="W48128"/>
    </row>
    <row r="48129" spans="23:23" x14ac:dyDescent="0.55000000000000004">
      <c r="W48129"/>
    </row>
    <row r="48130" spans="23:23" x14ac:dyDescent="0.55000000000000004">
      <c r="W48130"/>
    </row>
    <row r="48131" spans="23:23" x14ac:dyDescent="0.55000000000000004">
      <c r="W48131"/>
    </row>
    <row r="48132" spans="23:23" x14ac:dyDescent="0.55000000000000004">
      <c r="W48132"/>
    </row>
    <row r="48133" spans="23:23" x14ac:dyDescent="0.55000000000000004">
      <c r="W48133"/>
    </row>
    <row r="48134" spans="23:23" x14ac:dyDescent="0.55000000000000004">
      <c r="W48134"/>
    </row>
    <row r="48135" spans="23:23" x14ac:dyDescent="0.55000000000000004">
      <c r="W48135"/>
    </row>
    <row r="48136" spans="23:23" x14ac:dyDescent="0.55000000000000004">
      <c r="W48136"/>
    </row>
    <row r="48137" spans="23:23" x14ac:dyDescent="0.55000000000000004">
      <c r="W48137"/>
    </row>
    <row r="48138" spans="23:23" x14ac:dyDescent="0.55000000000000004">
      <c r="W48138"/>
    </row>
    <row r="48139" spans="23:23" x14ac:dyDescent="0.55000000000000004">
      <c r="W48139"/>
    </row>
    <row r="48140" spans="23:23" x14ac:dyDescent="0.55000000000000004">
      <c r="W48140"/>
    </row>
    <row r="48141" spans="23:23" x14ac:dyDescent="0.55000000000000004">
      <c r="W48141"/>
    </row>
    <row r="48142" spans="23:23" x14ac:dyDescent="0.55000000000000004">
      <c r="W48142"/>
    </row>
    <row r="48143" spans="23:23" x14ac:dyDescent="0.55000000000000004">
      <c r="W48143"/>
    </row>
    <row r="48144" spans="23:23" x14ac:dyDescent="0.55000000000000004">
      <c r="W48144"/>
    </row>
    <row r="48145" spans="23:23" x14ac:dyDescent="0.55000000000000004">
      <c r="W48145"/>
    </row>
    <row r="48146" spans="23:23" x14ac:dyDescent="0.55000000000000004">
      <c r="W48146"/>
    </row>
    <row r="48147" spans="23:23" x14ac:dyDescent="0.55000000000000004">
      <c r="W48147"/>
    </row>
    <row r="48148" spans="23:23" x14ac:dyDescent="0.55000000000000004">
      <c r="W48148"/>
    </row>
    <row r="48149" spans="23:23" x14ac:dyDescent="0.55000000000000004">
      <c r="W48149"/>
    </row>
    <row r="48150" spans="23:23" x14ac:dyDescent="0.55000000000000004">
      <c r="W48150"/>
    </row>
    <row r="48151" spans="23:23" x14ac:dyDescent="0.55000000000000004">
      <c r="W48151"/>
    </row>
    <row r="48152" spans="23:23" x14ac:dyDescent="0.55000000000000004">
      <c r="W48152"/>
    </row>
    <row r="48153" spans="23:23" x14ac:dyDescent="0.55000000000000004">
      <c r="W48153"/>
    </row>
    <row r="48154" spans="23:23" x14ac:dyDescent="0.55000000000000004">
      <c r="W48154"/>
    </row>
    <row r="48155" spans="23:23" x14ac:dyDescent="0.55000000000000004">
      <c r="W48155"/>
    </row>
    <row r="48156" spans="23:23" x14ac:dyDescent="0.55000000000000004">
      <c r="W48156"/>
    </row>
    <row r="48157" spans="23:23" x14ac:dyDescent="0.55000000000000004">
      <c r="W48157"/>
    </row>
    <row r="48158" spans="23:23" x14ac:dyDescent="0.55000000000000004">
      <c r="W48158"/>
    </row>
    <row r="48159" spans="23:23" x14ac:dyDescent="0.55000000000000004">
      <c r="W48159"/>
    </row>
    <row r="48160" spans="23:23" x14ac:dyDescent="0.55000000000000004">
      <c r="W48160"/>
    </row>
    <row r="48161" spans="23:23" x14ac:dyDescent="0.55000000000000004">
      <c r="W48161"/>
    </row>
    <row r="48162" spans="23:23" x14ac:dyDescent="0.55000000000000004">
      <c r="W48162"/>
    </row>
    <row r="48163" spans="23:23" x14ac:dyDescent="0.55000000000000004">
      <c r="W48163"/>
    </row>
    <row r="48164" spans="23:23" x14ac:dyDescent="0.55000000000000004">
      <c r="W48164"/>
    </row>
    <row r="48165" spans="23:23" x14ac:dyDescent="0.55000000000000004">
      <c r="W48165"/>
    </row>
    <row r="48166" spans="23:23" x14ac:dyDescent="0.55000000000000004">
      <c r="W48166"/>
    </row>
    <row r="48167" spans="23:23" x14ac:dyDescent="0.55000000000000004">
      <c r="W48167"/>
    </row>
    <row r="48168" spans="23:23" x14ac:dyDescent="0.55000000000000004">
      <c r="W48168"/>
    </row>
    <row r="48169" spans="23:23" x14ac:dyDescent="0.55000000000000004">
      <c r="W48169"/>
    </row>
    <row r="48170" spans="23:23" x14ac:dyDescent="0.55000000000000004">
      <c r="W48170"/>
    </row>
    <row r="48171" spans="23:23" x14ac:dyDescent="0.55000000000000004">
      <c r="W48171"/>
    </row>
    <row r="48172" spans="23:23" x14ac:dyDescent="0.55000000000000004">
      <c r="W48172"/>
    </row>
    <row r="48173" spans="23:23" x14ac:dyDescent="0.55000000000000004">
      <c r="W48173"/>
    </row>
    <row r="48174" spans="23:23" x14ac:dyDescent="0.55000000000000004">
      <c r="W48174"/>
    </row>
    <row r="48175" spans="23:23" x14ac:dyDescent="0.55000000000000004">
      <c r="W48175"/>
    </row>
    <row r="48176" spans="23:23" x14ac:dyDescent="0.55000000000000004">
      <c r="W48176"/>
    </row>
    <row r="48177" spans="23:23" x14ac:dyDescent="0.55000000000000004">
      <c r="W48177"/>
    </row>
    <row r="48178" spans="23:23" x14ac:dyDescent="0.55000000000000004">
      <c r="W48178"/>
    </row>
    <row r="48179" spans="23:23" x14ac:dyDescent="0.55000000000000004">
      <c r="W48179"/>
    </row>
    <row r="48180" spans="23:23" x14ac:dyDescent="0.55000000000000004">
      <c r="W48180"/>
    </row>
    <row r="48181" spans="23:23" x14ac:dyDescent="0.55000000000000004">
      <c r="W48181"/>
    </row>
    <row r="48182" spans="23:23" x14ac:dyDescent="0.55000000000000004">
      <c r="W48182"/>
    </row>
    <row r="48183" spans="23:23" x14ac:dyDescent="0.55000000000000004">
      <c r="W48183"/>
    </row>
    <row r="48184" spans="23:23" x14ac:dyDescent="0.55000000000000004">
      <c r="W48184"/>
    </row>
    <row r="48185" spans="23:23" x14ac:dyDescent="0.55000000000000004">
      <c r="W48185"/>
    </row>
    <row r="48186" spans="23:23" x14ac:dyDescent="0.55000000000000004">
      <c r="W48186"/>
    </row>
    <row r="48187" spans="23:23" x14ac:dyDescent="0.55000000000000004">
      <c r="W48187"/>
    </row>
    <row r="48188" spans="23:23" x14ac:dyDescent="0.55000000000000004">
      <c r="W48188"/>
    </row>
    <row r="48189" spans="23:23" x14ac:dyDescent="0.55000000000000004">
      <c r="W48189"/>
    </row>
    <row r="48190" spans="23:23" x14ac:dyDescent="0.55000000000000004">
      <c r="W48190"/>
    </row>
    <row r="48191" spans="23:23" x14ac:dyDescent="0.55000000000000004">
      <c r="W48191"/>
    </row>
    <row r="48192" spans="23:23" x14ac:dyDescent="0.55000000000000004">
      <c r="W48192"/>
    </row>
    <row r="48193" spans="23:23" x14ac:dyDescent="0.55000000000000004">
      <c r="W48193"/>
    </row>
    <row r="48194" spans="23:23" x14ac:dyDescent="0.55000000000000004">
      <c r="W48194"/>
    </row>
    <row r="48195" spans="23:23" x14ac:dyDescent="0.55000000000000004">
      <c r="W48195"/>
    </row>
    <row r="48196" spans="23:23" x14ac:dyDescent="0.55000000000000004">
      <c r="W48196"/>
    </row>
    <row r="48197" spans="23:23" x14ac:dyDescent="0.55000000000000004">
      <c r="W48197"/>
    </row>
    <row r="48198" spans="23:23" x14ac:dyDescent="0.55000000000000004">
      <c r="W48198"/>
    </row>
    <row r="48199" spans="23:23" x14ac:dyDescent="0.55000000000000004">
      <c r="W48199"/>
    </row>
    <row r="48200" spans="23:23" x14ac:dyDescent="0.55000000000000004">
      <c r="W48200"/>
    </row>
    <row r="48201" spans="23:23" x14ac:dyDescent="0.55000000000000004">
      <c r="W48201"/>
    </row>
    <row r="48202" spans="23:23" x14ac:dyDescent="0.55000000000000004">
      <c r="W48202"/>
    </row>
    <row r="48203" spans="23:23" x14ac:dyDescent="0.55000000000000004">
      <c r="W48203"/>
    </row>
    <row r="48204" spans="23:23" x14ac:dyDescent="0.55000000000000004">
      <c r="W48204"/>
    </row>
    <row r="48205" spans="23:23" x14ac:dyDescent="0.55000000000000004">
      <c r="W48205"/>
    </row>
    <row r="48206" spans="23:23" x14ac:dyDescent="0.55000000000000004">
      <c r="W48206"/>
    </row>
    <row r="48207" spans="23:23" x14ac:dyDescent="0.55000000000000004">
      <c r="W48207"/>
    </row>
    <row r="48208" spans="23:23" x14ac:dyDescent="0.55000000000000004">
      <c r="W48208"/>
    </row>
    <row r="48209" spans="23:23" x14ac:dyDescent="0.55000000000000004">
      <c r="W48209"/>
    </row>
    <row r="48210" spans="23:23" x14ac:dyDescent="0.55000000000000004">
      <c r="W48210"/>
    </row>
    <row r="48211" spans="23:23" x14ac:dyDescent="0.55000000000000004">
      <c r="W48211"/>
    </row>
    <row r="48212" spans="23:23" x14ac:dyDescent="0.55000000000000004">
      <c r="W48212"/>
    </row>
    <row r="48213" spans="23:23" x14ac:dyDescent="0.55000000000000004">
      <c r="W48213"/>
    </row>
    <row r="48214" spans="23:23" x14ac:dyDescent="0.55000000000000004">
      <c r="W48214"/>
    </row>
    <row r="48215" spans="23:23" x14ac:dyDescent="0.55000000000000004">
      <c r="W48215"/>
    </row>
    <row r="48216" spans="23:23" x14ac:dyDescent="0.55000000000000004">
      <c r="W48216"/>
    </row>
    <row r="48217" spans="23:23" x14ac:dyDescent="0.55000000000000004">
      <c r="W48217"/>
    </row>
    <row r="48218" spans="23:23" x14ac:dyDescent="0.55000000000000004">
      <c r="W48218"/>
    </row>
    <row r="48219" spans="23:23" x14ac:dyDescent="0.55000000000000004">
      <c r="W48219"/>
    </row>
    <row r="48220" spans="23:23" x14ac:dyDescent="0.55000000000000004">
      <c r="W48220"/>
    </row>
    <row r="48221" spans="23:23" x14ac:dyDescent="0.55000000000000004">
      <c r="W48221"/>
    </row>
    <row r="48222" spans="23:23" x14ac:dyDescent="0.55000000000000004">
      <c r="W48222"/>
    </row>
    <row r="48223" spans="23:23" x14ac:dyDescent="0.55000000000000004">
      <c r="W48223"/>
    </row>
    <row r="48224" spans="23:23" x14ac:dyDescent="0.55000000000000004">
      <c r="W48224"/>
    </row>
    <row r="48225" spans="23:23" x14ac:dyDescent="0.55000000000000004">
      <c r="W48225"/>
    </row>
    <row r="48226" spans="23:23" x14ac:dyDescent="0.55000000000000004">
      <c r="W48226"/>
    </row>
    <row r="48227" spans="23:23" x14ac:dyDescent="0.55000000000000004">
      <c r="W48227"/>
    </row>
    <row r="48228" spans="23:23" x14ac:dyDescent="0.55000000000000004">
      <c r="W48228"/>
    </row>
    <row r="48229" spans="23:23" x14ac:dyDescent="0.55000000000000004">
      <c r="W48229"/>
    </row>
    <row r="48230" spans="23:23" x14ac:dyDescent="0.55000000000000004">
      <c r="W48230"/>
    </row>
    <row r="48231" spans="23:23" x14ac:dyDescent="0.55000000000000004">
      <c r="W48231"/>
    </row>
    <row r="48232" spans="23:23" x14ac:dyDescent="0.55000000000000004">
      <c r="W48232"/>
    </row>
    <row r="48233" spans="23:23" x14ac:dyDescent="0.55000000000000004">
      <c r="W48233"/>
    </row>
    <row r="48234" spans="23:23" x14ac:dyDescent="0.55000000000000004">
      <c r="W48234"/>
    </row>
    <row r="48235" spans="23:23" x14ac:dyDescent="0.55000000000000004">
      <c r="W48235"/>
    </row>
    <row r="48236" spans="23:23" x14ac:dyDescent="0.55000000000000004">
      <c r="W48236"/>
    </row>
    <row r="48237" spans="23:23" x14ac:dyDescent="0.55000000000000004">
      <c r="W48237"/>
    </row>
    <row r="48238" spans="23:23" x14ac:dyDescent="0.55000000000000004">
      <c r="W48238"/>
    </row>
    <row r="48239" spans="23:23" x14ac:dyDescent="0.55000000000000004">
      <c r="W48239"/>
    </row>
    <row r="48240" spans="23:23" x14ac:dyDescent="0.55000000000000004">
      <c r="W48240"/>
    </row>
    <row r="48241" spans="23:23" x14ac:dyDescent="0.55000000000000004">
      <c r="W48241"/>
    </row>
    <row r="48242" spans="23:23" x14ac:dyDescent="0.55000000000000004">
      <c r="W48242"/>
    </row>
    <row r="48243" spans="23:23" x14ac:dyDescent="0.55000000000000004">
      <c r="W48243"/>
    </row>
    <row r="48244" spans="23:23" x14ac:dyDescent="0.55000000000000004">
      <c r="W48244"/>
    </row>
    <row r="48245" spans="23:23" x14ac:dyDescent="0.55000000000000004">
      <c r="W48245"/>
    </row>
    <row r="48246" spans="23:23" x14ac:dyDescent="0.55000000000000004">
      <c r="W48246"/>
    </row>
    <row r="48247" spans="23:23" x14ac:dyDescent="0.55000000000000004">
      <c r="W48247"/>
    </row>
    <row r="48248" spans="23:23" x14ac:dyDescent="0.55000000000000004">
      <c r="W48248"/>
    </row>
    <row r="48249" spans="23:23" x14ac:dyDescent="0.55000000000000004">
      <c r="W48249"/>
    </row>
    <row r="48250" spans="23:23" x14ac:dyDescent="0.55000000000000004">
      <c r="W48250"/>
    </row>
    <row r="48251" spans="23:23" x14ac:dyDescent="0.55000000000000004">
      <c r="W48251"/>
    </row>
    <row r="48252" spans="23:23" x14ac:dyDescent="0.55000000000000004">
      <c r="W48252"/>
    </row>
    <row r="48253" spans="23:23" x14ac:dyDescent="0.55000000000000004">
      <c r="W48253"/>
    </row>
    <row r="48254" spans="23:23" x14ac:dyDescent="0.55000000000000004">
      <c r="W48254"/>
    </row>
    <row r="48255" spans="23:23" x14ac:dyDescent="0.55000000000000004">
      <c r="W48255"/>
    </row>
    <row r="48256" spans="23:23" x14ac:dyDescent="0.55000000000000004">
      <c r="W48256"/>
    </row>
    <row r="48257" spans="23:23" x14ac:dyDescent="0.55000000000000004">
      <c r="W48257"/>
    </row>
    <row r="48258" spans="23:23" x14ac:dyDescent="0.55000000000000004">
      <c r="W48258"/>
    </row>
    <row r="48259" spans="23:23" x14ac:dyDescent="0.55000000000000004">
      <c r="W48259"/>
    </row>
    <row r="48260" spans="23:23" x14ac:dyDescent="0.55000000000000004">
      <c r="W48260"/>
    </row>
    <row r="48261" spans="23:23" x14ac:dyDescent="0.55000000000000004">
      <c r="W48261"/>
    </row>
    <row r="48262" spans="23:23" x14ac:dyDescent="0.55000000000000004">
      <c r="W48262"/>
    </row>
    <row r="48263" spans="23:23" x14ac:dyDescent="0.55000000000000004">
      <c r="W48263"/>
    </row>
    <row r="48264" spans="23:23" x14ac:dyDescent="0.55000000000000004">
      <c r="W48264"/>
    </row>
    <row r="48265" spans="23:23" x14ac:dyDescent="0.55000000000000004">
      <c r="W48265"/>
    </row>
    <row r="48266" spans="23:23" x14ac:dyDescent="0.55000000000000004">
      <c r="W48266"/>
    </row>
    <row r="48267" spans="23:23" x14ac:dyDescent="0.55000000000000004">
      <c r="W48267"/>
    </row>
    <row r="48268" spans="23:23" x14ac:dyDescent="0.55000000000000004">
      <c r="W48268"/>
    </row>
    <row r="48269" spans="23:23" x14ac:dyDescent="0.55000000000000004">
      <c r="W48269"/>
    </row>
    <row r="48270" spans="23:23" x14ac:dyDescent="0.55000000000000004">
      <c r="W48270"/>
    </row>
    <row r="48271" spans="23:23" x14ac:dyDescent="0.55000000000000004">
      <c r="W48271"/>
    </row>
    <row r="48272" spans="23:23" x14ac:dyDescent="0.55000000000000004">
      <c r="W48272"/>
    </row>
    <row r="48273" spans="23:23" x14ac:dyDescent="0.55000000000000004">
      <c r="W48273"/>
    </row>
    <row r="48274" spans="23:23" x14ac:dyDescent="0.55000000000000004">
      <c r="W48274"/>
    </row>
    <row r="48275" spans="23:23" x14ac:dyDescent="0.55000000000000004">
      <c r="W48275"/>
    </row>
    <row r="48276" spans="23:23" x14ac:dyDescent="0.55000000000000004">
      <c r="W48276"/>
    </row>
    <row r="48277" spans="23:23" x14ac:dyDescent="0.55000000000000004">
      <c r="W48277"/>
    </row>
    <row r="48278" spans="23:23" x14ac:dyDescent="0.55000000000000004">
      <c r="W48278"/>
    </row>
    <row r="48279" spans="23:23" x14ac:dyDescent="0.55000000000000004">
      <c r="W48279"/>
    </row>
    <row r="48280" spans="23:23" x14ac:dyDescent="0.55000000000000004">
      <c r="W48280"/>
    </row>
    <row r="48281" spans="23:23" x14ac:dyDescent="0.55000000000000004">
      <c r="W48281"/>
    </row>
    <row r="48282" spans="23:23" x14ac:dyDescent="0.55000000000000004">
      <c r="W48282"/>
    </row>
    <row r="48283" spans="23:23" x14ac:dyDescent="0.55000000000000004">
      <c r="W48283"/>
    </row>
    <row r="48284" spans="23:23" x14ac:dyDescent="0.55000000000000004">
      <c r="W48284"/>
    </row>
    <row r="48285" spans="23:23" x14ac:dyDescent="0.55000000000000004">
      <c r="W48285"/>
    </row>
    <row r="48286" spans="23:23" x14ac:dyDescent="0.55000000000000004">
      <c r="W48286"/>
    </row>
    <row r="48287" spans="23:23" x14ac:dyDescent="0.55000000000000004">
      <c r="W48287"/>
    </row>
    <row r="48288" spans="23:23" x14ac:dyDescent="0.55000000000000004">
      <c r="W48288"/>
    </row>
    <row r="48289" spans="23:23" x14ac:dyDescent="0.55000000000000004">
      <c r="W48289"/>
    </row>
    <row r="48290" spans="23:23" x14ac:dyDescent="0.55000000000000004">
      <c r="W48290"/>
    </row>
    <row r="48291" spans="23:23" x14ac:dyDescent="0.55000000000000004">
      <c r="W48291"/>
    </row>
    <row r="48292" spans="23:23" x14ac:dyDescent="0.55000000000000004">
      <c r="W48292"/>
    </row>
    <row r="48293" spans="23:23" x14ac:dyDescent="0.55000000000000004">
      <c r="W48293"/>
    </row>
    <row r="48294" spans="23:23" x14ac:dyDescent="0.55000000000000004">
      <c r="W48294"/>
    </row>
    <row r="48295" spans="23:23" x14ac:dyDescent="0.55000000000000004">
      <c r="W48295"/>
    </row>
    <row r="48296" spans="23:23" x14ac:dyDescent="0.55000000000000004">
      <c r="W48296"/>
    </row>
    <row r="48297" spans="23:23" x14ac:dyDescent="0.55000000000000004">
      <c r="W48297"/>
    </row>
    <row r="48298" spans="23:23" x14ac:dyDescent="0.55000000000000004">
      <c r="W48298"/>
    </row>
    <row r="48299" spans="23:23" x14ac:dyDescent="0.55000000000000004">
      <c r="W48299"/>
    </row>
    <row r="48300" spans="23:23" x14ac:dyDescent="0.55000000000000004">
      <c r="W48300"/>
    </row>
    <row r="48301" spans="23:23" x14ac:dyDescent="0.55000000000000004">
      <c r="W48301"/>
    </row>
    <row r="48302" spans="23:23" x14ac:dyDescent="0.55000000000000004">
      <c r="W48302"/>
    </row>
    <row r="48303" spans="23:23" x14ac:dyDescent="0.55000000000000004">
      <c r="W48303"/>
    </row>
    <row r="48304" spans="23:23" x14ac:dyDescent="0.55000000000000004">
      <c r="W48304"/>
    </row>
    <row r="48305" spans="23:23" x14ac:dyDescent="0.55000000000000004">
      <c r="W48305"/>
    </row>
    <row r="48306" spans="23:23" x14ac:dyDescent="0.55000000000000004">
      <c r="W48306"/>
    </row>
    <row r="48307" spans="23:23" x14ac:dyDescent="0.55000000000000004">
      <c r="W48307"/>
    </row>
    <row r="48308" spans="23:23" x14ac:dyDescent="0.55000000000000004">
      <c r="W48308"/>
    </row>
    <row r="48309" spans="23:23" x14ac:dyDescent="0.55000000000000004">
      <c r="W48309"/>
    </row>
    <row r="48310" spans="23:23" x14ac:dyDescent="0.55000000000000004">
      <c r="W48310"/>
    </row>
    <row r="48311" spans="23:23" x14ac:dyDescent="0.55000000000000004">
      <c r="W48311"/>
    </row>
    <row r="48312" spans="23:23" x14ac:dyDescent="0.55000000000000004">
      <c r="W48312"/>
    </row>
    <row r="48313" spans="23:23" x14ac:dyDescent="0.55000000000000004">
      <c r="W48313"/>
    </row>
    <row r="48314" spans="23:23" x14ac:dyDescent="0.55000000000000004">
      <c r="W48314"/>
    </row>
    <row r="48315" spans="23:23" x14ac:dyDescent="0.55000000000000004">
      <c r="W48315"/>
    </row>
    <row r="48316" spans="23:23" x14ac:dyDescent="0.55000000000000004">
      <c r="W48316"/>
    </row>
    <row r="48317" spans="23:23" x14ac:dyDescent="0.55000000000000004">
      <c r="W48317"/>
    </row>
    <row r="48318" spans="23:23" x14ac:dyDescent="0.55000000000000004">
      <c r="W48318"/>
    </row>
    <row r="48319" spans="23:23" x14ac:dyDescent="0.55000000000000004">
      <c r="W48319"/>
    </row>
    <row r="48320" spans="23:23" x14ac:dyDescent="0.55000000000000004">
      <c r="W48320"/>
    </row>
    <row r="48321" spans="23:23" x14ac:dyDescent="0.55000000000000004">
      <c r="W48321"/>
    </row>
    <row r="48322" spans="23:23" x14ac:dyDescent="0.55000000000000004">
      <c r="W48322"/>
    </row>
    <row r="48323" spans="23:23" x14ac:dyDescent="0.55000000000000004">
      <c r="W48323"/>
    </row>
    <row r="48324" spans="23:23" x14ac:dyDescent="0.55000000000000004">
      <c r="W48324"/>
    </row>
    <row r="48325" spans="23:23" x14ac:dyDescent="0.55000000000000004">
      <c r="W48325"/>
    </row>
    <row r="48326" spans="23:23" x14ac:dyDescent="0.55000000000000004">
      <c r="W48326"/>
    </row>
    <row r="48327" spans="23:23" x14ac:dyDescent="0.55000000000000004">
      <c r="W48327"/>
    </row>
    <row r="48328" spans="23:23" x14ac:dyDescent="0.55000000000000004">
      <c r="W48328"/>
    </row>
    <row r="48329" spans="23:23" x14ac:dyDescent="0.55000000000000004">
      <c r="W48329"/>
    </row>
    <row r="48330" spans="23:23" x14ac:dyDescent="0.55000000000000004">
      <c r="W48330"/>
    </row>
    <row r="48331" spans="23:23" x14ac:dyDescent="0.55000000000000004">
      <c r="W48331"/>
    </row>
    <row r="48332" spans="23:23" x14ac:dyDescent="0.55000000000000004">
      <c r="W48332"/>
    </row>
    <row r="48333" spans="23:23" x14ac:dyDescent="0.55000000000000004">
      <c r="W48333"/>
    </row>
    <row r="48334" spans="23:23" x14ac:dyDescent="0.55000000000000004">
      <c r="W48334"/>
    </row>
    <row r="48335" spans="23:23" x14ac:dyDescent="0.55000000000000004">
      <c r="W48335"/>
    </row>
    <row r="48336" spans="23:23" x14ac:dyDescent="0.55000000000000004">
      <c r="W48336"/>
    </row>
    <row r="48337" spans="23:23" x14ac:dyDescent="0.55000000000000004">
      <c r="W48337"/>
    </row>
    <row r="48338" spans="23:23" x14ac:dyDescent="0.55000000000000004">
      <c r="W48338"/>
    </row>
    <row r="48339" spans="23:23" x14ac:dyDescent="0.55000000000000004">
      <c r="W48339"/>
    </row>
    <row r="48340" spans="23:23" x14ac:dyDescent="0.55000000000000004">
      <c r="W48340"/>
    </row>
    <row r="48341" spans="23:23" x14ac:dyDescent="0.55000000000000004">
      <c r="W48341"/>
    </row>
    <row r="48342" spans="23:23" x14ac:dyDescent="0.55000000000000004">
      <c r="W48342"/>
    </row>
    <row r="48343" spans="23:23" x14ac:dyDescent="0.55000000000000004">
      <c r="W48343"/>
    </row>
    <row r="48344" spans="23:23" x14ac:dyDescent="0.55000000000000004">
      <c r="W48344"/>
    </row>
    <row r="48345" spans="23:23" x14ac:dyDescent="0.55000000000000004">
      <c r="W48345"/>
    </row>
    <row r="48346" spans="23:23" x14ac:dyDescent="0.55000000000000004">
      <c r="W48346"/>
    </row>
    <row r="48347" spans="23:23" x14ac:dyDescent="0.55000000000000004">
      <c r="W48347"/>
    </row>
    <row r="48348" spans="23:23" x14ac:dyDescent="0.55000000000000004">
      <c r="W48348"/>
    </row>
    <row r="48349" spans="23:23" x14ac:dyDescent="0.55000000000000004">
      <c r="W48349"/>
    </row>
    <row r="48350" spans="23:23" x14ac:dyDescent="0.55000000000000004">
      <c r="W48350"/>
    </row>
    <row r="48351" spans="23:23" x14ac:dyDescent="0.55000000000000004">
      <c r="W48351"/>
    </row>
    <row r="48352" spans="23:23" x14ac:dyDescent="0.55000000000000004">
      <c r="W48352"/>
    </row>
    <row r="48353" spans="23:23" x14ac:dyDescent="0.55000000000000004">
      <c r="W48353"/>
    </row>
    <row r="48354" spans="23:23" x14ac:dyDescent="0.55000000000000004">
      <c r="W48354"/>
    </row>
    <row r="48355" spans="23:23" x14ac:dyDescent="0.55000000000000004">
      <c r="W48355"/>
    </row>
    <row r="48356" spans="23:23" x14ac:dyDescent="0.55000000000000004">
      <c r="W48356"/>
    </row>
    <row r="48357" spans="23:23" x14ac:dyDescent="0.55000000000000004">
      <c r="W48357"/>
    </row>
    <row r="48358" spans="23:23" x14ac:dyDescent="0.55000000000000004">
      <c r="W48358"/>
    </row>
    <row r="48359" spans="23:23" x14ac:dyDescent="0.55000000000000004">
      <c r="W48359"/>
    </row>
    <row r="48360" spans="23:23" x14ac:dyDescent="0.55000000000000004">
      <c r="W48360"/>
    </row>
    <row r="48361" spans="23:23" x14ac:dyDescent="0.55000000000000004">
      <c r="W48361"/>
    </row>
    <row r="48362" spans="23:23" x14ac:dyDescent="0.55000000000000004">
      <c r="W48362"/>
    </row>
    <row r="48363" spans="23:23" x14ac:dyDescent="0.55000000000000004">
      <c r="W48363"/>
    </row>
    <row r="48364" spans="23:23" x14ac:dyDescent="0.55000000000000004">
      <c r="W48364"/>
    </row>
    <row r="48365" spans="23:23" x14ac:dyDescent="0.55000000000000004">
      <c r="W48365"/>
    </row>
    <row r="48366" spans="23:23" x14ac:dyDescent="0.55000000000000004">
      <c r="W48366"/>
    </row>
    <row r="48367" spans="23:23" x14ac:dyDescent="0.55000000000000004">
      <c r="W48367"/>
    </row>
    <row r="48368" spans="23:23" x14ac:dyDescent="0.55000000000000004">
      <c r="W48368"/>
    </row>
    <row r="48369" spans="23:23" x14ac:dyDescent="0.55000000000000004">
      <c r="W48369"/>
    </row>
    <row r="48370" spans="23:23" x14ac:dyDescent="0.55000000000000004">
      <c r="W48370"/>
    </row>
    <row r="48371" spans="23:23" x14ac:dyDescent="0.55000000000000004">
      <c r="W48371"/>
    </row>
    <row r="48372" spans="23:23" x14ac:dyDescent="0.55000000000000004">
      <c r="W48372"/>
    </row>
    <row r="48373" spans="23:23" x14ac:dyDescent="0.55000000000000004">
      <c r="W48373"/>
    </row>
    <row r="48374" spans="23:23" x14ac:dyDescent="0.55000000000000004">
      <c r="W48374"/>
    </row>
    <row r="48375" spans="23:23" x14ac:dyDescent="0.55000000000000004">
      <c r="W48375"/>
    </row>
    <row r="48376" spans="23:23" x14ac:dyDescent="0.55000000000000004">
      <c r="W48376"/>
    </row>
    <row r="48377" spans="23:23" x14ac:dyDescent="0.55000000000000004">
      <c r="W48377"/>
    </row>
    <row r="48378" spans="23:23" x14ac:dyDescent="0.55000000000000004">
      <c r="W48378"/>
    </row>
    <row r="48379" spans="23:23" x14ac:dyDescent="0.55000000000000004">
      <c r="W48379"/>
    </row>
    <row r="48380" spans="23:23" x14ac:dyDescent="0.55000000000000004">
      <c r="W48380"/>
    </row>
    <row r="48381" spans="23:23" x14ac:dyDescent="0.55000000000000004">
      <c r="W48381"/>
    </row>
    <row r="48382" spans="23:23" x14ac:dyDescent="0.55000000000000004">
      <c r="W48382"/>
    </row>
    <row r="48383" spans="23:23" x14ac:dyDescent="0.55000000000000004">
      <c r="W48383"/>
    </row>
    <row r="48384" spans="23:23" x14ac:dyDescent="0.55000000000000004">
      <c r="W48384"/>
    </row>
    <row r="48385" spans="23:23" x14ac:dyDescent="0.55000000000000004">
      <c r="W48385"/>
    </row>
    <row r="48386" spans="23:23" x14ac:dyDescent="0.55000000000000004">
      <c r="W48386"/>
    </row>
    <row r="48387" spans="23:23" x14ac:dyDescent="0.55000000000000004">
      <c r="W48387"/>
    </row>
    <row r="48388" spans="23:23" x14ac:dyDescent="0.55000000000000004">
      <c r="W48388"/>
    </row>
    <row r="48389" spans="23:23" x14ac:dyDescent="0.55000000000000004">
      <c r="W48389"/>
    </row>
    <row r="48390" spans="23:23" x14ac:dyDescent="0.55000000000000004">
      <c r="W48390"/>
    </row>
    <row r="48391" spans="23:23" x14ac:dyDescent="0.55000000000000004">
      <c r="W48391"/>
    </row>
    <row r="48392" spans="23:23" x14ac:dyDescent="0.55000000000000004">
      <c r="W48392"/>
    </row>
    <row r="48393" spans="23:23" x14ac:dyDescent="0.55000000000000004">
      <c r="W48393"/>
    </row>
    <row r="48394" spans="23:23" x14ac:dyDescent="0.55000000000000004">
      <c r="W48394"/>
    </row>
    <row r="48395" spans="23:23" x14ac:dyDescent="0.55000000000000004">
      <c r="W48395"/>
    </row>
    <row r="48396" spans="23:23" x14ac:dyDescent="0.55000000000000004">
      <c r="W48396"/>
    </row>
    <row r="48397" spans="23:23" x14ac:dyDescent="0.55000000000000004">
      <c r="W48397"/>
    </row>
    <row r="48398" spans="23:23" x14ac:dyDescent="0.55000000000000004">
      <c r="W48398"/>
    </row>
    <row r="48399" spans="23:23" x14ac:dyDescent="0.55000000000000004">
      <c r="W48399"/>
    </row>
    <row r="48400" spans="23:23" x14ac:dyDescent="0.55000000000000004">
      <c r="W48400"/>
    </row>
    <row r="48401" spans="23:23" x14ac:dyDescent="0.55000000000000004">
      <c r="W48401"/>
    </row>
    <row r="48402" spans="23:23" x14ac:dyDescent="0.55000000000000004">
      <c r="W48402"/>
    </row>
    <row r="48403" spans="23:23" x14ac:dyDescent="0.55000000000000004">
      <c r="W48403"/>
    </row>
    <row r="48404" spans="23:23" x14ac:dyDescent="0.55000000000000004">
      <c r="W48404"/>
    </row>
    <row r="48405" spans="23:23" x14ac:dyDescent="0.55000000000000004">
      <c r="W48405"/>
    </row>
    <row r="48406" spans="23:23" x14ac:dyDescent="0.55000000000000004">
      <c r="W48406"/>
    </row>
    <row r="48407" spans="23:23" x14ac:dyDescent="0.55000000000000004">
      <c r="W48407"/>
    </row>
    <row r="48408" spans="23:23" x14ac:dyDescent="0.55000000000000004">
      <c r="W48408"/>
    </row>
    <row r="48409" spans="23:23" x14ac:dyDescent="0.55000000000000004">
      <c r="W48409"/>
    </row>
    <row r="48410" spans="23:23" x14ac:dyDescent="0.55000000000000004">
      <c r="W48410"/>
    </row>
    <row r="48411" spans="23:23" x14ac:dyDescent="0.55000000000000004">
      <c r="W48411"/>
    </row>
    <row r="48412" spans="23:23" x14ac:dyDescent="0.55000000000000004">
      <c r="W48412"/>
    </row>
    <row r="48413" spans="23:23" x14ac:dyDescent="0.55000000000000004">
      <c r="W48413"/>
    </row>
    <row r="48414" spans="23:23" x14ac:dyDescent="0.55000000000000004">
      <c r="W48414"/>
    </row>
    <row r="48415" spans="23:23" x14ac:dyDescent="0.55000000000000004">
      <c r="W48415"/>
    </row>
    <row r="48416" spans="23:23" x14ac:dyDescent="0.55000000000000004">
      <c r="W48416"/>
    </row>
    <row r="48417" spans="23:23" x14ac:dyDescent="0.55000000000000004">
      <c r="W48417"/>
    </row>
    <row r="48418" spans="23:23" x14ac:dyDescent="0.55000000000000004">
      <c r="W48418"/>
    </row>
    <row r="48419" spans="23:23" x14ac:dyDescent="0.55000000000000004">
      <c r="W48419"/>
    </row>
    <row r="48420" spans="23:23" x14ac:dyDescent="0.55000000000000004">
      <c r="W48420"/>
    </row>
    <row r="48421" spans="23:23" x14ac:dyDescent="0.55000000000000004">
      <c r="W48421"/>
    </row>
    <row r="48422" spans="23:23" x14ac:dyDescent="0.55000000000000004">
      <c r="W48422"/>
    </row>
    <row r="48423" spans="23:23" x14ac:dyDescent="0.55000000000000004">
      <c r="W48423"/>
    </row>
    <row r="48424" spans="23:23" x14ac:dyDescent="0.55000000000000004">
      <c r="W48424"/>
    </row>
    <row r="48425" spans="23:23" x14ac:dyDescent="0.55000000000000004">
      <c r="W48425"/>
    </row>
    <row r="48426" spans="23:23" x14ac:dyDescent="0.55000000000000004">
      <c r="W48426"/>
    </row>
    <row r="48427" spans="23:23" x14ac:dyDescent="0.55000000000000004">
      <c r="W48427"/>
    </row>
    <row r="48428" spans="23:23" x14ac:dyDescent="0.55000000000000004">
      <c r="W48428"/>
    </row>
    <row r="48429" spans="23:23" x14ac:dyDescent="0.55000000000000004">
      <c r="W48429"/>
    </row>
    <row r="48430" spans="23:23" x14ac:dyDescent="0.55000000000000004">
      <c r="W48430"/>
    </row>
    <row r="48431" spans="23:23" x14ac:dyDescent="0.55000000000000004">
      <c r="W48431"/>
    </row>
    <row r="48432" spans="23:23" x14ac:dyDescent="0.55000000000000004">
      <c r="W48432"/>
    </row>
    <row r="48433" spans="23:23" x14ac:dyDescent="0.55000000000000004">
      <c r="W48433"/>
    </row>
    <row r="48434" spans="23:23" x14ac:dyDescent="0.55000000000000004">
      <c r="W48434"/>
    </row>
    <row r="48435" spans="23:23" x14ac:dyDescent="0.55000000000000004">
      <c r="W48435"/>
    </row>
    <row r="48436" spans="23:23" x14ac:dyDescent="0.55000000000000004">
      <c r="W48436"/>
    </row>
    <row r="48437" spans="23:23" x14ac:dyDescent="0.55000000000000004">
      <c r="W48437"/>
    </row>
    <row r="48438" spans="23:23" x14ac:dyDescent="0.55000000000000004">
      <c r="W48438"/>
    </row>
    <row r="48439" spans="23:23" x14ac:dyDescent="0.55000000000000004">
      <c r="W48439"/>
    </row>
    <row r="48440" spans="23:23" x14ac:dyDescent="0.55000000000000004">
      <c r="W48440"/>
    </row>
    <row r="48441" spans="23:23" x14ac:dyDescent="0.55000000000000004">
      <c r="W48441"/>
    </row>
    <row r="48442" spans="23:23" x14ac:dyDescent="0.55000000000000004">
      <c r="W48442"/>
    </row>
    <row r="48443" spans="23:23" x14ac:dyDescent="0.55000000000000004">
      <c r="W48443"/>
    </row>
    <row r="48444" spans="23:23" x14ac:dyDescent="0.55000000000000004">
      <c r="W48444"/>
    </row>
    <row r="48445" spans="23:23" x14ac:dyDescent="0.55000000000000004">
      <c r="W48445"/>
    </row>
    <row r="48446" spans="23:23" x14ac:dyDescent="0.55000000000000004">
      <c r="W48446"/>
    </row>
    <row r="48447" spans="23:23" x14ac:dyDescent="0.55000000000000004">
      <c r="W48447"/>
    </row>
    <row r="48448" spans="23:23" x14ac:dyDescent="0.55000000000000004">
      <c r="W48448"/>
    </row>
    <row r="48449" spans="23:23" x14ac:dyDescent="0.55000000000000004">
      <c r="W48449"/>
    </row>
    <row r="48450" spans="23:23" x14ac:dyDescent="0.55000000000000004">
      <c r="W48450"/>
    </row>
    <row r="48451" spans="23:23" x14ac:dyDescent="0.55000000000000004">
      <c r="W48451"/>
    </row>
    <row r="48452" spans="23:23" x14ac:dyDescent="0.55000000000000004">
      <c r="W48452"/>
    </row>
    <row r="48453" spans="23:23" x14ac:dyDescent="0.55000000000000004">
      <c r="W48453"/>
    </row>
    <row r="48454" spans="23:23" x14ac:dyDescent="0.55000000000000004">
      <c r="W48454"/>
    </row>
    <row r="48455" spans="23:23" x14ac:dyDescent="0.55000000000000004">
      <c r="W48455"/>
    </row>
    <row r="48456" spans="23:23" x14ac:dyDescent="0.55000000000000004">
      <c r="W48456"/>
    </row>
    <row r="48457" spans="23:23" x14ac:dyDescent="0.55000000000000004">
      <c r="W48457"/>
    </row>
    <row r="48458" spans="23:23" x14ac:dyDescent="0.55000000000000004">
      <c r="W48458"/>
    </row>
    <row r="48459" spans="23:23" x14ac:dyDescent="0.55000000000000004">
      <c r="W48459"/>
    </row>
    <row r="48460" spans="23:23" x14ac:dyDescent="0.55000000000000004">
      <c r="W48460"/>
    </row>
    <row r="48461" spans="23:23" x14ac:dyDescent="0.55000000000000004">
      <c r="W48461"/>
    </row>
    <row r="48462" spans="23:23" x14ac:dyDescent="0.55000000000000004">
      <c r="W48462"/>
    </row>
    <row r="48463" spans="23:23" x14ac:dyDescent="0.55000000000000004">
      <c r="W48463"/>
    </row>
    <row r="48464" spans="23:23" x14ac:dyDescent="0.55000000000000004">
      <c r="W48464"/>
    </row>
    <row r="48465" spans="23:23" x14ac:dyDescent="0.55000000000000004">
      <c r="W48465"/>
    </row>
    <row r="48466" spans="23:23" x14ac:dyDescent="0.55000000000000004">
      <c r="W48466"/>
    </row>
    <row r="48467" spans="23:23" x14ac:dyDescent="0.55000000000000004">
      <c r="W48467"/>
    </row>
    <row r="48468" spans="23:23" x14ac:dyDescent="0.55000000000000004">
      <c r="W48468"/>
    </row>
    <row r="48469" spans="23:23" x14ac:dyDescent="0.55000000000000004">
      <c r="W48469"/>
    </row>
    <row r="48470" spans="23:23" x14ac:dyDescent="0.55000000000000004">
      <c r="W48470"/>
    </row>
    <row r="48471" spans="23:23" x14ac:dyDescent="0.55000000000000004">
      <c r="W48471"/>
    </row>
    <row r="48472" spans="23:23" x14ac:dyDescent="0.55000000000000004">
      <c r="W48472"/>
    </row>
    <row r="48473" spans="23:23" x14ac:dyDescent="0.55000000000000004">
      <c r="W48473"/>
    </row>
    <row r="48474" spans="23:23" x14ac:dyDescent="0.55000000000000004">
      <c r="W48474"/>
    </row>
    <row r="48475" spans="23:23" x14ac:dyDescent="0.55000000000000004">
      <c r="W48475"/>
    </row>
    <row r="48476" spans="23:23" x14ac:dyDescent="0.55000000000000004">
      <c r="W48476"/>
    </row>
    <row r="48477" spans="23:23" x14ac:dyDescent="0.55000000000000004">
      <c r="W48477"/>
    </row>
    <row r="48478" spans="23:23" x14ac:dyDescent="0.55000000000000004">
      <c r="W48478"/>
    </row>
    <row r="48479" spans="23:23" x14ac:dyDescent="0.55000000000000004">
      <c r="W48479"/>
    </row>
    <row r="48480" spans="23:23" x14ac:dyDescent="0.55000000000000004">
      <c r="W48480"/>
    </row>
    <row r="48481" spans="23:23" x14ac:dyDescent="0.55000000000000004">
      <c r="W48481"/>
    </row>
    <row r="48482" spans="23:23" x14ac:dyDescent="0.55000000000000004">
      <c r="W48482"/>
    </row>
    <row r="48483" spans="23:23" x14ac:dyDescent="0.55000000000000004">
      <c r="W48483"/>
    </row>
    <row r="48484" spans="23:23" x14ac:dyDescent="0.55000000000000004">
      <c r="W48484"/>
    </row>
    <row r="48485" spans="23:23" x14ac:dyDescent="0.55000000000000004">
      <c r="W48485"/>
    </row>
    <row r="48486" spans="23:23" x14ac:dyDescent="0.55000000000000004">
      <c r="W48486"/>
    </row>
    <row r="48487" spans="23:23" x14ac:dyDescent="0.55000000000000004">
      <c r="W48487"/>
    </row>
    <row r="48488" spans="23:23" x14ac:dyDescent="0.55000000000000004">
      <c r="W48488"/>
    </row>
    <row r="48489" spans="23:23" x14ac:dyDescent="0.55000000000000004">
      <c r="W48489"/>
    </row>
    <row r="48490" spans="23:23" x14ac:dyDescent="0.55000000000000004">
      <c r="W48490"/>
    </row>
    <row r="48491" spans="23:23" x14ac:dyDescent="0.55000000000000004">
      <c r="W48491"/>
    </row>
    <row r="48492" spans="23:23" x14ac:dyDescent="0.55000000000000004">
      <c r="W48492"/>
    </row>
    <row r="48493" spans="23:23" x14ac:dyDescent="0.55000000000000004">
      <c r="W48493"/>
    </row>
    <row r="48494" spans="23:23" x14ac:dyDescent="0.55000000000000004">
      <c r="W48494"/>
    </row>
    <row r="48495" spans="23:23" x14ac:dyDescent="0.55000000000000004">
      <c r="W48495"/>
    </row>
    <row r="48496" spans="23:23" x14ac:dyDescent="0.55000000000000004">
      <c r="W48496"/>
    </row>
    <row r="48497" spans="23:23" x14ac:dyDescent="0.55000000000000004">
      <c r="W48497"/>
    </row>
    <row r="48498" spans="23:23" x14ac:dyDescent="0.55000000000000004">
      <c r="W48498"/>
    </row>
    <row r="48499" spans="23:23" x14ac:dyDescent="0.55000000000000004">
      <c r="W48499"/>
    </row>
    <row r="48500" spans="23:23" x14ac:dyDescent="0.55000000000000004">
      <c r="W48500"/>
    </row>
    <row r="48501" spans="23:23" x14ac:dyDescent="0.55000000000000004">
      <c r="W48501"/>
    </row>
    <row r="48502" spans="23:23" x14ac:dyDescent="0.55000000000000004">
      <c r="W48502"/>
    </row>
    <row r="48503" spans="23:23" x14ac:dyDescent="0.55000000000000004">
      <c r="W48503"/>
    </row>
    <row r="48504" spans="23:23" x14ac:dyDescent="0.55000000000000004">
      <c r="W48504"/>
    </row>
    <row r="48505" spans="23:23" x14ac:dyDescent="0.55000000000000004">
      <c r="W48505"/>
    </row>
    <row r="48506" spans="23:23" x14ac:dyDescent="0.55000000000000004">
      <c r="W48506"/>
    </row>
    <row r="48507" spans="23:23" x14ac:dyDescent="0.55000000000000004">
      <c r="W48507"/>
    </row>
    <row r="48508" spans="23:23" x14ac:dyDescent="0.55000000000000004">
      <c r="W48508"/>
    </row>
    <row r="48509" spans="23:23" x14ac:dyDescent="0.55000000000000004">
      <c r="W48509"/>
    </row>
    <row r="48510" spans="23:23" x14ac:dyDescent="0.55000000000000004">
      <c r="W48510"/>
    </row>
    <row r="48511" spans="23:23" x14ac:dyDescent="0.55000000000000004">
      <c r="W48511"/>
    </row>
    <row r="48512" spans="23:23" x14ac:dyDescent="0.55000000000000004">
      <c r="W48512"/>
    </row>
    <row r="48513" spans="23:23" x14ac:dyDescent="0.55000000000000004">
      <c r="W48513"/>
    </row>
    <row r="48514" spans="23:23" x14ac:dyDescent="0.55000000000000004">
      <c r="W48514"/>
    </row>
    <row r="48515" spans="23:23" x14ac:dyDescent="0.55000000000000004">
      <c r="W48515"/>
    </row>
    <row r="48516" spans="23:23" x14ac:dyDescent="0.55000000000000004">
      <c r="W48516"/>
    </row>
    <row r="48517" spans="23:23" x14ac:dyDescent="0.55000000000000004">
      <c r="W48517"/>
    </row>
    <row r="48518" spans="23:23" x14ac:dyDescent="0.55000000000000004">
      <c r="W48518"/>
    </row>
    <row r="48519" spans="23:23" x14ac:dyDescent="0.55000000000000004">
      <c r="W48519"/>
    </row>
    <row r="48520" spans="23:23" x14ac:dyDescent="0.55000000000000004">
      <c r="W48520"/>
    </row>
    <row r="48521" spans="23:23" x14ac:dyDescent="0.55000000000000004">
      <c r="W48521"/>
    </row>
    <row r="48522" spans="23:23" x14ac:dyDescent="0.55000000000000004">
      <c r="W48522"/>
    </row>
    <row r="48523" spans="23:23" x14ac:dyDescent="0.55000000000000004">
      <c r="W48523"/>
    </row>
    <row r="48524" spans="23:23" x14ac:dyDescent="0.55000000000000004">
      <c r="W48524"/>
    </row>
    <row r="48525" spans="23:23" x14ac:dyDescent="0.55000000000000004">
      <c r="W48525"/>
    </row>
    <row r="48526" spans="23:23" x14ac:dyDescent="0.55000000000000004">
      <c r="W48526"/>
    </row>
    <row r="48527" spans="23:23" x14ac:dyDescent="0.55000000000000004">
      <c r="W48527"/>
    </row>
    <row r="48528" spans="23:23" x14ac:dyDescent="0.55000000000000004">
      <c r="W48528"/>
    </row>
    <row r="48529" spans="23:23" x14ac:dyDescent="0.55000000000000004">
      <c r="W48529"/>
    </row>
    <row r="48530" spans="23:23" x14ac:dyDescent="0.55000000000000004">
      <c r="W48530"/>
    </row>
    <row r="48531" spans="23:23" x14ac:dyDescent="0.55000000000000004">
      <c r="W48531"/>
    </row>
    <row r="48532" spans="23:23" x14ac:dyDescent="0.55000000000000004">
      <c r="W48532"/>
    </row>
    <row r="48533" spans="23:23" x14ac:dyDescent="0.55000000000000004">
      <c r="W48533"/>
    </row>
    <row r="48534" spans="23:23" x14ac:dyDescent="0.55000000000000004">
      <c r="W48534"/>
    </row>
    <row r="48535" spans="23:23" x14ac:dyDescent="0.55000000000000004">
      <c r="W48535"/>
    </row>
    <row r="48536" spans="23:23" x14ac:dyDescent="0.55000000000000004">
      <c r="W48536"/>
    </row>
    <row r="48537" spans="23:23" x14ac:dyDescent="0.55000000000000004">
      <c r="W48537"/>
    </row>
    <row r="48538" spans="23:23" x14ac:dyDescent="0.55000000000000004">
      <c r="W48538"/>
    </row>
    <row r="48539" spans="23:23" x14ac:dyDescent="0.55000000000000004">
      <c r="W48539"/>
    </row>
    <row r="48540" spans="23:23" x14ac:dyDescent="0.55000000000000004">
      <c r="W48540"/>
    </row>
    <row r="48541" spans="23:23" x14ac:dyDescent="0.55000000000000004">
      <c r="W48541"/>
    </row>
    <row r="48542" spans="23:23" x14ac:dyDescent="0.55000000000000004">
      <c r="W48542"/>
    </row>
    <row r="48543" spans="23:23" x14ac:dyDescent="0.55000000000000004">
      <c r="W48543"/>
    </row>
    <row r="48544" spans="23:23" x14ac:dyDescent="0.55000000000000004">
      <c r="W48544"/>
    </row>
    <row r="48545" spans="23:23" x14ac:dyDescent="0.55000000000000004">
      <c r="W48545"/>
    </row>
    <row r="48546" spans="23:23" x14ac:dyDescent="0.55000000000000004">
      <c r="W48546"/>
    </row>
    <row r="48547" spans="23:23" x14ac:dyDescent="0.55000000000000004">
      <c r="W48547"/>
    </row>
    <row r="48548" spans="23:23" x14ac:dyDescent="0.55000000000000004">
      <c r="W48548"/>
    </row>
    <row r="48549" spans="23:23" x14ac:dyDescent="0.55000000000000004">
      <c r="W48549"/>
    </row>
    <row r="48550" spans="23:23" x14ac:dyDescent="0.55000000000000004">
      <c r="W48550"/>
    </row>
    <row r="48551" spans="23:23" x14ac:dyDescent="0.55000000000000004">
      <c r="W48551"/>
    </row>
    <row r="48552" spans="23:23" x14ac:dyDescent="0.55000000000000004">
      <c r="W48552"/>
    </row>
    <row r="48553" spans="23:23" x14ac:dyDescent="0.55000000000000004">
      <c r="W48553"/>
    </row>
    <row r="48554" spans="23:23" x14ac:dyDescent="0.55000000000000004">
      <c r="W48554"/>
    </row>
    <row r="48555" spans="23:23" x14ac:dyDescent="0.55000000000000004">
      <c r="W48555"/>
    </row>
    <row r="48556" spans="23:23" x14ac:dyDescent="0.55000000000000004">
      <c r="W48556"/>
    </row>
    <row r="48557" spans="23:23" x14ac:dyDescent="0.55000000000000004">
      <c r="W48557"/>
    </row>
    <row r="48558" spans="23:23" x14ac:dyDescent="0.55000000000000004">
      <c r="W48558"/>
    </row>
    <row r="48559" spans="23:23" x14ac:dyDescent="0.55000000000000004">
      <c r="W48559"/>
    </row>
    <row r="48560" spans="23:23" x14ac:dyDescent="0.55000000000000004">
      <c r="W48560"/>
    </row>
    <row r="48561" spans="23:23" x14ac:dyDescent="0.55000000000000004">
      <c r="W48561"/>
    </row>
    <row r="48562" spans="23:23" x14ac:dyDescent="0.55000000000000004">
      <c r="W48562"/>
    </row>
    <row r="48563" spans="23:23" x14ac:dyDescent="0.55000000000000004">
      <c r="W48563"/>
    </row>
    <row r="48564" spans="23:23" x14ac:dyDescent="0.55000000000000004">
      <c r="W48564"/>
    </row>
    <row r="48565" spans="23:23" x14ac:dyDescent="0.55000000000000004">
      <c r="W48565"/>
    </row>
    <row r="48566" spans="23:23" x14ac:dyDescent="0.55000000000000004">
      <c r="W48566"/>
    </row>
    <row r="48567" spans="23:23" x14ac:dyDescent="0.55000000000000004">
      <c r="W48567"/>
    </row>
    <row r="48568" spans="23:23" x14ac:dyDescent="0.55000000000000004">
      <c r="W48568"/>
    </row>
    <row r="48569" spans="23:23" x14ac:dyDescent="0.55000000000000004">
      <c r="W48569"/>
    </row>
    <row r="48570" spans="23:23" x14ac:dyDescent="0.55000000000000004">
      <c r="W48570"/>
    </row>
    <row r="48571" spans="23:23" x14ac:dyDescent="0.55000000000000004">
      <c r="W48571"/>
    </row>
    <row r="48572" spans="23:23" x14ac:dyDescent="0.55000000000000004">
      <c r="W48572"/>
    </row>
    <row r="48573" spans="23:23" x14ac:dyDescent="0.55000000000000004">
      <c r="W48573"/>
    </row>
    <row r="48574" spans="23:23" x14ac:dyDescent="0.55000000000000004">
      <c r="W48574"/>
    </row>
    <row r="48575" spans="23:23" x14ac:dyDescent="0.55000000000000004">
      <c r="W48575"/>
    </row>
    <row r="48576" spans="23:23" x14ac:dyDescent="0.55000000000000004">
      <c r="W48576"/>
    </row>
    <row r="48577" spans="23:23" x14ac:dyDescent="0.55000000000000004">
      <c r="W48577"/>
    </row>
    <row r="48578" spans="23:23" x14ac:dyDescent="0.55000000000000004">
      <c r="W48578"/>
    </row>
    <row r="48579" spans="23:23" x14ac:dyDescent="0.55000000000000004">
      <c r="W48579"/>
    </row>
    <row r="48580" spans="23:23" x14ac:dyDescent="0.55000000000000004">
      <c r="W48580"/>
    </row>
    <row r="48581" spans="23:23" x14ac:dyDescent="0.55000000000000004">
      <c r="W48581"/>
    </row>
    <row r="48582" spans="23:23" x14ac:dyDescent="0.55000000000000004">
      <c r="W48582"/>
    </row>
    <row r="48583" spans="23:23" x14ac:dyDescent="0.55000000000000004">
      <c r="W48583"/>
    </row>
    <row r="48584" spans="23:23" x14ac:dyDescent="0.55000000000000004">
      <c r="W48584"/>
    </row>
    <row r="48585" spans="23:23" x14ac:dyDescent="0.55000000000000004">
      <c r="W48585"/>
    </row>
    <row r="48586" spans="23:23" x14ac:dyDescent="0.55000000000000004">
      <c r="W48586"/>
    </row>
    <row r="48587" spans="23:23" x14ac:dyDescent="0.55000000000000004">
      <c r="W48587"/>
    </row>
    <row r="48588" spans="23:23" x14ac:dyDescent="0.55000000000000004">
      <c r="W48588"/>
    </row>
    <row r="48589" spans="23:23" x14ac:dyDescent="0.55000000000000004">
      <c r="W48589"/>
    </row>
    <row r="48590" spans="23:23" x14ac:dyDescent="0.55000000000000004">
      <c r="W48590"/>
    </row>
    <row r="48591" spans="23:23" x14ac:dyDescent="0.55000000000000004">
      <c r="W48591"/>
    </row>
    <row r="48592" spans="23:23" x14ac:dyDescent="0.55000000000000004">
      <c r="W48592"/>
    </row>
    <row r="48593" spans="23:23" x14ac:dyDescent="0.55000000000000004">
      <c r="W48593"/>
    </row>
    <row r="48594" spans="23:23" x14ac:dyDescent="0.55000000000000004">
      <c r="W48594"/>
    </row>
    <row r="48595" spans="23:23" x14ac:dyDescent="0.55000000000000004">
      <c r="W48595"/>
    </row>
    <row r="48596" spans="23:23" x14ac:dyDescent="0.55000000000000004">
      <c r="W48596"/>
    </row>
    <row r="48597" spans="23:23" x14ac:dyDescent="0.55000000000000004">
      <c r="W48597"/>
    </row>
    <row r="48598" spans="23:23" x14ac:dyDescent="0.55000000000000004">
      <c r="W48598"/>
    </row>
    <row r="48599" spans="23:23" x14ac:dyDescent="0.55000000000000004">
      <c r="W48599"/>
    </row>
    <row r="48600" spans="23:23" x14ac:dyDescent="0.55000000000000004">
      <c r="W48600"/>
    </row>
    <row r="48601" spans="23:23" x14ac:dyDescent="0.55000000000000004">
      <c r="W48601"/>
    </row>
    <row r="48602" spans="23:23" x14ac:dyDescent="0.55000000000000004">
      <c r="W48602"/>
    </row>
    <row r="48603" spans="23:23" x14ac:dyDescent="0.55000000000000004">
      <c r="W48603"/>
    </row>
    <row r="48604" spans="23:23" x14ac:dyDescent="0.55000000000000004">
      <c r="W48604"/>
    </row>
    <row r="48605" spans="23:23" x14ac:dyDescent="0.55000000000000004">
      <c r="W48605"/>
    </row>
    <row r="48606" spans="23:23" x14ac:dyDescent="0.55000000000000004">
      <c r="W48606"/>
    </row>
    <row r="48607" spans="23:23" x14ac:dyDescent="0.55000000000000004">
      <c r="W48607"/>
    </row>
    <row r="48608" spans="23:23" x14ac:dyDescent="0.55000000000000004">
      <c r="W48608"/>
    </row>
    <row r="48609" spans="23:23" x14ac:dyDescent="0.55000000000000004">
      <c r="W48609"/>
    </row>
    <row r="48610" spans="23:23" x14ac:dyDescent="0.55000000000000004">
      <c r="W48610"/>
    </row>
    <row r="48611" spans="23:23" x14ac:dyDescent="0.55000000000000004">
      <c r="W48611"/>
    </row>
    <row r="48612" spans="23:23" x14ac:dyDescent="0.55000000000000004">
      <c r="W48612"/>
    </row>
    <row r="48613" spans="23:23" x14ac:dyDescent="0.55000000000000004">
      <c r="W48613"/>
    </row>
    <row r="48614" spans="23:23" x14ac:dyDescent="0.55000000000000004">
      <c r="W48614"/>
    </row>
    <row r="48615" spans="23:23" x14ac:dyDescent="0.55000000000000004">
      <c r="W48615"/>
    </row>
    <row r="48616" spans="23:23" x14ac:dyDescent="0.55000000000000004">
      <c r="W48616"/>
    </row>
    <row r="48617" spans="23:23" x14ac:dyDescent="0.55000000000000004">
      <c r="W48617"/>
    </row>
    <row r="48618" spans="23:23" x14ac:dyDescent="0.55000000000000004">
      <c r="W48618"/>
    </row>
    <row r="48619" spans="23:23" x14ac:dyDescent="0.55000000000000004">
      <c r="W48619"/>
    </row>
    <row r="48620" spans="23:23" x14ac:dyDescent="0.55000000000000004">
      <c r="W48620"/>
    </row>
    <row r="48621" spans="23:23" x14ac:dyDescent="0.55000000000000004">
      <c r="W48621"/>
    </row>
    <row r="48622" spans="23:23" x14ac:dyDescent="0.55000000000000004">
      <c r="W48622"/>
    </row>
    <row r="48623" spans="23:23" x14ac:dyDescent="0.55000000000000004">
      <c r="W48623"/>
    </row>
    <row r="48624" spans="23:23" x14ac:dyDescent="0.55000000000000004">
      <c r="W48624"/>
    </row>
    <row r="48625" spans="23:23" x14ac:dyDescent="0.55000000000000004">
      <c r="W48625"/>
    </row>
    <row r="48626" spans="23:23" x14ac:dyDescent="0.55000000000000004">
      <c r="W48626"/>
    </row>
    <row r="48627" spans="23:23" x14ac:dyDescent="0.55000000000000004">
      <c r="W48627"/>
    </row>
    <row r="48628" spans="23:23" x14ac:dyDescent="0.55000000000000004">
      <c r="W48628"/>
    </row>
    <row r="48629" spans="23:23" x14ac:dyDescent="0.55000000000000004">
      <c r="W48629"/>
    </row>
    <row r="48630" spans="23:23" x14ac:dyDescent="0.55000000000000004">
      <c r="W48630"/>
    </row>
    <row r="48631" spans="23:23" x14ac:dyDescent="0.55000000000000004">
      <c r="W48631"/>
    </row>
    <row r="48632" spans="23:23" x14ac:dyDescent="0.55000000000000004">
      <c r="W48632"/>
    </row>
    <row r="48633" spans="23:23" x14ac:dyDescent="0.55000000000000004">
      <c r="W48633"/>
    </row>
    <row r="48634" spans="23:23" x14ac:dyDescent="0.55000000000000004">
      <c r="W48634"/>
    </row>
    <row r="48635" spans="23:23" x14ac:dyDescent="0.55000000000000004">
      <c r="W48635"/>
    </row>
    <row r="48636" spans="23:23" x14ac:dyDescent="0.55000000000000004">
      <c r="W48636"/>
    </row>
    <row r="48637" spans="23:23" x14ac:dyDescent="0.55000000000000004">
      <c r="W48637"/>
    </row>
    <row r="48638" spans="23:23" x14ac:dyDescent="0.55000000000000004">
      <c r="W48638"/>
    </row>
    <row r="48639" spans="23:23" x14ac:dyDescent="0.55000000000000004">
      <c r="W48639"/>
    </row>
    <row r="48640" spans="23:23" x14ac:dyDescent="0.55000000000000004">
      <c r="W48640"/>
    </row>
    <row r="48641" spans="23:23" x14ac:dyDescent="0.55000000000000004">
      <c r="W48641"/>
    </row>
    <row r="48642" spans="23:23" x14ac:dyDescent="0.55000000000000004">
      <c r="W48642"/>
    </row>
    <row r="48643" spans="23:23" x14ac:dyDescent="0.55000000000000004">
      <c r="W48643"/>
    </row>
    <row r="48644" spans="23:23" x14ac:dyDescent="0.55000000000000004">
      <c r="W48644"/>
    </row>
    <row r="48645" spans="23:23" x14ac:dyDescent="0.55000000000000004">
      <c r="W48645"/>
    </row>
    <row r="48646" spans="23:23" x14ac:dyDescent="0.55000000000000004">
      <c r="W48646"/>
    </row>
    <row r="48647" spans="23:23" x14ac:dyDescent="0.55000000000000004">
      <c r="W48647"/>
    </row>
    <row r="48648" spans="23:23" x14ac:dyDescent="0.55000000000000004">
      <c r="W48648"/>
    </row>
    <row r="48649" spans="23:23" x14ac:dyDescent="0.55000000000000004">
      <c r="W48649"/>
    </row>
    <row r="48650" spans="23:23" x14ac:dyDescent="0.55000000000000004">
      <c r="W48650"/>
    </row>
    <row r="48651" spans="23:23" x14ac:dyDescent="0.55000000000000004">
      <c r="W48651"/>
    </row>
    <row r="48652" spans="23:23" x14ac:dyDescent="0.55000000000000004">
      <c r="W48652"/>
    </row>
    <row r="48653" spans="23:23" x14ac:dyDescent="0.55000000000000004">
      <c r="W48653"/>
    </row>
    <row r="48654" spans="23:23" x14ac:dyDescent="0.55000000000000004">
      <c r="W48654"/>
    </row>
    <row r="48655" spans="23:23" x14ac:dyDescent="0.55000000000000004">
      <c r="W48655"/>
    </row>
    <row r="48656" spans="23:23" x14ac:dyDescent="0.55000000000000004">
      <c r="W48656"/>
    </row>
    <row r="48657" spans="23:23" x14ac:dyDescent="0.55000000000000004">
      <c r="W48657"/>
    </row>
    <row r="48658" spans="23:23" x14ac:dyDescent="0.55000000000000004">
      <c r="W48658"/>
    </row>
    <row r="48659" spans="23:23" x14ac:dyDescent="0.55000000000000004">
      <c r="W48659"/>
    </row>
    <row r="48660" spans="23:23" x14ac:dyDescent="0.55000000000000004">
      <c r="W48660"/>
    </row>
    <row r="48661" spans="23:23" x14ac:dyDescent="0.55000000000000004">
      <c r="W48661"/>
    </row>
    <row r="48662" spans="23:23" x14ac:dyDescent="0.55000000000000004">
      <c r="W48662"/>
    </row>
    <row r="48663" spans="23:23" x14ac:dyDescent="0.55000000000000004">
      <c r="W48663"/>
    </row>
    <row r="48664" spans="23:23" x14ac:dyDescent="0.55000000000000004">
      <c r="W48664"/>
    </row>
    <row r="48665" spans="23:23" x14ac:dyDescent="0.55000000000000004">
      <c r="W48665"/>
    </row>
    <row r="48666" spans="23:23" x14ac:dyDescent="0.55000000000000004">
      <c r="W48666"/>
    </row>
    <row r="48667" spans="23:23" x14ac:dyDescent="0.55000000000000004">
      <c r="W48667"/>
    </row>
    <row r="48668" spans="23:23" x14ac:dyDescent="0.55000000000000004">
      <c r="W48668"/>
    </row>
    <row r="48669" spans="23:23" x14ac:dyDescent="0.55000000000000004">
      <c r="W48669"/>
    </row>
    <row r="48670" spans="23:23" x14ac:dyDescent="0.55000000000000004">
      <c r="W48670"/>
    </row>
    <row r="48671" spans="23:23" x14ac:dyDescent="0.55000000000000004">
      <c r="W48671"/>
    </row>
    <row r="48672" spans="23:23" x14ac:dyDescent="0.55000000000000004">
      <c r="W48672"/>
    </row>
    <row r="48673" spans="23:23" x14ac:dyDescent="0.55000000000000004">
      <c r="W48673"/>
    </row>
    <row r="48674" spans="23:23" x14ac:dyDescent="0.55000000000000004">
      <c r="W48674"/>
    </row>
    <row r="48675" spans="23:23" x14ac:dyDescent="0.55000000000000004">
      <c r="W48675"/>
    </row>
    <row r="48676" spans="23:23" x14ac:dyDescent="0.55000000000000004">
      <c r="W48676"/>
    </row>
    <row r="48677" spans="23:23" x14ac:dyDescent="0.55000000000000004">
      <c r="W48677"/>
    </row>
    <row r="48678" spans="23:23" x14ac:dyDescent="0.55000000000000004">
      <c r="W48678"/>
    </row>
    <row r="48679" spans="23:23" x14ac:dyDescent="0.55000000000000004">
      <c r="W48679"/>
    </row>
    <row r="48680" spans="23:23" x14ac:dyDescent="0.55000000000000004">
      <c r="W48680"/>
    </row>
    <row r="48681" spans="23:23" x14ac:dyDescent="0.55000000000000004">
      <c r="W48681"/>
    </row>
    <row r="48682" spans="23:23" x14ac:dyDescent="0.55000000000000004">
      <c r="W48682"/>
    </row>
    <row r="48683" spans="23:23" x14ac:dyDescent="0.55000000000000004">
      <c r="W48683"/>
    </row>
    <row r="48684" spans="23:23" x14ac:dyDescent="0.55000000000000004">
      <c r="W48684"/>
    </row>
    <row r="48685" spans="23:23" x14ac:dyDescent="0.55000000000000004">
      <c r="W48685"/>
    </row>
    <row r="48686" spans="23:23" x14ac:dyDescent="0.55000000000000004">
      <c r="W48686"/>
    </row>
    <row r="48687" spans="23:23" x14ac:dyDescent="0.55000000000000004">
      <c r="W48687"/>
    </row>
    <row r="48688" spans="23:23" x14ac:dyDescent="0.55000000000000004">
      <c r="W48688"/>
    </row>
    <row r="48689" spans="23:23" x14ac:dyDescent="0.55000000000000004">
      <c r="W48689"/>
    </row>
    <row r="48690" spans="23:23" x14ac:dyDescent="0.55000000000000004">
      <c r="W48690"/>
    </row>
    <row r="48691" spans="23:23" x14ac:dyDescent="0.55000000000000004">
      <c r="W48691"/>
    </row>
    <row r="48692" spans="23:23" x14ac:dyDescent="0.55000000000000004">
      <c r="W48692"/>
    </row>
    <row r="48693" spans="23:23" x14ac:dyDescent="0.55000000000000004">
      <c r="W48693"/>
    </row>
    <row r="48694" spans="23:23" x14ac:dyDescent="0.55000000000000004">
      <c r="W48694"/>
    </row>
    <row r="48695" spans="23:23" x14ac:dyDescent="0.55000000000000004">
      <c r="W48695"/>
    </row>
    <row r="48696" spans="23:23" x14ac:dyDescent="0.55000000000000004">
      <c r="W48696"/>
    </row>
    <row r="48697" spans="23:23" x14ac:dyDescent="0.55000000000000004">
      <c r="W48697"/>
    </row>
    <row r="48698" spans="23:23" x14ac:dyDescent="0.55000000000000004">
      <c r="W48698"/>
    </row>
    <row r="48699" spans="23:23" x14ac:dyDescent="0.55000000000000004">
      <c r="W48699"/>
    </row>
    <row r="48700" spans="23:23" x14ac:dyDescent="0.55000000000000004">
      <c r="W48700"/>
    </row>
    <row r="48701" spans="23:23" x14ac:dyDescent="0.55000000000000004">
      <c r="W48701"/>
    </row>
    <row r="48702" spans="23:23" x14ac:dyDescent="0.55000000000000004">
      <c r="W48702"/>
    </row>
    <row r="48703" spans="23:23" x14ac:dyDescent="0.55000000000000004">
      <c r="W48703"/>
    </row>
    <row r="48704" spans="23:23" x14ac:dyDescent="0.55000000000000004">
      <c r="W48704"/>
    </row>
    <row r="48705" spans="23:23" x14ac:dyDescent="0.55000000000000004">
      <c r="W48705"/>
    </row>
    <row r="48706" spans="23:23" x14ac:dyDescent="0.55000000000000004">
      <c r="W48706"/>
    </row>
    <row r="48707" spans="23:23" x14ac:dyDescent="0.55000000000000004">
      <c r="W48707"/>
    </row>
    <row r="48708" spans="23:23" x14ac:dyDescent="0.55000000000000004">
      <c r="W48708"/>
    </row>
    <row r="48709" spans="23:23" x14ac:dyDescent="0.55000000000000004">
      <c r="W48709"/>
    </row>
    <row r="48710" spans="23:23" x14ac:dyDescent="0.55000000000000004">
      <c r="W48710"/>
    </row>
    <row r="48711" spans="23:23" x14ac:dyDescent="0.55000000000000004">
      <c r="W48711"/>
    </row>
    <row r="48712" spans="23:23" x14ac:dyDescent="0.55000000000000004">
      <c r="W48712"/>
    </row>
    <row r="48713" spans="23:23" x14ac:dyDescent="0.55000000000000004">
      <c r="W48713"/>
    </row>
    <row r="48714" spans="23:23" x14ac:dyDescent="0.55000000000000004">
      <c r="W48714"/>
    </row>
    <row r="48715" spans="23:23" x14ac:dyDescent="0.55000000000000004">
      <c r="W48715"/>
    </row>
    <row r="48716" spans="23:23" x14ac:dyDescent="0.55000000000000004">
      <c r="W48716"/>
    </row>
    <row r="48717" spans="23:23" x14ac:dyDescent="0.55000000000000004">
      <c r="W48717"/>
    </row>
    <row r="48718" spans="23:23" x14ac:dyDescent="0.55000000000000004">
      <c r="W48718"/>
    </row>
    <row r="48719" spans="23:23" x14ac:dyDescent="0.55000000000000004">
      <c r="W48719"/>
    </row>
    <row r="48720" spans="23:23" x14ac:dyDescent="0.55000000000000004">
      <c r="W48720"/>
    </row>
    <row r="48721" spans="23:23" x14ac:dyDescent="0.55000000000000004">
      <c r="W48721"/>
    </row>
    <row r="48722" spans="23:23" x14ac:dyDescent="0.55000000000000004">
      <c r="W48722"/>
    </row>
    <row r="48723" spans="23:23" x14ac:dyDescent="0.55000000000000004">
      <c r="W48723"/>
    </row>
    <row r="48724" spans="23:23" x14ac:dyDescent="0.55000000000000004">
      <c r="W48724"/>
    </row>
    <row r="48725" spans="23:23" x14ac:dyDescent="0.55000000000000004">
      <c r="W48725"/>
    </row>
    <row r="48726" spans="23:23" x14ac:dyDescent="0.55000000000000004">
      <c r="W48726"/>
    </row>
    <row r="48727" spans="23:23" x14ac:dyDescent="0.55000000000000004">
      <c r="W48727"/>
    </row>
    <row r="48728" spans="23:23" x14ac:dyDescent="0.55000000000000004">
      <c r="W48728"/>
    </row>
    <row r="48729" spans="23:23" x14ac:dyDescent="0.55000000000000004">
      <c r="W48729"/>
    </row>
    <row r="48730" spans="23:23" x14ac:dyDescent="0.55000000000000004">
      <c r="W48730"/>
    </row>
    <row r="48731" spans="23:23" x14ac:dyDescent="0.55000000000000004">
      <c r="W48731"/>
    </row>
    <row r="48732" spans="23:23" x14ac:dyDescent="0.55000000000000004">
      <c r="W48732"/>
    </row>
    <row r="48733" spans="23:23" x14ac:dyDescent="0.55000000000000004">
      <c r="W48733"/>
    </row>
    <row r="48734" spans="23:23" x14ac:dyDescent="0.55000000000000004">
      <c r="W48734"/>
    </row>
    <row r="48735" spans="23:23" x14ac:dyDescent="0.55000000000000004">
      <c r="W48735"/>
    </row>
    <row r="48736" spans="23:23" x14ac:dyDescent="0.55000000000000004">
      <c r="W48736"/>
    </row>
    <row r="48737" spans="23:23" x14ac:dyDescent="0.55000000000000004">
      <c r="W48737"/>
    </row>
    <row r="48738" spans="23:23" x14ac:dyDescent="0.55000000000000004">
      <c r="W48738"/>
    </row>
    <row r="48739" spans="23:23" x14ac:dyDescent="0.55000000000000004">
      <c r="W48739"/>
    </row>
    <row r="48740" spans="23:23" x14ac:dyDescent="0.55000000000000004">
      <c r="W48740"/>
    </row>
    <row r="48741" spans="23:23" x14ac:dyDescent="0.55000000000000004">
      <c r="W48741"/>
    </row>
    <row r="48742" spans="23:23" x14ac:dyDescent="0.55000000000000004">
      <c r="W48742"/>
    </row>
    <row r="48743" spans="23:23" x14ac:dyDescent="0.55000000000000004">
      <c r="W48743"/>
    </row>
    <row r="48744" spans="23:23" x14ac:dyDescent="0.55000000000000004">
      <c r="W48744"/>
    </row>
    <row r="48745" spans="23:23" x14ac:dyDescent="0.55000000000000004">
      <c r="W48745"/>
    </row>
    <row r="48746" spans="23:23" x14ac:dyDescent="0.55000000000000004">
      <c r="W48746"/>
    </row>
    <row r="48747" spans="23:23" x14ac:dyDescent="0.55000000000000004">
      <c r="W48747"/>
    </row>
    <row r="48748" spans="23:23" x14ac:dyDescent="0.55000000000000004">
      <c r="W48748"/>
    </row>
    <row r="48749" spans="23:23" x14ac:dyDescent="0.55000000000000004">
      <c r="W48749"/>
    </row>
    <row r="48750" spans="23:23" x14ac:dyDescent="0.55000000000000004">
      <c r="W48750"/>
    </row>
    <row r="48751" spans="23:23" x14ac:dyDescent="0.55000000000000004">
      <c r="W48751"/>
    </row>
    <row r="48752" spans="23:23" x14ac:dyDescent="0.55000000000000004">
      <c r="W48752"/>
    </row>
    <row r="48753" spans="23:23" x14ac:dyDescent="0.55000000000000004">
      <c r="W48753"/>
    </row>
    <row r="48754" spans="23:23" x14ac:dyDescent="0.55000000000000004">
      <c r="W48754"/>
    </row>
    <row r="48755" spans="23:23" x14ac:dyDescent="0.55000000000000004">
      <c r="W48755"/>
    </row>
    <row r="48756" spans="23:23" x14ac:dyDescent="0.55000000000000004">
      <c r="W48756"/>
    </row>
    <row r="48757" spans="23:23" x14ac:dyDescent="0.55000000000000004">
      <c r="W48757"/>
    </row>
    <row r="48758" spans="23:23" x14ac:dyDescent="0.55000000000000004">
      <c r="W48758"/>
    </row>
    <row r="48759" spans="23:23" x14ac:dyDescent="0.55000000000000004">
      <c r="W48759"/>
    </row>
    <row r="48760" spans="23:23" x14ac:dyDescent="0.55000000000000004">
      <c r="W48760"/>
    </row>
    <row r="48761" spans="23:23" x14ac:dyDescent="0.55000000000000004">
      <c r="W48761"/>
    </row>
    <row r="48762" spans="23:23" x14ac:dyDescent="0.55000000000000004">
      <c r="W48762"/>
    </row>
    <row r="48763" spans="23:23" x14ac:dyDescent="0.55000000000000004">
      <c r="W48763"/>
    </row>
    <row r="48764" spans="23:23" x14ac:dyDescent="0.55000000000000004">
      <c r="W48764"/>
    </row>
    <row r="48765" spans="23:23" x14ac:dyDescent="0.55000000000000004">
      <c r="W48765"/>
    </row>
    <row r="48766" spans="23:23" x14ac:dyDescent="0.55000000000000004">
      <c r="W48766"/>
    </row>
    <row r="48767" spans="23:23" x14ac:dyDescent="0.55000000000000004">
      <c r="W48767"/>
    </row>
    <row r="48768" spans="23:23" x14ac:dyDescent="0.55000000000000004">
      <c r="W48768"/>
    </row>
    <row r="48769" spans="23:23" x14ac:dyDescent="0.55000000000000004">
      <c r="W48769"/>
    </row>
    <row r="48770" spans="23:23" x14ac:dyDescent="0.55000000000000004">
      <c r="W48770"/>
    </row>
    <row r="48771" spans="23:23" x14ac:dyDescent="0.55000000000000004">
      <c r="W48771"/>
    </row>
    <row r="48772" spans="23:23" x14ac:dyDescent="0.55000000000000004">
      <c r="W48772"/>
    </row>
    <row r="48773" spans="23:23" x14ac:dyDescent="0.55000000000000004">
      <c r="W48773"/>
    </row>
    <row r="48774" spans="23:23" x14ac:dyDescent="0.55000000000000004">
      <c r="W48774"/>
    </row>
    <row r="48775" spans="23:23" x14ac:dyDescent="0.55000000000000004">
      <c r="W48775"/>
    </row>
    <row r="48776" spans="23:23" x14ac:dyDescent="0.55000000000000004">
      <c r="W48776"/>
    </row>
    <row r="48777" spans="23:23" x14ac:dyDescent="0.55000000000000004">
      <c r="W48777"/>
    </row>
    <row r="48778" spans="23:23" x14ac:dyDescent="0.55000000000000004">
      <c r="W48778"/>
    </row>
    <row r="48779" spans="23:23" x14ac:dyDescent="0.55000000000000004">
      <c r="W48779"/>
    </row>
    <row r="48780" spans="23:23" x14ac:dyDescent="0.55000000000000004">
      <c r="W48780"/>
    </row>
    <row r="48781" spans="23:23" x14ac:dyDescent="0.55000000000000004">
      <c r="W48781"/>
    </row>
    <row r="48782" spans="23:23" x14ac:dyDescent="0.55000000000000004">
      <c r="W48782"/>
    </row>
    <row r="48783" spans="23:23" x14ac:dyDescent="0.55000000000000004">
      <c r="W48783"/>
    </row>
    <row r="48784" spans="23:23" x14ac:dyDescent="0.55000000000000004">
      <c r="W48784"/>
    </row>
    <row r="48785" spans="23:23" x14ac:dyDescent="0.55000000000000004">
      <c r="W48785"/>
    </row>
    <row r="48786" spans="23:23" x14ac:dyDescent="0.55000000000000004">
      <c r="W48786"/>
    </row>
    <row r="48787" spans="23:23" x14ac:dyDescent="0.55000000000000004">
      <c r="W48787"/>
    </row>
    <row r="48788" spans="23:23" x14ac:dyDescent="0.55000000000000004">
      <c r="W48788"/>
    </row>
    <row r="48789" spans="23:23" x14ac:dyDescent="0.55000000000000004">
      <c r="W48789"/>
    </row>
    <row r="48790" spans="23:23" x14ac:dyDescent="0.55000000000000004">
      <c r="W48790"/>
    </row>
    <row r="48791" spans="23:23" x14ac:dyDescent="0.55000000000000004">
      <c r="W48791"/>
    </row>
    <row r="48792" spans="23:23" x14ac:dyDescent="0.55000000000000004">
      <c r="W48792"/>
    </row>
    <row r="48793" spans="23:23" x14ac:dyDescent="0.55000000000000004">
      <c r="W48793"/>
    </row>
    <row r="48794" spans="23:23" x14ac:dyDescent="0.55000000000000004">
      <c r="W48794"/>
    </row>
    <row r="48795" spans="23:23" x14ac:dyDescent="0.55000000000000004">
      <c r="W48795"/>
    </row>
    <row r="48796" spans="23:23" x14ac:dyDescent="0.55000000000000004">
      <c r="W48796"/>
    </row>
    <row r="48797" spans="23:23" x14ac:dyDescent="0.55000000000000004">
      <c r="W48797"/>
    </row>
    <row r="48798" spans="23:23" x14ac:dyDescent="0.55000000000000004">
      <c r="W48798"/>
    </row>
    <row r="48799" spans="23:23" x14ac:dyDescent="0.55000000000000004">
      <c r="W48799"/>
    </row>
    <row r="48800" spans="23:23" x14ac:dyDescent="0.55000000000000004">
      <c r="W48800"/>
    </row>
    <row r="48801" spans="23:23" x14ac:dyDescent="0.55000000000000004">
      <c r="W48801"/>
    </row>
    <row r="48802" spans="23:23" x14ac:dyDescent="0.55000000000000004">
      <c r="W48802"/>
    </row>
    <row r="48803" spans="23:23" x14ac:dyDescent="0.55000000000000004">
      <c r="W48803"/>
    </row>
    <row r="48804" spans="23:23" x14ac:dyDescent="0.55000000000000004">
      <c r="W48804"/>
    </row>
    <row r="48805" spans="23:23" x14ac:dyDescent="0.55000000000000004">
      <c r="W48805"/>
    </row>
    <row r="48806" spans="23:23" x14ac:dyDescent="0.55000000000000004">
      <c r="W48806"/>
    </row>
    <row r="48807" spans="23:23" x14ac:dyDescent="0.55000000000000004">
      <c r="W48807"/>
    </row>
    <row r="48808" spans="23:23" x14ac:dyDescent="0.55000000000000004">
      <c r="W48808"/>
    </row>
    <row r="48809" spans="23:23" x14ac:dyDescent="0.55000000000000004">
      <c r="W48809"/>
    </row>
    <row r="48810" spans="23:23" x14ac:dyDescent="0.55000000000000004">
      <c r="W48810"/>
    </row>
    <row r="48811" spans="23:23" x14ac:dyDescent="0.55000000000000004">
      <c r="W48811"/>
    </row>
    <row r="48812" spans="23:23" x14ac:dyDescent="0.55000000000000004">
      <c r="W48812"/>
    </row>
    <row r="48813" spans="23:23" x14ac:dyDescent="0.55000000000000004">
      <c r="W48813"/>
    </row>
    <row r="48814" spans="23:23" x14ac:dyDescent="0.55000000000000004">
      <c r="W48814"/>
    </row>
    <row r="48815" spans="23:23" x14ac:dyDescent="0.55000000000000004">
      <c r="W48815"/>
    </row>
    <row r="48816" spans="23:23" x14ac:dyDescent="0.55000000000000004">
      <c r="W48816"/>
    </row>
    <row r="48817" spans="23:23" x14ac:dyDescent="0.55000000000000004">
      <c r="W48817"/>
    </row>
    <row r="48818" spans="23:23" x14ac:dyDescent="0.55000000000000004">
      <c r="W48818"/>
    </row>
    <row r="48819" spans="23:23" x14ac:dyDescent="0.55000000000000004">
      <c r="W48819"/>
    </row>
    <row r="48820" spans="23:23" x14ac:dyDescent="0.55000000000000004">
      <c r="W48820"/>
    </row>
    <row r="48821" spans="23:23" x14ac:dyDescent="0.55000000000000004">
      <c r="W48821"/>
    </row>
    <row r="48822" spans="23:23" x14ac:dyDescent="0.55000000000000004">
      <c r="W48822"/>
    </row>
    <row r="48823" spans="23:23" x14ac:dyDescent="0.55000000000000004">
      <c r="W48823"/>
    </row>
    <row r="48824" spans="23:23" x14ac:dyDescent="0.55000000000000004">
      <c r="W48824"/>
    </row>
    <row r="48825" spans="23:23" x14ac:dyDescent="0.55000000000000004">
      <c r="W48825"/>
    </row>
    <row r="48826" spans="23:23" x14ac:dyDescent="0.55000000000000004">
      <c r="W48826"/>
    </row>
    <row r="48827" spans="23:23" x14ac:dyDescent="0.55000000000000004">
      <c r="W48827"/>
    </row>
    <row r="48828" spans="23:23" x14ac:dyDescent="0.55000000000000004">
      <c r="W48828"/>
    </row>
    <row r="48829" spans="23:23" x14ac:dyDescent="0.55000000000000004">
      <c r="W48829"/>
    </row>
    <row r="48830" spans="23:23" x14ac:dyDescent="0.55000000000000004">
      <c r="W48830"/>
    </row>
    <row r="48831" spans="23:23" x14ac:dyDescent="0.55000000000000004">
      <c r="W48831"/>
    </row>
    <row r="48832" spans="23:23" x14ac:dyDescent="0.55000000000000004">
      <c r="W48832"/>
    </row>
    <row r="48833" spans="23:23" x14ac:dyDescent="0.55000000000000004">
      <c r="W48833"/>
    </row>
    <row r="48834" spans="23:23" x14ac:dyDescent="0.55000000000000004">
      <c r="W48834"/>
    </row>
    <row r="48835" spans="23:23" x14ac:dyDescent="0.55000000000000004">
      <c r="W48835"/>
    </row>
    <row r="48836" spans="23:23" x14ac:dyDescent="0.55000000000000004">
      <c r="W48836"/>
    </row>
    <row r="48837" spans="23:23" x14ac:dyDescent="0.55000000000000004">
      <c r="W48837"/>
    </row>
    <row r="48838" spans="23:23" x14ac:dyDescent="0.55000000000000004">
      <c r="W48838"/>
    </row>
    <row r="48839" spans="23:23" x14ac:dyDescent="0.55000000000000004">
      <c r="W48839"/>
    </row>
    <row r="48840" spans="23:23" x14ac:dyDescent="0.55000000000000004">
      <c r="W48840"/>
    </row>
    <row r="48841" spans="23:23" x14ac:dyDescent="0.55000000000000004">
      <c r="W48841"/>
    </row>
    <row r="48842" spans="23:23" x14ac:dyDescent="0.55000000000000004">
      <c r="W48842"/>
    </row>
    <row r="48843" spans="23:23" x14ac:dyDescent="0.55000000000000004">
      <c r="W48843"/>
    </row>
    <row r="48844" spans="23:23" x14ac:dyDescent="0.55000000000000004">
      <c r="W48844"/>
    </row>
    <row r="48845" spans="23:23" x14ac:dyDescent="0.55000000000000004">
      <c r="W48845"/>
    </row>
    <row r="48846" spans="23:23" x14ac:dyDescent="0.55000000000000004">
      <c r="W48846"/>
    </row>
    <row r="48847" spans="23:23" x14ac:dyDescent="0.55000000000000004">
      <c r="W48847"/>
    </row>
    <row r="48848" spans="23:23" x14ac:dyDescent="0.55000000000000004">
      <c r="W48848"/>
    </row>
    <row r="48849" spans="23:23" x14ac:dyDescent="0.55000000000000004">
      <c r="W48849"/>
    </row>
    <row r="48850" spans="23:23" x14ac:dyDescent="0.55000000000000004">
      <c r="W48850"/>
    </row>
    <row r="48851" spans="23:23" x14ac:dyDescent="0.55000000000000004">
      <c r="W48851"/>
    </row>
    <row r="48852" spans="23:23" x14ac:dyDescent="0.55000000000000004">
      <c r="W48852"/>
    </row>
    <row r="48853" spans="23:23" x14ac:dyDescent="0.55000000000000004">
      <c r="W48853"/>
    </row>
    <row r="48854" spans="23:23" x14ac:dyDescent="0.55000000000000004">
      <c r="W48854"/>
    </row>
    <row r="48855" spans="23:23" x14ac:dyDescent="0.55000000000000004">
      <c r="W48855"/>
    </row>
    <row r="48856" spans="23:23" x14ac:dyDescent="0.55000000000000004">
      <c r="W48856"/>
    </row>
    <row r="48857" spans="23:23" x14ac:dyDescent="0.55000000000000004">
      <c r="W48857"/>
    </row>
    <row r="48858" spans="23:23" x14ac:dyDescent="0.55000000000000004">
      <c r="W48858"/>
    </row>
    <row r="48859" spans="23:23" x14ac:dyDescent="0.55000000000000004">
      <c r="W48859"/>
    </row>
    <row r="48860" spans="23:23" x14ac:dyDescent="0.55000000000000004">
      <c r="W48860"/>
    </row>
    <row r="48861" spans="23:23" x14ac:dyDescent="0.55000000000000004">
      <c r="W48861"/>
    </row>
    <row r="48862" spans="23:23" x14ac:dyDescent="0.55000000000000004">
      <c r="W48862"/>
    </row>
    <row r="48863" spans="23:23" x14ac:dyDescent="0.55000000000000004">
      <c r="W48863"/>
    </row>
    <row r="48864" spans="23:23" x14ac:dyDescent="0.55000000000000004">
      <c r="W48864"/>
    </row>
    <row r="48865" spans="23:23" x14ac:dyDescent="0.55000000000000004">
      <c r="W48865"/>
    </row>
    <row r="48866" spans="23:23" x14ac:dyDescent="0.55000000000000004">
      <c r="W48866"/>
    </row>
    <row r="48867" spans="23:23" x14ac:dyDescent="0.55000000000000004">
      <c r="W48867"/>
    </row>
    <row r="48868" spans="23:23" x14ac:dyDescent="0.55000000000000004">
      <c r="W48868"/>
    </row>
    <row r="48869" spans="23:23" x14ac:dyDescent="0.55000000000000004">
      <c r="W48869"/>
    </row>
    <row r="48870" spans="23:23" x14ac:dyDescent="0.55000000000000004">
      <c r="W48870"/>
    </row>
    <row r="48871" spans="23:23" x14ac:dyDescent="0.55000000000000004">
      <c r="W48871"/>
    </row>
    <row r="48872" spans="23:23" x14ac:dyDescent="0.55000000000000004">
      <c r="W48872"/>
    </row>
    <row r="48873" spans="23:23" x14ac:dyDescent="0.55000000000000004">
      <c r="W48873"/>
    </row>
    <row r="48874" spans="23:23" x14ac:dyDescent="0.55000000000000004">
      <c r="W48874"/>
    </row>
    <row r="48875" spans="23:23" x14ac:dyDescent="0.55000000000000004">
      <c r="W48875"/>
    </row>
    <row r="48876" spans="23:23" x14ac:dyDescent="0.55000000000000004">
      <c r="W48876"/>
    </row>
    <row r="48877" spans="23:23" x14ac:dyDescent="0.55000000000000004">
      <c r="W48877"/>
    </row>
    <row r="48878" spans="23:23" x14ac:dyDescent="0.55000000000000004">
      <c r="W48878"/>
    </row>
    <row r="48879" spans="23:23" x14ac:dyDescent="0.55000000000000004">
      <c r="W48879"/>
    </row>
    <row r="48880" spans="23:23" x14ac:dyDescent="0.55000000000000004">
      <c r="W48880"/>
    </row>
    <row r="48881" spans="23:23" x14ac:dyDescent="0.55000000000000004">
      <c r="W48881"/>
    </row>
    <row r="48882" spans="23:23" x14ac:dyDescent="0.55000000000000004">
      <c r="W48882"/>
    </row>
    <row r="48883" spans="23:23" x14ac:dyDescent="0.55000000000000004">
      <c r="W48883"/>
    </row>
    <row r="48884" spans="23:23" x14ac:dyDescent="0.55000000000000004">
      <c r="W48884"/>
    </row>
    <row r="48885" spans="23:23" x14ac:dyDescent="0.55000000000000004">
      <c r="W48885"/>
    </row>
    <row r="48886" spans="23:23" x14ac:dyDescent="0.55000000000000004">
      <c r="W48886"/>
    </row>
    <row r="48887" spans="23:23" x14ac:dyDescent="0.55000000000000004">
      <c r="W48887"/>
    </row>
    <row r="48888" spans="23:23" x14ac:dyDescent="0.55000000000000004">
      <c r="W48888"/>
    </row>
    <row r="48889" spans="23:23" x14ac:dyDescent="0.55000000000000004">
      <c r="W48889"/>
    </row>
    <row r="48890" spans="23:23" x14ac:dyDescent="0.55000000000000004">
      <c r="W48890"/>
    </row>
    <row r="48891" spans="23:23" x14ac:dyDescent="0.55000000000000004">
      <c r="W48891"/>
    </row>
    <row r="48892" spans="23:23" x14ac:dyDescent="0.55000000000000004">
      <c r="W48892"/>
    </row>
    <row r="48893" spans="23:23" x14ac:dyDescent="0.55000000000000004">
      <c r="W48893"/>
    </row>
    <row r="48894" spans="23:23" x14ac:dyDescent="0.55000000000000004">
      <c r="W48894"/>
    </row>
    <row r="48895" spans="23:23" x14ac:dyDescent="0.55000000000000004">
      <c r="W48895"/>
    </row>
    <row r="48896" spans="23:23" x14ac:dyDescent="0.55000000000000004">
      <c r="W48896"/>
    </row>
    <row r="48897" spans="23:23" x14ac:dyDescent="0.55000000000000004">
      <c r="W48897"/>
    </row>
    <row r="48898" spans="23:23" x14ac:dyDescent="0.55000000000000004">
      <c r="W48898"/>
    </row>
    <row r="48899" spans="23:23" x14ac:dyDescent="0.55000000000000004">
      <c r="W48899"/>
    </row>
    <row r="48900" spans="23:23" x14ac:dyDescent="0.55000000000000004">
      <c r="W48900"/>
    </row>
    <row r="48901" spans="23:23" x14ac:dyDescent="0.55000000000000004">
      <c r="W48901"/>
    </row>
    <row r="48902" spans="23:23" x14ac:dyDescent="0.55000000000000004">
      <c r="W48902"/>
    </row>
    <row r="48903" spans="23:23" x14ac:dyDescent="0.55000000000000004">
      <c r="W48903"/>
    </row>
    <row r="48904" spans="23:23" x14ac:dyDescent="0.55000000000000004">
      <c r="W48904"/>
    </row>
    <row r="48905" spans="23:23" x14ac:dyDescent="0.55000000000000004">
      <c r="W48905"/>
    </row>
    <row r="48906" spans="23:23" x14ac:dyDescent="0.55000000000000004">
      <c r="W48906"/>
    </row>
    <row r="48907" spans="23:23" x14ac:dyDescent="0.55000000000000004">
      <c r="W48907"/>
    </row>
    <row r="48908" spans="23:23" x14ac:dyDescent="0.55000000000000004">
      <c r="W48908"/>
    </row>
    <row r="48909" spans="23:23" x14ac:dyDescent="0.55000000000000004">
      <c r="W48909"/>
    </row>
    <row r="48910" spans="23:23" x14ac:dyDescent="0.55000000000000004">
      <c r="W48910"/>
    </row>
    <row r="48911" spans="23:23" x14ac:dyDescent="0.55000000000000004">
      <c r="W48911"/>
    </row>
    <row r="48912" spans="23:23" x14ac:dyDescent="0.55000000000000004">
      <c r="W48912"/>
    </row>
    <row r="48913" spans="23:23" x14ac:dyDescent="0.55000000000000004">
      <c r="W48913"/>
    </row>
    <row r="48914" spans="23:23" x14ac:dyDescent="0.55000000000000004">
      <c r="W48914"/>
    </row>
    <row r="48915" spans="23:23" x14ac:dyDescent="0.55000000000000004">
      <c r="W48915"/>
    </row>
    <row r="48916" spans="23:23" x14ac:dyDescent="0.55000000000000004">
      <c r="W48916"/>
    </row>
    <row r="48917" spans="23:23" x14ac:dyDescent="0.55000000000000004">
      <c r="W48917"/>
    </row>
    <row r="48918" spans="23:23" x14ac:dyDescent="0.55000000000000004">
      <c r="W48918"/>
    </row>
    <row r="48919" spans="23:23" x14ac:dyDescent="0.55000000000000004">
      <c r="W48919"/>
    </row>
    <row r="48920" spans="23:23" x14ac:dyDescent="0.55000000000000004">
      <c r="W48920"/>
    </row>
    <row r="48921" spans="23:23" x14ac:dyDescent="0.55000000000000004">
      <c r="W48921"/>
    </row>
    <row r="48922" spans="23:23" x14ac:dyDescent="0.55000000000000004">
      <c r="W48922"/>
    </row>
    <row r="48923" spans="23:23" x14ac:dyDescent="0.55000000000000004">
      <c r="W48923"/>
    </row>
    <row r="48924" spans="23:23" x14ac:dyDescent="0.55000000000000004">
      <c r="W48924"/>
    </row>
    <row r="48925" spans="23:23" x14ac:dyDescent="0.55000000000000004">
      <c r="W48925"/>
    </row>
    <row r="48926" spans="23:23" x14ac:dyDescent="0.55000000000000004">
      <c r="W48926"/>
    </row>
    <row r="48927" spans="23:23" x14ac:dyDescent="0.55000000000000004">
      <c r="W48927"/>
    </row>
    <row r="48928" spans="23:23" x14ac:dyDescent="0.55000000000000004">
      <c r="W48928"/>
    </row>
    <row r="48929" spans="23:23" x14ac:dyDescent="0.55000000000000004">
      <c r="W48929"/>
    </row>
    <row r="48930" spans="23:23" x14ac:dyDescent="0.55000000000000004">
      <c r="W48930"/>
    </row>
    <row r="48931" spans="23:23" x14ac:dyDescent="0.55000000000000004">
      <c r="W48931"/>
    </row>
    <row r="48932" spans="23:23" x14ac:dyDescent="0.55000000000000004">
      <c r="W48932"/>
    </row>
    <row r="48933" spans="23:23" x14ac:dyDescent="0.55000000000000004">
      <c r="W48933"/>
    </row>
    <row r="48934" spans="23:23" x14ac:dyDescent="0.55000000000000004">
      <c r="W48934"/>
    </row>
    <row r="48935" spans="23:23" x14ac:dyDescent="0.55000000000000004">
      <c r="W48935"/>
    </row>
    <row r="48936" spans="23:23" x14ac:dyDescent="0.55000000000000004">
      <c r="W48936"/>
    </row>
    <row r="48937" spans="23:23" x14ac:dyDescent="0.55000000000000004">
      <c r="W48937"/>
    </row>
    <row r="48938" spans="23:23" x14ac:dyDescent="0.55000000000000004">
      <c r="W48938"/>
    </row>
    <row r="48939" spans="23:23" x14ac:dyDescent="0.55000000000000004">
      <c r="W48939"/>
    </row>
    <row r="48940" spans="23:23" x14ac:dyDescent="0.55000000000000004">
      <c r="W48940"/>
    </row>
    <row r="48941" spans="23:23" x14ac:dyDescent="0.55000000000000004">
      <c r="W48941"/>
    </row>
    <row r="48942" spans="23:23" x14ac:dyDescent="0.55000000000000004">
      <c r="W48942"/>
    </row>
    <row r="48943" spans="23:23" x14ac:dyDescent="0.55000000000000004">
      <c r="W48943"/>
    </row>
    <row r="48944" spans="23:23" x14ac:dyDescent="0.55000000000000004">
      <c r="W48944"/>
    </row>
    <row r="48945" spans="23:23" x14ac:dyDescent="0.55000000000000004">
      <c r="W48945"/>
    </row>
    <row r="48946" spans="23:23" x14ac:dyDescent="0.55000000000000004">
      <c r="W48946"/>
    </row>
    <row r="48947" spans="23:23" x14ac:dyDescent="0.55000000000000004">
      <c r="W48947"/>
    </row>
    <row r="48948" spans="23:23" x14ac:dyDescent="0.55000000000000004">
      <c r="W48948"/>
    </row>
    <row r="48949" spans="23:23" x14ac:dyDescent="0.55000000000000004">
      <c r="W48949"/>
    </row>
    <row r="48950" spans="23:23" x14ac:dyDescent="0.55000000000000004">
      <c r="W48950"/>
    </row>
    <row r="48951" spans="23:23" x14ac:dyDescent="0.55000000000000004">
      <c r="W48951"/>
    </row>
    <row r="48952" spans="23:23" x14ac:dyDescent="0.55000000000000004">
      <c r="W48952"/>
    </row>
    <row r="48953" spans="23:23" x14ac:dyDescent="0.55000000000000004">
      <c r="W48953"/>
    </row>
    <row r="48954" spans="23:23" x14ac:dyDescent="0.55000000000000004">
      <c r="W48954"/>
    </row>
    <row r="48955" spans="23:23" x14ac:dyDescent="0.55000000000000004">
      <c r="W48955"/>
    </row>
    <row r="48956" spans="23:23" x14ac:dyDescent="0.55000000000000004">
      <c r="W48956"/>
    </row>
    <row r="48957" spans="23:23" x14ac:dyDescent="0.55000000000000004">
      <c r="W48957"/>
    </row>
    <row r="48958" spans="23:23" x14ac:dyDescent="0.55000000000000004">
      <c r="W48958"/>
    </row>
    <row r="48959" spans="23:23" x14ac:dyDescent="0.55000000000000004">
      <c r="W48959"/>
    </row>
    <row r="48960" spans="23:23" x14ac:dyDescent="0.55000000000000004">
      <c r="W48960"/>
    </row>
    <row r="48961" spans="23:23" x14ac:dyDescent="0.55000000000000004">
      <c r="W48961"/>
    </row>
    <row r="48962" spans="23:23" x14ac:dyDescent="0.55000000000000004">
      <c r="W48962"/>
    </row>
    <row r="48963" spans="23:23" x14ac:dyDescent="0.55000000000000004">
      <c r="W48963"/>
    </row>
    <row r="48964" spans="23:23" x14ac:dyDescent="0.55000000000000004">
      <c r="W48964"/>
    </row>
    <row r="48965" spans="23:23" x14ac:dyDescent="0.55000000000000004">
      <c r="W48965"/>
    </row>
    <row r="48966" spans="23:23" x14ac:dyDescent="0.55000000000000004">
      <c r="W48966"/>
    </row>
    <row r="48967" spans="23:23" x14ac:dyDescent="0.55000000000000004">
      <c r="W48967"/>
    </row>
    <row r="48968" spans="23:23" x14ac:dyDescent="0.55000000000000004">
      <c r="W48968"/>
    </row>
    <row r="48969" spans="23:23" x14ac:dyDescent="0.55000000000000004">
      <c r="W48969"/>
    </row>
    <row r="48970" spans="23:23" x14ac:dyDescent="0.55000000000000004">
      <c r="W48970"/>
    </row>
    <row r="48971" spans="23:23" x14ac:dyDescent="0.55000000000000004">
      <c r="W48971"/>
    </row>
    <row r="48972" spans="23:23" x14ac:dyDescent="0.55000000000000004">
      <c r="W48972"/>
    </row>
    <row r="48973" spans="23:23" x14ac:dyDescent="0.55000000000000004">
      <c r="W48973"/>
    </row>
    <row r="48974" spans="23:23" x14ac:dyDescent="0.55000000000000004">
      <c r="W48974"/>
    </row>
    <row r="48975" spans="23:23" x14ac:dyDescent="0.55000000000000004">
      <c r="W48975"/>
    </row>
    <row r="48976" spans="23:23" x14ac:dyDescent="0.55000000000000004">
      <c r="W48976"/>
    </row>
    <row r="48977" spans="23:23" x14ac:dyDescent="0.55000000000000004">
      <c r="W48977"/>
    </row>
    <row r="48978" spans="23:23" x14ac:dyDescent="0.55000000000000004">
      <c r="W48978"/>
    </row>
    <row r="48979" spans="23:23" x14ac:dyDescent="0.55000000000000004">
      <c r="W48979"/>
    </row>
    <row r="48980" spans="23:23" x14ac:dyDescent="0.55000000000000004">
      <c r="W48980"/>
    </row>
    <row r="48981" spans="23:23" x14ac:dyDescent="0.55000000000000004">
      <c r="W48981"/>
    </row>
    <row r="48982" spans="23:23" x14ac:dyDescent="0.55000000000000004">
      <c r="W48982"/>
    </row>
    <row r="48983" spans="23:23" x14ac:dyDescent="0.55000000000000004">
      <c r="W48983"/>
    </row>
    <row r="48984" spans="23:23" x14ac:dyDescent="0.55000000000000004">
      <c r="W48984"/>
    </row>
    <row r="48985" spans="23:23" x14ac:dyDescent="0.55000000000000004">
      <c r="W48985"/>
    </row>
    <row r="48986" spans="23:23" x14ac:dyDescent="0.55000000000000004">
      <c r="W48986"/>
    </row>
    <row r="48987" spans="23:23" x14ac:dyDescent="0.55000000000000004">
      <c r="W48987"/>
    </row>
    <row r="48988" spans="23:23" x14ac:dyDescent="0.55000000000000004">
      <c r="W48988"/>
    </row>
    <row r="48989" spans="23:23" x14ac:dyDescent="0.55000000000000004">
      <c r="W48989"/>
    </row>
    <row r="48990" spans="23:23" x14ac:dyDescent="0.55000000000000004">
      <c r="W48990"/>
    </row>
    <row r="48991" spans="23:23" x14ac:dyDescent="0.55000000000000004">
      <c r="W48991"/>
    </row>
    <row r="48992" spans="23:23" x14ac:dyDescent="0.55000000000000004">
      <c r="W48992"/>
    </row>
    <row r="48993" spans="23:23" x14ac:dyDescent="0.55000000000000004">
      <c r="W48993"/>
    </row>
    <row r="48994" spans="23:23" x14ac:dyDescent="0.55000000000000004">
      <c r="W48994"/>
    </row>
    <row r="48995" spans="23:23" x14ac:dyDescent="0.55000000000000004">
      <c r="W48995"/>
    </row>
    <row r="48996" spans="23:23" x14ac:dyDescent="0.55000000000000004">
      <c r="W48996"/>
    </row>
    <row r="48997" spans="23:23" x14ac:dyDescent="0.55000000000000004">
      <c r="W48997"/>
    </row>
    <row r="48998" spans="23:23" x14ac:dyDescent="0.55000000000000004">
      <c r="W48998"/>
    </row>
    <row r="48999" spans="23:23" x14ac:dyDescent="0.55000000000000004">
      <c r="W48999"/>
    </row>
    <row r="49000" spans="23:23" x14ac:dyDescent="0.55000000000000004">
      <c r="W49000"/>
    </row>
    <row r="49001" spans="23:23" x14ac:dyDescent="0.55000000000000004">
      <c r="W49001"/>
    </row>
    <row r="49002" spans="23:23" x14ac:dyDescent="0.55000000000000004">
      <c r="W49002"/>
    </row>
    <row r="49003" spans="23:23" x14ac:dyDescent="0.55000000000000004">
      <c r="W49003"/>
    </row>
    <row r="49004" spans="23:23" x14ac:dyDescent="0.55000000000000004">
      <c r="W49004"/>
    </row>
    <row r="49005" spans="23:23" x14ac:dyDescent="0.55000000000000004">
      <c r="W49005"/>
    </row>
    <row r="49006" spans="23:23" x14ac:dyDescent="0.55000000000000004">
      <c r="W49006"/>
    </row>
    <row r="49007" spans="23:23" x14ac:dyDescent="0.55000000000000004">
      <c r="W49007"/>
    </row>
    <row r="49008" spans="23:23" x14ac:dyDescent="0.55000000000000004">
      <c r="W49008"/>
    </row>
    <row r="49009" spans="23:23" x14ac:dyDescent="0.55000000000000004">
      <c r="W49009"/>
    </row>
    <row r="49010" spans="23:23" x14ac:dyDescent="0.55000000000000004">
      <c r="W49010"/>
    </row>
    <row r="49011" spans="23:23" x14ac:dyDescent="0.55000000000000004">
      <c r="W49011"/>
    </row>
    <row r="49012" spans="23:23" x14ac:dyDescent="0.55000000000000004">
      <c r="W49012"/>
    </row>
    <row r="49013" spans="23:23" x14ac:dyDescent="0.55000000000000004">
      <c r="W49013"/>
    </row>
    <row r="49014" spans="23:23" x14ac:dyDescent="0.55000000000000004">
      <c r="W49014"/>
    </row>
    <row r="49015" spans="23:23" x14ac:dyDescent="0.55000000000000004">
      <c r="W49015"/>
    </row>
    <row r="49016" spans="23:23" x14ac:dyDescent="0.55000000000000004">
      <c r="W49016"/>
    </row>
    <row r="49017" spans="23:23" x14ac:dyDescent="0.55000000000000004">
      <c r="W49017"/>
    </row>
    <row r="49018" spans="23:23" x14ac:dyDescent="0.55000000000000004">
      <c r="W49018"/>
    </row>
    <row r="49019" spans="23:23" x14ac:dyDescent="0.55000000000000004">
      <c r="W49019"/>
    </row>
    <row r="49020" spans="23:23" x14ac:dyDescent="0.55000000000000004">
      <c r="W49020"/>
    </row>
    <row r="49021" spans="23:23" x14ac:dyDescent="0.55000000000000004">
      <c r="W49021"/>
    </row>
    <row r="49022" spans="23:23" x14ac:dyDescent="0.55000000000000004">
      <c r="W49022"/>
    </row>
    <row r="49023" spans="23:23" x14ac:dyDescent="0.55000000000000004">
      <c r="W49023"/>
    </row>
    <row r="49024" spans="23:23" x14ac:dyDescent="0.55000000000000004">
      <c r="W49024"/>
    </row>
    <row r="49025" spans="23:23" x14ac:dyDescent="0.55000000000000004">
      <c r="W49025"/>
    </row>
    <row r="49026" spans="23:23" x14ac:dyDescent="0.55000000000000004">
      <c r="W49026"/>
    </row>
    <row r="49027" spans="23:23" x14ac:dyDescent="0.55000000000000004">
      <c r="W49027"/>
    </row>
    <row r="49028" spans="23:23" x14ac:dyDescent="0.55000000000000004">
      <c r="W49028"/>
    </row>
    <row r="49029" spans="23:23" x14ac:dyDescent="0.55000000000000004">
      <c r="W49029"/>
    </row>
    <row r="49030" spans="23:23" x14ac:dyDescent="0.55000000000000004">
      <c r="W49030"/>
    </row>
    <row r="49031" spans="23:23" x14ac:dyDescent="0.55000000000000004">
      <c r="W49031"/>
    </row>
    <row r="49032" spans="23:23" x14ac:dyDescent="0.55000000000000004">
      <c r="W49032"/>
    </row>
    <row r="49033" spans="23:23" x14ac:dyDescent="0.55000000000000004">
      <c r="W49033"/>
    </row>
    <row r="49034" spans="23:23" x14ac:dyDescent="0.55000000000000004">
      <c r="W49034"/>
    </row>
    <row r="49035" spans="23:23" x14ac:dyDescent="0.55000000000000004">
      <c r="W49035"/>
    </row>
    <row r="49036" spans="23:23" x14ac:dyDescent="0.55000000000000004">
      <c r="W49036"/>
    </row>
    <row r="49037" spans="23:23" x14ac:dyDescent="0.55000000000000004">
      <c r="W49037"/>
    </row>
    <row r="49038" spans="23:23" x14ac:dyDescent="0.55000000000000004">
      <c r="W49038"/>
    </row>
    <row r="49039" spans="23:23" x14ac:dyDescent="0.55000000000000004">
      <c r="W49039"/>
    </row>
    <row r="49040" spans="23:23" x14ac:dyDescent="0.55000000000000004">
      <c r="W49040"/>
    </row>
    <row r="49041" spans="23:23" x14ac:dyDescent="0.55000000000000004">
      <c r="W49041"/>
    </row>
    <row r="49042" spans="23:23" x14ac:dyDescent="0.55000000000000004">
      <c r="W49042"/>
    </row>
    <row r="49043" spans="23:23" x14ac:dyDescent="0.55000000000000004">
      <c r="W49043"/>
    </row>
    <row r="49044" spans="23:23" x14ac:dyDescent="0.55000000000000004">
      <c r="W49044"/>
    </row>
    <row r="49045" spans="23:23" x14ac:dyDescent="0.55000000000000004">
      <c r="W49045"/>
    </row>
    <row r="49046" spans="23:23" x14ac:dyDescent="0.55000000000000004">
      <c r="W49046"/>
    </row>
    <row r="49047" spans="23:23" x14ac:dyDescent="0.55000000000000004">
      <c r="W49047"/>
    </row>
    <row r="49048" spans="23:23" x14ac:dyDescent="0.55000000000000004">
      <c r="W49048"/>
    </row>
    <row r="49049" spans="23:23" x14ac:dyDescent="0.55000000000000004">
      <c r="W49049"/>
    </row>
    <row r="49050" spans="23:23" x14ac:dyDescent="0.55000000000000004">
      <c r="W49050"/>
    </row>
    <row r="49051" spans="23:23" x14ac:dyDescent="0.55000000000000004">
      <c r="W49051"/>
    </row>
    <row r="49052" spans="23:23" x14ac:dyDescent="0.55000000000000004">
      <c r="W49052"/>
    </row>
    <row r="49053" spans="23:23" x14ac:dyDescent="0.55000000000000004">
      <c r="W49053"/>
    </row>
    <row r="49054" spans="23:23" x14ac:dyDescent="0.55000000000000004">
      <c r="W49054"/>
    </row>
    <row r="49055" spans="23:23" x14ac:dyDescent="0.55000000000000004">
      <c r="W49055"/>
    </row>
    <row r="49056" spans="23:23" x14ac:dyDescent="0.55000000000000004">
      <c r="W49056"/>
    </row>
    <row r="49057" spans="23:23" x14ac:dyDescent="0.55000000000000004">
      <c r="W49057"/>
    </row>
    <row r="49058" spans="23:23" x14ac:dyDescent="0.55000000000000004">
      <c r="W49058"/>
    </row>
    <row r="49059" spans="23:23" x14ac:dyDescent="0.55000000000000004">
      <c r="W49059"/>
    </row>
    <row r="49060" spans="23:23" x14ac:dyDescent="0.55000000000000004">
      <c r="W49060"/>
    </row>
    <row r="49061" spans="23:23" x14ac:dyDescent="0.55000000000000004">
      <c r="W49061"/>
    </row>
    <row r="49062" spans="23:23" x14ac:dyDescent="0.55000000000000004">
      <c r="W49062"/>
    </row>
    <row r="49063" spans="23:23" x14ac:dyDescent="0.55000000000000004">
      <c r="W49063"/>
    </row>
    <row r="49064" spans="23:23" x14ac:dyDescent="0.55000000000000004">
      <c r="W49064"/>
    </row>
    <row r="49065" spans="23:23" x14ac:dyDescent="0.55000000000000004">
      <c r="W49065"/>
    </row>
    <row r="49066" spans="23:23" x14ac:dyDescent="0.55000000000000004">
      <c r="W49066"/>
    </row>
    <row r="49067" spans="23:23" x14ac:dyDescent="0.55000000000000004">
      <c r="W49067"/>
    </row>
    <row r="49068" spans="23:23" x14ac:dyDescent="0.55000000000000004">
      <c r="W49068"/>
    </row>
    <row r="49069" spans="23:23" x14ac:dyDescent="0.55000000000000004">
      <c r="W49069"/>
    </row>
    <row r="49070" spans="23:23" x14ac:dyDescent="0.55000000000000004">
      <c r="W49070"/>
    </row>
    <row r="49071" spans="23:23" x14ac:dyDescent="0.55000000000000004">
      <c r="W49071"/>
    </row>
    <row r="49072" spans="23:23" x14ac:dyDescent="0.55000000000000004">
      <c r="W49072"/>
    </row>
    <row r="49073" spans="23:23" x14ac:dyDescent="0.55000000000000004">
      <c r="W49073"/>
    </row>
    <row r="49074" spans="23:23" x14ac:dyDescent="0.55000000000000004">
      <c r="W49074"/>
    </row>
    <row r="49075" spans="23:23" x14ac:dyDescent="0.55000000000000004">
      <c r="W49075"/>
    </row>
    <row r="49076" spans="23:23" x14ac:dyDescent="0.55000000000000004">
      <c r="W49076"/>
    </row>
    <row r="49077" spans="23:23" x14ac:dyDescent="0.55000000000000004">
      <c r="W49077"/>
    </row>
    <row r="49078" spans="23:23" x14ac:dyDescent="0.55000000000000004">
      <c r="W49078"/>
    </row>
    <row r="49079" spans="23:23" x14ac:dyDescent="0.55000000000000004">
      <c r="W49079"/>
    </row>
    <row r="49080" spans="23:23" x14ac:dyDescent="0.55000000000000004">
      <c r="W49080"/>
    </row>
    <row r="49081" spans="23:23" x14ac:dyDescent="0.55000000000000004">
      <c r="W49081"/>
    </row>
    <row r="49082" spans="23:23" x14ac:dyDescent="0.55000000000000004">
      <c r="W49082"/>
    </row>
    <row r="49083" spans="23:23" x14ac:dyDescent="0.55000000000000004">
      <c r="W49083"/>
    </row>
    <row r="49084" spans="23:23" x14ac:dyDescent="0.55000000000000004">
      <c r="W49084"/>
    </row>
    <row r="49085" spans="23:23" x14ac:dyDescent="0.55000000000000004">
      <c r="W49085"/>
    </row>
    <row r="49086" spans="23:23" x14ac:dyDescent="0.55000000000000004">
      <c r="W49086"/>
    </row>
    <row r="49087" spans="23:23" x14ac:dyDescent="0.55000000000000004">
      <c r="W49087"/>
    </row>
    <row r="49088" spans="23:23" x14ac:dyDescent="0.55000000000000004">
      <c r="W49088"/>
    </row>
    <row r="49089" spans="23:23" x14ac:dyDescent="0.55000000000000004">
      <c r="W49089"/>
    </row>
    <row r="49090" spans="23:23" x14ac:dyDescent="0.55000000000000004">
      <c r="W49090"/>
    </row>
    <row r="49091" spans="23:23" x14ac:dyDescent="0.55000000000000004">
      <c r="W49091"/>
    </row>
    <row r="49092" spans="23:23" x14ac:dyDescent="0.55000000000000004">
      <c r="W49092"/>
    </row>
    <row r="49093" spans="23:23" x14ac:dyDescent="0.55000000000000004">
      <c r="W49093"/>
    </row>
    <row r="49094" spans="23:23" x14ac:dyDescent="0.55000000000000004">
      <c r="W49094"/>
    </row>
    <row r="49095" spans="23:23" x14ac:dyDescent="0.55000000000000004">
      <c r="W49095"/>
    </row>
    <row r="49096" spans="23:23" x14ac:dyDescent="0.55000000000000004">
      <c r="W49096"/>
    </row>
    <row r="49097" spans="23:23" x14ac:dyDescent="0.55000000000000004">
      <c r="W49097"/>
    </row>
    <row r="49098" spans="23:23" x14ac:dyDescent="0.55000000000000004">
      <c r="W49098"/>
    </row>
    <row r="49099" spans="23:23" x14ac:dyDescent="0.55000000000000004">
      <c r="W49099"/>
    </row>
    <row r="49100" spans="23:23" x14ac:dyDescent="0.55000000000000004">
      <c r="W49100"/>
    </row>
    <row r="49101" spans="23:23" x14ac:dyDescent="0.55000000000000004">
      <c r="W49101"/>
    </row>
    <row r="49102" spans="23:23" x14ac:dyDescent="0.55000000000000004">
      <c r="W49102"/>
    </row>
    <row r="49103" spans="23:23" x14ac:dyDescent="0.55000000000000004">
      <c r="W49103"/>
    </row>
    <row r="49104" spans="23:23" x14ac:dyDescent="0.55000000000000004">
      <c r="W49104"/>
    </row>
    <row r="49105" spans="23:23" x14ac:dyDescent="0.55000000000000004">
      <c r="W49105"/>
    </row>
    <row r="49106" spans="23:23" x14ac:dyDescent="0.55000000000000004">
      <c r="W49106"/>
    </row>
    <row r="49107" spans="23:23" x14ac:dyDescent="0.55000000000000004">
      <c r="W49107"/>
    </row>
    <row r="49108" spans="23:23" x14ac:dyDescent="0.55000000000000004">
      <c r="W49108"/>
    </row>
    <row r="49109" spans="23:23" x14ac:dyDescent="0.55000000000000004">
      <c r="W49109"/>
    </row>
    <row r="49110" spans="23:23" x14ac:dyDescent="0.55000000000000004">
      <c r="W49110"/>
    </row>
    <row r="49111" spans="23:23" x14ac:dyDescent="0.55000000000000004">
      <c r="W49111"/>
    </row>
    <row r="49112" spans="23:23" x14ac:dyDescent="0.55000000000000004">
      <c r="W49112"/>
    </row>
    <row r="49113" spans="23:23" x14ac:dyDescent="0.55000000000000004">
      <c r="W49113"/>
    </row>
    <row r="49114" spans="23:23" x14ac:dyDescent="0.55000000000000004">
      <c r="W49114"/>
    </row>
    <row r="49115" spans="23:23" x14ac:dyDescent="0.55000000000000004">
      <c r="W49115"/>
    </row>
    <row r="49116" spans="23:23" x14ac:dyDescent="0.55000000000000004">
      <c r="W49116"/>
    </row>
    <row r="49117" spans="23:23" x14ac:dyDescent="0.55000000000000004">
      <c r="W49117"/>
    </row>
    <row r="49118" spans="23:23" x14ac:dyDescent="0.55000000000000004">
      <c r="W49118"/>
    </row>
    <row r="49119" spans="23:23" x14ac:dyDescent="0.55000000000000004">
      <c r="W49119"/>
    </row>
    <row r="49120" spans="23:23" x14ac:dyDescent="0.55000000000000004">
      <c r="W49120"/>
    </row>
    <row r="49121" spans="23:23" x14ac:dyDescent="0.55000000000000004">
      <c r="W49121"/>
    </row>
    <row r="49122" spans="23:23" x14ac:dyDescent="0.55000000000000004">
      <c r="W49122"/>
    </row>
    <row r="49123" spans="23:23" x14ac:dyDescent="0.55000000000000004">
      <c r="W49123"/>
    </row>
    <row r="49124" spans="23:23" x14ac:dyDescent="0.55000000000000004">
      <c r="W49124"/>
    </row>
    <row r="49125" spans="23:23" x14ac:dyDescent="0.55000000000000004">
      <c r="W49125"/>
    </row>
    <row r="49126" spans="23:23" x14ac:dyDescent="0.55000000000000004">
      <c r="W49126"/>
    </row>
    <row r="49127" spans="23:23" x14ac:dyDescent="0.55000000000000004">
      <c r="W49127"/>
    </row>
    <row r="49128" spans="23:23" x14ac:dyDescent="0.55000000000000004">
      <c r="W49128"/>
    </row>
    <row r="49129" spans="23:23" x14ac:dyDescent="0.55000000000000004">
      <c r="W49129"/>
    </row>
    <row r="49130" spans="23:23" x14ac:dyDescent="0.55000000000000004">
      <c r="W49130"/>
    </row>
    <row r="49131" spans="23:23" x14ac:dyDescent="0.55000000000000004">
      <c r="W49131"/>
    </row>
    <row r="49132" spans="23:23" x14ac:dyDescent="0.55000000000000004">
      <c r="W49132"/>
    </row>
    <row r="49133" spans="23:23" x14ac:dyDescent="0.55000000000000004">
      <c r="W49133"/>
    </row>
    <row r="49134" spans="23:23" x14ac:dyDescent="0.55000000000000004">
      <c r="W49134"/>
    </row>
    <row r="49135" spans="23:23" x14ac:dyDescent="0.55000000000000004">
      <c r="W49135"/>
    </row>
    <row r="49136" spans="23:23" x14ac:dyDescent="0.55000000000000004">
      <c r="W49136"/>
    </row>
    <row r="49137" spans="23:23" x14ac:dyDescent="0.55000000000000004">
      <c r="W49137"/>
    </row>
    <row r="49138" spans="23:23" x14ac:dyDescent="0.55000000000000004">
      <c r="W49138"/>
    </row>
    <row r="49139" spans="23:23" x14ac:dyDescent="0.55000000000000004">
      <c r="W49139"/>
    </row>
    <row r="49140" spans="23:23" x14ac:dyDescent="0.55000000000000004">
      <c r="W49140"/>
    </row>
    <row r="49141" spans="23:23" x14ac:dyDescent="0.55000000000000004">
      <c r="W49141"/>
    </row>
    <row r="49142" spans="23:23" x14ac:dyDescent="0.55000000000000004">
      <c r="W49142"/>
    </row>
    <row r="49143" spans="23:23" x14ac:dyDescent="0.55000000000000004">
      <c r="W49143"/>
    </row>
    <row r="49144" spans="23:23" x14ac:dyDescent="0.55000000000000004">
      <c r="W49144"/>
    </row>
    <row r="49145" spans="23:23" x14ac:dyDescent="0.55000000000000004">
      <c r="W49145"/>
    </row>
    <row r="49146" spans="23:23" x14ac:dyDescent="0.55000000000000004">
      <c r="W49146"/>
    </row>
    <row r="49147" spans="23:23" x14ac:dyDescent="0.55000000000000004">
      <c r="W49147"/>
    </row>
    <row r="49148" spans="23:23" x14ac:dyDescent="0.55000000000000004">
      <c r="W49148"/>
    </row>
    <row r="49149" spans="23:23" x14ac:dyDescent="0.55000000000000004">
      <c r="W49149"/>
    </row>
    <row r="49150" spans="23:23" x14ac:dyDescent="0.55000000000000004">
      <c r="W49150"/>
    </row>
    <row r="49151" spans="23:23" x14ac:dyDescent="0.55000000000000004">
      <c r="W49151"/>
    </row>
    <row r="49152" spans="23:23" x14ac:dyDescent="0.55000000000000004">
      <c r="W49152"/>
    </row>
    <row r="49153" spans="23:23" x14ac:dyDescent="0.55000000000000004">
      <c r="W49153"/>
    </row>
    <row r="49154" spans="23:23" x14ac:dyDescent="0.55000000000000004">
      <c r="W49154"/>
    </row>
    <row r="49155" spans="23:23" x14ac:dyDescent="0.55000000000000004">
      <c r="W49155"/>
    </row>
    <row r="49156" spans="23:23" x14ac:dyDescent="0.55000000000000004">
      <c r="W49156"/>
    </row>
    <row r="49157" spans="23:23" x14ac:dyDescent="0.55000000000000004">
      <c r="W49157"/>
    </row>
    <row r="49158" spans="23:23" x14ac:dyDescent="0.55000000000000004">
      <c r="W49158"/>
    </row>
    <row r="49159" spans="23:23" x14ac:dyDescent="0.55000000000000004">
      <c r="W49159"/>
    </row>
    <row r="49160" spans="23:23" x14ac:dyDescent="0.55000000000000004">
      <c r="W49160"/>
    </row>
    <row r="49161" spans="23:23" x14ac:dyDescent="0.55000000000000004">
      <c r="W49161"/>
    </row>
    <row r="49162" spans="23:23" x14ac:dyDescent="0.55000000000000004">
      <c r="W49162"/>
    </row>
    <row r="49163" spans="23:23" x14ac:dyDescent="0.55000000000000004">
      <c r="W49163"/>
    </row>
    <row r="49164" spans="23:23" x14ac:dyDescent="0.55000000000000004">
      <c r="W49164"/>
    </row>
    <row r="49165" spans="23:23" x14ac:dyDescent="0.55000000000000004">
      <c r="W49165"/>
    </row>
    <row r="49166" spans="23:23" x14ac:dyDescent="0.55000000000000004">
      <c r="W49166"/>
    </row>
    <row r="49167" spans="23:23" x14ac:dyDescent="0.55000000000000004">
      <c r="W49167"/>
    </row>
    <row r="49168" spans="23:23" x14ac:dyDescent="0.55000000000000004">
      <c r="W49168"/>
    </row>
    <row r="49169" spans="23:23" x14ac:dyDescent="0.55000000000000004">
      <c r="W49169"/>
    </row>
    <row r="49170" spans="23:23" x14ac:dyDescent="0.55000000000000004">
      <c r="W49170"/>
    </row>
    <row r="49171" spans="23:23" x14ac:dyDescent="0.55000000000000004">
      <c r="W49171"/>
    </row>
    <row r="49172" spans="23:23" x14ac:dyDescent="0.55000000000000004">
      <c r="W49172"/>
    </row>
    <row r="49173" spans="23:23" x14ac:dyDescent="0.55000000000000004">
      <c r="W49173"/>
    </row>
    <row r="49174" spans="23:23" x14ac:dyDescent="0.55000000000000004">
      <c r="W49174"/>
    </row>
    <row r="49175" spans="23:23" x14ac:dyDescent="0.55000000000000004">
      <c r="W49175"/>
    </row>
    <row r="49176" spans="23:23" x14ac:dyDescent="0.55000000000000004">
      <c r="W49176"/>
    </row>
    <row r="49177" spans="23:23" x14ac:dyDescent="0.55000000000000004">
      <c r="W49177"/>
    </row>
    <row r="49178" spans="23:23" x14ac:dyDescent="0.55000000000000004">
      <c r="W49178"/>
    </row>
    <row r="49179" spans="23:23" x14ac:dyDescent="0.55000000000000004">
      <c r="W49179"/>
    </row>
    <row r="49180" spans="23:23" x14ac:dyDescent="0.55000000000000004">
      <c r="W49180"/>
    </row>
    <row r="49181" spans="23:23" x14ac:dyDescent="0.55000000000000004">
      <c r="W49181"/>
    </row>
    <row r="49182" spans="23:23" x14ac:dyDescent="0.55000000000000004">
      <c r="W49182"/>
    </row>
    <row r="49183" spans="23:23" x14ac:dyDescent="0.55000000000000004">
      <c r="W49183"/>
    </row>
    <row r="49184" spans="23:23" x14ac:dyDescent="0.55000000000000004">
      <c r="W49184"/>
    </row>
    <row r="49185" spans="23:23" x14ac:dyDescent="0.55000000000000004">
      <c r="W49185"/>
    </row>
    <row r="49186" spans="23:23" x14ac:dyDescent="0.55000000000000004">
      <c r="W49186"/>
    </row>
    <row r="49187" spans="23:23" x14ac:dyDescent="0.55000000000000004">
      <c r="W49187"/>
    </row>
    <row r="49188" spans="23:23" x14ac:dyDescent="0.55000000000000004">
      <c r="W49188"/>
    </row>
    <row r="49189" spans="23:23" x14ac:dyDescent="0.55000000000000004">
      <c r="W49189"/>
    </row>
    <row r="49190" spans="23:23" x14ac:dyDescent="0.55000000000000004">
      <c r="W49190"/>
    </row>
    <row r="49191" spans="23:23" x14ac:dyDescent="0.55000000000000004">
      <c r="W49191"/>
    </row>
    <row r="49192" spans="23:23" x14ac:dyDescent="0.55000000000000004">
      <c r="W49192"/>
    </row>
    <row r="49193" spans="23:23" x14ac:dyDescent="0.55000000000000004">
      <c r="W49193"/>
    </row>
    <row r="49194" spans="23:23" x14ac:dyDescent="0.55000000000000004">
      <c r="W49194"/>
    </row>
    <row r="49195" spans="23:23" x14ac:dyDescent="0.55000000000000004">
      <c r="W49195"/>
    </row>
    <row r="49196" spans="23:23" x14ac:dyDescent="0.55000000000000004">
      <c r="W49196"/>
    </row>
    <row r="49197" spans="23:23" x14ac:dyDescent="0.55000000000000004">
      <c r="W49197"/>
    </row>
    <row r="49198" spans="23:23" x14ac:dyDescent="0.55000000000000004">
      <c r="W49198"/>
    </row>
    <row r="49199" spans="23:23" x14ac:dyDescent="0.55000000000000004">
      <c r="W49199"/>
    </row>
    <row r="49200" spans="23:23" x14ac:dyDescent="0.55000000000000004">
      <c r="W49200"/>
    </row>
    <row r="49201" spans="23:23" x14ac:dyDescent="0.55000000000000004">
      <c r="W49201"/>
    </row>
    <row r="49202" spans="23:23" x14ac:dyDescent="0.55000000000000004">
      <c r="W49202"/>
    </row>
    <row r="49203" spans="23:23" x14ac:dyDescent="0.55000000000000004">
      <c r="W49203"/>
    </row>
    <row r="49204" spans="23:23" x14ac:dyDescent="0.55000000000000004">
      <c r="W49204"/>
    </row>
    <row r="49205" spans="23:23" x14ac:dyDescent="0.55000000000000004">
      <c r="W49205"/>
    </row>
    <row r="49206" spans="23:23" x14ac:dyDescent="0.55000000000000004">
      <c r="W49206"/>
    </row>
    <row r="49207" spans="23:23" x14ac:dyDescent="0.55000000000000004">
      <c r="W49207"/>
    </row>
    <row r="49208" spans="23:23" x14ac:dyDescent="0.55000000000000004">
      <c r="W49208"/>
    </row>
    <row r="49209" spans="23:23" x14ac:dyDescent="0.55000000000000004">
      <c r="W49209"/>
    </row>
    <row r="49210" spans="23:23" x14ac:dyDescent="0.55000000000000004">
      <c r="W49210"/>
    </row>
    <row r="49211" spans="23:23" x14ac:dyDescent="0.55000000000000004">
      <c r="W49211"/>
    </row>
    <row r="49212" spans="23:23" x14ac:dyDescent="0.55000000000000004">
      <c r="W49212"/>
    </row>
    <row r="49213" spans="23:23" x14ac:dyDescent="0.55000000000000004">
      <c r="W49213"/>
    </row>
    <row r="49214" spans="23:23" x14ac:dyDescent="0.55000000000000004">
      <c r="W49214"/>
    </row>
    <row r="49215" spans="23:23" x14ac:dyDescent="0.55000000000000004">
      <c r="W49215"/>
    </row>
    <row r="49216" spans="23:23" x14ac:dyDescent="0.55000000000000004">
      <c r="W49216"/>
    </row>
    <row r="49217" spans="23:23" x14ac:dyDescent="0.55000000000000004">
      <c r="W49217"/>
    </row>
    <row r="49218" spans="23:23" x14ac:dyDescent="0.55000000000000004">
      <c r="W49218"/>
    </row>
    <row r="49219" spans="23:23" x14ac:dyDescent="0.55000000000000004">
      <c r="W49219"/>
    </row>
    <row r="49220" spans="23:23" x14ac:dyDescent="0.55000000000000004">
      <c r="W49220"/>
    </row>
    <row r="49221" spans="23:23" x14ac:dyDescent="0.55000000000000004">
      <c r="W49221"/>
    </row>
    <row r="49222" spans="23:23" x14ac:dyDescent="0.55000000000000004">
      <c r="W49222"/>
    </row>
    <row r="49223" spans="23:23" x14ac:dyDescent="0.55000000000000004">
      <c r="W49223"/>
    </row>
    <row r="49224" spans="23:23" x14ac:dyDescent="0.55000000000000004">
      <c r="W49224"/>
    </row>
    <row r="49225" spans="23:23" x14ac:dyDescent="0.55000000000000004">
      <c r="W49225"/>
    </row>
    <row r="49226" spans="23:23" x14ac:dyDescent="0.55000000000000004">
      <c r="W49226"/>
    </row>
    <row r="49227" spans="23:23" x14ac:dyDescent="0.55000000000000004">
      <c r="W49227"/>
    </row>
    <row r="49228" spans="23:23" x14ac:dyDescent="0.55000000000000004">
      <c r="W49228"/>
    </row>
    <row r="49229" spans="23:23" x14ac:dyDescent="0.55000000000000004">
      <c r="W49229"/>
    </row>
    <row r="49230" spans="23:23" x14ac:dyDescent="0.55000000000000004">
      <c r="W49230"/>
    </row>
    <row r="49231" spans="23:23" x14ac:dyDescent="0.55000000000000004">
      <c r="W49231"/>
    </row>
    <row r="49232" spans="23:23" x14ac:dyDescent="0.55000000000000004">
      <c r="W49232"/>
    </row>
    <row r="49233" spans="23:23" x14ac:dyDescent="0.55000000000000004">
      <c r="W49233"/>
    </row>
    <row r="49234" spans="23:23" x14ac:dyDescent="0.55000000000000004">
      <c r="W49234"/>
    </row>
    <row r="49235" spans="23:23" x14ac:dyDescent="0.55000000000000004">
      <c r="W49235"/>
    </row>
    <row r="49236" spans="23:23" x14ac:dyDescent="0.55000000000000004">
      <c r="W49236"/>
    </row>
    <row r="49237" spans="23:23" x14ac:dyDescent="0.55000000000000004">
      <c r="W49237"/>
    </row>
    <row r="49238" spans="23:23" x14ac:dyDescent="0.55000000000000004">
      <c r="W49238"/>
    </row>
    <row r="49239" spans="23:23" x14ac:dyDescent="0.55000000000000004">
      <c r="W49239"/>
    </row>
    <row r="49240" spans="23:23" x14ac:dyDescent="0.55000000000000004">
      <c r="W49240"/>
    </row>
    <row r="49241" spans="23:23" x14ac:dyDescent="0.55000000000000004">
      <c r="W49241"/>
    </row>
    <row r="49242" spans="23:23" x14ac:dyDescent="0.55000000000000004">
      <c r="W49242"/>
    </row>
    <row r="49243" spans="23:23" x14ac:dyDescent="0.55000000000000004">
      <c r="W49243"/>
    </row>
    <row r="49244" spans="23:23" x14ac:dyDescent="0.55000000000000004">
      <c r="W49244"/>
    </row>
    <row r="49245" spans="23:23" x14ac:dyDescent="0.55000000000000004">
      <c r="W49245"/>
    </row>
    <row r="49246" spans="23:23" x14ac:dyDescent="0.55000000000000004">
      <c r="W49246"/>
    </row>
    <row r="49247" spans="23:23" x14ac:dyDescent="0.55000000000000004">
      <c r="W49247"/>
    </row>
    <row r="49248" spans="23:23" x14ac:dyDescent="0.55000000000000004">
      <c r="W49248"/>
    </row>
    <row r="49249" spans="23:23" x14ac:dyDescent="0.55000000000000004">
      <c r="W49249"/>
    </row>
    <row r="49250" spans="23:23" x14ac:dyDescent="0.55000000000000004">
      <c r="W49250"/>
    </row>
    <row r="49251" spans="23:23" x14ac:dyDescent="0.55000000000000004">
      <c r="W49251"/>
    </row>
    <row r="49252" spans="23:23" x14ac:dyDescent="0.55000000000000004">
      <c r="W49252"/>
    </row>
    <row r="49253" spans="23:23" x14ac:dyDescent="0.55000000000000004">
      <c r="W49253"/>
    </row>
    <row r="49254" spans="23:23" x14ac:dyDescent="0.55000000000000004">
      <c r="W49254"/>
    </row>
    <row r="49255" spans="23:23" x14ac:dyDescent="0.55000000000000004">
      <c r="W49255"/>
    </row>
    <row r="49256" spans="23:23" x14ac:dyDescent="0.55000000000000004">
      <c r="W49256"/>
    </row>
    <row r="49257" spans="23:23" x14ac:dyDescent="0.55000000000000004">
      <c r="W49257"/>
    </row>
    <row r="49258" spans="23:23" x14ac:dyDescent="0.55000000000000004">
      <c r="W49258"/>
    </row>
    <row r="49259" spans="23:23" x14ac:dyDescent="0.55000000000000004">
      <c r="W49259"/>
    </row>
    <row r="49260" spans="23:23" x14ac:dyDescent="0.55000000000000004">
      <c r="W49260"/>
    </row>
    <row r="49261" spans="23:23" x14ac:dyDescent="0.55000000000000004">
      <c r="W49261"/>
    </row>
    <row r="49262" spans="23:23" x14ac:dyDescent="0.55000000000000004">
      <c r="W49262"/>
    </row>
    <row r="49263" spans="23:23" x14ac:dyDescent="0.55000000000000004">
      <c r="W49263"/>
    </row>
    <row r="49264" spans="23:23" x14ac:dyDescent="0.55000000000000004">
      <c r="W49264"/>
    </row>
    <row r="49265" spans="23:23" x14ac:dyDescent="0.55000000000000004">
      <c r="W49265"/>
    </row>
    <row r="49266" spans="23:23" x14ac:dyDescent="0.55000000000000004">
      <c r="W49266"/>
    </row>
    <row r="49267" spans="23:23" x14ac:dyDescent="0.55000000000000004">
      <c r="W49267"/>
    </row>
    <row r="49268" spans="23:23" x14ac:dyDescent="0.55000000000000004">
      <c r="W49268"/>
    </row>
    <row r="49269" spans="23:23" x14ac:dyDescent="0.55000000000000004">
      <c r="W49269"/>
    </row>
    <row r="49270" spans="23:23" x14ac:dyDescent="0.55000000000000004">
      <c r="W49270"/>
    </row>
    <row r="49271" spans="23:23" x14ac:dyDescent="0.55000000000000004">
      <c r="W49271"/>
    </row>
    <row r="49272" spans="23:23" x14ac:dyDescent="0.55000000000000004">
      <c r="W49272"/>
    </row>
    <row r="49273" spans="23:23" x14ac:dyDescent="0.55000000000000004">
      <c r="W49273"/>
    </row>
    <row r="49274" spans="23:23" x14ac:dyDescent="0.55000000000000004">
      <c r="W49274"/>
    </row>
    <row r="49275" spans="23:23" x14ac:dyDescent="0.55000000000000004">
      <c r="W49275"/>
    </row>
    <row r="49276" spans="23:23" x14ac:dyDescent="0.55000000000000004">
      <c r="W49276"/>
    </row>
    <row r="49277" spans="23:23" x14ac:dyDescent="0.55000000000000004">
      <c r="W49277"/>
    </row>
    <row r="49278" spans="23:23" x14ac:dyDescent="0.55000000000000004">
      <c r="W49278"/>
    </row>
    <row r="49279" spans="23:23" x14ac:dyDescent="0.55000000000000004">
      <c r="W49279"/>
    </row>
    <row r="49280" spans="23:23" x14ac:dyDescent="0.55000000000000004">
      <c r="W49280"/>
    </row>
    <row r="49281" spans="23:23" x14ac:dyDescent="0.55000000000000004">
      <c r="W49281"/>
    </row>
    <row r="49282" spans="23:23" x14ac:dyDescent="0.55000000000000004">
      <c r="W49282"/>
    </row>
    <row r="49283" spans="23:23" x14ac:dyDescent="0.55000000000000004">
      <c r="W49283"/>
    </row>
    <row r="49284" spans="23:23" x14ac:dyDescent="0.55000000000000004">
      <c r="W49284"/>
    </row>
    <row r="49285" spans="23:23" x14ac:dyDescent="0.55000000000000004">
      <c r="W49285"/>
    </row>
    <row r="49286" spans="23:23" x14ac:dyDescent="0.55000000000000004">
      <c r="W49286"/>
    </row>
    <row r="49287" spans="23:23" x14ac:dyDescent="0.55000000000000004">
      <c r="W49287"/>
    </row>
    <row r="49288" spans="23:23" x14ac:dyDescent="0.55000000000000004">
      <c r="W49288"/>
    </row>
    <row r="49289" spans="23:23" x14ac:dyDescent="0.55000000000000004">
      <c r="W49289"/>
    </row>
    <row r="49290" spans="23:23" x14ac:dyDescent="0.55000000000000004">
      <c r="W49290"/>
    </row>
    <row r="49291" spans="23:23" x14ac:dyDescent="0.55000000000000004">
      <c r="W49291"/>
    </row>
    <row r="49292" spans="23:23" x14ac:dyDescent="0.55000000000000004">
      <c r="W49292"/>
    </row>
    <row r="49293" spans="23:23" x14ac:dyDescent="0.55000000000000004">
      <c r="W49293"/>
    </row>
    <row r="49294" spans="23:23" x14ac:dyDescent="0.55000000000000004">
      <c r="W49294"/>
    </row>
    <row r="49295" spans="23:23" x14ac:dyDescent="0.55000000000000004">
      <c r="W49295"/>
    </row>
    <row r="49296" spans="23:23" x14ac:dyDescent="0.55000000000000004">
      <c r="W49296"/>
    </row>
    <row r="49297" spans="23:23" x14ac:dyDescent="0.55000000000000004">
      <c r="W49297"/>
    </row>
    <row r="49298" spans="23:23" x14ac:dyDescent="0.55000000000000004">
      <c r="W49298"/>
    </row>
    <row r="49299" spans="23:23" x14ac:dyDescent="0.55000000000000004">
      <c r="W49299"/>
    </row>
    <row r="49300" spans="23:23" x14ac:dyDescent="0.55000000000000004">
      <c r="W49300"/>
    </row>
    <row r="49301" spans="23:23" x14ac:dyDescent="0.55000000000000004">
      <c r="W49301"/>
    </row>
    <row r="49302" spans="23:23" x14ac:dyDescent="0.55000000000000004">
      <c r="W49302"/>
    </row>
    <row r="49303" spans="23:23" x14ac:dyDescent="0.55000000000000004">
      <c r="W49303"/>
    </row>
    <row r="49304" spans="23:23" x14ac:dyDescent="0.55000000000000004">
      <c r="W49304"/>
    </row>
    <row r="49305" spans="23:23" x14ac:dyDescent="0.55000000000000004">
      <c r="W49305"/>
    </row>
    <row r="49306" spans="23:23" x14ac:dyDescent="0.55000000000000004">
      <c r="W49306"/>
    </row>
    <row r="49307" spans="23:23" x14ac:dyDescent="0.55000000000000004">
      <c r="W49307"/>
    </row>
    <row r="49308" spans="23:23" x14ac:dyDescent="0.55000000000000004">
      <c r="W49308"/>
    </row>
    <row r="49309" spans="23:23" x14ac:dyDescent="0.55000000000000004">
      <c r="W49309"/>
    </row>
    <row r="49310" spans="23:23" x14ac:dyDescent="0.55000000000000004">
      <c r="W49310"/>
    </row>
    <row r="49311" spans="23:23" x14ac:dyDescent="0.55000000000000004">
      <c r="W49311"/>
    </row>
    <row r="49312" spans="23:23" x14ac:dyDescent="0.55000000000000004">
      <c r="W49312"/>
    </row>
    <row r="49313" spans="23:23" x14ac:dyDescent="0.55000000000000004">
      <c r="W49313"/>
    </row>
    <row r="49314" spans="23:23" x14ac:dyDescent="0.55000000000000004">
      <c r="W49314"/>
    </row>
    <row r="49315" spans="23:23" x14ac:dyDescent="0.55000000000000004">
      <c r="W49315"/>
    </row>
    <row r="49316" spans="23:23" x14ac:dyDescent="0.55000000000000004">
      <c r="W49316"/>
    </row>
    <row r="49317" spans="23:23" x14ac:dyDescent="0.55000000000000004">
      <c r="W49317"/>
    </row>
    <row r="49318" spans="23:23" x14ac:dyDescent="0.55000000000000004">
      <c r="W49318"/>
    </row>
    <row r="49319" spans="23:23" x14ac:dyDescent="0.55000000000000004">
      <c r="W49319"/>
    </row>
    <row r="49320" spans="23:23" x14ac:dyDescent="0.55000000000000004">
      <c r="W49320"/>
    </row>
    <row r="49321" spans="23:23" x14ac:dyDescent="0.55000000000000004">
      <c r="W49321"/>
    </row>
    <row r="49322" spans="23:23" x14ac:dyDescent="0.55000000000000004">
      <c r="W49322"/>
    </row>
    <row r="49323" spans="23:23" x14ac:dyDescent="0.55000000000000004">
      <c r="W49323"/>
    </row>
    <row r="49324" spans="23:23" x14ac:dyDescent="0.55000000000000004">
      <c r="W49324"/>
    </row>
    <row r="49325" spans="23:23" x14ac:dyDescent="0.55000000000000004">
      <c r="W49325"/>
    </row>
    <row r="49326" spans="23:23" x14ac:dyDescent="0.55000000000000004">
      <c r="W49326"/>
    </row>
    <row r="49327" spans="23:23" x14ac:dyDescent="0.55000000000000004">
      <c r="W49327"/>
    </row>
    <row r="49328" spans="23:23" x14ac:dyDescent="0.55000000000000004">
      <c r="W49328"/>
    </row>
    <row r="49329" spans="23:23" x14ac:dyDescent="0.55000000000000004">
      <c r="W49329"/>
    </row>
    <row r="49330" spans="23:23" x14ac:dyDescent="0.55000000000000004">
      <c r="W49330"/>
    </row>
    <row r="49331" spans="23:23" x14ac:dyDescent="0.55000000000000004">
      <c r="W49331"/>
    </row>
    <row r="49332" spans="23:23" x14ac:dyDescent="0.55000000000000004">
      <c r="W49332"/>
    </row>
    <row r="49333" spans="23:23" x14ac:dyDescent="0.55000000000000004">
      <c r="W49333"/>
    </row>
    <row r="49334" spans="23:23" x14ac:dyDescent="0.55000000000000004">
      <c r="W49334"/>
    </row>
    <row r="49335" spans="23:23" x14ac:dyDescent="0.55000000000000004">
      <c r="W49335"/>
    </row>
    <row r="49336" spans="23:23" x14ac:dyDescent="0.55000000000000004">
      <c r="W49336"/>
    </row>
    <row r="49337" spans="23:23" x14ac:dyDescent="0.55000000000000004">
      <c r="W49337"/>
    </row>
    <row r="49338" spans="23:23" x14ac:dyDescent="0.55000000000000004">
      <c r="W49338"/>
    </row>
    <row r="49339" spans="23:23" x14ac:dyDescent="0.55000000000000004">
      <c r="W49339"/>
    </row>
    <row r="49340" spans="23:23" x14ac:dyDescent="0.55000000000000004">
      <c r="W49340"/>
    </row>
    <row r="49341" spans="23:23" x14ac:dyDescent="0.55000000000000004">
      <c r="W49341"/>
    </row>
    <row r="49342" spans="23:23" x14ac:dyDescent="0.55000000000000004">
      <c r="W49342"/>
    </row>
    <row r="49343" spans="23:23" x14ac:dyDescent="0.55000000000000004">
      <c r="W49343"/>
    </row>
    <row r="49344" spans="23:23" x14ac:dyDescent="0.55000000000000004">
      <c r="W49344"/>
    </row>
    <row r="49345" spans="23:23" x14ac:dyDescent="0.55000000000000004">
      <c r="W49345"/>
    </row>
    <row r="49346" spans="23:23" x14ac:dyDescent="0.55000000000000004">
      <c r="W49346"/>
    </row>
    <row r="49347" spans="23:23" x14ac:dyDescent="0.55000000000000004">
      <c r="W49347"/>
    </row>
    <row r="49348" spans="23:23" x14ac:dyDescent="0.55000000000000004">
      <c r="W49348"/>
    </row>
    <row r="49349" spans="23:23" x14ac:dyDescent="0.55000000000000004">
      <c r="W49349"/>
    </row>
    <row r="49350" spans="23:23" x14ac:dyDescent="0.55000000000000004">
      <c r="W49350"/>
    </row>
    <row r="49351" spans="23:23" x14ac:dyDescent="0.55000000000000004">
      <c r="W49351"/>
    </row>
    <row r="49352" spans="23:23" x14ac:dyDescent="0.55000000000000004">
      <c r="W49352"/>
    </row>
    <row r="49353" spans="23:23" x14ac:dyDescent="0.55000000000000004">
      <c r="W49353"/>
    </row>
    <row r="49354" spans="23:23" x14ac:dyDescent="0.55000000000000004">
      <c r="W49354"/>
    </row>
    <row r="49355" spans="23:23" x14ac:dyDescent="0.55000000000000004">
      <c r="W49355"/>
    </row>
    <row r="49356" spans="23:23" x14ac:dyDescent="0.55000000000000004">
      <c r="W49356"/>
    </row>
    <row r="49357" spans="23:23" x14ac:dyDescent="0.55000000000000004">
      <c r="W49357"/>
    </row>
    <row r="49358" spans="23:23" x14ac:dyDescent="0.55000000000000004">
      <c r="W49358"/>
    </row>
    <row r="49359" spans="23:23" x14ac:dyDescent="0.55000000000000004">
      <c r="W49359"/>
    </row>
    <row r="49360" spans="23:23" x14ac:dyDescent="0.55000000000000004">
      <c r="W49360"/>
    </row>
    <row r="49361" spans="23:23" x14ac:dyDescent="0.55000000000000004">
      <c r="W49361"/>
    </row>
    <row r="49362" spans="23:23" x14ac:dyDescent="0.55000000000000004">
      <c r="W49362"/>
    </row>
    <row r="49363" spans="23:23" x14ac:dyDescent="0.55000000000000004">
      <c r="W49363"/>
    </row>
    <row r="49364" spans="23:23" x14ac:dyDescent="0.55000000000000004">
      <c r="W49364"/>
    </row>
    <row r="49365" spans="23:23" x14ac:dyDescent="0.55000000000000004">
      <c r="W49365"/>
    </row>
    <row r="49366" spans="23:23" x14ac:dyDescent="0.55000000000000004">
      <c r="W49366"/>
    </row>
    <row r="49367" spans="23:23" x14ac:dyDescent="0.55000000000000004">
      <c r="W49367"/>
    </row>
    <row r="49368" spans="23:23" x14ac:dyDescent="0.55000000000000004">
      <c r="W49368"/>
    </row>
    <row r="49369" spans="23:23" x14ac:dyDescent="0.55000000000000004">
      <c r="W49369"/>
    </row>
    <row r="49370" spans="23:23" x14ac:dyDescent="0.55000000000000004">
      <c r="W49370"/>
    </row>
    <row r="49371" spans="23:23" x14ac:dyDescent="0.55000000000000004">
      <c r="W49371"/>
    </row>
    <row r="49372" spans="23:23" x14ac:dyDescent="0.55000000000000004">
      <c r="W49372"/>
    </row>
    <row r="49373" spans="23:23" x14ac:dyDescent="0.55000000000000004">
      <c r="W49373"/>
    </row>
    <row r="49374" spans="23:23" x14ac:dyDescent="0.55000000000000004">
      <c r="W49374"/>
    </row>
    <row r="49375" spans="23:23" x14ac:dyDescent="0.55000000000000004">
      <c r="W49375"/>
    </row>
    <row r="49376" spans="23:23" x14ac:dyDescent="0.55000000000000004">
      <c r="W49376"/>
    </row>
    <row r="49377" spans="23:23" x14ac:dyDescent="0.55000000000000004">
      <c r="W49377"/>
    </row>
    <row r="49378" spans="23:23" x14ac:dyDescent="0.55000000000000004">
      <c r="W49378"/>
    </row>
    <row r="49379" spans="23:23" x14ac:dyDescent="0.55000000000000004">
      <c r="W49379"/>
    </row>
    <row r="49380" spans="23:23" x14ac:dyDescent="0.55000000000000004">
      <c r="W49380"/>
    </row>
    <row r="49381" spans="23:23" x14ac:dyDescent="0.55000000000000004">
      <c r="W49381"/>
    </row>
    <row r="49382" spans="23:23" x14ac:dyDescent="0.55000000000000004">
      <c r="W49382"/>
    </row>
    <row r="49383" spans="23:23" x14ac:dyDescent="0.55000000000000004">
      <c r="W49383"/>
    </row>
    <row r="49384" spans="23:23" x14ac:dyDescent="0.55000000000000004">
      <c r="W49384"/>
    </row>
    <row r="49385" spans="23:23" x14ac:dyDescent="0.55000000000000004">
      <c r="W49385"/>
    </row>
    <row r="49386" spans="23:23" x14ac:dyDescent="0.55000000000000004">
      <c r="W49386"/>
    </row>
    <row r="49387" spans="23:23" x14ac:dyDescent="0.55000000000000004">
      <c r="W49387"/>
    </row>
    <row r="49388" spans="23:23" x14ac:dyDescent="0.55000000000000004">
      <c r="W49388"/>
    </row>
    <row r="49389" spans="23:23" x14ac:dyDescent="0.55000000000000004">
      <c r="W49389"/>
    </row>
    <row r="49390" spans="23:23" x14ac:dyDescent="0.55000000000000004">
      <c r="W49390"/>
    </row>
    <row r="49391" spans="23:23" x14ac:dyDescent="0.55000000000000004">
      <c r="W49391"/>
    </row>
    <row r="49392" spans="23:23" x14ac:dyDescent="0.55000000000000004">
      <c r="W49392"/>
    </row>
    <row r="49393" spans="23:23" x14ac:dyDescent="0.55000000000000004">
      <c r="W49393"/>
    </row>
    <row r="49394" spans="23:23" x14ac:dyDescent="0.55000000000000004">
      <c r="W49394"/>
    </row>
    <row r="49395" spans="23:23" x14ac:dyDescent="0.55000000000000004">
      <c r="W49395"/>
    </row>
    <row r="49396" spans="23:23" x14ac:dyDescent="0.55000000000000004">
      <c r="W49396"/>
    </row>
    <row r="49397" spans="23:23" x14ac:dyDescent="0.55000000000000004">
      <c r="W49397"/>
    </row>
    <row r="49398" spans="23:23" x14ac:dyDescent="0.55000000000000004">
      <c r="W49398"/>
    </row>
    <row r="49399" spans="23:23" x14ac:dyDescent="0.55000000000000004">
      <c r="W49399"/>
    </row>
    <row r="49400" spans="23:23" x14ac:dyDescent="0.55000000000000004">
      <c r="W49400"/>
    </row>
    <row r="49401" spans="23:23" x14ac:dyDescent="0.55000000000000004">
      <c r="W49401"/>
    </row>
    <row r="49402" spans="23:23" x14ac:dyDescent="0.55000000000000004">
      <c r="W49402"/>
    </row>
    <row r="49403" spans="23:23" x14ac:dyDescent="0.55000000000000004">
      <c r="W49403"/>
    </row>
    <row r="49404" spans="23:23" x14ac:dyDescent="0.55000000000000004">
      <c r="W49404"/>
    </row>
    <row r="49405" spans="23:23" x14ac:dyDescent="0.55000000000000004">
      <c r="W49405"/>
    </row>
    <row r="49406" spans="23:23" x14ac:dyDescent="0.55000000000000004">
      <c r="W49406"/>
    </row>
    <row r="49407" spans="23:23" x14ac:dyDescent="0.55000000000000004">
      <c r="W49407"/>
    </row>
    <row r="49408" spans="23:23" x14ac:dyDescent="0.55000000000000004">
      <c r="W49408"/>
    </row>
    <row r="49409" spans="23:23" x14ac:dyDescent="0.55000000000000004">
      <c r="W49409"/>
    </row>
    <row r="49410" spans="23:23" x14ac:dyDescent="0.55000000000000004">
      <c r="W49410"/>
    </row>
    <row r="49411" spans="23:23" x14ac:dyDescent="0.55000000000000004">
      <c r="W49411"/>
    </row>
    <row r="49412" spans="23:23" x14ac:dyDescent="0.55000000000000004">
      <c r="W49412"/>
    </row>
    <row r="49413" spans="23:23" x14ac:dyDescent="0.55000000000000004">
      <c r="W49413"/>
    </row>
    <row r="49414" spans="23:23" x14ac:dyDescent="0.55000000000000004">
      <c r="W49414"/>
    </row>
    <row r="49415" spans="23:23" x14ac:dyDescent="0.55000000000000004">
      <c r="W49415"/>
    </row>
    <row r="49416" spans="23:23" x14ac:dyDescent="0.55000000000000004">
      <c r="W49416"/>
    </row>
    <row r="49417" spans="23:23" x14ac:dyDescent="0.55000000000000004">
      <c r="W49417"/>
    </row>
    <row r="49418" spans="23:23" x14ac:dyDescent="0.55000000000000004">
      <c r="W49418"/>
    </row>
    <row r="49419" spans="23:23" x14ac:dyDescent="0.55000000000000004">
      <c r="W49419"/>
    </row>
    <row r="49420" spans="23:23" x14ac:dyDescent="0.55000000000000004">
      <c r="W49420"/>
    </row>
    <row r="49421" spans="23:23" x14ac:dyDescent="0.55000000000000004">
      <c r="W49421"/>
    </row>
    <row r="49422" spans="23:23" x14ac:dyDescent="0.55000000000000004">
      <c r="W49422"/>
    </row>
    <row r="49423" spans="23:23" x14ac:dyDescent="0.55000000000000004">
      <c r="W49423"/>
    </row>
    <row r="49424" spans="23:23" x14ac:dyDescent="0.55000000000000004">
      <c r="W49424"/>
    </row>
    <row r="49425" spans="23:23" x14ac:dyDescent="0.55000000000000004">
      <c r="W49425"/>
    </row>
    <row r="49426" spans="23:23" x14ac:dyDescent="0.55000000000000004">
      <c r="W49426"/>
    </row>
    <row r="49427" spans="23:23" x14ac:dyDescent="0.55000000000000004">
      <c r="W49427"/>
    </row>
    <row r="49428" spans="23:23" x14ac:dyDescent="0.55000000000000004">
      <c r="W49428"/>
    </row>
    <row r="49429" spans="23:23" x14ac:dyDescent="0.55000000000000004">
      <c r="W49429"/>
    </row>
    <row r="49430" spans="23:23" x14ac:dyDescent="0.55000000000000004">
      <c r="W49430"/>
    </row>
    <row r="49431" spans="23:23" x14ac:dyDescent="0.55000000000000004">
      <c r="W49431"/>
    </row>
    <row r="49432" spans="23:23" x14ac:dyDescent="0.55000000000000004">
      <c r="W49432"/>
    </row>
    <row r="49433" spans="23:23" x14ac:dyDescent="0.55000000000000004">
      <c r="W49433"/>
    </row>
    <row r="49434" spans="23:23" x14ac:dyDescent="0.55000000000000004">
      <c r="W49434"/>
    </row>
    <row r="49435" spans="23:23" x14ac:dyDescent="0.55000000000000004">
      <c r="W49435"/>
    </row>
    <row r="49436" spans="23:23" x14ac:dyDescent="0.55000000000000004">
      <c r="W49436"/>
    </row>
    <row r="49437" spans="23:23" x14ac:dyDescent="0.55000000000000004">
      <c r="W49437"/>
    </row>
    <row r="49438" spans="23:23" x14ac:dyDescent="0.55000000000000004">
      <c r="W49438"/>
    </row>
    <row r="49439" spans="23:23" x14ac:dyDescent="0.55000000000000004">
      <c r="W49439"/>
    </row>
    <row r="49440" spans="23:23" x14ac:dyDescent="0.55000000000000004">
      <c r="W49440"/>
    </row>
    <row r="49441" spans="23:23" x14ac:dyDescent="0.55000000000000004">
      <c r="W49441"/>
    </row>
    <row r="49442" spans="23:23" x14ac:dyDescent="0.55000000000000004">
      <c r="W49442"/>
    </row>
    <row r="49443" spans="23:23" x14ac:dyDescent="0.55000000000000004">
      <c r="W49443"/>
    </row>
    <row r="49444" spans="23:23" x14ac:dyDescent="0.55000000000000004">
      <c r="W49444"/>
    </row>
    <row r="49445" spans="23:23" x14ac:dyDescent="0.55000000000000004">
      <c r="W49445"/>
    </row>
    <row r="49446" spans="23:23" x14ac:dyDescent="0.55000000000000004">
      <c r="W49446"/>
    </row>
    <row r="49447" spans="23:23" x14ac:dyDescent="0.55000000000000004">
      <c r="W49447"/>
    </row>
    <row r="49448" spans="23:23" x14ac:dyDescent="0.55000000000000004">
      <c r="W49448"/>
    </row>
    <row r="49449" spans="23:23" x14ac:dyDescent="0.55000000000000004">
      <c r="W49449"/>
    </row>
    <row r="49450" spans="23:23" x14ac:dyDescent="0.55000000000000004">
      <c r="W49450"/>
    </row>
    <row r="49451" spans="23:23" x14ac:dyDescent="0.55000000000000004">
      <c r="W49451"/>
    </row>
    <row r="49452" spans="23:23" x14ac:dyDescent="0.55000000000000004">
      <c r="W49452"/>
    </row>
    <row r="49453" spans="23:23" x14ac:dyDescent="0.55000000000000004">
      <c r="W49453"/>
    </row>
    <row r="49454" spans="23:23" x14ac:dyDescent="0.55000000000000004">
      <c r="W49454"/>
    </row>
    <row r="49455" spans="23:23" x14ac:dyDescent="0.55000000000000004">
      <c r="W49455"/>
    </row>
    <row r="49456" spans="23:23" x14ac:dyDescent="0.55000000000000004">
      <c r="W49456"/>
    </row>
    <row r="49457" spans="23:23" x14ac:dyDescent="0.55000000000000004">
      <c r="W49457"/>
    </row>
    <row r="49458" spans="23:23" x14ac:dyDescent="0.55000000000000004">
      <c r="W49458"/>
    </row>
    <row r="49459" spans="23:23" x14ac:dyDescent="0.55000000000000004">
      <c r="W49459"/>
    </row>
    <row r="49460" spans="23:23" x14ac:dyDescent="0.55000000000000004">
      <c r="W49460"/>
    </row>
    <row r="49461" spans="23:23" x14ac:dyDescent="0.55000000000000004">
      <c r="W49461"/>
    </row>
    <row r="49462" spans="23:23" x14ac:dyDescent="0.55000000000000004">
      <c r="W49462"/>
    </row>
    <row r="49463" spans="23:23" x14ac:dyDescent="0.55000000000000004">
      <c r="W49463"/>
    </row>
    <row r="49464" spans="23:23" x14ac:dyDescent="0.55000000000000004">
      <c r="W49464"/>
    </row>
    <row r="49465" spans="23:23" x14ac:dyDescent="0.55000000000000004">
      <c r="W49465"/>
    </row>
    <row r="49466" spans="23:23" x14ac:dyDescent="0.55000000000000004">
      <c r="W49466"/>
    </row>
    <row r="49467" spans="23:23" x14ac:dyDescent="0.55000000000000004">
      <c r="W49467"/>
    </row>
    <row r="49468" spans="23:23" x14ac:dyDescent="0.55000000000000004">
      <c r="W49468"/>
    </row>
    <row r="49469" spans="23:23" x14ac:dyDescent="0.55000000000000004">
      <c r="W49469"/>
    </row>
    <row r="49470" spans="23:23" x14ac:dyDescent="0.55000000000000004">
      <c r="W49470"/>
    </row>
    <row r="49471" spans="23:23" x14ac:dyDescent="0.55000000000000004">
      <c r="W49471"/>
    </row>
    <row r="49472" spans="23:23" x14ac:dyDescent="0.55000000000000004">
      <c r="W49472"/>
    </row>
    <row r="49473" spans="23:23" x14ac:dyDescent="0.55000000000000004">
      <c r="W49473"/>
    </row>
    <row r="49474" spans="23:23" x14ac:dyDescent="0.55000000000000004">
      <c r="W49474"/>
    </row>
    <row r="49475" spans="23:23" x14ac:dyDescent="0.55000000000000004">
      <c r="W49475"/>
    </row>
    <row r="49476" spans="23:23" x14ac:dyDescent="0.55000000000000004">
      <c r="W49476"/>
    </row>
    <row r="49477" spans="23:23" x14ac:dyDescent="0.55000000000000004">
      <c r="W49477"/>
    </row>
    <row r="49478" spans="23:23" x14ac:dyDescent="0.55000000000000004">
      <c r="W49478"/>
    </row>
    <row r="49479" spans="23:23" x14ac:dyDescent="0.55000000000000004">
      <c r="W49479"/>
    </row>
    <row r="49480" spans="23:23" x14ac:dyDescent="0.55000000000000004">
      <c r="W49480"/>
    </row>
    <row r="49481" spans="23:23" x14ac:dyDescent="0.55000000000000004">
      <c r="W49481"/>
    </row>
    <row r="49482" spans="23:23" x14ac:dyDescent="0.55000000000000004">
      <c r="W49482"/>
    </row>
    <row r="49483" spans="23:23" x14ac:dyDescent="0.55000000000000004">
      <c r="W49483"/>
    </row>
    <row r="49484" spans="23:23" x14ac:dyDescent="0.55000000000000004">
      <c r="W49484"/>
    </row>
    <row r="49485" spans="23:23" x14ac:dyDescent="0.55000000000000004">
      <c r="W49485"/>
    </row>
    <row r="49486" spans="23:23" x14ac:dyDescent="0.55000000000000004">
      <c r="W49486"/>
    </row>
    <row r="49487" spans="23:23" x14ac:dyDescent="0.55000000000000004">
      <c r="W49487"/>
    </row>
    <row r="49488" spans="23:23" x14ac:dyDescent="0.55000000000000004">
      <c r="W49488"/>
    </row>
    <row r="49489" spans="23:23" x14ac:dyDescent="0.55000000000000004">
      <c r="W49489"/>
    </row>
    <row r="49490" spans="23:23" x14ac:dyDescent="0.55000000000000004">
      <c r="W49490"/>
    </row>
    <row r="49491" spans="23:23" x14ac:dyDescent="0.55000000000000004">
      <c r="W49491"/>
    </row>
    <row r="49492" spans="23:23" x14ac:dyDescent="0.55000000000000004">
      <c r="W49492"/>
    </row>
    <row r="49493" spans="23:23" x14ac:dyDescent="0.55000000000000004">
      <c r="W49493"/>
    </row>
    <row r="49494" spans="23:23" x14ac:dyDescent="0.55000000000000004">
      <c r="W49494"/>
    </row>
    <row r="49495" spans="23:23" x14ac:dyDescent="0.55000000000000004">
      <c r="W49495"/>
    </row>
    <row r="49496" spans="23:23" x14ac:dyDescent="0.55000000000000004">
      <c r="W49496"/>
    </row>
    <row r="49497" spans="23:23" x14ac:dyDescent="0.55000000000000004">
      <c r="W49497"/>
    </row>
    <row r="49498" spans="23:23" x14ac:dyDescent="0.55000000000000004">
      <c r="W49498"/>
    </row>
    <row r="49499" spans="23:23" x14ac:dyDescent="0.55000000000000004">
      <c r="W49499"/>
    </row>
    <row r="49500" spans="23:23" x14ac:dyDescent="0.55000000000000004">
      <c r="W49500"/>
    </row>
    <row r="49501" spans="23:23" x14ac:dyDescent="0.55000000000000004">
      <c r="W49501"/>
    </row>
    <row r="49502" spans="23:23" x14ac:dyDescent="0.55000000000000004">
      <c r="W49502"/>
    </row>
    <row r="49503" spans="23:23" x14ac:dyDescent="0.55000000000000004">
      <c r="W49503"/>
    </row>
    <row r="49504" spans="23:23" x14ac:dyDescent="0.55000000000000004">
      <c r="W49504"/>
    </row>
    <row r="49505" spans="23:23" x14ac:dyDescent="0.55000000000000004">
      <c r="W49505"/>
    </row>
    <row r="49506" spans="23:23" x14ac:dyDescent="0.55000000000000004">
      <c r="W49506"/>
    </row>
    <row r="49507" spans="23:23" x14ac:dyDescent="0.55000000000000004">
      <c r="W49507"/>
    </row>
    <row r="49508" spans="23:23" x14ac:dyDescent="0.55000000000000004">
      <c r="W49508"/>
    </row>
    <row r="49509" spans="23:23" x14ac:dyDescent="0.55000000000000004">
      <c r="W49509"/>
    </row>
    <row r="49510" spans="23:23" x14ac:dyDescent="0.55000000000000004">
      <c r="W49510"/>
    </row>
    <row r="49511" spans="23:23" x14ac:dyDescent="0.55000000000000004">
      <c r="W49511"/>
    </row>
    <row r="49512" spans="23:23" x14ac:dyDescent="0.55000000000000004">
      <c r="W49512"/>
    </row>
    <row r="49513" spans="23:23" x14ac:dyDescent="0.55000000000000004">
      <c r="W49513"/>
    </row>
    <row r="49514" spans="23:23" x14ac:dyDescent="0.55000000000000004">
      <c r="W49514"/>
    </row>
    <row r="49515" spans="23:23" x14ac:dyDescent="0.55000000000000004">
      <c r="W49515"/>
    </row>
    <row r="49516" spans="23:23" x14ac:dyDescent="0.55000000000000004">
      <c r="W49516"/>
    </row>
    <row r="49517" spans="23:23" x14ac:dyDescent="0.55000000000000004">
      <c r="W49517"/>
    </row>
    <row r="49518" spans="23:23" x14ac:dyDescent="0.55000000000000004">
      <c r="W49518"/>
    </row>
    <row r="49519" spans="23:23" x14ac:dyDescent="0.55000000000000004">
      <c r="W49519"/>
    </row>
    <row r="49520" spans="23:23" x14ac:dyDescent="0.55000000000000004">
      <c r="W49520"/>
    </row>
    <row r="49521" spans="23:23" x14ac:dyDescent="0.55000000000000004">
      <c r="W49521"/>
    </row>
    <row r="49522" spans="23:23" x14ac:dyDescent="0.55000000000000004">
      <c r="W49522"/>
    </row>
    <row r="49523" spans="23:23" x14ac:dyDescent="0.55000000000000004">
      <c r="W49523"/>
    </row>
    <row r="49524" spans="23:23" x14ac:dyDescent="0.55000000000000004">
      <c r="W49524"/>
    </row>
    <row r="49525" spans="23:23" x14ac:dyDescent="0.55000000000000004">
      <c r="W49525"/>
    </row>
    <row r="49526" spans="23:23" x14ac:dyDescent="0.55000000000000004">
      <c r="W49526"/>
    </row>
    <row r="49527" spans="23:23" x14ac:dyDescent="0.55000000000000004">
      <c r="W49527"/>
    </row>
    <row r="49528" spans="23:23" x14ac:dyDescent="0.55000000000000004">
      <c r="W49528"/>
    </row>
    <row r="49529" spans="23:23" x14ac:dyDescent="0.55000000000000004">
      <c r="W49529"/>
    </row>
    <row r="49530" spans="23:23" x14ac:dyDescent="0.55000000000000004">
      <c r="W49530"/>
    </row>
    <row r="49531" spans="23:23" x14ac:dyDescent="0.55000000000000004">
      <c r="W49531"/>
    </row>
    <row r="49532" spans="23:23" x14ac:dyDescent="0.55000000000000004">
      <c r="W49532"/>
    </row>
    <row r="49533" spans="23:23" x14ac:dyDescent="0.55000000000000004">
      <c r="W49533"/>
    </row>
    <row r="49534" spans="23:23" x14ac:dyDescent="0.55000000000000004">
      <c r="W49534"/>
    </row>
    <row r="49535" spans="23:23" x14ac:dyDescent="0.55000000000000004">
      <c r="W49535"/>
    </row>
    <row r="49536" spans="23:23" x14ac:dyDescent="0.55000000000000004">
      <c r="W49536"/>
    </row>
    <row r="49537" spans="23:23" x14ac:dyDescent="0.55000000000000004">
      <c r="W49537"/>
    </row>
    <row r="49538" spans="23:23" x14ac:dyDescent="0.55000000000000004">
      <c r="W49538"/>
    </row>
    <row r="49539" spans="23:23" x14ac:dyDescent="0.55000000000000004">
      <c r="W49539"/>
    </row>
    <row r="49540" spans="23:23" x14ac:dyDescent="0.55000000000000004">
      <c r="W49540"/>
    </row>
    <row r="49541" spans="23:23" x14ac:dyDescent="0.55000000000000004">
      <c r="W49541"/>
    </row>
    <row r="49542" spans="23:23" x14ac:dyDescent="0.55000000000000004">
      <c r="W49542"/>
    </row>
    <row r="49543" spans="23:23" x14ac:dyDescent="0.55000000000000004">
      <c r="W49543"/>
    </row>
    <row r="49544" spans="23:23" x14ac:dyDescent="0.55000000000000004">
      <c r="W49544"/>
    </row>
    <row r="49545" spans="23:23" x14ac:dyDescent="0.55000000000000004">
      <c r="W49545"/>
    </row>
    <row r="49546" spans="23:23" x14ac:dyDescent="0.55000000000000004">
      <c r="W49546"/>
    </row>
    <row r="49547" spans="23:23" x14ac:dyDescent="0.55000000000000004">
      <c r="W49547"/>
    </row>
    <row r="49548" spans="23:23" x14ac:dyDescent="0.55000000000000004">
      <c r="W49548"/>
    </row>
    <row r="49549" spans="23:23" x14ac:dyDescent="0.55000000000000004">
      <c r="W49549"/>
    </row>
    <row r="49550" spans="23:23" x14ac:dyDescent="0.55000000000000004">
      <c r="W49550"/>
    </row>
    <row r="49551" spans="23:23" x14ac:dyDescent="0.55000000000000004">
      <c r="W49551"/>
    </row>
    <row r="49552" spans="23:23" x14ac:dyDescent="0.55000000000000004">
      <c r="W49552"/>
    </row>
    <row r="49553" spans="23:23" x14ac:dyDescent="0.55000000000000004">
      <c r="W49553"/>
    </row>
    <row r="49554" spans="23:23" x14ac:dyDescent="0.55000000000000004">
      <c r="W49554"/>
    </row>
    <row r="49555" spans="23:23" x14ac:dyDescent="0.55000000000000004">
      <c r="W49555"/>
    </row>
    <row r="49556" spans="23:23" x14ac:dyDescent="0.55000000000000004">
      <c r="W49556"/>
    </row>
    <row r="49557" spans="23:23" x14ac:dyDescent="0.55000000000000004">
      <c r="W49557"/>
    </row>
    <row r="49558" spans="23:23" x14ac:dyDescent="0.55000000000000004">
      <c r="W49558"/>
    </row>
    <row r="49559" spans="23:23" x14ac:dyDescent="0.55000000000000004">
      <c r="W49559"/>
    </row>
    <row r="49560" spans="23:23" x14ac:dyDescent="0.55000000000000004">
      <c r="W49560"/>
    </row>
    <row r="49561" spans="23:23" x14ac:dyDescent="0.55000000000000004">
      <c r="W49561"/>
    </row>
    <row r="49562" spans="23:23" x14ac:dyDescent="0.55000000000000004">
      <c r="W49562"/>
    </row>
    <row r="49563" spans="23:23" x14ac:dyDescent="0.55000000000000004">
      <c r="W49563"/>
    </row>
    <row r="49564" spans="23:23" x14ac:dyDescent="0.55000000000000004">
      <c r="W49564"/>
    </row>
    <row r="49565" spans="23:23" x14ac:dyDescent="0.55000000000000004">
      <c r="W49565"/>
    </row>
    <row r="49566" spans="23:23" x14ac:dyDescent="0.55000000000000004">
      <c r="W49566"/>
    </row>
    <row r="49567" spans="23:23" x14ac:dyDescent="0.55000000000000004">
      <c r="W49567"/>
    </row>
    <row r="49568" spans="23:23" x14ac:dyDescent="0.55000000000000004">
      <c r="W49568"/>
    </row>
    <row r="49569" spans="23:23" x14ac:dyDescent="0.55000000000000004">
      <c r="W49569"/>
    </row>
    <row r="49570" spans="23:23" x14ac:dyDescent="0.55000000000000004">
      <c r="W49570"/>
    </row>
    <row r="49571" spans="23:23" x14ac:dyDescent="0.55000000000000004">
      <c r="W49571"/>
    </row>
    <row r="49572" spans="23:23" x14ac:dyDescent="0.55000000000000004">
      <c r="W49572"/>
    </row>
    <row r="49573" spans="23:23" x14ac:dyDescent="0.55000000000000004">
      <c r="W49573"/>
    </row>
    <row r="49574" spans="23:23" x14ac:dyDescent="0.55000000000000004">
      <c r="W49574"/>
    </row>
    <row r="49575" spans="23:23" x14ac:dyDescent="0.55000000000000004">
      <c r="W49575"/>
    </row>
    <row r="49576" spans="23:23" x14ac:dyDescent="0.55000000000000004">
      <c r="W49576"/>
    </row>
    <row r="49577" spans="23:23" x14ac:dyDescent="0.55000000000000004">
      <c r="W49577"/>
    </row>
    <row r="49578" spans="23:23" x14ac:dyDescent="0.55000000000000004">
      <c r="W49578"/>
    </row>
    <row r="49579" spans="23:23" x14ac:dyDescent="0.55000000000000004">
      <c r="W49579"/>
    </row>
    <row r="49580" spans="23:23" x14ac:dyDescent="0.55000000000000004">
      <c r="W49580"/>
    </row>
    <row r="49581" spans="23:23" x14ac:dyDescent="0.55000000000000004">
      <c r="W49581"/>
    </row>
    <row r="49582" spans="23:23" x14ac:dyDescent="0.55000000000000004">
      <c r="W49582"/>
    </row>
    <row r="49583" spans="23:23" x14ac:dyDescent="0.55000000000000004">
      <c r="W49583"/>
    </row>
    <row r="49584" spans="23:23" x14ac:dyDescent="0.55000000000000004">
      <c r="W49584"/>
    </row>
    <row r="49585" spans="23:23" x14ac:dyDescent="0.55000000000000004">
      <c r="W49585"/>
    </row>
    <row r="49586" spans="23:23" x14ac:dyDescent="0.55000000000000004">
      <c r="W49586"/>
    </row>
    <row r="49587" spans="23:23" x14ac:dyDescent="0.55000000000000004">
      <c r="W49587"/>
    </row>
    <row r="49588" spans="23:23" x14ac:dyDescent="0.55000000000000004">
      <c r="W49588"/>
    </row>
    <row r="49589" spans="23:23" x14ac:dyDescent="0.55000000000000004">
      <c r="W49589"/>
    </row>
    <row r="49590" spans="23:23" x14ac:dyDescent="0.55000000000000004">
      <c r="W49590"/>
    </row>
    <row r="49591" spans="23:23" x14ac:dyDescent="0.55000000000000004">
      <c r="W49591"/>
    </row>
    <row r="49592" spans="23:23" x14ac:dyDescent="0.55000000000000004">
      <c r="W49592"/>
    </row>
    <row r="49593" spans="23:23" x14ac:dyDescent="0.55000000000000004">
      <c r="W49593"/>
    </row>
    <row r="49594" spans="23:23" x14ac:dyDescent="0.55000000000000004">
      <c r="W49594"/>
    </row>
    <row r="49595" spans="23:23" x14ac:dyDescent="0.55000000000000004">
      <c r="W49595"/>
    </row>
    <row r="49596" spans="23:23" x14ac:dyDescent="0.55000000000000004">
      <c r="W49596"/>
    </row>
    <row r="49597" spans="23:23" x14ac:dyDescent="0.55000000000000004">
      <c r="W49597"/>
    </row>
    <row r="49598" spans="23:23" x14ac:dyDescent="0.55000000000000004">
      <c r="W49598"/>
    </row>
    <row r="49599" spans="23:23" x14ac:dyDescent="0.55000000000000004">
      <c r="W49599"/>
    </row>
    <row r="49600" spans="23:23" x14ac:dyDescent="0.55000000000000004">
      <c r="W49600"/>
    </row>
    <row r="49601" spans="23:23" x14ac:dyDescent="0.55000000000000004">
      <c r="W49601"/>
    </row>
    <row r="49602" spans="23:23" x14ac:dyDescent="0.55000000000000004">
      <c r="W49602"/>
    </row>
    <row r="49603" spans="23:23" x14ac:dyDescent="0.55000000000000004">
      <c r="W49603"/>
    </row>
    <row r="49604" spans="23:23" x14ac:dyDescent="0.55000000000000004">
      <c r="W49604"/>
    </row>
    <row r="49605" spans="23:23" x14ac:dyDescent="0.55000000000000004">
      <c r="W49605"/>
    </row>
    <row r="49606" spans="23:23" x14ac:dyDescent="0.55000000000000004">
      <c r="W49606"/>
    </row>
    <row r="49607" spans="23:23" x14ac:dyDescent="0.55000000000000004">
      <c r="W49607"/>
    </row>
    <row r="49608" spans="23:23" x14ac:dyDescent="0.55000000000000004">
      <c r="W49608"/>
    </row>
    <row r="49609" spans="23:23" x14ac:dyDescent="0.55000000000000004">
      <c r="W49609"/>
    </row>
    <row r="49610" spans="23:23" x14ac:dyDescent="0.55000000000000004">
      <c r="W49610"/>
    </row>
    <row r="49611" spans="23:23" x14ac:dyDescent="0.55000000000000004">
      <c r="W49611"/>
    </row>
    <row r="49612" spans="23:23" x14ac:dyDescent="0.55000000000000004">
      <c r="W49612"/>
    </row>
    <row r="49613" spans="23:23" x14ac:dyDescent="0.55000000000000004">
      <c r="W49613"/>
    </row>
    <row r="49614" spans="23:23" x14ac:dyDescent="0.55000000000000004">
      <c r="W49614"/>
    </row>
    <row r="49615" spans="23:23" x14ac:dyDescent="0.55000000000000004">
      <c r="W49615"/>
    </row>
    <row r="49616" spans="23:23" x14ac:dyDescent="0.55000000000000004">
      <c r="W49616"/>
    </row>
    <row r="49617" spans="23:23" x14ac:dyDescent="0.55000000000000004">
      <c r="W49617"/>
    </row>
    <row r="49618" spans="23:23" x14ac:dyDescent="0.55000000000000004">
      <c r="W49618"/>
    </row>
    <row r="49619" spans="23:23" x14ac:dyDescent="0.55000000000000004">
      <c r="W49619"/>
    </row>
    <row r="49620" spans="23:23" x14ac:dyDescent="0.55000000000000004">
      <c r="W49620"/>
    </row>
    <row r="49621" spans="23:23" x14ac:dyDescent="0.55000000000000004">
      <c r="W49621"/>
    </row>
    <row r="49622" spans="23:23" x14ac:dyDescent="0.55000000000000004">
      <c r="W49622"/>
    </row>
    <row r="49623" spans="23:23" x14ac:dyDescent="0.55000000000000004">
      <c r="W49623"/>
    </row>
    <row r="49624" spans="23:23" x14ac:dyDescent="0.55000000000000004">
      <c r="W49624"/>
    </row>
    <row r="49625" spans="23:23" x14ac:dyDescent="0.55000000000000004">
      <c r="W49625"/>
    </row>
    <row r="49626" spans="23:23" x14ac:dyDescent="0.55000000000000004">
      <c r="W49626"/>
    </row>
    <row r="49627" spans="23:23" x14ac:dyDescent="0.55000000000000004">
      <c r="W49627"/>
    </row>
    <row r="49628" spans="23:23" x14ac:dyDescent="0.55000000000000004">
      <c r="W49628"/>
    </row>
    <row r="49629" spans="23:23" x14ac:dyDescent="0.55000000000000004">
      <c r="W49629"/>
    </row>
    <row r="49630" spans="23:23" x14ac:dyDescent="0.55000000000000004">
      <c r="W49630"/>
    </row>
    <row r="49631" spans="23:23" x14ac:dyDescent="0.55000000000000004">
      <c r="W49631"/>
    </row>
    <row r="49632" spans="23:23" x14ac:dyDescent="0.55000000000000004">
      <c r="W49632"/>
    </row>
    <row r="49633" spans="23:23" x14ac:dyDescent="0.55000000000000004">
      <c r="W49633"/>
    </row>
    <row r="49634" spans="23:23" x14ac:dyDescent="0.55000000000000004">
      <c r="W49634"/>
    </row>
    <row r="49635" spans="23:23" x14ac:dyDescent="0.55000000000000004">
      <c r="W49635"/>
    </row>
    <row r="49636" spans="23:23" x14ac:dyDescent="0.55000000000000004">
      <c r="W49636"/>
    </row>
    <row r="49637" spans="23:23" x14ac:dyDescent="0.55000000000000004">
      <c r="W49637"/>
    </row>
    <row r="49638" spans="23:23" x14ac:dyDescent="0.55000000000000004">
      <c r="W49638"/>
    </row>
    <row r="49639" spans="23:23" x14ac:dyDescent="0.55000000000000004">
      <c r="W49639"/>
    </row>
    <row r="49640" spans="23:23" x14ac:dyDescent="0.55000000000000004">
      <c r="W49640"/>
    </row>
    <row r="49641" spans="23:23" x14ac:dyDescent="0.55000000000000004">
      <c r="W49641"/>
    </row>
    <row r="49642" spans="23:23" x14ac:dyDescent="0.55000000000000004">
      <c r="W49642"/>
    </row>
    <row r="49643" spans="23:23" x14ac:dyDescent="0.55000000000000004">
      <c r="W49643"/>
    </row>
    <row r="49644" spans="23:23" x14ac:dyDescent="0.55000000000000004">
      <c r="W49644"/>
    </row>
    <row r="49645" spans="23:23" x14ac:dyDescent="0.55000000000000004">
      <c r="W49645"/>
    </row>
    <row r="49646" spans="23:23" x14ac:dyDescent="0.55000000000000004">
      <c r="W49646"/>
    </row>
    <row r="49647" spans="23:23" x14ac:dyDescent="0.55000000000000004">
      <c r="W49647"/>
    </row>
    <row r="49648" spans="23:23" x14ac:dyDescent="0.55000000000000004">
      <c r="W49648"/>
    </row>
    <row r="49649" spans="23:23" x14ac:dyDescent="0.55000000000000004">
      <c r="W49649"/>
    </row>
    <row r="49650" spans="23:23" x14ac:dyDescent="0.55000000000000004">
      <c r="W49650"/>
    </row>
    <row r="49651" spans="23:23" x14ac:dyDescent="0.55000000000000004">
      <c r="W49651"/>
    </row>
    <row r="49652" spans="23:23" x14ac:dyDescent="0.55000000000000004">
      <c r="W49652"/>
    </row>
    <row r="49653" spans="23:23" x14ac:dyDescent="0.55000000000000004">
      <c r="W49653"/>
    </row>
    <row r="49654" spans="23:23" x14ac:dyDescent="0.55000000000000004">
      <c r="W49654"/>
    </row>
    <row r="49655" spans="23:23" x14ac:dyDescent="0.55000000000000004">
      <c r="W49655"/>
    </row>
    <row r="49656" spans="23:23" x14ac:dyDescent="0.55000000000000004">
      <c r="W49656"/>
    </row>
    <row r="49657" spans="23:23" x14ac:dyDescent="0.55000000000000004">
      <c r="W49657"/>
    </row>
    <row r="49658" spans="23:23" x14ac:dyDescent="0.55000000000000004">
      <c r="W49658"/>
    </row>
    <row r="49659" spans="23:23" x14ac:dyDescent="0.55000000000000004">
      <c r="W49659"/>
    </row>
    <row r="49660" spans="23:23" x14ac:dyDescent="0.55000000000000004">
      <c r="W49660"/>
    </row>
    <row r="49661" spans="23:23" x14ac:dyDescent="0.55000000000000004">
      <c r="W49661"/>
    </row>
    <row r="49662" spans="23:23" x14ac:dyDescent="0.55000000000000004">
      <c r="W49662"/>
    </row>
    <row r="49663" spans="23:23" x14ac:dyDescent="0.55000000000000004">
      <c r="W49663"/>
    </row>
    <row r="49664" spans="23:23" x14ac:dyDescent="0.55000000000000004">
      <c r="W49664"/>
    </row>
    <row r="49665" spans="23:23" x14ac:dyDescent="0.55000000000000004">
      <c r="W49665"/>
    </row>
    <row r="49666" spans="23:23" x14ac:dyDescent="0.55000000000000004">
      <c r="W49666"/>
    </row>
    <row r="49667" spans="23:23" x14ac:dyDescent="0.55000000000000004">
      <c r="W49667"/>
    </row>
    <row r="49668" spans="23:23" x14ac:dyDescent="0.55000000000000004">
      <c r="W49668"/>
    </row>
    <row r="49669" spans="23:23" x14ac:dyDescent="0.55000000000000004">
      <c r="W49669"/>
    </row>
    <row r="49670" spans="23:23" x14ac:dyDescent="0.55000000000000004">
      <c r="W49670"/>
    </row>
    <row r="49671" spans="23:23" x14ac:dyDescent="0.55000000000000004">
      <c r="W49671"/>
    </row>
    <row r="49672" spans="23:23" x14ac:dyDescent="0.55000000000000004">
      <c r="W49672"/>
    </row>
    <row r="49673" spans="23:23" x14ac:dyDescent="0.55000000000000004">
      <c r="W49673"/>
    </row>
    <row r="49674" spans="23:23" x14ac:dyDescent="0.55000000000000004">
      <c r="W49674"/>
    </row>
    <row r="49675" spans="23:23" x14ac:dyDescent="0.55000000000000004">
      <c r="W49675"/>
    </row>
    <row r="49676" spans="23:23" x14ac:dyDescent="0.55000000000000004">
      <c r="W49676"/>
    </row>
    <row r="49677" spans="23:23" x14ac:dyDescent="0.55000000000000004">
      <c r="W49677"/>
    </row>
    <row r="49678" spans="23:23" x14ac:dyDescent="0.55000000000000004">
      <c r="W49678"/>
    </row>
    <row r="49679" spans="23:23" x14ac:dyDescent="0.55000000000000004">
      <c r="W49679"/>
    </row>
    <row r="49680" spans="23:23" x14ac:dyDescent="0.55000000000000004">
      <c r="W49680"/>
    </row>
    <row r="49681" spans="23:23" x14ac:dyDescent="0.55000000000000004">
      <c r="W49681"/>
    </row>
    <row r="49682" spans="23:23" x14ac:dyDescent="0.55000000000000004">
      <c r="W49682"/>
    </row>
    <row r="49683" spans="23:23" x14ac:dyDescent="0.55000000000000004">
      <c r="W49683"/>
    </row>
    <row r="49684" spans="23:23" x14ac:dyDescent="0.55000000000000004">
      <c r="W49684"/>
    </row>
    <row r="49685" spans="23:23" x14ac:dyDescent="0.55000000000000004">
      <c r="W49685"/>
    </row>
    <row r="49686" spans="23:23" x14ac:dyDescent="0.55000000000000004">
      <c r="W49686"/>
    </row>
    <row r="49687" spans="23:23" x14ac:dyDescent="0.55000000000000004">
      <c r="W49687"/>
    </row>
    <row r="49688" spans="23:23" x14ac:dyDescent="0.55000000000000004">
      <c r="W49688"/>
    </row>
    <row r="49689" spans="23:23" x14ac:dyDescent="0.55000000000000004">
      <c r="W49689"/>
    </row>
    <row r="49690" spans="23:23" x14ac:dyDescent="0.55000000000000004">
      <c r="W49690"/>
    </row>
    <row r="49691" spans="23:23" x14ac:dyDescent="0.55000000000000004">
      <c r="W49691"/>
    </row>
    <row r="49692" spans="23:23" x14ac:dyDescent="0.55000000000000004">
      <c r="W49692"/>
    </row>
    <row r="49693" spans="23:23" x14ac:dyDescent="0.55000000000000004">
      <c r="W49693"/>
    </row>
    <row r="49694" spans="23:23" x14ac:dyDescent="0.55000000000000004">
      <c r="W49694"/>
    </row>
    <row r="49695" spans="23:23" x14ac:dyDescent="0.55000000000000004">
      <c r="W49695"/>
    </row>
    <row r="49696" spans="23:23" x14ac:dyDescent="0.55000000000000004">
      <c r="W49696"/>
    </row>
    <row r="49697" spans="23:23" x14ac:dyDescent="0.55000000000000004">
      <c r="W49697"/>
    </row>
    <row r="49698" spans="23:23" x14ac:dyDescent="0.55000000000000004">
      <c r="W49698"/>
    </row>
    <row r="49699" spans="23:23" x14ac:dyDescent="0.55000000000000004">
      <c r="W49699"/>
    </row>
    <row r="49700" spans="23:23" x14ac:dyDescent="0.55000000000000004">
      <c r="W49700"/>
    </row>
    <row r="49701" spans="23:23" x14ac:dyDescent="0.55000000000000004">
      <c r="W49701"/>
    </row>
    <row r="49702" spans="23:23" x14ac:dyDescent="0.55000000000000004">
      <c r="W49702"/>
    </row>
    <row r="49703" spans="23:23" x14ac:dyDescent="0.55000000000000004">
      <c r="W49703"/>
    </row>
    <row r="49704" spans="23:23" x14ac:dyDescent="0.55000000000000004">
      <c r="W49704"/>
    </row>
    <row r="49705" spans="23:23" x14ac:dyDescent="0.55000000000000004">
      <c r="W49705"/>
    </row>
    <row r="49706" spans="23:23" x14ac:dyDescent="0.55000000000000004">
      <c r="W49706"/>
    </row>
    <row r="49707" spans="23:23" x14ac:dyDescent="0.55000000000000004">
      <c r="W49707"/>
    </row>
    <row r="49708" spans="23:23" x14ac:dyDescent="0.55000000000000004">
      <c r="W49708"/>
    </row>
    <row r="49709" spans="23:23" x14ac:dyDescent="0.55000000000000004">
      <c r="W49709"/>
    </row>
    <row r="49710" spans="23:23" x14ac:dyDescent="0.55000000000000004">
      <c r="W49710"/>
    </row>
    <row r="49711" spans="23:23" x14ac:dyDescent="0.55000000000000004">
      <c r="W49711"/>
    </row>
    <row r="49712" spans="23:23" x14ac:dyDescent="0.55000000000000004">
      <c r="W49712"/>
    </row>
    <row r="49713" spans="23:23" x14ac:dyDescent="0.55000000000000004">
      <c r="W49713"/>
    </row>
    <row r="49714" spans="23:23" x14ac:dyDescent="0.55000000000000004">
      <c r="W49714"/>
    </row>
    <row r="49715" spans="23:23" x14ac:dyDescent="0.55000000000000004">
      <c r="W49715"/>
    </row>
    <row r="49716" spans="23:23" x14ac:dyDescent="0.55000000000000004">
      <c r="W49716"/>
    </row>
    <row r="49717" spans="23:23" x14ac:dyDescent="0.55000000000000004">
      <c r="W49717"/>
    </row>
    <row r="49718" spans="23:23" x14ac:dyDescent="0.55000000000000004">
      <c r="W49718"/>
    </row>
    <row r="49719" spans="23:23" x14ac:dyDescent="0.55000000000000004">
      <c r="W49719"/>
    </row>
    <row r="49720" spans="23:23" x14ac:dyDescent="0.55000000000000004">
      <c r="W49720"/>
    </row>
    <row r="49721" spans="23:23" x14ac:dyDescent="0.55000000000000004">
      <c r="W49721"/>
    </row>
    <row r="49722" spans="23:23" x14ac:dyDescent="0.55000000000000004">
      <c r="W49722"/>
    </row>
    <row r="49723" spans="23:23" x14ac:dyDescent="0.55000000000000004">
      <c r="W49723"/>
    </row>
    <row r="49724" spans="23:23" x14ac:dyDescent="0.55000000000000004">
      <c r="W49724"/>
    </row>
    <row r="49725" spans="23:23" x14ac:dyDescent="0.55000000000000004">
      <c r="W49725"/>
    </row>
    <row r="49726" spans="23:23" x14ac:dyDescent="0.55000000000000004">
      <c r="W49726"/>
    </row>
    <row r="49727" spans="23:23" x14ac:dyDescent="0.55000000000000004">
      <c r="W49727"/>
    </row>
    <row r="49728" spans="23:23" x14ac:dyDescent="0.55000000000000004">
      <c r="W49728"/>
    </row>
    <row r="49729" spans="23:23" x14ac:dyDescent="0.55000000000000004">
      <c r="W49729"/>
    </row>
    <row r="49730" spans="23:23" x14ac:dyDescent="0.55000000000000004">
      <c r="W49730"/>
    </row>
    <row r="49731" spans="23:23" x14ac:dyDescent="0.55000000000000004">
      <c r="W49731"/>
    </row>
    <row r="49732" spans="23:23" x14ac:dyDescent="0.55000000000000004">
      <c r="W49732"/>
    </row>
    <row r="49733" spans="23:23" x14ac:dyDescent="0.55000000000000004">
      <c r="W49733"/>
    </row>
    <row r="49734" spans="23:23" x14ac:dyDescent="0.55000000000000004">
      <c r="W49734"/>
    </row>
    <row r="49735" spans="23:23" x14ac:dyDescent="0.55000000000000004">
      <c r="W49735"/>
    </row>
    <row r="49736" spans="23:23" x14ac:dyDescent="0.55000000000000004">
      <c r="W49736"/>
    </row>
    <row r="49737" spans="23:23" x14ac:dyDescent="0.55000000000000004">
      <c r="W49737"/>
    </row>
    <row r="49738" spans="23:23" x14ac:dyDescent="0.55000000000000004">
      <c r="W49738"/>
    </row>
    <row r="49739" spans="23:23" x14ac:dyDescent="0.55000000000000004">
      <c r="W49739"/>
    </row>
    <row r="49740" spans="23:23" x14ac:dyDescent="0.55000000000000004">
      <c r="W49740"/>
    </row>
    <row r="49741" spans="23:23" x14ac:dyDescent="0.55000000000000004">
      <c r="W49741"/>
    </row>
    <row r="49742" spans="23:23" x14ac:dyDescent="0.55000000000000004">
      <c r="W49742"/>
    </row>
    <row r="49743" spans="23:23" x14ac:dyDescent="0.55000000000000004">
      <c r="W49743"/>
    </row>
    <row r="49744" spans="23:23" x14ac:dyDescent="0.55000000000000004">
      <c r="W49744"/>
    </row>
    <row r="49745" spans="23:23" x14ac:dyDescent="0.55000000000000004">
      <c r="W49745"/>
    </row>
    <row r="49746" spans="23:23" x14ac:dyDescent="0.55000000000000004">
      <c r="W49746"/>
    </row>
    <row r="49747" spans="23:23" x14ac:dyDescent="0.55000000000000004">
      <c r="W49747"/>
    </row>
    <row r="49748" spans="23:23" x14ac:dyDescent="0.55000000000000004">
      <c r="W49748"/>
    </row>
    <row r="49749" spans="23:23" x14ac:dyDescent="0.55000000000000004">
      <c r="W49749"/>
    </row>
    <row r="49750" spans="23:23" x14ac:dyDescent="0.55000000000000004">
      <c r="W49750"/>
    </row>
    <row r="49751" spans="23:23" x14ac:dyDescent="0.55000000000000004">
      <c r="W49751"/>
    </row>
    <row r="49752" spans="23:23" x14ac:dyDescent="0.55000000000000004">
      <c r="W49752"/>
    </row>
    <row r="49753" spans="23:23" x14ac:dyDescent="0.55000000000000004">
      <c r="W49753"/>
    </row>
    <row r="49754" spans="23:23" x14ac:dyDescent="0.55000000000000004">
      <c r="W49754"/>
    </row>
    <row r="49755" spans="23:23" x14ac:dyDescent="0.55000000000000004">
      <c r="W49755"/>
    </row>
    <row r="49756" spans="23:23" x14ac:dyDescent="0.55000000000000004">
      <c r="W49756"/>
    </row>
    <row r="49757" spans="23:23" x14ac:dyDescent="0.55000000000000004">
      <c r="W49757"/>
    </row>
    <row r="49758" spans="23:23" x14ac:dyDescent="0.55000000000000004">
      <c r="W49758"/>
    </row>
    <row r="49759" spans="23:23" x14ac:dyDescent="0.55000000000000004">
      <c r="W49759"/>
    </row>
    <row r="49760" spans="23:23" x14ac:dyDescent="0.55000000000000004">
      <c r="W49760"/>
    </row>
    <row r="49761" spans="23:23" x14ac:dyDescent="0.55000000000000004">
      <c r="W49761"/>
    </row>
    <row r="49762" spans="23:23" x14ac:dyDescent="0.55000000000000004">
      <c r="W49762"/>
    </row>
    <row r="49763" spans="23:23" x14ac:dyDescent="0.55000000000000004">
      <c r="W49763"/>
    </row>
    <row r="49764" spans="23:23" x14ac:dyDescent="0.55000000000000004">
      <c r="W49764"/>
    </row>
    <row r="49765" spans="23:23" x14ac:dyDescent="0.55000000000000004">
      <c r="W49765"/>
    </row>
    <row r="49766" spans="23:23" x14ac:dyDescent="0.55000000000000004">
      <c r="W49766"/>
    </row>
    <row r="49767" spans="23:23" x14ac:dyDescent="0.55000000000000004">
      <c r="W49767"/>
    </row>
    <row r="49768" spans="23:23" x14ac:dyDescent="0.55000000000000004">
      <c r="W49768"/>
    </row>
    <row r="49769" spans="23:23" x14ac:dyDescent="0.55000000000000004">
      <c r="W49769"/>
    </row>
    <row r="49770" spans="23:23" x14ac:dyDescent="0.55000000000000004">
      <c r="W49770"/>
    </row>
    <row r="49771" spans="23:23" x14ac:dyDescent="0.55000000000000004">
      <c r="W49771"/>
    </row>
    <row r="49772" spans="23:23" x14ac:dyDescent="0.55000000000000004">
      <c r="W49772"/>
    </row>
    <row r="49773" spans="23:23" x14ac:dyDescent="0.55000000000000004">
      <c r="W49773"/>
    </row>
    <row r="49774" spans="23:23" x14ac:dyDescent="0.55000000000000004">
      <c r="W49774"/>
    </row>
    <row r="49775" spans="23:23" x14ac:dyDescent="0.55000000000000004">
      <c r="W49775"/>
    </row>
    <row r="49776" spans="23:23" x14ac:dyDescent="0.55000000000000004">
      <c r="W49776"/>
    </row>
    <row r="49777" spans="23:23" x14ac:dyDescent="0.55000000000000004">
      <c r="W49777"/>
    </row>
    <row r="49778" spans="23:23" x14ac:dyDescent="0.55000000000000004">
      <c r="W49778"/>
    </row>
    <row r="49779" spans="23:23" x14ac:dyDescent="0.55000000000000004">
      <c r="W49779"/>
    </row>
    <row r="49780" spans="23:23" x14ac:dyDescent="0.55000000000000004">
      <c r="W49780"/>
    </row>
    <row r="49781" spans="23:23" x14ac:dyDescent="0.55000000000000004">
      <c r="W49781"/>
    </row>
    <row r="49782" spans="23:23" x14ac:dyDescent="0.55000000000000004">
      <c r="W49782"/>
    </row>
    <row r="49783" spans="23:23" x14ac:dyDescent="0.55000000000000004">
      <c r="W49783"/>
    </row>
    <row r="49784" spans="23:23" x14ac:dyDescent="0.55000000000000004">
      <c r="W49784"/>
    </row>
    <row r="49785" spans="23:23" x14ac:dyDescent="0.55000000000000004">
      <c r="W49785"/>
    </row>
    <row r="49786" spans="23:23" x14ac:dyDescent="0.55000000000000004">
      <c r="W49786"/>
    </row>
    <row r="49787" spans="23:23" x14ac:dyDescent="0.55000000000000004">
      <c r="W49787"/>
    </row>
    <row r="49788" spans="23:23" x14ac:dyDescent="0.55000000000000004">
      <c r="W49788"/>
    </row>
    <row r="49789" spans="23:23" x14ac:dyDescent="0.55000000000000004">
      <c r="W49789"/>
    </row>
    <row r="49790" spans="23:23" x14ac:dyDescent="0.55000000000000004">
      <c r="W49790"/>
    </row>
    <row r="49791" spans="23:23" x14ac:dyDescent="0.55000000000000004">
      <c r="W49791"/>
    </row>
    <row r="49792" spans="23:23" x14ac:dyDescent="0.55000000000000004">
      <c r="W49792"/>
    </row>
    <row r="49793" spans="23:23" x14ac:dyDescent="0.55000000000000004">
      <c r="W49793"/>
    </row>
    <row r="49794" spans="23:23" x14ac:dyDescent="0.55000000000000004">
      <c r="W49794"/>
    </row>
    <row r="49795" spans="23:23" x14ac:dyDescent="0.55000000000000004">
      <c r="W49795"/>
    </row>
    <row r="49796" spans="23:23" x14ac:dyDescent="0.55000000000000004">
      <c r="W49796"/>
    </row>
    <row r="49797" spans="23:23" x14ac:dyDescent="0.55000000000000004">
      <c r="W49797"/>
    </row>
    <row r="49798" spans="23:23" x14ac:dyDescent="0.55000000000000004">
      <c r="W49798"/>
    </row>
    <row r="49799" spans="23:23" x14ac:dyDescent="0.55000000000000004">
      <c r="W49799"/>
    </row>
    <row r="49800" spans="23:23" x14ac:dyDescent="0.55000000000000004">
      <c r="W49800"/>
    </row>
    <row r="49801" spans="23:23" x14ac:dyDescent="0.55000000000000004">
      <c r="W49801"/>
    </row>
    <row r="49802" spans="23:23" x14ac:dyDescent="0.55000000000000004">
      <c r="W49802"/>
    </row>
    <row r="49803" spans="23:23" x14ac:dyDescent="0.55000000000000004">
      <c r="W49803"/>
    </row>
    <row r="49804" spans="23:23" x14ac:dyDescent="0.55000000000000004">
      <c r="W49804"/>
    </row>
    <row r="49805" spans="23:23" x14ac:dyDescent="0.55000000000000004">
      <c r="W49805"/>
    </row>
    <row r="49806" spans="23:23" x14ac:dyDescent="0.55000000000000004">
      <c r="W49806"/>
    </row>
    <row r="49807" spans="23:23" x14ac:dyDescent="0.55000000000000004">
      <c r="W49807"/>
    </row>
    <row r="49808" spans="23:23" x14ac:dyDescent="0.55000000000000004">
      <c r="W49808"/>
    </row>
    <row r="49809" spans="23:23" x14ac:dyDescent="0.55000000000000004">
      <c r="W49809"/>
    </row>
    <row r="49810" spans="23:23" x14ac:dyDescent="0.55000000000000004">
      <c r="W49810"/>
    </row>
    <row r="49811" spans="23:23" x14ac:dyDescent="0.55000000000000004">
      <c r="W49811"/>
    </row>
    <row r="49812" spans="23:23" x14ac:dyDescent="0.55000000000000004">
      <c r="W49812"/>
    </row>
    <row r="49813" spans="23:23" x14ac:dyDescent="0.55000000000000004">
      <c r="W49813"/>
    </row>
    <row r="49814" spans="23:23" x14ac:dyDescent="0.55000000000000004">
      <c r="W49814"/>
    </row>
    <row r="49815" spans="23:23" x14ac:dyDescent="0.55000000000000004">
      <c r="W49815"/>
    </row>
    <row r="49816" spans="23:23" x14ac:dyDescent="0.55000000000000004">
      <c r="W49816"/>
    </row>
    <row r="49817" spans="23:23" x14ac:dyDescent="0.55000000000000004">
      <c r="W49817"/>
    </row>
    <row r="49818" spans="23:23" x14ac:dyDescent="0.55000000000000004">
      <c r="W49818"/>
    </row>
    <row r="49819" spans="23:23" x14ac:dyDescent="0.55000000000000004">
      <c r="W49819"/>
    </row>
    <row r="49820" spans="23:23" x14ac:dyDescent="0.55000000000000004">
      <c r="W49820"/>
    </row>
    <row r="49821" spans="23:23" x14ac:dyDescent="0.55000000000000004">
      <c r="W49821"/>
    </row>
    <row r="49822" spans="23:23" x14ac:dyDescent="0.55000000000000004">
      <c r="W49822"/>
    </row>
    <row r="49823" spans="23:23" x14ac:dyDescent="0.55000000000000004">
      <c r="W49823"/>
    </row>
    <row r="49824" spans="23:23" x14ac:dyDescent="0.55000000000000004">
      <c r="W49824"/>
    </row>
    <row r="49825" spans="23:23" x14ac:dyDescent="0.55000000000000004">
      <c r="W49825"/>
    </row>
    <row r="49826" spans="23:23" x14ac:dyDescent="0.55000000000000004">
      <c r="W49826"/>
    </row>
    <row r="49827" spans="23:23" x14ac:dyDescent="0.55000000000000004">
      <c r="W49827"/>
    </row>
    <row r="49828" spans="23:23" x14ac:dyDescent="0.55000000000000004">
      <c r="W49828"/>
    </row>
    <row r="49829" spans="23:23" x14ac:dyDescent="0.55000000000000004">
      <c r="W49829"/>
    </row>
    <row r="49830" spans="23:23" x14ac:dyDescent="0.55000000000000004">
      <c r="W49830"/>
    </row>
    <row r="49831" spans="23:23" x14ac:dyDescent="0.55000000000000004">
      <c r="W49831"/>
    </row>
    <row r="49832" spans="23:23" x14ac:dyDescent="0.55000000000000004">
      <c r="W49832"/>
    </row>
    <row r="49833" spans="23:23" x14ac:dyDescent="0.55000000000000004">
      <c r="W49833"/>
    </row>
    <row r="49834" spans="23:23" x14ac:dyDescent="0.55000000000000004">
      <c r="W49834"/>
    </row>
    <row r="49835" spans="23:23" x14ac:dyDescent="0.55000000000000004">
      <c r="W49835"/>
    </row>
    <row r="49836" spans="23:23" x14ac:dyDescent="0.55000000000000004">
      <c r="W49836"/>
    </row>
    <row r="49837" spans="23:23" x14ac:dyDescent="0.55000000000000004">
      <c r="W49837"/>
    </row>
    <row r="49838" spans="23:23" x14ac:dyDescent="0.55000000000000004">
      <c r="W49838"/>
    </row>
    <row r="49839" spans="23:23" x14ac:dyDescent="0.55000000000000004">
      <c r="W49839"/>
    </row>
    <row r="49840" spans="23:23" x14ac:dyDescent="0.55000000000000004">
      <c r="W49840"/>
    </row>
    <row r="49841" spans="23:23" x14ac:dyDescent="0.55000000000000004">
      <c r="W49841"/>
    </row>
    <row r="49842" spans="23:23" x14ac:dyDescent="0.55000000000000004">
      <c r="W49842"/>
    </row>
    <row r="49843" spans="23:23" x14ac:dyDescent="0.55000000000000004">
      <c r="W49843"/>
    </row>
    <row r="49844" spans="23:23" x14ac:dyDescent="0.55000000000000004">
      <c r="W49844"/>
    </row>
    <row r="49845" spans="23:23" x14ac:dyDescent="0.55000000000000004">
      <c r="W49845"/>
    </row>
    <row r="49846" spans="23:23" x14ac:dyDescent="0.55000000000000004">
      <c r="W49846"/>
    </row>
    <row r="49847" spans="23:23" x14ac:dyDescent="0.55000000000000004">
      <c r="W49847"/>
    </row>
    <row r="49848" spans="23:23" x14ac:dyDescent="0.55000000000000004">
      <c r="W49848"/>
    </row>
    <row r="49849" spans="23:23" x14ac:dyDescent="0.55000000000000004">
      <c r="W49849"/>
    </row>
    <row r="49850" spans="23:23" x14ac:dyDescent="0.55000000000000004">
      <c r="W49850"/>
    </row>
    <row r="49851" spans="23:23" x14ac:dyDescent="0.55000000000000004">
      <c r="W49851"/>
    </row>
    <row r="49852" spans="23:23" x14ac:dyDescent="0.55000000000000004">
      <c r="W49852"/>
    </row>
    <row r="49853" spans="23:23" x14ac:dyDescent="0.55000000000000004">
      <c r="W49853"/>
    </row>
    <row r="49854" spans="23:23" x14ac:dyDescent="0.55000000000000004">
      <c r="W49854"/>
    </row>
    <row r="49855" spans="23:23" x14ac:dyDescent="0.55000000000000004">
      <c r="W49855"/>
    </row>
    <row r="49856" spans="23:23" x14ac:dyDescent="0.55000000000000004">
      <c r="W49856"/>
    </row>
    <row r="49857" spans="23:23" x14ac:dyDescent="0.55000000000000004">
      <c r="W49857"/>
    </row>
    <row r="49858" spans="23:23" x14ac:dyDescent="0.55000000000000004">
      <c r="W49858"/>
    </row>
    <row r="49859" spans="23:23" x14ac:dyDescent="0.55000000000000004">
      <c r="W49859"/>
    </row>
    <row r="49860" spans="23:23" x14ac:dyDescent="0.55000000000000004">
      <c r="W49860"/>
    </row>
    <row r="49861" spans="23:23" x14ac:dyDescent="0.55000000000000004">
      <c r="W49861"/>
    </row>
    <row r="49862" spans="23:23" x14ac:dyDescent="0.55000000000000004">
      <c r="W49862"/>
    </row>
    <row r="49863" spans="23:23" x14ac:dyDescent="0.55000000000000004">
      <c r="W49863"/>
    </row>
    <row r="49864" spans="23:23" x14ac:dyDescent="0.55000000000000004">
      <c r="W49864"/>
    </row>
    <row r="49865" spans="23:23" x14ac:dyDescent="0.55000000000000004">
      <c r="W49865"/>
    </row>
    <row r="49866" spans="23:23" x14ac:dyDescent="0.55000000000000004">
      <c r="W49866"/>
    </row>
    <row r="49867" spans="23:23" x14ac:dyDescent="0.55000000000000004">
      <c r="W49867"/>
    </row>
    <row r="49868" spans="23:23" x14ac:dyDescent="0.55000000000000004">
      <c r="W49868"/>
    </row>
    <row r="49869" spans="23:23" x14ac:dyDescent="0.55000000000000004">
      <c r="W49869"/>
    </row>
    <row r="49870" spans="23:23" x14ac:dyDescent="0.55000000000000004">
      <c r="W49870"/>
    </row>
    <row r="49871" spans="23:23" x14ac:dyDescent="0.55000000000000004">
      <c r="W49871"/>
    </row>
    <row r="49872" spans="23:23" x14ac:dyDescent="0.55000000000000004">
      <c r="W49872"/>
    </row>
    <row r="49873" spans="23:23" x14ac:dyDescent="0.55000000000000004">
      <c r="W49873"/>
    </row>
    <row r="49874" spans="23:23" x14ac:dyDescent="0.55000000000000004">
      <c r="W49874"/>
    </row>
    <row r="49875" spans="23:23" x14ac:dyDescent="0.55000000000000004">
      <c r="W49875"/>
    </row>
    <row r="49876" spans="23:23" x14ac:dyDescent="0.55000000000000004">
      <c r="W49876"/>
    </row>
    <row r="49877" spans="23:23" x14ac:dyDescent="0.55000000000000004">
      <c r="W49877"/>
    </row>
    <row r="49878" spans="23:23" x14ac:dyDescent="0.55000000000000004">
      <c r="W49878"/>
    </row>
    <row r="49879" spans="23:23" x14ac:dyDescent="0.55000000000000004">
      <c r="W49879"/>
    </row>
    <row r="49880" spans="23:23" x14ac:dyDescent="0.55000000000000004">
      <c r="W49880"/>
    </row>
    <row r="49881" spans="23:23" x14ac:dyDescent="0.55000000000000004">
      <c r="W49881"/>
    </row>
    <row r="49882" spans="23:23" x14ac:dyDescent="0.55000000000000004">
      <c r="W49882"/>
    </row>
    <row r="49883" spans="23:23" x14ac:dyDescent="0.55000000000000004">
      <c r="W49883"/>
    </row>
    <row r="49884" spans="23:23" x14ac:dyDescent="0.55000000000000004">
      <c r="W49884"/>
    </row>
    <row r="49885" spans="23:23" x14ac:dyDescent="0.55000000000000004">
      <c r="W49885"/>
    </row>
    <row r="49886" spans="23:23" x14ac:dyDescent="0.55000000000000004">
      <c r="W49886"/>
    </row>
    <row r="49887" spans="23:23" x14ac:dyDescent="0.55000000000000004">
      <c r="W49887"/>
    </row>
    <row r="49888" spans="23:23" x14ac:dyDescent="0.55000000000000004">
      <c r="W49888"/>
    </row>
    <row r="49889" spans="23:23" x14ac:dyDescent="0.55000000000000004">
      <c r="W49889"/>
    </row>
    <row r="49890" spans="23:23" x14ac:dyDescent="0.55000000000000004">
      <c r="W49890"/>
    </row>
    <row r="49891" spans="23:23" x14ac:dyDescent="0.55000000000000004">
      <c r="W49891"/>
    </row>
    <row r="49892" spans="23:23" x14ac:dyDescent="0.55000000000000004">
      <c r="W49892"/>
    </row>
    <row r="49893" spans="23:23" x14ac:dyDescent="0.55000000000000004">
      <c r="W49893"/>
    </row>
    <row r="49894" spans="23:23" x14ac:dyDescent="0.55000000000000004">
      <c r="W49894"/>
    </row>
    <row r="49895" spans="23:23" x14ac:dyDescent="0.55000000000000004">
      <c r="W49895"/>
    </row>
    <row r="49896" spans="23:23" x14ac:dyDescent="0.55000000000000004">
      <c r="W49896"/>
    </row>
    <row r="49897" spans="23:23" x14ac:dyDescent="0.55000000000000004">
      <c r="W49897"/>
    </row>
    <row r="49898" spans="23:23" x14ac:dyDescent="0.55000000000000004">
      <c r="W49898"/>
    </row>
    <row r="49899" spans="23:23" x14ac:dyDescent="0.55000000000000004">
      <c r="W49899"/>
    </row>
    <row r="49900" spans="23:23" x14ac:dyDescent="0.55000000000000004">
      <c r="W49900"/>
    </row>
    <row r="49901" spans="23:23" x14ac:dyDescent="0.55000000000000004">
      <c r="W49901"/>
    </row>
    <row r="49902" spans="23:23" x14ac:dyDescent="0.55000000000000004">
      <c r="W49902"/>
    </row>
    <row r="49903" spans="23:23" x14ac:dyDescent="0.55000000000000004">
      <c r="W49903"/>
    </row>
    <row r="49904" spans="23:23" x14ac:dyDescent="0.55000000000000004">
      <c r="W49904"/>
    </row>
    <row r="49905" spans="23:23" x14ac:dyDescent="0.55000000000000004">
      <c r="W49905"/>
    </row>
    <row r="49906" spans="23:23" x14ac:dyDescent="0.55000000000000004">
      <c r="W49906"/>
    </row>
    <row r="49907" spans="23:23" x14ac:dyDescent="0.55000000000000004">
      <c r="W49907"/>
    </row>
    <row r="49908" spans="23:23" x14ac:dyDescent="0.55000000000000004">
      <c r="W49908"/>
    </row>
    <row r="49909" spans="23:23" x14ac:dyDescent="0.55000000000000004">
      <c r="W49909"/>
    </row>
    <row r="49910" spans="23:23" x14ac:dyDescent="0.55000000000000004">
      <c r="W49910"/>
    </row>
    <row r="49911" spans="23:23" x14ac:dyDescent="0.55000000000000004">
      <c r="W49911"/>
    </row>
    <row r="49912" spans="23:23" x14ac:dyDescent="0.55000000000000004">
      <c r="W49912"/>
    </row>
    <row r="49913" spans="23:23" x14ac:dyDescent="0.55000000000000004">
      <c r="W49913"/>
    </row>
    <row r="49914" spans="23:23" x14ac:dyDescent="0.55000000000000004">
      <c r="W49914"/>
    </row>
    <row r="49915" spans="23:23" x14ac:dyDescent="0.55000000000000004">
      <c r="W49915"/>
    </row>
    <row r="49916" spans="23:23" x14ac:dyDescent="0.55000000000000004">
      <c r="W49916"/>
    </row>
    <row r="49917" spans="23:23" x14ac:dyDescent="0.55000000000000004">
      <c r="W49917"/>
    </row>
    <row r="49918" spans="23:23" x14ac:dyDescent="0.55000000000000004">
      <c r="W49918"/>
    </row>
    <row r="49919" spans="23:23" x14ac:dyDescent="0.55000000000000004">
      <c r="W49919"/>
    </row>
    <row r="49920" spans="23:23" x14ac:dyDescent="0.55000000000000004">
      <c r="W49920"/>
    </row>
    <row r="49921" spans="23:23" x14ac:dyDescent="0.55000000000000004">
      <c r="W49921"/>
    </row>
    <row r="49922" spans="23:23" x14ac:dyDescent="0.55000000000000004">
      <c r="W49922"/>
    </row>
    <row r="49923" spans="23:23" x14ac:dyDescent="0.55000000000000004">
      <c r="W49923"/>
    </row>
    <row r="49924" spans="23:23" x14ac:dyDescent="0.55000000000000004">
      <c r="W49924"/>
    </row>
    <row r="49925" spans="23:23" x14ac:dyDescent="0.55000000000000004">
      <c r="W49925"/>
    </row>
    <row r="49926" spans="23:23" x14ac:dyDescent="0.55000000000000004">
      <c r="W49926"/>
    </row>
    <row r="49927" spans="23:23" x14ac:dyDescent="0.55000000000000004">
      <c r="W49927"/>
    </row>
    <row r="49928" spans="23:23" x14ac:dyDescent="0.55000000000000004">
      <c r="W49928"/>
    </row>
    <row r="49929" spans="23:23" x14ac:dyDescent="0.55000000000000004">
      <c r="W49929"/>
    </row>
    <row r="49930" spans="23:23" x14ac:dyDescent="0.55000000000000004">
      <c r="W49930"/>
    </row>
    <row r="49931" spans="23:23" x14ac:dyDescent="0.55000000000000004">
      <c r="W49931"/>
    </row>
    <row r="49932" spans="23:23" x14ac:dyDescent="0.55000000000000004">
      <c r="W49932"/>
    </row>
    <row r="49933" spans="23:23" x14ac:dyDescent="0.55000000000000004">
      <c r="W49933"/>
    </row>
    <row r="49934" spans="23:23" x14ac:dyDescent="0.55000000000000004">
      <c r="W49934"/>
    </row>
    <row r="49935" spans="23:23" x14ac:dyDescent="0.55000000000000004">
      <c r="W49935"/>
    </row>
    <row r="49936" spans="23:23" x14ac:dyDescent="0.55000000000000004">
      <c r="W49936"/>
    </row>
    <row r="49937" spans="23:23" x14ac:dyDescent="0.55000000000000004">
      <c r="W49937"/>
    </row>
    <row r="49938" spans="23:23" x14ac:dyDescent="0.55000000000000004">
      <c r="W49938"/>
    </row>
    <row r="49939" spans="23:23" x14ac:dyDescent="0.55000000000000004">
      <c r="W49939"/>
    </row>
    <row r="49940" spans="23:23" x14ac:dyDescent="0.55000000000000004">
      <c r="W49940"/>
    </row>
    <row r="49941" spans="23:23" x14ac:dyDescent="0.55000000000000004">
      <c r="W49941"/>
    </row>
    <row r="49942" spans="23:23" x14ac:dyDescent="0.55000000000000004">
      <c r="W49942"/>
    </row>
    <row r="49943" spans="23:23" x14ac:dyDescent="0.55000000000000004">
      <c r="W49943"/>
    </row>
    <row r="49944" spans="23:23" x14ac:dyDescent="0.55000000000000004">
      <c r="W49944"/>
    </row>
    <row r="49945" spans="23:23" x14ac:dyDescent="0.55000000000000004">
      <c r="W49945"/>
    </row>
    <row r="49946" spans="23:23" x14ac:dyDescent="0.55000000000000004">
      <c r="W49946"/>
    </row>
    <row r="49947" spans="23:23" x14ac:dyDescent="0.55000000000000004">
      <c r="W49947"/>
    </row>
    <row r="49948" spans="23:23" x14ac:dyDescent="0.55000000000000004">
      <c r="W49948"/>
    </row>
    <row r="49949" spans="23:23" x14ac:dyDescent="0.55000000000000004">
      <c r="W49949"/>
    </row>
    <row r="49950" spans="23:23" x14ac:dyDescent="0.55000000000000004">
      <c r="W49950"/>
    </row>
    <row r="49951" spans="23:23" x14ac:dyDescent="0.55000000000000004">
      <c r="W49951"/>
    </row>
    <row r="49952" spans="23:23" x14ac:dyDescent="0.55000000000000004">
      <c r="W49952"/>
    </row>
    <row r="49953" spans="23:23" x14ac:dyDescent="0.55000000000000004">
      <c r="W49953"/>
    </row>
    <row r="49954" spans="23:23" x14ac:dyDescent="0.55000000000000004">
      <c r="W49954"/>
    </row>
    <row r="49955" spans="23:23" x14ac:dyDescent="0.55000000000000004">
      <c r="W49955"/>
    </row>
    <row r="49956" spans="23:23" x14ac:dyDescent="0.55000000000000004">
      <c r="W49956"/>
    </row>
    <row r="49957" spans="23:23" x14ac:dyDescent="0.55000000000000004">
      <c r="W49957"/>
    </row>
    <row r="49958" spans="23:23" x14ac:dyDescent="0.55000000000000004">
      <c r="W49958"/>
    </row>
    <row r="49959" spans="23:23" x14ac:dyDescent="0.55000000000000004">
      <c r="W49959"/>
    </row>
    <row r="49960" spans="23:23" x14ac:dyDescent="0.55000000000000004">
      <c r="W49960"/>
    </row>
    <row r="49961" spans="23:23" x14ac:dyDescent="0.55000000000000004">
      <c r="W49961"/>
    </row>
    <row r="49962" spans="23:23" x14ac:dyDescent="0.55000000000000004">
      <c r="W49962"/>
    </row>
    <row r="49963" spans="23:23" x14ac:dyDescent="0.55000000000000004">
      <c r="W49963"/>
    </row>
    <row r="49964" spans="23:23" x14ac:dyDescent="0.55000000000000004">
      <c r="W49964"/>
    </row>
    <row r="49965" spans="23:23" x14ac:dyDescent="0.55000000000000004">
      <c r="W49965"/>
    </row>
    <row r="49966" spans="23:23" x14ac:dyDescent="0.55000000000000004">
      <c r="W49966"/>
    </row>
    <row r="49967" spans="23:23" x14ac:dyDescent="0.55000000000000004">
      <c r="W49967"/>
    </row>
    <row r="49968" spans="23:23" x14ac:dyDescent="0.55000000000000004">
      <c r="W49968"/>
    </row>
    <row r="49969" spans="23:23" x14ac:dyDescent="0.55000000000000004">
      <c r="W49969"/>
    </row>
    <row r="49970" spans="23:23" x14ac:dyDescent="0.55000000000000004">
      <c r="W49970"/>
    </row>
    <row r="49971" spans="23:23" x14ac:dyDescent="0.55000000000000004">
      <c r="W49971"/>
    </row>
    <row r="49972" spans="23:23" x14ac:dyDescent="0.55000000000000004">
      <c r="W49972"/>
    </row>
    <row r="49973" spans="23:23" x14ac:dyDescent="0.55000000000000004">
      <c r="W49973"/>
    </row>
    <row r="49974" spans="23:23" x14ac:dyDescent="0.55000000000000004">
      <c r="W49974"/>
    </row>
    <row r="49975" spans="23:23" x14ac:dyDescent="0.55000000000000004">
      <c r="W49975"/>
    </row>
    <row r="49976" spans="23:23" x14ac:dyDescent="0.55000000000000004">
      <c r="W49976"/>
    </row>
    <row r="49977" spans="23:23" x14ac:dyDescent="0.55000000000000004">
      <c r="W49977"/>
    </row>
    <row r="49978" spans="23:23" x14ac:dyDescent="0.55000000000000004">
      <c r="W49978"/>
    </row>
    <row r="49979" spans="23:23" x14ac:dyDescent="0.55000000000000004">
      <c r="W49979"/>
    </row>
    <row r="49980" spans="23:23" x14ac:dyDescent="0.55000000000000004">
      <c r="W49980"/>
    </row>
    <row r="49981" spans="23:23" x14ac:dyDescent="0.55000000000000004">
      <c r="W49981"/>
    </row>
    <row r="49982" spans="23:23" x14ac:dyDescent="0.55000000000000004">
      <c r="W49982"/>
    </row>
    <row r="49983" spans="23:23" x14ac:dyDescent="0.55000000000000004">
      <c r="W49983"/>
    </row>
    <row r="49984" spans="23:23" x14ac:dyDescent="0.55000000000000004">
      <c r="W49984"/>
    </row>
    <row r="49985" spans="23:23" x14ac:dyDescent="0.55000000000000004">
      <c r="W49985"/>
    </row>
    <row r="49986" spans="23:23" x14ac:dyDescent="0.55000000000000004">
      <c r="W49986"/>
    </row>
    <row r="49987" spans="23:23" x14ac:dyDescent="0.55000000000000004">
      <c r="W49987"/>
    </row>
    <row r="49988" spans="23:23" x14ac:dyDescent="0.55000000000000004">
      <c r="W49988"/>
    </row>
    <row r="49989" spans="23:23" x14ac:dyDescent="0.55000000000000004">
      <c r="W49989"/>
    </row>
    <row r="49990" spans="23:23" x14ac:dyDescent="0.55000000000000004">
      <c r="W49990"/>
    </row>
    <row r="49991" spans="23:23" x14ac:dyDescent="0.55000000000000004">
      <c r="W49991"/>
    </row>
    <row r="49992" spans="23:23" x14ac:dyDescent="0.55000000000000004">
      <c r="W49992"/>
    </row>
    <row r="49993" spans="23:23" x14ac:dyDescent="0.55000000000000004">
      <c r="W49993"/>
    </row>
    <row r="49994" spans="23:23" x14ac:dyDescent="0.55000000000000004">
      <c r="W49994"/>
    </row>
    <row r="49995" spans="23:23" x14ac:dyDescent="0.55000000000000004">
      <c r="W49995"/>
    </row>
    <row r="49996" spans="23:23" x14ac:dyDescent="0.55000000000000004">
      <c r="W49996"/>
    </row>
    <row r="49997" spans="23:23" x14ac:dyDescent="0.55000000000000004">
      <c r="W49997"/>
    </row>
    <row r="49998" spans="23:23" x14ac:dyDescent="0.55000000000000004">
      <c r="W49998"/>
    </row>
    <row r="49999" spans="23:23" x14ac:dyDescent="0.55000000000000004">
      <c r="W49999"/>
    </row>
    <row r="50000" spans="23:23" x14ac:dyDescent="0.55000000000000004">
      <c r="W50000"/>
    </row>
    <row r="50001" spans="23:23" x14ac:dyDescent="0.55000000000000004">
      <c r="W50001"/>
    </row>
    <row r="50002" spans="23:23" x14ac:dyDescent="0.55000000000000004">
      <c r="W50002"/>
    </row>
    <row r="50003" spans="23:23" x14ac:dyDescent="0.55000000000000004">
      <c r="W50003"/>
    </row>
    <row r="50004" spans="23:23" x14ac:dyDescent="0.55000000000000004">
      <c r="W50004"/>
    </row>
    <row r="50005" spans="23:23" x14ac:dyDescent="0.55000000000000004">
      <c r="W50005"/>
    </row>
    <row r="50006" spans="23:23" x14ac:dyDescent="0.55000000000000004">
      <c r="W50006"/>
    </row>
    <row r="50007" spans="23:23" x14ac:dyDescent="0.55000000000000004">
      <c r="W50007"/>
    </row>
    <row r="50008" spans="23:23" x14ac:dyDescent="0.55000000000000004">
      <c r="W50008"/>
    </row>
    <row r="50009" spans="23:23" x14ac:dyDescent="0.55000000000000004">
      <c r="W50009"/>
    </row>
    <row r="50010" spans="23:23" x14ac:dyDescent="0.55000000000000004">
      <c r="W50010"/>
    </row>
    <row r="50011" spans="23:23" x14ac:dyDescent="0.55000000000000004">
      <c r="W50011"/>
    </row>
    <row r="50012" spans="23:23" x14ac:dyDescent="0.55000000000000004">
      <c r="W50012"/>
    </row>
    <row r="50013" spans="23:23" x14ac:dyDescent="0.55000000000000004">
      <c r="W50013"/>
    </row>
    <row r="50014" spans="23:23" x14ac:dyDescent="0.55000000000000004">
      <c r="W50014"/>
    </row>
    <row r="50015" spans="23:23" x14ac:dyDescent="0.55000000000000004">
      <c r="W50015"/>
    </row>
    <row r="50016" spans="23:23" x14ac:dyDescent="0.55000000000000004">
      <c r="W50016"/>
    </row>
    <row r="50017" spans="23:23" x14ac:dyDescent="0.55000000000000004">
      <c r="W50017"/>
    </row>
    <row r="50018" spans="23:23" x14ac:dyDescent="0.55000000000000004">
      <c r="W50018"/>
    </row>
    <row r="50019" spans="23:23" x14ac:dyDescent="0.55000000000000004">
      <c r="W50019"/>
    </row>
    <row r="50020" spans="23:23" x14ac:dyDescent="0.55000000000000004">
      <c r="W50020"/>
    </row>
    <row r="50021" spans="23:23" x14ac:dyDescent="0.55000000000000004">
      <c r="W50021"/>
    </row>
    <row r="50022" spans="23:23" x14ac:dyDescent="0.55000000000000004">
      <c r="W50022"/>
    </row>
    <row r="50023" spans="23:23" x14ac:dyDescent="0.55000000000000004">
      <c r="W50023"/>
    </row>
    <row r="50024" spans="23:23" x14ac:dyDescent="0.55000000000000004">
      <c r="W50024"/>
    </row>
    <row r="50025" spans="23:23" x14ac:dyDescent="0.55000000000000004">
      <c r="W50025"/>
    </row>
    <row r="50026" spans="23:23" x14ac:dyDescent="0.55000000000000004">
      <c r="W50026"/>
    </row>
    <row r="50027" spans="23:23" x14ac:dyDescent="0.55000000000000004">
      <c r="W50027"/>
    </row>
    <row r="50028" spans="23:23" x14ac:dyDescent="0.55000000000000004">
      <c r="W50028"/>
    </row>
    <row r="50029" spans="23:23" x14ac:dyDescent="0.55000000000000004">
      <c r="W50029"/>
    </row>
    <row r="50030" spans="23:23" x14ac:dyDescent="0.55000000000000004">
      <c r="W50030"/>
    </row>
    <row r="50031" spans="23:23" x14ac:dyDescent="0.55000000000000004">
      <c r="W50031"/>
    </row>
    <row r="50032" spans="23:23" x14ac:dyDescent="0.55000000000000004">
      <c r="W50032"/>
    </row>
    <row r="50033" spans="23:23" x14ac:dyDescent="0.55000000000000004">
      <c r="W50033"/>
    </row>
    <row r="50034" spans="23:23" x14ac:dyDescent="0.55000000000000004">
      <c r="W50034"/>
    </row>
    <row r="50035" spans="23:23" x14ac:dyDescent="0.55000000000000004">
      <c r="W50035"/>
    </row>
    <row r="50036" spans="23:23" x14ac:dyDescent="0.55000000000000004">
      <c r="W50036"/>
    </row>
    <row r="50037" spans="23:23" x14ac:dyDescent="0.55000000000000004">
      <c r="W50037"/>
    </row>
    <row r="50038" spans="23:23" x14ac:dyDescent="0.55000000000000004">
      <c r="W50038"/>
    </row>
    <row r="50039" spans="23:23" x14ac:dyDescent="0.55000000000000004">
      <c r="W50039"/>
    </row>
    <row r="50040" spans="23:23" x14ac:dyDescent="0.55000000000000004">
      <c r="W50040"/>
    </row>
    <row r="50041" spans="23:23" x14ac:dyDescent="0.55000000000000004">
      <c r="W50041"/>
    </row>
    <row r="50042" spans="23:23" x14ac:dyDescent="0.55000000000000004">
      <c r="W50042"/>
    </row>
    <row r="50043" spans="23:23" x14ac:dyDescent="0.55000000000000004">
      <c r="W50043"/>
    </row>
    <row r="50044" spans="23:23" x14ac:dyDescent="0.55000000000000004">
      <c r="W50044"/>
    </row>
    <row r="50045" spans="23:23" x14ac:dyDescent="0.55000000000000004">
      <c r="W50045"/>
    </row>
    <row r="50046" spans="23:23" x14ac:dyDescent="0.55000000000000004">
      <c r="W50046"/>
    </row>
    <row r="50047" spans="23:23" x14ac:dyDescent="0.55000000000000004">
      <c r="W50047"/>
    </row>
    <row r="50048" spans="23:23" x14ac:dyDescent="0.55000000000000004">
      <c r="W50048"/>
    </row>
    <row r="50049" spans="23:23" x14ac:dyDescent="0.55000000000000004">
      <c r="W50049"/>
    </row>
    <row r="50050" spans="23:23" x14ac:dyDescent="0.55000000000000004">
      <c r="W50050"/>
    </row>
    <row r="50051" spans="23:23" x14ac:dyDescent="0.55000000000000004">
      <c r="W50051"/>
    </row>
    <row r="50052" spans="23:23" x14ac:dyDescent="0.55000000000000004">
      <c r="W50052"/>
    </row>
    <row r="50053" spans="23:23" x14ac:dyDescent="0.55000000000000004">
      <c r="W50053"/>
    </row>
    <row r="50054" spans="23:23" x14ac:dyDescent="0.55000000000000004">
      <c r="W50054"/>
    </row>
    <row r="50055" spans="23:23" x14ac:dyDescent="0.55000000000000004">
      <c r="W50055"/>
    </row>
    <row r="50056" spans="23:23" x14ac:dyDescent="0.55000000000000004">
      <c r="W50056"/>
    </row>
    <row r="50057" spans="23:23" x14ac:dyDescent="0.55000000000000004">
      <c r="W50057"/>
    </row>
    <row r="50058" spans="23:23" x14ac:dyDescent="0.55000000000000004">
      <c r="W50058"/>
    </row>
    <row r="50059" spans="23:23" x14ac:dyDescent="0.55000000000000004">
      <c r="W50059"/>
    </row>
    <row r="50060" spans="23:23" x14ac:dyDescent="0.55000000000000004">
      <c r="W50060"/>
    </row>
    <row r="50061" spans="23:23" x14ac:dyDescent="0.55000000000000004">
      <c r="W50061"/>
    </row>
    <row r="50062" spans="23:23" x14ac:dyDescent="0.55000000000000004">
      <c r="W50062"/>
    </row>
    <row r="50063" spans="23:23" x14ac:dyDescent="0.55000000000000004">
      <c r="W50063"/>
    </row>
    <row r="50064" spans="23:23" x14ac:dyDescent="0.55000000000000004">
      <c r="W50064"/>
    </row>
    <row r="50065" spans="23:23" x14ac:dyDescent="0.55000000000000004">
      <c r="W50065"/>
    </row>
    <row r="50066" spans="23:23" x14ac:dyDescent="0.55000000000000004">
      <c r="W50066"/>
    </row>
    <row r="50067" spans="23:23" x14ac:dyDescent="0.55000000000000004">
      <c r="W50067"/>
    </row>
    <row r="50068" spans="23:23" x14ac:dyDescent="0.55000000000000004">
      <c r="W50068"/>
    </row>
    <row r="50069" spans="23:23" x14ac:dyDescent="0.55000000000000004">
      <c r="W50069"/>
    </row>
    <row r="50070" spans="23:23" x14ac:dyDescent="0.55000000000000004">
      <c r="W50070"/>
    </row>
    <row r="50071" spans="23:23" x14ac:dyDescent="0.55000000000000004">
      <c r="W50071"/>
    </row>
    <row r="50072" spans="23:23" x14ac:dyDescent="0.55000000000000004">
      <c r="W50072"/>
    </row>
    <row r="50073" spans="23:23" x14ac:dyDescent="0.55000000000000004">
      <c r="W50073"/>
    </row>
    <row r="50074" spans="23:23" x14ac:dyDescent="0.55000000000000004">
      <c r="W50074"/>
    </row>
    <row r="50075" spans="23:23" x14ac:dyDescent="0.55000000000000004">
      <c r="W50075"/>
    </row>
    <row r="50076" spans="23:23" x14ac:dyDescent="0.55000000000000004">
      <c r="W50076"/>
    </row>
    <row r="50077" spans="23:23" x14ac:dyDescent="0.55000000000000004">
      <c r="W50077"/>
    </row>
    <row r="50078" spans="23:23" x14ac:dyDescent="0.55000000000000004">
      <c r="W50078"/>
    </row>
    <row r="50079" spans="23:23" x14ac:dyDescent="0.55000000000000004">
      <c r="W50079"/>
    </row>
    <row r="50080" spans="23:23" x14ac:dyDescent="0.55000000000000004">
      <c r="W50080"/>
    </row>
    <row r="50081" spans="23:23" x14ac:dyDescent="0.55000000000000004">
      <c r="W50081"/>
    </row>
    <row r="50082" spans="23:23" x14ac:dyDescent="0.55000000000000004">
      <c r="W50082"/>
    </row>
    <row r="50083" spans="23:23" x14ac:dyDescent="0.55000000000000004">
      <c r="W50083"/>
    </row>
    <row r="50084" spans="23:23" x14ac:dyDescent="0.55000000000000004">
      <c r="W50084"/>
    </row>
    <row r="50085" spans="23:23" x14ac:dyDescent="0.55000000000000004">
      <c r="W50085"/>
    </row>
    <row r="50086" spans="23:23" x14ac:dyDescent="0.55000000000000004">
      <c r="W50086"/>
    </row>
    <row r="50087" spans="23:23" x14ac:dyDescent="0.55000000000000004">
      <c r="W50087"/>
    </row>
    <row r="50088" spans="23:23" x14ac:dyDescent="0.55000000000000004">
      <c r="W50088"/>
    </row>
    <row r="50089" spans="23:23" x14ac:dyDescent="0.55000000000000004">
      <c r="W50089"/>
    </row>
    <row r="50090" spans="23:23" x14ac:dyDescent="0.55000000000000004">
      <c r="W50090"/>
    </row>
    <row r="50091" spans="23:23" x14ac:dyDescent="0.55000000000000004">
      <c r="W50091"/>
    </row>
    <row r="50092" spans="23:23" x14ac:dyDescent="0.55000000000000004">
      <c r="W50092"/>
    </row>
    <row r="50093" spans="23:23" x14ac:dyDescent="0.55000000000000004">
      <c r="W50093"/>
    </row>
    <row r="50094" spans="23:23" x14ac:dyDescent="0.55000000000000004">
      <c r="W50094"/>
    </row>
    <row r="50095" spans="23:23" x14ac:dyDescent="0.55000000000000004">
      <c r="W50095"/>
    </row>
    <row r="50096" spans="23:23" x14ac:dyDescent="0.55000000000000004">
      <c r="W50096"/>
    </row>
    <row r="50097" spans="23:23" x14ac:dyDescent="0.55000000000000004">
      <c r="W50097"/>
    </row>
    <row r="50098" spans="23:23" x14ac:dyDescent="0.55000000000000004">
      <c r="W50098"/>
    </row>
    <row r="50099" spans="23:23" x14ac:dyDescent="0.55000000000000004">
      <c r="W50099"/>
    </row>
    <row r="50100" spans="23:23" x14ac:dyDescent="0.55000000000000004">
      <c r="W50100"/>
    </row>
    <row r="50101" spans="23:23" x14ac:dyDescent="0.55000000000000004">
      <c r="W50101"/>
    </row>
    <row r="50102" spans="23:23" x14ac:dyDescent="0.55000000000000004">
      <c r="W50102"/>
    </row>
    <row r="50103" spans="23:23" x14ac:dyDescent="0.55000000000000004">
      <c r="W50103"/>
    </row>
    <row r="50104" spans="23:23" x14ac:dyDescent="0.55000000000000004">
      <c r="W50104"/>
    </row>
    <row r="50105" spans="23:23" x14ac:dyDescent="0.55000000000000004">
      <c r="W50105"/>
    </row>
    <row r="50106" spans="23:23" x14ac:dyDescent="0.55000000000000004">
      <c r="W50106"/>
    </row>
    <row r="50107" spans="23:23" x14ac:dyDescent="0.55000000000000004">
      <c r="W50107"/>
    </row>
    <row r="50108" spans="23:23" x14ac:dyDescent="0.55000000000000004">
      <c r="W50108"/>
    </row>
    <row r="50109" spans="23:23" x14ac:dyDescent="0.55000000000000004">
      <c r="W50109"/>
    </row>
    <row r="50110" spans="23:23" x14ac:dyDescent="0.55000000000000004">
      <c r="W50110"/>
    </row>
    <row r="50111" spans="23:23" x14ac:dyDescent="0.55000000000000004">
      <c r="W50111"/>
    </row>
    <row r="50112" spans="23:23" x14ac:dyDescent="0.55000000000000004">
      <c r="W50112"/>
    </row>
    <row r="50113" spans="23:23" x14ac:dyDescent="0.55000000000000004">
      <c r="W50113"/>
    </row>
    <row r="50114" spans="23:23" x14ac:dyDescent="0.55000000000000004">
      <c r="W50114"/>
    </row>
    <row r="50115" spans="23:23" x14ac:dyDescent="0.55000000000000004">
      <c r="W50115"/>
    </row>
    <row r="50116" spans="23:23" x14ac:dyDescent="0.55000000000000004">
      <c r="W50116"/>
    </row>
    <row r="50117" spans="23:23" x14ac:dyDescent="0.55000000000000004">
      <c r="W50117"/>
    </row>
    <row r="50118" spans="23:23" x14ac:dyDescent="0.55000000000000004">
      <c r="W50118"/>
    </row>
    <row r="50119" spans="23:23" x14ac:dyDescent="0.55000000000000004">
      <c r="W50119"/>
    </row>
    <row r="50120" spans="23:23" x14ac:dyDescent="0.55000000000000004">
      <c r="W50120"/>
    </row>
    <row r="50121" spans="23:23" x14ac:dyDescent="0.55000000000000004">
      <c r="W50121"/>
    </row>
    <row r="50122" spans="23:23" x14ac:dyDescent="0.55000000000000004">
      <c r="W50122"/>
    </row>
    <row r="50123" spans="23:23" x14ac:dyDescent="0.55000000000000004">
      <c r="W50123"/>
    </row>
    <row r="50124" spans="23:23" x14ac:dyDescent="0.55000000000000004">
      <c r="W50124"/>
    </row>
    <row r="50125" spans="23:23" x14ac:dyDescent="0.55000000000000004">
      <c r="W50125"/>
    </row>
    <row r="50126" spans="23:23" x14ac:dyDescent="0.55000000000000004">
      <c r="W50126"/>
    </row>
    <row r="50127" spans="23:23" x14ac:dyDescent="0.55000000000000004">
      <c r="W50127"/>
    </row>
    <row r="50128" spans="23:23" x14ac:dyDescent="0.55000000000000004">
      <c r="W50128"/>
    </row>
    <row r="50129" spans="23:23" x14ac:dyDescent="0.55000000000000004">
      <c r="W50129"/>
    </row>
    <row r="50130" spans="23:23" x14ac:dyDescent="0.55000000000000004">
      <c r="W50130"/>
    </row>
    <row r="50131" spans="23:23" x14ac:dyDescent="0.55000000000000004">
      <c r="W50131"/>
    </row>
    <row r="50132" spans="23:23" x14ac:dyDescent="0.55000000000000004">
      <c r="W50132"/>
    </row>
    <row r="50133" spans="23:23" x14ac:dyDescent="0.55000000000000004">
      <c r="W50133"/>
    </row>
    <row r="50134" spans="23:23" x14ac:dyDescent="0.55000000000000004">
      <c r="W50134"/>
    </row>
    <row r="50135" spans="23:23" x14ac:dyDescent="0.55000000000000004">
      <c r="W50135"/>
    </row>
    <row r="50136" spans="23:23" x14ac:dyDescent="0.55000000000000004">
      <c r="W50136"/>
    </row>
    <row r="50137" spans="23:23" x14ac:dyDescent="0.55000000000000004">
      <c r="W50137"/>
    </row>
    <row r="50138" spans="23:23" x14ac:dyDescent="0.55000000000000004">
      <c r="W50138"/>
    </row>
    <row r="50139" spans="23:23" x14ac:dyDescent="0.55000000000000004">
      <c r="W50139"/>
    </row>
    <row r="50140" spans="23:23" x14ac:dyDescent="0.55000000000000004">
      <c r="W50140"/>
    </row>
    <row r="50141" spans="23:23" x14ac:dyDescent="0.55000000000000004">
      <c r="W50141"/>
    </row>
    <row r="50142" spans="23:23" x14ac:dyDescent="0.55000000000000004">
      <c r="W50142"/>
    </row>
    <row r="50143" spans="23:23" x14ac:dyDescent="0.55000000000000004">
      <c r="W50143"/>
    </row>
    <row r="50144" spans="23:23" x14ac:dyDescent="0.55000000000000004">
      <c r="W50144"/>
    </row>
    <row r="50145" spans="23:23" x14ac:dyDescent="0.55000000000000004">
      <c r="W50145"/>
    </row>
    <row r="50146" spans="23:23" x14ac:dyDescent="0.55000000000000004">
      <c r="W50146"/>
    </row>
    <row r="50147" spans="23:23" x14ac:dyDescent="0.55000000000000004">
      <c r="W50147"/>
    </row>
    <row r="50148" spans="23:23" x14ac:dyDescent="0.55000000000000004">
      <c r="W50148"/>
    </row>
    <row r="50149" spans="23:23" x14ac:dyDescent="0.55000000000000004">
      <c r="W50149"/>
    </row>
    <row r="50150" spans="23:23" x14ac:dyDescent="0.55000000000000004">
      <c r="W50150"/>
    </row>
    <row r="50151" spans="23:23" x14ac:dyDescent="0.55000000000000004">
      <c r="W50151"/>
    </row>
    <row r="50152" spans="23:23" x14ac:dyDescent="0.55000000000000004">
      <c r="W50152"/>
    </row>
    <row r="50153" spans="23:23" x14ac:dyDescent="0.55000000000000004">
      <c r="W50153"/>
    </row>
    <row r="50154" spans="23:23" x14ac:dyDescent="0.55000000000000004">
      <c r="W50154"/>
    </row>
    <row r="50155" spans="23:23" x14ac:dyDescent="0.55000000000000004">
      <c r="W50155"/>
    </row>
    <row r="50156" spans="23:23" x14ac:dyDescent="0.55000000000000004">
      <c r="W50156"/>
    </row>
    <row r="50157" spans="23:23" x14ac:dyDescent="0.55000000000000004">
      <c r="W50157"/>
    </row>
    <row r="50158" spans="23:23" x14ac:dyDescent="0.55000000000000004">
      <c r="W50158"/>
    </row>
    <row r="50159" spans="23:23" x14ac:dyDescent="0.55000000000000004">
      <c r="W50159"/>
    </row>
    <row r="50160" spans="23:23" x14ac:dyDescent="0.55000000000000004">
      <c r="W50160"/>
    </row>
    <row r="50161" spans="23:23" x14ac:dyDescent="0.55000000000000004">
      <c r="W50161"/>
    </row>
    <row r="50162" spans="23:23" x14ac:dyDescent="0.55000000000000004">
      <c r="W50162"/>
    </row>
    <row r="50163" spans="23:23" x14ac:dyDescent="0.55000000000000004">
      <c r="W50163"/>
    </row>
    <row r="50164" spans="23:23" x14ac:dyDescent="0.55000000000000004">
      <c r="W50164"/>
    </row>
    <row r="50165" spans="23:23" x14ac:dyDescent="0.55000000000000004">
      <c r="W50165"/>
    </row>
    <row r="50166" spans="23:23" x14ac:dyDescent="0.55000000000000004">
      <c r="W50166"/>
    </row>
    <row r="50167" spans="23:23" x14ac:dyDescent="0.55000000000000004">
      <c r="W50167"/>
    </row>
    <row r="50168" spans="23:23" x14ac:dyDescent="0.55000000000000004">
      <c r="W50168"/>
    </row>
    <row r="50169" spans="23:23" x14ac:dyDescent="0.55000000000000004">
      <c r="W50169"/>
    </row>
    <row r="50170" spans="23:23" x14ac:dyDescent="0.55000000000000004">
      <c r="W50170"/>
    </row>
    <row r="50171" spans="23:23" x14ac:dyDescent="0.55000000000000004">
      <c r="W50171"/>
    </row>
    <row r="50172" spans="23:23" x14ac:dyDescent="0.55000000000000004">
      <c r="W50172"/>
    </row>
    <row r="50173" spans="23:23" x14ac:dyDescent="0.55000000000000004">
      <c r="W50173"/>
    </row>
    <row r="50174" spans="23:23" x14ac:dyDescent="0.55000000000000004">
      <c r="W50174"/>
    </row>
    <row r="50175" spans="23:23" x14ac:dyDescent="0.55000000000000004">
      <c r="W50175"/>
    </row>
    <row r="50176" spans="23:23" x14ac:dyDescent="0.55000000000000004">
      <c r="W50176"/>
    </row>
    <row r="50177" spans="23:23" x14ac:dyDescent="0.55000000000000004">
      <c r="W50177"/>
    </row>
    <row r="50178" spans="23:23" x14ac:dyDescent="0.55000000000000004">
      <c r="W50178"/>
    </row>
    <row r="50179" spans="23:23" x14ac:dyDescent="0.55000000000000004">
      <c r="W50179"/>
    </row>
    <row r="50180" spans="23:23" x14ac:dyDescent="0.55000000000000004">
      <c r="W50180"/>
    </row>
    <row r="50181" spans="23:23" x14ac:dyDescent="0.55000000000000004">
      <c r="W50181"/>
    </row>
    <row r="50182" spans="23:23" x14ac:dyDescent="0.55000000000000004">
      <c r="W50182"/>
    </row>
    <row r="50183" spans="23:23" x14ac:dyDescent="0.55000000000000004">
      <c r="W50183"/>
    </row>
    <row r="50184" spans="23:23" x14ac:dyDescent="0.55000000000000004">
      <c r="W50184"/>
    </row>
    <row r="50185" spans="23:23" x14ac:dyDescent="0.55000000000000004">
      <c r="W50185"/>
    </row>
    <row r="50186" spans="23:23" x14ac:dyDescent="0.55000000000000004">
      <c r="W50186"/>
    </row>
    <row r="50187" spans="23:23" x14ac:dyDescent="0.55000000000000004">
      <c r="W50187"/>
    </row>
    <row r="50188" spans="23:23" x14ac:dyDescent="0.55000000000000004">
      <c r="W50188"/>
    </row>
    <row r="50189" spans="23:23" x14ac:dyDescent="0.55000000000000004">
      <c r="W50189"/>
    </row>
    <row r="50190" spans="23:23" x14ac:dyDescent="0.55000000000000004">
      <c r="W50190"/>
    </row>
    <row r="50191" spans="23:23" x14ac:dyDescent="0.55000000000000004">
      <c r="W50191"/>
    </row>
    <row r="50192" spans="23:23" x14ac:dyDescent="0.55000000000000004">
      <c r="W50192"/>
    </row>
    <row r="50193" spans="23:23" x14ac:dyDescent="0.55000000000000004">
      <c r="W50193"/>
    </row>
    <row r="50194" spans="23:23" x14ac:dyDescent="0.55000000000000004">
      <c r="W50194"/>
    </row>
    <row r="50195" spans="23:23" x14ac:dyDescent="0.55000000000000004">
      <c r="W50195"/>
    </row>
    <row r="50196" spans="23:23" x14ac:dyDescent="0.55000000000000004">
      <c r="W50196"/>
    </row>
    <row r="50197" spans="23:23" x14ac:dyDescent="0.55000000000000004">
      <c r="W50197"/>
    </row>
    <row r="50198" spans="23:23" x14ac:dyDescent="0.55000000000000004">
      <c r="W50198"/>
    </row>
    <row r="50199" spans="23:23" x14ac:dyDescent="0.55000000000000004">
      <c r="W50199"/>
    </row>
    <row r="50200" spans="23:23" x14ac:dyDescent="0.55000000000000004">
      <c r="W50200"/>
    </row>
    <row r="50201" spans="23:23" x14ac:dyDescent="0.55000000000000004">
      <c r="W50201"/>
    </row>
    <row r="50202" spans="23:23" x14ac:dyDescent="0.55000000000000004">
      <c r="W50202"/>
    </row>
    <row r="50203" spans="23:23" x14ac:dyDescent="0.55000000000000004">
      <c r="W50203"/>
    </row>
    <row r="50204" spans="23:23" x14ac:dyDescent="0.55000000000000004">
      <c r="W50204"/>
    </row>
    <row r="50205" spans="23:23" x14ac:dyDescent="0.55000000000000004">
      <c r="W50205"/>
    </row>
    <row r="50206" spans="23:23" x14ac:dyDescent="0.55000000000000004">
      <c r="W50206"/>
    </row>
    <row r="50207" spans="23:23" x14ac:dyDescent="0.55000000000000004">
      <c r="W50207"/>
    </row>
    <row r="50208" spans="23:23" x14ac:dyDescent="0.55000000000000004">
      <c r="W50208"/>
    </row>
    <row r="50209" spans="23:23" x14ac:dyDescent="0.55000000000000004">
      <c r="W50209"/>
    </row>
    <row r="50210" spans="23:23" x14ac:dyDescent="0.55000000000000004">
      <c r="W50210"/>
    </row>
    <row r="50211" spans="23:23" x14ac:dyDescent="0.55000000000000004">
      <c r="W50211"/>
    </row>
    <row r="50212" spans="23:23" x14ac:dyDescent="0.55000000000000004">
      <c r="W50212"/>
    </row>
    <row r="50213" spans="23:23" x14ac:dyDescent="0.55000000000000004">
      <c r="W50213"/>
    </row>
    <row r="50214" spans="23:23" x14ac:dyDescent="0.55000000000000004">
      <c r="W50214"/>
    </row>
    <row r="50215" spans="23:23" x14ac:dyDescent="0.55000000000000004">
      <c r="W50215"/>
    </row>
    <row r="50216" spans="23:23" x14ac:dyDescent="0.55000000000000004">
      <c r="W50216"/>
    </row>
    <row r="50217" spans="23:23" x14ac:dyDescent="0.55000000000000004">
      <c r="W50217"/>
    </row>
    <row r="50218" spans="23:23" x14ac:dyDescent="0.55000000000000004">
      <c r="W50218"/>
    </row>
    <row r="50219" spans="23:23" x14ac:dyDescent="0.55000000000000004">
      <c r="W50219"/>
    </row>
    <row r="50220" spans="23:23" x14ac:dyDescent="0.55000000000000004">
      <c r="W50220"/>
    </row>
    <row r="50221" spans="23:23" x14ac:dyDescent="0.55000000000000004">
      <c r="W50221"/>
    </row>
    <row r="50222" spans="23:23" x14ac:dyDescent="0.55000000000000004">
      <c r="W50222"/>
    </row>
    <row r="50223" spans="23:23" x14ac:dyDescent="0.55000000000000004">
      <c r="W50223"/>
    </row>
    <row r="50224" spans="23:23" x14ac:dyDescent="0.55000000000000004">
      <c r="W50224"/>
    </row>
    <row r="50225" spans="23:23" x14ac:dyDescent="0.55000000000000004">
      <c r="W50225"/>
    </row>
    <row r="50226" spans="23:23" x14ac:dyDescent="0.55000000000000004">
      <c r="W50226"/>
    </row>
    <row r="50227" spans="23:23" x14ac:dyDescent="0.55000000000000004">
      <c r="W50227"/>
    </row>
    <row r="50228" spans="23:23" x14ac:dyDescent="0.55000000000000004">
      <c r="W50228"/>
    </row>
    <row r="50229" spans="23:23" x14ac:dyDescent="0.55000000000000004">
      <c r="W50229"/>
    </row>
    <row r="50230" spans="23:23" x14ac:dyDescent="0.55000000000000004">
      <c r="W50230"/>
    </row>
    <row r="50231" spans="23:23" x14ac:dyDescent="0.55000000000000004">
      <c r="W50231"/>
    </row>
    <row r="50232" spans="23:23" x14ac:dyDescent="0.55000000000000004">
      <c r="W50232"/>
    </row>
    <row r="50233" spans="23:23" x14ac:dyDescent="0.55000000000000004">
      <c r="W50233"/>
    </row>
    <row r="50234" spans="23:23" x14ac:dyDescent="0.55000000000000004">
      <c r="W50234"/>
    </row>
    <row r="50235" spans="23:23" x14ac:dyDescent="0.55000000000000004">
      <c r="W50235"/>
    </row>
    <row r="50236" spans="23:23" x14ac:dyDescent="0.55000000000000004">
      <c r="W50236"/>
    </row>
    <row r="50237" spans="23:23" x14ac:dyDescent="0.55000000000000004">
      <c r="W50237"/>
    </row>
    <row r="50238" spans="23:23" x14ac:dyDescent="0.55000000000000004">
      <c r="W50238"/>
    </row>
    <row r="50239" spans="23:23" x14ac:dyDescent="0.55000000000000004">
      <c r="W50239"/>
    </row>
    <row r="50240" spans="23:23" x14ac:dyDescent="0.55000000000000004">
      <c r="W50240"/>
    </row>
    <row r="50241" spans="23:23" x14ac:dyDescent="0.55000000000000004">
      <c r="W50241"/>
    </row>
    <row r="50242" spans="23:23" x14ac:dyDescent="0.55000000000000004">
      <c r="W50242"/>
    </row>
    <row r="50243" spans="23:23" x14ac:dyDescent="0.55000000000000004">
      <c r="W50243"/>
    </row>
    <row r="50244" spans="23:23" x14ac:dyDescent="0.55000000000000004">
      <c r="W50244"/>
    </row>
    <row r="50245" spans="23:23" x14ac:dyDescent="0.55000000000000004">
      <c r="W50245"/>
    </row>
    <row r="50246" spans="23:23" x14ac:dyDescent="0.55000000000000004">
      <c r="W50246"/>
    </row>
    <row r="50247" spans="23:23" x14ac:dyDescent="0.55000000000000004">
      <c r="W50247"/>
    </row>
    <row r="50248" spans="23:23" x14ac:dyDescent="0.55000000000000004">
      <c r="W50248"/>
    </row>
    <row r="50249" spans="23:23" x14ac:dyDescent="0.55000000000000004">
      <c r="W50249"/>
    </row>
    <row r="50250" spans="23:23" x14ac:dyDescent="0.55000000000000004">
      <c r="W50250"/>
    </row>
    <row r="50251" spans="23:23" x14ac:dyDescent="0.55000000000000004">
      <c r="W50251"/>
    </row>
    <row r="50252" spans="23:23" x14ac:dyDescent="0.55000000000000004">
      <c r="W50252"/>
    </row>
    <row r="50253" spans="23:23" x14ac:dyDescent="0.55000000000000004">
      <c r="W50253"/>
    </row>
    <row r="50254" spans="23:23" x14ac:dyDescent="0.55000000000000004">
      <c r="W50254"/>
    </row>
    <row r="50255" spans="23:23" x14ac:dyDescent="0.55000000000000004">
      <c r="W50255"/>
    </row>
    <row r="50256" spans="23:23" x14ac:dyDescent="0.55000000000000004">
      <c r="W50256"/>
    </row>
    <row r="50257" spans="23:23" x14ac:dyDescent="0.55000000000000004">
      <c r="W50257"/>
    </row>
    <row r="50258" spans="23:23" x14ac:dyDescent="0.55000000000000004">
      <c r="W50258"/>
    </row>
    <row r="50259" spans="23:23" x14ac:dyDescent="0.55000000000000004">
      <c r="W50259"/>
    </row>
    <row r="50260" spans="23:23" x14ac:dyDescent="0.55000000000000004">
      <c r="W50260"/>
    </row>
    <row r="50261" spans="23:23" x14ac:dyDescent="0.55000000000000004">
      <c r="W50261"/>
    </row>
    <row r="50262" spans="23:23" x14ac:dyDescent="0.55000000000000004">
      <c r="W50262"/>
    </row>
    <row r="50263" spans="23:23" x14ac:dyDescent="0.55000000000000004">
      <c r="W50263"/>
    </row>
    <row r="50264" spans="23:23" x14ac:dyDescent="0.55000000000000004">
      <c r="W50264"/>
    </row>
    <row r="50265" spans="23:23" x14ac:dyDescent="0.55000000000000004">
      <c r="W50265"/>
    </row>
    <row r="50266" spans="23:23" x14ac:dyDescent="0.55000000000000004">
      <c r="W50266"/>
    </row>
    <row r="50267" spans="23:23" x14ac:dyDescent="0.55000000000000004">
      <c r="W50267"/>
    </row>
    <row r="50268" spans="23:23" x14ac:dyDescent="0.55000000000000004">
      <c r="W50268"/>
    </row>
    <row r="50269" spans="23:23" x14ac:dyDescent="0.55000000000000004">
      <c r="W50269"/>
    </row>
    <row r="50270" spans="23:23" x14ac:dyDescent="0.55000000000000004">
      <c r="W50270"/>
    </row>
    <row r="50271" spans="23:23" x14ac:dyDescent="0.55000000000000004">
      <c r="W50271"/>
    </row>
    <row r="50272" spans="23:23" x14ac:dyDescent="0.55000000000000004">
      <c r="W50272"/>
    </row>
    <row r="50273" spans="23:23" x14ac:dyDescent="0.55000000000000004">
      <c r="W50273"/>
    </row>
    <row r="50274" spans="23:23" x14ac:dyDescent="0.55000000000000004">
      <c r="W50274"/>
    </row>
    <row r="50275" spans="23:23" x14ac:dyDescent="0.55000000000000004">
      <c r="W50275"/>
    </row>
    <row r="50276" spans="23:23" x14ac:dyDescent="0.55000000000000004">
      <c r="W50276"/>
    </row>
    <row r="50277" spans="23:23" x14ac:dyDescent="0.55000000000000004">
      <c r="W50277"/>
    </row>
    <row r="50278" spans="23:23" x14ac:dyDescent="0.55000000000000004">
      <c r="W50278"/>
    </row>
    <row r="50279" spans="23:23" x14ac:dyDescent="0.55000000000000004">
      <c r="W50279"/>
    </row>
    <row r="50280" spans="23:23" x14ac:dyDescent="0.55000000000000004">
      <c r="W50280"/>
    </row>
    <row r="50281" spans="23:23" x14ac:dyDescent="0.55000000000000004">
      <c r="W50281"/>
    </row>
    <row r="50282" spans="23:23" x14ac:dyDescent="0.55000000000000004">
      <c r="W50282"/>
    </row>
    <row r="50283" spans="23:23" x14ac:dyDescent="0.55000000000000004">
      <c r="W50283"/>
    </row>
    <row r="50284" spans="23:23" x14ac:dyDescent="0.55000000000000004">
      <c r="W50284"/>
    </row>
    <row r="50285" spans="23:23" x14ac:dyDescent="0.55000000000000004">
      <c r="W50285"/>
    </row>
    <row r="50286" spans="23:23" x14ac:dyDescent="0.55000000000000004">
      <c r="W50286"/>
    </row>
    <row r="50287" spans="23:23" x14ac:dyDescent="0.55000000000000004">
      <c r="W50287"/>
    </row>
    <row r="50288" spans="23:23" x14ac:dyDescent="0.55000000000000004">
      <c r="W50288"/>
    </row>
    <row r="50289" spans="23:23" x14ac:dyDescent="0.55000000000000004">
      <c r="W50289"/>
    </row>
    <row r="50290" spans="23:23" x14ac:dyDescent="0.55000000000000004">
      <c r="W50290"/>
    </row>
    <row r="50291" spans="23:23" x14ac:dyDescent="0.55000000000000004">
      <c r="W50291"/>
    </row>
    <row r="50292" spans="23:23" x14ac:dyDescent="0.55000000000000004">
      <c r="W50292"/>
    </row>
    <row r="50293" spans="23:23" x14ac:dyDescent="0.55000000000000004">
      <c r="W50293"/>
    </row>
    <row r="50294" spans="23:23" x14ac:dyDescent="0.55000000000000004">
      <c r="W50294"/>
    </row>
    <row r="50295" spans="23:23" x14ac:dyDescent="0.55000000000000004">
      <c r="W50295"/>
    </row>
    <row r="50296" spans="23:23" x14ac:dyDescent="0.55000000000000004">
      <c r="W50296"/>
    </row>
    <row r="50297" spans="23:23" x14ac:dyDescent="0.55000000000000004">
      <c r="W50297"/>
    </row>
    <row r="50298" spans="23:23" x14ac:dyDescent="0.55000000000000004">
      <c r="W50298"/>
    </row>
    <row r="50299" spans="23:23" x14ac:dyDescent="0.55000000000000004">
      <c r="W50299"/>
    </row>
    <row r="50300" spans="23:23" x14ac:dyDescent="0.55000000000000004">
      <c r="W50300"/>
    </row>
    <row r="50301" spans="23:23" x14ac:dyDescent="0.55000000000000004">
      <c r="W50301"/>
    </row>
    <row r="50302" spans="23:23" x14ac:dyDescent="0.55000000000000004">
      <c r="W50302"/>
    </row>
    <row r="50303" spans="23:23" x14ac:dyDescent="0.55000000000000004">
      <c r="W50303"/>
    </row>
    <row r="50304" spans="23:23" x14ac:dyDescent="0.55000000000000004">
      <c r="W50304"/>
    </row>
    <row r="50305" spans="23:23" x14ac:dyDescent="0.55000000000000004">
      <c r="W50305"/>
    </row>
    <row r="50306" spans="23:23" x14ac:dyDescent="0.55000000000000004">
      <c r="W50306"/>
    </row>
    <row r="50307" spans="23:23" x14ac:dyDescent="0.55000000000000004">
      <c r="W50307"/>
    </row>
    <row r="50308" spans="23:23" x14ac:dyDescent="0.55000000000000004">
      <c r="W50308"/>
    </row>
    <row r="50309" spans="23:23" x14ac:dyDescent="0.55000000000000004">
      <c r="W50309"/>
    </row>
    <row r="50310" spans="23:23" x14ac:dyDescent="0.55000000000000004">
      <c r="W50310"/>
    </row>
    <row r="50311" spans="23:23" x14ac:dyDescent="0.55000000000000004">
      <c r="W50311"/>
    </row>
    <row r="50312" spans="23:23" x14ac:dyDescent="0.55000000000000004">
      <c r="W50312"/>
    </row>
    <row r="50313" spans="23:23" x14ac:dyDescent="0.55000000000000004">
      <c r="W50313"/>
    </row>
    <row r="50314" spans="23:23" x14ac:dyDescent="0.55000000000000004">
      <c r="W50314"/>
    </row>
    <row r="50315" spans="23:23" x14ac:dyDescent="0.55000000000000004">
      <c r="W50315"/>
    </row>
    <row r="50316" spans="23:23" x14ac:dyDescent="0.55000000000000004">
      <c r="W50316"/>
    </row>
    <row r="50317" spans="23:23" x14ac:dyDescent="0.55000000000000004">
      <c r="W50317"/>
    </row>
    <row r="50318" spans="23:23" x14ac:dyDescent="0.55000000000000004">
      <c r="W50318"/>
    </row>
    <row r="50319" spans="23:23" x14ac:dyDescent="0.55000000000000004">
      <c r="W50319"/>
    </row>
    <row r="50320" spans="23:23" x14ac:dyDescent="0.55000000000000004">
      <c r="W50320"/>
    </row>
    <row r="50321" spans="23:23" x14ac:dyDescent="0.55000000000000004">
      <c r="W50321"/>
    </row>
    <row r="50322" spans="23:23" x14ac:dyDescent="0.55000000000000004">
      <c r="W50322"/>
    </row>
    <row r="50323" spans="23:23" x14ac:dyDescent="0.55000000000000004">
      <c r="W50323"/>
    </row>
    <row r="50324" spans="23:23" x14ac:dyDescent="0.55000000000000004">
      <c r="W50324"/>
    </row>
    <row r="50325" spans="23:23" x14ac:dyDescent="0.55000000000000004">
      <c r="W50325"/>
    </row>
    <row r="50326" spans="23:23" x14ac:dyDescent="0.55000000000000004">
      <c r="W50326"/>
    </row>
    <row r="50327" spans="23:23" x14ac:dyDescent="0.55000000000000004">
      <c r="W50327"/>
    </row>
    <row r="50328" spans="23:23" x14ac:dyDescent="0.55000000000000004">
      <c r="W50328"/>
    </row>
    <row r="50329" spans="23:23" x14ac:dyDescent="0.55000000000000004">
      <c r="W50329"/>
    </row>
    <row r="50330" spans="23:23" x14ac:dyDescent="0.55000000000000004">
      <c r="W50330"/>
    </row>
    <row r="50331" spans="23:23" x14ac:dyDescent="0.55000000000000004">
      <c r="W50331"/>
    </row>
    <row r="50332" spans="23:23" x14ac:dyDescent="0.55000000000000004">
      <c r="W50332"/>
    </row>
    <row r="50333" spans="23:23" x14ac:dyDescent="0.55000000000000004">
      <c r="W50333"/>
    </row>
    <row r="50334" spans="23:23" x14ac:dyDescent="0.55000000000000004">
      <c r="W50334"/>
    </row>
    <row r="50335" spans="23:23" x14ac:dyDescent="0.55000000000000004">
      <c r="W50335"/>
    </row>
    <row r="50336" spans="23:23" x14ac:dyDescent="0.55000000000000004">
      <c r="W50336"/>
    </row>
    <row r="50337" spans="23:23" x14ac:dyDescent="0.55000000000000004">
      <c r="W50337"/>
    </row>
    <row r="50338" spans="23:23" x14ac:dyDescent="0.55000000000000004">
      <c r="W50338"/>
    </row>
    <row r="50339" spans="23:23" x14ac:dyDescent="0.55000000000000004">
      <c r="W50339"/>
    </row>
    <row r="50340" spans="23:23" x14ac:dyDescent="0.55000000000000004">
      <c r="W50340"/>
    </row>
    <row r="50341" spans="23:23" x14ac:dyDescent="0.55000000000000004">
      <c r="W50341"/>
    </row>
    <row r="50342" spans="23:23" x14ac:dyDescent="0.55000000000000004">
      <c r="W50342"/>
    </row>
    <row r="50343" spans="23:23" x14ac:dyDescent="0.55000000000000004">
      <c r="W50343"/>
    </row>
    <row r="50344" spans="23:23" x14ac:dyDescent="0.55000000000000004">
      <c r="W50344"/>
    </row>
    <row r="50345" spans="23:23" x14ac:dyDescent="0.55000000000000004">
      <c r="W50345"/>
    </row>
    <row r="50346" spans="23:23" x14ac:dyDescent="0.55000000000000004">
      <c r="W50346"/>
    </row>
    <row r="50347" spans="23:23" x14ac:dyDescent="0.55000000000000004">
      <c r="W50347"/>
    </row>
    <row r="50348" spans="23:23" x14ac:dyDescent="0.55000000000000004">
      <c r="W50348"/>
    </row>
    <row r="50349" spans="23:23" x14ac:dyDescent="0.55000000000000004">
      <c r="W50349"/>
    </row>
    <row r="50350" spans="23:23" x14ac:dyDescent="0.55000000000000004">
      <c r="W50350"/>
    </row>
    <row r="50351" spans="23:23" x14ac:dyDescent="0.55000000000000004">
      <c r="W50351"/>
    </row>
    <row r="50352" spans="23:23" x14ac:dyDescent="0.55000000000000004">
      <c r="W50352"/>
    </row>
    <row r="50353" spans="23:23" x14ac:dyDescent="0.55000000000000004">
      <c r="W50353"/>
    </row>
    <row r="50354" spans="23:23" x14ac:dyDescent="0.55000000000000004">
      <c r="W50354"/>
    </row>
    <row r="50355" spans="23:23" x14ac:dyDescent="0.55000000000000004">
      <c r="W50355"/>
    </row>
    <row r="50356" spans="23:23" x14ac:dyDescent="0.55000000000000004">
      <c r="W50356"/>
    </row>
    <row r="50357" spans="23:23" x14ac:dyDescent="0.55000000000000004">
      <c r="W50357"/>
    </row>
    <row r="50358" spans="23:23" x14ac:dyDescent="0.55000000000000004">
      <c r="W50358"/>
    </row>
    <row r="50359" spans="23:23" x14ac:dyDescent="0.55000000000000004">
      <c r="W50359"/>
    </row>
    <row r="50360" spans="23:23" x14ac:dyDescent="0.55000000000000004">
      <c r="W50360"/>
    </row>
    <row r="50361" spans="23:23" x14ac:dyDescent="0.55000000000000004">
      <c r="W50361"/>
    </row>
    <row r="50362" spans="23:23" x14ac:dyDescent="0.55000000000000004">
      <c r="W50362"/>
    </row>
    <row r="50363" spans="23:23" x14ac:dyDescent="0.55000000000000004">
      <c r="W50363"/>
    </row>
    <row r="50364" spans="23:23" x14ac:dyDescent="0.55000000000000004">
      <c r="W50364"/>
    </row>
    <row r="50365" spans="23:23" x14ac:dyDescent="0.55000000000000004">
      <c r="W50365"/>
    </row>
    <row r="50366" spans="23:23" x14ac:dyDescent="0.55000000000000004">
      <c r="W50366"/>
    </row>
    <row r="50367" spans="23:23" x14ac:dyDescent="0.55000000000000004">
      <c r="W50367"/>
    </row>
    <row r="50368" spans="23:23" x14ac:dyDescent="0.55000000000000004">
      <c r="W50368"/>
    </row>
    <row r="50369" spans="23:23" x14ac:dyDescent="0.55000000000000004">
      <c r="W50369"/>
    </row>
    <row r="50370" spans="23:23" x14ac:dyDescent="0.55000000000000004">
      <c r="W50370"/>
    </row>
    <row r="50371" spans="23:23" x14ac:dyDescent="0.55000000000000004">
      <c r="W50371"/>
    </row>
    <row r="50372" spans="23:23" x14ac:dyDescent="0.55000000000000004">
      <c r="W50372"/>
    </row>
    <row r="50373" spans="23:23" x14ac:dyDescent="0.55000000000000004">
      <c r="W50373"/>
    </row>
    <row r="50374" spans="23:23" x14ac:dyDescent="0.55000000000000004">
      <c r="W50374"/>
    </row>
    <row r="50375" spans="23:23" x14ac:dyDescent="0.55000000000000004">
      <c r="W50375"/>
    </row>
    <row r="50376" spans="23:23" x14ac:dyDescent="0.55000000000000004">
      <c r="W50376"/>
    </row>
    <row r="50377" spans="23:23" x14ac:dyDescent="0.55000000000000004">
      <c r="W50377"/>
    </row>
    <row r="50378" spans="23:23" x14ac:dyDescent="0.55000000000000004">
      <c r="W50378"/>
    </row>
    <row r="50379" spans="23:23" x14ac:dyDescent="0.55000000000000004">
      <c r="W50379"/>
    </row>
    <row r="50380" spans="23:23" x14ac:dyDescent="0.55000000000000004">
      <c r="W50380"/>
    </row>
    <row r="50381" spans="23:23" x14ac:dyDescent="0.55000000000000004">
      <c r="W50381"/>
    </row>
    <row r="50382" spans="23:23" x14ac:dyDescent="0.55000000000000004">
      <c r="W50382"/>
    </row>
    <row r="50383" spans="23:23" x14ac:dyDescent="0.55000000000000004">
      <c r="W50383"/>
    </row>
    <row r="50384" spans="23:23" x14ac:dyDescent="0.55000000000000004">
      <c r="W50384"/>
    </row>
    <row r="50385" spans="23:23" x14ac:dyDescent="0.55000000000000004">
      <c r="W50385"/>
    </row>
    <row r="50386" spans="23:23" x14ac:dyDescent="0.55000000000000004">
      <c r="W50386"/>
    </row>
    <row r="50387" spans="23:23" x14ac:dyDescent="0.55000000000000004">
      <c r="W50387"/>
    </row>
    <row r="50388" spans="23:23" x14ac:dyDescent="0.55000000000000004">
      <c r="W50388"/>
    </row>
    <row r="50389" spans="23:23" x14ac:dyDescent="0.55000000000000004">
      <c r="W50389"/>
    </row>
    <row r="50390" spans="23:23" x14ac:dyDescent="0.55000000000000004">
      <c r="W50390"/>
    </row>
    <row r="50391" spans="23:23" x14ac:dyDescent="0.55000000000000004">
      <c r="W50391"/>
    </row>
    <row r="50392" spans="23:23" x14ac:dyDescent="0.55000000000000004">
      <c r="W50392"/>
    </row>
    <row r="50393" spans="23:23" x14ac:dyDescent="0.55000000000000004">
      <c r="W50393"/>
    </row>
    <row r="50394" spans="23:23" x14ac:dyDescent="0.55000000000000004">
      <c r="W50394"/>
    </row>
    <row r="50395" spans="23:23" x14ac:dyDescent="0.55000000000000004">
      <c r="W50395"/>
    </row>
    <row r="50396" spans="23:23" x14ac:dyDescent="0.55000000000000004">
      <c r="W50396"/>
    </row>
    <row r="50397" spans="23:23" x14ac:dyDescent="0.55000000000000004">
      <c r="W50397"/>
    </row>
    <row r="50398" spans="23:23" x14ac:dyDescent="0.55000000000000004">
      <c r="W50398"/>
    </row>
    <row r="50399" spans="23:23" x14ac:dyDescent="0.55000000000000004">
      <c r="W50399"/>
    </row>
    <row r="50400" spans="23:23" x14ac:dyDescent="0.55000000000000004">
      <c r="W50400"/>
    </row>
    <row r="50401" spans="23:23" x14ac:dyDescent="0.55000000000000004">
      <c r="W50401"/>
    </row>
    <row r="50402" spans="23:23" x14ac:dyDescent="0.55000000000000004">
      <c r="W50402"/>
    </row>
    <row r="50403" spans="23:23" x14ac:dyDescent="0.55000000000000004">
      <c r="W50403"/>
    </row>
    <row r="50404" spans="23:23" x14ac:dyDescent="0.55000000000000004">
      <c r="W50404"/>
    </row>
    <row r="50405" spans="23:23" x14ac:dyDescent="0.55000000000000004">
      <c r="W50405"/>
    </row>
    <row r="50406" spans="23:23" x14ac:dyDescent="0.55000000000000004">
      <c r="W50406"/>
    </row>
    <row r="50407" spans="23:23" x14ac:dyDescent="0.55000000000000004">
      <c r="W50407"/>
    </row>
    <row r="50408" spans="23:23" x14ac:dyDescent="0.55000000000000004">
      <c r="W50408"/>
    </row>
    <row r="50409" spans="23:23" x14ac:dyDescent="0.55000000000000004">
      <c r="W50409"/>
    </row>
    <row r="50410" spans="23:23" x14ac:dyDescent="0.55000000000000004">
      <c r="W50410"/>
    </row>
    <row r="50411" spans="23:23" x14ac:dyDescent="0.55000000000000004">
      <c r="W50411"/>
    </row>
    <row r="50412" spans="23:23" x14ac:dyDescent="0.55000000000000004">
      <c r="W50412"/>
    </row>
    <row r="50413" spans="23:23" x14ac:dyDescent="0.55000000000000004">
      <c r="W50413"/>
    </row>
    <row r="50414" spans="23:23" x14ac:dyDescent="0.55000000000000004">
      <c r="W50414"/>
    </row>
    <row r="50415" spans="23:23" x14ac:dyDescent="0.55000000000000004">
      <c r="W50415"/>
    </row>
    <row r="50416" spans="23:23" x14ac:dyDescent="0.55000000000000004">
      <c r="W50416"/>
    </row>
    <row r="50417" spans="23:23" x14ac:dyDescent="0.55000000000000004">
      <c r="W50417"/>
    </row>
    <row r="50418" spans="23:23" x14ac:dyDescent="0.55000000000000004">
      <c r="W50418"/>
    </row>
    <row r="50419" spans="23:23" x14ac:dyDescent="0.55000000000000004">
      <c r="W50419"/>
    </row>
    <row r="50420" spans="23:23" x14ac:dyDescent="0.55000000000000004">
      <c r="W50420"/>
    </row>
    <row r="50421" spans="23:23" x14ac:dyDescent="0.55000000000000004">
      <c r="W50421"/>
    </row>
    <row r="50422" spans="23:23" x14ac:dyDescent="0.55000000000000004">
      <c r="W50422"/>
    </row>
    <row r="50423" spans="23:23" x14ac:dyDescent="0.55000000000000004">
      <c r="W50423"/>
    </row>
    <row r="50424" spans="23:23" x14ac:dyDescent="0.55000000000000004">
      <c r="W50424"/>
    </row>
    <row r="50425" spans="23:23" x14ac:dyDescent="0.55000000000000004">
      <c r="W50425"/>
    </row>
    <row r="50426" spans="23:23" x14ac:dyDescent="0.55000000000000004">
      <c r="W50426"/>
    </row>
    <row r="50427" spans="23:23" x14ac:dyDescent="0.55000000000000004">
      <c r="W50427"/>
    </row>
    <row r="50428" spans="23:23" x14ac:dyDescent="0.55000000000000004">
      <c r="W50428"/>
    </row>
    <row r="50429" spans="23:23" x14ac:dyDescent="0.55000000000000004">
      <c r="W50429"/>
    </row>
    <row r="50430" spans="23:23" x14ac:dyDescent="0.55000000000000004">
      <c r="W50430"/>
    </row>
    <row r="50431" spans="23:23" x14ac:dyDescent="0.55000000000000004">
      <c r="W50431"/>
    </row>
    <row r="50432" spans="23:23" x14ac:dyDescent="0.55000000000000004">
      <c r="W50432"/>
    </row>
    <row r="50433" spans="23:23" x14ac:dyDescent="0.55000000000000004">
      <c r="W50433"/>
    </row>
    <row r="50434" spans="23:23" x14ac:dyDescent="0.55000000000000004">
      <c r="W50434"/>
    </row>
    <row r="50435" spans="23:23" x14ac:dyDescent="0.55000000000000004">
      <c r="W50435"/>
    </row>
    <row r="50436" spans="23:23" x14ac:dyDescent="0.55000000000000004">
      <c r="W50436"/>
    </row>
    <row r="50437" spans="23:23" x14ac:dyDescent="0.55000000000000004">
      <c r="W50437"/>
    </row>
    <row r="50438" spans="23:23" x14ac:dyDescent="0.55000000000000004">
      <c r="W50438"/>
    </row>
    <row r="50439" spans="23:23" x14ac:dyDescent="0.55000000000000004">
      <c r="W50439"/>
    </row>
    <row r="50440" spans="23:23" x14ac:dyDescent="0.55000000000000004">
      <c r="W50440"/>
    </row>
    <row r="50441" spans="23:23" x14ac:dyDescent="0.55000000000000004">
      <c r="W50441"/>
    </row>
    <row r="50442" spans="23:23" x14ac:dyDescent="0.55000000000000004">
      <c r="W50442"/>
    </row>
    <row r="50443" spans="23:23" x14ac:dyDescent="0.55000000000000004">
      <c r="W50443"/>
    </row>
    <row r="50444" spans="23:23" x14ac:dyDescent="0.55000000000000004">
      <c r="W50444"/>
    </row>
    <row r="50445" spans="23:23" x14ac:dyDescent="0.55000000000000004">
      <c r="W50445"/>
    </row>
    <row r="50446" spans="23:23" x14ac:dyDescent="0.55000000000000004">
      <c r="W50446"/>
    </row>
    <row r="50447" spans="23:23" x14ac:dyDescent="0.55000000000000004">
      <c r="W50447"/>
    </row>
    <row r="50448" spans="23:23" x14ac:dyDescent="0.55000000000000004">
      <c r="W50448"/>
    </row>
    <row r="50449" spans="23:23" x14ac:dyDescent="0.55000000000000004">
      <c r="W50449"/>
    </row>
    <row r="50450" spans="23:23" x14ac:dyDescent="0.55000000000000004">
      <c r="W50450"/>
    </row>
    <row r="50451" spans="23:23" x14ac:dyDescent="0.55000000000000004">
      <c r="W50451"/>
    </row>
    <row r="50452" spans="23:23" x14ac:dyDescent="0.55000000000000004">
      <c r="W50452"/>
    </row>
    <row r="50453" spans="23:23" x14ac:dyDescent="0.55000000000000004">
      <c r="W50453"/>
    </row>
    <row r="50454" spans="23:23" x14ac:dyDescent="0.55000000000000004">
      <c r="W50454"/>
    </row>
    <row r="50455" spans="23:23" x14ac:dyDescent="0.55000000000000004">
      <c r="W50455"/>
    </row>
    <row r="50456" spans="23:23" x14ac:dyDescent="0.55000000000000004">
      <c r="W50456"/>
    </row>
    <row r="50457" spans="23:23" x14ac:dyDescent="0.55000000000000004">
      <c r="W50457"/>
    </row>
    <row r="50458" spans="23:23" x14ac:dyDescent="0.55000000000000004">
      <c r="W50458"/>
    </row>
    <row r="50459" spans="23:23" x14ac:dyDescent="0.55000000000000004">
      <c r="W50459"/>
    </row>
    <row r="50460" spans="23:23" x14ac:dyDescent="0.55000000000000004">
      <c r="W50460"/>
    </row>
    <row r="50461" spans="23:23" x14ac:dyDescent="0.55000000000000004">
      <c r="W50461"/>
    </row>
    <row r="50462" spans="23:23" x14ac:dyDescent="0.55000000000000004">
      <c r="W50462"/>
    </row>
    <row r="50463" spans="23:23" x14ac:dyDescent="0.55000000000000004">
      <c r="W50463"/>
    </row>
    <row r="50464" spans="23:23" x14ac:dyDescent="0.55000000000000004">
      <c r="W50464"/>
    </row>
    <row r="50465" spans="23:23" x14ac:dyDescent="0.55000000000000004">
      <c r="W50465"/>
    </row>
    <row r="50466" spans="23:23" x14ac:dyDescent="0.55000000000000004">
      <c r="W50466"/>
    </row>
    <row r="50467" spans="23:23" x14ac:dyDescent="0.55000000000000004">
      <c r="W50467"/>
    </row>
    <row r="50468" spans="23:23" x14ac:dyDescent="0.55000000000000004">
      <c r="W50468"/>
    </row>
    <row r="50469" spans="23:23" x14ac:dyDescent="0.55000000000000004">
      <c r="W50469"/>
    </row>
    <row r="50470" spans="23:23" x14ac:dyDescent="0.55000000000000004">
      <c r="W50470"/>
    </row>
    <row r="50471" spans="23:23" x14ac:dyDescent="0.55000000000000004">
      <c r="W50471"/>
    </row>
    <row r="50472" spans="23:23" x14ac:dyDescent="0.55000000000000004">
      <c r="W50472"/>
    </row>
    <row r="50473" spans="23:23" x14ac:dyDescent="0.55000000000000004">
      <c r="W50473"/>
    </row>
    <row r="50474" spans="23:23" x14ac:dyDescent="0.55000000000000004">
      <c r="W50474"/>
    </row>
    <row r="50475" spans="23:23" x14ac:dyDescent="0.55000000000000004">
      <c r="W50475"/>
    </row>
    <row r="50476" spans="23:23" x14ac:dyDescent="0.55000000000000004">
      <c r="W50476"/>
    </row>
    <row r="50477" spans="23:23" x14ac:dyDescent="0.55000000000000004">
      <c r="W50477"/>
    </row>
    <row r="50478" spans="23:23" x14ac:dyDescent="0.55000000000000004">
      <c r="W50478"/>
    </row>
    <row r="50479" spans="23:23" x14ac:dyDescent="0.55000000000000004">
      <c r="W50479"/>
    </row>
    <row r="50480" spans="23:23" x14ac:dyDescent="0.55000000000000004">
      <c r="W50480"/>
    </row>
    <row r="50481" spans="23:23" x14ac:dyDescent="0.55000000000000004">
      <c r="W50481"/>
    </row>
    <row r="50482" spans="23:23" x14ac:dyDescent="0.55000000000000004">
      <c r="W50482"/>
    </row>
    <row r="50483" spans="23:23" x14ac:dyDescent="0.55000000000000004">
      <c r="W50483"/>
    </row>
    <row r="50484" spans="23:23" x14ac:dyDescent="0.55000000000000004">
      <c r="W50484"/>
    </row>
    <row r="50485" spans="23:23" x14ac:dyDescent="0.55000000000000004">
      <c r="W50485"/>
    </row>
    <row r="50486" spans="23:23" x14ac:dyDescent="0.55000000000000004">
      <c r="W50486"/>
    </row>
    <row r="50487" spans="23:23" x14ac:dyDescent="0.55000000000000004">
      <c r="W50487"/>
    </row>
    <row r="50488" spans="23:23" x14ac:dyDescent="0.55000000000000004">
      <c r="W50488"/>
    </row>
    <row r="50489" spans="23:23" x14ac:dyDescent="0.55000000000000004">
      <c r="W50489"/>
    </row>
    <row r="50490" spans="23:23" x14ac:dyDescent="0.55000000000000004">
      <c r="W50490"/>
    </row>
    <row r="50491" spans="23:23" x14ac:dyDescent="0.55000000000000004">
      <c r="W50491"/>
    </row>
    <row r="50492" spans="23:23" x14ac:dyDescent="0.55000000000000004">
      <c r="W50492"/>
    </row>
    <row r="50493" spans="23:23" x14ac:dyDescent="0.55000000000000004">
      <c r="W50493"/>
    </row>
    <row r="50494" spans="23:23" x14ac:dyDescent="0.55000000000000004">
      <c r="W50494"/>
    </row>
    <row r="50495" spans="23:23" x14ac:dyDescent="0.55000000000000004">
      <c r="W50495"/>
    </row>
    <row r="50496" spans="23:23" x14ac:dyDescent="0.55000000000000004">
      <c r="W50496"/>
    </row>
    <row r="50497" spans="23:23" x14ac:dyDescent="0.55000000000000004">
      <c r="W50497"/>
    </row>
    <row r="50498" spans="23:23" x14ac:dyDescent="0.55000000000000004">
      <c r="W50498"/>
    </row>
    <row r="50499" spans="23:23" x14ac:dyDescent="0.55000000000000004">
      <c r="W50499"/>
    </row>
    <row r="50500" spans="23:23" x14ac:dyDescent="0.55000000000000004">
      <c r="W50500"/>
    </row>
    <row r="50501" spans="23:23" x14ac:dyDescent="0.55000000000000004">
      <c r="W50501"/>
    </row>
    <row r="50502" spans="23:23" x14ac:dyDescent="0.55000000000000004">
      <c r="W50502"/>
    </row>
    <row r="50503" spans="23:23" x14ac:dyDescent="0.55000000000000004">
      <c r="W50503"/>
    </row>
    <row r="50504" spans="23:23" x14ac:dyDescent="0.55000000000000004">
      <c r="W50504"/>
    </row>
    <row r="50505" spans="23:23" x14ac:dyDescent="0.55000000000000004">
      <c r="W50505"/>
    </row>
    <row r="50506" spans="23:23" x14ac:dyDescent="0.55000000000000004">
      <c r="W50506"/>
    </row>
    <row r="50507" spans="23:23" x14ac:dyDescent="0.55000000000000004">
      <c r="W50507"/>
    </row>
    <row r="50508" spans="23:23" x14ac:dyDescent="0.55000000000000004">
      <c r="W50508"/>
    </row>
    <row r="50509" spans="23:23" x14ac:dyDescent="0.55000000000000004">
      <c r="W50509"/>
    </row>
    <row r="50510" spans="23:23" x14ac:dyDescent="0.55000000000000004">
      <c r="W50510"/>
    </row>
    <row r="50511" spans="23:23" x14ac:dyDescent="0.55000000000000004">
      <c r="W50511"/>
    </row>
    <row r="50512" spans="23:23" x14ac:dyDescent="0.55000000000000004">
      <c r="W50512"/>
    </row>
    <row r="50513" spans="23:23" x14ac:dyDescent="0.55000000000000004">
      <c r="W50513"/>
    </row>
    <row r="50514" spans="23:23" x14ac:dyDescent="0.55000000000000004">
      <c r="W50514"/>
    </row>
    <row r="50515" spans="23:23" x14ac:dyDescent="0.55000000000000004">
      <c r="W50515"/>
    </row>
    <row r="50516" spans="23:23" x14ac:dyDescent="0.55000000000000004">
      <c r="W50516"/>
    </row>
    <row r="50517" spans="23:23" x14ac:dyDescent="0.55000000000000004">
      <c r="W50517"/>
    </row>
    <row r="50518" spans="23:23" x14ac:dyDescent="0.55000000000000004">
      <c r="W50518"/>
    </row>
    <row r="50519" spans="23:23" x14ac:dyDescent="0.55000000000000004">
      <c r="W50519"/>
    </row>
    <row r="50520" spans="23:23" x14ac:dyDescent="0.55000000000000004">
      <c r="W50520"/>
    </row>
    <row r="50521" spans="23:23" x14ac:dyDescent="0.55000000000000004">
      <c r="W50521"/>
    </row>
    <row r="50522" spans="23:23" x14ac:dyDescent="0.55000000000000004">
      <c r="W50522"/>
    </row>
    <row r="50523" spans="23:23" x14ac:dyDescent="0.55000000000000004">
      <c r="W50523"/>
    </row>
    <row r="50524" spans="23:23" x14ac:dyDescent="0.55000000000000004">
      <c r="W50524"/>
    </row>
    <row r="50525" spans="23:23" x14ac:dyDescent="0.55000000000000004">
      <c r="W50525"/>
    </row>
    <row r="50526" spans="23:23" x14ac:dyDescent="0.55000000000000004">
      <c r="W50526"/>
    </row>
    <row r="50527" spans="23:23" x14ac:dyDescent="0.55000000000000004">
      <c r="W50527"/>
    </row>
    <row r="50528" spans="23:23" x14ac:dyDescent="0.55000000000000004">
      <c r="W50528"/>
    </row>
    <row r="50529" spans="23:23" x14ac:dyDescent="0.55000000000000004">
      <c r="W50529"/>
    </row>
    <row r="50530" spans="23:23" x14ac:dyDescent="0.55000000000000004">
      <c r="W50530"/>
    </row>
    <row r="50531" spans="23:23" x14ac:dyDescent="0.55000000000000004">
      <c r="W50531"/>
    </row>
    <row r="50532" spans="23:23" x14ac:dyDescent="0.55000000000000004">
      <c r="W50532"/>
    </row>
    <row r="50533" spans="23:23" x14ac:dyDescent="0.55000000000000004">
      <c r="W50533"/>
    </row>
    <row r="50534" spans="23:23" x14ac:dyDescent="0.55000000000000004">
      <c r="W50534"/>
    </row>
    <row r="50535" spans="23:23" x14ac:dyDescent="0.55000000000000004">
      <c r="W50535"/>
    </row>
    <row r="50536" spans="23:23" x14ac:dyDescent="0.55000000000000004">
      <c r="W50536"/>
    </row>
    <row r="50537" spans="23:23" x14ac:dyDescent="0.55000000000000004">
      <c r="W50537"/>
    </row>
    <row r="50538" spans="23:23" x14ac:dyDescent="0.55000000000000004">
      <c r="W50538"/>
    </row>
    <row r="50539" spans="23:23" x14ac:dyDescent="0.55000000000000004">
      <c r="W50539"/>
    </row>
    <row r="50540" spans="23:23" x14ac:dyDescent="0.55000000000000004">
      <c r="W50540"/>
    </row>
    <row r="50541" spans="23:23" x14ac:dyDescent="0.55000000000000004">
      <c r="W50541"/>
    </row>
    <row r="50542" spans="23:23" x14ac:dyDescent="0.55000000000000004">
      <c r="W50542"/>
    </row>
    <row r="50543" spans="23:23" x14ac:dyDescent="0.55000000000000004">
      <c r="W50543"/>
    </row>
    <row r="50544" spans="23:23" x14ac:dyDescent="0.55000000000000004">
      <c r="W50544"/>
    </row>
    <row r="50545" spans="23:23" x14ac:dyDescent="0.55000000000000004">
      <c r="W50545"/>
    </row>
    <row r="50546" spans="23:23" x14ac:dyDescent="0.55000000000000004">
      <c r="W50546"/>
    </row>
    <row r="50547" spans="23:23" x14ac:dyDescent="0.55000000000000004">
      <c r="W50547"/>
    </row>
    <row r="50548" spans="23:23" x14ac:dyDescent="0.55000000000000004">
      <c r="W50548"/>
    </row>
    <row r="50549" spans="23:23" x14ac:dyDescent="0.55000000000000004">
      <c r="W50549"/>
    </row>
    <row r="50550" spans="23:23" x14ac:dyDescent="0.55000000000000004">
      <c r="W50550"/>
    </row>
    <row r="50551" spans="23:23" x14ac:dyDescent="0.55000000000000004">
      <c r="W50551"/>
    </row>
    <row r="50552" spans="23:23" x14ac:dyDescent="0.55000000000000004">
      <c r="W50552"/>
    </row>
    <row r="50553" spans="23:23" x14ac:dyDescent="0.55000000000000004">
      <c r="W50553"/>
    </row>
    <row r="50554" spans="23:23" x14ac:dyDescent="0.55000000000000004">
      <c r="W50554"/>
    </row>
    <row r="50555" spans="23:23" x14ac:dyDescent="0.55000000000000004">
      <c r="W50555"/>
    </row>
    <row r="50556" spans="23:23" x14ac:dyDescent="0.55000000000000004">
      <c r="W50556"/>
    </row>
    <row r="50557" spans="23:23" x14ac:dyDescent="0.55000000000000004">
      <c r="W50557"/>
    </row>
    <row r="50558" spans="23:23" x14ac:dyDescent="0.55000000000000004">
      <c r="W50558"/>
    </row>
    <row r="50559" spans="23:23" x14ac:dyDescent="0.55000000000000004">
      <c r="W50559"/>
    </row>
    <row r="50560" spans="23:23" x14ac:dyDescent="0.55000000000000004">
      <c r="W50560"/>
    </row>
    <row r="50561" spans="23:23" x14ac:dyDescent="0.55000000000000004">
      <c r="W50561"/>
    </row>
    <row r="50562" spans="23:23" x14ac:dyDescent="0.55000000000000004">
      <c r="W50562"/>
    </row>
    <row r="50563" spans="23:23" x14ac:dyDescent="0.55000000000000004">
      <c r="W50563"/>
    </row>
    <row r="50564" spans="23:23" x14ac:dyDescent="0.55000000000000004">
      <c r="W50564"/>
    </row>
    <row r="50565" spans="23:23" x14ac:dyDescent="0.55000000000000004">
      <c r="W50565"/>
    </row>
    <row r="50566" spans="23:23" x14ac:dyDescent="0.55000000000000004">
      <c r="W50566"/>
    </row>
    <row r="50567" spans="23:23" x14ac:dyDescent="0.55000000000000004">
      <c r="W50567"/>
    </row>
    <row r="50568" spans="23:23" x14ac:dyDescent="0.55000000000000004">
      <c r="W50568"/>
    </row>
    <row r="50569" spans="23:23" x14ac:dyDescent="0.55000000000000004">
      <c r="W50569"/>
    </row>
    <row r="50570" spans="23:23" x14ac:dyDescent="0.55000000000000004">
      <c r="W50570"/>
    </row>
    <row r="50571" spans="23:23" x14ac:dyDescent="0.55000000000000004">
      <c r="W50571"/>
    </row>
    <row r="50572" spans="23:23" x14ac:dyDescent="0.55000000000000004">
      <c r="W50572"/>
    </row>
    <row r="50573" spans="23:23" x14ac:dyDescent="0.55000000000000004">
      <c r="W50573"/>
    </row>
    <row r="50574" spans="23:23" x14ac:dyDescent="0.55000000000000004">
      <c r="W50574"/>
    </row>
    <row r="50575" spans="23:23" x14ac:dyDescent="0.55000000000000004">
      <c r="W50575"/>
    </row>
    <row r="50576" spans="23:23" x14ac:dyDescent="0.55000000000000004">
      <c r="W50576"/>
    </row>
    <row r="50577" spans="23:23" x14ac:dyDescent="0.55000000000000004">
      <c r="W50577"/>
    </row>
    <row r="50578" spans="23:23" x14ac:dyDescent="0.55000000000000004">
      <c r="W50578"/>
    </row>
    <row r="50579" spans="23:23" x14ac:dyDescent="0.55000000000000004">
      <c r="W50579"/>
    </row>
    <row r="50580" spans="23:23" x14ac:dyDescent="0.55000000000000004">
      <c r="W50580"/>
    </row>
    <row r="50581" spans="23:23" x14ac:dyDescent="0.55000000000000004">
      <c r="W50581"/>
    </row>
    <row r="50582" spans="23:23" x14ac:dyDescent="0.55000000000000004">
      <c r="W50582"/>
    </row>
    <row r="50583" spans="23:23" x14ac:dyDescent="0.55000000000000004">
      <c r="W50583"/>
    </row>
    <row r="50584" spans="23:23" x14ac:dyDescent="0.55000000000000004">
      <c r="W50584"/>
    </row>
    <row r="50585" spans="23:23" x14ac:dyDescent="0.55000000000000004">
      <c r="W50585"/>
    </row>
    <row r="50586" spans="23:23" x14ac:dyDescent="0.55000000000000004">
      <c r="W50586"/>
    </row>
    <row r="50587" spans="23:23" x14ac:dyDescent="0.55000000000000004">
      <c r="W50587"/>
    </row>
    <row r="50588" spans="23:23" x14ac:dyDescent="0.55000000000000004">
      <c r="W50588"/>
    </row>
    <row r="50589" spans="23:23" x14ac:dyDescent="0.55000000000000004">
      <c r="W50589"/>
    </row>
    <row r="50590" spans="23:23" x14ac:dyDescent="0.55000000000000004">
      <c r="W50590"/>
    </row>
    <row r="50591" spans="23:23" x14ac:dyDescent="0.55000000000000004">
      <c r="W50591"/>
    </row>
    <row r="50592" spans="23:23" x14ac:dyDescent="0.55000000000000004">
      <c r="W50592"/>
    </row>
    <row r="50593" spans="23:23" x14ac:dyDescent="0.55000000000000004">
      <c r="W50593"/>
    </row>
    <row r="50594" spans="23:23" x14ac:dyDescent="0.55000000000000004">
      <c r="W50594"/>
    </row>
    <row r="50595" spans="23:23" x14ac:dyDescent="0.55000000000000004">
      <c r="W50595"/>
    </row>
    <row r="50596" spans="23:23" x14ac:dyDescent="0.55000000000000004">
      <c r="W50596"/>
    </row>
    <row r="50597" spans="23:23" x14ac:dyDescent="0.55000000000000004">
      <c r="W50597"/>
    </row>
    <row r="50598" spans="23:23" x14ac:dyDescent="0.55000000000000004">
      <c r="W50598"/>
    </row>
    <row r="50599" spans="23:23" x14ac:dyDescent="0.55000000000000004">
      <c r="W50599"/>
    </row>
    <row r="50600" spans="23:23" x14ac:dyDescent="0.55000000000000004">
      <c r="W50600"/>
    </row>
    <row r="50601" spans="23:23" x14ac:dyDescent="0.55000000000000004">
      <c r="W50601"/>
    </row>
    <row r="50602" spans="23:23" x14ac:dyDescent="0.55000000000000004">
      <c r="W50602"/>
    </row>
    <row r="50603" spans="23:23" x14ac:dyDescent="0.55000000000000004">
      <c r="W50603"/>
    </row>
    <row r="50604" spans="23:23" x14ac:dyDescent="0.55000000000000004">
      <c r="W50604"/>
    </row>
    <row r="50605" spans="23:23" x14ac:dyDescent="0.55000000000000004">
      <c r="W50605"/>
    </row>
    <row r="50606" spans="23:23" x14ac:dyDescent="0.55000000000000004">
      <c r="W50606"/>
    </row>
    <row r="50607" spans="23:23" x14ac:dyDescent="0.55000000000000004">
      <c r="W50607"/>
    </row>
    <row r="50608" spans="23:23" x14ac:dyDescent="0.55000000000000004">
      <c r="W50608"/>
    </row>
    <row r="50609" spans="23:23" x14ac:dyDescent="0.55000000000000004">
      <c r="W50609"/>
    </row>
    <row r="50610" spans="23:23" x14ac:dyDescent="0.55000000000000004">
      <c r="W50610"/>
    </row>
    <row r="50611" spans="23:23" x14ac:dyDescent="0.55000000000000004">
      <c r="W50611"/>
    </row>
    <row r="50612" spans="23:23" x14ac:dyDescent="0.55000000000000004">
      <c r="W50612"/>
    </row>
    <row r="50613" spans="23:23" x14ac:dyDescent="0.55000000000000004">
      <c r="W50613"/>
    </row>
    <row r="50614" spans="23:23" x14ac:dyDescent="0.55000000000000004">
      <c r="W50614"/>
    </row>
    <row r="50615" spans="23:23" x14ac:dyDescent="0.55000000000000004">
      <c r="W50615"/>
    </row>
    <row r="50616" spans="23:23" x14ac:dyDescent="0.55000000000000004">
      <c r="W50616"/>
    </row>
    <row r="50617" spans="23:23" x14ac:dyDescent="0.55000000000000004">
      <c r="W50617"/>
    </row>
    <row r="50618" spans="23:23" x14ac:dyDescent="0.55000000000000004">
      <c r="W50618"/>
    </row>
    <row r="50619" spans="23:23" x14ac:dyDescent="0.55000000000000004">
      <c r="W50619"/>
    </row>
    <row r="50620" spans="23:23" x14ac:dyDescent="0.55000000000000004">
      <c r="W50620"/>
    </row>
    <row r="50621" spans="23:23" x14ac:dyDescent="0.55000000000000004">
      <c r="W50621"/>
    </row>
    <row r="50622" spans="23:23" x14ac:dyDescent="0.55000000000000004">
      <c r="W50622"/>
    </row>
    <row r="50623" spans="23:23" x14ac:dyDescent="0.55000000000000004">
      <c r="W50623"/>
    </row>
    <row r="50624" spans="23:23" x14ac:dyDescent="0.55000000000000004">
      <c r="W50624"/>
    </row>
    <row r="50625" spans="23:23" x14ac:dyDescent="0.55000000000000004">
      <c r="W50625"/>
    </row>
    <row r="50626" spans="23:23" x14ac:dyDescent="0.55000000000000004">
      <c r="W50626"/>
    </row>
    <row r="50627" spans="23:23" x14ac:dyDescent="0.55000000000000004">
      <c r="W50627"/>
    </row>
    <row r="50628" spans="23:23" x14ac:dyDescent="0.55000000000000004">
      <c r="W50628"/>
    </row>
    <row r="50629" spans="23:23" x14ac:dyDescent="0.55000000000000004">
      <c r="W50629"/>
    </row>
    <row r="50630" spans="23:23" x14ac:dyDescent="0.55000000000000004">
      <c r="W50630"/>
    </row>
    <row r="50631" spans="23:23" x14ac:dyDescent="0.55000000000000004">
      <c r="W50631"/>
    </row>
    <row r="50632" spans="23:23" x14ac:dyDescent="0.55000000000000004">
      <c r="W50632"/>
    </row>
    <row r="50633" spans="23:23" x14ac:dyDescent="0.55000000000000004">
      <c r="W50633"/>
    </row>
    <row r="50634" spans="23:23" x14ac:dyDescent="0.55000000000000004">
      <c r="W50634"/>
    </row>
    <row r="50635" spans="23:23" x14ac:dyDescent="0.55000000000000004">
      <c r="W50635"/>
    </row>
    <row r="50636" spans="23:23" x14ac:dyDescent="0.55000000000000004">
      <c r="W50636"/>
    </row>
    <row r="50637" spans="23:23" x14ac:dyDescent="0.55000000000000004">
      <c r="W50637"/>
    </row>
    <row r="50638" spans="23:23" x14ac:dyDescent="0.55000000000000004">
      <c r="W50638"/>
    </row>
    <row r="50639" spans="23:23" x14ac:dyDescent="0.55000000000000004">
      <c r="W50639"/>
    </row>
    <row r="50640" spans="23:23" x14ac:dyDescent="0.55000000000000004">
      <c r="W50640"/>
    </row>
    <row r="50641" spans="23:23" x14ac:dyDescent="0.55000000000000004">
      <c r="W50641"/>
    </row>
    <row r="50642" spans="23:23" x14ac:dyDescent="0.55000000000000004">
      <c r="W50642"/>
    </row>
    <row r="50643" spans="23:23" x14ac:dyDescent="0.55000000000000004">
      <c r="W50643"/>
    </row>
    <row r="50644" spans="23:23" x14ac:dyDescent="0.55000000000000004">
      <c r="W50644"/>
    </row>
    <row r="50645" spans="23:23" x14ac:dyDescent="0.55000000000000004">
      <c r="W50645"/>
    </row>
    <row r="50646" spans="23:23" x14ac:dyDescent="0.55000000000000004">
      <c r="W50646"/>
    </row>
    <row r="50647" spans="23:23" x14ac:dyDescent="0.55000000000000004">
      <c r="W50647"/>
    </row>
    <row r="50648" spans="23:23" x14ac:dyDescent="0.55000000000000004">
      <c r="W50648"/>
    </row>
    <row r="50649" spans="23:23" x14ac:dyDescent="0.55000000000000004">
      <c r="W50649"/>
    </row>
    <row r="50650" spans="23:23" x14ac:dyDescent="0.55000000000000004">
      <c r="W50650"/>
    </row>
    <row r="50651" spans="23:23" x14ac:dyDescent="0.55000000000000004">
      <c r="W50651"/>
    </row>
    <row r="50652" spans="23:23" x14ac:dyDescent="0.55000000000000004">
      <c r="W50652"/>
    </row>
    <row r="50653" spans="23:23" x14ac:dyDescent="0.55000000000000004">
      <c r="W50653"/>
    </row>
    <row r="50654" spans="23:23" x14ac:dyDescent="0.55000000000000004">
      <c r="W50654"/>
    </row>
    <row r="50655" spans="23:23" x14ac:dyDescent="0.55000000000000004">
      <c r="W50655"/>
    </row>
    <row r="50656" spans="23:23" x14ac:dyDescent="0.55000000000000004">
      <c r="W50656"/>
    </row>
    <row r="50657" spans="23:23" x14ac:dyDescent="0.55000000000000004">
      <c r="W50657"/>
    </row>
    <row r="50658" spans="23:23" x14ac:dyDescent="0.55000000000000004">
      <c r="W50658"/>
    </row>
    <row r="50659" spans="23:23" x14ac:dyDescent="0.55000000000000004">
      <c r="W50659"/>
    </row>
    <row r="50660" spans="23:23" x14ac:dyDescent="0.55000000000000004">
      <c r="W50660"/>
    </row>
    <row r="50661" spans="23:23" x14ac:dyDescent="0.55000000000000004">
      <c r="W50661"/>
    </row>
    <row r="50662" spans="23:23" x14ac:dyDescent="0.55000000000000004">
      <c r="W50662"/>
    </row>
    <row r="50663" spans="23:23" x14ac:dyDescent="0.55000000000000004">
      <c r="W50663"/>
    </row>
    <row r="50664" spans="23:23" x14ac:dyDescent="0.55000000000000004">
      <c r="W50664"/>
    </row>
    <row r="50665" spans="23:23" x14ac:dyDescent="0.55000000000000004">
      <c r="W50665"/>
    </row>
    <row r="50666" spans="23:23" x14ac:dyDescent="0.55000000000000004">
      <c r="W50666"/>
    </row>
    <row r="50667" spans="23:23" x14ac:dyDescent="0.55000000000000004">
      <c r="W50667"/>
    </row>
    <row r="50668" spans="23:23" x14ac:dyDescent="0.55000000000000004">
      <c r="W50668"/>
    </row>
    <row r="50669" spans="23:23" x14ac:dyDescent="0.55000000000000004">
      <c r="W50669"/>
    </row>
    <row r="50670" spans="23:23" x14ac:dyDescent="0.55000000000000004">
      <c r="W50670"/>
    </row>
    <row r="50671" spans="23:23" x14ac:dyDescent="0.55000000000000004">
      <c r="W50671"/>
    </row>
    <row r="50672" spans="23:23" x14ac:dyDescent="0.55000000000000004">
      <c r="W50672"/>
    </row>
    <row r="50673" spans="23:23" x14ac:dyDescent="0.55000000000000004">
      <c r="W50673"/>
    </row>
    <row r="50674" spans="23:23" x14ac:dyDescent="0.55000000000000004">
      <c r="W50674"/>
    </row>
    <row r="50675" spans="23:23" x14ac:dyDescent="0.55000000000000004">
      <c r="W50675"/>
    </row>
    <row r="50676" spans="23:23" x14ac:dyDescent="0.55000000000000004">
      <c r="W50676"/>
    </row>
    <row r="50677" spans="23:23" x14ac:dyDescent="0.55000000000000004">
      <c r="W50677"/>
    </row>
    <row r="50678" spans="23:23" x14ac:dyDescent="0.55000000000000004">
      <c r="W50678"/>
    </row>
    <row r="50679" spans="23:23" x14ac:dyDescent="0.55000000000000004">
      <c r="W50679"/>
    </row>
    <row r="50680" spans="23:23" x14ac:dyDescent="0.55000000000000004">
      <c r="W50680"/>
    </row>
    <row r="50681" spans="23:23" x14ac:dyDescent="0.55000000000000004">
      <c r="W50681"/>
    </row>
    <row r="50682" spans="23:23" x14ac:dyDescent="0.55000000000000004">
      <c r="W50682"/>
    </row>
    <row r="50683" spans="23:23" x14ac:dyDescent="0.55000000000000004">
      <c r="W50683"/>
    </row>
    <row r="50684" spans="23:23" x14ac:dyDescent="0.55000000000000004">
      <c r="W50684"/>
    </row>
    <row r="50685" spans="23:23" x14ac:dyDescent="0.55000000000000004">
      <c r="W50685"/>
    </row>
    <row r="50686" spans="23:23" x14ac:dyDescent="0.55000000000000004">
      <c r="W50686"/>
    </row>
    <row r="50687" spans="23:23" x14ac:dyDescent="0.55000000000000004">
      <c r="W50687"/>
    </row>
    <row r="50688" spans="23:23" x14ac:dyDescent="0.55000000000000004">
      <c r="W50688"/>
    </row>
    <row r="50689" spans="23:23" x14ac:dyDescent="0.55000000000000004">
      <c r="W50689"/>
    </row>
    <row r="50690" spans="23:23" x14ac:dyDescent="0.55000000000000004">
      <c r="W50690"/>
    </row>
    <row r="50691" spans="23:23" x14ac:dyDescent="0.55000000000000004">
      <c r="W50691"/>
    </row>
    <row r="50692" spans="23:23" x14ac:dyDescent="0.55000000000000004">
      <c r="W50692"/>
    </row>
    <row r="50693" spans="23:23" x14ac:dyDescent="0.55000000000000004">
      <c r="W50693"/>
    </row>
    <row r="50694" spans="23:23" x14ac:dyDescent="0.55000000000000004">
      <c r="W50694"/>
    </row>
    <row r="50695" spans="23:23" x14ac:dyDescent="0.55000000000000004">
      <c r="W50695"/>
    </row>
    <row r="50696" spans="23:23" x14ac:dyDescent="0.55000000000000004">
      <c r="W50696"/>
    </row>
    <row r="50697" spans="23:23" x14ac:dyDescent="0.55000000000000004">
      <c r="W50697"/>
    </row>
    <row r="50698" spans="23:23" x14ac:dyDescent="0.55000000000000004">
      <c r="W50698"/>
    </row>
    <row r="50699" spans="23:23" x14ac:dyDescent="0.55000000000000004">
      <c r="W50699"/>
    </row>
    <row r="50700" spans="23:23" x14ac:dyDescent="0.55000000000000004">
      <c r="W50700"/>
    </row>
    <row r="50701" spans="23:23" x14ac:dyDescent="0.55000000000000004">
      <c r="W50701"/>
    </row>
    <row r="50702" spans="23:23" x14ac:dyDescent="0.55000000000000004">
      <c r="W50702"/>
    </row>
    <row r="50703" spans="23:23" x14ac:dyDescent="0.55000000000000004">
      <c r="W50703"/>
    </row>
    <row r="50704" spans="23:23" x14ac:dyDescent="0.55000000000000004">
      <c r="W50704"/>
    </row>
    <row r="50705" spans="23:23" x14ac:dyDescent="0.55000000000000004">
      <c r="W50705"/>
    </row>
    <row r="50706" spans="23:23" x14ac:dyDescent="0.55000000000000004">
      <c r="W50706"/>
    </row>
    <row r="50707" spans="23:23" x14ac:dyDescent="0.55000000000000004">
      <c r="W50707"/>
    </row>
    <row r="50708" spans="23:23" x14ac:dyDescent="0.55000000000000004">
      <c r="W50708"/>
    </row>
    <row r="50709" spans="23:23" x14ac:dyDescent="0.55000000000000004">
      <c r="W50709"/>
    </row>
    <row r="50710" spans="23:23" x14ac:dyDescent="0.55000000000000004">
      <c r="W50710"/>
    </row>
    <row r="50711" spans="23:23" x14ac:dyDescent="0.55000000000000004">
      <c r="W50711"/>
    </row>
    <row r="50712" spans="23:23" x14ac:dyDescent="0.55000000000000004">
      <c r="W50712"/>
    </row>
    <row r="50713" spans="23:23" x14ac:dyDescent="0.55000000000000004">
      <c r="W50713"/>
    </row>
    <row r="50714" spans="23:23" x14ac:dyDescent="0.55000000000000004">
      <c r="W50714"/>
    </row>
    <row r="50715" spans="23:23" x14ac:dyDescent="0.55000000000000004">
      <c r="W50715"/>
    </row>
    <row r="50716" spans="23:23" x14ac:dyDescent="0.55000000000000004">
      <c r="W50716"/>
    </row>
    <row r="50717" spans="23:23" x14ac:dyDescent="0.55000000000000004">
      <c r="W50717"/>
    </row>
    <row r="50718" spans="23:23" x14ac:dyDescent="0.55000000000000004">
      <c r="W50718"/>
    </row>
    <row r="50719" spans="23:23" x14ac:dyDescent="0.55000000000000004">
      <c r="W50719"/>
    </row>
    <row r="50720" spans="23:23" x14ac:dyDescent="0.55000000000000004">
      <c r="W50720"/>
    </row>
    <row r="50721" spans="23:23" x14ac:dyDescent="0.55000000000000004">
      <c r="W50721"/>
    </row>
    <row r="50722" spans="23:23" x14ac:dyDescent="0.55000000000000004">
      <c r="W50722"/>
    </row>
    <row r="50723" spans="23:23" x14ac:dyDescent="0.55000000000000004">
      <c r="W50723"/>
    </row>
    <row r="50724" spans="23:23" x14ac:dyDescent="0.55000000000000004">
      <c r="W50724"/>
    </row>
    <row r="50725" spans="23:23" x14ac:dyDescent="0.55000000000000004">
      <c r="W50725"/>
    </row>
    <row r="50726" spans="23:23" x14ac:dyDescent="0.55000000000000004">
      <c r="W50726"/>
    </row>
    <row r="50727" spans="23:23" x14ac:dyDescent="0.55000000000000004">
      <c r="W50727"/>
    </row>
    <row r="50728" spans="23:23" x14ac:dyDescent="0.55000000000000004">
      <c r="W50728"/>
    </row>
    <row r="50729" spans="23:23" x14ac:dyDescent="0.55000000000000004">
      <c r="W50729"/>
    </row>
    <row r="50730" spans="23:23" x14ac:dyDescent="0.55000000000000004">
      <c r="W50730"/>
    </row>
    <row r="50731" spans="23:23" x14ac:dyDescent="0.55000000000000004">
      <c r="W50731"/>
    </row>
    <row r="50732" spans="23:23" x14ac:dyDescent="0.55000000000000004">
      <c r="W50732"/>
    </row>
    <row r="50733" spans="23:23" x14ac:dyDescent="0.55000000000000004">
      <c r="W50733"/>
    </row>
    <row r="50734" spans="23:23" x14ac:dyDescent="0.55000000000000004">
      <c r="W50734"/>
    </row>
    <row r="50735" spans="23:23" x14ac:dyDescent="0.55000000000000004">
      <c r="W50735"/>
    </row>
    <row r="50736" spans="23:23" x14ac:dyDescent="0.55000000000000004">
      <c r="W50736"/>
    </row>
    <row r="50737" spans="23:23" x14ac:dyDescent="0.55000000000000004">
      <c r="W50737"/>
    </row>
    <row r="50738" spans="23:23" x14ac:dyDescent="0.55000000000000004">
      <c r="W50738"/>
    </row>
    <row r="50739" spans="23:23" x14ac:dyDescent="0.55000000000000004">
      <c r="W50739"/>
    </row>
    <row r="50740" spans="23:23" x14ac:dyDescent="0.55000000000000004">
      <c r="W50740"/>
    </row>
    <row r="50741" spans="23:23" x14ac:dyDescent="0.55000000000000004">
      <c r="W50741"/>
    </row>
    <row r="50742" spans="23:23" x14ac:dyDescent="0.55000000000000004">
      <c r="W50742"/>
    </row>
    <row r="50743" spans="23:23" x14ac:dyDescent="0.55000000000000004">
      <c r="W50743"/>
    </row>
    <row r="50744" spans="23:23" x14ac:dyDescent="0.55000000000000004">
      <c r="W50744"/>
    </row>
    <row r="50745" spans="23:23" x14ac:dyDescent="0.55000000000000004">
      <c r="W50745"/>
    </row>
    <row r="50746" spans="23:23" x14ac:dyDescent="0.55000000000000004">
      <c r="W50746"/>
    </row>
    <row r="50747" spans="23:23" x14ac:dyDescent="0.55000000000000004">
      <c r="W50747"/>
    </row>
    <row r="50748" spans="23:23" x14ac:dyDescent="0.55000000000000004">
      <c r="W50748"/>
    </row>
    <row r="50749" spans="23:23" x14ac:dyDescent="0.55000000000000004">
      <c r="W50749"/>
    </row>
    <row r="50750" spans="23:23" x14ac:dyDescent="0.55000000000000004">
      <c r="W50750"/>
    </row>
    <row r="50751" spans="23:23" x14ac:dyDescent="0.55000000000000004">
      <c r="W50751"/>
    </row>
    <row r="50752" spans="23:23" x14ac:dyDescent="0.55000000000000004">
      <c r="W50752"/>
    </row>
    <row r="50753" spans="23:23" x14ac:dyDescent="0.55000000000000004">
      <c r="W50753"/>
    </row>
    <row r="50754" spans="23:23" x14ac:dyDescent="0.55000000000000004">
      <c r="W50754"/>
    </row>
    <row r="50755" spans="23:23" x14ac:dyDescent="0.55000000000000004">
      <c r="W50755"/>
    </row>
    <row r="50756" spans="23:23" x14ac:dyDescent="0.55000000000000004">
      <c r="W50756"/>
    </row>
    <row r="50757" spans="23:23" x14ac:dyDescent="0.55000000000000004">
      <c r="W50757"/>
    </row>
    <row r="50758" spans="23:23" x14ac:dyDescent="0.55000000000000004">
      <c r="W50758"/>
    </row>
    <row r="50759" spans="23:23" x14ac:dyDescent="0.55000000000000004">
      <c r="W50759"/>
    </row>
    <row r="50760" spans="23:23" x14ac:dyDescent="0.55000000000000004">
      <c r="W50760"/>
    </row>
    <row r="50761" spans="23:23" x14ac:dyDescent="0.55000000000000004">
      <c r="W50761"/>
    </row>
    <row r="50762" spans="23:23" x14ac:dyDescent="0.55000000000000004">
      <c r="W50762"/>
    </row>
    <row r="50763" spans="23:23" x14ac:dyDescent="0.55000000000000004">
      <c r="W50763"/>
    </row>
    <row r="50764" spans="23:23" x14ac:dyDescent="0.55000000000000004">
      <c r="W50764"/>
    </row>
    <row r="50765" spans="23:23" x14ac:dyDescent="0.55000000000000004">
      <c r="W50765"/>
    </row>
    <row r="50766" spans="23:23" x14ac:dyDescent="0.55000000000000004">
      <c r="W50766"/>
    </row>
    <row r="50767" spans="23:23" x14ac:dyDescent="0.55000000000000004">
      <c r="W50767"/>
    </row>
    <row r="50768" spans="23:23" x14ac:dyDescent="0.55000000000000004">
      <c r="W50768"/>
    </row>
    <row r="50769" spans="23:23" x14ac:dyDescent="0.55000000000000004">
      <c r="W50769"/>
    </row>
    <row r="50770" spans="23:23" x14ac:dyDescent="0.55000000000000004">
      <c r="W50770"/>
    </row>
    <row r="50771" spans="23:23" x14ac:dyDescent="0.55000000000000004">
      <c r="W50771"/>
    </row>
    <row r="50772" spans="23:23" x14ac:dyDescent="0.55000000000000004">
      <c r="W50772"/>
    </row>
    <row r="50773" spans="23:23" x14ac:dyDescent="0.55000000000000004">
      <c r="W50773"/>
    </row>
    <row r="50774" spans="23:23" x14ac:dyDescent="0.55000000000000004">
      <c r="W50774"/>
    </row>
    <row r="50775" spans="23:23" x14ac:dyDescent="0.55000000000000004">
      <c r="W50775"/>
    </row>
    <row r="50776" spans="23:23" x14ac:dyDescent="0.55000000000000004">
      <c r="W50776"/>
    </row>
    <row r="50777" spans="23:23" x14ac:dyDescent="0.55000000000000004">
      <c r="W50777"/>
    </row>
    <row r="50778" spans="23:23" x14ac:dyDescent="0.55000000000000004">
      <c r="W50778"/>
    </row>
    <row r="50779" spans="23:23" x14ac:dyDescent="0.55000000000000004">
      <c r="W50779"/>
    </row>
    <row r="50780" spans="23:23" x14ac:dyDescent="0.55000000000000004">
      <c r="W50780"/>
    </row>
    <row r="50781" spans="23:23" x14ac:dyDescent="0.55000000000000004">
      <c r="W50781"/>
    </row>
    <row r="50782" spans="23:23" x14ac:dyDescent="0.55000000000000004">
      <c r="W50782"/>
    </row>
    <row r="50783" spans="23:23" x14ac:dyDescent="0.55000000000000004">
      <c r="W50783"/>
    </row>
    <row r="50784" spans="23:23" x14ac:dyDescent="0.55000000000000004">
      <c r="W50784"/>
    </row>
    <row r="50785" spans="23:23" x14ac:dyDescent="0.55000000000000004">
      <c r="W50785"/>
    </row>
    <row r="50786" spans="23:23" x14ac:dyDescent="0.55000000000000004">
      <c r="W50786"/>
    </row>
    <row r="50787" spans="23:23" x14ac:dyDescent="0.55000000000000004">
      <c r="W50787"/>
    </row>
    <row r="50788" spans="23:23" x14ac:dyDescent="0.55000000000000004">
      <c r="W50788"/>
    </row>
    <row r="50789" spans="23:23" x14ac:dyDescent="0.55000000000000004">
      <c r="W50789"/>
    </row>
    <row r="50790" spans="23:23" x14ac:dyDescent="0.55000000000000004">
      <c r="W50790"/>
    </row>
    <row r="50791" spans="23:23" x14ac:dyDescent="0.55000000000000004">
      <c r="W50791"/>
    </row>
    <row r="50792" spans="23:23" x14ac:dyDescent="0.55000000000000004">
      <c r="W50792"/>
    </row>
    <row r="50793" spans="23:23" x14ac:dyDescent="0.55000000000000004">
      <c r="W50793"/>
    </row>
    <row r="50794" spans="23:23" x14ac:dyDescent="0.55000000000000004">
      <c r="W50794"/>
    </row>
    <row r="50795" spans="23:23" x14ac:dyDescent="0.55000000000000004">
      <c r="W50795"/>
    </row>
    <row r="50796" spans="23:23" x14ac:dyDescent="0.55000000000000004">
      <c r="W50796"/>
    </row>
    <row r="50797" spans="23:23" x14ac:dyDescent="0.55000000000000004">
      <c r="W50797"/>
    </row>
    <row r="50798" spans="23:23" x14ac:dyDescent="0.55000000000000004">
      <c r="W50798"/>
    </row>
    <row r="50799" spans="23:23" x14ac:dyDescent="0.55000000000000004">
      <c r="W50799"/>
    </row>
    <row r="50800" spans="23:23" x14ac:dyDescent="0.55000000000000004">
      <c r="W50800"/>
    </row>
    <row r="50801" spans="23:23" x14ac:dyDescent="0.55000000000000004">
      <c r="W50801"/>
    </row>
    <row r="50802" spans="23:23" x14ac:dyDescent="0.55000000000000004">
      <c r="W50802"/>
    </row>
    <row r="50803" spans="23:23" x14ac:dyDescent="0.55000000000000004">
      <c r="W50803"/>
    </row>
    <row r="50804" spans="23:23" x14ac:dyDescent="0.55000000000000004">
      <c r="W50804"/>
    </row>
    <row r="50805" spans="23:23" x14ac:dyDescent="0.55000000000000004">
      <c r="W50805"/>
    </row>
    <row r="50806" spans="23:23" x14ac:dyDescent="0.55000000000000004">
      <c r="W50806"/>
    </row>
    <row r="50807" spans="23:23" x14ac:dyDescent="0.55000000000000004">
      <c r="W50807"/>
    </row>
    <row r="50808" spans="23:23" x14ac:dyDescent="0.55000000000000004">
      <c r="W50808"/>
    </row>
    <row r="50809" spans="23:23" x14ac:dyDescent="0.55000000000000004">
      <c r="W50809"/>
    </row>
    <row r="50810" spans="23:23" x14ac:dyDescent="0.55000000000000004">
      <c r="W50810"/>
    </row>
    <row r="50811" spans="23:23" x14ac:dyDescent="0.55000000000000004">
      <c r="W50811"/>
    </row>
    <row r="50812" spans="23:23" x14ac:dyDescent="0.55000000000000004">
      <c r="W50812"/>
    </row>
    <row r="50813" spans="23:23" x14ac:dyDescent="0.55000000000000004">
      <c r="W50813"/>
    </row>
    <row r="50814" spans="23:23" x14ac:dyDescent="0.55000000000000004">
      <c r="W50814"/>
    </row>
    <row r="50815" spans="23:23" x14ac:dyDescent="0.55000000000000004">
      <c r="W50815"/>
    </row>
    <row r="50816" spans="23:23" x14ac:dyDescent="0.55000000000000004">
      <c r="W50816"/>
    </row>
    <row r="50817" spans="23:23" x14ac:dyDescent="0.55000000000000004">
      <c r="W50817"/>
    </row>
    <row r="50818" spans="23:23" x14ac:dyDescent="0.55000000000000004">
      <c r="W50818"/>
    </row>
    <row r="50819" spans="23:23" x14ac:dyDescent="0.55000000000000004">
      <c r="W50819"/>
    </row>
    <row r="50820" spans="23:23" x14ac:dyDescent="0.55000000000000004">
      <c r="W50820"/>
    </row>
    <row r="50821" spans="23:23" x14ac:dyDescent="0.55000000000000004">
      <c r="W50821"/>
    </row>
    <row r="50822" spans="23:23" x14ac:dyDescent="0.55000000000000004">
      <c r="W50822"/>
    </row>
    <row r="50823" spans="23:23" x14ac:dyDescent="0.55000000000000004">
      <c r="W50823"/>
    </row>
    <row r="50824" spans="23:23" x14ac:dyDescent="0.55000000000000004">
      <c r="W50824"/>
    </row>
    <row r="50825" spans="23:23" x14ac:dyDescent="0.55000000000000004">
      <c r="W50825"/>
    </row>
    <row r="50826" spans="23:23" x14ac:dyDescent="0.55000000000000004">
      <c r="W50826"/>
    </row>
    <row r="50827" spans="23:23" x14ac:dyDescent="0.55000000000000004">
      <c r="W50827"/>
    </row>
    <row r="50828" spans="23:23" x14ac:dyDescent="0.55000000000000004">
      <c r="W50828"/>
    </row>
    <row r="50829" spans="23:23" x14ac:dyDescent="0.55000000000000004">
      <c r="W50829"/>
    </row>
    <row r="50830" spans="23:23" x14ac:dyDescent="0.55000000000000004">
      <c r="W50830"/>
    </row>
    <row r="50831" spans="23:23" x14ac:dyDescent="0.55000000000000004">
      <c r="W50831"/>
    </row>
    <row r="50832" spans="23:23" x14ac:dyDescent="0.55000000000000004">
      <c r="W50832"/>
    </row>
    <row r="50833" spans="23:23" x14ac:dyDescent="0.55000000000000004">
      <c r="W50833"/>
    </row>
    <row r="50834" spans="23:23" x14ac:dyDescent="0.55000000000000004">
      <c r="W50834"/>
    </row>
    <row r="50835" spans="23:23" x14ac:dyDescent="0.55000000000000004">
      <c r="W50835"/>
    </row>
    <row r="50836" spans="23:23" x14ac:dyDescent="0.55000000000000004">
      <c r="W50836"/>
    </row>
    <row r="50837" spans="23:23" x14ac:dyDescent="0.55000000000000004">
      <c r="W50837"/>
    </row>
    <row r="50838" spans="23:23" x14ac:dyDescent="0.55000000000000004">
      <c r="W50838"/>
    </row>
    <row r="50839" spans="23:23" x14ac:dyDescent="0.55000000000000004">
      <c r="W50839"/>
    </row>
    <row r="50840" spans="23:23" x14ac:dyDescent="0.55000000000000004">
      <c r="W50840"/>
    </row>
    <row r="50841" spans="23:23" x14ac:dyDescent="0.55000000000000004">
      <c r="W50841"/>
    </row>
    <row r="50842" spans="23:23" x14ac:dyDescent="0.55000000000000004">
      <c r="W50842"/>
    </row>
    <row r="50843" spans="23:23" x14ac:dyDescent="0.55000000000000004">
      <c r="W50843"/>
    </row>
    <row r="50844" spans="23:23" x14ac:dyDescent="0.55000000000000004">
      <c r="W50844"/>
    </row>
    <row r="50845" spans="23:23" x14ac:dyDescent="0.55000000000000004">
      <c r="W50845"/>
    </row>
    <row r="50846" spans="23:23" x14ac:dyDescent="0.55000000000000004">
      <c r="W50846"/>
    </row>
    <row r="50847" spans="23:23" x14ac:dyDescent="0.55000000000000004">
      <c r="W50847"/>
    </row>
    <row r="50848" spans="23:23" x14ac:dyDescent="0.55000000000000004">
      <c r="W50848"/>
    </row>
    <row r="50849" spans="23:23" x14ac:dyDescent="0.55000000000000004">
      <c r="W50849"/>
    </row>
    <row r="50850" spans="23:23" x14ac:dyDescent="0.55000000000000004">
      <c r="W50850"/>
    </row>
    <row r="50851" spans="23:23" x14ac:dyDescent="0.55000000000000004">
      <c r="W50851"/>
    </row>
    <row r="50852" spans="23:23" x14ac:dyDescent="0.55000000000000004">
      <c r="W50852"/>
    </row>
    <row r="50853" spans="23:23" x14ac:dyDescent="0.55000000000000004">
      <c r="W50853"/>
    </row>
    <row r="50854" spans="23:23" x14ac:dyDescent="0.55000000000000004">
      <c r="W50854"/>
    </row>
    <row r="50855" spans="23:23" x14ac:dyDescent="0.55000000000000004">
      <c r="W50855"/>
    </row>
    <row r="50856" spans="23:23" x14ac:dyDescent="0.55000000000000004">
      <c r="W50856"/>
    </row>
    <row r="50857" spans="23:23" x14ac:dyDescent="0.55000000000000004">
      <c r="W50857"/>
    </row>
    <row r="50858" spans="23:23" x14ac:dyDescent="0.55000000000000004">
      <c r="W50858"/>
    </row>
    <row r="50859" spans="23:23" x14ac:dyDescent="0.55000000000000004">
      <c r="W50859"/>
    </row>
    <row r="50860" spans="23:23" x14ac:dyDescent="0.55000000000000004">
      <c r="W50860"/>
    </row>
    <row r="50861" spans="23:23" x14ac:dyDescent="0.55000000000000004">
      <c r="W50861"/>
    </row>
    <row r="50862" spans="23:23" x14ac:dyDescent="0.55000000000000004">
      <c r="W50862"/>
    </row>
    <row r="50863" spans="23:23" x14ac:dyDescent="0.55000000000000004">
      <c r="W50863"/>
    </row>
    <row r="50864" spans="23:23" x14ac:dyDescent="0.55000000000000004">
      <c r="W50864"/>
    </row>
    <row r="50865" spans="23:23" x14ac:dyDescent="0.55000000000000004">
      <c r="W50865"/>
    </row>
    <row r="50866" spans="23:23" x14ac:dyDescent="0.55000000000000004">
      <c r="W50866"/>
    </row>
    <row r="50867" spans="23:23" x14ac:dyDescent="0.55000000000000004">
      <c r="W50867"/>
    </row>
    <row r="50868" spans="23:23" x14ac:dyDescent="0.55000000000000004">
      <c r="W50868"/>
    </row>
    <row r="50869" spans="23:23" x14ac:dyDescent="0.55000000000000004">
      <c r="W50869"/>
    </row>
    <row r="50870" spans="23:23" x14ac:dyDescent="0.55000000000000004">
      <c r="W50870"/>
    </row>
    <row r="50871" spans="23:23" x14ac:dyDescent="0.55000000000000004">
      <c r="W50871"/>
    </row>
    <row r="50872" spans="23:23" x14ac:dyDescent="0.55000000000000004">
      <c r="W50872"/>
    </row>
    <row r="50873" spans="23:23" x14ac:dyDescent="0.55000000000000004">
      <c r="W50873"/>
    </row>
    <row r="50874" spans="23:23" x14ac:dyDescent="0.55000000000000004">
      <c r="W50874"/>
    </row>
    <row r="50875" spans="23:23" x14ac:dyDescent="0.55000000000000004">
      <c r="W50875"/>
    </row>
    <row r="50876" spans="23:23" x14ac:dyDescent="0.55000000000000004">
      <c r="W50876"/>
    </row>
    <row r="50877" spans="23:23" x14ac:dyDescent="0.55000000000000004">
      <c r="W50877"/>
    </row>
    <row r="50878" spans="23:23" x14ac:dyDescent="0.55000000000000004">
      <c r="W50878"/>
    </row>
    <row r="50879" spans="23:23" x14ac:dyDescent="0.55000000000000004">
      <c r="W50879"/>
    </row>
    <row r="50880" spans="23:23" x14ac:dyDescent="0.55000000000000004">
      <c r="W50880"/>
    </row>
    <row r="50881" spans="23:23" x14ac:dyDescent="0.55000000000000004">
      <c r="W50881"/>
    </row>
    <row r="50882" spans="23:23" x14ac:dyDescent="0.55000000000000004">
      <c r="W50882"/>
    </row>
    <row r="50883" spans="23:23" x14ac:dyDescent="0.55000000000000004">
      <c r="W50883"/>
    </row>
    <row r="50884" spans="23:23" x14ac:dyDescent="0.55000000000000004">
      <c r="W50884"/>
    </row>
    <row r="50885" spans="23:23" x14ac:dyDescent="0.55000000000000004">
      <c r="W50885"/>
    </row>
    <row r="50886" spans="23:23" x14ac:dyDescent="0.55000000000000004">
      <c r="W50886"/>
    </row>
    <row r="50887" spans="23:23" x14ac:dyDescent="0.55000000000000004">
      <c r="W50887"/>
    </row>
    <row r="50888" spans="23:23" x14ac:dyDescent="0.55000000000000004">
      <c r="W50888"/>
    </row>
    <row r="50889" spans="23:23" x14ac:dyDescent="0.55000000000000004">
      <c r="W50889"/>
    </row>
    <row r="50890" spans="23:23" x14ac:dyDescent="0.55000000000000004">
      <c r="W50890"/>
    </row>
    <row r="50891" spans="23:23" x14ac:dyDescent="0.55000000000000004">
      <c r="W50891"/>
    </row>
    <row r="50892" spans="23:23" x14ac:dyDescent="0.55000000000000004">
      <c r="W50892"/>
    </row>
    <row r="50893" spans="23:23" x14ac:dyDescent="0.55000000000000004">
      <c r="W50893"/>
    </row>
    <row r="50894" spans="23:23" x14ac:dyDescent="0.55000000000000004">
      <c r="W50894"/>
    </row>
    <row r="50895" spans="23:23" x14ac:dyDescent="0.55000000000000004">
      <c r="W50895"/>
    </row>
    <row r="50896" spans="23:23" x14ac:dyDescent="0.55000000000000004">
      <c r="W50896"/>
    </row>
    <row r="50897" spans="23:23" x14ac:dyDescent="0.55000000000000004">
      <c r="W50897"/>
    </row>
    <row r="50898" spans="23:23" x14ac:dyDescent="0.55000000000000004">
      <c r="W50898"/>
    </row>
    <row r="50899" spans="23:23" x14ac:dyDescent="0.55000000000000004">
      <c r="W50899"/>
    </row>
    <row r="50900" spans="23:23" x14ac:dyDescent="0.55000000000000004">
      <c r="W50900"/>
    </row>
    <row r="50901" spans="23:23" x14ac:dyDescent="0.55000000000000004">
      <c r="W50901"/>
    </row>
    <row r="50902" spans="23:23" x14ac:dyDescent="0.55000000000000004">
      <c r="W50902"/>
    </row>
    <row r="50903" spans="23:23" x14ac:dyDescent="0.55000000000000004">
      <c r="W50903"/>
    </row>
    <row r="50904" spans="23:23" x14ac:dyDescent="0.55000000000000004">
      <c r="W50904"/>
    </row>
    <row r="50905" spans="23:23" x14ac:dyDescent="0.55000000000000004">
      <c r="W50905"/>
    </row>
    <row r="50906" spans="23:23" x14ac:dyDescent="0.55000000000000004">
      <c r="W50906"/>
    </row>
    <row r="50907" spans="23:23" x14ac:dyDescent="0.55000000000000004">
      <c r="W50907"/>
    </row>
    <row r="50908" spans="23:23" x14ac:dyDescent="0.55000000000000004">
      <c r="W50908"/>
    </row>
    <row r="50909" spans="23:23" x14ac:dyDescent="0.55000000000000004">
      <c r="W50909"/>
    </row>
    <row r="50910" spans="23:23" x14ac:dyDescent="0.55000000000000004">
      <c r="W50910"/>
    </row>
    <row r="50911" spans="23:23" x14ac:dyDescent="0.55000000000000004">
      <c r="W50911"/>
    </row>
    <row r="50912" spans="23:23" x14ac:dyDescent="0.55000000000000004">
      <c r="W50912"/>
    </row>
    <row r="50913" spans="23:23" x14ac:dyDescent="0.55000000000000004">
      <c r="W50913"/>
    </row>
    <row r="50914" spans="23:23" x14ac:dyDescent="0.55000000000000004">
      <c r="W50914"/>
    </row>
    <row r="50915" spans="23:23" x14ac:dyDescent="0.55000000000000004">
      <c r="W50915"/>
    </row>
    <row r="50916" spans="23:23" x14ac:dyDescent="0.55000000000000004">
      <c r="W50916"/>
    </row>
    <row r="50917" spans="23:23" x14ac:dyDescent="0.55000000000000004">
      <c r="W50917"/>
    </row>
    <row r="50918" spans="23:23" x14ac:dyDescent="0.55000000000000004">
      <c r="W50918"/>
    </row>
    <row r="50919" spans="23:23" x14ac:dyDescent="0.55000000000000004">
      <c r="W50919"/>
    </row>
    <row r="50920" spans="23:23" x14ac:dyDescent="0.55000000000000004">
      <c r="W50920"/>
    </row>
    <row r="50921" spans="23:23" x14ac:dyDescent="0.55000000000000004">
      <c r="W50921"/>
    </row>
    <row r="50922" spans="23:23" x14ac:dyDescent="0.55000000000000004">
      <c r="W50922"/>
    </row>
    <row r="50923" spans="23:23" x14ac:dyDescent="0.55000000000000004">
      <c r="W50923"/>
    </row>
    <row r="50924" spans="23:23" x14ac:dyDescent="0.55000000000000004">
      <c r="W50924"/>
    </row>
    <row r="50925" spans="23:23" x14ac:dyDescent="0.55000000000000004">
      <c r="W50925"/>
    </row>
    <row r="50926" spans="23:23" x14ac:dyDescent="0.55000000000000004">
      <c r="W50926"/>
    </row>
    <row r="50927" spans="23:23" x14ac:dyDescent="0.55000000000000004">
      <c r="W50927"/>
    </row>
    <row r="50928" spans="23:23" x14ac:dyDescent="0.55000000000000004">
      <c r="W50928"/>
    </row>
    <row r="50929" spans="23:23" x14ac:dyDescent="0.55000000000000004">
      <c r="W50929"/>
    </row>
    <row r="50930" spans="23:23" x14ac:dyDescent="0.55000000000000004">
      <c r="W50930"/>
    </row>
    <row r="50931" spans="23:23" x14ac:dyDescent="0.55000000000000004">
      <c r="W50931"/>
    </row>
    <row r="50932" spans="23:23" x14ac:dyDescent="0.55000000000000004">
      <c r="W50932"/>
    </row>
    <row r="50933" spans="23:23" x14ac:dyDescent="0.55000000000000004">
      <c r="W50933"/>
    </row>
    <row r="50934" spans="23:23" x14ac:dyDescent="0.55000000000000004">
      <c r="W50934"/>
    </row>
    <row r="50935" spans="23:23" x14ac:dyDescent="0.55000000000000004">
      <c r="W50935"/>
    </row>
    <row r="50936" spans="23:23" x14ac:dyDescent="0.55000000000000004">
      <c r="W50936"/>
    </row>
    <row r="50937" spans="23:23" x14ac:dyDescent="0.55000000000000004">
      <c r="W50937"/>
    </row>
    <row r="50938" spans="23:23" x14ac:dyDescent="0.55000000000000004">
      <c r="W50938"/>
    </row>
    <row r="50939" spans="23:23" x14ac:dyDescent="0.55000000000000004">
      <c r="W50939"/>
    </row>
    <row r="50940" spans="23:23" x14ac:dyDescent="0.55000000000000004">
      <c r="W50940"/>
    </row>
    <row r="50941" spans="23:23" x14ac:dyDescent="0.55000000000000004">
      <c r="W50941"/>
    </row>
    <row r="50942" spans="23:23" x14ac:dyDescent="0.55000000000000004">
      <c r="W50942"/>
    </row>
    <row r="50943" spans="23:23" x14ac:dyDescent="0.55000000000000004">
      <c r="W50943"/>
    </row>
    <row r="50944" spans="23:23" x14ac:dyDescent="0.55000000000000004">
      <c r="W50944"/>
    </row>
    <row r="50945" spans="23:23" x14ac:dyDescent="0.55000000000000004">
      <c r="W50945"/>
    </row>
    <row r="50946" spans="23:23" x14ac:dyDescent="0.55000000000000004">
      <c r="W50946"/>
    </row>
    <row r="50947" spans="23:23" x14ac:dyDescent="0.55000000000000004">
      <c r="W50947"/>
    </row>
    <row r="50948" spans="23:23" x14ac:dyDescent="0.55000000000000004">
      <c r="W50948"/>
    </row>
    <row r="50949" spans="23:23" x14ac:dyDescent="0.55000000000000004">
      <c r="W50949"/>
    </row>
    <row r="50950" spans="23:23" x14ac:dyDescent="0.55000000000000004">
      <c r="W50950"/>
    </row>
    <row r="50951" spans="23:23" x14ac:dyDescent="0.55000000000000004">
      <c r="W50951"/>
    </row>
    <row r="50952" spans="23:23" x14ac:dyDescent="0.55000000000000004">
      <c r="W50952"/>
    </row>
    <row r="50953" spans="23:23" x14ac:dyDescent="0.55000000000000004">
      <c r="W50953"/>
    </row>
    <row r="50954" spans="23:23" x14ac:dyDescent="0.55000000000000004">
      <c r="W50954"/>
    </row>
    <row r="50955" spans="23:23" x14ac:dyDescent="0.55000000000000004">
      <c r="W50955"/>
    </row>
    <row r="50956" spans="23:23" x14ac:dyDescent="0.55000000000000004">
      <c r="W50956"/>
    </row>
    <row r="50957" spans="23:23" x14ac:dyDescent="0.55000000000000004">
      <c r="W50957"/>
    </row>
    <row r="50958" spans="23:23" x14ac:dyDescent="0.55000000000000004">
      <c r="W50958"/>
    </row>
    <row r="50959" spans="23:23" x14ac:dyDescent="0.55000000000000004">
      <c r="W50959"/>
    </row>
    <row r="50960" spans="23:23" x14ac:dyDescent="0.55000000000000004">
      <c r="W50960"/>
    </row>
    <row r="50961" spans="23:23" x14ac:dyDescent="0.55000000000000004">
      <c r="W50961"/>
    </row>
    <row r="50962" spans="23:23" x14ac:dyDescent="0.55000000000000004">
      <c r="W50962"/>
    </row>
    <row r="50963" spans="23:23" x14ac:dyDescent="0.55000000000000004">
      <c r="W50963"/>
    </row>
    <row r="50964" spans="23:23" x14ac:dyDescent="0.55000000000000004">
      <c r="W50964"/>
    </row>
    <row r="50965" spans="23:23" x14ac:dyDescent="0.55000000000000004">
      <c r="W50965"/>
    </row>
    <row r="50966" spans="23:23" x14ac:dyDescent="0.55000000000000004">
      <c r="W50966"/>
    </row>
    <row r="50967" spans="23:23" x14ac:dyDescent="0.55000000000000004">
      <c r="W50967"/>
    </row>
    <row r="50968" spans="23:23" x14ac:dyDescent="0.55000000000000004">
      <c r="W50968"/>
    </row>
    <row r="50969" spans="23:23" x14ac:dyDescent="0.55000000000000004">
      <c r="W50969"/>
    </row>
    <row r="50970" spans="23:23" x14ac:dyDescent="0.55000000000000004">
      <c r="W50970"/>
    </row>
    <row r="50971" spans="23:23" x14ac:dyDescent="0.55000000000000004">
      <c r="W50971"/>
    </row>
    <row r="50972" spans="23:23" x14ac:dyDescent="0.55000000000000004">
      <c r="W50972"/>
    </row>
    <row r="50973" spans="23:23" x14ac:dyDescent="0.55000000000000004">
      <c r="W50973"/>
    </row>
    <row r="50974" spans="23:23" x14ac:dyDescent="0.55000000000000004">
      <c r="W50974"/>
    </row>
    <row r="50975" spans="23:23" x14ac:dyDescent="0.55000000000000004">
      <c r="W50975"/>
    </row>
    <row r="50976" spans="23:23" x14ac:dyDescent="0.55000000000000004">
      <c r="W50976"/>
    </row>
    <row r="50977" spans="23:23" x14ac:dyDescent="0.55000000000000004">
      <c r="W50977"/>
    </row>
    <row r="50978" spans="23:23" x14ac:dyDescent="0.55000000000000004">
      <c r="W50978"/>
    </row>
    <row r="50979" spans="23:23" x14ac:dyDescent="0.55000000000000004">
      <c r="W50979"/>
    </row>
    <row r="50980" spans="23:23" x14ac:dyDescent="0.55000000000000004">
      <c r="W50980"/>
    </row>
    <row r="50981" spans="23:23" x14ac:dyDescent="0.55000000000000004">
      <c r="W50981"/>
    </row>
    <row r="50982" spans="23:23" x14ac:dyDescent="0.55000000000000004">
      <c r="W50982"/>
    </row>
    <row r="50983" spans="23:23" x14ac:dyDescent="0.55000000000000004">
      <c r="W50983"/>
    </row>
    <row r="50984" spans="23:23" x14ac:dyDescent="0.55000000000000004">
      <c r="W50984"/>
    </row>
    <row r="50985" spans="23:23" x14ac:dyDescent="0.55000000000000004">
      <c r="W50985"/>
    </row>
    <row r="50986" spans="23:23" x14ac:dyDescent="0.55000000000000004">
      <c r="W50986"/>
    </row>
    <row r="50987" spans="23:23" x14ac:dyDescent="0.55000000000000004">
      <c r="W50987"/>
    </row>
    <row r="50988" spans="23:23" x14ac:dyDescent="0.55000000000000004">
      <c r="W50988"/>
    </row>
    <row r="50989" spans="23:23" x14ac:dyDescent="0.55000000000000004">
      <c r="W50989"/>
    </row>
    <row r="50990" spans="23:23" x14ac:dyDescent="0.55000000000000004">
      <c r="W50990"/>
    </row>
    <row r="50991" spans="23:23" x14ac:dyDescent="0.55000000000000004">
      <c r="W50991"/>
    </row>
    <row r="50992" spans="23:23" x14ac:dyDescent="0.55000000000000004">
      <c r="W50992"/>
    </row>
    <row r="50993" spans="23:23" x14ac:dyDescent="0.55000000000000004">
      <c r="W50993"/>
    </row>
    <row r="50994" spans="23:23" x14ac:dyDescent="0.55000000000000004">
      <c r="W50994"/>
    </row>
    <row r="50995" spans="23:23" x14ac:dyDescent="0.55000000000000004">
      <c r="W50995"/>
    </row>
    <row r="50996" spans="23:23" x14ac:dyDescent="0.55000000000000004">
      <c r="W50996"/>
    </row>
    <row r="50997" spans="23:23" x14ac:dyDescent="0.55000000000000004">
      <c r="W50997"/>
    </row>
    <row r="50998" spans="23:23" x14ac:dyDescent="0.55000000000000004">
      <c r="W50998"/>
    </row>
    <row r="50999" spans="23:23" x14ac:dyDescent="0.55000000000000004">
      <c r="W50999"/>
    </row>
    <row r="51000" spans="23:23" x14ac:dyDescent="0.55000000000000004">
      <c r="W51000"/>
    </row>
    <row r="51001" spans="23:23" x14ac:dyDescent="0.55000000000000004">
      <c r="W51001"/>
    </row>
    <row r="51002" spans="23:23" x14ac:dyDescent="0.55000000000000004">
      <c r="W51002"/>
    </row>
    <row r="51003" spans="23:23" x14ac:dyDescent="0.55000000000000004">
      <c r="W51003"/>
    </row>
    <row r="51004" spans="23:23" x14ac:dyDescent="0.55000000000000004">
      <c r="W51004"/>
    </row>
    <row r="51005" spans="23:23" x14ac:dyDescent="0.55000000000000004">
      <c r="W51005"/>
    </row>
    <row r="51006" spans="23:23" x14ac:dyDescent="0.55000000000000004">
      <c r="W51006"/>
    </row>
    <row r="51007" spans="23:23" x14ac:dyDescent="0.55000000000000004">
      <c r="W51007"/>
    </row>
    <row r="51008" spans="23:23" x14ac:dyDescent="0.55000000000000004">
      <c r="W51008"/>
    </row>
    <row r="51009" spans="23:23" x14ac:dyDescent="0.55000000000000004">
      <c r="W51009"/>
    </row>
    <row r="51010" spans="23:23" x14ac:dyDescent="0.55000000000000004">
      <c r="W51010"/>
    </row>
    <row r="51011" spans="23:23" x14ac:dyDescent="0.55000000000000004">
      <c r="W51011"/>
    </row>
    <row r="51012" spans="23:23" x14ac:dyDescent="0.55000000000000004">
      <c r="W51012"/>
    </row>
    <row r="51013" spans="23:23" x14ac:dyDescent="0.55000000000000004">
      <c r="W51013"/>
    </row>
    <row r="51014" spans="23:23" x14ac:dyDescent="0.55000000000000004">
      <c r="W51014"/>
    </row>
    <row r="51015" spans="23:23" x14ac:dyDescent="0.55000000000000004">
      <c r="W51015"/>
    </row>
    <row r="51016" spans="23:23" x14ac:dyDescent="0.55000000000000004">
      <c r="W51016"/>
    </row>
    <row r="51017" spans="23:23" x14ac:dyDescent="0.55000000000000004">
      <c r="W51017"/>
    </row>
    <row r="51018" spans="23:23" x14ac:dyDescent="0.55000000000000004">
      <c r="W51018"/>
    </row>
    <row r="51019" spans="23:23" x14ac:dyDescent="0.55000000000000004">
      <c r="W51019"/>
    </row>
    <row r="51020" spans="23:23" x14ac:dyDescent="0.55000000000000004">
      <c r="W51020"/>
    </row>
    <row r="51021" spans="23:23" x14ac:dyDescent="0.55000000000000004">
      <c r="W51021"/>
    </row>
    <row r="51022" spans="23:23" x14ac:dyDescent="0.55000000000000004">
      <c r="W51022"/>
    </row>
    <row r="51023" spans="23:23" x14ac:dyDescent="0.55000000000000004">
      <c r="W51023"/>
    </row>
    <row r="51024" spans="23:23" x14ac:dyDescent="0.55000000000000004">
      <c r="W51024"/>
    </row>
    <row r="51025" spans="23:23" x14ac:dyDescent="0.55000000000000004">
      <c r="W51025"/>
    </row>
    <row r="51026" spans="23:23" x14ac:dyDescent="0.55000000000000004">
      <c r="W51026"/>
    </row>
    <row r="51027" spans="23:23" x14ac:dyDescent="0.55000000000000004">
      <c r="W51027"/>
    </row>
    <row r="51028" spans="23:23" x14ac:dyDescent="0.55000000000000004">
      <c r="W51028"/>
    </row>
    <row r="51029" spans="23:23" x14ac:dyDescent="0.55000000000000004">
      <c r="W51029"/>
    </row>
    <row r="51030" spans="23:23" x14ac:dyDescent="0.55000000000000004">
      <c r="W51030"/>
    </row>
    <row r="51031" spans="23:23" x14ac:dyDescent="0.55000000000000004">
      <c r="W51031"/>
    </row>
    <row r="51032" spans="23:23" x14ac:dyDescent="0.55000000000000004">
      <c r="W51032"/>
    </row>
    <row r="51033" spans="23:23" x14ac:dyDescent="0.55000000000000004">
      <c r="W51033"/>
    </row>
    <row r="51034" spans="23:23" x14ac:dyDescent="0.55000000000000004">
      <c r="W51034"/>
    </row>
    <row r="51035" spans="23:23" x14ac:dyDescent="0.55000000000000004">
      <c r="W51035"/>
    </row>
    <row r="51036" spans="23:23" x14ac:dyDescent="0.55000000000000004">
      <c r="W51036"/>
    </row>
    <row r="51037" spans="23:23" x14ac:dyDescent="0.55000000000000004">
      <c r="W51037"/>
    </row>
    <row r="51038" spans="23:23" x14ac:dyDescent="0.55000000000000004">
      <c r="W51038"/>
    </row>
    <row r="51039" spans="23:23" x14ac:dyDescent="0.55000000000000004">
      <c r="W51039"/>
    </row>
    <row r="51040" spans="23:23" x14ac:dyDescent="0.55000000000000004">
      <c r="W51040"/>
    </row>
    <row r="51041" spans="23:23" x14ac:dyDescent="0.55000000000000004">
      <c r="W51041"/>
    </row>
    <row r="51042" spans="23:23" x14ac:dyDescent="0.55000000000000004">
      <c r="W51042"/>
    </row>
    <row r="51043" spans="23:23" x14ac:dyDescent="0.55000000000000004">
      <c r="W51043"/>
    </row>
    <row r="51044" spans="23:23" x14ac:dyDescent="0.55000000000000004">
      <c r="W51044"/>
    </row>
    <row r="51045" spans="23:23" x14ac:dyDescent="0.55000000000000004">
      <c r="W51045"/>
    </row>
    <row r="51046" spans="23:23" x14ac:dyDescent="0.55000000000000004">
      <c r="W51046"/>
    </row>
    <row r="51047" spans="23:23" x14ac:dyDescent="0.55000000000000004">
      <c r="W51047"/>
    </row>
    <row r="51048" spans="23:23" x14ac:dyDescent="0.55000000000000004">
      <c r="W51048"/>
    </row>
    <row r="51049" spans="23:23" x14ac:dyDescent="0.55000000000000004">
      <c r="W51049"/>
    </row>
    <row r="51050" spans="23:23" x14ac:dyDescent="0.55000000000000004">
      <c r="W51050"/>
    </row>
    <row r="51051" spans="23:23" x14ac:dyDescent="0.55000000000000004">
      <c r="W51051"/>
    </row>
    <row r="51052" spans="23:23" x14ac:dyDescent="0.55000000000000004">
      <c r="W51052"/>
    </row>
    <row r="51053" spans="23:23" x14ac:dyDescent="0.55000000000000004">
      <c r="W51053"/>
    </row>
    <row r="51054" spans="23:23" x14ac:dyDescent="0.55000000000000004">
      <c r="W51054"/>
    </row>
    <row r="51055" spans="23:23" x14ac:dyDescent="0.55000000000000004">
      <c r="W51055"/>
    </row>
    <row r="51056" spans="23:23" x14ac:dyDescent="0.55000000000000004">
      <c r="W51056"/>
    </row>
    <row r="51057" spans="23:23" x14ac:dyDescent="0.55000000000000004">
      <c r="W51057"/>
    </row>
    <row r="51058" spans="23:23" x14ac:dyDescent="0.55000000000000004">
      <c r="W51058"/>
    </row>
    <row r="51059" spans="23:23" x14ac:dyDescent="0.55000000000000004">
      <c r="W51059"/>
    </row>
    <row r="51060" spans="23:23" x14ac:dyDescent="0.55000000000000004">
      <c r="W51060"/>
    </row>
    <row r="51061" spans="23:23" x14ac:dyDescent="0.55000000000000004">
      <c r="W51061"/>
    </row>
    <row r="51062" spans="23:23" x14ac:dyDescent="0.55000000000000004">
      <c r="W51062"/>
    </row>
    <row r="51063" spans="23:23" x14ac:dyDescent="0.55000000000000004">
      <c r="W51063"/>
    </row>
    <row r="51064" spans="23:23" x14ac:dyDescent="0.55000000000000004">
      <c r="W51064"/>
    </row>
    <row r="51065" spans="23:23" x14ac:dyDescent="0.55000000000000004">
      <c r="W51065"/>
    </row>
    <row r="51066" spans="23:23" x14ac:dyDescent="0.55000000000000004">
      <c r="W51066"/>
    </row>
    <row r="51067" spans="23:23" x14ac:dyDescent="0.55000000000000004">
      <c r="W51067"/>
    </row>
    <row r="51068" spans="23:23" x14ac:dyDescent="0.55000000000000004">
      <c r="W51068"/>
    </row>
    <row r="51069" spans="23:23" x14ac:dyDescent="0.55000000000000004">
      <c r="W51069"/>
    </row>
    <row r="51070" spans="23:23" x14ac:dyDescent="0.55000000000000004">
      <c r="W51070"/>
    </row>
    <row r="51071" spans="23:23" x14ac:dyDescent="0.55000000000000004">
      <c r="W51071"/>
    </row>
    <row r="51072" spans="23:23" x14ac:dyDescent="0.55000000000000004">
      <c r="W51072"/>
    </row>
    <row r="51073" spans="23:23" x14ac:dyDescent="0.55000000000000004">
      <c r="W51073"/>
    </row>
    <row r="51074" spans="23:23" x14ac:dyDescent="0.55000000000000004">
      <c r="W51074"/>
    </row>
    <row r="51075" spans="23:23" x14ac:dyDescent="0.55000000000000004">
      <c r="W51075"/>
    </row>
    <row r="51076" spans="23:23" x14ac:dyDescent="0.55000000000000004">
      <c r="W51076"/>
    </row>
    <row r="51077" spans="23:23" x14ac:dyDescent="0.55000000000000004">
      <c r="W51077"/>
    </row>
    <row r="51078" spans="23:23" x14ac:dyDescent="0.55000000000000004">
      <c r="W51078"/>
    </row>
    <row r="51079" spans="23:23" x14ac:dyDescent="0.55000000000000004">
      <c r="W51079"/>
    </row>
    <row r="51080" spans="23:23" x14ac:dyDescent="0.55000000000000004">
      <c r="W51080"/>
    </row>
    <row r="51081" spans="23:23" x14ac:dyDescent="0.55000000000000004">
      <c r="W51081"/>
    </row>
    <row r="51082" spans="23:23" x14ac:dyDescent="0.55000000000000004">
      <c r="W51082"/>
    </row>
    <row r="51083" spans="23:23" x14ac:dyDescent="0.55000000000000004">
      <c r="W51083"/>
    </row>
    <row r="51084" spans="23:23" x14ac:dyDescent="0.55000000000000004">
      <c r="W51084"/>
    </row>
    <row r="51085" spans="23:23" x14ac:dyDescent="0.55000000000000004">
      <c r="W51085"/>
    </row>
    <row r="51086" spans="23:23" x14ac:dyDescent="0.55000000000000004">
      <c r="W51086"/>
    </row>
    <row r="51087" spans="23:23" x14ac:dyDescent="0.55000000000000004">
      <c r="W51087"/>
    </row>
    <row r="51088" spans="23:23" x14ac:dyDescent="0.55000000000000004">
      <c r="W51088"/>
    </row>
    <row r="51089" spans="23:23" x14ac:dyDescent="0.55000000000000004">
      <c r="W51089"/>
    </row>
    <row r="51090" spans="23:23" x14ac:dyDescent="0.55000000000000004">
      <c r="W51090"/>
    </row>
    <row r="51091" spans="23:23" x14ac:dyDescent="0.55000000000000004">
      <c r="W51091"/>
    </row>
    <row r="51092" spans="23:23" x14ac:dyDescent="0.55000000000000004">
      <c r="W51092"/>
    </row>
    <row r="51093" spans="23:23" x14ac:dyDescent="0.55000000000000004">
      <c r="W51093"/>
    </row>
    <row r="51094" spans="23:23" x14ac:dyDescent="0.55000000000000004">
      <c r="W51094"/>
    </row>
    <row r="51095" spans="23:23" x14ac:dyDescent="0.55000000000000004">
      <c r="W51095"/>
    </row>
    <row r="51096" spans="23:23" x14ac:dyDescent="0.55000000000000004">
      <c r="W51096"/>
    </row>
    <row r="51097" spans="23:23" x14ac:dyDescent="0.55000000000000004">
      <c r="W51097"/>
    </row>
    <row r="51098" spans="23:23" x14ac:dyDescent="0.55000000000000004">
      <c r="W51098"/>
    </row>
    <row r="51099" spans="23:23" x14ac:dyDescent="0.55000000000000004">
      <c r="W51099"/>
    </row>
    <row r="51100" spans="23:23" x14ac:dyDescent="0.55000000000000004">
      <c r="W51100"/>
    </row>
    <row r="51101" spans="23:23" x14ac:dyDescent="0.55000000000000004">
      <c r="W51101"/>
    </row>
    <row r="51102" spans="23:23" x14ac:dyDescent="0.55000000000000004">
      <c r="W51102"/>
    </row>
    <row r="51103" spans="23:23" x14ac:dyDescent="0.55000000000000004">
      <c r="W51103"/>
    </row>
    <row r="51104" spans="23:23" x14ac:dyDescent="0.55000000000000004">
      <c r="W51104"/>
    </row>
    <row r="51105" spans="23:23" x14ac:dyDescent="0.55000000000000004">
      <c r="W51105"/>
    </row>
    <row r="51106" spans="23:23" x14ac:dyDescent="0.55000000000000004">
      <c r="W51106"/>
    </row>
    <row r="51107" spans="23:23" x14ac:dyDescent="0.55000000000000004">
      <c r="W51107"/>
    </row>
    <row r="51108" spans="23:23" x14ac:dyDescent="0.55000000000000004">
      <c r="W51108"/>
    </row>
    <row r="51109" spans="23:23" x14ac:dyDescent="0.55000000000000004">
      <c r="W51109"/>
    </row>
    <row r="51110" spans="23:23" x14ac:dyDescent="0.55000000000000004">
      <c r="W51110"/>
    </row>
    <row r="51111" spans="23:23" x14ac:dyDescent="0.55000000000000004">
      <c r="W51111"/>
    </row>
    <row r="51112" spans="23:23" x14ac:dyDescent="0.55000000000000004">
      <c r="W51112"/>
    </row>
    <row r="51113" spans="23:23" x14ac:dyDescent="0.55000000000000004">
      <c r="W51113"/>
    </row>
    <row r="51114" spans="23:23" x14ac:dyDescent="0.55000000000000004">
      <c r="W51114"/>
    </row>
    <row r="51115" spans="23:23" x14ac:dyDescent="0.55000000000000004">
      <c r="W51115"/>
    </row>
    <row r="51116" spans="23:23" x14ac:dyDescent="0.55000000000000004">
      <c r="W51116"/>
    </row>
    <row r="51117" spans="23:23" x14ac:dyDescent="0.55000000000000004">
      <c r="W51117"/>
    </row>
    <row r="51118" spans="23:23" x14ac:dyDescent="0.55000000000000004">
      <c r="W51118"/>
    </row>
    <row r="51119" spans="23:23" x14ac:dyDescent="0.55000000000000004">
      <c r="W51119"/>
    </row>
    <row r="51120" spans="23:23" x14ac:dyDescent="0.55000000000000004">
      <c r="W51120"/>
    </row>
    <row r="51121" spans="23:23" x14ac:dyDescent="0.55000000000000004">
      <c r="W51121"/>
    </row>
    <row r="51122" spans="23:23" x14ac:dyDescent="0.55000000000000004">
      <c r="W51122"/>
    </row>
    <row r="51123" spans="23:23" x14ac:dyDescent="0.55000000000000004">
      <c r="W51123"/>
    </row>
    <row r="51124" spans="23:23" x14ac:dyDescent="0.55000000000000004">
      <c r="W51124"/>
    </row>
    <row r="51125" spans="23:23" x14ac:dyDescent="0.55000000000000004">
      <c r="W51125"/>
    </row>
    <row r="51126" spans="23:23" x14ac:dyDescent="0.55000000000000004">
      <c r="W51126"/>
    </row>
    <row r="51127" spans="23:23" x14ac:dyDescent="0.55000000000000004">
      <c r="W51127"/>
    </row>
    <row r="51128" spans="23:23" x14ac:dyDescent="0.55000000000000004">
      <c r="W51128"/>
    </row>
    <row r="51129" spans="23:23" x14ac:dyDescent="0.55000000000000004">
      <c r="W51129"/>
    </row>
    <row r="51130" spans="23:23" x14ac:dyDescent="0.55000000000000004">
      <c r="W51130"/>
    </row>
    <row r="51131" spans="23:23" x14ac:dyDescent="0.55000000000000004">
      <c r="W51131"/>
    </row>
    <row r="51132" spans="23:23" x14ac:dyDescent="0.55000000000000004">
      <c r="W51132"/>
    </row>
    <row r="51133" spans="23:23" x14ac:dyDescent="0.55000000000000004">
      <c r="W51133"/>
    </row>
    <row r="51134" spans="23:23" x14ac:dyDescent="0.55000000000000004">
      <c r="W51134"/>
    </row>
    <row r="51135" spans="23:23" x14ac:dyDescent="0.55000000000000004">
      <c r="W51135"/>
    </row>
    <row r="51136" spans="23:23" x14ac:dyDescent="0.55000000000000004">
      <c r="W51136"/>
    </row>
    <row r="51137" spans="23:23" x14ac:dyDescent="0.55000000000000004">
      <c r="W51137"/>
    </row>
    <row r="51138" spans="23:23" x14ac:dyDescent="0.55000000000000004">
      <c r="W51138"/>
    </row>
    <row r="51139" spans="23:23" x14ac:dyDescent="0.55000000000000004">
      <c r="W51139"/>
    </row>
    <row r="51140" spans="23:23" x14ac:dyDescent="0.55000000000000004">
      <c r="W51140"/>
    </row>
    <row r="51141" spans="23:23" x14ac:dyDescent="0.55000000000000004">
      <c r="W51141"/>
    </row>
    <row r="51142" spans="23:23" x14ac:dyDescent="0.55000000000000004">
      <c r="W51142"/>
    </row>
    <row r="51143" spans="23:23" x14ac:dyDescent="0.55000000000000004">
      <c r="W51143"/>
    </row>
    <row r="51144" spans="23:23" x14ac:dyDescent="0.55000000000000004">
      <c r="W51144"/>
    </row>
    <row r="51145" spans="23:23" x14ac:dyDescent="0.55000000000000004">
      <c r="W51145"/>
    </row>
    <row r="51146" spans="23:23" x14ac:dyDescent="0.55000000000000004">
      <c r="W51146"/>
    </row>
    <row r="51147" spans="23:23" x14ac:dyDescent="0.55000000000000004">
      <c r="W51147"/>
    </row>
    <row r="51148" spans="23:23" x14ac:dyDescent="0.55000000000000004">
      <c r="W51148"/>
    </row>
    <row r="51149" spans="23:23" x14ac:dyDescent="0.55000000000000004">
      <c r="W51149"/>
    </row>
    <row r="51150" spans="23:23" x14ac:dyDescent="0.55000000000000004">
      <c r="W51150"/>
    </row>
    <row r="51151" spans="23:23" x14ac:dyDescent="0.55000000000000004">
      <c r="W51151"/>
    </row>
    <row r="51152" spans="23:23" x14ac:dyDescent="0.55000000000000004">
      <c r="W51152"/>
    </row>
    <row r="51153" spans="23:23" x14ac:dyDescent="0.55000000000000004">
      <c r="W51153"/>
    </row>
    <row r="51154" spans="23:23" x14ac:dyDescent="0.55000000000000004">
      <c r="W51154"/>
    </row>
    <row r="51155" spans="23:23" x14ac:dyDescent="0.55000000000000004">
      <c r="W51155"/>
    </row>
    <row r="51156" spans="23:23" x14ac:dyDescent="0.55000000000000004">
      <c r="W51156"/>
    </row>
    <row r="51157" spans="23:23" x14ac:dyDescent="0.55000000000000004">
      <c r="W51157"/>
    </row>
    <row r="51158" spans="23:23" x14ac:dyDescent="0.55000000000000004">
      <c r="W51158"/>
    </row>
    <row r="51159" spans="23:23" x14ac:dyDescent="0.55000000000000004">
      <c r="W51159"/>
    </row>
    <row r="51160" spans="23:23" x14ac:dyDescent="0.55000000000000004">
      <c r="W51160"/>
    </row>
    <row r="51161" spans="23:23" x14ac:dyDescent="0.55000000000000004">
      <c r="W51161"/>
    </row>
    <row r="51162" spans="23:23" x14ac:dyDescent="0.55000000000000004">
      <c r="W51162"/>
    </row>
    <row r="51163" spans="23:23" x14ac:dyDescent="0.55000000000000004">
      <c r="W51163"/>
    </row>
    <row r="51164" spans="23:23" x14ac:dyDescent="0.55000000000000004">
      <c r="W51164"/>
    </row>
    <row r="51165" spans="23:23" x14ac:dyDescent="0.55000000000000004">
      <c r="W51165"/>
    </row>
    <row r="51166" spans="23:23" x14ac:dyDescent="0.55000000000000004">
      <c r="W51166"/>
    </row>
    <row r="51167" spans="23:23" x14ac:dyDescent="0.55000000000000004">
      <c r="W51167"/>
    </row>
    <row r="51168" spans="23:23" x14ac:dyDescent="0.55000000000000004">
      <c r="W51168"/>
    </row>
    <row r="51169" spans="23:23" x14ac:dyDescent="0.55000000000000004">
      <c r="W51169"/>
    </row>
    <row r="51170" spans="23:23" x14ac:dyDescent="0.55000000000000004">
      <c r="W51170"/>
    </row>
    <row r="51171" spans="23:23" x14ac:dyDescent="0.55000000000000004">
      <c r="W51171"/>
    </row>
    <row r="51172" spans="23:23" x14ac:dyDescent="0.55000000000000004">
      <c r="W51172"/>
    </row>
    <row r="51173" spans="23:23" x14ac:dyDescent="0.55000000000000004">
      <c r="W51173"/>
    </row>
    <row r="51174" spans="23:23" x14ac:dyDescent="0.55000000000000004">
      <c r="W51174"/>
    </row>
    <row r="51175" spans="23:23" x14ac:dyDescent="0.55000000000000004">
      <c r="W51175"/>
    </row>
    <row r="51176" spans="23:23" x14ac:dyDescent="0.55000000000000004">
      <c r="W51176"/>
    </row>
    <row r="51177" spans="23:23" x14ac:dyDescent="0.55000000000000004">
      <c r="W51177"/>
    </row>
    <row r="51178" spans="23:23" x14ac:dyDescent="0.55000000000000004">
      <c r="W51178"/>
    </row>
    <row r="51179" spans="23:23" x14ac:dyDescent="0.55000000000000004">
      <c r="W51179"/>
    </row>
    <row r="51180" spans="23:23" x14ac:dyDescent="0.55000000000000004">
      <c r="W51180"/>
    </row>
    <row r="51181" spans="23:23" x14ac:dyDescent="0.55000000000000004">
      <c r="W51181"/>
    </row>
    <row r="51182" spans="23:23" x14ac:dyDescent="0.55000000000000004">
      <c r="W51182"/>
    </row>
    <row r="51183" spans="23:23" x14ac:dyDescent="0.55000000000000004">
      <c r="W51183"/>
    </row>
    <row r="51184" spans="23:23" x14ac:dyDescent="0.55000000000000004">
      <c r="W51184"/>
    </row>
    <row r="51185" spans="23:23" x14ac:dyDescent="0.55000000000000004">
      <c r="W51185"/>
    </row>
    <row r="51186" spans="23:23" x14ac:dyDescent="0.55000000000000004">
      <c r="W51186"/>
    </row>
    <row r="51187" spans="23:23" x14ac:dyDescent="0.55000000000000004">
      <c r="W51187"/>
    </row>
    <row r="51188" spans="23:23" x14ac:dyDescent="0.55000000000000004">
      <c r="W51188"/>
    </row>
    <row r="51189" spans="23:23" x14ac:dyDescent="0.55000000000000004">
      <c r="W51189"/>
    </row>
    <row r="51190" spans="23:23" x14ac:dyDescent="0.55000000000000004">
      <c r="W51190"/>
    </row>
    <row r="51191" spans="23:23" x14ac:dyDescent="0.55000000000000004">
      <c r="W51191"/>
    </row>
    <row r="51192" spans="23:23" x14ac:dyDescent="0.55000000000000004">
      <c r="W51192"/>
    </row>
    <row r="51193" spans="23:23" x14ac:dyDescent="0.55000000000000004">
      <c r="W51193"/>
    </row>
    <row r="51194" spans="23:23" x14ac:dyDescent="0.55000000000000004">
      <c r="W51194"/>
    </row>
    <row r="51195" spans="23:23" x14ac:dyDescent="0.55000000000000004">
      <c r="W51195"/>
    </row>
    <row r="51196" spans="23:23" x14ac:dyDescent="0.55000000000000004">
      <c r="W51196"/>
    </row>
    <row r="51197" spans="23:23" x14ac:dyDescent="0.55000000000000004">
      <c r="W51197"/>
    </row>
    <row r="51198" spans="23:23" x14ac:dyDescent="0.55000000000000004">
      <c r="W51198"/>
    </row>
    <row r="51199" spans="23:23" x14ac:dyDescent="0.55000000000000004">
      <c r="W51199"/>
    </row>
    <row r="51200" spans="23:23" x14ac:dyDescent="0.55000000000000004">
      <c r="W51200"/>
    </row>
    <row r="51201" spans="23:23" x14ac:dyDescent="0.55000000000000004">
      <c r="W51201"/>
    </row>
    <row r="51202" spans="23:23" x14ac:dyDescent="0.55000000000000004">
      <c r="W51202"/>
    </row>
    <row r="51203" spans="23:23" x14ac:dyDescent="0.55000000000000004">
      <c r="W51203"/>
    </row>
    <row r="51204" spans="23:23" x14ac:dyDescent="0.55000000000000004">
      <c r="W51204"/>
    </row>
    <row r="51205" spans="23:23" x14ac:dyDescent="0.55000000000000004">
      <c r="W51205"/>
    </row>
    <row r="51206" spans="23:23" x14ac:dyDescent="0.55000000000000004">
      <c r="W51206"/>
    </row>
    <row r="51207" spans="23:23" x14ac:dyDescent="0.55000000000000004">
      <c r="W51207"/>
    </row>
    <row r="51208" spans="23:23" x14ac:dyDescent="0.55000000000000004">
      <c r="W51208"/>
    </row>
    <row r="51209" spans="23:23" x14ac:dyDescent="0.55000000000000004">
      <c r="W51209"/>
    </row>
    <row r="51210" spans="23:23" x14ac:dyDescent="0.55000000000000004">
      <c r="W51210"/>
    </row>
    <row r="51211" spans="23:23" x14ac:dyDescent="0.55000000000000004">
      <c r="W51211"/>
    </row>
    <row r="51212" spans="23:23" x14ac:dyDescent="0.55000000000000004">
      <c r="W51212"/>
    </row>
    <row r="51213" spans="23:23" x14ac:dyDescent="0.55000000000000004">
      <c r="W51213"/>
    </row>
    <row r="51214" spans="23:23" x14ac:dyDescent="0.55000000000000004">
      <c r="W51214"/>
    </row>
    <row r="51215" spans="23:23" x14ac:dyDescent="0.55000000000000004">
      <c r="W51215"/>
    </row>
    <row r="51216" spans="23:23" x14ac:dyDescent="0.55000000000000004">
      <c r="W51216"/>
    </row>
    <row r="51217" spans="23:23" x14ac:dyDescent="0.55000000000000004">
      <c r="W51217"/>
    </row>
    <row r="51218" spans="23:23" x14ac:dyDescent="0.55000000000000004">
      <c r="W51218"/>
    </row>
    <row r="51219" spans="23:23" x14ac:dyDescent="0.55000000000000004">
      <c r="W51219"/>
    </row>
    <row r="51220" spans="23:23" x14ac:dyDescent="0.55000000000000004">
      <c r="W51220"/>
    </row>
    <row r="51221" spans="23:23" x14ac:dyDescent="0.55000000000000004">
      <c r="W51221"/>
    </row>
    <row r="51222" spans="23:23" x14ac:dyDescent="0.55000000000000004">
      <c r="W51222"/>
    </row>
    <row r="51223" spans="23:23" x14ac:dyDescent="0.55000000000000004">
      <c r="W51223"/>
    </row>
    <row r="51224" spans="23:23" x14ac:dyDescent="0.55000000000000004">
      <c r="W51224"/>
    </row>
    <row r="51225" spans="23:23" x14ac:dyDescent="0.55000000000000004">
      <c r="W51225"/>
    </row>
    <row r="51226" spans="23:23" x14ac:dyDescent="0.55000000000000004">
      <c r="W51226"/>
    </row>
    <row r="51227" spans="23:23" x14ac:dyDescent="0.55000000000000004">
      <c r="W51227"/>
    </row>
    <row r="51228" spans="23:23" x14ac:dyDescent="0.55000000000000004">
      <c r="W51228"/>
    </row>
    <row r="51229" spans="23:23" x14ac:dyDescent="0.55000000000000004">
      <c r="W51229"/>
    </row>
    <row r="51230" spans="23:23" x14ac:dyDescent="0.55000000000000004">
      <c r="W51230"/>
    </row>
    <row r="51231" spans="23:23" x14ac:dyDescent="0.55000000000000004">
      <c r="W51231"/>
    </row>
    <row r="51232" spans="23:23" x14ac:dyDescent="0.55000000000000004">
      <c r="W51232"/>
    </row>
    <row r="51233" spans="23:23" x14ac:dyDescent="0.55000000000000004">
      <c r="W51233"/>
    </row>
    <row r="51234" spans="23:23" x14ac:dyDescent="0.55000000000000004">
      <c r="W51234"/>
    </row>
    <row r="51235" spans="23:23" x14ac:dyDescent="0.55000000000000004">
      <c r="W51235"/>
    </row>
    <row r="51236" spans="23:23" x14ac:dyDescent="0.55000000000000004">
      <c r="W51236"/>
    </row>
    <row r="51237" spans="23:23" x14ac:dyDescent="0.55000000000000004">
      <c r="W51237"/>
    </row>
    <row r="51238" spans="23:23" x14ac:dyDescent="0.55000000000000004">
      <c r="W51238"/>
    </row>
    <row r="51239" spans="23:23" x14ac:dyDescent="0.55000000000000004">
      <c r="W51239"/>
    </row>
    <row r="51240" spans="23:23" x14ac:dyDescent="0.55000000000000004">
      <c r="W51240"/>
    </row>
    <row r="51241" spans="23:23" x14ac:dyDescent="0.55000000000000004">
      <c r="W51241"/>
    </row>
    <row r="51242" spans="23:23" x14ac:dyDescent="0.55000000000000004">
      <c r="W51242"/>
    </row>
    <row r="51243" spans="23:23" x14ac:dyDescent="0.55000000000000004">
      <c r="W51243"/>
    </row>
    <row r="51244" spans="23:23" x14ac:dyDescent="0.55000000000000004">
      <c r="W51244"/>
    </row>
    <row r="51245" spans="23:23" x14ac:dyDescent="0.55000000000000004">
      <c r="W51245"/>
    </row>
    <row r="51246" spans="23:23" x14ac:dyDescent="0.55000000000000004">
      <c r="W51246"/>
    </row>
    <row r="51247" spans="23:23" x14ac:dyDescent="0.55000000000000004">
      <c r="W51247"/>
    </row>
    <row r="51248" spans="23:23" x14ac:dyDescent="0.55000000000000004">
      <c r="W51248"/>
    </row>
    <row r="51249" spans="23:23" x14ac:dyDescent="0.55000000000000004">
      <c r="W51249"/>
    </row>
    <row r="51250" spans="23:23" x14ac:dyDescent="0.55000000000000004">
      <c r="W51250"/>
    </row>
    <row r="51251" spans="23:23" x14ac:dyDescent="0.55000000000000004">
      <c r="W51251"/>
    </row>
    <row r="51252" spans="23:23" x14ac:dyDescent="0.55000000000000004">
      <c r="W51252"/>
    </row>
    <row r="51253" spans="23:23" x14ac:dyDescent="0.55000000000000004">
      <c r="W51253"/>
    </row>
    <row r="51254" spans="23:23" x14ac:dyDescent="0.55000000000000004">
      <c r="W51254"/>
    </row>
    <row r="51255" spans="23:23" x14ac:dyDescent="0.55000000000000004">
      <c r="W51255"/>
    </row>
    <row r="51256" spans="23:23" x14ac:dyDescent="0.55000000000000004">
      <c r="W51256"/>
    </row>
    <row r="51257" spans="23:23" x14ac:dyDescent="0.55000000000000004">
      <c r="W51257"/>
    </row>
    <row r="51258" spans="23:23" x14ac:dyDescent="0.55000000000000004">
      <c r="W51258"/>
    </row>
    <row r="51259" spans="23:23" x14ac:dyDescent="0.55000000000000004">
      <c r="W51259"/>
    </row>
    <row r="51260" spans="23:23" x14ac:dyDescent="0.55000000000000004">
      <c r="W51260"/>
    </row>
    <row r="51261" spans="23:23" x14ac:dyDescent="0.55000000000000004">
      <c r="W51261"/>
    </row>
    <row r="51262" spans="23:23" x14ac:dyDescent="0.55000000000000004">
      <c r="W51262"/>
    </row>
    <row r="51263" spans="23:23" x14ac:dyDescent="0.55000000000000004">
      <c r="W51263"/>
    </row>
    <row r="51264" spans="23:23" x14ac:dyDescent="0.55000000000000004">
      <c r="W51264"/>
    </row>
    <row r="51265" spans="23:23" x14ac:dyDescent="0.55000000000000004">
      <c r="W51265"/>
    </row>
    <row r="51266" spans="23:23" x14ac:dyDescent="0.55000000000000004">
      <c r="W51266"/>
    </row>
    <row r="51267" spans="23:23" x14ac:dyDescent="0.55000000000000004">
      <c r="W51267"/>
    </row>
    <row r="51268" spans="23:23" x14ac:dyDescent="0.55000000000000004">
      <c r="W51268"/>
    </row>
    <row r="51269" spans="23:23" x14ac:dyDescent="0.55000000000000004">
      <c r="W51269"/>
    </row>
    <row r="51270" spans="23:23" x14ac:dyDescent="0.55000000000000004">
      <c r="W51270"/>
    </row>
    <row r="51271" spans="23:23" x14ac:dyDescent="0.55000000000000004">
      <c r="W51271"/>
    </row>
    <row r="51272" spans="23:23" x14ac:dyDescent="0.55000000000000004">
      <c r="W51272"/>
    </row>
    <row r="51273" spans="23:23" x14ac:dyDescent="0.55000000000000004">
      <c r="W51273"/>
    </row>
    <row r="51274" spans="23:23" x14ac:dyDescent="0.55000000000000004">
      <c r="W51274"/>
    </row>
    <row r="51275" spans="23:23" x14ac:dyDescent="0.55000000000000004">
      <c r="W51275"/>
    </row>
    <row r="51276" spans="23:23" x14ac:dyDescent="0.55000000000000004">
      <c r="W51276"/>
    </row>
    <row r="51277" spans="23:23" x14ac:dyDescent="0.55000000000000004">
      <c r="W51277"/>
    </row>
    <row r="51278" spans="23:23" x14ac:dyDescent="0.55000000000000004">
      <c r="W51278"/>
    </row>
    <row r="51279" spans="23:23" x14ac:dyDescent="0.55000000000000004">
      <c r="W51279"/>
    </row>
    <row r="51280" spans="23:23" x14ac:dyDescent="0.55000000000000004">
      <c r="W51280"/>
    </row>
    <row r="51281" spans="23:23" x14ac:dyDescent="0.55000000000000004">
      <c r="W51281"/>
    </row>
    <row r="51282" spans="23:23" x14ac:dyDescent="0.55000000000000004">
      <c r="W51282"/>
    </row>
    <row r="51283" spans="23:23" x14ac:dyDescent="0.55000000000000004">
      <c r="W51283"/>
    </row>
    <row r="51284" spans="23:23" x14ac:dyDescent="0.55000000000000004">
      <c r="W51284"/>
    </row>
    <row r="51285" spans="23:23" x14ac:dyDescent="0.55000000000000004">
      <c r="W51285"/>
    </row>
    <row r="51286" spans="23:23" x14ac:dyDescent="0.55000000000000004">
      <c r="W51286"/>
    </row>
    <row r="51287" spans="23:23" x14ac:dyDescent="0.55000000000000004">
      <c r="W51287"/>
    </row>
    <row r="51288" spans="23:23" x14ac:dyDescent="0.55000000000000004">
      <c r="W51288"/>
    </row>
    <row r="51289" spans="23:23" x14ac:dyDescent="0.55000000000000004">
      <c r="W51289"/>
    </row>
    <row r="51290" spans="23:23" x14ac:dyDescent="0.55000000000000004">
      <c r="W51290"/>
    </row>
    <row r="51291" spans="23:23" x14ac:dyDescent="0.55000000000000004">
      <c r="W51291"/>
    </row>
    <row r="51292" spans="23:23" x14ac:dyDescent="0.55000000000000004">
      <c r="W51292"/>
    </row>
    <row r="51293" spans="23:23" x14ac:dyDescent="0.55000000000000004">
      <c r="W51293"/>
    </row>
    <row r="51294" spans="23:23" x14ac:dyDescent="0.55000000000000004">
      <c r="W51294"/>
    </row>
    <row r="51295" spans="23:23" x14ac:dyDescent="0.55000000000000004">
      <c r="W51295"/>
    </row>
    <row r="51296" spans="23:23" x14ac:dyDescent="0.55000000000000004">
      <c r="W51296"/>
    </row>
    <row r="51297" spans="23:23" x14ac:dyDescent="0.55000000000000004">
      <c r="W51297"/>
    </row>
    <row r="51298" spans="23:23" x14ac:dyDescent="0.55000000000000004">
      <c r="W51298"/>
    </row>
    <row r="51299" spans="23:23" x14ac:dyDescent="0.55000000000000004">
      <c r="W51299"/>
    </row>
    <row r="51300" spans="23:23" x14ac:dyDescent="0.55000000000000004">
      <c r="W51300"/>
    </row>
    <row r="51301" spans="23:23" x14ac:dyDescent="0.55000000000000004">
      <c r="W51301"/>
    </row>
    <row r="51302" spans="23:23" x14ac:dyDescent="0.55000000000000004">
      <c r="W51302"/>
    </row>
    <row r="51303" spans="23:23" x14ac:dyDescent="0.55000000000000004">
      <c r="W51303"/>
    </row>
    <row r="51304" spans="23:23" x14ac:dyDescent="0.55000000000000004">
      <c r="W51304"/>
    </row>
    <row r="51305" spans="23:23" x14ac:dyDescent="0.55000000000000004">
      <c r="W51305"/>
    </row>
    <row r="51306" spans="23:23" x14ac:dyDescent="0.55000000000000004">
      <c r="W51306"/>
    </row>
    <row r="51307" spans="23:23" x14ac:dyDescent="0.55000000000000004">
      <c r="W51307"/>
    </row>
    <row r="51308" spans="23:23" x14ac:dyDescent="0.55000000000000004">
      <c r="W51308"/>
    </row>
    <row r="51309" spans="23:23" x14ac:dyDescent="0.55000000000000004">
      <c r="W51309"/>
    </row>
    <row r="51310" spans="23:23" x14ac:dyDescent="0.55000000000000004">
      <c r="W51310"/>
    </row>
    <row r="51311" spans="23:23" x14ac:dyDescent="0.55000000000000004">
      <c r="W51311"/>
    </row>
    <row r="51312" spans="23:23" x14ac:dyDescent="0.55000000000000004">
      <c r="W51312"/>
    </row>
    <row r="51313" spans="23:23" x14ac:dyDescent="0.55000000000000004">
      <c r="W51313"/>
    </row>
    <row r="51314" spans="23:23" x14ac:dyDescent="0.55000000000000004">
      <c r="W51314"/>
    </row>
    <row r="51315" spans="23:23" x14ac:dyDescent="0.55000000000000004">
      <c r="W51315"/>
    </row>
    <row r="51316" spans="23:23" x14ac:dyDescent="0.55000000000000004">
      <c r="W51316"/>
    </row>
    <row r="51317" spans="23:23" x14ac:dyDescent="0.55000000000000004">
      <c r="W51317"/>
    </row>
    <row r="51318" spans="23:23" x14ac:dyDescent="0.55000000000000004">
      <c r="W51318"/>
    </row>
    <row r="51319" spans="23:23" x14ac:dyDescent="0.55000000000000004">
      <c r="W51319"/>
    </row>
    <row r="51320" spans="23:23" x14ac:dyDescent="0.55000000000000004">
      <c r="W51320"/>
    </row>
    <row r="51321" spans="23:23" x14ac:dyDescent="0.55000000000000004">
      <c r="W51321"/>
    </row>
    <row r="51322" spans="23:23" x14ac:dyDescent="0.55000000000000004">
      <c r="W51322"/>
    </row>
    <row r="51323" spans="23:23" x14ac:dyDescent="0.55000000000000004">
      <c r="W51323"/>
    </row>
    <row r="51324" spans="23:23" x14ac:dyDescent="0.55000000000000004">
      <c r="W51324"/>
    </row>
    <row r="51325" spans="23:23" x14ac:dyDescent="0.55000000000000004">
      <c r="W51325"/>
    </row>
    <row r="51326" spans="23:23" x14ac:dyDescent="0.55000000000000004">
      <c r="W51326"/>
    </row>
    <row r="51327" spans="23:23" x14ac:dyDescent="0.55000000000000004">
      <c r="W51327"/>
    </row>
    <row r="51328" spans="23:23" x14ac:dyDescent="0.55000000000000004">
      <c r="W51328"/>
    </row>
    <row r="51329" spans="23:23" x14ac:dyDescent="0.55000000000000004">
      <c r="W51329"/>
    </row>
    <row r="51330" spans="23:23" x14ac:dyDescent="0.55000000000000004">
      <c r="W51330"/>
    </row>
    <row r="51331" spans="23:23" x14ac:dyDescent="0.55000000000000004">
      <c r="W51331"/>
    </row>
    <row r="51332" spans="23:23" x14ac:dyDescent="0.55000000000000004">
      <c r="W51332"/>
    </row>
    <row r="51333" spans="23:23" x14ac:dyDescent="0.55000000000000004">
      <c r="W51333"/>
    </row>
    <row r="51334" spans="23:23" x14ac:dyDescent="0.55000000000000004">
      <c r="W51334"/>
    </row>
    <row r="51335" spans="23:23" x14ac:dyDescent="0.55000000000000004">
      <c r="W51335"/>
    </row>
    <row r="51336" spans="23:23" x14ac:dyDescent="0.55000000000000004">
      <c r="W51336"/>
    </row>
    <row r="51337" spans="23:23" x14ac:dyDescent="0.55000000000000004">
      <c r="W51337"/>
    </row>
    <row r="51338" spans="23:23" x14ac:dyDescent="0.55000000000000004">
      <c r="W51338"/>
    </row>
    <row r="51339" spans="23:23" x14ac:dyDescent="0.55000000000000004">
      <c r="W51339"/>
    </row>
    <row r="51340" spans="23:23" x14ac:dyDescent="0.55000000000000004">
      <c r="W51340"/>
    </row>
    <row r="51341" spans="23:23" x14ac:dyDescent="0.55000000000000004">
      <c r="W51341"/>
    </row>
    <row r="51342" spans="23:23" x14ac:dyDescent="0.55000000000000004">
      <c r="W51342"/>
    </row>
    <row r="51343" spans="23:23" x14ac:dyDescent="0.55000000000000004">
      <c r="W51343"/>
    </row>
    <row r="51344" spans="23:23" x14ac:dyDescent="0.55000000000000004">
      <c r="W51344"/>
    </row>
    <row r="51345" spans="23:23" x14ac:dyDescent="0.55000000000000004">
      <c r="W51345"/>
    </row>
    <row r="51346" spans="23:23" x14ac:dyDescent="0.55000000000000004">
      <c r="W51346"/>
    </row>
    <row r="51347" spans="23:23" x14ac:dyDescent="0.55000000000000004">
      <c r="W51347"/>
    </row>
    <row r="51348" spans="23:23" x14ac:dyDescent="0.55000000000000004">
      <c r="W51348"/>
    </row>
    <row r="51349" spans="23:23" x14ac:dyDescent="0.55000000000000004">
      <c r="W51349"/>
    </row>
    <row r="51350" spans="23:23" x14ac:dyDescent="0.55000000000000004">
      <c r="W51350"/>
    </row>
    <row r="51351" spans="23:23" x14ac:dyDescent="0.55000000000000004">
      <c r="W51351"/>
    </row>
    <row r="51352" spans="23:23" x14ac:dyDescent="0.55000000000000004">
      <c r="W51352"/>
    </row>
    <row r="51353" spans="23:23" x14ac:dyDescent="0.55000000000000004">
      <c r="W51353"/>
    </row>
    <row r="51354" spans="23:23" x14ac:dyDescent="0.55000000000000004">
      <c r="W51354"/>
    </row>
    <row r="51355" spans="23:23" x14ac:dyDescent="0.55000000000000004">
      <c r="W51355"/>
    </row>
    <row r="51356" spans="23:23" x14ac:dyDescent="0.55000000000000004">
      <c r="W51356"/>
    </row>
    <row r="51357" spans="23:23" x14ac:dyDescent="0.55000000000000004">
      <c r="W51357"/>
    </row>
    <row r="51358" spans="23:23" x14ac:dyDescent="0.55000000000000004">
      <c r="W51358"/>
    </row>
    <row r="51359" spans="23:23" x14ac:dyDescent="0.55000000000000004">
      <c r="W51359"/>
    </row>
    <row r="51360" spans="23:23" x14ac:dyDescent="0.55000000000000004">
      <c r="W51360"/>
    </row>
    <row r="51361" spans="23:23" x14ac:dyDescent="0.55000000000000004">
      <c r="W51361"/>
    </row>
    <row r="51362" spans="23:23" x14ac:dyDescent="0.55000000000000004">
      <c r="W51362"/>
    </row>
    <row r="51363" spans="23:23" x14ac:dyDescent="0.55000000000000004">
      <c r="W51363"/>
    </row>
    <row r="51364" spans="23:23" x14ac:dyDescent="0.55000000000000004">
      <c r="W51364"/>
    </row>
    <row r="51365" spans="23:23" x14ac:dyDescent="0.55000000000000004">
      <c r="W51365"/>
    </row>
    <row r="51366" spans="23:23" x14ac:dyDescent="0.55000000000000004">
      <c r="W51366"/>
    </row>
    <row r="51367" spans="23:23" x14ac:dyDescent="0.55000000000000004">
      <c r="W51367"/>
    </row>
    <row r="51368" spans="23:23" x14ac:dyDescent="0.55000000000000004">
      <c r="W51368"/>
    </row>
    <row r="51369" spans="23:23" x14ac:dyDescent="0.55000000000000004">
      <c r="W51369"/>
    </row>
    <row r="51370" spans="23:23" x14ac:dyDescent="0.55000000000000004">
      <c r="W51370"/>
    </row>
    <row r="51371" spans="23:23" x14ac:dyDescent="0.55000000000000004">
      <c r="W51371"/>
    </row>
    <row r="51372" spans="23:23" x14ac:dyDescent="0.55000000000000004">
      <c r="W51372"/>
    </row>
    <row r="51373" spans="23:23" x14ac:dyDescent="0.55000000000000004">
      <c r="W51373"/>
    </row>
    <row r="51374" spans="23:23" x14ac:dyDescent="0.55000000000000004">
      <c r="W51374"/>
    </row>
    <row r="51375" spans="23:23" x14ac:dyDescent="0.55000000000000004">
      <c r="W51375"/>
    </row>
    <row r="51376" spans="23:23" x14ac:dyDescent="0.55000000000000004">
      <c r="W51376"/>
    </row>
    <row r="51377" spans="23:23" x14ac:dyDescent="0.55000000000000004">
      <c r="W51377"/>
    </row>
    <row r="51378" spans="23:23" x14ac:dyDescent="0.55000000000000004">
      <c r="W51378"/>
    </row>
    <row r="51379" spans="23:23" x14ac:dyDescent="0.55000000000000004">
      <c r="W51379"/>
    </row>
    <row r="51380" spans="23:23" x14ac:dyDescent="0.55000000000000004">
      <c r="W51380"/>
    </row>
    <row r="51381" spans="23:23" x14ac:dyDescent="0.55000000000000004">
      <c r="W51381"/>
    </row>
    <row r="51382" spans="23:23" x14ac:dyDescent="0.55000000000000004">
      <c r="W51382"/>
    </row>
    <row r="51383" spans="23:23" x14ac:dyDescent="0.55000000000000004">
      <c r="W51383"/>
    </row>
    <row r="51384" spans="23:23" x14ac:dyDescent="0.55000000000000004">
      <c r="W51384"/>
    </row>
    <row r="51385" spans="23:23" x14ac:dyDescent="0.55000000000000004">
      <c r="W51385"/>
    </row>
    <row r="51386" spans="23:23" x14ac:dyDescent="0.55000000000000004">
      <c r="W51386"/>
    </row>
    <row r="51387" spans="23:23" x14ac:dyDescent="0.55000000000000004">
      <c r="W51387"/>
    </row>
    <row r="51388" spans="23:23" x14ac:dyDescent="0.55000000000000004">
      <c r="W51388"/>
    </row>
    <row r="51389" spans="23:23" x14ac:dyDescent="0.55000000000000004">
      <c r="W51389"/>
    </row>
    <row r="51390" spans="23:23" x14ac:dyDescent="0.55000000000000004">
      <c r="W51390"/>
    </row>
    <row r="51391" spans="23:23" x14ac:dyDescent="0.55000000000000004">
      <c r="W51391"/>
    </row>
    <row r="51392" spans="23:23" x14ac:dyDescent="0.55000000000000004">
      <c r="W51392"/>
    </row>
    <row r="51393" spans="23:23" x14ac:dyDescent="0.55000000000000004">
      <c r="W51393"/>
    </row>
    <row r="51394" spans="23:23" x14ac:dyDescent="0.55000000000000004">
      <c r="W51394"/>
    </row>
    <row r="51395" spans="23:23" x14ac:dyDescent="0.55000000000000004">
      <c r="W51395"/>
    </row>
    <row r="51396" spans="23:23" x14ac:dyDescent="0.55000000000000004">
      <c r="W51396"/>
    </row>
    <row r="51397" spans="23:23" x14ac:dyDescent="0.55000000000000004">
      <c r="W51397"/>
    </row>
    <row r="51398" spans="23:23" x14ac:dyDescent="0.55000000000000004">
      <c r="W51398"/>
    </row>
    <row r="51399" spans="23:23" x14ac:dyDescent="0.55000000000000004">
      <c r="W51399"/>
    </row>
    <row r="51400" spans="23:23" x14ac:dyDescent="0.55000000000000004">
      <c r="W51400"/>
    </row>
    <row r="51401" spans="23:23" x14ac:dyDescent="0.55000000000000004">
      <c r="W51401"/>
    </row>
    <row r="51402" spans="23:23" x14ac:dyDescent="0.55000000000000004">
      <c r="W51402"/>
    </row>
    <row r="51403" spans="23:23" x14ac:dyDescent="0.55000000000000004">
      <c r="W51403"/>
    </row>
    <row r="51404" spans="23:23" x14ac:dyDescent="0.55000000000000004">
      <c r="W51404"/>
    </row>
    <row r="51405" spans="23:23" x14ac:dyDescent="0.55000000000000004">
      <c r="W51405"/>
    </row>
    <row r="51406" spans="23:23" x14ac:dyDescent="0.55000000000000004">
      <c r="W51406"/>
    </row>
    <row r="51407" spans="23:23" x14ac:dyDescent="0.55000000000000004">
      <c r="W51407"/>
    </row>
    <row r="51408" spans="23:23" x14ac:dyDescent="0.55000000000000004">
      <c r="W51408"/>
    </row>
    <row r="51409" spans="23:23" x14ac:dyDescent="0.55000000000000004">
      <c r="W51409"/>
    </row>
    <row r="51410" spans="23:23" x14ac:dyDescent="0.55000000000000004">
      <c r="W51410"/>
    </row>
    <row r="51411" spans="23:23" x14ac:dyDescent="0.55000000000000004">
      <c r="W51411"/>
    </row>
    <row r="51412" spans="23:23" x14ac:dyDescent="0.55000000000000004">
      <c r="W51412"/>
    </row>
    <row r="51413" spans="23:23" x14ac:dyDescent="0.55000000000000004">
      <c r="W51413"/>
    </row>
    <row r="51414" spans="23:23" x14ac:dyDescent="0.55000000000000004">
      <c r="W51414"/>
    </row>
    <row r="51415" spans="23:23" x14ac:dyDescent="0.55000000000000004">
      <c r="W51415"/>
    </row>
    <row r="51416" spans="23:23" x14ac:dyDescent="0.55000000000000004">
      <c r="W51416"/>
    </row>
    <row r="51417" spans="23:23" x14ac:dyDescent="0.55000000000000004">
      <c r="W51417"/>
    </row>
    <row r="51418" spans="23:23" x14ac:dyDescent="0.55000000000000004">
      <c r="W51418"/>
    </row>
    <row r="51419" spans="23:23" x14ac:dyDescent="0.55000000000000004">
      <c r="W51419"/>
    </row>
    <row r="51420" spans="23:23" x14ac:dyDescent="0.55000000000000004">
      <c r="W51420"/>
    </row>
    <row r="51421" spans="23:23" x14ac:dyDescent="0.55000000000000004">
      <c r="W51421"/>
    </row>
    <row r="51422" spans="23:23" x14ac:dyDescent="0.55000000000000004">
      <c r="W51422"/>
    </row>
    <row r="51423" spans="23:23" x14ac:dyDescent="0.55000000000000004">
      <c r="W51423"/>
    </row>
    <row r="51424" spans="23:23" x14ac:dyDescent="0.55000000000000004">
      <c r="W51424"/>
    </row>
    <row r="51425" spans="23:23" x14ac:dyDescent="0.55000000000000004">
      <c r="W51425"/>
    </row>
    <row r="51426" spans="23:23" x14ac:dyDescent="0.55000000000000004">
      <c r="W51426"/>
    </row>
    <row r="51427" spans="23:23" x14ac:dyDescent="0.55000000000000004">
      <c r="W51427"/>
    </row>
    <row r="51428" spans="23:23" x14ac:dyDescent="0.55000000000000004">
      <c r="W51428"/>
    </row>
    <row r="51429" spans="23:23" x14ac:dyDescent="0.55000000000000004">
      <c r="W51429"/>
    </row>
    <row r="51430" spans="23:23" x14ac:dyDescent="0.55000000000000004">
      <c r="W51430"/>
    </row>
    <row r="51431" spans="23:23" x14ac:dyDescent="0.55000000000000004">
      <c r="W51431"/>
    </row>
    <row r="51432" spans="23:23" x14ac:dyDescent="0.55000000000000004">
      <c r="W51432"/>
    </row>
    <row r="51433" spans="23:23" x14ac:dyDescent="0.55000000000000004">
      <c r="W51433"/>
    </row>
    <row r="51434" spans="23:23" x14ac:dyDescent="0.55000000000000004">
      <c r="W51434"/>
    </row>
    <row r="51435" spans="23:23" x14ac:dyDescent="0.55000000000000004">
      <c r="W51435"/>
    </row>
    <row r="51436" spans="23:23" x14ac:dyDescent="0.55000000000000004">
      <c r="W51436"/>
    </row>
    <row r="51437" spans="23:23" x14ac:dyDescent="0.55000000000000004">
      <c r="W51437"/>
    </row>
    <row r="51438" spans="23:23" x14ac:dyDescent="0.55000000000000004">
      <c r="W51438"/>
    </row>
    <row r="51439" spans="23:23" x14ac:dyDescent="0.55000000000000004">
      <c r="W51439"/>
    </row>
    <row r="51440" spans="23:23" x14ac:dyDescent="0.55000000000000004">
      <c r="W51440"/>
    </row>
    <row r="51441" spans="23:23" x14ac:dyDescent="0.55000000000000004">
      <c r="W51441"/>
    </row>
    <row r="51442" spans="23:23" x14ac:dyDescent="0.55000000000000004">
      <c r="W51442"/>
    </row>
    <row r="51443" spans="23:23" x14ac:dyDescent="0.55000000000000004">
      <c r="W51443"/>
    </row>
    <row r="51444" spans="23:23" x14ac:dyDescent="0.55000000000000004">
      <c r="W51444"/>
    </row>
    <row r="51445" spans="23:23" x14ac:dyDescent="0.55000000000000004">
      <c r="W51445"/>
    </row>
    <row r="51446" spans="23:23" x14ac:dyDescent="0.55000000000000004">
      <c r="W51446"/>
    </row>
    <row r="51447" spans="23:23" x14ac:dyDescent="0.55000000000000004">
      <c r="W51447"/>
    </row>
    <row r="51448" spans="23:23" x14ac:dyDescent="0.55000000000000004">
      <c r="W51448"/>
    </row>
    <row r="51449" spans="23:23" x14ac:dyDescent="0.55000000000000004">
      <c r="W51449"/>
    </row>
    <row r="51450" spans="23:23" x14ac:dyDescent="0.55000000000000004">
      <c r="W51450"/>
    </row>
    <row r="51451" spans="23:23" x14ac:dyDescent="0.55000000000000004">
      <c r="W51451"/>
    </row>
    <row r="51452" spans="23:23" x14ac:dyDescent="0.55000000000000004">
      <c r="W51452"/>
    </row>
    <row r="51453" spans="23:23" x14ac:dyDescent="0.55000000000000004">
      <c r="W51453"/>
    </row>
    <row r="51454" spans="23:23" x14ac:dyDescent="0.55000000000000004">
      <c r="W51454"/>
    </row>
    <row r="51455" spans="23:23" x14ac:dyDescent="0.55000000000000004">
      <c r="W51455"/>
    </row>
    <row r="51456" spans="23:23" x14ac:dyDescent="0.55000000000000004">
      <c r="W51456"/>
    </row>
    <row r="51457" spans="23:23" x14ac:dyDescent="0.55000000000000004">
      <c r="W51457"/>
    </row>
    <row r="51458" spans="23:23" x14ac:dyDescent="0.55000000000000004">
      <c r="W51458"/>
    </row>
    <row r="51459" spans="23:23" x14ac:dyDescent="0.55000000000000004">
      <c r="W51459"/>
    </row>
    <row r="51460" spans="23:23" x14ac:dyDescent="0.55000000000000004">
      <c r="W51460"/>
    </row>
    <row r="51461" spans="23:23" x14ac:dyDescent="0.55000000000000004">
      <c r="W51461"/>
    </row>
    <row r="51462" spans="23:23" x14ac:dyDescent="0.55000000000000004">
      <c r="W51462"/>
    </row>
    <row r="51463" spans="23:23" x14ac:dyDescent="0.55000000000000004">
      <c r="W51463"/>
    </row>
    <row r="51464" spans="23:23" x14ac:dyDescent="0.55000000000000004">
      <c r="W51464"/>
    </row>
    <row r="51465" spans="23:23" x14ac:dyDescent="0.55000000000000004">
      <c r="W51465"/>
    </row>
    <row r="51466" spans="23:23" x14ac:dyDescent="0.55000000000000004">
      <c r="W51466"/>
    </row>
    <row r="51467" spans="23:23" x14ac:dyDescent="0.55000000000000004">
      <c r="W51467"/>
    </row>
    <row r="51468" spans="23:23" x14ac:dyDescent="0.55000000000000004">
      <c r="W51468"/>
    </row>
    <row r="51469" spans="23:23" x14ac:dyDescent="0.55000000000000004">
      <c r="W51469"/>
    </row>
    <row r="51470" spans="23:23" x14ac:dyDescent="0.55000000000000004">
      <c r="W51470"/>
    </row>
    <row r="51471" spans="23:23" x14ac:dyDescent="0.55000000000000004">
      <c r="W51471"/>
    </row>
    <row r="51472" spans="23:23" x14ac:dyDescent="0.55000000000000004">
      <c r="W51472"/>
    </row>
    <row r="51473" spans="23:23" x14ac:dyDescent="0.55000000000000004">
      <c r="W51473"/>
    </row>
    <row r="51474" spans="23:23" x14ac:dyDescent="0.55000000000000004">
      <c r="W51474"/>
    </row>
    <row r="51475" spans="23:23" x14ac:dyDescent="0.55000000000000004">
      <c r="W51475"/>
    </row>
    <row r="51476" spans="23:23" x14ac:dyDescent="0.55000000000000004">
      <c r="W51476"/>
    </row>
    <row r="51477" spans="23:23" x14ac:dyDescent="0.55000000000000004">
      <c r="W51477"/>
    </row>
    <row r="51478" spans="23:23" x14ac:dyDescent="0.55000000000000004">
      <c r="W51478"/>
    </row>
    <row r="51479" spans="23:23" x14ac:dyDescent="0.55000000000000004">
      <c r="W51479"/>
    </row>
    <row r="51480" spans="23:23" x14ac:dyDescent="0.55000000000000004">
      <c r="W51480"/>
    </row>
    <row r="51481" spans="23:23" x14ac:dyDescent="0.55000000000000004">
      <c r="W51481"/>
    </row>
    <row r="51482" spans="23:23" x14ac:dyDescent="0.55000000000000004">
      <c r="W51482"/>
    </row>
    <row r="51483" spans="23:23" x14ac:dyDescent="0.55000000000000004">
      <c r="W51483"/>
    </row>
    <row r="51484" spans="23:23" x14ac:dyDescent="0.55000000000000004">
      <c r="W51484"/>
    </row>
    <row r="51485" spans="23:23" x14ac:dyDescent="0.55000000000000004">
      <c r="W51485"/>
    </row>
    <row r="51486" spans="23:23" x14ac:dyDescent="0.55000000000000004">
      <c r="W51486"/>
    </row>
    <row r="51487" spans="23:23" x14ac:dyDescent="0.55000000000000004">
      <c r="W51487"/>
    </row>
    <row r="51488" spans="23:23" x14ac:dyDescent="0.55000000000000004">
      <c r="W51488"/>
    </row>
    <row r="51489" spans="23:23" x14ac:dyDescent="0.55000000000000004">
      <c r="W51489"/>
    </row>
    <row r="51490" spans="23:23" x14ac:dyDescent="0.55000000000000004">
      <c r="W51490"/>
    </row>
    <row r="51491" spans="23:23" x14ac:dyDescent="0.55000000000000004">
      <c r="W51491"/>
    </row>
    <row r="51492" spans="23:23" x14ac:dyDescent="0.55000000000000004">
      <c r="W51492"/>
    </row>
    <row r="51493" spans="23:23" x14ac:dyDescent="0.55000000000000004">
      <c r="W51493"/>
    </row>
    <row r="51494" spans="23:23" x14ac:dyDescent="0.55000000000000004">
      <c r="W51494"/>
    </row>
    <row r="51495" spans="23:23" x14ac:dyDescent="0.55000000000000004">
      <c r="W51495"/>
    </row>
    <row r="51496" spans="23:23" x14ac:dyDescent="0.55000000000000004">
      <c r="W51496"/>
    </row>
    <row r="51497" spans="23:23" x14ac:dyDescent="0.55000000000000004">
      <c r="W51497"/>
    </row>
    <row r="51498" spans="23:23" x14ac:dyDescent="0.55000000000000004">
      <c r="W51498"/>
    </row>
    <row r="51499" spans="23:23" x14ac:dyDescent="0.55000000000000004">
      <c r="W51499"/>
    </row>
    <row r="51500" spans="23:23" x14ac:dyDescent="0.55000000000000004">
      <c r="W51500"/>
    </row>
    <row r="51501" spans="23:23" x14ac:dyDescent="0.55000000000000004">
      <c r="W51501"/>
    </row>
    <row r="51502" spans="23:23" x14ac:dyDescent="0.55000000000000004">
      <c r="W51502"/>
    </row>
    <row r="51503" spans="23:23" x14ac:dyDescent="0.55000000000000004">
      <c r="W51503"/>
    </row>
    <row r="51504" spans="23:23" x14ac:dyDescent="0.55000000000000004">
      <c r="W51504"/>
    </row>
    <row r="51505" spans="23:23" x14ac:dyDescent="0.55000000000000004">
      <c r="W51505"/>
    </row>
    <row r="51506" spans="23:23" x14ac:dyDescent="0.55000000000000004">
      <c r="W51506"/>
    </row>
    <row r="51507" spans="23:23" x14ac:dyDescent="0.55000000000000004">
      <c r="W51507"/>
    </row>
    <row r="51508" spans="23:23" x14ac:dyDescent="0.55000000000000004">
      <c r="W51508"/>
    </row>
    <row r="51509" spans="23:23" x14ac:dyDescent="0.55000000000000004">
      <c r="W51509"/>
    </row>
    <row r="51510" spans="23:23" x14ac:dyDescent="0.55000000000000004">
      <c r="W51510"/>
    </row>
    <row r="51511" spans="23:23" x14ac:dyDescent="0.55000000000000004">
      <c r="W51511"/>
    </row>
    <row r="51512" spans="23:23" x14ac:dyDescent="0.55000000000000004">
      <c r="W51512"/>
    </row>
    <row r="51513" spans="23:23" x14ac:dyDescent="0.55000000000000004">
      <c r="W51513"/>
    </row>
    <row r="51514" spans="23:23" x14ac:dyDescent="0.55000000000000004">
      <c r="W51514"/>
    </row>
    <row r="51515" spans="23:23" x14ac:dyDescent="0.55000000000000004">
      <c r="W51515"/>
    </row>
    <row r="51516" spans="23:23" x14ac:dyDescent="0.55000000000000004">
      <c r="W51516"/>
    </row>
    <row r="51517" spans="23:23" x14ac:dyDescent="0.55000000000000004">
      <c r="W51517"/>
    </row>
    <row r="51518" spans="23:23" x14ac:dyDescent="0.55000000000000004">
      <c r="W51518"/>
    </row>
    <row r="51519" spans="23:23" x14ac:dyDescent="0.55000000000000004">
      <c r="W51519"/>
    </row>
    <row r="51520" spans="23:23" x14ac:dyDescent="0.55000000000000004">
      <c r="W51520"/>
    </row>
    <row r="51521" spans="23:23" x14ac:dyDescent="0.55000000000000004">
      <c r="W51521"/>
    </row>
    <row r="51522" spans="23:23" x14ac:dyDescent="0.55000000000000004">
      <c r="W51522"/>
    </row>
    <row r="51523" spans="23:23" x14ac:dyDescent="0.55000000000000004">
      <c r="W51523"/>
    </row>
    <row r="51524" spans="23:23" x14ac:dyDescent="0.55000000000000004">
      <c r="W51524"/>
    </row>
    <row r="51525" spans="23:23" x14ac:dyDescent="0.55000000000000004">
      <c r="W51525"/>
    </row>
    <row r="51526" spans="23:23" x14ac:dyDescent="0.55000000000000004">
      <c r="W51526"/>
    </row>
    <row r="51527" spans="23:23" x14ac:dyDescent="0.55000000000000004">
      <c r="W51527"/>
    </row>
    <row r="51528" spans="23:23" x14ac:dyDescent="0.55000000000000004">
      <c r="W51528"/>
    </row>
    <row r="51529" spans="23:23" x14ac:dyDescent="0.55000000000000004">
      <c r="W51529"/>
    </row>
    <row r="51530" spans="23:23" x14ac:dyDescent="0.55000000000000004">
      <c r="W51530"/>
    </row>
    <row r="51531" spans="23:23" x14ac:dyDescent="0.55000000000000004">
      <c r="W51531"/>
    </row>
    <row r="51532" spans="23:23" x14ac:dyDescent="0.55000000000000004">
      <c r="W51532"/>
    </row>
    <row r="51533" spans="23:23" x14ac:dyDescent="0.55000000000000004">
      <c r="W51533"/>
    </row>
    <row r="51534" spans="23:23" x14ac:dyDescent="0.55000000000000004">
      <c r="W51534"/>
    </row>
    <row r="51535" spans="23:23" x14ac:dyDescent="0.55000000000000004">
      <c r="W51535"/>
    </row>
    <row r="51536" spans="23:23" x14ac:dyDescent="0.55000000000000004">
      <c r="W51536"/>
    </row>
    <row r="51537" spans="23:23" x14ac:dyDescent="0.55000000000000004">
      <c r="W51537"/>
    </row>
    <row r="51538" spans="23:23" x14ac:dyDescent="0.55000000000000004">
      <c r="W51538"/>
    </row>
    <row r="51539" spans="23:23" x14ac:dyDescent="0.55000000000000004">
      <c r="W51539"/>
    </row>
    <row r="51540" spans="23:23" x14ac:dyDescent="0.55000000000000004">
      <c r="W51540"/>
    </row>
    <row r="51541" spans="23:23" x14ac:dyDescent="0.55000000000000004">
      <c r="W51541"/>
    </row>
    <row r="51542" spans="23:23" x14ac:dyDescent="0.55000000000000004">
      <c r="W51542"/>
    </row>
    <row r="51543" spans="23:23" x14ac:dyDescent="0.55000000000000004">
      <c r="W51543"/>
    </row>
    <row r="51544" spans="23:23" x14ac:dyDescent="0.55000000000000004">
      <c r="W51544"/>
    </row>
    <row r="51545" spans="23:23" x14ac:dyDescent="0.55000000000000004">
      <c r="W51545"/>
    </row>
    <row r="51546" spans="23:23" x14ac:dyDescent="0.55000000000000004">
      <c r="W51546"/>
    </row>
    <row r="51547" spans="23:23" x14ac:dyDescent="0.55000000000000004">
      <c r="W51547"/>
    </row>
    <row r="51548" spans="23:23" x14ac:dyDescent="0.55000000000000004">
      <c r="W51548"/>
    </row>
    <row r="51549" spans="23:23" x14ac:dyDescent="0.55000000000000004">
      <c r="W51549"/>
    </row>
    <row r="51550" spans="23:23" x14ac:dyDescent="0.55000000000000004">
      <c r="W51550"/>
    </row>
    <row r="51551" spans="23:23" x14ac:dyDescent="0.55000000000000004">
      <c r="W51551"/>
    </row>
    <row r="51552" spans="23:23" x14ac:dyDescent="0.55000000000000004">
      <c r="W51552"/>
    </row>
    <row r="51553" spans="23:23" x14ac:dyDescent="0.55000000000000004">
      <c r="W51553"/>
    </row>
    <row r="51554" spans="23:23" x14ac:dyDescent="0.55000000000000004">
      <c r="W51554"/>
    </row>
    <row r="51555" spans="23:23" x14ac:dyDescent="0.55000000000000004">
      <c r="W51555"/>
    </row>
    <row r="51556" spans="23:23" x14ac:dyDescent="0.55000000000000004">
      <c r="W51556"/>
    </row>
    <row r="51557" spans="23:23" x14ac:dyDescent="0.55000000000000004">
      <c r="W51557"/>
    </row>
    <row r="51558" spans="23:23" x14ac:dyDescent="0.55000000000000004">
      <c r="W51558"/>
    </row>
    <row r="51559" spans="23:23" x14ac:dyDescent="0.55000000000000004">
      <c r="W51559"/>
    </row>
    <row r="51560" spans="23:23" x14ac:dyDescent="0.55000000000000004">
      <c r="W51560"/>
    </row>
    <row r="51561" spans="23:23" x14ac:dyDescent="0.55000000000000004">
      <c r="W51561"/>
    </row>
    <row r="51562" spans="23:23" x14ac:dyDescent="0.55000000000000004">
      <c r="W51562"/>
    </row>
    <row r="51563" spans="23:23" x14ac:dyDescent="0.55000000000000004">
      <c r="W51563"/>
    </row>
    <row r="51564" spans="23:23" x14ac:dyDescent="0.55000000000000004">
      <c r="W51564"/>
    </row>
    <row r="51565" spans="23:23" x14ac:dyDescent="0.55000000000000004">
      <c r="W51565"/>
    </row>
    <row r="51566" spans="23:23" x14ac:dyDescent="0.55000000000000004">
      <c r="W51566"/>
    </row>
    <row r="51567" spans="23:23" x14ac:dyDescent="0.55000000000000004">
      <c r="W51567"/>
    </row>
    <row r="51568" spans="23:23" x14ac:dyDescent="0.55000000000000004">
      <c r="W51568"/>
    </row>
    <row r="51569" spans="23:23" x14ac:dyDescent="0.55000000000000004">
      <c r="W51569"/>
    </row>
    <row r="51570" spans="23:23" x14ac:dyDescent="0.55000000000000004">
      <c r="W51570"/>
    </row>
    <row r="51571" spans="23:23" x14ac:dyDescent="0.55000000000000004">
      <c r="W51571"/>
    </row>
    <row r="51572" spans="23:23" x14ac:dyDescent="0.55000000000000004">
      <c r="W51572"/>
    </row>
    <row r="51573" spans="23:23" x14ac:dyDescent="0.55000000000000004">
      <c r="W51573"/>
    </row>
    <row r="51574" spans="23:23" x14ac:dyDescent="0.55000000000000004">
      <c r="W51574"/>
    </row>
    <row r="51575" spans="23:23" x14ac:dyDescent="0.55000000000000004">
      <c r="W51575"/>
    </row>
    <row r="51576" spans="23:23" x14ac:dyDescent="0.55000000000000004">
      <c r="W51576"/>
    </row>
    <row r="51577" spans="23:23" x14ac:dyDescent="0.55000000000000004">
      <c r="W51577"/>
    </row>
    <row r="51578" spans="23:23" x14ac:dyDescent="0.55000000000000004">
      <c r="W51578"/>
    </row>
    <row r="51579" spans="23:23" x14ac:dyDescent="0.55000000000000004">
      <c r="W51579"/>
    </row>
    <row r="51580" spans="23:23" x14ac:dyDescent="0.55000000000000004">
      <c r="W51580"/>
    </row>
    <row r="51581" spans="23:23" x14ac:dyDescent="0.55000000000000004">
      <c r="W51581"/>
    </row>
    <row r="51582" spans="23:23" x14ac:dyDescent="0.55000000000000004">
      <c r="W51582"/>
    </row>
    <row r="51583" spans="23:23" x14ac:dyDescent="0.55000000000000004">
      <c r="W51583"/>
    </row>
    <row r="51584" spans="23:23" x14ac:dyDescent="0.55000000000000004">
      <c r="W51584"/>
    </row>
    <row r="51585" spans="23:23" x14ac:dyDescent="0.55000000000000004">
      <c r="W51585"/>
    </row>
    <row r="51586" spans="23:23" x14ac:dyDescent="0.55000000000000004">
      <c r="W51586"/>
    </row>
    <row r="51587" spans="23:23" x14ac:dyDescent="0.55000000000000004">
      <c r="W51587"/>
    </row>
    <row r="51588" spans="23:23" x14ac:dyDescent="0.55000000000000004">
      <c r="W51588"/>
    </row>
    <row r="51589" spans="23:23" x14ac:dyDescent="0.55000000000000004">
      <c r="W51589"/>
    </row>
    <row r="51590" spans="23:23" x14ac:dyDescent="0.55000000000000004">
      <c r="W51590"/>
    </row>
    <row r="51591" spans="23:23" x14ac:dyDescent="0.55000000000000004">
      <c r="W51591"/>
    </row>
    <row r="51592" spans="23:23" x14ac:dyDescent="0.55000000000000004">
      <c r="W51592"/>
    </row>
    <row r="51593" spans="23:23" x14ac:dyDescent="0.55000000000000004">
      <c r="W51593"/>
    </row>
    <row r="51594" spans="23:23" x14ac:dyDescent="0.55000000000000004">
      <c r="W51594"/>
    </row>
    <row r="51595" spans="23:23" x14ac:dyDescent="0.55000000000000004">
      <c r="W51595"/>
    </row>
    <row r="51596" spans="23:23" x14ac:dyDescent="0.55000000000000004">
      <c r="W51596"/>
    </row>
    <row r="51597" spans="23:23" x14ac:dyDescent="0.55000000000000004">
      <c r="W51597"/>
    </row>
    <row r="51598" spans="23:23" x14ac:dyDescent="0.55000000000000004">
      <c r="W51598"/>
    </row>
    <row r="51599" spans="23:23" x14ac:dyDescent="0.55000000000000004">
      <c r="W51599"/>
    </row>
    <row r="51600" spans="23:23" x14ac:dyDescent="0.55000000000000004">
      <c r="W51600"/>
    </row>
    <row r="51601" spans="23:23" x14ac:dyDescent="0.55000000000000004">
      <c r="W51601"/>
    </row>
    <row r="51602" spans="23:23" x14ac:dyDescent="0.55000000000000004">
      <c r="W51602"/>
    </row>
    <row r="51603" spans="23:23" x14ac:dyDescent="0.55000000000000004">
      <c r="W51603"/>
    </row>
    <row r="51604" spans="23:23" x14ac:dyDescent="0.55000000000000004">
      <c r="W51604"/>
    </row>
    <row r="51605" spans="23:23" x14ac:dyDescent="0.55000000000000004">
      <c r="W51605"/>
    </row>
    <row r="51606" spans="23:23" x14ac:dyDescent="0.55000000000000004">
      <c r="W51606"/>
    </row>
    <row r="51607" spans="23:23" x14ac:dyDescent="0.55000000000000004">
      <c r="W51607"/>
    </row>
    <row r="51608" spans="23:23" x14ac:dyDescent="0.55000000000000004">
      <c r="W51608"/>
    </row>
    <row r="51609" spans="23:23" x14ac:dyDescent="0.55000000000000004">
      <c r="W51609"/>
    </row>
    <row r="51610" spans="23:23" x14ac:dyDescent="0.55000000000000004">
      <c r="W51610"/>
    </row>
    <row r="51611" spans="23:23" x14ac:dyDescent="0.55000000000000004">
      <c r="W51611"/>
    </row>
    <row r="51612" spans="23:23" x14ac:dyDescent="0.55000000000000004">
      <c r="W51612"/>
    </row>
    <row r="51613" spans="23:23" x14ac:dyDescent="0.55000000000000004">
      <c r="W51613"/>
    </row>
    <row r="51614" spans="23:23" x14ac:dyDescent="0.55000000000000004">
      <c r="W51614"/>
    </row>
    <row r="51615" spans="23:23" x14ac:dyDescent="0.55000000000000004">
      <c r="W51615"/>
    </row>
    <row r="51616" spans="23:23" x14ac:dyDescent="0.55000000000000004">
      <c r="W51616"/>
    </row>
    <row r="51617" spans="23:23" x14ac:dyDescent="0.55000000000000004">
      <c r="W51617"/>
    </row>
    <row r="51618" spans="23:23" x14ac:dyDescent="0.55000000000000004">
      <c r="W51618"/>
    </row>
    <row r="51619" spans="23:23" x14ac:dyDescent="0.55000000000000004">
      <c r="W51619"/>
    </row>
    <row r="51620" spans="23:23" x14ac:dyDescent="0.55000000000000004">
      <c r="W51620"/>
    </row>
    <row r="51621" spans="23:23" x14ac:dyDescent="0.55000000000000004">
      <c r="W51621"/>
    </row>
    <row r="51622" spans="23:23" x14ac:dyDescent="0.55000000000000004">
      <c r="W51622"/>
    </row>
    <row r="51623" spans="23:23" x14ac:dyDescent="0.55000000000000004">
      <c r="W51623"/>
    </row>
    <row r="51624" spans="23:23" x14ac:dyDescent="0.55000000000000004">
      <c r="W51624"/>
    </row>
    <row r="51625" spans="23:23" x14ac:dyDescent="0.55000000000000004">
      <c r="W51625"/>
    </row>
    <row r="51626" spans="23:23" x14ac:dyDescent="0.55000000000000004">
      <c r="W51626"/>
    </row>
    <row r="51627" spans="23:23" x14ac:dyDescent="0.55000000000000004">
      <c r="W51627"/>
    </row>
    <row r="51628" spans="23:23" x14ac:dyDescent="0.55000000000000004">
      <c r="W51628"/>
    </row>
    <row r="51629" spans="23:23" x14ac:dyDescent="0.55000000000000004">
      <c r="W51629"/>
    </row>
    <row r="51630" spans="23:23" x14ac:dyDescent="0.55000000000000004">
      <c r="W51630"/>
    </row>
    <row r="51631" spans="23:23" x14ac:dyDescent="0.55000000000000004">
      <c r="W51631"/>
    </row>
    <row r="51632" spans="23:23" x14ac:dyDescent="0.55000000000000004">
      <c r="W51632"/>
    </row>
    <row r="51633" spans="23:23" x14ac:dyDescent="0.55000000000000004">
      <c r="W51633"/>
    </row>
    <row r="51634" spans="23:23" x14ac:dyDescent="0.55000000000000004">
      <c r="W51634"/>
    </row>
    <row r="51635" spans="23:23" x14ac:dyDescent="0.55000000000000004">
      <c r="W51635"/>
    </row>
    <row r="51636" spans="23:23" x14ac:dyDescent="0.55000000000000004">
      <c r="W51636"/>
    </row>
    <row r="51637" spans="23:23" x14ac:dyDescent="0.55000000000000004">
      <c r="W51637"/>
    </row>
    <row r="51638" spans="23:23" x14ac:dyDescent="0.55000000000000004">
      <c r="W51638"/>
    </row>
    <row r="51639" spans="23:23" x14ac:dyDescent="0.55000000000000004">
      <c r="W51639"/>
    </row>
    <row r="51640" spans="23:23" x14ac:dyDescent="0.55000000000000004">
      <c r="W51640"/>
    </row>
    <row r="51641" spans="23:23" x14ac:dyDescent="0.55000000000000004">
      <c r="W51641"/>
    </row>
    <row r="51642" spans="23:23" x14ac:dyDescent="0.55000000000000004">
      <c r="W51642"/>
    </row>
    <row r="51643" spans="23:23" x14ac:dyDescent="0.55000000000000004">
      <c r="W51643"/>
    </row>
    <row r="51644" spans="23:23" x14ac:dyDescent="0.55000000000000004">
      <c r="W51644"/>
    </row>
    <row r="51645" spans="23:23" x14ac:dyDescent="0.55000000000000004">
      <c r="W51645"/>
    </row>
    <row r="51646" spans="23:23" x14ac:dyDescent="0.55000000000000004">
      <c r="W51646"/>
    </row>
    <row r="51647" spans="23:23" x14ac:dyDescent="0.55000000000000004">
      <c r="W51647"/>
    </row>
    <row r="51648" spans="23:23" x14ac:dyDescent="0.55000000000000004">
      <c r="W51648"/>
    </row>
    <row r="51649" spans="23:23" x14ac:dyDescent="0.55000000000000004">
      <c r="W51649"/>
    </row>
    <row r="51650" spans="23:23" x14ac:dyDescent="0.55000000000000004">
      <c r="W51650"/>
    </row>
    <row r="51651" spans="23:23" x14ac:dyDescent="0.55000000000000004">
      <c r="W51651"/>
    </row>
    <row r="51652" spans="23:23" x14ac:dyDescent="0.55000000000000004">
      <c r="W51652"/>
    </row>
    <row r="51653" spans="23:23" x14ac:dyDescent="0.55000000000000004">
      <c r="W51653"/>
    </row>
    <row r="51654" spans="23:23" x14ac:dyDescent="0.55000000000000004">
      <c r="W51654"/>
    </row>
    <row r="51655" spans="23:23" x14ac:dyDescent="0.55000000000000004">
      <c r="W51655"/>
    </row>
    <row r="51656" spans="23:23" x14ac:dyDescent="0.55000000000000004">
      <c r="W51656"/>
    </row>
    <row r="51657" spans="23:23" x14ac:dyDescent="0.55000000000000004">
      <c r="W51657"/>
    </row>
    <row r="51658" spans="23:23" x14ac:dyDescent="0.55000000000000004">
      <c r="W51658"/>
    </row>
    <row r="51659" spans="23:23" x14ac:dyDescent="0.55000000000000004">
      <c r="W51659"/>
    </row>
    <row r="51660" spans="23:23" x14ac:dyDescent="0.55000000000000004">
      <c r="W51660"/>
    </row>
    <row r="51661" spans="23:23" x14ac:dyDescent="0.55000000000000004">
      <c r="W51661"/>
    </row>
    <row r="51662" spans="23:23" x14ac:dyDescent="0.55000000000000004">
      <c r="W51662"/>
    </row>
    <row r="51663" spans="23:23" x14ac:dyDescent="0.55000000000000004">
      <c r="W51663"/>
    </row>
    <row r="51664" spans="23:23" x14ac:dyDescent="0.55000000000000004">
      <c r="W51664"/>
    </row>
    <row r="51665" spans="23:23" x14ac:dyDescent="0.55000000000000004">
      <c r="W51665"/>
    </row>
    <row r="51666" spans="23:23" x14ac:dyDescent="0.55000000000000004">
      <c r="W51666"/>
    </row>
    <row r="51667" spans="23:23" x14ac:dyDescent="0.55000000000000004">
      <c r="W51667"/>
    </row>
    <row r="51668" spans="23:23" x14ac:dyDescent="0.55000000000000004">
      <c r="W51668"/>
    </row>
    <row r="51669" spans="23:23" x14ac:dyDescent="0.55000000000000004">
      <c r="W51669"/>
    </row>
    <row r="51670" spans="23:23" x14ac:dyDescent="0.55000000000000004">
      <c r="W51670"/>
    </row>
    <row r="51671" spans="23:23" x14ac:dyDescent="0.55000000000000004">
      <c r="W51671"/>
    </row>
    <row r="51672" spans="23:23" x14ac:dyDescent="0.55000000000000004">
      <c r="W51672"/>
    </row>
    <row r="51673" spans="23:23" x14ac:dyDescent="0.55000000000000004">
      <c r="W51673"/>
    </row>
    <row r="51674" spans="23:23" x14ac:dyDescent="0.55000000000000004">
      <c r="W51674"/>
    </row>
    <row r="51675" spans="23:23" x14ac:dyDescent="0.55000000000000004">
      <c r="W51675"/>
    </row>
    <row r="51676" spans="23:23" x14ac:dyDescent="0.55000000000000004">
      <c r="W51676"/>
    </row>
    <row r="51677" spans="23:23" x14ac:dyDescent="0.55000000000000004">
      <c r="W51677"/>
    </row>
    <row r="51678" spans="23:23" x14ac:dyDescent="0.55000000000000004">
      <c r="W51678"/>
    </row>
    <row r="51679" spans="23:23" x14ac:dyDescent="0.55000000000000004">
      <c r="W51679"/>
    </row>
    <row r="51680" spans="23:23" x14ac:dyDescent="0.55000000000000004">
      <c r="W51680"/>
    </row>
    <row r="51681" spans="23:23" x14ac:dyDescent="0.55000000000000004">
      <c r="W51681"/>
    </row>
    <row r="51682" spans="23:23" x14ac:dyDescent="0.55000000000000004">
      <c r="W51682"/>
    </row>
    <row r="51683" spans="23:23" x14ac:dyDescent="0.55000000000000004">
      <c r="W51683"/>
    </row>
    <row r="51684" spans="23:23" x14ac:dyDescent="0.55000000000000004">
      <c r="W51684"/>
    </row>
    <row r="51685" spans="23:23" x14ac:dyDescent="0.55000000000000004">
      <c r="W51685"/>
    </row>
    <row r="51686" spans="23:23" x14ac:dyDescent="0.55000000000000004">
      <c r="W51686"/>
    </row>
    <row r="51687" spans="23:23" x14ac:dyDescent="0.55000000000000004">
      <c r="W51687"/>
    </row>
    <row r="51688" spans="23:23" x14ac:dyDescent="0.55000000000000004">
      <c r="W51688"/>
    </row>
    <row r="51689" spans="23:23" x14ac:dyDescent="0.55000000000000004">
      <c r="W51689"/>
    </row>
    <row r="51690" spans="23:23" x14ac:dyDescent="0.55000000000000004">
      <c r="W51690"/>
    </row>
    <row r="51691" spans="23:23" x14ac:dyDescent="0.55000000000000004">
      <c r="W51691"/>
    </row>
    <row r="51692" spans="23:23" x14ac:dyDescent="0.55000000000000004">
      <c r="W51692"/>
    </row>
    <row r="51693" spans="23:23" x14ac:dyDescent="0.55000000000000004">
      <c r="W51693"/>
    </row>
    <row r="51694" spans="23:23" x14ac:dyDescent="0.55000000000000004">
      <c r="W51694"/>
    </row>
    <row r="51695" spans="23:23" x14ac:dyDescent="0.55000000000000004">
      <c r="W51695"/>
    </row>
    <row r="51696" spans="23:23" x14ac:dyDescent="0.55000000000000004">
      <c r="W51696"/>
    </row>
    <row r="51697" spans="23:23" x14ac:dyDescent="0.55000000000000004">
      <c r="W51697"/>
    </row>
    <row r="51698" spans="23:23" x14ac:dyDescent="0.55000000000000004">
      <c r="W51698"/>
    </row>
    <row r="51699" spans="23:23" x14ac:dyDescent="0.55000000000000004">
      <c r="W51699"/>
    </row>
    <row r="51700" spans="23:23" x14ac:dyDescent="0.55000000000000004">
      <c r="W51700"/>
    </row>
    <row r="51701" spans="23:23" x14ac:dyDescent="0.55000000000000004">
      <c r="W51701"/>
    </row>
    <row r="51702" spans="23:23" x14ac:dyDescent="0.55000000000000004">
      <c r="W51702"/>
    </row>
    <row r="51703" spans="23:23" x14ac:dyDescent="0.55000000000000004">
      <c r="W51703"/>
    </row>
    <row r="51704" spans="23:23" x14ac:dyDescent="0.55000000000000004">
      <c r="W51704"/>
    </row>
    <row r="51705" spans="23:23" x14ac:dyDescent="0.55000000000000004">
      <c r="W51705"/>
    </row>
    <row r="51706" spans="23:23" x14ac:dyDescent="0.55000000000000004">
      <c r="W51706"/>
    </row>
    <row r="51707" spans="23:23" x14ac:dyDescent="0.55000000000000004">
      <c r="W51707"/>
    </row>
    <row r="51708" spans="23:23" x14ac:dyDescent="0.55000000000000004">
      <c r="W51708"/>
    </row>
    <row r="51709" spans="23:23" x14ac:dyDescent="0.55000000000000004">
      <c r="W51709"/>
    </row>
    <row r="51710" spans="23:23" x14ac:dyDescent="0.55000000000000004">
      <c r="W51710"/>
    </row>
    <row r="51711" spans="23:23" x14ac:dyDescent="0.55000000000000004">
      <c r="W51711"/>
    </row>
    <row r="51712" spans="23:23" x14ac:dyDescent="0.55000000000000004">
      <c r="W51712"/>
    </row>
    <row r="51713" spans="23:23" x14ac:dyDescent="0.55000000000000004">
      <c r="W51713"/>
    </row>
    <row r="51714" spans="23:23" x14ac:dyDescent="0.55000000000000004">
      <c r="W51714"/>
    </row>
    <row r="51715" spans="23:23" x14ac:dyDescent="0.55000000000000004">
      <c r="W51715"/>
    </row>
    <row r="51716" spans="23:23" x14ac:dyDescent="0.55000000000000004">
      <c r="W51716"/>
    </row>
    <row r="51717" spans="23:23" x14ac:dyDescent="0.55000000000000004">
      <c r="W51717"/>
    </row>
    <row r="51718" spans="23:23" x14ac:dyDescent="0.55000000000000004">
      <c r="W51718"/>
    </row>
    <row r="51719" spans="23:23" x14ac:dyDescent="0.55000000000000004">
      <c r="W51719"/>
    </row>
    <row r="51720" spans="23:23" x14ac:dyDescent="0.55000000000000004">
      <c r="W51720"/>
    </row>
    <row r="51721" spans="23:23" x14ac:dyDescent="0.55000000000000004">
      <c r="W51721"/>
    </row>
    <row r="51722" spans="23:23" x14ac:dyDescent="0.55000000000000004">
      <c r="W51722"/>
    </row>
    <row r="51723" spans="23:23" x14ac:dyDescent="0.55000000000000004">
      <c r="W51723"/>
    </row>
    <row r="51724" spans="23:23" x14ac:dyDescent="0.55000000000000004">
      <c r="W51724"/>
    </row>
    <row r="51725" spans="23:23" x14ac:dyDescent="0.55000000000000004">
      <c r="W51725"/>
    </row>
    <row r="51726" spans="23:23" x14ac:dyDescent="0.55000000000000004">
      <c r="W51726"/>
    </row>
    <row r="51727" spans="23:23" x14ac:dyDescent="0.55000000000000004">
      <c r="W51727"/>
    </row>
    <row r="51728" spans="23:23" x14ac:dyDescent="0.55000000000000004">
      <c r="W51728"/>
    </row>
    <row r="51729" spans="23:23" x14ac:dyDescent="0.55000000000000004">
      <c r="W51729"/>
    </row>
    <row r="51730" spans="23:23" x14ac:dyDescent="0.55000000000000004">
      <c r="W51730"/>
    </row>
    <row r="51731" spans="23:23" x14ac:dyDescent="0.55000000000000004">
      <c r="W51731"/>
    </row>
    <row r="51732" spans="23:23" x14ac:dyDescent="0.55000000000000004">
      <c r="W51732"/>
    </row>
    <row r="51733" spans="23:23" x14ac:dyDescent="0.55000000000000004">
      <c r="W51733"/>
    </row>
    <row r="51734" spans="23:23" x14ac:dyDescent="0.55000000000000004">
      <c r="W51734"/>
    </row>
    <row r="51735" spans="23:23" x14ac:dyDescent="0.55000000000000004">
      <c r="W51735"/>
    </row>
    <row r="51736" spans="23:23" x14ac:dyDescent="0.55000000000000004">
      <c r="W51736"/>
    </row>
    <row r="51737" spans="23:23" x14ac:dyDescent="0.55000000000000004">
      <c r="W51737"/>
    </row>
    <row r="51738" spans="23:23" x14ac:dyDescent="0.55000000000000004">
      <c r="W51738"/>
    </row>
    <row r="51739" spans="23:23" x14ac:dyDescent="0.55000000000000004">
      <c r="W51739"/>
    </row>
    <row r="51740" spans="23:23" x14ac:dyDescent="0.55000000000000004">
      <c r="W51740"/>
    </row>
    <row r="51741" spans="23:23" x14ac:dyDescent="0.55000000000000004">
      <c r="W51741"/>
    </row>
    <row r="51742" spans="23:23" x14ac:dyDescent="0.55000000000000004">
      <c r="W51742"/>
    </row>
    <row r="51743" spans="23:23" x14ac:dyDescent="0.55000000000000004">
      <c r="W51743"/>
    </row>
    <row r="51744" spans="23:23" x14ac:dyDescent="0.55000000000000004">
      <c r="W51744"/>
    </row>
    <row r="51745" spans="23:23" x14ac:dyDescent="0.55000000000000004">
      <c r="W51745"/>
    </row>
    <row r="51746" spans="23:23" x14ac:dyDescent="0.55000000000000004">
      <c r="W51746"/>
    </row>
    <row r="51747" spans="23:23" x14ac:dyDescent="0.55000000000000004">
      <c r="W51747"/>
    </row>
    <row r="51748" spans="23:23" x14ac:dyDescent="0.55000000000000004">
      <c r="W51748"/>
    </row>
    <row r="51749" spans="23:23" x14ac:dyDescent="0.55000000000000004">
      <c r="W51749"/>
    </row>
    <row r="51750" spans="23:23" x14ac:dyDescent="0.55000000000000004">
      <c r="W51750"/>
    </row>
    <row r="51751" spans="23:23" x14ac:dyDescent="0.55000000000000004">
      <c r="W51751"/>
    </row>
    <row r="51752" spans="23:23" x14ac:dyDescent="0.55000000000000004">
      <c r="W51752"/>
    </row>
    <row r="51753" spans="23:23" x14ac:dyDescent="0.55000000000000004">
      <c r="W51753"/>
    </row>
    <row r="51754" spans="23:23" x14ac:dyDescent="0.55000000000000004">
      <c r="W51754"/>
    </row>
    <row r="51755" spans="23:23" x14ac:dyDescent="0.55000000000000004">
      <c r="W51755"/>
    </row>
    <row r="51756" spans="23:23" x14ac:dyDescent="0.55000000000000004">
      <c r="W51756"/>
    </row>
    <row r="51757" spans="23:23" x14ac:dyDescent="0.55000000000000004">
      <c r="W51757"/>
    </row>
    <row r="51758" spans="23:23" x14ac:dyDescent="0.55000000000000004">
      <c r="W51758"/>
    </row>
    <row r="51759" spans="23:23" x14ac:dyDescent="0.55000000000000004">
      <c r="W51759"/>
    </row>
    <row r="51760" spans="23:23" x14ac:dyDescent="0.55000000000000004">
      <c r="W51760"/>
    </row>
    <row r="51761" spans="23:23" x14ac:dyDescent="0.55000000000000004">
      <c r="W51761"/>
    </row>
    <row r="51762" spans="23:23" x14ac:dyDescent="0.55000000000000004">
      <c r="W51762"/>
    </row>
    <row r="51763" spans="23:23" x14ac:dyDescent="0.55000000000000004">
      <c r="W51763"/>
    </row>
    <row r="51764" spans="23:23" x14ac:dyDescent="0.55000000000000004">
      <c r="W51764"/>
    </row>
    <row r="51765" spans="23:23" x14ac:dyDescent="0.55000000000000004">
      <c r="W51765"/>
    </row>
    <row r="51766" spans="23:23" x14ac:dyDescent="0.55000000000000004">
      <c r="W51766"/>
    </row>
    <row r="51767" spans="23:23" x14ac:dyDescent="0.55000000000000004">
      <c r="W51767"/>
    </row>
    <row r="51768" spans="23:23" x14ac:dyDescent="0.55000000000000004">
      <c r="W51768"/>
    </row>
    <row r="51769" spans="23:23" x14ac:dyDescent="0.55000000000000004">
      <c r="W51769"/>
    </row>
    <row r="51770" spans="23:23" x14ac:dyDescent="0.55000000000000004">
      <c r="W51770"/>
    </row>
    <row r="51771" spans="23:23" x14ac:dyDescent="0.55000000000000004">
      <c r="W51771"/>
    </row>
    <row r="51772" spans="23:23" x14ac:dyDescent="0.55000000000000004">
      <c r="W51772"/>
    </row>
    <row r="51773" spans="23:23" x14ac:dyDescent="0.55000000000000004">
      <c r="W51773"/>
    </row>
    <row r="51774" spans="23:23" x14ac:dyDescent="0.55000000000000004">
      <c r="W51774"/>
    </row>
    <row r="51775" spans="23:23" x14ac:dyDescent="0.55000000000000004">
      <c r="W51775"/>
    </row>
    <row r="51776" spans="23:23" x14ac:dyDescent="0.55000000000000004">
      <c r="W51776"/>
    </row>
    <row r="51777" spans="23:23" x14ac:dyDescent="0.55000000000000004">
      <c r="W51777"/>
    </row>
    <row r="51778" spans="23:23" x14ac:dyDescent="0.55000000000000004">
      <c r="W51778"/>
    </row>
    <row r="51779" spans="23:23" x14ac:dyDescent="0.55000000000000004">
      <c r="W51779"/>
    </row>
    <row r="51780" spans="23:23" x14ac:dyDescent="0.55000000000000004">
      <c r="W51780"/>
    </row>
    <row r="51781" spans="23:23" x14ac:dyDescent="0.55000000000000004">
      <c r="W51781"/>
    </row>
    <row r="51782" spans="23:23" x14ac:dyDescent="0.55000000000000004">
      <c r="W51782"/>
    </row>
    <row r="51783" spans="23:23" x14ac:dyDescent="0.55000000000000004">
      <c r="W51783"/>
    </row>
    <row r="51784" spans="23:23" x14ac:dyDescent="0.55000000000000004">
      <c r="W51784"/>
    </row>
    <row r="51785" spans="23:23" x14ac:dyDescent="0.55000000000000004">
      <c r="W51785"/>
    </row>
    <row r="51786" spans="23:23" x14ac:dyDescent="0.55000000000000004">
      <c r="W51786"/>
    </row>
    <row r="51787" spans="23:23" x14ac:dyDescent="0.55000000000000004">
      <c r="W51787"/>
    </row>
    <row r="51788" spans="23:23" x14ac:dyDescent="0.55000000000000004">
      <c r="W51788"/>
    </row>
    <row r="51789" spans="23:23" x14ac:dyDescent="0.55000000000000004">
      <c r="W51789"/>
    </row>
    <row r="51790" spans="23:23" x14ac:dyDescent="0.55000000000000004">
      <c r="W51790"/>
    </row>
    <row r="51791" spans="23:23" x14ac:dyDescent="0.55000000000000004">
      <c r="W51791"/>
    </row>
    <row r="51792" spans="23:23" x14ac:dyDescent="0.55000000000000004">
      <c r="W51792"/>
    </row>
    <row r="51793" spans="23:23" x14ac:dyDescent="0.55000000000000004">
      <c r="W51793"/>
    </row>
    <row r="51794" spans="23:23" x14ac:dyDescent="0.55000000000000004">
      <c r="W51794"/>
    </row>
    <row r="51795" spans="23:23" x14ac:dyDescent="0.55000000000000004">
      <c r="W51795"/>
    </row>
    <row r="51796" spans="23:23" x14ac:dyDescent="0.55000000000000004">
      <c r="W51796"/>
    </row>
    <row r="51797" spans="23:23" x14ac:dyDescent="0.55000000000000004">
      <c r="W51797"/>
    </row>
    <row r="51798" spans="23:23" x14ac:dyDescent="0.55000000000000004">
      <c r="W51798"/>
    </row>
    <row r="51799" spans="23:23" x14ac:dyDescent="0.55000000000000004">
      <c r="W51799"/>
    </row>
    <row r="51800" spans="23:23" x14ac:dyDescent="0.55000000000000004">
      <c r="W51800"/>
    </row>
    <row r="51801" spans="23:23" x14ac:dyDescent="0.55000000000000004">
      <c r="W51801"/>
    </row>
    <row r="51802" spans="23:23" x14ac:dyDescent="0.55000000000000004">
      <c r="W51802"/>
    </row>
    <row r="51803" spans="23:23" x14ac:dyDescent="0.55000000000000004">
      <c r="W51803"/>
    </row>
    <row r="51804" spans="23:23" x14ac:dyDescent="0.55000000000000004">
      <c r="W51804"/>
    </row>
    <row r="51805" spans="23:23" x14ac:dyDescent="0.55000000000000004">
      <c r="W51805"/>
    </row>
    <row r="51806" spans="23:23" x14ac:dyDescent="0.55000000000000004">
      <c r="W51806"/>
    </row>
    <row r="51807" spans="23:23" x14ac:dyDescent="0.55000000000000004">
      <c r="W51807"/>
    </row>
    <row r="51808" spans="23:23" x14ac:dyDescent="0.55000000000000004">
      <c r="W51808"/>
    </row>
    <row r="51809" spans="23:23" x14ac:dyDescent="0.55000000000000004">
      <c r="W51809"/>
    </row>
    <row r="51810" spans="23:23" x14ac:dyDescent="0.55000000000000004">
      <c r="W51810"/>
    </row>
    <row r="51811" spans="23:23" x14ac:dyDescent="0.55000000000000004">
      <c r="W51811"/>
    </row>
    <row r="51812" spans="23:23" x14ac:dyDescent="0.55000000000000004">
      <c r="W51812"/>
    </row>
    <row r="51813" spans="23:23" x14ac:dyDescent="0.55000000000000004">
      <c r="W51813"/>
    </row>
    <row r="51814" spans="23:23" x14ac:dyDescent="0.55000000000000004">
      <c r="W51814"/>
    </row>
    <row r="51815" spans="23:23" x14ac:dyDescent="0.55000000000000004">
      <c r="W51815"/>
    </row>
    <row r="51816" spans="23:23" x14ac:dyDescent="0.55000000000000004">
      <c r="W51816"/>
    </row>
    <row r="51817" spans="23:23" x14ac:dyDescent="0.55000000000000004">
      <c r="W51817"/>
    </row>
    <row r="51818" spans="23:23" x14ac:dyDescent="0.55000000000000004">
      <c r="W51818"/>
    </row>
    <row r="51819" spans="23:23" x14ac:dyDescent="0.55000000000000004">
      <c r="W51819"/>
    </row>
    <row r="51820" spans="23:23" x14ac:dyDescent="0.55000000000000004">
      <c r="W51820"/>
    </row>
    <row r="51821" spans="23:23" x14ac:dyDescent="0.55000000000000004">
      <c r="W51821"/>
    </row>
    <row r="51822" spans="23:23" x14ac:dyDescent="0.55000000000000004">
      <c r="W51822"/>
    </row>
    <row r="51823" spans="23:23" x14ac:dyDescent="0.55000000000000004">
      <c r="W51823"/>
    </row>
    <row r="51824" spans="23:23" x14ac:dyDescent="0.55000000000000004">
      <c r="W51824"/>
    </row>
    <row r="51825" spans="23:23" x14ac:dyDescent="0.55000000000000004">
      <c r="W51825"/>
    </row>
    <row r="51826" spans="23:23" x14ac:dyDescent="0.55000000000000004">
      <c r="W51826"/>
    </row>
    <row r="51827" spans="23:23" x14ac:dyDescent="0.55000000000000004">
      <c r="W51827"/>
    </row>
    <row r="51828" spans="23:23" x14ac:dyDescent="0.55000000000000004">
      <c r="W51828"/>
    </row>
    <row r="51829" spans="23:23" x14ac:dyDescent="0.55000000000000004">
      <c r="W51829"/>
    </row>
    <row r="51830" spans="23:23" x14ac:dyDescent="0.55000000000000004">
      <c r="W51830"/>
    </row>
    <row r="51831" spans="23:23" x14ac:dyDescent="0.55000000000000004">
      <c r="W51831"/>
    </row>
    <row r="51832" spans="23:23" x14ac:dyDescent="0.55000000000000004">
      <c r="W51832"/>
    </row>
    <row r="51833" spans="23:23" x14ac:dyDescent="0.55000000000000004">
      <c r="W51833"/>
    </row>
    <row r="51834" spans="23:23" x14ac:dyDescent="0.55000000000000004">
      <c r="W51834"/>
    </row>
    <row r="51835" spans="23:23" x14ac:dyDescent="0.55000000000000004">
      <c r="W51835"/>
    </row>
    <row r="51836" spans="23:23" x14ac:dyDescent="0.55000000000000004">
      <c r="W51836"/>
    </row>
    <row r="51837" spans="23:23" x14ac:dyDescent="0.55000000000000004">
      <c r="W51837"/>
    </row>
    <row r="51838" spans="23:23" x14ac:dyDescent="0.55000000000000004">
      <c r="W51838"/>
    </row>
    <row r="51839" spans="23:23" x14ac:dyDescent="0.55000000000000004">
      <c r="W51839"/>
    </row>
    <row r="51840" spans="23:23" x14ac:dyDescent="0.55000000000000004">
      <c r="W51840"/>
    </row>
    <row r="51841" spans="23:23" x14ac:dyDescent="0.55000000000000004">
      <c r="W51841"/>
    </row>
    <row r="51842" spans="23:23" x14ac:dyDescent="0.55000000000000004">
      <c r="W51842"/>
    </row>
    <row r="51843" spans="23:23" x14ac:dyDescent="0.55000000000000004">
      <c r="W51843"/>
    </row>
    <row r="51844" spans="23:23" x14ac:dyDescent="0.55000000000000004">
      <c r="W51844"/>
    </row>
    <row r="51845" spans="23:23" x14ac:dyDescent="0.55000000000000004">
      <c r="W51845"/>
    </row>
    <row r="51846" spans="23:23" x14ac:dyDescent="0.55000000000000004">
      <c r="W51846"/>
    </row>
    <row r="51847" spans="23:23" x14ac:dyDescent="0.55000000000000004">
      <c r="W51847"/>
    </row>
    <row r="51848" spans="23:23" x14ac:dyDescent="0.55000000000000004">
      <c r="W51848"/>
    </row>
    <row r="51849" spans="23:23" x14ac:dyDescent="0.55000000000000004">
      <c r="W51849"/>
    </row>
    <row r="51850" spans="23:23" x14ac:dyDescent="0.55000000000000004">
      <c r="W51850"/>
    </row>
    <row r="51851" spans="23:23" x14ac:dyDescent="0.55000000000000004">
      <c r="W51851"/>
    </row>
    <row r="51852" spans="23:23" x14ac:dyDescent="0.55000000000000004">
      <c r="W51852"/>
    </row>
    <row r="51853" spans="23:23" x14ac:dyDescent="0.55000000000000004">
      <c r="W51853"/>
    </row>
    <row r="51854" spans="23:23" x14ac:dyDescent="0.55000000000000004">
      <c r="W51854"/>
    </row>
    <row r="51855" spans="23:23" x14ac:dyDescent="0.55000000000000004">
      <c r="W51855"/>
    </row>
    <row r="51856" spans="23:23" x14ac:dyDescent="0.55000000000000004">
      <c r="W51856"/>
    </row>
    <row r="51857" spans="23:23" x14ac:dyDescent="0.55000000000000004">
      <c r="W51857"/>
    </row>
    <row r="51858" spans="23:23" x14ac:dyDescent="0.55000000000000004">
      <c r="W51858"/>
    </row>
    <row r="51859" spans="23:23" x14ac:dyDescent="0.55000000000000004">
      <c r="W51859"/>
    </row>
    <row r="51860" spans="23:23" x14ac:dyDescent="0.55000000000000004">
      <c r="W51860"/>
    </row>
    <row r="51861" spans="23:23" x14ac:dyDescent="0.55000000000000004">
      <c r="W51861"/>
    </row>
    <row r="51862" spans="23:23" x14ac:dyDescent="0.55000000000000004">
      <c r="W51862"/>
    </row>
    <row r="51863" spans="23:23" x14ac:dyDescent="0.55000000000000004">
      <c r="W51863"/>
    </row>
    <row r="51864" spans="23:23" x14ac:dyDescent="0.55000000000000004">
      <c r="W51864"/>
    </row>
    <row r="51865" spans="23:23" x14ac:dyDescent="0.55000000000000004">
      <c r="W51865"/>
    </row>
    <row r="51866" spans="23:23" x14ac:dyDescent="0.55000000000000004">
      <c r="W51866"/>
    </row>
    <row r="51867" spans="23:23" x14ac:dyDescent="0.55000000000000004">
      <c r="W51867"/>
    </row>
    <row r="51868" spans="23:23" x14ac:dyDescent="0.55000000000000004">
      <c r="W51868"/>
    </row>
    <row r="51869" spans="23:23" x14ac:dyDescent="0.55000000000000004">
      <c r="W51869"/>
    </row>
    <row r="51870" spans="23:23" x14ac:dyDescent="0.55000000000000004">
      <c r="W51870"/>
    </row>
    <row r="51871" spans="23:23" x14ac:dyDescent="0.55000000000000004">
      <c r="W51871"/>
    </row>
    <row r="51872" spans="23:23" x14ac:dyDescent="0.55000000000000004">
      <c r="W51872"/>
    </row>
    <row r="51873" spans="23:23" x14ac:dyDescent="0.55000000000000004">
      <c r="W51873"/>
    </row>
    <row r="51874" spans="23:23" x14ac:dyDescent="0.55000000000000004">
      <c r="W51874"/>
    </row>
    <row r="51875" spans="23:23" x14ac:dyDescent="0.55000000000000004">
      <c r="W51875"/>
    </row>
    <row r="51876" spans="23:23" x14ac:dyDescent="0.55000000000000004">
      <c r="W51876"/>
    </row>
    <row r="51877" spans="23:23" x14ac:dyDescent="0.55000000000000004">
      <c r="W51877"/>
    </row>
    <row r="51878" spans="23:23" x14ac:dyDescent="0.55000000000000004">
      <c r="W51878"/>
    </row>
    <row r="51879" spans="23:23" x14ac:dyDescent="0.55000000000000004">
      <c r="W51879"/>
    </row>
    <row r="51880" spans="23:23" x14ac:dyDescent="0.55000000000000004">
      <c r="W51880"/>
    </row>
    <row r="51881" spans="23:23" x14ac:dyDescent="0.55000000000000004">
      <c r="W51881"/>
    </row>
    <row r="51882" spans="23:23" x14ac:dyDescent="0.55000000000000004">
      <c r="W51882"/>
    </row>
    <row r="51883" spans="23:23" x14ac:dyDescent="0.55000000000000004">
      <c r="W51883"/>
    </row>
    <row r="51884" spans="23:23" x14ac:dyDescent="0.55000000000000004">
      <c r="W51884"/>
    </row>
    <row r="51885" spans="23:23" x14ac:dyDescent="0.55000000000000004">
      <c r="W51885"/>
    </row>
    <row r="51886" spans="23:23" x14ac:dyDescent="0.55000000000000004">
      <c r="W51886"/>
    </row>
    <row r="51887" spans="23:23" x14ac:dyDescent="0.55000000000000004">
      <c r="W51887"/>
    </row>
    <row r="51888" spans="23:23" x14ac:dyDescent="0.55000000000000004">
      <c r="W51888"/>
    </row>
    <row r="51889" spans="23:23" x14ac:dyDescent="0.55000000000000004">
      <c r="W51889"/>
    </row>
    <row r="51890" spans="23:23" x14ac:dyDescent="0.55000000000000004">
      <c r="W51890"/>
    </row>
    <row r="51891" spans="23:23" x14ac:dyDescent="0.55000000000000004">
      <c r="W51891"/>
    </row>
    <row r="51892" spans="23:23" x14ac:dyDescent="0.55000000000000004">
      <c r="W51892"/>
    </row>
    <row r="51893" spans="23:23" x14ac:dyDescent="0.55000000000000004">
      <c r="W51893"/>
    </row>
    <row r="51894" spans="23:23" x14ac:dyDescent="0.55000000000000004">
      <c r="W51894"/>
    </row>
    <row r="51895" spans="23:23" x14ac:dyDescent="0.55000000000000004">
      <c r="W51895"/>
    </row>
    <row r="51896" spans="23:23" x14ac:dyDescent="0.55000000000000004">
      <c r="W51896"/>
    </row>
    <row r="51897" spans="23:23" x14ac:dyDescent="0.55000000000000004">
      <c r="W51897"/>
    </row>
    <row r="51898" spans="23:23" x14ac:dyDescent="0.55000000000000004">
      <c r="W51898"/>
    </row>
    <row r="51899" spans="23:23" x14ac:dyDescent="0.55000000000000004">
      <c r="W51899"/>
    </row>
    <row r="51900" spans="23:23" x14ac:dyDescent="0.55000000000000004">
      <c r="W51900"/>
    </row>
    <row r="51901" spans="23:23" x14ac:dyDescent="0.55000000000000004">
      <c r="W51901"/>
    </row>
    <row r="51902" spans="23:23" x14ac:dyDescent="0.55000000000000004">
      <c r="W51902"/>
    </row>
    <row r="51903" spans="23:23" x14ac:dyDescent="0.55000000000000004">
      <c r="W51903"/>
    </row>
    <row r="51904" spans="23:23" x14ac:dyDescent="0.55000000000000004">
      <c r="W51904"/>
    </row>
    <row r="51905" spans="23:23" x14ac:dyDescent="0.55000000000000004">
      <c r="W51905"/>
    </row>
    <row r="51906" spans="23:23" x14ac:dyDescent="0.55000000000000004">
      <c r="W51906"/>
    </row>
    <row r="51907" spans="23:23" x14ac:dyDescent="0.55000000000000004">
      <c r="W51907"/>
    </row>
    <row r="51908" spans="23:23" x14ac:dyDescent="0.55000000000000004">
      <c r="W51908"/>
    </row>
    <row r="51909" spans="23:23" x14ac:dyDescent="0.55000000000000004">
      <c r="W51909"/>
    </row>
    <row r="51910" spans="23:23" x14ac:dyDescent="0.55000000000000004">
      <c r="W51910"/>
    </row>
    <row r="51911" spans="23:23" x14ac:dyDescent="0.55000000000000004">
      <c r="W51911"/>
    </row>
    <row r="51912" spans="23:23" x14ac:dyDescent="0.55000000000000004">
      <c r="W51912"/>
    </row>
    <row r="51913" spans="23:23" x14ac:dyDescent="0.55000000000000004">
      <c r="W51913"/>
    </row>
    <row r="51914" spans="23:23" x14ac:dyDescent="0.55000000000000004">
      <c r="W51914"/>
    </row>
    <row r="51915" spans="23:23" x14ac:dyDescent="0.55000000000000004">
      <c r="W51915"/>
    </row>
    <row r="51916" spans="23:23" x14ac:dyDescent="0.55000000000000004">
      <c r="W51916"/>
    </row>
    <row r="51917" spans="23:23" x14ac:dyDescent="0.55000000000000004">
      <c r="W51917"/>
    </row>
    <row r="51918" spans="23:23" x14ac:dyDescent="0.55000000000000004">
      <c r="W51918"/>
    </row>
    <row r="51919" spans="23:23" x14ac:dyDescent="0.55000000000000004">
      <c r="W51919"/>
    </row>
    <row r="51920" spans="23:23" x14ac:dyDescent="0.55000000000000004">
      <c r="W51920"/>
    </row>
    <row r="51921" spans="23:23" x14ac:dyDescent="0.55000000000000004">
      <c r="W51921"/>
    </row>
    <row r="51922" spans="23:23" x14ac:dyDescent="0.55000000000000004">
      <c r="W51922"/>
    </row>
    <row r="51923" spans="23:23" x14ac:dyDescent="0.55000000000000004">
      <c r="W51923"/>
    </row>
    <row r="51924" spans="23:23" x14ac:dyDescent="0.55000000000000004">
      <c r="W51924"/>
    </row>
    <row r="51925" spans="23:23" x14ac:dyDescent="0.55000000000000004">
      <c r="W51925"/>
    </row>
    <row r="51926" spans="23:23" x14ac:dyDescent="0.55000000000000004">
      <c r="W51926"/>
    </row>
    <row r="51927" spans="23:23" x14ac:dyDescent="0.55000000000000004">
      <c r="W51927"/>
    </row>
    <row r="51928" spans="23:23" x14ac:dyDescent="0.55000000000000004">
      <c r="W51928"/>
    </row>
    <row r="51929" spans="23:23" x14ac:dyDescent="0.55000000000000004">
      <c r="W51929"/>
    </row>
    <row r="51930" spans="23:23" x14ac:dyDescent="0.55000000000000004">
      <c r="W51930"/>
    </row>
    <row r="51931" spans="23:23" x14ac:dyDescent="0.55000000000000004">
      <c r="W51931"/>
    </row>
    <row r="51932" spans="23:23" x14ac:dyDescent="0.55000000000000004">
      <c r="W51932"/>
    </row>
    <row r="51933" spans="23:23" x14ac:dyDescent="0.55000000000000004">
      <c r="W51933"/>
    </row>
    <row r="51934" spans="23:23" x14ac:dyDescent="0.55000000000000004">
      <c r="W51934"/>
    </row>
    <row r="51935" spans="23:23" x14ac:dyDescent="0.55000000000000004">
      <c r="W51935"/>
    </row>
    <row r="51936" spans="23:23" x14ac:dyDescent="0.55000000000000004">
      <c r="W51936"/>
    </row>
    <row r="51937" spans="23:23" x14ac:dyDescent="0.55000000000000004">
      <c r="W51937"/>
    </row>
    <row r="51938" spans="23:23" x14ac:dyDescent="0.55000000000000004">
      <c r="W51938"/>
    </row>
    <row r="51939" spans="23:23" x14ac:dyDescent="0.55000000000000004">
      <c r="W51939"/>
    </row>
    <row r="51940" spans="23:23" x14ac:dyDescent="0.55000000000000004">
      <c r="W51940"/>
    </row>
    <row r="51941" spans="23:23" x14ac:dyDescent="0.55000000000000004">
      <c r="W51941"/>
    </row>
    <row r="51942" spans="23:23" x14ac:dyDescent="0.55000000000000004">
      <c r="W51942"/>
    </row>
    <row r="51943" spans="23:23" x14ac:dyDescent="0.55000000000000004">
      <c r="W51943"/>
    </row>
    <row r="51944" spans="23:23" x14ac:dyDescent="0.55000000000000004">
      <c r="W51944"/>
    </row>
    <row r="51945" spans="23:23" x14ac:dyDescent="0.55000000000000004">
      <c r="W51945"/>
    </row>
    <row r="51946" spans="23:23" x14ac:dyDescent="0.55000000000000004">
      <c r="W51946"/>
    </row>
    <row r="51947" spans="23:23" x14ac:dyDescent="0.55000000000000004">
      <c r="W51947"/>
    </row>
    <row r="51948" spans="23:23" x14ac:dyDescent="0.55000000000000004">
      <c r="W51948"/>
    </row>
    <row r="51949" spans="23:23" x14ac:dyDescent="0.55000000000000004">
      <c r="W51949"/>
    </row>
    <row r="51950" spans="23:23" x14ac:dyDescent="0.55000000000000004">
      <c r="W51950"/>
    </row>
    <row r="51951" spans="23:23" x14ac:dyDescent="0.55000000000000004">
      <c r="W51951"/>
    </row>
    <row r="51952" spans="23:23" x14ac:dyDescent="0.55000000000000004">
      <c r="W51952"/>
    </row>
    <row r="51953" spans="23:23" x14ac:dyDescent="0.55000000000000004">
      <c r="W51953"/>
    </row>
    <row r="51954" spans="23:23" x14ac:dyDescent="0.55000000000000004">
      <c r="W51954"/>
    </row>
    <row r="51955" spans="23:23" x14ac:dyDescent="0.55000000000000004">
      <c r="W51955"/>
    </row>
    <row r="51956" spans="23:23" x14ac:dyDescent="0.55000000000000004">
      <c r="W51956"/>
    </row>
    <row r="51957" spans="23:23" x14ac:dyDescent="0.55000000000000004">
      <c r="W51957"/>
    </row>
    <row r="51958" spans="23:23" x14ac:dyDescent="0.55000000000000004">
      <c r="W51958"/>
    </row>
    <row r="51959" spans="23:23" x14ac:dyDescent="0.55000000000000004">
      <c r="W51959"/>
    </row>
    <row r="51960" spans="23:23" x14ac:dyDescent="0.55000000000000004">
      <c r="W51960"/>
    </row>
    <row r="51961" spans="23:23" x14ac:dyDescent="0.55000000000000004">
      <c r="W51961"/>
    </row>
    <row r="51962" spans="23:23" x14ac:dyDescent="0.55000000000000004">
      <c r="W51962"/>
    </row>
    <row r="51963" spans="23:23" x14ac:dyDescent="0.55000000000000004">
      <c r="W51963"/>
    </row>
    <row r="51964" spans="23:23" x14ac:dyDescent="0.55000000000000004">
      <c r="W51964"/>
    </row>
    <row r="51965" spans="23:23" x14ac:dyDescent="0.55000000000000004">
      <c r="W51965"/>
    </row>
    <row r="51966" spans="23:23" x14ac:dyDescent="0.55000000000000004">
      <c r="W51966"/>
    </row>
    <row r="51967" spans="23:23" x14ac:dyDescent="0.55000000000000004">
      <c r="W51967"/>
    </row>
    <row r="51968" spans="23:23" x14ac:dyDescent="0.55000000000000004">
      <c r="W51968"/>
    </row>
    <row r="51969" spans="23:23" x14ac:dyDescent="0.55000000000000004">
      <c r="W51969"/>
    </row>
    <row r="51970" spans="23:23" x14ac:dyDescent="0.55000000000000004">
      <c r="W51970"/>
    </row>
    <row r="51971" spans="23:23" x14ac:dyDescent="0.55000000000000004">
      <c r="W51971"/>
    </row>
    <row r="51972" spans="23:23" x14ac:dyDescent="0.55000000000000004">
      <c r="W51972"/>
    </row>
    <row r="51973" spans="23:23" x14ac:dyDescent="0.55000000000000004">
      <c r="W51973"/>
    </row>
    <row r="51974" spans="23:23" x14ac:dyDescent="0.55000000000000004">
      <c r="W51974"/>
    </row>
    <row r="51975" spans="23:23" x14ac:dyDescent="0.55000000000000004">
      <c r="W51975"/>
    </row>
    <row r="51976" spans="23:23" x14ac:dyDescent="0.55000000000000004">
      <c r="W51976"/>
    </row>
    <row r="51977" spans="23:23" x14ac:dyDescent="0.55000000000000004">
      <c r="W51977"/>
    </row>
    <row r="51978" spans="23:23" x14ac:dyDescent="0.55000000000000004">
      <c r="W51978"/>
    </row>
    <row r="51979" spans="23:23" x14ac:dyDescent="0.55000000000000004">
      <c r="W51979"/>
    </row>
    <row r="51980" spans="23:23" x14ac:dyDescent="0.55000000000000004">
      <c r="W51980"/>
    </row>
    <row r="51981" spans="23:23" x14ac:dyDescent="0.55000000000000004">
      <c r="W51981"/>
    </row>
    <row r="51982" spans="23:23" x14ac:dyDescent="0.55000000000000004">
      <c r="W51982"/>
    </row>
    <row r="51983" spans="23:23" x14ac:dyDescent="0.55000000000000004">
      <c r="W51983"/>
    </row>
    <row r="51984" spans="23:23" x14ac:dyDescent="0.55000000000000004">
      <c r="W51984"/>
    </row>
    <row r="51985" spans="23:23" x14ac:dyDescent="0.55000000000000004">
      <c r="W51985"/>
    </row>
    <row r="51986" spans="23:23" x14ac:dyDescent="0.55000000000000004">
      <c r="W51986"/>
    </row>
    <row r="51987" spans="23:23" x14ac:dyDescent="0.55000000000000004">
      <c r="W51987"/>
    </row>
    <row r="51988" spans="23:23" x14ac:dyDescent="0.55000000000000004">
      <c r="W51988"/>
    </row>
    <row r="51989" spans="23:23" x14ac:dyDescent="0.55000000000000004">
      <c r="W51989"/>
    </row>
    <row r="51990" spans="23:23" x14ac:dyDescent="0.55000000000000004">
      <c r="W51990"/>
    </row>
    <row r="51991" spans="23:23" x14ac:dyDescent="0.55000000000000004">
      <c r="W51991"/>
    </row>
    <row r="51992" spans="23:23" x14ac:dyDescent="0.55000000000000004">
      <c r="W51992"/>
    </row>
    <row r="51993" spans="23:23" x14ac:dyDescent="0.55000000000000004">
      <c r="W51993"/>
    </row>
    <row r="51994" spans="23:23" x14ac:dyDescent="0.55000000000000004">
      <c r="W51994"/>
    </row>
    <row r="51995" spans="23:23" x14ac:dyDescent="0.55000000000000004">
      <c r="W51995"/>
    </row>
    <row r="51996" spans="23:23" x14ac:dyDescent="0.55000000000000004">
      <c r="W51996"/>
    </row>
    <row r="51997" spans="23:23" x14ac:dyDescent="0.55000000000000004">
      <c r="W51997"/>
    </row>
    <row r="51998" spans="23:23" x14ac:dyDescent="0.55000000000000004">
      <c r="W51998"/>
    </row>
    <row r="51999" spans="23:23" x14ac:dyDescent="0.55000000000000004">
      <c r="W51999"/>
    </row>
    <row r="52000" spans="23:23" x14ac:dyDescent="0.55000000000000004">
      <c r="W52000"/>
    </row>
    <row r="52001" spans="23:23" x14ac:dyDescent="0.55000000000000004">
      <c r="W52001"/>
    </row>
    <row r="52002" spans="23:23" x14ac:dyDescent="0.55000000000000004">
      <c r="W52002"/>
    </row>
    <row r="52003" spans="23:23" x14ac:dyDescent="0.55000000000000004">
      <c r="W52003"/>
    </row>
    <row r="52004" spans="23:23" x14ac:dyDescent="0.55000000000000004">
      <c r="W52004"/>
    </row>
    <row r="52005" spans="23:23" x14ac:dyDescent="0.55000000000000004">
      <c r="W52005"/>
    </row>
    <row r="52006" spans="23:23" x14ac:dyDescent="0.55000000000000004">
      <c r="W52006"/>
    </row>
    <row r="52007" spans="23:23" x14ac:dyDescent="0.55000000000000004">
      <c r="W52007"/>
    </row>
    <row r="52008" spans="23:23" x14ac:dyDescent="0.55000000000000004">
      <c r="W52008"/>
    </row>
    <row r="52009" spans="23:23" x14ac:dyDescent="0.55000000000000004">
      <c r="W52009"/>
    </row>
    <row r="52010" spans="23:23" x14ac:dyDescent="0.55000000000000004">
      <c r="W52010"/>
    </row>
    <row r="52011" spans="23:23" x14ac:dyDescent="0.55000000000000004">
      <c r="W52011"/>
    </row>
    <row r="52012" spans="23:23" x14ac:dyDescent="0.55000000000000004">
      <c r="W52012"/>
    </row>
    <row r="52013" spans="23:23" x14ac:dyDescent="0.55000000000000004">
      <c r="W52013"/>
    </row>
    <row r="52014" spans="23:23" x14ac:dyDescent="0.55000000000000004">
      <c r="W52014"/>
    </row>
    <row r="52015" spans="23:23" x14ac:dyDescent="0.55000000000000004">
      <c r="W52015"/>
    </row>
    <row r="52016" spans="23:23" x14ac:dyDescent="0.55000000000000004">
      <c r="W52016"/>
    </row>
    <row r="52017" spans="23:23" x14ac:dyDescent="0.55000000000000004">
      <c r="W52017"/>
    </row>
    <row r="52018" spans="23:23" x14ac:dyDescent="0.55000000000000004">
      <c r="W52018"/>
    </row>
    <row r="52019" spans="23:23" x14ac:dyDescent="0.55000000000000004">
      <c r="W52019"/>
    </row>
    <row r="52020" spans="23:23" x14ac:dyDescent="0.55000000000000004">
      <c r="W52020"/>
    </row>
    <row r="52021" spans="23:23" x14ac:dyDescent="0.55000000000000004">
      <c r="W52021"/>
    </row>
    <row r="52022" spans="23:23" x14ac:dyDescent="0.55000000000000004">
      <c r="W52022"/>
    </row>
    <row r="52023" spans="23:23" x14ac:dyDescent="0.55000000000000004">
      <c r="W52023"/>
    </row>
    <row r="52024" spans="23:23" x14ac:dyDescent="0.55000000000000004">
      <c r="W52024"/>
    </row>
    <row r="52025" spans="23:23" x14ac:dyDescent="0.55000000000000004">
      <c r="W52025"/>
    </row>
    <row r="52026" spans="23:23" x14ac:dyDescent="0.55000000000000004">
      <c r="W52026"/>
    </row>
    <row r="52027" spans="23:23" x14ac:dyDescent="0.55000000000000004">
      <c r="W52027"/>
    </row>
    <row r="52028" spans="23:23" x14ac:dyDescent="0.55000000000000004">
      <c r="W52028"/>
    </row>
    <row r="52029" spans="23:23" x14ac:dyDescent="0.55000000000000004">
      <c r="W52029"/>
    </row>
    <row r="52030" spans="23:23" x14ac:dyDescent="0.55000000000000004">
      <c r="W52030"/>
    </row>
    <row r="52031" spans="23:23" x14ac:dyDescent="0.55000000000000004">
      <c r="W52031"/>
    </row>
    <row r="52032" spans="23:23" x14ac:dyDescent="0.55000000000000004">
      <c r="W52032"/>
    </row>
    <row r="52033" spans="23:23" x14ac:dyDescent="0.55000000000000004">
      <c r="W52033"/>
    </row>
    <row r="52034" spans="23:23" x14ac:dyDescent="0.55000000000000004">
      <c r="W52034"/>
    </row>
    <row r="52035" spans="23:23" x14ac:dyDescent="0.55000000000000004">
      <c r="W52035"/>
    </row>
    <row r="52036" spans="23:23" x14ac:dyDescent="0.55000000000000004">
      <c r="W52036"/>
    </row>
    <row r="52037" spans="23:23" x14ac:dyDescent="0.55000000000000004">
      <c r="W52037"/>
    </row>
    <row r="52038" spans="23:23" x14ac:dyDescent="0.55000000000000004">
      <c r="W52038"/>
    </row>
    <row r="52039" spans="23:23" x14ac:dyDescent="0.55000000000000004">
      <c r="W52039"/>
    </row>
    <row r="52040" spans="23:23" x14ac:dyDescent="0.55000000000000004">
      <c r="W52040"/>
    </row>
    <row r="52041" spans="23:23" x14ac:dyDescent="0.55000000000000004">
      <c r="W52041"/>
    </row>
    <row r="52042" spans="23:23" x14ac:dyDescent="0.55000000000000004">
      <c r="W52042"/>
    </row>
    <row r="52043" spans="23:23" x14ac:dyDescent="0.55000000000000004">
      <c r="W52043"/>
    </row>
    <row r="52044" spans="23:23" x14ac:dyDescent="0.55000000000000004">
      <c r="W52044"/>
    </row>
    <row r="52045" spans="23:23" x14ac:dyDescent="0.55000000000000004">
      <c r="W52045"/>
    </row>
    <row r="52046" spans="23:23" x14ac:dyDescent="0.55000000000000004">
      <c r="W52046"/>
    </row>
    <row r="52047" spans="23:23" x14ac:dyDescent="0.55000000000000004">
      <c r="W52047"/>
    </row>
    <row r="52048" spans="23:23" x14ac:dyDescent="0.55000000000000004">
      <c r="W52048"/>
    </row>
    <row r="52049" spans="23:23" x14ac:dyDescent="0.55000000000000004">
      <c r="W52049"/>
    </row>
    <row r="52050" spans="23:23" x14ac:dyDescent="0.55000000000000004">
      <c r="W52050"/>
    </row>
    <row r="52051" spans="23:23" x14ac:dyDescent="0.55000000000000004">
      <c r="W52051"/>
    </row>
    <row r="52052" spans="23:23" x14ac:dyDescent="0.55000000000000004">
      <c r="W52052"/>
    </row>
    <row r="52053" spans="23:23" x14ac:dyDescent="0.55000000000000004">
      <c r="W52053"/>
    </row>
    <row r="52054" spans="23:23" x14ac:dyDescent="0.55000000000000004">
      <c r="W52054"/>
    </row>
    <row r="52055" spans="23:23" x14ac:dyDescent="0.55000000000000004">
      <c r="W52055"/>
    </row>
    <row r="52056" spans="23:23" x14ac:dyDescent="0.55000000000000004">
      <c r="W52056"/>
    </row>
    <row r="52057" spans="23:23" x14ac:dyDescent="0.55000000000000004">
      <c r="W52057"/>
    </row>
    <row r="52058" spans="23:23" x14ac:dyDescent="0.55000000000000004">
      <c r="W52058"/>
    </row>
    <row r="52059" spans="23:23" x14ac:dyDescent="0.55000000000000004">
      <c r="W52059"/>
    </row>
    <row r="52060" spans="23:23" x14ac:dyDescent="0.55000000000000004">
      <c r="W52060"/>
    </row>
    <row r="52061" spans="23:23" x14ac:dyDescent="0.55000000000000004">
      <c r="W52061"/>
    </row>
    <row r="52062" spans="23:23" x14ac:dyDescent="0.55000000000000004">
      <c r="W52062"/>
    </row>
    <row r="52063" spans="23:23" x14ac:dyDescent="0.55000000000000004">
      <c r="W52063"/>
    </row>
    <row r="52064" spans="23:23" x14ac:dyDescent="0.55000000000000004">
      <c r="W52064"/>
    </row>
    <row r="52065" spans="23:23" x14ac:dyDescent="0.55000000000000004">
      <c r="W52065"/>
    </row>
    <row r="52066" spans="23:23" x14ac:dyDescent="0.55000000000000004">
      <c r="W52066"/>
    </row>
    <row r="52067" spans="23:23" x14ac:dyDescent="0.55000000000000004">
      <c r="W52067"/>
    </row>
    <row r="52068" spans="23:23" x14ac:dyDescent="0.55000000000000004">
      <c r="W52068"/>
    </row>
    <row r="52069" spans="23:23" x14ac:dyDescent="0.55000000000000004">
      <c r="W52069"/>
    </row>
    <row r="52070" spans="23:23" x14ac:dyDescent="0.55000000000000004">
      <c r="W52070"/>
    </row>
    <row r="52071" spans="23:23" x14ac:dyDescent="0.55000000000000004">
      <c r="W52071"/>
    </row>
    <row r="52072" spans="23:23" x14ac:dyDescent="0.55000000000000004">
      <c r="W52072"/>
    </row>
    <row r="52073" spans="23:23" x14ac:dyDescent="0.55000000000000004">
      <c r="W52073"/>
    </row>
    <row r="52074" spans="23:23" x14ac:dyDescent="0.55000000000000004">
      <c r="W52074"/>
    </row>
    <row r="52075" spans="23:23" x14ac:dyDescent="0.55000000000000004">
      <c r="W52075"/>
    </row>
    <row r="52076" spans="23:23" x14ac:dyDescent="0.55000000000000004">
      <c r="W52076"/>
    </row>
    <row r="52077" spans="23:23" x14ac:dyDescent="0.55000000000000004">
      <c r="W52077"/>
    </row>
    <row r="52078" spans="23:23" x14ac:dyDescent="0.55000000000000004">
      <c r="W52078"/>
    </row>
    <row r="52079" spans="23:23" x14ac:dyDescent="0.55000000000000004">
      <c r="W52079"/>
    </row>
    <row r="52080" spans="23:23" x14ac:dyDescent="0.55000000000000004">
      <c r="W52080"/>
    </row>
    <row r="52081" spans="23:23" x14ac:dyDescent="0.55000000000000004">
      <c r="W52081"/>
    </row>
    <row r="52082" spans="23:23" x14ac:dyDescent="0.55000000000000004">
      <c r="W52082"/>
    </row>
    <row r="52083" spans="23:23" x14ac:dyDescent="0.55000000000000004">
      <c r="W52083"/>
    </row>
    <row r="52084" spans="23:23" x14ac:dyDescent="0.55000000000000004">
      <c r="W52084"/>
    </row>
    <row r="52085" spans="23:23" x14ac:dyDescent="0.55000000000000004">
      <c r="W52085"/>
    </row>
    <row r="52086" spans="23:23" x14ac:dyDescent="0.55000000000000004">
      <c r="W52086"/>
    </row>
    <row r="52087" spans="23:23" x14ac:dyDescent="0.55000000000000004">
      <c r="W52087"/>
    </row>
    <row r="52088" spans="23:23" x14ac:dyDescent="0.55000000000000004">
      <c r="W52088"/>
    </row>
    <row r="52089" spans="23:23" x14ac:dyDescent="0.55000000000000004">
      <c r="W52089"/>
    </row>
    <row r="52090" spans="23:23" x14ac:dyDescent="0.55000000000000004">
      <c r="W52090"/>
    </row>
    <row r="52091" spans="23:23" x14ac:dyDescent="0.55000000000000004">
      <c r="W52091"/>
    </row>
    <row r="52092" spans="23:23" x14ac:dyDescent="0.55000000000000004">
      <c r="W52092"/>
    </row>
    <row r="52093" spans="23:23" x14ac:dyDescent="0.55000000000000004">
      <c r="W52093"/>
    </row>
    <row r="52094" spans="23:23" x14ac:dyDescent="0.55000000000000004">
      <c r="W52094"/>
    </row>
    <row r="52095" spans="23:23" x14ac:dyDescent="0.55000000000000004">
      <c r="W52095"/>
    </row>
    <row r="52096" spans="23:23" x14ac:dyDescent="0.55000000000000004">
      <c r="W52096"/>
    </row>
    <row r="52097" spans="23:23" x14ac:dyDescent="0.55000000000000004">
      <c r="W52097"/>
    </row>
    <row r="52098" spans="23:23" x14ac:dyDescent="0.55000000000000004">
      <c r="W52098"/>
    </row>
    <row r="52099" spans="23:23" x14ac:dyDescent="0.55000000000000004">
      <c r="W52099"/>
    </row>
    <row r="52100" spans="23:23" x14ac:dyDescent="0.55000000000000004">
      <c r="W52100"/>
    </row>
    <row r="52101" spans="23:23" x14ac:dyDescent="0.55000000000000004">
      <c r="W52101"/>
    </row>
    <row r="52102" spans="23:23" x14ac:dyDescent="0.55000000000000004">
      <c r="W52102"/>
    </row>
    <row r="52103" spans="23:23" x14ac:dyDescent="0.55000000000000004">
      <c r="W52103"/>
    </row>
    <row r="52104" spans="23:23" x14ac:dyDescent="0.55000000000000004">
      <c r="W52104"/>
    </row>
    <row r="52105" spans="23:23" x14ac:dyDescent="0.55000000000000004">
      <c r="W52105"/>
    </row>
    <row r="52106" spans="23:23" x14ac:dyDescent="0.55000000000000004">
      <c r="W52106"/>
    </row>
    <row r="52107" spans="23:23" x14ac:dyDescent="0.55000000000000004">
      <c r="W52107"/>
    </row>
    <row r="52108" spans="23:23" x14ac:dyDescent="0.55000000000000004">
      <c r="W52108"/>
    </row>
    <row r="52109" spans="23:23" x14ac:dyDescent="0.55000000000000004">
      <c r="W52109"/>
    </row>
    <row r="52110" spans="23:23" x14ac:dyDescent="0.55000000000000004">
      <c r="W52110"/>
    </row>
    <row r="52111" spans="23:23" x14ac:dyDescent="0.55000000000000004">
      <c r="W52111"/>
    </row>
    <row r="52112" spans="23:23" x14ac:dyDescent="0.55000000000000004">
      <c r="W52112"/>
    </row>
    <row r="52113" spans="23:23" x14ac:dyDescent="0.55000000000000004">
      <c r="W52113"/>
    </row>
    <row r="52114" spans="23:23" x14ac:dyDescent="0.55000000000000004">
      <c r="W52114"/>
    </row>
    <row r="52115" spans="23:23" x14ac:dyDescent="0.55000000000000004">
      <c r="W52115"/>
    </row>
    <row r="52116" spans="23:23" x14ac:dyDescent="0.55000000000000004">
      <c r="W52116"/>
    </row>
    <row r="52117" spans="23:23" x14ac:dyDescent="0.55000000000000004">
      <c r="W52117"/>
    </row>
    <row r="52118" spans="23:23" x14ac:dyDescent="0.55000000000000004">
      <c r="W52118"/>
    </row>
    <row r="52119" spans="23:23" x14ac:dyDescent="0.55000000000000004">
      <c r="W52119"/>
    </row>
    <row r="52120" spans="23:23" x14ac:dyDescent="0.55000000000000004">
      <c r="W52120"/>
    </row>
    <row r="52121" spans="23:23" x14ac:dyDescent="0.55000000000000004">
      <c r="W52121"/>
    </row>
    <row r="52122" spans="23:23" x14ac:dyDescent="0.55000000000000004">
      <c r="W52122"/>
    </row>
    <row r="52123" spans="23:23" x14ac:dyDescent="0.55000000000000004">
      <c r="W52123"/>
    </row>
    <row r="52124" spans="23:23" x14ac:dyDescent="0.55000000000000004">
      <c r="W52124"/>
    </row>
    <row r="52125" spans="23:23" x14ac:dyDescent="0.55000000000000004">
      <c r="W52125"/>
    </row>
    <row r="52126" spans="23:23" x14ac:dyDescent="0.55000000000000004">
      <c r="W52126"/>
    </row>
    <row r="52127" spans="23:23" x14ac:dyDescent="0.55000000000000004">
      <c r="W52127"/>
    </row>
    <row r="52128" spans="23:23" x14ac:dyDescent="0.55000000000000004">
      <c r="W52128"/>
    </row>
    <row r="52129" spans="23:23" x14ac:dyDescent="0.55000000000000004">
      <c r="W52129"/>
    </row>
    <row r="52130" spans="23:23" x14ac:dyDescent="0.55000000000000004">
      <c r="W52130"/>
    </row>
    <row r="52131" spans="23:23" x14ac:dyDescent="0.55000000000000004">
      <c r="W52131"/>
    </row>
    <row r="52132" spans="23:23" x14ac:dyDescent="0.55000000000000004">
      <c r="W52132"/>
    </row>
    <row r="52133" spans="23:23" x14ac:dyDescent="0.55000000000000004">
      <c r="W52133"/>
    </row>
    <row r="52134" spans="23:23" x14ac:dyDescent="0.55000000000000004">
      <c r="W52134"/>
    </row>
    <row r="52135" spans="23:23" x14ac:dyDescent="0.55000000000000004">
      <c r="W52135"/>
    </row>
    <row r="52136" spans="23:23" x14ac:dyDescent="0.55000000000000004">
      <c r="W52136"/>
    </row>
    <row r="52137" spans="23:23" x14ac:dyDescent="0.55000000000000004">
      <c r="W52137"/>
    </row>
    <row r="52138" spans="23:23" x14ac:dyDescent="0.55000000000000004">
      <c r="W52138"/>
    </row>
    <row r="52139" spans="23:23" x14ac:dyDescent="0.55000000000000004">
      <c r="W52139"/>
    </row>
    <row r="52140" spans="23:23" x14ac:dyDescent="0.55000000000000004">
      <c r="W52140"/>
    </row>
    <row r="52141" spans="23:23" x14ac:dyDescent="0.55000000000000004">
      <c r="W52141"/>
    </row>
    <row r="52142" spans="23:23" x14ac:dyDescent="0.55000000000000004">
      <c r="W52142"/>
    </row>
    <row r="52143" spans="23:23" x14ac:dyDescent="0.55000000000000004">
      <c r="W52143"/>
    </row>
    <row r="52144" spans="23:23" x14ac:dyDescent="0.55000000000000004">
      <c r="W52144"/>
    </row>
    <row r="52145" spans="23:23" x14ac:dyDescent="0.55000000000000004">
      <c r="W52145"/>
    </row>
    <row r="52146" spans="23:23" x14ac:dyDescent="0.55000000000000004">
      <c r="W52146"/>
    </row>
    <row r="52147" spans="23:23" x14ac:dyDescent="0.55000000000000004">
      <c r="W52147"/>
    </row>
    <row r="52148" spans="23:23" x14ac:dyDescent="0.55000000000000004">
      <c r="W52148"/>
    </row>
    <row r="52149" spans="23:23" x14ac:dyDescent="0.55000000000000004">
      <c r="W52149"/>
    </row>
    <row r="52150" spans="23:23" x14ac:dyDescent="0.55000000000000004">
      <c r="W52150"/>
    </row>
    <row r="52151" spans="23:23" x14ac:dyDescent="0.55000000000000004">
      <c r="W52151"/>
    </row>
    <row r="52152" spans="23:23" x14ac:dyDescent="0.55000000000000004">
      <c r="W52152"/>
    </row>
    <row r="52153" spans="23:23" x14ac:dyDescent="0.55000000000000004">
      <c r="W52153"/>
    </row>
    <row r="52154" spans="23:23" x14ac:dyDescent="0.55000000000000004">
      <c r="W52154"/>
    </row>
    <row r="52155" spans="23:23" x14ac:dyDescent="0.55000000000000004">
      <c r="W52155"/>
    </row>
    <row r="52156" spans="23:23" x14ac:dyDescent="0.55000000000000004">
      <c r="W52156"/>
    </row>
    <row r="52157" spans="23:23" x14ac:dyDescent="0.55000000000000004">
      <c r="W52157"/>
    </row>
    <row r="52158" spans="23:23" x14ac:dyDescent="0.55000000000000004">
      <c r="W52158"/>
    </row>
    <row r="52159" spans="23:23" x14ac:dyDescent="0.55000000000000004">
      <c r="W52159"/>
    </row>
    <row r="52160" spans="23:23" x14ac:dyDescent="0.55000000000000004">
      <c r="W52160"/>
    </row>
    <row r="52161" spans="23:23" x14ac:dyDescent="0.55000000000000004">
      <c r="W52161"/>
    </row>
    <row r="52162" spans="23:23" x14ac:dyDescent="0.55000000000000004">
      <c r="W52162"/>
    </row>
    <row r="52163" spans="23:23" x14ac:dyDescent="0.55000000000000004">
      <c r="W52163"/>
    </row>
    <row r="52164" spans="23:23" x14ac:dyDescent="0.55000000000000004">
      <c r="W52164"/>
    </row>
    <row r="52165" spans="23:23" x14ac:dyDescent="0.55000000000000004">
      <c r="W52165"/>
    </row>
    <row r="52166" spans="23:23" x14ac:dyDescent="0.55000000000000004">
      <c r="W52166"/>
    </row>
    <row r="52167" spans="23:23" x14ac:dyDescent="0.55000000000000004">
      <c r="W52167"/>
    </row>
    <row r="52168" spans="23:23" x14ac:dyDescent="0.55000000000000004">
      <c r="W52168"/>
    </row>
    <row r="52169" spans="23:23" x14ac:dyDescent="0.55000000000000004">
      <c r="W52169"/>
    </row>
    <row r="52170" spans="23:23" x14ac:dyDescent="0.55000000000000004">
      <c r="W52170"/>
    </row>
    <row r="52171" spans="23:23" x14ac:dyDescent="0.55000000000000004">
      <c r="W52171"/>
    </row>
    <row r="52172" spans="23:23" x14ac:dyDescent="0.55000000000000004">
      <c r="W52172"/>
    </row>
    <row r="52173" spans="23:23" x14ac:dyDescent="0.55000000000000004">
      <c r="W52173"/>
    </row>
    <row r="52174" spans="23:23" x14ac:dyDescent="0.55000000000000004">
      <c r="W52174"/>
    </row>
    <row r="52175" spans="23:23" x14ac:dyDescent="0.55000000000000004">
      <c r="W52175"/>
    </row>
    <row r="52176" spans="23:23" x14ac:dyDescent="0.55000000000000004">
      <c r="W52176"/>
    </row>
    <row r="52177" spans="23:23" x14ac:dyDescent="0.55000000000000004">
      <c r="W52177"/>
    </row>
    <row r="52178" spans="23:23" x14ac:dyDescent="0.55000000000000004">
      <c r="W52178"/>
    </row>
    <row r="52179" spans="23:23" x14ac:dyDescent="0.55000000000000004">
      <c r="W52179"/>
    </row>
    <row r="52180" spans="23:23" x14ac:dyDescent="0.55000000000000004">
      <c r="W52180"/>
    </row>
    <row r="52181" spans="23:23" x14ac:dyDescent="0.55000000000000004">
      <c r="W52181"/>
    </row>
    <row r="52182" spans="23:23" x14ac:dyDescent="0.55000000000000004">
      <c r="W52182"/>
    </row>
    <row r="52183" spans="23:23" x14ac:dyDescent="0.55000000000000004">
      <c r="W52183"/>
    </row>
    <row r="52184" spans="23:23" x14ac:dyDescent="0.55000000000000004">
      <c r="W52184"/>
    </row>
    <row r="52185" spans="23:23" x14ac:dyDescent="0.55000000000000004">
      <c r="W52185"/>
    </row>
    <row r="52186" spans="23:23" x14ac:dyDescent="0.55000000000000004">
      <c r="W52186"/>
    </row>
    <row r="52187" spans="23:23" x14ac:dyDescent="0.55000000000000004">
      <c r="W52187"/>
    </row>
    <row r="52188" spans="23:23" x14ac:dyDescent="0.55000000000000004">
      <c r="W52188"/>
    </row>
    <row r="52189" spans="23:23" x14ac:dyDescent="0.55000000000000004">
      <c r="W52189"/>
    </row>
    <row r="52190" spans="23:23" x14ac:dyDescent="0.55000000000000004">
      <c r="W52190"/>
    </row>
    <row r="52191" spans="23:23" x14ac:dyDescent="0.55000000000000004">
      <c r="W52191"/>
    </row>
    <row r="52192" spans="23:23" x14ac:dyDescent="0.55000000000000004">
      <c r="W52192"/>
    </row>
    <row r="52193" spans="23:23" x14ac:dyDescent="0.55000000000000004">
      <c r="W52193"/>
    </row>
    <row r="52194" spans="23:23" x14ac:dyDescent="0.55000000000000004">
      <c r="W52194"/>
    </row>
    <row r="52195" spans="23:23" x14ac:dyDescent="0.55000000000000004">
      <c r="W52195"/>
    </row>
    <row r="52196" spans="23:23" x14ac:dyDescent="0.55000000000000004">
      <c r="W52196"/>
    </row>
    <row r="52197" spans="23:23" x14ac:dyDescent="0.55000000000000004">
      <c r="W52197"/>
    </row>
    <row r="52198" spans="23:23" x14ac:dyDescent="0.55000000000000004">
      <c r="W52198"/>
    </row>
    <row r="52199" spans="23:23" x14ac:dyDescent="0.55000000000000004">
      <c r="W52199"/>
    </row>
    <row r="52200" spans="23:23" x14ac:dyDescent="0.55000000000000004">
      <c r="W52200"/>
    </row>
    <row r="52201" spans="23:23" x14ac:dyDescent="0.55000000000000004">
      <c r="W52201"/>
    </row>
    <row r="52202" spans="23:23" x14ac:dyDescent="0.55000000000000004">
      <c r="W52202"/>
    </row>
    <row r="52203" spans="23:23" x14ac:dyDescent="0.55000000000000004">
      <c r="W52203"/>
    </row>
    <row r="52204" spans="23:23" x14ac:dyDescent="0.55000000000000004">
      <c r="W52204"/>
    </row>
    <row r="52205" spans="23:23" x14ac:dyDescent="0.55000000000000004">
      <c r="W52205"/>
    </row>
    <row r="52206" spans="23:23" x14ac:dyDescent="0.55000000000000004">
      <c r="W52206"/>
    </row>
    <row r="52207" spans="23:23" x14ac:dyDescent="0.55000000000000004">
      <c r="W52207"/>
    </row>
    <row r="52208" spans="23:23" x14ac:dyDescent="0.55000000000000004">
      <c r="W52208"/>
    </row>
    <row r="52209" spans="23:23" x14ac:dyDescent="0.55000000000000004">
      <c r="W52209"/>
    </row>
    <row r="52210" spans="23:23" x14ac:dyDescent="0.55000000000000004">
      <c r="W52210"/>
    </row>
    <row r="52211" spans="23:23" x14ac:dyDescent="0.55000000000000004">
      <c r="W52211"/>
    </row>
    <row r="52212" spans="23:23" x14ac:dyDescent="0.55000000000000004">
      <c r="W52212"/>
    </row>
    <row r="52213" spans="23:23" x14ac:dyDescent="0.55000000000000004">
      <c r="W52213"/>
    </row>
    <row r="52214" spans="23:23" x14ac:dyDescent="0.55000000000000004">
      <c r="W52214"/>
    </row>
    <row r="52215" spans="23:23" x14ac:dyDescent="0.55000000000000004">
      <c r="W52215"/>
    </row>
    <row r="52216" spans="23:23" x14ac:dyDescent="0.55000000000000004">
      <c r="W52216"/>
    </row>
    <row r="52217" spans="23:23" x14ac:dyDescent="0.55000000000000004">
      <c r="W52217"/>
    </row>
    <row r="52218" spans="23:23" x14ac:dyDescent="0.55000000000000004">
      <c r="W52218"/>
    </row>
    <row r="52219" spans="23:23" x14ac:dyDescent="0.55000000000000004">
      <c r="W52219"/>
    </row>
    <row r="52220" spans="23:23" x14ac:dyDescent="0.55000000000000004">
      <c r="W52220"/>
    </row>
    <row r="52221" spans="23:23" x14ac:dyDescent="0.55000000000000004">
      <c r="W52221"/>
    </row>
    <row r="52222" spans="23:23" x14ac:dyDescent="0.55000000000000004">
      <c r="W52222"/>
    </row>
    <row r="52223" spans="23:23" x14ac:dyDescent="0.55000000000000004">
      <c r="W52223"/>
    </row>
    <row r="52224" spans="23:23" x14ac:dyDescent="0.55000000000000004">
      <c r="W52224"/>
    </row>
    <row r="52225" spans="23:23" x14ac:dyDescent="0.55000000000000004">
      <c r="W52225"/>
    </row>
    <row r="52226" spans="23:23" x14ac:dyDescent="0.55000000000000004">
      <c r="W52226"/>
    </row>
    <row r="52227" spans="23:23" x14ac:dyDescent="0.55000000000000004">
      <c r="W52227"/>
    </row>
    <row r="52228" spans="23:23" x14ac:dyDescent="0.55000000000000004">
      <c r="W52228"/>
    </row>
    <row r="52229" spans="23:23" x14ac:dyDescent="0.55000000000000004">
      <c r="W52229"/>
    </row>
    <row r="52230" spans="23:23" x14ac:dyDescent="0.55000000000000004">
      <c r="W52230"/>
    </row>
    <row r="52231" spans="23:23" x14ac:dyDescent="0.55000000000000004">
      <c r="W52231"/>
    </row>
    <row r="52232" spans="23:23" x14ac:dyDescent="0.55000000000000004">
      <c r="W52232"/>
    </row>
    <row r="52233" spans="23:23" x14ac:dyDescent="0.55000000000000004">
      <c r="W52233"/>
    </row>
    <row r="52234" spans="23:23" x14ac:dyDescent="0.55000000000000004">
      <c r="W52234"/>
    </row>
    <row r="52235" spans="23:23" x14ac:dyDescent="0.55000000000000004">
      <c r="W52235"/>
    </row>
    <row r="52236" spans="23:23" x14ac:dyDescent="0.55000000000000004">
      <c r="W52236"/>
    </row>
    <row r="52237" spans="23:23" x14ac:dyDescent="0.55000000000000004">
      <c r="W52237"/>
    </row>
    <row r="52238" spans="23:23" x14ac:dyDescent="0.55000000000000004">
      <c r="W52238"/>
    </row>
    <row r="52239" spans="23:23" x14ac:dyDescent="0.55000000000000004">
      <c r="W52239"/>
    </row>
    <row r="52240" spans="23:23" x14ac:dyDescent="0.55000000000000004">
      <c r="W52240"/>
    </row>
    <row r="52241" spans="23:23" x14ac:dyDescent="0.55000000000000004">
      <c r="W52241"/>
    </row>
    <row r="52242" spans="23:23" x14ac:dyDescent="0.55000000000000004">
      <c r="W52242"/>
    </row>
    <row r="52243" spans="23:23" x14ac:dyDescent="0.55000000000000004">
      <c r="W52243"/>
    </row>
    <row r="52244" spans="23:23" x14ac:dyDescent="0.55000000000000004">
      <c r="W52244"/>
    </row>
    <row r="52245" spans="23:23" x14ac:dyDescent="0.55000000000000004">
      <c r="W52245"/>
    </row>
    <row r="52246" spans="23:23" x14ac:dyDescent="0.55000000000000004">
      <c r="W52246"/>
    </row>
    <row r="52247" spans="23:23" x14ac:dyDescent="0.55000000000000004">
      <c r="W52247"/>
    </row>
    <row r="52248" spans="23:23" x14ac:dyDescent="0.55000000000000004">
      <c r="W52248"/>
    </row>
    <row r="52249" spans="23:23" x14ac:dyDescent="0.55000000000000004">
      <c r="W52249"/>
    </row>
    <row r="52250" spans="23:23" x14ac:dyDescent="0.55000000000000004">
      <c r="W52250"/>
    </row>
    <row r="52251" spans="23:23" x14ac:dyDescent="0.55000000000000004">
      <c r="W52251"/>
    </row>
    <row r="52252" spans="23:23" x14ac:dyDescent="0.55000000000000004">
      <c r="W52252"/>
    </row>
    <row r="52253" spans="23:23" x14ac:dyDescent="0.55000000000000004">
      <c r="W52253"/>
    </row>
    <row r="52254" spans="23:23" x14ac:dyDescent="0.55000000000000004">
      <c r="W52254"/>
    </row>
    <row r="52255" spans="23:23" x14ac:dyDescent="0.55000000000000004">
      <c r="W52255"/>
    </row>
    <row r="52256" spans="23:23" x14ac:dyDescent="0.55000000000000004">
      <c r="W52256"/>
    </row>
    <row r="52257" spans="23:23" x14ac:dyDescent="0.55000000000000004">
      <c r="W52257"/>
    </row>
    <row r="52258" spans="23:23" x14ac:dyDescent="0.55000000000000004">
      <c r="W52258"/>
    </row>
    <row r="52259" spans="23:23" x14ac:dyDescent="0.55000000000000004">
      <c r="W52259"/>
    </row>
    <row r="52260" spans="23:23" x14ac:dyDescent="0.55000000000000004">
      <c r="W52260"/>
    </row>
    <row r="52261" spans="23:23" x14ac:dyDescent="0.55000000000000004">
      <c r="W52261"/>
    </row>
    <row r="52262" spans="23:23" x14ac:dyDescent="0.55000000000000004">
      <c r="W52262"/>
    </row>
    <row r="52263" spans="23:23" x14ac:dyDescent="0.55000000000000004">
      <c r="W52263"/>
    </row>
    <row r="52264" spans="23:23" x14ac:dyDescent="0.55000000000000004">
      <c r="W52264"/>
    </row>
    <row r="52265" spans="23:23" x14ac:dyDescent="0.55000000000000004">
      <c r="W52265"/>
    </row>
    <row r="52266" spans="23:23" x14ac:dyDescent="0.55000000000000004">
      <c r="W52266"/>
    </row>
    <row r="52267" spans="23:23" x14ac:dyDescent="0.55000000000000004">
      <c r="W52267"/>
    </row>
    <row r="52268" spans="23:23" x14ac:dyDescent="0.55000000000000004">
      <c r="W52268"/>
    </row>
    <row r="52269" spans="23:23" x14ac:dyDescent="0.55000000000000004">
      <c r="W52269"/>
    </row>
    <row r="52270" spans="23:23" x14ac:dyDescent="0.55000000000000004">
      <c r="W52270"/>
    </row>
    <row r="52271" spans="23:23" x14ac:dyDescent="0.55000000000000004">
      <c r="W52271"/>
    </row>
    <row r="52272" spans="23:23" x14ac:dyDescent="0.55000000000000004">
      <c r="W52272"/>
    </row>
    <row r="52273" spans="23:23" x14ac:dyDescent="0.55000000000000004">
      <c r="W52273"/>
    </row>
    <row r="52274" spans="23:23" x14ac:dyDescent="0.55000000000000004">
      <c r="W52274"/>
    </row>
    <row r="52275" spans="23:23" x14ac:dyDescent="0.55000000000000004">
      <c r="W52275"/>
    </row>
    <row r="52276" spans="23:23" x14ac:dyDescent="0.55000000000000004">
      <c r="W52276"/>
    </row>
    <row r="52277" spans="23:23" x14ac:dyDescent="0.55000000000000004">
      <c r="W52277"/>
    </row>
    <row r="52278" spans="23:23" x14ac:dyDescent="0.55000000000000004">
      <c r="W52278"/>
    </row>
    <row r="52279" spans="23:23" x14ac:dyDescent="0.55000000000000004">
      <c r="W52279"/>
    </row>
    <row r="52280" spans="23:23" x14ac:dyDescent="0.55000000000000004">
      <c r="W52280"/>
    </row>
    <row r="52281" spans="23:23" x14ac:dyDescent="0.55000000000000004">
      <c r="W52281"/>
    </row>
    <row r="52282" spans="23:23" x14ac:dyDescent="0.55000000000000004">
      <c r="W52282"/>
    </row>
    <row r="52283" spans="23:23" x14ac:dyDescent="0.55000000000000004">
      <c r="W52283"/>
    </row>
    <row r="52284" spans="23:23" x14ac:dyDescent="0.55000000000000004">
      <c r="W52284"/>
    </row>
    <row r="52285" spans="23:23" x14ac:dyDescent="0.55000000000000004">
      <c r="W52285"/>
    </row>
    <row r="52286" spans="23:23" x14ac:dyDescent="0.55000000000000004">
      <c r="W52286"/>
    </row>
    <row r="52287" spans="23:23" x14ac:dyDescent="0.55000000000000004">
      <c r="W52287"/>
    </row>
    <row r="52288" spans="23:23" x14ac:dyDescent="0.55000000000000004">
      <c r="W52288"/>
    </row>
    <row r="52289" spans="23:23" x14ac:dyDescent="0.55000000000000004">
      <c r="W52289"/>
    </row>
    <row r="52290" spans="23:23" x14ac:dyDescent="0.55000000000000004">
      <c r="W52290"/>
    </row>
    <row r="52291" spans="23:23" x14ac:dyDescent="0.55000000000000004">
      <c r="W52291"/>
    </row>
    <row r="52292" spans="23:23" x14ac:dyDescent="0.55000000000000004">
      <c r="W52292"/>
    </row>
    <row r="52293" spans="23:23" x14ac:dyDescent="0.55000000000000004">
      <c r="W52293"/>
    </row>
    <row r="52294" spans="23:23" x14ac:dyDescent="0.55000000000000004">
      <c r="W52294"/>
    </row>
    <row r="52295" spans="23:23" x14ac:dyDescent="0.55000000000000004">
      <c r="W52295"/>
    </row>
    <row r="52296" spans="23:23" x14ac:dyDescent="0.55000000000000004">
      <c r="W52296"/>
    </row>
    <row r="52297" spans="23:23" x14ac:dyDescent="0.55000000000000004">
      <c r="W52297"/>
    </row>
    <row r="52298" spans="23:23" x14ac:dyDescent="0.55000000000000004">
      <c r="W52298"/>
    </row>
    <row r="52299" spans="23:23" x14ac:dyDescent="0.55000000000000004">
      <c r="W52299"/>
    </row>
    <row r="52300" spans="23:23" x14ac:dyDescent="0.55000000000000004">
      <c r="W52300"/>
    </row>
    <row r="52301" spans="23:23" x14ac:dyDescent="0.55000000000000004">
      <c r="W52301"/>
    </row>
    <row r="52302" spans="23:23" x14ac:dyDescent="0.55000000000000004">
      <c r="W52302"/>
    </row>
    <row r="52303" spans="23:23" x14ac:dyDescent="0.55000000000000004">
      <c r="W52303"/>
    </row>
    <row r="52304" spans="23:23" x14ac:dyDescent="0.55000000000000004">
      <c r="W52304"/>
    </row>
    <row r="52305" spans="23:23" x14ac:dyDescent="0.55000000000000004">
      <c r="W52305"/>
    </row>
    <row r="52306" spans="23:23" x14ac:dyDescent="0.55000000000000004">
      <c r="W52306"/>
    </row>
    <row r="52307" spans="23:23" x14ac:dyDescent="0.55000000000000004">
      <c r="W52307"/>
    </row>
    <row r="52308" spans="23:23" x14ac:dyDescent="0.55000000000000004">
      <c r="W52308"/>
    </row>
    <row r="52309" spans="23:23" x14ac:dyDescent="0.55000000000000004">
      <c r="W52309"/>
    </row>
    <row r="52310" spans="23:23" x14ac:dyDescent="0.55000000000000004">
      <c r="W52310"/>
    </row>
    <row r="52311" spans="23:23" x14ac:dyDescent="0.55000000000000004">
      <c r="W52311"/>
    </row>
    <row r="52312" spans="23:23" x14ac:dyDescent="0.55000000000000004">
      <c r="W52312"/>
    </row>
    <row r="52313" spans="23:23" x14ac:dyDescent="0.55000000000000004">
      <c r="W52313"/>
    </row>
    <row r="52314" spans="23:23" x14ac:dyDescent="0.55000000000000004">
      <c r="W52314"/>
    </row>
    <row r="52315" spans="23:23" x14ac:dyDescent="0.55000000000000004">
      <c r="W52315"/>
    </row>
    <row r="52316" spans="23:23" x14ac:dyDescent="0.55000000000000004">
      <c r="W52316"/>
    </row>
    <row r="52317" spans="23:23" x14ac:dyDescent="0.55000000000000004">
      <c r="W52317"/>
    </row>
    <row r="52318" spans="23:23" x14ac:dyDescent="0.55000000000000004">
      <c r="W52318"/>
    </row>
    <row r="52319" spans="23:23" x14ac:dyDescent="0.55000000000000004">
      <c r="W52319"/>
    </row>
    <row r="52320" spans="23:23" x14ac:dyDescent="0.55000000000000004">
      <c r="W52320"/>
    </row>
    <row r="52321" spans="23:23" x14ac:dyDescent="0.55000000000000004">
      <c r="W52321"/>
    </row>
    <row r="52322" spans="23:23" x14ac:dyDescent="0.55000000000000004">
      <c r="W52322"/>
    </row>
    <row r="52323" spans="23:23" x14ac:dyDescent="0.55000000000000004">
      <c r="W52323"/>
    </row>
    <row r="52324" spans="23:23" x14ac:dyDescent="0.55000000000000004">
      <c r="W52324"/>
    </row>
    <row r="52325" spans="23:23" x14ac:dyDescent="0.55000000000000004">
      <c r="W52325"/>
    </row>
    <row r="52326" spans="23:23" x14ac:dyDescent="0.55000000000000004">
      <c r="W52326"/>
    </row>
    <row r="52327" spans="23:23" x14ac:dyDescent="0.55000000000000004">
      <c r="W52327"/>
    </row>
    <row r="52328" spans="23:23" x14ac:dyDescent="0.55000000000000004">
      <c r="W52328"/>
    </row>
    <row r="52329" spans="23:23" x14ac:dyDescent="0.55000000000000004">
      <c r="W52329"/>
    </row>
    <row r="52330" spans="23:23" x14ac:dyDescent="0.55000000000000004">
      <c r="W52330"/>
    </row>
    <row r="52331" spans="23:23" x14ac:dyDescent="0.55000000000000004">
      <c r="W52331"/>
    </row>
    <row r="52332" spans="23:23" x14ac:dyDescent="0.55000000000000004">
      <c r="W52332"/>
    </row>
    <row r="52333" spans="23:23" x14ac:dyDescent="0.55000000000000004">
      <c r="W52333"/>
    </row>
    <row r="52334" spans="23:23" x14ac:dyDescent="0.55000000000000004">
      <c r="W52334"/>
    </row>
    <row r="52335" spans="23:23" x14ac:dyDescent="0.55000000000000004">
      <c r="W52335"/>
    </row>
    <row r="52336" spans="23:23" x14ac:dyDescent="0.55000000000000004">
      <c r="W52336"/>
    </row>
    <row r="52337" spans="23:23" x14ac:dyDescent="0.55000000000000004">
      <c r="W52337"/>
    </row>
    <row r="52338" spans="23:23" x14ac:dyDescent="0.55000000000000004">
      <c r="W52338"/>
    </row>
    <row r="52339" spans="23:23" x14ac:dyDescent="0.55000000000000004">
      <c r="W52339"/>
    </row>
    <row r="52340" spans="23:23" x14ac:dyDescent="0.55000000000000004">
      <c r="W52340"/>
    </row>
    <row r="52341" spans="23:23" x14ac:dyDescent="0.55000000000000004">
      <c r="W52341"/>
    </row>
    <row r="52342" spans="23:23" x14ac:dyDescent="0.55000000000000004">
      <c r="W52342"/>
    </row>
    <row r="52343" spans="23:23" x14ac:dyDescent="0.55000000000000004">
      <c r="W52343"/>
    </row>
    <row r="52344" spans="23:23" x14ac:dyDescent="0.55000000000000004">
      <c r="W52344"/>
    </row>
    <row r="52345" spans="23:23" x14ac:dyDescent="0.55000000000000004">
      <c r="W52345"/>
    </row>
    <row r="52346" spans="23:23" x14ac:dyDescent="0.55000000000000004">
      <c r="W52346"/>
    </row>
    <row r="52347" spans="23:23" x14ac:dyDescent="0.55000000000000004">
      <c r="W52347"/>
    </row>
    <row r="52348" spans="23:23" x14ac:dyDescent="0.55000000000000004">
      <c r="W52348"/>
    </row>
    <row r="52349" spans="23:23" x14ac:dyDescent="0.55000000000000004">
      <c r="W52349"/>
    </row>
    <row r="52350" spans="23:23" x14ac:dyDescent="0.55000000000000004">
      <c r="W52350"/>
    </row>
    <row r="52351" spans="23:23" x14ac:dyDescent="0.55000000000000004">
      <c r="W52351"/>
    </row>
    <row r="52352" spans="23:23" x14ac:dyDescent="0.55000000000000004">
      <c r="W52352"/>
    </row>
    <row r="52353" spans="23:23" x14ac:dyDescent="0.55000000000000004">
      <c r="W52353"/>
    </row>
    <row r="52354" spans="23:23" x14ac:dyDescent="0.55000000000000004">
      <c r="W52354"/>
    </row>
    <row r="52355" spans="23:23" x14ac:dyDescent="0.55000000000000004">
      <c r="W52355"/>
    </row>
    <row r="52356" spans="23:23" x14ac:dyDescent="0.55000000000000004">
      <c r="W52356"/>
    </row>
    <row r="52357" spans="23:23" x14ac:dyDescent="0.55000000000000004">
      <c r="W52357"/>
    </row>
    <row r="52358" spans="23:23" x14ac:dyDescent="0.55000000000000004">
      <c r="W52358"/>
    </row>
    <row r="52359" spans="23:23" x14ac:dyDescent="0.55000000000000004">
      <c r="W52359"/>
    </row>
    <row r="52360" spans="23:23" x14ac:dyDescent="0.55000000000000004">
      <c r="W52360"/>
    </row>
    <row r="52361" spans="23:23" x14ac:dyDescent="0.55000000000000004">
      <c r="W52361"/>
    </row>
    <row r="52362" spans="23:23" x14ac:dyDescent="0.55000000000000004">
      <c r="W52362"/>
    </row>
    <row r="52363" spans="23:23" x14ac:dyDescent="0.55000000000000004">
      <c r="W52363"/>
    </row>
    <row r="52364" spans="23:23" x14ac:dyDescent="0.55000000000000004">
      <c r="W52364"/>
    </row>
    <row r="52365" spans="23:23" x14ac:dyDescent="0.55000000000000004">
      <c r="W52365"/>
    </row>
    <row r="52366" spans="23:23" x14ac:dyDescent="0.55000000000000004">
      <c r="W52366"/>
    </row>
    <row r="52367" spans="23:23" x14ac:dyDescent="0.55000000000000004">
      <c r="W52367"/>
    </row>
    <row r="52368" spans="23:23" x14ac:dyDescent="0.55000000000000004">
      <c r="W52368"/>
    </row>
    <row r="52369" spans="23:23" x14ac:dyDescent="0.55000000000000004">
      <c r="W52369"/>
    </row>
    <row r="52370" spans="23:23" x14ac:dyDescent="0.55000000000000004">
      <c r="W52370"/>
    </row>
    <row r="52371" spans="23:23" x14ac:dyDescent="0.55000000000000004">
      <c r="W52371"/>
    </row>
    <row r="52372" spans="23:23" x14ac:dyDescent="0.55000000000000004">
      <c r="W52372"/>
    </row>
    <row r="52373" spans="23:23" x14ac:dyDescent="0.55000000000000004">
      <c r="W52373"/>
    </row>
    <row r="52374" spans="23:23" x14ac:dyDescent="0.55000000000000004">
      <c r="W52374"/>
    </row>
    <row r="52375" spans="23:23" x14ac:dyDescent="0.55000000000000004">
      <c r="W52375"/>
    </row>
    <row r="52376" spans="23:23" x14ac:dyDescent="0.55000000000000004">
      <c r="W52376"/>
    </row>
    <row r="52377" spans="23:23" x14ac:dyDescent="0.55000000000000004">
      <c r="W52377"/>
    </row>
    <row r="52378" spans="23:23" x14ac:dyDescent="0.55000000000000004">
      <c r="W52378"/>
    </row>
    <row r="52379" spans="23:23" x14ac:dyDescent="0.55000000000000004">
      <c r="W52379"/>
    </row>
    <row r="52380" spans="23:23" x14ac:dyDescent="0.55000000000000004">
      <c r="W52380"/>
    </row>
    <row r="52381" spans="23:23" x14ac:dyDescent="0.55000000000000004">
      <c r="W52381"/>
    </row>
    <row r="52382" spans="23:23" x14ac:dyDescent="0.55000000000000004">
      <c r="W52382"/>
    </row>
    <row r="52383" spans="23:23" x14ac:dyDescent="0.55000000000000004">
      <c r="W52383"/>
    </row>
    <row r="52384" spans="23:23" x14ac:dyDescent="0.55000000000000004">
      <c r="W52384"/>
    </row>
    <row r="52385" spans="23:23" x14ac:dyDescent="0.55000000000000004">
      <c r="W52385"/>
    </row>
    <row r="52386" spans="23:23" x14ac:dyDescent="0.55000000000000004">
      <c r="W52386"/>
    </row>
    <row r="52387" spans="23:23" x14ac:dyDescent="0.55000000000000004">
      <c r="W52387"/>
    </row>
    <row r="52388" spans="23:23" x14ac:dyDescent="0.55000000000000004">
      <c r="W52388"/>
    </row>
    <row r="52389" spans="23:23" x14ac:dyDescent="0.55000000000000004">
      <c r="W52389"/>
    </row>
    <row r="52390" spans="23:23" x14ac:dyDescent="0.55000000000000004">
      <c r="W52390"/>
    </row>
    <row r="52391" spans="23:23" x14ac:dyDescent="0.55000000000000004">
      <c r="W52391"/>
    </row>
    <row r="52392" spans="23:23" x14ac:dyDescent="0.55000000000000004">
      <c r="W52392"/>
    </row>
    <row r="52393" spans="23:23" x14ac:dyDescent="0.55000000000000004">
      <c r="W52393"/>
    </row>
    <row r="52394" spans="23:23" x14ac:dyDescent="0.55000000000000004">
      <c r="W52394"/>
    </row>
    <row r="52395" spans="23:23" x14ac:dyDescent="0.55000000000000004">
      <c r="W52395"/>
    </row>
    <row r="52396" spans="23:23" x14ac:dyDescent="0.55000000000000004">
      <c r="W52396"/>
    </row>
    <row r="52397" spans="23:23" x14ac:dyDescent="0.55000000000000004">
      <c r="W52397"/>
    </row>
    <row r="52398" spans="23:23" x14ac:dyDescent="0.55000000000000004">
      <c r="W52398"/>
    </row>
    <row r="52399" spans="23:23" x14ac:dyDescent="0.55000000000000004">
      <c r="W52399"/>
    </row>
    <row r="52400" spans="23:23" x14ac:dyDescent="0.55000000000000004">
      <c r="W52400"/>
    </row>
    <row r="52401" spans="23:23" x14ac:dyDescent="0.55000000000000004">
      <c r="W52401"/>
    </row>
    <row r="52402" spans="23:23" x14ac:dyDescent="0.55000000000000004">
      <c r="W52402"/>
    </row>
    <row r="52403" spans="23:23" x14ac:dyDescent="0.55000000000000004">
      <c r="W52403"/>
    </row>
    <row r="52404" spans="23:23" x14ac:dyDescent="0.55000000000000004">
      <c r="W52404"/>
    </row>
    <row r="52405" spans="23:23" x14ac:dyDescent="0.55000000000000004">
      <c r="W52405"/>
    </row>
    <row r="52406" spans="23:23" x14ac:dyDescent="0.55000000000000004">
      <c r="W52406"/>
    </row>
    <row r="52407" spans="23:23" x14ac:dyDescent="0.55000000000000004">
      <c r="W52407"/>
    </row>
    <row r="52408" spans="23:23" x14ac:dyDescent="0.55000000000000004">
      <c r="W52408"/>
    </row>
    <row r="52409" spans="23:23" x14ac:dyDescent="0.55000000000000004">
      <c r="W52409"/>
    </row>
    <row r="52410" spans="23:23" x14ac:dyDescent="0.55000000000000004">
      <c r="W52410"/>
    </row>
    <row r="52411" spans="23:23" x14ac:dyDescent="0.55000000000000004">
      <c r="W52411"/>
    </row>
    <row r="52412" spans="23:23" x14ac:dyDescent="0.55000000000000004">
      <c r="W52412"/>
    </row>
    <row r="52413" spans="23:23" x14ac:dyDescent="0.55000000000000004">
      <c r="W52413"/>
    </row>
    <row r="52414" spans="23:23" x14ac:dyDescent="0.55000000000000004">
      <c r="W52414"/>
    </row>
    <row r="52415" spans="23:23" x14ac:dyDescent="0.55000000000000004">
      <c r="W52415"/>
    </row>
    <row r="52416" spans="23:23" x14ac:dyDescent="0.55000000000000004">
      <c r="W52416"/>
    </row>
    <row r="52417" spans="23:23" x14ac:dyDescent="0.55000000000000004">
      <c r="W52417"/>
    </row>
    <row r="52418" spans="23:23" x14ac:dyDescent="0.55000000000000004">
      <c r="W52418"/>
    </row>
    <row r="52419" spans="23:23" x14ac:dyDescent="0.55000000000000004">
      <c r="W52419"/>
    </row>
    <row r="52420" spans="23:23" x14ac:dyDescent="0.55000000000000004">
      <c r="W52420"/>
    </row>
    <row r="52421" spans="23:23" x14ac:dyDescent="0.55000000000000004">
      <c r="W52421"/>
    </row>
    <row r="52422" spans="23:23" x14ac:dyDescent="0.55000000000000004">
      <c r="W52422"/>
    </row>
    <row r="52423" spans="23:23" x14ac:dyDescent="0.55000000000000004">
      <c r="W52423"/>
    </row>
    <row r="52424" spans="23:23" x14ac:dyDescent="0.55000000000000004">
      <c r="W52424"/>
    </row>
    <row r="52425" spans="23:23" x14ac:dyDescent="0.55000000000000004">
      <c r="W52425"/>
    </row>
    <row r="52426" spans="23:23" x14ac:dyDescent="0.55000000000000004">
      <c r="W52426"/>
    </row>
    <row r="52427" spans="23:23" x14ac:dyDescent="0.55000000000000004">
      <c r="W52427"/>
    </row>
    <row r="52428" spans="23:23" x14ac:dyDescent="0.55000000000000004">
      <c r="W52428"/>
    </row>
    <row r="52429" spans="23:23" x14ac:dyDescent="0.55000000000000004">
      <c r="W52429"/>
    </row>
    <row r="52430" spans="23:23" x14ac:dyDescent="0.55000000000000004">
      <c r="W52430"/>
    </row>
    <row r="52431" spans="23:23" x14ac:dyDescent="0.55000000000000004">
      <c r="W52431"/>
    </row>
    <row r="52432" spans="23:23" x14ac:dyDescent="0.55000000000000004">
      <c r="W52432"/>
    </row>
    <row r="52433" spans="23:23" x14ac:dyDescent="0.55000000000000004">
      <c r="W52433"/>
    </row>
    <row r="52434" spans="23:23" x14ac:dyDescent="0.55000000000000004">
      <c r="W52434"/>
    </row>
    <row r="52435" spans="23:23" x14ac:dyDescent="0.55000000000000004">
      <c r="W52435"/>
    </row>
    <row r="52436" spans="23:23" x14ac:dyDescent="0.55000000000000004">
      <c r="W52436"/>
    </row>
    <row r="52437" spans="23:23" x14ac:dyDescent="0.55000000000000004">
      <c r="W52437"/>
    </row>
    <row r="52438" spans="23:23" x14ac:dyDescent="0.55000000000000004">
      <c r="W52438"/>
    </row>
    <row r="52439" spans="23:23" x14ac:dyDescent="0.55000000000000004">
      <c r="W52439"/>
    </row>
    <row r="52440" spans="23:23" x14ac:dyDescent="0.55000000000000004">
      <c r="W52440"/>
    </row>
    <row r="52441" spans="23:23" x14ac:dyDescent="0.55000000000000004">
      <c r="W52441"/>
    </row>
    <row r="52442" spans="23:23" x14ac:dyDescent="0.55000000000000004">
      <c r="W52442"/>
    </row>
    <row r="52443" spans="23:23" x14ac:dyDescent="0.55000000000000004">
      <c r="W52443"/>
    </row>
    <row r="52444" spans="23:23" x14ac:dyDescent="0.55000000000000004">
      <c r="W52444"/>
    </row>
    <row r="52445" spans="23:23" x14ac:dyDescent="0.55000000000000004">
      <c r="W52445"/>
    </row>
    <row r="52446" spans="23:23" x14ac:dyDescent="0.55000000000000004">
      <c r="W52446"/>
    </row>
    <row r="52447" spans="23:23" x14ac:dyDescent="0.55000000000000004">
      <c r="W52447"/>
    </row>
    <row r="52448" spans="23:23" x14ac:dyDescent="0.55000000000000004">
      <c r="W52448"/>
    </row>
    <row r="52449" spans="23:23" x14ac:dyDescent="0.55000000000000004">
      <c r="W52449"/>
    </row>
    <row r="52450" spans="23:23" x14ac:dyDescent="0.55000000000000004">
      <c r="W52450"/>
    </row>
    <row r="52451" spans="23:23" x14ac:dyDescent="0.55000000000000004">
      <c r="W52451"/>
    </row>
    <row r="52452" spans="23:23" x14ac:dyDescent="0.55000000000000004">
      <c r="W52452"/>
    </row>
    <row r="52453" spans="23:23" x14ac:dyDescent="0.55000000000000004">
      <c r="W52453"/>
    </row>
    <row r="52454" spans="23:23" x14ac:dyDescent="0.55000000000000004">
      <c r="W52454"/>
    </row>
    <row r="52455" spans="23:23" x14ac:dyDescent="0.55000000000000004">
      <c r="W52455"/>
    </row>
    <row r="52456" spans="23:23" x14ac:dyDescent="0.55000000000000004">
      <c r="W52456"/>
    </row>
    <row r="52457" spans="23:23" x14ac:dyDescent="0.55000000000000004">
      <c r="W52457"/>
    </row>
    <row r="52458" spans="23:23" x14ac:dyDescent="0.55000000000000004">
      <c r="W52458"/>
    </row>
    <row r="52459" spans="23:23" x14ac:dyDescent="0.55000000000000004">
      <c r="W52459"/>
    </row>
    <row r="52460" spans="23:23" x14ac:dyDescent="0.55000000000000004">
      <c r="W52460"/>
    </row>
    <row r="52461" spans="23:23" x14ac:dyDescent="0.55000000000000004">
      <c r="W52461"/>
    </row>
    <row r="52462" spans="23:23" x14ac:dyDescent="0.55000000000000004">
      <c r="W52462"/>
    </row>
    <row r="52463" spans="23:23" x14ac:dyDescent="0.55000000000000004">
      <c r="W52463"/>
    </row>
    <row r="52464" spans="23:23" x14ac:dyDescent="0.55000000000000004">
      <c r="W52464"/>
    </row>
    <row r="52465" spans="23:23" x14ac:dyDescent="0.55000000000000004">
      <c r="W52465"/>
    </row>
    <row r="52466" spans="23:23" x14ac:dyDescent="0.55000000000000004">
      <c r="W52466"/>
    </row>
    <row r="52467" spans="23:23" x14ac:dyDescent="0.55000000000000004">
      <c r="W52467"/>
    </row>
    <row r="52468" spans="23:23" x14ac:dyDescent="0.55000000000000004">
      <c r="W52468"/>
    </row>
    <row r="52469" spans="23:23" x14ac:dyDescent="0.55000000000000004">
      <c r="W52469"/>
    </row>
    <row r="52470" spans="23:23" x14ac:dyDescent="0.55000000000000004">
      <c r="W52470"/>
    </row>
    <row r="52471" spans="23:23" x14ac:dyDescent="0.55000000000000004">
      <c r="W52471"/>
    </row>
    <row r="52472" spans="23:23" x14ac:dyDescent="0.55000000000000004">
      <c r="W52472"/>
    </row>
    <row r="52473" spans="23:23" x14ac:dyDescent="0.55000000000000004">
      <c r="W52473"/>
    </row>
    <row r="52474" spans="23:23" x14ac:dyDescent="0.55000000000000004">
      <c r="W52474"/>
    </row>
    <row r="52475" spans="23:23" x14ac:dyDescent="0.55000000000000004">
      <c r="W52475"/>
    </row>
    <row r="52476" spans="23:23" x14ac:dyDescent="0.55000000000000004">
      <c r="W52476"/>
    </row>
    <row r="52477" spans="23:23" x14ac:dyDescent="0.55000000000000004">
      <c r="W52477"/>
    </row>
    <row r="52478" spans="23:23" x14ac:dyDescent="0.55000000000000004">
      <c r="W52478"/>
    </row>
    <row r="52479" spans="23:23" x14ac:dyDescent="0.55000000000000004">
      <c r="W52479"/>
    </row>
    <row r="52480" spans="23:23" x14ac:dyDescent="0.55000000000000004">
      <c r="W52480"/>
    </row>
    <row r="52481" spans="23:23" x14ac:dyDescent="0.55000000000000004">
      <c r="W52481"/>
    </row>
    <row r="52482" spans="23:23" x14ac:dyDescent="0.55000000000000004">
      <c r="W52482"/>
    </row>
    <row r="52483" spans="23:23" x14ac:dyDescent="0.55000000000000004">
      <c r="W52483"/>
    </row>
    <row r="52484" spans="23:23" x14ac:dyDescent="0.55000000000000004">
      <c r="W52484"/>
    </row>
    <row r="52485" spans="23:23" x14ac:dyDescent="0.55000000000000004">
      <c r="W52485"/>
    </row>
    <row r="52486" spans="23:23" x14ac:dyDescent="0.55000000000000004">
      <c r="W52486"/>
    </row>
    <row r="52487" spans="23:23" x14ac:dyDescent="0.55000000000000004">
      <c r="W52487"/>
    </row>
    <row r="52488" spans="23:23" x14ac:dyDescent="0.55000000000000004">
      <c r="W52488"/>
    </row>
    <row r="52489" spans="23:23" x14ac:dyDescent="0.55000000000000004">
      <c r="W52489"/>
    </row>
    <row r="52490" spans="23:23" x14ac:dyDescent="0.55000000000000004">
      <c r="W52490"/>
    </row>
    <row r="52491" spans="23:23" x14ac:dyDescent="0.55000000000000004">
      <c r="W52491"/>
    </row>
    <row r="52492" spans="23:23" x14ac:dyDescent="0.55000000000000004">
      <c r="W52492"/>
    </row>
    <row r="52493" spans="23:23" x14ac:dyDescent="0.55000000000000004">
      <c r="W52493"/>
    </row>
    <row r="52494" spans="23:23" x14ac:dyDescent="0.55000000000000004">
      <c r="W52494"/>
    </row>
    <row r="52495" spans="23:23" x14ac:dyDescent="0.55000000000000004">
      <c r="W52495"/>
    </row>
    <row r="52496" spans="23:23" x14ac:dyDescent="0.55000000000000004">
      <c r="W52496"/>
    </row>
    <row r="52497" spans="23:23" x14ac:dyDescent="0.55000000000000004">
      <c r="W52497"/>
    </row>
    <row r="52498" spans="23:23" x14ac:dyDescent="0.55000000000000004">
      <c r="W52498"/>
    </row>
    <row r="52499" spans="23:23" x14ac:dyDescent="0.55000000000000004">
      <c r="W52499"/>
    </row>
    <row r="52500" spans="23:23" x14ac:dyDescent="0.55000000000000004">
      <c r="W52500"/>
    </row>
    <row r="52501" spans="23:23" x14ac:dyDescent="0.55000000000000004">
      <c r="W52501"/>
    </row>
    <row r="52502" spans="23:23" x14ac:dyDescent="0.55000000000000004">
      <c r="W52502"/>
    </row>
    <row r="52503" spans="23:23" x14ac:dyDescent="0.55000000000000004">
      <c r="W52503"/>
    </row>
    <row r="52504" spans="23:23" x14ac:dyDescent="0.55000000000000004">
      <c r="W52504"/>
    </row>
    <row r="52505" spans="23:23" x14ac:dyDescent="0.55000000000000004">
      <c r="W52505"/>
    </row>
    <row r="52506" spans="23:23" x14ac:dyDescent="0.55000000000000004">
      <c r="W52506"/>
    </row>
    <row r="52507" spans="23:23" x14ac:dyDescent="0.55000000000000004">
      <c r="W52507"/>
    </row>
    <row r="52508" spans="23:23" x14ac:dyDescent="0.55000000000000004">
      <c r="W52508"/>
    </row>
    <row r="52509" spans="23:23" x14ac:dyDescent="0.55000000000000004">
      <c r="W52509"/>
    </row>
    <row r="52510" spans="23:23" x14ac:dyDescent="0.55000000000000004">
      <c r="W52510"/>
    </row>
    <row r="52511" spans="23:23" x14ac:dyDescent="0.55000000000000004">
      <c r="W52511"/>
    </row>
    <row r="52512" spans="23:23" x14ac:dyDescent="0.55000000000000004">
      <c r="W52512"/>
    </row>
    <row r="52513" spans="23:23" x14ac:dyDescent="0.55000000000000004">
      <c r="W52513"/>
    </row>
    <row r="52514" spans="23:23" x14ac:dyDescent="0.55000000000000004">
      <c r="W52514"/>
    </row>
    <row r="52515" spans="23:23" x14ac:dyDescent="0.55000000000000004">
      <c r="W52515"/>
    </row>
    <row r="52516" spans="23:23" x14ac:dyDescent="0.55000000000000004">
      <c r="W52516"/>
    </row>
    <row r="52517" spans="23:23" x14ac:dyDescent="0.55000000000000004">
      <c r="W52517"/>
    </row>
    <row r="52518" spans="23:23" x14ac:dyDescent="0.55000000000000004">
      <c r="W52518"/>
    </row>
    <row r="52519" spans="23:23" x14ac:dyDescent="0.55000000000000004">
      <c r="W52519"/>
    </row>
    <row r="52520" spans="23:23" x14ac:dyDescent="0.55000000000000004">
      <c r="W52520"/>
    </row>
    <row r="52521" spans="23:23" x14ac:dyDescent="0.55000000000000004">
      <c r="W52521"/>
    </row>
    <row r="52522" spans="23:23" x14ac:dyDescent="0.55000000000000004">
      <c r="W52522"/>
    </row>
    <row r="52523" spans="23:23" x14ac:dyDescent="0.55000000000000004">
      <c r="W52523"/>
    </row>
    <row r="52524" spans="23:23" x14ac:dyDescent="0.55000000000000004">
      <c r="W52524"/>
    </row>
    <row r="52525" spans="23:23" x14ac:dyDescent="0.55000000000000004">
      <c r="W52525"/>
    </row>
    <row r="52526" spans="23:23" x14ac:dyDescent="0.55000000000000004">
      <c r="W52526"/>
    </row>
    <row r="52527" spans="23:23" x14ac:dyDescent="0.55000000000000004">
      <c r="W52527"/>
    </row>
    <row r="52528" spans="23:23" x14ac:dyDescent="0.55000000000000004">
      <c r="W52528"/>
    </row>
    <row r="52529" spans="23:23" x14ac:dyDescent="0.55000000000000004">
      <c r="W52529"/>
    </row>
    <row r="52530" spans="23:23" x14ac:dyDescent="0.55000000000000004">
      <c r="W52530"/>
    </row>
    <row r="52531" spans="23:23" x14ac:dyDescent="0.55000000000000004">
      <c r="W52531"/>
    </row>
    <row r="52532" spans="23:23" x14ac:dyDescent="0.55000000000000004">
      <c r="W52532"/>
    </row>
    <row r="52533" spans="23:23" x14ac:dyDescent="0.55000000000000004">
      <c r="W52533"/>
    </row>
    <row r="52534" spans="23:23" x14ac:dyDescent="0.55000000000000004">
      <c r="W52534"/>
    </row>
    <row r="52535" spans="23:23" x14ac:dyDescent="0.55000000000000004">
      <c r="W52535"/>
    </row>
    <row r="52536" spans="23:23" x14ac:dyDescent="0.55000000000000004">
      <c r="W52536"/>
    </row>
    <row r="52537" spans="23:23" x14ac:dyDescent="0.55000000000000004">
      <c r="W52537"/>
    </row>
    <row r="52538" spans="23:23" x14ac:dyDescent="0.55000000000000004">
      <c r="W52538"/>
    </row>
    <row r="52539" spans="23:23" x14ac:dyDescent="0.55000000000000004">
      <c r="W52539"/>
    </row>
    <row r="52540" spans="23:23" x14ac:dyDescent="0.55000000000000004">
      <c r="W52540"/>
    </row>
    <row r="52541" spans="23:23" x14ac:dyDescent="0.55000000000000004">
      <c r="W52541"/>
    </row>
    <row r="52542" spans="23:23" x14ac:dyDescent="0.55000000000000004">
      <c r="W52542"/>
    </row>
    <row r="52543" spans="23:23" x14ac:dyDescent="0.55000000000000004">
      <c r="W52543"/>
    </row>
    <row r="52544" spans="23:23" x14ac:dyDescent="0.55000000000000004">
      <c r="W52544"/>
    </row>
    <row r="52545" spans="23:23" x14ac:dyDescent="0.55000000000000004">
      <c r="W52545"/>
    </row>
    <row r="52546" spans="23:23" x14ac:dyDescent="0.55000000000000004">
      <c r="W52546"/>
    </row>
    <row r="52547" spans="23:23" x14ac:dyDescent="0.55000000000000004">
      <c r="W52547"/>
    </row>
    <row r="52548" spans="23:23" x14ac:dyDescent="0.55000000000000004">
      <c r="W52548"/>
    </row>
    <row r="52549" spans="23:23" x14ac:dyDescent="0.55000000000000004">
      <c r="W52549"/>
    </row>
    <row r="52550" spans="23:23" x14ac:dyDescent="0.55000000000000004">
      <c r="W52550"/>
    </row>
    <row r="52551" spans="23:23" x14ac:dyDescent="0.55000000000000004">
      <c r="W52551"/>
    </row>
    <row r="52552" spans="23:23" x14ac:dyDescent="0.55000000000000004">
      <c r="W52552"/>
    </row>
    <row r="52553" spans="23:23" x14ac:dyDescent="0.55000000000000004">
      <c r="W52553"/>
    </row>
    <row r="52554" spans="23:23" x14ac:dyDescent="0.55000000000000004">
      <c r="W52554"/>
    </row>
    <row r="52555" spans="23:23" x14ac:dyDescent="0.55000000000000004">
      <c r="W52555"/>
    </row>
    <row r="52556" spans="23:23" x14ac:dyDescent="0.55000000000000004">
      <c r="W52556"/>
    </row>
    <row r="52557" spans="23:23" x14ac:dyDescent="0.55000000000000004">
      <c r="W52557"/>
    </row>
    <row r="52558" spans="23:23" x14ac:dyDescent="0.55000000000000004">
      <c r="W52558"/>
    </row>
    <row r="52559" spans="23:23" x14ac:dyDescent="0.55000000000000004">
      <c r="W52559"/>
    </row>
    <row r="52560" spans="23:23" x14ac:dyDescent="0.55000000000000004">
      <c r="W52560"/>
    </row>
    <row r="52561" spans="23:23" x14ac:dyDescent="0.55000000000000004">
      <c r="W52561"/>
    </row>
    <row r="52562" spans="23:23" x14ac:dyDescent="0.55000000000000004">
      <c r="W52562"/>
    </row>
    <row r="52563" spans="23:23" x14ac:dyDescent="0.55000000000000004">
      <c r="W52563"/>
    </row>
    <row r="52564" spans="23:23" x14ac:dyDescent="0.55000000000000004">
      <c r="W52564"/>
    </row>
    <row r="52565" spans="23:23" x14ac:dyDescent="0.55000000000000004">
      <c r="W52565"/>
    </row>
    <row r="52566" spans="23:23" x14ac:dyDescent="0.55000000000000004">
      <c r="W52566"/>
    </row>
    <row r="52567" spans="23:23" x14ac:dyDescent="0.55000000000000004">
      <c r="W52567"/>
    </row>
    <row r="52568" spans="23:23" x14ac:dyDescent="0.55000000000000004">
      <c r="W52568"/>
    </row>
    <row r="52569" spans="23:23" x14ac:dyDescent="0.55000000000000004">
      <c r="W52569"/>
    </row>
    <row r="52570" spans="23:23" x14ac:dyDescent="0.55000000000000004">
      <c r="W52570"/>
    </row>
    <row r="52571" spans="23:23" x14ac:dyDescent="0.55000000000000004">
      <c r="W52571"/>
    </row>
    <row r="52572" spans="23:23" x14ac:dyDescent="0.55000000000000004">
      <c r="W52572"/>
    </row>
    <row r="52573" spans="23:23" x14ac:dyDescent="0.55000000000000004">
      <c r="W52573"/>
    </row>
    <row r="52574" spans="23:23" x14ac:dyDescent="0.55000000000000004">
      <c r="W52574"/>
    </row>
    <row r="52575" spans="23:23" x14ac:dyDescent="0.55000000000000004">
      <c r="W52575"/>
    </row>
    <row r="52576" spans="23:23" x14ac:dyDescent="0.55000000000000004">
      <c r="W52576"/>
    </row>
    <row r="52577" spans="23:23" x14ac:dyDescent="0.55000000000000004">
      <c r="W52577"/>
    </row>
    <row r="52578" spans="23:23" x14ac:dyDescent="0.55000000000000004">
      <c r="W52578"/>
    </row>
    <row r="52579" spans="23:23" x14ac:dyDescent="0.55000000000000004">
      <c r="W52579"/>
    </row>
    <row r="52580" spans="23:23" x14ac:dyDescent="0.55000000000000004">
      <c r="W52580"/>
    </row>
    <row r="52581" spans="23:23" x14ac:dyDescent="0.55000000000000004">
      <c r="W52581"/>
    </row>
    <row r="52582" spans="23:23" x14ac:dyDescent="0.55000000000000004">
      <c r="W52582"/>
    </row>
    <row r="52583" spans="23:23" x14ac:dyDescent="0.55000000000000004">
      <c r="W52583"/>
    </row>
    <row r="52584" spans="23:23" x14ac:dyDescent="0.55000000000000004">
      <c r="W52584"/>
    </row>
    <row r="52585" spans="23:23" x14ac:dyDescent="0.55000000000000004">
      <c r="W52585"/>
    </row>
    <row r="52586" spans="23:23" x14ac:dyDescent="0.55000000000000004">
      <c r="W52586"/>
    </row>
    <row r="52587" spans="23:23" x14ac:dyDescent="0.55000000000000004">
      <c r="W52587"/>
    </row>
    <row r="52588" spans="23:23" x14ac:dyDescent="0.55000000000000004">
      <c r="W52588"/>
    </row>
    <row r="52589" spans="23:23" x14ac:dyDescent="0.55000000000000004">
      <c r="W52589"/>
    </row>
    <row r="52590" spans="23:23" x14ac:dyDescent="0.55000000000000004">
      <c r="W52590"/>
    </row>
    <row r="52591" spans="23:23" x14ac:dyDescent="0.55000000000000004">
      <c r="W52591"/>
    </row>
    <row r="52592" spans="23:23" x14ac:dyDescent="0.55000000000000004">
      <c r="W52592"/>
    </row>
    <row r="52593" spans="23:23" x14ac:dyDescent="0.55000000000000004">
      <c r="W52593"/>
    </row>
    <row r="52594" spans="23:23" x14ac:dyDescent="0.55000000000000004">
      <c r="W52594"/>
    </row>
    <row r="52595" spans="23:23" x14ac:dyDescent="0.55000000000000004">
      <c r="W52595"/>
    </row>
    <row r="52596" spans="23:23" x14ac:dyDescent="0.55000000000000004">
      <c r="W52596"/>
    </row>
    <row r="52597" spans="23:23" x14ac:dyDescent="0.55000000000000004">
      <c r="W52597"/>
    </row>
    <row r="52598" spans="23:23" x14ac:dyDescent="0.55000000000000004">
      <c r="W52598"/>
    </row>
    <row r="52599" spans="23:23" x14ac:dyDescent="0.55000000000000004">
      <c r="W52599"/>
    </row>
    <row r="52600" spans="23:23" x14ac:dyDescent="0.55000000000000004">
      <c r="W52600"/>
    </row>
    <row r="52601" spans="23:23" x14ac:dyDescent="0.55000000000000004">
      <c r="W52601"/>
    </row>
    <row r="52602" spans="23:23" x14ac:dyDescent="0.55000000000000004">
      <c r="W52602"/>
    </row>
    <row r="52603" spans="23:23" x14ac:dyDescent="0.55000000000000004">
      <c r="W52603"/>
    </row>
    <row r="52604" spans="23:23" x14ac:dyDescent="0.55000000000000004">
      <c r="W52604"/>
    </row>
    <row r="52605" spans="23:23" x14ac:dyDescent="0.55000000000000004">
      <c r="W52605"/>
    </row>
    <row r="52606" spans="23:23" x14ac:dyDescent="0.55000000000000004">
      <c r="W52606"/>
    </row>
    <row r="52607" spans="23:23" x14ac:dyDescent="0.55000000000000004">
      <c r="W52607"/>
    </row>
    <row r="52608" spans="23:23" x14ac:dyDescent="0.55000000000000004">
      <c r="W52608"/>
    </row>
    <row r="52609" spans="23:23" x14ac:dyDescent="0.55000000000000004">
      <c r="W52609"/>
    </row>
    <row r="52610" spans="23:23" x14ac:dyDescent="0.55000000000000004">
      <c r="W52610"/>
    </row>
    <row r="52611" spans="23:23" x14ac:dyDescent="0.55000000000000004">
      <c r="W52611"/>
    </row>
    <row r="52612" spans="23:23" x14ac:dyDescent="0.55000000000000004">
      <c r="W52612"/>
    </row>
    <row r="52613" spans="23:23" x14ac:dyDescent="0.55000000000000004">
      <c r="W52613"/>
    </row>
    <row r="52614" spans="23:23" x14ac:dyDescent="0.55000000000000004">
      <c r="W52614"/>
    </row>
    <row r="52615" spans="23:23" x14ac:dyDescent="0.55000000000000004">
      <c r="W52615"/>
    </row>
    <row r="52616" spans="23:23" x14ac:dyDescent="0.55000000000000004">
      <c r="W52616"/>
    </row>
    <row r="52617" spans="23:23" x14ac:dyDescent="0.55000000000000004">
      <c r="W52617"/>
    </row>
    <row r="52618" spans="23:23" x14ac:dyDescent="0.55000000000000004">
      <c r="W52618"/>
    </row>
    <row r="52619" spans="23:23" x14ac:dyDescent="0.55000000000000004">
      <c r="W52619"/>
    </row>
    <row r="52620" spans="23:23" x14ac:dyDescent="0.55000000000000004">
      <c r="W52620"/>
    </row>
    <row r="52621" spans="23:23" x14ac:dyDescent="0.55000000000000004">
      <c r="W52621"/>
    </row>
    <row r="52622" spans="23:23" x14ac:dyDescent="0.55000000000000004">
      <c r="W52622"/>
    </row>
    <row r="52623" spans="23:23" x14ac:dyDescent="0.55000000000000004">
      <c r="W52623"/>
    </row>
    <row r="52624" spans="23:23" x14ac:dyDescent="0.55000000000000004">
      <c r="W52624"/>
    </row>
    <row r="52625" spans="23:23" x14ac:dyDescent="0.55000000000000004">
      <c r="W52625"/>
    </row>
    <row r="52626" spans="23:23" x14ac:dyDescent="0.55000000000000004">
      <c r="W52626"/>
    </row>
    <row r="52627" spans="23:23" x14ac:dyDescent="0.55000000000000004">
      <c r="W52627"/>
    </row>
    <row r="52628" spans="23:23" x14ac:dyDescent="0.55000000000000004">
      <c r="W52628"/>
    </row>
    <row r="52629" spans="23:23" x14ac:dyDescent="0.55000000000000004">
      <c r="W52629"/>
    </row>
    <row r="52630" spans="23:23" x14ac:dyDescent="0.55000000000000004">
      <c r="W52630"/>
    </row>
    <row r="52631" spans="23:23" x14ac:dyDescent="0.55000000000000004">
      <c r="W52631"/>
    </row>
    <row r="52632" spans="23:23" x14ac:dyDescent="0.55000000000000004">
      <c r="W52632"/>
    </row>
    <row r="52633" spans="23:23" x14ac:dyDescent="0.55000000000000004">
      <c r="W52633"/>
    </row>
    <row r="52634" spans="23:23" x14ac:dyDescent="0.55000000000000004">
      <c r="W52634"/>
    </row>
    <row r="52635" spans="23:23" x14ac:dyDescent="0.55000000000000004">
      <c r="W52635"/>
    </row>
    <row r="52636" spans="23:23" x14ac:dyDescent="0.55000000000000004">
      <c r="W52636"/>
    </row>
    <row r="52637" spans="23:23" x14ac:dyDescent="0.55000000000000004">
      <c r="W52637"/>
    </row>
    <row r="52638" spans="23:23" x14ac:dyDescent="0.55000000000000004">
      <c r="W52638"/>
    </row>
    <row r="52639" spans="23:23" x14ac:dyDescent="0.55000000000000004">
      <c r="W52639"/>
    </row>
    <row r="52640" spans="23:23" x14ac:dyDescent="0.55000000000000004">
      <c r="W52640"/>
    </row>
    <row r="52641" spans="23:23" x14ac:dyDescent="0.55000000000000004">
      <c r="W52641"/>
    </row>
    <row r="52642" spans="23:23" x14ac:dyDescent="0.55000000000000004">
      <c r="W52642"/>
    </row>
    <row r="52643" spans="23:23" x14ac:dyDescent="0.55000000000000004">
      <c r="W52643"/>
    </row>
    <row r="52644" spans="23:23" x14ac:dyDescent="0.55000000000000004">
      <c r="W52644"/>
    </row>
    <row r="52645" spans="23:23" x14ac:dyDescent="0.55000000000000004">
      <c r="W52645"/>
    </row>
    <row r="52646" spans="23:23" x14ac:dyDescent="0.55000000000000004">
      <c r="W52646"/>
    </row>
    <row r="52647" spans="23:23" x14ac:dyDescent="0.55000000000000004">
      <c r="W52647"/>
    </row>
    <row r="52648" spans="23:23" x14ac:dyDescent="0.55000000000000004">
      <c r="W52648"/>
    </row>
    <row r="52649" spans="23:23" x14ac:dyDescent="0.55000000000000004">
      <c r="W52649"/>
    </row>
    <row r="52650" spans="23:23" x14ac:dyDescent="0.55000000000000004">
      <c r="W52650"/>
    </row>
    <row r="52651" spans="23:23" x14ac:dyDescent="0.55000000000000004">
      <c r="W52651"/>
    </row>
    <row r="52652" spans="23:23" x14ac:dyDescent="0.55000000000000004">
      <c r="W52652"/>
    </row>
    <row r="52653" spans="23:23" x14ac:dyDescent="0.55000000000000004">
      <c r="W52653"/>
    </row>
    <row r="52654" spans="23:23" x14ac:dyDescent="0.55000000000000004">
      <c r="W52654"/>
    </row>
    <row r="52655" spans="23:23" x14ac:dyDescent="0.55000000000000004">
      <c r="W52655"/>
    </row>
    <row r="52656" spans="23:23" x14ac:dyDescent="0.55000000000000004">
      <c r="W52656"/>
    </row>
    <row r="52657" spans="23:23" x14ac:dyDescent="0.55000000000000004">
      <c r="W52657"/>
    </row>
    <row r="52658" spans="23:23" x14ac:dyDescent="0.55000000000000004">
      <c r="W52658"/>
    </row>
    <row r="52659" spans="23:23" x14ac:dyDescent="0.55000000000000004">
      <c r="W52659"/>
    </row>
    <row r="52660" spans="23:23" x14ac:dyDescent="0.55000000000000004">
      <c r="W52660"/>
    </row>
    <row r="52661" spans="23:23" x14ac:dyDescent="0.55000000000000004">
      <c r="W52661"/>
    </row>
    <row r="52662" spans="23:23" x14ac:dyDescent="0.55000000000000004">
      <c r="W52662"/>
    </row>
    <row r="52663" spans="23:23" x14ac:dyDescent="0.55000000000000004">
      <c r="W52663"/>
    </row>
    <row r="52664" spans="23:23" x14ac:dyDescent="0.55000000000000004">
      <c r="W52664"/>
    </row>
    <row r="52665" spans="23:23" x14ac:dyDescent="0.55000000000000004">
      <c r="W52665"/>
    </row>
    <row r="52666" spans="23:23" x14ac:dyDescent="0.55000000000000004">
      <c r="W52666"/>
    </row>
    <row r="52667" spans="23:23" x14ac:dyDescent="0.55000000000000004">
      <c r="W52667"/>
    </row>
    <row r="52668" spans="23:23" x14ac:dyDescent="0.55000000000000004">
      <c r="W52668"/>
    </row>
    <row r="52669" spans="23:23" x14ac:dyDescent="0.55000000000000004">
      <c r="W52669"/>
    </row>
    <row r="52670" spans="23:23" x14ac:dyDescent="0.55000000000000004">
      <c r="W52670"/>
    </row>
    <row r="52671" spans="23:23" x14ac:dyDescent="0.55000000000000004">
      <c r="W52671"/>
    </row>
    <row r="52672" spans="23:23" x14ac:dyDescent="0.55000000000000004">
      <c r="W52672"/>
    </row>
    <row r="52673" spans="23:23" x14ac:dyDescent="0.55000000000000004">
      <c r="W52673"/>
    </row>
    <row r="52674" spans="23:23" x14ac:dyDescent="0.55000000000000004">
      <c r="W52674"/>
    </row>
    <row r="52675" spans="23:23" x14ac:dyDescent="0.55000000000000004">
      <c r="W52675"/>
    </row>
    <row r="52676" spans="23:23" x14ac:dyDescent="0.55000000000000004">
      <c r="W52676"/>
    </row>
    <row r="52677" spans="23:23" x14ac:dyDescent="0.55000000000000004">
      <c r="W52677"/>
    </row>
    <row r="52678" spans="23:23" x14ac:dyDescent="0.55000000000000004">
      <c r="W52678"/>
    </row>
    <row r="52679" spans="23:23" x14ac:dyDescent="0.55000000000000004">
      <c r="W52679"/>
    </row>
    <row r="52680" spans="23:23" x14ac:dyDescent="0.55000000000000004">
      <c r="W52680"/>
    </row>
    <row r="52681" spans="23:23" x14ac:dyDescent="0.55000000000000004">
      <c r="W52681"/>
    </row>
    <row r="52682" spans="23:23" x14ac:dyDescent="0.55000000000000004">
      <c r="W52682"/>
    </row>
    <row r="52683" spans="23:23" x14ac:dyDescent="0.55000000000000004">
      <c r="W52683"/>
    </row>
    <row r="52684" spans="23:23" x14ac:dyDescent="0.55000000000000004">
      <c r="W52684"/>
    </row>
    <row r="52685" spans="23:23" x14ac:dyDescent="0.55000000000000004">
      <c r="W52685"/>
    </row>
    <row r="52686" spans="23:23" x14ac:dyDescent="0.55000000000000004">
      <c r="W52686"/>
    </row>
    <row r="52687" spans="23:23" x14ac:dyDescent="0.55000000000000004">
      <c r="W52687"/>
    </row>
    <row r="52688" spans="23:23" x14ac:dyDescent="0.55000000000000004">
      <c r="W52688"/>
    </row>
    <row r="52689" spans="23:23" x14ac:dyDescent="0.55000000000000004">
      <c r="W52689"/>
    </row>
    <row r="52690" spans="23:23" x14ac:dyDescent="0.55000000000000004">
      <c r="W52690"/>
    </row>
    <row r="52691" spans="23:23" x14ac:dyDescent="0.55000000000000004">
      <c r="W52691"/>
    </row>
    <row r="52692" spans="23:23" x14ac:dyDescent="0.55000000000000004">
      <c r="W52692"/>
    </row>
    <row r="52693" spans="23:23" x14ac:dyDescent="0.55000000000000004">
      <c r="W52693"/>
    </row>
    <row r="52694" spans="23:23" x14ac:dyDescent="0.55000000000000004">
      <c r="W52694"/>
    </row>
    <row r="52695" spans="23:23" x14ac:dyDescent="0.55000000000000004">
      <c r="W52695"/>
    </row>
    <row r="52696" spans="23:23" x14ac:dyDescent="0.55000000000000004">
      <c r="W52696"/>
    </row>
    <row r="52697" spans="23:23" x14ac:dyDescent="0.55000000000000004">
      <c r="W52697"/>
    </row>
    <row r="52698" spans="23:23" x14ac:dyDescent="0.55000000000000004">
      <c r="W52698"/>
    </row>
    <row r="52699" spans="23:23" x14ac:dyDescent="0.55000000000000004">
      <c r="W52699"/>
    </row>
    <row r="52700" spans="23:23" x14ac:dyDescent="0.55000000000000004">
      <c r="W52700"/>
    </row>
    <row r="52701" spans="23:23" x14ac:dyDescent="0.55000000000000004">
      <c r="W52701"/>
    </row>
    <row r="52702" spans="23:23" x14ac:dyDescent="0.55000000000000004">
      <c r="W52702"/>
    </row>
    <row r="52703" spans="23:23" x14ac:dyDescent="0.55000000000000004">
      <c r="W52703"/>
    </row>
    <row r="52704" spans="23:23" x14ac:dyDescent="0.55000000000000004">
      <c r="W52704"/>
    </row>
    <row r="52705" spans="23:23" x14ac:dyDescent="0.55000000000000004">
      <c r="W52705"/>
    </row>
    <row r="52706" spans="23:23" x14ac:dyDescent="0.55000000000000004">
      <c r="W52706"/>
    </row>
    <row r="52707" spans="23:23" x14ac:dyDescent="0.55000000000000004">
      <c r="W52707"/>
    </row>
    <row r="52708" spans="23:23" x14ac:dyDescent="0.55000000000000004">
      <c r="W52708"/>
    </row>
    <row r="52709" spans="23:23" x14ac:dyDescent="0.55000000000000004">
      <c r="W52709"/>
    </row>
    <row r="52710" spans="23:23" x14ac:dyDescent="0.55000000000000004">
      <c r="W52710"/>
    </row>
    <row r="52711" spans="23:23" x14ac:dyDescent="0.55000000000000004">
      <c r="W52711"/>
    </row>
    <row r="52712" spans="23:23" x14ac:dyDescent="0.55000000000000004">
      <c r="W52712"/>
    </row>
    <row r="52713" spans="23:23" x14ac:dyDescent="0.55000000000000004">
      <c r="W52713"/>
    </row>
    <row r="52714" spans="23:23" x14ac:dyDescent="0.55000000000000004">
      <c r="W52714"/>
    </row>
    <row r="52715" spans="23:23" x14ac:dyDescent="0.55000000000000004">
      <c r="W52715"/>
    </row>
    <row r="52716" spans="23:23" x14ac:dyDescent="0.55000000000000004">
      <c r="W52716"/>
    </row>
    <row r="52717" spans="23:23" x14ac:dyDescent="0.55000000000000004">
      <c r="W52717"/>
    </row>
    <row r="52718" spans="23:23" x14ac:dyDescent="0.55000000000000004">
      <c r="W52718"/>
    </row>
    <row r="52719" spans="23:23" x14ac:dyDescent="0.55000000000000004">
      <c r="W52719"/>
    </row>
    <row r="52720" spans="23:23" x14ac:dyDescent="0.55000000000000004">
      <c r="W52720"/>
    </row>
    <row r="52721" spans="23:23" x14ac:dyDescent="0.55000000000000004">
      <c r="W52721"/>
    </row>
    <row r="52722" spans="23:23" x14ac:dyDescent="0.55000000000000004">
      <c r="W52722"/>
    </row>
    <row r="52723" spans="23:23" x14ac:dyDescent="0.55000000000000004">
      <c r="W52723"/>
    </row>
    <row r="52724" spans="23:23" x14ac:dyDescent="0.55000000000000004">
      <c r="W52724"/>
    </row>
    <row r="52725" spans="23:23" x14ac:dyDescent="0.55000000000000004">
      <c r="W52725"/>
    </row>
    <row r="52726" spans="23:23" x14ac:dyDescent="0.55000000000000004">
      <c r="W52726"/>
    </row>
    <row r="52727" spans="23:23" x14ac:dyDescent="0.55000000000000004">
      <c r="W52727"/>
    </row>
    <row r="52728" spans="23:23" x14ac:dyDescent="0.55000000000000004">
      <c r="W52728"/>
    </row>
    <row r="52729" spans="23:23" x14ac:dyDescent="0.55000000000000004">
      <c r="W52729"/>
    </row>
    <row r="52730" spans="23:23" x14ac:dyDescent="0.55000000000000004">
      <c r="W52730"/>
    </row>
    <row r="52731" spans="23:23" x14ac:dyDescent="0.55000000000000004">
      <c r="W52731"/>
    </row>
    <row r="52732" spans="23:23" x14ac:dyDescent="0.55000000000000004">
      <c r="W52732"/>
    </row>
    <row r="52733" spans="23:23" x14ac:dyDescent="0.55000000000000004">
      <c r="W52733"/>
    </row>
    <row r="52734" spans="23:23" x14ac:dyDescent="0.55000000000000004">
      <c r="W52734"/>
    </row>
    <row r="52735" spans="23:23" x14ac:dyDescent="0.55000000000000004">
      <c r="W52735"/>
    </row>
    <row r="52736" spans="23:23" x14ac:dyDescent="0.55000000000000004">
      <c r="W52736"/>
    </row>
    <row r="52737" spans="23:23" x14ac:dyDescent="0.55000000000000004">
      <c r="W52737"/>
    </row>
    <row r="52738" spans="23:23" x14ac:dyDescent="0.55000000000000004">
      <c r="W52738"/>
    </row>
    <row r="52739" spans="23:23" x14ac:dyDescent="0.55000000000000004">
      <c r="W52739"/>
    </row>
    <row r="52740" spans="23:23" x14ac:dyDescent="0.55000000000000004">
      <c r="W52740"/>
    </row>
    <row r="52741" spans="23:23" x14ac:dyDescent="0.55000000000000004">
      <c r="W52741"/>
    </row>
    <row r="52742" spans="23:23" x14ac:dyDescent="0.55000000000000004">
      <c r="W52742"/>
    </row>
    <row r="52743" spans="23:23" x14ac:dyDescent="0.55000000000000004">
      <c r="W52743"/>
    </row>
    <row r="52744" spans="23:23" x14ac:dyDescent="0.55000000000000004">
      <c r="W52744"/>
    </row>
    <row r="52745" spans="23:23" x14ac:dyDescent="0.55000000000000004">
      <c r="W52745"/>
    </row>
    <row r="52746" spans="23:23" x14ac:dyDescent="0.55000000000000004">
      <c r="W52746"/>
    </row>
    <row r="52747" spans="23:23" x14ac:dyDescent="0.55000000000000004">
      <c r="W52747"/>
    </row>
    <row r="52748" spans="23:23" x14ac:dyDescent="0.55000000000000004">
      <c r="W52748"/>
    </row>
    <row r="52749" spans="23:23" x14ac:dyDescent="0.55000000000000004">
      <c r="W52749"/>
    </row>
    <row r="52750" spans="23:23" x14ac:dyDescent="0.55000000000000004">
      <c r="W52750"/>
    </row>
    <row r="52751" spans="23:23" x14ac:dyDescent="0.55000000000000004">
      <c r="W52751"/>
    </row>
    <row r="52752" spans="23:23" x14ac:dyDescent="0.55000000000000004">
      <c r="W52752"/>
    </row>
    <row r="52753" spans="23:23" x14ac:dyDescent="0.55000000000000004">
      <c r="W52753"/>
    </row>
    <row r="52754" spans="23:23" x14ac:dyDescent="0.55000000000000004">
      <c r="W52754"/>
    </row>
    <row r="52755" spans="23:23" x14ac:dyDescent="0.55000000000000004">
      <c r="W52755"/>
    </row>
    <row r="52756" spans="23:23" x14ac:dyDescent="0.55000000000000004">
      <c r="W52756"/>
    </row>
    <row r="52757" spans="23:23" x14ac:dyDescent="0.55000000000000004">
      <c r="W52757"/>
    </row>
    <row r="52758" spans="23:23" x14ac:dyDescent="0.55000000000000004">
      <c r="W52758"/>
    </row>
    <row r="52759" spans="23:23" x14ac:dyDescent="0.55000000000000004">
      <c r="W52759"/>
    </row>
    <row r="52760" spans="23:23" x14ac:dyDescent="0.55000000000000004">
      <c r="W52760"/>
    </row>
    <row r="52761" spans="23:23" x14ac:dyDescent="0.55000000000000004">
      <c r="W52761"/>
    </row>
    <row r="52762" spans="23:23" x14ac:dyDescent="0.55000000000000004">
      <c r="W52762"/>
    </row>
    <row r="52763" spans="23:23" x14ac:dyDescent="0.55000000000000004">
      <c r="W52763"/>
    </row>
    <row r="52764" spans="23:23" x14ac:dyDescent="0.55000000000000004">
      <c r="W52764"/>
    </row>
    <row r="52765" spans="23:23" x14ac:dyDescent="0.55000000000000004">
      <c r="W52765"/>
    </row>
    <row r="52766" spans="23:23" x14ac:dyDescent="0.55000000000000004">
      <c r="W52766"/>
    </row>
    <row r="52767" spans="23:23" x14ac:dyDescent="0.55000000000000004">
      <c r="W52767"/>
    </row>
    <row r="52768" spans="23:23" x14ac:dyDescent="0.55000000000000004">
      <c r="W52768"/>
    </row>
    <row r="52769" spans="23:23" x14ac:dyDescent="0.55000000000000004">
      <c r="W52769"/>
    </row>
    <row r="52770" spans="23:23" x14ac:dyDescent="0.55000000000000004">
      <c r="W52770"/>
    </row>
    <row r="52771" spans="23:23" x14ac:dyDescent="0.55000000000000004">
      <c r="W52771"/>
    </row>
    <row r="52772" spans="23:23" x14ac:dyDescent="0.55000000000000004">
      <c r="W52772"/>
    </row>
    <row r="52773" spans="23:23" x14ac:dyDescent="0.55000000000000004">
      <c r="W52773"/>
    </row>
    <row r="52774" spans="23:23" x14ac:dyDescent="0.55000000000000004">
      <c r="W52774"/>
    </row>
    <row r="52775" spans="23:23" x14ac:dyDescent="0.55000000000000004">
      <c r="W52775"/>
    </row>
    <row r="52776" spans="23:23" x14ac:dyDescent="0.55000000000000004">
      <c r="W52776"/>
    </row>
    <row r="52777" spans="23:23" x14ac:dyDescent="0.55000000000000004">
      <c r="W52777"/>
    </row>
    <row r="52778" spans="23:23" x14ac:dyDescent="0.55000000000000004">
      <c r="W52778"/>
    </row>
    <row r="52779" spans="23:23" x14ac:dyDescent="0.55000000000000004">
      <c r="W52779"/>
    </row>
    <row r="52780" spans="23:23" x14ac:dyDescent="0.55000000000000004">
      <c r="W52780"/>
    </row>
    <row r="52781" spans="23:23" x14ac:dyDescent="0.55000000000000004">
      <c r="W52781"/>
    </row>
    <row r="52782" spans="23:23" x14ac:dyDescent="0.55000000000000004">
      <c r="W52782"/>
    </row>
    <row r="52783" spans="23:23" x14ac:dyDescent="0.55000000000000004">
      <c r="W52783"/>
    </row>
    <row r="52784" spans="23:23" x14ac:dyDescent="0.55000000000000004">
      <c r="W52784"/>
    </row>
    <row r="52785" spans="23:23" x14ac:dyDescent="0.55000000000000004">
      <c r="W52785"/>
    </row>
    <row r="52786" spans="23:23" x14ac:dyDescent="0.55000000000000004">
      <c r="W52786"/>
    </row>
    <row r="52787" spans="23:23" x14ac:dyDescent="0.55000000000000004">
      <c r="W52787"/>
    </row>
    <row r="52788" spans="23:23" x14ac:dyDescent="0.55000000000000004">
      <c r="W52788"/>
    </row>
    <row r="52789" spans="23:23" x14ac:dyDescent="0.55000000000000004">
      <c r="W52789"/>
    </row>
    <row r="52790" spans="23:23" x14ac:dyDescent="0.55000000000000004">
      <c r="W52790"/>
    </row>
    <row r="52791" spans="23:23" x14ac:dyDescent="0.55000000000000004">
      <c r="W52791"/>
    </row>
    <row r="52792" spans="23:23" x14ac:dyDescent="0.55000000000000004">
      <c r="W52792"/>
    </row>
    <row r="52793" spans="23:23" x14ac:dyDescent="0.55000000000000004">
      <c r="W52793"/>
    </row>
    <row r="52794" spans="23:23" x14ac:dyDescent="0.55000000000000004">
      <c r="W52794"/>
    </row>
    <row r="52795" spans="23:23" x14ac:dyDescent="0.55000000000000004">
      <c r="W52795"/>
    </row>
    <row r="52796" spans="23:23" x14ac:dyDescent="0.55000000000000004">
      <c r="W52796"/>
    </row>
    <row r="52797" spans="23:23" x14ac:dyDescent="0.55000000000000004">
      <c r="W52797"/>
    </row>
    <row r="52798" spans="23:23" x14ac:dyDescent="0.55000000000000004">
      <c r="W52798"/>
    </row>
    <row r="52799" spans="23:23" x14ac:dyDescent="0.55000000000000004">
      <c r="W52799"/>
    </row>
    <row r="52800" spans="23:23" x14ac:dyDescent="0.55000000000000004">
      <c r="W52800"/>
    </row>
    <row r="52801" spans="23:23" x14ac:dyDescent="0.55000000000000004">
      <c r="W52801"/>
    </row>
    <row r="52802" spans="23:23" x14ac:dyDescent="0.55000000000000004">
      <c r="W52802"/>
    </row>
    <row r="52803" spans="23:23" x14ac:dyDescent="0.55000000000000004">
      <c r="W52803"/>
    </row>
    <row r="52804" spans="23:23" x14ac:dyDescent="0.55000000000000004">
      <c r="W52804"/>
    </row>
    <row r="52805" spans="23:23" x14ac:dyDescent="0.55000000000000004">
      <c r="W52805"/>
    </row>
    <row r="52806" spans="23:23" x14ac:dyDescent="0.55000000000000004">
      <c r="W52806"/>
    </row>
    <row r="52807" spans="23:23" x14ac:dyDescent="0.55000000000000004">
      <c r="W52807"/>
    </row>
    <row r="52808" spans="23:23" x14ac:dyDescent="0.55000000000000004">
      <c r="W52808"/>
    </row>
    <row r="52809" spans="23:23" x14ac:dyDescent="0.55000000000000004">
      <c r="W52809"/>
    </row>
    <row r="52810" spans="23:23" x14ac:dyDescent="0.55000000000000004">
      <c r="W52810"/>
    </row>
    <row r="52811" spans="23:23" x14ac:dyDescent="0.55000000000000004">
      <c r="W52811"/>
    </row>
    <row r="52812" spans="23:23" x14ac:dyDescent="0.55000000000000004">
      <c r="W52812"/>
    </row>
    <row r="52813" spans="23:23" x14ac:dyDescent="0.55000000000000004">
      <c r="W52813"/>
    </row>
    <row r="52814" spans="23:23" x14ac:dyDescent="0.55000000000000004">
      <c r="W52814"/>
    </row>
    <row r="52815" spans="23:23" x14ac:dyDescent="0.55000000000000004">
      <c r="W52815"/>
    </row>
    <row r="52816" spans="23:23" x14ac:dyDescent="0.55000000000000004">
      <c r="W52816"/>
    </row>
    <row r="52817" spans="23:23" x14ac:dyDescent="0.55000000000000004">
      <c r="W52817"/>
    </row>
    <row r="52818" spans="23:23" x14ac:dyDescent="0.55000000000000004">
      <c r="W52818"/>
    </row>
    <row r="52819" spans="23:23" x14ac:dyDescent="0.55000000000000004">
      <c r="W52819"/>
    </row>
    <row r="52820" spans="23:23" x14ac:dyDescent="0.55000000000000004">
      <c r="W52820"/>
    </row>
    <row r="52821" spans="23:23" x14ac:dyDescent="0.55000000000000004">
      <c r="W52821"/>
    </row>
    <row r="52822" spans="23:23" x14ac:dyDescent="0.55000000000000004">
      <c r="W52822"/>
    </row>
    <row r="52823" spans="23:23" x14ac:dyDescent="0.55000000000000004">
      <c r="W52823"/>
    </row>
    <row r="52824" spans="23:23" x14ac:dyDescent="0.55000000000000004">
      <c r="W52824"/>
    </row>
    <row r="52825" spans="23:23" x14ac:dyDescent="0.55000000000000004">
      <c r="W52825"/>
    </row>
    <row r="52826" spans="23:23" x14ac:dyDescent="0.55000000000000004">
      <c r="W52826"/>
    </row>
    <row r="52827" spans="23:23" x14ac:dyDescent="0.55000000000000004">
      <c r="W52827"/>
    </row>
    <row r="52828" spans="23:23" x14ac:dyDescent="0.55000000000000004">
      <c r="W52828"/>
    </row>
    <row r="52829" spans="23:23" x14ac:dyDescent="0.55000000000000004">
      <c r="W52829"/>
    </row>
    <row r="52830" spans="23:23" x14ac:dyDescent="0.55000000000000004">
      <c r="W52830"/>
    </row>
    <row r="52831" spans="23:23" x14ac:dyDescent="0.55000000000000004">
      <c r="W52831"/>
    </row>
    <row r="52832" spans="23:23" x14ac:dyDescent="0.55000000000000004">
      <c r="W52832"/>
    </row>
    <row r="52833" spans="23:23" x14ac:dyDescent="0.55000000000000004">
      <c r="W52833"/>
    </row>
    <row r="52834" spans="23:23" x14ac:dyDescent="0.55000000000000004">
      <c r="W52834"/>
    </row>
    <row r="52835" spans="23:23" x14ac:dyDescent="0.55000000000000004">
      <c r="W52835"/>
    </row>
    <row r="52836" spans="23:23" x14ac:dyDescent="0.55000000000000004">
      <c r="W52836"/>
    </row>
    <row r="52837" spans="23:23" x14ac:dyDescent="0.55000000000000004">
      <c r="W52837"/>
    </row>
    <row r="52838" spans="23:23" x14ac:dyDescent="0.55000000000000004">
      <c r="W52838"/>
    </row>
    <row r="52839" spans="23:23" x14ac:dyDescent="0.55000000000000004">
      <c r="W52839"/>
    </row>
    <row r="52840" spans="23:23" x14ac:dyDescent="0.55000000000000004">
      <c r="W52840"/>
    </row>
    <row r="52841" spans="23:23" x14ac:dyDescent="0.55000000000000004">
      <c r="W52841"/>
    </row>
    <row r="52842" spans="23:23" x14ac:dyDescent="0.55000000000000004">
      <c r="W52842"/>
    </row>
    <row r="52843" spans="23:23" x14ac:dyDescent="0.55000000000000004">
      <c r="W52843"/>
    </row>
    <row r="52844" spans="23:23" x14ac:dyDescent="0.55000000000000004">
      <c r="W52844"/>
    </row>
    <row r="52845" spans="23:23" x14ac:dyDescent="0.55000000000000004">
      <c r="W52845"/>
    </row>
    <row r="52846" spans="23:23" x14ac:dyDescent="0.55000000000000004">
      <c r="W52846"/>
    </row>
    <row r="52847" spans="23:23" x14ac:dyDescent="0.55000000000000004">
      <c r="W52847"/>
    </row>
    <row r="52848" spans="23:23" x14ac:dyDescent="0.55000000000000004">
      <c r="W52848"/>
    </row>
    <row r="52849" spans="23:23" x14ac:dyDescent="0.55000000000000004">
      <c r="W52849"/>
    </row>
    <row r="52850" spans="23:23" x14ac:dyDescent="0.55000000000000004">
      <c r="W52850"/>
    </row>
    <row r="52851" spans="23:23" x14ac:dyDescent="0.55000000000000004">
      <c r="W52851"/>
    </row>
    <row r="52852" spans="23:23" x14ac:dyDescent="0.55000000000000004">
      <c r="W52852"/>
    </row>
    <row r="52853" spans="23:23" x14ac:dyDescent="0.55000000000000004">
      <c r="W52853"/>
    </row>
    <row r="52854" spans="23:23" x14ac:dyDescent="0.55000000000000004">
      <c r="W52854"/>
    </row>
    <row r="52855" spans="23:23" x14ac:dyDescent="0.55000000000000004">
      <c r="W52855"/>
    </row>
    <row r="52856" spans="23:23" x14ac:dyDescent="0.55000000000000004">
      <c r="W52856"/>
    </row>
    <row r="52857" spans="23:23" x14ac:dyDescent="0.55000000000000004">
      <c r="W52857"/>
    </row>
    <row r="52858" spans="23:23" x14ac:dyDescent="0.55000000000000004">
      <c r="W52858"/>
    </row>
    <row r="52859" spans="23:23" x14ac:dyDescent="0.55000000000000004">
      <c r="W52859"/>
    </row>
    <row r="52860" spans="23:23" x14ac:dyDescent="0.55000000000000004">
      <c r="W52860"/>
    </row>
    <row r="52861" spans="23:23" x14ac:dyDescent="0.55000000000000004">
      <c r="W52861"/>
    </row>
    <row r="52862" spans="23:23" x14ac:dyDescent="0.55000000000000004">
      <c r="W52862"/>
    </row>
    <row r="52863" spans="23:23" x14ac:dyDescent="0.55000000000000004">
      <c r="W52863"/>
    </row>
    <row r="52864" spans="23:23" x14ac:dyDescent="0.55000000000000004">
      <c r="W52864"/>
    </row>
    <row r="52865" spans="23:23" x14ac:dyDescent="0.55000000000000004">
      <c r="W52865"/>
    </row>
    <row r="52866" spans="23:23" x14ac:dyDescent="0.55000000000000004">
      <c r="W52866"/>
    </row>
    <row r="52867" spans="23:23" x14ac:dyDescent="0.55000000000000004">
      <c r="W52867"/>
    </row>
    <row r="52868" spans="23:23" x14ac:dyDescent="0.55000000000000004">
      <c r="W52868"/>
    </row>
    <row r="52869" spans="23:23" x14ac:dyDescent="0.55000000000000004">
      <c r="W52869"/>
    </row>
    <row r="52870" spans="23:23" x14ac:dyDescent="0.55000000000000004">
      <c r="W52870"/>
    </row>
    <row r="52871" spans="23:23" x14ac:dyDescent="0.55000000000000004">
      <c r="W52871"/>
    </row>
    <row r="52872" spans="23:23" x14ac:dyDescent="0.55000000000000004">
      <c r="W52872"/>
    </row>
    <row r="52873" spans="23:23" x14ac:dyDescent="0.55000000000000004">
      <c r="W52873"/>
    </row>
    <row r="52874" spans="23:23" x14ac:dyDescent="0.55000000000000004">
      <c r="W52874"/>
    </row>
    <row r="52875" spans="23:23" x14ac:dyDescent="0.55000000000000004">
      <c r="W52875"/>
    </row>
    <row r="52876" spans="23:23" x14ac:dyDescent="0.55000000000000004">
      <c r="W52876"/>
    </row>
    <row r="52877" spans="23:23" x14ac:dyDescent="0.55000000000000004">
      <c r="W52877"/>
    </row>
    <row r="52878" spans="23:23" x14ac:dyDescent="0.55000000000000004">
      <c r="W52878"/>
    </row>
    <row r="52879" spans="23:23" x14ac:dyDescent="0.55000000000000004">
      <c r="W52879"/>
    </row>
    <row r="52880" spans="23:23" x14ac:dyDescent="0.55000000000000004">
      <c r="W52880"/>
    </row>
    <row r="52881" spans="23:23" x14ac:dyDescent="0.55000000000000004">
      <c r="W52881"/>
    </row>
    <row r="52882" spans="23:23" x14ac:dyDescent="0.55000000000000004">
      <c r="W52882"/>
    </row>
    <row r="52883" spans="23:23" x14ac:dyDescent="0.55000000000000004">
      <c r="W52883"/>
    </row>
    <row r="52884" spans="23:23" x14ac:dyDescent="0.55000000000000004">
      <c r="W52884"/>
    </row>
    <row r="52885" spans="23:23" x14ac:dyDescent="0.55000000000000004">
      <c r="W52885"/>
    </row>
    <row r="52886" spans="23:23" x14ac:dyDescent="0.55000000000000004">
      <c r="W52886"/>
    </row>
    <row r="52887" spans="23:23" x14ac:dyDescent="0.55000000000000004">
      <c r="W52887"/>
    </row>
    <row r="52888" spans="23:23" x14ac:dyDescent="0.55000000000000004">
      <c r="W52888"/>
    </row>
    <row r="52889" spans="23:23" x14ac:dyDescent="0.55000000000000004">
      <c r="W52889"/>
    </row>
    <row r="52890" spans="23:23" x14ac:dyDescent="0.55000000000000004">
      <c r="W52890"/>
    </row>
    <row r="52891" spans="23:23" x14ac:dyDescent="0.55000000000000004">
      <c r="W52891"/>
    </row>
    <row r="52892" spans="23:23" x14ac:dyDescent="0.55000000000000004">
      <c r="W52892"/>
    </row>
    <row r="52893" spans="23:23" x14ac:dyDescent="0.55000000000000004">
      <c r="W52893"/>
    </row>
    <row r="52894" spans="23:23" x14ac:dyDescent="0.55000000000000004">
      <c r="W52894"/>
    </row>
    <row r="52895" spans="23:23" x14ac:dyDescent="0.55000000000000004">
      <c r="W52895"/>
    </row>
    <row r="52896" spans="23:23" x14ac:dyDescent="0.55000000000000004">
      <c r="W52896"/>
    </row>
    <row r="52897" spans="23:23" x14ac:dyDescent="0.55000000000000004">
      <c r="W52897"/>
    </row>
    <row r="52898" spans="23:23" x14ac:dyDescent="0.55000000000000004">
      <c r="W52898"/>
    </row>
    <row r="52899" spans="23:23" x14ac:dyDescent="0.55000000000000004">
      <c r="W52899"/>
    </row>
    <row r="52900" spans="23:23" x14ac:dyDescent="0.55000000000000004">
      <c r="W52900"/>
    </row>
    <row r="52901" spans="23:23" x14ac:dyDescent="0.55000000000000004">
      <c r="W52901"/>
    </row>
    <row r="52902" spans="23:23" x14ac:dyDescent="0.55000000000000004">
      <c r="W52902"/>
    </row>
    <row r="52903" spans="23:23" x14ac:dyDescent="0.55000000000000004">
      <c r="W52903"/>
    </row>
    <row r="52904" spans="23:23" x14ac:dyDescent="0.55000000000000004">
      <c r="W52904"/>
    </row>
    <row r="52905" spans="23:23" x14ac:dyDescent="0.55000000000000004">
      <c r="W52905"/>
    </row>
    <row r="52906" spans="23:23" x14ac:dyDescent="0.55000000000000004">
      <c r="W52906"/>
    </row>
    <row r="52907" spans="23:23" x14ac:dyDescent="0.55000000000000004">
      <c r="W52907"/>
    </row>
    <row r="52908" spans="23:23" x14ac:dyDescent="0.55000000000000004">
      <c r="W52908"/>
    </row>
    <row r="52909" spans="23:23" x14ac:dyDescent="0.55000000000000004">
      <c r="W52909"/>
    </row>
    <row r="52910" spans="23:23" x14ac:dyDescent="0.55000000000000004">
      <c r="W52910"/>
    </row>
    <row r="52911" spans="23:23" x14ac:dyDescent="0.55000000000000004">
      <c r="W52911"/>
    </row>
    <row r="52912" spans="23:23" x14ac:dyDescent="0.55000000000000004">
      <c r="W52912"/>
    </row>
    <row r="52913" spans="23:23" x14ac:dyDescent="0.55000000000000004">
      <c r="W52913"/>
    </row>
    <row r="52914" spans="23:23" x14ac:dyDescent="0.55000000000000004">
      <c r="W52914"/>
    </row>
    <row r="52915" spans="23:23" x14ac:dyDescent="0.55000000000000004">
      <c r="W52915"/>
    </row>
    <row r="52916" spans="23:23" x14ac:dyDescent="0.55000000000000004">
      <c r="W52916"/>
    </row>
    <row r="52917" spans="23:23" x14ac:dyDescent="0.55000000000000004">
      <c r="W52917"/>
    </row>
    <row r="52918" spans="23:23" x14ac:dyDescent="0.55000000000000004">
      <c r="W52918"/>
    </row>
    <row r="52919" spans="23:23" x14ac:dyDescent="0.55000000000000004">
      <c r="W52919"/>
    </row>
    <row r="52920" spans="23:23" x14ac:dyDescent="0.55000000000000004">
      <c r="W52920"/>
    </row>
    <row r="52921" spans="23:23" x14ac:dyDescent="0.55000000000000004">
      <c r="W52921"/>
    </row>
    <row r="52922" spans="23:23" x14ac:dyDescent="0.55000000000000004">
      <c r="W52922"/>
    </row>
    <row r="52923" spans="23:23" x14ac:dyDescent="0.55000000000000004">
      <c r="W52923"/>
    </row>
    <row r="52924" spans="23:23" x14ac:dyDescent="0.55000000000000004">
      <c r="W52924"/>
    </row>
    <row r="52925" spans="23:23" x14ac:dyDescent="0.55000000000000004">
      <c r="W52925"/>
    </row>
    <row r="52926" spans="23:23" x14ac:dyDescent="0.55000000000000004">
      <c r="W52926"/>
    </row>
    <row r="52927" spans="23:23" x14ac:dyDescent="0.55000000000000004">
      <c r="W52927"/>
    </row>
    <row r="52928" spans="23:23" x14ac:dyDescent="0.55000000000000004">
      <c r="W52928"/>
    </row>
    <row r="52929" spans="23:23" x14ac:dyDescent="0.55000000000000004">
      <c r="W52929"/>
    </row>
    <row r="52930" spans="23:23" x14ac:dyDescent="0.55000000000000004">
      <c r="W52930"/>
    </row>
    <row r="52931" spans="23:23" x14ac:dyDescent="0.55000000000000004">
      <c r="W52931"/>
    </row>
    <row r="52932" spans="23:23" x14ac:dyDescent="0.55000000000000004">
      <c r="W52932"/>
    </row>
    <row r="52933" spans="23:23" x14ac:dyDescent="0.55000000000000004">
      <c r="W52933"/>
    </row>
    <row r="52934" spans="23:23" x14ac:dyDescent="0.55000000000000004">
      <c r="W52934"/>
    </row>
    <row r="52935" spans="23:23" x14ac:dyDescent="0.55000000000000004">
      <c r="W52935"/>
    </row>
    <row r="52936" spans="23:23" x14ac:dyDescent="0.55000000000000004">
      <c r="W52936"/>
    </row>
    <row r="52937" spans="23:23" x14ac:dyDescent="0.55000000000000004">
      <c r="W52937"/>
    </row>
    <row r="52938" spans="23:23" x14ac:dyDescent="0.55000000000000004">
      <c r="W52938"/>
    </row>
    <row r="52939" spans="23:23" x14ac:dyDescent="0.55000000000000004">
      <c r="W52939"/>
    </row>
    <row r="52940" spans="23:23" x14ac:dyDescent="0.55000000000000004">
      <c r="W52940"/>
    </row>
    <row r="52941" spans="23:23" x14ac:dyDescent="0.55000000000000004">
      <c r="W52941"/>
    </row>
    <row r="52942" spans="23:23" x14ac:dyDescent="0.55000000000000004">
      <c r="W52942"/>
    </row>
    <row r="52943" spans="23:23" x14ac:dyDescent="0.55000000000000004">
      <c r="W52943"/>
    </row>
    <row r="52944" spans="23:23" x14ac:dyDescent="0.55000000000000004">
      <c r="W52944"/>
    </row>
    <row r="52945" spans="23:23" x14ac:dyDescent="0.55000000000000004">
      <c r="W52945"/>
    </row>
    <row r="52946" spans="23:23" x14ac:dyDescent="0.55000000000000004">
      <c r="W52946"/>
    </row>
    <row r="52947" spans="23:23" x14ac:dyDescent="0.55000000000000004">
      <c r="W52947"/>
    </row>
    <row r="52948" spans="23:23" x14ac:dyDescent="0.55000000000000004">
      <c r="W52948"/>
    </row>
    <row r="52949" spans="23:23" x14ac:dyDescent="0.55000000000000004">
      <c r="W52949"/>
    </row>
    <row r="52950" spans="23:23" x14ac:dyDescent="0.55000000000000004">
      <c r="W52950"/>
    </row>
    <row r="52951" spans="23:23" x14ac:dyDescent="0.55000000000000004">
      <c r="W52951"/>
    </row>
    <row r="52952" spans="23:23" x14ac:dyDescent="0.55000000000000004">
      <c r="W52952"/>
    </row>
    <row r="52953" spans="23:23" x14ac:dyDescent="0.55000000000000004">
      <c r="W52953"/>
    </row>
    <row r="52954" spans="23:23" x14ac:dyDescent="0.55000000000000004">
      <c r="W52954"/>
    </row>
    <row r="52955" spans="23:23" x14ac:dyDescent="0.55000000000000004">
      <c r="W52955"/>
    </row>
    <row r="52956" spans="23:23" x14ac:dyDescent="0.55000000000000004">
      <c r="W52956"/>
    </row>
    <row r="52957" spans="23:23" x14ac:dyDescent="0.55000000000000004">
      <c r="W52957"/>
    </row>
    <row r="52958" spans="23:23" x14ac:dyDescent="0.55000000000000004">
      <c r="W52958"/>
    </row>
    <row r="52959" spans="23:23" x14ac:dyDescent="0.55000000000000004">
      <c r="W52959"/>
    </row>
    <row r="52960" spans="23:23" x14ac:dyDescent="0.55000000000000004">
      <c r="W52960"/>
    </row>
    <row r="52961" spans="23:23" x14ac:dyDescent="0.55000000000000004">
      <c r="W52961"/>
    </row>
    <row r="52962" spans="23:23" x14ac:dyDescent="0.55000000000000004">
      <c r="W52962"/>
    </row>
    <row r="52963" spans="23:23" x14ac:dyDescent="0.55000000000000004">
      <c r="W52963"/>
    </row>
    <row r="52964" spans="23:23" x14ac:dyDescent="0.55000000000000004">
      <c r="W52964"/>
    </row>
    <row r="52965" spans="23:23" x14ac:dyDescent="0.55000000000000004">
      <c r="W52965"/>
    </row>
    <row r="52966" spans="23:23" x14ac:dyDescent="0.55000000000000004">
      <c r="W52966"/>
    </row>
    <row r="52967" spans="23:23" x14ac:dyDescent="0.55000000000000004">
      <c r="W52967"/>
    </row>
    <row r="52968" spans="23:23" x14ac:dyDescent="0.55000000000000004">
      <c r="W52968"/>
    </row>
    <row r="52969" spans="23:23" x14ac:dyDescent="0.55000000000000004">
      <c r="W52969"/>
    </row>
    <row r="52970" spans="23:23" x14ac:dyDescent="0.55000000000000004">
      <c r="W52970"/>
    </row>
    <row r="52971" spans="23:23" x14ac:dyDescent="0.55000000000000004">
      <c r="W52971"/>
    </row>
    <row r="52972" spans="23:23" x14ac:dyDescent="0.55000000000000004">
      <c r="W52972"/>
    </row>
    <row r="52973" spans="23:23" x14ac:dyDescent="0.55000000000000004">
      <c r="W52973"/>
    </row>
    <row r="52974" spans="23:23" x14ac:dyDescent="0.55000000000000004">
      <c r="W52974"/>
    </row>
    <row r="52975" spans="23:23" x14ac:dyDescent="0.55000000000000004">
      <c r="W52975"/>
    </row>
    <row r="52976" spans="23:23" x14ac:dyDescent="0.55000000000000004">
      <c r="W52976"/>
    </row>
    <row r="52977" spans="23:23" x14ac:dyDescent="0.55000000000000004">
      <c r="W52977"/>
    </row>
    <row r="52978" spans="23:23" x14ac:dyDescent="0.55000000000000004">
      <c r="W52978"/>
    </row>
    <row r="52979" spans="23:23" x14ac:dyDescent="0.55000000000000004">
      <c r="W52979"/>
    </row>
    <row r="52980" spans="23:23" x14ac:dyDescent="0.55000000000000004">
      <c r="W52980"/>
    </row>
    <row r="52981" spans="23:23" x14ac:dyDescent="0.55000000000000004">
      <c r="W52981"/>
    </row>
    <row r="52982" spans="23:23" x14ac:dyDescent="0.55000000000000004">
      <c r="W52982"/>
    </row>
    <row r="52983" spans="23:23" x14ac:dyDescent="0.55000000000000004">
      <c r="W52983"/>
    </row>
    <row r="52984" spans="23:23" x14ac:dyDescent="0.55000000000000004">
      <c r="W52984"/>
    </row>
    <row r="52985" spans="23:23" x14ac:dyDescent="0.55000000000000004">
      <c r="W52985"/>
    </row>
    <row r="52986" spans="23:23" x14ac:dyDescent="0.55000000000000004">
      <c r="W52986"/>
    </row>
    <row r="52987" spans="23:23" x14ac:dyDescent="0.55000000000000004">
      <c r="W52987"/>
    </row>
    <row r="52988" spans="23:23" x14ac:dyDescent="0.55000000000000004">
      <c r="W52988"/>
    </row>
    <row r="52989" spans="23:23" x14ac:dyDescent="0.55000000000000004">
      <c r="W52989"/>
    </row>
    <row r="52990" spans="23:23" x14ac:dyDescent="0.55000000000000004">
      <c r="W52990"/>
    </row>
    <row r="52991" spans="23:23" x14ac:dyDescent="0.55000000000000004">
      <c r="W52991"/>
    </row>
    <row r="52992" spans="23:23" x14ac:dyDescent="0.55000000000000004">
      <c r="W52992"/>
    </row>
    <row r="52993" spans="23:23" x14ac:dyDescent="0.55000000000000004">
      <c r="W52993"/>
    </row>
    <row r="52994" spans="23:23" x14ac:dyDescent="0.55000000000000004">
      <c r="W52994"/>
    </row>
    <row r="52995" spans="23:23" x14ac:dyDescent="0.55000000000000004">
      <c r="W52995"/>
    </row>
    <row r="52996" spans="23:23" x14ac:dyDescent="0.55000000000000004">
      <c r="W52996"/>
    </row>
    <row r="52997" spans="23:23" x14ac:dyDescent="0.55000000000000004">
      <c r="W52997"/>
    </row>
    <row r="52998" spans="23:23" x14ac:dyDescent="0.55000000000000004">
      <c r="W52998"/>
    </row>
    <row r="52999" spans="23:23" x14ac:dyDescent="0.55000000000000004">
      <c r="W52999"/>
    </row>
    <row r="53000" spans="23:23" x14ac:dyDescent="0.55000000000000004">
      <c r="W53000"/>
    </row>
    <row r="53001" spans="23:23" x14ac:dyDescent="0.55000000000000004">
      <c r="W53001"/>
    </row>
    <row r="53002" spans="23:23" x14ac:dyDescent="0.55000000000000004">
      <c r="W53002"/>
    </row>
    <row r="53003" spans="23:23" x14ac:dyDescent="0.55000000000000004">
      <c r="W53003"/>
    </row>
    <row r="53004" spans="23:23" x14ac:dyDescent="0.55000000000000004">
      <c r="W53004"/>
    </row>
    <row r="53005" spans="23:23" x14ac:dyDescent="0.55000000000000004">
      <c r="W53005"/>
    </row>
    <row r="53006" spans="23:23" x14ac:dyDescent="0.55000000000000004">
      <c r="W53006"/>
    </row>
    <row r="53007" spans="23:23" x14ac:dyDescent="0.55000000000000004">
      <c r="W53007"/>
    </row>
    <row r="53008" spans="23:23" x14ac:dyDescent="0.55000000000000004">
      <c r="W53008"/>
    </row>
    <row r="53009" spans="23:23" x14ac:dyDescent="0.55000000000000004">
      <c r="W53009"/>
    </row>
    <row r="53010" spans="23:23" x14ac:dyDescent="0.55000000000000004">
      <c r="W53010"/>
    </row>
    <row r="53011" spans="23:23" x14ac:dyDescent="0.55000000000000004">
      <c r="W53011"/>
    </row>
    <row r="53012" spans="23:23" x14ac:dyDescent="0.55000000000000004">
      <c r="W53012"/>
    </row>
    <row r="53013" spans="23:23" x14ac:dyDescent="0.55000000000000004">
      <c r="W53013"/>
    </row>
    <row r="53014" spans="23:23" x14ac:dyDescent="0.55000000000000004">
      <c r="W53014"/>
    </row>
    <row r="53015" spans="23:23" x14ac:dyDescent="0.55000000000000004">
      <c r="W53015"/>
    </row>
    <row r="53016" spans="23:23" x14ac:dyDescent="0.55000000000000004">
      <c r="W53016"/>
    </row>
    <row r="53017" spans="23:23" x14ac:dyDescent="0.55000000000000004">
      <c r="W53017"/>
    </row>
    <row r="53018" spans="23:23" x14ac:dyDescent="0.55000000000000004">
      <c r="W53018"/>
    </row>
    <row r="53019" spans="23:23" x14ac:dyDescent="0.55000000000000004">
      <c r="W53019"/>
    </row>
    <row r="53020" spans="23:23" x14ac:dyDescent="0.55000000000000004">
      <c r="W53020"/>
    </row>
    <row r="53021" spans="23:23" x14ac:dyDescent="0.55000000000000004">
      <c r="W53021"/>
    </row>
    <row r="53022" spans="23:23" x14ac:dyDescent="0.55000000000000004">
      <c r="W53022"/>
    </row>
    <row r="53023" spans="23:23" x14ac:dyDescent="0.55000000000000004">
      <c r="W53023"/>
    </row>
    <row r="53024" spans="23:23" x14ac:dyDescent="0.55000000000000004">
      <c r="W53024"/>
    </row>
    <row r="53025" spans="23:23" x14ac:dyDescent="0.55000000000000004">
      <c r="W53025"/>
    </row>
    <row r="53026" spans="23:23" x14ac:dyDescent="0.55000000000000004">
      <c r="W53026"/>
    </row>
    <row r="53027" spans="23:23" x14ac:dyDescent="0.55000000000000004">
      <c r="W53027"/>
    </row>
    <row r="53028" spans="23:23" x14ac:dyDescent="0.55000000000000004">
      <c r="W53028"/>
    </row>
    <row r="53029" spans="23:23" x14ac:dyDescent="0.55000000000000004">
      <c r="W53029"/>
    </row>
    <row r="53030" spans="23:23" x14ac:dyDescent="0.55000000000000004">
      <c r="W53030"/>
    </row>
    <row r="53031" spans="23:23" x14ac:dyDescent="0.55000000000000004">
      <c r="W53031"/>
    </row>
    <row r="53032" spans="23:23" x14ac:dyDescent="0.55000000000000004">
      <c r="W53032"/>
    </row>
    <row r="53033" spans="23:23" x14ac:dyDescent="0.55000000000000004">
      <c r="W53033"/>
    </row>
    <row r="53034" spans="23:23" x14ac:dyDescent="0.55000000000000004">
      <c r="W53034"/>
    </row>
    <row r="53035" spans="23:23" x14ac:dyDescent="0.55000000000000004">
      <c r="W53035"/>
    </row>
    <row r="53036" spans="23:23" x14ac:dyDescent="0.55000000000000004">
      <c r="W53036"/>
    </row>
    <row r="53037" spans="23:23" x14ac:dyDescent="0.55000000000000004">
      <c r="W53037"/>
    </row>
    <row r="53038" spans="23:23" x14ac:dyDescent="0.55000000000000004">
      <c r="W53038"/>
    </row>
    <row r="53039" spans="23:23" x14ac:dyDescent="0.55000000000000004">
      <c r="W53039"/>
    </row>
    <row r="53040" spans="23:23" x14ac:dyDescent="0.55000000000000004">
      <c r="W53040"/>
    </row>
    <row r="53041" spans="23:23" x14ac:dyDescent="0.55000000000000004">
      <c r="W53041"/>
    </row>
    <row r="53042" spans="23:23" x14ac:dyDescent="0.55000000000000004">
      <c r="W53042"/>
    </row>
    <row r="53043" spans="23:23" x14ac:dyDescent="0.55000000000000004">
      <c r="W53043"/>
    </row>
    <row r="53044" spans="23:23" x14ac:dyDescent="0.55000000000000004">
      <c r="W53044"/>
    </row>
    <row r="53045" spans="23:23" x14ac:dyDescent="0.55000000000000004">
      <c r="W53045"/>
    </row>
    <row r="53046" spans="23:23" x14ac:dyDescent="0.55000000000000004">
      <c r="W53046"/>
    </row>
    <row r="53047" spans="23:23" x14ac:dyDescent="0.55000000000000004">
      <c r="W53047"/>
    </row>
    <row r="53048" spans="23:23" x14ac:dyDescent="0.55000000000000004">
      <c r="W53048"/>
    </row>
    <row r="53049" spans="23:23" x14ac:dyDescent="0.55000000000000004">
      <c r="W53049"/>
    </row>
    <row r="53050" spans="23:23" x14ac:dyDescent="0.55000000000000004">
      <c r="W53050"/>
    </row>
    <row r="53051" spans="23:23" x14ac:dyDescent="0.55000000000000004">
      <c r="W53051"/>
    </row>
    <row r="53052" spans="23:23" x14ac:dyDescent="0.55000000000000004">
      <c r="W53052"/>
    </row>
    <row r="53053" spans="23:23" x14ac:dyDescent="0.55000000000000004">
      <c r="W53053"/>
    </row>
    <row r="53054" spans="23:23" x14ac:dyDescent="0.55000000000000004">
      <c r="W53054"/>
    </row>
    <row r="53055" spans="23:23" x14ac:dyDescent="0.55000000000000004">
      <c r="W53055"/>
    </row>
    <row r="53056" spans="23:23" x14ac:dyDescent="0.55000000000000004">
      <c r="W53056"/>
    </row>
    <row r="53057" spans="23:23" x14ac:dyDescent="0.55000000000000004">
      <c r="W53057"/>
    </row>
    <row r="53058" spans="23:23" x14ac:dyDescent="0.55000000000000004">
      <c r="W53058"/>
    </row>
    <row r="53059" spans="23:23" x14ac:dyDescent="0.55000000000000004">
      <c r="W53059"/>
    </row>
    <row r="53060" spans="23:23" x14ac:dyDescent="0.55000000000000004">
      <c r="W53060"/>
    </row>
    <row r="53061" spans="23:23" x14ac:dyDescent="0.55000000000000004">
      <c r="W53061"/>
    </row>
    <row r="53062" spans="23:23" x14ac:dyDescent="0.55000000000000004">
      <c r="W53062"/>
    </row>
    <row r="53063" spans="23:23" x14ac:dyDescent="0.55000000000000004">
      <c r="W53063"/>
    </row>
    <row r="53064" spans="23:23" x14ac:dyDescent="0.55000000000000004">
      <c r="W53064"/>
    </row>
    <row r="53065" spans="23:23" x14ac:dyDescent="0.55000000000000004">
      <c r="W53065"/>
    </row>
    <row r="53066" spans="23:23" x14ac:dyDescent="0.55000000000000004">
      <c r="W53066"/>
    </row>
    <row r="53067" spans="23:23" x14ac:dyDescent="0.55000000000000004">
      <c r="W53067"/>
    </row>
    <row r="53068" spans="23:23" x14ac:dyDescent="0.55000000000000004">
      <c r="W53068"/>
    </row>
    <row r="53069" spans="23:23" x14ac:dyDescent="0.55000000000000004">
      <c r="W53069"/>
    </row>
    <row r="53070" spans="23:23" x14ac:dyDescent="0.55000000000000004">
      <c r="W53070"/>
    </row>
    <row r="53071" spans="23:23" x14ac:dyDescent="0.55000000000000004">
      <c r="W53071"/>
    </row>
    <row r="53072" spans="23:23" x14ac:dyDescent="0.55000000000000004">
      <c r="W53072"/>
    </row>
    <row r="53073" spans="23:23" x14ac:dyDescent="0.55000000000000004">
      <c r="W53073"/>
    </row>
    <row r="53074" spans="23:23" x14ac:dyDescent="0.55000000000000004">
      <c r="W53074"/>
    </row>
    <row r="53075" spans="23:23" x14ac:dyDescent="0.55000000000000004">
      <c r="W53075"/>
    </row>
    <row r="53076" spans="23:23" x14ac:dyDescent="0.55000000000000004">
      <c r="W53076"/>
    </row>
    <row r="53077" spans="23:23" x14ac:dyDescent="0.55000000000000004">
      <c r="W53077"/>
    </row>
    <row r="53078" spans="23:23" x14ac:dyDescent="0.55000000000000004">
      <c r="W53078"/>
    </row>
    <row r="53079" spans="23:23" x14ac:dyDescent="0.55000000000000004">
      <c r="W53079"/>
    </row>
    <row r="53080" spans="23:23" x14ac:dyDescent="0.55000000000000004">
      <c r="W53080"/>
    </row>
    <row r="53081" spans="23:23" x14ac:dyDescent="0.55000000000000004">
      <c r="W53081"/>
    </row>
    <row r="53082" spans="23:23" x14ac:dyDescent="0.55000000000000004">
      <c r="W53082"/>
    </row>
    <row r="53083" spans="23:23" x14ac:dyDescent="0.55000000000000004">
      <c r="W53083"/>
    </row>
    <row r="53084" spans="23:23" x14ac:dyDescent="0.55000000000000004">
      <c r="W53084"/>
    </row>
    <row r="53085" spans="23:23" x14ac:dyDescent="0.55000000000000004">
      <c r="W53085"/>
    </row>
    <row r="53086" spans="23:23" x14ac:dyDescent="0.55000000000000004">
      <c r="W53086"/>
    </row>
    <row r="53087" spans="23:23" x14ac:dyDescent="0.55000000000000004">
      <c r="W53087"/>
    </row>
    <row r="53088" spans="23:23" x14ac:dyDescent="0.55000000000000004">
      <c r="W53088"/>
    </row>
    <row r="53089" spans="23:23" x14ac:dyDescent="0.55000000000000004">
      <c r="W53089"/>
    </row>
    <row r="53090" spans="23:23" x14ac:dyDescent="0.55000000000000004">
      <c r="W53090"/>
    </row>
    <row r="53091" spans="23:23" x14ac:dyDescent="0.55000000000000004">
      <c r="W53091"/>
    </row>
    <row r="53092" spans="23:23" x14ac:dyDescent="0.55000000000000004">
      <c r="W53092"/>
    </row>
    <row r="53093" spans="23:23" x14ac:dyDescent="0.55000000000000004">
      <c r="W53093"/>
    </row>
    <row r="53094" spans="23:23" x14ac:dyDescent="0.55000000000000004">
      <c r="W53094"/>
    </row>
    <row r="53095" spans="23:23" x14ac:dyDescent="0.55000000000000004">
      <c r="W53095"/>
    </row>
    <row r="53096" spans="23:23" x14ac:dyDescent="0.55000000000000004">
      <c r="W53096"/>
    </row>
    <row r="53097" spans="23:23" x14ac:dyDescent="0.55000000000000004">
      <c r="W53097"/>
    </row>
    <row r="53098" spans="23:23" x14ac:dyDescent="0.55000000000000004">
      <c r="W53098"/>
    </row>
    <row r="53099" spans="23:23" x14ac:dyDescent="0.55000000000000004">
      <c r="W53099"/>
    </row>
    <row r="53100" spans="23:23" x14ac:dyDescent="0.55000000000000004">
      <c r="W53100"/>
    </row>
    <row r="53101" spans="23:23" x14ac:dyDescent="0.55000000000000004">
      <c r="W53101"/>
    </row>
    <row r="53102" spans="23:23" x14ac:dyDescent="0.55000000000000004">
      <c r="W53102"/>
    </row>
    <row r="53103" spans="23:23" x14ac:dyDescent="0.55000000000000004">
      <c r="W53103"/>
    </row>
    <row r="53104" spans="23:23" x14ac:dyDescent="0.55000000000000004">
      <c r="W53104"/>
    </row>
    <row r="53105" spans="23:23" x14ac:dyDescent="0.55000000000000004">
      <c r="W53105"/>
    </row>
    <row r="53106" spans="23:23" x14ac:dyDescent="0.55000000000000004">
      <c r="W53106"/>
    </row>
    <row r="53107" spans="23:23" x14ac:dyDescent="0.55000000000000004">
      <c r="W53107"/>
    </row>
    <row r="53108" spans="23:23" x14ac:dyDescent="0.55000000000000004">
      <c r="W53108"/>
    </row>
    <row r="53109" spans="23:23" x14ac:dyDescent="0.55000000000000004">
      <c r="W53109"/>
    </row>
    <row r="53110" spans="23:23" x14ac:dyDescent="0.55000000000000004">
      <c r="W53110"/>
    </row>
    <row r="53111" spans="23:23" x14ac:dyDescent="0.55000000000000004">
      <c r="W53111"/>
    </row>
    <row r="53112" spans="23:23" x14ac:dyDescent="0.55000000000000004">
      <c r="W53112"/>
    </row>
    <row r="53113" spans="23:23" x14ac:dyDescent="0.55000000000000004">
      <c r="W53113"/>
    </row>
    <row r="53114" spans="23:23" x14ac:dyDescent="0.55000000000000004">
      <c r="W53114"/>
    </row>
    <row r="53115" spans="23:23" x14ac:dyDescent="0.55000000000000004">
      <c r="W53115"/>
    </row>
    <row r="53116" spans="23:23" x14ac:dyDescent="0.55000000000000004">
      <c r="W53116"/>
    </row>
    <row r="53117" spans="23:23" x14ac:dyDescent="0.55000000000000004">
      <c r="W53117"/>
    </row>
    <row r="53118" spans="23:23" x14ac:dyDescent="0.55000000000000004">
      <c r="W53118"/>
    </row>
    <row r="53119" spans="23:23" x14ac:dyDescent="0.55000000000000004">
      <c r="W53119"/>
    </row>
    <row r="53120" spans="23:23" x14ac:dyDescent="0.55000000000000004">
      <c r="W53120"/>
    </row>
    <row r="53121" spans="23:23" x14ac:dyDescent="0.55000000000000004">
      <c r="W53121"/>
    </row>
    <row r="53122" spans="23:23" x14ac:dyDescent="0.55000000000000004">
      <c r="W53122"/>
    </row>
    <row r="53123" spans="23:23" x14ac:dyDescent="0.55000000000000004">
      <c r="W53123"/>
    </row>
    <row r="53124" spans="23:23" x14ac:dyDescent="0.55000000000000004">
      <c r="W53124"/>
    </row>
    <row r="53125" spans="23:23" x14ac:dyDescent="0.55000000000000004">
      <c r="W53125"/>
    </row>
    <row r="53126" spans="23:23" x14ac:dyDescent="0.55000000000000004">
      <c r="W53126"/>
    </row>
    <row r="53127" spans="23:23" x14ac:dyDescent="0.55000000000000004">
      <c r="W53127"/>
    </row>
    <row r="53128" spans="23:23" x14ac:dyDescent="0.55000000000000004">
      <c r="W53128"/>
    </row>
    <row r="53129" spans="23:23" x14ac:dyDescent="0.55000000000000004">
      <c r="W53129"/>
    </row>
    <row r="53130" spans="23:23" x14ac:dyDescent="0.55000000000000004">
      <c r="W53130"/>
    </row>
    <row r="53131" spans="23:23" x14ac:dyDescent="0.55000000000000004">
      <c r="W53131"/>
    </row>
    <row r="53132" spans="23:23" x14ac:dyDescent="0.55000000000000004">
      <c r="W53132"/>
    </row>
    <row r="53133" spans="23:23" x14ac:dyDescent="0.55000000000000004">
      <c r="W53133"/>
    </row>
    <row r="53134" spans="23:23" x14ac:dyDescent="0.55000000000000004">
      <c r="W53134"/>
    </row>
    <row r="53135" spans="23:23" x14ac:dyDescent="0.55000000000000004">
      <c r="W53135"/>
    </row>
    <row r="53136" spans="23:23" x14ac:dyDescent="0.55000000000000004">
      <c r="W53136"/>
    </row>
    <row r="53137" spans="23:23" x14ac:dyDescent="0.55000000000000004">
      <c r="W53137"/>
    </row>
    <row r="53138" spans="23:23" x14ac:dyDescent="0.55000000000000004">
      <c r="W53138"/>
    </row>
    <row r="53139" spans="23:23" x14ac:dyDescent="0.55000000000000004">
      <c r="W53139"/>
    </row>
    <row r="53140" spans="23:23" x14ac:dyDescent="0.55000000000000004">
      <c r="W53140"/>
    </row>
    <row r="53141" spans="23:23" x14ac:dyDescent="0.55000000000000004">
      <c r="W53141"/>
    </row>
    <row r="53142" spans="23:23" x14ac:dyDescent="0.55000000000000004">
      <c r="W53142"/>
    </row>
    <row r="53143" spans="23:23" x14ac:dyDescent="0.55000000000000004">
      <c r="W53143"/>
    </row>
    <row r="53144" spans="23:23" x14ac:dyDescent="0.55000000000000004">
      <c r="W53144"/>
    </row>
    <row r="53145" spans="23:23" x14ac:dyDescent="0.55000000000000004">
      <c r="W53145"/>
    </row>
    <row r="53146" spans="23:23" x14ac:dyDescent="0.55000000000000004">
      <c r="W53146"/>
    </row>
    <row r="53147" spans="23:23" x14ac:dyDescent="0.55000000000000004">
      <c r="W53147"/>
    </row>
    <row r="53148" spans="23:23" x14ac:dyDescent="0.55000000000000004">
      <c r="W53148"/>
    </row>
    <row r="53149" spans="23:23" x14ac:dyDescent="0.55000000000000004">
      <c r="W53149"/>
    </row>
    <row r="53150" spans="23:23" x14ac:dyDescent="0.55000000000000004">
      <c r="W53150"/>
    </row>
    <row r="53151" spans="23:23" x14ac:dyDescent="0.55000000000000004">
      <c r="W53151"/>
    </row>
    <row r="53152" spans="23:23" x14ac:dyDescent="0.55000000000000004">
      <c r="W53152"/>
    </row>
    <row r="53153" spans="23:23" x14ac:dyDescent="0.55000000000000004">
      <c r="W53153"/>
    </row>
    <row r="53154" spans="23:23" x14ac:dyDescent="0.55000000000000004">
      <c r="W53154"/>
    </row>
    <row r="53155" spans="23:23" x14ac:dyDescent="0.55000000000000004">
      <c r="W53155"/>
    </row>
    <row r="53156" spans="23:23" x14ac:dyDescent="0.55000000000000004">
      <c r="W53156"/>
    </row>
    <row r="53157" spans="23:23" x14ac:dyDescent="0.55000000000000004">
      <c r="W53157"/>
    </row>
    <row r="53158" spans="23:23" x14ac:dyDescent="0.55000000000000004">
      <c r="W53158"/>
    </row>
    <row r="53159" spans="23:23" x14ac:dyDescent="0.55000000000000004">
      <c r="W53159"/>
    </row>
    <row r="53160" spans="23:23" x14ac:dyDescent="0.55000000000000004">
      <c r="W53160"/>
    </row>
    <row r="53161" spans="23:23" x14ac:dyDescent="0.55000000000000004">
      <c r="W53161"/>
    </row>
    <row r="53162" spans="23:23" x14ac:dyDescent="0.55000000000000004">
      <c r="W53162"/>
    </row>
    <row r="53163" spans="23:23" x14ac:dyDescent="0.55000000000000004">
      <c r="W53163"/>
    </row>
    <row r="53164" spans="23:23" x14ac:dyDescent="0.55000000000000004">
      <c r="W53164"/>
    </row>
    <row r="53165" spans="23:23" x14ac:dyDescent="0.55000000000000004">
      <c r="W53165"/>
    </row>
    <row r="53166" spans="23:23" x14ac:dyDescent="0.55000000000000004">
      <c r="W53166"/>
    </row>
    <row r="53167" spans="23:23" x14ac:dyDescent="0.55000000000000004">
      <c r="W53167"/>
    </row>
    <row r="53168" spans="23:23" x14ac:dyDescent="0.55000000000000004">
      <c r="W53168"/>
    </row>
    <row r="53169" spans="23:23" x14ac:dyDescent="0.55000000000000004">
      <c r="W53169"/>
    </row>
    <row r="53170" spans="23:23" x14ac:dyDescent="0.55000000000000004">
      <c r="W53170"/>
    </row>
    <row r="53171" spans="23:23" x14ac:dyDescent="0.55000000000000004">
      <c r="W53171"/>
    </row>
    <row r="53172" spans="23:23" x14ac:dyDescent="0.55000000000000004">
      <c r="W53172"/>
    </row>
    <row r="53173" spans="23:23" x14ac:dyDescent="0.55000000000000004">
      <c r="W53173"/>
    </row>
    <row r="53174" spans="23:23" x14ac:dyDescent="0.55000000000000004">
      <c r="W53174"/>
    </row>
    <row r="53175" spans="23:23" x14ac:dyDescent="0.55000000000000004">
      <c r="W53175"/>
    </row>
    <row r="53176" spans="23:23" x14ac:dyDescent="0.55000000000000004">
      <c r="W53176"/>
    </row>
    <row r="53177" spans="23:23" x14ac:dyDescent="0.55000000000000004">
      <c r="W53177"/>
    </row>
    <row r="53178" spans="23:23" x14ac:dyDescent="0.55000000000000004">
      <c r="W53178"/>
    </row>
    <row r="53179" spans="23:23" x14ac:dyDescent="0.55000000000000004">
      <c r="W53179"/>
    </row>
    <row r="53180" spans="23:23" x14ac:dyDescent="0.55000000000000004">
      <c r="W53180"/>
    </row>
    <row r="53181" spans="23:23" x14ac:dyDescent="0.55000000000000004">
      <c r="W53181"/>
    </row>
    <row r="53182" spans="23:23" x14ac:dyDescent="0.55000000000000004">
      <c r="W53182"/>
    </row>
    <row r="53183" spans="23:23" x14ac:dyDescent="0.55000000000000004">
      <c r="W53183"/>
    </row>
    <row r="53184" spans="23:23" x14ac:dyDescent="0.55000000000000004">
      <c r="W53184"/>
    </row>
    <row r="53185" spans="23:23" x14ac:dyDescent="0.55000000000000004">
      <c r="W53185"/>
    </row>
    <row r="53186" spans="23:23" x14ac:dyDescent="0.55000000000000004">
      <c r="W53186"/>
    </row>
    <row r="53187" spans="23:23" x14ac:dyDescent="0.55000000000000004">
      <c r="W53187"/>
    </row>
    <row r="53188" spans="23:23" x14ac:dyDescent="0.55000000000000004">
      <c r="W53188"/>
    </row>
    <row r="53189" spans="23:23" x14ac:dyDescent="0.55000000000000004">
      <c r="W53189"/>
    </row>
    <row r="53190" spans="23:23" x14ac:dyDescent="0.55000000000000004">
      <c r="W53190"/>
    </row>
    <row r="53191" spans="23:23" x14ac:dyDescent="0.55000000000000004">
      <c r="W53191"/>
    </row>
    <row r="53192" spans="23:23" x14ac:dyDescent="0.55000000000000004">
      <c r="W53192"/>
    </row>
    <row r="53193" spans="23:23" x14ac:dyDescent="0.55000000000000004">
      <c r="W53193"/>
    </row>
    <row r="53194" spans="23:23" x14ac:dyDescent="0.55000000000000004">
      <c r="W53194"/>
    </row>
    <row r="53195" spans="23:23" x14ac:dyDescent="0.55000000000000004">
      <c r="W53195"/>
    </row>
    <row r="53196" spans="23:23" x14ac:dyDescent="0.55000000000000004">
      <c r="W53196"/>
    </row>
    <row r="53197" spans="23:23" x14ac:dyDescent="0.55000000000000004">
      <c r="W53197"/>
    </row>
    <row r="53198" spans="23:23" x14ac:dyDescent="0.55000000000000004">
      <c r="W53198"/>
    </row>
    <row r="53199" spans="23:23" x14ac:dyDescent="0.55000000000000004">
      <c r="W53199"/>
    </row>
    <row r="53200" spans="23:23" x14ac:dyDescent="0.55000000000000004">
      <c r="W53200"/>
    </row>
    <row r="53201" spans="23:23" x14ac:dyDescent="0.55000000000000004">
      <c r="W53201"/>
    </row>
    <row r="53202" spans="23:23" x14ac:dyDescent="0.55000000000000004">
      <c r="W53202"/>
    </row>
    <row r="53203" spans="23:23" x14ac:dyDescent="0.55000000000000004">
      <c r="W53203"/>
    </row>
    <row r="53204" spans="23:23" x14ac:dyDescent="0.55000000000000004">
      <c r="W53204"/>
    </row>
    <row r="53205" spans="23:23" x14ac:dyDescent="0.55000000000000004">
      <c r="W53205"/>
    </row>
    <row r="53206" spans="23:23" x14ac:dyDescent="0.55000000000000004">
      <c r="W53206"/>
    </row>
    <row r="53207" spans="23:23" x14ac:dyDescent="0.55000000000000004">
      <c r="W53207"/>
    </row>
    <row r="53208" spans="23:23" x14ac:dyDescent="0.55000000000000004">
      <c r="W53208"/>
    </row>
    <row r="53209" spans="23:23" x14ac:dyDescent="0.55000000000000004">
      <c r="W53209"/>
    </row>
    <row r="53210" spans="23:23" x14ac:dyDescent="0.55000000000000004">
      <c r="W53210"/>
    </row>
    <row r="53211" spans="23:23" x14ac:dyDescent="0.55000000000000004">
      <c r="W53211"/>
    </row>
    <row r="53212" spans="23:23" x14ac:dyDescent="0.55000000000000004">
      <c r="W53212"/>
    </row>
    <row r="53213" spans="23:23" x14ac:dyDescent="0.55000000000000004">
      <c r="W53213"/>
    </row>
    <row r="53214" spans="23:23" x14ac:dyDescent="0.55000000000000004">
      <c r="W53214"/>
    </row>
    <row r="53215" spans="23:23" x14ac:dyDescent="0.55000000000000004">
      <c r="W53215"/>
    </row>
    <row r="53216" spans="23:23" x14ac:dyDescent="0.55000000000000004">
      <c r="W53216"/>
    </row>
    <row r="53217" spans="23:23" x14ac:dyDescent="0.55000000000000004">
      <c r="W53217"/>
    </row>
    <row r="53218" spans="23:23" x14ac:dyDescent="0.55000000000000004">
      <c r="W53218"/>
    </row>
    <row r="53219" spans="23:23" x14ac:dyDescent="0.55000000000000004">
      <c r="W53219"/>
    </row>
    <row r="53220" spans="23:23" x14ac:dyDescent="0.55000000000000004">
      <c r="W53220"/>
    </row>
    <row r="53221" spans="23:23" x14ac:dyDescent="0.55000000000000004">
      <c r="W53221"/>
    </row>
    <row r="53222" spans="23:23" x14ac:dyDescent="0.55000000000000004">
      <c r="W53222"/>
    </row>
    <row r="53223" spans="23:23" x14ac:dyDescent="0.55000000000000004">
      <c r="W53223"/>
    </row>
    <row r="53224" spans="23:23" x14ac:dyDescent="0.55000000000000004">
      <c r="W53224"/>
    </row>
    <row r="53225" spans="23:23" x14ac:dyDescent="0.55000000000000004">
      <c r="W53225"/>
    </row>
    <row r="53226" spans="23:23" x14ac:dyDescent="0.55000000000000004">
      <c r="W53226"/>
    </row>
    <row r="53227" spans="23:23" x14ac:dyDescent="0.55000000000000004">
      <c r="W53227"/>
    </row>
    <row r="53228" spans="23:23" x14ac:dyDescent="0.55000000000000004">
      <c r="W53228"/>
    </row>
    <row r="53229" spans="23:23" x14ac:dyDescent="0.55000000000000004">
      <c r="W53229"/>
    </row>
    <row r="53230" spans="23:23" x14ac:dyDescent="0.55000000000000004">
      <c r="W53230"/>
    </row>
    <row r="53231" spans="23:23" x14ac:dyDescent="0.55000000000000004">
      <c r="W53231"/>
    </row>
    <row r="53232" spans="23:23" x14ac:dyDescent="0.55000000000000004">
      <c r="W53232"/>
    </row>
    <row r="53233" spans="23:23" x14ac:dyDescent="0.55000000000000004">
      <c r="W53233"/>
    </row>
    <row r="53234" spans="23:23" x14ac:dyDescent="0.55000000000000004">
      <c r="W53234"/>
    </row>
    <row r="53235" spans="23:23" x14ac:dyDescent="0.55000000000000004">
      <c r="W53235"/>
    </row>
    <row r="53236" spans="23:23" x14ac:dyDescent="0.55000000000000004">
      <c r="W53236"/>
    </row>
    <row r="53237" spans="23:23" x14ac:dyDescent="0.55000000000000004">
      <c r="W53237"/>
    </row>
    <row r="53238" spans="23:23" x14ac:dyDescent="0.55000000000000004">
      <c r="W53238"/>
    </row>
    <row r="53239" spans="23:23" x14ac:dyDescent="0.55000000000000004">
      <c r="W53239"/>
    </row>
    <row r="53240" spans="23:23" x14ac:dyDescent="0.55000000000000004">
      <c r="W53240"/>
    </row>
    <row r="53241" spans="23:23" x14ac:dyDescent="0.55000000000000004">
      <c r="W53241"/>
    </row>
    <row r="53242" spans="23:23" x14ac:dyDescent="0.55000000000000004">
      <c r="W53242"/>
    </row>
    <row r="53243" spans="23:23" x14ac:dyDescent="0.55000000000000004">
      <c r="W53243"/>
    </row>
    <row r="53244" spans="23:23" x14ac:dyDescent="0.55000000000000004">
      <c r="W53244"/>
    </row>
    <row r="53245" spans="23:23" x14ac:dyDescent="0.55000000000000004">
      <c r="W53245"/>
    </row>
    <row r="53246" spans="23:23" x14ac:dyDescent="0.55000000000000004">
      <c r="W53246"/>
    </row>
    <row r="53247" spans="23:23" x14ac:dyDescent="0.55000000000000004">
      <c r="W53247"/>
    </row>
    <row r="53248" spans="23:23" x14ac:dyDescent="0.55000000000000004">
      <c r="W53248"/>
    </row>
    <row r="53249" spans="23:23" x14ac:dyDescent="0.55000000000000004">
      <c r="W53249"/>
    </row>
    <row r="53250" spans="23:23" x14ac:dyDescent="0.55000000000000004">
      <c r="W53250"/>
    </row>
    <row r="53251" spans="23:23" x14ac:dyDescent="0.55000000000000004">
      <c r="W53251"/>
    </row>
    <row r="53252" spans="23:23" x14ac:dyDescent="0.55000000000000004">
      <c r="W53252"/>
    </row>
    <row r="53253" spans="23:23" x14ac:dyDescent="0.55000000000000004">
      <c r="W53253"/>
    </row>
    <row r="53254" spans="23:23" x14ac:dyDescent="0.55000000000000004">
      <c r="W53254"/>
    </row>
    <row r="53255" spans="23:23" x14ac:dyDescent="0.55000000000000004">
      <c r="W53255"/>
    </row>
    <row r="53256" spans="23:23" x14ac:dyDescent="0.55000000000000004">
      <c r="W53256"/>
    </row>
    <row r="53257" spans="23:23" x14ac:dyDescent="0.55000000000000004">
      <c r="W53257"/>
    </row>
    <row r="53258" spans="23:23" x14ac:dyDescent="0.55000000000000004">
      <c r="W53258"/>
    </row>
    <row r="53259" spans="23:23" x14ac:dyDescent="0.55000000000000004">
      <c r="W53259"/>
    </row>
    <row r="53260" spans="23:23" x14ac:dyDescent="0.55000000000000004">
      <c r="W53260"/>
    </row>
    <row r="53261" spans="23:23" x14ac:dyDescent="0.55000000000000004">
      <c r="W53261"/>
    </row>
    <row r="53262" spans="23:23" x14ac:dyDescent="0.55000000000000004">
      <c r="W53262"/>
    </row>
    <row r="53263" spans="23:23" x14ac:dyDescent="0.55000000000000004">
      <c r="W53263"/>
    </row>
    <row r="53264" spans="23:23" x14ac:dyDescent="0.55000000000000004">
      <c r="W53264"/>
    </row>
    <row r="53265" spans="23:23" x14ac:dyDescent="0.55000000000000004">
      <c r="W53265"/>
    </row>
    <row r="53266" spans="23:23" x14ac:dyDescent="0.55000000000000004">
      <c r="W53266"/>
    </row>
    <row r="53267" spans="23:23" x14ac:dyDescent="0.55000000000000004">
      <c r="W53267"/>
    </row>
    <row r="53268" spans="23:23" x14ac:dyDescent="0.55000000000000004">
      <c r="W53268"/>
    </row>
    <row r="53269" spans="23:23" x14ac:dyDescent="0.55000000000000004">
      <c r="W53269"/>
    </row>
    <row r="53270" spans="23:23" x14ac:dyDescent="0.55000000000000004">
      <c r="W53270"/>
    </row>
    <row r="53271" spans="23:23" x14ac:dyDescent="0.55000000000000004">
      <c r="W53271"/>
    </row>
    <row r="53272" spans="23:23" x14ac:dyDescent="0.55000000000000004">
      <c r="W53272"/>
    </row>
    <row r="53273" spans="23:23" x14ac:dyDescent="0.55000000000000004">
      <c r="W53273"/>
    </row>
    <row r="53274" spans="23:23" x14ac:dyDescent="0.55000000000000004">
      <c r="W53274"/>
    </row>
    <row r="53275" spans="23:23" x14ac:dyDescent="0.55000000000000004">
      <c r="W53275"/>
    </row>
    <row r="53276" spans="23:23" x14ac:dyDescent="0.55000000000000004">
      <c r="W53276"/>
    </row>
    <row r="53277" spans="23:23" x14ac:dyDescent="0.55000000000000004">
      <c r="W53277"/>
    </row>
    <row r="53278" spans="23:23" x14ac:dyDescent="0.55000000000000004">
      <c r="W53278"/>
    </row>
    <row r="53279" spans="23:23" x14ac:dyDescent="0.55000000000000004">
      <c r="W53279"/>
    </row>
    <row r="53280" spans="23:23" x14ac:dyDescent="0.55000000000000004">
      <c r="W53280"/>
    </row>
    <row r="53281" spans="23:23" x14ac:dyDescent="0.55000000000000004">
      <c r="W53281"/>
    </row>
    <row r="53282" spans="23:23" x14ac:dyDescent="0.55000000000000004">
      <c r="W53282"/>
    </row>
    <row r="53283" spans="23:23" x14ac:dyDescent="0.55000000000000004">
      <c r="W53283"/>
    </row>
    <row r="53284" spans="23:23" x14ac:dyDescent="0.55000000000000004">
      <c r="W53284"/>
    </row>
    <row r="53285" spans="23:23" x14ac:dyDescent="0.55000000000000004">
      <c r="W53285"/>
    </row>
    <row r="53286" spans="23:23" x14ac:dyDescent="0.55000000000000004">
      <c r="W53286"/>
    </row>
    <row r="53287" spans="23:23" x14ac:dyDescent="0.55000000000000004">
      <c r="W53287"/>
    </row>
    <row r="53288" spans="23:23" x14ac:dyDescent="0.55000000000000004">
      <c r="W53288"/>
    </row>
    <row r="53289" spans="23:23" x14ac:dyDescent="0.55000000000000004">
      <c r="W53289"/>
    </row>
    <row r="53290" spans="23:23" x14ac:dyDescent="0.55000000000000004">
      <c r="W53290"/>
    </row>
    <row r="53291" spans="23:23" x14ac:dyDescent="0.55000000000000004">
      <c r="W53291"/>
    </row>
    <row r="53292" spans="23:23" x14ac:dyDescent="0.55000000000000004">
      <c r="W53292"/>
    </row>
    <row r="53293" spans="23:23" x14ac:dyDescent="0.55000000000000004">
      <c r="W53293"/>
    </row>
    <row r="53294" spans="23:23" x14ac:dyDescent="0.55000000000000004">
      <c r="W53294"/>
    </row>
    <row r="53295" spans="23:23" x14ac:dyDescent="0.55000000000000004">
      <c r="W53295"/>
    </row>
    <row r="53296" spans="23:23" x14ac:dyDescent="0.55000000000000004">
      <c r="W53296"/>
    </row>
    <row r="53297" spans="23:23" x14ac:dyDescent="0.55000000000000004">
      <c r="W53297"/>
    </row>
    <row r="53298" spans="23:23" x14ac:dyDescent="0.55000000000000004">
      <c r="W53298"/>
    </row>
    <row r="53299" spans="23:23" x14ac:dyDescent="0.55000000000000004">
      <c r="W53299"/>
    </row>
    <row r="53300" spans="23:23" x14ac:dyDescent="0.55000000000000004">
      <c r="W53300"/>
    </row>
    <row r="53301" spans="23:23" x14ac:dyDescent="0.55000000000000004">
      <c r="W53301"/>
    </row>
    <row r="53302" spans="23:23" x14ac:dyDescent="0.55000000000000004">
      <c r="W53302"/>
    </row>
    <row r="53303" spans="23:23" x14ac:dyDescent="0.55000000000000004">
      <c r="W53303"/>
    </row>
    <row r="53304" spans="23:23" x14ac:dyDescent="0.55000000000000004">
      <c r="W53304"/>
    </row>
    <row r="53305" spans="23:23" x14ac:dyDescent="0.55000000000000004">
      <c r="W53305"/>
    </row>
    <row r="53306" spans="23:23" x14ac:dyDescent="0.55000000000000004">
      <c r="W53306"/>
    </row>
    <row r="53307" spans="23:23" x14ac:dyDescent="0.55000000000000004">
      <c r="W53307"/>
    </row>
    <row r="53308" spans="23:23" x14ac:dyDescent="0.55000000000000004">
      <c r="W53308"/>
    </row>
    <row r="53309" spans="23:23" x14ac:dyDescent="0.55000000000000004">
      <c r="W53309"/>
    </row>
    <row r="53310" spans="23:23" x14ac:dyDescent="0.55000000000000004">
      <c r="W53310"/>
    </row>
    <row r="53311" spans="23:23" x14ac:dyDescent="0.55000000000000004">
      <c r="W53311"/>
    </row>
    <row r="53312" spans="23:23" x14ac:dyDescent="0.55000000000000004">
      <c r="W53312"/>
    </row>
    <row r="53313" spans="23:23" x14ac:dyDescent="0.55000000000000004">
      <c r="W53313"/>
    </row>
    <row r="53314" spans="23:23" x14ac:dyDescent="0.55000000000000004">
      <c r="W53314"/>
    </row>
    <row r="53315" spans="23:23" x14ac:dyDescent="0.55000000000000004">
      <c r="W53315"/>
    </row>
    <row r="53316" spans="23:23" x14ac:dyDescent="0.55000000000000004">
      <c r="W53316"/>
    </row>
    <row r="53317" spans="23:23" x14ac:dyDescent="0.55000000000000004">
      <c r="W53317"/>
    </row>
    <row r="53318" spans="23:23" x14ac:dyDescent="0.55000000000000004">
      <c r="W53318"/>
    </row>
    <row r="53319" spans="23:23" x14ac:dyDescent="0.55000000000000004">
      <c r="W53319"/>
    </row>
    <row r="53320" spans="23:23" x14ac:dyDescent="0.55000000000000004">
      <c r="W53320"/>
    </row>
    <row r="53321" spans="23:23" x14ac:dyDescent="0.55000000000000004">
      <c r="W53321"/>
    </row>
    <row r="53322" spans="23:23" x14ac:dyDescent="0.55000000000000004">
      <c r="W53322"/>
    </row>
    <row r="53323" spans="23:23" x14ac:dyDescent="0.55000000000000004">
      <c r="W53323"/>
    </row>
    <row r="53324" spans="23:23" x14ac:dyDescent="0.55000000000000004">
      <c r="W53324"/>
    </row>
    <row r="53325" spans="23:23" x14ac:dyDescent="0.55000000000000004">
      <c r="W53325"/>
    </row>
    <row r="53326" spans="23:23" x14ac:dyDescent="0.55000000000000004">
      <c r="W53326"/>
    </row>
    <row r="53327" spans="23:23" x14ac:dyDescent="0.55000000000000004">
      <c r="W53327"/>
    </row>
    <row r="53328" spans="23:23" x14ac:dyDescent="0.55000000000000004">
      <c r="W53328"/>
    </row>
    <row r="53329" spans="23:23" x14ac:dyDescent="0.55000000000000004">
      <c r="W53329"/>
    </row>
    <row r="53330" spans="23:23" x14ac:dyDescent="0.55000000000000004">
      <c r="W53330"/>
    </row>
    <row r="53331" spans="23:23" x14ac:dyDescent="0.55000000000000004">
      <c r="W53331"/>
    </row>
    <row r="53332" spans="23:23" x14ac:dyDescent="0.55000000000000004">
      <c r="W53332"/>
    </row>
    <row r="53333" spans="23:23" x14ac:dyDescent="0.55000000000000004">
      <c r="W53333"/>
    </row>
    <row r="53334" spans="23:23" x14ac:dyDescent="0.55000000000000004">
      <c r="W53334"/>
    </row>
    <row r="53335" spans="23:23" x14ac:dyDescent="0.55000000000000004">
      <c r="W53335"/>
    </row>
    <row r="53336" spans="23:23" x14ac:dyDescent="0.55000000000000004">
      <c r="W53336"/>
    </row>
    <row r="53337" spans="23:23" x14ac:dyDescent="0.55000000000000004">
      <c r="W53337"/>
    </row>
    <row r="53338" spans="23:23" x14ac:dyDescent="0.55000000000000004">
      <c r="W53338"/>
    </row>
    <row r="53339" spans="23:23" x14ac:dyDescent="0.55000000000000004">
      <c r="W53339"/>
    </row>
    <row r="53340" spans="23:23" x14ac:dyDescent="0.55000000000000004">
      <c r="W53340"/>
    </row>
    <row r="53341" spans="23:23" x14ac:dyDescent="0.55000000000000004">
      <c r="W53341"/>
    </row>
    <row r="53342" spans="23:23" x14ac:dyDescent="0.55000000000000004">
      <c r="W53342"/>
    </row>
    <row r="53343" spans="23:23" x14ac:dyDescent="0.55000000000000004">
      <c r="W53343"/>
    </row>
    <row r="53344" spans="23:23" x14ac:dyDescent="0.55000000000000004">
      <c r="W53344"/>
    </row>
    <row r="53345" spans="23:23" x14ac:dyDescent="0.55000000000000004">
      <c r="W53345"/>
    </row>
    <row r="53346" spans="23:23" x14ac:dyDescent="0.55000000000000004">
      <c r="W53346"/>
    </row>
    <row r="53347" spans="23:23" x14ac:dyDescent="0.55000000000000004">
      <c r="W53347"/>
    </row>
    <row r="53348" spans="23:23" x14ac:dyDescent="0.55000000000000004">
      <c r="W53348"/>
    </row>
    <row r="53349" spans="23:23" x14ac:dyDescent="0.55000000000000004">
      <c r="W53349"/>
    </row>
    <row r="53350" spans="23:23" x14ac:dyDescent="0.55000000000000004">
      <c r="W53350"/>
    </row>
    <row r="53351" spans="23:23" x14ac:dyDescent="0.55000000000000004">
      <c r="W53351"/>
    </row>
    <row r="53352" spans="23:23" x14ac:dyDescent="0.55000000000000004">
      <c r="W53352"/>
    </row>
    <row r="53353" spans="23:23" x14ac:dyDescent="0.55000000000000004">
      <c r="W53353"/>
    </row>
    <row r="53354" spans="23:23" x14ac:dyDescent="0.55000000000000004">
      <c r="W53354"/>
    </row>
    <row r="53355" spans="23:23" x14ac:dyDescent="0.55000000000000004">
      <c r="W53355"/>
    </row>
    <row r="53356" spans="23:23" x14ac:dyDescent="0.55000000000000004">
      <c r="W53356"/>
    </row>
    <row r="53357" spans="23:23" x14ac:dyDescent="0.55000000000000004">
      <c r="W53357"/>
    </row>
    <row r="53358" spans="23:23" x14ac:dyDescent="0.55000000000000004">
      <c r="W53358"/>
    </row>
    <row r="53359" spans="23:23" x14ac:dyDescent="0.55000000000000004">
      <c r="W53359"/>
    </row>
    <row r="53360" spans="23:23" x14ac:dyDescent="0.55000000000000004">
      <c r="W53360"/>
    </row>
    <row r="53361" spans="23:23" x14ac:dyDescent="0.55000000000000004">
      <c r="W53361"/>
    </row>
    <row r="53362" spans="23:23" x14ac:dyDescent="0.55000000000000004">
      <c r="W53362"/>
    </row>
    <row r="53363" spans="23:23" x14ac:dyDescent="0.55000000000000004">
      <c r="W53363"/>
    </row>
    <row r="53364" spans="23:23" x14ac:dyDescent="0.55000000000000004">
      <c r="W53364"/>
    </row>
    <row r="53365" spans="23:23" x14ac:dyDescent="0.55000000000000004">
      <c r="W53365"/>
    </row>
    <row r="53366" spans="23:23" x14ac:dyDescent="0.55000000000000004">
      <c r="W53366"/>
    </row>
    <row r="53367" spans="23:23" x14ac:dyDescent="0.55000000000000004">
      <c r="W53367"/>
    </row>
    <row r="53368" spans="23:23" x14ac:dyDescent="0.55000000000000004">
      <c r="W53368"/>
    </row>
    <row r="53369" spans="23:23" x14ac:dyDescent="0.55000000000000004">
      <c r="W53369"/>
    </row>
    <row r="53370" spans="23:23" x14ac:dyDescent="0.55000000000000004">
      <c r="W53370"/>
    </row>
    <row r="53371" spans="23:23" x14ac:dyDescent="0.55000000000000004">
      <c r="W53371"/>
    </row>
    <row r="53372" spans="23:23" x14ac:dyDescent="0.55000000000000004">
      <c r="W53372"/>
    </row>
    <row r="53373" spans="23:23" x14ac:dyDescent="0.55000000000000004">
      <c r="W53373"/>
    </row>
    <row r="53374" spans="23:23" x14ac:dyDescent="0.55000000000000004">
      <c r="W53374"/>
    </row>
    <row r="53375" spans="23:23" x14ac:dyDescent="0.55000000000000004">
      <c r="W53375"/>
    </row>
    <row r="53376" spans="23:23" x14ac:dyDescent="0.55000000000000004">
      <c r="W53376"/>
    </row>
    <row r="53377" spans="23:23" x14ac:dyDescent="0.55000000000000004">
      <c r="W53377"/>
    </row>
    <row r="53378" spans="23:23" x14ac:dyDescent="0.55000000000000004">
      <c r="W53378"/>
    </row>
    <row r="53379" spans="23:23" x14ac:dyDescent="0.55000000000000004">
      <c r="W53379"/>
    </row>
    <row r="53380" spans="23:23" x14ac:dyDescent="0.55000000000000004">
      <c r="W53380"/>
    </row>
    <row r="53381" spans="23:23" x14ac:dyDescent="0.55000000000000004">
      <c r="W53381"/>
    </row>
    <row r="53382" spans="23:23" x14ac:dyDescent="0.55000000000000004">
      <c r="W53382"/>
    </row>
    <row r="53383" spans="23:23" x14ac:dyDescent="0.55000000000000004">
      <c r="W53383"/>
    </row>
    <row r="53384" spans="23:23" x14ac:dyDescent="0.55000000000000004">
      <c r="W53384"/>
    </row>
    <row r="53385" spans="23:23" x14ac:dyDescent="0.55000000000000004">
      <c r="W53385"/>
    </row>
    <row r="53386" spans="23:23" x14ac:dyDescent="0.55000000000000004">
      <c r="W53386"/>
    </row>
    <row r="53387" spans="23:23" x14ac:dyDescent="0.55000000000000004">
      <c r="W53387"/>
    </row>
    <row r="53388" spans="23:23" x14ac:dyDescent="0.55000000000000004">
      <c r="W53388"/>
    </row>
    <row r="53389" spans="23:23" x14ac:dyDescent="0.55000000000000004">
      <c r="W53389"/>
    </row>
    <row r="53390" spans="23:23" x14ac:dyDescent="0.55000000000000004">
      <c r="W53390"/>
    </row>
    <row r="53391" spans="23:23" x14ac:dyDescent="0.55000000000000004">
      <c r="W53391"/>
    </row>
    <row r="53392" spans="23:23" x14ac:dyDescent="0.55000000000000004">
      <c r="W53392"/>
    </row>
    <row r="53393" spans="23:23" x14ac:dyDescent="0.55000000000000004">
      <c r="W53393"/>
    </row>
    <row r="53394" spans="23:23" x14ac:dyDescent="0.55000000000000004">
      <c r="W53394"/>
    </row>
    <row r="53395" spans="23:23" x14ac:dyDescent="0.55000000000000004">
      <c r="W53395"/>
    </row>
    <row r="53396" spans="23:23" x14ac:dyDescent="0.55000000000000004">
      <c r="W53396"/>
    </row>
    <row r="53397" spans="23:23" x14ac:dyDescent="0.55000000000000004">
      <c r="W53397"/>
    </row>
    <row r="53398" spans="23:23" x14ac:dyDescent="0.55000000000000004">
      <c r="W53398"/>
    </row>
    <row r="53399" spans="23:23" x14ac:dyDescent="0.55000000000000004">
      <c r="W53399"/>
    </row>
    <row r="53400" spans="23:23" x14ac:dyDescent="0.55000000000000004">
      <c r="W53400"/>
    </row>
    <row r="53401" spans="23:23" x14ac:dyDescent="0.55000000000000004">
      <c r="W53401"/>
    </row>
    <row r="53402" spans="23:23" x14ac:dyDescent="0.55000000000000004">
      <c r="W53402"/>
    </row>
    <row r="53403" spans="23:23" x14ac:dyDescent="0.55000000000000004">
      <c r="W53403"/>
    </row>
    <row r="53404" spans="23:23" x14ac:dyDescent="0.55000000000000004">
      <c r="W53404"/>
    </row>
    <row r="53405" spans="23:23" x14ac:dyDescent="0.55000000000000004">
      <c r="W53405"/>
    </row>
    <row r="53406" spans="23:23" x14ac:dyDescent="0.55000000000000004">
      <c r="W53406"/>
    </row>
    <row r="53407" spans="23:23" x14ac:dyDescent="0.55000000000000004">
      <c r="W53407"/>
    </row>
    <row r="53408" spans="23:23" x14ac:dyDescent="0.55000000000000004">
      <c r="W53408"/>
    </row>
    <row r="53409" spans="23:23" x14ac:dyDescent="0.55000000000000004">
      <c r="W53409"/>
    </row>
    <row r="53410" spans="23:23" x14ac:dyDescent="0.55000000000000004">
      <c r="W53410"/>
    </row>
    <row r="53411" spans="23:23" x14ac:dyDescent="0.55000000000000004">
      <c r="W53411"/>
    </row>
    <row r="53412" spans="23:23" x14ac:dyDescent="0.55000000000000004">
      <c r="W53412"/>
    </row>
    <row r="53413" spans="23:23" x14ac:dyDescent="0.55000000000000004">
      <c r="W53413"/>
    </row>
    <row r="53414" spans="23:23" x14ac:dyDescent="0.55000000000000004">
      <c r="W53414"/>
    </row>
    <row r="53415" spans="23:23" x14ac:dyDescent="0.55000000000000004">
      <c r="W53415"/>
    </row>
    <row r="53416" spans="23:23" x14ac:dyDescent="0.55000000000000004">
      <c r="W53416"/>
    </row>
    <row r="53417" spans="23:23" x14ac:dyDescent="0.55000000000000004">
      <c r="W53417"/>
    </row>
    <row r="53418" spans="23:23" x14ac:dyDescent="0.55000000000000004">
      <c r="W53418"/>
    </row>
    <row r="53419" spans="23:23" x14ac:dyDescent="0.55000000000000004">
      <c r="W53419"/>
    </row>
    <row r="53420" spans="23:23" x14ac:dyDescent="0.55000000000000004">
      <c r="W53420"/>
    </row>
    <row r="53421" spans="23:23" x14ac:dyDescent="0.55000000000000004">
      <c r="W53421"/>
    </row>
    <row r="53422" spans="23:23" x14ac:dyDescent="0.55000000000000004">
      <c r="W53422"/>
    </row>
    <row r="53423" spans="23:23" x14ac:dyDescent="0.55000000000000004">
      <c r="W53423"/>
    </row>
    <row r="53424" spans="23:23" x14ac:dyDescent="0.55000000000000004">
      <c r="W53424"/>
    </row>
    <row r="53425" spans="23:23" x14ac:dyDescent="0.55000000000000004">
      <c r="W53425"/>
    </row>
    <row r="53426" spans="23:23" x14ac:dyDescent="0.55000000000000004">
      <c r="W53426"/>
    </row>
    <row r="53427" spans="23:23" x14ac:dyDescent="0.55000000000000004">
      <c r="W53427"/>
    </row>
    <row r="53428" spans="23:23" x14ac:dyDescent="0.55000000000000004">
      <c r="W53428"/>
    </row>
    <row r="53429" spans="23:23" x14ac:dyDescent="0.55000000000000004">
      <c r="W53429"/>
    </row>
    <row r="53430" spans="23:23" x14ac:dyDescent="0.55000000000000004">
      <c r="W53430"/>
    </row>
    <row r="53431" spans="23:23" x14ac:dyDescent="0.55000000000000004">
      <c r="W53431"/>
    </row>
    <row r="53432" spans="23:23" x14ac:dyDescent="0.55000000000000004">
      <c r="W53432"/>
    </row>
    <row r="53433" spans="23:23" x14ac:dyDescent="0.55000000000000004">
      <c r="W53433"/>
    </row>
    <row r="53434" spans="23:23" x14ac:dyDescent="0.55000000000000004">
      <c r="W53434"/>
    </row>
    <row r="53435" spans="23:23" x14ac:dyDescent="0.55000000000000004">
      <c r="W53435"/>
    </row>
    <row r="53436" spans="23:23" x14ac:dyDescent="0.55000000000000004">
      <c r="W53436"/>
    </row>
    <row r="53437" spans="23:23" x14ac:dyDescent="0.55000000000000004">
      <c r="W53437"/>
    </row>
    <row r="53438" spans="23:23" x14ac:dyDescent="0.55000000000000004">
      <c r="W53438"/>
    </row>
    <row r="53439" spans="23:23" x14ac:dyDescent="0.55000000000000004">
      <c r="W53439"/>
    </row>
    <row r="53440" spans="23:23" x14ac:dyDescent="0.55000000000000004">
      <c r="W53440"/>
    </row>
    <row r="53441" spans="23:23" x14ac:dyDescent="0.55000000000000004">
      <c r="W53441"/>
    </row>
    <row r="53442" spans="23:23" x14ac:dyDescent="0.55000000000000004">
      <c r="W53442"/>
    </row>
    <row r="53443" spans="23:23" x14ac:dyDescent="0.55000000000000004">
      <c r="W53443"/>
    </row>
    <row r="53444" spans="23:23" x14ac:dyDescent="0.55000000000000004">
      <c r="W53444"/>
    </row>
    <row r="53445" spans="23:23" x14ac:dyDescent="0.55000000000000004">
      <c r="W53445"/>
    </row>
    <row r="53446" spans="23:23" x14ac:dyDescent="0.55000000000000004">
      <c r="W53446"/>
    </row>
    <row r="53447" spans="23:23" x14ac:dyDescent="0.55000000000000004">
      <c r="W53447"/>
    </row>
    <row r="53448" spans="23:23" x14ac:dyDescent="0.55000000000000004">
      <c r="W53448"/>
    </row>
    <row r="53449" spans="23:23" x14ac:dyDescent="0.55000000000000004">
      <c r="W53449"/>
    </row>
    <row r="53450" spans="23:23" x14ac:dyDescent="0.55000000000000004">
      <c r="W53450"/>
    </row>
    <row r="53451" spans="23:23" x14ac:dyDescent="0.55000000000000004">
      <c r="W53451"/>
    </row>
    <row r="53452" spans="23:23" x14ac:dyDescent="0.55000000000000004">
      <c r="W53452"/>
    </row>
    <row r="53453" spans="23:23" x14ac:dyDescent="0.55000000000000004">
      <c r="W53453"/>
    </row>
    <row r="53454" spans="23:23" x14ac:dyDescent="0.55000000000000004">
      <c r="W53454"/>
    </row>
    <row r="53455" spans="23:23" x14ac:dyDescent="0.55000000000000004">
      <c r="W53455"/>
    </row>
    <row r="53456" spans="23:23" x14ac:dyDescent="0.55000000000000004">
      <c r="W53456"/>
    </row>
    <row r="53457" spans="23:23" x14ac:dyDescent="0.55000000000000004">
      <c r="W53457"/>
    </row>
    <row r="53458" spans="23:23" x14ac:dyDescent="0.55000000000000004">
      <c r="W53458"/>
    </row>
    <row r="53459" spans="23:23" x14ac:dyDescent="0.55000000000000004">
      <c r="W53459"/>
    </row>
    <row r="53460" spans="23:23" x14ac:dyDescent="0.55000000000000004">
      <c r="W53460"/>
    </row>
    <row r="53461" spans="23:23" x14ac:dyDescent="0.55000000000000004">
      <c r="W53461"/>
    </row>
    <row r="53462" spans="23:23" x14ac:dyDescent="0.55000000000000004">
      <c r="W53462"/>
    </row>
    <row r="53463" spans="23:23" x14ac:dyDescent="0.55000000000000004">
      <c r="W53463"/>
    </row>
    <row r="53464" spans="23:23" x14ac:dyDescent="0.55000000000000004">
      <c r="W53464"/>
    </row>
    <row r="53465" spans="23:23" x14ac:dyDescent="0.55000000000000004">
      <c r="W53465"/>
    </row>
    <row r="53466" spans="23:23" x14ac:dyDescent="0.55000000000000004">
      <c r="W53466"/>
    </row>
    <row r="53467" spans="23:23" x14ac:dyDescent="0.55000000000000004">
      <c r="W53467"/>
    </row>
    <row r="53468" spans="23:23" x14ac:dyDescent="0.55000000000000004">
      <c r="W53468"/>
    </row>
    <row r="53469" spans="23:23" x14ac:dyDescent="0.55000000000000004">
      <c r="W53469"/>
    </row>
    <row r="53470" spans="23:23" x14ac:dyDescent="0.55000000000000004">
      <c r="W53470"/>
    </row>
    <row r="53471" spans="23:23" x14ac:dyDescent="0.55000000000000004">
      <c r="W53471"/>
    </row>
    <row r="53472" spans="23:23" x14ac:dyDescent="0.55000000000000004">
      <c r="W53472"/>
    </row>
    <row r="53473" spans="23:23" x14ac:dyDescent="0.55000000000000004">
      <c r="W53473"/>
    </row>
    <row r="53474" spans="23:23" x14ac:dyDescent="0.55000000000000004">
      <c r="W53474"/>
    </row>
    <row r="53475" spans="23:23" x14ac:dyDescent="0.55000000000000004">
      <c r="W53475"/>
    </row>
    <row r="53476" spans="23:23" x14ac:dyDescent="0.55000000000000004">
      <c r="W53476"/>
    </row>
    <row r="53477" spans="23:23" x14ac:dyDescent="0.55000000000000004">
      <c r="W53477"/>
    </row>
    <row r="53478" spans="23:23" x14ac:dyDescent="0.55000000000000004">
      <c r="W53478"/>
    </row>
    <row r="53479" spans="23:23" x14ac:dyDescent="0.55000000000000004">
      <c r="W53479"/>
    </row>
    <row r="53480" spans="23:23" x14ac:dyDescent="0.55000000000000004">
      <c r="W53480"/>
    </row>
    <row r="53481" spans="23:23" x14ac:dyDescent="0.55000000000000004">
      <c r="W53481"/>
    </row>
    <row r="53482" spans="23:23" x14ac:dyDescent="0.55000000000000004">
      <c r="W53482"/>
    </row>
    <row r="53483" spans="23:23" x14ac:dyDescent="0.55000000000000004">
      <c r="W53483"/>
    </row>
    <row r="53484" spans="23:23" x14ac:dyDescent="0.55000000000000004">
      <c r="W53484"/>
    </row>
    <row r="53485" spans="23:23" x14ac:dyDescent="0.55000000000000004">
      <c r="W53485"/>
    </row>
    <row r="53486" spans="23:23" x14ac:dyDescent="0.55000000000000004">
      <c r="W53486"/>
    </row>
    <row r="53487" spans="23:23" x14ac:dyDescent="0.55000000000000004">
      <c r="W53487"/>
    </row>
    <row r="53488" spans="23:23" x14ac:dyDescent="0.55000000000000004">
      <c r="W53488"/>
    </row>
    <row r="53489" spans="23:23" x14ac:dyDescent="0.55000000000000004">
      <c r="W53489"/>
    </row>
    <row r="53490" spans="23:23" x14ac:dyDescent="0.55000000000000004">
      <c r="W53490"/>
    </row>
    <row r="53491" spans="23:23" x14ac:dyDescent="0.55000000000000004">
      <c r="W53491"/>
    </row>
    <row r="53492" spans="23:23" x14ac:dyDescent="0.55000000000000004">
      <c r="W53492"/>
    </row>
    <row r="53493" spans="23:23" x14ac:dyDescent="0.55000000000000004">
      <c r="W53493"/>
    </row>
    <row r="53494" spans="23:23" x14ac:dyDescent="0.55000000000000004">
      <c r="W53494"/>
    </row>
    <row r="53495" spans="23:23" x14ac:dyDescent="0.55000000000000004">
      <c r="W53495"/>
    </row>
    <row r="53496" spans="23:23" x14ac:dyDescent="0.55000000000000004">
      <c r="W53496"/>
    </row>
    <row r="53497" spans="23:23" x14ac:dyDescent="0.55000000000000004">
      <c r="W53497"/>
    </row>
    <row r="53498" spans="23:23" x14ac:dyDescent="0.55000000000000004">
      <c r="W53498"/>
    </row>
    <row r="53499" spans="23:23" x14ac:dyDescent="0.55000000000000004">
      <c r="W53499"/>
    </row>
    <row r="53500" spans="23:23" x14ac:dyDescent="0.55000000000000004">
      <c r="W53500"/>
    </row>
    <row r="53501" spans="23:23" x14ac:dyDescent="0.55000000000000004">
      <c r="W53501"/>
    </row>
    <row r="53502" spans="23:23" x14ac:dyDescent="0.55000000000000004">
      <c r="W53502"/>
    </row>
    <row r="53503" spans="23:23" x14ac:dyDescent="0.55000000000000004">
      <c r="W53503"/>
    </row>
    <row r="53504" spans="23:23" x14ac:dyDescent="0.55000000000000004">
      <c r="W53504"/>
    </row>
    <row r="53505" spans="23:23" x14ac:dyDescent="0.55000000000000004">
      <c r="W53505"/>
    </row>
    <row r="53506" spans="23:23" x14ac:dyDescent="0.55000000000000004">
      <c r="W53506"/>
    </row>
    <row r="53507" spans="23:23" x14ac:dyDescent="0.55000000000000004">
      <c r="W53507"/>
    </row>
    <row r="53508" spans="23:23" x14ac:dyDescent="0.55000000000000004">
      <c r="W53508"/>
    </row>
    <row r="53509" spans="23:23" x14ac:dyDescent="0.55000000000000004">
      <c r="W53509"/>
    </row>
    <row r="53510" spans="23:23" x14ac:dyDescent="0.55000000000000004">
      <c r="W53510"/>
    </row>
    <row r="53511" spans="23:23" x14ac:dyDescent="0.55000000000000004">
      <c r="W53511"/>
    </row>
    <row r="53512" spans="23:23" x14ac:dyDescent="0.55000000000000004">
      <c r="W53512"/>
    </row>
    <row r="53513" spans="23:23" x14ac:dyDescent="0.55000000000000004">
      <c r="W53513"/>
    </row>
    <row r="53514" spans="23:23" x14ac:dyDescent="0.55000000000000004">
      <c r="W53514"/>
    </row>
    <row r="53515" spans="23:23" x14ac:dyDescent="0.55000000000000004">
      <c r="W53515"/>
    </row>
    <row r="53516" spans="23:23" x14ac:dyDescent="0.55000000000000004">
      <c r="W53516"/>
    </row>
    <row r="53517" spans="23:23" x14ac:dyDescent="0.55000000000000004">
      <c r="W53517"/>
    </row>
    <row r="53518" spans="23:23" x14ac:dyDescent="0.55000000000000004">
      <c r="W53518"/>
    </row>
    <row r="53519" spans="23:23" x14ac:dyDescent="0.55000000000000004">
      <c r="W53519"/>
    </row>
    <row r="53520" spans="23:23" x14ac:dyDescent="0.55000000000000004">
      <c r="W53520"/>
    </row>
    <row r="53521" spans="23:23" x14ac:dyDescent="0.55000000000000004">
      <c r="W53521"/>
    </row>
    <row r="53522" spans="23:23" x14ac:dyDescent="0.55000000000000004">
      <c r="W53522"/>
    </row>
    <row r="53523" spans="23:23" x14ac:dyDescent="0.55000000000000004">
      <c r="W53523"/>
    </row>
    <row r="53524" spans="23:23" x14ac:dyDescent="0.55000000000000004">
      <c r="W53524"/>
    </row>
    <row r="53525" spans="23:23" x14ac:dyDescent="0.55000000000000004">
      <c r="W53525"/>
    </row>
    <row r="53526" spans="23:23" x14ac:dyDescent="0.55000000000000004">
      <c r="W53526"/>
    </row>
    <row r="53527" spans="23:23" x14ac:dyDescent="0.55000000000000004">
      <c r="W53527"/>
    </row>
    <row r="53528" spans="23:23" x14ac:dyDescent="0.55000000000000004">
      <c r="W53528"/>
    </row>
    <row r="53529" spans="23:23" x14ac:dyDescent="0.55000000000000004">
      <c r="W53529"/>
    </row>
    <row r="53530" spans="23:23" x14ac:dyDescent="0.55000000000000004">
      <c r="W53530"/>
    </row>
    <row r="53531" spans="23:23" x14ac:dyDescent="0.55000000000000004">
      <c r="W53531"/>
    </row>
    <row r="53532" spans="23:23" x14ac:dyDescent="0.55000000000000004">
      <c r="W53532"/>
    </row>
    <row r="53533" spans="23:23" x14ac:dyDescent="0.55000000000000004">
      <c r="W53533"/>
    </row>
    <row r="53534" spans="23:23" x14ac:dyDescent="0.55000000000000004">
      <c r="W53534"/>
    </row>
    <row r="53535" spans="23:23" x14ac:dyDescent="0.55000000000000004">
      <c r="W53535"/>
    </row>
    <row r="53536" spans="23:23" x14ac:dyDescent="0.55000000000000004">
      <c r="W53536"/>
    </row>
    <row r="53537" spans="23:23" x14ac:dyDescent="0.55000000000000004">
      <c r="W53537"/>
    </row>
    <row r="53538" spans="23:23" x14ac:dyDescent="0.55000000000000004">
      <c r="W53538"/>
    </row>
    <row r="53539" spans="23:23" x14ac:dyDescent="0.55000000000000004">
      <c r="W53539"/>
    </row>
    <row r="53540" spans="23:23" x14ac:dyDescent="0.55000000000000004">
      <c r="W53540"/>
    </row>
    <row r="53541" spans="23:23" x14ac:dyDescent="0.55000000000000004">
      <c r="W53541"/>
    </row>
    <row r="53542" spans="23:23" x14ac:dyDescent="0.55000000000000004">
      <c r="W53542"/>
    </row>
    <row r="53543" spans="23:23" x14ac:dyDescent="0.55000000000000004">
      <c r="W53543"/>
    </row>
    <row r="53544" spans="23:23" x14ac:dyDescent="0.55000000000000004">
      <c r="W53544"/>
    </row>
    <row r="53545" spans="23:23" x14ac:dyDescent="0.55000000000000004">
      <c r="W53545"/>
    </row>
    <row r="53546" spans="23:23" x14ac:dyDescent="0.55000000000000004">
      <c r="W53546"/>
    </row>
    <row r="53547" spans="23:23" x14ac:dyDescent="0.55000000000000004">
      <c r="W53547"/>
    </row>
    <row r="53548" spans="23:23" x14ac:dyDescent="0.55000000000000004">
      <c r="W53548"/>
    </row>
    <row r="53549" spans="23:23" x14ac:dyDescent="0.55000000000000004">
      <c r="W53549"/>
    </row>
    <row r="53550" spans="23:23" x14ac:dyDescent="0.55000000000000004">
      <c r="W53550"/>
    </row>
    <row r="53551" spans="23:23" x14ac:dyDescent="0.55000000000000004">
      <c r="W53551"/>
    </row>
    <row r="53552" spans="23:23" x14ac:dyDescent="0.55000000000000004">
      <c r="W53552"/>
    </row>
    <row r="53553" spans="23:23" x14ac:dyDescent="0.55000000000000004">
      <c r="W53553"/>
    </row>
    <row r="53554" spans="23:23" x14ac:dyDescent="0.55000000000000004">
      <c r="W53554"/>
    </row>
    <row r="53555" spans="23:23" x14ac:dyDescent="0.55000000000000004">
      <c r="W53555"/>
    </row>
    <row r="53556" spans="23:23" x14ac:dyDescent="0.55000000000000004">
      <c r="W53556"/>
    </row>
    <row r="53557" spans="23:23" x14ac:dyDescent="0.55000000000000004">
      <c r="W53557"/>
    </row>
    <row r="53558" spans="23:23" x14ac:dyDescent="0.55000000000000004">
      <c r="W53558"/>
    </row>
    <row r="53559" spans="23:23" x14ac:dyDescent="0.55000000000000004">
      <c r="W53559"/>
    </row>
    <row r="53560" spans="23:23" x14ac:dyDescent="0.55000000000000004">
      <c r="W53560"/>
    </row>
    <row r="53561" spans="23:23" x14ac:dyDescent="0.55000000000000004">
      <c r="W53561"/>
    </row>
    <row r="53562" spans="23:23" x14ac:dyDescent="0.55000000000000004">
      <c r="W53562"/>
    </row>
    <row r="53563" spans="23:23" x14ac:dyDescent="0.55000000000000004">
      <c r="W53563"/>
    </row>
    <row r="53564" spans="23:23" x14ac:dyDescent="0.55000000000000004">
      <c r="W53564"/>
    </row>
    <row r="53565" spans="23:23" x14ac:dyDescent="0.55000000000000004">
      <c r="W53565"/>
    </row>
    <row r="53566" spans="23:23" x14ac:dyDescent="0.55000000000000004">
      <c r="W53566"/>
    </row>
    <row r="53567" spans="23:23" x14ac:dyDescent="0.55000000000000004">
      <c r="W53567"/>
    </row>
    <row r="53568" spans="23:23" x14ac:dyDescent="0.55000000000000004">
      <c r="W53568"/>
    </row>
    <row r="53569" spans="23:23" x14ac:dyDescent="0.55000000000000004">
      <c r="W53569"/>
    </row>
    <row r="53570" spans="23:23" x14ac:dyDescent="0.55000000000000004">
      <c r="W53570"/>
    </row>
    <row r="53571" spans="23:23" x14ac:dyDescent="0.55000000000000004">
      <c r="W53571"/>
    </row>
    <row r="53572" spans="23:23" x14ac:dyDescent="0.55000000000000004">
      <c r="W53572"/>
    </row>
    <row r="53573" spans="23:23" x14ac:dyDescent="0.55000000000000004">
      <c r="W53573"/>
    </row>
    <row r="53574" spans="23:23" x14ac:dyDescent="0.55000000000000004">
      <c r="W53574"/>
    </row>
    <row r="53575" spans="23:23" x14ac:dyDescent="0.55000000000000004">
      <c r="W53575"/>
    </row>
    <row r="53576" spans="23:23" x14ac:dyDescent="0.55000000000000004">
      <c r="W53576"/>
    </row>
    <row r="53577" spans="23:23" x14ac:dyDescent="0.55000000000000004">
      <c r="W53577"/>
    </row>
    <row r="53578" spans="23:23" x14ac:dyDescent="0.55000000000000004">
      <c r="W53578"/>
    </row>
    <row r="53579" spans="23:23" x14ac:dyDescent="0.55000000000000004">
      <c r="W53579"/>
    </row>
    <row r="53580" spans="23:23" x14ac:dyDescent="0.55000000000000004">
      <c r="W53580"/>
    </row>
    <row r="53581" spans="23:23" x14ac:dyDescent="0.55000000000000004">
      <c r="W53581"/>
    </row>
    <row r="53582" spans="23:23" x14ac:dyDescent="0.55000000000000004">
      <c r="W53582"/>
    </row>
    <row r="53583" spans="23:23" x14ac:dyDescent="0.55000000000000004">
      <c r="W53583"/>
    </row>
    <row r="53584" spans="23:23" x14ac:dyDescent="0.55000000000000004">
      <c r="W53584"/>
    </row>
    <row r="53585" spans="23:23" x14ac:dyDescent="0.55000000000000004">
      <c r="W53585"/>
    </row>
    <row r="53586" spans="23:23" x14ac:dyDescent="0.55000000000000004">
      <c r="W53586"/>
    </row>
    <row r="53587" spans="23:23" x14ac:dyDescent="0.55000000000000004">
      <c r="W53587"/>
    </row>
    <row r="53588" spans="23:23" x14ac:dyDescent="0.55000000000000004">
      <c r="W53588"/>
    </row>
    <row r="53589" spans="23:23" x14ac:dyDescent="0.55000000000000004">
      <c r="W53589"/>
    </row>
    <row r="53590" spans="23:23" x14ac:dyDescent="0.55000000000000004">
      <c r="W53590"/>
    </row>
    <row r="53591" spans="23:23" x14ac:dyDescent="0.55000000000000004">
      <c r="W53591"/>
    </row>
    <row r="53592" spans="23:23" x14ac:dyDescent="0.55000000000000004">
      <c r="W53592"/>
    </row>
    <row r="53593" spans="23:23" x14ac:dyDescent="0.55000000000000004">
      <c r="W53593"/>
    </row>
    <row r="53594" spans="23:23" x14ac:dyDescent="0.55000000000000004">
      <c r="W53594"/>
    </row>
    <row r="53595" spans="23:23" x14ac:dyDescent="0.55000000000000004">
      <c r="W53595"/>
    </row>
    <row r="53596" spans="23:23" x14ac:dyDescent="0.55000000000000004">
      <c r="W53596"/>
    </row>
    <row r="53597" spans="23:23" x14ac:dyDescent="0.55000000000000004">
      <c r="W53597"/>
    </row>
    <row r="53598" spans="23:23" x14ac:dyDescent="0.55000000000000004">
      <c r="W53598"/>
    </row>
    <row r="53599" spans="23:23" x14ac:dyDescent="0.55000000000000004">
      <c r="W53599"/>
    </row>
    <row r="53600" spans="23:23" x14ac:dyDescent="0.55000000000000004">
      <c r="W53600"/>
    </row>
    <row r="53601" spans="23:23" x14ac:dyDescent="0.55000000000000004">
      <c r="W53601"/>
    </row>
    <row r="53602" spans="23:23" x14ac:dyDescent="0.55000000000000004">
      <c r="W53602"/>
    </row>
    <row r="53603" spans="23:23" x14ac:dyDescent="0.55000000000000004">
      <c r="W53603"/>
    </row>
    <row r="53604" spans="23:23" x14ac:dyDescent="0.55000000000000004">
      <c r="W53604"/>
    </row>
    <row r="53605" spans="23:23" x14ac:dyDescent="0.55000000000000004">
      <c r="W53605"/>
    </row>
    <row r="53606" spans="23:23" x14ac:dyDescent="0.55000000000000004">
      <c r="W53606"/>
    </row>
    <row r="53607" spans="23:23" x14ac:dyDescent="0.55000000000000004">
      <c r="W53607"/>
    </row>
    <row r="53608" spans="23:23" x14ac:dyDescent="0.55000000000000004">
      <c r="W53608"/>
    </row>
    <row r="53609" spans="23:23" x14ac:dyDescent="0.55000000000000004">
      <c r="W53609"/>
    </row>
    <row r="53610" spans="23:23" x14ac:dyDescent="0.55000000000000004">
      <c r="W53610"/>
    </row>
    <row r="53611" spans="23:23" x14ac:dyDescent="0.55000000000000004">
      <c r="W53611"/>
    </row>
    <row r="53612" spans="23:23" x14ac:dyDescent="0.55000000000000004">
      <c r="W53612"/>
    </row>
    <row r="53613" spans="23:23" x14ac:dyDescent="0.55000000000000004">
      <c r="W53613"/>
    </row>
    <row r="53614" spans="23:23" x14ac:dyDescent="0.55000000000000004">
      <c r="W53614"/>
    </row>
    <row r="53615" spans="23:23" x14ac:dyDescent="0.55000000000000004">
      <c r="W53615"/>
    </row>
    <row r="53616" spans="23:23" x14ac:dyDescent="0.55000000000000004">
      <c r="W53616"/>
    </row>
    <row r="53617" spans="23:23" x14ac:dyDescent="0.55000000000000004">
      <c r="W53617"/>
    </row>
    <row r="53618" spans="23:23" x14ac:dyDescent="0.55000000000000004">
      <c r="W53618"/>
    </row>
    <row r="53619" spans="23:23" x14ac:dyDescent="0.55000000000000004">
      <c r="W53619"/>
    </row>
    <row r="53620" spans="23:23" x14ac:dyDescent="0.55000000000000004">
      <c r="W53620"/>
    </row>
    <row r="53621" spans="23:23" x14ac:dyDescent="0.55000000000000004">
      <c r="W53621"/>
    </row>
    <row r="53622" spans="23:23" x14ac:dyDescent="0.55000000000000004">
      <c r="W53622"/>
    </row>
    <row r="53623" spans="23:23" x14ac:dyDescent="0.55000000000000004">
      <c r="W53623"/>
    </row>
    <row r="53624" spans="23:23" x14ac:dyDescent="0.55000000000000004">
      <c r="W53624"/>
    </row>
    <row r="53625" spans="23:23" x14ac:dyDescent="0.55000000000000004">
      <c r="W53625"/>
    </row>
    <row r="53626" spans="23:23" x14ac:dyDescent="0.55000000000000004">
      <c r="W53626"/>
    </row>
    <row r="53627" spans="23:23" x14ac:dyDescent="0.55000000000000004">
      <c r="W53627"/>
    </row>
    <row r="53628" spans="23:23" x14ac:dyDescent="0.55000000000000004">
      <c r="W53628"/>
    </row>
    <row r="53629" spans="23:23" x14ac:dyDescent="0.55000000000000004">
      <c r="W53629"/>
    </row>
    <row r="53630" spans="23:23" x14ac:dyDescent="0.55000000000000004">
      <c r="W53630"/>
    </row>
    <row r="53631" spans="23:23" x14ac:dyDescent="0.55000000000000004">
      <c r="W53631"/>
    </row>
    <row r="53632" spans="23:23" x14ac:dyDescent="0.55000000000000004">
      <c r="W53632"/>
    </row>
    <row r="53633" spans="23:23" x14ac:dyDescent="0.55000000000000004">
      <c r="W53633"/>
    </row>
    <row r="53634" spans="23:23" x14ac:dyDescent="0.55000000000000004">
      <c r="W53634"/>
    </row>
    <row r="53635" spans="23:23" x14ac:dyDescent="0.55000000000000004">
      <c r="W53635"/>
    </row>
    <row r="53636" spans="23:23" x14ac:dyDescent="0.55000000000000004">
      <c r="W53636"/>
    </row>
    <row r="53637" spans="23:23" x14ac:dyDescent="0.55000000000000004">
      <c r="W53637"/>
    </row>
    <row r="53638" spans="23:23" x14ac:dyDescent="0.55000000000000004">
      <c r="W53638"/>
    </row>
    <row r="53639" spans="23:23" x14ac:dyDescent="0.55000000000000004">
      <c r="W53639"/>
    </row>
    <row r="53640" spans="23:23" x14ac:dyDescent="0.55000000000000004">
      <c r="W53640"/>
    </row>
    <row r="53641" spans="23:23" x14ac:dyDescent="0.55000000000000004">
      <c r="W53641"/>
    </row>
    <row r="53642" spans="23:23" x14ac:dyDescent="0.55000000000000004">
      <c r="W53642"/>
    </row>
    <row r="53643" spans="23:23" x14ac:dyDescent="0.55000000000000004">
      <c r="W53643"/>
    </row>
    <row r="53644" spans="23:23" x14ac:dyDescent="0.55000000000000004">
      <c r="W53644"/>
    </row>
    <row r="53645" spans="23:23" x14ac:dyDescent="0.55000000000000004">
      <c r="W53645"/>
    </row>
    <row r="53646" spans="23:23" x14ac:dyDescent="0.55000000000000004">
      <c r="W53646"/>
    </row>
    <row r="53647" spans="23:23" x14ac:dyDescent="0.55000000000000004">
      <c r="W53647"/>
    </row>
    <row r="53648" spans="23:23" x14ac:dyDescent="0.55000000000000004">
      <c r="W53648"/>
    </row>
    <row r="53649" spans="23:23" x14ac:dyDescent="0.55000000000000004">
      <c r="W53649"/>
    </row>
    <row r="53650" spans="23:23" x14ac:dyDescent="0.55000000000000004">
      <c r="W53650"/>
    </row>
    <row r="53651" spans="23:23" x14ac:dyDescent="0.55000000000000004">
      <c r="W53651"/>
    </row>
    <row r="53652" spans="23:23" x14ac:dyDescent="0.55000000000000004">
      <c r="W53652"/>
    </row>
    <row r="53653" spans="23:23" x14ac:dyDescent="0.55000000000000004">
      <c r="W53653"/>
    </row>
    <row r="53654" spans="23:23" x14ac:dyDescent="0.55000000000000004">
      <c r="W53654"/>
    </row>
    <row r="53655" spans="23:23" x14ac:dyDescent="0.55000000000000004">
      <c r="W53655"/>
    </row>
    <row r="53656" spans="23:23" x14ac:dyDescent="0.55000000000000004">
      <c r="W53656"/>
    </row>
    <row r="53657" spans="23:23" x14ac:dyDescent="0.55000000000000004">
      <c r="W53657"/>
    </row>
    <row r="53658" spans="23:23" x14ac:dyDescent="0.55000000000000004">
      <c r="W53658"/>
    </row>
    <row r="53659" spans="23:23" x14ac:dyDescent="0.55000000000000004">
      <c r="W53659"/>
    </row>
    <row r="53660" spans="23:23" x14ac:dyDescent="0.55000000000000004">
      <c r="W53660"/>
    </row>
    <row r="53661" spans="23:23" x14ac:dyDescent="0.55000000000000004">
      <c r="W53661"/>
    </row>
    <row r="53662" spans="23:23" x14ac:dyDescent="0.55000000000000004">
      <c r="W53662"/>
    </row>
    <row r="53663" spans="23:23" x14ac:dyDescent="0.55000000000000004">
      <c r="W53663"/>
    </row>
    <row r="53664" spans="23:23" x14ac:dyDescent="0.55000000000000004">
      <c r="W53664"/>
    </row>
    <row r="53665" spans="23:23" x14ac:dyDescent="0.55000000000000004">
      <c r="W53665"/>
    </row>
    <row r="53666" spans="23:23" x14ac:dyDescent="0.55000000000000004">
      <c r="W53666"/>
    </row>
    <row r="53667" spans="23:23" x14ac:dyDescent="0.55000000000000004">
      <c r="W53667"/>
    </row>
    <row r="53668" spans="23:23" x14ac:dyDescent="0.55000000000000004">
      <c r="W53668"/>
    </row>
    <row r="53669" spans="23:23" x14ac:dyDescent="0.55000000000000004">
      <c r="W53669"/>
    </row>
    <row r="53670" spans="23:23" x14ac:dyDescent="0.55000000000000004">
      <c r="W53670"/>
    </row>
    <row r="53671" spans="23:23" x14ac:dyDescent="0.55000000000000004">
      <c r="W53671"/>
    </row>
    <row r="53672" spans="23:23" x14ac:dyDescent="0.55000000000000004">
      <c r="W53672"/>
    </row>
    <row r="53673" spans="23:23" x14ac:dyDescent="0.55000000000000004">
      <c r="W53673"/>
    </row>
    <row r="53674" spans="23:23" x14ac:dyDescent="0.55000000000000004">
      <c r="W53674"/>
    </row>
    <row r="53675" spans="23:23" x14ac:dyDescent="0.55000000000000004">
      <c r="W53675"/>
    </row>
    <row r="53676" spans="23:23" x14ac:dyDescent="0.55000000000000004">
      <c r="W53676"/>
    </row>
    <row r="53677" spans="23:23" x14ac:dyDescent="0.55000000000000004">
      <c r="W53677"/>
    </row>
    <row r="53678" spans="23:23" x14ac:dyDescent="0.55000000000000004">
      <c r="W53678"/>
    </row>
    <row r="53679" spans="23:23" x14ac:dyDescent="0.55000000000000004">
      <c r="W53679"/>
    </row>
    <row r="53680" spans="23:23" x14ac:dyDescent="0.55000000000000004">
      <c r="W53680"/>
    </row>
    <row r="53681" spans="23:23" x14ac:dyDescent="0.55000000000000004">
      <c r="W53681"/>
    </row>
    <row r="53682" spans="23:23" x14ac:dyDescent="0.55000000000000004">
      <c r="W53682"/>
    </row>
    <row r="53683" spans="23:23" x14ac:dyDescent="0.55000000000000004">
      <c r="W53683"/>
    </row>
    <row r="53684" spans="23:23" x14ac:dyDescent="0.55000000000000004">
      <c r="W53684"/>
    </row>
    <row r="53685" spans="23:23" x14ac:dyDescent="0.55000000000000004">
      <c r="W53685"/>
    </row>
    <row r="53686" spans="23:23" x14ac:dyDescent="0.55000000000000004">
      <c r="W53686"/>
    </row>
    <row r="53687" spans="23:23" x14ac:dyDescent="0.55000000000000004">
      <c r="W53687"/>
    </row>
    <row r="53688" spans="23:23" x14ac:dyDescent="0.55000000000000004">
      <c r="W53688"/>
    </row>
    <row r="53689" spans="23:23" x14ac:dyDescent="0.55000000000000004">
      <c r="W53689"/>
    </row>
    <row r="53690" spans="23:23" x14ac:dyDescent="0.55000000000000004">
      <c r="W53690"/>
    </row>
    <row r="53691" spans="23:23" x14ac:dyDescent="0.55000000000000004">
      <c r="W53691"/>
    </row>
    <row r="53692" spans="23:23" x14ac:dyDescent="0.55000000000000004">
      <c r="W53692"/>
    </row>
    <row r="53693" spans="23:23" x14ac:dyDescent="0.55000000000000004">
      <c r="W53693"/>
    </row>
    <row r="53694" spans="23:23" x14ac:dyDescent="0.55000000000000004">
      <c r="W53694"/>
    </row>
    <row r="53695" spans="23:23" x14ac:dyDescent="0.55000000000000004">
      <c r="W53695"/>
    </row>
    <row r="53696" spans="23:23" x14ac:dyDescent="0.55000000000000004">
      <c r="W53696"/>
    </row>
    <row r="53697" spans="23:23" x14ac:dyDescent="0.55000000000000004">
      <c r="W53697"/>
    </row>
    <row r="53698" spans="23:23" x14ac:dyDescent="0.55000000000000004">
      <c r="W53698"/>
    </row>
    <row r="53699" spans="23:23" x14ac:dyDescent="0.55000000000000004">
      <c r="W53699"/>
    </row>
    <row r="53700" spans="23:23" x14ac:dyDescent="0.55000000000000004">
      <c r="W53700"/>
    </row>
    <row r="53701" spans="23:23" x14ac:dyDescent="0.55000000000000004">
      <c r="W53701"/>
    </row>
    <row r="53702" spans="23:23" x14ac:dyDescent="0.55000000000000004">
      <c r="W53702"/>
    </row>
    <row r="53703" spans="23:23" x14ac:dyDescent="0.55000000000000004">
      <c r="W53703"/>
    </row>
    <row r="53704" spans="23:23" x14ac:dyDescent="0.55000000000000004">
      <c r="W53704"/>
    </row>
    <row r="53705" spans="23:23" x14ac:dyDescent="0.55000000000000004">
      <c r="W53705"/>
    </row>
    <row r="53706" spans="23:23" x14ac:dyDescent="0.55000000000000004">
      <c r="W53706"/>
    </row>
    <row r="53707" spans="23:23" x14ac:dyDescent="0.55000000000000004">
      <c r="W53707"/>
    </row>
    <row r="53708" spans="23:23" x14ac:dyDescent="0.55000000000000004">
      <c r="W53708"/>
    </row>
    <row r="53709" spans="23:23" x14ac:dyDescent="0.55000000000000004">
      <c r="W53709"/>
    </row>
    <row r="53710" spans="23:23" x14ac:dyDescent="0.55000000000000004">
      <c r="W53710"/>
    </row>
    <row r="53711" spans="23:23" x14ac:dyDescent="0.55000000000000004">
      <c r="W53711"/>
    </row>
    <row r="53712" spans="23:23" x14ac:dyDescent="0.55000000000000004">
      <c r="W53712"/>
    </row>
    <row r="53713" spans="23:23" x14ac:dyDescent="0.55000000000000004">
      <c r="W53713"/>
    </row>
    <row r="53714" spans="23:23" x14ac:dyDescent="0.55000000000000004">
      <c r="W53714"/>
    </row>
    <row r="53715" spans="23:23" x14ac:dyDescent="0.55000000000000004">
      <c r="W53715"/>
    </row>
    <row r="53716" spans="23:23" x14ac:dyDescent="0.55000000000000004">
      <c r="W53716"/>
    </row>
    <row r="53717" spans="23:23" x14ac:dyDescent="0.55000000000000004">
      <c r="W53717"/>
    </row>
    <row r="53718" spans="23:23" x14ac:dyDescent="0.55000000000000004">
      <c r="W53718"/>
    </row>
    <row r="53719" spans="23:23" x14ac:dyDescent="0.55000000000000004">
      <c r="W53719"/>
    </row>
    <row r="53720" spans="23:23" x14ac:dyDescent="0.55000000000000004">
      <c r="W53720"/>
    </row>
    <row r="53721" spans="23:23" x14ac:dyDescent="0.55000000000000004">
      <c r="W53721"/>
    </row>
    <row r="53722" spans="23:23" x14ac:dyDescent="0.55000000000000004">
      <c r="W53722"/>
    </row>
    <row r="53723" spans="23:23" x14ac:dyDescent="0.55000000000000004">
      <c r="W53723"/>
    </row>
    <row r="53724" spans="23:23" x14ac:dyDescent="0.55000000000000004">
      <c r="W53724"/>
    </row>
    <row r="53725" spans="23:23" x14ac:dyDescent="0.55000000000000004">
      <c r="W53725"/>
    </row>
    <row r="53726" spans="23:23" x14ac:dyDescent="0.55000000000000004">
      <c r="W53726"/>
    </row>
    <row r="53727" spans="23:23" x14ac:dyDescent="0.55000000000000004">
      <c r="W53727"/>
    </row>
    <row r="53728" spans="23:23" x14ac:dyDescent="0.55000000000000004">
      <c r="W53728"/>
    </row>
    <row r="53729" spans="23:23" x14ac:dyDescent="0.55000000000000004">
      <c r="W53729"/>
    </row>
    <row r="53730" spans="23:23" x14ac:dyDescent="0.55000000000000004">
      <c r="W53730"/>
    </row>
    <row r="53731" spans="23:23" x14ac:dyDescent="0.55000000000000004">
      <c r="W53731"/>
    </row>
    <row r="53732" spans="23:23" x14ac:dyDescent="0.55000000000000004">
      <c r="W53732"/>
    </row>
    <row r="53733" spans="23:23" x14ac:dyDescent="0.55000000000000004">
      <c r="W53733"/>
    </row>
    <row r="53734" spans="23:23" x14ac:dyDescent="0.55000000000000004">
      <c r="W53734"/>
    </row>
    <row r="53735" spans="23:23" x14ac:dyDescent="0.55000000000000004">
      <c r="W53735"/>
    </row>
    <row r="53736" spans="23:23" x14ac:dyDescent="0.55000000000000004">
      <c r="W53736"/>
    </row>
    <row r="53737" spans="23:23" x14ac:dyDescent="0.55000000000000004">
      <c r="W53737"/>
    </row>
    <row r="53738" spans="23:23" x14ac:dyDescent="0.55000000000000004">
      <c r="W53738"/>
    </row>
    <row r="53739" spans="23:23" x14ac:dyDescent="0.55000000000000004">
      <c r="W53739"/>
    </row>
    <row r="53740" spans="23:23" x14ac:dyDescent="0.55000000000000004">
      <c r="W53740"/>
    </row>
    <row r="53741" spans="23:23" x14ac:dyDescent="0.55000000000000004">
      <c r="W53741"/>
    </row>
    <row r="53742" spans="23:23" x14ac:dyDescent="0.55000000000000004">
      <c r="W53742"/>
    </row>
    <row r="53743" spans="23:23" x14ac:dyDescent="0.55000000000000004">
      <c r="W53743"/>
    </row>
    <row r="53744" spans="23:23" x14ac:dyDescent="0.55000000000000004">
      <c r="W53744"/>
    </row>
    <row r="53745" spans="23:23" x14ac:dyDescent="0.55000000000000004">
      <c r="W53745"/>
    </row>
    <row r="53746" spans="23:23" x14ac:dyDescent="0.55000000000000004">
      <c r="W53746"/>
    </row>
    <row r="53747" spans="23:23" x14ac:dyDescent="0.55000000000000004">
      <c r="W53747"/>
    </row>
    <row r="53748" spans="23:23" x14ac:dyDescent="0.55000000000000004">
      <c r="W53748"/>
    </row>
    <row r="53749" spans="23:23" x14ac:dyDescent="0.55000000000000004">
      <c r="W53749"/>
    </row>
    <row r="53750" spans="23:23" x14ac:dyDescent="0.55000000000000004">
      <c r="W53750"/>
    </row>
    <row r="53751" spans="23:23" x14ac:dyDescent="0.55000000000000004">
      <c r="W53751"/>
    </row>
    <row r="53752" spans="23:23" x14ac:dyDescent="0.55000000000000004">
      <c r="W53752"/>
    </row>
    <row r="53753" spans="23:23" x14ac:dyDescent="0.55000000000000004">
      <c r="W53753"/>
    </row>
    <row r="53754" spans="23:23" x14ac:dyDescent="0.55000000000000004">
      <c r="W53754"/>
    </row>
    <row r="53755" spans="23:23" x14ac:dyDescent="0.55000000000000004">
      <c r="W53755"/>
    </row>
    <row r="53756" spans="23:23" x14ac:dyDescent="0.55000000000000004">
      <c r="W53756"/>
    </row>
    <row r="53757" spans="23:23" x14ac:dyDescent="0.55000000000000004">
      <c r="W53757"/>
    </row>
    <row r="53758" spans="23:23" x14ac:dyDescent="0.55000000000000004">
      <c r="W53758"/>
    </row>
    <row r="53759" spans="23:23" x14ac:dyDescent="0.55000000000000004">
      <c r="W53759"/>
    </row>
    <row r="53760" spans="23:23" x14ac:dyDescent="0.55000000000000004">
      <c r="W53760"/>
    </row>
    <row r="53761" spans="23:23" x14ac:dyDescent="0.55000000000000004">
      <c r="W53761"/>
    </row>
    <row r="53762" spans="23:23" x14ac:dyDescent="0.55000000000000004">
      <c r="W53762"/>
    </row>
    <row r="53763" spans="23:23" x14ac:dyDescent="0.55000000000000004">
      <c r="W53763"/>
    </row>
    <row r="53764" spans="23:23" x14ac:dyDescent="0.55000000000000004">
      <c r="W53764"/>
    </row>
    <row r="53765" spans="23:23" x14ac:dyDescent="0.55000000000000004">
      <c r="W53765"/>
    </row>
    <row r="53766" spans="23:23" x14ac:dyDescent="0.55000000000000004">
      <c r="W53766"/>
    </row>
    <row r="53767" spans="23:23" x14ac:dyDescent="0.55000000000000004">
      <c r="W53767"/>
    </row>
    <row r="53768" spans="23:23" x14ac:dyDescent="0.55000000000000004">
      <c r="W53768"/>
    </row>
    <row r="53769" spans="23:23" x14ac:dyDescent="0.55000000000000004">
      <c r="W53769"/>
    </row>
    <row r="53770" spans="23:23" x14ac:dyDescent="0.55000000000000004">
      <c r="W53770"/>
    </row>
    <row r="53771" spans="23:23" x14ac:dyDescent="0.55000000000000004">
      <c r="W53771"/>
    </row>
    <row r="53772" spans="23:23" x14ac:dyDescent="0.55000000000000004">
      <c r="W53772"/>
    </row>
    <row r="53773" spans="23:23" x14ac:dyDescent="0.55000000000000004">
      <c r="W53773"/>
    </row>
    <row r="53774" spans="23:23" x14ac:dyDescent="0.55000000000000004">
      <c r="W53774"/>
    </row>
    <row r="53775" spans="23:23" x14ac:dyDescent="0.55000000000000004">
      <c r="W53775"/>
    </row>
    <row r="53776" spans="23:23" x14ac:dyDescent="0.55000000000000004">
      <c r="W53776"/>
    </row>
    <row r="53777" spans="23:23" x14ac:dyDescent="0.55000000000000004">
      <c r="W53777"/>
    </row>
    <row r="53778" spans="23:23" x14ac:dyDescent="0.55000000000000004">
      <c r="W53778"/>
    </row>
    <row r="53779" spans="23:23" x14ac:dyDescent="0.55000000000000004">
      <c r="W53779"/>
    </row>
    <row r="53780" spans="23:23" x14ac:dyDescent="0.55000000000000004">
      <c r="W53780"/>
    </row>
    <row r="53781" spans="23:23" x14ac:dyDescent="0.55000000000000004">
      <c r="W53781"/>
    </row>
    <row r="53782" spans="23:23" x14ac:dyDescent="0.55000000000000004">
      <c r="W53782"/>
    </row>
    <row r="53783" spans="23:23" x14ac:dyDescent="0.55000000000000004">
      <c r="W53783"/>
    </row>
    <row r="53784" spans="23:23" x14ac:dyDescent="0.55000000000000004">
      <c r="W53784"/>
    </row>
    <row r="53785" spans="23:23" x14ac:dyDescent="0.55000000000000004">
      <c r="W53785"/>
    </row>
    <row r="53786" spans="23:23" x14ac:dyDescent="0.55000000000000004">
      <c r="W53786"/>
    </row>
    <row r="53787" spans="23:23" x14ac:dyDescent="0.55000000000000004">
      <c r="W53787"/>
    </row>
    <row r="53788" spans="23:23" x14ac:dyDescent="0.55000000000000004">
      <c r="W53788"/>
    </row>
    <row r="53789" spans="23:23" x14ac:dyDescent="0.55000000000000004">
      <c r="W53789"/>
    </row>
    <row r="53790" spans="23:23" x14ac:dyDescent="0.55000000000000004">
      <c r="W53790"/>
    </row>
    <row r="53791" spans="23:23" x14ac:dyDescent="0.55000000000000004">
      <c r="W53791"/>
    </row>
    <row r="53792" spans="23:23" x14ac:dyDescent="0.55000000000000004">
      <c r="W53792"/>
    </row>
    <row r="53793" spans="23:23" x14ac:dyDescent="0.55000000000000004">
      <c r="W53793"/>
    </row>
    <row r="53794" spans="23:23" x14ac:dyDescent="0.55000000000000004">
      <c r="W53794"/>
    </row>
    <row r="53795" spans="23:23" x14ac:dyDescent="0.55000000000000004">
      <c r="W53795"/>
    </row>
    <row r="53796" spans="23:23" x14ac:dyDescent="0.55000000000000004">
      <c r="W53796"/>
    </row>
    <row r="53797" spans="23:23" x14ac:dyDescent="0.55000000000000004">
      <c r="W53797"/>
    </row>
    <row r="53798" spans="23:23" x14ac:dyDescent="0.55000000000000004">
      <c r="W53798"/>
    </row>
    <row r="53799" spans="23:23" x14ac:dyDescent="0.55000000000000004">
      <c r="W53799"/>
    </row>
    <row r="53800" spans="23:23" x14ac:dyDescent="0.55000000000000004">
      <c r="W53800"/>
    </row>
    <row r="53801" spans="23:23" x14ac:dyDescent="0.55000000000000004">
      <c r="W53801"/>
    </row>
    <row r="53802" spans="23:23" x14ac:dyDescent="0.55000000000000004">
      <c r="W53802"/>
    </row>
    <row r="53803" spans="23:23" x14ac:dyDescent="0.55000000000000004">
      <c r="W53803"/>
    </row>
    <row r="53804" spans="23:23" x14ac:dyDescent="0.55000000000000004">
      <c r="W53804"/>
    </row>
    <row r="53805" spans="23:23" x14ac:dyDescent="0.55000000000000004">
      <c r="W53805"/>
    </row>
    <row r="53806" spans="23:23" x14ac:dyDescent="0.55000000000000004">
      <c r="W53806"/>
    </row>
    <row r="53807" spans="23:23" x14ac:dyDescent="0.55000000000000004">
      <c r="W53807"/>
    </row>
    <row r="53808" spans="23:23" x14ac:dyDescent="0.55000000000000004">
      <c r="W53808"/>
    </row>
    <row r="53809" spans="23:23" x14ac:dyDescent="0.55000000000000004">
      <c r="W53809"/>
    </row>
    <row r="53810" spans="23:23" x14ac:dyDescent="0.55000000000000004">
      <c r="W53810"/>
    </row>
    <row r="53811" spans="23:23" x14ac:dyDescent="0.55000000000000004">
      <c r="W53811"/>
    </row>
    <row r="53812" spans="23:23" x14ac:dyDescent="0.55000000000000004">
      <c r="W53812"/>
    </row>
    <row r="53813" spans="23:23" x14ac:dyDescent="0.55000000000000004">
      <c r="W53813"/>
    </row>
    <row r="53814" spans="23:23" x14ac:dyDescent="0.55000000000000004">
      <c r="W53814"/>
    </row>
    <row r="53815" spans="23:23" x14ac:dyDescent="0.55000000000000004">
      <c r="W53815"/>
    </row>
    <row r="53816" spans="23:23" x14ac:dyDescent="0.55000000000000004">
      <c r="W53816"/>
    </row>
    <row r="53817" spans="23:23" x14ac:dyDescent="0.55000000000000004">
      <c r="W53817"/>
    </row>
    <row r="53818" spans="23:23" x14ac:dyDescent="0.55000000000000004">
      <c r="W53818"/>
    </row>
    <row r="53819" spans="23:23" x14ac:dyDescent="0.55000000000000004">
      <c r="W53819"/>
    </row>
    <row r="53820" spans="23:23" x14ac:dyDescent="0.55000000000000004">
      <c r="W53820"/>
    </row>
    <row r="53821" spans="23:23" x14ac:dyDescent="0.55000000000000004">
      <c r="W53821"/>
    </row>
    <row r="53822" spans="23:23" x14ac:dyDescent="0.55000000000000004">
      <c r="W53822"/>
    </row>
    <row r="53823" spans="23:23" x14ac:dyDescent="0.55000000000000004">
      <c r="W53823"/>
    </row>
    <row r="53824" spans="23:23" x14ac:dyDescent="0.55000000000000004">
      <c r="W53824"/>
    </row>
    <row r="53825" spans="23:23" x14ac:dyDescent="0.55000000000000004">
      <c r="W53825"/>
    </row>
    <row r="53826" spans="23:23" x14ac:dyDescent="0.55000000000000004">
      <c r="W53826"/>
    </row>
    <row r="53827" spans="23:23" x14ac:dyDescent="0.55000000000000004">
      <c r="W53827"/>
    </row>
    <row r="53828" spans="23:23" x14ac:dyDescent="0.55000000000000004">
      <c r="W53828"/>
    </row>
    <row r="53829" spans="23:23" x14ac:dyDescent="0.55000000000000004">
      <c r="W53829"/>
    </row>
    <row r="53830" spans="23:23" x14ac:dyDescent="0.55000000000000004">
      <c r="W53830"/>
    </row>
    <row r="53831" spans="23:23" x14ac:dyDescent="0.55000000000000004">
      <c r="W53831"/>
    </row>
    <row r="53832" spans="23:23" x14ac:dyDescent="0.55000000000000004">
      <c r="W53832"/>
    </row>
    <row r="53833" spans="23:23" x14ac:dyDescent="0.55000000000000004">
      <c r="W53833"/>
    </row>
    <row r="53834" spans="23:23" x14ac:dyDescent="0.55000000000000004">
      <c r="W53834"/>
    </row>
    <row r="53835" spans="23:23" x14ac:dyDescent="0.55000000000000004">
      <c r="W53835"/>
    </row>
    <row r="53836" spans="23:23" x14ac:dyDescent="0.55000000000000004">
      <c r="W53836"/>
    </row>
    <row r="53837" spans="23:23" x14ac:dyDescent="0.55000000000000004">
      <c r="W53837"/>
    </row>
    <row r="53838" spans="23:23" x14ac:dyDescent="0.55000000000000004">
      <c r="W53838"/>
    </row>
    <row r="53839" spans="23:23" x14ac:dyDescent="0.55000000000000004">
      <c r="W53839"/>
    </row>
    <row r="53840" spans="23:23" x14ac:dyDescent="0.55000000000000004">
      <c r="W53840"/>
    </row>
    <row r="53841" spans="23:23" x14ac:dyDescent="0.55000000000000004">
      <c r="W53841"/>
    </row>
    <row r="53842" spans="23:23" x14ac:dyDescent="0.55000000000000004">
      <c r="W53842"/>
    </row>
    <row r="53843" spans="23:23" x14ac:dyDescent="0.55000000000000004">
      <c r="W53843"/>
    </row>
    <row r="53844" spans="23:23" x14ac:dyDescent="0.55000000000000004">
      <c r="W53844"/>
    </row>
    <row r="53845" spans="23:23" x14ac:dyDescent="0.55000000000000004">
      <c r="W53845"/>
    </row>
    <row r="53846" spans="23:23" x14ac:dyDescent="0.55000000000000004">
      <c r="W53846"/>
    </row>
    <row r="53847" spans="23:23" x14ac:dyDescent="0.55000000000000004">
      <c r="W53847"/>
    </row>
    <row r="53848" spans="23:23" x14ac:dyDescent="0.55000000000000004">
      <c r="W53848"/>
    </row>
    <row r="53849" spans="23:23" x14ac:dyDescent="0.55000000000000004">
      <c r="W53849"/>
    </row>
    <row r="53850" spans="23:23" x14ac:dyDescent="0.55000000000000004">
      <c r="W53850"/>
    </row>
    <row r="53851" spans="23:23" x14ac:dyDescent="0.55000000000000004">
      <c r="W53851"/>
    </row>
    <row r="53852" spans="23:23" x14ac:dyDescent="0.55000000000000004">
      <c r="W53852"/>
    </row>
    <row r="53853" spans="23:23" x14ac:dyDescent="0.55000000000000004">
      <c r="W53853"/>
    </row>
    <row r="53854" spans="23:23" x14ac:dyDescent="0.55000000000000004">
      <c r="W53854"/>
    </row>
    <row r="53855" spans="23:23" x14ac:dyDescent="0.55000000000000004">
      <c r="W53855"/>
    </row>
    <row r="53856" spans="23:23" x14ac:dyDescent="0.55000000000000004">
      <c r="W53856"/>
    </row>
    <row r="53857" spans="23:23" x14ac:dyDescent="0.55000000000000004">
      <c r="W53857"/>
    </row>
    <row r="53858" spans="23:23" x14ac:dyDescent="0.55000000000000004">
      <c r="W53858"/>
    </row>
    <row r="53859" spans="23:23" x14ac:dyDescent="0.55000000000000004">
      <c r="W53859"/>
    </row>
    <row r="53860" spans="23:23" x14ac:dyDescent="0.55000000000000004">
      <c r="W53860"/>
    </row>
    <row r="53861" spans="23:23" x14ac:dyDescent="0.55000000000000004">
      <c r="W53861"/>
    </row>
    <row r="53862" spans="23:23" x14ac:dyDescent="0.55000000000000004">
      <c r="W53862"/>
    </row>
    <row r="53863" spans="23:23" x14ac:dyDescent="0.55000000000000004">
      <c r="W53863"/>
    </row>
    <row r="53864" spans="23:23" x14ac:dyDescent="0.55000000000000004">
      <c r="W53864"/>
    </row>
    <row r="53865" spans="23:23" x14ac:dyDescent="0.55000000000000004">
      <c r="W53865"/>
    </row>
    <row r="53866" spans="23:23" x14ac:dyDescent="0.55000000000000004">
      <c r="W53866"/>
    </row>
    <row r="53867" spans="23:23" x14ac:dyDescent="0.55000000000000004">
      <c r="W53867"/>
    </row>
    <row r="53868" spans="23:23" x14ac:dyDescent="0.55000000000000004">
      <c r="W53868"/>
    </row>
    <row r="53869" spans="23:23" x14ac:dyDescent="0.55000000000000004">
      <c r="W53869"/>
    </row>
    <row r="53870" spans="23:23" x14ac:dyDescent="0.55000000000000004">
      <c r="W53870"/>
    </row>
    <row r="53871" spans="23:23" x14ac:dyDescent="0.55000000000000004">
      <c r="W53871"/>
    </row>
    <row r="53872" spans="23:23" x14ac:dyDescent="0.55000000000000004">
      <c r="W53872"/>
    </row>
    <row r="53873" spans="23:23" x14ac:dyDescent="0.55000000000000004">
      <c r="W53873"/>
    </row>
    <row r="53874" spans="23:23" x14ac:dyDescent="0.55000000000000004">
      <c r="W53874"/>
    </row>
    <row r="53875" spans="23:23" x14ac:dyDescent="0.55000000000000004">
      <c r="W53875"/>
    </row>
    <row r="53876" spans="23:23" x14ac:dyDescent="0.55000000000000004">
      <c r="W53876"/>
    </row>
    <row r="53877" spans="23:23" x14ac:dyDescent="0.55000000000000004">
      <c r="W53877"/>
    </row>
    <row r="53878" spans="23:23" x14ac:dyDescent="0.55000000000000004">
      <c r="W53878"/>
    </row>
    <row r="53879" spans="23:23" x14ac:dyDescent="0.55000000000000004">
      <c r="W53879"/>
    </row>
    <row r="53880" spans="23:23" x14ac:dyDescent="0.55000000000000004">
      <c r="W53880"/>
    </row>
    <row r="53881" spans="23:23" x14ac:dyDescent="0.55000000000000004">
      <c r="W53881"/>
    </row>
    <row r="53882" spans="23:23" x14ac:dyDescent="0.55000000000000004">
      <c r="W53882"/>
    </row>
    <row r="53883" spans="23:23" x14ac:dyDescent="0.55000000000000004">
      <c r="W53883"/>
    </row>
    <row r="53884" spans="23:23" x14ac:dyDescent="0.55000000000000004">
      <c r="W53884"/>
    </row>
    <row r="53885" spans="23:23" x14ac:dyDescent="0.55000000000000004">
      <c r="W53885"/>
    </row>
    <row r="53886" spans="23:23" x14ac:dyDescent="0.55000000000000004">
      <c r="W53886"/>
    </row>
    <row r="53887" spans="23:23" x14ac:dyDescent="0.55000000000000004">
      <c r="W53887"/>
    </row>
    <row r="53888" spans="23:23" x14ac:dyDescent="0.55000000000000004">
      <c r="W53888"/>
    </row>
    <row r="53889" spans="23:23" x14ac:dyDescent="0.55000000000000004">
      <c r="W53889"/>
    </row>
    <row r="53890" spans="23:23" x14ac:dyDescent="0.55000000000000004">
      <c r="W53890"/>
    </row>
    <row r="53891" spans="23:23" x14ac:dyDescent="0.55000000000000004">
      <c r="W53891"/>
    </row>
    <row r="53892" spans="23:23" x14ac:dyDescent="0.55000000000000004">
      <c r="W53892"/>
    </row>
    <row r="53893" spans="23:23" x14ac:dyDescent="0.55000000000000004">
      <c r="W53893"/>
    </row>
    <row r="53894" spans="23:23" x14ac:dyDescent="0.55000000000000004">
      <c r="W53894"/>
    </row>
    <row r="53895" spans="23:23" x14ac:dyDescent="0.55000000000000004">
      <c r="W53895"/>
    </row>
    <row r="53896" spans="23:23" x14ac:dyDescent="0.55000000000000004">
      <c r="W53896"/>
    </row>
    <row r="53897" spans="23:23" x14ac:dyDescent="0.55000000000000004">
      <c r="W53897"/>
    </row>
    <row r="53898" spans="23:23" x14ac:dyDescent="0.55000000000000004">
      <c r="W53898"/>
    </row>
    <row r="53899" spans="23:23" x14ac:dyDescent="0.55000000000000004">
      <c r="W53899"/>
    </row>
    <row r="53900" spans="23:23" x14ac:dyDescent="0.55000000000000004">
      <c r="W53900"/>
    </row>
    <row r="53901" spans="23:23" x14ac:dyDescent="0.55000000000000004">
      <c r="W53901"/>
    </row>
    <row r="53902" spans="23:23" x14ac:dyDescent="0.55000000000000004">
      <c r="W53902"/>
    </row>
    <row r="53903" spans="23:23" x14ac:dyDescent="0.55000000000000004">
      <c r="W53903"/>
    </row>
    <row r="53904" spans="23:23" x14ac:dyDescent="0.55000000000000004">
      <c r="W53904"/>
    </row>
    <row r="53905" spans="23:23" x14ac:dyDescent="0.55000000000000004">
      <c r="W53905"/>
    </row>
    <row r="53906" spans="23:23" x14ac:dyDescent="0.55000000000000004">
      <c r="W53906"/>
    </row>
    <row r="53907" spans="23:23" x14ac:dyDescent="0.55000000000000004">
      <c r="W53907"/>
    </row>
    <row r="53908" spans="23:23" x14ac:dyDescent="0.55000000000000004">
      <c r="W53908"/>
    </row>
    <row r="53909" spans="23:23" x14ac:dyDescent="0.55000000000000004">
      <c r="W53909"/>
    </row>
    <row r="53910" spans="23:23" x14ac:dyDescent="0.55000000000000004">
      <c r="W53910"/>
    </row>
    <row r="53911" spans="23:23" x14ac:dyDescent="0.55000000000000004">
      <c r="W53911"/>
    </row>
    <row r="53912" spans="23:23" x14ac:dyDescent="0.55000000000000004">
      <c r="W53912"/>
    </row>
    <row r="53913" spans="23:23" x14ac:dyDescent="0.55000000000000004">
      <c r="W53913"/>
    </row>
    <row r="53914" spans="23:23" x14ac:dyDescent="0.55000000000000004">
      <c r="W53914"/>
    </row>
    <row r="53915" spans="23:23" x14ac:dyDescent="0.55000000000000004">
      <c r="W53915"/>
    </row>
    <row r="53916" spans="23:23" x14ac:dyDescent="0.55000000000000004">
      <c r="W53916"/>
    </row>
    <row r="53917" spans="23:23" x14ac:dyDescent="0.55000000000000004">
      <c r="W53917"/>
    </row>
    <row r="53918" spans="23:23" x14ac:dyDescent="0.55000000000000004">
      <c r="W53918"/>
    </row>
    <row r="53919" spans="23:23" x14ac:dyDescent="0.55000000000000004">
      <c r="W53919"/>
    </row>
    <row r="53920" spans="23:23" x14ac:dyDescent="0.55000000000000004">
      <c r="W53920"/>
    </row>
    <row r="53921" spans="23:23" x14ac:dyDescent="0.55000000000000004">
      <c r="W53921"/>
    </row>
    <row r="53922" spans="23:23" x14ac:dyDescent="0.55000000000000004">
      <c r="W53922"/>
    </row>
    <row r="53923" spans="23:23" x14ac:dyDescent="0.55000000000000004">
      <c r="W53923"/>
    </row>
    <row r="53924" spans="23:23" x14ac:dyDescent="0.55000000000000004">
      <c r="W53924"/>
    </row>
    <row r="53925" spans="23:23" x14ac:dyDescent="0.55000000000000004">
      <c r="W53925"/>
    </row>
    <row r="53926" spans="23:23" x14ac:dyDescent="0.55000000000000004">
      <c r="W53926"/>
    </row>
    <row r="53927" spans="23:23" x14ac:dyDescent="0.55000000000000004">
      <c r="W53927"/>
    </row>
    <row r="53928" spans="23:23" x14ac:dyDescent="0.55000000000000004">
      <c r="W53928"/>
    </row>
    <row r="53929" spans="23:23" x14ac:dyDescent="0.55000000000000004">
      <c r="W53929"/>
    </row>
    <row r="53930" spans="23:23" x14ac:dyDescent="0.55000000000000004">
      <c r="W53930"/>
    </row>
    <row r="53931" spans="23:23" x14ac:dyDescent="0.55000000000000004">
      <c r="W53931"/>
    </row>
    <row r="53932" spans="23:23" x14ac:dyDescent="0.55000000000000004">
      <c r="W53932"/>
    </row>
    <row r="53933" spans="23:23" x14ac:dyDescent="0.55000000000000004">
      <c r="W53933"/>
    </row>
    <row r="53934" spans="23:23" x14ac:dyDescent="0.55000000000000004">
      <c r="W53934"/>
    </row>
    <row r="53935" spans="23:23" x14ac:dyDescent="0.55000000000000004">
      <c r="W53935"/>
    </row>
    <row r="53936" spans="23:23" x14ac:dyDescent="0.55000000000000004">
      <c r="W53936"/>
    </row>
    <row r="53937" spans="23:23" x14ac:dyDescent="0.55000000000000004">
      <c r="W53937"/>
    </row>
    <row r="53938" spans="23:23" x14ac:dyDescent="0.55000000000000004">
      <c r="W53938"/>
    </row>
    <row r="53939" spans="23:23" x14ac:dyDescent="0.55000000000000004">
      <c r="W53939"/>
    </row>
    <row r="53940" spans="23:23" x14ac:dyDescent="0.55000000000000004">
      <c r="W53940"/>
    </row>
    <row r="53941" spans="23:23" x14ac:dyDescent="0.55000000000000004">
      <c r="W53941"/>
    </row>
    <row r="53942" spans="23:23" x14ac:dyDescent="0.55000000000000004">
      <c r="W53942"/>
    </row>
    <row r="53943" spans="23:23" x14ac:dyDescent="0.55000000000000004">
      <c r="W53943"/>
    </row>
    <row r="53944" spans="23:23" x14ac:dyDescent="0.55000000000000004">
      <c r="W53944"/>
    </row>
    <row r="53945" spans="23:23" x14ac:dyDescent="0.55000000000000004">
      <c r="W53945"/>
    </row>
    <row r="53946" spans="23:23" x14ac:dyDescent="0.55000000000000004">
      <c r="W53946"/>
    </row>
    <row r="53947" spans="23:23" x14ac:dyDescent="0.55000000000000004">
      <c r="W53947"/>
    </row>
    <row r="53948" spans="23:23" x14ac:dyDescent="0.55000000000000004">
      <c r="W53948"/>
    </row>
    <row r="53949" spans="23:23" x14ac:dyDescent="0.55000000000000004">
      <c r="W53949"/>
    </row>
    <row r="53950" spans="23:23" x14ac:dyDescent="0.55000000000000004">
      <c r="W53950"/>
    </row>
    <row r="53951" spans="23:23" x14ac:dyDescent="0.55000000000000004">
      <c r="W53951"/>
    </row>
    <row r="53952" spans="23:23" x14ac:dyDescent="0.55000000000000004">
      <c r="W53952"/>
    </row>
    <row r="53953" spans="23:23" x14ac:dyDescent="0.55000000000000004">
      <c r="W53953"/>
    </row>
    <row r="53954" spans="23:23" x14ac:dyDescent="0.55000000000000004">
      <c r="W53954"/>
    </row>
    <row r="53955" spans="23:23" x14ac:dyDescent="0.55000000000000004">
      <c r="W53955"/>
    </row>
    <row r="53956" spans="23:23" x14ac:dyDescent="0.55000000000000004">
      <c r="W53956"/>
    </row>
    <row r="53957" spans="23:23" x14ac:dyDescent="0.55000000000000004">
      <c r="W53957"/>
    </row>
    <row r="53958" spans="23:23" x14ac:dyDescent="0.55000000000000004">
      <c r="W53958"/>
    </row>
    <row r="53959" spans="23:23" x14ac:dyDescent="0.55000000000000004">
      <c r="W53959"/>
    </row>
    <row r="53960" spans="23:23" x14ac:dyDescent="0.55000000000000004">
      <c r="W53960"/>
    </row>
    <row r="53961" spans="23:23" x14ac:dyDescent="0.55000000000000004">
      <c r="W53961"/>
    </row>
    <row r="53962" spans="23:23" x14ac:dyDescent="0.55000000000000004">
      <c r="W53962"/>
    </row>
    <row r="53963" spans="23:23" x14ac:dyDescent="0.55000000000000004">
      <c r="W53963"/>
    </row>
    <row r="53964" spans="23:23" x14ac:dyDescent="0.55000000000000004">
      <c r="W53964"/>
    </row>
    <row r="53965" spans="23:23" x14ac:dyDescent="0.55000000000000004">
      <c r="W53965"/>
    </row>
    <row r="53966" spans="23:23" x14ac:dyDescent="0.55000000000000004">
      <c r="W53966"/>
    </row>
    <row r="53967" spans="23:23" x14ac:dyDescent="0.55000000000000004">
      <c r="W53967"/>
    </row>
    <row r="53968" spans="23:23" x14ac:dyDescent="0.55000000000000004">
      <c r="W53968"/>
    </row>
    <row r="53969" spans="23:23" x14ac:dyDescent="0.55000000000000004">
      <c r="W53969"/>
    </row>
    <row r="53970" spans="23:23" x14ac:dyDescent="0.55000000000000004">
      <c r="W53970"/>
    </row>
    <row r="53971" spans="23:23" x14ac:dyDescent="0.55000000000000004">
      <c r="W53971"/>
    </row>
    <row r="53972" spans="23:23" x14ac:dyDescent="0.55000000000000004">
      <c r="W53972"/>
    </row>
    <row r="53973" spans="23:23" x14ac:dyDescent="0.55000000000000004">
      <c r="W53973"/>
    </row>
    <row r="53974" spans="23:23" x14ac:dyDescent="0.55000000000000004">
      <c r="W53974"/>
    </row>
    <row r="53975" spans="23:23" x14ac:dyDescent="0.55000000000000004">
      <c r="W53975"/>
    </row>
    <row r="53976" spans="23:23" x14ac:dyDescent="0.55000000000000004">
      <c r="W53976"/>
    </row>
    <row r="53977" spans="23:23" x14ac:dyDescent="0.55000000000000004">
      <c r="W53977"/>
    </row>
    <row r="53978" spans="23:23" x14ac:dyDescent="0.55000000000000004">
      <c r="W53978"/>
    </row>
    <row r="53979" spans="23:23" x14ac:dyDescent="0.55000000000000004">
      <c r="W53979"/>
    </row>
    <row r="53980" spans="23:23" x14ac:dyDescent="0.55000000000000004">
      <c r="W53980"/>
    </row>
    <row r="53981" spans="23:23" x14ac:dyDescent="0.55000000000000004">
      <c r="W53981"/>
    </row>
    <row r="53982" spans="23:23" x14ac:dyDescent="0.55000000000000004">
      <c r="W53982"/>
    </row>
    <row r="53983" spans="23:23" x14ac:dyDescent="0.55000000000000004">
      <c r="W53983"/>
    </row>
    <row r="53984" spans="23:23" x14ac:dyDescent="0.55000000000000004">
      <c r="W53984"/>
    </row>
    <row r="53985" spans="23:23" x14ac:dyDescent="0.55000000000000004">
      <c r="W53985"/>
    </row>
    <row r="53986" spans="23:23" x14ac:dyDescent="0.55000000000000004">
      <c r="W53986"/>
    </row>
    <row r="53987" spans="23:23" x14ac:dyDescent="0.55000000000000004">
      <c r="W53987"/>
    </row>
    <row r="53988" spans="23:23" x14ac:dyDescent="0.55000000000000004">
      <c r="W53988"/>
    </row>
    <row r="53989" spans="23:23" x14ac:dyDescent="0.55000000000000004">
      <c r="W53989"/>
    </row>
    <row r="53990" spans="23:23" x14ac:dyDescent="0.55000000000000004">
      <c r="W53990"/>
    </row>
    <row r="53991" spans="23:23" x14ac:dyDescent="0.55000000000000004">
      <c r="W53991"/>
    </row>
    <row r="53992" spans="23:23" x14ac:dyDescent="0.55000000000000004">
      <c r="W53992"/>
    </row>
    <row r="53993" spans="23:23" x14ac:dyDescent="0.55000000000000004">
      <c r="W53993"/>
    </row>
    <row r="53994" spans="23:23" x14ac:dyDescent="0.55000000000000004">
      <c r="W53994"/>
    </row>
    <row r="53995" spans="23:23" x14ac:dyDescent="0.55000000000000004">
      <c r="W53995"/>
    </row>
    <row r="53996" spans="23:23" x14ac:dyDescent="0.55000000000000004">
      <c r="W53996"/>
    </row>
    <row r="53997" spans="23:23" x14ac:dyDescent="0.55000000000000004">
      <c r="W53997"/>
    </row>
    <row r="53998" spans="23:23" x14ac:dyDescent="0.55000000000000004">
      <c r="W53998"/>
    </row>
    <row r="53999" spans="23:23" x14ac:dyDescent="0.55000000000000004">
      <c r="W53999"/>
    </row>
    <row r="54000" spans="23:23" x14ac:dyDescent="0.55000000000000004">
      <c r="W54000"/>
    </row>
    <row r="54001" spans="23:23" x14ac:dyDescent="0.55000000000000004">
      <c r="W54001"/>
    </row>
    <row r="54002" spans="23:23" x14ac:dyDescent="0.55000000000000004">
      <c r="W54002"/>
    </row>
    <row r="54003" spans="23:23" x14ac:dyDescent="0.55000000000000004">
      <c r="W54003"/>
    </row>
    <row r="54004" spans="23:23" x14ac:dyDescent="0.55000000000000004">
      <c r="W54004"/>
    </row>
    <row r="54005" spans="23:23" x14ac:dyDescent="0.55000000000000004">
      <c r="W54005"/>
    </row>
    <row r="54006" spans="23:23" x14ac:dyDescent="0.55000000000000004">
      <c r="W54006"/>
    </row>
    <row r="54007" spans="23:23" x14ac:dyDescent="0.55000000000000004">
      <c r="W54007"/>
    </row>
    <row r="54008" spans="23:23" x14ac:dyDescent="0.55000000000000004">
      <c r="W54008"/>
    </row>
    <row r="54009" spans="23:23" x14ac:dyDescent="0.55000000000000004">
      <c r="W54009"/>
    </row>
    <row r="54010" spans="23:23" x14ac:dyDescent="0.55000000000000004">
      <c r="W54010"/>
    </row>
    <row r="54011" spans="23:23" x14ac:dyDescent="0.55000000000000004">
      <c r="W54011"/>
    </row>
    <row r="54012" spans="23:23" x14ac:dyDescent="0.55000000000000004">
      <c r="W54012"/>
    </row>
    <row r="54013" spans="23:23" x14ac:dyDescent="0.55000000000000004">
      <c r="W54013"/>
    </row>
    <row r="54014" spans="23:23" x14ac:dyDescent="0.55000000000000004">
      <c r="W54014"/>
    </row>
    <row r="54015" spans="23:23" x14ac:dyDescent="0.55000000000000004">
      <c r="W54015"/>
    </row>
    <row r="54016" spans="23:23" x14ac:dyDescent="0.55000000000000004">
      <c r="W54016"/>
    </row>
    <row r="54017" spans="23:23" x14ac:dyDescent="0.55000000000000004">
      <c r="W54017"/>
    </row>
    <row r="54018" spans="23:23" x14ac:dyDescent="0.55000000000000004">
      <c r="W54018"/>
    </row>
    <row r="54019" spans="23:23" x14ac:dyDescent="0.55000000000000004">
      <c r="W54019"/>
    </row>
    <row r="54020" spans="23:23" x14ac:dyDescent="0.55000000000000004">
      <c r="W54020"/>
    </row>
    <row r="54021" spans="23:23" x14ac:dyDescent="0.55000000000000004">
      <c r="W54021"/>
    </row>
    <row r="54022" spans="23:23" x14ac:dyDescent="0.55000000000000004">
      <c r="W54022"/>
    </row>
    <row r="54023" spans="23:23" x14ac:dyDescent="0.55000000000000004">
      <c r="W54023"/>
    </row>
    <row r="54024" spans="23:23" x14ac:dyDescent="0.55000000000000004">
      <c r="W54024"/>
    </row>
    <row r="54025" spans="23:23" x14ac:dyDescent="0.55000000000000004">
      <c r="W54025"/>
    </row>
    <row r="54026" spans="23:23" x14ac:dyDescent="0.55000000000000004">
      <c r="W54026"/>
    </row>
    <row r="54027" spans="23:23" x14ac:dyDescent="0.55000000000000004">
      <c r="W54027"/>
    </row>
    <row r="54028" spans="23:23" x14ac:dyDescent="0.55000000000000004">
      <c r="W54028"/>
    </row>
    <row r="54029" spans="23:23" x14ac:dyDescent="0.55000000000000004">
      <c r="W54029"/>
    </row>
    <row r="54030" spans="23:23" x14ac:dyDescent="0.55000000000000004">
      <c r="W54030"/>
    </row>
    <row r="54031" spans="23:23" x14ac:dyDescent="0.55000000000000004">
      <c r="W54031"/>
    </row>
    <row r="54032" spans="23:23" x14ac:dyDescent="0.55000000000000004">
      <c r="W54032"/>
    </row>
    <row r="54033" spans="23:23" x14ac:dyDescent="0.55000000000000004">
      <c r="W54033"/>
    </row>
    <row r="54034" spans="23:23" x14ac:dyDescent="0.55000000000000004">
      <c r="W54034"/>
    </row>
    <row r="54035" spans="23:23" x14ac:dyDescent="0.55000000000000004">
      <c r="W54035"/>
    </row>
    <row r="54036" spans="23:23" x14ac:dyDescent="0.55000000000000004">
      <c r="W54036"/>
    </row>
    <row r="54037" spans="23:23" x14ac:dyDescent="0.55000000000000004">
      <c r="W54037"/>
    </row>
    <row r="54038" spans="23:23" x14ac:dyDescent="0.55000000000000004">
      <c r="W54038"/>
    </row>
    <row r="54039" spans="23:23" x14ac:dyDescent="0.55000000000000004">
      <c r="W54039"/>
    </row>
    <row r="54040" spans="23:23" x14ac:dyDescent="0.55000000000000004">
      <c r="W54040"/>
    </row>
    <row r="54041" spans="23:23" x14ac:dyDescent="0.55000000000000004">
      <c r="W54041"/>
    </row>
    <row r="54042" spans="23:23" x14ac:dyDescent="0.55000000000000004">
      <c r="W54042"/>
    </row>
    <row r="54043" spans="23:23" x14ac:dyDescent="0.55000000000000004">
      <c r="W54043"/>
    </row>
    <row r="54044" spans="23:23" x14ac:dyDescent="0.55000000000000004">
      <c r="W54044"/>
    </row>
    <row r="54045" spans="23:23" x14ac:dyDescent="0.55000000000000004">
      <c r="W54045"/>
    </row>
    <row r="54046" spans="23:23" x14ac:dyDescent="0.55000000000000004">
      <c r="W54046"/>
    </row>
    <row r="54047" spans="23:23" x14ac:dyDescent="0.55000000000000004">
      <c r="W54047"/>
    </row>
    <row r="54048" spans="23:23" x14ac:dyDescent="0.55000000000000004">
      <c r="W54048"/>
    </row>
    <row r="54049" spans="23:23" x14ac:dyDescent="0.55000000000000004">
      <c r="W54049"/>
    </row>
    <row r="54050" spans="23:23" x14ac:dyDescent="0.55000000000000004">
      <c r="W54050"/>
    </row>
    <row r="54051" spans="23:23" x14ac:dyDescent="0.55000000000000004">
      <c r="W54051"/>
    </row>
    <row r="54052" spans="23:23" x14ac:dyDescent="0.55000000000000004">
      <c r="W54052"/>
    </row>
    <row r="54053" spans="23:23" x14ac:dyDescent="0.55000000000000004">
      <c r="W54053"/>
    </row>
    <row r="54054" spans="23:23" x14ac:dyDescent="0.55000000000000004">
      <c r="W54054"/>
    </row>
    <row r="54055" spans="23:23" x14ac:dyDescent="0.55000000000000004">
      <c r="W54055"/>
    </row>
    <row r="54056" spans="23:23" x14ac:dyDescent="0.55000000000000004">
      <c r="W54056"/>
    </row>
    <row r="54057" spans="23:23" x14ac:dyDescent="0.55000000000000004">
      <c r="W54057"/>
    </row>
    <row r="54058" spans="23:23" x14ac:dyDescent="0.55000000000000004">
      <c r="W54058"/>
    </row>
    <row r="54059" spans="23:23" x14ac:dyDescent="0.55000000000000004">
      <c r="W54059"/>
    </row>
    <row r="54060" spans="23:23" x14ac:dyDescent="0.55000000000000004">
      <c r="W54060"/>
    </row>
    <row r="54061" spans="23:23" x14ac:dyDescent="0.55000000000000004">
      <c r="W54061"/>
    </row>
    <row r="54062" spans="23:23" x14ac:dyDescent="0.55000000000000004">
      <c r="W54062"/>
    </row>
    <row r="54063" spans="23:23" x14ac:dyDescent="0.55000000000000004">
      <c r="W54063"/>
    </row>
    <row r="54064" spans="23:23" x14ac:dyDescent="0.55000000000000004">
      <c r="W54064"/>
    </row>
    <row r="54065" spans="23:23" x14ac:dyDescent="0.55000000000000004">
      <c r="W54065"/>
    </row>
    <row r="54066" spans="23:23" x14ac:dyDescent="0.55000000000000004">
      <c r="W54066"/>
    </row>
    <row r="54067" spans="23:23" x14ac:dyDescent="0.55000000000000004">
      <c r="W54067"/>
    </row>
    <row r="54068" spans="23:23" x14ac:dyDescent="0.55000000000000004">
      <c r="W54068"/>
    </row>
    <row r="54069" spans="23:23" x14ac:dyDescent="0.55000000000000004">
      <c r="W54069"/>
    </row>
    <row r="54070" spans="23:23" x14ac:dyDescent="0.55000000000000004">
      <c r="W54070"/>
    </row>
    <row r="54071" spans="23:23" x14ac:dyDescent="0.55000000000000004">
      <c r="W54071"/>
    </row>
    <row r="54072" spans="23:23" x14ac:dyDescent="0.55000000000000004">
      <c r="W54072"/>
    </row>
    <row r="54073" spans="23:23" x14ac:dyDescent="0.55000000000000004">
      <c r="W54073"/>
    </row>
    <row r="54074" spans="23:23" x14ac:dyDescent="0.55000000000000004">
      <c r="W54074"/>
    </row>
    <row r="54075" spans="23:23" x14ac:dyDescent="0.55000000000000004">
      <c r="W54075"/>
    </row>
    <row r="54076" spans="23:23" x14ac:dyDescent="0.55000000000000004">
      <c r="W54076"/>
    </row>
    <row r="54077" spans="23:23" x14ac:dyDescent="0.55000000000000004">
      <c r="W54077"/>
    </row>
    <row r="54078" spans="23:23" x14ac:dyDescent="0.55000000000000004">
      <c r="W54078"/>
    </row>
    <row r="54079" spans="23:23" x14ac:dyDescent="0.55000000000000004">
      <c r="W54079"/>
    </row>
    <row r="54080" spans="23:23" x14ac:dyDescent="0.55000000000000004">
      <c r="W54080"/>
    </row>
    <row r="54081" spans="23:23" x14ac:dyDescent="0.55000000000000004">
      <c r="W54081"/>
    </row>
    <row r="54082" spans="23:23" x14ac:dyDescent="0.55000000000000004">
      <c r="W54082"/>
    </row>
    <row r="54083" spans="23:23" x14ac:dyDescent="0.55000000000000004">
      <c r="W54083"/>
    </row>
    <row r="54084" spans="23:23" x14ac:dyDescent="0.55000000000000004">
      <c r="W54084"/>
    </row>
    <row r="54085" spans="23:23" x14ac:dyDescent="0.55000000000000004">
      <c r="W54085"/>
    </row>
    <row r="54086" spans="23:23" x14ac:dyDescent="0.55000000000000004">
      <c r="W54086"/>
    </row>
    <row r="54087" spans="23:23" x14ac:dyDescent="0.55000000000000004">
      <c r="W54087"/>
    </row>
    <row r="54088" spans="23:23" x14ac:dyDescent="0.55000000000000004">
      <c r="W54088"/>
    </row>
    <row r="54089" spans="23:23" x14ac:dyDescent="0.55000000000000004">
      <c r="W54089"/>
    </row>
    <row r="54090" spans="23:23" x14ac:dyDescent="0.55000000000000004">
      <c r="W54090"/>
    </row>
    <row r="54091" spans="23:23" x14ac:dyDescent="0.55000000000000004">
      <c r="W54091"/>
    </row>
    <row r="54092" spans="23:23" x14ac:dyDescent="0.55000000000000004">
      <c r="W54092"/>
    </row>
    <row r="54093" spans="23:23" x14ac:dyDescent="0.55000000000000004">
      <c r="W54093"/>
    </row>
    <row r="54094" spans="23:23" x14ac:dyDescent="0.55000000000000004">
      <c r="W54094"/>
    </row>
    <row r="54095" spans="23:23" x14ac:dyDescent="0.55000000000000004">
      <c r="W54095"/>
    </row>
    <row r="54096" spans="23:23" x14ac:dyDescent="0.55000000000000004">
      <c r="W54096"/>
    </row>
    <row r="54097" spans="23:23" x14ac:dyDescent="0.55000000000000004">
      <c r="W54097"/>
    </row>
    <row r="54098" spans="23:23" x14ac:dyDescent="0.55000000000000004">
      <c r="W54098"/>
    </row>
    <row r="54099" spans="23:23" x14ac:dyDescent="0.55000000000000004">
      <c r="W54099"/>
    </row>
    <row r="54100" spans="23:23" x14ac:dyDescent="0.55000000000000004">
      <c r="W54100"/>
    </row>
    <row r="54101" spans="23:23" x14ac:dyDescent="0.55000000000000004">
      <c r="W54101"/>
    </row>
    <row r="54102" spans="23:23" x14ac:dyDescent="0.55000000000000004">
      <c r="W54102"/>
    </row>
    <row r="54103" spans="23:23" x14ac:dyDescent="0.55000000000000004">
      <c r="W54103"/>
    </row>
    <row r="54104" spans="23:23" x14ac:dyDescent="0.55000000000000004">
      <c r="W54104"/>
    </row>
    <row r="54105" spans="23:23" x14ac:dyDescent="0.55000000000000004">
      <c r="W54105"/>
    </row>
    <row r="54106" spans="23:23" x14ac:dyDescent="0.55000000000000004">
      <c r="W54106"/>
    </row>
    <row r="54107" spans="23:23" x14ac:dyDescent="0.55000000000000004">
      <c r="W54107"/>
    </row>
    <row r="54108" spans="23:23" x14ac:dyDescent="0.55000000000000004">
      <c r="W54108"/>
    </row>
    <row r="54109" spans="23:23" x14ac:dyDescent="0.55000000000000004">
      <c r="W54109"/>
    </row>
    <row r="54110" spans="23:23" x14ac:dyDescent="0.55000000000000004">
      <c r="W54110"/>
    </row>
    <row r="54111" spans="23:23" x14ac:dyDescent="0.55000000000000004">
      <c r="W54111"/>
    </row>
    <row r="54112" spans="23:23" x14ac:dyDescent="0.55000000000000004">
      <c r="W54112"/>
    </row>
    <row r="54113" spans="23:23" x14ac:dyDescent="0.55000000000000004">
      <c r="W54113"/>
    </row>
    <row r="54114" spans="23:23" x14ac:dyDescent="0.55000000000000004">
      <c r="W54114"/>
    </row>
    <row r="54115" spans="23:23" x14ac:dyDescent="0.55000000000000004">
      <c r="W54115"/>
    </row>
    <row r="54116" spans="23:23" x14ac:dyDescent="0.55000000000000004">
      <c r="W54116"/>
    </row>
    <row r="54117" spans="23:23" x14ac:dyDescent="0.55000000000000004">
      <c r="W54117"/>
    </row>
    <row r="54118" spans="23:23" x14ac:dyDescent="0.55000000000000004">
      <c r="W54118"/>
    </row>
    <row r="54119" spans="23:23" x14ac:dyDescent="0.55000000000000004">
      <c r="W54119"/>
    </row>
    <row r="54120" spans="23:23" x14ac:dyDescent="0.55000000000000004">
      <c r="W54120"/>
    </row>
    <row r="54121" spans="23:23" x14ac:dyDescent="0.55000000000000004">
      <c r="W54121"/>
    </row>
    <row r="54122" spans="23:23" x14ac:dyDescent="0.55000000000000004">
      <c r="W54122"/>
    </row>
    <row r="54123" spans="23:23" x14ac:dyDescent="0.55000000000000004">
      <c r="W54123"/>
    </row>
    <row r="54124" spans="23:23" x14ac:dyDescent="0.55000000000000004">
      <c r="W54124"/>
    </row>
    <row r="54125" spans="23:23" x14ac:dyDescent="0.55000000000000004">
      <c r="W54125"/>
    </row>
    <row r="54126" spans="23:23" x14ac:dyDescent="0.55000000000000004">
      <c r="W54126"/>
    </row>
    <row r="54127" spans="23:23" x14ac:dyDescent="0.55000000000000004">
      <c r="W54127"/>
    </row>
    <row r="54128" spans="23:23" x14ac:dyDescent="0.55000000000000004">
      <c r="W54128"/>
    </row>
    <row r="54129" spans="23:23" x14ac:dyDescent="0.55000000000000004">
      <c r="W54129"/>
    </row>
    <row r="54130" spans="23:23" x14ac:dyDescent="0.55000000000000004">
      <c r="W54130"/>
    </row>
    <row r="54131" spans="23:23" x14ac:dyDescent="0.55000000000000004">
      <c r="W54131"/>
    </row>
    <row r="54132" spans="23:23" x14ac:dyDescent="0.55000000000000004">
      <c r="W54132"/>
    </row>
    <row r="54133" spans="23:23" x14ac:dyDescent="0.55000000000000004">
      <c r="W54133"/>
    </row>
    <row r="54134" spans="23:23" x14ac:dyDescent="0.55000000000000004">
      <c r="W54134"/>
    </row>
    <row r="54135" spans="23:23" x14ac:dyDescent="0.55000000000000004">
      <c r="W54135"/>
    </row>
    <row r="54136" spans="23:23" x14ac:dyDescent="0.55000000000000004">
      <c r="W54136"/>
    </row>
    <row r="54137" spans="23:23" x14ac:dyDescent="0.55000000000000004">
      <c r="W54137"/>
    </row>
    <row r="54138" spans="23:23" x14ac:dyDescent="0.55000000000000004">
      <c r="W54138"/>
    </row>
    <row r="54139" spans="23:23" x14ac:dyDescent="0.55000000000000004">
      <c r="W54139"/>
    </row>
    <row r="54140" spans="23:23" x14ac:dyDescent="0.55000000000000004">
      <c r="W54140"/>
    </row>
    <row r="54141" spans="23:23" x14ac:dyDescent="0.55000000000000004">
      <c r="W54141"/>
    </row>
    <row r="54142" spans="23:23" x14ac:dyDescent="0.55000000000000004">
      <c r="W54142"/>
    </row>
    <row r="54143" spans="23:23" x14ac:dyDescent="0.55000000000000004">
      <c r="W54143"/>
    </row>
    <row r="54144" spans="23:23" x14ac:dyDescent="0.55000000000000004">
      <c r="W54144"/>
    </row>
    <row r="54145" spans="23:23" x14ac:dyDescent="0.55000000000000004">
      <c r="W54145"/>
    </row>
    <row r="54146" spans="23:23" x14ac:dyDescent="0.55000000000000004">
      <c r="W54146"/>
    </row>
    <row r="54147" spans="23:23" x14ac:dyDescent="0.55000000000000004">
      <c r="W54147"/>
    </row>
    <row r="54148" spans="23:23" x14ac:dyDescent="0.55000000000000004">
      <c r="W54148"/>
    </row>
    <row r="54149" spans="23:23" x14ac:dyDescent="0.55000000000000004">
      <c r="W54149"/>
    </row>
    <row r="54150" spans="23:23" x14ac:dyDescent="0.55000000000000004">
      <c r="W54150"/>
    </row>
    <row r="54151" spans="23:23" x14ac:dyDescent="0.55000000000000004">
      <c r="W54151"/>
    </row>
    <row r="54152" spans="23:23" x14ac:dyDescent="0.55000000000000004">
      <c r="W54152"/>
    </row>
    <row r="54153" spans="23:23" x14ac:dyDescent="0.55000000000000004">
      <c r="W54153"/>
    </row>
    <row r="54154" spans="23:23" x14ac:dyDescent="0.55000000000000004">
      <c r="W54154"/>
    </row>
    <row r="54155" spans="23:23" x14ac:dyDescent="0.55000000000000004">
      <c r="W54155"/>
    </row>
    <row r="54156" spans="23:23" x14ac:dyDescent="0.55000000000000004">
      <c r="W54156"/>
    </row>
    <row r="54157" spans="23:23" x14ac:dyDescent="0.55000000000000004">
      <c r="W54157"/>
    </row>
    <row r="54158" spans="23:23" x14ac:dyDescent="0.55000000000000004">
      <c r="W54158"/>
    </row>
    <row r="54159" spans="23:23" x14ac:dyDescent="0.55000000000000004">
      <c r="W54159"/>
    </row>
    <row r="54160" spans="23:23" x14ac:dyDescent="0.55000000000000004">
      <c r="W54160"/>
    </row>
    <row r="54161" spans="23:23" x14ac:dyDescent="0.55000000000000004">
      <c r="W54161"/>
    </row>
    <row r="54162" spans="23:23" x14ac:dyDescent="0.55000000000000004">
      <c r="W54162"/>
    </row>
    <row r="54163" spans="23:23" x14ac:dyDescent="0.55000000000000004">
      <c r="W54163"/>
    </row>
    <row r="54164" spans="23:23" x14ac:dyDescent="0.55000000000000004">
      <c r="W54164"/>
    </row>
    <row r="54165" spans="23:23" x14ac:dyDescent="0.55000000000000004">
      <c r="W54165"/>
    </row>
    <row r="54166" spans="23:23" x14ac:dyDescent="0.55000000000000004">
      <c r="W54166"/>
    </row>
    <row r="54167" spans="23:23" x14ac:dyDescent="0.55000000000000004">
      <c r="W54167"/>
    </row>
    <row r="54168" spans="23:23" x14ac:dyDescent="0.55000000000000004">
      <c r="W54168"/>
    </row>
    <row r="54169" spans="23:23" x14ac:dyDescent="0.55000000000000004">
      <c r="W54169"/>
    </row>
    <row r="54170" spans="23:23" x14ac:dyDescent="0.55000000000000004">
      <c r="W54170"/>
    </row>
    <row r="54171" spans="23:23" x14ac:dyDescent="0.55000000000000004">
      <c r="W54171"/>
    </row>
    <row r="54172" spans="23:23" x14ac:dyDescent="0.55000000000000004">
      <c r="W54172"/>
    </row>
    <row r="54173" spans="23:23" x14ac:dyDescent="0.55000000000000004">
      <c r="W54173"/>
    </row>
    <row r="54174" spans="23:23" x14ac:dyDescent="0.55000000000000004">
      <c r="W54174"/>
    </row>
    <row r="54175" spans="23:23" x14ac:dyDescent="0.55000000000000004">
      <c r="W54175"/>
    </row>
    <row r="54176" spans="23:23" x14ac:dyDescent="0.55000000000000004">
      <c r="W54176"/>
    </row>
    <row r="54177" spans="23:23" x14ac:dyDescent="0.55000000000000004">
      <c r="W54177"/>
    </row>
    <row r="54178" spans="23:23" x14ac:dyDescent="0.55000000000000004">
      <c r="W54178"/>
    </row>
    <row r="54179" spans="23:23" x14ac:dyDescent="0.55000000000000004">
      <c r="W54179"/>
    </row>
    <row r="54180" spans="23:23" x14ac:dyDescent="0.55000000000000004">
      <c r="W54180"/>
    </row>
    <row r="54181" spans="23:23" x14ac:dyDescent="0.55000000000000004">
      <c r="W54181"/>
    </row>
    <row r="54182" spans="23:23" x14ac:dyDescent="0.55000000000000004">
      <c r="W54182"/>
    </row>
    <row r="54183" spans="23:23" x14ac:dyDescent="0.55000000000000004">
      <c r="W54183"/>
    </row>
    <row r="54184" spans="23:23" x14ac:dyDescent="0.55000000000000004">
      <c r="W54184"/>
    </row>
    <row r="54185" spans="23:23" x14ac:dyDescent="0.55000000000000004">
      <c r="W54185"/>
    </row>
    <row r="54186" spans="23:23" x14ac:dyDescent="0.55000000000000004">
      <c r="W54186"/>
    </row>
    <row r="54187" spans="23:23" x14ac:dyDescent="0.55000000000000004">
      <c r="W54187"/>
    </row>
    <row r="54188" spans="23:23" x14ac:dyDescent="0.55000000000000004">
      <c r="W54188"/>
    </row>
    <row r="54189" spans="23:23" x14ac:dyDescent="0.55000000000000004">
      <c r="W54189"/>
    </row>
    <row r="54190" spans="23:23" x14ac:dyDescent="0.55000000000000004">
      <c r="W54190"/>
    </row>
    <row r="54191" spans="23:23" x14ac:dyDescent="0.55000000000000004">
      <c r="W54191"/>
    </row>
    <row r="54192" spans="23:23" x14ac:dyDescent="0.55000000000000004">
      <c r="W54192"/>
    </row>
    <row r="54193" spans="23:23" x14ac:dyDescent="0.55000000000000004">
      <c r="W54193"/>
    </row>
    <row r="54194" spans="23:23" x14ac:dyDescent="0.55000000000000004">
      <c r="W54194"/>
    </row>
    <row r="54195" spans="23:23" x14ac:dyDescent="0.55000000000000004">
      <c r="W54195"/>
    </row>
    <row r="54196" spans="23:23" x14ac:dyDescent="0.55000000000000004">
      <c r="W54196"/>
    </row>
    <row r="54197" spans="23:23" x14ac:dyDescent="0.55000000000000004">
      <c r="W54197"/>
    </row>
    <row r="54198" spans="23:23" x14ac:dyDescent="0.55000000000000004">
      <c r="W54198"/>
    </row>
    <row r="54199" spans="23:23" x14ac:dyDescent="0.55000000000000004">
      <c r="W54199"/>
    </row>
    <row r="54200" spans="23:23" x14ac:dyDescent="0.55000000000000004">
      <c r="W54200"/>
    </row>
    <row r="54201" spans="23:23" x14ac:dyDescent="0.55000000000000004">
      <c r="W54201"/>
    </row>
    <row r="54202" spans="23:23" x14ac:dyDescent="0.55000000000000004">
      <c r="W54202"/>
    </row>
    <row r="54203" spans="23:23" x14ac:dyDescent="0.55000000000000004">
      <c r="W54203"/>
    </row>
    <row r="54204" spans="23:23" x14ac:dyDescent="0.55000000000000004">
      <c r="W54204"/>
    </row>
    <row r="54205" spans="23:23" x14ac:dyDescent="0.55000000000000004">
      <c r="W54205"/>
    </row>
    <row r="54206" spans="23:23" x14ac:dyDescent="0.55000000000000004">
      <c r="W54206"/>
    </row>
    <row r="54207" spans="23:23" x14ac:dyDescent="0.55000000000000004">
      <c r="W54207"/>
    </row>
    <row r="54208" spans="23:23" x14ac:dyDescent="0.55000000000000004">
      <c r="W54208"/>
    </row>
    <row r="54209" spans="23:23" x14ac:dyDescent="0.55000000000000004">
      <c r="W54209"/>
    </row>
    <row r="54210" spans="23:23" x14ac:dyDescent="0.55000000000000004">
      <c r="W54210"/>
    </row>
    <row r="54211" spans="23:23" x14ac:dyDescent="0.55000000000000004">
      <c r="W54211"/>
    </row>
    <row r="54212" spans="23:23" x14ac:dyDescent="0.55000000000000004">
      <c r="W54212"/>
    </row>
    <row r="54213" spans="23:23" x14ac:dyDescent="0.55000000000000004">
      <c r="W54213"/>
    </row>
    <row r="54214" spans="23:23" x14ac:dyDescent="0.55000000000000004">
      <c r="W54214"/>
    </row>
    <row r="54215" spans="23:23" x14ac:dyDescent="0.55000000000000004">
      <c r="W54215"/>
    </row>
    <row r="54216" spans="23:23" x14ac:dyDescent="0.55000000000000004">
      <c r="W54216"/>
    </row>
    <row r="54217" spans="23:23" x14ac:dyDescent="0.55000000000000004">
      <c r="W54217"/>
    </row>
    <row r="54218" spans="23:23" x14ac:dyDescent="0.55000000000000004">
      <c r="W54218"/>
    </row>
    <row r="54219" spans="23:23" x14ac:dyDescent="0.55000000000000004">
      <c r="W54219"/>
    </row>
    <row r="54220" spans="23:23" x14ac:dyDescent="0.55000000000000004">
      <c r="W54220"/>
    </row>
    <row r="54221" spans="23:23" x14ac:dyDescent="0.55000000000000004">
      <c r="W54221"/>
    </row>
    <row r="54222" spans="23:23" x14ac:dyDescent="0.55000000000000004">
      <c r="W54222"/>
    </row>
    <row r="54223" spans="23:23" x14ac:dyDescent="0.55000000000000004">
      <c r="W54223"/>
    </row>
    <row r="54224" spans="23:23" x14ac:dyDescent="0.55000000000000004">
      <c r="W54224"/>
    </row>
    <row r="54225" spans="23:23" x14ac:dyDescent="0.55000000000000004">
      <c r="W54225"/>
    </row>
    <row r="54226" spans="23:23" x14ac:dyDescent="0.55000000000000004">
      <c r="W54226"/>
    </row>
    <row r="54227" spans="23:23" x14ac:dyDescent="0.55000000000000004">
      <c r="W54227"/>
    </row>
    <row r="54228" spans="23:23" x14ac:dyDescent="0.55000000000000004">
      <c r="W54228"/>
    </row>
    <row r="54229" spans="23:23" x14ac:dyDescent="0.55000000000000004">
      <c r="W54229"/>
    </row>
    <row r="54230" spans="23:23" x14ac:dyDescent="0.55000000000000004">
      <c r="W54230"/>
    </row>
    <row r="54231" spans="23:23" x14ac:dyDescent="0.55000000000000004">
      <c r="W54231"/>
    </row>
    <row r="54232" spans="23:23" x14ac:dyDescent="0.55000000000000004">
      <c r="W54232"/>
    </row>
    <row r="54233" spans="23:23" x14ac:dyDescent="0.55000000000000004">
      <c r="W54233"/>
    </row>
    <row r="54234" spans="23:23" x14ac:dyDescent="0.55000000000000004">
      <c r="W54234"/>
    </row>
    <row r="54235" spans="23:23" x14ac:dyDescent="0.55000000000000004">
      <c r="W54235"/>
    </row>
    <row r="54236" spans="23:23" x14ac:dyDescent="0.55000000000000004">
      <c r="W54236"/>
    </row>
    <row r="54237" spans="23:23" x14ac:dyDescent="0.55000000000000004">
      <c r="W54237"/>
    </row>
    <row r="54238" spans="23:23" x14ac:dyDescent="0.55000000000000004">
      <c r="W54238"/>
    </row>
    <row r="54239" spans="23:23" x14ac:dyDescent="0.55000000000000004">
      <c r="W54239"/>
    </row>
    <row r="54240" spans="23:23" x14ac:dyDescent="0.55000000000000004">
      <c r="W54240"/>
    </row>
    <row r="54241" spans="23:23" x14ac:dyDescent="0.55000000000000004">
      <c r="W54241"/>
    </row>
    <row r="54242" spans="23:23" x14ac:dyDescent="0.55000000000000004">
      <c r="W54242"/>
    </row>
    <row r="54243" spans="23:23" x14ac:dyDescent="0.55000000000000004">
      <c r="W54243"/>
    </row>
    <row r="54244" spans="23:23" x14ac:dyDescent="0.55000000000000004">
      <c r="W54244"/>
    </row>
    <row r="54245" spans="23:23" x14ac:dyDescent="0.55000000000000004">
      <c r="W54245"/>
    </row>
    <row r="54246" spans="23:23" x14ac:dyDescent="0.55000000000000004">
      <c r="W54246"/>
    </row>
    <row r="54247" spans="23:23" x14ac:dyDescent="0.55000000000000004">
      <c r="W54247"/>
    </row>
    <row r="54248" spans="23:23" x14ac:dyDescent="0.55000000000000004">
      <c r="W54248"/>
    </row>
    <row r="54249" spans="23:23" x14ac:dyDescent="0.55000000000000004">
      <c r="W54249"/>
    </row>
    <row r="54250" spans="23:23" x14ac:dyDescent="0.55000000000000004">
      <c r="W54250"/>
    </row>
    <row r="54251" spans="23:23" x14ac:dyDescent="0.55000000000000004">
      <c r="W54251"/>
    </row>
    <row r="54252" spans="23:23" x14ac:dyDescent="0.55000000000000004">
      <c r="W54252"/>
    </row>
    <row r="54253" spans="23:23" x14ac:dyDescent="0.55000000000000004">
      <c r="W54253"/>
    </row>
    <row r="54254" spans="23:23" x14ac:dyDescent="0.55000000000000004">
      <c r="W54254"/>
    </row>
    <row r="54255" spans="23:23" x14ac:dyDescent="0.55000000000000004">
      <c r="W54255"/>
    </row>
    <row r="54256" spans="23:23" x14ac:dyDescent="0.55000000000000004">
      <c r="W54256"/>
    </row>
    <row r="54257" spans="23:23" x14ac:dyDescent="0.55000000000000004">
      <c r="W54257"/>
    </row>
    <row r="54258" spans="23:23" x14ac:dyDescent="0.55000000000000004">
      <c r="W54258"/>
    </row>
    <row r="54259" spans="23:23" x14ac:dyDescent="0.55000000000000004">
      <c r="W54259"/>
    </row>
    <row r="54260" spans="23:23" x14ac:dyDescent="0.55000000000000004">
      <c r="W54260"/>
    </row>
    <row r="54261" spans="23:23" x14ac:dyDescent="0.55000000000000004">
      <c r="W54261"/>
    </row>
    <row r="54262" spans="23:23" x14ac:dyDescent="0.55000000000000004">
      <c r="W54262"/>
    </row>
    <row r="54263" spans="23:23" x14ac:dyDescent="0.55000000000000004">
      <c r="W54263"/>
    </row>
    <row r="54264" spans="23:23" x14ac:dyDescent="0.55000000000000004">
      <c r="W54264"/>
    </row>
    <row r="54265" spans="23:23" x14ac:dyDescent="0.55000000000000004">
      <c r="W54265"/>
    </row>
    <row r="54266" spans="23:23" x14ac:dyDescent="0.55000000000000004">
      <c r="W54266"/>
    </row>
    <row r="54267" spans="23:23" x14ac:dyDescent="0.55000000000000004">
      <c r="W54267"/>
    </row>
    <row r="54268" spans="23:23" x14ac:dyDescent="0.55000000000000004">
      <c r="W54268"/>
    </row>
    <row r="54269" spans="23:23" x14ac:dyDescent="0.55000000000000004">
      <c r="W54269"/>
    </row>
    <row r="54270" spans="23:23" x14ac:dyDescent="0.55000000000000004">
      <c r="W54270"/>
    </row>
    <row r="54271" spans="23:23" x14ac:dyDescent="0.55000000000000004">
      <c r="W54271"/>
    </row>
    <row r="54272" spans="23:23" x14ac:dyDescent="0.55000000000000004">
      <c r="W54272"/>
    </row>
    <row r="54273" spans="23:23" x14ac:dyDescent="0.55000000000000004">
      <c r="W54273"/>
    </row>
    <row r="54274" spans="23:23" x14ac:dyDescent="0.55000000000000004">
      <c r="W54274"/>
    </row>
    <row r="54275" spans="23:23" x14ac:dyDescent="0.55000000000000004">
      <c r="W54275"/>
    </row>
    <row r="54276" spans="23:23" x14ac:dyDescent="0.55000000000000004">
      <c r="W54276"/>
    </row>
    <row r="54277" spans="23:23" x14ac:dyDescent="0.55000000000000004">
      <c r="W54277"/>
    </row>
    <row r="54278" spans="23:23" x14ac:dyDescent="0.55000000000000004">
      <c r="W54278"/>
    </row>
    <row r="54279" spans="23:23" x14ac:dyDescent="0.55000000000000004">
      <c r="W54279"/>
    </row>
    <row r="54280" spans="23:23" x14ac:dyDescent="0.55000000000000004">
      <c r="W54280"/>
    </row>
    <row r="54281" spans="23:23" x14ac:dyDescent="0.55000000000000004">
      <c r="W54281"/>
    </row>
    <row r="54282" spans="23:23" x14ac:dyDescent="0.55000000000000004">
      <c r="W54282"/>
    </row>
    <row r="54283" spans="23:23" x14ac:dyDescent="0.55000000000000004">
      <c r="W54283"/>
    </row>
    <row r="54284" spans="23:23" x14ac:dyDescent="0.55000000000000004">
      <c r="W54284"/>
    </row>
    <row r="54285" spans="23:23" x14ac:dyDescent="0.55000000000000004">
      <c r="W54285"/>
    </row>
    <row r="54286" spans="23:23" x14ac:dyDescent="0.55000000000000004">
      <c r="W54286"/>
    </row>
    <row r="54287" spans="23:23" x14ac:dyDescent="0.55000000000000004">
      <c r="W54287"/>
    </row>
    <row r="54288" spans="23:23" x14ac:dyDescent="0.55000000000000004">
      <c r="W54288"/>
    </row>
    <row r="54289" spans="23:23" x14ac:dyDescent="0.55000000000000004">
      <c r="W54289"/>
    </row>
    <row r="54290" spans="23:23" x14ac:dyDescent="0.55000000000000004">
      <c r="W54290"/>
    </row>
    <row r="54291" spans="23:23" x14ac:dyDescent="0.55000000000000004">
      <c r="W54291"/>
    </row>
    <row r="54292" spans="23:23" x14ac:dyDescent="0.55000000000000004">
      <c r="W54292"/>
    </row>
    <row r="54293" spans="23:23" x14ac:dyDescent="0.55000000000000004">
      <c r="W54293"/>
    </row>
    <row r="54294" spans="23:23" x14ac:dyDescent="0.55000000000000004">
      <c r="W54294"/>
    </row>
    <row r="54295" spans="23:23" x14ac:dyDescent="0.55000000000000004">
      <c r="W54295"/>
    </row>
    <row r="54296" spans="23:23" x14ac:dyDescent="0.55000000000000004">
      <c r="W54296"/>
    </row>
    <row r="54297" spans="23:23" x14ac:dyDescent="0.55000000000000004">
      <c r="W54297"/>
    </row>
    <row r="54298" spans="23:23" x14ac:dyDescent="0.55000000000000004">
      <c r="W54298"/>
    </row>
    <row r="54299" spans="23:23" x14ac:dyDescent="0.55000000000000004">
      <c r="W54299"/>
    </row>
    <row r="54300" spans="23:23" x14ac:dyDescent="0.55000000000000004">
      <c r="W54300"/>
    </row>
    <row r="54301" spans="23:23" x14ac:dyDescent="0.55000000000000004">
      <c r="W54301"/>
    </row>
    <row r="54302" spans="23:23" x14ac:dyDescent="0.55000000000000004">
      <c r="W54302"/>
    </row>
    <row r="54303" spans="23:23" x14ac:dyDescent="0.55000000000000004">
      <c r="W54303"/>
    </row>
    <row r="54304" spans="23:23" x14ac:dyDescent="0.55000000000000004">
      <c r="W54304"/>
    </row>
    <row r="54305" spans="23:23" x14ac:dyDescent="0.55000000000000004">
      <c r="W54305"/>
    </row>
    <row r="54306" spans="23:23" x14ac:dyDescent="0.55000000000000004">
      <c r="W54306"/>
    </row>
    <row r="54307" spans="23:23" x14ac:dyDescent="0.55000000000000004">
      <c r="W54307"/>
    </row>
    <row r="54308" spans="23:23" x14ac:dyDescent="0.55000000000000004">
      <c r="W54308"/>
    </row>
    <row r="54309" spans="23:23" x14ac:dyDescent="0.55000000000000004">
      <c r="W54309"/>
    </row>
    <row r="54310" spans="23:23" x14ac:dyDescent="0.55000000000000004">
      <c r="W54310"/>
    </row>
    <row r="54311" spans="23:23" x14ac:dyDescent="0.55000000000000004">
      <c r="W54311"/>
    </row>
    <row r="54312" spans="23:23" x14ac:dyDescent="0.55000000000000004">
      <c r="W54312"/>
    </row>
    <row r="54313" spans="23:23" x14ac:dyDescent="0.55000000000000004">
      <c r="W54313"/>
    </row>
    <row r="54314" spans="23:23" x14ac:dyDescent="0.55000000000000004">
      <c r="W54314"/>
    </row>
    <row r="54315" spans="23:23" x14ac:dyDescent="0.55000000000000004">
      <c r="W54315"/>
    </row>
    <row r="54316" spans="23:23" x14ac:dyDescent="0.55000000000000004">
      <c r="W54316"/>
    </row>
    <row r="54317" spans="23:23" x14ac:dyDescent="0.55000000000000004">
      <c r="W54317"/>
    </row>
    <row r="54318" spans="23:23" x14ac:dyDescent="0.55000000000000004">
      <c r="W54318"/>
    </row>
    <row r="54319" spans="23:23" x14ac:dyDescent="0.55000000000000004">
      <c r="W54319"/>
    </row>
    <row r="54320" spans="23:23" x14ac:dyDescent="0.55000000000000004">
      <c r="W54320"/>
    </row>
    <row r="54321" spans="23:23" x14ac:dyDescent="0.55000000000000004">
      <c r="W54321"/>
    </row>
    <row r="54322" spans="23:23" x14ac:dyDescent="0.55000000000000004">
      <c r="W54322"/>
    </row>
    <row r="54323" spans="23:23" x14ac:dyDescent="0.55000000000000004">
      <c r="W54323"/>
    </row>
    <row r="54324" spans="23:23" x14ac:dyDescent="0.55000000000000004">
      <c r="W54324"/>
    </row>
    <row r="54325" spans="23:23" x14ac:dyDescent="0.55000000000000004">
      <c r="W54325"/>
    </row>
    <row r="54326" spans="23:23" x14ac:dyDescent="0.55000000000000004">
      <c r="W54326"/>
    </row>
    <row r="54327" spans="23:23" x14ac:dyDescent="0.55000000000000004">
      <c r="W54327"/>
    </row>
    <row r="54328" spans="23:23" x14ac:dyDescent="0.55000000000000004">
      <c r="W54328"/>
    </row>
    <row r="54329" spans="23:23" x14ac:dyDescent="0.55000000000000004">
      <c r="W54329"/>
    </row>
    <row r="54330" spans="23:23" x14ac:dyDescent="0.55000000000000004">
      <c r="W54330"/>
    </row>
    <row r="54331" spans="23:23" x14ac:dyDescent="0.55000000000000004">
      <c r="W54331"/>
    </row>
    <row r="54332" spans="23:23" x14ac:dyDescent="0.55000000000000004">
      <c r="W54332"/>
    </row>
    <row r="54333" spans="23:23" x14ac:dyDescent="0.55000000000000004">
      <c r="W54333"/>
    </row>
    <row r="54334" spans="23:23" x14ac:dyDescent="0.55000000000000004">
      <c r="W54334"/>
    </row>
    <row r="54335" spans="23:23" x14ac:dyDescent="0.55000000000000004">
      <c r="W54335"/>
    </row>
    <row r="54336" spans="23:23" x14ac:dyDescent="0.55000000000000004">
      <c r="W54336"/>
    </row>
    <row r="54337" spans="23:23" x14ac:dyDescent="0.55000000000000004">
      <c r="W54337"/>
    </row>
    <row r="54338" spans="23:23" x14ac:dyDescent="0.55000000000000004">
      <c r="W54338"/>
    </row>
    <row r="54339" spans="23:23" x14ac:dyDescent="0.55000000000000004">
      <c r="W54339"/>
    </row>
    <row r="54340" spans="23:23" x14ac:dyDescent="0.55000000000000004">
      <c r="W54340"/>
    </row>
    <row r="54341" spans="23:23" x14ac:dyDescent="0.55000000000000004">
      <c r="W54341"/>
    </row>
    <row r="54342" spans="23:23" x14ac:dyDescent="0.55000000000000004">
      <c r="W54342"/>
    </row>
    <row r="54343" spans="23:23" x14ac:dyDescent="0.55000000000000004">
      <c r="W54343"/>
    </row>
    <row r="54344" spans="23:23" x14ac:dyDescent="0.55000000000000004">
      <c r="W54344"/>
    </row>
    <row r="54345" spans="23:23" x14ac:dyDescent="0.55000000000000004">
      <c r="W54345"/>
    </row>
    <row r="54346" spans="23:23" x14ac:dyDescent="0.55000000000000004">
      <c r="W54346"/>
    </row>
    <row r="54347" spans="23:23" x14ac:dyDescent="0.55000000000000004">
      <c r="W54347"/>
    </row>
    <row r="54348" spans="23:23" x14ac:dyDescent="0.55000000000000004">
      <c r="W54348"/>
    </row>
    <row r="54349" spans="23:23" x14ac:dyDescent="0.55000000000000004">
      <c r="W54349"/>
    </row>
    <row r="54350" spans="23:23" x14ac:dyDescent="0.55000000000000004">
      <c r="W54350"/>
    </row>
    <row r="54351" spans="23:23" x14ac:dyDescent="0.55000000000000004">
      <c r="W54351"/>
    </row>
    <row r="54352" spans="23:23" x14ac:dyDescent="0.55000000000000004">
      <c r="W54352"/>
    </row>
    <row r="54353" spans="23:23" x14ac:dyDescent="0.55000000000000004">
      <c r="W54353"/>
    </row>
    <row r="54354" spans="23:23" x14ac:dyDescent="0.55000000000000004">
      <c r="W54354"/>
    </row>
    <row r="54355" spans="23:23" x14ac:dyDescent="0.55000000000000004">
      <c r="W54355"/>
    </row>
    <row r="54356" spans="23:23" x14ac:dyDescent="0.55000000000000004">
      <c r="W54356"/>
    </row>
    <row r="54357" spans="23:23" x14ac:dyDescent="0.55000000000000004">
      <c r="W54357"/>
    </row>
    <row r="54358" spans="23:23" x14ac:dyDescent="0.55000000000000004">
      <c r="W54358"/>
    </row>
    <row r="54359" spans="23:23" x14ac:dyDescent="0.55000000000000004">
      <c r="W54359"/>
    </row>
    <row r="54360" spans="23:23" x14ac:dyDescent="0.55000000000000004">
      <c r="W54360"/>
    </row>
    <row r="54361" spans="23:23" x14ac:dyDescent="0.55000000000000004">
      <c r="W54361"/>
    </row>
    <row r="54362" spans="23:23" x14ac:dyDescent="0.55000000000000004">
      <c r="W54362"/>
    </row>
    <row r="54363" spans="23:23" x14ac:dyDescent="0.55000000000000004">
      <c r="W54363"/>
    </row>
    <row r="54364" spans="23:23" x14ac:dyDescent="0.55000000000000004">
      <c r="W54364"/>
    </row>
    <row r="54365" spans="23:23" x14ac:dyDescent="0.55000000000000004">
      <c r="W54365"/>
    </row>
    <row r="54366" spans="23:23" x14ac:dyDescent="0.55000000000000004">
      <c r="W54366"/>
    </row>
    <row r="54367" spans="23:23" x14ac:dyDescent="0.55000000000000004">
      <c r="W54367"/>
    </row>
    <row r="54368" spans="23:23" x14ac:dyDescent="0.55000000000000004">
      <c r="W54368"/>
    </row>
    <row r="54369" spans="23:23" x14ac:dyDescent="0.55000000000000004">
      <c r="W54369"/>
    </row>
    <row r="54370" spans="23:23" x14ac:dyDescent="0.55000000000000004">
      <c r="W54370"/>
    </row>
    <row r="54371" spans="23:23" x14ac:dyDescent="0.55000000000000004">
      <c r="W54371"/>
    </row>
    <row r="54372" spans="23:23" x14ac:dyDescent="0.55000000000000004">
      <c r="W54372"/>
    </row>
    <row r="54373" spans="23:23" x14ac:dyDescent="0.55000000000000004">
      <c r="W54373"/>
    </row>
    <row r="54374" spans="23:23" x14ac:dyDescent="0.55000000000000004">
      <c r="W54374"/>
    </row>
    <row r="54375" spans="23:23" x14ac:dyDescent="0.55000000000000004">
      <c r="W54375"/>
    </row>
    <row r="54376" spans="23:23" x14ac:dyDescent="0.55000000000000004">
      <c r="W54376"/>
    </row>
    <row r="54377" spans="23:23" x14ac:dyDescent="0.55000000000000004">
      <c r="W54377"/>
    </row>
    <row r="54378" spans="23:23" x14ac:dyDescent="0.55000000000000004">
      <c r="W54378"/>
    </row>
    <row r="54379" spans="23:23" x14ac:dyDescent="0.55000000000000004">
      <c r="W54379"/>
    </row>
    <row r="54380" spans="23:23" x14ac:dyDescent="0.55000000000000004">
      <c r="W54380"/>
    </row>
    <row r="54381" spans="23:23" x14ac:dyDescent="0.55000000000000004">
      <c r="W54381"/>
    </row>
    <row r="54382" spans="23:23" x14ac:dyDescent="0.55000000000000004">
      <c r="W54382"/>
    </row>
    <row r="54383" spans="23:23" x14ac:dyDescent="0.55000000000000004">
      <c r="W54383"/>
    </row>
    <row r="54384" spans="23:23" x14ac:dyDescent="0.55000000000000004">
      <c r="W54384"/>
    </row>
    <row r="54385" spans="23:23" x14ac:dyDescent="0.55000000000000004">
      <c r="W54385"/>
    </row>
    <row r="54386" spans="23:23" x14ac:dyDescent="0.55000000000000004">
      <c r="W54386"/>
    </row>
    <row r="54387" spans="23:23" x14ac:dyDescent="0.55000000000000004">
      <c r="W54387"/>
    </row>
    <row r="54388" spans="23:23" x14ac:dyDescent="0.55000000000000004">
      <c r="W54388"/>
    </row>
    <row r="54389" spans="23:23" x14ac:dyDescent="0.55000000000000004">
      <c r="W54389"/>
    </row>
    <row r="54390" spans="23:23" x14ac:dyDescent="0.55000000000000004">
      <c r="W54390"/>
    </row>
    <row r="54391" spans="23:23" x14ac:dyDescent="0.55000000000000004">
      <c r="W54391"/>
    </row>
    <row r="54392" spans="23:23" x14ac:dyDescent="0.55000000000000004">
      <c r="W54392"/>
    </row>
    <row r="54393" spans="23:23" x14ac:dyDescent="0.55000000000000004">
      <c r="W54393"/>
    </row>
    <row r="54394" spans="23:23" x14ac:dyDescent="0.55000000000000004">
      <c r="W54394"/>
    </row>
    <row r="54395" spans="23:23" x14ac:dyDescent="0.55000000000000004">
      <c r="W54395"/>
    </row>
    <row r="54396" spans="23:23" x14ac:dyDescent="0.55000000000000004">
      <c r="W54396"/>
    </row>
    <row r="54397" spans="23:23" x14ac:dyDescent="0.55000000000000004">
      <c r="W54397"/>
    </row>
    <row r="54398" spans="23:23" x14ac:dyDescent="0.55000000000000004">
      <c r="W54398"/>
    </row>
    <row r="54399" spans="23:23" x14ac:dyDescent="0.55000000000000004">
      <c r="W54399"/>
    </row>
    <row r="54400" spans="23:23" x14ac:dyDescent="0.55000000000000004">
      <c r="W54400"/>
    </row>
    <row r="54401" spans="23:23" x14ac:dyDescent="0.55000000000000004">
      <c r="W54401"/>
    </row>
    <row r="54402" spans="23:23" x14ac:dyDescent="0.55000000000000004">
      <c r="W54402"/>
    </row>
    <row r="54403" spans="23:23" x14ac:dyDescent="0.55000000000000004">
      <c r="W54403"/>
    </row>
    <row r="54404" spans="23:23" x14ac:dyDescent="0.55000000000000004">
      <c r="W54404"/>
    </row>
    <row r="54405" spans="23:23" x14ac:dyDescent="0.55000000000000004">
      <c r="W54405"/>
    </row>
    <row r="54406" spans="23:23" x14ac:dyDescent="0.55000000000000004">
      <c r="W54406"/>
    </row>
    <row r="54407" spans="23:23" x14ac:dyDescent="0.55000000000000004">
      <c r="W54407"/>
    </row>
    <row r="54408" spans="23:23" x14ac:dyDescent="0.55000000000000004">
      <c r="W54408"/>
    </row>
    <row r="54409" spans="23:23" x14ac:dyDescent="0.55000000000000004">
      <c r="W54409"/>
    </row>
    <row r="54410" spans="23:23" x14ac:dyDescent="0.55000000000000004">
      <c r="W54410"/>
    </row>
    <row r="54411" spans="23:23" x14ac:dyDescent="0.55000000000000004">
      <c r="W54411"/>
    </row>
    <row r="54412" spans="23:23" x14ac:dyDescent="0.55000000000000004">
      <c r="W54412"/>
    </row>
    <row r="54413" spans="23:23" x14ac:dyDescent="0.55000000000000004">
      <c r="W54413"/>
    </row>
    <row r="54414" spans="23:23" x14ac:dyDescent="0.55000000000000004">
      <c r="W54414"/>
    </row>
    <row r="54415" spans="23:23" x14ac:dyDescent="0.55000000000000004">
      <c r="W54415"/>
    </row>
    <row r="54416" spans="23:23" x14ac:dyDescent="0.55000000000000004">
      <c r="W54416"/>
    </row>
    <row r="54417" spans="23:23" x14ac:dyDescent="0.55000000000000004">
      <c r="W54417"/>
    </row>
    <row r="54418" spans="23:23" x14ac:dyDescent="0.55000000000000004">
      <c r="W54418"/>
    </row>
    <row r="54419" spans="23:23" x14ac:dyDescent="0.55000000000000004">
      <c r="W54419"/>
    </row>
    <row r="54420" spans="23:23" x14ac:dyDescent="0.55000000000000004">
      <c r="W54420"/>
    </row>
    <row r="54421" spans="23:23" x14ac:dyDescent="0.55000000000000004">
      <c r="W54421"/>
    </row>
    <row r="54422" spans="23:23" x14ac:dyDescent="0.55000000000000004">
      <c r="W54422"/>
    </row>
    <row r="54423" spans="23:23" x14ac:dyDescent="0.55000000000000004">
      <c r="W54423"/>
    </row>
    <row r="54424" spans="23:23" x14ac:dyDescent="0.55000000000000004">
      <c r="W54424"/>
    </row>
    <row r="54425" spans="23:23" x14ac:dyDescent="0.55000000000000004">
      <c r="W54425"/>
    </row>
    <row r="54426" spans="23:23" x14ac:dyDescent="0.55000000000000004">
      <c r="W54426"/>
    </row>
    <row r="54427" spans="23:23" x14ac:dyDescent="0.55000000000000004">
      <c r="W54427"/>
    </row>
    <row r="54428" spans="23:23" x14ac:dyDescent="0.55000000000000004">
      <c r="W54428"/>
    </row>
    <row r="54429" spans="23:23" x14ac:dyDescent="0.55000000000000004">
      <c r="W54429"/>
    </row>
    <row r="54430" spans="23:23" x14ac:dyDescent="0.55000000000000004">
      <c r="W54430"/>
    </row>
    <row r="54431" spans="23:23" x14ac:dyDescent="0.55000000000000004">
      <c r="W54431"/>
    </row>
    <row r="54432" spans="23:23" x14ac:dyDescent="0.55000000000000004">
      <c r="W54432"/>
    </row>
    <row r="54433" spans="23:23" x14ac:dyDescent="0.55000000000000004">
      <c r="W54433"/>
    </row>
    <row r="54434" spans="23:23" x14ac:dyDescent="0.55000000000000004">
      <c r="W54434"/>
    </row>
    <row r="54435" spans="23:23" x14ac:dyDescent="0.55000000000000004">
      <c r="W54435"/>
    </row>
    <row r="54436" spans="23:23" x14ac:dyDescent="0.55000000000000004">
      <c r="W54436"/>
    </row>
    <row r="54437" spans="23:23" x14ac:dyDescent="0.55000000000000004">
      <c r="W54437"/>
    </row>
    <row r="54438" spans="23:23" x14ac:dyDescent="0.55000000000000004">
      <c r="W54438"/>
    </row>
    <row r="54439" spans="23:23" x14ac:dyDescent="0.55000000000000004">
      <c r="W54439"/>
    </row>
    <row r="54440" spans="23:23" x14ac:dyDescent="0.55000000000000004">
      <c r="W54440"/>
    </row>
    <row r="54441" spans="23:23" x14ac:dyDescent="0.55000000000000004">
      <c r="W54441"/>
    </row>
    <row r="54442" spans="23:23" x14ac:dyDescent="0.55000000000000004">
      <c r="W54442"/>
    </row>
    <row r="54443" spans="23:23" x14ac:dyDescent="0.55000000000000004">
      <c r="W54443"/>
    </row>
    <row r="54444" spans="23:23" x14ac:dyDescent="0.55000000000000004">
      <c r="W54444"/>
    </row>
    <row r="54445" spans="23:23" x14ac:dyDescent="0.55000000000000004">
      <c r="W54445"/>
    </row>
    <row r="54446" spans="23:23" x14ac:dyDescent="0.55000000000000004">
      <c r="W54446"/>
    </row>
    <row r="54447" spans="23:23" x14ac:dyDescent="0.55000000000000004">
      <c r="W54447"/>
    </row>
    <row r="54448" spans="23:23" x14ac:dyDescent="0.55000000000000004">
      <c r="W54448"/>
    </row>
    <row r="54449" spans="23:23" x14ac:dyDescent="0.55000000000000004">
      <c r="W54449"/>
    </row>
    <row r="54450" spans="23:23" x14ac:dyDescent="0.55000000000000004">
      <c r="W54450"/>
    </row>
    <row r="54451" spans="23:23" x14ac:dyDescent="0.55000000000000004">
      <c r="W54451"/>
    </row>
    <row r="54452" spans="23:23" x14ac:dyDescent="0.55000000000000004">
      <c r="W54452"/>
    </row>
    <row r="54453" spans="23:23" x14ac:dyDescent="0.55000000000000004">
      <c r="W54453"/>
    </row>
    <row r="54454" spans="23:23" x14ac:dyDescent="0.55000000000000004">
      <c r="W54454"/>
    </row>
    <row r="54455" spans="23:23" x14ac:dyDescent="0.55000000000000004">
      <c r="W54455"/>
    </row>
    <row r="54456" spans="23:23" x14ac:dyDescent="0.55000000000000004">
      <c r="W54456"/>
    </row>
    <row r="54457" spans="23:23" x14ac:dyDescent="0.55000000000000004">
      <c r="W54457"/>
    </row>
    <row r="54458" spans="23:23" x14ac:dyDescent="0.55000000000000004">
      <c r="W54458"/>
    </row>
    <row r="54459" spans="23:23" x14ac:dyDescent="0.55000000000000004">
      <c r="W54459"/>
    </row>
    <row r="54460" spans="23:23" x14ac:dyDescent="0.55000000000000004">
      <c r="W54460"/>
    </row>
    <row r="54461" spans="23:23" x14ac:dyDescent="0.55000000000000004">
      <c r="W54461"/>
    </row>
    <row r="54462" spans="23:23" x14ac:dyDescent="0.55000000000000004">
      <c r="W54462"/>
    </row>
    <row r="54463" spans="23:23" x14ac:dyDescent="0.55000000000000004">
      <c r="W54463"/>
    </row>
    <row r="54464" spans="23:23" x14ac:dyDescent="0.55000000000000004">
      <c r="W54464"/>
    </row>
    <row r="54465" spans="23:23" x14ac:dyDescent="0.55000000000000004">
      <c r="W54465"/>
    </row>
    <row r="54466" spans="23:23" x14ac:dyDescent="0.55000000000000004">
      <c r="W54466"/>
    </row>
    <row r="54467" spans="23:23" x14ac:dyDescent="0.55000000000000004">
      <c r="W54467"/>
    </row>
    <row r="54468" spans="23:23" x14ac:dyDescent="0.55000000000000004">
      <c r="W54468"/>
    </row>
    <row r="54469" spans="23:23" x14ac:dyDescent="0.55000000000000004">
      <c r="W54469"/>
    </row>
    <row r="54470" spans="23:23" x14ac:dyDescent="0.55000000000000004">
      <c r="W54470"/>
    </row>
    <row r="54471" spans="23:23" x14ac:dyDescent="0.55000000000000004">
      <c r="W54471"/>
    </row>
    <row r="54472" spans="23:23" x14ac:dyDescent="0.55000000000000004">
      <c r="W54472"/>
    </row>
    <row r="54473" spans="23:23" x14ac:dyDescent="0.55000000000000004">
      <c r="W54473"/>
    </row>
    <row r="54474" spans="23:23" x14ac:dyDescent="0.55000000000000004">
      <c r="W54474"/>
    </row>
    <row r="54475" spans="23:23" x14ac:dyDescent="0.55000000000000004">
      <c r="W54475"/>
    </row>
    <row r="54476" spans="23:23" x14ac:dyDescent="0.55000000000000004">
      <c r="W54476"/>
    </row>
    <row r="54477" spans="23:23" x14ac:dyDescent="0.55000000000000004">
      <c r="W54477"/>
    </row>
    <row r="54478" spans="23:23" x14ac:dyDescent="0.55000000000000004">
      <c r="W54478"/>
    </row>
    <row r="54479" spans="23:23" x14ac:dyDescent="0.55000000000000004">
      <c r="W54479"/>
    </row>
    <row r="54480" spans="23:23" x14ac:dyDescent="0.55000000000000004">
      <c r="W54480"/>
    </row>
    <row r="54481" spans="23:23" x14ac:dyDescent="0.55000000000000004">
      <c r="W54481"/>
    </row>
    <row r="54482" spans="23:23" x14ac:dyDescent="0.55000000000000004">
      <c r="W54482"/>
    </row>
    <row r="54483" spans="23:23" x14ac:dyDescent="0.55000000000000004">
      <c r="W54483"/>
    </row>
    <row r="54484" spans="23:23" x14ac:dyDescent="0.55000000000000004">
      <c r="W54484"/>
    </row>
    <row r="54485" spans="23:23" x14ac:dyDescent="0.55000000000000004">
      <c r="W54485"/>
    </row>
    <row r="54486" spans="23:23" x14ac:dyDescent="0.55000000000000004">
      <c r="W54486"/>
    </row>
    <row r="54487" spans="23:23" x14ac:dyDescent="0.55000000000000004">
      <c r="W54487"/>
    </row>
    <row r="54488" spans="23:23" x14ac:dyDescent="0.55000000000000004">
      <c r="W54488"/>
    </row>
    <row r="54489" spans="23:23" x14ac:dyDescent="0.55000000000000004">
      <c r="W54489"/>
    </row>
    <row r="54490" spans="23:23" x14ac:dyDescent="0.55000000000000004">
      <c r="W54490"/>
    </row>
    <row r="54491" spans="23:23" x14ac:dyDescent="0.55000000000000004">
      <c r="W54491"/>
    </row>
    <row r="54492" spans="23:23" x14ac:dyDescent="0.55000000000000004">
      <c r="W54492"/>
    </row>
    <row r="54493" spans="23:23" x14ac:dyDescent="0.55000000000000004">
      <c r="W54493"/>
    </row>
    <row r="54494" spans="23:23" x14ac:dyDescent="0.55000000000000004">
      <c r="W54494"/>
    </row>
    <row r="54495" spans="23:23" x14ac:dyDescent="0.55000000000000004">
      <c r="W54495"/>
    </row>
    <row r="54496" spans="23:23" x14ac:dyDescent="0.55000000000000004">
      <c r="W54496"/>
    </row>
    <row r="54497" spans="23:23" x14ac:dyDescent="0.55000000000000004">
      <c r="W54497"/>
    </row>
    <row r="54498" spans="23:23" x14ac:dyDescent="0.55000000000000004">
      <c r="W54498"/>
    </row>
    <row r="54499" spans="23:23" x14ac:dyDescent="0.55000000000000004">
      <c r="W54499"/>
    </row>
    <row r="54500" spans="23:23" x14ac:dyDescent="0.55000000000000004">
      <c r="W54500"/>
    </row>
    <row r="54501" spans="23:23" x14ac:dyDescent="0.55000000000000004">
      <c r="W54501"/>
    </row>
    <row r="54502" spans="23:23" x14ac:dyDescent="0.55000000000000004">
      <c r="W54502"/>
    </row>
    <row r="54503" spans="23:23" x14ac:dyDescent="0.55000000000000004">
      <c r="W54503"/>
    </row>
    <row r="54504" spans="23:23" x14ac:dyDescent="0.55000000000000004">
      <c r="W54504"/>
    </row>
    <row r="54505" spans="23:23" x14ac:dyDescent="0.55000000000000004">
      <c r="W54505"/>
    </row>
    <row r="54506" spans="23:23" x14ac:dyDescent="0.55000000000000004">
      <c r="W54506"/>
    </row>
    <row r="54507" spans="23:23" x14ac:dyDescent="0.55000000000000004">
      <c r="W54507"/>
    </row>
    <row r="54508" spans="23:23" x14ac:dyDescent="0.55000000000000004">
      <c r="W54508"/>
    </row>
    <row r="54509" spans="23:23" x14ac:dyDescent="0.55000000000000004">
      <c r="W54509"/>
    </row>
    <row r="54510" spans="23:23" x14ac:dyDescent="0.55000000000000004">
      <c r="W54510"/>
    </row>
    <row r="54511" spans="23:23" x14ac:dyDescent="0.55000000000000004">
      <c r="W54511"/>
    </row>
    <row r="54512" spans="23:23" x14ac:dyDescent="0.55000000000000004">
      <c r="W54512"/>
    </row>
    <row r="54513" spans="23:23" x14ac:dyDescent="0.55000000000000004">
      <c r="W54513"/>
    </row>
    <row r="54514" spans="23:23" x14ac:dyDescent="0.55000000000000004">
      <c r="W54514"/>
    </row>
    <row r="54515" spans="23:23" x14ac:dyDescent="0.55000000000000004">
      <c r="W54515"/>
    </row>
    <row r="54516" spans="23:23" x14ac:dyDescent="0.55000000000000004">
      <c r="W54516"/>
    </row>
    <row r="54517" spans="23:23" x14ac:dyDescent="0.55000000000000004">
      <c r="W54517"/>
    </row>
    <row r="54518" spans="23:23" x14ac:dyDescent="0.55000000000000004">
      <c r="W54518"/>
    </row>
    <row r="54519" spans="23:23" x14ac:dyDescent="0.55000000000000004">
      <c r="W54519"/>
    </row>
    <row r="54520" spans="23:23" x14ac:dyDescent="0.55000000000000004">
      <c r="W54520"/>
    </row>
    <row r="54521" spans="23:23" x14ac:dyDescent="0.55000000000000004">
      <c r="W54521"/>
    </row>
    <row r="54522" spans="23:23" x14ac:dyDescent="0.55000000000000004">
      <c r="W54522"/>
    </row>
    <row r="54523" spans="23:23" x14ac:dyDescent="0.55000000000000004">
      <c r="W54523"/>
    </row>
    <row r="54524" spans="23:23" x14ac:dyDescent="0.55000000000000004">
      <c r="W54524"/>
    </row>
    <row r="54525" spans="23:23" x14ac:dyDescent="0.55000000000000004">
      <c r="W54525"/>
    </row>
    <row r="54526" spans="23:23" x14ac:dyDescent="0.55000000000000004">
      <c r="W54526"/>
    </row>
    <row r="54527" spans="23:23" x14ac:dyDescent="0.55000000000000004">
      <c r="W54527"/>
    </row>
    <row r="54528" spans="23:23" x14ac:dyDescent="0.55000000000000004">
      <c r="W54528"/>
    </row>
    <row r="54529" spans="23:23" x14ac:dyDescent="0.55000000000000004">
      <c r="W54529"/>
    </row>
    <row r="54530" spans="23:23" x14ac:dyDescent="0.55000000000000004">
      <c r="W54530"/>
    </row>
    <row r="54531" spans="23:23" x14ac:dyDescent="0.55000000000000004">
      <c r="W54531"/>
    </row>
    <row r="54532" spans="23:23" x14ac:dyDescent="0.55000000000000004">
      <c r="W54532"/>
    </row>
    <row r="54533" spans="23:23" x14ac:dyDescent="0.55000000000000004">
      <c r="W54533"/>
    </row>
    <row r="54534" spans="23:23" x14ac:dyDescent="0.55000000000000004">
      <c r="W54534"/>
    </row>
    <row r="54535" spans="23:23" x14ac:dyDescent="0.55000000000000004">
      <c r="W54535"/>
    </row>
    <row r="54536" spans="23:23" x14ac:dyDescent="0.55000000000000004">
      <c r="W54536"/>
    </row>
    <row r="54537" spans="23:23" x14ac:dyDescent="0.55000000000000004">
      <c r="W54537"/>
    </row>
    <row r="54538" spans="23:23" x14ac:dyDescent="0.55000000000000004">
      <c r="W54538"/>
    </row>
    <row r="54539" spans="23:23" x14ac:dyDescent="0.55000000000000004">
      <c r="W54539"/>
    </row>
    <row r="54540" spans="23:23" x14ac:dyDescent="0.55000000000000004">
      <c r="W54540"/>
    </row>
    <row r="54541" spans="23:23" x14ac:dyDescent="0.55000000000000004">
      <c r="W54541"/>
    </row>
    <row r="54542" spans="23:23" x14ac:dyDescent="0.55000000000000004">
      <c r="W54542"/>
    </row>
    <row r="54543" spans="23:23" x14ac:dyDescent="0.55000000000000004">
      <c r="W54543"/>
    </row>
    <row r="54544" spans="23:23" x14ac:dyDescent="0.55000000000000004">
      <c r="W54544"/>
    </row>
    <row r="54545" spans="23:23" x14ac:dyDescent="0.55000000000000004">
      <c r="W54545"/>
    </row>
    <row r="54546" spans="23:23" x14ac:dyDescent="0.55000000000000004">
      <c r="W54546"/>
    </row>
    <row r="54547" spans="23:23" x14ac:dyDescent="0.55000000000000004">
      <c r="W54547"/>
    </row>
    <row r="54548" spans="23:23" x14ac:dyDescent="0.55000000000000004">
      <c r="W54548"/>
    </row>
    <row r="54549" spans="23:23" x14ac:dyDescent="0.55000000000000004">
      <c r="W54549"/>
    </row>
    <row r="54550" spans="23:23" x14ac:dyDescent="0.55000000000000004">
      <c r="W54550"/>
    </row>
    <row r="54551" spans="23:23" x14ac:dyDescent="0.55000000000000004">
      <c r="W54551"/>
    </row>
    <row r="54552" spans="23:23" x14ac:dyDescent="0.55000000000000004">
      <c r="W54552"/>
    </row>
    <row r="54553" spans="23:23" x14ac:dyDescent="0.55000000000000004">
      <c r="W54553"/>
    </row>
    <row r="54554" spans="23:23" x14ac:dyDescent="0.55000000000000004">
      <c r="W54554"/>
    </row>
    <row r="54555" spans="23:23" x14ac:dyDescent="0.55000000000000004">
      <c r="W54555"/>
    </row>
    <row r="54556" spans="23:23" x14ac:dyDescent="0.55000000000000004">
      <c r="W54556"/>
    </row>
    <row r="54557" spans="23:23" x14ac:dyDescent="0.55000000000000004">
      <c r="W54557"/>
    </row>
    <row r="54558" spans="23:23" x14ac:dyDescent="0.55000000000000004">
      <c r="W54558"/>
    </row>
    <row r="54559" spans="23:23" x14ac:dyDescent="0.55000000000000004">
      <c r="W54559"/>
    </row>
    <row r="54560" spans="23:23" x14ac:dyDescent="0.55000000000000004">
      <c r="W54560"/>
    </row>
    <row r="54561" spans="23:23" x14ac:dyDescent="0.55000000000000004">
      <c r="W54561"/>
    </row>
    <row r="54562" spans="23:23" x14ac:dyDescent="0.55000000000000004">
      <c r="W54562"/>
    </row>
    <row r="54563" spans="23:23" x14ac:dyDescent="0.55000000000000004">
      <c r="W54563"/>
    </row>
    <row r="54564" spans="23:23" x14ac:dyDescent="0.55000000000000004">
      <c r="W54564"/>
    </row>
    <row r="54565" spans="23:23" x14ac:dyDescent="0.55000000000000004">
      <c r="W54565"/>
    </row>
    <row r="54566" spans="23:23" x14ac:dyDescent="0.55000000000000004">
      <c r="W54566"/>
    </row>
    <row r="54567" spans="23:23" x14ac:dyDescent="0.55000000000000004">
      <c r="W54567"/>
    </row>
    <row r="54568" spans="23:23" x14ac:dyDescent="0.55000000000000004">
      <c r="W54568"/>
    </row>
    <row r="54569" spans="23:23" x14ac:dyDescent="0.55000000000000004">
      <c r="W54569"/>
    </row>
    <row r="54570" spans="23:23" x14ac:dyDescent="0.55000000000000004">
      <c r="W54570"/>
    </row>
    <row r="54571" spans="23:23" x14ac:dyDescent="0.55000000000000004">
      <c r="W54571"/>
    </row>
    <row r="54572" spans="23:23" x14ac:dyDescent="0.55000000000000004">
      <c r="W54572"/>
    </row>
    <row r="54573" spans="23:23" x14ac:dyDescent="0.55000000000000004">
      <c r="W54573"/>
    </row>
    <row r="54574" spans="23:23" x14ac:dyDescent="0.55000000000000004">
      <c r="W54574"/>
    </row>
    <row r="54575" spans="23:23" x14ac:dyDescent="0.55000000000000004">
      <c r="W54575"/>
    </row>
    <row r="54576" spans="23:23" x14ac:dyDescent="0.55000000000000004">
      <c r="W54576"/>
    </row>
    <row r="54577" spans="23:23" x14ac:dyDescent="0.55000000000000004">
      <c r="W54577"/>
    </row>
    <row r="54578" spans="23:23" x14ac:dyDescent="0.55000000000000004">
      <c r="W54578"/>
    </row>
    <row r="54579" spans="23:23" x14ac:dyDescent="0.55000000000000004">
      <c r="W54579"/>
    </row>
    <row r="54580" spans="23:23" x14ac:dyDescent="0.55000000000000004">
      <c r="W54580"/>
    </row>
    <row r="54581" spans="23:23" x14ac:dyDescent="0.55000000000000004">
      <c r="W54581"/>
    </row>
    <row r="54582" spans="23:23" x14ac:dyDescent="0.55000000000000004">
      <c r="W54582"/>
    </row>
    <row r="54583" spans="23:23" x14ac:dyDescent="0.55000000000000004">
      <c r="W54583"/>
    </row>
    <row r="54584" spans="23:23" x14ac:dyDescent="0.55000000000000004">
      <c r="W54584"/>
    </row>
    <row r="54585" spans="23:23" x14ac:dyDescent="0.55000000000000004">
      <c r="W54585"/>
    </row>
    <row r="54586" spans="23:23" x14ac:dyDescent="0.55000000000000004">
      <c r="W54586"/>
    </row>
    <row r="54587" spans="23:23" x14ac:dyDescent="0.55000000000000004">
      <c r="W54587"/>
    </row>
    <row r="54588" spans="23:23" x14ac:dyDescent="0.55000000000000004">
      <c r="W54588"/>
    </row>
    <row r="54589" spans="23:23" x14ac:dyDescent="0.55000000000000004">
      <c r="W54589"/>
    </row>
    <row r="54590" spans="23:23" x14ac:dyDescent="0.55000000000000004">
      <c r="W54590"/>
    </row>
    <row r="54591" spans="23:23" x14ac:dyDescent="0.55000000000000004">
      <c r="W54591"/>
    </row>
    <row r="54592" spans="23:23" x14ac:dyDescent="0.55000000000000004">
      <c r="W54592"/>
    </row>
    <row r="54593" spans="23:23" x14ac:dyDescent="0.55000000000000004">
      <c r="W54593"/>
    </row>
    <row r="54594" spans="23:23" x14ac:dyDescent="0.55000000000000004">
      <c r="W54594"/>
    </row>
    <row r="54595" spans="23:23" x14ac:dyDescent="0.55000000000000004">
      <c r="W54595"/>
    </row>
    <row r="54596" spans="23:23" x14ac:dyDescent="0.55000000000000004">
      <c r="W54596"/>
    </row>
    <row r="54597" spans="23:23" x14ac:dyDescent="0.55000000000000004">
      <c r="W54597"/>
    </row>
    <row r="54598" spans="23:23" x14ac:dyDescent="0.55000000000000004">
      <c r="W54598"/>
    </row>
    <row r="54599" spans="23:23" x14ac:dyDescent="0.55000000000000004">
      <c r="W54599"/>
    </row>
    <row r="54600" spans="23:23" x14ac:dyDescent="0.55000000000000004">
      <c r="W54600"/>
    </row>
    <row r="54601" spans="23:23" x14ac:dyDescent="0.55000000000000004">
      <c r="W54601"/>
    </row>
    <row r="54602" spans="23:23" x14ac:dyDescent="0.55000000000000004">
      <c r="W54602"/>
    </row>
    <row r="54603" spans="23:23" x14ac:dyDescent="0.55000000000000004">
      <c r="W54603"/>
    </row>
    <row r="54604" spans="23:23" x14ac:dyDescent="0.55000000000000004">
      <c r="W54604"/>
    </row>
    <row r="54605" spans="23:23" x14ac:dyDescent="0.55000000000000004">
      <c r="W54605"/>
    </row>
    <row r="54606" spans="23:23" x14ac:dyDescent="0.55000000000000004">
      <c r="W54606"/>
    </row>
    <row r="54607" spans="23:23" x14ac:dyDescent="0.55000000000000004">
      <c r="W54607"/>
    </row>
    <row r="54608" spans="23:23" x14ac:dyDescent="0.55000000000000004">
      <c r="W54608"/>
    </row>
    <row r="54609" spans="23:23" x14ac:dyDescent="0.55000000000000004">
      <c r="W54609"/>
    </row>
    <row r="54610" spans="23:23" x14ac:dyDescent="0.55000000000000004">
      <c r="W54610"/>
    </row>
    <row r="54611" spans="23:23" x14ac:dyDescent="0.55000000000000004">
      <c r="W54611"/>
    </row>
    <row r="54612" spans="23:23" x14ac:dyDescent="0.55000000000000004">
      <c r="W54612"/>
    </row>
    <row r="54613" spans="23:23" x14ac:dyDescent="0.55000000000000004">
      <c r="W54613"/>
    </row>
    <row r="54614" spans="23:23" x14ac:dyDescent="0.55000000000000004">
      <c r="W54614"/>
    </row>
    <row r="54615" spans="23:23" x14ac:dyDescent="0.55000000000000004">
      <c r="W54615"/>
    </row>
    <row r="54616" spans="23:23" x14ac:dyDescent="0.55000000000000004">
      <c r="W54616"/>
    </row>
    <row r="54617" spans="23:23" x14ac:dyDescent="0.55000000000000004">
      <c r="W54617"/>
    </row>
    <row r="54618" spans="23:23" x14ac:dyDescent="0.55000000000000004">
      <c r="W54618"/>
    </row>
    <row r="54619" spans="23:23" x14ac:dyDescent="0.55000000000000004">
      <c r="W54619"/>
    </row>
    <row r="54620" spans="23:23" x14ac:dyDescent="0.55000000000000004">
      <c r="W54620"/>
    </row>
    <row r="54621" spans="23:23" x14ac:dyDescent="0.55000000000000004">
      <c r="W54621"/>
    </row>
    <row r="54622" spans="23:23" x14ac:dyDescent="0.55000000000000004">
      <c r="W54622"/>
    </row>
    <row r="54623" spans="23:23" x14ac:dyDescent="0.55000000000000004">
      <c r="W54623"/>
    </row>
    <row r="54624" spans="23:23" x14ac:dyDescent="0.55000000000000004">
      <c r="W54624"/>
    </row>
    <row r="54625" spans="23:23" x14ac:dyDescent="0.55000000000000004">
      <c r="W54625"/>
    </row>
    <row r="54626" spans="23:23" x14ac:dyDescent="0.55000000000000004">
      <c r="W54626"/>
    </row>
    <row r="54627" spans="23:23" x14ac:dyDescent="0.55000000000000004">
      <c r="W54627"/>
    </row>
    <row r="54628" spans="23:23" x14ac:dyDescent="0.55000000000000004">
      <c r="W54628"/>
    </row>
    <row r="54629" spans="23:23" x14ac:dyDescent="0.55000000000000004">
      <c r="W54629"/>
    </row>
    <row r="54630" spans="23:23" x14ac:dyDescent="0.55000000000000004">
      <c r="W54630"/>
    </row>
    <row r="54631" spans="23:23" x14ac:dyDescent="0.55000000000000004">
      <c r="W54631"/>
    </row>
    <row r="54632" spans="23:23" x14ac:dyDescent="0.55000000000000004">
      <c r="W54632"/>
    </row>
    <row r="54633" spans="23:23" x14ac:dyDescent="0.55000000000000004">
      <c r="W54633"/>
    </row>
    <row r="54634" spans="23:23" x14ac:dyDescent="0.55000000000000004">
      <c r="W54634"/>
    </row>
    <row r="54635" spans="23:23" x14ac:dyDescent="0.55000000000000004">
      <c r="W54635"/>
    </row>
    <row r="54636" spans="23:23" x14ac:dyDescent="0.55000000000000004">
      <c r="W54636"/>
    </row>
    <row r="54637" spans="23:23" x14ac:dyDescent="0.55000000000000004">
      <c r="W54637"/>
    </row>
    <row r="54638" spans="23:23" x14ac:dyDescent="0.55000000000000004">
      <c r="W54638"/>
    </row>
    <row r="54639" spans="23:23" x14ac:dyDescent="0.55000000000000004">
      <c r="W54639"/>
    </row>
    <row r="54640" spans="23:23" x14ac:dyDescent="0.55000000000000004">
      <c r="W54640"/>
    </row>
    <row r="54641" spans="23:23" x14ac:dyDescent="0.55000000000000004">
      <c r="W54641"/>
    </row>
    <row r="54642" spans="23:23" x14ac:dyDescent="0.55000000000000004">
      <c r="W54642"/>
    </row>
    <row r="54643" spans="23:23" x14ac:dyDescent="0.55000000000000004">
      <c r="W54643"/>
    </row>
    <row r="54644" spans="23:23" x14ac:dyDescent="0.55000000000000004">
      <c r="W54644"/>
    </row>
    <row r="54645" spans="23:23" x14ac:dyDescent="0.55000000000000004">
      <c r="W54645"/>
    </row>
    <row r="54646" spans="23:23" x14ac:dyDescent="0.55000000000000004">
      <c r="W54646"/>
    </row>
    <row r="54647" spans="23:23" x14ac:dyDescent="0.55000000000000004">
      <c r="W54647"/>
    </row>
    <row r="54648" spans="23:23" x14ac:dyDescent="0.55000000000000004">
      <c r="W54648"/>
    </row>
    <row r="54649" spans="23:23" x14ac:dyDescent="0.55000000000000004">
      <c r="W54649"/>
    </row>
    <row r="54650" spans="23:23" x14ac:dyDescent="0.55000000000000004">
      <c r="W54650"/>
    </row>
    <row r="54651" spans="23:23" x14ac:dyDescent="0.55000000000000004">
      <c r="W54651"/>
    </row>
    <row r="54652" spans="23:23" x14ac:dyDescent="0.55000000000000004">
      <c r="W54652"/>
    </row>
    <row r="54653" spans="23:23" x14ac:dyDescent="0.55000000000000004">
      <c r="W54653"/>
    </row>
    <row r="54654" spans="23:23" x14ac:dyDescent="0.55000000000000004">
      <c r="W54654"/>
    </row>
    <row r="54655" spans="23:23" x14ac:dyDescent="0.55000000000000004">
      <c r="W54655"/>
    </row>
    <row r="54656" spans="23:23" x14ac:dyDescent="0.55000000000000004">
      <c r="W54656"/>
    </row>
    <row r="54657" spans="23:23" x14ac:dyDescent="0.55000000000000004">
      <c r="W54657"/>
    </row>
    <row r="54658" spans="23:23" x14ac:dyDescent="0.55000000000000004">
      <c r="W54658"/>
    </row>
    <row r="54659" spans="23:23" x14ac:dyDescent="0.55000000000000004">
      <c r="W54659"/>
    </row>
    <row r="54660" spans="23:23" x14ac:dyDescent="0.55000000000000004">
      <c r="W54660"/>
    </row>
    <row r="54661" spans="23:23" x14ac:dyDescent="0.55000000000000004">
      <c r="W54661"/>
    </row>
    <row r="54662" spans="23:23" x14ac:dyDescent="0.55000000000000004">
      <c r="W54662"/>
    </row>
    <row r="54663" spans="23:23" x14ac:dyDescent="0.55000000000000004">
      <c r="W54663"/>
    </row>
    <row r="54664" spans="23:23" x14ac:dyDescent="0.55000000000000004">
      <c r="W54664"/>
    </row>
    <row r="54665" spans="23:23" x14ac:dyDescent="0.55000000000000004">
      <c r="W54665"/>
    </row>
    <row r="54666" spans="23:23" x14ac:dyDescent="0.55000000000000004">
      <c r="W54666"/>
    </row>
    <row r="54667" spans="23:23" x14ac:dyDescent="0.55000000000000004">
      <c r="W54667"/>
    </row>
    <row r="54668" spans="23:23" x14ac:dyDescent="0.55000000000000004">
      <c r="W54668"/>
    </row>
    <row r="54669" spans="23:23" x14ac:dyDescent="0.55000000000000004">
      <c r="W54669"/>
    </row>
    <row r="54670" spans="23:23" x14ac:dyDescent="0.55000000000000004">
      <c r="W54670"/>
    </row>
    <row r="54671" spans="23:23" x14ac:dyDescent="0.55000000000000004">
      <c r="W54671"/>
    </row>
    <row r="54672" spans="23:23" x14ac:dyDescent="0.55000000000000004">
      <c r="W54672"/>
    </row>
    <row r="54673" spans="23:23" x14ac:dyDescent="0.55000000000000004">
      <c r="W54673"/>
    </row>
    <row r="54674" spans="23:23" x14ac:dyDescent="0.55000000000000004">
      <c r="W54674"/>
    </row>
    <row r="54675" spans="23:23" x14ac:dyDescent="0.55000000000000004">
      <c r="W54675"/>
    </row>
    <row r="54676" spans="23:23" x14ac:dyDescent="0.55000000000000004">
      <c r="W54676"/>
    </row>
    <row r="54677" spans="23:23" x14ac:dyDescent="0.55000000000000004">
      <c r="W54677"/>
    </row>
    <row r="54678" spans="23:23" x14ac:dyDescent="0.55000000000000004">
      <c r="W54678"/>
    </row>
    <row r="54679" spans="23:23" x14ac:dyDescent="0.55000000000000004">
      <c r="W54679"/>
    </row>
    <row r="54680" spans="23:23" x14ac:dyDescent="0.55000000000000004">
      <c r="W54680"/>
    </row>
    <row r="54681" spans="23:23" x14ac:dyDescent="0.55000000000000004">
      <c r="W54681"/>
    </row>
    <row r="54682" spans="23:23" x14ac:dyDescent="0.55000000000000004">
      <c r="W54682"/>
    </row>
    <row r="54683" spans="23:23" x14ac:dyDescent="0.55000000000000004">
      <c r="W54683"/>
    </row>
    <row r="54684" spans="23:23" x14ac:dyDescent="0.55000000000000004">
      <c r="W54684"/>
    </row>
    <row r="54685" spans="23:23" x14ac:dyDescent="0.55000000000000004">
      <c r="W54685"/>
    </row>
    <row r="54686" spans="23:23" x14ac:dyDescent="0.55000000000000004">
      <c r="W54686"/>
    </row>
    <row r="54687" spans="23:23" x14ac:dyDescent="0.55000000000000004">
      <c r="W54687"/>
    </row>
    <row r="54688" spans="23:23" x14ac:dyDescent="0.55000000000000004">
      <c r="W54688"/>
    </row>
    <row r="54689" spans="23:23" x14ac:dyDescent="0.55000000000000004">
      <c r="W54689"/>
    </row>
    <row r="54690" spans="23:23" x14ac:dyDescent="0.55000000000000004">
      <c r="W54690"/>
    </row>
    <row r="54691" spans="23:23" x14ac:dyDescent="0.55000000000000004">
      <c r="W54691"/>
    </row>
    <row r="54692" spans="23:23" x14ac:dyDescent="0.55000000000000004">
      <c r="W54692"/>
    </row>
    <row r="54693" spans="23:23" x14ac:dyDescent="0.55000000000000004">
      <c r="W54693"/>
    </row>
    <row r="54694" spans="23:23" x14ac:dyDescent="0.55000000000000004">
      <c r="W54694"/>
    </row>
    <row r="54695" spans="23:23" x14ac:dyDescent="0.55000000000000004">
      <c r="W54695"/>
    </row>
    <row r="54696" spans="23:23" x14ac:dyDescent="0.55000000000000004">
      <c r="W54696"/>
    </row>
    <row r="54697" spans="23:23" x14ac:dyDescent="0.55000000000000004">
      <c r="W54697"/>
    </row>
    <row r="54698" spans="23:23" x14ac:dyDescent="0.55000000000000004">
      <c r="W54698"/>
    </row>
    <row r="54699" spans="23:23" x14ac:dyDescent="0.55000000000000004">
      <c r="W54699"/>
    </row>
    <row r="54700" spans="23:23" x14ac:dyDescent="0.55000000000000004">
      <c r="W54700"/>
    </row>
    <row r="54701" spans="23:23" x14ac:dyDescent="0.55000000000000004">
      <c r="W54701"/>
    </row>
    <row r="54702" spans="23:23" x14ac:dyDescent="0.55000000000000004">
      <c r="W54702"/>
    </row>
    <row r="54703" spans="23:23" x14ac:dyDescent="0.55000000000000004">
      <c r="W54703"/>
    </row>
    <row r="54704" spans="23:23" x14ac:dyDescent="0.55000000000000004">
      <c r="W54704"/>
    </row>
    <row r="54705" spans="23:23" x14ac:dyDescent="0.55000000000000004">
      <c r="W54705"/>
    </row>
    <row r="54706" spans="23:23" x14ac:dyDescent="0.55000000000000004">
      <c r="W54706"/>
    </row>
    <row r="54707" spans="23:23" x14ac:dyDescent="0.55000000000000004">
      <c r="W54707"/>
    </row>
    <row r="54708" spans="23:23" x14ac:dyDescent="0.55000000000000004">
      <c r="W54708"/>
    </row>
    <row r="54709" spans="23:23" x14ac:dyDescent="0.55000000000000004">
      <c r="W54709"/>
    </row>
    <row r="54710" spans="23:23" x14ac:dyDescent="0.55000000000000004">
      <c r="W54710"/>
    </row>
    <row r="54711" spans="23:23" x14ac:dyDescent="0.55000000000000004">
      <c r="W54711"/>
    </row>
    <row r="54712" spans="23:23" x14ac:dyDescent="0.55000000000000004">
      <c r="W54712"/>
    </row>
    <row r="54713" spans="23:23" x14ac:dyDescent="0.55000000000000004">
      <c r="W54713"/>
    </row>
    <row r="54714" spans="23:23" x14ac:dyDescent="0.55000000000000004">
      <c r="W54714"/>
    </row>
    <row r="54715" spans="23:23" x14ac:dyDescent="0.55000000000000004">
      <c r="W54715"/>
    </row>
    <row r="54716" spans="23:23" x14ac:dyDescent="0.55000000000000004">
      <c r="W54716"/>
    </row>
    <row r="54717" spans="23:23" x14ac:dyDescent="0.55000000000000004">
      <c r="W54717"/>
    </row>
    <row r="54718" spans="23:23" x14ac:dyDescent="0.55000000000000004">
      <c r="W54718"/>
    </row>
    <row r="54719" spans="23:23" x14ac:dyDescent="0.55000000000000004">
      <c r="W54719"/>
    </row>
    <row r="54720" spans="23:23" x14ac:dyDescent="0.55000000000000004">
      <c r="W54720"/>
    </row>
    <row r="54721" spans="23:23" x14ac:dyDescent="0.55000000000000004">
      <c r="W54721"/>
    </row>
    <row r="54722" spans="23:23" x14ac:dyDescent="0.55000000000000004">
      <c r="W54722"/>
    </row>
    <row r="54723" spans="23:23" x14ac:dyDescent="0.55000000000000004">
      <c r="W54723"/>
    </row>
    <row r="54724" spans="23:23" x14ac:dyDescent="0.55000000000000004">
      <c r="W54724"/>
    </row>
    <row r="54725" spans="23:23" x14ac:dyDescent="0.55000000000000004">
      <c r="W54725"/>
    </row>
    <row r="54726" spans="23:23" x14ac:dyDescent="0.55000000000000004">
      <c r="W54726"/>
    </row>
    <row r="54727" spans="23:23" x14ac:dyDescent="0.55000000000000004">
      <c r="W54727"/>
    </row>
    <row r="54728" spans="23:23" x14ac:dyDescent="0.55000000000000004">
      <c r="W54728"/>
    </row>
    <row r="54729" spans="23:23" x14ac:dyDescent="0.55000000000000004">
      <c r="W54729"/>
    </row>
    <row r="54730" spans="23:23" x14ac:dyDescent="0.55000000000000004">
      <c r="W54730"/>
    </row>
    <row r="54731" spans="23:23" x14ac:dyDescent="0.55000000000000004">
      <c r="W54731"/>
    </row>
    <row r="54732" spans="23:23" x14ac:dyDescent="0.55000000000000004">
      <c r="W54732"/>
    </row>
    <row r="54733" spans="23:23" x14ac:dyDescent="0.55000000000000004">
      <c r="W54733"/>
    </row>
    <row r="54734" spans="23:23" x14ac:dyDescent="0.55000000000000004">
      <c r="W54734"/>
    </row>
    <row r="54735" spans="23:23" x14ac:dyDescent="0.55000000000000004">
      <c r="W54735"/>
    </row>
    <row r="54736" spans="23:23" x14ac:dyDescent="0.55000000000000004">
      <c r="W54736"/>
    </row>
    <row r="54737" spans="23:23" x14ac:dyDescent="0.55000000000000004">
      <c r="W54737"/>
    </row>
    <row r="54738" spans="23:23" x14ac:dyDescent="0.55000000000000004">
      <c r="W54738"/>
    </row>
    <row r="54739" spans="23:23" x14ac:dyDescent="0.55000000000000004">
      <c r="W54739"/>
    </row>
    <row r="54740" spans="23:23" x14ac:dyDescent="0.55000000000000004">
      <c r="W54740"/>
    </row>
    <row r="54741" spans="23:23" x14ac:dyDescent="0.55000000000000004">
      <c r="W54741"/>
    </row>
    <row r="54742" spans="23:23" x14ac:dyDescent="0.55000000000000004">
      <c r="W54742"/>
    </row>
    <row r="54743" spans="23:23" x14ac:dyDescent="0.55000000000000004">
      <c r="W54743"/>
    </row>
    <row r="54744" spans="23:23" x14ac:dyDescent="0.55000000000000004">
      <c r="W54744"/>
    </row>
    <row r="54745" spans="23:23" x14ac:dyDescent="0.55000000000000004">
      <c r="W54745"/>
    </row>
    <row r="54746" spans="23:23" x14ac:dyDescent="0.55000000000000004">
      <c r="W54746"/>
    </row>
    <row r="54747" spans="23:23" x14ac:dyDescent="0.55000000000000004">
      <c r="W54747"/>
    </row>
    <row r="54748" spans="23:23" x14ac:dyDescent="0.55000000000000004">
      <c r="W54748"/>
    </row>
    <row r="54749" spans="23:23" x14ac:dyDescent="0.55000000000000004">
      <c r="W54749"/>
    </row>
    <row r="54750" spans="23:23" x14ac:dyDescent="0.55000000000000004">
      <c r="W54750"/>
    </row>
    <row r="54751" spans="23:23" x14ac:dyDescent="0.55000000000000004">
      <c r="W54751"/>
    </row>
    <row r="54752" spans="23:23" x14ac:dyDescent="0.55000000000000004">
      <c r="W54752"/>
    </row>
    <row r="54753" spans="23:23" x14ac:dyDescent="0.55000000000000004">
      <c r="W54753"/>
    </row>
    <row r="54754" spans="23:23" x14ac:dyDescent="0.55000000000000004">
      <c r="W54754"/>
    </row>
    <row r="54755" spans="23:23" x14ac:dyDescent="0.55000000000000004">
      <c r="W54755"/>
    </row>
    <row r="54756" spans="23:23" x14ac:dyDescent="0.55000000000000004">
      <c r="W54756"/>
    </row>
    <row r="54757" spans="23:23" x14ac:dyDescent="0.55000000000000004">
      <c r="W54757"/>
    </row>
    <row r="54758" spans="23:23" x14ac:dyDescent="0.55000000000000004">
      <c r="W54758"/>
    </row>
    <row r="54759" spans="23:23" x14ac:dyDescent="0.55000000000000004">
      <c r="W54759"/>
    </row>
    <row r="54760" spans="23:23" x14ac:dyDescent="0.55000000000000004">
      <c r="W54760"/>
    </row>
    <row r="54761" spans="23:23" x14ac:dyDescent="0.55000000000000004">
      <c r="W54761"/>
    </row>
    <row r="54762" spans="23:23" x14ac:dyDescent="0.55000000000000004">
      <c r="W54762"/>
    </row>
    <row r="54763" spans="23:23" x14ac:dyDescent="0.55000000000000004">
      <c r="W54763"/>
    </row>
    <row r="54764" spans="23:23" x14ac:dyDescent="0.55000000000000004">
      <c r="W54764"/>
    </row>
    <row r="54765" spans="23:23" x14ac:dyDescent="0.55000000000000004">
      <c r="W54765"/>
    </row>
    <row r="54766" spans="23:23" x14ac:dyDescent="0.55000000000000004">
      <c r="W54766"/>
    </row>
    <row r="54767" spans="23:23" x14ac:dyDescent="0.55000000000000004">
      <c r="W54767"/>
    </row>
    <row r="54768" spans="23:23" x14ac:dyDescent="0.55000000000000004">
      <c r="W54768"/>
    </row>
    <row r="54769" spans="23:23" x14ac:dyDescent="0.55000000000000004">
      <c r="W54769"/>
    </row>
    <row r="54770" spans="23:23" x14ac:dyDescent="0.55000000000000004">
      <c r="W54770"/>
    </row>
    <row r="54771" spans="23:23" x14ac:dyDescent="0.55000000000000004">
      <c r="W54771"/>
    </row>
    <row r="54772" spans="23:23" x14ac:dyDescent="0.55000000000000004">
      <c r="W54772"/>
    </row>
    <row r="54773" spans="23:23" x14ac:dyDescent="0.55000000000000004">
      <c r="W54773"/>
    </row>
    <row r="54774" spans="23:23" x14ac:dyDescent="0.55000000000000004">
      <c r="W54774"/>
    </row>
    <row r="54775" spans="23:23" x14ac:dyDescent="0.55000000000000004">
      <c r="W54775"/>
    </row>
    <row r="54776" spans="23:23" x14ac:dyDescent="0.55000000000000004">
      <c r="W54776"/>
    </row>
    <row r="54777" spans="23:23" x14ac:dyDescent="0.55000000000000004">
      <c r="W54777"/>
    </row>
    <row r="54778" spans="23:23" x14ac:dyDescent="0.55000000000000004">
      <c r="W54778"/>
    </row>
    <row r="54779" spans="23:23" x14ac:dyDescent="0.55000000000000004">
      <c r="W54779"/>
    </row>
    <row r="54780" spans="23:23" x14ac:dyDescent="0.55000000000000004">
      <c r="W54780"/>
    </row>
    <row r="54781" spans="23:23" x14ac:dyDescent="0.55000000000000004">
      <c r="W54781"/>
    </row>
    <row r="54782" spans="23:23" x14ac:dyDescent="0.55000000000000004">
      <c r="W54782"/>
    </row>
    <row r="54783" spans="23:23" x14ac:dyDescent="0.55000000000000004">
      <c r="W54783"/>
    </row>
    <row r="54784" spans="23:23" x14ac:dyDescent="0.55000000000000004">
      <c r="W54784"/>
    </row>
    <row r="54785" spans="23:23" x14ac:dyDescent="0.55000000000000004">
      <c r="W54785"/>
    </row>
    <row r="54786" spans="23:23" x14ac:dyDescent="0.55000000000000004">
      <c r="W54786"/>
    </row>
    <row r="54787" spans="23:23" x14ac:dyDescent="0.55000000000000004">
      <c r="W54787"/>
    </row>
    <row r="54788" spans="23:23" x14ac:dyDescent="0.55000000000000004">
      <c r="W54788"/>
    </row>
    <row r="54789" spans="23:23" x14ac:dyDescent="0.55000000000000004">
      <c r="W54789"/>
    </row>
    <row r="54790" spans="23:23" x14ac:dyDescent="0.55000000000000004">
      <c r="W54790"/>
    </row>
    <row r="54791" spans="23:23" x14ac:dyDescent="0.55000000000000004">
      <c r="W54791"/>
    </row>
    <row r="54792" spans="23:23" x14ac:dyDescent="0.55000000000000004">
      <c r="W54792"/>
    </row>
    <row r="54793" spans="23:23" x14ac:dyDescent="0.55000000000000004">
      <c r="W54793"/>
    </row>
    <row r="54794" spans="23:23" x14ac:dyDescent="0.55000000000000004">
      <c r="W54794"/>
    </row>
    <row r="54795" spans="23:23" x14ac:dyDescent="0.55000000000000004">
      <c r="W54795"/>
    </row>
    <row r="54796" spans="23:23" x14ac:dyDescent="0.55000000000000004">
      <c r="W54796"/>
    </row>
    <row r="54797" spans="23:23" x14ac:dyDescent="0.55000000000000004">
      <c r="W54797"/>
    </row>
    <row r="54798" spans="23:23" x14ac:dyDescent="0.55000000000000004">
      <c r="W54798"/>
    </row>
    <row r="54799" spans="23:23" x14ac:dyDescent="0.55000000000000004">
      <c r="W54799"/>
    </row>
    <row r="54800" spans="23:23" x14ac:dyDescent="0.55000000000000004">
      <c r="W54800"/>
    </row>
    <row r="54801" spans="23:23" x14ac:dyDescent="0.55000000000000004">
      <c r="W54801"/>
    </row>
    <row r="54802" spans="23:23" x14ac:dyDescent="0.55000000000000004">
      <c r="W54802"/>
    </row>
    <row r="54803" spans="23:23" x14ac:dyDescent="0.55000000000000004">
      <c r="W54803"/>
    </row>
    <row r="54804" spans="23:23" x14ac:dyDescent="0.55000000000000004">
      <c r="W54804"/>
    </row>
    <row r="54805" spans="23:23" x14ac:dyDescent="0.55000000000000004">
      <c r="W54805"/>
    </row>
    <row r="54806" spans="23:23" x14ac:dyDescent="0.55000000000000004">
      <c r="W54806"/>
    </row>
    <row r="54807" spans="23:23" x14ac:dyDescent="0.55000000000000004">
      <c r="W54807"/>
    </row>
    <row r="54808" spans="23:23" x14ac:dyDescent="0.55000000000000004">
      <c r="W54808"/>
    </row>
    <row r="54809" spans="23:23" x14ac:dyDescent="0.55000000000000004">
      <c r="W54809"/>
    </row>
    <row r="54810" spans="23:23" x14ac:dyDescent="0.55000000000000004">
      <c r="W54810"/>
    </row>
    <row r="54811" spans="23:23" x14ac:dyDescent="0.55000000000000004">
      <c r="W54811"/>
    </row>
    <row r="54812" spans="23:23" x14ac:dyDescent="0.55000000000000004">
      <c r="W54812"/>
    </row>
    <row r="54813" spans="23:23" x14ac:dyDescent="0.55000000000000004">
      <c r="W54813"/>
    </row>
    <row r="54814" spans="23:23" x14ac:dyDescent="0.55000000000000004">
      <c r="W54814"/>
    </row>
    <row r="54815" spans="23:23" x14ac:dyDescent="0.55000000000000004">
      <c r="W54815"/>
    </row>
    <row r="54816" spans="23:23" x14ac:dyDescent="0.55000000000000004">
      <c r="W54816"/>
    </row>
    <row r="54817" spans="23:23" x14ac:dyDescent="0.55000000000000004">
      <c r="W54817"/>
    </row>
    <row r="54818" spans="23:23" x14ac:dyDescent="0.55000000000000004">
      <c r="W54818"/>
    </row>
    <row r="54819" spans="23:23" x14ac:dyDescent="0.55000000000000004">
      <c r="W54819"/>
    </row>
    <row r="54820" spans="23:23" x14ac:dyDescent="0.55000000000000004">
      <c r="W54820"/>
    </row>
    <row r="54821" spans="23:23" x14ac:dyDescent="0.55000000000000004">
      <c r="W54821"/>
    </row>
    <row r="54822" spans="23:23" x14ac:dyDescent="0.55000000000000004">
      <c r="W54822"/>
    </row>
    <row r="54823" spans="23:23" x14ac:dyDescent="0.55000000000000004">
      <c r="W54823"/>
    </row>
    <row r="54824" spans="23:23" x14ac:dyDescent="0.55000000000000004">
      <c r="W54824"/>
    </row>
    <row r="54825" spans="23:23" x14ac:dyDescent="0.55000000000000004">
      <c r="W54825"/>
    </row>
    <row r="54826" spans="23:23" x14ac:dyDescent="0.55000000000000004">
      <c r="W54826"/>
    </row>
    <row r="54827" spans="23:23" x14ac:dyDescent="0.55000000000000004">
      <c r="W54827"/>
    </row>
    <row r="54828" spans="23:23" x14ac:dyDescent="0.55000000000000004">
      <c r="W54828"/>
    </row>
    <row r="54829" spans="23:23" x14ac:dyDescent="0.55000000000000004">
      <c r="W54829"/>
    </row>
    <row r="54830" spans="23:23" x14ac:dyDescent="0.55000000000000004">
      <c r="W54830"/>
    </row>
    <row r="54831" spans="23:23" x14ac:dyDescent="0.55000000000000004">
      <c r="W54831"/>
    </row>
    <row r="54832" spans="23:23" x14ac:dyDescent="0.55000000000000004">
      <c r="W54832"/>
    </row>
    <row r="54833" spans="23:23" x14ac:dyDescent="0.55000000000000004">
      <c r="W54833"/>
    </row>
    <row r="54834" spans="23:23" x14ac:dyDescent="0.55000000000000004">
      <c r="W54834"/>
    </row>
    <row r="54835" spans="23:23" x14ac:dyDescent="0.55000000000000004">
      <c r="W54835"/>
    </row>
    <row r="54836" spans="23:23" x14ac:dyDescent="0.55000000000000004">
      <c r="W54836"/>
    </row>
    <row r="54837" spans="23:23" x14ac:dyDescent="0.55000000000000004">
      <c r="W54837"/>
    </row>
    <row r="54838" spans="23:23" x14ac:dyDescent="0.55000000000000004">
      <c r="W54838"/>
    </row>
    <row r="54839" spans="23:23" x14ac:dyDescent="0.55000000000000004">
      <c r="W54839"/>
    </row>
    <row r="54840" spans="23:23" x14ac:dyDescent="0.55000000000000004">
      <c r="W54840"/>
    </row>
    <row r="54841" spans="23:23" x14ac:dyDescent="0.55000000000000004">
      <c r="W54841"/>
    </row>
    <row r="54842" spans="23:23" x14ac:dyDescent="0.55000000000000004">
      <c r="W54842"/>
    </row>
    <row r="54843" spans="23:23" x14ac:dyDescent="0.55000000000000004">
      <c r="W54843"/>
    </row>
    <row r="54844" spans="23:23" x14ac:dyDescent="0.55000000000000004">
      <c r="W54844"/>
    </row>
    <row r="54845" spans="23:23" x14ac:dyDescent="0.55000000000000004">
      <c r="W54845"/>
    </row>
    <row r="54846" spans="23:23" x14ac:dyDescent="0.55000000000000004">
      <c r="W54846"/>
    </row>
    <row r="54847" spans="23:23" x14ac:dyDescent="0.55000000000000004">
      <c r="W54847"/>
    </row>
    <row r="54848" spans="23:23" x14ac:dyDescent="0.55000000000000004">
      <c r="W54848"/>
    </row>
    <row r="54849" spans="23:23" x14ac:dyDescent="0.55000000000000004">
      <c r="W54849"/>
    </row>
    <row r="54850" spans="23:23" x14ac:dyDescent="0.55000000000000004">
      <c r="W54850"/>
    </row>
    <row r="54851" spans="23:23" x14ac:dyDescent="0.55000000000000004">
      <c r="W54851"/>
    </row>
    <row r="54852" spans="23:23" x14ac:dyDescent="0.55000000000000004">
      <c r="W54852"/>
    </row>
    <row r="54853" spans="23:23" x14ac:dyDescent="0.55000000000000004">
      <c r="W54853"/>
    </row>
    <row r="54854" spans="23:23" x14ac:dyDescent="0.55000000000000004">
      <c r="W54854"/>
    </row>
    <row r="54855" spans="23:23" x14ac:dyDescent="0.55000000000000004">
      <c r="W54855"/>
    </row>
    <row r="54856" spans="23:23" x14ac:dyDescent="0.55000000000000004">
      <c r="W54856"/>
    </row>
    <row r="54857" spans="23:23" x14ac:dyDescent="0.55000000000000004">
      <c r="W54857"/>
    </row>
    <row r="54858" spans="23:23" x14ac:dyDescent="0.55000000000000004">
      <c r="W54858"/>
    </row>
    <row r="54859" spans="23:23" x14ac:dyDescent="0.55000000000000004">
      <c r="W54859"/>
    </row>
    <row r="54860" spans="23:23" x14ac:dyDescent="0.55000000000000004">
      <c r="W54860"/>
    </row>
    <row r="54861" spans="23:23" x14ac:dyDescent="0.55000000000000004">
      <c r="W54861"/>
    </row>
    <row r="54862" spans="23:23" x14ac:dyDescent="0.55000000000000004">
      <c r="W54862"/>
    </row>
    <row r="54863" spans="23:23" x14ac:dyDescent="0.55000000000000004">
      <c r="W54863"/>
    </row>
    <row r="54864" spans="23:23" x14ac:dyDescent="0.55000000000000004">
      <c r="W54864"/>
    </row>
    <row r="54865" spans="23:23" x14ac:dyDescent="0.55000000000000004">
      <c r="W54865"/>
    </row>
    <row r="54866" spans="23:23" x14ac:dyDescent="0.55000000000000004">
      <c r="W54866"/>
    </row>
    <row r="54867" spans="23:23" x14ac:dyDescent="0.55000000000000004">
      <c r="W54867"/>
    </row>
    <row r="54868" spans="23:23" x14ac:dyDescent="0.55000000000000004">
      <c r="W54868"/>
    </row>
    <row r="54869" spans="23:23" x14ac:dyDescent="0.55000000000000004">
      <c r="W54869"/>
    </row>
    <row r="54870" spans="23:23" x14ac:dyDescent="0.55000000000000004">
      <c r="W54870"/>
    </row>
    <row r="54871" spans="23:23" x14ac:dyDescent="0.55000000000000004">
      <c r="W54871"/>
    </row>
    <row r="54872" spans="23:23" x14ac:dyDescent="0.55000000000000004">
      <c r="W54872"/>
    </row>
    <row r="54873" spans="23:23" x14ac:dyDescent="0.55000000000000004">
      <c r="W54873"/>
    </row>
    <row r="54874" spans="23:23" x14ac:dyDescent="0.55000000000000004">
      <c r="W54874"/>
    </row>
    <row r="54875" spans="23:23" x14ac:dyDescent="0.55000000000000004">
      <c r="W54875"/>
    </row>
    <row r="54876" spans="23:23" x14ac:dyDescent="0.55000000000000004">
      <c r="W54876"/>
    </row>
    <row r="54877" spans="23:23" x14ac:dyDescent="0.55000000000000004">
      <c r="W54877"/>
    </row>
    <row r="54878" spans="23:23" x14ac:dyDescent="0.55000000000000004">
      <c r="W54878"/>
    </row>
    <row r="54879" spans="23:23" x14ac:dyDescent="0.55000000000000004">
      <c r="W54879"/>
    </row>
    <row r="54880" spans="23:23" x14ac:dyDescent="0.55000000000000004">
      <c r="W54880"/>
    </row>
    <row r="54881" spans="23:23" x14ac:dyDescent="0.55000000000000004">
      <c r="W54881"/>
    </row>
    <row r="54882" spans="23:23" x14ac:dyDescent="0.55000000000000004">
      <c r="W54882"/>
    </row>
    <row r="54883" spans="23:23" x14ac:dyDescent="0.55000000000000004">
      <c r="W54883"/>
    </row>
    <row r="54884" spans="23:23" x14ac:dyDescent="0.55000000000000004">
      <c r="W54884"/>
    </row>
    <row r="54885" spans="23:23" x14ac:dyDescent="0.55000000000000004">
      <c r="W54885"/>
    </row>
    <row r="54886" spans="23:23" x14ac:dyDescent="0.55000000000000004">
      <c r="W54886"/>
    </row>
    <row r="54887" spans="23:23" x14ac:dyDescent="0.55000000000000004">
      <c r="W54887"/>
    </row>
    <row r="54888" spans="23:23" x14ac:dyDescent="0.55000000000000004">
      <c r="W54888"/>
    </row>
    <row r="54889" spans="23:23" x14ac:dyDescent="0.55000000000000004">
      <c r="W54889"/>
    </row>
    <row r="54890" spans="23:23" x14ac:dyDescent="0.55000000000000004">
      <c r="W54890"/>
    </row>
    <row r="54891" spans="23:23" x14ac:dyDescent="0.55000000000000004">
      <c r="W54891"/>
    </row>
    <row r="54892" spans="23:23" x14ac:dyDescent="0.55000000000000004">
      <c r="W54892"/>
    </row>
    <row r="54893" spans="23:23" x14ac:dyDescent="0.55000000000000004">
      <c r="W54893"/>
    </row>
    <row r="54894" spans="23:23" x14ac:dyDescent="0.55000000000000004">
      <c r="W54894"/>
    </row>
    <row r="54895" spans="23:23" x14ac:dyDescent="0.55000000000000004">
      <c r="W54895"/>
    </row>
    <row r="54896" spans="23:23" x14ac:dyDescent="0.55000000000000004">
      <c r="W54896"/>
    </row>
    <row r="54897" spans="23:23" x14ac:dyDescent="0.55000000000000004">
      <c r="W54897"/>
    </row>
    <row r="54898" spans="23:23" x14ac:dyDescent="0.55000000000000004">
      <c r="W54898"/>
    </row>
    <row r="54899" spans="23:23" x14ac:dyDescent="0.55000000000000004">
      <c r="W54899"/>
    </row>
    <row r="54900" spans="23:23" x14ac:dyDescent="0.55000000000000004">
      <c r="W54900"/>
    </row>
    <row r="54901" spans="23:23" x14ac:dyDescent="0.55000000000000004">
      <c r="W54901"/>
    </row>
    <row r="54902" spans="23:23" x14ac:dyDescent="0.55000000000000004">
      <c r="W54902"/>
    </row>
    <row r="54903" spans="23:23" x14ac:dyDescent="0.55000000000000004">
      <c r="W54903"/>
    </row>
    <row r="54904" spans="23:23" x14ac:dyDescent="0.55000000000000004">
      <c r="W54904"/>
    </row>
    <row r="54905" spans="23:23" x14ac:dyDescent="0.55000000000000004">
      <c r="W54905"/>
    </row>
    <row r="54906" spans="23:23" x14ac:dyDescent="0.55000000000000004">
      <c r="W54906"/>
    </row>
    <row r="54907" spans="23:23" x14ac:dyDescent="0.55000000000000004">
      <c r="W54907"/>
    </row>
    <row r="54908" spans="23:23" x14ac:dyDescent="0.55000000000000004">
      <c r="W54908"/>
    </row>
    <row r="54909" spans="23:23" x14ac:dyDescent="0.55000000000000004">
      <c r="W54909"/>
    </row>
    <row r="54910" spans="23:23" x14ac:dyDescent="0.55000000000000004">
      <c r="W54910"/>
    </row>
    <row r="54911" spans="23:23" x14ac:dyDescent="0.55000000000000004">
      <c r="W54911"/>
    </row>
    <row r="54912" spans="23:23" x14ac:dyDescent="0.55000000000000004">
      <c r="W54912"/>
    </row>
    <row r="54913" spans="23:23" x14ac:dyDescent="0.55000000000000004">
      <c r="W54913"/>
    </row>
    <row r="54914" spans="23:23" x14ac:dyDescent="0.55000000000000004">
      <c r="W54914"/>
    </row>
    <row r="54915" spans="23:23" x14ac:dyDescent="0.55000000000000004">
      <c r="W54915"/>
    </row>
    <row r="54916" spans="23:23" x14ac:dyDescent="0.55000000000000004">
      <c r="W54916"/>
    </row>
    <row r="54917" spans="23:23" x14ac:dyDescent="0.55000000000000004">
      <c r="W54917"/>
    </row>
    <row r="54918" spans="23:23" x14ac:dyDescent="0.55000000000000004">
      <c r="W54918"/>
    </row>
    <row r="54919" spans="23:23" x14ac:dyDescent="0.55000000000000004">
      <c r="W54919"/>
    </row>
    <row r="54920" spans="23:23" x14ac:dyDescent="0.55000000000000004">
      <c r="W54920"/>
    </row>
    <row r="54921" spans="23:23" x14ac:dyDescent="0.55000000000000004">
      <c r="W54921"/>
    </row>
    <row r="54922" spans="23:23" x14ac:dyDescent="0.55000000000000004">
      <c r="W54922"/>
    </row>
    <row r="54923" spans="23:23" x14ac:dyDescent="0.55000000000000004">
      <c r="W54923"/>
    </row>
    <row r="54924" spans="23:23" x14ac:dyDescent="0.55000000000000004">
      <c r="W54924"/>
    </row>
    <row r="54925" spans="23:23" x14ac:dyDescent="0.55000000000000004">
      <c r="W54925"/>
    </row>
    <row r="54926" spans="23:23" x14ac:dyDescent="0.55000000000000004">
      <c r="W54926"/>
    </row>
    <row r="54927" spans="23:23" x14ac:dyDescent="0.55000000000000004">
      <c r="W54927"/>
    </row>
    <row r="54928" spans="23:23" x14ac:dyDescent="0.55000000000000004">
      <c r="W54928"/>
    </row>
    <row r="54929" spans="23:23" x14ac:dyDescent="0.55000000000000004">
      <c r="W54929"/>
    </row>
    <row r="54930" spans="23:23" x14ac:dyDescent="0.55000000000000004">
      <c r="W54930"/>
    </row>
    <row r="54931" spans="23:23" x14ac:dyDescent="0.55000000000000004">
      <c r="W54931"/>
    </row>
    <row r="54932" spans="23:23" x14ac:dyDescent="0.55000000000000004">
      <c r="W54932"/>
    </row>
    <row r="54933" spans="23:23" x14ac:dyDescent="0.55000000000000004">
      <c r="W54933"/>
    </row>
    <row r="54934" spans="23:23" x14ac:dyDescent="0.55000000000000004">
      <c r="W54934"/>
    </row>
    <row r="54935" spans="23:23" x14ac:dyDescent="0.55000000000000004">
      <c r="W54935"/>
    </row>
    <row r="54936" spans="23:23" x14ac:dyDescent="0.55000000000000004">
      <c r="W54936"/>
    </row>
    <row r="54937" spans="23:23" x14ac:dyDescent="0.55000000000000004">
      <c r="W54937"/>
    </row>
    <row r="54938" spans="23:23" x14ac:dyDescent="0.55000000000000004">
      <c r="W54938"/>
    </row>
    <row r="54939" spans="23:23" x14ac:dyDescent="0.55000000000000004">
      <c r="W54939"/>
    </row>
    <row r="54940" spans="23:23" x14ac:dyDescent="0.55000000000000004">
      <c r="W54940"/>
    </row>
    <row r="54941" spans="23:23" x14ac:dyDescent="0.55000000000000004">
      <c r="W54941"/>
    </row>
    <row r="54942" spans="23:23" x14ac:dyDescent="0.55000000000000004">
      <c r="W54942"/>
    </row>
    <row r="54943" spans="23:23" x14ac:dyDescent="0.55000000000000004">
      <c r="W54943"/>
    </row>
    <row r="54944" spans="23:23" x14ac:dyDescent="0.55000000000000004">
      <c r="W54944"/>
    </row>
    <row r="54945" spans="23:23" x14ac:dyDescent="0.55000000000000004">
      <c r="W54945"/>
    </row>
    <row r="54946" spans="23:23" x14ac:dyDescent="0.55000000000000004">
      <c r="W54946"/>
    </row>
    <row r="54947" spans="23:23" x14ac:dyDescent="0.55000000000000004">
      <c r="W54947"/>
    </row>
    <row r="54948" spans="23:23" x14ac:dyDescent="0.55000000000000004">
      <c r="W54948"/>
    </row>
    <row r="54949" spans="23:23" x14ac:dyDescent="0.55000000000000004">
      <c r="W54949"/>
    </row>
    <row r="54950" spans="23:23" x14ac:dyDescent="0.55000000000000004">
      <c r="W54950"/>
    </row>
    <row r="54951" spans="23:23" x14ac:dyDescent="0.55000000000000004">
      <c r="W54951"/>
    </row>
    <row r="54952" spans="23:23" x14ac:dyDescent="0.55000000000000004">
      <c r="W54952"/>
    </row>
    <row r="54953" spans="23:23" x14ac:dyDescent="0.55000000000000004">
      <c r="W54953"/>
    </row>
    <row r="54954" spans="23:23" x14ac:dyDescent="0.55000000000000004">
      <c r="W54954"/>
    </row>
    <row r="54955" spans="23:23" x14ac:dyDescent="0.55000000000000004">
      <c r="W54955"/>
    </row>
    <row r="54956" spans="23:23" x14ac:dyDescent="0.55000000000000004">
      <c r="W54956"/>
    </row>
    <row r="54957" spans="23:23" x14ac:dyDescent="0.55000000000000004">
      <c r="W54957"/>
    </row>
    <row r="54958" spans="23:23" x14ac:dyDescent="0.55000000000000004">
      <c r="W54958"/>
    </row>
    <row r="54959" spans="23:23" x14ac:dyDescent="0.55000000000000004">
      <c r="W54959"/>
    </row>
    <row r="54960" spans="23:23" x14ac:dyDescent="0.55000000000000004">
      <c r="W54960"/>
    </row>
    <row r="54961" spans="23:23" x14ac:dyDescent="0.55000000000000004">
      <c r="W54961"/>
    </row>
    <row r="54962" spans="23:23" x14ac:dyDescent="0.55000000000000004">
      <c r="W54962"/>
    </row>
    <row r="54963" spans="23:23" x14ac:dyDescent="0.55000000000000004">
      <c r="W54963"/>
    </row>
    <row r="54964" spans="23:23" x14ac:dyDescent="0.55000000000000004">
      <c r="W54964"/>
    </row>
    <row r="54965" spans="23:23" x14ac:dyDescent="0.55000000000000004">
      <c r="W54965"/>
    </row>
    <row r="54966" spans="23:23" x14ac:dyDescent="0.55000000000000004">
      <c r="W54966"/>
    </row>
    <row r="54967" spans="23:23" x14ac:dyDescent="0.55000000000000004">
      <c r="W54967"/>
    </row>
    <row r="54968" spans="23:23" x14ac:dyDescent="0.55000000000000004">
      <c r="W54968"/>
    </row>
    <row r="54969" spans="23:23" x14ac:dyDescent="0.55000000000000004">
      <c r="W54969"/>
    </row>
    <row r="54970" spans="23:23" x14ac:dyDescent="0.55000000000000004">
      <c r="W54970"/>
    </row>
    <row r="54971" spans="23:23" x14ac:dyDescent="0.55000000000000004">
      <c r="W54971"/>
    </row>
    <row r="54972" spans="23:23" x14ac:dyDescent="0.55000000000000004">
      <c r="W54972"/>
    </row>
    <row r="54973" spans="23:23" x14ac:dyDescent="0.55000000000000004">
      <c r="W54973"/>
    </row>
    <row r="54974" spans="23:23" x14ac:dyDescent="0.55000000000000004">
      <c r="W54974"/>
    </row>
    <row r="54975" spans="23:23" x14ac:dyDescent="0.55000000000000004">
      <c r="W54975"/>
    </row>
    <row r="54976" spans="23:23" x14ac:dyDescent="0.55000000000000004">
      <c r="W54976"/>
    </row>
    <row r="54977" spans="23:23" x14ac:dyDescent="0.55000000000000004">
      <c r="W54977"/>
    </row>
    <row r="54978" spans="23:23" x14ac:dyDescent="0.55000000000000004">
      <c r="W54978"/>
    </row>
    <row r="54979" spans="23:23" x14ac:dyDescent="0.55000000000000004">
      <c r="W54979"/>
    </row>
    <row r="54980" spans="23:23" x14ac:dyDescent="0.55000000000000004">
      <c r="W54980"/>
    </row>
    <row r="54981" spans="23:23" x14ac:dyDescent="0.55000000000000004">
      <c r="W54981"/>
    </row>
    <row r="54982" spans="23:23" x14ac:dyDescent="0.55000000000000004">
      <c r="W54982"/>
    </row>
    <row r="54983" spans="23:23" x14ac:dyDescent="0.55000000000000004">
      <c r="W54983"/>
    </row>
    <row r="54984" spans="23:23" x14ac:dyDescent="0.55000000000000004">
      <c r="W54984"/>
    </row>
    <row r="54985" spans="23:23" x14ac:dyDescent="0.55000000000000004">
      <c r="W54985"/>
    </row>
    <row r="54986" spans="23:23" x14ac:dyDescent="0.55000000000000004">
      <c r="W54986"/>
    </row>
    <row r="54987" spans="23:23" x14ac:dyDescent="0.55000000000000004">
      <c r="W54987"/>
    </row>
    <row r="54988" spans="23:23" x14ac:dyDescent="0.55000000000000004">
      <c r="W54988"/>
    </row>
    <row r="54989" spans="23:23" x14ac:dyDescent="0.55000000000000004">
      <c r="W54989"/>
    </row>
    <row r="54990" spans="23:23" x14ac:dyDescent="0.55000000000000004">
      <c r="W54990"/>
    </row>
    <row r="54991" spans="23:23" x14ac:dyDescent="0.55000000000000004">
      <c r="W54991"/>
    </row>
    <row r="54992" spans="23:23" x14ac:dyDescent="0.55000000000000004">
      <c r="W54992"/>
    </row>
    <row r="54993" spans="23:23" x14ac:dyDescent="0.55000000000000004">
      <c r="W54993"/>
    </row>
    <row r="54994" spans="23:23" x14ac:dyDescent="0.55000000000000004">
      <c r="W54994"/>
    </row>
    <row r="54995" spans="23:23" x14ac:dyDescent="0.55000000000000004">
      <c r="W54995"/>
    </row>
    <row r="54996" spans="23:23" x14ac:dyDescent="0.55000000000000004">
      <c r="W54996"/>
    </row>
    <row r="54997" spans="23:23" x14ac:dyDescent="0.55000000000000004">
      <c r="W54997"/>
    </row>
    <row r="54998" spans="23:23" x14ac:dyDescent="0.55000000000000004">
      <c r="W54998"/>
    </row>
    <row r="54999" spans="23:23" x14ac:dyDescent="0.55000000000000004">
      <c r="W54999"/>
    </row>
    <row r="55000" spans="23:23" x14ac:dyDescent="0.55000000000000004">
      <c r="W55000"/>
    </row>
    <row r="55001" spans="23:23" x14ac:dyDescent="0.55000000000000004">
      <c r="W55001"/>
    </row>
    <row r="55002" spans="23:23" x14ac:dyDescent="0.55000000000000004">
      <c r="W55002"/>
    </row>
    <row r="55003" spans="23:23" x14ac:dyDescent="0.55000000000000004">
      <c r="W55003"/>
    </row>
    <row r="55004" spans="23:23" x14ac:dyDescent="0.55000000000000004">
      <c r="W55004"/>
    </row>
    <row r="55005" spans="23:23" x14ac:dyDescent="0.55000000000000004">
      <c r="W55005"/>
    </row>
    <row r="55006" spans="23:23" x14ac:dyDescent="0.55000000000000004">
      <c r="W55006"/>
    </row>
    <row r="55007" spans="23:23" x14ac:dyDescent="0.55000000000000004">
      <c r="W55007"/>
    </row>
    <row r="55008" spans="23:23" x14ac:dyDescent="0.55000000000000004">
      <c r="W55008"/>
    </row>
    <row r="55009" spans="23:23" x14ac:dyDescent="0.55000000000000004">
      <c r="W55009"/>
    </row>
    <row r="55010" spans="23:23" x14ac:dyDescent="0.55000000000000004">
      <c r="W55010"/>
    </row>
    <row r="55011" spans="23:23" x14ac:dyDescent="0.55000000000000004">
      <c r="W55011"/>
    </row>
    <row r="55012" spans="23:23" x14ac:dyDescent="0.55000000000000004">
      <c r="W55012"/>
    </row>
    <row r="55013" spans="23:23" x14ac:dyDescent="0.55000000000000004">
      <c r="W55013"/>
    </row>
    <row r="55014" spans="23:23" x14ac:dyDescent="0.55000000000000004">
      <c r="W55014"/>
    </row>
    <row r="55015" spans="23:23" x14ac:dyDescent="0.55000000000000004">
      <c r="W55015"/>
    </row>
    <row r="55016" spans="23:23" x14ac:dyDescent="0.55000000000000004">
      <c r="W55016"/>
    </row>
    <row r="55017" spans="23:23" x14ac:dyDescent="0.55000000000000004">
      <c r="W55017"/>
    </row>
    <row r="55018" spans="23:23" x14ac:dyDescent="0.55000000000000004">
      <c r="W55018"/>
    </row>
    <row r="55019" spans="23:23" x14ac:dyDescent="0.55000000000000004">
      <c r="W55019"/>
    </row>
    <row r="55020" spans="23:23" x14ac:dyDescent="0.55000000000000004">
      <c r="W55020"/>
    </row>
    <row r="55021" spans="23:23" x14ac:dyDescent="0.55000000000000004">
      <c r="W55021"/>
    </row>
    <row r="55022" spans="23:23" x14ac:dyDescent="0.55000000000000004">
      <c r="W55022"/>
    </row>
    <row r="55023" spans="23:23" x14ac:dyDescent="0.55000000000000004">
      <c r="W55023"/>
    </row>
    <row r="55024" spans="23:23" x14ac:dyDescent="0.55000000000000004">
      <c r="W55024"/>
    </row>
    <row r="55025" spans="23:23" x14ac:dyDescent="0.55000000000000004">
      <c r="W55025"/>
    </row>
    <row r="55026" spans="23:23" x14ac:dyDescent="0.55000000000000004">
      <c r="W55026"/>
    </row>
    <row r="55027" spans="23:23" x14ac:dyDescent="0.55000000000000004">
      <c r="W55027"/>
    </row>
    <row r="55028" spans="23:23" x14ac:dyDescent="0.55000000000000004">
      <c r="W55028"/>
    </row>
    <row r="55029" spans="23:23" x14ac:dyDescent="0.55000000000000004">
      <c r="W55029"/>
    </row>
    <row r="55030" spans="23:23" x14ac:dyDescent="0.55000000000000004">
      <c r="W55030"/>
    </row>
    <row r="55031" spans="23:23" x14ac:dyDescent="0.55000000000000004">
      <c r="W55031"/>
    </row>
    <row r="55032" spans="23:23" x14ac:dyDescent="0.55000000000000004">
      <c r="W55032"/>
    </row>
    <row r="55033" spans="23:23" x14ac:dyDescent="0.55000000000000004">
      <c r="W55033"/>
    </row>
    <row r="55034" spans="23:23" x14ac:dyDescent="0.55000000000000004">
      <c r="W55034"/>
    </row>
    <row r="55035" spans="23:23" x14ac:dyDescent="0.55000000000000004">
      <c r="W55035"/>
    </row>
    <row r="55036" spans="23:23" x14ac:dyDescent="0.55000000000000004">
      <c r="W55036"/>
    </row>
    <row r="55037" spans="23:23" x14ac:dyDescent="0.55000000000000004">
      <c r="W55037"/>
    </row>
    <row r="55038" spans="23:23" x14ac:dyDescent="0.55000000000000004">
      <c r="W55038"/>
    </row>
    <row r="55039" spans="23:23" x14ac:dyDescent="0.55000000000000004">
      <c r="W55039"/>
    </row>
    <row r="55040" spans="23:23" x14ac:dyDescent="0.55000000000000004">
      <c r="W55040"/>
    </row>
    <row r="55041" spans="23:23" x14ac:dyDescent="0.55000000000000004">
      <c r="W55041"/>
    </row>
    <row r="55042" spans="23:23" x14ac:dyDescent="0.55000000000000004">
      <c r="W55042"/>
    </row>
    <row r="55043" spans="23:23" x14ac:dyDescent="0.55000000000000004">
      <c r="W55043"/>
    </row>
    <row r="55044" spans="23:23" x14ac:dyDescent="0.55000000000000004">
      <c r="W55044"/>
    </row>
    <row r="55045" spans="23:23" x14ac:dyDescent="0.55000000000000004">
      <c r="W55045"/>
    </row>
    <row r="55046" spans="23:23" x14ac:dyDescent="0.55000000000000004">
      <c r="W55046"/>
    </row>
    <row r="55047" spans="23:23" x14ac:dyDescent="0.55000000000000004">
      <c r="W55047"/>
    </row>
    <row r="55048" spans="23:23" x14ac:dyDescent="0.55000000000000004">
      <c r="W55048"/>
    </row>
    <row r="55049" spans="23:23" x14ac:dyDescent="0.55000000000000004">
      <c r="W55049"/>
    </row>
    <row r="55050" spans="23:23" x14ac:dyDescent="0.55000000000000004">
      <c r="W55050"/>
    </row>
    <row r="55051" spans="23:23" x14ac:dyDescent="0.55000000000000004">
      <c r="W55051"/>
    </row>
    <row r="55052" spans="23:23" x14ac:dyDescent="0.55000000000000004">
      <c r="W55052"/>
    </row>
    <row r="55053" spans="23:23" x14ac:dyDescent="0.55000000000000004">
      <c r="W55053"/>
    </row>
    <row r="55054" spans="23:23" x14ac:dyDescent="0.55000000000000004">
      <c r="W55054"/>
    </row>
    <row r="55055" spans="23:23" x14ac:dyDescent="0.55000000000000004">
      <c r="W55055"/>
    </row>
    <row r="55056" spans="23:23" x14ac:dyDescent="0.55000000000000004">
      <c r="W55056"/>
    </row>
    <row r="55057" spans="23:23" x14ac:dyDescent="0.55000000000000004">
      <c r="W55057"/>
    </row>
    <row r="55058" spans="23:23" x14ac:dyDescent="0.55000000000000004">
      <c r="W55058"/>
    </row>
    <row r="55059" spans="23:23" x14ac:dyDescent="0.55000000000000004">
      <c r="W55059"/>
    </row>
    <row r="55060" spans="23:23" x14ac:dyDescent="0.55000000000000004">
      <c r="W55060"/>
    </row>
    <row r="55061" spans="23:23" x14ac:dyDescent="0.55000000000000004">
      <c r="W55061"/>
    </row>
    <row r="55062" spans="23:23" x14ac:dyDescent="0.55000000000000004">
      <c r="W55062"/>
    </row>
    <row r="55063" spans="23:23" x14ac:dyDescent="0.55000000000000004">
      <c r="W55063"/>
    </row>
    <row r="55064" spans="23:23" x14ac:dyDescent="0.55000000000000004">
      <c r="W55064"/>
    </row>
    <row r="55065" spans="23:23" x14ac:dyDescent="0.55000000000000004">
      <c r="W55065"/>
    </row>
    <row r="55066" spans="23:23" x14ac:dyDescent="0.55000000000000004">
      <c r="W55066"/>
    </row>
    <row r="55067" spans="23:23" x14ac:dyDescent="0.55000000000000004">
      <c r="W55067"/>
    </row>
    <row r="55068" spans="23:23" x14ac:dyDescent="0.55000000000000004">
      <c r="W55068"/>
    </row>
    <row r="55069" spans="23:23" x14ac:dyDescent="0.55000000000000004">
      <c r="W55069"/>
    </row>
    <row r="55070" spans="23:23" x14ac:dyDescent="0.55000000000000004">
      <c r="W55070"/>
    </row>
    <row r="55071" spans="23:23" x14ac:dyDescent="0.55000000000000004">
      <c r="W55071"/>
    </row>
    <row r="55072" spans="23:23" x14ac:dyDescent="0.55000000000000004">
      <c r="W55072"/>
    </row>
    <row r="55073" spans="23:23" x14ac:dyDescent="0.55000000000000004">
      <c r="W55073"/>
    </row>
    <row r="55074" spans="23:23" x14ac:dyDescent="0.55000000000000004">
      <c r="W55074"/>
    </row>
    <row r="55075" spans="23:23" x14ac:dyDescent="0.55000000000000004">
      <c r="W55075"/>
    </row>
    <row r="55076" spans="23:23" x14ac:dyDescent="0.55000000000000004">
      <c r="W55076"/>
    </row>
    <row r="55077" spans="23:23" x14ac:dyDescent="0.55000000000000004">
      <c r="W55077"/>
    </row>
    <row r="55078" spans="23:23" x14ac:dyDescent="0.55000000000000004">
      <c r="W55078"/>
    </row>
    <row r="55079" spans="23:23" x14ac:dyDescent="0.55000000000000004">
      <c r="W55079"/>
    </row>
    <row r="55080" spans="23:23" x14ac:dyDescent="0.55000000000000004">
      <c r="W55080"/>
    </row>
    <row r="55081" spans="23:23" x14ac:dyDescent="0.55000000000000004">
      <c r="W55081"/>
    </row>
    <row r="55082" spans="23:23" x14ac:dyDescent="0.55000000000000004">
      <c r="W55082"/>
    </row>
    <row r="55083" spans="23:23" x14ac:dyDescent="0.55000000000000004">
      <c r="W55083"/>
    </row>
    <row r="55084" spans="23:23" x14ac:dyDescent="0.55000000000000004">
      <c r="W55084"/>
    </row>
    <row r="55085" spans="23:23" x14ac:dyDescent="0.55000000000000004">
      <c r="W55085"/>
    </row>
    <row r="55086" spans="23:23" x14ac:dyDescent="0.55000000000000004">
      <c r="W55086"/>
    </row>
    <row r="55087" spans="23:23" x14ac:dyDescent="0.55000000000000004">
      <c r="W55087"/>
    </row>
    <row r="55088" spans="23:23" x14ac:dyDescent="0.55000000000000004">
      <c r="W55088"/>
    </row>
    <row r="55089" spans="23:23" x14ac:dyDescent="0.55000000000000004">
      <c r="W55089"/>
    </row>
    <row r="55090" spans="23:23" x14ac:dyDescent="0.55000000000000004">
      <c r="W55090"/>
    </row>
    <row r="55091" spans="23:23" x14ac:dyDescent="0.55000000000000004">
      <c r="W55091"/>
    </row>
    <row r="55092" spans="23:23" x14ac:dyDescent="0.55000000000000004">
      <c r="W55092"/>
    </row>
    <row r="55093" spans="23:23" x14ac:dyDescent="0.55000000000000004">
      <c r="W55093"/>
    </row>
    <row r="55094" spans="23:23" x14ac:dyDescent="0.55000000000000004">
      <c r="W55094"/>
    </row>
    <row r="55095" spans="23:23" x14ac:dyDescent="0.55000000000000004">
      <c r="W55095"/>
    </row>
    <row r="55096" spans="23:23" x14ac:dyDescent="0.55000000000000004">
      <c r="W55096"/>
    </row>
    <row r="55097" spans="23:23" x14ac:dyDescent="0.55000000000000004">
      <c r="W55097"/>
    </row>
    <row r="55098" spans="23:23" x14ac:dyDescent="0.55000000000000004">
      <c r="W55098"/>
    </row>
    <row r="55099" spans="23:23" x14ac:dyDescent="0.55000000000000004">
      <c r="W55099"/>
    </row>
    <row r="55100" spans="23:23" x14ac:dyDescent="0.55000000000000004">
      <c r="W55100"/>
    </row>
    <row r="55101" spans="23:23" x14ac:dyDescent="0.55000000000000004">
      <c r="W55101"/>
    </row>
    <row r="55102" spans="23:23" x14ac:dyDescent="0.55000000000000004">
      <c r="W55102"/>
    </row>
    <row r="55103" spans="23:23" x14ac:dyDescent="0.55000000000000004">
      <c r="W55103"/>
    </row>
    <row r="55104" spans="23:23" x14ac:dyDescent="0.55000000000000004">
      <c r="W55104"/>
    </row>
    <row r="55105" spans="23:23" x14ac:dyDescent="0.55000000000000004">
      <c r="W55105"/>
    </row>
    <row r="55106" spans="23:23" x14ac:dyDescent="0.55000000000000004">
      <c r="W55106"/>
    </row>
    <row r="55107" spans="23:23" x14ac:dyDescent="0.55000000000000004">
      <c r="W55107"/>
    </row>
    <row r="55108" spans="23:23" x14ac:dyDescent="0.55000000000000004">
      <c r="W55108"/>
    </row>
    <row r="55109" spans="23:23" x14ac:dyDescent="0.55000000000000004">
      <c r="W55109"/>
    </row>
    <row r="55110" spans="23:23" x14ac:dyDescent="0.55000000000000004">
      <c r="W55110"/>
    </row>
    <row r="55111" spans="23:23" x14ac:dyDescent="0.55000000000000004">
      <c r="W55111"/>
    </row>
    <row r="55112" spans="23:23" x14ac:dyDescent="0.55000000000000004">
      <c r="W55112"/>
    </row>
    <row r="55113" spans="23:23" x14ac:dyDescent="0.55000000000000004">
      <c r="W55113"/>
    </row>
    <row r="55114" spans="23:23" x14ac:dyDescent="0.55000000000000004">
      <c r="W55114"/>
    </row>
    <row r="55115" spans="23:23" x14ac:dyDescent="0.55000000000000004">
      <c r="W55115"/>
    </row>
    <row r="55116" spans="23:23" x14ac:dyDescent="0.55000000000000004">
      <c r="W55116"/>
    </row>
    <row r="55117" spans="23:23" x14ac:dyDescent="0.55000000000000004">
      <c r="W55117"/>
    </row>
    <row r="55118" spans="23:23" x14ac:dyDescent="0.55000000000000004">
      <c r="W55118"/>
    </row>
    <row r="55119" spans="23:23" x14ac:dyDescent="0.55000000000000004">
      <c r="W55119"/>
    </row>
    <row r="55120" spans="23:23" x14ac:dyDescent="0.55000000000000004">
      <c r="W55120"/>
    </row>
    <row r="55121" spans="23:23" x14ac:dyDescent="0.55000000000000004">
      <c r="W55121"/>
    </row>
    <row r="55122" spans="23:23" x14ac:dyDescent="0.55000000000000004">
      <c r="W55122"/>
    </row>
    <row r="55123" spans="23:23" x14ac:dyDescent="0.55000000000000004">
      <c r="W55123"/>
    </row>
    <row r="55124" spans="23:23" x14ac:dyDescent="0.55000000000000004">
      <c r="W55124"/>
    </row>
    <row r="55125" spans="23:23" x14ac:dyDescent="0.55000000000000004">
      <c r="W55125"/>
    </row>
    <row r="55126" spans="23:23" x14ac:dyDescent="0.55000000000000004">
      <c r="W55126"/>
    </row>
    <row r="55127" spans="23:23" x14ac:dyDescent="0.55000000000000004">
      <c r="W55127"/>
    </row>
    <row r="55128" spans="23:23" x14ac:dyDescent="0.55000000000000004">
      <c r="W55128"/>
    </row>
    <row r="55129" spans="23:23" x14ac:dyDescent="0.55000000000000004">
      <c r="W55129"/>
    </row>
    <row r="55130" spans="23:23" x14ac:dyDescent="0.55000000000000004">
      <c r="W55130"/>
    </row>
    <row r="55131" spans="23:23" x14ac:dyDescent="0.55000000000000004">
      <c r="W55131"/>
    </row>
    <row r="55132" spans="23:23" x14ac:dyDescent="0.55000000000000004">
      <c r="W55132"/>
    </row>
    <row r="55133" spans="23:23" x14ac:dyDescent="0.55000000000000004">
      <c r="W55133"/>
    </row>
    <row r="55134" spans="23:23" x14ac:dyDescent="0.55000000000000004">
      <c r="W55134"/>
    </row>
    <row r="55135" spans="23:23" x14ac:dyDescent="0.55000000000000004">
      <c r="W55135"/>
    </row>
    <row r="55136" spans="23:23" x14ac:dyDescent="0.55000000000000004">
      <c r="W55136"/>
    </row>
    <row r="55137" spans="23:23" x14ac:dyDescent="0.55000000000000004">
      <c r="W55137"/>
    </row>
    <row r="55138" spans="23:23" x14ac:dyDescent="0.55000000000000004">
      <c r="W55138"/>
    </row>
    <row r="55139" spans="23:23" x14ac:dyDescent="0.55000000000000004">
      <c r="W55139"/>
    </row>
    <row r="55140" spans="23:23" x14ac:dyDescent="0.55000000000000004">
      <c r="W55140"/>
    </row>
    <row r="55141" spans="23:23" x14ac:dyDescent="0.55000000000000004">
      <c r="W55141"/>
    </row>
    <row r="55142" spans="23:23" x14ac:dyDescent="0.55000000000000004">
      <c r="W55142"/>
    </row>
    <row r="55143" spans="23:23" x14ac:dyDescent="0.55000000000000004">
      <c r="W55143"/>
    </row>
    <row r="55144" spans="23:23" x14ac:dyDescent="0.55000000000000004">
      <c r="W55144"/>
    </row>
    <row r="55145" spans="23:23" x14ac:dyDescent="0.55000000000000004">
      <c r="W55145"/>
    </row>
    <row r="55146" spans="23:23" x14ac:dyDescent="0.55000000000000004">
      <c r="W55146"/>
    </row>
    <row r="55147" spans="23:23" x14ac:dyDescent="0.55000000000000004">
      <c r="W55147"/>
    </row>
    <row r="55148" spans="23:23" x14ac:dyDescent="0.55000000000000004">
      <c r="W55148"/>
    </row>
    <row r="55149" spans="23:23" x14ac:dyDescent="0.55000000000000004">
      <c r="W55149"/>
    </row>
    <row r="55150" spans="23:23" x14ac:dyDescent="0.55000000000000004">
      <c r="W55150"/>
    </row>
    <row r="55151" spans="23:23" x14ac:dyDescent="0.55000000000000004">
      <c r="W55151"/>
    </row>
    <row r="55152" spans="23:23" x14ac:dyDescent="0.55000000000000004">
      <c r="W55152"/>
    </row>
    <row r="55153" spans="23:23" x14ac:dyDescent="0.55000000000000004">
      <c r="W55153"/>
    </row>
    <row r="55154" spans="23:23" x14ac:dyDescent="0.55000000000000004">
      <c r="W55154"/>
    </row>
    <row r="55155" spans="23:23" x14ac:dyDescent="0.55000000000000004">
      <c r="W55155"/>
    </row>
    <row r="55156" spans="23:23" x14ac:dyDescent="0.55000000000000004">
      <c r="W55156"/>
    </row>
    <row r="55157" spans="23:23" x14ac:dyDescent="0.55000000000000004">
      <c r="W55157"/>
    </row>
    <row r="55158" spans="23:23" x14ac:dyDescent="0.55000000000000004">
      <c r="W55158"/>
    </row>
    <row r="55159" spans="23:23" x14ac:dyDescent="0.55000000000000004">
      <c r="W55159"/>
    </row>
    <row r="55160" spans="23:23" x14ac:dyDescent="0.55000000000000004">
      <c r="W55160"/>
    </row>
    <row r="55161" spans="23:23" x14ac:dyDescent="0.55000000000000004">
      <c r="W55161"/>
    </row>
    <row r="55162" spans="23:23" x14ac:dyDescent="0.55000000000000004">
      <c r="W55162"/>
    </row>
    <row r="55163" spans="23:23" x14ac:dyDescent="0.55000000000000004">
      <c r="W55163"/>
    </row>
    <row r="55164" spans="23:23" x14ac:dyDescent="0.55000000000000004">
      <c r="W55164"/>
    </row>
    <row r="55165" spans="23:23" x14ac:dyDescent="0.55000000000000004">
      <c r="W55165"/>
    </row>
    <row r="55166" spans="23:23" x14ac:dyDescent="0.55000000000000004">
      <c r="W55166"/>
    </row>
    <row r="55167" spans="23:23" x14ac:dyDescent="0.55000000000000004">
      <c r="W55167"/>
    </row>
    <row r="55168" spans="23:23" x14ac:dyDescent="0.55000000000000004">
      <c r="W55168"/>
    </row>
    <row r="55169" spans="23:23" x14ac:dyDescent="0.55000000000000004">
      <c r="W55169"/>
    </row>
    <row r="55170" spans="23:23" x14ac:dyDescent="0.55000000000000004">
      <c r="W55170"/>
    </row>
    <row r="55171" spans="23:23" x14ac:dyDescent="0.55000000000000004">
      <c r="W55171"/>
    </row>
    <row r="55172" spans="23:23" x14ac:dyDescent="0.55000000000000004">
      <c r="W55172"/>
    </row>
    <row r="55173" spans="23:23" x14ac:dyDescent="0.55000000000000004">
      <c r="W55173"/>
    </row>
    <row r="55174" spans="23:23" x14ac:dyDescent="0.55000000000000004">
      <c r="W55174"/>
    </row>
    <row r="55175" spans="23:23" x14ac:dyDescent="0.55000000000000004">
      <c r="W55175"/>
    </row>
    <row r="55176" spans="23:23" x14ac:dyDescent="0.55000000000000004">
      <c r="W55176"/>
    </row>
    <row r="55177" spans="23:23" x14ac:dyDescent="0.55000000000000004">
      <c r="W55177"/>
    </row>
    <row r="55178" spans="23:23" x14ac:dyDescent="0.55000000000000004">
      <c r="W55178"/>
    </row>
    <row r="55179" spans="23:23" x14ac:dyDescent="0.55000000000000004">
      <c r="W55179"/>
    </row>
    <row r="55180" spans="23:23" x14ac:dyDescent="0.55000000000000004">
      <c r="W55180"/>
    </row>
    <row r="55181" spans="23:23" x14ac:dyDescent="0.55000000000000004">
      <c r="W55181"/>
    </row>
    <row r="55182" spans="23:23" x14ac:dyDescent="0.55000000000000004">
      <c r="W55182"/>
    </row>
    <row r="55183" spans="23:23" x14ac:dyDescent="0.55000000000000004">
      <c r="W55183"/>
    </row>
    <row r="55184" spans="23:23" x14ac:dyDescent="0.55000000000000004">
      <c r="W55184"/>
    </row>
    <row r="55185" spans="23:23" x14ac:dyDescent="0.55000000000000004">
      <c r="W55185"/>
    </row>
    <row r="55186" spans="23:23" x14ac:dyDescent="0.55000000000000004">
      <c r="W55186"/>
    </row>
    <row r="55187" spans="23:23" x14ac:dyDescent="0.55000000000000004">
      <c r="W55187"/>
    </row>
    <row r="55188" spans="23:23" x14ac:dyDescent="0.55000000000000004">
      <c r="W55188"/>
    </row>
    <row r="55189" spans="23:23" x14ac:dyDescent="0.55000000000000004">
      <c r="W55189"/>
    </row>
    <row r="55190" spans="23:23" x14ac:dyDescent="0.55000000000000004">
      <c r="W55190"/>
    </row>
    <row r="55191" spans="23:23" x14ac:dyDescent="0.55000000000000004">
      <c r="W55191"/>
    </row>
    <row r="55192" spans="23:23" x14ac:dyDescent="0.55000000000000004">
      <c r="W55192"/>
    </row>
    <row r="55193" spans="23:23" x14ac:dyDescent="0.55000000000000004">
      <c r="W55193"/>
    </row>
    <row r="55194" spans="23:23" x14ac:dyDescent="0.55000000000000004">
      <c r="W55194"/>
    </row>
    <row r="55195" spans="23:23" x14ac:dyDescent="0.55000000000000004">
      <c r="W55195"/>
    </row>
    <row r="55196" spans="23:23" x14ac:dyDescent="0.55000000000000004">
      <c r="W55196"/>
    </row>
    <row r="55197" spans="23:23" x14ac:dyDescent="0.55000000000000004">
      <c r="W55197"/>
    </row>
    <row r="55198" spans="23:23" x14ac:dyDescent="0.55000000000000004">
      <c r="W55198"/>
    </row>
    <row r="55199" spans="23:23" x14ac:dyDescent="0.55000000000000004">
      <c r="W55199"/>
    </row>
    <row r="55200" spans="23:23" x14ac:dyDescent="0.55000000000000004">
      <c r="W55200"/>
    </row>
    <row r="55201" spans="23:23" x14ac:dyDescent="0.55000000000000004">
      <c r="W55201"/>
    </row>
    <row r="55202" spans="23:23" x14ac:dyDescent="0.55000000000000004">
      <c r="W55202"/>
    </row>
    <row r="55203" spans="23:23" x14ac:dyDescent="0.55000000000000004">
      <c r="W55203"/>
    </row>
    <row r="55204" spans="23:23" x14ac:dyDescent="0.55000000000000004">
      <c r="W55204"/>
    </row>
    <row r="55205" spans="23:23" x14ac:dyDescent="0.55000000000000004">
      <c r="W55205"/>
    </row>
    <row r="55206" spans="23:23" x14ac:dyDescent="0.55000000000000004">
      <c r="W55206"/>
    </row>
    <row r="55207" spans="23:23" x14ac:dyDescent="0.55000000000000004">
      <c r="W55207"/>
    </row>
    <row r="55208" spans="23:23" x14ac:dyDescent="0.55000000000000004">
      <c r="W55208"/>
    </row>
    <row r="55209" spans="23:23" x14ac:dyDescent="0.55000000000000004">
      <c r="W55209"/>
    </row>
    <row r="55210" spans="23:23" x14ac:dyDescent="0.55000000000000004">
      <c r="W55210"/>
    </row>
    <row r="55211" spans="23:23" x14ac:dyDescent="0.55000000000000004">
      <c r="W55211"/>
    </row>
    <row r="55212" spans="23:23" x14ac:dyDescent="0.55000000000000004">
      <c r="W55212"/>
    </row>
    <row r="55213" spans="23:23" x14ac:dyDescent="0.55000000000000004">
      <c r="W55213"/>
    </row>
    <row r="55214" spans="23:23" x14ac:dyDescent="0.55000000000000004">
      <c r="W55214"/>
    </row>
    <row r="55215" spans="23:23" x14ac:dyDescent="0.55000000000000004">
      <c r="W55215"/>
    </row>
    <row r="55216" spans="23:23" x14ac:dyDescent="0.55000000000000004">
      <c r="W55216"/>
    </row>
    <row r="55217" spans="23:23" x14ac:dyDescent="0.55000000000000004">
      <c r="W55217"/>
    </row>
    <row r="55218" spans="23:23" x14ac:dyDescent="0.55000000000000004">
      <c r="W55218"/>
    </row>
    <row r="55219" spans="23:23" x14ac:dyDescent="0.55000000000000004">
      <c r="W55219"/>
    </row>
    <row r="55220" spans="23:23" x14ac:dyDescent="0.55000000000000004">
      <c r="W55220"/>
    </row>
    <row r="55221" spans="23:23" x14ac:dyDescent="0.55000000000000004">
      <c r="W55221"/>
    </row>
    <row r="55222" spans="23:23" x14ac:dyDescent="0.55000000000000004">
      <c r="W55222"/>
    </row>
    <row r="55223" spans="23:23" x14ac:dyDescent="0.55000000000000004">
      <c r="W55223"/>
    </row>
    <row r="55224" spans="23:23" x14ac:dyDescent="0.55000000000000004">
      <c r="W55224"/>
    </row>
    <row r="55225" spans="23:23" x14ac:dyDescent="0.55000000000000004">
      <c r="W55225"/>
    </row>
    <row r="55226" spans="23:23" x14ac:dyDescent="0.55000000000000004">
      <c r="W55226"/>
    </row>
    <row r="55227" spans="23:23" x14ac:dyDescent="0.55000000000000004">
      <c r="W55227"/>
    </row>
    <row r="55228" spans="23:23" x14ac:dyDescent="0.55000000000000004">
      <c r="W55228"/>
    </row>
    <row r="55229" spans="23:23" x14ac:dyDescent="0.55000000000000004">
      <c r="W55229"/>
    </row>
    <row r="55230" spans="23:23" x14ac:dyDescent="0.55000000000000004">
      <c r="W55230"/>
    </row>
    <row r="55231" spans="23:23" x14ac:dyDescent="0.55000000000000004">
      <c r="W55231"/>
    </row>
    <row r="55232" spans="23:23" x14ac:dyDescent="0.55000000000000004">
      <c r="W55232"/>
    </row>
    <row r="55233" spans="23:23" x14ac:dyDescent="0.55000000000000004">
      <c r="W55233"/>
    </row>
    <row r="55234" spans="23:23" x14ac:dyDescent="0.55000000000000004">
      <c r="W55234"/>
    </row>
    <row r="55235" spans="23:23" x14ac:dyDescent="0.55000000000000004">
      <c r="W55235"/>
    </row>
    <row r="55236" spans="23:23" x14ac:dyDescent="0.55000000000000004">
      <c r="W55236"/>
    </row>
    <row r="55237" spans="23:23" x14ac:dyDescent="0.55000000000000004">
      <c r="W55237"/>
    </row>
    <row r="55238" spans="23:23" x14ac:dyDescent="0.55000000000000004">
      <c r="W55238"/>
    </row>
    <row r="55239" spans="23:23" x14ac:dyDescent="0.55000000000000004">
      <c r="W55239"/>
    </row>
    <row r="55240" spans="23:23" x14ac:dyDescent="0.55000000000000004">
      <c r="W55240"/>
    </row>
    <row r="55241" spans="23:23" x14ac:dyDescent="0.55000000000000004">
      <c r="W55241"/>
    </row>
    <row r="55242" spans="23:23" x14ac:dyDescent="0.55000000000000004">
      <c r="W55242"/>
    </row>
    <row r="55243" spans="23:23" x14ac:dyDescent="0.55000000000000004">
      <c r="W55243"/>
    </row>
    <row r="55244" spans="23:23" x14ac:dyDescent="0.55000000000000004">
      <c r="W55244"/>
    </row>
    <row r="55245" spans="23:23" x14ac:dyDescent="0.55000000000000004">
      <c r="W55245"/>
    </row>
    <row r="55246" spans="23:23" x14ac:dyDescent="0.55000000000000004">
      <c r="W55246"/>
    </row>
    <row r="55247" spans="23:23" x14ac:dyDescent="0.55000000000000004">
      <c r="W55247"/>
    </row>
    <row r="55248" spans="23:23" x14ac:dyDescent="0.55000000000000004">
      <c r="W55248"/>
    </row>
    <row r="55249" spans="23:23" x14ac:dyDescent="0.55000000000000004">
      <c r="W55249"/>
    </row>
    <row r="55250" spans="23:23" x14ac:dyDescent="0.55000000000000004">
      <c r="W55250"/>
    </row>
    <row r="55251" spans="23:23" x14ac:dyDescent="0.55000000000000004">
      <c r="W55251"/>
    </row>
    <row r="55252" spans="23:23" x14ac:dyDescent="0.55000000000000004">
      <c r="W55252"/>
    </row>
    <row r="55253" spans="23:23" x14ac:dyDescent="0.55000000000000004">
      <c r="W55253"/>
    </row>
    <row r="55254" spans="23:23" x14ac:dyDescent="0.55000000000000004">
      <c r="W55254"/>
    </row>
    <row r="55255" spans="23:23" x14ac:dyDescent="0.55000000000000004">
      <c r="W55255"/>
    </row>
    <row r="55256" spans="23:23" x14ac:dyDescent="0.55000000000000004">
      <c r="W55256"/>
    </row>
    <row r="55257" spans="23:23" x14ac:dyDescent="0.55000000000000004">
      <c r="W55257"/>
    </row>
    <row r="55258" spans="23:23" x14ac:dyDescent="0.55000000000000004">
      <c r="W55258"/>
    </row>
    <row r="55259" spans="23:23" x14ac:dyDescent="0.55000000000000004">
      <c r="W55259"/>
    </row>
    <row r="55260" spans="23:23" x14ac:dyDescent="0.55000000000000004">
      <c r="W55260"/>
    </row>
    <row r="55261" spans="23:23" x14ac:dyDescent="0.55000000000000004">
      <c r="W55261"/>
    </row>
    <row r="55262" spans="23:23" x14ac:dyDescent="0.55000000000000004">
      <c r="W55262"/>
    </row>
    <row r="55263" spans="23:23" x14ac:dyDescent="0.55000000000000004">
      <c r="W55263"/>
    </row>
    <row r="55264" spans="23:23" x14ac:dyDescent="0.55000000000000004">
      <c r="W55264"/>
    </row>
    <row r="55265" spans="23:23" x14ac:dyDescent="0.55000000000000004">
      <c r="W55265"/>
    </row>
    <row r="55266" spans="23:23" x14ac:dyDescent="0.55000000000000004">
      <c r="W55266"/>
    </row>
    <row r="55267" spans="23:23" x14ac:dyDescent="0.55000000000000004">
      <c r="W55267"/>
    </row>
    <row r="55268" spans="23:23" x14ac:dyDescent="0.55000000000000004">
      <c r="W55268"/>
    </row>
    <row r="55269" spans="23:23" x14ac:dyDescent="0.55000000000000004">
      <c r="W55269"/>
    </row>
    <row r="55270" spans="23:23" x14ac:dyDescent="0.55000000000000004">
      <c r="W55270"/>
    </row>
    <row r="55271" spans="23:23" x14ac:dyDescent="0.55000000000000004">
      <c r="W55271"/>
    </row>
    <row r="55272" spans="23:23" x14ac:dyDescent="0.55000000000000004">
      <c r="W55272"/>
    </row>
    <row r="55273" spans="23:23" x14ac:dyDescent="0.55000000000000004">
      <c r="W55273"/>
    </row>
    <row r="55274" spans="23:23" x14ac:dyDescent="0.55000000000000004">
      <c r="W55274"/>
    </row>
    <row r="55275" spans="23:23" x14ac:dyDescent="0.55000000000000004">
      <c r="W55275"/>
    </row>
    <row r="55276" spans="23:23" x14ac:dyDescent="0.55000000000000004">
      <c r="W55276"/>
    </row>
    <row r="55277" spans="23:23" x14ac:dyDescent="0.55000000000000004">
      <c r="W55277"/>
    </row>
    <row r="55278" spans="23:23" x14ac:dyDescent="0.55000000000000004">
      <c r="W55278"/>
    </row>
    <row r="55279" spans="23:23" x14ac:dyDescent="0.55000000000000004">
      <c r="W55279"/>
    </row>
    <row r="55280" spans="23:23" x14ac:dyDescent="0.55000000000000004">
      <c r="W55280"/>
    </row>
    <row r="55281" spans="23:23" x14ac:dyDescent="0.55000000000000004">
      <c r="W55281"/>
    </row>
    <row r="55282" spans="23:23" x14ac:dyDescent="0.55000000000000004">
      <c r="W55282"/>
    </row>
    <row r="55283" spans="23:23" x14ac:dyDescent="0.55000000000000004">
      <c r="W55283"/>
    </row>
    <row r="55284" spans="23:23" x14ac:dyDescent="0.55000000000000004">
      <c r="W55284"/>
    </row>
    <row r="55285" spans="23:23" x14ac:dyDescent="0.55000000000000004">
      <c r="W55285"/>
    </row>
    <row r="55286" spans="23:23" x14ac:dyDescent="0.55000000000000004">
      <c r="W55286"/>
    </row>
    <row r="55287" spans="23:23" x14ac:dyDescent="0.55000000000000004">
      <c r="W55287"/>
    </row>
    <row r="55288" spans="23:23" x14ac:dyDescent="0.55000000000000004">
      <c r="W55288"/>
    </row>
    <row r="55289" spans="23:23" x14ac:dyDescent="0.55000000000000004">
      <c r="W55289"/>
    </row>
    <row r="55290" spans="23:23" x14ac:dyDescent="0.55000000000000004">
      <c r="W55290"/>
    </row>
    <row r="55291" spans="23:23" x14ac:dyDescent="0.55000000000000004">
      <c r="W55291"/>
    </row>
    <row r="55292" spans="23:23" x14ac:dyDescent="0.55000000000000004">
      <c r="W55292"/>
    </row>
    <row r="55293" spans="23:23" x14ac:dyDescent="0.55000000000000004">
      <c r="W55293"/>
    </row>
    <row r="55294" spans="23:23" x14ac:dyDescent="0.55000000000000004">
      <c r="W55294"/>
    </row>
    <row r="55295" spans="23:23" x14ac:dyDescent="0.55000000000000004">
      <c r="W55295"/>
    </row>
    <row r="55296" spans="23:23" x14ac:dyDescent="0.55000000000000004">
      <c r="W55296"/>
    </row>
    <row r="55297" spans="23:23" x14ac:dyDescent="0.55000000000000004">
      <c r="W55297"/>
    </row>
    <row r="55298" spans="23:23" x14ac:dyDescent="0.55000000000000004">
      <c r="W55298"/>
    </row>
    <row r="55299" spans="23:23" x14ac:dyDescent="0.55000000000000004">
      <c r="W55299"/>
    </row>
    <row r="55300" spans="23:23" x14ac:dyDescent="0.55000000000000004">
      <c r="W55300"/>
    </row>
    <row r="55301" spans="23:23" x14ac:dyDescent="0.55000000000000004">
      <c r="W55301"/>
    </row>
    <row r="55302" spans="23:23" x14ac:dyDescent="0.55000000000000004">
      <c r="W55302"/>
    </row>
    <row r="55303" spans="23:23" x14ac:dyDescent="0.55000000000000004">
      <c r="W55303"/>
    </row>
    <row r="55304" spans="23:23" x14ac:dyDescent="0.55000000000000004">
      <c r="W55304"/>
    </row>
    <row r="55305" spans="23:23" x14ac:dyDescent="0.55000000000000004">
      <c r="W55305"/>
    </row>
    <row r="55306" spans="23:23" x14ac:dyDescent="0.55000000000000004">
      <c r="W55306"/>
    </row>
    <row r="55307" spans="23:23" x14ac:dyDescent="0.55000000000000004">
      <c r="W55307"/>
    </row>
    <row r="55308" spans="23:23" x14ac:dyDescent="0.55000000000000004">
      <c r="W55308"/>
    </row>
    <row r="55309" spans="23:23" x14ac:dyDescent="0.55000000000000004">
      <c r="W55309"/>
    </row>
    <row r="55310" spans="23:23" x14ac:dyDescent="0.55000000000000004">
      <c r="W55310"/>
    </row>
    <row r="55311" spans="23:23" x14ac:dyDescent="0.55000000000000004">
      <c r="W55311"/>
    </row>
    <row r="55312" spans="23:23" x14ac:dyDescent="0.55000000000000004">
      <c r="W55312"/>
    </row>
    <row r="55313" spans="23:23" x14ac:dyDescent="0.55000000000000004">
      <c r="W55313"/>
    </row>
    <row r="55314" spans="23:23" x14ac:dyDescent="0.55000000000000004">
      <c r="W55314"/>
    </row>
    <row r="55315" spans="23:23" x14ac:dyDescent="0.55000000000000004">
      <c r="W55315"/>
    </row>
    <row r="55316" spans="23:23" x14ac:dyDescent="0.55000000000000004">
      <c r="W55316"/>
    </row>
    <row r="55317" spans="23:23" x14ac:dyDescent="0.55000000000000004">
      <c r="W55317"/>
    </row>
    <row r="55318" spans="23:23" x14ac:dyDescent="0.55000000000000004">
      <c r="W55318"/>
    </row>
    <row r="55319" spans="23:23" x14ac:dyDescent="0.55000000000000004">
      <c r="W55319"/>
    </row>
    <row r="55320" spans="23:23" x14ac:dyDescent="0.55000000000000004">
      <c r="W55320"/>
    </row>
    <row r="55321" spans="23:23" x14ac:dyDescent="0.55000000000000004">
      <c r="W55321"/>
    </row>
    <row r="55322" spans="23:23" x14ac:dyDescent="0.55000000000000004">
      <c r="W55322"/>
    </row>
    <row r="55323" spans="23:23" x14ac:dyDescent="0.55000000000000004">
      <c r="W55323"/>
    </row>
    <row r="55324" spans="23:23" x14ac:dyDescent="0.55000000000000004">
      <c r="W55324"/>
    </row>
    <row r="55325" spans="23:23" x14ac:dyDescent="0.55000000000000004">
      <c r="W55325"/>
    </row>
    <row r="55326" spans="23:23" x14ac:dyDescent="0.55000000000000004">
      <c r="W55326"/>
    </row>
    <row r="55327" spans="23:23" x14ac:dyDescent="0.55000000000000004">
      <c r="W55327"/>
    </row>
    <row r="55328" spans="23:23" x14ac:dyDescent="0.55000000000000004">
      <c r="W55328"/>
    </row>
    <row r="55329" spans="23:23" x14ac:dyDescent="0.55000000000000004">
      <c r="W55329"/>
    </row>
    <row r="55330" spans="23:23" x14ac:dyDescent="0.55000000000000004">
      <c r="W55330"/>
    </row>
    <row r="55331" spans="23:23" x14ac:dyDescent="0.55000000000000004">
      <c r="W55331"/>
    </row>
    <row r="55332" spans="23:23" x14ac:dyDescent="0.55000000000000004">
      <c r="W55332"/>
    </row>
    <row r="55333" spans="23:23" x14ac:dyDescent="0.55000000000000004">
      <c r="W55333"/>
    </row>
    <row r="55334" spans="23:23" x14ac:dyDescent="0.55000000000000004">
      <c r="W55334"/>
    </row>
    <row r="55335" spans="23:23" x14ac:dyDescent="0.55000000000000004">
      <c r="W55335"/>
    </row>
    <row r="55336" spans="23:23" x14ac:dyDescent="0.55000000000000004">
      <c r="W55336"/>
    </row>
    <row r="55337" spans="23:23" x14ac:dyDescent="0.55000000000000004">
      <c r="W55337"/>
    </row>
    <row r="55338" spans="23:23" x14ac:dyDescent="0.55000000000000004">
      <c r="W55338"/>
    </row>
    <row r="55339" spans="23:23" x14ac:dyDescent="0.55000000000000004">
      <c r="W55339"/>
    </row>
    <row r="55340" spans="23:23" x14ac:dyDescent="0.55000000000000004">
      <c r="W55340"/>
    </row>
    <row r="55341" spans="23:23" x14ac:dyDescent="0.55000000000000004">
      <c r="W55341"/>
    </row>
    <row r="55342" spans="23:23" x14ac:dyDescent="0.55000000000000004">
      <c r="W55342"/>
    </row>
    <row r="55343" spans="23:23" x14ac:dyDescent="0.55000000000000004">
      <c r="W55343"/>
    </row>
    <row r="55344" spans="23:23" x14ac:dyDescent="0.55000000000000004">
      <c r="W55344"/>
    </row>
    <row r="55345" spans="23:23" x14ac:dyDescent="0.55000000000000004">
      <c r="W55345"/>
    </row>
    <row r="55346" spans="23:23" x14ac:dyDescent="0.55000000000000004">
      <c r="W55346"/>
    </row>
    <row r="55347" spans="23:23" x14ac:dyDescent="0.55000000000000004">
      <c r="W55347"/>
    </row>
    <row r="55348" spans="23:23" x14ac:dyDescent="0.55000000000000004">
      <c r="W55348"/>
    </row>
    <row r="55349" spans="23:23" x14ac:dyDescent="0.55000000000000004">
      <c r="W55349"/>
    </row>
    <row r="55350" spans="23:23" x14ac:dyDescent="0.55000000000000004">
      <c r="W55350"/>
    </row>
    <row r="55351" spans="23:23" x14ac:dyDescent="0.55000000000000004">
      <c r="W55351"/>
    </row>
    <row r="55352" spans="23:23" x14ac:dyDescent="0.55000000000000004">
      <c r="W55352"/>
    </row>
    <row r="55353" spans="23:23" x14ac:dyDescent="0.55000000000000004">
      <c r="W55353"/>
    </row>
    <row r="55354" spans="23:23" x14ac:dyDescent="0.55000000000000004">
      <c r="W55354"/>
    </row>
    <row r="55355" spans="23:23" x14ac:dyDescent="0.55000000000000004">
      <c r="W55355"/>
    </row>
    <row r="55356" spans="23:23" x14ac:dyDescent="0.55000000000000004">
      <c r="W55356"/>
    </row>
    <row r="55357" spans="23:23" x14ac:dyDescent="0.55000000000000004">
      <c r="W55357"/>
    </row>
    <row r="55358" spans="23:23" x14ac:dyDescent="0.55000000000000004">
      <c r="W55358"/>
    </row>
    <row r="55359" spans="23:23" x14ac:dyDescent="0.55000000000000004">
      <c r="W55359"/>
    </row>
    <row r="55360" spans="23:23" x14ac:dyDescent="0.55000000000000004">
      <c r="W55360"/>
    </row>
    <row r="55361" spans="23:23" x14ac:dyDescent="0.55000000000000004">
      <c r="W55361"/>
    </row>
    <row r="55362" spans="23:23" x14ac:dyDescent="0.55000000000000004">
      <c r="W55362"/>
    </row>
    <row r="55363" spans="23:23" x14ac:dyDescent="0.55000000000000004">
      <c r="W55363"/>
    </row>
    <row r="55364" spans="23:23" x14ac:dyDescent="0.55000000000000004">
      <c r="W55364"/>
    </row>
    <row r="55365" spans="23:23" x14ac:dyDescent="0.55000000000000004">
      <c r="W55365"/>
    </row>
    <row r="55366" spans="23:23" x14ac:dyDescent="0.55000000000000004">
      <c r="W55366"/>
    </row>
    <row r="55367" spans="23:23" x14ac:dyDescent="0.55000000000000004">
      <c r="W55367"/>
    </row>
    <row r="55368" spans="23:23" x14ac:dyDescent="0.55000000000000004">
      <c r="W55368"/>
    </row>
    <row r="55369" spans="23:23" x14ac:dyDescent="0.55000000000000004">
      <c r="W55369"/>
    </row>
    <row r="55370" spans="23:23" x14ac:dyDescent="0.55000000000000004">
      <c r="W55370"/>
    </row>
    <row r="55371" spans="23:23" x14ac:dyDescent="0.55000000000000004">
      <c r="W55371"/>
    </row>
    <row r="55372" spans="23:23" x14ac:dyDescent="0.55000000000000004">
      <c r="W55372"/>
    </row>
    <row r="55373" spans="23:23" x14ac:dyDescent="0.55000000000000004">
      <c r="W55373"/>
    </row>
    <row r="55374" spans="23:23" x14ac:dyDescent="0.55000000000000004">
      <c r="W55374"/>
    </row>
    <row r="55375" spans="23:23" x14ac:dyDescent="0.55000000000000004">
      <c r="W55375"/>
    </row>
    <row r="55376" spans="23:23" x14ac:dyDescent="0.55000000000000004">
      <c r="W55376"/>
    </row>
    <row r="55377" spans="23:23" x14ac:dyDescent="0.55000000000000004">
      <c r="W55377"/>
    </row>
    <row r="55378" spans="23:23" x14ac:dyDescent="0.55000000000000004">
      <c r="W55378"/>
    </row>
    <row r="55379" spans="23:23" x14ac:dyDescent="0.55000000000000004">
      <c r="W55379"/>
    </row>
    <row r="55380" spans="23:23" x14ac:dyDescent="0.55000000000000004">
      <c r="W55380"/>
    </row>
    <row r="55381" spans="23:23" x14ac:dyDescent="0.55000000000000004">
      <c r="W55381"/>
    </row>
    <row r="55382" spans="23:23" x14ac:dyDescent="0.55000000000000004">
      <c r="W55382"/>
    </row>
    <row r="55383" spans="23:23" x14ac:dyDescent="0.55000000000000004">
      <c r="W55383"/>
    </row>
    <row r="55384" spans="23:23" x14ac:dyDescent="0.55000000000000004">
      <c r="W55384"/>
    </row>
    <row r="55385" spans="23:23" x14ac:dyDescent="0.55000000000000004">
      <c r="W55385"/>
    </row>
    <row r="55386" spans="23:23" x14ac:dyDescent="0.55000000000000004">
      <c r="W55386"/>
    </row>
    <row r="55387" spans="23:23" x14ac:dyDescent="0.55000000000000004">
      <c r="W55387"/>
    </row>
    <row r="55388" spans="23:23" x14ac:dyDescent="0.55000000000000004">
      <c r="W55388"/>
    </row>
    <row r="55389" spans="23:23" x14ac:dyDescent="0.55000000000000004">
      <c r="W55389"/>
    </row>
    <row r="55390" spans="23:23" x14ac:dyDescent="0.55000000000000004">
      <c r="W55390"/>
    </row>
    <row r="55391" spans="23:23" x14ac:dyDescent="0.55000000000000004">
      <c r="W55391"/>
    </row>
    <row r="55392" spans="23:23" x14ac:dyDescent="0.55000000000000004">
      <c r="W55392"/>
    </row>
    <row r="55393" spans="23:23" x14ac:dyDescent="0.55000000000000004">
      <c r="W55393"/>
    </row>
    <row r="55394" spans="23:23" x14ac:dyDescent="0.55000000000000004">
      <c r="W55394"/>
    </row>
    <row r="55395" spans="23:23" x14ac:dyDescent="0.55000000000000004">
      <c r="W55395"/>
    </row>
    <row r="55396" spans="23:23" x14ac:dyDescent="0.55000000000000004">
      <c r="W55396"/>
    </row>
    <row r="55397" spans="23:23" x14ac:dyDescent="0.55000000000000004">
      <c r="W55397"/>
    </row>
    <row r="55398" spans="23:23" x14ac:dyDescent="0.55000000000000004">
      <c r="W55398"/>
    </row>
    <row r="55399" spans="23:23" x14ac:dyDescent="0.55000000000000004">
      <c r="W55399"/>
    </row>
    <row r="55400" spans="23:23" x14ac:dyDescent="0.55000000000000004">
      <c r="W55400"/>
    </row>
    <row r="55401" spans="23:23" x14ac:dyDescent="0.55000000000000004">
      <c r="W55401"/>
    </row>
    <row r="55402" spans="23:23" x14ac:dyDescent="0.55000000000000004">
      <c r="W55402"/>
    </row>
    <row r="55403" spans="23:23" x14ac:dyDescent="0.55000000000000004">
      <c r="W55403"/>
    </row>
    <row r="55404" spans="23:23" x14ac:dyDescent="0.55000000000000004">
      <c r="W55404"/>
    </row>
    <row r="55405" spans="23:23" x14ac:dyDescent="0.55000000000000004">
      <c r="W55405"/>
    </row>
    <row r="55406" spans="23:23" x14ac:dyDescent="0.55000000000000004">
      <c r="W55406"/>
    </row>
    <row r="55407" spans="23:23" x14ac:dyDescent="0.55000000000000004">
      <c r="W55407"/>
    </row>
    <row r="55408" spans="23:23" x14ac:dyDescent="0.55000000000000004">
      <c r="W55408"/>
    </row>
    <row r="55409" spans="23:23" x14ac:dyDescent="0.55000000000000004">
      <c r="W55409"/>
    </row>
    <row r="55410" spans="23:23" x14ac:dyDescent="0.55000000000000004">
      <c r="W55410"/>
    </row>
    <row r="55411" spans="23:23" x14ac:dyDescent="0.55000000000000004">
      <c r="W55411"/>
    </row>
    <row r="55412" spans="23:23" x14ac:dyDescent="0.55000000000000004">
      <c r="W55412"/>
    </row>
    <row r="55413" spans="23:23" x14ac:dyDescent="0.55000000000000004">
      <c r="W55413"/>
    </row>
    <row r="55414" spans="23:23" x14ac:dyDescent="0.55000000000000004">
      <c r="W55414"/>
    </row>
    <row r="55415" spans="23:23" x14ac:dyDescent="0.55000000000000004">
      <c r="W55415"/>
    </row>
    <row r="55416" spans="23:23" x14ac:dyDescent="0.55000000000000004">
      <c r="W55416"/>
    </row>
    <row r="55417" spans="23:23" x14ac:dyDescent="0.55000000000000004">
      <c r="W55417"/>
    </row>
    <row r="55418" spans="23:23" x14ac:dyDescent="0.55000000000000004">
      <c r="W55418"/>
    </row>
    <row r="55419" spans="23:23" x14ac:dyDescent="0.55000000000000004">
      <c r="W55419"/>
    </row>
    <row r="55420" spans="23:23" x14ac:dyDescent="0.55000000000000004">
      <c r="W55420"/>
    </row>
    <row r="55421" spans="23:23" x14ac:dyDescent="0.55000000000000004">
      <c r="W55421"/>
    </row>
    <row r="55422" spans="23:23" x14ac:dyDescent="0.55000000000000004">
      <c r="W55422"/>
    </row>
    <row r="55423" spans="23:23" x14ac:dyDescent="0.55000000000000004">
      <c r="W55423"/>
    </row>
    <row r="55424" spans="23:23" x14ac:dyDescent="0.55000000000000004">
      <c r="W55424"/>
    </row>
    <row r="55425" spans="23:23" x14ac:dyDescent="0.55000000000000004">
      <c r="W55425"/>
    </row>
    <row r="55426" spans="23:23" x14ac:dyDescent="0.55000000000000004">
      <c r="W55426"/>
    </row>
    <row r="55427" spans="23:23" x14ac:dyDescent="0.55000000000000004">
      <c r="W55427"/>
    </row>
    <row r="55428" spans="23:23" x14ac:dyDescent="0.55000000000000004">
      <c r="W55428"/>
    </row>
    <row r="55429" spans="23:23" x14ac:dyDescent="0.55000000000000004">
      <c r="W55429"/>
    </row>
    <row r="55430" spans="23:23" x14ac:dyDescent="0.55000000000000004">
      <c r="W55430"/>
    </row>
    <row r="55431" spans="23:23" x14ac:dyDescent="0.55000000000000004">
      <c r="W55431"/>
    </row>
    <row r="55432" spans="23:23" x14ac:dyDescent="0.55000000000000004">
      <c r="W55432"/>
    </row>
    <row r="55433" spans="23:23" x14ac:dyDescent="0.55000000000000004">
      <c r="W55433"/>
    </row>
    <row r="55434" spans="23:23" x14ac:dyDescent="0.55000000000000004">
      <c r="W55434"/>
    </row>
    <row r="55435" spans="23:23" x14ac:dyDescent="0.55000000000000004">
      <c r="W55435"/>
    </row>
    <row r="55436" spans="23:23" x14ac:dyDescent="0.55000000000000004">
      <c r="W55436"/>
    </row>
    <row r="55437" spans="23:23" x14ac:dyDescent="0.55000000000000004">
      <c r="W55437"/>
    </row>
    <row r="55438" spans="23:23" x14ac:dyDescent="0.55000000000000004">
      <c r="W55438"/>
    </row>
    <row r="55439" spans="23:23" x14ac:dyDescent="0.55000000000000004">
      <c r="W55439"/>
    </row>
    <row r="55440" spans="23:23" x14ac:dyDescent="0.55000000000000004">
      <c r="W55440"/>
    </row>
    <row r="55441" spans="23:23" x14ac:dyDescent="0.55000000000000004">
      <c r="W55441"/>
    </row>
    <row r="55442" spans="23:23" x14ac:dyDescent="0.55000000000000004">
      <c r="W55442"/>
    </row>
    <row r="55443" spans="23:23" x14ac:dyDescent="0.55000000000000004">
      <c r="W55443"/>
    </row>
    <row r="55444" spans="23:23" x14ac:dyDescent="0.55000000000000004">
      <c r="W55444"/>
    </row>
    <row r="55445" spans="23:23" x14ac:dyDescent="0.55000000000000004">
      <c r="W55445"/>
    </row>
    <row r="55446" spans="23:23" x14ac:dyDescent="0.55000000000000004">
      <c r="W55446"/>
    </row>
    <row r="55447" spans="23:23" x14ac:dyDescent="0.55000000000000004">
      <c r="W55447"/>
    </row>
    <row r="55448" spans="23:23" x14ac:dyDescent="0.55000000000000004">
      <c r="W55448"/>
    </row>
    <row r="55449" spans="23:23" x14ac:dyDescent="0.55000000000000004">
      <c r="W55449"/>
    </row>
    <row r="55450" spans="23:23" x14ac:dyDescent="0.55000000000000004">
      <c r="W55450"/>
    </row>
    <row r="55451" spans="23:23" x14ac:dyDescent="0.55000000000000004">
      <c r="W55451"/>
    </row>
    <row r="55452" spans="23:23" x14ac:dyDescent="0.55000000000000004">
      <c r="W55452"/>
    </row>
    <row r="55453" spans="23:23" x14ac:dyDescent="0.55000000000000004">
      <c r="W55453"/>
    </row>
    <row r="55454" spans="23:23" x14ac:dyDescent="0.55000000000000004">
      <c r="W55454"/>
    </row>
    <row r="55455" spans="23:23" x14ac:dyDescent="0.55000000000000004">
      <c r="W55455"/>
    </row>
    <row r="55456" spans="23:23" x14ac:dyDescent="0.55000000000000004">
      <c r="W55456"/>
    </row>
    <row r="55457" spans="23:23" x14ac:dyDescent="0.55000000000000004">
      <c r="W55457"/>
    </row>
    <row r="55458" spans="23:23" x14ac:dyDescent="0.55000000000000004">
      <c r="W55458"/>
    </row>
    <row r="55459" spans="23:23" x14ac:dyDescent="0.55000000000000004">
      <c r="W55459"/>
    </row>
    <row r="55460" spans="23:23" x14ac:dyDescent="0.55000000000000004">
      <c r="W55460"/>
    </row>
    <row r="55461" spans="23:23" x14ac:dyDescent="0.55000000000000004">
      <c r="W55461"/>
    </row>
    <row r="55462" spans="23:23" x14ac:dyDescent="0.55000000000000004">
      <c r="W55462"/>
    </row>
    <row r="55463" spans="23:23" x14ac:dyDescent="0.55000000000000004">
      <c r="W55463"/>
    </row>
    <row r="55464" spans="23:23" x14ac:dyDescent="0.55000000000000004">
      <c r="W55464"/>
    </row>
    <row r="55465" spans="23:23" x14ac:dyDescent="0.55000000000000004">
      <c r="W55465"/>
    </row>
    <row r="55466" spans="23:23" x14ac:dyDescent="0.55000000000000004">
      <c r="W55466"/>
    </row>
    <row r="55467" spans="23:23" x14ac:dyDescent="0.55000000000000004">
      <c r="W55467"/>
    </row>
    <row r="55468" spans="23:23" x14ac:dyDescent="0.55000000000000004">
      <c r="W55468"/>
    </row>
    <row r="55469" spans="23:23" x14ac:dyDescent="0.55000000000000004">
      <c r="W55469"/>
    </row>
    <row r="55470" spans="23:23" x14ac:dyDescent="0.55000000000000004">
      <c r="W55470"/>
    </row>
    <row r="55471" spans="23:23" x14ac:dyDescent="0.55000000000000004">
      <c r="W55471"/>
    </row>
    <row r="55472" spans="23:23" x14ac:dyDescent="0.55000000000000004">
      <c r="W55472"/>
    </row>
    <row r="55473" spans="23:23" x14ac:dyDescent="0.55000000000000004">
      <c r="W55473"/>
    </row>
    <row r="55474" spans="23:23" x14ac:dyDescent="0.55000000000000004">
      <c r="W55474"/>
    </row>
    <row r="55475" spans="23:23" x14ac:dyDescent="0.55000000000000004">
      <c r="W55475"/>
    </row>
    <row r="55476" spans="23:23" x14ac:dyDescent="0.55000000000000004">
      <c r="W55476"/>
    </row>
    <row r="55477" spans="23:23" x14ac:dyDescent="0.55000000000000004">
      <c r="W55477"/>
    </row>
    <row r="55478" spans="23:23" x14ac:dyDescent="0.55000000000000004">
      <c r="W55478"/>
    </row>
    <row r="55479" spans="23:23" x14ac:dyDescent="0.55000000000000004">
      <c r="W55479"/>
    </row>
    <row r="55480" spans="23:23" x14ac:dyDescent="0.55000000000000004">
      <c r="W55480"/>
    </row>
    <row r="55481" spans="23:23" x14ac:dyDescent="0.55000000000000004">
      <c r="W55481"/>
    </row>
    <row r="55482" spans="23:23" x14ac:dyDescent="0.55000000000000004">
      <c r="W55482"/>
    </row>
    <row r="55483" spans="23:23" x14ac:dyDescent="0.55000000000000004">
      <c r="W55483"/>
    </row>
    <row r="55484" spans="23:23" x14ac:dyDescent="0.55000000000000004">
      <c r="W55484"/>
    </row>
    <row r="55485" spans="23:23" x14ac:dyDescent="0.55000000000000004">
      <c r="W55485"/>
    </row>
    <row r="55486" spans="23:23" x14ac:dyDescent="0.55000000000000004">
      <c r="W55486"/>
    </row>
    <row r="55487" spans="23:23" x14ac:dyDescent="0.55000000000000004">
      <c r="W55487"/>
    </row>
    <row r="55488" spans="23:23" x14ac:dyDescent="0.55000000000000004">
      <c r="W55488"/>
    </row>
    <row r="55489" spans="23:23" x14ac:dyDescent="0.55000000000000004">
      <c r="W55489"/>
    </row>
    <row r="55490" spans="23:23" x14ac:dyDescent="0.55000000000000004">
      <c r="W55490"/>
    </row>
    <row r="55491" spans="23:23" x14ac:dyDescent="0.55000000000000004">
      <c r="W55491"/>
    </row>
    <row r="55492" spans="23:23" x14ac:dyDescent="0.55000000000000004">
      <c r="W55492"/>
    </row>
    <row r="55493" spans="23:23" x14ac:dyDescent="0.55000000000000004">
      <c r="W55493"/>
    </row>
    <row r="55494" spans="23:23" x14ac:dyDescent="0.55000000000000004">
      <c r="W55494"/>
    </row>
    <row r="55495" spans="23:23" x14ac:dyDescent="0.55000000000000004">
      <c r="W55495"/>
    </row>
    <row r="55496" spans="23:23" x14ac:dyDescent="0.55000000000000004">
      <c r="W55496"/>
    </row>
    <row r="55497" spans="23:23" x14ac:dyDescent="0.55000000000000004">
      <c r="W55497"/>
    </row>
    <row r="55498" spans="23:23" x14ac:dyDescent="0.55000000000000004">
      <c r="W55498"/>
    </row>
    <row r="55499" spans="23:23" x14ac:dyDescent="0.55000000000000004">
      <c r="W55499"/>
    </row>
    <row r="55500" spans="23:23" x14ac:dyDescent="0.55000000000000004">
      <c r="W55500"/>
    </row>
    <row r="55501" spans="23:23" x14ac:dyDescent="0.55000000000000004">
      <c r="W55501"/>
    </row>
    <row r="55502" spans="23:23" x14ac:dyDescent="0.55000000000000004">
      <c r="W55502"/>
    </row>
    <row r="55503" spans="23:23" x14ac:dyDescent="0.55000000000000004">
      <c r="W55503"/>
    </row>
    <row r="55504" spans="23:23" x14ac:dyDescent="0.55000000000000004">
      <c r="W55504"/>
    </row>
    <row r="55505" spans="23:23" x14ac:dyDescent="0.55000000000000004">
      <c r="W55505"/>
    </row>
    <row r="55506" spans="23:23" x14ac:dyDescent="0.55000000000000004">
      <c r="W55506"/>
    </row>
    <row r="55507" spans="23:23" x14ac:dyDescent="0.55000000000000004">
      <c r="W55507"/>
    </row>
    <row r="55508" spans="23:23" x14ac:dyDescent="0.55000000000000004">
      <c r="W55508"/>
    </row>
    <row r="55509" spans="23:23" x14ac:dyDescent="0.55000000000000004">
      <c r="W55509"/>
    </row>
    <row r="55510" spans="23:23" x14ac:dyDescent="0.55000000000000004">
      <c r="W55510"/>
    </row>
    <row r="55511" spans="23:23" x14ac:dyDescent="0.55000000000000004">
      <c r="W55511"/>
    </row>
    <row r="55512" spans="23:23" x14ac:dyDescent="0.55000000000000004">
      <c r="W55512"/>
    </row>
    <row r="55513" spans="23:23" x14ac:dyDescent="0.55000000000000004">
      <c r="W55513"/>
    </row>
    <row r="55514" spans="23:23" x14ac:dyDescent="0.55000000000000004">
      <c r="W55514"/>
    </row>
    <row r="55515" spans="23:23" x14ac:dyDescent="0.55000000000000004">
      <c r="W55515"/>
    </row>
    <row r="55516" spans="23:23" x14ac:dyDescent="0.55000000000000004">
      <c r="W55516"/>
    </row>
    <row r="55517" spans="23:23" x14ac:dyDescent="0.55000000000000004">
      <c r="W55517"/>
    </row>
    <row r="55518" spans="23:23" x14ac:dyDescent="0.55000000000000004">
      <c r="W55518"/>
    </row>
    <row r="55519" spans="23:23" x14ac:dyDescent="0.55000000000000004">
      <c r="W55519"/>
    </row>
    <row r="55520" spans="23:23" x14ac:dyDescent="0.55000000000000004">
      <c r="W55520"/>
    </row>
    <row r="55521" spans="23:23" x14ac:dyDescent="0.55000000000000004">
      <c r="W55521"/>
    </row>
    <row r="55522" spans="23:23" x14ac:dyDescent="0.55000000000000004">
      <c r="W55522"/>
    </row>
    <row r="55523" spans="23:23" x14ac:dyDescent="0.55000000000000004">
      <c r="W55523"/>
    </row>
    <row r="55524" spans="23:23" x14ac:dyDescent="0.55000000000000004">
      <c r="W55524"/>
    </row>
    <row r="55525" spans="23:23" x14ac:dyDescent="0.55000000000000004">
      <c r="W55525"/>
    </row>
    <row r="55526" spans="23:23" x14ac:dyDescent="0.55000000000000004">
      <c r="W55526"/>
    </row>
    <row r="55527" spans="23:23" x14ac:dyDescent="0.55000000000000004">
      <c r="W55527"/>
    </row>
    <row r="55528" spans="23:23" x14ac:dyDescent="0.55000000000000004">
      <c r="W55528"/>
    </row>
    <row r="55529" spans="23:23" x14ac:dyDescent="0.55000000000000004">
      <c r="W55529"/>
    </row>
    <row r="55530" spans="23:23" x14ac:dyDescent="0.55000000000000004">
      <c r="W55530"/>
    </row>
    <row r="55531" spans="23:23" x14ac:dyDescent="0.55000000000000004">
      <c r="W55531"/>
    </row>
    <row r="55532" spans="23:23" x14ac:dyDescent="0.55000000000000004">
      <c r="W55532"/>
    </row>
    <row r="55533" spans="23:23" x14ac:dyDescent="0.55000000000000004">
      <c r="W55533"/>
    </row>
    <row r="55534" spans="23:23" x14ac:dyDescent="0.55000000000000004">
      <c r="W55534"/>
    </row>
    <row r="55535" spans="23:23" x14ac:dyDescent="0.55000000000000004">
      <c r="W55535"/>
    </row>
    <row r="55536" spans="23:23" x14ac:dyDescent="0.55000000000000004">
      <c r="W55536"/>
    </row>
    <row r="55537" spans="23:23" x14ac:dyDescent="0.55000000000000004">
      <c r="W55537"/>
    </row>
    <row r="55538" spans="23:23" x14ac:dyDescent="0.55000000000000004">
      <c r="W55538"/>
    </row>
    <row r="55539" spans="23:23" x14ac:dyDescent="0.55000000000000004">
      <c r="W55539"/>
    </row>
    <row r="55540" spans="23:23" x14ac:dyDescent="0.55000000000000004">
      <c r="W55540"/>
    </row>
    <row r="55541" spans="23:23" x14ac:dyDescent="0.55000000000000004">
      <c r="W55541"/>
    </row>
    <row r="55542" spans="23:23" x14ac:dyDescent="0.55000000000000004">
      <c r="W55542"/>
    </row>
    <row r="55543" spans="23:23" x14ac:dyDescent="0.55000000000000004">
      <c r="W55543"/>
    </row>
    <row r="55544" spans="23:23" x14ac:dyDescent="0.55000000000000004">
      <c r="W55544"/>
    </row>
    <row r="55545" spans="23:23" x14ac:dyDescent="0.55000000000000004">
      <c r="W55545"/>
    </row>
    <row r="55546" spans="23:23" x14ac:dyDescent="0.55000000000000004">
      <c r="W55546"/>
    </row>
    <row r="55547" spans="23:23" x14ac:dyDescent="0.55000000000000004">
      <c r="W55547"/>
    </row>
    <row r="55548" spans="23:23" x14ac:dyDescent="0.55000000000000004">
      <c r="W55548"/>
    </row>
    <row r="55549" spans="23:23" x14ac:dyDescent="0.55000000000000004">
      <c r="W55549"/>
    </row>
    <row r="55550" spans="23:23" x14ac:dyDescent="0.55000000000000004">
      <c r="W55550"/>
    </row>
    <row r="55551" spans="23:23" x14ac:dyDescent="0.55000000000000004">
      <c r="W55551"/>
    </row>
    <row r="55552" spans="23:23" x14ac:dyDescent="0.55000000000000004">
      <c r="W55552"/>
    </row>
    <row r="55553" spans="23:23" x14ac:dyDescent="0.55000000000000004">
      <c r="W55553"/>
    </row>
    <row r="55554" spans="23:23" x14ac:dyDescent="0.55000000000000004">
      <c r="W55554"/>
    </row>
    <row r="55555" spans="23:23" x14ac:dyDescent="0.55000000000000004">
      <c r="W55555"/>
    </row>
    <row r="55556" spans="23:23" x14ac:dyDescent="0.55000000000000004">
      <c r="W55556"/>
    </row>
    <row r="55557" spans="23:23" x14ac:dyDescent="0.55000000000000004">
      <c r="W55557"/>
    </row>
    <row r="55558" spans="23:23" x14ac:dyDescent="0.55000000000000004">
      <c r="W55558"/>
    </row>
    <row r="55559" spans="23:23" x14ac:dyDescent="0.55000000000000004">
      <c r="W55559"/>
    </row>
    <row r="55560" spans="23:23" x14ac:dyDescent="0.55000000000000004">
      <c r="W55560"/>
    </row>
    <row r="55561" spans="23:23" x14ac:dyDescent="0.55000000000000004">
      <c r="W55561"/>
    </row>
    <row r="55562" spans="23:23" x14ac:dyDescent="0.55000000000000004">
      <c r="W55562"/>
    </row>
    <row r="55563" spans="23:23" x14ac:dyDescent="0.55000000000000004">
      <c r="W55563"/>
    </row>
    <row r="55564" spans="23:23" x14ac:dyDescent="0.55000000000000004">
      <c r="W55564"/>
    </row>
    <row r="55565" spans="23:23" x14ac:dyDescent="0.55000000000000004">
      <c r="W55565"/>
    </row>
    <row r="55566" spans="23:23" x14ac:dyDescent="0.55000000000000004">
      <c r="W55566"/>
    </row>
    <row r="55567" spans="23:23" x14ac:dyDescent="0.55000000000000004">
      <c r="W55567"/>
    </row>
    <row r="55568" spans="23:23" x14ac:dyDescent="0.55000000000000004">
      <c r="W55568"/>
    </row>
    <row r="55569" spans="23:23" x14ac:dyDescent="0.55000000000000004">
      <c r="W55569"/>
    </row>
    <row r="55570" spans="23:23" x14ac:dyDescent="0.55000000000000004">
      <c r="W55570"/>
    </row>
    <row r="55571" spans="23:23" x14ac:dyDescent="0.55000000000000004">
      <c r="W55571"/>
    </row>
    <row r="55572" spans="23:23" x14ac:dyDescent="0.55000000000000004">
      <c r="W55572"/>
    </row>
    <row r="55573" spans="23:23" x14ac:dyDescent="0.55000000000000004">
      <c r="W55573"/>
    </row>
    <row r="55574" spans="23:23" x14ac:dyDescent="0.55000000000000004">
      <c r="W55574"/>
    </row>
    <row r="55575" spans="23:23" x14ac:dyDescent="0.55000000000000004">
      <c r="W55575"/>
    </row>
    <row r="55576" spans="23:23" x14ac:dyDescent="0.55000000000000004">
      <c r="W55576"/>
    </row>
    <row r="55577" spans="23:23" x14ac:dyDescent="0.55000000000000004">
      <c r="W55577"/>
    </row>
    <row r="55578" spans="23:23" x14ac:dyDescent="0.55000000000000004">
      <c r="W55578"/>
    </row>
    <row r="55579" spans="23:23" x14ac:dyDescent="0.55000000000000004">
      <c r="W55579"/>
    </row>
    <row r="55580" spans="23:23" x14ac:dyDescent="0.55000000000000004">
      <c r="W55580"/>
    </row>
    <row r="55581" spans="23:23" x14ac:dyDescent="0.55000000000000004">
      <c r="W55581"/>
    </row>
    <row r="55582" spans="23:23" x14ac:dyDescent="0.55000000000000004">
      <c r="W55582"/>
    </row>
    <row r="55583" spans="23:23" x14ac:dyDescent="0.55000000000000004">
      <c r="W55583"/>
    </row>
    <row r="55584" spans="23:23" x14ac:dyDescent="0.55000000000000004">
      <c r="W55584"/>
    </row>
    <row r="55585" spans="23:23" x14ac:dyDescent="0.55000000000000004">
      <c r="W55585"/>
    </row>
    <row r="55586" spans="23:23" x14ac:dyDescent="0.55000000000000004">
      <c r="W55586"/>
    </row>
    <row r="55587" spans="23:23" x14ac:dyDescent="0.55000000000000004">
      <c r="W55587"/>
    </row>
    <row r="55588" spans="23:23" x14ac:dyDescent="0.55000000000000004">
      <c r="W55588"/>
    </row>
    <row r="55589" spans="23:23" x14ac:dyDescent="0.55000000000000004">
      <c r="W55589"/>
    </row>
    <row r="55590" spans="23:23" x14ac:dyDescent="0.55000000000000004">
      <c r="W55590"/>
    </row>
    <row r="55591" spans="23:23" x14ac:dyDescent="0.55000000000000004">
      <c r="W55591"/>
    </row>
    <row r="55592" spans="23:23" x14ac:dyDescent="0.55000000000000004">
      <c r="W55592"/>
    </row>
    <row r="55593" spans="23:23" x14ac:dyDescent="0.55000000000000004">
      <c r="W55593"/>
    </row>
    <row r="55594" spans="23:23" x14ac:dyDescent="0.55000000000000004">
      <c r="W55594"/>
    </row>
    <row r="55595" spans="23:23" x14ac:dyDescent="0.55000000000000004">
      <c r="W55595"/>
    </row>
    <row r="55596" spans="23:23" x14ac:dyDescent="0.55000000000000004">
      <c r="W55596"/>
    </row>
    <row r="55597" spans="23:23" x14ac:dyDescent="0.55000000000000004">
      <c r="W55597"/>
    </row>
    <row r="55598" spans="23:23" x14ac:dyDescent="0.55000000000000004">
      <c r="W55598"/>
    </row>
    <row r="55599" spans="23:23" x14ac:dyDescent="0.55000000000000004">
      <c r="W55599"/>
    </row>
    <row r="55600" spans="23:23" x14ac:dyDescent="0.55000000000000004">
      <c r="W55600"/>
    </row>
    <row r="55601" spans="23:23" x14ac:dyDescent="0.55000000000000004">
      <c r="W55601"/>
    </row>
    <row r="55602" spans="23:23" x14ac:dyDescent="0.55000000000000004">
      <c r="W55602"/>
    </row>
    <row r="55603" spans="23:23" x14ac:dyDescent="0.55000000000000004">
      <c r="W55603"/>
    </row>
    <row r="55604" spans="23:23" x14ac:dyDescent="0.55000000000000004">
      <c r="W55604"/>
    </row>
    <row r="55605" spans="23:23" x14ac:dyDescent="0.55000000000000004">
      <c r="W55605"/>
    </row>
    <row r="55606" spans="23:23" x14ac:dyDescent="0.55000000000000004">
      <c r="W55606"/>
    </row>
    <row r="55607" spans="23:23" x14ac:dyDescent="0.55000000000000004">
      <c r="W55607"/>
    </row>
    <row r="55608" spans="23:23" x14ac:dyDescent="0.55000000000000004">
      <c r="W55608"/>
    </row>
    <row r="55609" spans="23:23" x14ac:dyDescent="0.55000000000000004">
      <c r="W55609"/>
    </row>
    <row r="55610" spans="23:23" x14ac:dyDescent="0.55000000000000004">
      <c r="W55610"/>
    </row>
    <row r="55611" spans="23:23" x14ac:dyDescent="0.55000000000000004">
      <c r="W55611"/>
    </row>
    <row r="55612" spans="23:23" x14ac:dyDescent="0.55000000000000004">
      <c r="W55612"/>
    </row>
    <row r="55613" spans="23:23" x14ac:dyDescent="0.55000000000000004">
      <c r="W55613"/>
    </row>
    <row r="55614" spans="23:23" x14ac:dyDescent="0.55000000000000004">
      <c r="W55614"/>
    </row>
    <row r="55615" spans="23:23" x14ac:dyDescent="0.55000000000000004">
      <c r="W55615"/>
    </row>
    <row r="55616" spans="23:23" x14ac:dyDescent="0.55000000000000004">
      <c r="W55616"/>
    </row>
    <row r="55617" spans="23:23" x14ac:dyDescent="0.55000000000000004">
      <c r="W55617"/>
    </row>
    <row r="55618" spans="23:23" x14ac:dyDescent="0.55000000000000004">
      <c r="W55618"/>
    </row>
    <row r="55619" spans="23:23" x14ac:dyDescent="0.55000000000000004">
      <c r="W55619"/>
    </row>
    <row r="55620" spans="23:23" x14ac:dyDescent="0.55000000000000004">
      <c r="W55620"/>
    </row>
    <row r="55621" spans="23:23" x14ac:dyDescent="0.55000000000000004">
      <c r="W55621"/>
    </row>
    <row r="55622" spans="23:23" x14ac:dyDescent="0.55000000000000004">
      <c r="W55622"/>
    </row>
    <row r="55623" spans="23:23" x14ac:dyDescent="0.55000000000000004">
      <c r="W55623"/>
    </row>
    <row r="55624" spans="23:23" x14ac:dyDescent="0.55000000000000004">
      <c r="W55624"/>
    </row>
    <row r="55625" spans="23:23" x14ac:dyDescent="0.55000000000000004">
      <c r="W55625"/>
    </row>
    <row r="55626" spans="23:23" x14ac:dyDescent="0.55000000000000004">
      <c r="W55626"/>
    </row>
    <row r="55627" spans="23:23" x14ac:dyDescent="0.55000000000000004">
      <c r="W55627"/>
    </row>
    <row r="55628" spans="23:23" x14ac:dyDescent="0.55000000000000004">
      <c r="W55628"/>
    </row>
    <row r="55629" spans="23:23" x14ac:dyDescent="0.55000000000000004">
      <c r="W55629"/>
    </row>
    <row r="55630" spans="23:23" x14ac:dyDescent="0.55000000000000004">
      <c r="W55630"/>
    </row>
    <row r="55631" spans="23:23" x14ac:dyDescent="0.55000000000000004">
      <c r="W55631"/>
    </row>
    <row r="55632" spans="23:23" x14ac:dyDescent="0.55000000000000004">
      <c r="W55632"/>
    </row>
    <row r="55633" spans="23:23" x14ac:dyDescent="0.55000000000000004">
      <c r="W55633"/>
    </row>
    <row r="55634" spans="23:23" x14ac:dyDescent="0.55000000000000004">
      <c r="W55634"/>
    </row>
    <row r="55635" spans="23:23" x14ac:dyDescent="0.55000000000000004">
      <c r="W55635"/>
    </row>
    <row r="55636" spans="23:23" x14ac:dyDescent="0.55000000000000004">
      <c r="W55636"/>
    </row>
    <row r="55637" spans="23:23" x14ac:dyDescent="0.55000000000000004">
      <c r="W55637"/>
    </row>
    <row r="55638" spans="23:23" x14ac:dyDescent="0.55000000000000004">
      <c r="W55638"/>
    </row>
    <row r="55639" spans="23:23" x14ac:dyDescent="0.55000000000000004">
      <c r="W55639"/>
    </row>
    <row r="55640" spans="23:23" x14ac:dyDescent="0.55000000000000004">
      <c r="W55640"/>
    </row>
    <row r="55641" spans="23:23" x14ac:dyDescent="0.55000000000000004">
      <c r="W55641"/>
    </row>
    <row r="55642" spans="23:23" x14ac:dyDescent="0.55000000000000004">
      <c r="W55642"/>
    </row>
    <row r="55643" spans="23:23" x14ac:dyDescent="0.55000000000000004">
      <c r="W55643"/>
    </row>
    <row r="55644" spans="23:23" x14ac:dyDescent="0.55000000000000004">
      <c r="W55644"/>
    </row>
    <row r="55645" spans="23:23" x14ac:dyDescent="0.55000000000000004">
      <c r="W55645"/>
    </row>
    <row r="55646" spans="23:23" x14ac:dyDescent="0.55000000000000004">
      <c r="W55646"/>
    </row>
    <row r="55647" spans="23:23" x14ac:dyDescent="0.55000000000000004">
      <c r="W55647"/>
    </row>
    <row r="55648" spans="23:23" x14ac:dyDescent="0.55000000000000004">
      <c r="W55648"/>
    </row>
    <row r="55649" spans="23:23" x14ac:dyDescent="0.55000000000000004">
      <c r="W55649"/>
    </row>
    <row r="55650" spans="23:23" x14ac:dyDescent="0.55000000000000004">
      <c r="W55650"/>
    </row>
    <row r="55651" spans="23:23" x14ac:dyDescent="0.55000000000000004">
      <c r="W55651"/>
    </row>
    <row r="55652" spans="23:23" x14ac:dyDescent="0.55000000000000004">
      <c r="W55652"/>
    </row>
    <row r="55653" spans="23:23" x14ac:dyDescent="0.55000000000000004">
      <c r="W55653"/>
    </row>
    <row r="55654" spans="23:23" x14ac:dyDescent="0.55000000000000004">
      <c r="W55654"/>
    </row>
    <row r="55655" spans="23:23" x14ac:dyDescent="0.55000000000000004">
      <c r="W55655"/>
    </row>
    <row r="55656" spans="23:23" x14ac:dyDescent="0.55000000000000004">
      <c r="W55656"/>
    </row>
    <row r="55657" spans="23:23" x14ac:dyDescent="0.55000000000000004">
      <c r="W55657"/>
    </row>
    <row r="55658" spans="23:23" x14ac:dyDescent="0.55000000000000004">
      <c r="W55658"/>
    </row>
    <row r="55659" spans="23:23" x14ac:dyDescent="0.55000000000000004">
      <c r="W55659"/>
    </row>
    <row r="55660" spans="23:23" x14ac:dyDescent="0.55000000000000004">
      <c r="W55660"/>
    </row>
    <row r="55661" spans="23:23" x14ac:dyDescent="0.55000000000000004">
      <c r="W55661"/>
    </row>
    <row r="55662" spans="23:23" x14ac:dyDescent="0.55000000000000004">
      <c r="W55662"/>
    </row>
    <row r="55663" spans="23:23" x14ac:dyDescent="0.55000000000000004">
      <c r="W55663"/>
    </row>
    <row r="55664" spans="23:23" x14ac:dyDescent="0.55000000000000004">
      <c r="W55664"/>
    </row>
    <row r="55665" spans="23:23" x14ac:dyDescent="0.55000000000000004">
      <c r="W55665"/>
    </row>
    <row r="55666" spans="23:23" x14ac:dyDescent="0.55000000000000004">
      <c r="W55666"/>
    </row>
    <row r="55667" spans="23:23" x14ac:dyDescent="0.55000000000000004">
      <c r="W55667"/>
    </row>
    <row r="55668" spans="23:23" x14ac:dyDescent="0.55000000000000004">
      <c r="W55668"/>
    </row>
    <row r="55669" spans="23:23" x14ac:dyDescent="0.55000000000000004">
      <c r="W55669"/>
    </row>
    <row r="55670" spans="23:23" x14ac:dyDescent="0.55000000000000004">
      <c r="W55670"/>
    </row>
    <row r="55671" spans="23:23" x14ac:dyDescent="0.55000000000000004">
      <c r="W55671"/>
    </row>
    <row r="55672" spans="23:23" x14ac:dyDescent="0.55000000000000004">
      <c r="W55672"/>
    </row>
    <row r="55673" spans="23:23" x14ac:dyDescent="0.55000000000000004">
      <c r="W55673"/>
    </row>
    <row r="55674" spans="23:23" x14ac:dyDescent="0.55000000000000004">
      <c r="W55674"/>
    </row>
    <row r="55675" spans="23:23" x14ac:dyDescent="0.55000000000000004">
      <c r="W55675"/>
    </row>
    <row r="55676" spans="23:23" x14ac:dyDescent="0.55000000000000004">
      <c r="W55676"/>
    </row>
    <row r="55677" spans="23:23" x14ac:dyDescent="0.55000000000000004">
      <c r="W55677"/>
    </row>
    <row r="55678" spans="23:23" x14ac:dyDescent="0.55000000000000004">
      <c r="W55678"/>
    </row>
    <row r="55679" spans="23:23" x14ac:dyDescent="0.55000000000000004">
      <c r="W55679"/>
    </row>
    <row r="55680" spans="23:23" x14ac:dyDescent="0.55000000000000004">
      <c r="W55680"/>
    </row>
    <row r="55681" spans="23:23" x14ac:dyDescent="0.55000000000000004">
      <c r="W55681"/>
    </row>
    <row r="55682" spans="23:23" x14ac:dyDescent="0.55000000000000004">
      <c r="W55682"/>
    </row>
    <row r="55683" spans="23:23" x14ac:dyDescent="0.55000000000000004">
      <c r="W55683"/>
    </row>
    <row r="55684" spans="23:23" x14ac:dyDescent="0.55000000000000004">
      <c r="W55684"/>
    </row>
    <row r="55685" spans="23:23" x14ac:dyDescent="0.55000000000000004">
      <c r="W55685"/>
    </row>
    <row r="55686" spans="23:23" x14ac:dyDescent="0.55000000000000004">
      <c r="W55686"/>
    </row>
    <row r="55687" spans="23:23" x14ac:dyDescent="0.55000000000000004">
      <c r="W55687"/>
    </row>
    <row r="55688" spans="23:23" x14ac:dyDescent="0.55000000000000004">
      <c r="W55688"/>
    </row>
    <row r="55689" spans="23:23" x14ac:dyDescent="0.55000000000000004">
      <c r="W55689"/>
    </row>
    <row r="55690" spans="23:23" x14ac:dyDescent="0.55000000000000004">
      <c r="W55690"/>
    </row>
    <row r="55691" spans="23:23" x14ac:dyDescent="0.55000000000000004">
      <c r="W55691"/>
    </row>
    <row r="55692" spans="23:23" x14ac:dyDescent="0.55000000000000004">
      <c r="W55692"/>
    </row>
    <row r="55693" spans="23:23" x14ac:dyDescent="0.55000000000000004">
      <c r="W55693"/>
    </row>
    <row r="55694" spans="23:23" x14ac:dyDescent="0.55000000000000004">
      <c r="W55694"/>
    </row>
    <row r="55695" spans="23:23" x14ac:dyDescent="0.55000000000000004">
      <c r="W55695"/>
    </row>
    <row r="55696" spans="23:23" x14ac:dyDescent="0.55000000000000004">
      <c r="W55696"/>
    </row>
    <row r="55697" spans="23:23" x14ac:dyDescent="0.55000000000000004">
      <c r="W55697"/>
    </row>
    <row r="55698" spans="23:23" x14ac:dyDescent="0.55000000000000004">
      <c r="W55698"/>
    </row>
    <row r="55699" spans="23:23" x14ac:dyDescent="0.55000000000000004">
      <c r="W55699"/>
    </row>
    <row r="55700" spans="23:23" x14ac:dyDescent="0.55000000000000004">
      <c r="W55700"/>
    </row>
    <row r="55701" spans="23:23" x14ac:dyDescent="0.55000000000000004">
      <c r="W55701"/>
    </row>
    <row r="55702" spans="23:23" x14ac:dyDescent="0.55000000000000004">
      <c r="W55702"/>
    </row>
    <row r="55703" spans="23:23" x14ac:dyDescent="0.55000000000000004">
      <c r="W55703"/>
    </row>
    <row r="55704" spans="23:23" x14ac:dyDescent="0.55000000000000004">
      <c r="W55704"/>
    </row>
    <row r="55705" spans="23:23" x14ac:dyDescent="0.55000000000000004">
      <c r="W55705"/>
    </row>
    <row r="55706" spans="23:23" x14ac:dyDescent="0.55000000000000004">
      <c r="W55706"/>
    </row>
    <row r="55707" spans="23:23" x14ac:dyDescent="0.55000000000000004">
      <c r="W55707"/>
    </row>
    <row r="55708" spans="23:23" x14ac:dyDescent="0.55000000000000004">
      <c r="W55708"/>
    </row>
    <row r="55709" spans="23:23" x14ac:dyDescent="0.55000000000000004">
      <c r="W55709"/>
    </row>
    <row r="55710" spans="23:23" x14ac:dyDescent="0.55000000000000004">
      <c r="W55710"/>
    </row>
    <row r="55711" spans="23:23" x14ac:dyDescent="0.55000000000000004">
      <c r="W55711"/>
    </row>
    <row r="55712" spans="23:23" x14ac:dyDescent="0.55000000000000004">
      <c r="W55712"/>
    </row>
    <row r="55713" spans="23:23" x14ac:dyDescent="0.55000000000000004">
      <c r="W55713"/>
    </row>
    <row r="55714" spans="23:23" x14ac:dyDescent="0.55000000000000004">
      <c r="W55714"/>
    </row>
    <row r="55715" spans="23:23" x14ac:dyDescent="0.55000000000000004">
      <c r="W55715"/>
    </row>
    <row r="55716" spans="23:23" x14ac:dyDescent="0.55000000000000004">
      <c r="W55716"/>
    </row>
    <row r="55717" spans="23:23" x14ac:dyDescent="0.55000000000000004">
      <c r="W55717"/>
    </row>
    <row r="55718" spans="23:23" x14ac:dyDescent="0.55000000000000004">
      <c r="W55718"/>
    </row>
    <row r="55719" spans="23:23" x14ac:dyDescent="0.55000000000000004">
      <c r="W55719"/>
    </row>
    <row r="55720" spans="23:23" x14ac:dyDescent="0.55000000000000004">
      <c r="W55720"/>
    </row>
    <row r="55721" spans="23:23" x14ac:dyDescent="0.55000000000000004">
      <c r="W55721"/>
    </row>
    <row r="55722" spans="23:23" x14ac:dyDescent="0.55000000000000004">
      <c r="W55722"/>
    </row>
    <row r="55723" spans="23:23" x14ac:dyDescent="0.55000000000000004">
      <c r="W55723"/>
    </row>
    <row r="55724" spans="23:23" x14ac:dyDescent="0.55000000000000004">
      <c r="W55724"/>
    </row>
    <row r="55725" spans="23:23" x14ac:dyDescent="0.55000000000000004">
      <c r="W55725"/>
    </row>
    <row r="55726" spans="23:23" x14ac:dyDescent="0.55000000000000004">
      <c r="W55726"/>
    </row>
    <row r="55727" spans="23:23" x14ac:dyDescent="0.55000000000000004">
      <c r="W55727"/>
    </row>
    <row r="55728" spans="23:23" x14ac:dyDescent="0.55000000000000004">
      <c r="W55728"/>
    </row>
    <row r="55729" spans="23:23" x14ac:dyDescent="0.55000000000000004">
      <c r="W55729"/>
    </row>
    <row r="55730" spans="23:23" x14ac:dyDescent="0.55000000000000004">
      <c r="W55730"/>
    </row>
    <row r="55731" spans="23:23" x14ac:dyDescent="0.55000000000000004">
      <c r="W55731"/>
    </row>
    <row r="55732" spans="23:23" x14ac:dyDescent="0.55000000000000004">
      <c r="W55732"/>
    </row>
    <row r="55733" spans="23:23" x14ac:dyDescent="0.55000000000000004">
      <c r="W55733"/>
    </row>
    <row r="55734" spans="23:23" x14ac:dyDescent="0.55000000000000004">
      <c r="W55734"/>
    </row>
    <row r="55735" spans="23:23" x14ac:dyDescent="0.55000000000000004">
      <c r="W55735"/>
    </row>
    <row r="55736" spans="23:23" x14ac:dyDescent="0.55000000000000004">
      <c r="W55736"/>
    </row>
    <row r="55737" spans="23:23" x14ac:dyDescent="0.55000000000000004">
      <c r="W55737"/>
    </row>
    <row r="55738" spans="23:23" x14ac:dyDescent="0.55000000000000004">
      <c r="W55738"/>
    </row>
    <row r="55739" spans="23:23" x14ac:dyDescent="0.55000000000000004">
      <c r="W55739"/>
    </row>
    <row r="55740" spans="23:23" x14ac:dyDescent="0.55000000000000004">
      <c r="W55740"/>
    </row>
    <row r="55741" spans="23:23" x14ac:dyDescent="0.55000000000000004">
      <c r="W55741"/>
    </row>
    <row r="55742" spans="23:23" x14ac:dyDescent="0.55000000000000004">
      <c r="W55742"/>
    </row>
    <row r="55743" spans="23:23" x14ac:dyDescent="0.55000000000000004">
      <c r="W55743"/>
    </row>
    <row r="55744" spans="23:23" x14ac:dyDescent="0.55000000000000004">
      <c r="W55744"/>
    </row>
    <row r="55745" spans="23:23" x14ac:dyDescent="0.55000000000000004">
      <c r="W55745"/>
    </row>
    <row r="55746" spans="23:23" x14ac:dyDescent="0.55000000000000004">
      <c r="W55746"/>
    </row>
    <row r="55747" spans="23:23" x14ac:dyDescent="0.55000000000000004">
      <c r="W55747"/>
    </row>
    <row r="55748" spans="23:23" x14ac:dyDescent="0.55000000000000004">
      <c r="W55748"/>
    </row>
    <row r="55749" spans="23:23" x14ac:dyDescent="0.55000000000000004">
      <c r="W55749"/>
    </row>
    <row r="55750" spans="23:23" x14ac:dyDescent="0.55000000000000004">
      <c r="W55750"/>
    </row>
    <row r="55751" spans="23:23" x14ac:dyDescent="0.55000000000000004">
      <c r="W55751"/>
    </row>
    <row r="55752" spans="23:23" x14ac:dyDescent="0.55000000000000004">
      <c r="W55752"/>
    </row>
    <row r="55753" spans="23:23" x14ac:dyDescent="0.55000000000000004">
      <c r="W55753"/>
    </row>
    <row r="55754" spans="23:23" x14ac:dyDescent="0.55000000000000004">
      <c r="W55754"/>
    </row>
    <row r="55755" spans="23:23" x14ac:dyDescent="0.55000000000000004">
      <c r="W55755"/>
    </row>
    <row r="55756" spans="23:23" x14ac:dyDescent="0.55000000000000004">
      <c r="W55756"/>
    </row>
    <row r="55757" spans="23:23" x14ac:dyDescent="0.55000000000000004">
      <c r="W55757"/>
    </row>
    <row r="55758" spans="23:23" x14ac:dyDescent="0.55000000000000004">
      <c r="W55758"/>
    </row>
    <row r="55759" spans="23:23" x14ac:dyDescent="0.55000000000000004">
      <c r="W55759"/>
    </row>
    <row r="55760" spans="23:23" x14ac:dyDescent="0.55000000000000004">
      <c r="W55760"/>
    </row>
    <row r="55761" spans="23:23" x14ac:dyDescent="0.55000000000000004">
      <c r="W55761"/>
    </row>
    <row r="55762" spans="23:23" x14ac:dyDescent="0.55000000000000004">
      <c r="W55762"/>
    </row>
    <row r="55763" spans="23:23" x14ac:dyDescent="0.55000000000000004">
      <c r="W55763"/>
    </row>
    <row r="55764" spans="23:23" x14ac:dyDescent="0.55000000000000004">
      <c r="W55764"/>
    </row>
    <row r="55765" spans="23:23" x14ac:dyDescent="0.55000000000000004">
      <c r="W55765"/>
    </row>
    <row r="55766" spans="23:23" x14ac:dyDescent="0.55000000000000004">
      <c r="W55766"/>
    </row>
    <row r="55767" spans="23:23" x14ac:dyDescent="0.55000000000000004">
      <c r="W55767"/>
    </row>
    <row r="55768" spans="23:23" x14ac:dyDescent="0.55000000000000004">
      <c r="W55768"/>
    </row>
    <row r="55769" spans="23:23" x14ac:dyDescent="0.55000000000000004">
      <c r="W55769"/>
    </row>
    <row r="55770" spans="23:23" x14ac:dyDescent="0.55000000000000004">
      <c r="W55770"/>
    </row>
    <row r="55771" spans="23:23" x14ac:dyDescent="0.55000000000000004">
      <c r="W55771"/>
    </row>
    <row r="55772" spans="23:23" x14ac:dyDescent="0.55000000000000004">
      <c r="W55772"/>
    </row>
    <row r="55773" spans="23:23" x14ac:dyDescent="0.55000000000000004">
      <c r="W55773"/>
    </row>
    <row r="55774" spans="23:23" x14ac:dyDescent="0.55000000000000004">
      <c r="W55774"/>
    </row>
    <row r="55775" spans="23:23" x14ac:dyDescent="0.55000000000000004">
      <c r="W55775"/>
    </row>
    <row r="55776" spans="23:23" x14ac:dyDescent="0.55000000000000004">
      <c r="W55776"/>
    </row>
    <row r="55777" spans="23:23" x14ac:dyDescent="0.55000000000000004">
      <c r="W55777"/>
    </row>
    <row r="55778" spans="23:23" x14ac:dyDescent="0.55000000000000004">
      <c r="W55778"/>
    </row>
    <row r="55779" spans="23:23" x14ac:dyDescent="0.55000000000000004">
      <c r="W55779"/>
    </row>
    <row r="55780" spans="23:23" x14ac:dyDescent="0.55000000000000004">
      <c r="W55780"/>
    </row>
    <row r="55781" spans="23:23" x14ac:dyDescent="0.55000000000000004">
      <c r="W55781"/>
    </row>
    <row r="55782" spans="23:23" x14ac:dyDescent="0.55000000000000004">
      <c r="W55782"/>
    </row>
    <row r="55783" spans="23:23" x14ac:dyDescent="0.55000000000000004">
      <c r="W55783"/>
    </row>
    <row r="55784" spans="23:23" x14ac:dyDescent="0.55000000000000004">
      <c r="W55784"/>
    </row>
    <row r="55785" spans="23:23" x14ac:dyDescent="0.55000000000000004">
      <c r="W55785"/>
    </row>
    <row r="55786" spans="23:23" x14ac:dyDescent="0.55000000000000004">
      <c r="W55786"/>
    </row>
    <row r="55787" spans="23:23" x14ac:dyDescent="0.55000000000000004">
      <c r="W55787"/>
    </row>
    <row r="55788" spans="23:23" x14ac:dyDescent="0.55000000000000004">
      <c r="W55788"/>
    </row>
    <row r="55789" spans="23:23" x14ac:dyDescent="0.55000000000000004">
      <c r="W55789"/>
    </row>
    <row r="55790" spans="23:23" x14ac:dyDescent="0.55000000000000004">
      <c r="W55790"/>
    </row>
    <row r="55791" spans="23:23" x14ac:dyDescent="0.55000000000000004">
      <c r="W55791"/>
    </row>
    <row r="55792" spans="23:23" x14ac:dyDescent="0.55000000000000004">
      <c r="W55792"/>
    </row>
    <row r="55793" spans="23:23" x14ac:dyDescent="0.55000000000000004">
      <c r="W55793"/>
    </row>
    <row r="55794" spans="23:23" x14ac:dyDescent="0.55000000000000004">
      <c r="W55794"/>
    </row>
    <row r="55795" spans="23:23" x14ac:dyDescent="0.55000000000000004">
      <c r="W55795"/>
    </row>
    <row r="55796" spans="23:23" x14ac:dyDescent="0.55000000000000004">
      <c r="W55796"/>
    </row>
    <row r="55797" spans="23:23" x14ac:dyDescent="0.55000000000000004">
      <c r="W55797"/>
    </row>
    <row r="55798" spans="23:23" x14ac:dyDescent="0.55000000000000004">
      <c r="W55798"/>
    </row>
    <row r="55799" spans="23:23" x14ac:dyDescent="0.55000000000000004">
      <c r="W55799"/>
    </row>
    <row r="55800" spans="23:23" x14ac:dyDescent="0.55000000000000004">
      <c r="W55800"/>
    </row>
    <row r="55801" spans="23:23" x14ac:dyDescent="0.55000000000000004">
      <c r="W55801"/>
    </row>
    <row r="55802" spans="23:23" x14ac:dyDescent="0.55000000000000004">
      <c r="W55802"/>
    </row>
    <row r="55803" spans="23:23" x14ac:dyDescent="0.55000000000000004">
      <c r="W55803"/>
    </row>
    <row r="55804" spans="23:23" x14ac:dyDescent="0.55000000000000004">
      <c r="W55804"/>
    </row>
    <row r="55805" spans="23:23" x14ac:dyDescent="0.55000000000000004">
      <c r="W55805"/>
    </row>
    <row r="55806" spans="23:23" x14ac:dyDescent="0.55000000000000004">
      <c r="W55806"/>
    </row>
    <row r="55807" spans="23:23" x14ac:dyDescent="0.55000000000000004">
      <c r="W55807"/>
    </row>
    <row r="55808" spans="23:23" x14ac:dyDescent="0.55000000000000004">
      <c r="W55808"/>
    </row>
    <row r="55809" spans="23:23" x14ac:dyDescent="0.55000000000000004">
      <c r="W55809"/>
    </row>
    <row r="55810" spans="23:23" x14ac:dyDescent="0.55000000000000004">
      <c r="W55810"/>
    </row>
    <row r="55811" spans="23:23" x14ac:dyDescent="0.55000000000000004">
      <c r="W55811"/>
    </row>
    <row r="55812" spans="23:23" x14ac:dyDescent="0.55000000000000004">
      <c r="W55812"/>
    </row>
    <row r="55813" spans="23:23" x14ac:dyDescent="0.55000000000000004">
      <c r="W55813"/>
    </row>
    <row r="55814" spans="23:23" x14ac:dyDescent="0.55000000000000004">
      <c r="W55814"/>
    </row>
    <row r="55815" spans="23:23" x14ac:dyDescent="0.55000000000000004">
      <c r="W55815"/>
    </row>
    <row r="55816" spans="23:23" x14ac:dyDescent="0.55000000000000004">
      <c r="W55816"/>
    </row>
    <row r="55817" spans="23:23" x14ac:dyDescent="0.55000000000000004">
      <c r="W55817"/>
    </row>
    <row r="55818" spans="23:23" x14ac:dyDescent="0.55000000000000004">
      <c r="W55818"/>
    </row>
    <row r="55819" spans="23:23" x14ac:dyDescent="0.55000000000000004">
      <c r="W55819"/>
    </row>
    <row r="55820" spans="23:23" x14ac:dyDescent="0.55000000000000004">
      <c r="W55820"/>
    </row>
    <row r="55821" spans="23:23" x14ac:dyDescent="0.55000000000000004">
      <c r="W55821"/>
    </row>
    <row r="55822" spans="23:23" x14ac:dyDescent="0.55000000000000004">
      <c r="W55822"/>
    </row>
    <row r="55823" spans="23:23" x14ac:dyDescent="0.55000000000000004">
      <c r="W55823"/>
    </row>
    <row r="55824" spans="23:23" x14ac:dyDescent="0.55000000000000004">
      <c r="W55824"/>
    </row>
    <row r="55825" spans="23:23" x14ac:dyDescent="0.55000000000000004">
      <c r="W55825"/>
    </row>
    <row r="55826" spans="23:23" x14ac:dyDescent="0.55000000000000004">
      <c r="W55826"/>
    </row>
    <row r="55827" spans="23:23" x14ac:dyDescent="0.55000000000000004">
      <c r="W55827"/>
    </row>
    <row r="55828" spans="23:23" x14ac:dyDescent="0.55000000000000004">
      <c r="W55828"/>
    </row>
    <row r="55829" spans="23:23" x14ac:dyDescent="0.55000000000000004">
      <c r="W55829"/>
    </row>
    <row r="55830" spans="23:23" x14ac:dyDescent="0.55000000000000004">
      <c r="W55830"/>
    </row>
    <row r="55831" spans="23:23" x14ac:dyDescent="0.55000000000000004">
      <c r="W55831"/>
    </row>
    <row r="55832" spans="23:23" x14ac:dyDescent="0.55000000000000004">
      <c r="W55832"/>
    </row>
    <row r="55833" spans="23:23" x14ac:dyDescent="0.55000000000000004">
      <c r="W55833"/>
    </row>
    <row r="55834" spans="23:23" x14ac:dyDescent="0.55000000000000004">
      <c r="W55834"/>
    </row>
    <row r="55835" spans="23:23" x14ac:dyDescent="0.55000000000000004">
      <c r="W55835"/>
    </row>
    <row r="55836" spans="23:23" x14ac:dyDescent="0.55000000000000004">
      <c r="W55836"/>
    </row>
    <row r="55837" spans="23:23" x14ac:dyDescent="0.55000000000000004">
      <c r="W55837"/>
    </row>
    <row r="55838" spans="23:23" x14ac:dyDescent="0.55000000000000004">
      <c r="W55838"/>
    </row>
    <row r="55839" spans="23:23" x14ac:dyDescent="0.55000000000000004">
      <c r="W55839"/>
    </row>
    <row r="55840" spans="23:23" x14ac:dyDescent="0.55000000000000004">
      <c r="W55840"/>
    </row>
    <row r="55841" spans="23:23" x14ac:dyDescent="0.55000000000000004">
      <c r="W55841"/>
    </row>
    <row r="55842" spans="23:23" x14ac:dyDescent="0.55000000000000004">
      <c r="W55842"/>
    </row>
    <row r="55843" spans="23:23" x14ac:dyDescent="0.55000000000000004">
      <c r="W55843"/>
    </row>
    <row r="55844" spans="23:23" x14ac:dyDescent="0.55000000000000004">
      <c r="W55844"/>
    </row>
    <row r="55845" spans="23:23" x14ac:dyDescent="0.55000000000000004">
      <c r="W55845"/>
    </row>
    <row r="55846" spans="23:23" x14ac:dyDescent="0.55000000000000004">
      <c r="W55846"/>
    </row>
    <row r="55847" spans="23:23" x14ac:dyDescent="0.55000000000000004">
      <c r="W55847"/>
    </row>
    <row r="55848" spans="23:23" x14ac:dyDescent="0.55000000000000004">
      <c r="W55848"/>
    </row>
    <row r="55849" spans="23:23" x14ac:dyDescent="0.55000000000000004">
      <c r="W55849"/>
    </row>
    <row r="55850" spans="23:23" x14ac:dyDescent="0.55000000000000004">
      <c r="W55850"/>
    </row>
    <row r="55851" spans="23:23" x14ac:dyDescent="0.55000000000000004">
      <c r="W55851"/>
    </row>
    <row r="55852" spans="23:23" x14ac:dyDescent="0.55000000000000004">
      <c r="W55852"/>
    </row>
    <row r="55853" spans="23:23" x14ac:dyDescent="0.55000000000000004">
      <c r="W55853"/>
    </row>
    <row r="55854" spans="23:23" x14ac:dyDescent="0.55000000000000004">
      <c r="W55854"/>
    </row>
    <row r="55855" spans="23:23" x14ac:dyDescent="0.55000000000000004">
      <c r="W55855"/>
    </row>
    <row r="55856" spans="23:23" x14ac:dyDescent="0.55000000000000004">
      <c r="W55856"/>
    </row>
    <row r="55857" spans="23:23" x14ac:dyDescent="0.55000000000000004">
      <c r="W55857"/>
    </row>
    <row r="55858" spans="23:23" x14ac:dyDescent="0.55000000000000004">
      <c r="W55858"/>
    </row>
    <row r="55859" spans="23:23" x14ac:dyDescent="0.55000000000000004">
      <c r="W55859"/>
    </row>
    <row r="55860" spans="23:23" x14ac:dyDescent="0.55000000000000004">
      <c r="W55860"/>
    </row>
    <row r="55861" spans="23:23" x14ac:dyDescent="0.55000000000000004">
      <c r="W55861"/>
    </row>
    <row r="55862" spans="23:23" x14ac:dyDescent="0.55000000000000004">
      <c r="W55862"/>
    </row>
    <row r="55863" spans="23:23" x14ac:dyDescent="0.55000000000000004">
      <c r="W55863"/>
    </row>
    <row r="55864" spans="23:23" x14ac:dyDescent="0.55000000000000004">
      <c r="W55864"/>
    </row>
    <row r="55865" spans="23:23" x14ac:dyDescent="0.55000000000000004">
      <c r="W55865"/>
    </row>
    <row r="55866" spans="23:23" x14ac:dyDescent="0.55000000000000004">
      <c r="W55866"/>
    </row>
    <row r="55867" spans="23:23" x14ac:dyDescent="0.55000000000000004">
      <c r="W55867"/>
    </row>
    <row r="55868" spans="23:23" x14ac:dyDescent="0.55000000000000004">
      <c r="W55868"/>
    </row>
    <row r="55869" spans="23:23" x14ac:dyDescent="0.55000000000000004">
      <c r="W55869"/>
    </row>
    <row r="55870" spans="23:23" x14ac:dyDescent="0.55000000000000004">
      <c r="W55870"/>
    </row>
    <row r="55871" spans="23:23" x14ac:dyDescent="0.55000000000000004">
      <c r="W55871"/>
    </row>
    <row r="55872" spans="23:23" x14ac:dyDescent="0.55000000000000004">
      <c r="W55872"/>
    </row>
    <row r="55873" spans="23:23" x14ac:dyDescent="0.55000000000000004">
      <c r="W55873"/>
    </row>
    <row r="55874" spans="23:23" x14ac:dyDescent="0.55000000000000004">
      <c r="W55874"/>
    </row>
    <row r="55875" spans="23:23" x14ac:dyDescent="0.55000000000000004">
      <c r="W55875"/>
    </row>
    <row r="55876" spans="23:23" x14ac:dyDescent="0.55000000000000004">
      <c r="W55876"/>
    </row>
    <row r="55877" spans="23:23" x14ac:dyDescent="0.55000000000000004">
      <c r="W55877"/>
    </row>
    <row r="55878" spans="23:23" x14ac:dyDescent="0.55000000000000004">
      <c r="W55878"/>
    </row>
    <row r="55879" spans="23:23" x14ac:dyDescent="0.55000000000000004">
      <c r="W55879"/>
    </row>
    <row r="55880" spans="23:23" x14ac:dyDescent="0.55000000000000004">
      <c r="W55880"/>
    </row>
    <row r="55881" spans="23:23" x14ac:dyDescent="0.55000000000000004">
      <c r="W55881"/>
    </row>
    <row r="55882" spans="23:23" x14ac:dyDescent="0.55000000000000004">
      <c r="W55882"/>
    </row>
    <row r="55883" spans="23:23" x14ac:dyDescent="0.55000000000000004">
      <c r="W55883"/>
    </row>
    <row r="55884" spans="23:23" x14ac:dyDescent="0.55000000000000004">
      <c r="W55884"/>
    </row>
    <row r="55885" spans="23:23" x14ac:dyDescent="0.55000000000000004">
      <c r="W55885"/>
    </row>
    <row r="55886" spans="23:23" x14ac:dyDescent="0.55000000000000004">
      <c r="W55886"/>
    </row>
    <row r="55887" spans="23:23" x14ac:dyDescent="0.55000000000000004">
      <c r="W55887"/>
    </row>
    <row r="55888" spans="23:23" x14ac:dyDescent="0.55000000000000004">
      <c r="W55888"/>
    </row>
    <row r="55889" spans="23:23" x14ac:dyDescent="0.55000000000000004">
      <c r="W55889"/>
    </row>
    <row r="55890" spans="23:23" x14ac:dyDescent="0.55000000000000004">
      <c r="W55890"/>
    </row>
    <row r="55891" spans="23:23" x14ac:dyDescent="0.55000000000000004">
      <c r="W55891"/>
    </row>
    <row r="55892" spans="23:23" x14ac:dyDescent="0.55000000000000004">
      <c r="W55892"/>
    </row>
    <row r="55893" spans="23:23" x14ac:dyDescent="0.55000000000000004">
      <c r="W55893"/>
    </row>
    <row r="55894" spans="23:23" x14ac:dyDescent="0.55000000000000004">
      <c r="W55894"/>
    </row>
    <row r="55895" spans="23:23" x14ac:dyDescent="0.55000000000000004">
      <c r="W55895"/>
    </row>
    <row r="55896" spans="23:23" x14ac:dyDescent="0.55000000000000004">
      <c r="W55896"/>
    </row>
    <row r="55897" spans="23:23" x14ac:dyDescent="0.55000000000000004">
      <c r="W55897"/>
    </row>
    <row r="55898" spans="23:23" x14ac:dyDescent="0.55000000000000004">
      <c r="W55898"/>
    </row>
    <row r="55899" spans="23:23" x14ac:dyDescent="0.55000000000000004">
      <c r="W55899"/>
    </row>
    <row r="55900" spans="23:23" x14ac:dyDescent="0.55000000000000004">
      <c r="W55900"/>
    </row>
    <row r="55901" spans="23:23" x14ac:dyDescent="0.55000000000000004">
      <c r="W55901"/>
    </row>
    <row r="55902" spans="23:23" x14ac:dyDescent="0.55000000000000004">
      <c r="W55902"/>
    </row>
    <row r="55903" spans="23:23" x14ac:dyDescent="0.55000000000000004">
      <c r="W55903"/>
    </row>
    <row r="55904" spans="23:23" x14ac:dyDescent="0.55000000000000004">
      <c r="W55904"/>
    </row>
    <row r="55905" spans="23:23" x14ac:dyDescent="0.55000000000000004">
      <c r="W55905"/>
    </row>
    <row r="55906" spans="23:23" x14ac:dyDescent="0.55000000000000004">
      <c r="W55906"/>
    </row>
    <row r="55907" spans="23:23" x14ac:dyDescent="0.55000000000000004">
      <c r="W55907"/>
    </row>
    <row r="55908" spans="23:23" x14ac:dyDescent="0.55000000000000004">
      <c r="W55908"/>
    </row>
    <row r="55909" spans="23:23" x14ac:dyDescent="0.55000000000000004">
      <c r="W55909"/>
    </row>
    <row r="55910" spans="23:23" x14ac:dyDescent="0.55000000000000004">
      <c r="W55910"/>
    </row>
    <row r="55911" spans="23:23" x14ac:dyDescent="0.55000000000000004">
      <c r="W55911"/>
    </row>
    <row r="55912" spans="23:23" x14ac:dyDescent="0.55000000000000004">
      <c r="W55912"/>
    </row>
    <row r="55913" spans="23:23" x14ac:dyDescent="0.55000000000000004">
      <c r="W55913"/>
    </row>
    <row r="55914" spans="23:23" x14ac:dyDescent="0.55000000000000004">
      <c r="W55914"/>
    </row>
    <row r="55915" spans="23:23" x14ac:dyDescent="0.55000000000000004">
      <c r="W55915"/>
    </row>
    <row r="55916" spans="23:23" x14ac:dyDescent="0.55000000000000004">
      <c r="W55916"/>
    </row>
    <row r="55917" spans="23:23" x14ac:dyDescent="0.55000000000000004">
      <c r="W55917"/>
    </row>
    <row r="55918" spans="23:23" x14ac:dyDescent="0.55000000000000004">
      <c r="W55918"/>
    </row>
    <row r="55919" spans="23:23" x14ac:dyDescent="0.55000000000000004">
      <c r="W55919"/>
    </row>
    <row r="55920" spans="23:23" x14ac:dyDescent="0.55000000000000004">
      <c r="W55920"/>
    </row>
    <row r="55921" spans="23:23" x14ac:dyDescent="0.55000000000000004">
      <c r="W55921"/>
    </row>
    <row r="55922" spans="23:23" x14ac:dyDescent="0.55000000000000004">
      <c r="W55922"/>
    </row>
    <row r="55923" spans="23:23" x14ac:dyDescent="0.55000000000000004">
      <c r="W55923"/>
    </row>
    <row r="55924" spans="23:23" x14ac:dyDescent="0.55000000000000004">
      <c r="W55924"/>
    </row>
    <row r="55925" spans="23:23" x14ac:dyDescent="0.55000000000000004">
      <c r="W55925"/>
    </row>
    <row r="55926" spans="23:23" x14ac:dyDescent="0.55000000000000004">
      <c r="W55926"/>
    </row>
    <row r="55927" spans="23:23" x14ac:dyDescent="0.55000000000000004">
      <c r="W55927"/>
    </row>
    <row r="55928" spans="23:23" x14ac:dyDescent="0.55000000000000004">
      <c r="W55928"/>
    </row>
    <row r="55929" spans="23:23" x14ac:dyDescent="0.55000000000000004">
      <c r="W55929"/>
    </row>
    <row r="55930" spans="23:23" x14ac:dyDescent="0.55000000000000004">
      <c r="W55930"/>
    </row>
    <row r="55931" spans="23:23" x14ac:dyDescent="0.55000000000000004">
      <c r="W55931"/>
    </row>
    <row r="55932" spans="23:23" x14ac:dyDescent="0.55000000000000004">
      <c r="W55932"/>
    </row>
    <row r="55933" spans="23:23" x14ac:dyDescent="0.55000000000000004">
      <c r="W55933"/>
    </row>
    <row r="55934" spans="23:23" x14ac:dyDescent="0.55000000000000004">
      <c r="W55934"/>
    </row>
    <row r="55935" spans="23:23" x14ac:dyDescent="0.55000000000000004">
      <c r="W55935"/>
    </row>
    <row r="55936" spans="23:23" x14ac:dyDescent="0.55000000000000004">
      <c r="W55936"/>
    </row>
    <row r="55937" spans="23:23" x14ac:dyDescent="0.55000000000000004">
      <c r="W55937"/>
    </row>
    <row r="55938" spans="23:23" x14ac:dyDescent="0.55000000000000004">
      <c r="W55938"/>
    </row>
    <row r="55939" spans="23:23" x14ac:dyDescent="0.55000000000000004">
      <c r="W55939"/>
    </row>
    <row r="55940" spans="23:23" x14ac:dyDescent="0.55000000000000004">
      <c r="W55940"/>
    </row>
    <row r="55941" spans="23:23" x14ac:dyDescent="0.55000000000000004">
      <c r="W55941"/>
    </row>
    <row r="55942" spans="23:23" x14ac:dyDescent="0.55000000000000004">
      <c r="W55942"/>
    </row>
    <row r="55943" spans="23:23" x14ac:dyDescent="0.55000000000000004">
      <c r="W55943"/>
    </row>
    <row r="55944" spans="23:23" x14ac:dyDescent="0.55000000000000004">
      <c r="W55944"/>
    </row>
    <row r="55945" spans="23:23" x14ac:dyDescent="0.55000000000000004">
      <c r="W55945"/>
    </row>
    <row r="55946" spans="23:23" x14ac:dyDescent="0.55000000000000004">
      <c r="W55946"/>
    </row>
    <row r="55947" spans="23:23" x14ac:dyDescent="0.55000000000000004">
      <c r="W55947"/>
    </row>
    <row r="55948" spans="23:23" x14ac:dyDescent="0.55000000000000004">
      <c r="W55948"/>
    </row>
    <row r="55949" spans="23:23" x14ac:dyDescent="0.55000000000000004">
      <c r="W55949"/>
    </row>
    <row r="55950" spans="23:23" x14ac:dyDescent="0.55000000000000004">
      <c r="W55950"/>
    </row>
    <row r="55951" spans="23:23" x14ac:dyDescent="0.55000000000000004">
      <c r="W55951"/>
    </row>
    <row r="55952" spans="23:23" x14ac:dyDescent="0.55000000000000004">
      <c r="W55952"/>
    </row>
    <row r="55953" spans="23:23" x14ac:dyDescent="0.55000000000000004">
      <c r="W55953"/>
    </row>
    <row r="55954" spans="23:23" x14ac:dyDescent="0.55000000000000004">
      <c r="W55954"/>
    </row>
    <row r="55955" spans="23:23" x14ac:dyDescent="0.55000000000000004">
      <c r="W55955"/>
    </row>
    <row r="55956" spans="23:23" x14ac:dyDescent="0.55000000000000004">
      <c r="W55956"/>
    </row>
    <row r="55957" spans="23:23" x14ac:dyDescent="0.55000000000000004">
      <c r="W55957"/>
    </row>
    <row r="55958" spans="23:23" x14ac:dyDescent="0.55000000000000004">
      <c r="W55958"/>
    </row>
    <row r="55959" spans="23:23" x14ac:dyDescent="0.55000000000000004">
      <c r="W55959"/>
    </row>
    <row r="55960" spans="23:23" x14ac:dyDescent="0.55000000000000004">
      <c r="W55960"/>
    </row>
    <row r="55961" spans="23:23" x14ac:dyDescent="0.55000000000000004">
      <c r="W55961"/>
    </row>
    <row r="55962" spans="23:23" x14ac:dyDescent="0.55000000000000004">
      <c r="W55962"/>
    </row>
    <row r="55963" spans="23:23" x14ac:dyDescent="0.55000000000000004">
      <c r="W55963"/>
    </row>
    <row r="55964" spans="23:23" x14ac:dyDescent="0.55000000000000004">
      <c r="W55964"/>
    </row>
    <row r="55965" spans="23:23" x14ac:dyDescent="0.55000000000000004">
      <c r="W55965"/>
    </row>
    <row r="55966" spans="23:23" x14ac:dyDescent="0.55000000000000004">
      <c r="W55966"/>
    </row>
    <row r="55967" spans="23:23" x14ac:dyDescent="0.55000000000000004">
      <c r="W55967"/>
    </row>
    <row r="55968" spans="23:23" x14ac:dyDescent="0.55000000000000004">
      <c r="W55968"/>
    </row>
    <row r="55969" spans="23:23" x14ac:dyDescent="0.55000000000000004">
      <c r="W55969"/>
    </row>
    <row r="55970" spans="23:23" x14ac:dyDescent="0.55000000000000004">
      <c r="W55970"/>
    </row>
    <row r="55971" spans="23:23" x14ac:dyDescent="0.55000000000000004">
      <c r="W55971"/>
    </row>
    <row r="55972" spans="23:23" x14ac:dyDescent="0.55000000000000004">
      <c r="W55972"/>
    </row>
    <row r="55973" spans="23:23" x14ac:dyDescent="0.55000000000000004">
      <c r="W55973"/>
    </row>
    <row r="55974" spans="23:23" x14ac:dyDescent="0.55000000000000004">
      <c r="W55974"/>
    </row>
    <row r="55975" spans="23:23" x14ac:dyDescent="0.55000000000000004">
      <c r="W55975"/>
    </row>
    <row r="55976" spans="23:23" x14ac:dyDescent="0.55000000000000004">
      <c r="W55976"/>
    </row>
    <row r="55977" spans="23:23" x14ac:dyDescent="0.55000000000000004">
      <c r="W55977"/>
    </row>
    <row r="55978" spans="23:23" x14ac:dyDescent="0.55000000000000004">
      <c r="W55978"/>
    </row>
    <row r="55979" spans="23:23" x14ac:dyDescent="0.55000000000000004">
      <c r="W55979"/>
    </row>
    <row r="55980" spans="23:23" x14ac:dyDescent="0.55000000000000004">
      <c r="W55980"/>
    </row>
    <row r="55981" spans="23:23" x14ac:dyDescent="0.55000000000000004">
      <c r="W55981"/>
    </row>
    <row r="55982" spans="23:23" x14ac:dyDescent="0.55000000000000004">
      <c r="W55982"/>
    </row>
    <row r="55983" spans="23:23" x14ac:dyDescent="0.55000000000000004">
      <c r="W55983"/>
    </row>
    <row r="55984" spans="23:23" x14ac:dyDescent="0.55000000000000004">
      <c r="W55984"/>
    </row>
    <row r="55985" spans="23:23" x14ac:dyDescent="0.55000000000000004">
      <c r="W55985"/>
    </row>
    <row r="55986" spans="23:23" x14ac:dyDescent="0.55000000000000004">
      <c r="W55986"/>
    </row>
    <row r="55987" spans="23:23" x14ac:dyDescent="0.55000000000000004">
      <c r="W55987"/>
    </row>
    <row r="55988" spans="23:23" x14ac:dyDescent="0.55000000000000004">
      <c r="W55988"/>
    </row>
    <row r="55989" spans="23:23" x14ac:dyDescent="0.55000000000000004">
      <c r="W55989"/>
    </row>
    <row r="55990" spans="23:23" x14ac:dyDescent="0.55000000000000004">
      <c r="W55990"/>
    </row>
    <row r="55991" spans="23:23" x14ac:dyDescent="0.55000000000000004">
      <c r="W55991"/>
    </row>
    <row r="55992" spans="23:23" x14ac:dyDescent="0.55000000000000004">
      <c r="W55992"/>
    </row>
    <row r="55993" spans="23:23" x14ac:dyDescent="0.55000000000000004">
      <c r="W55993"/>
    </row>
    <row r="55994" spans="23:23" x14ac:dyDescent="0.55000000000000004">
      <c r="W55994"/>
    </row>
    <row r="55995" spans="23:23" x14ac:dyDescent="0.55000000000000004">
      <c r="W55995"/>
    </row>
    <row r="55996" spans="23:23" x14ac:dyDescent="0.55000000000000004">
      <c r="W55996"/>
    </row>
    <row r="55997" spans="23:23" x14ac:dyDescent="0.55000000000000004">
      <c r="W55997"/>
    </row>
    <row r="55998" spans="23:23" x14ac:dyDescent="0.55000000000000004">
      <c r="W55998"/>
    </row>
    <row r="55999" spans="23:23" x14ac:dyDescent="0.55000000000000004">
      <c r="W55999"/>
    </row>
    <row r="56000" spans="23:23" x14ac:dyDescent="0.55000000000000004">
      <c r="W56000"/>
    </row>
    <row r="56001" spans="23:23" x14ac:dyDescent="0.55000000000000004">
      <c r="W56001"/>
    </row>
    <row r="56002" spans="23:23" x14ac:dyDescent="0.55000000000000004">
      <c r="W56002"/>
    </row>
    <row r="56003" spans="23:23" x14ac:dyDescent="0.55000000000000004">
      <c r="W56003"/>
    </row>
    <row r="56004" spans="23:23" x14ac:dyDescent="0.55000000000000004">
      <c r="W56004"/>
    </row>
    <row r="56005" spans="23:23" x14ac:dyDescent="0.55000000000000004">
      <c r="W56005"/>
    </row>
    <row r="56006" spans="23:23" x14ac:dyDescent="0.55000000000000004">
      <c r="W56006"/>
    </row>
    <row r="56007" spans="23:23" x14ac:dyDescent="0.55000000000000004">
      <c r="W56007"/>
    </row>
    <row r="56008" spans="23:23" x14ac:dyDescent="0.55000000000000004">
      <c r="W56008"/>
    </row>
    <row r="56009" spans="23:23" x14ac:dyDescent="0.55000000000000004">
      <c r="W56009"/>
    </row>
    <row r="56010" spans="23:23" x14ac:dyDescent="0.55000000000000004">
      <c r="W56010"/>
    </row>
    <row r="56011" spans="23:23" x14ac:dyDescent="0.55000000000000004">
      <c r="W56011"/>
    </row>
    <row r="56012" spans="23:23" x14ac:dyDescent="0.55000000000000004">
      <c r="W56012"/>
    </row>
    <row r="56013" spans="23:23" x14ac:dyDescent="0.55000000000000004">
      <c r="W56013"/>
    </row>
    <row r="56014" spans="23:23" x14ac:dyDescent="0.55000000000000004">
      <c r="W56014"/>
    </row>
    <row r="56015" spans="23:23" x14ac:dyDescent="0.55000000000000004">
      <c r="W56015"/>
    </row>
    <row r="56016" spans="23:23" x14ac:dyDescent="0.55000000000000004">
      <c r="W56016"/>
    </row>
    <row r="56017" spans="23:23" x14ac:dyDescent="0.55000000000000004">
      <c r="W56017"/>
    </row>
    <row r="56018" spans="23:23" x14ac:dyDescent="0.55000000000000004">
      <c r="W56018"/>
    </row>
    <row r="56019" spans="23:23" x14ac:dyDescent="0.55000000000000004">
      <c r="W56019"/>
    </row>
    <row r="56020" spans="23:23" x14ac:dyDescent="0.55000000000000004">
      <c r="W56020"/>
    </row>
    <row r="56021" spans="23:23" x14ac:dyDescent="0.55000000000000004">
      <c r="W56021"/>
    </row>
    <row r="56022" spans="23:23" x14ac:dyDescent="0.55000000000000004">
      <c r="W56022"/>
    </row>
    <row r="56023" spans="23:23" x14ac:dyDescent="0.55000000000000004">
      <c r="W56023"/>
    </row>
    <row r="56024" spans="23:23" x14ac:dyDescent="0.55000000000000004">
      <c r="W56024"/>
    </row>
    <row r="56025" spans="23:23" x14ac:dyDescent="0.55000000000000004">
      <c r="W56025"/>
    </row>
    <row r="56026" spans="23:23" x14ac:dyDescent="0.55000000000000004">
      <c r="W56026"/>
    </row>
    <row r="56027" spans="23:23" x14ac:dyDescent="0.55000000000000004">
      <c r="W56027"/>
    </row>
    <row r="56028" spans="23:23" x14ac:dyDescent="0.55000000000000004">
      <c r="W56028"/>
    </row>
    <row r="56029" spans="23:23" x14ac:dyDescent="0.55000000000000004">
      <c r="W56029"/>
    </row>
    <row r="56030" spans="23:23" x14ac:dyDescent="0.55000000000000004">
      <c r="W56030"/>
    </row>
    <row r="56031" spans="23:23" x14ac:dyDescent="0.55000000000000004">
      <c r="W56031"/>
    </row>
    <row r="56032" spans="23:23" x14ac:dyDescent="0.55000000000000004">
      <c r="W56032"/>
    </row>
    <row r="56033" spans="23:23" x14ac:dyDescent="0.55000000000000004">
      <c r="W56033"/>
    </row>
    <row r="56034" spans="23:23" x14ac:dyDescent="0.55000000000000004">
      <c r="W56034"/>
    </row>
    <row r="56035" spans="23:23" x14ac:dyDescent="0.55000000000000004">
      <c r="W56035"/>
    </row>
    <row r="56036" spans="23:23" x14ac:dyDescent="0.55000000000000004">
      <c r="W56036"/>
    </row>
    <row r="56037" spans="23:23" x14ac:dyDescent="0.55000000000000004">
      <c r="W56037"/>
    </row>
    <row r="56038" spans="23:23" x14ac:dyDescent="0.55000000000000004">
      <c r="W56038"/>
    </row>
    <row r="56039" spans="23:23" x14ac:dyDescent="0.55000000000000004">
      <c r="W56039"/>
    </row>
    <row r="56040" spans="23:23" x14ac:dyDescent="0.55000000000000004">
      <c r="W56040"/>
    </row>
    <row r="56041" spans="23:23" x14ac:dyDescent="0.55000000000000004">
      <c r="W56041"/>
    </row>
    <row r="56042" spans="23:23" x14ac:dyDescent="0.55000000000000004">
      <c r="W56042"/>
    </row>
    <row r="56043" spans="23:23" x14ac:dyDescent="0.55000000000000004">
      <c r="W56043"/>
    </row>
    <row r="56044" spans="23:23" x14ac:dyDescent="0.55000000000000004">
      <c r="W56044"/>
    </row>
    <row r="56045" spans="23:23" x14ac:dyDescent="0.55000000000000004">
      <c r="W56045"/>
    </row>
    <row r="56046" spans="23:23" x14ac:dyDescent="0.55000000000000004">
      <c r="W56046"/>
    </row>
    <row r="56047" spans="23:23" x14ac:dyDescent="0.55000000000000004">
      <c r="W56047"/>
    </row>
    <row r="56048" spans="23:23" x14ac:dyDescent="0.55000000000000004">
      <c r="W56048"/>
    </row>
    <row r="56049" spans="23:23" x14ac:dyDescent="0.55000000000000004">
      <c r="W56049"/>
    </row>
    <row r="56050" spans="23:23" x14ac:dyDescent="0.55000000000000004">
      <c r="W56050"/>
    </row>
    <row r="56051" spans="23:23" x14ac:dyDescent="0.55000000000000004">
      <c r="W56051"/>
    </row>
    <row r="56052" spans="23:23" x14ac:dyDescent="0.55000000000000004">
      <c r="W56052"/>
    </row>
    <row r="56053" spans="23:23" x14ac:dyDescent="0.55000000000000004">
      <c r="W56053"/>
    </row>
    <row r="56054" spans="23:23" x14ac:dyDescent="0.55000000000000004">
      <c r="W56054"/>
    </row>
    <row r="56055" spans="23:23" x14ac:dyDescent="0.55000000000000004">
      <c r="W56055"/>
    </row>
    <row r="56056" spans="23:23" x14ac:dyDescent="0.55000000000000004">
      <c r="W56056"/>
    </row>
    <row r="56057" spans="23:23" x14ac:dyDescent="0.55000000000000004">
      <c r="W56057"/>
    </row>
    <row r="56058" spans="23:23" x14ac:dyDescent="0.55000000000000004">
      <c r="W56058"/>
    </row>
    <row r="56059" spans="23:23" x14ac:dyDescent="0.55000000000000004">
      <c r="W56059"/>
    </row>
    <row r="56060" spans="23:23" x14ac:dyDescent="0.55000000000000004">
      <c r="W56060"/>
    </row>
    <row r="56061" spans="23:23" x14ac:dyDescent="0.55000000000000004">
      <c r="W56061"/>
    </row>
    <row r="56062" spans="23:23" x14ac:dyDescent="0.55000000000000004">
      <c r="W56062"/>
    </row>
    <row r="56063" spans="23:23" x14ac:dyDescent="0.55000000000000004">
      <c r="W56063"/>
    </row>
    <row r="56064" spans="23:23" x14ac:dyDescent="0.55000000000000004">
      <c r="W56064"/>
    </row>
    <row r="56065" spans="23:23" x14ac:dyDescent="0.55000000000000004">
      <c r="W56065"/>
    </row>
    <row r="56066" spans="23:23" x14ac:dyDescent="0.55000000000000004">
      <c r="W56066"/>
    </row>
    <row r="56067" spans="23:23" x14ac:dyDescent="0.55000000000000004">
      <c r="W56067"/>
    </row>
    <row r="56068" spans="23:23" x14ac:dyDescent="0.55000000000000004">
      <c r="W56068"/>
    </row>
    <row r="56069" spans="23:23" x14ac:dyDescent="0.55000000000000004">
      <c r="W56069"/>
    </row>
    <row r="56070" spans="23:23" x14ac:dyDescent="0.55000000000000004">
      <c r="W56070"/>
    </row>
    <row r="56071" spans="23:23" x14ac:dyDescent="0.55000000000000004">
      <c r="W56071"/>
    </row>
    <row r="56072" spans="23:23" x14ac:dyDescent="0.55000000000000004">
      <c r="W56072"/>
    </row>
    <row r="56073" spans="23:23" x14ac:dyDescent="0.55000000000000004">
      <c r="W56073"/>
    </row>
    <row r="56074" spans="23:23" x14ac:dyDescent="0.55000000000000004">
      <c r="W56074"/>
    </row>
    <row r="56075" spans="23:23" x14ac:dyDescent="0.55000000000000004">
      <c r="W56075"/>
    </row>
    <row r="56076" spans="23:23" x14ac:dyDescent="0.55000000000000004">
      <c r="W56076"/>
    </row>
    <row r="56077" spans="23:23" x14ac:dyDescent="0.55000000000000004">
      <c r="W56077"/>
    </row>
    <row r="56078" spans="23:23" x14ac:dyDescent="0.55000000000000004">
      <c r="W56078"/>
    </row>
    <row r="56079" spans="23:23" x14ac:dyDescent="0.55000000000000004">
      <c r="W56079"/>
    </row>
    <row r="56080" spans="23:23" x14ac:dyDescent="0.55000000000000004">
      <c r="W56080"/>
    </row>
    <row r="56081" spans="23:23" x14ac:dyDescent="0.55000000000000004">
      <c r="W56081"/>
    </row>
    <row r="56082" spans="23:23" x14ac:dyDescent="0.55000000000000004">
      <c r="W56082"/>
    </row>
    <row r="56083" spans="23:23" x14ac:dyDescent="0.55000000000000004">
      <c r="W56083"/>
    </row>
    <row r="56084" spans="23:23" x14ac:dyDescent="0.55000000000000004">
      <c r="W56084"/>
    </row>
    <row r="56085" spans="23:23" x14ac:dyDescent="0.55000000000000004">
      <c r="W56085"/>
    </row>
    <row r="56086" spans="23:23" x14ac:dyDescent="0.55000000000000004">
      <c r="W56086"/>
    </row>
    <row r="56087" spans="23:23" x14ac:dyDescent="0.55000000000000004">
      <c r="W56087"/>
    </row>
    <row r="56088" spans="23:23" x14ac:dyDescent="0.55000000000000004">
      <c r="W56088"/>
    </row>
    <row r="56089" spans="23:23" x14ac:dyDescent="0.55000000000000004">
      <c r="W56089"/>
    </row>
    <row r="56090" spans="23:23" x14ac:dyDescent="0.55000000000000004">
      <c r="W56090"/>
    </row>
    <row r="56091" spans="23:23" x14ac:dyDescent="0.55000000000000004">
      <c r="W56091"/>
    </row>
    <row r="56092" spans="23:23" x14ac:dyDescent="0.55000000000000004">
      <c r="W56092"/>
    </row>
    <row r="56093" spans="23:23" x14ac:dyDescent="0.55000000000000004">
      <c r="W56093"/>
    </row>
    <row r="56094" spans="23:23" x14ac:dyDescent="0.55000000000000004">
      <c r="W56094"/>
    </row>
    <row r="56095" spans="23:23" x14ac:dyDescent="0.55000000000000004">
      <c r="W56095"/>
    </row>
    <row r="56096" spans="23:23" x14ac:dyDescent="0.55000000000000004">
      <c r="W56096"/>
    </row>
    <row r="56097" spans="23:23" x14ac:dyDescent="0.55000000000000004">
      <c r="W56097"/>
    </row>
    <row r="56098" spans="23:23" x14ac:dyDescent="0.55000000000000004">
      <c r="W56098"/>
    </row>
    <row r="56099" spans="23:23" x14ac:dyDescent="0.55000000000000004">
      <c r="W56099"/>
    </row>
    <row r="56100" spans="23:23" x14ac:dyDescent="0.55000000000000004">
      <c r="W56100"/>
    </row>
    <row r="56101" spans="23:23" x14ac:dyDescent="0.55000000000000004">
      <c r="W56101"/>
    </row>
    <row r="56102" spans="23:23" x14ac:dyDescent="0.55000000000000004">
      <c r="W56102"/>
    </row>
    <row r="56103" spans="23:23" x14ac:dyDescent="0.55000000000000004">
      <c r="W56103"/>
    </row>
    <row r="56104" spans="23:23" x14ac:dyDescent="0.55000000000000004">
      <c r="W56104"/>
    </row>
    <row r="56105" spans="23:23" x14ac:dyDescent="0.55000000000000004">
      <c r="W56105"/>
    </row>
    <row r="56106" spans="23:23" x14ac:dyDescent="0.55000000000000004">
      <c r="W56106"/>
    </row>
    <row r="56107" spans="23:23" x14ac:dyDescent="0.55000000000000004">
      <c r="W56107"/>
    </row>
    <row r="56108" spans="23:23" x14ac:dyDescent="0.55000000000000004">
      <c r="W56108"/>
    </row>
    <row r="56109" spans="23:23" x14ac:dyDescent="0.55000000000000004">
      <c r="W56109"/>
    </row>
    <row r="56110" spans="23:23" x14ac:dyDescent="0.55000000000000004">
      <c r="W56110"/>
    </row>
    <row r="56111" spans="23:23" x14ac:dyDescent="0.55000000000000004">
      <c r="W56111"/>
    </row>
    <row r="56112" spans="23:23" x14ac:dyDescent="0.55000000000000004">
      <c r="W56112"/>
    </row>
    <row r="56113" spans="23:23" x14ac:dyDescent="0.55000000000000004">
      <c r="W56113"/>
    </row>
    <row r="56114" spans="23:23" x14ac:dyDescent="0.55000000000000004">
      <c r="W56114"/>
    </row>
    <row r="56115" spans="23:23" x14ac:dyDescent="0.55000000000000004">
      <c r="W56115"/>
    </row>
    <row r="56116" spans="23:23" x14ac:dyDescent="0.55000000000000004">
      <c r="W56116"/>
    </row>
    <row r="56117" spans="23:23" x14ac:dyDescent="0.55000000000000004">
      <c r="W56117"/>
    </row>
    <row r="56118" spans="23:23" x14ac:dyDescent="0.55000000000000004">
      <c r="W56118"/>
    </row>
    <row r="56119" spans="23:23" x14ac:dyDescent="0.55000000000000004">
      <c r="W56119"/>
    </row>
    <row r="56120" spans="23:23" x14ac:dyDescent="0.55000000000000004">
      <c r="W56120"/>
    </row>
    <row r="56121" spans="23:23" x14ac:dyDescent="0.55000000000000004">
      <c r="W56121"/>
    </row>
    <row r="56122" spans="23:23" x14ac:dyDescent="0.55000000000000004">
      <c r="W56122"/>
    </row>
    <row r="56123" spans="23:23" x14ac:dyDescent="0.55000000000000004">
      <c r="W56123"/>
    </row>
    <row r="56124" spans="23:23" x14ac:dyDescent="0.55000000000000004">
      <c r="W56124"/>
    </row>
    <row r="56125" spans="23:23" x14ac:dyDescent="0.55000000000000004">
      <c r="W56125"/>
    </row>
    <row r="56126" spans="23:23" x14ac:dyDescent="0.55000000000000004">
      <c r="W56126"/>
    </row>
    <row r="56127" spans="23:23" x14ac:dyDescent="0.55000000000000004">
      <c r="W56127"/>
    </row>
    <row r="56128" spans="23:23" x14ac:dyDescent="0.55000000000000004">
      <c r="W56128"/>
    </row>
    <row r="56129" spans="23:23" x14ac:dyDescent="0.55000000000000004">
      <c r="W56129"/>
    </row>
    <row r="56130" spans="23:23" x14ac:dyDescent="0.55000000000000004">
      <c r="W56130"/>
    </row>
    <row r="56131" spans="23:23" x14ac:dyDescent="0.55000000000000004">
      <c r="W56131"/>
    </row>
    <row r="56132" spans="23:23" x14ac:dyDescent="0.55000000000000004">
      <c r="W56132"/>
    </row>
    <row r="56133" spans="23:23" x14ac:dyDescent="0.55000000000000004">
      <c r="W56133"/>
    </row>
    <row r="56134" spans="23:23" x14ac:dyDescent="0.55000000000000004">
      <c r="W56134"/>
    </row>
    <row r="56135" spans="23:23" x14ac:dyDescent="0.55000000000000004">
      <c r="W56135"/>
    </row>
    <row r="56136" spans="23:23" x14ac:dyDescent="0.55000000000000004">
      <c r="W56136"/>
    </row>
    <row r="56137" spans="23:23" x14ac:dyDescent="0.55000000000000004">
      <c r="W56137"/>
    </row>
    <row r="56138" spans="23:23" x14ac:dyDescent="0.55000000000000004">
      <c r="W56138"/>
    </row>
    <row r="56139" spans="23:23" x14ac:dyDescent="0.55000000000000004">
      <c r="W56139"/>
    </row>
    <row r="56140" spans="23:23" x14ac:dyDescent="0.55000000000000004">
      <c r="W56140"/>
    </row>
    <row r="56141" spans="23:23" x14ac:dyDescent="0.55000000000000004">
      <c r="W56141"/>
    </row>
    <row r="56142" spans="23:23" x14ac:dyDescent="0.55000000000000004">
      <c r="W56142"/>
    </row>
    <row r="56143" spans="23:23" x14ac:dyDescent="0.55000000000000004">
      <c r="W56143"/>
    </row>
    <row r="56144" spans="23:23" x14ac:dyDescent="0.55000000000000004">
      <c r="W56144"/>
    </row>
    <row r="56145" spans="23:23" x14ac:dyDescent="0.55000000000000004">
      <c r="W56145"/>
    </row>
    <row r="56146" spans="23:23" x14ac:dyDescent="0.55000000000000004">
      <c r="W56146"/>
    </row>
    <row r="56147" spans="23:23" x14ac:dyDescent="0.55000000000000004">
      <c r="W56147"/>
    </row>
    <row r="56148" spans="23:23" x14ac:dyDescent="0.55000000000000004">
      <c r="W56148"/>
    </row>
    <row r="56149" spans="23:23" x14ac:dyDescent="0.55000000000000004">
      <c r="W56149"/>
    </row>
    <row r="56150" spans="23:23" x14ac:dyDescent="0.55000000000000004">
      <c r="W56150"/>
    </row>
    <row r="56151" spans="23:23" x14ac:dyDescent="0.55000000000000004">
      <c r="W56151"/>
    </row>
    <row r="56152" spans="23:23" x14ac:dyDescent="0.55000000000000004">
      <c r="W56152"/>
    </row>
    <row r="56153" spans="23:23" x14ac:dyDescent="0.55000000000000004">
      <c r="W56153"/>
    </row>
    <row r="56154" spans="23:23" x14ac:dyDescent="0.55000000000000004">
      <c r="W56154"/>
    </row>
    <row r="56155" spans="23:23" x14ac:dyDescent="0.55000000000000004">
      <c r="W56155"/>
    </row>
    <row r="56156" spans="23:23" x14ac:dyDescent="0.55000000000000004">
      <c r="W56156"/>
    </row>
    <row r="56157" spans="23:23" x14ac:dyDescent="0.55000000000000004">
      <c r="W56157"/>
    </row>
    <row r="56158" spans="23:23" x14ac:dyDescent="0.55000000000000004">
      <c r="W56158"/>
    </row>
    <row r="56159" spans="23:23" x14ac:dyDescent="0.55000000000000004">
      <c r="W56159"/>
    </row>
    <row r="56160" spans="23:23" x14ac:dyDescent="0.55000000000000004">
      <c r="W56160"/>
    </row>
    <row r="56161" spans="23:23" x14ac:dyDescent="0.55000000000000004">
      <c r="W56161"/>
    </row>
    <row r="56162" spans="23:23" x14ac:dyDescent="0.55000000000000004">
      <c r="W56162"/>
    </row>
    <row r="56163" spans="23:23" x14ac:dyDescent="0.55000000000000004">
      <c r="W56163"/>
    </row>
    <row r="56164" spans="23:23" x14ac:dyDescent="0.55000000000000004">
      <c r="W56164"/>
    </row>
    <row r="56165" spans="23:23" x14ac:dyDescent="0.55000000000000004">
      <c r="W56165"/>
    </row>
    <row r="56166" spans="23:23" x14ac:dyDescent="0.55000000000000004">
      <c r="W56166"/>
    </row>
    <row r="56167" spans="23:23" x14ac:dyDescent="0.55000000000000004">
      <c r="W56167"/>
    </row>
    <row r="56168" spans="23:23" x14ac:dyDescent="0.55000000000000004">
      <c r="W56168"/>
    </row>
    <row r="56169" spans="23:23" x14ac:dyDescent="0.55000000000000004">
      <c r="W56169"/>
    </row>
    <row r="56170" spans="23:23" x14ac:dyDescent="0.55000000000000004">
      <c r="W56170"/>
    </row>
    <row r="56171" spans="23:23" x14ac:dyDescent="0.55000000000000004">
      <c r="W56171"/>
    </row>
    <row r="56172" spans="23:23" x14ac:dyDescent="0.55000000000000004">
      <c r="W56172"/>
    </row>
    <row r="56173" spans="23:23" x14ac:dyDescent="0.55000000000000004">
      <c r="W56173"/>
    </row>
    <row r="56174" spans="23:23" x14ac:dyDescent="0.55000000000000004">
      <c r="W56174"/>
    </row>
    <row r="56175" spans="23:23" x14ac:dyDescent="0.55000000000000004">
      <c r="W56175"/>
    </row>
    <row r="56176" spans="23:23" x14ac:dyDescent="0.55000000000000004">
      <c r="W56176"/>
    </row>
    <row r="56177" spans="23:23" x14ac:dyDescent="0.55000000000000004">
      <c r="W56177"/>
    </row>
    <row r="56178" spans="23:23" x14ac:dyDescent="0.55000000000000004">
      <c r="W56178"/>
    </row>
    <row r="56179" spans="23:23" x14ac:dyDescent="0.55000000000000004">
      <c r="W56179"/>
    </row>
    <row r="56180" spans="23:23" x14ac:dyDescent="0.55000000000000004">
      <c r="W56180"/>
    </row>
    <row r="56181" spans="23:23" x14ac:dyDescent="0.55000000000000004">
      <c r="W56181"/>
    </row>
    <row r="56182" spans="23:23" x14ac:dyDescent="0.55000000000000004">
      <c r="W56182"/>
    </row>
    <row r="56183" spans="23:23" x14ac:dyDescent="0.55000000000000004">
      <c r="W56183"/>
    </row>
    <row r="56184" spans="23:23" x14ac:dyDescent="0.55000000000000004">
      <c r="W56184"/>
    </row>
    <row r="56185" spans="23:23" x14ac:dyDescent="0.55000000000000004">
      <c r="W56185"/>
    </row>
    <row r="56186" spans="23:23" x14ac:dyDescent="0.55000000000000004">
      <c r="W56186"/>
    </row>
    <row r="56187" spans="23:23" x14ac:dyDescent="0.55000000000000004">
      <c r="W56187"/>
    </row>
    <row r="56188" spans="23:23" x14ac:dyDescent="0.55000000000000004">
      <c r="W56188"/>
    </row>
    <row r="56189" spans="23:23" x14ac:dyDescent="0.55000000000000004">
      <c r="W56189"/>
    </row>
    <row r="56190" spans="23:23" x14ac:dyDescent="0.55000000000000004">
      <c r="W56190"/>
    </row>
    <row r="56191" spans="23:23" x14ac:dyDescent="0.55000000000000004">
      <c r="W56191"/>
    </row>
    <row r="56192" spans="23:23" x14ac:dyDescent="0.55000000000000004">
      <c r="W56192"/>
    </row>
    <row r="56193" spans="23:23" x14ac:dyDescent="0.55000000000000004">
      <c r="W56193"/>
    </row>
    <row r="56194" spans="23:23" x14ac:dyDescent="0.55000000000000004">
      <c r="W56194"/>
    </row>
    <row r="56195" spans="23:23" x14ac:dyDescent="0.55000000000000004">
      <c r="W56195"/>
    </row>
    <row r="56196" spans="23:23" x14ac:dyDescent="0.55000000000000004">
      <c r="W56196"/>
    </row>
    <row r="56197" spans="23:23" x14ac:dyDescent="0.55000000000000004">
      <c r="W56197"/>
    </row>
    <row r="56198" spans="23:23" x14ac:dyDescent="0.55000000000000004">
      <c r="W56198"/>
    </row>
    <row r="56199" spans="23:23" x14ac:dyDescent="0.55000000000000004">
      <c r="W56199"/>
    </row>
    <row r="56200" spans="23:23" x14ac:dyDescent="0.55000000000000004">
      <c r="W56200"/>
    </row>
    <row r="56201" spans="23:23" x14ac:dyDescent="0.55000000000000004">
      <c r="W56201"/>
    </row>
    <row r="56202" spans="23:23" x14ac:dyDescent="0.55000000000000004">
      <c r="W56202"/>
    </row>
    <row r="56203" spans="23:23" x14ac:dyDescent="0.55000000000000004">
      <c r="W56203"/>
    </row>
    <row r="56204" spans="23:23" x14ac:dyDescent="0.55000000000000004">
      <c r="W56204"/>
    </row>
    <row r="56205" spans="23:23" x14ac:dyDescent="0.55000000000000004">
      <c r="W56205"/>
    </row>
    <row r="56206" spans="23:23" x14ac:dyDescent="0.55000000000000004">
      <c r="W56206"/>
    </row>
    <row r="56207" spans="23:23" x14ac:dyDescent="0.55000000000000004">
      <c r="W56207"/>
    </row>
    <row r="56208" spans="23:23" x14ac:dyDescent="0.55000000000000004">
      <c r="W56208"/>
    </row>
    <row r="56209" spans="23:23" x14ac:dyDescent="0.55000000000000004">
      <c r="W56209"/>
    </row>
    <row r="56210" spans="23:23" x14ac:dyDescent="0.55000000000000004">
      <c r="W56210"/>
    </row>
    <row r="56211" spans="23:23" x14ac:dyDescent="0.55000000000000004">
      <c r="W56211"/>
    </row>
    <row r="56212" spans="23:23" x14ac:dyDescent="0.55000000000000004">
      <c r="W56212"/>
    </row>
    <row r="56213" spans="23:23" x14ac:dyDescent="0.55000000000000004">
      <c r="W56213"/>
    </row>
    <row r="56214" spans="23:23" x14ac:dyDescent="0.55000000000000004">
      <c r="W56214"/>
    </row>
    <row r="56215" spans="23:23" x14ac:dyDescent="0.55000000000000004">
      <c r="W56215"/>
    </row>
    <row r="56216" spans="23:23" x14ac:dyDescent="0.55000000000000004">
      <c r="W56216"/>
    </row>
    <row r="56217" spans="23:23" x14ac:dyDescent="0.55000000000000004">
      <c r="W56217"/>
    </row>
    <row r="56218" spans="23:23" x14ac:dyDescent="0.55000000000000004">
      <c r="W56218"/>
    </row>
    <row r="56219" spans="23:23" x14ac:dyDescent="0.55000000000000004">
      <c r="W56219"/>
    </row>
    <row r="56220" spans="23:23" x14ac:dyDescent="0.55000000000000004">
      <c r="W56220"/>
    </row>
    <row r="56221" spans="23:23" x14ac:dyDescent="0.55000000000000004">
      <c r="W56221"/>
    </row>
    <row r="56222" spans="23:23" x14ac:dyDescent="0.55000000000000004">
      <c r="W56222"/>
    </row>
    <row r="56223" spans="23:23" x14ac:dyDescent="0.55000000000000004">
      <c r="W56223"/>
    </row>
    <row r="56224" spans="23:23" x14ac:dyDescent="0.55000000000000004">
      <c r="W56224"/>
    </row>
    <row r="56225" spans="23:23" x14ac:dyDescent="0.55000000000000004">
      <c r="W56225"/>
    </row>
    <row r="56226" spans="23:23" x14ac:dyDescent="0.55000000000000004">
      <c r="W56226"/>
    </row>
    <row r="56227" spans="23:23" x14ac:dyDescent="0.55000000000000004">
      <c r="W56227"/>
    </row>
    <row r="56228" spans="23:23" x14ac:dyDescent="0.55000000000000004">
      <c r="W56228"/>
    </row>
    <row r="56229" spans="23:23" x14ac:dyDescent="0.55000000000000004">
      <c r="W56229"/>
    </row>
    <row r="56230" spans="23:23" x14ac:dyDescent="0.55000000000000004">
      <c r="W56230"/>
    </row>
    <row r="56231" spans="23:23" x14ac:dyDescent="0.55000000000000004">
      <c r="W56231"/>
    </row>
    <row r="56232" spans="23:23" x14ac:dyDescent="0.55000000000000004">
      <c r="W56232"/>
    </row>
    <row r="56233" spans="23:23" x14ac:dyDescent="0.55000000000000004">
      <c r="W56233"/>
    </row>
    <row r="56234" spans="23:23" x14ac:dyDescent="0.55000000000000004">
      <c r="W56234"/>
    </row>
    <row r="56235" spans="23:23" x14ac:dyDescent="0.55000000000000004">
      <c r="W56235"/>
    </row>
    <row r="56236" spans="23:23" x14ac:dyDescent="0.55000000000000004">
      <c r="W56236"/>
    </row>
    <row r="56237" spans="23:23" x14ac:dyDescent="0.55000000000000004">
      <c r="W56237"/>
    </row>
    <row r="56238" spans="23:23" x14ac:dyDescent="0.55000000000000004">
      <c r="W56238"/>
    </row>
    <row r="56239" spans="23:23" x14ac:dyDescent="0.55000000000000004">
      <c r="W56239"/>
    </row>
    <row r="56240" spans="23:23" x14ac:dyDescent="0.55000000000000004">
      <c r="W56240"/>
    </row>
    <row r="56241" spans="23:23" x14ac:dyDescent="0.55000000000000004">
      <c r="W56241"/>
    </row>
    <row r="56242" spans="23:23" x14ac:dyDescent="0.55000000000000004">
      <c r="W56242"/>
    </row>
    <row r="56243" spans="23:23" x14ac:dyDescent="0.55000000000000004">
      <c r="W56243"/>
    </row>
    <row r="56244" spans="23:23" x14ac:dyDescent="0.55000000000000004">
      <c r="W56244"/>
    </row>
    <row r="56245" spans="23:23" x14ac:dyDescent="0.55000000000000004">
      <c r="W56245"/>
    </row>
    <row r="56246" spans="23:23" x14ac:dyDescent="0.55000000000000004">
      <c r="W56246"/>
    </row>
    <row r="56247" spans="23:23" x14ac:dyDescent="0.55000000000000004">
      <c r="W56247"/>
    </row>
    <row r="56248" spans="23:23" x14ac:dyDescent="0.55000000000000004">
      <c r="W56248"/>
    </row>
    <row r="56249" spans="23:23" x14ac:dyDescent="0.55000000000000004">
      <c r="W56249"/>
    </row>
    <row r="56250" spans="23:23" x14ac:dyDescent="0.55000000000000004">
      <c r="W56250"/>
    </row>
    <row r="56251" spans="23:23" x14ac:dyDescent="0.55000000000000004">
      <c r="W56251"/>
    </row>
    <row r="56252" spans="23:23" x14ac:dyDescent="0.55000000000000004">
      <c r="W56252"/>
    </row>
    <row r="56253" spans="23:23" x14ac:dyDescent="0.55000000000000004">
      <c r="W56253"/>
    </row>
    <row r="56254" spans="23:23" x14ac:dyDescent="0.55000000000000004">
      <c r="W56254"/>
    </row>
    <row r="56255" spans="23:23" x14ac:dyDescent="0.55000000000000004">
      <c r="W56255"/>
    </row>
    <row r="56256" spans="23:23" x14ac:dyDescent="0.55000000000000004">
      <c r="W56256"/>
    </row>
    <row r="56257" spans="23:23" x14ac:dyDescent="0.55000000000000004">
      <c r="W56257"/>
    </row>
    <row r="56258" spans="23:23" x14ac:dyDescent="0.55000000000000004">
      <c r="W56258"/>
    </row>
    <row r="56259" spans="23:23" x14ac:dyDescent="0.55000000000000004">
      <c r="W56259"/>
    </row>
    <row r="56260" spans="23:23" x14ac:dyDescent="0.55000000000000004">
      <c r="W56260"/>
    </row>
    <row r="56261" spans="23:23" x14ac:dyDescent="0.55000000000000004">
      <c r="W56261"/>
    </row>
    <row r="56262" spans="23:23" x14ac:dyDescent="0.55000000000000004">
      <c r="W56262"/>
    </row>
    <row r="56263" spans="23:23" x14ac:dyDescent="0.55000000000000004">
      <c r="W56263"/>
    </row>
    <row r="56264" spans="23:23" x14ac:dyDescent="0.55000000000000004">
      <c r="W56264"/>
    </row>
    <row r="56265" spans="23:23" x14ac:dyDescent="0.55000000000000004">
      <c r="W56265"/>
    </row>
    <row r="56266" spans="23:23" x14ac:dyDescent="0.55000000000000004">
      <c r="W56266"/>
    </row>
    <row r="56267" spans="23:23" x14ac:dyDescent="0.55000000000000004">
      <c r="W56267"/>
    </row>
    <row r="56268" spans="23:23" x14ac:dyDescent="0.55000000000000004">
      <c r="W56268"/>
    </row>
    <row r="56269" spans="23:23" x14ac:dyDescent="0.55000000000000004">
      <c r="W56269"/>
    </row>
    <row r="56270" spans="23:23" x14ac:dyDescent="0.55000000000000004">
      <c r="W56270"/>
    </row>
    <row r="56271" spans="23:23" x14ac:dyDescent="0.55000000000000004">
      <c r="W56271"/>
    </row>
    <row r="56272" spans="23:23" x14ac:dyDescent="0.55000000000000004">
      <c r="W56272"/>
    </row>
    <row r="56273" spans="23:23" x14ac:dyDescent="0.55000000000000004">
      <c r="W56273"/>
    </row>
    <row r="56274" spans="23:23" x14ac:dyDescent="0.55000000000000004">
      <c r="W56274"/>
    </row>
    <row r="56275" spans="23:23" x14ac:dyDescent="0.55000000000000004">
      <c r="W56275"/>
    </row>
    <row r="56276" spans="23:23" x14ac:dyDescent="0.55000000000000004">
      <c r="W56276"/>
    </row>
    <row r="56277" spans="23:23" x14ac:dyDescent="0.55000000000000004">
      <c r="W56277"/>
    </row>
    <row r="56278" spans="23:23" x14ac:dyDescent="0.55000000000000004">
      <c r="W56278"/>
    </row>
    <row r="56279" spans="23:23" x14ac:dyDescent="0.55000000000000004">
      <c r="W56279"/>
    </row>
    <row r="56280" spans="23:23" x14ac:dyDescent="0.55000000000000004">
      <c r="W56280"/>
    </row>
    <row r="56281" spans="23:23" x14ac:dyDescent="0.55000000000000004">
      <c r="W56281"/>
    </row>
    <row r="56282" spans="23:23" x14ac:dyDescent="0.55000000000000004">
      <c r="W56282"/>
    </row>
    <row r="56283" spans="23:23" x14ac:dyDescent="0.55000000000000004">
      <c r="W56283"/>
    </row>
    <row r="56284" spans="23:23" x14ac:dyDescent="0.55000000000000004">
      <c r="W56284"/>
    </row>
    <row r="56285" spans="23:23" x14ac:dyDescent="0.55000000000000004">
      <c r="W56285"/>
    </row>
    <row r="56286" spans="23:23" x14ac:dyDescent="0.55000000000000004">
      <c r="W56286"/>
    </row>
    <row r="56287" spans="23:23" x14ac:dyDescent="0.55000000000000004">
      <c r="W56287"/>
    </row>
    <row r="56288" spans="23:23" x14ac:dyDescent="0.55000000000000004">
      <c r="W56288"/>
    </row>
    <row r="56289" spans="23:23" x14ac:dyDescent="0.55000000000000004">
      <c r="W56289"/>
    </row>
    <row r="56290" spans="23:23" x14ac:dyDescent="0.55000000000000004">
      <c r="W56290"/>
    </row>
    <row r="56291" spans="23:23" x14ac:dyDescent="0.55000000000000004">
      <c r="W56291"/>
    </row>
    <row r="56292" spans="23:23" x14ac:dyDescent="0.55000000000000004">
      <c r="W56292"/>
    </row>
    <row r="56293" spans="23:23" x14ac:dyDescent="0.55000000000000004">
      <c r="W56293"/>
    </row>
    <row r="56294" spans="23:23" x14ac:dyDescent="0.55000000000000004">
      <c r="W56294"/>
    </row>
    <row r="56295" spans="23:23" x14ac:dyDescent="0.55000000000000004">
      <c r="W56295"/>
    </row>
    <row r="56296" spans="23:23" x14ac:dyDescent="0.55000000000000004">
      <c r="W56296"/>
    </row>
    <row r="56297" spans="23:23" x14ac:dyDescent="0.55000000000000004">
      <c r="W56297"/>
    </row>
    <row r="56298" spans="23:23" x14ac:dyDescent="0.55000000000000004">
      <c r="W56298"/>
    </row>
    <row r="56299" spans="23:23" x14ac:dyDescent="0.55000000000000004">
      <c r="W56299"/>
    </row>
    <row r="56300" spans="23:23" x14ac:dyDescent="0.55000000000000004">
      <c r="W56300"/>
    </row>
    <row r="56301" spans="23:23" x14ac:dyDescent="0.55000000000000004">
      <c r="W56301"/>
    </row>
    <row r="56302" spans="23:23" x14ac:dyDescent="0.55000000000000004">
      <c r="W56302"/>
    </row>
    <row r="56303" spans="23:23" x14ac:dyDescent="0.55000000000000004">
      <c r="W56303"/>
    </row>
    <row r="56304" spans="23:23" x14ac:dyDescent="0.55000000000000004">
      <c r="W56304"/>
    </row>
    <row r="56305" spans="23:23" x14ac:dyDescent="0.55000000000000004">
      <c r="W56305"/>
    </row>
    <row r="56306" spans="23:23" x14ac:dyDescent="0.55000000000000004">
      <c r="W56306"/>
    </row>
    <row r="56307" spans="23:23" x14ac:dyDescent="0.55000000000000004">
      <c r="W56307"/>
    </row>
    <row r="56308" spans="23:23" x14ac:dyDescent="0.55000000000000004">
      <c r="W56308"/>
    </row>
    <row r="56309" spans="23:23" x14ac:dyDescent="0.55000000000000004">
      <c r="W56309"/>
    </row>
    <row r="56310" spans="23:23" x14ac:dyDescent="0.55000000000000004">
      <c r="W56310"/>
    </row>
    <row r="56311" spans="23:23" x14ac:dyDescent="0.55000000000000004">
      <c r="W56311"/>
    </row>
    <row r="56312" spans="23:23" x14ac:dyDescent="0.55000000000000004">
      <c r="W56312"/>
    </row>
    <row r="56313" spans="23:23" x14ac:dyDescent="0.55000000000000004">
      <c r="W56313"/>
    </row>
    <row r="56314" spans="23:23" x14ac:dyDescent="0.55000000000000004">
      <c r="W56314"/>
    </row>
    <row r="56315" spans="23:23" x14ac:dyDescent="0.55000000000000004">
      <c r="W56315"/>
    </row>
    <row r="56316" spans="23:23" x14ac:dyDescent="0.55000000000000004">
      <c r="W56316"/>
    </row>
    <row r="56317" spans="23:23" x14ac:dyDescent="0.55000000000000004">
      <c r="W56317"/>
    </row>
    <row r="56318" spans="23:23" x14ac:dyDescent="0.55000000000000004">
      <c r="W56318"/>
    </row>
    <row r="56319" spans="23:23" x14ac:dyDescent="0.55000000000000004">
      <c r="W56319"/>
    </row>
    <row r="56320" spans="23:23" x14ac:dyDescent="0.55000000000000004">
      <c r="W56320"/>
    </row>
    <row r="56321" spans="23:23" x14ac:dyDescent="0.55000000000000004">
      <c r="W56321"/>
    </row>
    <row r="56322" spans="23:23" x14ac:dyDescent="0.55000000000000004">
      <c r="W56322"/>
    </row>
    <row r="56323" spans="23:23" x14ac:dyDescent="0.55000000000000004">
      <c r="W56323"/>
    </row>
    <row r="56324" spans="23:23" x14ac:dyDescent="0.55000000000000004">
      <c r="W56324"/>
    </row>
    <row r="56325" spans="23:23" x14ac:dyDescent="0.55000000000000004">
      <c r="W56325"/>
    </row>
    <row r="56326" spans="23:23" x14ac:dyDescent="0.55000000000000004">
      <c r="W56326"/>
    </row>
    <row r="56327" spans="23:23" x14ac:dyDescent="0.55000000000000004">
      <c r="W56327"/>
    </row>
    <row r="56328" spans="23:23" x14ac:dyDescent="0.55000000000000004">
      <c r="W56328"/>
    </row>
    <row r="56329" spans="23:23" x14ac:dyDescent="0.55000000000000004">
      <c r="W56329"/>
    </row>
    <row r="56330" spans="23:23" x14ac:dyDescent="0.55000000000000004">
      <c r="W56330"/>
    </row>
    <row r="56331" spans="23:23" x14ac:dyDescent="0.55000000000000004">
      <c r="W56331"/>
    </row>
    <row r="56332" spans="23:23" x14ac:dyDescent="0.55000000000000004">
      <c r="W56332"/>
    </row>
    <row r="56333" spans="23:23" x14ac:dyDescent="0.55000000000000004">
      <c r="W56333"/>
    </row>
    <row r="56334" spans="23:23" x14ac:dyDescent="0.55000000000000004">
      <c r="W56334"/>
    </row>
    <row r="56335" spans="23:23" x14ac:dyDescent="0.55000000000000004">
      <c r="W56335"/>
    </row>
    <row r="56336" spans="23:23" x14ac:dyDescent="0.55000000000000004">
      <c r="W56336"/>
    </row>
    <row r="56337" spans="23:23" x14ac:dyDescent="0.55000000000000004">
      <c r="W56337"/>
    </row>
    <row r="56338" spans="23:23" x14ac:dyDescent="0.55000000000000004">
      <c r="W56338"/>
    </row>
    <row r="56339" spans="23:23" x14ac:dyDescent="0.55000000000000004">
      <c r="W56339"/>
    </row>
    <row r="56340" spans="23:23" x14ac:dyDescent="0.55000000000000004">
      <c r="W56340"/>
    </row>
    <row r="56341" spans="23:23" x14ac:dyDescent="0.55000000000000004">
      <c r="W56341"/>
    </row>
    <row r="56342" spans="23:23" x14ac:dyDescent="0.55000000000000004">
      <c r="W56342"/>
    </row>
    <row r="56343" spans="23:23" x14ac:dyDescent="0.55000000000000004">
      <c r="W56343"/>
    </row>
    <row r="56344" spans="23:23" x14ac:dyDescent="0.55000000000000004">
      <c r="W56344"/>
    </row>
    <row r="56345" spans="23:23" x14ac:dyDescent="0.55000000000000004">
      <c r="W56345"/>
    </row>
    <row r="56346" spans="23:23" x14ac:dyDescent="0.55000000000000004">
      <c r="W56346"/>
    </row>
    <row r="56347" spans="23:23" x14ac:dyDescent="0.55000000000000004">
      <c r="W56347"/>
    </row>
    <row r="56348" spans="23:23" x14ac:dyDescent="0.55000000000000004">
      <c r="W56348"/>
    </row>
    <row r="56349" spans="23:23" x14ac:dyDescent="0.55000000000000004">
      <c r="W56349"/>
    </row>
    <row r="56350" spans="23:23" x14ac:dyDescent="0.55000000000000004">
      <c r="W56350"/>
    </row>
    <row r="56351" spans="23:23" x14ac:dyDescent="0.55000000000000004">
      <c r="W56351"/>
    </row>
    <row r="56352" spans="23:23" x14ac:dyDescent="0.55000000000000004">
      <c r="W56352"/>
    </row>
    <row r="56353" spans="23:23" x14ac:dyDescent="0.55000000000000004">
      <c r="W56353"/>
    </row>
    <row r="56354" spans="23:23" x14ac:dyDescent="0.55000000000000004">
      <c r="W56354"/>
    </row>
    <row r="56355" spans="23:23" x14ac:dyDescent="0.55000000000000004">
      <c r="W56355"/>
    </row>
    <row r="56356" spans="23:23" x14ac:dyDescent="0.55000000000000004">
      <c r="W56356"/>
    </row>
    <row r="56357" spans="23:23" x14ac:dyDescent="0.55000000000000004">
      <c r="W56357"/>
    </row>
    <row r="56358" spans="23:23" x14ac:dyDescent="0.55000000000000004">
      <c r="W56358"/>
    </row>
    <row r="56359" spans="23:23" x14ac:dyDescent="0.55000000000000004">
      <c r="W56359"/>
    </row>
    <row r="56360" spans="23:23" x14ac:dyDescent="0.55000000000000004">
      <c r="W56360"/>
    </row>
    <row r="56361" spans="23:23" x14ac:dyDescent="0.55000000000000004">
      <c r="W56361"/>
    </row>
    <row r="56362" spans="23:23" x14ac:dyDescent="0.55000000000000004">
      <c r="W56362"/>
    </row>
    <row r="56363" spans="23:23" x14ac:dyDescent="0.55000000000000004">
      <c r="W56363"/>
    </row>
    <row r="56364" spans="23:23" x14ac:dyDescent="0.55000000000000004">
      <c r="W56364"/>
    </row>
    <row r="56365" spans="23:23" x14ac:dyDescent="0.55000000000000004">
      <c r="W56365"/>
    </row>
    <row r="56366" spans="23:23" x14ac:dyDescent="0.55000000000000004">
      <c r="W56366"/>
    </row>
    <row r="56367" spans="23:23" x14ac:dyDescent="0.55000000000000004">
      <c r="W56367"/>
    </row>
    <row r="56368" spans="23:23" x14ac:dyDescent="0.55000000000000004">
      <c r="W56368"/>
    </row>
    <row r="56369" spans="23:23" x14ac:dyDescent="0.55000000000000004">
      <c r="W56369"/>
    </row>
    <row r="56370" spans="23:23" x14ac:dyDescent="0.55000000000000004">
      <c r="W56370"/>
    </row>
    <row r="56371" spans="23:23" x14ac:dyDescent="0.55000000000000004">
      <c r="W56371"/>
    </row>
    <row r="56372" spans="23:23" x14ac:dyDescent="0.55000000000000004">
      <c r="W56372"/>
    </row>
    <row r="56373" spans="23:23" x14ac:dyDescent="0.55000000000000004">
      <c r="W56373"/>
    </row>
    <row r="56374" spans="23:23" x14ac:dyDescent="0.55000000000000004">
      <c r="W56374"/>
    </row>
    <row r="56375" spans="23:23" x14ac:dyDescent="0.55000000000000004">
      <c r="W56375"/>
    </row>
    <row r="56376" spans="23:23" x14ac:dyDescent="0.55000000000000004">
      <c r="W56376"/>
    </row>
    <row r="56377" spans="23:23" x14ac:dyDescent="0.55000000000000004">
      <c r="W56377"/>
    </row>
    <row r="56378" spans="23:23" x14ac:dyDescent="0.55000000000000004">
      <c r="W56378"/>
    </row>
    <row r="56379" spans="23:23" x14ac:dyDescent="0.55000000000000004">
      <c r="W56379"/>
    </row>
    <row r="56380" spans="23:23" x14ac:dyDescent="0.55000000000000004">
      <c r="W56380"/>
    </row>
    <row r="56381" spans="23:23" x14ac:dyDescent="0.55000000000000004">
      <c r="W56381"/>
    </row>
    <row r="56382" spans="23:23" x14ac:dyDescent="0.55000000000000004">
      <c r="W56382"/>
    </row>
    <row r="56383" spans="23:23" x14ac:dyDescent="0.55000000000000004">
      <c r="W56383"/>
    </row>
    <row r="56384" spans="23:23" x14ac:dyDescent="0.55000000000000004">
      <c r="W56384"/>
    </row>
    <row r="56385" spans="23:23" x14ac:dyDescent="0.55000000000000004">
      <c r="W56385"/>
    </row>
    <row r="56386" spans="23:23" x14ac:dyDescent="0.55000000000000004">
      <c r="W56386"/>
    </row>
    <row r="56387" spans="23:23" x14ac:dyDescent="0.55000000000000004">
      <c r="W56387"/>
    </row>
    <row r="56388" spans="23:23" x14ac:dyDescent="0.55000000000000004">
      <c r="W56388"/>
    </row>
    <row r="56389" spans="23:23" x14ac:dyDescent="0.55000000000000004">
      <c r="W56389"/>
    </row>
    <row r="56390" spans="23:23" x14ac:dyDescent="0.55000000000000004">
      <c r="W56390"/>
    </row>
    <row r="56391" spans="23:23" x14ac:dyDescent="0.55000000000000004">
      <c r="W56391"/>
    </row>
    <row r="56392" spans="23:23" x14ac:dyDescent="0.55000000000000004">
      <c r="W56392"/>
    </row>
    <row r="56393" spans="23:23" x14ac:dyDescent="0.55000000000000004">
      <c r="W56393"/>
    </row>
    <row r="56394" spans="23:23" x14ac:dyDescent="0.55000000000000004">
      <c r="W56394"/>
    </row>
    <row r="56395" spans="23:23" x14ac:dyDescent="0.55000000000000004">
      <c r="W56395"/>
    </row>
    <row r="56396" spans="23:23" x14ac:dyDescent="0.55000000000000004">
      <c r="W56396"/>
    </row>
    <row r="56397" spans="23:23" x14ac:dyDescent="0.55000000000000004">
      <c r="W56397"/>
    </row>
    <row r="56398" spans="23:23" x14ac:dyDescent="0.55000000000000004">
      <c r="W56398"/>
    </row>
    <row r="56399" spans="23:23" x14ac:dyDescent="0.55000000000000004">
      <c r="W56399"/>
    </row>
    <row r="56400" spans="23:23" x14ac:dyDescent="0.55000000000000004">
      <c r="W56400"/>
    </row>
    <row r="56401" spans="23:23" x14ac:dyDescent="0.55000000000000004">
      <c r="W56401"/>
    </row>
    <row r="56402" spans="23:23" x14ac:dyDescent="0.55000000000000004">
      <c r="W56402"/>
    </row>
    <row r="56403" spans="23:23" x14ac:dyDescent="0.55000000000000004">
      <c r="W56403"/>
    </row>
    <row r="56404" spans="23:23" x14ac:dyDescent="0.55000000000000004">
      <c r="W56404"/>
    </row>
    <row r="56405" spans="23:23" x14ac:dyDescent="0.55000000000000004">
      <c r="W56405"/>
    </row>
    <row r="56406" spans="23:23" x14ac:dyDescent="0.55000000000000004">
      <c r="W56406"/>
    </row>
    <row r="56407" spans="23:23" x14ac:dyDescent="0.55000000000000004">
      <c r="W56407"/>
    </row>
    <row r="56408" spans="23:23" x14ac:dyDescent="0.55000000000000004">
      <c r="W56408"/>
    </row>
    <row r="56409" spans="23:23" x14ac:dyDescent="0.55000000000000004">
      <c r="W56409"/>
    </row>
    <row r="56410" spans="23:23" x14ac:dyDescent="0.55000000000000004">
      <c r="W56410"/>
    </row>
    <row r="56411" spans="23:23" x14ac:dyDescent="0.55000000000000004">
      <c r="W56411"/>
    </row>
    <row r="56412" spans="23:23" x14ac:dyDescent="0.55000000000000004">
      <c r="W56412"/>
    </row>
    <row r="56413" spans="23:23" x14ac:dyDescent="0.55000000000000004">
      <c r="W56413"/>
    </row>
    <row r="56414" spans="23:23" x14ac:dyDescent="0.55000000000000004">
      <c r="W56414"/>
    </row>
    <row r="56415" spans="23:23" x14ac:dyDescent="0.55000000000000004">
      <c r="W56415"/>
    </row>
    <row r="56416" spans="23:23" x14ac:dyDescent="0.55000000000000004">
      <c r="W56416"/>
    </row>
    <row r="56417" spans="23:23" x14ac:dyDescent="0.55000000000000004">
      <c r="W56417"/>
    </row>
    <row r="56418" spans="23:23" x14ac:dyDescent="0.55000000000000004">
      <c r="W56418"/>
    </row>
    <row r="56419" spans="23:23" x14ac:dyDescent="0.55000000000000004">
      <c r="W56419"/>
    </row>
    <row r="56420" spans="23:23" x14ac:dyDescent="0.55000000000000004">
      <c r="W56420"/>
    </row>
    <row r="56421" spans="23:23" x14ac:dyDescent="0.55000000000000004">
      <c r="W56421"/>
    </row>
    <row r="56422" spans="23:23" x14ac:dyDescent="0.55000000000000004">
      <c r="W56422"/>
    </row>
    <row r="56423" spans="23:23" x14ac:dyDescent="0.55000000000000004">
      <c r="W56423"/>
    </row>
    <row r="56424" spans="23:23" x14ac:dyDescent="0.55000000000000004">
      <c r="W56424"/>
    </row>
    <row r="56425" spans="23:23" x14ac:dyDescent="0.55000000000000004">
      <c r="W56425"/>
    </row>
    <row r="56426" spans="23:23" x14ac:dyDescent="0.55000000000000004">
      <c r="W56426"/>
    </row>
    <row r="56427" spans="23:23" x14ac:dyDescent="0.55000000000000004">
      <c r="W56427"/>
    </row>
    <row r="56428" spans="23:23" x14ac:dyDescent="0.55000000000000004">
      <c r="W56428"/>
    </row>
    <row r="56429" spans="23:23" x14ac:dyDescent="0.55000000000000004">
      <c r="W56429"/>
    </row>
    <row r="56430" spans="23:23" x14ac:dyDescent="0.55000000000000004">
      <c r="W56430"/>
    </row>
    <row r="56431" spans="23:23" x14ac:dyDescent="0.55000000000000004">
      <c r="W56431"/>
    </row>
    <row r="56432" spans="23:23" x14ac:dyDescent="0.55000000000000004">
      <c r="W56432"/>
    </row>
    <row r="56433" spans="23:23" x14ac:dyDescent="0.55000000000000004">
      <c r="W56433"/>
    </row>
    <row r="56434" spans="23:23" x14ac:dyDescent="0.55000000000000004">
      <c r="W56434"/>
    </row>
    <row r="56435" spans="23:23" x14ac:dyDescent="0.55000000000000004">
      <c r="W56435"/>
    </row>
    <row r="56436" spans="23:23" x14ac:dyDescent="0.55000000000000004">
      <c r="W56436"/>
    </row>
    <row r="56437" spans="23:23" x14ac:dyDescent="0.55000000000000004">
      <c r="W56437"/>
    </row>
    <row r="56438" spans="23:23" x14ac:dyDescent="0.55000000000000004">
      <c r="W56438"/>
    </row>
    <row r="56439" spans="23:23" x14ac:dyDescent="0.55000000000000004">
      <c r="W56439"/>
    </row>
    <row r="56440" spans="23:23" x14ac:dyDescent="0.55000000000000004">
      <c r="W56440"/>
    </row>
    <row r="56441" spans="23:23" x14ac:dyDescent="0.55000000000000004">
      <c r="W56441"/>
    </row>
    <row r="56442" spans="23:23" x14ac:dyDescent="0.55000000000000004">
      <c r="W56442"/>
    </row>
    <row r="56443" spans="23:23" x14ac:dyDescent="0.55000000000000004">
      <c r="W56443"/>
    </row>
    <row r="56444" spans="23:23" x14ac:dyDescent="0.55000000000000004">
      <c r="W56444"/>
    </row>
    <row r="56445" spans="23:23" x14ac:dyDescent="0.55000000000000004">
      <c r="W56445"/>
    </row>
    <row r="56446" spans="23:23" x14ac:dyDescent="0.55000000000000004">
      <c r="W56446"/>
    </row>
    <row r="56447" spans="23:23" x14ac:dyDescent="0.55000000000000004">
      <c r="W56447"/>
    </row>
    <row r="56448" spans="23:23" x14ac:dyDescent="0.55000000000000004">
      <c r="W56448"/>
    </row>
    <row r="56449" spans="23:23" x14ac:dyDescent="0.55000000000000004">
      <c r="W56449"/>
    </row>
    <row r="56450" spans="23:23" x14ac:dyDescent="0.55000000000000004">
      <c r="W56450"/>
    </row>
    <row r="56451" spans="23:23" x14ac:dyDescent="0.55000000000000004">
      <c r="W56451"/>
    </row>
    <row r="56452" spans="23:23" x14ac:dyDescent="0.55000000000000004">
      <c r="W56452"/>
    </row>
    <row r="56453" spans="23:23" x14ac:dyDescent="0.55000000000000004">
      <c r="W56453"/>
    </row>
    <row r="56454" spans="23:23" x14ac:dyDescent="0.55000000000000004">
      <c r="W56454"/>
    </row>
    <row r="56455" spans="23:23" x14ac:dyDescent="0.55000000000000004">
      <c r="W56455"/>
    </row>
    <row r="56456" spans="23:23" x14ac:dyDescent="0.55000000000000004">
      <c r="W56456"/>
    </row>
    <row r="56457" spans="23:23" x14ac:dyDescent="0.55000000000000004">
      <c r="W56457"/>
    </row>
    <row r="56458" spans="23:23" x14ac:dyDescent="0.55000000000000004">
      <c r="W56458"/>
    </row>
    <row r="56459" spans="23:23" x14ac:dyDescent="0.55000000000000004">
      <c r="W56459"/>
    </row>
    <row r="56460" spans="23:23" x14ac:dyDescent="0.55000000000000004">
      <c r="W56460"/>
    </row>
    <row r="56461" spans="23:23" x14ac:dyDescent="0.55000000000000004">
      <c r="W56461"/>
    </row>
    <row r="56462" spans="23:23" x14ac:dyDescent="0.55000000000000004">
      <c r="W56462"/>
    </row>
    <row r="56463" spans="23:23" x14ac:dyDescent="0.55000000000000004">
      <c r="W56463"/>
    </row>
    <row r="56464" spans="23:23" x14ac:dyDescent="0.55000000000000004">
      <c r="W56464"/>
    </row>
    <row r="56465" spans="23:23" x14ac:dyDescent="0.55000000000000004">
      <c r="W56465"/>
    </row>
    <row r="56466" spans="23:23" x14ac:dyDescent="0.55000000000000004">
      <c r="W56466"/>
    </row>
    <row r="56467" spans="23:23" x14ac:dyDescent="0.55000000000000004">
      <c r="W56467"/>
    </row>
    <row r="56468" spans="23:23" x14ac:dyDescent="0.55000000000000004">
      <c r="W56468"/>
    </row>
    <row r="56469" spans="23:23" x14ac:dyDescent="0.55000000000000004">
      <c r="W56469"/>
    </row>
    <row r="56470" spans="23:23" x14ac:dyDescent="0.55000000000000004">
      <c r="W56470"/>
    </row>
    <row r="56471" spans="23:23" x14ac:dyDescent="0.55000000000000004">
      <c r="W56471"/>
    </row>
    <row r="56472" spans="23:23" x14ac:dyDescent="0.55000000000000004">
      <c r="W56472"/>
    </row>
    <row r="56473" spans="23:23" x14ac:dyDescent="0.55000000000000004">
      <c r="W56473"/>
    </row>
    <row r="56474" spans="23:23" x14ac:dyDescent="0.55000000000000004">
      <c r="W56474"/>
    </row>
    <row r="56475" spans="23:23" x14ac:dyDescent="0.55000000000000004">
      <c r="W56475"/>
    </row>
    <row r="56476" spans="23:23" x14ac:dyDescent="0.55000000000000004">
      <c r="W56476"/>
    </row>
    <row r="56477" spans="23:23" x14ac:dyDescent="0.55000000000000004">
      <c r="W56477"/>
    </row>
    <row r="56478" spans="23:23" x14ac:dyDescent="0.55000000000000004">
      <c r="W56478"/>
    </row>
    <row r="56479" spans="23:23" x14ac:dyDescent="0.55000000000000004">
      <c r="W56479"/>
    </row>
    <row r="56480" spans="23:23" x14ac:dyDescent="0.55000000000000004">
      <c r="W56480"/>
    </row>
    <row r="56481" spans="23:23" x14ac:dyDescent="0.55000000000000004">
      <c r="W56481"/>
    </row>
    <row r="56482" spans="23:23" x14ac:dyDescent="0.55000000000000004">
      <c r="W56482"/>
    </row>
    <row r="56483" spans="23:23" x14ac:dyDescent="0.55000000000000004">
      <c r="W56483"/>
    </row>
    <row r="56484" spans="23:23" x14ac:dyDescent="0.55000000000000004">
      <c r="W56484"/>
    </row>
    <row r="56485" spans="23:23" x14ac:dyDescent="0.55000000000000004">
      <c r="W56485"/>
    </row>
    <row r="56486" spans="23:23" x14ac:dyDescent="0.55000000000000004">
      <c r="W56486"/>
    </row>
    <row r="56487" spans="23:23" x14ac:dyDescent="0.55000000000000004">
      <c r="W56487"/>
    </row>
    <row r="56488" spans="23:23" x14ac:dyDescent="0.55000000000000004">
      <c r="W56488"/>
    </row>
    <row r="56489" spans="23:23" x14ac:dyDescent="0.55000000000000004">
      <c r="W56489"/>
    </row>
    <row r="56490" spans="23:23" x14ac:dyDescent="0.55000000000000004">
      <c r="W56490"/>
    </row>
    <row r="56491" spans="23:23" x14ac:dyDescent="0.55000000000000004">
      <c r="W56491"/>
    </row>
    <row r="56492" spans="23:23" x14ac:dyDescent="0.55000000000000004">
      <c r="W56492"/>
    </row>
    <row r="56493" spans="23:23" x14ac:dyDescent="0.55000000000000004">
      <c r="W56493"/>
    </row>
    <row r="56494" spans="23:23" x14ac:dyDescent="0.55000000000000004">
      <c r="W56494"/>
    </row>
    <row r="56495" spans="23:23" x14ac:dyDescent="0.55000000000000004">
      <c r="W56495"/>
    </row>
    <row r="56496" spans="23:23" x14ac:dyDescent="0.55000000000000004">
      <c r="W56496"/>
    </row>
    <row r="56497" spans="23:23" x14ac:dyDescent="0.55000000000000004">
      <c r="W56497"/>
    </row>
    <row r="56498" spans="23:23" x14ac:dyDescent="0.55000000000000004">
      <c r="W56498"/>
    </row>
    <row r="56499" spans="23:23" x14ac:dyDescent="0.55000000000000004">
      <c r="W56499"/>
    </row>
    <row r="56500" spans="23:23" x14ac:dyDescent="0.55000000000000004">
      <c r="W56500"/>
    </row>
    <row r="56501" spans="23:23" x14ac:dyDescent="0.55000000000000004">
      <c r="W56501"/>
    </row>
    <row r="56502" spans="23:23" x14ac:dyDescent="0.55000000000000004">
      <c r="W56502"/>
    </row>
    <row r="56503" spans="23:23" x14ac:dyDescent="0.55000000000000004">
      <c r="W56503"/>
    </row>
    <row r="56504" spans="23:23" x14ac:dyDescent="0.55000000000000004">
      <c r="W56504"/>
    </row>
    <row r="56505" spans="23:23" x14ac:dyDescent="0.55000000000000004">
      <c r="W56505"/>
    </row>
    <row r="56506" spans="23:23" x14ac:dyDescent="0.55000000000000004">
      <c r="W56506"/>
    </row>
    <row r="56507" spans="23:23" x14ac:dyDescent="0.55000000000000004">
      <c r="W56507"/>
    </row>
    <row r="56508" spans="23:23" x14ac:dyDescent="0.55000000000000004">
      <c r="W56508"/>
    </row>
    <row r="56509" spans="23:23" x14ac:dyDescent="0.55000000000000004">
      <c r="W56509"/>
    </row>
    <row r="56510" spans="23:23" x14ac:dyDescent="0.55000000000000004">
      <c r="W56510"/>
    </row>
    <row r="56511" spans="23:23" x14ac:dyDescent="0.55000000000000004">
      <c r="W56511"/>
    </row>
    <row r="56512" spans="23:23" x14ac:dyDescent="0.55000000000000004">
      <c r="W56512"/>
    </row>
    <row r="56513" spans="23:23" x14ac:dyDescent="0.55000000000000004">
      <c r="W56513"/>
    </row>
    <row r="56514" spans="23:23" x14ac:dyDescent="0.55000000000000004">
      <c r="W56514"/>
    </row>
    <row r="56515" spans="23:23" x14ac:dyDescent="0.55000000000000004">
      <c r="W56515"/>
    </row>
    <row r="56516" spans="23:23" x14ac:dyDescent="0.55000000000000004">
      <c r="W56516"/>
    </row>
    <row r="56517" spans="23:23" x14ac:dyDescent="0.55000000000000004">
      <c r="W56517"/>
    </row>
    <row r="56518" spans="23:23" x14ac:dyDescent="0.55000000000000004">
      <c r="W56518"/>
    </row>
    <row r="56519" spans="23:23" x14ac:dyDescent="0.55000000000000004">
      <c r="W56519"/>
    </row>
    <row r="56520" spans="23:23" x14ac:dyDescent="0.55000000000000004">
      <c r="W56520"/>
    </row>
    <row r="56521" spans="23:23" x14ac:dyDescent="0.55000000000000004">
      <c r="W56521"/>
    </row>
    <row r="56522" spans="23:23" x14ac:dyDescent="0.55000000000000004">
      <c r="W56522"/>
    </row>
    <row r="56523" spans="23:23" x14ac:dyDescent="0.55000000000000004">
      <c r="W56523"/>
    </row>
    <row r="56524" spans="23:23" x14ac:dyDescent="0.55000000000000004">
      <c r="W56524"/>
    </row>
    <row r="56525" spans="23:23" x14ac:dyDescent="0.55000000000000004">
      <c r="W56525"/>
    </row>
    <row r="56526" spans="23:23" x14ac:dyDescent="0.55000000000000004">
      <c r="W56526"/>
    </row>
    <row r="56527" spans="23:23" x14ac:dyDescent="0.55000000000000004">
      <c r="W56527"/>
    </row>
    <row r="56528" spans="23:23" x14ac:dyDescent="0.55000000000000004">
      <c r="W56528"/>
    </row>
    <row r="56529" spans="23:23" x14ac:dyDescent="0.55000000000000004">
      <c r="W56529"/>
    </row>
    <row r="56530" spans="23:23" x14ac:dyDescent="0.55000000000000004">
      <c r="W56530"/>
    </row>
    <row r="56531" spans="23:23" x14ac:dyDescent="0.55000000000000004">
      <c r="W56531"/>
    </row>
    <row r="56532" spans="23:23" x14ac:dyDescent="0.55000000000000004">
      <c r="W56532"/>
    </row>
    <row r="56533" spans="23:23" x14ac:dyDescent="0.55000000000000004">
      <c r="W56533"/>
    </row>
    <row r="56534" spans="23:23" x14ac:dyDescent="0.55000000000000004">
      <c r="W56534"/>
    </row>
    <row r="56535" spans="23:23" x14ac:dyDescent="0.55000000000000004">
      <c r="W56535"/>
    </row>
    <row r="56536" spans="23:23" x14ac:dyDescent="0.55000000000000004">
      <c r="W56536"/>
    </row>
    <row r="56537" spans="23:23" x14ac:dyDescent="0.55000000000000004">
      <c r="W56537"/>
    </row>
    <row r="56538" spans="23:23" x14ac:dyDescent="0.55000000000000004">
      <c r="W56538"/>
    </row>
    <row r="56539" spans="23:23" x14ac:dyDescent="0.55000000000000004">
      <c r="W56539"/>
    </row>
    <row r="56540" spans="23:23" x14ac:dyDescent="0.55000000000000004">
      <c r="W56540"/>
    </row>
    <row r="56541" spans="23:23" x14ac:dyDescent="0.55000000000000004">
      <c r="W56541"/>
    </row>
    <row r="56542" spans="23:23" x14ac:dyDescent="0.55000000000000004">
      <c r="W56542"/>
    </row>
    <row r="56543" spans="23:23" x14ac:dyDescent="0.55000000000000004">
      <c r="W56543"/>
    </row>
    <row r="56544" spans="23:23" x14ac:dyDescent="0.55000000000000004">
      <c r="W56544"/>
    </row>
    <row r="56545" spans="23:23" x14ac:dyDescent="0.55000000000000004">
      <c r="W56545"/>
    </row>
    <row r="56546" spans="23:23" x14ac:dyDescent="0.55000000000000004">
      <c r="W56546"/>
    </row>
    <row r="56547" spans="23:23" x14ac:dyDescent="0.55000000000000004">
      <c r="W56547"/>
    </row>
    <row r="56548" spans="23:23" x14ac:dyDescent="0.55000000000000004">
      <c r="W56548"/>
    </row>
    <row r="56549" spans="23:23" x14ac:dyDescent="0.55000000000000004">
      <c r="W56549"/>
    </row>
    <row r="56550" spans="23:23" x14ac:dyDescent="0.55000000000000004">
      <c r="W56550"/>
    </row>
    <row r="56551" spans="23:23" x14ac:dyDescent="0.55000000000000004">
      <c r="W56551"/>
    </row>
    <row r="56552" spans="23:23" x14ac:dyDescent="0.55000000000000004">
      <c r="W56552"/>
    </row>
    <row r="56553" spans="23:23" x14ac:dyDescent="0.55000000000000004">
      <c r="W56553"/>
    </row>
    <row r="56554" spans="23:23" x14ac:dyDescent="0.55000000000000004">
      <c r="W56554"/>
    </row>
    <row r="56555" spans="23:23" x14ac:dyDescent="0.55000000000000004">
      <c r="W56555"/>
    </row>
    <row r="56556" spans="23:23" x14ac:dyDescent="0.55000000000000004">
      <c r="W56556"/>
    </row>
    <row r="56557" spans="23:23" x14ac:dyDescent="0.55000000000000004">
      <c r="W56557"/>
    </row>
    <row r="56558" spans="23:23" x14ac:dyDescent="0.55000000000000004">
      <c r="W56558"/>
    </row>
    <row r="56559" spans="23:23" x14ac:dyDescent="0.55000000000000004">
      <c r="W56559"/>
    </row>
    <row r="56560" spans="23:23" x14ac:dyDescent="0.55000000000000004">
      <c r="W56560"/>
    </row>
    <row r="56561" spans="23:23" x14ac:dyDescent="0.55000000000000004">
      <c r="W56561"/>
    </row>
    <row r="56562" spans="23:23" x14ac:dyDescent="0.55000000000000004">
      <c r="W56562"/>
    </row>
    <row r="56563" spans="23:23" x14ac:dyDescent="0.55000000000000004">
      <c r="W56563"/>
    </row>
    <row r="56564" spans="23:23" x14ac:dyDescent="0.55000000000000004">
      <c r="W56564"/>
    </row>
    <row r="56565" spans="23:23" x14ac:dyDescent="0.55000000000000004">
      <c r="W56565"/>
    </row>
    <row r="56566" spans="23:23" x14ac:dyDescent="0.55000000000000004">
      <c r="W56566"/>
    </row>
    <row r="56567" spans="23:23" x14ac:dyDescent="0.55000000000000004">
      <c r="W56567"/>
    </row>
    <row r="56568" spans="23:23" x14ac:dyDescent="0.55000000000000004">
      <c r="W56568"/>
    </row>
    <row r="56569" spans="23:23" x14ac:dyDescent="0.55000000000000004">
      <c r="W56569"/>
    </row>
    <row r="56570" spans="23:23" x14ac:dyDescent="0.55000000000000004">
      <c r="W56570"/>
    </row>
    <row r="56571" spans="23:23" x14ac:dyDescent="0.55000000000000004">
      <c r="W56571"/>
    </row>
    <row r="56572" spans="23:23" x14ac:dyDescent="0.55000000000000004">
      <c r="W56572"/>
    </row>
    <row r="56573" spans="23:23" x14ac:dyDescent="0.55000000000000004">
      <c r="W56573"/>
    </row>
    <row r="56574" spans="23:23" x14ac:dyDescent="0.55000000000000004">
      <c r="W56574"/>
    </row>
    <row r="56575" spans="23:23" x14ac:dyDescent="0.55000000000000004">
      <c r="W56575"/>
    </row>
    <row r="56576" spans="23:23" x14ac:dyDescent="0.55000000000000004">
      <c r="W56576"/>
    </row>
    <row r="56577" spans="23:23" x14ac:dyDescent="0.55000000000000004">
      <c r="W56577"/>
    </row>
    <row r="56578" spans="23:23" x14ac:dyDescent="0.55000000000000004">
      <c r="W56578"/>
    </row>
    <row r="56579" spans="23:23" x14ac:dyDescent="0.55000000000000004">
      <c r="W56579"/>
    </row>
    <row r="56580" spans="23:23" x14ac:dyDescent="0.55000000000000004">
      <c r="W56580"/>
    </row>
    <row r="56581" spans="23:23" x14ac:dyDescent="0.55000000000000004">
      <c r="W56581"/>
    </row>
    <row r="56582" spans="23:23" x14ac:dyDescent="0.55000000000000004">
      <c r="W56582"/>
    </row>
    <row r="56583" spans="23:23" x14ac:dyDescent="0.55000000000000004">
      <c r="W56583"/>
    </row>
    <row r="56584" spans="23:23" x14ac:dyDescent="0.55000000000000004">
      <c r="W56584"/>
    </row>
    <row r="56585" spans="23:23" x14ac:dyDescent="0.55000000000000004">
      <c r="W56585"/>
    </row>
    <row r="56586" spans="23:23" x14ac:dyDescent="0.55000000000000004">
      <c r="W56586"/>
    </row>
    <row r="56587" spans="23:23" x14ac:dyDescent="0.55000000000000004">
      <c r="W56587"/>
    </row>
    <row r="56588" spans="23:23" x14ac:dyDescent="0.55000000000000004">
      <c r="W56588"/>
    </row>
    <row r="56589" spans="23:23" x14ac:dyDescent="0.55000000000000004">
      <c r="W56589"/>
    </row>
    <row r="56590" spans="23:23" x14ac:dyDescent="0.55000000000000004">
      <c r="W56590"/>
    </row>
    <row r="56591" spans="23:23" x14ac:dyDescent="0.55000000000000004">
      <c r="W56591"/>
    </row>
    <row r="56592" spans="23:23" x14ac:dyDescent="0.55000000000000004">
      <c r="W56592"/>
    </row>
    <row r="56593" spans="23:23" x14ac:dyDescent="0.55000000000000004">
      <c r="W56593"/>
    </row>
    <row r="56594" spans="23:23" x14ac:dyDescent="0.55000000000000004">
      <c r="W56594"/>
    </row>
    <row r="56595" spans="23:23" x14ac:dyDescent="0.55000000000000004">
      <c r="W56595"/>
    </row>
    <row r="56596" spans="23:23" x14ac:dyDescent="0.55000000000000004">
      <c r="W56596"/>
    </row>
    <row r="56597" spans="23:23" x14ac:dyDescent="0.55000000000000004">
      <c r="W56597"/>
    </row>
    <row r="56598" spans="23:23" x14ac:dyDescent="0.55000000000000004">
      <c r="W56598"/>
    </row>
    <row r="56599" spans="23:23" x14ac:dyDescent="0.55000000000000004">
      <c r="W56599"/>
    </row>
    <row r="56600" spans="23:23" x14ac:dyDescent="0.55000000000000004">
      <c r="W56600"/>
    </row>
    <row r="56601" spans="23:23" x14ac:dyDescent="0.55000000000000004">
      <c r="W56601"/>
    </row>
    <row r="56602" spans="23:23" x14ac:dyDescent="0.55000000000000004">
      <c r="W56602"/>
    </row>
    <row r="56603" spans="23:23" x14ac:dyDescent="0.55000000000000004">
      <c r="W56603"/>
    </row>
    <row r="56604" spans="23:23" x14ac:dyDescent="0.55000000000000004">
      <c r="W56604"/>
    </row>
    <row r="56605" spans="23:23" x14ac:dyDescent="0.55000000000000004">
      <c r="W56605"/>
    </row>
    <row r="56606" spans="23:23" x14ac:dyDescent="0.55000000000000004">
      <c r="W56606"/>
    </row>
    <row r="56607" spans="23:23" x14ac:dyDescent="0.55000000000000004">
      <c r="W56607"/>
    </row>
    <row r="56608" spans="23:23" x14ac:dyDescent="0.55000000000000004">
      <c r="W56608"/>
    </row>
    <row r="56609" spans="23:23" x14ac:dyDescent="0.55000000000000004">
      <c r="W56609"/>
    </row>
    <row r="56610" spans="23:23" x14ac:dyDescent="0.55000000000000004">
      <c r="W56610"/>
    </row>
    <row r="56611" spans="23:23" x14ac:dyDescent="0.55000000000000004">
      <c r="W56611"/>
    </row>
    <row r="56612" spans="23:23" x14ac:dyDescent="0.55000000000000004">
      <c r="W56612"/>
    </row>
    <row r="56613" spans="23:23" x14ac:dyDescent="0.55000000000000004">
      <c r="W56613"/>
    </row>
    <row r="56614" spans="23:23" x14ac:dyDescent="0.55000000000000004">
      <c r="W56614"/>
    </row>
    <row r="56615" spans="23:23" x14ac:dyDescent="0.55000000000000004">
      <c r="W56615"/>
    </row>
    <row r="56616" spans="23:23" x14ac:dyDescent="0.55000000000000004">
      <c r="W56616"/>
    </row>
    <row r="56617" spans="23:23" x14ac:dyDescent="0.55000000000000004">
      <c r="W56617"/>
    </row>
    <row r="56618" spans="23:23" x14ac:dyDescent="0.55000000000000004">
      <c r="W56618"/>
    </row>
    <row r="56619" spans="23:23" x14ac:dyDescent="0.55000000000000004">
      <c r="W56619"/>
    </row>
    <row r="56620" spans="23:23" x14ac:dyDescent="0.55000000000000004">
      <c r="W56620"/>
    </row>
    <row r="56621" spans="23:23" x14ac:dyDescent="0.55000000000000004">
      <c r="W56621"/>
    </row>
    <row r="56622" spans="23:23" x14ac:dyDescent="0.55000000000000004">
      <c r="W56622"/>
    </row>
    <row r="56623" spans="23:23" x14ac:dyDescent="0.55000000000000004">
      <c r="W56623"/>
    </row>
    <row r="56624" spans="23:23" x14ac:dyDescent="0.55000000000000004">
      <c r="W56624"/>
    </row>
    <row r="56625" spans="23:23" x14ac:dyDescent="0.55000000000000004">
      <c r="W56625"/>
    </row>
    <row r="56626" spans="23:23" x14ac:dyDescent="0.55000000000000004">
      <c r="W56626"/>
    </row>
    <row r="56627" spans="23:23" x14ac:dyDescent="0.55000000000000004">
      <c r="W56627"/>
    </row>
    <row r="56628" spans="23:23" x14ac:dyDescent="0.55000000000000004">
      <c r="W56628"/>
    </row>
    <row r="56629" spans="23:23" x14ac:dyDescent="0.55000000000000004">
      <c r="W56629"/>
    </row>
    <row r="56630" spans="23:23" x14ac:dyDescent="0.55000000000000004">
      <c r="W56630"/>
    </row>
    <row r="56631" spans="23:23" x14ac:dyDescent="0.55000000000000004">
      <c r="W56631"/>
    </row>
    <row r="56632" spans="23:23" x14ac:dyDescent="0.55000000000000004">
      <c r="W56632"/>
    </row>
    <row r="56633" spans="23:23" x14ac:dyDescent="0.55000000000000004">
      <c r="W56633"/>
    </row>
    <row r="56634" spans="23:23" x14ac:dyDescent="0.55000000000000004">
      <c r="W56634"/>
    </row>
    <row r="56635" spans="23:23" x14ac:dyDescent="0.55000000000000004">
      <c r="W56635"/>
    </row>
    <row r="56636" spans="23:23" x14ac:dyDescent="0.55000000000000004">
      <c r="W56636"/>
    </row>
    <row r="56637" spans="23:23" x14ac:dyDescent="0.55000000000000004">
      <c r="W56637"/>
    </row>
    <row r="56638" spans="23:23" x14ac:dyDescent="0.55000000000000004">
      <c r="W56638"/>
    </row>
    <row r="56639" spans="23:23" x14ac:dyDescent="0.55000000000000004">
      <c r="W56639"/>
    </row>
    <row r="56640" spans="23:23" x14ac:dyDescent="0.55000000000000004">
      <c r="W56640"/>
    </row>
    <row r="56641" spans="23:23" x14ac:dyDescent="0.55000000000000004">
      <c r="W56641"/>
    </row>
    <row r="56642" spans="23:23" x14ac:dyDescent="0.55000000000000004">
      <c r="W56642"/>
    </row>
    <row r="56643" spans="23:23" x14ac:dyDescent="0.55000000000000004">
      <c r="W56643"/>
    </row>
    <row r="56644" spans="23:23" x14ac:dyDescent="0.55000000000000004">
      <c r="W56644"/>
    </row>
    <row r="56645" spans="23:23" x14ac:dyDescent="0.55000000000000004">
      <c r="W56645"/>
    </row>
    <row r="56646" spans="23:23" x14ac:dyDescent="0.55000000000000004">
      <c r="W56646"/>
    </row>
    <row r="56647" spans="23:23" x14ac:dyDescent="0.55000000000000004">
      <c r="W56647"/>
    </row>
    <row r="56648" spans="23:23" x14ac:dyDescent="0.55000000000000004">
      <c r="W56648"/>
    </row>
    <row r="56649" spans="23:23" x14ac:dyDescent="0.55000000000000004">
      <c r="W56649"/>
    </row>
    <row r="56650" spans="23:23" x14ac:dyDescent="0.55000000000000004">
      <c r="W56650"/>
    </row>
    <row r="56651" spans="23:23" x14ac:dyDescent="0.55000000000000004">
      <c r="W56651"/>
    </row>
    <row r="56652" spans="23:23" x14ac:dyDescent="0.55000000000000004">
      <c r="W56652"/>
    </row>
    <row r="56653" spans="23:23" x14ac:dyDescent="0.55000000000000004">
      <c r="W56653"/>
    </row>
    <row r="56654" spans="23:23" x14ac:dyDescent="0.55000000000000004">
      <c r="W56654"/>
    </row>
    <row r="56655" spans="23:23" x14ac:dyDescent="0.55000000000000004">
      <c r="W56655"/>
    </row>
    <row r="56656" spans="23:23" x14ac:dyDescent="0.55000000000000004">
      <c r="W56656"/>
    </row>
    <row r="56657" spans="23:23" x14ac:dyDescent="0.55000000000000004">
      <c r="W56657"/>
    </row>
    <row r="56658" spans="23:23" x14ac:dyDescent="0.55000000000000004">
      <c r="W56658"/>
    </row>
    <row r="56659" spans="23:23" x14ac:dyDescent="0.55000000000000004">
      <c r="W56659"/>
    </row>
    <row r="56660" spans="23:23" x14ac:dyDescent="0.55000000000000004">
      <c r="W56660"/>
    </row>
    <row r="56661" spans="23:23" x14ac:dyDescent="0.55000000000000004">
      <c r="W56661"/>
    </row>
    <row r="56662" spans="23:23" x14ac:dyDescent="0.55000000000000004">
      <c r="W56662"/>
    </row>
    <row r="56663" spans="23:23" x14ac:dyDescent="0.55000000000000004">
      <c r="W56663"/>
    </row>
    <row r="56664" spans="23:23" x14ac:dyDescent="0.55000000000000004">
      <c r="W56664"/>
    </row>
    <row r="56665" spans="23:23" x14ac:dyDescent="0.55000000000000004">
      <c r="W56665"/>
    </row>
    <row r="56666" spans="23:23" x14ac:dyDescent="0.55000000000000004">
      <c r="W56666"/>
    </row>
    <row r="56667" spans="23:23" x14ac:dyDescent="0.55000000000000004">
      <c r="W56667"/>
    </row>
    <row r="56668" spans="23:23" x14ac:dyDescent="0.55000000000000004">
      <c r="W56668"/>
    </row>
    <row r="56669" spans="23:23" x14ac:dyDescent="0.55000000000000004">
      <c r="W56669"/>
    </row>
    <row r="56670" spans="23:23" x14ac:dyDescent="0.55000000000000004">
      <c r="W56670"/>
    </row>
    <row r="56671" spans="23:23" x14ac:dyDescent="0.55000000000000004">
      <c r="W56671"/>
    </row>
    <row r="56672" spans="23:23" x14ac:dyDescent="0.55000000000000004">
      <c r="W56672"/>
    </row>
    <row r="56673" spans="23:23" x14ac:dyDescent="0.55000000000000004">
      <c r="W56673"/>
    </row>
    <row r="56674" spans="23:23" x14ac:dyDescent="0.55000000000000004">
      <c r="W56674"/>
    </row>
    <row r="56675" spans="23:23" x14ac:dyDescent="0.55000000000000004">
      <c r="W56675"/>
    </row>
    <row r="56676" spans="23:23" x14ac:dyDescent="0.55000000000000004">
      <c r="W56676"/>
    </row>
    <row r="56677" spans="23:23" x14ac:dyDescent="0.55000000000000004">
      <c r="W56677"/>
    </row>
    <row r="56678" spans="23:23" x14ac:dyDescent="0.55000000000000004">
      <c r="W56678"/>
    </row>
    <row r="56679" spans="23:23" x14ac:dyDescent="0.55000000000000004">
      <c r="W56679"/>
    </row>
    <row r="56680" spans="23:23" x14ac:dyDescent="0.55000000000000004">
      <c r="W56680"/>
    </row>
    <row r="56681" spans="23:23" x14ac:dyDescent="0.55000000000000004">
      <c r="W56681"/>
    </row>
    <row r="56682" spans="23:23" x14ac:dyDescent="0.55000000000000004">
      <c r="W56682"/>
    </row>
    <row r="56683" spans="23:23" x14ac:dyDescent="0.55000000000000004">
      <c r="W56683"/>
    </row>
    <row r="56684" spans="23:23" x14ac:dyDescent="0.55000000000000004">
      <c r="W56684"/>
    </row>
    <row r="56685" spans="23:23" x14ac:dyDescent="0.55000000000000004">
      <c r="W56685"/>
    </row>
    <row r="56686" spans="23:23" x14ac:dyDescent="0.55000000000000004">
      <c r="W56686"/>
    </row>
    <row r="56687" spans="23:23" x14ac:dyDescent="0.55000000000000004">
      <c r="W56687"/>
    </row>
    <row r="56688" spans="23:23" x14ac:dyDescent="0.55000000000000004">
      <c r="W56688"/>
    </row>
    <row r="56689" spans="23:23" x14ac:dyDescent="0.55000000000000004">
      <c r="W56689"/>
    </row>
    <row r="56690" spans="23:23" x14ac:dyDescent="0.55000000000000004">
      <c r="W56690"/>
    </row>
    <row r="56691" spans="23:23" x14ac:dyDescent="0.55000000000000004">
      <c r="W56691"/>
    </row>
    <row r="56692" spans="23:23" x14ac:dyDescent="0.55000000000000004">
      <c r="W56692"/>
    </row>
    <row r="56693" spans="23:23" x14ac:dyDescent="0.55000000000000004">
      <c r="W56693"/>
    </row>
    <row r="56694" spans="23:23" x14ac:dyDescent="0.55000000000000004">
      <c r="W56694"/>
    </row>
    <row r="56695" spans="23:23" x14ac:dyDescent="0.55000000000000004">
      <c r="W56695"/>
    </row>
    <row r="56696" spans="23:23" x14ac:dyDescent="0.55000000000000004">
      <c r="W56696"/>
    </row>
    <row r="56697" spans="23:23" x14ac:dyDescent="0.55000000000000004">
      <c r="W56697"/>
    </row>
    <row r="56698" spans="23:23" x14ac:dyDescent="0.55000000000000004">
      <c r="W56698"/>
    </row>
    <row r="56699" spans="23:23" x14ac:dyDescent="0.55000000000000004">
      <c r="W56699"/>
    </row>
    <row r="56700" spans="23:23" x14ac:dyDescent="0.55000000000000004">
      <c r="W56700"/>
    </row>
    <row r="56701" spans="23:23" x14ac:dyDescent="0.55000000000000004">
      <c r="W56701"/>
    </row>
    <row r="56702" spans="23:23" x14ac:dyDescent="0.55000000000000004">
      <c r="W56702"/>
    </row>
    <row r="56703" spans="23:23" x14ac:dyDescent="0.55000000000000004">
      <c r="W56703"/>
    </row>
    <row r="56704" spans="23:23" x14ac:dyDescent="0.55000000000000004">
      <c r="W56704"/>
    </row>
    <row r="56705" spans="23:23" x14ac:dyDescent="0.55000000000000004">
      <c r="W56705"/>
    </row>
    <row r="56706" spans="23:23" x14ac:dyDescent="0.55000000000000004">
      <c r="W56706"/>
    </row>
    <row r="56707" spans="23:23" x14ac:dyDescent="0.55000000000000004">
      <c r="W56707"/>
    </row>
    <row r="56708" spans="23:23" x14ac:dyDescent="0.55000000000000004">
      <c r="W56708"/>
    </row>
    <row r="56709" spans="23:23" x14ac:dyDescent="0.55000000000000004">
      <c r="W56709"/>
    </row>
    <row r="56710" spans="23:23" x14ac:dyDescent="0.55000000000000004">
      <c r="W56710"/>
    </row>
    <row r="56711" spans="23:23" x14ac:dyDescent="0.55000000000000004">
      <c r="W56711"/>
    </row>
    <row r="56712" spans="23:23" x14ac:dyDescent="0.55000000000000004">
      <c r="W56712"/>
    </row>
    <row r="56713" spans="23:23" x14ac:dyDescent="0.55000000000000004">
      <c r="W56713"/>
    </row>
    <row r="56714" spans="23:23" x14ac:dyDescent="0.55000000000000004">
      <c r="W56714"/>
    </row>
    <row r="56715" spans="23:23" x14ac:dyDescent="0.55000000000000004">
      <c r="W56715"/>
    </row>
    <row r="56716" spans="23:23" x14ac:dyDescent="0.55000000000000004">
      <c r="W56716"/>
    </row>
    <row r="56717" spans="23:23" x14ac:dyDescent="0.55000000000000004">
      <c r="W56717"/>
    </row>
    <row r="56718" spans="23:23" x14ac:dyDescent="0.55000000000000004">
      <c r="W56718"/>
    </row>
    <row r="56719" spans="23:23" x14ac:dyDescent="0.55000000000000004">
      <c r="W56719"/>
    </row>
    <row r="56720" spans="23:23" x14ac:dyDescent="0.55000000000000004">
      <c r="W56720"/>
    </row>
    <row r="56721" spans="23:23" x14ac:dyDescent="0.55000000000000004">
      <c r="W56721"/>
    </row>
    <row r="56722" spans="23:23" x14ac:dyDescent="0.55000000000000004">
      <c r="W56722"/>
    </row>
    <row r="56723" spans="23:23" x14ac:dyDescent="0.55000000000000004">
      <c r="W56723"/>
    </row>
    <row r="56724" spans="23:23" x14ac:dyDescent="0.55000000000000004">
      <c r="W56724"/>
    </row>
    <row r="56725" spans="23:23" x14ac:dyDescent="0.55000000000000004">
      <c r="W56725"/>
    </row>
    <row r="56726" spans="23:23" x14ac:dyDescent="0.55000000000000004">
      <c r="W56726"/>
    </row>
    <row r="56727" spans="23:23" x14ac:dyDescent="0.55000000000000004">
      <c r="W56727"/>
    </row>
    <row r="56728" spans="23:23" x14ac:dyDescent="0.55000000000000004">
      <c r="W56728"/>
    </row>
    <row r="56729" spans="23:23" x14ac:dyDescent="0.55000000000000004">
      <c r="W56729"/>
    </row>
    <row r="56730" spans="23:23" x14ac:dyDescent="0.55000000000000004">
      <c r="W56730"/>
    </row>
    <row r="56731" spans="23:23" x14ac:dyDescent="0.55000000000000004">
      <c r="W56731"/>
    </row>
    <row r="56732" spans="23:23" x14ac:dyDescent="0.55000000000000004">
      <c r="W56732"/>
    </row>
    <row r="56733" spans="23:23" x14ac:dyDescent="0.55000000000000004">
      <c r="W56733"/>
    </row>
    <row r="56734" spans="23:23" x14ac:dyDescent="0.55000000000000004">
      <c r="W56734"/>
    </row>
    <row r="56735" spans="23:23" x14ac:dyDescent="0.55000000000000004">
      <c r="W56735"/>
    </row>
    <row r="56736" spans="23:23" x14ac:dyDescent="0.55000000000000004">
      <c r="W56736"/>
    </row>
    <row r="56737" spans="23:23" x14ac:dyDescent="0.55000000000000004">
      <c r="W56737"/>
    </row>
    <row r="56738" spans="23:23" x14ac:dyDescent="0.55000000000000004">
      <c r="W56738"/>
    </row>
    <row r="56739" spans="23:23" x14ac:dyDescent="0.55000000000000004">
      <c r="W56739"/>
    </row>
    <row r="56740" spans="23:23" x14ac:dyDescent="0.55000000000000004">
      <c r="W56740"/>
    </row>
    <row r="56741" spans="23:23" x14ac:dyDescent="0.55000000000000004">
      <c r="W56741"/>
    </row>
    <row r="56742" spans="23:23" x14ac:dyDescent="0.55000000000000004">
      <c r="W56742"/>
    </row>
    <row r="56743" spans="23:23" x14ac:dyDescent="0.55000000000000004">
      <c r="W56743"/>
    </row>
    <row r="56744" spans="23:23" x14ac:dyDescent="0.55000000000000004">
      <c r="W56744"/>
    </row>
    <row r="56745" spans="23:23" x14ac:dyDescent="0.55000000000000004">
      <c r="W56745"/>
    </row>
    <row r="56746" spans="23:23" x14ac:dyDescent="0.55000000000000004">
      <c r="W56746"/>
    </row>
    <row r="56747" spans="23:23" x14ac:dyDescent="0.55000000000000004">
      <c r="W56747"/>
    </row>
    <row r="56748" spans="23:23" x14ac:dyDescent="0.55000000000000004">
      <c r="W56748"/>
    </row>
    <row r="56749" spans="23:23" x14ac:dyDescent="0.55000000000000004">
      <c r="W56749"/>
    </row>
    <row r="56750" spans="23:23" x14ac:dyDescent="0.55000000000000004">
      <c r="W56750"/>
    </row>
    <row r="56751" spans="23:23" x14ac:dyDescent="0.55000000000000004">
      <c r="W56751"/>
    </row>
    <row r="56752" spans="23:23" x14ac:dyDescent="0.55000000000000004">
      <c r="W56752"/>
    </row>
    <row r="56753" spans="23:23" x14ac:dyDescent="0.55000000000000004">
      <c r="W56753"/>
    </row>
    <row r="56754" spans="23:23" x14ac:dyDescent="0.55000000000000004">
      <c r="W56754"/>
    </row>
    <row r="56755" spans="23:23" x14ac:dyDescent="0.55000000000000004">
      <c r="W56755"/>
    </row>
    <row r="56756" spans="23:23" x14ac:dyDescent="0.55000000000000004">
      <c r="W56756"/>
    </row>
    <row r="56757" spans="23:23" x14ac:dyDescent="0.55000000000000004">
      <c r="W56757"/>
    </row>
    <row r="56758" spans="23:23" x14ac:dyDescent="0.55000000000000004">
      <c r="W56758"/>
    </row>
    <row r="56759" spans="23:23" x14ac:dyDescent="0.55000000000000004">
      <c r="W56759"/>
    </row>
    <row r="56760" spans="23:23" x14ac:dyDescent="0.55000000000000004">
      <c r="W56760"/>
    </row>
    <row r="56761" spans="23:23" x14ac:dyDescent="0.55000000000000004">
      <c r="W56761"/>
    </row>
    <row r="56762" spans="23:23" x14ac:dyDescent="0.55000000000000004">
      <c r="W56762"/>
    </row>
    <row r="56763" spans="23:23" x14ac:dyDescent="0.55000000000000004">
      <c r="W56763"/>
    </row>
    <row r="56764" spans="23:23" x14ac:dyDescent="0.55000000000000004">
      <c r="W56764"/>
    </row>
    <row r="56765" spans="23:23" x14ac:dyDescent="0.55000000000000004">
      <c r="W56765"/>
    </row>
    <row r="56766" spans="23:23" x14ac:dyDescent="0.55000000000000004">
      <c r="W56766"/>
    </row>
    <row r="56767" spans="23:23" x14ac:dyDescent="0.55000000000000004">
      <c r="W56767"/>
    </row>
    <row r="56768" spans="23:23" x14ac:dyDescent="0.55000000000000004">
      <c r="W56768"/>
    </row>
    <row r="56769" spans="23:23" x14ac:dyDescent="0.55000000000000004">
      <c r="W56769"/>
    </row>
    <row r="56770" spans="23:23" x14ac:dyDescent="0.55000000000000004">
      <c r="W56770"/>
    </row>
    <row r="56771" spans="23:23" x14ac:dyDescent="0.55000000000000004">
      <c r="W56771"/>
    </row>
    <row r="56772" spans="23:23" x14ac:dyDescent="0.55000000000000004">
      <c r="W56772"/>
    </row>
    <row r="56773" spans="23:23" x14ac:dyDescent="0.55000000000000004">
      <c r="W56773"/>
    </row>
    <row r="56774" spans="23:23" x14ac:dyDescent="0.55000000000000004">
      <c r="W56774"/>
    </row>
    <row r="56775" spans="23:23" x14ac:dyDescent="0.55000000000000004">
      <c r="W56775"/>
    </row>
    <row r="56776" spans="23:23" x14ac:dyDescent="0.55000000000000004">
      <c r="W56776"/>
    </row>
    <row r="56777" spans="23:23" x14ac:dyDescent="0.55000000000000004">
      <c r="W56777"/>
    </row>
    <row r="56778" spans="23:23" x14ac:dyDescent="0.55000000000000004">
      <c r="W56778"/>
    </row>
    <row r="56779" spans="23:23" x14ac:dyDescent="0.55000000000000004">
      <c r="W56779"/>
    </row>
    <row r="56780" spans="23:23" x14ac:dyDescent="0.55000000000000004">
      <c r="W56780"/>
    </row>
    <row r="56781" spans="23:23" x14ac:dyDescent="0.55000000000000004">
      <c r="W56781"/>
    </row>
    <row r="56782" spans="23:23" x14ac:dyDescent="0.55000000000000004">
      <c r="W56782"/>
    </row>
    <row r="56783" spans="23:23" x14ac:dyDescent="0.55000000000000004">
      <c r="W56783"/>
    </row>
    <row r="56784" spans="23:23" x14ac:dyDescent="0.55000000000000004">
      <c r="W56784"/>
    </row>
    <row r="56785" spans="23:23" x14ac:dyDescent="0.55000000000000004">
      <c r="W56785"/>
    </row>
    <row r="56786" spans="23:23" x14ac:dyDescent="0.55000000000000004">
      <c r="W56786"/>
    </row>
    <row r="56787" spans="23:23" x14ac:dyDescent="0.55000000000000004">
      <c r="W56787"/>
    </row>
    <row r="56788" spans="23:23" x14ac:dyDescent="0.55000000000000004">
      <c r="W56788"/>
    </row>
    <row r="56789" spans="23:23" x14ac:dyDescent="0.55000000000000004">
      <c r="W56789"/>
    </row>
    <row r="56790" spans="23:23" x14ac:dyDescent="0.55000000000000004">
      <c r="W56790"/>
    </row>
    <row r="56791" spans="23:23" x14ac:dyDescent="0.55000000000000004">
      <c r="W56791"/>
    </row>
    <row r="56792" spans="23:23" x14ac:dyDescent="0.55000000000000004">
      <c r="W56792"/>
    </row>
    <row r="56793" spans="23:23" x14ac:dyDescent="0.55000000000000004">
      <c r="W56793"/>
    </row>
    <row r="56794" spans="23:23" x14ac:dyDescent="0.55000000000000004">
      <c r="W56794"/>
    </row>
    <row r="56795" spans="23:23" x14ac:dyDescent="0.55000000000000004">
      <c r="W56795"/>
    </row>
    <row r="56796" spans="23:23" x14ac:dyDescent="0.55000000000000004">
      <c r="W56796"/>
    </row>
    <row r="56797" spans="23:23" x14ac:dyDescent="0.55000000000000004">
      <c r="W56797"/>
    </row>
    <row r="56798" spans="23:23" x14ac:dyDescent="0.55000000000000004">
      <c r="W56798"/>
    </row>
    <row r="56799" spans="23:23" x14ac:dyDescent="0.55000000000000004">
      <c r="W56799"/>
    </row>
    <row r="56800" spans="23:23" x14ac:dyDescent="0.55000000000000004">
      <c r="W56800"/>
    </row>
    <row r="56801" spans="23:23" x14ac:dyDescent="0.55000000000000004">
      <c r="W56801"/>
    </row>
    <row r="56802" spans="23:23" x14ac:dyDescent="0.55000000000000004">
      <c r="W56802"/>
    </row>
    <row r="56803" spans="23:23" x14ac:dyDescent="0.55000000000000004">
      <c r="W56803"/>
    </row>
    <row r="56804" spans="23:23" x14ac:dyDescent="0.55000000000000004">
      <c r="W56804"/>
    </row>
    <row r="56805" spans="23:23" x14ac:dyDescent="0.55000000000000004">
      <c r="W56805"/>
    </row>
    <row r="56806" spans="23:23" x14ac:dyDescent="0.55000000000000004">
      <c r="W56806"/>
    </row>
    <row r="56807" spans="23:23" x14ac:dyDescent="0.55000000000000004">
      <c r="W56807"/>
    </row>
    <row r="56808" spans="23:23" x14ac:dyDescent="0.55000000000000004">
      <c r="W56808"/>
    </row>
    <row r="56809" spans="23:23" x14ac:dyDescent="0.55000000000000004">
      <c r="W56809"/>
    </row>
    <row r="56810" spans="23:23" x14ac:dyDescent="0.55000000000000004">
      <c r="W56810"/>
    </row>
    <row r="56811" spans="23:23" x14ac:dyDescent="0.55000000000000004">
      <c r="W56811"/>
    </row>
    <row r="56812" spans="23:23" x14ac:dyDescent="0.55000000000000004">
      <c r="W56812"/>
    </row>
    <row r="56813" spans="23:23" x14ac:dyDescent="0.55000000000000004">
      <c r="W56813"/>
    </row>
    <row r="56814" spans="23:23" x14ac:dyDescent="0.55000000000000004">
      <c r="W56814"/>
    </row>
    <row r="56815" spans="23:23" x14ac:dyDescent="0.55000000000000004">
      <c r="W56815"/>
    </row>
    <row r="56816" spans="23:23" x14ac:dyDescent="0.55000000000000004">
      <c r="W56816"/>
    </row>
    <row r="56817" spans="23:23" x14ac:dyDescent="0.55000000000000004">
      <c r="W56817"/>
    </row>
    <row r="56818" spans="23:23" x14ac:dyDescent="0.55000000000000004">
      <c r="W56818"/>
    </row>
    <row r="56819" spans="23:23" x14ac:dyDescent="0.55000000000000004">
      <c r="W56819"/>
    </row>
    <row r="56820" spans="23:23" x14ac:dyDescent="0.55000000000000004">
      <c r="W56820"/>
    </row>
    <row r="56821" spans="23:23" x14ac:dyDescent="0.55000000000000004">
      <c r="W56821"/>
    </row>
    <row r="56822" spans="23:23" x14ac:dyDescent="0.55000000000000004">
      <c r="W56822"/>
    </row>
    <row r="56823" spans="23:23" x14ac:dyDescent="0.55000000000000004">
      <c r="W56823"/>
    </row>
    <row r="56824" spans="23:23" x14ac:dyDescent="0.55000000000000004">
      <c r="W56824"/>
    </row>
    <row r="56825" spans="23:23" x14ac:dyDescent="0.55000000000000004">
      <c r="W56825"/>
    </row>
    <row r="56826" spans="23:23" x14ac:dyDescent="0.55000000000000004">
      <c r="W56826"/>
    </row>
    <row r="56827" spans="23:23" x14ac:dyDescent="0.55000000000000004">
      <c r="W56827"/>
    </row>
    <row r="56828" spans="23:23" x14ac:dyDescent="0.55000000000000004">
      <c r="W56828"/>
    </row>
    <row r="56829" spans="23:23" x14ac:dyDescent="0.55000000000000004">
      <c r="W56829"/>
    </row>
    <row r="56830" spans="23:23" x14ac:dyDescent="0.55000000000000004">
      <c r="W56830"/>
    </row>
    <row r="56831" spans="23:23" x14ac:dyDescent="0.55000000000000004">
      <c r="W56831"/>
    </row>
    <row r="56832" spans="23:23" x14ac:dyDescent="0.55000000000000004">
      <c r="W56832"/>
    </row>
    <row r="56833" spans="23:23" x14ac:dyDescent="0.55000000000000004">
      <c r="W56833"/>
    </row>
    <row r="56834" spans="23:23" x14ac:dyDescent="0.55000000000000004">
      <c r="W56834"/>
    </row>
    <row r="56835" spans="23:23" x14ac:dyDescent="0.55000000000000004">
      <c r="W56835"/>
    </row>
    <row r="56836" spans="23:23" x14ac:dyDescent="0.55000000000000004">
      <c r="W56836"/>
    </row>
    <row r="56837" spans="23:23" x14ac:dyDescent="0.55000000000000004">
      <c r="W56837"/>
    </row>
    <row r="56838" spans="23:23" x14ac:dyDescent="0.55000000000000004">
      <c r="W56838"/>
    </row>
    <row r="56839" spans="23:23" x14ac:dyDescent="0.55000000000000004">
      <c r="W56839"/>
    </row>
    <row r="56840" spans="23:23" x14ac:dyDescent="0.55000000000000004">
      <c r="W56840"/>
    </row>
    <row r="56841" spans="23:23" x14ac:dyDescent="0.55000000000000004">
      <c r="W56841"/>
    </row>
    <row r="56842" spans="23:23" x14ac:dyDescent="0.55000000000000004">
      <c r="W56842"/>
    </row>
    <row r="56843" spans="23:23" x14ac:dyDescent="0.55000000000000004">
      <c r="W56843"/>
    </row>
    <row r="56844" spans="23:23" x14ac:dyDescent="0.55000000000000004">
      <c r="W56844"/>
    </row>
    <row r="56845" spans="23:23" x14ac:dyDescent="0.55000000000000004">
      <c r="W56845"/>
    </row>
    <row r="56846" spans="23:23" x14ac:dyDescent="0.55000000000000004">
      <c r="W56846"/>
    </row>
    <row r="56847" spans="23:23" x14ac:dyDescent="0.55000000000000004">
      <c r="W56847"/>
    </row>
    <row r="56848" spans="23:23" x14ac:dyDescent="0.55000000000000004">
      <c r="W56848"/>
    </row>
    <row r="56849" spans="23:23" x14ac:dyDescent="0.55000000000000004">
      <c r="W56849"/>
    </row>
    <row r="56850" spans="23:23" x14ac:dyDescent="0.55000000000000004">
      <c r="W56850"/>
    </row>
    <row r="56851" spans="23:23" x14ac:dyDescent="0.55000000000000004">
      <c r="W56851"/>
    </row>
    <row r="56852" spans="23:23" x14ac:dyDescent="0.55000000000000004">
      <c r="W56852"/>
    </row>
    <row r="56853" spans="23:23" x14ac:dyDescent="0.55000000000000004">
      <c r="W56853"/>
    </row>
    <row r="56854" spans="23:23" x14ac:dyDescent="0.55000000000000004">
      <c r="W56854"/>
    </row>
    <row r="56855" spans="23:23" x14ac:dyDescent="0.55000000000000004">
      <c r="W56855"/>
    </row>
    <row r="56856" spans="23:23" x14ac:dyDescent="0.55000000000000004">
      <c r="W56856"/>
    </row>
    <row r="56857" spans="23:23" x14ac:dyDescent="0.55000000000000004">
      <c r="W56857"/>
    </row>
    <row r="56858" spans="23:23" x14ac:dyDescent="0.55000000000000004">
      <c r="W56858"/>
    </row>
    <row r="56859" spans="23:23" x14ac:dyDescent="0.55000000000000004">
      <c r="W56859"/>
    </row>
    <row r="56860" spans="23:23" x14ac:dyDescent="0.55000000000000004">
      <c r="W56860"/>
    </row>
    <row r="56861" spans="23:23" x14ac:dyDescent="0.55000000000000004">
      <c r="W56861"/>
    </row>
    <row r="56862" spans="23:23" x14ac:dyDescent="0.55000000000000004">
      <c r="W56862"/>
    </row>
    <row r="56863" spans="23:23" x14ac:dyDescent="0.55000000000000004">
      <c r="W56863"/>
    </row>
    <row r="56864" spans="23:23" x14ac:dyDescent="0.55000000000000004">
      <c r="W56864"/>
    </row>
    <row r="56865" spans="23:23" x14ac:dyDescent="0.55000000000000004">
      <c r="W56865"/>
    </row>
    <row r="56866" spans="23:23" x14ac:dyDescent="0.55000000000000004">
      <c r="W56866"/>
    </row>
    <row r="56867" spans="23:23" x14ac:dyDescent="0.55000000000000004">
      <c r="W56867"/>
    </row>
    <row r="56868" spans="23:23" x14ac:dyDescent="0.55000000000000004">
      <c r="W56868"/>
    </row>
    <row r="56869" spans="23:23" x14ac:dyDescent="0.55000000000000004">
      <c r="W56869"/>
    </row>
    <row r="56870" spans="23:23" x14ac:dyDescent="0.55000000000000004">
      <c r="W56870"/>
    </row>
    <row r="56871" spans="23:23" x14ac:dyDescent="0.55000000000000004">
      <c r="W56871"/>
    </row>
    <row r="56872" spans="23:23" x14ac:dyDescent="0.55000000000000004">
      <c r="W56872"/>
    </row>
    <row r="56873" spans="23:23" x14ac:dyDescent="0.55000000000000004">
      <c r="W56873"/>
    </row>
    <row r="56874" spans="23:23" x14ac:dyDescent="0.55000000000000004">
      <c r="W56874"/>
    </row>
    <row r="56875" spans="23:23" x14ac:dyDescent="0.55000000000000004">
      <c r="W56875"/>
    </row>
    <row r="56876" spans="23:23" x14ac:dyDescent="0.55000000000000004">
      <c r="W56876"/>
    </row>
    <row r="56877" spans="23:23" x14ac:dyDescent="0.55000000000000004">
      <c r="W56877"/>
    </row>
    <row r="56878" spans="23:23" x14ac:dyDescent="0.55000000000000004">
      <c r="W56878"/>
    </row>
    <row r="56879" spans="23:23" x14ac:dyDescent="0.55000000000000004">
      <c r="W56879"/>
    </row>
    <row r="56880" spans="23:23" x14ac:dyDescent="0.55000000000000004">
      <c r="W56880"/>
    </row>
    <row r="56881" spans="23:23" x14ac:dyDescent="0.55000000000000004">
      <c r="W56881"/>
    </row>
    <row r="56882" spans="23:23" x14ac:dyDescent="0.55000000000000004">
      <c r="W56882"/>
    </row>
    <row r="56883" spans="23:23" x14ac:dyDescent="0.55000000000000004">
      <c r="W56883"/>
    </row>
    <row r="56884" spans="23:23" x14ac:dyDescent="0.55000000000000004">
      <c r="W56884"/>
    </row>
    <row r="56885" spans="23:23" x14ac:dyDescent="0.55000000000000004">
      <c r="W56885"/>
    </row>
    <row r="56886" spans="23:23" x14ac:dyDescent="0.55000000000000004">
      <c r="W56886"/>
    </row>
    <row r="56887" spans="23:23" x14ac:dyDescent="0.55000000000000004">
      <c r="W56887"/>
    </row>
    <row r="56888" spans="23:23" x14ac:dyDescent="0.55000000000000004">
      <c r="W56888"/>
    </row>
    <row r="56889" spans="23:23" x14ac:dyDescent="0.55000000000000004">
      <c r="W56889"/>
    </row>
    <row r="56890" spans="23:23" x14ac:dyDescent="0.55000000000000004">
      <c r="W56890"/>
    </row>
    <row r="56891" spans="23:23" x14ac:dyDescent="0.55000000000000004">
      <c r="W56891"/>
    </row>
    <row r="56892" spans="23:23" x14ac:dyDescent="0.55000000000000004">
      <c r="W56892"/>
    </row>
    <row r="56893" spans="23:23" x14ac:dyDescent="0.55000000000000004">
      <c r="W56893"/>
    </row>
    <row r="56894" spans="23:23" x14ac:dyDescent="0.55000000000000004">
      <c r="W56894"/>
    </row>
    <row r="56895" spans="23:23" x14ac:dyDescent="0.55000000000000004">
      <c r="W56895"/>
    </row>
    <row r="56896" spans="23:23" x14ac:dyDescent="0.55000000000000004">
      <c r="W56896"/>
    </row>
    <row r="56897" spans="23:23" x14ac:dyDescent="0.55000000000000004">
      <c r="W56897"/>
    </row>
    <row r="56898" spans="23:23" x14ac:dyDescent="0.55000000000000004">
      <c r="W56898"/>
    </row>
    <row r="56899" spans="23:23" x14ac:dyDescent="0.55000000000000004">
      <c r="W56899"/>
    </row>
    <row r="56900" spans="23:23" x14ac:dyDescent="0.55000000000000004">
      <c r="W56900"/>
    </row>
    <row r="56901" spans="23:23" x14ac:dyDescent="0.55000000000000004">
      <c r="W56901"/>
    </row>
    <row r="56902" spans="23:23" x14ac:dyDescent="0.55000000000000004">
      <c r="W56902"/>
    </row>
    <row r="56903" spans="23:23" x14ac:dyDescent="0.55000000000000004">
      <c r="W56903"/>
    </row>
    <row r="56904" spans="23:23" x14ac:dyDescent="0.55000000000000004">
      <c r="W56904"/>
    </row>
    <row r="56905" spans="23:23" x14ac:dyDescent="0.55000000000000004">
      <c r="W56905"/>
    </row>
    <row r="56906" spans="23:23" x14ac:dyDescent="0.55000000000000004">
      <c r="W56906"/>
    </row>
    <row r="56907" spans="23:23" x14ac:dyDescent="0.55000000000000004">
      <c r="W56907"/>
    </row>
    <row r="56908" spans="23:23" x14ac:dyDescent="0.55000000000000004">
      <c r="W56908"/>
    </row>
    <row r="56909" spans="23:23" x14ac:dyDescent="0.55000000000000004">
      <c r="W56909"/>
    </row>
    <row r="56910" spans="23:23" x14ac:dyDescent="0.55000000000000004">
      <c r="W56910"/>
    </row>
    <row r="56911" spans="23:23" x14ac:dyDescent="0.55000000000000004">
      <c r="W56911"/>
    </row>
    <row r="56912" spans="23:23" x14ac:dyDescent="0.55000000000000004">
      <c r="W56912"/>
    </row>
    <row r="56913" spans="23:23" x14ac:dyDescent="0.55000000000000004">
      <c r="W56913"/>
    </row>
    <row r="56914" spans="23:23" x14ac:dyDescent="0.55000000000000004">
      <c r="W56914"/>
    </row>
    <row r="56915" spans="23:23" x14ac:dyDescent="0.55000000000000004">
      <c r="W56915"/>
    </row>
    <row r="56916" spans="23:23" x14ac:dyDescent="0.55000000000000004">
      <c r="W56916"/>
    </row>
    <row r="56917" spans="23:23" x14ac:dyDescent="0.55000000000000004">
      <c r="W56917"/>
    </row>
    <row r="56918" spans="23:23" x14ac:dyDescent="0.55000000000000004">
      <c r="W56918"/>
    </row>
    <row r="56919" spans="23:23" x14ac:dyDescent="0.55000000000000004">
      <c r="W56919"/>
    </row>
    <row r="56920" spans="23:23" x14ac:dyDescent="0.55000000000000004">
      <c r="W56920"/>
    </row>
    <row r="56921" spans="23:23" x14ac:dyDescent="0.55000000000000004">
      <c r="W56921"/>
    </row>
    <row r="56922" spans="23:23" x14ac:dyDescent="0.55000000000000004">
      <c r="W56922"/>
    </row>
    <row r="56923" spans="23:23" x14ac:dyDescent="0.55000000000000004">
      <c r="W56923"/>
    </row>
    <row r="56924" spans="23:23" x14ac:dyDescent="0.55000000000000004">
      <c r="W56924"/>
    </row>
    <row r="56925" spans="23:23" x14ac:dyDescent="0.55000000000000004">
      <c r="W56925"/>
    </row>
    <row r="56926" spans="23:23" x14ac:dyDescent="0.55000000000000004">
      <c r="W56926"/>
    </row>
    <row r="56927" spans="23:23" x14ac:dyDescent="0.55000000000000004">
      <c r="W56927"/>
    </row>
    <row r="56928" spans="23:23" x14ac:dyDescent="0.55000000000000004">
      <c r="W56928"/>
    </row>
    <row r="56929" spans="23:23" x14ac:dyDescent="0.55000000000000004">
      <c r="W56929"/>
    </row>
    <row r="56930" spans="23:23" x14ac:dyDescent="0.55000000000000004">
      <c r="W56930"/>
    </row>
    <row r="56931" spans="23:23" x14ac:dyDescent="0.55000000000000004">
      <c r="W56931"/>
    </row>
    <row r="56932" spans="23:23" x14ac:dyDescent="0.55000000000000004">
      <c r="W56932"/>
    </row>
    <row r="56933" spans="23:23" x14ac:dyDescent="0.55000000000000004">
      <c r="W56933"/>
    </row>
    <row r="56934" spans="23:23" x14ac:dyDescent="0.55000000000000004">
      <c r="W56934"/>
    </row>
    <row r="56935" spans="23:23" x14ac:dyDescent="0.55000000000000004">
      <c r="W56935"/>
    </row>
    <row r="56936" spans="23:23" x14ac:dyDescent="0.55000000000000004">
      <c r="W56936"/>
    </row>
    <row r="56937" spans="23:23" x14ac:dyDescent="0.55000000000000004">
      <c r="W56937"/>
    </row>
    <row r="56938" spans="23:23" x14ac:dyDescent="0.55000000000000004">
      <c r="W56938"/>
    </row>
    <row r="56939" spans="23:23" x14ac:dyDescent="0.55000000000000004">
      <c r="W56939"/>
    </row>
    <row r="56940" spans="23:23" x14ac:dyDescent="0.55000000000000004">
      <c r="W56940"/>
    </row>
    <row r="56941" spans="23:23" x14ac:dyDescent="0.55000000000000004">
      <c r="W56941"/>
    </row>
    <row r="56942" spans="23:23" x14ac:dyDescent="0.55000000000000004">
      <c r="W56942"/>
    </row>
    <row r="56943" spans="23:23" x14ac:dyDescent="0.55000000000000004">
      <c r="W56943"/>
    </row>
    <row r="56944" spans="23:23" x14ac:dyDescent="0.55000000000000004">
      <c r="W56944"/>
    </row>
    <row r="56945" spans="23:23" x14ac:dyDescent="0.55000000000000004">
      <c r="W56945"/>
    </row>
    <row r="56946" spans="23:23" x14ac:dyDescent="0.55000000000000004">
      <c r="W56946"/>
    </row>
    <row r="56947" spans="23:23" x14ac:dyDescent="0.55000000000000004">
      <c r="W56947"/>
    </row>
    <row r="56948" spans="23:23" x14ac:dyDescent="0.55000000000000004">
      <c r="W56948"/>
    </row>
    <row r="56949" spans="23:23" x14ac:dyDescent="0.55000000000000004">
      <c r="W56949"/>
    </row>
    <row r="56950" spans="23:23" x14ac:dyDescent="0.55000000000000004">
      <c r="W56950"/>
    </row>
    <row r="56951" spans="23:23" x14ac:dyDescent="0.55000000000000004">
      <c r="W56951"/>
    </row>
    <row r="56952" spans="23:23" x14ac:dyDescent="0.55000000000000004">
      <c r="W56952"/>
    </row>
    <row r="56953" spans="23:23" x14ac:dyDescent="0.55000000000000004">
      <c r="W56953"/>
    </row>
    <row r="56954" spans="23:23" x14ac:dyDescent="0.55000000000000004">
      <c r="W56954"/>
    </row>
    <row r="56955" spans="23:23" x14ac:dyDescent="0.55000000000000004">
      <c r="W56955"/>
    </row>
    <row r="56956" spans="23:23" x14ac:dyDescent="0.55000000000000004">
      <c r="W56956"/>
    </row>
    <row r="56957" spans="23:23" x14ac:dyDescent="0.55000000000000004">
      <c r="W56957"/>
    </row>
    <row r="56958" spans="23:23" x14ac:dyDescent="0.55000000000000004">
      <c r="W56958"/>
    </row>
    <row r="56959" spans="23:23" x14ac:dyDescent="0.55000000000000004">
      <c r="W56959"/>
    </row>
    <row r="56960" spans="23:23" x14ac:dyDescent="0.55000000000000004">
      <c r="W56960"/>
    </row>
    <row r="56961" spans="23:23" x14ac:dyDescent="0.55000000000000004">
      <c r="W56961"/>
    </row>
    <row r="56962" spans="23:23" x14ac:dyDescent="0.55000000000000004">
      <c r="W56962"/>
    </row>
    <row r="56963" spans="23:23" x14ac:dyDescent="0.55000000000000004">
      <c r="W56963"/>
    </row>
    <row r="56964" spans="23:23" x14ac:dyDescent="0.55000000000000004">
      <c r="W56964"/>
    </row>
    <row r="56965" spans="23:23" x14ac:dyDescent="0.55000000000000004">
      <c r="W56965"/>
    </row>
    <row r="56966" spans="23:23" x14ac:dyDescent="0.55000000000000004">
      <c r="W56966"/>
    </row>
    <row r="56967" spans="23:23" x14ac:dyDescent="0.55000000000000004">
      <c r="W56967"/>
    </row>
    <row r="56968" spans="23:23" x14ac:dyDescent="0.55000000000000004">
      <c r="W56968"/>
    </row>
    <row r="56969" spans="23:23" x14ac:dyDescent="0.55000000000000004">
      <c r="W56969"/>
    </row>
    <row r="56970" spans="23:23" x14ac:dyDescent="0.55000000000000004">
      <c r="W56970"/>
    </row>
    <row r="56971" spans="23:23" x14ac:dyDescent="0.55000000000000004">
      <c r="W56971"/>
    </row>
    <row r="56972" spans="23:23" x14ac:dyDescent="0.55000000000000004">
      <c r="W56972"/>
    </row>
    <row r="56973" spans="23:23" x14ac:dyDescent="0.55000000000000004">
      <c r="W56973"/>
    </row>
    <row r="56974" spans="23:23" x14ac:dyDescent="0.55000000000000004">
      <c r="W56974"/>
    </row>
    <row r="56975" spans="23:23" x14ac:dyDescent="0.55000000000000004">
      <c r="W56975"/>
    </row>
    <row r="56976" spans="23:23" x14ac:dyDescent="0.55000000000000004">
      <c r="W56976"/>
    </row>
    <row r="56977" spans="23:23" x14ac:dyDescent="0.55000000000000004">
      <c r="W56977"/>
    </row>
    <row r="56978" spans="23:23" x14ac:dyDescent="0.55000000000000004">
      <c r="W56978"/>
    </row>
    <row r="56979" spans="23:23" x14ac:dyDescent="0.55000000000000004">
      <c r="W56979"/>
    </row>
    <row r="56980" spans="23:23" x14ac:dyDescent="0.55000000000000004">
      <c r="W56980"/>
    </row>
    <row r="56981" spans="23:23" x14ac:dyDescent="0.55000000000000004">
      <c r="W56981"/>
    </row>
    <row r="56982" spans="23:23" x14ac:dyDescent="0.55000000000000004">
      <c r="W56982"/>
    </row>
    <row r="56983" spans="23:23" x14ac:dyDescent="0.55000000000000004">
      <c r="W56983"/>
    </row>
    <row r="56984" spans="23:23" x14ac:dyDescent="0.55000000000000004">
      <c r="W56984"/>
    </row>
    <row r="56985" spans="23:23" x14ac:dyDescent="0.55000000000000004">
      <c r="W56985"/>
    </row>
    <row r="56986" spans="23:23" x14ac:dyDescent="0.55000000000000004">
      <c r="W56986"/>
    </row>
    <row r="56987" spans="23:23" x14ac:dyDescent="0.55000000000000004">
      <c r="W56987"/>
    </row>
    <row r="56988" spans="23:23" x14ac:dyDescent="0.55000000000000004">
      <c r="W56988"/>
    </row>
    <row r="56989" spans="23:23" x14ac:dyDescent="0.55000000000000004">
      <c r="W56989"/>
    </row>
    <row r="56990" spans="23:23" x14ac:dyDescent="0.55000000000000004">
      <c r="W56990"/>
    </row>
    <row r="56991" spans="23:23" x14ac:dyDescent="0.55000000000000004">
      <c r="W56991"/>
    </row>
    <row r="56992" spans="23:23" x14ac:dyDescent="0.55000000000000004">
      <c r="W56992"/>
    </row>
    <row r="56993" spans="23:23" x14ac:dyDescent="0.55000000000000004">
      <c r="W56993"/>
    </row>
    <row r="56994" spans="23:23" x14ac:dyDescent="0.55000000000000004">
      <c r="W56994"/>
    </row>
    <row r="56995" spans="23:23" x14ac:dyDescent="0.55000000000000004">
      <c r="W56995"/>
    </row>
    <row r="56996" spans="23:23" x14ac:dyDescent="0.55000000000000004">
      <c r="W56996"/>
    </row>
    <row r="56997" spans="23:23" x14ac:dyDescent="0.55000000000000004">
      <c r="W56997"/>
    </row>
    <row r="56998" spans="23:23" x14ac:dyDescent="0.55000000000000004">
      <c r="W56998"/>
    </row>
    <row r="56999" spans="23:23" x14ac:dyDescent="0.55000000000000004">
      <c r="W56999"/>
    </row>
    <row r="57000" spans="23:23" x14ac:dyDescent="0.55000000000000004">
      <c r="W57000"/>
    </row>
    <row r="57001" spans="23:23" x14ac:dyDescent="0.55000000000000004">
      <c r="W57001"/>
    </row>
    <row r="57002" spans="23:23" x14ac:dyDescent="0.55000000000000004">
      <c r="W57002"/>
    </row>
    <row r="57003" spans="23:23" x14ac:dyDescent="0.55000000000000004">
      <c r="W57003"/>
    </row>
    <row r="57004" spans="23:23" x14ac:dyDescent="0.55000000000000004">
      <c r="W57004"/>
    </row>
    <row r="57005" spans="23:23" x14ac:dyDescent="0.55000000000000004">
      <c r="W57005"/>
    </row>
    <row r="57006" spans="23:23" x14ac:dyDescent="0.55000000000000004">
      <c r="W57006"/>
    </row>
    <row r="57007" spans="23:23" x14ac:dyDescent="0.55000000000000004">
      <c r="W57007"/>
    </row>
    <row r="57008" spans="23:23" x14ac:dyDescent="0.55000000000000004">
      <c r="W57008"/>
    </row>
    <row r="57009" spans="23:23" x14ac:dyDescent="0.55000000000000004">
      <c r="W57009"/>
    </row>
    <row r="57010" spans="23:23" x14ac:dyDescent="0.55000000000000004">
      <c r="W57010"/>
    </row>
    <row r="57011" spans="23:23" x14ac:dyDescent="0.55000000000000004">
      <c r="W57011"/>
    </row>
    <row r="57012" spans="23:23" x14ac:dyDescent="0.55000000000000004">
      <c r="W57012"/>
    </row>
    <row r="57013" spans="23:23" x14ac:dyDescent="0.55000000000000004">
      <c r="W57013"/>
    </row>
    <row r="57014" spans="23:23" x14ac:dyDescent="0.55000000000000004">
      <c r="W57014"/>
    </row>
    <row r="57015" spans="23:23" x14ac:dyDescent="0.55000000000000004">
      <c r="W57015"/>
    </row>
    <row r="57016" spans="23:23" x14ac:dyDescent="0.55000000000000004">
      <c r="W57016"/>
    </row>
    <row r="57017" spans="23:23" x14ac:dyDescent="0.55000000000000004">
      <c r="W57017"/>
    </row>
    <row r="57018" spans="23:23" x14ac:dyDescent="0.55000000000000004">
      <c r="W57018"/>
    </row>
    <row r="57019" spans="23:23" x14ac:dyDescent="0.55000000000000004">
      <c r="W57019"/>
    </row>
    <row r="57020" spans="23:23" x14ac:dyDescent="0.55000000000000004">
      <c r="W57020"/>
    </row>
    <row r="57021" spans="23:23" x14ac:dyDescent="0.55000000000000004">
      <c r="W57021"/>
    </row>
    <row r="57022" spans="23:23" x14ac:dyDescent="0.55000000000000004">
      <c r="W57022"/>
    </row>
    <row r="57023" spans="23:23" x14ac:dyDescent="0.55000000000000004">
      <c r="W57023"/>
    </row>
    <row r="57024" spans="23:23" x14ac:dyDescent="0.55000000000000004">
      <c r="W57024"/>
    </row>
    <row r="57025" spans="23:23" x14ac:dyDescent="0.55000000000000004">
      <c r="W57025"/>
    </row>
    <row r="57026" spans="23:23" x14ac:dyDescent="0.55000000000000004">
      <c r="W57026"/>
    </row>
    <row r="57027" spans="23:23" x14ac:dyDescent="0.55000000000000004">
      <c r="W57027"/>
    </row>
    <row r="57028" spans="23:23" x14ac:dyDescent="0.55000000000000004">
      <c r="W57028"/>
    </row>
    <row r="57029" spans="23:23" x14ac:dyDescent="0.55000000000000004">
      <c r="W57029"/>
    </row>
    <row r="57030" spans="23:23" x14ac:dyDescent="0.55000000000000004">
      <c r="W57030"/>
    </row>
    <row r="57031" spans="23:23" x14ac:dyDescent="0.55000000000000004">
      <c r="W57031"/>
    </row>
    <row r="57032" spans="23:23" x14ac:dyDescent="0.55000000000000004">
      <c r="W57032"/>
    </row>
    <row r="57033" spans="23:23" x14ac:dyDescent="0.55000000000000004">
      <c r="W57033"/>
    </row>
    <row r="57034" spans="23:23" x14ac:dyDescent="0.55000000000000004">
      <c r="W57034"/>
    </row>
    <row r="57035" spans="23:23" x14ac:dyDescent="0.55000000000000004">
      <c r="W57035"/>
    </row>
    <row r="57036" spans="23:23" x14ac:dyDescent="0.55000000000000004">
      <c r="W57036"/>
    </row>
    <row r="57037" spans="23:23" x14ac:dyDescent="0.55000000000000004">
      <c r="W57037"/>
    </row>
    <row r="57038" spans="23:23" x14ac:dyDescent="0.55000000000000004">
      <c r="W57038"/>
    </row>
    <row r="57039" spans="23:23" x14ac:dyDescent="0.55000000000000004">
      <c r="W57039"/>
    </row>
    <row r="57040" spans="23:23" x14ac:dyDescent="0.55000000000000004">
      <c r="W57040"/>
    </row>
    <row r="57041" spans="23:23" x14ac:dyDescent="0.55000000000000004">
      <c r="W57041"/>
    </row>
    <row r="57042" spans="23:23" x14ac:dyDescent="0.55000000000000004">
      <c r="W57042"/>
    </row>
    <row r="57043" spans="23:23" x14ac:dyDescent="0.55000000000000004">
      <c r="W57043"/>
    </row>
    <row r="57044" spans="23:23" x14ac:dyDescent="0.55000000000000004">
      <c r="W57044"/>
    </row>
    <row r="57045" spans="23:23" x14ac:dyDescent="0.55000000000000004">
      <c r="W57045"/>
    </row>
    <row r="57046" spans="23:23" x14ac:dyDescent="0.55000000000000004">
      <c r="W57046"/>
    </row>
    <row r="57047" spans="23:23" x14ac:dyDescent="0.55000000000000004">
      <c r="W57047"/>
    </row>
    <row r="57048" spans="23:23" x14ac:dyDescent="0.55000000000000004">
      <c r="W57048"/>
    </row>
    <row r="57049" spans="23:23" x14ac:dyDescent="0.55000000000000004">
      <c r="W57049"/>
    </row>
    <row r="57050" spans="23:23" x14ac:dyDescent="0.55000000000000004">
      <c r="W57050"/>
    </row>
    <row r="57051" spans="23:23" x14ac:dyDescent="0.55000000000000004">
      <c r="W57051"/>
    </row>
    <row r="57052" spans="23:23" x14ac:dyDescent="0.55000000000000004">
      <c r="W57052"/>
    </row>
    <row r="57053" spans="23:23" x14ac:dyDescent="0.55000000000000004">
      <c r="W57053"/>
    </row>
    <row r="57054" spans="23:23" x14ac:dyDescent="0.55000000000000004">
      <c r="W57054"/>
    </row>
    <row r="57055" spans="23:23" x14ac:dyDescent="0.55000000000000004">
      <c r="W57055"/>
    </row>
    <row r="57056" spans="23:23" x14ac:dyDescent="0.55000000000000004">
      <c r="W57056"/>
    </row>
    <row r="57057" spans="23:23" x14ac:dyDescent="0.55000000000000004">
      <c r="W57057"/>
    </row>
    <row r="57058" spans="23:23" x14ac:dyDescent="0.55000000000000004">
      <c r="W57058"/>
    </row>
    <row r="57059" spans="23:23" x14ac:dyDescent="0.55000000000000004">
      <c r="W57059"/>
    </row>
    <row r="57060" spans="23:23" x14ac:dyDescent="0.55000000000000004">
      <c r="W57060"/>
    </row>
    <row r="57061" spans="23:23" x14ac:dyDescent="0.55000000000000004">
      <c r="W57061"/>
    </row>
    <row r="57062" spans="23:23" x14ac:dyDescent="0.55000000000000004">
      <c r="W57062"/>
    </row>
    <row r="57063" spans="23:23" x14ac:dyDescent="0.55000000000000004">
      <c r="W57063"/>
    </row>
    <row r="57064" spans="23:23" x14ac:dyDescent="0.55000000000000004">
      <c r="W57064"/>
    </row>
    <row r="57065" spans="23:23" x14ac:dyDescent="0.55000000000000004">
      <c r="W57065"/>
    </row>
    <row r="57066" spans="23:23" x14ac:dyDescent="0.55000000000000004">
      <c r="W57066"/>
    </row>
    <row r="57067" spans="23:23" x14ac:dyDescent="0.55000000000000004">
      <c r="W57067"/>
    </row>
    <row r="57068" spans="23:23" x14ac:dyDescent="0.55000000000000004">
      <c r="W57068"/>
    </row>
    <row r="57069" spans="23:23" x14ac:dyDescent="0.55000000000000004">
      <c r="W57069"/>
    </row>
    <row r="57070" spans="23:23" x14ac:dyDescent="0.55000000000000004">
      <c r="W57070"/>
    </row>
    <row r="57071" spans="23:23" x14ac:dyDescent="0.55000000000000004">
      <c r="W57071"/>
    </row>
    <row r="57072" spans="23:23" x14ac:dyDescent="0.55000000000000004">
      <c r="W57072"/>
    </row>
    <row r="57073" spans="23:23" x14ac:dyDescent="0.55000000000000004">
      <c r="W57073"/>
    </row>
    <row r="57074" spans="23:23" x14ac:dyDescent="0.55000000000000004">
      <c r="W57074"/>
    </row>
    <row r="57075" spans="23:23" x14ac:dyDescent="0.55000000000000004">
      <c r="W57075"/>
    </row>
    <row r="57076" spans="23:23" x14ac:dyDescent="0.55000000000000004">
      <c r="W57076"/>
    </row>
    <row r="57077" spans="23:23" x14ac:dyDescent="0.55000000000000004">
      <c r="W57077"/>
    </row>
    <row r="57078" spans="23:23" x14ac:dyDescent="0.55000000000000004">
      <c r="W57078"/>
    </row>
    <row r="57079" spans="23:23" x14ac:dyDescent="0.55000000000000004">
      <c r="W57079"/>
    </row>
    <row r="57080" spans="23:23" x14ac:dyDescent="0.55000000000000004">
      <c r="W57080"/>
    </row>
    <row r="57081" spans="23:23" x14ac:dyDescent="0.55000000000000004">
      <c r="W57081"/>
    </row>
    <row r="57082" spans="23:23" x14ac:dyDescent="0.55000000000000004">
      <c r="W57082"/>
    </row>
    <row r="57083" spans="23:23" x14ac:dyDescent="0.55000000000000004">
      <c r="W57083"/>
    </row>
    <row r="57084" spans="23:23" x14ac:dyDescent="0.55000000000000004">
      <c r="W57084"/>
    </row>
    <row r="57085" spans="23:23" x14ac:dyDescent="0.55000000000000004">
      <c r="W57085"/>
    </row>
    <row r="57086" spans="23:23" x14ac:dyDescent="0.55000000000000004">
      <c r="W57086"/>
    </row>
    <row r="57087" spans="23:23" x14ac:dyDescent="0.55000000000000004">
      <c r="W57087"/>
    </row>
    <row r="57088" spans="23:23" x14ac:dyDescent="0.55000000000000004">
      <c r="W57088"/>
    </row>
    <row r="57089" spans="23:23" x14ac:dyDescent="0.55000000000000004">
      <c r="W57089"/>
    </row>
    <row r="57090" spans="23:23" x14ac:dyDescent="0.55000000000000004">
      <c r="W57090"/>
    </row>
    <row r="57091" spans="23:23" x14ac:dyDescent="0.55000000000000004">
      <c r="W57091"/>
    </row>
    <row r="57092" spans="23:23" x14ac:dyDescent="0.55000000000000004">
      <c r="W57092"/>
    </row>
    <row r="57093" spans="23:23" x14ac:dyDescent="0.55000000000000004">
      <c r="W57093"/>
    </row>
    <row r="57094" spans="23:23" x14ac:dyDescent="0.55000000000000004">
      <c r="W57094"/>
    </row>
    <row r="57095" spans="23:23" x14ac:dyDescent="0.55000000000000004">
      <c r="W57095"/>
    </row>
    <row r="57096" spans="23:23" x14ac:dyDescent="0.55000000000000004">
      <c r="W57096"/>
    </row>
    <row r="57097" spans="23:23" x14ac:dyDescent="0.55000000000000004">
      <c r="W57097"/>
    </row>
    <row r="57098" spans="23:23" x14ac:dyDescent="0.55000000000000004">
      <c r="W57098"/>
    </row>
    <row r="57099" spans="23:23" x14ac:dyDescent="0.55000000000000004">
      <c r="W57099"/>
    </row>
    <row r="57100" spans="23:23" x14ac:dyDescent="0.55000000000000004">
      <c r="W57100"/>
    </row>
    <row r="57101" spans="23:23" x14ac:dyDescent="0.55000000000000004">
      <c r="W57101"/>
    </row>
    <row r="57102" spans="23:23" x14ac:dyDescent="0.55000000000000004">
      <c r="W57102"/>
    </row>
    <row r="57103" spans="23:23" x14ac:dyDescent="0.55000000000000004">
      <c r="W57103"/>
    </row>
    <row r="57104" spans="23:23" x14ac:dyDescent="0.55000000000000004">
      <c r="W57104"/>
    </row>
    <row r="57105" spans="23:23" x14ac:dyDescent="0.55000000000000004">
      <c r="W57105"/>
    </row>
    <row r="57106" spans="23:23" x14ac:dyDescent="0.55000000000000004">
      <c r="W57106"/>
    </row>
    <row r="57107" spans="23:23" x14ac:dyDescent="0.55000000000000004">
      <c r="W57107"/>
    </row>
    <row r="57108" spans="23:23" x14ac:dyDescent="0.55000000000000004">
      <c r="W57108"/>
    </row>
    <row r="57109" spans="23:23" x14ac:dyDescent="0.55000000000000004">
      <c r="W57109"/>
    </row>
    <row r="57110" spans="23:23" x14ac:dyDescent="0.55000000000000004">
      <c r="W57110"/>
    </row>
    <row r="57111" spans="23:23" x14ac:dyDescent="0.55000000000000004">
      <c r="W57111"/>
    </row>
    <row r="57112" spans="23:23" x14ac:dyDescent="0.55000000000000004">
      <c r="W57112"/>
    </row>
    <row r="57113" spans="23:23" x14ac:dyDescent="0.55000000000000004">
      <c r="W57113"/>
    </row>
    <row r="57114" spans="23:23" x14ac:dyDescent="0.55000000000000004">
      <c r="W57114"/>
    </row>
    <row r="57115" spans="23:23" x14ac:dyDescent="0.55000000000000004">
      <c r="W57115"/>
    </row>
    <row r="57116" spans="23:23" x14ac:dyDescent="0.55000000000000004">
      <c r="W57116"/>
    </row>
    <row r="57117" spans="23:23" x14ac:dyDescent="0.55000000000000004">
      <c r="W57117"/>
    </row>
    <row r="57118" spans="23:23" x14ac:dyDescent="0.55000000000000004">
      <c r="W57118"/>
    </row>
    <row r="57119" spans="23:23" x14ac:dyDescent="0.55000000000000004">
      <c r="W57119"/>
    </row>
    <row r="57120" spans="23:23" x14ac:dyDescent="0.55000000000000004">
      <c r="W57120"/>
    </row>
    <row r="57121" spans="23:23" x14ac:dyDescent="0.55000000000000004">
      <c r="W57121"/>
    </row>
    <row r="57122" spans="23:23" x14ac:dyDescent="0.55000000000000004">
      <c r="W57122"/>
    </row>
    <row r="57123" spans="23:23" x14ac:dyDescent="0.55000000000000004">
      <c r="W57123"/>
    </row>
    <row r="57124" spans="23:23" x14ac:dyDescent="0.55000000000000004">
      <c r="W57124"/>
    </row>
    <row r="57125" spans="23:23" x14ac:dyDescent="0.55000000000000004">
      <c r="W57125"/>
    </row>
    <row r="57126" spans="23:23" x14ac:dyDescent="0.55000000000000004">
      <c r="W57126"/>
    </row>
    <row r="57127" spans="23:23" x14ac:dyDescent="0.55000000000000004">
      <c r="W57127"/>
    </row>
    <row r="57128" spans="23:23" x14ac:dyDescent="0.55000000000000004">
      <c r="W57128"/>
    </row>
    <row r="57129" spans="23:23" x14ac:dyDescent="0.55000000000000004">
      <c r="W57129"/>
    </row>
    <row r="57130" spans="23:23" x14ac:dyDescent="0.55000000000000004">
      <c r="W57130"/>
    </row>
    <row r="57131" spans="23:23" x14ac:dyDescent="0.55000000000000004">
      <c r="W57131"/>
    </row>
    <row r="57132" spans="23:23" x14ac:dyDescent="0.55000000000000004">
      <c r="W57132"/>
    </row>
    <row r="57133" spans="23:23" x14ac:dyDescent="0.55000000000000004">
      <c r="W57133"/>
    </row>
    <row r="57134" spans="23:23" x14ac:dyDescent="0.55000000000000004">
      <c r="W57134"/>
    </row>
    <row r="57135" spans="23:23" x14ac:dyDescent="0.55000000000000004">
      <c r="W57135"/>
    </row>
    <row r="57136" spans="23:23" x14ac:dyDescent="0.55000000000000004">
      <c r="W57136"/>
    </row>
    <row r="57137" spans="23:23" x14ac:dyDescent="0.55000000000000004">
      <c r="W57137"/>
    </row>
    <row r="57138" spans="23:23" x14ac:dyDescent="0.55000000000000004">
      <c r="W57138"/>
    </row>
    <row r="57139" spans="23:23" x14ac:dyDescent="0.55000000000000004">
      <c r="W57139"/>
    </row>
    <row r="57140" spans="23:23" x14ac:dyDescent="0.55000000000000004">
      <c r="W57140"/>
    </row>
    <row r="57141" spans="23:23" x14ac:dyDescent="0.55000000000000004">
      <c r="W57141"/>
    </row>
    <row r="57142" spans="23:23" x14ac:dyDescent="0.55000000000000004">
      <c r="W57142"/>
    </row>
    <row r="57143" spans="23:23" x14ac:dyDescent="0.55000000000000004">
      <c r="W57143"/>
    </row>
    <row r="57144" spans="23:23" x14ac:dyDescent="0.55000000000000004">
      <c r="W57144"/>
    </row>
    <row r="57145" spans="23:23" x14ac:dyDescent="0.55000000000000004">
      <c r="W57145"/>
    </row>
    <row r="57146" spans="23:23" x14ac:dyDescent="0.55000000000000004">
      <c r="W57146"/>
    </row>
    <row r="57147" spans="23:23" x14ac:dyDescent="0.55000000000000004">
      <c r="W57147"/>
    </row>
    <row r="57148" spans="23:23" x14ac:dyDescent="0.55000000000000004">
      <c r="W57148"/>
    </row>
    <row r="57149" spans="23:23" x14ac:dyDescent="0.55000000000000004">
      <c r="W57149"/>
    </row>
    <row r="57150" spans="23:23" x14ac:dyDescent="0.55000000000000004">
      <c r="W57150"/>
    </row>
    <row r="57151" spans="23:23" x14ac:dyDescent="0.55000000000000004">
      <c r="W57151"/>
    </row>
    <row r="57152" spans="23:23" x14ac:dyDescent="0.55000000000000004">
      <c r="W57152"/>
    </row>
    <row r="57153" spans="23:23" x14ac:dyDescent="0.55000000000000004">
      <c r="W57153"/>
    </row>
    <row r="57154" spans="23:23" x14ac:dyDescent="0.55000000000000004">
      <c r="W57154"/>
    </row>
    <row r="57155" spans="23:23" x14ac:dyDescent="0.55000000000000004">
      <c r="W57155"/>
    </row>
    <row r="57156" spans="23:23" x14ac:dyDescent="0.55000000000000004">
      <c r="W57156"/>
    </row>
    <row r="57157" spans="23:23" x14ac:dyDescent="0.55000000000000004">
      <c r="W57157"/>
    </row>
    <row r="57158" spans="23:23" x14ac:dyDescent="0.55000000000000004">
      <c r="W57158"/>
    </row>
    <row r="57159" spans="23:23" x14ac:dyDescent="0.55000000000000004">
      <c r="W57159"/>
    </row>
    <row r="57160" spans="23:23" x14ac:dyDescent="0.55000000000000004">
      <c r="W57160"/>
    </row>
    <row r="57161" spans="23:23" x14ac:dyDescent="0.55000000000000004">
      <c r="W57161"/>
    </row>
    <row r="57162" spans="23:23" x14ac:dyDescent="0.55000000000000004">
      <c r="W57162"/>
    </row>
    <row r="57163" spans="23:23" x14ac:dyDescent="0.55000000000000004">
      <c r="W57163"/>
    </row>
    <row r="57164" spans="23:23" x14ac:dyDescent="0.55000000000000004">
      <c r="W57164"/>
    </row>
    <row r="57165" spans="23:23" x14ac:dyDescent="0.55000000000000004">
      <c r="W57165"/>
    </row>
    <row r="57166" spans="23:23" x14ac:dyDescent="0.55000000000000004">
      <c r="W57166"/>
    </row>
    <row r="57167" spans="23:23" x14ac:dyDescent="0.55000000000000004">
      <c r="W57167"/>
    </row>
    <row r="57168" spans="23:23" x14ac:dyDescent="0.55000000000000004">
      <c r="W57168"/>
    </row>
    <row r="57169" spans="23:23" x14ac:dyDescent="0.55000000000000004">
      <c r="W57169"/>
    </row>
    <row r="57170" spans="23:23" x14ac:dyDescent="0.55000000000000004">
      <c r="W57170"/>
    </row>
    <row r="57171" spans="23:23" x14ac:dyDescent="0.55000000000000004">
      <c r="W57171"/>
    </row>
    <row r="57172" spans="23:23" x14ac:dyDescent="0.55000000000000004">
      <c r="W57172"/>
    </row>
    <row r="57173" spans="23:23" x14ac:dyDescent="0.55000000000000004">
      <c r="W57173"/>
    </row>
    <row r="57174" spans="23:23" x14ac:dyDescent="0.55000000000000004">
      <c r="W57174"/>
    </row>
    <row r="57175" spans="23:23" x14ac:dyDescent="0.55000000000000004">
      <c r="W57175"/>
    </row>
    <row r="57176" spans="23:23" x14ac:dyDescent="0.55000000000000004">
      <c r="W57176"/>
    </row>
    <row r="57177" spans="23:23" x14ac:dyDescent="0.55000000000000004">
      <c r="W57177"/>
    </row>
    <row r="57178" spans="23:23" x14ac:dyDescent="0.55000000000000004">
      <c r="W57178"/>
    </row>
    <row r="57179" spans="23:23" x14ac:dyDescent="0.55000000000000004">
      <c r="W57179"/>
    </row>
    <row r="57180" spans="23:23" x14ac:dyDescent="0.55000000000000004">
      <c r="W57180"/>
    </row>
    <row r="57181" spans="23:23" x14ac:dyDescent="0.55000000000000004">
      <c r="W57181"/>
    </row>
    <row r="57182" spans="23:23" x14ac:dyDescent="0.55000000000000004">
      <c r="W57182"/>
    </row>
    <row r="57183" spans="23:23" x14ac:dyDescent="0.55000000000000004">
      <c r="W57183"/>
    </row>
    <row r="57184" spans="23:23" x14ac:dyDescent="0.55000000000000004">
      <c r="W57184"/>
    </row>
    <row r="57185" spans="23:23" x14ac:dyDescent="0.55000000000000004">
      <c r="W57185"/>
    </row>
    <row r="57186" spans="23:23" x14ac:dyDescent="0.55000000000000004">
      <c r="W57186"/>
    </row>
    <row r="57187" spans="23:23" x14ac:dyDescent="0.55000000000000004">
      <c r="W57187"/>
    </row>
    <row r="57188" spans="23:23" x14ac:dyDescent="0.55000000000000004">
      <c r="W57188"/>
    </row>
    <row r="57189" spans="23:23" x14ac:dyDescent="0.55000000000000004">
      <c r="W57189"/>
    </row>
    <row r="57190" spans="23:23" x14ac:dyDescent="0.55000000000000004">
      <c r="W57190"/>
    </row>
    <row r="57191" spans="23:23" x14ac:dyDescent="0.55000000000000004">
      <c r="W57191"/>
    </row>
    <row r="57192" spans="23:23" x14ac:dyDescent="0.55000000000000004">
      <c r="W57192"/>
    </row>
    <row r="57193" spans="23:23" x14ac:dyDescent="0.55000000000000004">
      <c r="W57193"/>
    </row>
    <row r="57194" spans="23:23" x14ac:dyDescent="0.55000000000000004">
      <c r="W57194"/>
    </row>
    <row r="57195" spans="23:23" x14ac:dyDescent="0.55000000000000004">
      <c r="W57195"/>
    </row>
    <row r="57196" spans="23:23" x14ac:dyDescent="0.55000000000000004">
      <c r="W57196"/>
    </row>
    <row r="57197" spans="23:23" x14ac:dyDescent="0.55000000000000004">
      <c r="W57197"/>
    </row>
    <row r="57198" spans="23:23" x14ac:dyDescent="0.55000000000000004">
      <c r="W57198"/>
    </row>
    <row r="57199" spans="23:23" x14ac:dyDescent="0.55000000000000004">
      <c r="W57199"/>
    </row>
    <row r="57200" spans="23:23" x14ac:dyDescent="0.55000000000000004">
      <c r="W57200"/>
    </row>
    <row r="57201" spans="23:23" x14ac:dyDescent="0.55000000000000004">
      <c r="W57201"/>
    </row>
    <row r="57202" spans="23:23" x14ac:dyDescent="0.55000000000000004">
      <c r="W57202"/>
    </row>
    <row r="57203" spans="23:23" x14ac:dyDescent="0.55000000000000004">
      <c r="W57203"/>
    </row>
    <row r="57204" spans="23:23" x14ac:dyDescent="0.55000000000000004">
      <c r="W57204"/>
    </row>
    <row r="57205" spans="23:23" x14ac:dyDescent="0.55000000000000004">
      <c r="W57205"/>
    </row>
    <row r="57206" spans="23:23" x14ac:dyDescent="0.55000000000000004">
      <c r="W57206"/>
    </row>
    <row r="57207" spans="23:23" x14ac:dyDescent="0.55000000000000004">
      <c r="W57207"/>
    </row>
    <row r="57208" spans="23:23" x14ac:dyDescent="0.55000000000000004">
      <c r="W57208"/>
    </row>
    <row r="57209" spans="23:23" x14ac:dyDescent="0.55000000000000004">
      <c r="W57209"/>
    </row>
    <row r="57210" spans="23:23" x14ac:dyDescent="0.55000000000000004">
      <c r="W57210"/>
    </row>
    <row r="57211" spans="23:23" x14ac:dyDescent="0.55000000000000004">
      <c r="W57211"/>
    </row>
    <row r="57212" spans="23:23" x14ac:dyDescent="0.55000000000000004">
      <c r="W57212"/>
    </row>
    <row r="57213" spans="23:23" x14ac:dyDescent="0.55000000000000004">
      <c r="W57213"/>
    </row>
    <row r="57214" spans="23:23" x14ac:dyDescent="0.55000000000000004">
      <c r="W57214"/>
    </row>
    <row r="57215" spans="23:23" x14ac:dyDescent="0.55000000000000004">
      <c r="W57215"/>
    </row>
    <row r="57216" spans="23:23" x14ac:dyDescent="0.55000000000000004">
      <c r="W57216"/>
    </row>
    <row r="57217" spans="23:23" x14ac:dyDescent="0.55000000000000004">
      <c r="W57217"/>
    </row>
    <row r="57218" spans="23:23" x14ac:dyDescent="0.55000000000000004">
      <c r="W57218"/>
    </row>
    <row r="57219" spans="23:23" x14ac:dyDescent="0.55000000000000004">
      <c r="W57219"/>
    </row>
    <row r="57220" spans="23:23" x14ac:dyDescent="0.55000000000000004">
      <c r="W57220"/>
    </row>
    <row r="57221" spans="23:23" x14ac:dyDescent="0.55000000000000004">
      <c r="W57221"/>
    </row>
    <row r="57222" spans="23:23" x14ac:dyDescent="0.55000000000000004">
      <c r="W57222"/>
    </row>
    <row r="57223" spans="23:23" x14ac:dyDescent="0.55000000000000004">
      <c r="W57223"/>
    </row>
    <row r="57224" spans="23:23" x14ac:dyDescent="0.55000000000000004">
      <c r="W57224"/>
    </row>
    <row r="57225" spans="23:23" x14ac:dyDescent="0.55000000000000004">
      <c r="W57225"/>
    </row>
    <row r="57226" spans="23:23" x14ac:dyDescent="0.55000000000000004">
      <c r="W57226"/>
    </row>
    <row r="57227" spans="23:23" x14ac:dyDescent="0.55000000000000004">
      <c r="W57227"/>
    </row>
    <row r="57228" spans="23:23" x14ac:dyDescent="0.55000000000000004">
      <c r="W57228"/>
    </row>
    <row r="57229" spans="23:23" x14ac:dyDescent="0.55000000000000004">
      <c r="W57229"/>
    </row>
    <row r="57230" spans="23:23" x14ac:dyDescent="0.55000000000000004">
      <c r="W57230"/>
    </row>
    <row r="57231" spans="23:23" x14ac:dyDescent="0.55000000000000004">
      <c r="W57231"/>
    </row>
    <row r="57232" spans="23:23" x14ac:dyDescent="0.55000000000000004">
      <c r="W57232"/>
    </row>
    <row r="57233" spans="23:23" x14ac:dyDescent="0.55000000000000004">
      <c r="W57233"/>
    </row>
    <row r="57234" spans="23:23" x14ac:dyDescent="0.55000000000000004">
      <c r="W57234"/>
    </row>
    <row r="57235" spans="23:23" x14ac:dyDescent="0.55000000000000004">
      <c r="W57235"/>
    </row>
    <row r="57236" spans="23:23" x14ac:dyDescent="0.55000000000000004">
      <c r="W57236"/>
    </row>
    <row r="57237" spans="23:23" x14ac:dyDescent="0.55000000000000004">
      <c r="W57237"/>
    </row>
    <row r="57238" spans="23:23" x14ac:dyDescent="0.55000000000000004">
      <c r="W57238"/>
    </row>
    <row r="57239" spans="23:23" x14ac:dyDescent="0.55000000000000004">
      <c r="W57239"/>
    </row>
    <row r="57240" spans="23:23" x14ac:dyDescent="0.55000000000000004">
      <c r="W57240"/>
    </row>
    <row r="57241" spans="23:23" x14ac:dyDescent="0.55000000000000004">
      <c r="W57241"/>
    </row>
    <row r="57242" spans="23:23" x14ac:dyDescent="0.55000000000000004">
      <c r="W57242"/>
    </row>
    <row r="57243" spans="23:23" x14ac:dyDescent="0.55000000000000004">
      <c r="W57243"/>
    </row>
    <row r="57244" spans="23:23" x14ac:dyDescent="0.55000000000000004">
      <c r="W57244"/>
    </row>
    <row r="57245" spans="23:23" x14ac:dyDescent="0.55000000000000004">
      <c r="W57245"/>
    </row>
    <row r="57246" spans="23:23" x14ac:dyDescent="0.55000000000000004">
      <c r="W57246"/>
    </row>
    <row r="57247" spans="23:23" x14ac:dyDescent="0.55000000000000004">
      <c r="W57247"/>
    </row>
    <row r="57248" spans="23:23" x14ac:dyDescent="0.55000000000000004">
      <c r="W57248"/>
    </row>
    <row r="57249" spans="23:23" x14ac:dyDescent="0.55000000000000004">
      <c r="W57249"/>
    </row>
    <row r="57250" spans="23:23" x14ac:dyDescent="0.55000000000000004">
      <c r="W57250"/>
    </row>
    <row r="57251" spans="23:23" x14ac:dyDescent="0.55000000000000004">
      <c r="W57251"/>
    </row>
    <row r="57252" spans="23:23" x14ac:dyDescent="0.55000000000000004">
      <c r="W57252"/>
    </row>
    <row r="57253" spans="23:23" x14ac:dyDescent="0.55000000000000004">
      <c r="W57253"/>
    </row>
    <row r="57254" spans="23:23" x14ac:dyDescent="0.55000000000000004">
      <c r="W57254"/>
    </row>
    <row r="57255" spans="23:23" x14ac:dyDescent="0.55000000000000004">
      <c r="W57255"/>
    </row>
    <row r="57256" spans="23:23" x14ac:dyDescent="0.55000000000000004">
      <c r="W57256"/>
    </row>
    <row r="57257" spans="23:23" x14ac:dyDescent="0.55000000000000004">
      <c r="W57257"/>
    </row>
    <row r="57258" spans="23:23" x14ac:dyDescent="0.55000000000000004">
      <c r="W57258"/>
    </row>
    <row r="57259" spans="23:23" x14ac:dyDescent="0.55000000000000004">
      <c r="W57259"/>
    </row>
    <row r="57260" spans="23:23" x14ac:dyDescent="0.55000000000000004">
      <c r="W57260"/>
    </row>
    <row r="57261" spans="23:23" x14ac:dyDescent="0.55000000000000004">
      <c r="W57261"/>
    </row>
    <row r="57262" spans="23:23" x14ac:dyDescent="0.55000000000000004">
      <c r="W57262"/>
    </row>
    <row r="57263" spans="23:23" x14ac:dyDescent="0.55000000000000004">
      <c r="W57263"/>
    </row>
    <row r="57264" spans="23:23" x14ac:dyDescent="0.55000000000000004">
      <c r="W57264"/>
    </row>
    <row r="57265" spans="23:23" x14ac:dyDescent="0.55000000000000004">
      <c r="W57265"/>
    </row>
    <row r="57266" spans="23:23" x14ac:dyDescent="0.55000000000000004">
      <c r="W57266"/>
    </row>
    <row r="57267" spans="23:23" x14ac:dyDescent="0.55000000000000004">
      <c r="W57267"/>
    </row>
    <row r="57268" spans="23:23" x14ac:dyDescent="0.55000000000000004">
      <c r="W57268"/>
    </row>
    <row r="57269" spans="23:23" x14ac:dyDescent="0.55000000000000004">
      <c r="W57269"/>
    </row>
    <row r="57270" spans="23:23" x14ac:dyDescent="0.55000000000000004">
      <c r="W57270"/>
    </row>
    <row r="57271" spans="23:23" x14ac:dyDescent="0.55000000000000004">
      <c r="W57271"/>
    </row>
    <row r="57272" spans="23:23" x14ac:dyDescent="0.55000000000000004">
      <c r="W57272"/>
    </row>
    <row r="57273" spans="23:23" x14ac:dyDescent="0.55000000000000004">
      <c r="W57273"/>
    </row>
    <row r="57274" spans="23:23" x14ac:dyDescent="0.55000000000000004">
      <c r="W57274"/>
    </row>
    <row r="57275" spans="23:23" x14ac:dyDescent="0.55000000000000004">
      <c r="W57275"/>
    </row>
    <row r="57276" spans="23:23" x14ac:dyDescent="0.55000000000000004">
      <c r="W57276"/>
    </row>
    <row r="57277" spans="23:23" x14ac:dyDescent="0.55000000000000004">
      <c r="W57277"/>
    </row>
    <row r="57278" spans="23:23" x14ac:dyDescent="0.55000000000000004">
      <c r="W57278"/>
    </row>
    <row r="57279" spans="23:23" x14ac:dyDescent="0.55000000000000004">
      <c r="W57279"/>
    </row>
    <row r="57280" spans="23:23" x14ac:dyDescent="0.55000000000000004">
      <c r="W57280"/>
    </row>
    <row r="57281" spans="23:23" x14ac:dyDescent="0.55000000000000004">
      <c r="W57281"/>
    </row>
    <row r="57282" spans="23:23" x14ac:dyDescent="0.55000000000000004">
      <c r="W57282"/>
    </row>
    <row r="57283" spans="23:23" x14ac:dyDescent="0.55000000000000004">
      <c r="W57283"/>
    </row>
    <row r="57284" spans="23:23" x14ac:dyDescent="0.55000000000000004">
      <c r="W57284"/>
    </row>
    <row r="57285" spans="23:23" x14ac:dyDescent="0.55000000000000004">
      <c r="W57285"/>
    </row>
    <row r="57286" spans="23:23" x14ac:dyDescent="0.55000000000000004">
      <c r="W57286"/>
    </row>
    <row r="57287" spans="23:23" x14ac:dyDescent="0.55000000000000004">
      <c r="W57287"/>
    </row>
    <row r="57288" spans="23:23" x14ac:dyDescent="0.55000000000000004">
      <c r="W57288"/>
    </row>
    <row r="57289" spans="23:23" x14ac:dyDescent="0.55000000000000004">
      <c r="W57289"/>
    </row>
    <row r="57290" spans="23:23" x14ac:dyDescent="0.55000000000000004">
      <c r="W57290"/>
    </row>
    <row r="57291" spans="23:23" x14ac:dyDescent="0.55000000000000004">
      <c r="W57291"/>
    </row>
    <row r="57292" spans="23:23" x14ac:dyDescent="0.55000000000000004">
      <c r="W57292"/>
    </row>
    <row r="57293" spans="23:23" x14ac:dyDescent="0.55000000000000004">
      <c r="W57293"/>
    </row>
    <row r="57294" spans="23:23" x14ac:dyDescent="0.55000000000000004">
      <c r="W57294"/>
    </row>
    <row r="57295" spans="23:23" x14ac:dyDescent="0.55000000000000004">
      <c r="W57295"/>
    </row>
    <row r="57296" spans="23:23" x14ac:dyDescent="0.55000000000000004">
      <c r="W57296"/>
    </row>
    <row r="57297" spans="23:23" x14ac:dyDescent="0.55000000000000004">
      <c r="W57297"/>
    </row>
    <row r="57298" spans="23:23" x14ac:dyDescent="0.55000000000000004">
      <c r="W57298"/>
    </row>
    <row r="57299" spans="23:23" x14ac:dyDescent="0.55000000000000004">
      <c r="W57299"/>
    </row>
    <row r="57300" spans="23:23" x14ac:dyDescent="0.55000000000000004">
      <c r="W57300"/>
    </row>
    <row r="57301" spans="23:23" x14ac:dyDescent="0.55000000000000004">
      <c r="W57301"/>
    </row>
    <row r="57302" spans="23:23" x14ac:dyDescent="0.55000000000000004">
      <c r="W57302"/>
    </row>
    <row r="57303" spans="23:23" x14ac:dyDescent="0.55000000000000004">
      <c r="W57303"/>
    </row>
    <row r="57304" spans="23:23" x14ac:dyDescent="0.55000000000000004">
      <c r="W57304"/>
    </row>
    <row r="57305" spans="23:23" x14ac:dyDescent="0.55000000000000004">
      <c r="W57305"/>
    </row>
    <row r="57306" spans="23:23" x14ac:dyDescent="0.55000000000000004">
      <c r="W57306"/>
    </row>
    <row r="57307" spans="23:23" x14ac:dyDescent="0.55000000000000004">
      <c r="W57307"/>
    </row>
    <row r="57308" spans="23:23" x14ac:dyDescent="0.55000000000000004">
      <c r="W57308"/>
    </row>
    <row r="57309" spans="23:23" x14ac:dyDescent="0.55000000000000004">
      <c r="W57309"/>
    </row>
    <row r="57310" spans="23:23" x14ac:dyDescent="0.55000000000000004">
      <c r="W57310"/>
    </row>
    <row r="57311" spans="23:23" x14ac:dyDescent="0.55000000000000004">
      <c r="W57311"/>
    </row>
    <row r="57312" spans="23:23" x14ac:dyDescent="0.55000000000000004">
      <c r="W57312"/>
    </row>
    <row r="57313" spans="23:23" x14ac:dyDescent="0.55000000000000004">
      <c r="W57313"/>
    </row>
    <row r="57314" spans="23:23" x14ac:dyDescent="0.55000000000000004">
      <c r="W57314"/>
    </row>
    <row r="57315" spans="23:23" x14ac:dyDescent="0.55000000000000004">
      <c r="W57315"/>
    </row>
    <row r="57316" spans="23:23" x14ac:dyDescent="0.55000000000000004">
      <c r="W57316"/>
    </row>
    <row r="57317" spans="23:23" x14ac:dyDescent="0.55000000000000004">
      <c r="W57317"/>
    </row>
    <row r="57318" spans="23:23" x14ac:dyDescent="0.55000000000000004">
      <c r="W57318"/>
    </row>
    <row r="57319" spans="23:23" x14ac:dyDescent="0.55000000000000004">
      <c r="W57319"/>
    </row>
    <row r="57320" spans="23:23" x14ac:dyDescent="0.55000000000000004">
      <c r="W57320"/>
    </row>
    <row r="57321" spans="23:23" x14ac:dyDescent="0.55000000000000004">
      <c r="W57321"/>
    </row>
    <row r="57322" spans="23:23" x14ac:dyDescent="0.55000000000000004">
      <c r="W57322"/>
    </row>
    <row r="57323" spans="23:23" x14ac:dyDescent="0.55000000000000004">
      <c r="W57323"/>
    </row>
    <row r="57324" spans="23:23" x14ac:dyDescent="0.55000000000000004">
      <c r="W57324"/>
    </row>
    <row r="57325" spans="23:23" x14ac:dyDescent="0.55000000000000004">
      <c r="W57325"/>
    </row>
    <row r="57326" spans="23:23" x14ac:dyDescent="0.55000000000000004">
      <c r="W57326"/>
    </row>
    <row r="57327" spans="23:23" x14ac:dyDescent="0.55000000000000004">
      <c r="W57327"/>
    </row>
    <row r="57328" spans="23:23" x14ac:dyDescent="0.55000000000000004">
      <c r="W57328"/>
    </row>
    <row r="57329" spans="23:23" x14ac:dyDescent="0.55000000000000004">
      <c r="W57329"/>
    </row>
    <row r="57330" spans="23:23" x14ac:dyDescent="0.55000000000000004">
      <c r="W57330"/>
    </row>
    <row r="57331" spans="23:23" x14ac:dyDescent="0.55000000000000004">
      <c r="W57331"/>
    </row>
    <row r="57332" spans="23:23" x14ac:dyDescent="0.55000000000000004">
      <c r="W57332"/>
    </row>
    <row r="57333" spans="23:23" x14ac:dyDescent="0.55000000000000004">
      <c r="W57333"/>
    </row>
    <row r="57334" spans="23:23" x14ac:dyDescent="0.55000000000000004">
      <c r="W57334"/>
    </row>
    <row r="57335" spans="23:23" x14ac:dyDescent="0.55000000000000004">
      <c r="W57335"/>
    </row>
    <row r="57336" spans="23:23" x14ac:dyDescent="0.55000000000000004">
      <c r="W57336"/>
    </row>
    <row r="57337" spans="23:23" x14ac:dyDescent="0.55000000000000004">
      <c r="W57337"/>
    </row>
    <row r="57338" spans="23:23" x14ac:dyDescent="0.55000000000000004">
      <c r="W57338"/>
    </row>
    <row r="57339" spans="23:23" x14ac:dyDescent="0.55000000000000004">
      <c r="W57339"/>
    </row>
    <row r="57340" spans="23:23" x14ac:dyDescent="0.55000000000000004">
      <c r="W57340"/>
    </row>
    <row r="57341" spans="23:23" x14ac:dyDescent="0.55000000000000004">
      <c r="W57341"/>
    </row>
    <row r="57342" spans="23:23" x14ac:dyDescent="0.55000000000000004">
      <c r="W57342"/>
    </row>
    <row r="57343" spans="23:23" x14ac:dyDescent="0.55000000000000004">
      <c r="W57343"/>
    </row>
    <row r="57344" spans="23:23" x14ac:dyDescent="0.55000000000000004">
      <c r="W57344"/>
    </row>
    <row r="57345" spans="23:23" x14ac:dyDescent="0.55000000000000004">
      <c r="W57345"/>
    </row>
    <row r="57346" spans="23:23" x14ac:dyDescent="0.55000000000000004">
      <c r="W57346"/>
    </row>
    <row r="57347" spans="23:23" x14ac:dyDescent="0.55000000000000004">
      <c r="W57347"/>
    </row>
    <row r="57348" spans="23:23" x14ac:dyDescent="0.55000000000000004">
      <c r="W57348"/>
    </row>
    <row r="57349" spans="23:23" x14ac:dyDescent="0.55000000000000004">
      <c r="W57349"/>
    </row>
    <row r="57350" spans="23:23" x14ac:dyDescent="0.55000000000000004">
      <c r="W57350"/>
    </row>
    <row r="57351" spans="23:23" x14ac:dyDescent="0.55000000000000004">
      <c r="W57351"/>
    </row>
    <row r="57352" spans="23:23" x14ac:dyDescent="0.55000000000000004">
      <c r="W57352"/>
    </row>
    <row r="57353" spans="23:23" x14ac:dyDescent="0.55000000000000004">
      <c r="W57353"/>
    </row>
    <row r="57354" spans="23:23" x14ac:dyDescent="0.55000000000000004">
      <c r="W57354"/>
    </row>
    <row r="57355" spans="23:23" x14ac:dyDescent="0.55000000000000004">
      <c r="W57355"/>
    </row>
    <row r="57356" spans="23:23" x14ac:dyDescent="0.55000000000000004">
      <c r="W57356"/>
    </row>
    <row r="57357" spans="23:23" x14ac:dyDescent="0.55000000000000004">
      <c r="W57357"/>
    </row>
    <row r="57358" spans="23:23" x14ac:dyDescent="0.55000000000000004">
      <c r="W57358"/>
    </row>
    <row r="57359" spans="23:23" x14ac:dyDescent="0.55000000000000004">
      <c r="W57359"/>
    </row>
    <row r="57360" spans="23:23" x14ac:dyDescent="0.55000000000000004">
      <c r="W57360"/>
    </row>
    <row r="57361" spans="23:23" x14ac:dyDescent="0.55000000000000004">
      <c r="W57361"/>
    </row>
    <row r="57362" spans="23:23" x14ac:dyDescent="0.55000000000000004">
      <c r="W57362"/>
    </row>
    <row r="57363" spans="23:23" x14ac:dyDescent="0.55000000000000004">
      <c r="W57363"/>
    </row>
    <row r="57364" spans="23:23" x14ac:dyDescent="0.55000000000000004">
      <c r="W57364"/>
    </row>
    <row r="57365" spans="23:23" x14ac:dyDescent="0.55000000000000004">
      <c r="W57365"/>
    </row>
    <row r="57366" spans="23:23" x14ac:dyDescent="0.55000000000000004">
      <c r="W57366"/>
    </row>
    <row r="57367" spans="23:23" x14ac:dyDescent="0.55000000000000004">
      <c r="W57367"/>
    </row>
    <row r="57368" spans="23:23" x14ac:dyDescent="0.55000000000000004">
      <c r="W57368"/>
    </row>
    <row r="57369" spans="23:23" x14ac:dyDescent="0.55000000000000004">
      <c r="W57369"/>
    </row>
    <row r="57370" spans="23:23" x14ac:dyDescent="0.55000000000000004">
      <c r="W57370"/>
    </row>
    <row r="57371" spans="23:23" x14ac:dyDescent="0.55000000000000004">
      <c r="W57371"/>
    </row>
    <row r="57372" spans="23:23" x14ac:dyDescent="0.55000000000000004">
      <c r="W57372"/>
    </row>
    <row r="57373" spans="23:23" x14ac:dyDescent="0.55000000000000004">
      <c r="W57373"/>
    </row>
    <row r="57374" spans="23:23" x14ac:dyDescent="0.55000000000000004">
      <c r="W57374"/>
    </row>
    <row r="57375" spans="23:23" x14ac:dyDescent="0.55000000000000004">
      <c r="W57375"/>
    </row>
    <row r="57376" spans="23:23" x14ac:dyDescent="0.55000000000000004">
      <c r="W57376"/>
    </row>
    <row r="57377" spans="23:23" x14ac:dyDescent="0.55000000000000004">
      <c r="W57377"/>
    </row>
    <row r="57378" spans="23:23" x14ac:dyDescent="0.55000000000000004">
      <c r="W57378"/>
    </row>
    <row r="57379" spans="23:23" x14ac:dyDescent="0.55000000000000004">
      <c r="W57379"/>
    </row>
    <row r="57380" spans="23:23" x14ac:dyDescent="0.55000000000000004">
      <c r="W57380"/>
    </row>
    <row r="57381" spans="23:23" x14ac:dyDescent="0.55000000000000004">
      <c r="W57381"/>
    </row>
    <row r="57382" spans="23:23" x14ac:dyDescent="0.55000000000000004">
      <c r="W57382"/>
    </row>
    <row r="57383" spans="23:23" x14ac:dyDescent="0.55000000000000004">
      <c r="W57383"/>
    </row>
    <row r="57384" spans="23:23" x14ac:dyDescent="0.55000000000000004">
      <c r="W57384"/>
    </row>
    <row r="57385" spans="23:23" x14ac:dyDescent="0.55000000000000004">
      <c r="W57385"/>
    </row>
    <row r="57386" spans="23:23" x14ac:dyDescent="0.55000000000000004">
      <c r="W57386"/>
    </row>
    <row r="57387" spans="23:23" x14ac:dyDescent="0.55000000000000004">
      <c r="W57387"/>
    </row>
    <row r="57388" spans="23:23" x14ac:dyDescent="0.55000000000000004">
      <c r="W57388"/>
    </row>
    <row r="57389" spans="23:23" x14ac:dyDescent="0.55000000000000004">
      <c r="W57389"/>
    </row>
    <row r="57390" spans="23:23" x14ac:dyDescent="0.55000000000000004">
      <c r="W57390"/>
    </row>
    <row r="57391" spans="23:23" x14ac:dyDescent="0.55000000000000004">
      <c r="W57391"/>
    </row>
    <row r="57392" spans="23:23" x14ac:dyDescent="0.55000000000000004">
      <c r="W57392"/>
    </row>
    <row r="57393" spans="23:23" x14ac:dyDescent="0.55000000000000004">
      <c r="W57393"/>
    </row>
    <row r="57394" spans="23:23" x14ac:dyDescent="0.55000000000000004">
      <c r="W57394"/>
    </row>
    <row r="57395" spans="23:23" x14ac:dyDescent="0.55000000000000004">
      <c r="W57395"/>
    </row>
    <row r="57396" spans="23:23" x14ac:dyDescent="0.55000000000000004">
      <c r="W57396"/>
    </row>
    <row r="57397" spans="23:23" x14ac:dyDescent="0.55000000000000004">
      <c r="W57397"/>
    </row>
    <row r="57398" spans="23:23" x14ac:dyDescent="0.55000000000000004">
      <c r="W57398"/>
    </row>
    <row r="57399" spans="23:23" x14ac:dyDescent="0.55000000000000004">
      <c r="W57399"/>
    </row>
    <row r="57400" spans="23:23" x14ac:dyDescent="0.55000000000000004">
      <c r="W57400"/>
    </row>
    <row r="57401" spans="23:23" x14ac:dyDescent="0.55000000000000004">
      <c r="W57401"/>
    </row>
    <row r="57402" spans="23:23" x14ac:dyDescent="0.55000000000000004">
      <c r="W57402"/>
    </row>
    <row r="57403" spans="23:23" x14ac:dyDescent="0.55000000000000004">
      <c r="W57403"/>
    </row>
    <row r="57404" spans="23:23" x14ac:dyDescent="0.55000000000000004">
      <c r="W57404"/>
    </row>
    <row r="57405" spans="23:23" x14ac:dyDescent="0.55000000000000004">
      <c r="W57405"/>
    </row>
    <row r="57406" spans="23:23" x14ac:dyDescent="0.55000000000000004">
      <c r="W57406"/>
    </row>
    <row r="57407" spans="23:23" x14ac:dyDescent="0.55000000000000004">
      <c r="W57407"/>
    </row>
    <row r="57408" spans="23:23" x14ac:dyDescent="0.55000000000000004">
      <c r="W57408"/>
    </row>
    <row r="57409" spans="23:23" x14ac:dyDescent="0.55000000000000004">
      <c r="W57409"/>
    </row>
    <row r="57410" spans="23:23" x14ac:dyDescent="0.55000000000000004">
      <c r="W57410"/>
    </row>
    <row r="57411" spans="23:23" x14ac:dyDescent="0.55000000000000004">
      <c r="W57411"/>
    </row>
    <row r="57412" spans="23:23" x14ac:dyDescent="0.55000000000000004">
      <c r="W57412"/>
    </row>
    <row r="57413" spans="23:23" x14ac:dyDescent="0.55000000000000004">
      <c r="W57413"/>
    </row>
    <row r="57414" spans="23:23" x14ac:dyDescent="0.55000000000000004">
      <c r="W57414"/>
    </row>
    <row r="57415" spans="23:23" x14ac:dyDescent="0.55000000000000004">
      <c r="W57415"/>
    </row>
    <row r="57416" spans="23:23" x14ac:dyDescent="0.55000000000000004">
      <c r="W57416"/>
    </row>
    <row r="57417" spans="23:23" x14ac:dyDescent="0.55000000000000004">
      <c r="W57417"/>
    </row>
    <row r="57418" spans="23:23" x14ac:dyDescent="0.55000000000000004">
      <c r="W57418"/>
    </row>
    <row r="57419" spans="23:23" x14ac:dyDescent="0.55000000000000004">
      <c r="W57419"/>
    </row>
    <row r="57420" spans="23:23" x14ac:dyDescent="0.55000000000000004">
      <c r="W57420"/>
    </row>
    <row r="57421" spans="23:23" x14ac:dyDescent="0.55000000000000004">
      <c r="W57421"/>
    </row>
    <row r="57422" spans="23:23" x14ac:dyDescent="0.55000000000000004">
      <c r="W57422"/>
    </row>
    <row r="57423" spans="23:23" x14ac:dyDescent="0.55000000000000004">
      <c r="W57423"/>
    </row>
    <row r="57424" spans="23:23" x14ac:dyDescent="0.55000000000000004">
      <c r="W57424"/>
    </row>
    <row r="57425" spans="23:23" x14ac:dyDescent="0.55000000000000004">
      <c r="W57425"/>
    </row>
    <row r="57426" spans="23:23" x14ac:dyDescent="0.55000000000000004">
      <c r="W57426"/>
    </row>
    <row r="57427" spans="23:23" x14ac:dyDescent="0.55000000000000004">
      <c r="W57427"/>
    </row>
    <row r="57428" spans="23:23" x14ac:dyDescent="0.55000000000000004">
      <c r="W57428"/>
    </row>
    <row r="57429" spans="23:23" x14ac:dyDescent="0.55000000000000004">
      <c r="W57429"/>
    </row>
    <row r="57430" spans="23:23" x14ac:dyDescent="0.55000000000000004">
      <c r="W57430"/>
    </row>
    <row r="57431" spans="23:23" x14ac:dyDescent="0.55000000000000004">
      <c r="W57431"/>
    </row>
    <row r="57432" spans="23:23" x14ac:dyDescent="0.55000000000000004">
      <c r="W57432"/>
    </row>
    <row r="57433" spans="23:23" x14ac:dyDescent="0.55000000000000004">
      <c r="W57433"/>
    </row>
    <row r="57434" spans="23:23" x14ac:dyDescent="0.55000000000000004">
      <c r="W57434"/>
    </row>
    <row r="57435" spans="23:23" x14ac:dyDescent="0.55000000000000004">
      <c r="W57435"/>
    </row>
    <row r="57436" spans="23:23" x14ac:dyDescent="0.55000000000000004">
      <c r="W57436"/>
    </row>
    <row r="57437" spans="23:23" x14ac:dyDescent="0.55000000000000004">
      <c r="W57437"/>
    </row>
    <row r="57438" spans="23:23" x14ac:dyDescent="0.55000000000000004">
      <c r="W57438"/>
    </row>
    <row r="57439" spans="23:23" x14ac:dyDescent="0.55000000000000004">
      <c r="W57439"/>
    </row>
    <row r="57440" spans="23:23" x14ac:dyDescent="0.55000000000000004">
      <c r="W57440"/>
    </row>
    <row r="57441" spans="23:23" x14ac:dyDescent="0.55000000000000004">
      <c r="W57441"/>
    </row>
    <row r="57442" spans="23:23" x14ac:dyDescent="0.55000000000000004">
      <c r="W57442"/>
    </row>
    <row r="57443" spans="23:23" x14ac:dyDescent="0.55000000000000004">
      <c r="W57443"/>
    </row>
    <row r="57444" spans="23:23" x14ac:dyDescent="0.55000000000000004">
      <c r="W57444"/>
    </row>
    <row r="57445" spans="23:23" x14ac:dyDescent="0.55000000000000004">
      <c r="W57445"/>
    </row>
    <row r="57446" spans="23:23" x14ac:dyDescent="0.55000000000000004">
      <c r="W57446"/>
    </row>
    <row r="57447" spans="23:23" x14ac:dyDescent="0.55000000000000004">
      <c r="W57447"/>
    </row>
    <row r="57448" spans="23:23" x14ac:dyDescent="0.55000000000000004">
      <c r="W57448"/>
    </row>
    <row r="57449" spans="23:23" x14ac:dyDescent="0.55000000000000004">
      <c r="W57449"/>
    </row>
    <row r="57450" spans="23:23" x14ac:dyDescent="0.55000000000000004">
      <c r="W57450"/>
    </row>
    <row r="57451" spans="23:23" x14ac:dyDescent="0.55000000000000004">
      <c r="W57451"/>
    </row>
    <row r="57452" spans="23:23" x14ac:dyDescent="0.55000000000000004">
      <c r="W57452"/>
    </row>
    <row r="57453" spans="23:23" x14ac:dyDescent="0.55000000000000004">
      <c r="W57453"/>
    </row>
    <row r="57454" spans="23:23" x14ac:dyDescent="0.55000000000000004">
      <c r="W57454"/>
    </row>
    <row r="57455" spans="23:23" x14ac:dyDescent="0.55000000000000004">
      <c r="W57455"/>
    </row>
    <row r="57456" spans="23:23" x14ac:dyDescent="0.55000000000000004">
      <c r="W57456"/>
    </row>
    <row r="57457" spans="23:23" x14ac:dyDescent="0.55000000000000004">
      <c r="W57457"/>
    </row>
    <row r="57458" spans="23:23" x14ac:dyDescent="0.55000000000000004">
      <c r="W57458"/>
    </row>
    <row r="57459" spans="23:23" x14ac:dyDescent="0.55000000000000004">
      <c r="W57459"/>
    </row>
    <row r="57460" spans="23:23" x14ac:dyDescent="0.55000000000000004">
      <c r="W57460"/>
    </row>
    <row r="57461" spans="23:23" x14ac:dyDescent="0.55000000000000004">
      <c r="W57461"/>
    </row>
    <row r="57462" spans="23:23" x14ac:dyDescent="0.55000000000000004">
      <c r="W57462"/>
    </row>
    <row r="57463" spans="23:23" x14ac:dyDescent="0.55000000000000004">
      <c r="W57463"/>
    </row>
    <row r="57464" spans="23:23" x14ac:dyDescent="0.55000000000000004">
      <c r="W57464"/>
    </row>
    <row r="57465" spans="23:23" x14ac:dyDescent="0.55000000000000004">
      <c r="W57465"/>
    </row>
    <row r="57466" spans="23:23" x14ac:dyDescent="0.55000000000000004">
      <c r="W57466"/>
    </row>
    <row r="57467" spans="23:23" x14ac:dyDescent="0.55000000000000004">
      <c r="W57467"/>
    </row>
    <row r="57468" spans="23:23" x14ac:dyDescent="0.55000000000000004">
      <c r="W57468"/>
    </row>
    <row r="57469" spans="23:23" x14ac:dyDescent="0.55000000000000004">
      <c r="W57469"/>
    </row>
    <row r="57470" spans="23:23" x14ac:dyDescent="0.55000000000000004">
      <c r="W57470"/>
    </row>
    <row r="57471" spans="23:23" x14ac:dyDescent="0.55000000000000004">
      <c r="W57471"/>
    </row>
    <row r="57472" spans="23:23" x14ac:dyDescent="0.55000000000000004">
      <c r="W57472"/>
    </row>
    <row r="57473" spans="23:23" x14ac:dyDescent="0.55000000000000004">
      <c r="W57473"/>
    </row>
    <row r="57474" spans="23:23" x14ac:dyDescent="0.55000000000000004">
      <c r="W57474"/>
    </row>
    <row r="57475" spans="23:23" x14ac:dyDescent="0.55000000000000004">
      <c r="W57475"/>
    </row>
    <row r="57476" spans="23:23" x14ac:dyDescent="0.55000000000000004">
      <c r="W57476"/>
    </row>
    <row r="57477" spans="23:23" x14ac:dyDescent="0.55000000000000004">
      <c r="W57477"/>
    </row>
    <row r="57478" spans="23:23" x14ac:dyDescent="0.55000000000000004">
      <c r="W57478"/>
    </row>
    <row r="57479" spans="23:23" x14ac:dyDescent="0.55000000000000004">
      <c r="W57479"/>
    </row>
    <row r="57480" spans="23:23" x14ac:dyDescent="0.55000000000000004">
      <c r="W57480"/>
    </row>
    <row r="57481" spans="23:23" x14ac:dyDescent="0.55000000000000004">
      <c r="W57481"/>
    </row>
    <row r="57482" spans="23:23" x14ac:dyDescent="0.55000000000000004">
      <c r="W57482"/>
    </row>
    <row r="57483" spans="23:23" x14ac:dyDescent="0.55000000000000004">
      <c r="W57483"/>
    </row>
    <row r="57484" spans="23:23" x14ac:dyDescent="0.55000000000000004">
      <c r="W57484"/>
    </row>
    <row r="57485" spans="23:23" x14ac:dyDescent="0.55000000000000004">
      <c r="W57485"/>
    </row>
    <row r="57486" spans="23:23" x14ac:dyDescent="0.55000000000000004">
      <c r="W57486"/>
    </row>
    <row r="57487" spans="23:23" x14ac:dyDescent="0.55000000000000004">
      <c r="W57487"/>
    </row>
    <row r="57488" spans="23:23" x14ac:dyDescent="0.55000000000000004">
      <c r="W57488"/>
    </row>
    <row r="57489" spans="23:23" x14ac:dyDescent="0.55000000000000004">
      <c r="W57489"/>
    </row>
    <row r="57490" spans="23:23" x14ac:dyDescent="0.55000000000000004">
      <c r="W57490"/>
    </row>
    <row r="57491" spans="23:23" x14ac:dyDescent="0.55000000000000004">
      <c r="W57491"/>
    </row>
    <row r="57492" spans="23:23" x14ac:dyDescent="0.55000000000000004">
      <c r="W57492"/>
    </row>
    <row r="57493" spans="23:23" x14ac:dyDescent="0.55000000000000004">
      <c r="W57493"/>
    </row>
    <row r="57494" spans="23:23" x14ac:dyDescent="0.55000000000000004">
      <c r="W57494"/>
    </row>
    <row r="57495" spans="23:23" x14ac:dyDescent="0.55000000000000004">
      <c r="W57495"/>
    </row>
    <row r="57496" spans="23:23" x14ac:dyDescent="0.55000000000000004">
      <c r="W57496"/>
    </row>
    <row r="57497" spans="23:23" x14ac:dyDescent="0.55000000000000004">
      <c r="W57497"/>
    </row>
    <row r="57498" spans="23:23" x14ac:dyDescent="0.55000000000000004">
      <c r="W57498"/>
    </row>
    <row r="57499" spans="23:23" x14ac:dyDescent="0.55000000000000004">
      <c r="W57499"/>
    </row>
    <row r="57500" spans="23:23" x14ac:dyDescent="0.55000000000000004">
      <c r="W57500"/>
    </row>
    <row r="57501" spans="23:23" x14ac:dyDescent="0.55000000000000004">
      <c r="W57501"/>
    </row>
    <row r="57502" spans="23:23" x14ac:dyDescent="0.55000000000000004">
      <c r="W57502"/>
    </row>
    <row r="57503" spans="23:23" x14ac:dyDescent="0.55000000000000004">
      <c r="W57503"/>
    </row>
    <row r="57504" spans="23:23" x14ac:dyDescent="0.55000000000000004">
      <c r="W57504"/>
    </row>
    <row r="57505" spans="23:23" x14ac:dyDescent="0.55000000000000004">
      <c r="W57505"/>
    </row>
    <row r="57506" spans="23:23" x14ac:dyDescent="0.55000000000000004">
      <c r="W57506"/>
    </row>
    <row r="57507" spans="23:23" x14ac:dyDescent="0.55000000000000004">
      <c r="W57507"/>
    </row>
    <row r="57508" spans="23:23" x14ac:dyDescent="0.55000000000000004">
      <c r="W57508"/>
    </row>
    <row r="57509" spans="23:23" x14ac:dyDescent="0.55000000000000004">
      <c r="W57509"/>
    </row>
    <row r="57510" spans="23:23" x14ac:dyDescent="0.55000000000000004">
      <c r="W57510"/>
    </row>
    <row r="57511" spans="23:23" x14ac:dyDescent="0.55000000000000004">
      <c r="W57511"/>
    </row>
    <row r="57512" spans="23:23" x14ac:dyDescent="0.55000000000000004">
      <c r="W57512"/>
    </row>
    <row r="57513" spans="23:23" x14ac:dyDescent="0.55000000000000004">
      <c r="W57513"/>
    </row>
    <row r="57514" spans="23:23" x14ac:dyDescent="0.55000000000000004">
      <c r="W57514"/>
    </row>
    <row r="57515" spans="23:23" x14ac:dyDescent="0.55000000000000004">
      <c r="W57515"/>
    </row>
    <row r="57516" spans="23:23" x14ac:dyDescent="0.55000000000000004">
      <c r="W57516"/>
    </row>
    <row r="57517" spans="23:23" x14ac:dyDescent="0.55000000000000004">
      <c r="W57517"/>
    </row>
    <row r="57518" spans="23:23" x14ac:dyDescent="0.55000000000000004">
      <c r="W57518"/>
    </row>
    <row r="57519" spans="23:23" x14ac:dyDescent="0.55000000000000004">
      <c r="W57519"/>
    </row>
    <row r="57520" spans="23:23" x14ac:dyDescent="0.55000000000000004">
      <c r="W57520"/>
    </row>
    <row r="57521" spans="23:23" x14ac:dyDescent="0.55000000000000004">
      <c r="W57521"/>
    </row>
    <row r="57522" spans="23:23" x14ac:dyDescent="0.55000000000000004">
      <c r="W57522"/>
    </row>
    <row r="57523" spans="23:23" x14ac:dyDescent="0.55000000000000004">
      <c r="W57523"/>
    </row>
    <row r="57524" spans="23:23" x14ac:dyDescent="0.55000000000000004">
      <c r="W57524"/>
    </row>
    <row r="57525" spans="23:23" x14ac:dyDescent="0.55000000000000004">
      <c r="W57525"/>
    </row>
    <row r="57526" spans="23:23" x14ac:dyDescent="0.55000000000000004">
      <c r="W57526"/>
    </row>
    <row r="57527" spans="23:23" x14ac:dyDescent="0.55000000000000004">
      <c r="W57527"/>
    </row>
    <row r="57528" spans="23:23" x14ac:dyDescent="0.55000000000000004">
      <c r="W57528"/>
    </row>
    <row r="57529" spans="23:23" x14ac:dyDescent="0.55000000000000004">
      <c r="W57529"/>
    </row>
    <row r="57530" spans="23:23" x14ac:dyDescent="0.55000000000000004">
      <c r="W57530"/>
    </row>
    <row r="57531" spans="23:23" x14ac:dyDescent="0.55000000000000004">
      <c r="W57531"/>
    </row>
    <row r="57532" spans="23:23" x14ac:dyDescent="0.55000000000000004">
      <c r="W57532"/>
    </row>
    <row r="57533" spans="23:23" x14ac:dyDescent="0.55000000000000004">
      <c r="W57533"/>
    </row>
    <row r="57534" spans="23:23" x14ac:dyDescent="0.55000000000000004">
      <c r="W57534"/>
    </row>
    <row r="57535" spans="23:23" x14ac:dyDescent="0.55000000000000004">
      <c r="W57535"/>
    </row>
    <row r="57536" spans="23:23" x14ac:dyDescent="0.55000000000000004">
      <c r="W57536"/>
    </row>
    <row r="57537" spans="23:23" x14ac:dyDescent="0.55000000000000004">
      <c r="W57537"/>
    </row>
    <row r="57538" spans="23:23" x14ac:dyDescent="0.55000000000000004">
      <c r="W57538"/>
    </row>
    <row r="57539" spans="23:23" x14ac:dyDescent="0.55000000000000004">
      <c r="W57539"/>
    </row>
    <row r="57540" spans="23:23" x14ac:dyDescent="0.55000000000000004">
      <c r="W57540"/>
    </row>
    <row r="57541" spans="23:23" x14ac:dyDescent="0.55000000000000004">
      <c r="W57541"/>
    </row>
    <row r="57542" spans="23:23" x14ac:dyDescent="0.55000000000000004">
      <c r="W57542"/>
    </row>
    <row r="57543" spans="23:23" x14ac:dyDescent="0.55000000000000004">
      <c r="W57543"/>
    </row>
    <row r="57544" spans="23:23" x14ac:dyDescent="0.55000000000000004">
      <c r="W57544"/>
    </row>
    <row r="57545" spans="23:23" x14ac:dyDescent="0.55000000000000004">
      <c r="W57545"/>
    </row>
    <row r="57546" spans="23:23" x14ac:dyDescent="0.55000000000000004">
      <c r="W57546"/>
    </row>
    <row r="57547" spans="23:23" x14ac:dyDescent="0.55000000000000004">
      <c r="W57547"/>
    </row>
    <row r="57548" spans="23:23" x14ac:dyDescent="0.55000000000000004">
      <c r="W57548"/>
    </row>
    <row r="57549" spans="23:23" x14ac:dyDescent="0.55000000000000004">
      <c r="W57549"/>
    </row>
    <row r="57550" spans="23:23" x14ac:dyDescent="0.55000000000000004">
      <c r="W57550"/>
    </row>
    <row r="57551" spans="23:23" x14ac:dyDescent="0.55000000000000004">
      <c r="W57551"/>
    </row>
    <row r="57552" spans="23:23" x14ac:dyDescent="0.55000000000000004">
      <c r="W57552"/>
    </row>
    <row r="57553" spans="23:23" x14ac:dyDescent="0.55000000000000004">
      <c r="W57553"/>
    </row>
    <row r="57554" spans="23:23" x14ac:dyDescent="0.55000000000000004">
      <c r="W57554"/>
    </row>
    <row r="57555" spans="23:23" x14ac:dyDescent="0.55000000000000004">
      <c r="W57555"/>
    </row>
    <row r="57556" spans="23:23" x14ac:dyDescent="0.55000000000000004">
      <c r="W57556"/>
    </row>
    <row r="57557" spans="23:23" x14ac:dyDescent="0.55000000000000004">
      <c r="W57557"/>
    </row>
    <row r="57558" spans="23:23" x14ac:dyDescent="0.55000000000000004">
      <c r="W57558"/>
    </row>
    <row r="57559" spans="23:23" x14ac:dyDescent="0.55000000000000004">
      <c r="W57559"/>
    </row>
    <row r="57560" spans="23:23" x14ac:dyDescent="0.55000000000000004">
      <c r="W57560"/>
    </row>
    <row r="57561" spans="23:23" x14ac:dyDescent="0.55000000000000004">
      <c r="W57561"/>
    </row>
    <row r="57562" spans="23:23" x14ac:dyDescent="0.55000000000000004">
      <c r="W57562"/>
    </row>
    <row r="57563" spans="23:23" x14ac:dyDescent="0.55000000000000004">
      <c r="W57563"/>
    </row>
    <row r="57564" spans="23:23" x14ac:dyDescent="0.55000000000000004">
      <c r="W57564"/>
    </row>
    <row r="57565" spans="23:23" x14ac:dyDescent="0.55000000000000004">
      <c r="W57565"/>
    </row>
    <row r="57566" spans="23:23" x14ac:dyDescent="0.55000000000000004">
      <c r="W57566"/>
    </row>
    <row r="57567" spans="23:23" x14ac:dyDescent="0.55000000000000004">
      <c r="W57567"/>
    </row>
    <row r="57568" spans="23:23" x14ac:dyDescent="0.55000000000000004">
      <c r="W57568"/>
    </row>
    <row r="57569" spans="23:23" x14ac:dyDescent="0.55000000000000004">
      <c r="W57569"/>
    </row>
    <row r="57570" spans="23:23" x14ac:dyDescent="0.55000000000000004">
      <c r="W57570"/>
    </row>
    <row r="57571" spans="23:23" x14ac:dyDescent="0.55000000000000004">
      <c r="W57571"/>
    </row>
    <row r="57572" spans="23:23" x14ac:dyDescent="0.55000000000000004">
      <c r="W57572"/>
    </row>
    <row r="57573" spans="23:23" x14ac:dyDescent="0.55000000000000004">
      <c r="W57573"/>
    </row>
    <row r="57574" spans="23:23" x14ac:dyDescent="0.55000000000000004">
      <c r="W57574"/>
    </row>
    <row r="57575" spans="23:23" x14ac:dyDescent="0.55000000000000004">
      <c r="W57575"/>
    </row>
    <row r="57576" spans="23:23" x14ac:dyDescent="0.55000000000000004">
      <c r="W57576"/>
    </row>
    <row r="57577" spans="23:23" x14ac:dyDescent="0.55000000000000004">
      <c r="W57577"/>
    </row>
    <row r="57578" spans="23:23" x14ac:dyDescent="0.55000000000000004">
      <c r="W57578"/>
    </row>
    <row r="57579" spans="23:23" x14ac:dyDescent="0.55000000000000004">
      <c r="W57579"/>
    </row>
    <row r="57580" spans="23:23" x14ac:dyDescent="0.55000000000000004">
      <c r="W57580"/>
    </row>
    <row r="57581" spans="23:23" x14ac:dyDescent="0.55000000000000004">
      <c r="W57581"/>
    </row>
    <row r="57582" spans="23:23" x14ac:dyDescent="0.55000000000000004">
      <c r="W57582"/>
    </row>
    <row r="57583" spans="23:23" x14ac:dyDescent="0.55000000000000004">
      <c r="W57583"/>
    </row>
    <row r="57584" spans="23:23" x14ac:dyDescent="0.55000000000000004">
      <c r="W57584"/>
    </row>
    <row r="57585" spans="23:23" x14ac:dyDescent="0.55000000000000004">
      <c r="W57585"/>
    </row>
    <row r="57586" spans="23:23" x14ac:dyDescent="0.55000000000000004">
      <c r="W57586"/>
    </row>
    <row r="57587" spans="23:23" x14ac:dyDescent="0.55000000000000004">
      <c r="W57587"/>
    </row>
    <row r="57588" spans="23:23" x14ac:dyDescent="0.55000000000000004">
      <c r="W57588"/>
    </row>
    <row r="57589" spans="23:23" x14ac:dyDescent="0.55000000000000004">
      <c r="W57589"/>
    </row>
    <row r="57590" spans="23:23" x14ac:dyDescent="0.55000000000000004">
      <c r="W57590"/>
    </row>
    <row r="57591" spans="23:23" x14ac:dyDescent="0.55000000000000004">
      <c r="W57591"/>
    </row>
    <row r="57592" spans="23:23" x14ac:dyDescent="0.55000000000000004">
      <c r="W57592"/>
    </row>
    <row r="57593" spans="23:23" x14ac:dyDescent="0.55000000000000004">
      <c r="W57593"/>
    </row>
    <row r="57594" spans="23:23" x14ac:dyDescent="0.55000000000000004">
      <c r="W57594"/>
    </row>
    <row r="57595" spans="23:23" x14ac:dyDescent="0.55000000000000004">
      <c r="W57595"/>
    </row>
    <row r="57596" spans="23:23" x14ac:dyDescent="0.55000000000000004">
      <c r="W57596"/>
    </row>
    <row r="57597" spans="23:23" x14ac:dyDescent="0.55000000000000004">
      <c r="W57597"/>
    </row>
    <row r="57598" spans="23:23" x14ac:dyDescent="0.55000000000000004">
      <c r="W57598"/>
    </row>
    <row r="57599" spans="23:23" x14ac:dyDescent="0.55000000000000004">
      <c r="W57599"/>
    </row>
    <row r="57600" spans="23:23" x14ac:dyDescent="0.55000000000000004">
      <c r="W57600"/>
    </row>
    <row r="57601" spans="23:23" x14ac:dyDescent="0.55000000000000004">
      <c r="W57601"/>
    </row>
    <row r="57602" spans="23:23" x14ac:dyDescent="0.55000000000000004">
      <c r="W57602"/>
    </row>
    <row r="57603" spans="23:23" x14ac:dyDescent="0.55000000000000004">
      <c r="W57603"/>
    </row>
    <row r="57604" spans="23:23" x14ac:dyDescent="0.55000000000000004">
      <c r="W57604"/>
    </row>
    <row r="57605" spans="23:23" x14ac:dyDescent="0.55000000000000004">
      <c r="W57605"/>
    </row>
    <row r="57606" spans="23:23" x14ac:dyDescent="0.55000000000000004">
      <c r="W57606"/>
    </row>
    <row r="57607" spans="23:23" x14ac:dyDescent="0.55000000000000004">
      <c r="W57607"/>
    </row>
    <row r="57608" spans="23:23" x14ac:dyDescent="0.55000000000000004">
      <c r="W57608"/>
    </row>
    <row r="57609" spans="23:23" x14ac:dyDescent="0.55000000000000004">
      <c r="W57609"/>
    </row>
    <row r="57610" spans="23:23" x14ac:dyDescent="0.55000000000000004">
      <c r="W57610"/>
    </row>
    <row r="57611" spans="23:23" x14ac:dyDescent="0.55000000000000004">
      <c r="W57611"/>
    </row>
    <row r="57612" spans="23:23" x14ac:dyDescent="0.55000000000000004">
      <c r="W57612"/>
    </row>
    <row r="57613" spans="23:23" x14ac:dyDescent="0.55000000000000004">
      <c r="W57613"/>
    </row>
    <row r="57614" spans="23:23" x14ac:dyDescent="0.55000000000000004">
      <c r="W57614"/>
    </row>
    <row r="57615" spans="23:23" x14ac:dyDescent="0.55000000000000004">
      <c r="W57615"/>
    </row>
    <row r="57616" spans="23:23" x14ac:dyDescent="0.55000000000000004">
      <c r="W57616"/>
    </row>
    <row r="57617" spans="23:23" x14ac:dyDescent="0.55000000000000004">
      <c r="W57617"/>
    </row>
    <row r="57618" spans="23:23" x14ac:dyDescent="0.55000000000000004">
      <c r="W57618"/>
    </row>
    <row r="57619" spans="23:23" x14ac:dyDescent="0.55000000000000004">
      <c r="W57619"/>
    </row>
    <row r="57620" spans="23:23" x14ac:dyDescent="0.55000000000000004">
      <c r="W57620"/>
    </row>
    <row r="57621" spans="23:23" x14ac:dyDescent="0.55000000000000004">
      <c r="W57621"/>
    </row>
    <row r="57622" spans="23:23" x14ac:dyDescent="0.55000000000000004">
      <c r="W57622"/>
    </row>
    <row r="57623" spans="23:23" x14ac:dyDescent="0.55000000000000004">
      <c r="W57623"/>
    </row>
    <row r="57624" spans="23:23" x14ac:dyDescent="0.55000000000000004">
      <c r="W57624"/>
    </row>
    <row r="57625" spans="23:23" x14ac:dyDescent="0.55000000000000004">
      <c r="W57625"/>
    </row>
    <row r="57626" spans="23:23" x14ac:dyDescent="0.55000000000000004">
      <c r="W57626"/>
    </row>
    <row r="57627" spans="23:23" x14ac:dyDescent="0.55000000000000004">
      <c r="W57627"/>
    </row>
    <row r="57628" spans="23:23" x14ac:dyDescent="0.55000000000000004">
      <c r="W57628"/>
    </row>
    <row r="57629" spans="23:23" x14ac:dyDescent="0.55000000000000004">
      <c r="W57629"/>
    </row>
    <row r="57630" spans="23:23" x14ac:dyDescent="0.55000000000000004">
      <c r="W57630"/>
    </row>
    <row r="57631" spans="23:23" x14ac:dyDescent="0.55000000000000004">
      <c r="W57631"/>
    </row>
    <row r="57632" spans="23:23" x14ac:dyDescent="0.55000000000000004">
      <c r="W57632"/>
    </row>
    <row r="57633" spans="23:23" x14ac:dyDescent="0.55000000000000004">
      <c r="W57633"/>
    </row>
    <row r="57634" spans="23:23" x14ac:dyDescent="0.55000000000000004">
      <c r="W57634"/>
    </row>
    <row r="57635" spans="23:23" x14ac:dyDescent="0.55000000000000004">
      <c r="W57635"/>
    </row>
    <row r="57636" spans="23:23" x14ac:dyDescent="0.55000000000000004">
      <c r="W57636"/>
    </row>
    <row r="57637" spans="23:23" x14ac:dyDescent="0.55000000000000004">
      <c r="W57637"/>
    </row>
    <row r="57638" spans="23:23" x14ac:dyDescent="0.55000000000000004">
      <c r="W57638"/>
    </row>
    <row r="57639" spans="23:23" x14ac:dyDescent="0.55000000000000004">
      <c r="W57639"/>
    </row>
    <row r="57640" spans="23:23" x14ac:dyDescent="0.55000000000000004">
      <c r="W57640"/>
    </row>
    <row r="57641" spans="23:23" x14ac:dyDescent="0.55000000000000004">
      <c r="W57641"/>
    </row>
    <row r="57642" spans="23:23" x14ac:dyDescent="0.55000000000000004">
      <c r="W57642"/>
    </row>
    <row r="57643" spans="23:23" x14ac:dyDescent="0.55000000000000004">
      <c r="W57643"/>
    </row>
    <row r="57644" spans="23:23" x14ac:dyDescent="0.55000000000000004">
      <c r="W57644"/>
    </row>
    <row r="57645" spans="23:23" x14ac:dyDescent="0.55000000000000004">
      <c r="W57645"/>
    </row>
    <row r="57646" spans="23:23" x14ac:dyDescent="0.55000000000000004">
      <c r="W57646"/>
    </row>
    <row r="57647" spans="23:23" x14ac:dyDescent="0.55000000000000004">
      <c r="W57647"/>
    </row>
    <row r="57648" spans="23:23" x14ac:dyDescent="0.55000000000000004">
      <c r="W57648"/>
    </row>
    <row r="57649" spans="23:23" x14ac:dyDescent="0.55000000000000004">
      <c r="W57649"/>
    </row>
    <row r="57650" spans="23:23" x14ac:dyDescent="0.55000000000000004">
      <c r="W57650"/>
    </row>
    <row r="57651" spans="23:23" x14ac:dyDescent="0.55000000000000004">
      <c r="W57651"/>
    </row>
    <row r="57652" spans="23:23" x14ac:dyDescent="0.55000000000000004">
      <c r="W57652"/>
    </row>
    <row r="57653" spans="23:23" x14ac:dyDescent="0.55000000000000004">
      <c r="W57653"/>
    </row>
    <row r="57654" spans="23:23" x14ac:dyDescent="0.55000000000000004">
      <c r="W57654"/>
    </row>
    <row r="57655" spans="23:23" x14ac:dyDescent="0.55000000000000004">
      <c r="W57655"/>
    </row>
    <row r="57656" spans="23:23" x14ac:dyDescent="0.55000000000000004">
      <c r="W57656"/>
    </row>
    <row r="57657" spans="23:23" x14ac:dyDescent="0.55000000000000004">
      <c r="W57657"/>
    </row>
    <row r="57658" spans="23:23" x14ac:dyDescent="0.55000000000000004">
      <c r="W57658"/>
    </row>
    <row r="57659" spans="23:23" x14ac:dyDescent="0.55000000000000004">
      <c r="W57659"/>
    </row>
    <row r="57660" spans="23:23" x14ac:dyDescent="0.55000000000000004">
      <c r="W57660"/>
    </row>
    <row r="57661" spans="23:23" x14ac:dyDescent="0.55000000000000004">
      <c r="W57661"/>
    </row>
    <row r="57662" spans="23:23" x14ac:dyDescent="0.55000000000000004">
      <c r="W57662"/>
    </row>
    <row r="57663" spans="23:23" x14ac:dyDescent="0.55000000000000004">
      <c r="W57663"/>
    </row>
    <row r="57664" spans="23:23" x14ac:dyDescent="0.55000000000000004">
      <c r="W57664"/>
    </row>
    <row r="57665" spans="23:23" x14ac:dyDescent="0.55000000000000004">
      <c r="W57665"/>
    </row>
    <row r="57666" spans="23:23" x14ac:dyDescent="0.55000000000000004">
      <c r="W57666"/>
    </row>
    <row r="57667" spans="23:23" x14ac:dyDescent="0.55000000000000004">
      <c r="W57667"/>
    </row>
    <row r="57668" spans="23:23" x14ac:dyDescent="0.55000000000000004">
      <c r="W57668"/>
    </row>
    <row r="57669" spans="23:23" x14ac:dyDescent="0.55000000000000004">
      <c r="W57669"/>
    </row>
    <row r="57670" spans="23:23" x14ac:dyDescent="0.55000000000000004">
      <c r="W57670"/>
    </row>
    <row r="57671" spans="23:23" x14ac:dyDescent="0.55000000000000004">
      <c r="W57671"/>
    </row>
    <row r="57672" spans="23:23" x14ac:dyDescent="0.55000000000000004">
      <c r="W57672"/>
    </row>
    <row r="57673" spans="23:23" x14ac:dyDescent="0.55000000000000004">
      <c r="W57673"/>
    </row>
    <row r="57674" spans="23:23" x14ac:dyDescent="0.55000000000000004">
      <c r="W57674"/>
    </row>
    <row r="57675" spans="23:23" x14ac:dyDescent="0.55000000000000004">
      <c r="W57675"/>
    </row>
    <row r="57676" spans="23:23" x14ac:dyDescent="0.55000000000000004">
      <c r="W57676"/>
    </row>
    <row r="57677" spans="23:23" x14ac:dyDescent="0.55000000000000004">
      <c r="W57677"/>
    </row>
    <row r="57678" spans="23:23" x14ac:dyDescent="0.55000000000000004">
      <c r="W57678"/>
    </row>
    <row r="57679" spans="23:23" x14ac:dyDescent="0.55000000000000004">
      <c r="W57679"/>
    </row>
    <row r="57680" spans="23:23" x14ac:dyDescent="0.55000000000000004">
      <c r="W57680"/>
    </row>
    <row r="57681" spans="23:23" x14ac:dyDescent="0.55000000000000004">
      <c r="W57681"/>
    </row>
    <row r="57682" spans="23:23" x14ac:dyDescent="0.55000000000000004">
      <c r="W57682"/>
    </row>
    <row r="57683" spans="23:23" x14ac:dyDescent="0.55000000000000004">
      <c r="W57683"/>
    </row>
    <row r="57684" spans="23:23" x14ac:dyDescent="0.55000000000000004">
      <c r="W57684"/>
    </row>
    <row r="57685" spans="23:23" x14ac:dyDescent="0.55000000000000004">
      <c r="W57685"/>
    </row>
    <row r="57686" spans="23:23" x14ac:dyDescent="0.55000000000000004">
      <c r="W57686"/>
    </row>
    <row r="57687" spans="23:23" x14ac:dyDescent="0.55000000000000004">
      <c r="W57687"/>
    </row>
    <row r="57688" spans="23:23" x14ac:dyDescent="0.55000000000000004">
      <c r="W57688"/>
    </row>
    <row r="57689" spans="23:23" x14ac:dyDescent="0.55000000000000004">
      <c r="W57689"/>
    </row>
    <row r="57690" spans="23:23" x14ac:dyDescent="0.55000000000000004">
      <c r="W57690"/>
    </row>
    <row r="57691" spans="23:23" x14ac:dyDescent="0.55000000000000004">
      <c r="W57691"/>
    </row>
    <row r="57692" spans="23:23" x14ac:dyDescent="0.55000000000000004">
      <c r="W57692"/>
    </row>
    <row r="57693" spans="23:23" x14ac:dyDescent="0.55000000000000004">
      <c r="W57693"/>
    </row>
    <row r="57694" spans="23:23" x14ac:dyDescent="0.55000000000000004">
      <c r="W57694"/>
    </row>
    <row r="57695" spans="23:23" x14ac:dyDescent="0.55000000000000004">
      <c r="W57695"/>
    </row>
    <row r="57696" spans="23:23" x14ac:dyDescent="0.55000000000000004">
      <c r="W57696"/>
    </row>
    <row r="57697" spans="23:23" x14ac:dyDescent="0.55000000000000004">
      <c r="W57697"/>
    </row>
    <row r="57698" spans="23:23" x14ac:dyDescent="0.55000000000000004">
      <c r="W57698"/>
    </row>
    <row r="57699" spans="23:23" x14ac:dyDescent="0.55000000000000004">
      <c r="W57699"/>
    </row>
    <row r="57700" spans="23:23" x14ac:dyDescent="0.55000000000000004">
      <c r="W57700"/>
    </row>
    <row r="57701" spans="23:23" x14ac:dyDescent="0.55000000000000004">
      <c r="W57701"/>
    </row>
    <row r="57702" spans="23:23" x14ac:dyDescent="0.55000000000000004">
      <c r="W57702"/>
    </row>
    <row r="57703" spans="23:23" x14ac:dyDescent="0.55000000000000004">
      <c r="W57703"/>
    </row>
    <row r="57704" spans="23:23" x14ac:dyDescent="0.55000000000000004">
      <c r="W57704"/>
    </row>
    <row r="57705" spans="23:23" x14ac:dyDescent="0.55000000000000004">
      <c r="W57705"/>
    </row>
    <row r="57706" spans="23:23" x14ac:dyDescent="0.55000000000000004">
      <c r="W57706"/>
    </row>
    <row r="57707" spans="23:23" x14ac:dyDescent="0.55000000000000004">
      <c r="W57707"/>
    </row>
    <row r="57708" spans="23:23" x14ac:dyDescent="0.55000000000000004">
      <c r="W57708"/>
    </row>
    <row r="57709" spans="23:23" x14ac:dyDescent="0.55000000000000004">
      <c r="W57709"/>
    </row>
    <row r="57710" spans="23:23" x14ac:dyDescent="0.55000000000000004">
      <c r="W57710"/>
    </row>
    <row r="57711" spans="23:23" x14ac:dyDescent="0.55000000000000004">
      <c r="W57711"/>
    </row>
    <row r="57712" spans="23:23" x14ac:dyDescent="0.55000000000000004">
      <c r="W57712"/>
    </row>
    <row r="57713" spans="23:23" x14ac:dyDescent="0.55000000000000004">
      <c r="W57713"/>
    </row>
    <row r="57714" spans="23:23" x14ac:dyDescent="0.55000000000000004">
      <c r="W57714"/>
    </row>
    <row r="57715" spans="23:23" x14ac:dyDescent="0.55000000000000004">
      <c r="W57715"/>
    </row>
    <row r="57716" spans="23:23" x14ac:dyDescent="0.55000000000000004">
      <c r="W57716"/>
    </row>
    <row r="57717" spans="23:23" x14ac:dyDescent="0.55000000000000004">
      <c r="W57717"/>
    </row>
    <row r="57718" spans="23:23" x14ac:dyDescent="0.55000000000000004">
      <c r="W57718"/>
    </row>
    <row r="57719" spans="23:23" x14ac:dyDescent="0.55000000000000004">
      <c r="W57719"/>
    </row>
    <row r="57720" spans="23:23" x14ac:dyDescent="0.55000000000000004">
      <c r="W57720"/>
    </row>
    <row r="57721" spans="23:23" x14ac:dyDescent="0.55000000000000004">
      <c r="W57721"/>
    </row>
    <row r="57722" spans="23:23" x14ac:dyDescent="0.55000000000000004">
      <c r="W57722"/>
    </row>
    <row r="57723" spans="23:23" x14ac:dyDescent="0.55000000000000004">
      <c r="W57723"/>
    </row>
    <row r="57724" spans="23:23" x14ac:dyDescent="0.55000000000000004">
      <c r="W57724"/>
    </row>
    <row r="57725" spans="23:23" x14ac:dyDescent="0.55000000000000004">
      <c r="W57725"/>
    </row>
    <row r="57726" spans="23:23" x14ac:dyDescent="0.55000000000000004">
      <c r="W57726"/>
    </row>
    <row r="57727" spans="23:23" x14ac:dyDescent="0.55000000000000004">
      <c r="W57727"/>
    </row>
    <row r="57728" spans="23:23" x14ac:dyDescent="0.55000000000000004">
      <c r="W57728"/>
    </row>
    <row r="57729" spans="23:23" x14ac:dyDescent="0.55000000000000004">
      <c r="W57729"/>
    </row>
    <row r="57730" spans="23:23" x14ac:dyDescent="0.55000000000000004">
      <c r="W57730"/>
    </row>
    <row r="57731" spans="23:23" x14ac:dyDescent="0.55000000000000004">
      <c r="W57731"/>
    </row>
    <row r="57732" spans="23:23" x14ac:dyDescent="0.55000000000000004">
      <c r="W57732"/>
    </row>
    <row r="57733" spans="23:23" x14ac:dyDescent="0.55000000000000004">
      <c r="W57733"/>
    </row>
    <row r="57734" spans="23:23" x14ac:dyDescent="0.55000000000000004">
      <c r="W57734"/>
    </row>
    <row r="57735" spans="23:23" x14ac:dyDescent="0.55000000000000004">
      <c r="W57735"/>
    </row>
    <row r="57736" spans="23:23" x14ac:dyDescent="0.55000000000000004">
      <c r="W57736"/>
    </row>
    <row r="57737" spans="23:23" x14ac:dyDescent="0.55000000000000004">
      <c r="W57737"/>
    </row>
    <row r="57738" spans="23:23" x14ac:dyDescent="0.55000000000000004">
      <c r="W57738"/>
    </row>
    <row r="57739" spans="23:23" x14ac:dyDescent="0.55000000000000004">
      <c r="W57739"/>
    </row>
    <row r="57740" spans="23:23" x14ac:dyDescent="0.55000000000000004">
      <c r="W57740"/>
    </row>
    <row r="57741" spans="23:23" x14ac:dyDescent="0.55000000000000004">
      <c r="W57741"/>
    </row>
    <row r="57742" spans="23:23" x14ac:dyDescent="0.55000000000000004">
      <c r="W57742"/>
    </row>
    <row r="57743" spans="23:23" x14ac:dyDescent="0.55000000000000004">
      <c r="W57743"/>
    </row>
    <row r="57744" spans="23:23" x14ac:dyDescent="0.55000000000000004">
      <c r="W57744"/>
    </row>
    <row r="57745" spans="23:23" x14ac:dyDescent="0.55000000000000004">
      <c r="W57745"/>
    </row>
    <row r="57746" spans="23:23" x14ac:dyDescent="0.55000000000000004">
      <c r="W57746"/>
    </row>
    <row r="57747" spans="23:23" x14ac:dyDescent="0.55000000000000004">
      <c r="W57747"/>
    </row>
    <row r="57748" spans="23:23" x14ac:dyDescent="0.55000000000000004">
      <c r="W57748"/>
    </row>
    <row r="57749" spans="23:23" x14ac:dyDescent="0.55000000000000004">
      <c r="W57749"/>
    </row>
    <row r="57750" spans="23:23" x14ac:dyDescent="0.55000000000000004">
      <c r="W57750"/>
    </row>
    <row r="57751" spans="23:23" x14ac:dyDescent="0.55000000000000004">
      <c r="W57751"/>
    </row>
    <row r="57752" spans="23:23" x14ac:dyDescent="0.55000000000000004">
      <c r="W57752"/>
    </row>
    <row r="57753" spans="23:23" x14ac:dyDescent="0.55000000000000004">
      <c r="W57753"/>
    </row>
    <row r="57754" spans="23:23" x14ac:dyDescent="0.55000000000000004">
      <c r="W57754"/>
    </row>
    <row r="57755" spans="23:23" x14ac:dyDescent="0.55000000000000004">
      <c r="W57755"/>
    </row>
    <row r="57756" spans="23:23" x14ac:dyDescent="0.55000000000000004">
      <c r="W57756"/>
    </row>
    <row r="57757" spans="23:23" x14ac:dyDescent="0.55000000000000004">
      <c r="W57757"/>
    </row>
    <row r="57758" spans="23:23" x14ac:dyDescent="0.55000000000000004">
      <c r="W57758"/>
    </row>
    <row r="57759" spans="23:23" x14ac:dyDescent="0.55000000000000004">
      <c r="W57759"/>
    </row>
    <row r="57760" spans="23:23" x14ac:dyDescent="0.55000000000000004">
      <c r="W57760"/>
    </row>
    <row r="57761" spans="23:23" x14ac:dyDescent="0.55000000000000004">
      <c r="W57761"/>
    </row>
    <row r="57762" spans="23:23" x14ac:dyDescent="0.55000000000000004">
      <c r="W57762"/>
    </row>
    <row r="57763" spans="23:23" x14ac:dyDescent="0.55000000000000004">
      <c r="W57763"/>
    </row>
    <row r="57764" spans="23:23" x14ac:dyDescent="0.55000000000000004">
      <c r="W57764"/>
    </row>
    <row r="57765" spans="23:23" x14ac:dyDescent="0.55000000000000004">
      <c r="W57765"/>
    </row>
    <row r="57766" spans="23:23" x14ac:dyDescent="0.55000000000000004">
      <c r="W57766"/>
    </row>
    <row r="57767" spans="23:23" x14ac:dyDescent="0.55000000000000004">
      <c r="W57767"/>
    </row>
    <row r="57768" spans="23:23" x14ac:dyDescent="0.55000000000000004">
      <c r="W57768"/>
    </row>
    <row r="57769" spans="23:23" x14ac:dyDescent="0.55000000000000004">
      <c r="W57769"/>
    </row>
    <row r="57770" spans="23:23" x14ac:dyDescent="0.55000000000000004">
      <c r="W57770"/>
    </row>
    <row r="57771" spans="23:23" x14ac:dyDescent="0.55000000000000004">
      <c r="W57771"/>
    </row>
    <row r="57772" spans="23:23" x14ac:dyDescent="0.55000000000000004">
      <c r="W57772"/>
    </row>
    <row r="57773" spans="23:23" x14ac:dyDescent="0.55000000000000004">
      <c r="W57773"/>
    </row>
    <row r="57774" spans="23:23" x14ac:dyDescent="0.55000000000000004">
      <c r="W57774"/>
    </row>
    <row r="57775" spans="23:23" x14ac:dyDescent="0.55000000000000004">
      <c r="W57775"/>
    </row>
    <row r="57776" spans="23:23" x14ac:dyDescent="0.55000000000000004">
      <c r="W57776"/>
    </row>
    <row r="57777" spans="23:23" x14ac:dyDescent="0.55000000000000004">
      <c r="W57777"/>
    </row>
    <row r="57778" spans="23:23" x14ac:dyDescent="0.55000000000000004">
      <c r="W57778"/>
    </row>
    <row r="57779" spans="23:23" x14ac:dyDescent="0.55000000000000004">
      <c r="W57779"/>
    </row>
    <row r="57780" spans="23:23" x14ac:dyDescent="0.55000000000000004">
      <c r="W57780"/>
    </row>
    <row r="57781" spans="23:23" x14ac:dyDescent="0.55000000000000004">
      <c r="W57781"/>
    </row>
    <row r="57782" spans="23:23" x14ac:dyDescent="0.55000000000000004">
      <c r="W57782"/>
    </row>
    <row r="57783" spans="23:23" x14ac:dyDescent="0.55000000000000004">
      <c r="W57783"/>
    </row>
    <row r="57784" spans="23:23" x14ac:dyDescent="0.55000000000000004">
      <c r="W57784"/>
    </row>
    <row r="57785" spans="23:23" x14ac:dyDescent="0.55000000000000004">
      <c r="W57785"/>
    </row>
    <row r="57786" spans="23:23" x14ac:dyDescent="0.55000000000000004">
      <c r="W57786"/>
    </row>
    <row r="57787" spans="23:23" x14ac:dyDescent="0.55000000000000004">
      <c r="W57787"/>
    </row>
    <row r="57788" spans="23:23" x14ac:dyDescent="0.55000000000000004">
      <c r="W57788"/>
    </row>
    <row r="57789" spans="23:23" x14ac:dyDescent="0.55000000000000004">
      <c r="W57789"/>
    </row>
    <row r="57790" spans="23:23" x14ac:dyDescent="0.55000000000000004">
      <c r="W57790"/>
    </row>
    <row r="57791" spans="23:23" x14ac:dyDescent="0.55000000000000004">
      <c r="W57791"/>
    </row>
    <row r="57792" spans="23:23" x14ac:dyDescent="0.55000000000000004">
      <c r="W57792"/>
    </row>
    <row r="57793" spans="23:23" x14ac:dyDescent="0.55000000000000004">
      <c r="W57793"/>
    </row>
    <row r="57794" spans="23:23" x14ac:dyDescent="0.55000000000000004">
      <c r="W57794"/>
    </row>
    <row r="57795" spans="23:23" x14ac:dyDescent="0.55000000000000004">
      <c r="W57795"/>
    </row>
    <row r="57796" spans="23:23" x14ac:dyDescent="0.55000000000000004">
      <c r="W57796"/>
    </row>
    <row r="57797" spans="23:23" x14ac:dyDescent="0.55000000000000004">
      <c r="W57797"/>
    </row>
    <row r="57798" spans="23:23" x14ac:dyDescent="0.55000000000000004">
      <c r="W57798"/>
    </row>
    <row r="57799" spans="23:23" x14ac:dyDescent="0.55000000000000004">
      <c r="W57799"/>
    </row>
    <row r="57800" spans="23:23" x14ac:dyDescent="0.55000000000000004">
      <c r="W57800"/>
    </row>
    <row r="57801" spans="23:23" x14ac:dyDescent="0.55000000000000004">
      <c r="W57801"/>
    </row>
    <row r="57802" spans="23:23" x14ac:dyDescent="0.55000000000000004">
      <c r="W57802"/>
    </row>
    <row r="57803" spans="23:23" x14ac:dyDescent="0.55000000000000004">
      <c r="W57803"/>
    </row>
    <row r="57804" spans="23:23" x14ac:dyDescent="0.55000000000000004">
      <c r="W57804"/>
    </row>
    <row r="57805" spans="23:23" x14ac:dyDescent="0.55000000000000004">
      <c r="W57805"/>
    </row>
    <row r="57806" spans="23:23" x14ac:dyDescent="0.55000000000000004">
      <c r="W57806"/>
    </row>
    <row r="57807" spans="23:23" x14ac:dyDescent="0.55000000000000004">
      <c r="W57807"/>
    </row>
    <row r="57808" spans="23:23" x14ac:dyDescent="0.55000000000000004">
      <c r="W57808"/>
    </row>
    <row r="57809" spans="23:23" x14ac:dyDescent="0.55000000000000004">
      <c r="W57809"/>
    </row>
    <row r="57810" spans="23:23" x14ac:dyDescent="0.55000000000000004">
      <c r="W57810"/>
    </row>
    <row r="57811" spans="23:23" x14ac:dyDescent="0.55000000000000004">
      <c r="W57811"/>
    </row>
    <row r="57812" spans="23:23" x14ac:dyDescent="0.55000000000000004">
      <c r="W57812"/>
    </row>
    <row r="57813" spans="23:23" x14ac:dyDescent="0.55000000000000004">
      <c r="W57813"/>
    </row>
    <row r="57814" spans="23:23" x14ac:dyDescent="0.55000000000000004">
      <c r="W57814"/>
    </row>
    <row r="57815" spans="23:23" x14ac:dyDescent="0.55000000000000004">
      <c r="W57815"/>
    </row>
    <row r="57816" spans="23:23" x14ac:dyDescent="0.55000000000000004">
      <c r="W57816"/>
    </row>
    <row r="57817" spans="23:23" x14ac:dyDescent="0.55000000000000004">
      <c r="W57817"/>
    </row>
    <row r="57818" spans="23:23" x14ac:dyDescent="0.55000000000000004">
      <c r="W57818"/>
    </row>
    <row r="57819" spans="23:23" x14ac:dyDescent="0.55000000000000004">
      <c r="W57819"/>
    </row>
    <row r="57820" spans="23:23" x14ac:dyDescent="0.55000000000000004">
      <c r="W57820"/>
    </row>
    <row r="57821" spans="23:23" x14ac:dyDescent="0.55000000000000004">
      <c r="W57821"/>
    </row>
    <row r="57822" spans="23:23" x14ac:dyDescent="0.55000000000000004">
      <c r="W57822"/>
    </row>
    <row r="57823" spans="23:23" x14ac:dyDescent="0.55000000000000004">
      <c r="W57823"/>
    </row>
    <row r="57824" spans="23:23" x14ac:dyDescent="0.55000000000000004">
      <c r="W57824"/>
    </row>
    <row r="57825" spans="23:23" x14ac:dyDescent="0.55000000000000004">
      <c r="W57825"/>
    </row>
    <row r="57826" spans="23:23" x14ac:dyDescent="0.55000000000000004">
      <c r="W57826"/>
    </row>
    <row r="57827" spans="23:23" x14ac:dyDescent="0.55000000000000004">
      <c r="W57827"/>
    </row>
    <row r="57828" spans="23:23" x14ac:dyDescent="0.55000000000000004">
      <c r="W57828"/>
    </row>
    <row r="57829" spans="23:23" x14ac:dyDescent="0.55000000000000004">
      <c r="W57829"/>
    </row>
    <row r="57830" spans="23:23" x14ac:dyDescent="0.55000000000000004">
      <c r="W57830"/>
    </row>
    <row r="57831" spans="23:23" x14ac:dyDescent="0.55000000000000004">
      <c r="W57831"/>
    </row>
    <row r="57832" spans="23:23" x14ac:dyDescent="0.55000000000000004">
      <c r="W57832"/>
    </row>
    <row r="57833" spans="23:23" x14ac:dyDescent="0.55000000000000004">
      <c r="W57833"/>
    </row>
    <row r="57834" spans="23:23" x14ac:dyDescent="0.55000000000000004">
      <c r="W57834"/>
    </row>
    <row r="57835" spans="23:23" x14ac:dyDescent="0.55000000000000004">
      <c r="W57835"/>
    </row>
    <row r="57836" spans="23:23" x14ac:dyDescent="0.55000000000000004">
      <c r="W57836"/>
    </row>
    <row r="57837" spans="23:23" x14ac:dyDescent="0.55000000000000004">
      <c r="W57837"/>
    </row>
    <row r="57838" spans="23:23" x14ac:dyDescent="0.55000000000000004">
      <c r="W57838"/>
    </row>
    <row r="57839" spans="23:23" x14ac:dyDescent="0.55000000000000004">
      <c r="W57839"/>
    </row>
    <row r="57840" spans="23:23" x14ac:dyDescent="0.55000000000000004">
      <c r="W57840"/>
    </row>
    <row r="57841" spans="23:23" x14ac:dyDescent="0.55000000000000004">
      <c r="W57841"/>
    </row>
    <row r="57842" spans="23:23" x14ac:dyDescent="0.55000000000000004">
      <c r="W57842"/>
    </row>
    <row r="57843" spans="23:23" x14ac:dyDescent="0.55000000000000004">
      <c r="W57843"/>
    </row>
    <row r="57844" spans="23:23" x14ac:dyDescent="0.55000000000000004">
      <c r="W57844"/>
    </row>
    <row r="57845" spans="23:23" x14ac:dyDescent="0.55000000000000004">
      <c r="W57845"/>
    </row>
    <row r="57846" spans="23:23" x14ac:dyDescent="0.55000000000000004">
      <c r="W57846"/>
    </row>
    <row r="57847" spans="23:23" x14ac:dyDescent="0.55000000000000004">
      <c r="W57847"/>
    </row>
    <row r="57848" spans="23:23" x14ac:dyDescent="0.55000000000000004">
      <c r="W57848"/>
    </row>
    <row r="57849" spans="23:23" x14ac:dyDescent="0.55000000000000004">
      <c r="W57849"/>
    </row>
    <row r="57850" spans="23:23" x14ac:dyDescent="0.55000000000000004">
      <c r="W57850"/>
    </row>
    <row r="57851" spans="23:23" x14ac:dyDescent="0.55000000000000004">
      <c r="W57851"/>
    </row>
    <row r="57852" spans="23:23" x14ac:dyDescent="0.55000000000000004">
      <c r="W57852"/>
    </row>
    <row r="57853" spans="23:23" x14ac:dyDescent="0.55000000000000004">
      <c r="W57853"/>
    </row>
    <row r="57854" spans="23:23" x14ac:dyDescent="0.55000000000000004">
      <c r="W57854"/>
    </row>
    <row r="57855" spans="23:23" x14ac:dyDescent="0.55000000000000004">
      <c r="W57855"/>
    </row>
    <row r="57856" spans="23:23" x14ac:dyDescent="0.55000000000000004">
      <c r="W57856"/>
    </row>
    <row r="57857" spans="23:23" x14ac:dyDescent="0.55000000000000004">
      <c r="W57857"/>
    </row>
    <row r="57858" spans="23:23" x14ac:dyDescent="0.55000000000000004">
      <c r="W57858"/>
    </row>
    <row r="57859" spans="23:23" x14ac:dyDescent="0.55000000000000004">
      <c r="W57859"/>
    </row>
    <row r="57860" spans="23:23" x14ac:dyDescent="0.55000000000000004">
      <c r="W57860"/>
    </row>
    <row r="57861" spans="23:23" x14ac:dyDescent="0.55000000000000004">
      <c r="W57861"/>
    </row>
    <row r="57862" spans="23:23" x14ac:dyDescent="0.55000000000000004">
      <c r="W57862"/>
    </row>
    <row r="57863" spans="23:23" x14ac:dyDescent="0.55000000000000004">
      <c r="W57863"/>
    </row>
    <row r="57864" spans="23:23" x14ac:dyDescent="0.55000000000000004">
      <c r="W57864"/>
    </row>
    <row r="57865" spans="23:23" x14ac:dyDescent="0.55000000000000004">
      <c r="W57865"/>
    </row>
    <row r="57866" spans="23:23" x14ac:dyDescent="0.55000000000000004">
      <c r="W57866"/>
    </row>
    <row r="57867" spans="23:23" x14ac:dyDescent="0.55000000000000004">
      <c r="W57867"/>
    </row>
    <row r="57868" spans="23:23" x14ac:dyDescent="0.55000000000000004">
      <c r="W57868"/>
    </row>
    <row r="57869" spans="23:23" x14ac:dyDescent="0.55000000000000004">
      <c r="W57869"/>
    </row>
    <row r="57870" spans="23:23" x14ac:dyDescent="0.55000000000000004">
      <c r="W57870"/>
    </row>
    <row r="57871" spans="23:23" x14ac:dyDescent="0.55000000000000004">
      <c r="W57871"/>
    </row>
    <row r="57872" spans="23:23" x14ac:dyDescent="0.55000000000000004">
      <c r="W57872"/>
    </row>
    <row r="57873" spans="23:23" x14ac:dyDescent="0.55000000000000004">
      <c r="W57873"/>
    </row>
    <row r="57874" spans="23:23" x14ac:dyDescent="0.55000000000000004">
      <c r="W57874"/>
    </row>
    <row r="57875" spans="23:23" x14ac:dyDescent="0.55000000000000004">
      <c r="W57875"/>
    </row>
    <row r="57876" spans="23:23" x14ac:dyDescent="0.55000000000000004">
      <c r="W57876"/>
    </row>
    <row r="57877" spans="23:23" x14ac:dyDescent="0.55000000000000004">
      <c r="W57877"/>
    </row>
    <row r="57878" spans="23:23" x14ac:dyDescent="0.55000000000000004">
      <c r="W57878"/>
    </row>
    <row r="57879" spans="23:23" x14ac:dyDescent="0.55000000000000004">
      <c r="W57879"/>
    </row>
    <row r="57880" spans="23:23" x14ac:dyDescent="0.55000000000000004">
      <c r="W57880"/>
    </row>
    <row r="57881" spans="23:23" x14ac:dyDescent="0.55000000000000004">
      <c r="W57881"/>
    </row>
    <row r="57882" spans="23:23" x14ac:dyDescent="0.55000000000000004">
      <c r="W57882"/>
    </row>
    <row r="57883" spans="23:23" x14ac:dyDescent="0.55000000000000004">
      <c r="W57883"/>
    </row>
    <row r="57884" spans="23:23" x14ac:dyDescent="0.55000000000000004">
      <c r="W57884"/>
    </row>
    <row r="57885" spans="23:23" x14ac:dyDescent="0.55000000000000004">
      <c r="W57885"/>
    </row>
    <row r="57886" spans="23:23" x14ac:dyDescent="0.55000000000000004">
      <c r="W57886"/>
    </row>
    <row r="57887" spans="23:23" x14ac:dyDescent="0.55000000000000004">
      <c r="W57887"/>
    </row>
    <row r="57888" spans="23:23" x14ac:dyDescent="0.55000000000000004">
      <c r="W57888"/>
    </row>
    <row r="57889" spans="23:23" x14ac:dyDescent="0.55000000000000004">
      <c r="W57889"/>
    </row>
    <row r="57890" spans="23:23" x14ac:dyDescent="0.55000000000000004">
      <c r="W57890"/>
    </row>
    <row r="57891" spans="23:23" x14ac:dyDescent="0.55000000000000004">
      <c r="W57891"/>
    </row>
    <row r="57892" spans="23:23" x14ac:dyDescent="0.55000000000000004">
      <c r="W57892"/>
    </row>
    <row r="57893" spans="23:23" x14ac:dyDescent="0.55000000000000004">
      <c r="W57893"/>
    </row>
    <row r="57894" spans="23:23" x14ac:dyDescent="0.55000000000000004">
      <c r="W57894"/>
    </row>
    <row r="57895" spans="23:23" x14ac:dyDescent="0.55000000000000004">
      <c r="W57895"/>
    </row>
    <row r="57896" spans="23:23" x14ac:dyDescent="0.55000000000000004">
      <c r="W57896"/>
    </row>
    <row r="57897" spans="23:23" x14ac:dyDescent="0.55000000000000004">
      <c r="W57897"/>
    </row>
    <row r="57898" spans="23:23" x14ac:dyDescent="0.55000000000000004">
      <c r="W57898"/>
    </row>
    <row r="57899" spans="23:23" x14ac:dyDescent="0.55000000000000004">
      <c r="W57899"/>
    </row>
    <row r="57900" spans="23:23" x14ac:dyDescent="0.55000000000000004">
      <c r="W57900"/>
    </row>
    <row r="57901" spans="23:23" x14ac:dyDescent="0.55000000000000004">
      <c r="W57901"/>
    </row>
    <row r="57902" spans="23:23" x14ac:dyDescent="0.55000000000000004">
      <c r="W57902"/>
    </row>
    <row r="57903" spans="23:23" x14ac:dyDescent="0.55000000000000004">
      <c r="W57903"/>
    </row>
    <row r="57904" spans="23:23" x14ac:dyDescent="0.55000000000000004">
      <c r="W57904"/>
    </row>
    <row r="57905" spans="23:23" x14ac:dyDescent="0.55000000000000004">
      <c r="W57905"/>
    </row>
    <row r="57906" spans="23:23" x14ac:dyDescent="0.55000000000000004">
      <c r="W57906"/>
    </row>
    <row r="57907" spans="23:23" x14ac:dyDescent="0.55000000000000004">
      <c r="W57907"/>
    </row>
    <row r="57908" spans="23:23" x14ac:dyDescent="0.55000000000000004">
      <c r="W57908"/>
    </row>
    <row r="57909" spans="23:23" x14ac:dyDescent="0.55000000000000004">
      <c r="W57909"/>
    </row>
    <row r="57910" spans="23:23" x14ac:dyDescent="0.55000000000000004">
      <c r="W57910"/>
    </row>
    <row r="57911" spans="23:23" x14ac:dyDescent="0.55000000000000004">
      <c r="W57911"/>
    </row>
    <row r="57912" spans="23:23" x14ac:dyDescent="0.55000000000000004">
      <c r="W57912"/>
    </row>
    <row r="57913" spans="23:23" x14ac:dyDescent="0.55000000000000004">
      <c r="W57913"/>
    </row>
    <row r="57914" spans="23:23" x14ac:dyDescent="0.55000000000000004">
      <c r="W57914"/>
    </row>
    <row r="57915" spans="23:23" x14ac:dyDescent="0.55000000000000004">
      <c r="W57915"/>
    </row>
    <row r="57916" spans="23:23" x14ac:dyDescent="0.55000000000000004">
      <c r="W57916"/>
    </row>
    <row r="57917" spans="23:23" x14ac:dyDescent="0.55000000000000004">
      <c r="W57917"/>
    </row>
    <row r="57918" spans="23:23" x14ac:dyDescent="0.55000000000000004">
      <c r="W57918"/>
    </row>
    <row r="57919" spans="23:23" x14ac:dyDescent="0.55000000000000004">
      <c r="W57919"/>
    </row>
    <row r="57920" spans="23:23" x14ac:dyDescent="0.55000000000000004">
      <c r="W57920"/>
    </row>
    <row r="57921" spans="23:23" x14ac:dyDescent="0.55000000000000004">
      <c r="W57921"/>
    </row>
    <row r="57922" spans="23:23" x14ac:dyDescent="0.55000000000000004">
      <c r="W57922"/>
    </row>
    <row r="57923" spans="23:23" x14ac:dyDescent="0.55000000000000004">
      <c r="W57923"/>
    </row>
    <row r="57924" spans="23:23" x14ac:dyDescent="0.55000000000000004">
      <c r="W57924"/>
    </row>
    <row r="57925" spans="23:23" x14ac:dyDescent="0.55000000000000004">
      <c r="W57925"/>
    </row>
    <row r="57926" spans="23:23" x14ac:dyDescent="0.55000000000000004">
      <c r="W57926"/>
    </row>
    <row r="57927" spans="23:23" x14ac:dyDescent="0.55000000000000004">
      <c r="W57927"/>
    </row>
    <row r="57928" spans="23:23" x14ac:dyDescent="0.55000000000000004">
      <c r="W57928"/>
    </row>
    <row r="57929" spans="23:23" x14ac:dyDescent="0.55000000000000004">
      <c r="W57929"/>
    </row>
    <row r="57930" spans="23:23" x14ac:dyDescent="0.55000000000000004">
      <c r="W57930"/>
    </row>
    <row r="57931" spans="23:23" x14ac:dyDescent="0.55000000000000004">
      <c r="W57931"/>
    </row>
    <row r="57932" spans="23:23" x14ac:dyDescent="0.55000000000000004">
      <c r="W57932"/>
    </row>
    <row r="57933" spans="23:23" x14ac:dyDescent="0.55000000000000004">
      <c r="W57933"/>
    </row>
    <row r="57934" spans="23:23" x14ac:dyDescent="0.55000000000000004">
      <c r="W57934"/>
    </row>
    <row r="57935" spans="23:23" x14ac:dyDescent="0.55000000000000004">
      <c r="W57935"/>
    </row>
    <row r="57936" spans="23:23" x14ac:dyDescent="0.55000000000000004">
      <c r="W57936"/>
    </row>
    <row r="57937" spans="23:23" x14ac:dyDescent="0.55000000000000004">
      <c r="W57937"/>
    </row>
    <row r="57938" spans="23:23" x14ac:dyDescent="0.55000000000000004">
      <c r="W57938"/>
    </row>
    <row r="57939" spans="23:23" x14ac:dyDescent="0.55000000000000004">
      <c r="W57939"/>
    </row>
    <row r="57940" spans="23:23" x14ac:dyDescent="0.55000000000000004">
      <c r="W57940"/>
    </row>
    <row r="57941" spans="23:23" x14ac:dyDescent="0.55000000000000004">
      <c r="W57941"/>
    </row>
    <row r="57942" spans="23:23" x14ac:dyDescent="0.55000000000000004">
      <c r="W57942"/>
    </row>
    <row r="57943" spans="23:23" x14ac:dyDescent="0.55000000000000004">
      <c r="W57943"/>
    </row>
    <row r="57944" spans="23:23" x14ac:dyDescent="0.55000000000000004">
      <c r="W57944"/>
    </row>
    <row r="57945" spans="23:23" x14ac:dyDescent="0.55000000000000004">
      <c r="W57945"/>
    </row>
    <row r="57946" spans="23:23" x14ac:dyDescent="0.55000000000000004">
      <c r="W57946"/>
    </row>
    <row r="57947" spans="23:23" x14ac:dyDescent="0.55000000000000004">
      <c r="W57947"/>
    </row>
    <row r="57948" spans="23:23" x14ac:dyDescent="0.55000000000000004">
      <c r="W57948"/>
    </row>
    <row r="57949" spans="23:23" x14ac:dyDescent="0.55000000000000004">
      <c r="W57949"/>
    </row>
    <row r="57950" spans="23:23" x14ac:dyDescent="0.55000000000000004">
      <c r="W57950"/>
    </row>
    <row r="57951" spans="23:23" x14ac:dyDescent="0.55000000000000004">
      <c r="W57951"/>
    </row>
    <row r="57952" spans="23:23" x14ac:dyDescent="0.55000000000000004">
      <c r="W57952"/>
    </row>
    <row r="57953" spans="23:23" x14ac:dyDescent="0.55000000000000004">
      <c r="W57953"/>
    </row>
    <row r="57954" spans="23:23" x14ac:dyDescent="0.55000000000000004">
      <c r="W57954"/>
    </row>
    <row r="57955" spans="23:23" x14ac:dyDescent="0.55000000000000004">
      <c r="W57955"/>
    </row>
    <row r="57956" spans="23:23" x14ac:dyDescent="0.55000000000000004">
      <c r="W57956"/>
    </row>
    <row r="57957" spans="23:23" x14ac:dyDescent="0.55000000000000004">
      <c r="W57957"/>
    </row>
    <row r="57958" spans="23:23" x14ac:dyDescent="0.55000000000000004">
      <c r="W57958"/>
    </row>
    <row r="57959" spans="23:23" x14ac:dyDescent="0.55000000000000004">
      <c r="W57959"/>
    </row>
    <row r="57960" spans="23:23" x14ac:dyDescent="0.55000000000000004">
      <c r="W57960"/>
    </row>
    <row r="57961" spans="23:23" x14ac:dyDescent="0.55000000000000004">
      <c r="W57961"/>
    </row>
    <row r="57962" spans="23:23" x14ac:dyDescent="0.55000000000000004">
      <c r="W57962"/>
    </row>
    <row r="57963" spans="23:23" x14ac:dyDescent="0.55000000000000004">
      <c r="W57963"/>
    </row>
    <row r="57964" spans="23:23" x14ac:dyDescent="0.55000000000000004">
      <c r="W57964"/>
    </row>
    <row r="57965" spans="23:23" x14ac:dyDescent="0.55000000000000004">
      <c r="W57965"/>
    </row>
    <row r="57966" spans="23:23" x14ac:dyDescent="0.55000000000000004">
      <c r="W57966"/>
    </row>
    <row r="57967" spans="23:23" x14ac:dyDescent="0.55000000000000004">
      <c r="W57967"/>
    </row>
    <row r="57968" spans="23:23" x14ac:dyDescent="0.55000000000000004">
      <c r="W57968"/>
    </row>
    <row r="57969" spans="23:23" x14ac:dyDescent="0.55000000000000004">
      <c r="W57969"/>
    </row>
    <row r="57970" spans="23:23" x14ac:dyDescent="0.55000000000000004">
      <c r="W57970"/>
    </row>
    <row r="57971" spans="23:23" x14ac:dyDescent="0.55000000000000004">
      <c r="W57971"/>
    </row>
    <row r="57972" spans="23:23" x14ac:dyDescent="0.55000000000000004">
      <c r="W57972"/>
    </row>
    <row r="57973" spans="23:23" x14ac:dyDescent="0.55000000000000004">
      <c r="W57973"/>
    </row>
    <row r="57974" spans="23:23" x14ac:dyDescent="0.55000000000000004">
      <c r="W57974"/>
    </row>
    <row r="57975" spans="23:23" x14ac:dyDescent="0.55000000000000004">
      <c r="W57975"/>
    </row>
    <row r="57976" spans="23:23" x14ac:dyDescent="0.55000000000000004">
      <c r="W57976"/>
    </row>
    <row r="57977" spans="23:23" x14ac:dyDescent="0.55000000000000004">
      <c r="W57977"/>
    </row>
    <row r="57978" spans="23:23" x14ac:dyDescent="0.55000000000000004">
      <c r="W57978"/>
    </row>
    <row r="57979" spans="23:23" x14ac:dyDescent="0.55000000000000004">
      <c r="W57979"/>
    </row>
    <row r="57980" spans="23:23" x14ac:dyDescent="0.55000000000000004">
      <c r="W57980"/>
    </row>
    <row r="57981" spans="23:23" x14ac:dyDescent="0.55000000000000004">
      <c r="W57981"/>
    </row>
    <row r="57982" spans="23:23" x14ac:dyDescent="0.55000000000000004">
      <c r="W57982"/>
    </row>
    <row r="57983" spans="23:23" x14ac:dyDescent="0.55000000000000004">
      <c r="W57983"/>
    </row>
    <row r="57984" spans="23:23" x14ac:dyDescent="0.55000000000000004">
      <c r="W57984"/>
    </row>
    <row r="57985" spans="23:23" x14ac:dyDescent="0.55000000000000004">
      <c r="W57985"/>
    </row>
    <row r="57986" spans="23:23" x14ac:dyDescent="0.55000000000000004">
      <c r="W57986"/>
    </row>
    <row r="57987" spans="23:23" x14ac:dyDescent="0.55000000000000004">
      <c r="W57987"/>
    </row>
    <row r="57988" spans="23:23" x14ac:dyDescent="0.55000000000000004">
      <c r="W57988"/>
    </row>
    <row r="57989" spans="23:23" x14ac:dyDescent="0.55000000000000004">
      <c r="W57989"/>
    </row>
    <row r="57990" spans="23:23" x14ac:dyDescent="0.55000000000000004">
      <c r="W57990"/>
    </row>
    <row r="57991" spans="23:23" x14ac:dyDescent="0.55000000000000004">
      <c r="W57991"/>
    </row>
    <row r="57992" spans="23:23" x14ac:dyDescent="0.55000000000000004">
      <c r="W57992"/>
    </row>
    <row r="57993" spans="23:23" x14ac:dyDescent="0.55000000000000004">
      <c r="W57993"/>
    </row>
    <row r="57994" spans="23:23" x14ac:dyDescent="0.55000000000000004">
      <c r="W57994"/>
    </row>
    <row r="57995" spans="23:23" x14ac:dyDescent="0.55000000000000004">
      <c r="W57995"/>
    </row>
    <row r="57996" spans="23:23" x14ac:dyDescent="0.55000000000000004">
      <c r="W57996"/>
    </row>
    <row r="57997" spans="23:23" x14ac:dyDescent="0.55000000000000004">
      <c r="W57997"/>
    </row>
    <row r="57998" spans="23:23" x14ac:dyDescent="0.55000000000000004">
      <c r="W57998"/>
    </row>
    <row r="57999" spans="23:23" x14ac:dyDescent="0.55000000000000004">
      <c r="W57999"/>
    </row>
    <row r="58000" spans="23:23" x14ac:dyDescent="0.55000000000000004">
      <c r="W58000"/>
    </row>
    <row r="58001" spans="23:23" x14ac:dyDescent="0.55000000000000004">
      <c r="W58001"/>
    </row>
    <row r="58002" spans="23:23" x14ac:dyDescent="0.55000000000000004">
      <c r="W58002"/>
    </row>
    <row r="58003" spans="23:23" x14ac:dyDescent="0.55000000000000004">
      <c r="W58003"/>
    </row>
    <row r="58004" spans="23:23" x14ac:dyDescent="0.55000000000000004">
      <c r="W58004"/>
    </row>
    <row r="58005" spans="23:23" x14ac:dyDescent="0.55000000000000004">
      <c r="W58005"/>
    </row>
    <row r="58006" spans="23:23" x14ac:dyDescent="0.55000000000000004">
      <c r="W58006"/>
    </row>
    <row r="58007" spans="23:23" x14ac:dyDescent="0.55000000000000004">
      <c r="W58007"/>
    </row>
    <row r="58008" spans="23:23" x14ac:dyDescent="0.55000000000000004">
      <c r="W58008"/>
    </row>
    <row r="58009" spans="23:23" x14ac:dyDescent="0.55000000000000004">
      <c r="W58009"/>
    </row>
    <row r="58010" spans="23:23" x14ac:dyDescent="0.55000000000000004">
      <c r="W58010"/>
    </row>
    <row r="58011" spans="23:23" x14ac:dyDescent="0.55000000000000004">
      <c r="W58011"/>
    </row>
    <row r="58012" spans="23:23" x14ac:dyDescent="0.55000000000000004">
      <c r="W58012"/>
    </row>
    <row r="58013" spans="23:23" x14ac:dyDescent="0.55000000000000004">
      <c r="W58013"/>
    </row>
    <row r="58014" spans="23:23" x14ac:dyDescent="0.55000000000000004">
      <c r="W58014"/>
    </row>
    <row r="58015" spans="23:23" x14ac:dyDescent="0.55000000000000004">
      <c r="W58015"/>
    </row>
    <row r="58016" spans="23:23" x14ac:dyDescent="0.55000000000000004">
      <c r="W58016"/>
    </row>
    <row r="58017" spans="23:23" x14ac:dyDescent="0.55000000000000004">
      <c r="W58017"/>
    </row>
    <row r="58018" spans="23:23" x14ac:dyDescent="0.55000000000000004">
      <c r="W58018"/>
    </row>
    <row r="58019" spans="23:23" x14ac:dyDescent="0.55000000000000004">
      <c r="W58019"/>
    </row>
    <row r="58020" spans="23:23" x14ac:dyDescent="0.55000000000000004">
      <c r="W58020"/>
    </row>
    <row r="58021" spans="23:23" x14ac:dyDescent="0.55000000000000004">
      <c r="W58021"/>
    </row>
    <row r="58022" spans="23:23" x14ac:dyDescent="0.55000000000000004">
      <c r="W58022"/>
    </row>
    <row r="58023" spans="23:23" x14ac:dyDescent="0.55000000000000004">
      <c r="W58023"/>
    </row>
    <row r="58024" spans="23:23" x14ac:dyDescent="0.55000000000000004">
      <c r="W58024"/>
    </row>
    <row r="58025" spans="23:23" x14ac:dyDescent="0.55000000000000004">
      <c r="W58025"/>
    </row>
    <row r="58026" spans="23:23" x14ac:dyDescent="0.55000000000000004">
      <c r="W58026"/>
    </row>
    <row r="58027" spans="23:23" x14ac:dyDescent="0.55000000000000004">
      <c r="W58027"/>
    </row>
    <row r="58028" spans="23:23" x14ac:dyDescent="0.55000000000000004">
      <c r="W58028"/>
    </row>
    <row r="58029" spans="23:23" x14ac:dyDescent="0.55000000000000004">
      <c r="W58029"/>
    </row>
    <row r="58030" spans="23:23" x14ac:dyDescent="0.55000000000000004">
      <c r="W58030"/>
    </row>
    <row r="58031" spans="23:23" x14ac:dyDescent="0.55000000000000004">
      <c r="W58031"/>
    </row>
    <row r="58032" spans="23:23" x14ac:dyDescent="0.55000000000000004">
      <c r="W58032"/>
    </row>
    <row r="58033" spans="23:23" x14ac:dyDescent="0.55000000000000004">
      <c r="W58033"/>
    </row>
    <row r="58034" spans="23:23" x14ac:dyDescent="0.55000000000000004">
      <c r="W58034"/>
    </row>
    <row r="58035" spans="23:23" x14ac:dyDescent="0.55000000000000004">
      <c r="W58035"/>
    </row>
    <row r="58036" spans="23:23" x14ac:dyDescent="0.55000000000000004">
      <c r="W58036"/>
    </row>
    <row r="58037" spans="23:23" x14ac:dyDescent="0.55000000000000004">
      <c r="W58037"/>
    </row>
    <row r="58038" spans="23:23" x14ac:dyDescent="0.55000000000000004">
      <c r="W58038"/>
    </row>
    <row r="58039" spans="23:23" x14ac:dyDescent="0.55000000000000004">
      <c r="W58039"/>
    </row>
    <row r="58040" spans="23:23" x14ac:dyDescent="0.55000000000000004">
      <c r="W58040"/>
    </row>
    <row r="58041" spans="23:23" x14ac:dyDescent="0.55000000000000004">
      <c r="W58041"/>
    </row>
    <row r="58042" spans="23:23" x14ac:dyDescent="0.55000000000000004">
      <c r="W58042"/>
    </row>
    <row r="58043" spans="23:23" x14ac:dyDescent="0.55000000000000004">
      <c r="W58043"/>
    </row>
    <row r="58044" spans="23:23" x14ac:dyDescent="0.55000000000000004">
      <c r="W58044"/>
    </row>
    <row r="58045" spans="23:23" x14ac:dyDescent="0.55000000000000004">
      <c r="W58045"/>
    </row>
    <row r="58046" spans="23:23" x14ac:dyDescent="0.55000000000000004">
      <c r="W58046"/>
    </row>
    <row r="58047" spans="23:23" x14ac:dyDescent="0.55000000000000004">
      <c r="W58047"/>
    </row>
    <row r="58048" spans="23:23" x14ac:dyDescent="0.55000000000000004">
      <c r="W58048"/>
    </row>
    <row r="58049" spans="23:23" x14ac:dyDescent="0.55000000000000004">
      <c r="W58049"/>
    </row>
    <row r="58050" spans="23:23" x14ac:dyDescent="0.55000000000000004">
      <c r="W58050"/>
    </row>
    <row r="58051" spans="23:23" x14ac:dyDescent="0.55000000000000004">
      <c r="W58051"/>
    </row>
    <row r="58052" spans="23:23" x14ac:dyDescent="0.55000000000000004">
      <c r="W58052"/>
    </row>
    <row r="58053" spans="23:23" x14ac:dyDescent="0.55000000000000004">
      <c r="W58053"/>
    </row>
    <row r="58054" spans="23:23" x14ac:dyDescent="0.55000000000000004">
      <c r="W58054"/>
    </row>
    <row r="58055" spans="23:23" x14ac:dyDescent="0.55000000000000004">
      <c r="W58055"/>
    </row>
    <row r="58056" spans="23:23" x14ac:dyDescent="0.55000000000000004">
      <c r="W58056"/>
    </row>
    <row r="58057" spans="23:23" x14ac:dyDescent="0.55000000000000004">
      <c r="W58057"/>
    </row>
    <row r="58058" spans="23:23" x14ac:dyDescent="0.55000000000000004">
      <c r="W58058"/>
    </row>
    <row r="58059" spans="23:23" x14ac:dyDescent="0.55000000000000004">
      <c r="W58059"/>
    </row>
    <row r="58060" spans="23:23" x14ac:dyDescent="0.55000000000000004">
      <c r="W58060"/>
    </row>
    <row r="58061" spans="23:23" x14ac:dyDescent="0.55000000000000004">
      <c r="W58061"/>
    </row>
    <row r="58062" spans="23:23" x14ac:dyDescent="0.55000000000000004">
      <c r="W58062"/>
    </row>
    <row r="58063" spans="23:23" x14ac:dyDescent="0.55000000000000004">
      <c r="W58063"/>
    </row>
    <row r="58064" spans="23:23" x14ac:dyDescent="0.55000000000000004">
      <c r="W58064"/>
    </row>
    <row r="58065" spans="23:23" x14ac:dyDescent="0.55000000000000004">
      <c r="W58065"/>
    </row>
    <row r="58066" spans="23:23" x14ac:dyDescent="0.55000000000000004">
      <c r="W58066"/>
    </row>
    <row r="58067" spans="23:23" x14ac:dyDescent="0.55000000000000004">
      <c r="W58067"/>
    </row>
    <row r="58068" spans="23:23" x14ac:dyDescent="0.55000000000000004">
      <c r="W58068"/>
    </row>
    <row r="58069" spans="23:23" x14ac:dyDescent="0.55000000000000004">
      <c r="W58069"/>
    </row>
    <row r="58070" spans="23:23" x14ac:dyDescent="0.55000000000000004">
      <c r="W58070"/>
    </row>
    <row r="58071" spans="23:23" x14ac:dyDescent="0.55000000000000004">
      <c r="W58071"/>
    </row>
    <row r="58072" spans="23:23" x14ac:dyDescent="0.55000000000000004">
      <c r="W58072"/>
    </row>
    <row r="58073" spans="23:23" x14ac:dyDescent="0.55000000000000004">
      <c r="W58073"/>
    </row>
    <row r="58074" spans="23:23" x14ac:dyDescent="0.55000000000000004">
      <c r="W58074"/>
    </row>
    <row r="58075" spans="23:23" x14ac:dyDescent="0.55000000000000004">
      <c r="W58075"/>
    </row>
    <row r="58076" spans="23:23" x14ac:dyDescent="0.55000000000000004">
      <c r="W58076"/>
    </row>
    <row r="58077" spans="23:23" x14ac:dyDescent="0.55000000000000004">
      <c r="W58077"/>
    </row>
    <row r="58078" spans="23:23" x14ac:dyDescent="0.55000000000000004">
      <c r="W58078"/>
    </row>
    <row r="58079" spans="23:23" x14ac:dyDescent="0.55000000000000004">
      <c r="W58079"/>
    </row>
    <row r="58080" spans="23:23" x14ac:dyDescent="0.55000000000000004">
      <c r="W58080"/>
    </row>
    <row r="58081" spans="23:23" x14ac:dyDescent="0.55000000000000004">
      <c r="W58081"/>
    </row>
    <row r="58082" spans="23:23" x14ac:dyDescent="0.55000000000000004">
      <c r="W58082"/>
    </row>
    <row r="58083" spans="23:23" x14ac:dyDescent="0.55000000000000004">
      <c r="W58083"/>
    </row>
    <row r="58084" spans="23:23" x14ac:dyDescent="0.55000000000000004">
      <c r="W58084"/>
    </row>
    <row r="58085" spans="23:23" x14ac:dyDescent="0.55000000000000004">
      <c r="W58085"/>
    </row>
    <row r="58086" spans="23:23" x14ac:dyDescent="0.55000000000000004">
      <c r="W58086"/>
    </row>
    <row r="58087" spans="23:23" x14ac:dyDescent="0.55000000000000004">
      <c r="W58087"/>
    </row>
    <row r="58088" spans="23:23" x14ac:dyDescent="0.55000000000000004">
      <c r="W58088"/>
    </row>
    <row r="58089" spans="23:23" x14ac:dyDescent="0.55000000000000004">
      <c r="W58089"/>
    </row>
    <row r="58090" spans="23:23" x14ac:dyDescent="0.55000000000000004">
      <c r="W58090"/>
    </row>
    <row r="58091" spans="23:23" x14ac:dyDescent="0.55000000000000004">
      <c r="W58091"/>
    </row>
    <row r="58092" spans="23:23" x14ac:dyDescent="0.55000000000000004">
      <c r="W58092"/>
    </row>
    <row r="58093" spans="23:23" x14ac:dyDescent="0.55000000000000004">
      <c r="W58093"/>
    </row>
    <row r="58094" spans="23:23" x14ac:dyDescent="0.55000000000000004">
      <c r="W58094"/>
    </row>
    <row r="58095" spans="23:23" x14ac:dyDescent="0.55000000000000004">
      <c r="W58095"/>
    </row>
    <row r="58096" spans="23:23" x14ac:dyDescent="0.55000000000000004">
      <c r="W58096"/>
    </row>
    <row r="58097" spans="23:23" x14ac:dyDescent="0.55000000000000004">
      <c r="W58097"/>
    </row>
    <row r="58098" spans="23:23" x14ac:dyDescent="0.55000000000000004">
      <c r="W58098"/>
    </row>
    <row r="58099" spans="23:23" x14ac:dyDescent="0.55000000000000004">
      <c r="W58099"/>
    </row>
    <row r="58100" spans="23:23" x14ac:dyDescent="0.55000000000000004">
      <c r="W58100"/>
    </row>
    <row r="58101" spans="23:23" x14ac:dyDescent="0.55000000000000004">
      <c r="W58101"/>
    </row>
    <row r="58102" spans="23:23" x14ac:dyDescent="0.55000000000000004">
      <c r="W58102"/>
    </row>
    <row r="58103" spans="23:23" x14ac:dyDescent="0.55000000000000004">
      <c r="W58103"/>
    </row>
    <row r="58104" spans="23:23" x14ac:dyDescent="0.55000000000000004">
      <c r="W58104"/>
    </row>
    <row r="58105" spans="23:23" x14ac:dyDescent="0.55000000000000004">
      <c r="W58105"/>
    </row>
    <row r="58106" spans="23:23" x14ac:dyDescent="0.55000000000000004">
      <c r="W58106"/>
    </row>
    <row r="58107" spans="23:23" x14ac:dyDescent="0.55000000000000004">
      <c r="W58107"/>
    </row>
    <row r="58108" spans="23:23" x14ac:dyDescent="0.55000000000000004">
      <c r="W58108"/>
    </row>
    <row r="58109" spans="23:23" x14ac:dyDescent="0.55000000000000004">
      <c r="W58109"/>
    </row>
    <row r="58110" spans="23:23" x14ac:dyDescent="0.55000000000000004">
      <c r="W58110"/>
    </row>
    <row r="58111" spans="23:23" x14ac:dyDescent="0.55000000000000004">
      <c r="W58111"/>
    </row>
    <row r="58112" spans="23:23" x14ac:dyDescent="0.55000000000000004">
      <c r="W58112"/>
    </row>
    <row r="58113" spans="23:23" x14ac:dyDescent="0.55000000000000004">
      <c r="W58113"/>
    </row>
    <row r="58114" spans="23:23" x14ac:dyDescent="0.55000000000000004">
      <c r="W58114"/>
    </row>
    <row r="58115" spans="23:23" x14ac:dyDescent="0.55000000000000004">
      <c r="W58115"/>
    </row>
    <row r="58116" spans="23:23" x14ac:dyDescent="0.55000000000000004">
      <c r="W58116"/>
    </row>
    <row r="58117" spans="23:23" x14ac:dyDescent="0.55000000000000004">
      <c r="W58117"/>
    </row>
    <row r="58118" spans="23:23" x14ac:dyDescent="0.55000000000000004">
      <c r="W58118"/>
    </row>
    <row r="58119" spans="23:23" x14ac:dyDescent="0.55000000000000004">
      <c r="W58119"/>
    </row>
    <row r="58120" spans="23:23" x14ac:dyDescent="0.55000000000000004">
      <c r="W58120"/>
    </row>
    <row r="58121" spans="23:23" x14ac:dyDescent="0.55000000000000004">
      <c r="W58121"/>
    </row>
    <row r="58122" spans="23:23" x14ac:dyDescent="0.55000000000000004">
      <c r="W58122"/>
    </row>
    <row r="58123" spans="23:23" x14ac:dyDescent="0.55000000000000004">
      <c r="W58123"/>
    </row>
    <row r="58124" spans="23:23" x14ac:dyDescent="0.55000000000000004">
      <c r="W58124"/>
    </row>
    <row r="58125" spans="23:23" x14ac:dyDescent="0.55000000000000004">
      <c r="W58125"/>
    </row>
    <row r="58126" spans="23:23" x14ac:dyDescent="0.55000000000000004">
      <c r="W58126"/>
    </row>
    <row r="58127" spans="23:23" x14ac:dyDescent="0.55000000000000004">
      <c r="W58127"/>
    </row>
    <row r="58128" spans="23:23" x14ac:dyDescent="0.55000000000000004">
      <c r="W58128"/>
    </row>
    <row r="58129" spans="23:23" x14ac:dyDescent="0.55000000000000004">
      <c r="W58129"/>
    </row>
    <row r="58130" spans="23:23" x14ac:dyDescent="0.55000000000000004">
      <c r="W58130"/>
    </row>
    <row r="58131" spans="23:23" x14ac:dyDescent="0.55000000000000004">
      <c r="W58131"/>
    </row>
    <row r="58132" spans="23:23" x14ac:dyDescent="0.55000000000000004">
      <c r="W58132"/>
    </row>
    <row r="58133" spans="23:23" x14ac:dyDescent="0.55000000000000004">
      <c r="W58133"/>
    </row>
    <row r="58134" spans="23:23" x14ac:dyDescent="0.55000000000000004">
      <c r="W58134"/>
    </row>
    <row r="58135" spans="23:23" x14ac:dyDescent="0.55000000000000004">
      <c r="W58135"/>
    </row>
    <row r="58136" spans="23:23" x14ac:dyDescent="0.55000000000000004">
      <c r="W58136"/>
    </row>
    <row r="58137" spans="23:23" x14ac:dyDescent="0.55000000000000004">
      <c r="W58137"/>
    </row>
    <row r="58138" spans="23:23" x14ac:dyDescent="0.55000000000000004">
      <c r="W58138"/>
    </row>
    <row r="58139" spans="23:23" x14ac:dyDescent="0.55000000000000004">
      <c r="W58139"/>
    </row>
    <row r="58140" spans="23:23" x14ac:dyDescent="0.55000000000000004">
      <c r="W58140"/>
    </row>
    <row r="58141" spans="23:23" x14ac:dyDescent="0.55000000000000004">
      <c r="W58141"/>
    </row>
    <row r="58142" spans="23:23" x14ac:dyDescent="0.55000000000000004">
      <c r="W58142"/>
    </row>
    <row r="58143" spans="23:23" x14ac:dyDescent="0.55000000000000004">
      <c r="W58143"/>
    </row>
    <row r="58144" spans="23:23" x14ac:dyDescent="0.55000000000000004">
      <c r="W58144"/>
    </row>
    <row r="58145" spans="23:23" x14ac:dyDescent="0.55000000000000004">
      <c r="W58145"/>
    </row>
    <row r="58146" spans="23:23" x14ac:dyDescent="0.55000000000000004">
      <c r="W58146"/>
    </row>
    <row r="58147" spans="23:23" x14ac:dyDescent="0.55000000000000004">
      <c r="W58147"/>
    </row>
    <row r="58148" spans="23:23" x14ac:dyDescent="0.55000000000000004">
      <c r="W58148"/>
    </row>
    <row r="58149" spans="23:23" x14ac:dyDescent="0.55000000000000004">
      <c r="W58149"/>
    </row>
    <row r="58150" spans="23:23" x14ac:dyDescent="0.55000000000000004">
      <c r="W58150"/>
    </row>
    <row r="58151" spans="23:23" x14ac:dyDescent="0.55000000000000004">
      <c r="W58151"/>
    </row>
    <row r="58152" spans="23:23" x14ac:dyDescent="0.55000000000000004">
      <c r="W58152"/>
    </row>
    <row r="58153" spans="23:23" x14ac:dyDescent="0.55000000000000004">
      <c r="W58153"/>
    </row>
    <row r="58154" spans="23:23" x14ac:dyDescent="0.55000000000000004">
      <c r="W58154"/>
    </row>
    <row r="58155" spans="23:23" x14ac:dyDescent="0.55000000000000004">
      <c r="W58155"/>
    </row>
    <row r="58156" spans="23:23" x14ac:dyDescent="0.55000000000000004">
      <c r="W58156"/>
    </row>
    <row r="58157" spans="23:23" x14ac:dyDescent="0.55000000000000004">
      <c r="W58157"/>
    </row>
    <row r="58158" spans="23:23" x14ac:dyDescent="0.55000000000000004">
      <c r="W58158"/>
    </row>
    <row r="58159" spans="23:23" x14ac:dyDescent="0.55000000000000004">
      <c r="W58159"/>
    </row>
    <row r="58160" spans="23:23" x14ac:dyDescent="0.55000000000000004">
      <c r="W58160"/>
    </row>
    <row r="58161" spans="23:23" x14ac:dyDescent="0.55000000000000004">
      <c r="W58161"/>
    </row>
    <row r="58162" spans="23:23" x14ac:dyDescent="0.55000000000000004">
      <c r="W58162"/>
    </row>
    <row r="58163" spans="23:23" x14ac:dyDescent="0.55000000000000004">
      <c r="W58163"/>
    </row>
    <row r="58164" spans="23:23" x14ac:dyDescent="0.55000000000000004">
      <c r="W58164"/>
    </row>
    <row r="58165" spans="23:23" x14ac:dyDescent="0.55000000000000004">
      <c r="W58165"/>
    </row>
    <row r="58166" spans="23:23" x14ac:dyDescent="0.55000000000000004">
      <c r="W58166"/>
    </row>
    <row r="58167" spans="23:23" x14ac:dyDescent="0.55000000000000004">
      <c r="W58167"/>
    </row>
    <row r="58168" spans="23:23" x14ac:dyDescent="0.55000000000000004">
      <c r="W58168"/>
    </row>
    <row r="58169" spans="23:23" x14ac:dyDescent="0.55000000000000004">
      <c r="W58169"/>
    </row>
    <row r="58170" spans="23:23" x14ac:dyDescent="0.55000000000000004">
      <c r="W58170"/>
    </row>
    <row r="58171" spans="23:23" x14ac:dyDescent="0.55000000000000004">
      <c r="W58171"/>
    </row>
    <row r="58172" spans="23:23" x14ac:dyDescent="0.55000000000000004">
      <c r="W58172"/>
    </row>
    <row r="58173" spans="23:23" x14ac:dyDescent="0.55000000000000004">
      <c r="W58173"/>
    </row>
    <row r="58174" spans="23:23" x14ac:dyDescent="0.55000000000000004">
      <c r="W58174"/>
    </row>
    <row r="58175" spans="23:23" x14ac:dyDescent="0.55000000000000004">
      <c r="W58175"/>
    </row>
    <row r="58176" spans="23:23" x14ac:dyDescent="0.55000000000000004">
      <c r="W58176"/>
    </row>
    <row r="58177" spans="23:23" x14ac:dyDescent="0.55000000000000004">
      <c r="W58177"/>
    </row>
    <row r="58178" spans="23:23" x14ac:dyDescent="0.55000000000000004">
      <c r="W58178"/>
    </row>
    <row r="58179" spans="23:23" x14ac:dyDescent="0.55000000000000004">
      <c r="W58179"/>
    </row>
    <row r="58180" spans="23:23" x14ac:dyDescent="0.55000000000000004">
      <c r="W58180"/>
    </row>
    <row r="58181" spans="23:23" x14ac:dyDescent="0.55000000000000004">
      <c r="W58181"/>
    </row>
    <row r="58182" spans="23:23" x14ac:dyDescent="0.55000000000000004">
      <c r="W58182"/>
    </row>
    <row r="58183" spans="23:23" x14ac:dyDescent="0.55000000000000004">
      <c r="W58183"/>
    </row>
    <row r="58184" spans="23:23" x14ac:dyDescent="0.55000000000000004">
      <c r="W58184"/>
    </row>
    <row r="58185" spans="23:23" x14ac:dyDescent="0.55000000000000004">
      <c r="W58185"/>
    </row>
    <row r="58186" spans="23:23" x14ac:dyDescent="0.55000000000000004">
      <c r="W58186"/>
    </row>
    <row r="58187" spans="23:23" x14ac:dyDescent="0.55000000000000004">
      <c r="W58187"/>
    </row>
    <row r="58188" spans="23:23" x14ac:dyDescent="0.55000000000000004">
      <c r="W58188"/>
    </row>
    <row r="58189" spans="23:23" x14ac:dyDescent="0.55000000000000004">
      <c r="W58189"/>
    </row>
    <row r="58190" spans="23:23" x14ac:dyDescent="0.55000000000000004">
      <c r="W58190"/>
    </row>
    <row r="58191" spans="23:23" x14ac:dyDescent="0.55000000000000004">
      <c r="W58191"/>
    </row>
    <row r="58192" spans="23:23" x14ac:dyDescent="0.55000000000000004">
      <c r="W58192"/>
    </row>
    <row r="58193" spans="23:23" x14ac:dyDescent="0.55000000000000004">
      <c r="W58193"/>
    </row>
    <row r="58194" spans="23:23" x14ac:dyDescent="0.55000000000000004">
      <c r="W58194"/>
    </row>
    <row r="58195" spans="23:23" x14ac:dyDescent="0.55000000000000004">
      <c r="W58195"/>
    </row>
    <row r="58196" spans="23:23" x14ac:dyDescent="0.55000000000000004">
      <c r="W58196"/>
    </row>
    <row r="58197" spans="23:23" x14ac:dyDescent="0.55000000000000004">
      <c r="W58197"/>
    </row>
    <row r="58198" spans="23:23" x14ac:dyDescent="0.55000000000000004">
      <c r="W58198"/>
    </row>
    <row r="58199" spans="23:23" x14ac:dyDescent="0.55000000000000004">
      <c r="W58199"/>
    </row>
    <row r="58200" spans="23:23" x14ac:dyDescent="0.55000000000000004">
      <c r="W58200"/>
    </row>
    <row r="58201" spans="23:23" x14ac:dyDescent="0.55000000000000004">
      <c r="W58201"/>
    </row>
    <row r="58202" spans="23:23" x14ac:dyDescent="0.55000000000000004">
      <c r="W58202"/>
    </row>
    <row r="58203" spans="23:23" x14ac:dyDescent="0.55000000000000004">
      <c r="W58203"/>
    </row>
    <row r="58204" spans="23:23" x14ac:dyDescent="0.55000000000000004">
      <c r="W58204"/>
    </row>
    <row r="58205" spans="23:23" x14ac:dyDescent="0.55000000000000004">
      <c r="W58205"/>
    </row>
    <row r="58206" spans="23:23" x14ac:dyDescent="0.55000000000000004">
      <c r="W58206"/>
    </row>
    <row r="58207" spans="23:23" x14ac:dyDescent="0.55000000000000004">
      <c r="W58207"/>
    </row>
    <row r="58208" spans="23:23" x14ac:dyDescent="0.55000000000000004">
      <c r="W58208"/>
    </row>
    <row r="58209" spans="23:23" x14ac:dyDescent="0.55000000000000004">
      <c r="W58209"/>
    </row>
    <row r="58210" spans="23:23" x14ac:dyDescent="0.55000000000000004">
      <c r="W58210"/>
    </row>
    <row r="58211" spans="23:23" x14ac:dyDescent="0.55000000000000004">
      <c r="W58211"/>
    </row>
    <row r="58212" spans="23:23" x14ac:dyDescent="0.55000000000000004">
      <c r="W58212"/>
    </row>
    <row r="58213" spans="23:23" x14ac:dyDescent="0.55000000000000004">
      <c r="W58213"/>
    </row>
    <row r="58214" spans="23:23" x14ac:dyDescent="0.55000000000000004">
      <c r="W58214"/>
    </row>
    <row r="58215" spans="23:23" x14ac:dyDescent="0.55000000000000004">
      <c r="W58215"/>
    </row>
    <row r="58216" spans="23:23" x14ac:dyDescent="0.55000000000000004">
      <c r="W58216"/>
    </row>
    <row r="58217" spans="23:23" x14ac:dyDescent="0.55000000000000004">
      <c r="W58217"/>
    </row>
    <row r="58218" spans="23:23" x14ac:dyDescent="0.55000000000000004">
      <c r="W58218"/>
    </row>
    <row r="58219" spans="23:23" x14ac:dyDescent="0.55000000000000004">
      <c r="W58219"/>
    </row>
    <row r="58220" spans="23:23" x14ac:dyDescent="0.55000000000000004">
      <c r="W58220"/>
    </row>
    <row r="58221" spans="23:23" x14ac:dyDescent="0.55000000000000004">
      <c r="W58221"/>
    </row>
    <row r="58222" spans="23:23" x14ac:dyDescent="0.55000000000000004">
      <c r="W58222"/>
    </row>
    <row r="58223" spans="23:23" x14ac:dyDescent="0.55000000000000004">
      <c r="W58223"/>
    </row>
    <row r="58224" spans="23:23" x14ac:dyDescent="0.55000000000000004">
      <c r="W58224"/>
    </row>
    <row r="58225" spans="23:23" x14ac:dyDescent="0.55000000000000004">
      <c r="W58225"/>
    </row>
    <row r="58226" spans="23:23" x14ac:dyDescent="0.55000000000000004">
      <c r="W58226"/>
    </row>
    <row r="58227" spans="23:23" x14ac:dyDescent="0.55000000000000004">
      <c r="W58227"/>
    </row>
    <row r="58228" spans="23:23" x14ac:dyDescent="0.55000000000000004">
      <c r="W58228"/>
    </row>
    <row r="58229" spans="23:23" x14ac:dyDescent="0.55000000000000004">
      <c r="W58229"/>
    </row>
    <row r="58230" spans="23:23" x14ac:dyDescent="0.55000000000000004">
      <c r="W58230"/>
    </row>
    <row r="58231" spans="23:23" x14ac:dyDescent="0.55000000000000004">
      <c r="W58231"/>
    </row>
    <row r="58232" spans="23:23" x14ac:dyDescent="0.55000000000000004">
      <c r="W58232"/>
    </row>
    <row r="58233" spans="23:23" x14ac:dyDescent="0.55000000000000004">
      <c r="W58233"/>
    </row>
    <row r="58234" spans="23:23" x14ac:dyDescent="0.55000000000000004">
      <c r="W58234"/>
    </row>
    <row r="58235" spans="23:23" x14ac:dyDescent="0.55000000000000004">
      <c r="W58235"/>
    </row>
    <row r="58236" spans="23:23" x14ac:dyDescent="0.55000000000000004">
      <c r="W58236"/>
    </row>
    <row r="58237" spans="23:23" x14ac:dyDescent="0.55000000000000004">
      <c r="W58237"/>
    </row>
    <row r="58238" spans="23:23" x14ac:dyDescent="0.55000000000000004">
      <c r="W58238"/>
    </row>
    <row r="58239" spans="23:23" x14ac:dyDescent="0.55000000000000004">
      <c r="W58239"/>
    </row>
    <row r="58240" spans="23:23" x14ac:dyDescent="0.55000000000000004">
      <c r="W58240"/>
    </row>
    <row r="58241" spans="23:23" x14ac:dyDescent="0.55000000000000004">
      <c r="W58241"/>
    </row>
    <row r="58242" spans="23:23" x14ac:dyDescent="0.55000000000000004">
      <c r="W58242"/>
    </row>
    <row r="58243" spans="23:23" x14ac:dyDescent="0.55000000000000004">
      <c r="W58243"/>
    </row>
    <row r="58244" spans="23:23" x14ac:dyDescent="0.55000000000000004">
      <c r="W58244"/>
    </row>
    <row r="58245" spans="23:23" x14ac:dyDescent="0.55000000000000004">
      <c r="W58245"/>
    </row>
    <row r="58246" spans="23:23" x14ac:dyDescent="0.55000000000000004">
      <c r="W58246"/>
    </row>
    <row r="58247" spans="23:23" x14ac:dyDescent="0.55000000000000004">
      <c r="W58247"/>
    </row>
    <row r="58248" spans="23:23" x14ac:dyDescent="0.55000000000000004">
      <c r="W58248"/>
    </row>
    <row r="58249" spans="23:23" x14ac:dyDescent="0.55000000000000004">
      <c r="W58249"/>
    </row>
    <row r="58250" spans="23:23" x14ac:dyDescent="0.55000000000000004">
      <c r="W58250"/>
    </row>
    <row r="58251" spans="23:23" x14ac:dyDescent="0.55000000000000004">
      <c r="W58251"/>
    </row>
    <row r="58252" spans="23:23" x14ac:dyDescent="0.55000000000000004">
      <c r="W58252"/>
    </row>
    <row r="58253" spans="23:23" x14ac:dyDescent="0.55000000000000004">
      <c r="W58253"/>
    </row>
    <row r="58254" spans="23:23" x14ac:dyDescent="0.55000000000000004">
      <c r="W58254"/>
    </row>
    <row r="58255" spans="23:23" x14ac:dyDescent="0.55000000000000004">
      <c r="W58255"/>
    </row>
    <row r="58256" spans="23:23" x14ac:dyDescent="0.55000000000000004">
      <c r="W58256"/>
    </row>
    <row r="58257" spans="23:23" x14ac:dyDescent="0.55000000000000004">
      <c r="W58257"/>
    </row>
    <row r="58258" spans="23:23" x14ac:dyDescent="0.55000000000000004">
      <c r="W58258"/>
    </row>
    <row r="58259" spans="23:23" x14ac:dyDescent="0.55000000000000004">
      <c r="W58259"/>
    </row>
    <row r="58260" spans="23:23" x14ac:dyDescent="0.55000000000000004">
      <c r="W58260"/>
    </row>
    <row r="58261" spans="23:23" x14ac:dyDescent="0.55000000000000004">
      <c r="W58261"/>
    </row>
    <row r="58262" spans="23:23" x14ac:dyDescent="0.55000000000000004">
      <c r="W58262"/>
    </row>
    <row r="58263" spans="23:23" x14ac:dyDescent="0.55000000000000004">
      <c r="W58263"/>
    </row>
    <row r="58264" spans="23:23" x14ac:dyDescent="0.55000000000000004">
      <c r="W58264"/>
    </row>
    <row r="58265" spans="23:23" x14ac:dyDescent="0.55000000000000004">
      <c r="W58265"/>
    </row>
    <row r="58266" spans="23:23" x14ac:dyDescent="0.55000000000000004">
      <c r="W58266"/>
    </row>
    <row r="58267" spans="23:23" x14ac:dyDescent="0.55000000000000004">
      <c r="W58267"/>
    </row>
    <row r="58268" spans="23:23" x14ac:dyDescent="0.55000000000000004">
      <c r="W58268"/>
    </row>
    <row r="58269" spans="23:23" x14ac:dyDescent="0.55000000000000004">
      <c r="W58269"/>
    </row>
    <row r="58270" spans="23:23" x14ac:dyDescent="0.55000000000000004">
      <c r="W58270"/>
    </row>
    <row r="58271" spans="23:23" x14ac:dyDescent="0.55000000000000004">
      <c r="W58271"/>
    </row>
    <row r="58272" spans="23:23" x14ac:dyDescent="0.55000000000000004">
      <c r="W58272"/>
    </row>
    <row r="58273" spans="23:23" x14ac:dyDescent="0.55000000000000004">
      <c r="W58273"/>
    </row>
    <row r="58274" spans="23:23" x14ac:dyDescent="0.55000000000000004">
      <c r="W58274"/>
    </row>
    <row r="58275" spans="23:23" x14ac:dyDescent="0.55000000000000004">
      <c r="W58275"/>
    </row>
    <row r="58276" spans="23:23" x14ac:dyDescent="0.55000000000000004">
      <c r="W58276"/>
    </row>
    <row r="58277" spans="23:23" x14ac:dyDescent="0.55000000000000004">
      <c r="W58277"/>
    </row>
    <row r="58278" spans="23:23" x14ac:dyDescent="0.55000000000000004">
      <c r="W58278"/>
    </row>
    <row r="58279" spans="23:23" x14ac:dyDescent="0.55000000000000004">
      <c r="W58279"/>
    </row>
    <row r="58280" spans="23:23" x14ac:dyDescent="0.55000000000000004">
      <c r="W58280"/>
    </row>
    <row r="58281" spans="23:23" x14ac:dyDescent="0.55000000000000004">
      <c r="W58281"/>
    </row>
    <row r="58282" spans="23:23" x14ac:dyDescent="0.55000000000000004">
      <c r="W58282"/>
    </row>
    <row r="58283" spans="23:23" x14ac:dyDescent="0.55000000000000004">
      <c r="W58283"/>
    </row>
    <row r="58284" spans="23:23" x14ac:dyDescent="0.55000000000000004">
      <c r="W58284"/>
    </row>
    <row r="58285" spans="23:23" x14ac:dyDescent="0.55000000000000004">
      <c r="W58285"/>
    </row>
    <row r="58286" spans="23:23" x14ac:dyDescent="0.55000000000000004">
      <c r="W58286"/>
    </row>
    <row r="58287" spans="23:23" x14ac:dyDescent="0.55000000000000004">
      <c r="W58287"/>
    </row>
    <row r="58288" spans="23:23" x14ac:dyDescent="0.55000000000000004">
      <c r="W58288"/>
    </row>
    <row r="58289" spans="23:23" x14ac:dyDescent="0.55000000000000004">
      <c r="W58289"/>
    </row>
    <row r="58290" spans="23:23" x14ac:dyDescent="0.55000000000000004">
      <c r="W58290"/>
    </row>
    <row r="58291" spans="23:23" x14ac:dyDescent="0.55000000000000004">
      <c r="W58291"/>
    </row>
    <row r="58292" spans="23:23" x14ac:dyDescent="0.55000000000000004">
      <c r="W58292"/>
    </row>
    <row r="58293" spans="23:23" x14ac:dyDescent="0.55000000000000004">
      <c r="W58293"/>
    </row>
    <row r="58294" spans="23:23" x14ac:dyDescent="0.55000000000000004">
      <c r="W58294"/>
    </row>
    <row r="58295" spans="23:23" x14ac:dyDescent="0.55000000000000004">
      <c r="W58295"/>
    </row>
    <row r="58296" spans="23:23" x14ac:dyDescent="0.55000000000000004">
      <c r="W58296"/>
    </row>
    <row r="58297" spans="23:23" x14ac:dyDescent="0.55000000000000004">
      <c r="W58297"/>
    </row>
    <row r="58298" spans="23:23" x14ac:dyDescent="0.55000000000000004">
      <c r="W58298"/>
    </row>
    <row r="58299" spans="23:23" x14ac:dyDescent="0.55000000000000004">
      <c r="W58299"/>
    </row>
    <row r="58300" spans="23:23" x14ac:dyDescent="0.55000000000000004">
      <c r="W58300"/>
    </row>
    <row r="58301" spans="23:23" x14ac:dyDescent="0.55000000000000004">
      <c r="W58301"/>
    </row>
    <row r="58302" spans="23:23" x14ac:dyDescent="0.55000000000000004">
      <c r="W58302"/>
    </row>
    <row r="58303" spans="23:23" x14ac:dyDescent="0.55000000000000004">
      <c r="W58303"/>
    </row>
    <row r="58304" spans="23:23" x14ac:dyDescent="0.55000000000000004">
      <c r="W58304"/>
    </row>
    <row r="58305" spans="23:23" x14ac:dyDescent="0.55000000000000004">
      <c r="W58305"/>
    </row>
    <row r="58306" spans="23:23" x14ac:dyDescent="0.55000000000000004">
      <c r="W58306"/>
    </row>
    <row r="58307" spans="23:23" x14ac:dyDescent="0.55000000000000004">
      <c r="W58307"/>
    </row>
    <row r="58308" spans="23:23" x14ac:dyDescent="0.55000000000000004">
      <c r="W58308"/>
    </row>
    <row r="58309" spans="23:23" x14ac:dyDescent="0.55000000000000004">
      <c r="W58309"/>
    </row>
    <row r="58310" spans="23:23" x14ac:dyDescent="0.55000000000000004">
      <c r="W58310"/>
    </row>
    <row r="58311" spans="23:23" x14ac:dyDescent="0.55000000000000004">
      <c r="W58311"/>
    </row>
    <row r="58312" spans="23:23" x14ac:dyDescent="0.55000000000000004">
      <c r="W58312"/>
    </row>
    <row r="58313" spans="23:23" x14ac:dyDescent="0.55000000000000004">
      <c r="W58313"/>
    </row>
    <row r="58314" spans="23:23" x14ac:dyDescent="0.55000000000000004">
      <c r="W58314"/>
    </row>
    <row r="58315" spans="23:23" x14ac:dyDescent="0.55000000000000004">
      <c r="W58315"/>
    </row>
    <row r="58316" spans="23:23" x14ac:dyDescent="0.55000000000000004">
      <c r="W58316"/>
    </row>
    <row r="58317" spans="23:23" x14ac:dyDescent="0.55000000000000004">
      <c r="W58317"/>
    </row>
    <row r="58318" spans="23:23" x14ac:dyDescent="0.55000000000000004">
      <c r="W58318"/>
    </row>
    <row r="58319" spans="23:23" x14ac:dyDescent="0.55000000000000004">
      <c r="W58319"/>
    </row>
    <row r="58320" spans="23:23" x14ac:dyDescent="0.55000000000000004">
      <c r="W58320"/>
    </row>
    <row r="58321" spans="23:23" x14ac:dyDescent="0.55000000000000004">
      <c r="W58321"/>
    </row>
    <row r="58322" spans="23:23" x14ac:dyDescent="0.55000000000000004">
      <c r="W58322"/>
    </row>
    <row r="58323" spans="23:23" x14ac:dyDescent="0.55000000000000004">
      <c r="W58323"/>
    </row>
    <row r="58324" spans="23:23" x14ac:dyDescent="0.55000000000000004">
      <c r="W58324"/>
    </row>
    <row r="58325" spans="23:23" x14ac:dyDescent="0.55000000000000004">
      <c r="W58325"/>
    </row>
    <row r="58326" spans="23:23" x14ac:dyDescent="0.55000000000000004">
      <c r="W58326"/>
    </row>
    <row r="58327" spans="23:23" x14ac:dyDescent="0.55000000000000004">
      <c r="W58327"/>
    </row>
    <row r="58328" spans="23:23" x14ac:dyDescent="0.55000000000000004">
      <c r="W58328"/>
    </row>
    <row r="58329" spans="23:23" x14ac:dyDescent="0.55000000000000004">
      <c r="W58329"/>
    </row>
    <row r="58330" spans="23:23" x14ac:dyDescent="0.55000000000000004">
      <c r="W58330"/>
    </row>
    <row r="58331" spans="23:23" x14ac:dyDescent="0.55000000000000004">
      <c r="W58331"/>
    </row>
    <row r="58332" spans="23:23" x14ac:dyDescent="0.55000000000000004">
      <c r="W58332"/>
    </row>
    <row r="58333" spans="23:23" x14ac:dyDescent="0.55000000000000004">
      <c r="W58333"/>
    </row>
    <row r="58334" spans="23:23" x14ac:dyDescent="0.55000000000000004">
      <c r="W58334"/>
    </row>
    <row r="58335" spans="23:23" x14ac:dyDescent="0.55000000000000004">
      <c r="W58335"/>
    </row>
    <row r="58336" spans="23:23" x14ac:dyDescent="0.55000000000000004">
      <c r="W58336"/>
    </row>
    <row r="58337" spans="23:23" x14ac:dyDescent="0.55000000000000004">
      <c r="W58337"/>
    </row>
    <row r="58338" spans="23:23" x14ac:dyDescent="0.55000000000000004">
      <c r="W58338"/>
    </row>
    <row r="58339" spans="23:23" x14ac:dyDescent="0.55000000000000004">
      <c r="W58339"/>
    </row>
    <row r="58340" spans="23:23" x14ac:dyDescent="0.55000000000000004">
      <c r="W58340"/>
    </row>
    <row r="58341" spans="23:23" x14ac:dyDescent="0.55000000000000004">
      <c r="W58341"/>
    </row>
    <row r="58342" spans="23:23" x14ac:dyDescent="0.55000000000000004">
      <c r="W58342"/>
    </row>
    <row r="58343" spans="23:23" x14ac:dyDescent="0.55000000000000004">
      <c r="W58343"/>
    </row>
    <row r="58344" spans="23:23" x14ac:dyDescent="0.55000000000000004">
      <c r="W58344"/>
    </row>
    <row r="58345" spans="23:23" x14ac:dyDescent="0.55000000000000004">
      <c r="W58345"/>
    </row>
    <row r="58346" spans="23:23" x14ac:dyDescent="0.55000000000000004">
      <c r="W58346"/>
    </row>
    <row r="58347" spans="23:23" x14ac:dyDescent="0.55000000000000004">
      <c r="W58347"/>
    </row>
    <row r="58348" spans="23:23" x14ac:dyDescent="0.55000000000000004">
      <c r="W58348"/>
    </row>
    <row r="58349" spans="23:23" x14ac:dyDescent="0.55000000000000004">
      <c r="W58349"/>
    </row>
    <row r="58350" spans="23:23" x14ac:dyDescent="0.55000000000000004">
      <c r="W58350"/>
    </row>
    <row r="58351" spans="23:23" x14ac:dyDescent="0.55000000000000004">
      <c r="W58351"/>
    </row>
    <row r="58352" spans="23:23" x14ac:dyDescent="0.55000000000000004">
      <c r="W58352"/>
    </row>
    <row r="58353" spans="23:23" x14ac:dyDescent="0.55000000000000004">
      <c r="W58353"/>
    </row>
    <row r="58354" spans="23:23" x14ac:dyDescent="0.55000000000000004">
      <c r="W58354"/>
    </row>
    <row r="58355" spans="23:23" x14ac:dyDescent="0.55000000000000004">
      <c r="W58355"/>
    </row>
    <row r="58356" spans="23:23" x14ac:dyDescent="0.55000000000000004">
      <c r="W58356"/>
    </row>
    <row r="58357" spans="23:23" x14ac:dyDescent="0.55000000000000004">
      <c r="W58357"/>
    </row>
    <row r="58358" spans="23:23" x14ac:dyDescent="0.55000000000000004">
      <c r="W58358"/>
    </row>
    <row r="58359" spans="23:23" x14ac:dyDescent="0.55000000000000004">
      <c r="W58359"/>
    </row>
    <row r="58360" spans="23:23" x14ac:dyDescent="0.55000000000000004">
      <c r="W58360"/>
    </row>
    <row r="58361" spans="23:23" x14ac:dyDescent="0.55000000000000004">
      <c r="W58361"/>
    </row>
    <row r="58362" spans="23:23" x14ac:dyDescent="0.55000000000000004">
      <c r="W58362"/>
    </row>
    <row r="58363" spans="23:23" x14ac:dyDescent="0.55000000000000004">
      <c r="W58363"/>
    </row>
    <row r="58364" spans="23:23" x14ac:dyDescent="0.55000000000000004">
      <c r="W58364"/>
    </row>
    <row r="58365" spans="23:23" x14ac:dyDescent="0.55000000000000004">
      <c r="W58365"/>
    </row>
    <row r="58366" spans="23:23" x14ac:dyDescent="0.55000000000000004">
      <c r="W58366"/>
    </row>
    <row r="58367" spans="23:23" x14ac:dyDescent="0.55000000000000004">
      <c r="W58367"/>
    </row>
    <row r="58368" spans="23:23" x14ac:dyDescent="0.55000000000000004">
      <c r="W58368"/>
    </row>
    <row r="58369" spans="23:23" x14ac:dyDescent="0.55000000000000004">
      <c r="W58369"/>
    </row>
    <row r="58370" spans="23:23" x14ac:dyDescent="0.55000000000000004">
      <c r="W58370"/>
    </row>
    <row r="58371" spans="23:23" x14ac:dyDescent="0.55000000000000004">
      <c r="W58371"/>
    </row>
    <row r="58372" spans="23:23" x14ac:dyDescent="0.55000000000000004">
      <c r="W58372"/>
    </row>
    <row r="58373" spans="23:23" x14ac:dyDescent="0.55000000000000004">
      <c r="W58373"/>
    </row>
    <row r="58374" spans="23:23" x14ac:dyDescent="0.55000000000000004">
      <c r="W58374"/>
    </row>
    <row r="58375" spans="23:23" x14ac:dyDescent="0.55000000000000004">
      <c r="W58375"/>
    </row>
    <row r="58376" spans="23:23" x14ac:dyDescent="0.55000000000000004">
      <c r="W58376"/>
    </row>
    <row r="58377" spans="23:23" x14ac:dyDescent="0.55000000000000004">
      <c r="W58377"/>
    </row>
    <row r="58378" spans="23:23" x14ac:dyDescent="0.55000000000000004">
      <c r="W58378"/>
    </row>
    <row r="58379" spans="23:23" x14ac:dyDescent="0.55000000000000004">
      <c r="W58379"/>
    </row>
    <row r="58380" spans="23:23" x14ac:dyDescent="0.55000000000000004">
      <c r="W58380"/>
    </row>
    <row r="58381" spans="23:23" x14ac:dyDescent="0.55000000000000004">
      <c r="W58381"/>
    </row>
    <row r="58382" spans="23:23" x14ac:dyDescent="0.55000000000000004">
      <c r="W58382"/>
    </row>
    <row r="58383" spans="23:23" x14ac:dyDescent="0.55000000000000004">
      <c r="W58383"/>
    </row>
    <row r="58384" spans="23:23" x14ac:dyDescent="0.55000000000000004">
      <c r="W58384"/>
    </row>
    <row r="58385" spans="23:23" x14ac:dyDescent="0.55000000000000004">
      <c r="W58385"/>
    </row>
    <row r="58386" spans="23:23" x14ac:dyDescent="0.55000000000000004">
      <c r="W58386"/>
    </row>
    <row r="58387" spans="23:23" x14ac:dyDescent="0.55000000000000004">
      <c r="W58387"/>
    </row>
    <row r="58388" spans="23:23" x14ac:dyDescent="0.55000000000000004">
      <c r="W58388"/>
    </row>
    <row r="58389" spans="23:23" x14ac:dyDescent="0.55000000000000004">
      <c r="W58389"/>
    </row>
    <row r="58390" spans="23:23" x14ac:dyDescent="0.55000000000000004">
      <c r="W58390"/>
    </row>
    <row r="58391" spans="23:23" x14ac:dyDescent="0.55000000000000004">
      <c r="W58391"/>
    </row>
    <row r="58392" spans="23:23" x14ac:dyDescent="0.55000000000000004">
      <c r="W58392"/>
    </row>
    <row r="58393" spans="23:23" x14ac:dyDescent="0.55000000000000004">
      <c r="W58393"/>
    </row>
    <row r="58394" spans="23:23" x14ac:dyDescent="0.55000000000000004">
      <c r="W58394"/>
    </row>
    <row r="58395" spans="23:23" x14ac:dyDescent="0.55000000000000004">
      <c r="W58395"/>
    </row>
    <row r="58396" spans="23:23" x14ac:dyDescent="0.55000000000000004">
      <c r="W58396"/>
    </row>
    <row r="58397" spans="23:23" x14ac:dyDescent="0.55000000000000004">
      <c r="W58397"/>
    </row>
    <row r="58398" spans="23:23" x14ac:dyDescent="0.55000000000000004">
      <c r="W58398"/>
    </row>
    <row r="58399" spans="23:23" x14ac:dyDescent="0.55000000000000004">
      <c r="W58399"/>
    </row>
    <row r="58400" spans="23:23" x14ac:dyDescent="0.55000000000000004">
      <c r="W58400"/>
    </row>
    <row r="58401" spans="23:23" x14ac:dyDescent="0.55000000000000004">
      <c r="W58401"/>
    </row>
    <row r="58402" spans="23:23" x14ac:dyDescent="0.55000000000000004">
      <c r="W58402"/>
    </row>
    <row r="58403" spans="23:23" x14ac:dyDescent="0.55000000000000004">
      <c r="W58403"/>
    </row>
    <row r="58404" spans="23:23" x14ac:dyDescent="0.55000000000000004">
      <c r="W58404"/>
    </row>
    <row r="58405" spans="23:23" x14ac:dyDescent="0.55000000000000004">
      <c r="W58405"/>
    </row>
    <row r="58406" spans="23:23" x14ac:dyDescent="0.55000000000000004">
      <c r="W58406"/>
    </row>
    <row r="58407" spans="23:23" x14ac:dyDescent="0.55000000000000004">
      <c r="W58407"/>
    </row>
    <row r="58408" spans="23:23" x14ac:dyDescent="0.55000000000000004">
      <c r="W58408"/>
    </row>
    <row r="58409" spans="23:23" x14ac:dyDescent="0.55000000000000004">
      <c r="W58409"/>
    </row>
    <row r="58410" spans="23:23" x14ac:dyDescent="0.55000000000000004">
      <c r="W58410"/>
    </row>
    <row r="58411" spans="23:23" x14ac:dyDescent="0.55000000000000004">
      <c r="W58411"/>
    </row>
    <row r="58412" spans="23:23" x14ac:dyDescent="0.55000000000000004">
      <c r="W58412"/>
    </row>
    <row r="58413" spans="23:23" x14ac:dyDescent="0.55000000000000004">
      <c r="W58413"/>
    </row>
    <row r="58414" spans="23:23" x14ac:dyDescent="0.55000000000000004">
      <c r="W58414"/>
    </row>
    <row r="58415" spans="23:23" x14ac:dyDescent="0.55000000000000004">
      <c r="W58415"/>
    </row>
    <row r="58416" spans="23:23" x14ac:dyDescent="0.55000000000000004">
      <c r="W58416"/>
    </row>
    <row r="58417" spans="23:23" x14ac:dyDescent="0.55000000000000004">
      <c r="W58417"/>
    </row>
    <row r="58418" spans="23:23" x14ac:dyDescent="0.55000000000000004">
      <c r="W58418"/>
    </row>
    <row r="58419" spans="23:23" x14ac:dyDescent="0.55000000000000004">
      <c r="W58419"/>
    </row>
    <row r="58420" spans="23:23" x14ac:dyDescent="0.55000000000000004">
      <c r="W58420"/>
    </row>
    <row r="58421" spans="23:23" x14ac:dyDescent="0.55000000000000004">
      <c r="W58421"/>
    </row>
    <row r="58422" spans="23:23" x14ac:dyDescent="0.55000000000000004">
      <c r="W58422"/>
    </row>
    <row r="58423" spans="23:23" x14ac:dyDescent="0.55000000000000004">
      <c r="W58423"/>
    </row>
    <row r="58424" spans="23:23" x14ac:dyDescent="0.55000000000000004">
      <c r="W58424"/>
    </row>
    <row r="58425" spans="23:23" x14ac:dyDescent="0.55000000000000004">
      <c r="W58425"/>
    </row>
    <row r="58426" spans="23:23" x14ac:dyDescent="0.55000000000000004">
      <c r="W58426"/>
    </row>
    <row r="58427" spans="23:23" x14ac:dyDescent="0.55000000000000004">
      <c r="W58427"/>
    </row>
    <row r="58428" spans="23:23" x14ac:dyDescent="0.55000000000000004">
      <c r="W58428"/>
    </row>
    <row r="58429" spans="23:23" x14ac:dyDescent="0.55000000000000004">
      <c r="W58429"/>
    </row>
    <row r="58430" spans="23:23" x14ac:dyDescent="0.55000000000000004">
      <c r="W58430"/>
    </row>
    <row r="58431" spans="23:23" x14ac:dyDescent="0.55000000000000004">
      <c r="W58431"/>
    </row>
    <row r="58432" spans="23:23" x14ac:dyDescent="0.55000000000000004">
      <c r="W58432"/>
    </row>
    <row r="58433" spans="23:23" x14ac:dyDescent="0.55000000000000004">
      <c r="W58433"/>
    </row>
    <row r="58434" spans="23:23" x14ac:dyDescent="0.55000000000000004">
      <c r="W58434"/>
    </row>
    <row r="58435" spans="23:23" x14ac:dyDescent="0.55000000000000004">
      <c r="W58435"/>
    </row>
    <row r="58436" spans="23:23" x14ac:dyDescent="0.55000000000000004">
      <c r="W58436"/>
    </row>
    <row r="58437" spans="23:23" x14ac:dyDescent="0.55000000000000004">
      <c r="W58437"/>
    </row>
    <row r="58438" spans="23:23" x14ac:dyDescent="0.55000000000000004">
      <c r="W58438"/>
    </row>
    <row r="58439" spans="23:23" x14ac:dyDescent="0.55000000000000004">
      <c r="W58439"/>
    </row>
    <row r="58440" spans="23:23" x14ac:dyDescent="0.55000000000000004">
      <c r="W58440"/>
    </row>
    <row r="58441" spans="23:23" x14ac:dyDescent="0.55000000000000004">
      <c r="W58441"/>
    </row>
    <row r="58442" spans="23:23" x14ac:dyDescent="0.55000000000000004">
      <c r="W58442"/>
    </row>
    <row r="58443" spans="23:23" x14ac:dyDescent="0.55000000000000004">
      <c r="W58443"/>
    </row>
    <row r="58444" spans="23:23" x14ac:dyDescent="0.55000000000000004">
      <c r="W58444"/>
    </row>
    <row r="58445" spans="23:23" x14ac:dyDescent="0.55000000000000004">
      <c r="W58445"/>
    </row>
    <row r="58446" spans="23:23" x14ac:dyDescent="0.55000000000000004">
      <c r="W58446"/>
    </row>
    <row r="58447" spans="23:23" x14ac:dyDescent="0.55000000000000004">
      <c r="W58447"/>
    </row>
    <row r="58448" spans="23:23" x14ac:dyDescent="0.55000000000000004">
      <c r="W58448"/>
    </row>
    <row r="58449" spans="23:23" x14ac:dyDescent="0.55000000000000004">
      <c r="W58449"/>
    </row>
    <row r="58450" spans="23:23" x14ac:dyDescent="0.55000000000000004">
      <c r="W58450"/>
    </row>
    <row r="58451" spans="23:23" x14ac:dyDescent="0.55000000000000004">
      <c r="W58451"/>
    </row>
    <row r="58452" spans="23:23" x14ac:dyDescent="0.55000000000000004">
      <c r="W58452"/>
    </row>
    <row r="58453" spans="23:23" x14ac:dyDescent="0.55000000000000004">
      <c r="W58453"/>
    </row>
    <row r="58454" spans="23:23" x14ac:dyDescent="0.55000000000000004">
      <c r="W58454"/>
    </row>
    <row r="58455" spans="23:23" x14ac:dyDescent="0.55000000000000004">
      <c r="W58455"/>
    </row>
    <row r="58456" spans="23:23" x14ac:dyDescent="0.55000000000000004">
      <c r="W58456"/>
    </row>
    <row r="58457" spans="23:23" x14ac:dyDescent="0.55000000000000004">
      <c r="W58457"/>
    </row>
    <row r="58458" spans="23:23" x14ac:dyDescent="0.55000000000000004">
      <c r="W58458"/>
    </row>
    <row r="58459" spans="23:23" x14ac:dyDescent="0.55000000000000004">
      <c r="W58459"/>
    </row>
    <row r="58460" spans="23:23" x14ac:dyDescent="0.55000000000000004">
      <c r="W58460"/>
    </row>
    <row r="58461" spans="23:23" x14ac:dyDescent="0.55000000000000004">
      <c r="W58461"/>
    </row>
    <row r="58462" spans="23:23" x14ac:dyDescent="0.55000000000000004">
      <c r="W58462"/>
    </row>
    <row r="58463" spans="23:23" x14ac:dyDescent="0.55000000000000004">
      <c r="W58463"/>
    </row>
    <row r="58464" spans="23:23" x14ac:dyDescent="0.55000000000000004">
      <c r="W58464"/>
    </row>
    <row r="58465" spans="23:23" x14ac:dyDescent="0.55000000000000004">
      <c r="W58465"/>
    </row>
    <row r="58466" spans="23:23" x14ac:dyDescent="0.55000000000000004">
      <c r="W58466"/>
    </row>
    <row r="58467" spans="23:23" x14ac:dyDescent="0.55000000000000004">
      <c r="W58467"/>
    </row>
    <row r="58468" spans="23:23" x14ac:dyDescent="0.55000000000000004">
      <c r="W58468"/>
    </row>
    <row r="58469" spans="23:23" x14ac:dyDescent="0.55000000000000004">
      <c r="W58469"/>
    </row>
    <row r="58470" spans="23:23" x14ac:dyDescent="0.55000000000000004">
      <c r="W58470"/>
    </row>
    <row r="58471" spans="23:23" x14ac:dyDescent="0.55000000000000004">
      <c r="W58471"/>
    </row>
    <row r="58472" spans="23:23" x14ac:dyDescent="0.55000000000000004">
      <c r="W58472"/>
    </row>
    <row r="58473" spans="23:23" x14ac:dyDescent="0.55000000000000004">
      <c r="W58473"/>
    </row>
    <row r="58474" spans="23:23" x14ac:dyDescent="0.55000000000000004">
      <c r="W58474"/>
    </row>
    <row r="58475" spans="23:23" x14ac:dyDescent="0.55000000000000004">
      <c r="W58475"/>
    </row>
    <row r="58476" spans="23:23" x14ac:dyDescent="0.55000000000000004">
      <c r="W58476"/>
    </row>
    <row r="58477" spans="23:23" x14ac:dyDescent="0.55000000000000004">
      <c r="W58477"/>
    </row>
    <row r="58478" spans="23:23" x14ac:dyDescent="0.55000000000000004">
      <c r="W58478"/>
    </row>
    <row r="58479" spans="23:23" x14ac:dyDescent="0.55000000000000004">
      <c r="W58479"/>
    </row>
    <row r="58480" spans="23:23" x14ac:dyDescent="0.55000000000000004">
      <c r="W58480"/>
    </row>
    <row r="58481" spans="23:23" x14ac:dyDescent="0.55000000000000004">
      <c r="W58481"/>
    </row>
    <row r="58482" spans="23:23" x14ac:dyDescent="0.55000000000000004">
      <c r="W58482"/>
    </row>
    <row r="58483" spans="23:23" x14ac:dyDescent="0.55000000000000004">
      <c r="W58483"/>
    </row>
    <row r="58484" spans="23:23" x14ac:dyDescent="0.55000000000000004">
      <c r="W58484"/>
    </row>
    <row r="58485" spans="23:23" x14ac:dyDescent="0.55000000000000004">
      <c r="W58485"/>
    </row>
    <row r="58486" spans="23:23" x14ac:dyDescent="0.55000000000000004">
      <c r="W58486"/>
    </row>
    <row r="58487" spans="23:23" x14ac:dyDescent="0.55000000000000004">
      <c r="W58487"/>
    </row>
    <row r="58488" spans="23:23" x14ac:dyDescent="0.55000000000000004">
      <c r="W58488"/>
    </row>
    <row r="58489" spans="23:23" x14ac:dyDescent="0.55000000000000004">
      <c r="W58489"/>
    </row>
    <row r="58490" spans="23:23" x14ac:dyDescent="0.55000000000000004">
      <c r="W58490"/>
    </row>
    <row r="58491" spans="23:23" x14ac:dyDescent="0.55000000000000004">
      <c r="W58491"/>
    </row>
    <row r="58492" spans="23:23" x14ac:dyDescent="0.55000000000000004">
      <c r="W58492"/>
    </row>
    <row r="58493" spans="23:23" x14ac:dyDescent="0.55000000000000004">
      <c r="W58493"/>
    </row>
    <row r="58494" spans="23:23" x14ac:dyDescent="0.55000000000000004">
      <c r="W58494"/>
    </row>
    <row r="58495" spans="23:23" x14ac:dyDescent="0.55000000000000004">
      <c r="W58495"/>
    </row>
    <row r="58496" spans="23:23" x14ac:dyDescent="0.55000000000000004">
      <c r="W58496"/>
    </row>
    <row r="58497" spans="23:23" x14ac:dyDescent="0.55000000000000004">
      <c r="W58497"/>
    </row>
    <row r="58498" spans="23:23" x14ac:dyDescent="0.55000000000000004">
      <c r="W58498"/>
    </row>
    <row r="58499" spans="23:23" x14ac:dyDescent="0.55000000000000004">
      <c r="W58499"/>
    </row>
    <row r="58500" spans="23:23" x14ac:dyDescent="0.55000000000000004">
      <c r="W58500"/>
    </row>
    <row r="58501" spans="23:23" x14ac:dyDescent="0.55000000000000004">
      <c r="W58501"/>
    </row>
    <row r="58502" spans="23:23" x14ac:dyDescent="0.55000000000000004">
      <c r="W58502"/>
    </row>
    <row r="58503" spans="23:23" x14ac:dyDescent="0.55000000000000004">
      <c r="W58503"/>
    </row>
    <row r="58504" spans="23:23" x14ac:dyDescent="0.55000000000000004">
      <c r="W58504"/>
    </row>
    <row r="58505" spans="23:23" x14ac:dyDescent="0.55000000000000004">
      <c r="W58505"/>
    </row>
    <row r="58506" spans="23:23" x14ac:dyDescent="0.55000000000000004">
      <c r="W58506"/>
    </row>
    <row r="58507" spans="23:23" x14ac:dyDescent="0.55000000000000004">
      <c r="W58507"/>
    </row>
    <row r="58508" spans="23:23" x14ac:dyDescent="0.55000000000000004">
      <c r="W58508"/>
    </row>
    <row r="58509" spans="23:23" x14ac:dyDescent="0.55000000000000004">
      <c r="W58509"/>
    </row>
    <row r="58510" spans="23:23" x14ac:dyDescent="0.55000000000000004">
      <c r="W58510"/>
    </row>
    <row r="58511" spans="23:23" x14ac:dyDescent="0.55000000000000004">
      <c r="W58511"/>
    </row>
    <row r="58512" spans="23:23" x14ac:dyDescent="0.55000000000000004">
      <c r="W58512"/>
    </row>
    <row r="58513" spans="23:23" x14ac:dyDescent="0.55000000000000004">
      <c r="W58513"/>
    </row>
    <row r="58514" spans="23:23" x14ac:dyDescent="0.55000000000000004">
      <c r="W58514"/>
    </row>
    <row r="58515" spans="23:23" x14ac:dyDescent="0.55000000000000004">
      <c r="W58515"/>
    </row>
    <row r="58516" spans="23:23" x14ac:dyDescent="0.55000000000000004">
      <c r="W58516"/>
    </row>
    <row r="58517" spans="23:23" x14ac:dyDescent="0.55000000000000004">
      <c r="W58517"/>
    </row>
    <row r="58518" spans="23:23" x14ac:dyDescent="0.55000000000000004">
      <c r="W58518"/>
    </row>
    <row r="58519" spans="23:23" x14ac:dyDescent="0.55000000000000004">
      <c r="W58519"/>
    </row>
    <row r="58520" spans="23:23" x14ac:dyDescent="0.55000000000000004">
      <c r="W58520"/>
    </row>
    <row r="58521" spans="23:23" x14ac:dyDescent="0.55000000000000004">
      <c r="W58521"/>
    </row>
    <row r="58522" spans="23:23" x14ac:dyDescent="0.55000000000000004">
      <c r="W58522"/>
    </row>
    <row r="58523" spans="23:23" x14ac:dyDescent="0.55000000000000004">
      <c r="W58523"/>
    </row>
    <row r="58524" spans="23:23" x14ac:dyDescent="0.55000000000000004">
      <c r="W58524"/>
    </row>
    <row r="58525" spans="23:23" x14ac:dyDescent="0.55000000000000004">
      <c r="W58525"/>
    </row>
    <row r="58526" spans="23:23" x14ac:dyDescent="0.55000000000000004">
      <c r="W58526"/>
    </row>
    <row r="58527" spans="23:23" x14ac:dyDescent="0.55000000000000004">
      <c r="W58527"/>
    </row>
    <row r="58528" spans="23:23" x14ac:dyDescent="0.55000000000000004">
      <c r="W58528"/>
    </row>
    <row r="58529" spans="23:23" x14ac:dyDescent="0.55000000000000004">
      <c r="W58529"/>
    </row>
    <row r="58530" spans="23:23" x14ac:dyDescent="0.55000000000000004">
      <c r="W58530"/>
    </row>
    <row r="58531" spans="23:23" x14ac:dyDescent="0.55000000000000004">
      <c r="W58531"/>
    </row>
    <row r="58532" spans="23:23" x14ac:dyDescent="0.55000000000000004">
      <c r="W58532"/>
    </row>
    <row r="58533" spans="23:23" x14ac:dyDescent="0.55000000000000004">
      <c r="W58533"/>
    </row>
    <row r="58534" spans="23:23" x14ac:dyDescent="0.55000000000000004">
      <c r="W58534"/>
    </row>
    <row r="58535" spans="23:23" x14ac:dyDescent="0.55000000000000004">
      <c r="W58535"/>
    </row>
    <row r="58536" spans="23:23" x14ac:dyDescent="0.55000000000000004">
      <c r="W58536"/>
    </row>
    <row r="58537" spans="23:23" x14ac:dyDescent="0.55000000000000004">
      <c r="W58537"/>
    </row>
    <row r="58538" spans="23:23" x14ac:dyDescent="0.55000000000000004">
      <c r="W58538"/>
    </row>
    <row r="58539" spans="23:23" x14ac:dyDescent="0.55000000000000004">
      <c r="W58539"/>
    </row>
    <row r="58540" spans="23:23" x14ac:dyDescent="0.55000000000000004">
      <c r="W58540"/>
    </row>
    <row r="58541" spans="23:23" x14ac:dyDescent="0.55000000000000004">
      <c r="W58541"/>
    </row>
    <row r="58542" spans="23:23" x14ac:dyDescent="0.55000000000000004">
      <c r="W58542"/>
    </row>
    <row r="58543" spans="23:23" x14ac:dyDescent="0.55000000000000004">
      <c r="W58543"/>
    </row>
    <row r="58544" spans="23:23" x14ac:dyDescent="0.55000000000000004">
      <c r="W58544"/>
    </row>
    <row r="58545" spans="23:23" x14ac:dyDescent="0.55000000000000004">
      <c r="W58545"/>
    </row>
    <row r="58546" spans="23:23" x14ac:dyDescent="0.55000000000000004">
      <c r="W58546"/>
    </row>
    <row r="58547" spans="23:23" x14ac:dyDescent="0.55000000000000004">
      <c r="W58547"/>
    </row>
    <row r="58548" spans="23:23" x14ac:dyDescent="0.55000000000000004">
      <c r="W58548"/>
    </row>
    <row r="58549" spans="23:23" x14ac:dyDescent="0.55000000000000004">
      <c r="W58549"/>
    </row>
    <row r="58550" spans="23:23" x14ac:dyDescent="0.55000000000000004">
      <c r="W58550"/>
    </row>
    <row r="58551" spans="23:23" x14ac:dyDescent="0.55000000000000004">
      <c r="W58551"/>
    </row>
    <row r="58552" spans="23:23" x14ac:dyDescent="0.55000000000000004">
      <c r="W58552"/>
    </row>
    <row r="58553" spans="23:23" x14ac:dyDescent="0.55000000000000004">
      <c r="W58553"/>
    </row>
    <row r="58554" spans="23:23" x14ac:dyDescent="0.55000000000000004">
      <c r="W58554"/>
    </row>
    <row r="58555" spans="23:23" x14ac:dyDescent="0.55000000000000004">
      <c r="W58555"/>
    </row>
    <row r="58556" spans="23:23" x14ac:dyDescent="0.55000000000000004">
      <c r="W58556"/>
    </row>
    <row r="58557" spans="23:23" x14ac:dyDescent="0.55000000000000004">
      <c r="W58557"/>
    </row>
    <row r="58558" spans="23:23" x14ac:dyDescent="0.55000000000000004">
      <c r="W58558"/>
    </row>
    <row r="58559" spans="23:23" x14ac:dyDescent="0.55000000000000004">
      <c r="W58559"/>
    </row>
    <row r="58560" spans="23:23" x14ac:dyDescent="0.55000000000000004">
      <c r="W58560"/>
    </row>
    <row r="58561" spans="23:23" x14ac:dyDescent="0.55000000000000004">
      <c r="W58561"/>
    </row>
    <row r="58562" spans="23:23" x14ac:dyDescent="0.55000000000000004">
      <c r="W58562"/>
    </row>
    <row r="58563" spans="23:23" x14ac:dyDescent="0.55000000000000004">
      <c r="W58563"/>
    </row>
    <row r="58564" spans="23:23" x14ac:dyDescent="0.55000000000000004">
      <c r="W58564"/>
    </row>
    <row r="58565" spans="23:23" x14ac:dyDescent="0.55000000000000004">
      <c r="W58565"/>
    </row>
    <row r="58566" spans="23:23" x14ac:dyDescent="0.55000000000000004">
      <c r="W58566"/>
    </row>
    <row r="58567" spans="23:23" x14ac:dyDescent="0.55000000000000004">
      <c r="W58567"/>
    </row>
    <row r="58568" spans="23:23" x14ac:dyDescent="0.55000000000000004">
      <c r="W58568"/>
    </row>
    <row r="58569" spans="23:23" x14ac:dyDescent="0.55000000000000004">
      <c r="W58569"/>
    </row>
    <row r="58570" spans="23:23" x14ac:dyDescent="0.55000000000000004">
      <c r="W58570"/>
    </row>
    <row r="58571" spans="23:23" x14ac:dyDescent="0.55000000000000004">
      <c r="W58571"/>
    </row>
    <row r="58572" spans="23:23" x14ac:dyDescent="0.55000000000000004">
      <c r="W58572"/>
    </row>
    <row r="58573" spans="23:23" x14ac:dyDescent="0.55000000000000004">
      <c r="W58573"/>
    </row>
    <row r="58574" spans="23:23" x14ac:dyDescent="0.55000000000000004">
      <c r="W58574"/>
    </row>
    <row r="58575" spans="23:23" x14ac:dyDescent="0.55000000000000004">
      <c r="W58575"/>
    </row>
    <row r="58576" spans="23:23" x14ac:dyDescent="0.55000000000000004">
      <c r="W58576"/>
    </row>
    <row r="58577" spans="23:23" x14ac:dyDescent="0.55000000000000004">
      <c r="W58577"/>
    </row>
    <row r="58578" spans="23:23" x14ac:dyDescent="0.55000000000000004">
      <c r="W58578"/>
    </row>
    <row r="58579" spans="23:23" x14ac:dyDescent="0.55000000000000004">
      <c r="W58579"/>
    </row>
    <row r="58580" spans="23:23" x14ac:dyDescent="0.55000000000000004">
      <c r="W58580"/>
    </row>
    <row r="58581" spans="23:23" x14ac:dyDescent="0.55000000000000004">
      <c r="W58581"/>
    </row>
    <row r="58582" spans="23:23" x14ac:dyDescent="0.55000000000000004">
      <c r="W58582"/>
    </row>
    <row r="58583" spans="23:23" x14ac:dyDescent="0.55000000000000004">
      <c r="W58583"/>
    </row>
    <row r="58584" spans="23:23" x14ac:dyDescent="0.55000000000000004">
      <c r="W58584"/>
    </row>
    <row r="58585" spans="23:23" x14ac:dyDescent="0.55000000000000004">
      <c r="W58585"/>
    </row>
    <row r="58586" spans="23:23" x14ac:dyDescent="0.55000000000000004">
      <c r="W58586"/>
    </row>
    <row r="58587" spans="23:23" x14ac:dyDescent="0.55000000000000004">
      <c r="W58587"/>
    </row>
    <row r="58588" spans="23:23" x14ac:dyDescent="0.55000000000000004">
      <c r="W58588"/>
    </row>
    <row r="58589" spans="23:23" x14ac:dyDescent="0.55000000000000004">
      <c r="W58589"/>
    </row>
    <row r="58590" spans="23:23" x14ac:dyDescent="0.55000000000000004">
      <c r="W58590"/>
    </row>
    <row r="58591" spans="23:23" x14ac:dyDescent="0.55000000000000004">
      <c r="W58591"/>
    </row>
    <row r="58592" spans="23:23" x14ac:dyDescent="0.55000000000000004">
      <c r="W58592"/>
    </row>
    <row r="58593" spans="23:23" x14ac:dyDescent="0.55000000000000004">
      <c r="W58593"/>
    </row>
    <row r="58594" spans="23:23" x14ac:dyDescent="0.55000000000000004">
      <c r="W58594"/>
    </row>
    <row r="58595" spans="23:23" x14ac:dyDescent="0.55000000000000004">
      <c r="W58595"/>
    </row>
    <row r="58596" spans="23:23" x14ac:dyDescent="0.55000000000000004">
      <c r="W58596"/>
    </row>
    <row r="58597" spans="23:23" x14ac:dyDescent="0.55000000000000004">
      <c r="W58597"/>
    </row>
    <row r="58598" spans="23:23" x14ac:dyDescent="0.55000000000000004">
      <c r="W58598"/>
    </row>
    <row r="58599" spans="23:23" x14ac:dyDescent="0.55000000000000004">
      <c r="W58599"/>
    </row>
    <row r="58600" spans="23:23" x14ac:dyDescent="0.55000000000000004">
      <c r="W58600"/>
    </row>
    <row r="58601" spans="23:23" x14ac:dyDescent="0.55000000000000004">
      <c r="W58601"/>
    </row>
    <row r="58602" spans="23:23" x14ac:dyDescent="0.55000000000000004">
      <c r="W58602"/>
    </row>
    <row r="58603" spans="23:23" x14ac:dyDescent="0.55000000000000004">
      <c r="W58603"/>
    </row>
    <row r="58604" spans="23:23" x14ac:dyDescent="0.55000000000000004">
      <c r="W58604"/>
    </row>
    <row r="58605" spans="23:23" x14ac:dyDescent="0.55000000000000004">
      <c r="W58605"/>
    </row>
    <row r="58606" spans="23:23" x14ac:dyDescent="0.55000000000000004">
      <c r="W58606"/>
    </row>
    <row r="58607" spans="23:23" x14ac:dyDescent="0.55000000000000004">
      <c r="W58607"/>
    </row>
    <row r="58608" spans="23:23" x14ac:dyDescent="0.55000000000000004">
      <c r="W58608"/>
    </row>
    <row r="58609" spans="23:23" x14ac:dyDescent="0.55000000000000004">
      <c r="W58609"/>
    </row>
    <row r="58610" spans="23:23" x14ac:dyDescent="0.55000000000000004">
      <c r="W58610"/>
    </row>
    <row r="58611" spans="23:23" x14ac:dyDescent="0.55000000000000004">
      <c r="W58611"/>
    </row>
    <row r="58612" spans="23:23" x14ac:dyDescent="0.55000000000000004">
      <c r="W58612"/>
    </row>
    <row r="58613" spans="23:23" x14ac:dyDescent="0.55000000000000004">
      <c r="W58613"/>
    </row>
    <row r="58614" spans="23:23" x14ac:dyDescent="0.55000000000000004">
      <c r="W58614"/>
    </row>
    <row r="58615" spans="23:23" x14ac:dyDescent="0.55000000000000004">
      <c r="W58615"/>
    </row>
    <row r="58616" spans="23:23" x14ac:dyDescent="0.55000000000000004">
      <c r="W58616"/>
    </row>
    <row r="58617" spans="23:23" x14ac:dyDescent="0.55000000000000004">
      <c r="W58617"/>
    </row>
    <row r="58618" spans="23:23" x14ac:dyDescent="0.55000000000000004">
      <c r="W58618"/>
    </row>
    <row r="58619" spans="23:23" x14ac:dyDescent="0.55000000000000004">
      <c r="W58619"/>
    </row>
    <row r="58620" spans="23:23" x14ac:dyDescent="0.55000000000000004">
      <c r="W58620"/>
    </row>
    <row r="58621" spans="23:23" x14ac:dyDescent="0.55000000000000004">
      <c r="W58621"/>
    </row>
    <row r="58622" spans="23:23" x14ac:dyDescent="0.55000000000000004">
      <c r="W58622"/>
    </row>
    <row r="58623" spans="23:23" x14ac:dyDescent="0.55000000000000004">
      <c r="W58623"/>
    </row>
    <row r="58624" spans="23:23" x14ac:dyDescent="0.55000000000000004">
      <c r="W58624"/>
    </row>
    <row r="58625" spans="23:23" x14ac:dyDescent="0.55000000000000004">
      <c r="W58625"/>
    </row>
    <row r="58626" spans="23:23" x14ac:dyDescent="0.55000000000000004">
      <c r="W58626"/>
    </row>
    <row r="58627" spans="23:23" x14ac:dyDescent="0.55000000000000004">
      <c r="W58627"/>
    </row>
    <row r="58628" spans="23:23" x14ac:dyDescent="0.55000000000000004">
      <c r="W58628"/>
    </row>
    <row r="58629" spans="23:23" x14ac:dyDescent="0.55000000000000004">
      <c r="W58629"/>
    </row>
    <row r="58630" spans="23:23" x14ac:dyDescent="0.55000000000000004">
      <c r="W58630"/>
    </row>
    <row r="58631" spans="23:23" x14ac:dyDescent="0.55000000000000004">
      <c r="W58631"/>
    </row>
    <row r="58632" spans="23:23" x14ac:dyDescent="0.55000000000000004">
      <c r="W58632"/>
    </row>
    <row r="58633" spans="23:23" x14ac:dyDescent="0.55000000000000004">
      <c r="W58633"/>
    </row>
    <row r="58634" spans="23:23" x14ac:dyDescent="0.55000000000000004">
      <c r="W58634"/>
    </row>
    <row r="58635" spans="23:23" x14ac:dyDescent="0.55000000000000004">
      <c r="W58635"/>
    </row>
    <row r="58636" spans="23:23" x14ac:dyDescent="0.55000000000000004">
      <c r="W58636"/>
    </row>
    <row r="58637" spans="23:23" x14ac:dyDescent="0.55000000000000004">
      <c r="W58637"/>
    </row>
    <row r="58638" spans="23:23" x14ac:dyDescent="0.55000000000000004">
      <c r="W58638"/>
    </row>
    <row r="58639" spans="23:23" x14ac:dyDescent="0.55000000000000004">
      <c r="W58639"/>
    </row>
    <row r="58640" spans="23:23" x14ac:dyDescent="0.55000000000000004">
      <c r="W58640"/>
    </row>
    <row r="58641" spans="23:23" x14ac:dyDescent="0.55000000000000004">
      <c r="W58641"/>
    </row>
    <row r="58642" spans="23:23" x14ac:dyDescent="0.55000000000000004">
      <c r="W58642"/>
    </row>
    <row r="58643" spans="23:23" x14ac:dyDescent="0.55000000000000004">
      <c r="W58643"/>
    </row>
    <row r="58644" spans="23:23" x14ac:dyDescent="0.55000000000000004">
      <c r="W58644"/>
    </row>
    <row r="58645" spans="23:23" x14ac:dyDescent="0.55000000000000004">
      <c r="W58645"/>
    </row>
    <row r="58646" spans="23:23" x14ac:dyDescent="0.55000000000000004">
      <c r="W58646"/>
    </row>
    <row r="58647" spans="23:23" x14ac:dyDescent="0.55000000000000004">
      <c r="W58647"/>
    </row>
    <row r="58648" spans="23:23" x14ac:dyDescent="0.55000000000000004">
      <c r="W58648"/>
    </row>
    <row r="58649" spans="23:23" x14ac:dyDescent="0.55000000000000004">
      <c r="W58649"/>
    </row>
    <row r="58650" spans="23:23" x14ac:dyDescent="0.55000000000000004">
      <c r="W58650"/>
    </row>
    <row r="58651" spans="23:23" x14ac:dyDescent="0.55000000000000004">
      <c r="W58651"/>
    </row>
    <row r="58652" spans="23:23" x14ac:dyDescent="0.55000000000000004">
      <c r="W58652"/>
    </row>
    <row r="58653" spans="23:23" x14ac:dyDescent="0.55000000000000004">
      <c r="W58653"/>
    </row>
    <row r="58654" spans="23:23" x14ac:dyDescent="0.55000000000000004">
      <c r="W58654"/>
    </row>
    <row r="58655" spans="23:23" x14ac:dyDescent="0.55000000000000004">
      <c r="W58655"/>
    </row>
    <row r="58656" spans="23:23" x14ac:dyDescent="0.55000000000000004">
      <c r="W58656"/>
    </row>
    <row r="58657" spans="23:23" x14ac:dyDescent="0.55000000000000004">
      <c r="W58657"/>
    </row>
    <row r="58658" spans="23:23" x14ac:dyDescent="0.55000000000000004">
      <c r="W58658"/>
    </row>
    <row r="58659" spans="23:23" x14ac:dyDescent="0.55000000000000004">
      <c r="W58659"/>
    </row>
    <row r="58660" spans="23:23" x14ac:dyDescent="0.55000000000000004">
      <c r="W58660"/>
    </row>
    <row r="58661" spans="23:23" x14ac:dyDescent="0.55000000000000004">
      <c r="W58661"/>
    </row>
    <row r="58662" spans="23:23" x14ac:dyDescent="0.55000000000000004">
      <c r="W58662"/>
    </row>
    <row r="58663" spans="23:23" x14ac:dyDescent="0.55000000000000004">
      <c r="W58663"/>
    </row>
    <row r="58664" spans="23:23" x14ac:dyDescent="0.55000000000000004">
      <c r="W58664"/>
    </row>
    <row r="58665" spans="23:23" x14ac:dyDescent="0.55000000000000004">
      <c r="W58665"/>
    </row>
    <row r="58666" spans="23:23" x14ac:dyDescent="0.55000000000000004">
      <c r="W58666"/>
    </row>
    <row r="58667" spans="23:23" x14ac:dyDescent="0.55000000000000004">
      <c r="W58667"/>
    </row>
    <row r="58668" spans="23:23" x14ac:dyDescent="0.55000000000000004">
      <c r="W58668"/>
    </row>
    <row r="58669" spans="23:23" x14ac:dyDescent="0.55000000000000004">
      <c r="W58669"/>
    </row>
    <row r="58670" spans="23:23" x14ac:dyDescent="0.55000000000000004">
      <c r="W58670"/>
    </row>
    <row r="58671" spans="23:23" x14ac:dyDescent="0.55000000000000004">
      <c r="W58671"/>
    </row>
    <row r="58672" spans="23:23" x14ac:dyDescent="0.55000000000000004">
      <c r="W58672"/>
    </row>
    <row r="58673" spans="23:23" x14ac:dyDescent="0.55000000000000004">
      <c r="W58673"/>
    </row>
    <row r="58674" spans="23:23" x14ac:dyDescent="0.55000000000000004">
      <c r="W58674"/>
    </row>
    <row r="58675" spans="23:23" x14ac:dyDescent="0.55000000000000004">
      <c r="W58675"/>
    </row>
    <row r="58676" spans="23:23" x14ac:dyDescent="0.55000000000000004">
      <c r="W58676"/>
    </row>
    <row r="58677" spans="23:23" x14ac:dyDescent="0.55000000000000004">
      <c r="W58677"/>
    </row>
    <row r="58678" spans="23:23" x14ac:dyDescent="0.55000000000000004">
      <c r="W58678"/>
    </row>
    <row r="58679" spans="23:23" x14ac:dyDescent="0.55000000000000004">
      <c r="W58679"/>
    </row>
    <row r="58680" spans="23:23" x14ac:dyDescent="0.55000000000000004">
      <c r="W58680"/>
    </row>
    <row r="58681" spans="23:23" x14ac:dyDescent="0.55000000000000004">
      <c r="W58681"/>
    </row>
    <row r="58682" spans="23:23" x14ac:dyDescent="0.55000000000000004">
      <c r="W58682"/>
    </row>
    <row r="58683" spans="23:23" x14ac:dyDescent="0.55000000000000004">
      <c r="W58683"/>
    </row>
    <row r="58684" spans="23:23" x14ac:dyDescent="0.55000000000000004">
      <c r="W58684"/>
    </row>
    <row r="58685" spans="23:23" x14ac:dyDescent="0.55000000000000004">
      <c r="W58685"/>
    </row>
    <row r="58686" spans="23:23" x14ac:dyDescent="0.55000000000000004">
      <c r="W58686"/>
    </row>
    <row r="58687" spans="23:23" x14ac:dyDescent="0.55000000000000004">
      <c r="W58687"/>
    </row>
    <row r="58688" spans="23:23" x14ac:dyDescent="0.55000000000000004">
      <c r="W58688"/>
    </row>
    <row r="58689" spans="23:23" x14ac:dyDescent="0.55000000000000004">
      <c r="W58689"/>
    </row>
    <row r="58690" spans="23:23" x14ac:dyDescent="0.55000000000000004">
      <c r="W58690"/>
    </row>
    <row r="58691" spans="23:23" x14ac:dyDescent="0.55000000000000004">
      <c r="W58691"/>
    </row>
    <row r="58692" spans="23:23" x14ac:dyDescent="0.55000000000000004">
      <c r="W58692"/>
    </row>
    <row r="58693" spans="23:23" x14ac:dyDescent="0.55000000000000004">
      <c r="W58693"/>
    </row>
    <row r="58694" spans="23:23" x14ac:dyDescent="0.55000000000000004">
      <c r="W58694"/>
    </row>
    <row r="58695" spans="23:23" x14ac:dyDescent="0.55000000000000004">
      <c r="W58695"/>
    </row>
    <row r="58696" spans="23:23" x14ac:dyDescent="0.55000000000000004">
      <c r="W58696"/>
    </row>
    <row r="58697" spans="23:23" x14ac:dyDescent="0.55000000000000004">
      <c r="W58697"/>
    </row>
    <row r="58698" spans="23:23" x14ac:dyDescent="0.55000000000000004">
      <c r="W58698"/>
    </row>
    <row r="58699" spans="23:23" x14ac:dyDescent="0.55000000000000004">
      <c r="W58699"/>
    </row>
    <row r="58700" spans="23:23" x14ac:dyDescent="0.55000000000000004">
      <c r="W58700"/>
    </row>
    <row r="58701" spans="23:23" x14ac:dyDescent="0.55000000000000004">
      <c r="W58701"/>
    </row>
    <row r="58702" spans="23:23" x14ac:dyDescent="0.55000000000000004">
      <c r="W58702"/>
    </row>
    <row r="58703" spans="23:23" x14ac:dyDescent="0.55000000000000004">
      <c r="W58703"/>
    </row>
    <row r="58704" spans="23:23" x14ac:dyDescent="0.55000000000000004">
      <c r="W58704"/>
    </row>
    <row r="58705" spans="23:23" x14ac:dyDescent="0.55000000000000004">
      <c r="W58705"/>
    </row>
    <row r="58706" spans="23:23" x14ac:dyDescent="0.55000000000000004">
      <c r="W58706"/>
    </row>
    <row r="58707" spans="23:23" x14ac:dyDescent="0.55000000000000004">
      <c r="W58707"/>
    </row>
    <row r="58708" spans="23:23" x14ac:dyDescent="0.55000000000000004">
      <c r="W58708"/>
    </row>
    <row r="58709" spans="23:23" x14ac:dyDescent="0.55000000000000004">
      <c r="W58709"/>
    </row>
    <row r="58710" spans="23:23" x14ac:dyDescent="0.55000000000000004">
      <c r="W58710"/>
    </row>
    <row r="58711" spans="23:23" x14ac:dyDescent="0.55000000000000004">
      <c r="W58711"/>
    </row>
    <row r="58712" spans="23:23" x14ac:dyDescent="0.55000000000000004">
      <c r="W58712"/>
    </row>
    <row r="58713" spans="23:23" x14ac:dyDescent="0.55000000000000004">
      <c r="W58713"/>
    </row>
    <row r="58714" spans="23:23" x14ac:dyDescent="0.55000000000000004">
      <c r="W58714"/>
    </row>
    <row r="58715" spans="23:23" x14ac:dyDescent="0.55000000000000004">
      <c r="W58715"/>
    </row>
    <row r="58716" spans="23:23" x14ac:dyDescent="0.55000000000000004">
      <c r="W58716"/>
    </row>
    <row r="58717" spans="23:23" x14ac:dyDescent="0.55000000000000004">
      <c r="W58717"/>
    </row>
    <row r="58718" spans="23:23" x14ac:dyDescent="0.55000000000000004">
      <c r="W58718"/>
    </row>
    <row r="58719" spans="23:23" x14ac:dyDescent="0.55000000000000004">
      <c r="W58719"/>
    </row>
    <row r="58720" spans="23:23" x14ac:dyDescent="0.55000000000000004">
      <c r="W58720"/>
    </row>
    <row r="58721" spans="23:23" x14ac:dyDescent="0.55000000000000004">
      <c r="W58721"/>
    </row>
    <row r="58722" spans="23:23" x14ac:dyDescent="0.55000000000000004">
      <c r="W58722"/>
    </row>
    <row r="58723" spans="23:23" x14ac:dyDescent="0.55000000000000004">
      <c r="W58723"/>
    </row>
    <row r="58724" spans="23:23" x14ac:dyDescent="0.55000000000000004">
      <c r="W58724"/>
    </row>
    <row r="58725" spans="23:23" x14ac:dyDescent="0.55000000000000004">
      <c r="W58725"/>
    </row>
    <row r="58726" spans="23:23" x14ac:dyDescent="0.55000000000000004">
      <c r="W58726"/>
    </row>
    <row r="58727" spans="23:23" x14ac:dyDescent="0.55000000000000004">
      <c r="W58727"/>
    </row>
    <row r="58728" spans="23:23" x14ac:dyDescent="0.55000000000000004">
      <c r="W58728"/>
    </row>
    <row r="58729" spans="23:23" x14ac:dyDescent="0.55000000000000004">
      <c r="W58729"/>
    </row>
    <row r="58730" spans="23:23" x14ac:dyDescent="0.55000000000000004">
      <c r="W58730"/>
    </row>
    <row r="58731" spans="23:23" x14ac:dyDescent="0.55000000000000004">
      <c r="W58731"/>
    </row>
    <row r="58732" spans="23:23" x14ac:dyDescent="0.55000000000000004">
      <c r="W58732"/>
    </row>
    <row r="58733" spans="23:23" x14ac:dyDescent="0.55000000000000004">
      <c r="W58733"/>
    </row>
    <row r="58734" spans="23:23" x14ac:dyDescent="0.55000000000000004">
      <c r="W58734"/>
    </row>
    <row r="58735" spans="23:23" x14ac:dyDescent="0.55000000000000004">
      <c r="W58735"/>
    </row>
    <row r="58736" spans="23:23" x14ac:dyDescent="0.55000000000000004">
      <c r="W58736"/>
    </row>
    <row r="58737" spans="23:23" x14ac:dyDescent="0.55000000000000004">
      <c r="W58737"/>
    </row>
    <row r="58738" spans="23:23" x14ac:dyDescent="0.55000000000000004">
      <c r="W58738"/>
    </row>
    <row r="58739" spans="23:23" x14ac:dyDescent="0.55000000000000004">
      <c r="W58739"/>
    </row>
    <row r="58740" spans="23:23" x14ac:dyDescent="0.55000000000000004">
      <c r="W58740"/>
    </row>
    <row r="58741" spans="23:23" x14ac:dyDescent="0.55000000000000004">
      <c r="W58741"/>
    </row>
    <row r="58742" spans="23:23" x14ac:dyDescent="0.55000000000000004">
      <c r="W58742"/>
    </row>
    <row r="58743" spans="23:23" x14ac:dyDescent="0.55000000000000004">
      <c r="W58743"/>
    </row>
    <row r="58744" spans="23:23" x14ac:dyDescent="0.55000000000000004">
      <c r="W58744"/>
    </row>
    <row r="58745" spans="23:23" x14ac:dyDescent="0.55000000000000004">
      <c r="W58745"/>
    </row>
    <row r="58746" spans="23:23" x14ac:dyDescent="0.55000000000000004">
      <c r="W58746"/>
    </row>
    <row r="58747" spans="23:23" x14ac:dyDescent="0.55000000000000004">
      <c r="W58747"/>
    </row>
    <row r="58748" spans="23:23" x14ac:dyDescent="0.55000000000000004">
      <c r="W58748"/>
    </row>
    <row r="58749" spans="23:23" x14ac:dyDescent="0.55000000000000004">
      <c r="W58749"/>
    </row>
    <row r="58750" spans="23:23" x14ac:dyDescent="0.55000000000000004">
      <c r="W58750"/>
    </row>
    <row r="58751" spans="23:23" x14ac:dyDescent="0.55000000000000004">
      <c r="W58751"/>
    </row>
    <row r="58752" spans="23:23" x14ac:dyDescent="0.55000000000000004">
      <c r="W58752"/>
    </row>
    <row r="58753" spans="23:23" x14ac:dyDescent="0.55000000000000004">
      <c r="W58753"/>
    </row>
    <row r="58754" spans="23:23" x14ac:dyDescent="0.55000000000000004">
      <c r="W58754"/>
    </row>
    <row r="58755" spans="23:23" x14ac:dyDescent="0.55000000000000004">
      <c r="W58755"/>
    </row>
    <row r="58756" spans="23:23" x14ac:dyDescent="0.55000000000000004">
      <c r="W58756"/>
    </row>
    <row r="58757" spans="23:23" x14ac:dyDescent="0.55000000000000004">
      <c r="W58757"/>
    </row>
    <row r="58758" spans="23:23" x14ac:dyDescent="0.55000000000000004">
      <c r="W58758"/>
    </row>
    <row r="58759" spans="23:23" x14ac:dyDescent="0.55000000000000004">
      <c r="W58759"/>
    </row>
    <row r="58760" spans="23:23" x14ac:dyDescent="0.55000000000000004">
      <c r="W58760"/>
    </row>
    <row r="58761" spans="23:23" x14ac:dyDescent="0.55000000000000004">
      <c r="W58761"/>
    </row>
    <row r="58762" spans="23:23" x14ac:dyDescent="0.55000000000000004">
      <c r="W58762"/>
    </row>
    <row r="58763" spans="23:23" x14ac:dyDescent="0.55000000000000004">
      <c r="W58763"/>
    </row>
    <row r="58764" spans="23:23" x14ac:dyDescent="0.55000000000000004">
      <c r="W58764"/>
    </row>
    <row r="58765" spans="23:23" x14ac:dyDescent="0.55000000000000004">
      <c r="W58765"/>
    </row>
    <row r="58766" spans="23:23" x14ac:dyDescent="0.55000000000000004">
      <c r="W58766"/>
    </row>
    <row r="58767" spans="23:23" x14ac:dyDescent="0.55000000000000004">
      <c r="W58767"/>
    </row>
    <row r="58768" spans="23:23" x14ac:dyDescent="0.55000000000000004">
      <c r="W58768"/>
    </row>
    <row r="58769" spans="23:23" x14ac:dyDescent="0.55000000000000004">
      <c r="W58769"/>
    </row>
    <row r="58770" spans="23:23" x14ac:dyDescent="0.55000000000000004">
      <c r="W58770"/>
    </row>
    <row r="58771" spans="23:23" x14ac:dyDescent="0.55000000000000004">
      <c r="W58771"/>
    </row>
    <row r="58772" spans="23:23" x14ac:dyDescent="0.55000000000000004">
      <c r="W58772"/>
    </row>
    <row r="58773" spans="23:23" x14ac:dyDescent="0.55000000000000004">
      <c r="W58773"/>
    </row>
    <row r="58774" spans="23:23" x14ac:dyDescent="0.55000000000000004">
      <c r="W58774"/>
    </row>
    <row r="58775" spans="23:23" x14ac:dyDescent="0.55000000000000004">
      <c r="W58775"/>
    </row>
    <row r="58776" spans="23:23" x14ac:dyDescent="0.55000000000000004">
      <c r="W58776"/>
    </row>
    <row r="58777" spans="23:23" x14ac:dyDescent="0.55000000000000004">
      <c r="W58777"/>
    </row>
    <row r="58778" spans="23:23" x14ac:dyDescent="0.55000000000000004">
      <c r="W58778"/>
    </row>
    <row r="58779" spans="23:23" x14ac:dyDescent="0.55000000000000004">
      <c r="W58779"/>
    </row>
    <row r="58780" spans="23:23" x14ac:dyDescent="0.55000000000000004">
      <c r="W58780"/>
    </row>
    <row r="58781" spans="23:23" x14ac:dyDescent="0.55000000000000004">
      <c r="W58781"/>
    </row>
    <row r="58782" spans="23:23" x14ac:dyDescent="0.55000000000000004">
      <c r="W58782"/>
    </row>
    <row r="58783" spans="23:23" x14ac:dyDescent="0.55000000000000004">
      <c r="W58783"/>
    </row>
    <row r="58784" spans="23:23" x14ac:dyDescent="0.55000000000000004">
      <c r="W58784"/>
    </row>
    <row r="58785" spans="23:23" x14ac:dyDescent="0.55000000000000004">
      <c r="W58785"/>
    </row>
    <row r="58786" spans="23:23" x14ac:dyDescent="0.55000000000000004">
      <c r="W58786"/>
    </row>
    <row r="58787" spans="23:23" x14ac:dyDescent="0.55000000000000004">
      <c r="W58787"/>
    </row>
    <row r="58788" spans="23:23" x14ac:dyDescent="0.55000000000000004">
      <c r="W58788"/>
    </row>
    <row r="58789" spans="23:23" x14ac:dyDescent="0.55000000000000004">
      <c r="W58789"/>
    </row>
    <row r="58790" spans="23:23" x14ac:dyDescent="0.55000000000000004">
      <c r="W58790"/>
    </row>
    <row r="58791" spans="23:23" x14ac:dyDescent="0.55000000000000004">
      <c r="W58791"/>
    </row>
    <row r="58792" spans="23:23" x14ac:dyDescent="0.55000000000000004">
      <c r="W58792"/>
    </row>
    <row r="58793" spans="23:23" x14ac:dyDescent="0.55000000000000004">
      <c r="W58793"/>
    </row>
    <row r="58794" spans="23:23" x14ac:dyDescent="0.55000000000000004">
      <c r="W58794"/>
    </row>
    <row r="58795" spans="23:23" x14ac:dyDescent="0.55000000000000004">
      <c r="W58795"/>
    </row>
    <row r="58796" spans="23:23" x14ac:dyDescent="0.55000000000000004">
      <c r="W58796"/>
    </row>
    <row r="58797" spans="23:23" x14ac:dyDescent="0.55000000000000004">
      <c r="W58797"/>
    </row>
    <row r="58798" spans="23:23" x14ac:dyDescent="0.55000000000000004">
      <c r="W58798"/>
    </row>
    <row r="58799" spans="23:23" x14ac:dyDescent="0.55000000000000004">
      <c r="W58799"/>
    </row>
    <row r="58800" spans="23:23" x14ac:dyDescent="0.55000000000000004">
      <c r="W58800"/>
    </row>
    <row r="58801" spans="23:23" x14ac:dyDescent="0.55000000000000004">
      <c r="W58801"/>
    </row>
    <row r="58802" spans="23:23" x14ac:dyDescent="0.55000000000000004">
      <c r="W58802"/>
    </row>
    <row r="58803" spans="23:23" x14ac:dyDescent="0.55000000000000004">
      <c r="W58803"/>
    </row>
    <row r="58804" spans="23:23" x14ac:dyDescent="0.55000000000000004">
      <c r="W58804"/>
    </row>
    <row r="58805" spans="23:23" x14ac:dyDescent="0.55000000000000004">
      <c r="W58805"/>
    </row>
    <row r="58806" spans="23:23" x14ac:dyDescent="0.55000000000000004">
      <c r="W58806"/>
    </row>
    <row r="58807" spans="23:23" x14ac:dyDescent="0.55000000000000004">
      <c r="W58807"/>
    </row>
    <row r="58808" spans="23:23" x14ac:dyDescent="0.55000000000000004">
      <c r="W58808"/>
    </row>
    <row r="58809" spans="23:23" x14ac:dyDescent="0.55000000000000004">
      <c r="W58809"/>
    </row>
    <row r="58810" spans="23:23" x14ac:dyDescent="0.55000000000000004">
      <c r="W58810"/>
    </row>
    <row r="58811" spans="23:23" x14ac:dyDescent="0.55000000000000004">
      <c r="W58811"/>
    </row>
    <row r="58812" spans="23:23" x14ac:dyDescent="0.55000000000000004">
      <c r="W58812"/>
    </row>
    <row r="58813" spans="23:23" x14ac:dyDescent="0.55000000000000004">
      <c r="W58813"/>
    </row>
    <row r="58814" spans="23:23" x14ac:dyDescent="0.55000000000000004">
      <c r="W58814"/>
    </row>
    <row r="58815" spans="23:23" x14ac:dyDescent="0.55000000000000004">
      <c r="W58815"/>
    </row>
    <row r="58816" spans="23:23" x14ac:dyDescent="0.55000000000000004">
      <c r="W58816"/>
    </row>
    <row r="58817" spans="23:23" x14ac:dyDescent="0.55000000000000004">
      <c r="W58817"/>
    </row>
    <row r="58818" spans="23:23" x14ac:dyDescent="0.55000000000000004">
      <c r="W58818"/>
    </row>
    <row r="58819" spans="23:23" x14ac:dyDescent="0.55000000000000004">
      <c r="W58819"/>
    </row>
    <row r="58820" spans="23:23" x14ac:dyDescent="0.55000000000000004">
      <c r="W58820"/>
    </row>
    <row r="58821" spans="23:23" x14ac:dyDescent="0.55000000000000004">
      <c r="W58821"/>
    </row>
    <row r="58822" spans="23:23" x14ac:dyDescent="0.55000000000000004">
      <c r="W58822"/>
    </row>
    <row r="58823" spans="23:23" x14ac:dyDescent="0.55000000000000004">
      <c r="W58823"/>
    </row>
    <row r="58824" spans="23:23" x14ac:dyDescent="0.55000000000000004">
      <c r="W58824"/>
    </row>
    <row r="58825" spans="23:23" x14ac:dyDescent="0.55000000000000004">
      <c r="W58825"/>
    </row>
    <row r="58826" spans="23:23" x14ac:dyDescent="0.55000000000000004">
      <c r="W58826"/>
    </row>
    <row r="58827" spans="23:23" x14ac:dyDescent="0.55000000000000004">
      <c r="W58827"/>
    </row>
    <row r="58828" spans="23:23" x14ac:dyDescent="0.55000000000000004">
      <c r="W58828"/>
    </row>
    <row r="58829" spans="23:23" x14ac:dyDescent="0.55000000000000004">
      <c r="W58829"/>
    </row>
    <row r="58830" spans="23:23" x14ac:dyDescent="0.55000000000000004">
      <c r="W58830"/>
    </row>
    <row r="58831" spans="23:23" x14ac:dyDescent="0.55000000000000004">
      <c r="W58831"/>
    </row>
    <row r="58832" spans="23:23" x14ac:dyDescent="0.55000000000000004">
      <c r="W58832"/>
    </row>
    <row r="58833" spans="23:23" x14ac:dyDescent="0.55000000000000004">
      <c r="W58833"/>
    </row>
    <row r="58834" spans="23:23" x14ac:dyDescent="0.55000000000000004">
      <c r="W58834"/>
    </row>
    <row r="58835" spans="23:23" x14ac:dyDescent="0.55000000000000004">
      <c r="W58835"/>
    </row>
    <row r="58836" spans="23:23" x14ac:dyDescent="0.55000000000000004">
      <c r="W58836"/>
    </row>
    <row r="58837" spans="23:23" x14ac:dyDescent="0.55000000000000004">
      <c r="W58837"/>
    </row>
    <row r="58838" spans="23:23" x14ac:dyDescent="0.55000000000000004">
      <c r="W58838"/>
    </row>
    <row r="58839" spans="23:23" x14ac:dyDescent="0.55000000000000004">
      <c r="W58839"/>
    </row>
    <row r="58840" spans="23:23" x14ac:dyDescent="0.55000000000000004">
      <c r="W58840"/>
    </row>
    <row r="58841" spans="23:23" x14ac:dyDescent="0.55000000000000004">
      <c r="W58841"/>
    </row>
    <row r="58842" spans="23:23" x14ac:dyDescent="0.55000000000000004">
      <c r="W58842"/>
    </row>
    <row r="58843" spans="23:23" x14ac:dyDescent="0.55000000000000004">
      <c r="W58843"/>
    </row>
    <row r="58844" spans="23:23" x14ac:dyDescent="0.55000000000000004">
      <c r="W58844"/>
    </row>
    <row r="58845" spans="23:23" x14ac:dyDescent="0.55000000000000004">
      <c r="W58845"/>
    </row>
    <row r="58846" spans="23:23" x14ac:dyDescent="0.55000000000000004">
      <c r="W58846"/>
    </row>
    <row r="58847" spans="23:23" x14ac:dyDescent="0.55000000000000004">
      <c r="W58847"/>
    </row>
    <row r="58848" spans="23:23" x14ac:dyDescent="0.55000000000000004">
      <c r="W58848"/>
    </row>
    <row r="58849" spans="23:23" x14ac:dyDescent="0.55000000000000004">
      <c r="W58849"/>
    </row>
    <row r="58850" spans="23:23" x14ac:dyDescent="0.55000000000000004">
      <c r="W58850"/>
    </row>
    <row r="58851" spans="23:23" x14ac:dyDescent="0.55000000000000004">
      <c r="W58851"/>
    </row>
    <row r="58852" spans="23:23" x14ac:dyDescent="0.55000000000000004">
      <c r="W58852"/>
    </row>
    <row r="58853" spans="23:23" x14ac:dyDescent="0.55000000000000004">
      <c r="W58853"/>
    </row>
    <row r="58854" spans="23:23" x14ac:dyDescent="0.55000000000000004">
      <c r="W58854"/>
    </row>
    <row r="58855" spans="23:23" x14ac:dyDescent="0.55000000000000004">
      <c r="W58855"/>
    </row>
    <row r="58856" spans="23:23" x14ac:dyDescent="0.55000000000000004">
      <c r="W58856"/>
    </row>
    <row r="58857" spans="23:23" x14ac:dyDescent="0.55000000000000004">
      <c r="W58857"/>
    </row>
    <row r="58858" spans="23:23" x14ac:dyDescent="0.55000000000000004">
      <c r="W58858"/>
    </row>
    <row r="58859" spans="23:23" x14ac:dyDescent="0.55000000000000004">
      <c r="W58859"/>
    </row>
    <row r="58860" spans="23:23" x14ac:dyDescent="0.55000000000000004">
      <c r="W58860"/>
    </row>
    <row r="58861" spans="23:23" x14ac:dyDescent="0.55000000000000004">
      <c r="W58861"/>
    </row>
    <row r="58862" spans="23:23" x14ac:dyDescent="0.55000000000000004">
      <c r="W58862"/>
    </row>
    <row r="58863" spans="23:23" x14ac:dyDescent="0.55000000000000004">
      <c r="W58863"/>
    </row>
    <row r="58864" spans="23:23" x14ac:dyDescent="0.55000000000000004">
      <c r="W58864"/>
    </row>
    <row r="58865" spans="23:23" x14ac:dyDescent="0.55000000000000004">
      <c r="W58865"/>
    </row>
    <row r="58866" spans="23:23" x14ac:dyDescent="0.55000000000000004">
      <c r="W58866"/>
    </row>
    <row r="58867" spans="23:23" x14ac:dyDescent="0.55000000000000004">
      <c r="W58867"/>
    </row>
    <row r="58868" spans="23:23" x14ac:dyDescent="0.55000000000000004">
      <c r="W58868"/>
    </row>
    <row r="58869" spans="23:23" x14ac:dyDescent="0.55000000000000004">
      <c r="W58869"/>
    </row>
    <row r="58870" spans="23:23" x14ac:dyDescent="0.55000000000000004">
      <c r="W58870"/>
    </row>
    <row r="58871" spans="23:23" x14ac:dyDescent="0.55000000000000004">
      <c r="W58871"/>
    </row>
    <row r="58872" spans="23:23" x14ac:dyDescent="0.55000000000000004">
      <c r="W58872"/>
    </row>
    <row r="58873" spans="23:23" x14ac:dyDescent="0.55000000000000004">
      <c r="W58873"/>
    </row>
    <row r="58874" spans="23:23" x14ac:dyDescent="0.55000000000000004">
      <c r="W58874"/>
    </row>
    <row r="58875" spans="23:23" x14ac:dyDescent="0.55000000000000004">
      <c r="W58875"/>
    </row>
    <row r="58876" spans="23:23" x14ac:dyDescent="0.55000000000000004">
      <c r="W58876"/>
    </row>
    <row r="58877" spans="23:23" x14ac:dyDescent="0.55000000000000004">
      <c r="W58877"/>
    </row>
    <row r="58878" spans="23:23" x14ac:dyDescent="0.55000000000000004">
      <c r="W58878"/>
    </row>
    <row r="58879" spans="23:23" x14ac:dyDescent="0.55000000000000004">
      <c r="W58879"/>
    </row>
    <row r="58880" spans="23:23" x14ac:dyDescent="0.55000000000000004">
      <c r="W58880"/>
    </row>
    <row r="58881" spans="23:23" x14ac:dyDescent="0.55000000000000004">
      <c r="W58881"/>
    </row>
    <row r="58882" spans="23:23" x14ac:dyDescent="0.55000000000000004">
      <c r="W58882"/>
    </row>
    <row r="58883" spans="23:23" x14ac:dyDescent="0.55000000000000004">
      <c r="W58883"/>
    </row>
    <row r="58884" spans="23:23" x14ac:dyDescent="0.55000000000000004">
      <c r="W58884"/>
    </row>
    <row r="58885" spans="23:23" x14ac:dyDescent="0.55000000000000004">
      <c r="W58885"/>
    </row>
    <row r="58886" spans="23:23" x14ac:dyDescent="0.55000000000000004">
      <c r="W58886"/>
    </row>
    <row r="58887" spans="23:23" x14ac:dyDescent="0.55000000000000004">
      <c r="W58887"/>
    </row>
    <row r="58888" spans="23:23" x14ac:dyDescent="0.55000000000000004">
      <c r="W58888"/>
    </row>
    <row r="58889" spans="23:23" x14ac:dyDescent="0.55000000000000004">
      <c r="W58889"/>
    </row>
    <row r="58890" spans="23:23" x14ac:dyDescent="0.55000000000000004">
      <c r="W58890"/>
    </row>
    <row r="58891" spans="23:23" x14ac:dyDescent="0.55000000000000004">
      <c r="W58891"/>
    </row>
    <row r="58892" spans="23:23" x14ac:dyDescent="0.55000000000000004">
      <c r="W58892"/>
    </row>
    <row r="58893" spans="23:23" x14ac:dyDescent="0.55000000000000004">
      <c r="W58893"/>
    </row>
    <row r="58894" spans="23:23" x14ac:dyDescent="0.55000000000000004">
      <c r="W58894"/>
    </row>
    <row r="58895" spans="23:23" x14ac:dyDescent="0.55000000000000004">
      <c r="W58895"/>
    </row>
    <row r="58896" spans="23:23" x14ac:dyDescent="0.55000000000000004">
      <c r="W58896"/>
    </row>
    <row r="58897" spans="23:23" x14ac:dyDescent="0.55000000000000004">
      <c r="W58897"/>
    </row>
    <row r="58898" spans="23:23" x14ac:dyDescent="0.55000000000000004">
      <c r="W58898"/>
    </row>
    <row r="58899" spans="23:23" x14ac:dyDescent="0.55000000000000004">
      <c r="W58899"/>
    </row>
    <row r="58900" spans="23:23" x14ac:dyDescent="0.55000000000000004">
      <c r="W58900"/>
    </row>
    <row r="58901" spans="23:23" x14ac:dyDescent="0.55000000000000004">
      <c r="W58901"/>
    </row>
    <row r="58902" spans="23:23" x14ac:dyDescent="0.55000000000000004">
      <c r="W58902"/>
    </row>
    <row r="58903" spans="23:23" x14ac:dyDescent="0.55000000000000004">
      <c r="W58903"/>
    </row>
    <row r="58904" spans="23:23" x14ac:dyDescent="0.55000000000000004">
      <c r="W58904"/>
    </row>
    <row r="58905" spans="23:23" x14ac:dyDescent="0.55000000000000004">
      <c r="W58905"/>
    </row>
    <row r="58906" spans="23:23" x14ac:dyDescent="0.55000000000000004">
      <c r="W58906"/>
    </row>
    <row r="58907" spans="23:23" x14ac:dyDescent="0.55000000000000004">
      <c r="W58907"/>
    </row>
    <row r="58908" spans="23:23" x14ac:dyDescent="0.55000000000000004">
      <c r="W58908"/>
    </row>
    <row r="58909" spans="23:23" x14ac:dyDescent="0.55000000000000004">
      <c r="W58909"/>
    </row>
    <row r="58910" spans="23:23" x14ac:dyDescent="0.55000000000000004">
      <c r="W58910"/>
    </row>
    <row r="58911" spans="23:23" x14ac:dyDescent="0.55000000000000004">
      <c r="W58911"/>
    </row>
    <row r="58912" spans="23:23" x14ac:dyDescent="0.55000000000000004">
      <c r="W58912"/>
    </row>
    <row r="58913" spans="23:23" x14ac:dyDescent="0.55000000000000004">
      <c r="W58913"/>
    </row>
    <row r="58914" spans="23:23" x14ac:dyDescent="0.55000000000000004">
      <c r="W58914"/>
    </row>
    <row r="58915" spans="23:23" x14ac:dyDescent="0.55000000000000004">
      <c r="W58915"/>
    </row>
    <row r="58916" spans="23:23" x14ac:dyDescent="0.55000000000000004">
      <c r="W58916"/>
    </row>
    <row r="58917" spans="23:23" x14ac:dyDescent="0.55000000000000004">
      <c r="W58917"/>
    </row>
    <row r="58918" spans="23:23" x14ac:dyDescent="0.55000000000000004">
      <c r="W58918"/>
    </row>
    <row r="58919" spans="23:23" x14ac:dyDescent="0.55000000000000004">
      <c r="W58919"/>
    </row>
    <row r="58920" spans="23:23" x14ac:dyDescent="0.55000000000000004">
      <c r="W58920"/>
    </row>
    <row r="58921" spans="23:23" x14ac:dyDescent="0.55000000000000004">
      <c r="W58921"/>
    </row>
    <row r="58922" spans="23:23" x14ac:dyDescent="0.55000000000000004">
      <c r="W58922"/>
    </row>
    <row r="58923" spans="23:23" x14ac:dyDescent="0.55000000000000004">
      <c r="W58923"/>
    </row>
    <row r="58924" spans="23:23" x14ac:dyDescent="0.55000000000000004">
      <c r="W58924"/>
    </row>
    <row r="58925" spans="23:23" x14ac:dyDescent="0.55000000000000004">
      <c r="W58925"/>
    </row>
    <row r="58926" spans="23:23" x14ac:dyDescent="0.55000000000000004">
      <c r="W58926"/>
    </row>
    <row r="58927" spans="23:23" x14ac:dyDescent="0.55000000000000004">
      <c r="W58927"/>
    </row>
    <row r="58928" spans="23:23" x14ac:dyDescent="0.55000000000000004">
      <c r="W58928"/>
    </row>
    <row r="58929" spans="23:23" x14ac:dyDescent="0.55000000000000004">
      <c r="W58929"/>
    </row>
    <row r="58930" spans="23:23" x14ac:dyDescent="0.55000000000000004">
      <c r="W58930"/>
    </row>
    <row r="58931" spans="23:23" x14ac:dyDescent="0.55000000000000004">
      <c r="W58931"/>
    </row>
    <row r="58932" spans="23:23" x14ac:dyDescent="0.55000000000000004">
      <c r="W58932"/>
    </row>
    <row r="58933" spans="23:23" x14ac:dyDescent="0.55000000000000004">
      <c r="W58933"/>
    </row>
    <row r="58934" spans="23:23" x14ac:dyDescent="0.55000000000000004">
      <c r="W58934"/>
    </row>
    <row r="58935" spans="23:23" x14ac:dyDescent="0.55000000000000004">
      <c r="W58935"/>
    </row>
    <row r="58936" spans="23:23" x14ac:dyDescent="0.55000000000000004">
      <c r="W58936"/>
    </row>
    <row r="58937" spans="23:23" x14ac:dyDescent="0.55000000000000004">
      <c r="W58937"/>
    </row>
    <row r="58938" spans="23:23" x14ac:dyDescent="0.55000000000000004">
      <c r="W58938"/>
    </row>
    <row r="58939" spans="23:23" x14ac:dyDescent="0.55000000000000004">
      <c r="W58939"/>
    </row>
    <row r="58940" spans="23:23" x14ac:dyDescent="0.55000000000000004">
      <c r="W58940"/>
    </row>
    <row r="58941" spans="23:23" x14ac:dyDescent="0.55000000000000004">
      <c r="W58941"/>
    </row>
    <row r="58942" spans="23:23" x14ac:dyDescent="0.55000000000000004">
      <c r="W58942"/>
    </row>
    <row r="58943" spans="23:23" x14ac:dyDescent="0.55000000000000004">
      <c r="W58943"/>
    </row>
    <row r="58944" spans="23:23" x14ac:dyDescent="0.55000000000000004">
      <c r="W58944"/>
    </row>
    <row r="58945" spans="23:23" x14ac:dyDescent="0.55000000000000004">
      <c r="W58945"/>
    </row>
    <row r="58946" spans="23:23" x14ac:dyDescent="0.55000000000000004">
      <c r="W58946"/>
    </row>
    <row r="58947" spans="23:23" x14ac:dyDescent="0.55000000000000004">
      <c r="W58947"/>
    </row>
    <row r="58948" spans="23:23" x14ac:dyDescent="0.55000000000000004">
      <c r="W58948"/>
    </row>
    <row r="58949" spans="23:23" x14ac:dyDescent="0.55000000000000004">
      <c r="W58949"/>
    </row>
    <row r="58950" spans="23:23" x14ac:dyDescent="0.55000000000000004">
      <c r="W58950"/>
    </row>
    <row r="58951" spans="23:23" x14ac:dyDescent="0.55000000000000004">
      <c r="W58951"/>
    </row>
    <row r="58952" spans="23:23" x14ac:dyDescent="0.55000000000000004">
      <c r="W58952"/>
    </row>
    <row r="58953" spans="23:23" x14ac:dyDescent="0.55000000000000004">
      <c r="W58953"/>
    </row>
    <row r="58954" spans="23:23" x14ac:dyDescent="0.55000000000000004">
      <c r="W58954"/>
    </row>
    <row r="58955" spans="23:23" x14ac:dyDescent="0.55000000000000004">
      <c r="W58955"/>
    </row>
    <row r="58956" spans="23:23" x14ac:dyDescent="0.55000000000000004">
      <c r="W58956"/>
    </row>
    <row r="58957" spans="23:23" x14ac:dyDescent="0.55000000000000004">
      <c r="W58957"/>
    </row>
    <row r="58958" spans="23:23" x14ac:dyDescent="0.55000000000000004">
      <c r="W58958"/>
    </row>
    <row r="58959" spans="23:23" x14ac:dyDescent="0.55000000000000004">
      <c r="W58959"/>
    </row>
    <row r="58960" spans="23:23" x14ac:dyDescent="0.55000000000000004">
      <c r="W58960"/>
    </row>
    <row r="58961" spans="23:23" x14ac:dyDescent="0.55000000000000004">
      <c r="W58961"/>
    </row>
    <row r="58962" spans="23:23" x14ac:dyDescent="0.55000000000000004">
      <c r="W58962"/>
    </row>
    <row r="58963" spans="23:23" x14ac:dyDescent="0.55000000000000004">
      <c r="W58963"/>
    </row>
    <row r="58964" spans="23:23" x14ac:dyDescent="0.55000000000000004">
      <c r="W58964"/>
    </row>
    <row r="58965" spans="23:23" x14ac:dyDescent="0.55000000000000004">
      <c r="W58965"/>
    </row>
    <row r="58966" spans="23:23" x14ac:dyDescent="0.55000000000000004">
      <c r="W58966"/>
    </row>
    <row r="58967" spans="23:23" x14ac:dyDescent="0.55000000000000004">
      <c r="W58967"/>
    </row>
    <row r="58968" spans="23:23" x14ac:dyDescent="0.55000000000000004">
      <c r="W58968"/>
    </row>
    <row r="58969" spans="23:23" x14ac:dyDescent="0.55000000000000004">
      <c r="W58969"/>
    </row>
    <row r="58970" spans="23:23" x14ac:dyDescent="0.55000000000000004">
      <c r="W58970"/>
    </row>
    <row r="58971" spans="23:23" x14ac:dyDescent="0.55000000000000004">
      <c r="W58971"/>
    </row>
    <row r="58972" spans="23:23" x14ac:dyDescent="0.55000000000000004">
      <c r="W58972"/>
    </row>
    <row r="58973" spans="23:23" x14ac:dyDescent="0.55000000000000004">
      <c r="W58973"/>
    </row>
    <row r="58974" spans="23:23" x14ac:dyDescent="0.55000000000000004">
      <c r="W58974"/>
    </row>
    <row r="58975" spans="23:23" x14ac:dyDescent="0.55000000000000004">
      <c r="W58975"/>
    </row>
    <row r="58976" spans="23:23" x14ac:dyDescent="0.55000000000000004">
      <c r="W58976"/>
    </row>
    <row r="58977" spans="23:23" x14ac:dyDescent="0.55000000000000004">
      <c r="W58977"/>
    </row>
    <row r="58978" spans="23:23" x14ac:dyDescent="0.55000000000000004">
      <c r="W58978"/>
    </row>
    <row r="58979" spans="23:23" x14ac:dyDescent="0.55000000000000004">
      <c r="W58979"/>
    </row>
    <row r="58980" spans="23:23" x14ac:dyDescent="0.55000000000000004">
      <c r="W58980"/>
    </row>
    <row r="58981" spans="23:23" x14ac:dyDescent="0.55000000000000004">
      <c r="W58981"/>
    </row>
    <row r="58982" spans="23:23" x14ac:dyDescent="0.55000000000000004">
      <c r="W58982"/>
    </row>
    <row r="58983" spans="23:23" x14ac:dyDescent="0.55000000000000004">
      <c r="W58983"/>
    </row>
    <row r="58984" spans="23:23" x14ac:dyDescent="0.55000000000000004">
      <c r="W58984"/>
    </row>
    <row r="58985" spans="23:23" x14ac:dyDescent="0.55000000000000004">
      <c r="W58985"/>
    </row>
    <row r="58986" spans="23:23" x14ac:dyDescent="0.55000000000000004">
      <c r="W58986"/>
    </row>
    <row r="58987" spans="23:23" x14ac:dyDescent="0.55000000000000004">
      <c r="W58987"/>
    </row>
    <row r="58988" spans="23:23" x14ac:dyDescent="0.55000000000000004">
      <c r="W58988"/>
    </row>
    <row r="58989" spans="23:23" x14ac:dyDescent="0.55000000000000004">
      <c r="W58989"/>
    </row>
    <row r="58990" spans="23:23" x14ac:dyDescent="0.55000000000000004">
      <c r="W58990"/>
    </row>
    <row r="58991" spans="23:23" x14ac:dyDescent="0.55000000000000004">
      <c r="W58991"/>
    </row>
    <row r="58992" spans="23:23" x14ac:dyDescent="0.55000000000000004">
      <c r="W58992"/>
    </row>
    <row r="58993" spans="23:23" x14ac:dyDescent="0.55000000000000004">
      <c r="W58993"/>
    </row>
    <row r="58994" spans="23:23" x14ac:dyDescent="0.55000000000000004">
      <c r="W58994"/>
    </row>
    <row r="58995" spans="23:23" x14ac:dyDescent="0.55000000000000004">
      <c r="W58995"/>
    </row>
    <row r="58996" spans="23:23" x14ac:dyDescent="0.55000000000000004">
      <c r="W58996"/>
    </row>
    <row r="58997" spans="23:23" x14ac:dyDescent="0.55000000000000004">
      <c r="W58997"/>
    </row>
    <row r="58998" spans="23:23" x14ac:dyDescent="0.55000000000000004">
      <c r="W58998"/>
    </row>
    <row r="58999" spans="23:23" x14ac:dyDescent="0.55000000000000004">
      <c r="W58999"/>
    </row>
    <row r="59000" spans="23:23" x14ac:dyDescent="0.55000000000000004">
      <c r="W59000"/>
    </row>
    <row r="59001" spans="23:23" x14ac:dyDescent="0.55000000000000004">
      <c r="W59001"/>
    </row>
    <row r="59002" spans="23:23" x14ac:dyDescent="0.55000000000000004">
      <c r="W59002"/>
    </row>
    <row r="59003" spans="23:23" x14ac:dyDescent="0.55000000000000004">
      <c r="W59003"/>
    </row>
    <row r="59004" spans="23:23" x14ac:dyDescent="0.55000000000000004">
      <c r="W59004"/>
    </row>
    <row r="59005" spans="23:23" x14ac:dyDescent="0.55000000000000004">
      <c r="W59005"/>
    </row>
    <row r="59006" spans="23:23" x14ac:dyDescent="0.55000000000000004">
      <c r="W59006"/>
    </row>
    <row r="59007" spans="23:23" x14ac:dyDescent="0.55000000000000004">
      <c r="W59007"/>
    </row>
    <row r="59008" spans="23:23" x14ac:dyDescent="0.55000000000000004">
      <c r="W59008"/>
    </row>
    <row r="59009" spans="23:23" x14ac:dyDescent="0.55000000000000004">
      <c r="W59009"/>
    </row>
    <row r="59010" spans="23:23" x14ac:dyDescent="0.55000000000000004">
      <c r="W59010"/>
    </row>
    <row r="59011" spans="23:23" x14ac:dyDescent="0.55000000000000004">
      <c r="W59011"/>
    </row>
    <row r="59012" spans="23:23" x14ac:dyDescent="0.55000000000000004">
      <c r="W59012"/>
    </row>
    <row r="59013" spans="23:23" x14ac:dyDescent="0.55000000000000004">
      <c r="W59013"/>
    </row>
    <row r="59014" spans="23:23" x14ac:dyDescent="0.55000000000000004">
      <c r="W59014"/>
    </row>
    <row r="59015" spans="23:23" x14ac:dyDescent="0.55000000000000004">
      <c r="W59015"/>
    </row>
    <row r="59016" spans="23:23" x14ac:dyDescent="0.55000000000000004">
      <c r="W59016"/>
    </row>
    <row r="59017" spans="23:23" x14ac:dyDescent="0.55000000000000004">
      <c r="W59017"/>
    </row>
    <row r="59018" spans="23:23" x14ac:dyDescent="0.55000000000000004">
      <c r="W59018"/>
    </row>
    <row r="59019" spans="23:23" x14ac:dyDescent="0.55000000000000004">
      <c r="W59019"/>
    </row>
    <row r="59020" spans="23:23" x14ac:dyDescent="0.55000000000000004">
      <c r="W59020"/>
    </row>
    <row r="59021" spans="23:23" x14ac:dyDescent="0.55000000000000004">
      <c r="W59021"/>
    </row>
    <row r="59022" spans="23:23" x14ac:dyDescent="0.55000000000000004">
      <c r="W59022"/>
    </row>
    <row r="59023" spans="23:23" x14ac:dyDescent="0.55000000000000004">
      <c r="W59023"/>
    </row>
    <row r="59024" spans="23:23" x14ac:dyDescent="0.55000000000000004">
      <c r="W59024"/>
    </row>
    <row r="59025" spans="23:23" x14ac:dyDescent="0.55000000000000004">
      <c r="W59025"/>
    </row>
    <row r="59026" spans="23:23" x14ac:dyDescent="0.55000000000000004">
      <c r="W59026"/>
    </row>
    <row r="59027" spans="23:23" x14ac:dyDescent="0.55000000000000004">
      <c r="W59027"/>
    </row>
    <row r="59028" spans="23:23" x14ac:dyDescent="0.55000000000000004">
      <c r="W59028"/>
    </row>
    <row r="59029" spans="23:23" x14ac:dyDescent="0.55000000000000004">
      <c r="W59029"/>
    </row>
    <row r="59030" spans="23:23" x14ac:dyDescent="0.55000000000000004">
      <c r="W59030"/>
    </row>
    <row r="59031" spans="23:23" x14ac:dyDescent="0.55000000000000004">
      <c r="W59031"/>
    </row>
    <row r="59032" spans="23:23" x14ac:dyDescent="0.55000000000000004">
      <c r="W59032"/>
    </row>
    <row r="59033" spans="23:23" x14ac:dyDescent="0.55000000000000004">
      <c r="W59033"/>
    </row>
    <row r="59034" spans="23:23" x14ac:dyDescent="0.55000000000000004">
      <c r="W59034"/>
    </row>
    <row r="59035" spans="23:23" x14ac:dyDescent="0.55000000000000004">
      <c r="W59035"/>
    </row>
    <row r="59036" spans="23:23" x14ac:dyDescent="0.55000000000000004">
      <c r="W59036"/>
    </row>
    <row r="59037" spans="23:23" x14ac:dyDescent="0.55000000000000004">
      <c r="W59037"/>
    </row>
    <row r="59038" spans="23:23" x14ac:dyDescent="0.55000000000000004">
      <c r="W59038"/>
    </row>
    <row r="59039" spans="23:23" x14ac:dyDescent="0.55000000000000004">
      <c r="W59039"/>
    </row>
    <row r="59040" spans="23:23" x14ac:dyDescent="0.55000000000000004">
      <c r="W59040"/>
    </row>
    <row r="59041" spans="23:23" x14ac:dyDescent="0.55000000000000004">
      <c r="W59041"/>
    </row>
    <row r="59042" spans="23:23" x14ac:dyDescent="0.55000000000000004">
      <c r="W59042"/>
    </row>
    <row r="59043" spans="23:23" x14ac:dyDescent="0.55000000000000004">
      <c r="W59043"/>
    </row>
    <row r="59044" spans="23:23" x14ac:dyDescent="0.55000000000000004">
      <c r="W59044"/>
    </row>
    <row r="59045" spans="23:23" x14ac:dyDescent="0.55000000000000004">
      <c r="W59045"/>
    </row>
    <row r="59046" spans="23:23" x14ac:dyDescent="0.55000000000000004">
      <c r="W59046"/>
    </row>
    <row r="59047" spans="23:23" x14ac:dyDescent="0.55000000000000004">
      <c r="W59047"/>
    </row>
    <row r="59048" spans="23:23" x14ac:dyDescent="0.55000000000000004">
      <c r="W59048"/>
    </row>
    <row r="59049" spans="23:23" x14ac:dyDescent="0.55000000000000004">
      <c r="W59049"/>
    </row>
    <row r="59050" spans="23:23" x14ac:dyDescent="0.55000000000000004">
      <c r="W59050"/>
    </row>
    <row r="59051" spans="23:23" x14ac:dyDescent="0.55000000000000004">
      <c r="W59051"/>
    </row>
    <row r="59052" spans="23:23" x14ac:dyDescent="0.55000000000000004">
      <c r="W59052"/>
    </row>
    <row r="59053" spans="23:23" x14ac:dyDescent="0.55000000000000004">
      <c r="W59053"/>
    </row>
    <row r="59054" spans="23:23" x14ac:dyDescent="0.55000000000000004">
      <c r="W59054"/>
    </row>
    <row r="59055" spans="23:23" x14ac:dyDescent="0.55000000000000004">
      <c r="W59055"/>
    </row>
    <row r="59056" spans="23:23" x14ac:dyDescent="0.55000000000000004">
      <c r="W59056"/>
    </row>
    <row r="59057" spans="23:23" x14ac:dyDescent="0.55000000000000004">
      <c r="W59057"/>
    </row>
    <row r="59058" spans="23:23" x14ac:dyDescent="0.55000000000000004">
      <c r="W59058"/>
    </row>
    <row r="59059" spans="23:23" x14ac:dyDescent="0.55000000000000004">
      <c r="W59059"/>
    </row>
    <row r="59060" spans="23:23" x14ac:dyDescent="0.55000000000000004">
      <c r="W59060"/>
    </row>
    <row r="59061" spans="23:23" x14ac:dyDescent="0.55000000000000004">
      <c r="W59061"/>
    </row>
    <row r="59062" spans="23:23" x14ac:dyDescent="0.55000000000000004">
      <c r="W59062"/>
    </row>
    <row r="59063" spans="23:23" x14ac:dyDescent="0.55000000000000004">
      <c r="W59063"/>
    </row>
    <row r="59064" spans="23:23" x14ac:dyDescent="0.55000000000000004">
      <c r="W59064"/>
    </row>
    <row r="59065" spans="23:23" x14ac:dyDescent="0.55000000000000004">
      <c r="W59065"/>
    </row>
    <row r="59066" spans="23:23" x14ac:dyDescent="0.55000000000000004">
      <c r="W59066"/>
    </row>
    <row r="59067" spans="23:23" x14ac:dyDescent="0.55000000000000004">
      <c r="W59067"/>
    </row>
    <row r="59068" spans="23:23" x14ac:dyDescent="0.55000000000000004">
      <c r="W59068"/>
    </row>
    <row r="59069" spans="23:23" x14ac:dyDescent="0.55000000000000004">
      <c r="W59069"/>
    </row>
    <row r="59070" spans="23:23" x14ac:dyDescent="0.55000000000000004">
      <c r="W59070"/>
    </row>
    <row r="59071" spans="23:23" x14ac:dyDescent="0.55000000000000004">
      <c r="W59071"/>
    </row>
    <row r="59072" spans="23:23" x14ac:dyDescent="0.55000000000000004">
      <c r="W59072"/>
    </row>
    <row r="59073" spans="23:23" x14ac:dyDescent="0.55000000000000004">
      <c r="W59073"/>
    </row>
    <row r="59074" spans="23:23" x14ac:dyDescent="0.55000000000000004">
      <c r="W59074"/>
    </row>
    <row r="59075" spans="23:23" x14ac:dyDescent="0.55000000000000004">
      <c r="W59075"/>
    </row>
    <row r="59076" spans="23:23" x14ac:dyDescent="0.55000000000000004">
      <c r="W59076"/>
    </row>
    <row r="59077" spans="23:23" x14ac:dyDescent="0.55000000000000004">
      <c r="W59077"/>
    </row>
    <row r="59078" spans="23:23" x14ac:dyDescent="0.55000000000000004">
      <c r="W59078"/>
    </row>
    <row r="59079" spans="23:23" x14ac:dyDescent="0.55000000000000004">
      <c r="W59079"/>
    </row>
    <row r="59080" spans="23:23" x14ac:dyDescent="0.55000000000000004">
      <c r="W59080"/>
    </row>
    <row r="59081" spans="23:23" x14ac:dyDescent="0.55000000000000004">
      <c r="W59081"/>
    </row>
    <row r="59082" spans="23:23" x14ac:dyDescent="0.55000000000000004">
      <c r="W59082"/>
    </row>
    <row r="59083" spans="23:23" x14ac:dyDescent="0.55000000000000004">
      <c r="W59083"/>
    </row>
    <row r="59084" spans="23:23" x14ac:dyDescent="0.55000000000000004">
      <c r="W59084"/>
    </row>
    <row r="59085" spans="23:23" x14ac:dyDescent="0.55000000000000004">
      <c r="W59085"/>
    </row>
    <row r="59086" spans="23:23" x14ac:dyDescent="0.55000000000000004">
      <c r="W59086"/>
    </row>
    <row r="59087" spans="23:23" x14ac:dyDescent="0.55000000000000004">
      <c r="W59087"/>
    </row>
    <row r="59088" spans="23:23" x14ac:dyDescent="0.55000000000000004">
      <c r="W59088"/>
    </row>
    <row r="59089" spans="23:23" x14ac:dyDescent="0.55000000000000004">
      <c r="W59089"/>
    </row>
    <row r="59090" spans="23:23" x14ac:dyDescent="0.55000000000000004">
      <c r="W59090"/>
    </row>
    <row r="59091" spans="23:23" x14ac:dyDescent="0.55000000000000004">
      <c r="W59091"/>
    </row>
    <row r="59092" spans="23:23" x14ac:dyDescent="0.55000000000000004">
      <c r="W59092"/>
    </row>
    <row r="59093" spans="23:23" x14ac:dyDescent="0.55000000000000004">
      <c r="W59093"/>
    </row>
    <row r="59094" spans="23:23" x14ac:dyDescent="0.55000000000000004">
      <c r="W59094"/>
    </row>
    <row r="59095" spans="23:23" x14ac:dyDescent="0.55000000000000004">
      <c r="W59095"/>
    </row>
    <row r="59096" spans="23:23" x14ac:dyDescent="0.55000000000000004">
      <c r="W59096"/>
    </row>
    <row r="59097" spans="23:23" x14ac:dyDescent="0.55000000000000004">
      <c r="W59097"/>
    </row>
    <row r="59098" spans="23:23" x14ac:dyDescent="0.55000000000000004">
      <c r="W59098"/>
    </row>
    <row r="59099" spans="23:23" x14ac:dyDescent="0.55000000000000004">
      <c r="W59099"/>
    </row>
    <row r="59100" spans="23:23" x14ac:dyDescent="0.55000000000000004">
      <c r="W59100"/>
    </row>
    <row r="59101" spans="23:23" x14ac:dyDescent="0.55000000000000004">
      <c r="W59101"/>
    </row>
    <row r="59102" spans="23:23" x14ac:dyDescent="0.55000000000000004">
      <c r="W59102"/>
    </row>
    <row r="59103" spans="23:23" x14ac:dyDescent="0.55000000000000004">
      <c r="W59103"/>
    </row>
    <row r="59104" spans="23:23" x14ac:dyDescent="0.55000000000000004">
      <c r="W59104"/>
    </row>
    <row r="59105" spans="23:23" x14ac:dyDescent="0.55000000000000004">
      <c r="W59105"/>
    </row>
    <row r="59106" spans="23:23" x14ac:dyDescent="0.55000000000000004">
      <c r="W59106"/>
    </row>
    <row r="59107" spans="23:23" x14ac:dyDescent="0.55000000000000004">
      <c r="W59107"/>
    </row>
    <row r="59108" spans="23:23" x14ac:dyDescent="0.55000000000000004">
      <c r="W59108"/>
    </row>
    <row r="59109" spans="23:23" x14ac:dyDescent="0.55000000000000004">
      <c r="W59109"/>
    </row>
    <row r="59110" spans="23:23" x14ac:dyDescent="0.55000000000000004">
      <c r="W59110"/>
    </row>
    <row r="59111" spans="23:23" x14ac:dyDescent="0.55000000000000004">
      <c r="W59111"/>
    </row>
    <row r="59112" spans="23:23" x14ac:dyDescent="0.55000000000000004">
      <c r="W59112"/>
    </row>
    <row r="59113" spans="23:23" x14ac:dyDescent="0.55000000000000004">
      <c r="W59113"/>
    </row>
    <row r="59114" spans="23:23" x14ac:dyDescent="0.55000000000000004">
      <c r="W59114"/>
    </row>
    <row r="59115" spans="23:23" x14ac:dyDescent="0.55000000000000004">
      <c r="W59115"/>
    </row>
    <row r="59116" spans="23:23" x14ac:dyDescent="0.55000000000000004">
      <c r="W59116"/>
    </row>
    <row r="59117" spans="23:23" x14ac:dyDescent="0.55000000000000004">
      <c r="W59117"/>
    </row>
    <row r="59118" spans="23:23" x14ac:dyDescent="0.55000000000000004">
      <c r="W59118"/>
    </row>
    <row r="59119" spans="23:23" x14ac:dyDescent="0.55000000000000004">
      <c r="W59119"/>
    </row>
    <row r="59120" spans="23:23" x14ac:dyDescent="0.55000000000000004">
      <c r="W59120"/>
    </row>
    <row r="59121" spans="23:23" x14ac:dyDescent="0.55000000000000004">
      <c r="W59121"/>
    </row>
    <row r="59122" spans="23:23" x14ac:dyDescent="0.55000000000000004">
      <c r="W59122"/>
    </row>
    <row r="59123" spans="23:23" x14ac:dyDescent="0.55000000000000004">
      <c r="W59123"/>
    </row>
    <row r="59124" spans="23:23" x14ac:dyDescent="0.55000000000000004">
      <c r="W59124"/>
    </row>
    <row r="59125" spans="23:23" x14ac:dyDescent="0.55000000000000004">
      <c r="W59125"/>
    </row>
    <row r="59126" spans="23:23" x14ac:dyDescent="0.55000000000000004">
      <c r="W59126"/>
    </row>
    <row r="59127" spans="23:23" x14ac:dyDescent="0.55000000000000004">
      <c r="W59127"/>
    </row>
    <row r="59128" spans="23:23" x14ac:dyDescent="0.55000000000000004">
      <c r="W59128"/>
    </row>
    <row r="59129" spans="23:23" x14ac:dyDescent="0.55000000000000004">
      <c r="W59129"/>
    </row>
    <row r="59130" spans="23:23" x14ac:dyDescent="0.55000000000000004">
      <c r="W59130"/>
    </row>
    <row r="59131" spans="23:23" x14ac:dyDescent="0.55000000000000004">
      <c r="W59131"/>
    </row>
    <row r="59132" spans="23:23" x14ac:dyDescent="0.55000000000000004">
      <c r="W59132"/>
    </row>
    <row r="59133" spans="23:23" x14ac:dyDescent="0.55000000000000004">
      <c r="W59133"/>
    </row>
    <row r="59134" spans="23:23" x14ac:dyDescent="0.55000000000000004">
      <c r="W59134"/>
    </row>
    <row r="59135" spans="23:23" x14ac:dyDescent="0.55000000000000004">
      <c r="W59135"/>
    </row>
    <row r="59136" spans="23:23" x14ac:dyDescent="0.55000000000000004">
      <c r="W59136"/>
    </row>
    <row r="59137" spans="23:23" x14ac:dyDescent="0.55000000000000004">
      <c r="W59137"/>
    </row>
    <row r="59138" spans="23:23" x14ac:dyDescent="0.55000000000000004">
      <c r="W59138"/>
    </row>
    <row r="59139" spans="23:23" x14ac:dyDescent="0.55000000000000004">
      <c r="W59139"/>
    </row>
    <row r="59140" spans="23:23" x14ac:dyDescent="0.55000000000000004">
      <c r="W59140"/>
    </row>
    <row r="59141" spans="23:23" x14ac:dyDescent="0.55000000000000004">
      <c r="W59141"/>
    </row>
    <row r="59142" spans="23:23" x14ac:dyDescent="0.55000000000000004">
      <c r="W59142"/>
    </row>
    <row r="59143" spans="23:23" x14ac:dyDescent="0.55000000000000004">
      <c r="W59143"/>
    </row>
    <row r="59144" spans="23:23" x14ac:dyDescent="0.55000000000000004">
      <c r="W59144"/>
    </row>
    <row r="59145" spans="23:23" x14ac:dyDescent="0.55000000000000004">
      <c r="W59145"/>
    </row>
    <row r="59146" spans="23:23" x14ac:dyDescent="0.55000000000000004">
      <c r="W59146"/>
    </row>
    <row r="59147" spans="23:23" x14ac:dyDescent="0.55000000000000004">
      <c r="W59147"/>
    </row>
    <row r="59148" spans="23:23" x14ac:dyDescent="0.55000000000000004">
      <c r="W59148"/>
    </row>
    <row r="59149" spans="23:23" x14ac:dyDescent="0.55000000000000004">
      <c r="W59149"/>
    </row>
    <row r="59150" spans="23:23" x14ac:dyDescent="0.55000000000000004">
      <c r="W59150"/>
    </row>
    <row r="59151" spans="23:23" x14ac:dyDescent="0.55000000000000004">
      <c r="W59151"/>
    </row>
    <row r="59152" spans="23:23" x14ac:dyDescent="0.55000000000000004">
      <c r="W59152"/>
    </row>
    <row r="59153" spans="23:23" x14ac:dyDescent="0.55000000000000004">
      <c r="W59153"/>
    </row>
    <row r="59154" spans="23:23" x14ac:dyDescent="0.55000000000000004">
      <c r="W59154"/>
    </row>
    <row r="59155" spans="23:23" x14ac:dyDescent="0.55000000000000004">
      <c r="W59155"/>
    </row>
    <row r="59156" spans="23:23" x14ac:dyDescent="0.55000000000000004">
      <c r="W59156"/>
    </row>
    <row r="59157" spans="23:23" x14ac:dyDescent="0.55000000000000004">
      <c r="W59157"/>
    </row>
    <row r="59158" spans="23:23" x14ac:dyDescent="0.55000000000000004">
      <c r="W59158"/>
    </row>
    <row r="59159" spans="23:23" x14ac:dyDescent="0.55000000000000004">
      <c r="W59159"/>
    </row>
    <row r="59160" spans="23:23" x14ac:dyDescent="0.55000000000000004">
      <c r="W59160"/>
    </row>
    <row r="59161" spans="23:23" x14ac:dyDescent="0.55000000000000004">
      <c r="W59161"/>
    </row>
    <row r="59162" spans="23:23" x14ac:dyDescent="0.55000000000000004">
      <c r="W59162"/>
    </row>
    <row r="59163" spans="23:23" x14ac:dyDescent="0.55000000000000004">
      <c r="W59163"/>
    </row>
    <row r="59164" spans="23:23" x14ac:dyDescent="0.55000000000000004">
      <c r="W59164"/>
    </row>
    <row r="59165" spans="23:23" x14ac:dyDescent="0.55000000000000004">
      <c r="W59165"/>
    </row>
    <row r="59166" spans="23:23" x14ac:dyDescent="0.55000000000000004">
      <c r="W59166"/>
    </row>
    <row r="59167" spans="23:23" x14ac:dyDescent="0.55000000000000004">
      <c r="W59167"/>
    </row>
    <row r="59168" spans="23:23" x14ac:dyDescent="0.55000000000000004">
      <c r="W59168"/>
    </row>
    <row r="59169" spans="23:23" x14ac:dyDescent="0.55000000000000004">
      <c r="W59169"/>
    </row>
    <row r="59170" spans="23:23" x14ac:dyDescent="0.55000000000000004">
      <c r="W59170"/>
    </row>
    <row r="59171" spans="23:23" x14ac:dyDescent="0.55000000000000004">
      <c r="W59171"/>
    </row>
    <row r="59172" spans="23:23" x14ac:dyDescent="0.55000000000000004">
      <c r="W59172"/>
    </row>
    <row r="59173" spans="23:23" x14ac:dyDescent="0.55000000000000004">
      <c r="W59173"/>
    </row>
    <row r="59174" spans="23:23" x14ac:dyDescent="0.55000000000000004">
      <c r="W59174"/>
    </row>
    <row r="59175" spans="23:23" x14ac:dyDescent="0.55000000000000004">
      <c r="W59175"/>
    </row>
    <row r="59176" spans="23:23" x14ac:dyDescent="0.55000000000000004">
      <c r="W59176"/>
    </row>
    <row r="59177" spans="23:23" x14ac:dyDescent="0.55000000000000004">
      <c r="W59177"/>
    </row>
    <row r="59178" spans="23:23" x14ac:dyDescent="0.55000000000000004">
      <c r="W59178"/>
    </row>
    <row r="59179" spans="23:23" x14ac:dyDescent="0.55000000000000004">
      <c r="W59179"/>
    </row>
    <row r="59180" spans="23:23" x14ac:dyDescent="0.55000000000000004">
      <c r="W59180"/>
    </row>
    <row r="59181" spans="23:23" x14ac:dyDescent="0.55000000000000004">
      <c r="W59181"/>
    </row>
    <row r="59182" spans="23:23" x14ac:dyDescent="0.55000000000000004">
      <c r="W59182"/>
    </row>
    <row r="59183" spans="23:23" x14ac:dyDescent="0.55000000000000004">
      <c r="W59183"/>
    </row>
    <row r="59184" spans="23:23" x14ac:dyDescent="0.55000000000000004">
      <c r="W59184"/>
    </row>
    <row r="59185" spans="23:23" x14ac:dyDescent="0.55000000000000004">
      <c r="W59185"/>
    </row>
    <row r="59186" spans="23:23" x14ac:dyDescent="0.55000000000000004">
      <c r="W59186"/>
    </row>
    <row r="59187" spans="23:23" x14ac:dyDescent="0.55000000000000004">
      <c r="W59187"/>
    </row>
    <row r="59188" spans="23:23" x14ac:dyDescent="0.55000000000000004">
      <c r="W59188"/>
    </row>
    <row r="59189" spans="23:23" x14ac:dyDescent="0.55000000000000004">
      <c r="W59189"/>
    </row>
    <row r="59190" spans="23:23" x14ac:dyDescent="0.55000000000000004">
      <c r="W59190"/>
    </row>
    <row r="59191" spans="23:23" x14ac:dyDescent="0.55000000000000004">
      <c r="W59191"/>
    </row>
    <row r="59192" spans="23:23" x14ac:dyDescent="0.55000000000000004">
      <c r="W59192"/>
    </row>
    <row r="59193" spans="23:23" x14ac:dyDescent="0.55000000000000004">
      <c r="W59193"/>
    </row>
    <row r="59194" spans="23:23" x14ac:dyDescent="0.55000000000000004">
      <c r="W59194"/>
    </row>
    <row r="59195" spans="23:23" x14ac:dyDescent="0.55000000000000004">
      <c r="W59195"/>
    </row>
    <row r="59196" spans="23:23" x14ac:dyDescent="0.55000000000000004">
      <c r="W59196"/>
    </row>
    <row r="59197" spans="23:23" x14ac:dyDescent="0.55000000000000004">
      <c r="W59197"/>
    </row>
    <row r="59198" spans="23:23" x14ac:dyDescent="0.55000000000000004">
      <c r="W59198"/>
    </row>
    <row r="59199" spans="23:23" x14ac:dyDescent="0.55000000000000004">
      <c r="W59199"/>
    </row>
    <row r="59200" spans="23:23" x14ac:dyDescent="0.55000000000000004">
      <c r="W59200"/>
    </row>
    <row r="59201" spans="23:23" x14ac:dyDescent="0.55000000000000004">
      <c r="W59201"/>
    </row>
    <row r="59202" spans="23:23" x14ac:dyDescent="0.55000000000000004">
      <c r="W59202"/>
    </row>
    <row r="59203" spans="23:23" x14ac:dyDescent="0.55000000000000004">
      <c r="W59203"/>
    </row>
    <row r="59204" spans="23:23" x14ac:dyDescent="0.55000000000000004">
      <c r="W59204"/>
    </row>
    <row r="59205" spans="23:23" x14ac:dyDescent="0.55000000000000004">
      <c r="W59205"/>
    </row>
    <row r="59206" spans="23:23" x14ac:dyDescent="0.55000000000000004">
      <c r="W59206"/>
    </row>
    <row r="59207" spans="23:23" x14ac:dyDescent="0.55000000000000004">
      <c r="W59207"/>
    </row>
    <row r="59208" spans="23:23" x14ac:dyDescent="0.55000000000000004">
      <c r="W59208"/>
    </row>
    <row r="59209" spans="23:23" x14ac:dyDescent="0.55000000000000004">
      <c r="W59209"/>
    </row>
    <row r="59210" spans="23:23" x14ac:dyDescent="0.55000000000000004">
      <c r="W59210"/>
    </row>
    <row r="59211" spans="23:23" x14ac:dyDescent="0.55000000000000004">
      <c r="W59211"/>
    </row>
    <row r="59212" spans="23:23" x14ac:dyDescent="0.55000000000000004">
      <c r="W59212"/>
    </row>
    <row r="59213" spans="23:23" x14ac:dyDescent="0.55000000000000004">
      <c r="W59213"/>
    </row>
    <row r="59214" spans="23:23" x14ac:dyDescent="0.55000000000000004">
      <c r="W59214"/>
    </row>
    <row r="59215" spans="23:23" x14ac:dyDescent="0.55000000000000004">
      <c r="W59215"/>
    </row>
    <row r="59216" spans="23:23" x14ac:dyDescent="0.55000000000000004">
      <c r="W59216"/>
    </row>
    <row r="59217" spans="23:23" x14ac:dyDescent="0.55000000000000004">
      <c r="W59217"/>
    </row>
    <row r="59218" spans="23:23" x14ac:dyDescent="0.55000000000000004">
      <c r="W59218"/>
    </row>
    <row r="59219" spans="23:23" x14ac:dyDescent="0.55000000000000004">
      <c r="W59219"/>
    </row>
    <row r="59220" spans="23:23" x14ac:dyDescent="0.55000000000000004">
      <c r="W59220"/>
    </row>
    <row r="59221" spans="23:23" x14ac:dyDescent="0.55000000000000004">
      <c r="W59221"/>
    </row>
    <row r="59222" spans="23:23" x14ac:dyDescent="0.55000000000000004">
      <c r="W59222"/>
    </row>
    <row r="59223" spans="23:23" x14ac:dyDescent="0.55000000000000004">
      <c r="W59223"/>
    </row>
    <row r="59224" spans="23:23" x14ac:dyDescent="0.55000000000000004">
      <c r="W59224"/>
    </row>
    <row r="59225" spans="23:23" x14ac:dyDescent="0.55000000000000004">
      <c r="W59225"/>
    </row>
    <row r="59226" spans="23:23" x14ac:dyDescent="0.55000000000000004">
      <c r="W59226"/>
    </row>
    <row r="59227" spans="23:23" x14ac:dyDescent="0.55000000000000004">
      <c r="W59227"/>
    </row>
    <row r="59228" spans="23:23" x14ac:dyDescent="0.55000000000000004">
      <c r="W59228"/>
    </row>
    <row r="59229" spans="23:23" x14ac:dyDescent="0.55000000000000004">
      <c r="W59229"/>
    </row>
    <row r="59230" spans="23:23" x14ac:dyDescent="0.55000000000000004">
      <c r="W59230"/>
    </row>
    <row r="59231" spans="23:23" x14ac:dyDescent="0.55000000000000004">
      <c r="W59231"/>
    </row>
    <row r="59232" spans="23:23" x14ac:dyDescent="0.55000000000000004">
      <c r="W59232"/>
    </row>
    <row r="59233" spans="23:23" x14ac:dyDescent="0.55000000000000004">
      <c r="W59233"/>
    </row>
    <row r="59234" spans="23:23" x14ac:dyDescent="0.55000000000000004">
      <c r="W59234"/>
    </row>
    <row r="59235" spans="23:23" x14ac:dyDescent="0.55000000000000004">
      <c r="W59235"/>
    </row>
    <row r="59236" spans="23:23" x14ac:dyDescent="0.55000000000000004">
      <c r="W59236"/>
    </row>
    <row r="59237" spans="23:23" x14ac:dyDescent="0.55000000000000004">
      <c r="W59237"/>
    </row>
    <row r="59238" spans="23:23" x14ac:dyDescent="0.55000000000000004">
      <c r="W59238"/>
    </row>
    <row r="59239" spans="23:23" x14ac:dyDescent="0.55000000000000004">
      <c r="W59239"/>
    </row>
    <row r="59240" spans="23:23" x14ac:dyDescent="0.55000000000000004">
      <c r="W59240"/>
    </row>
    <row r="59241" spans="23:23" x14ac:dyDescent="0.55000000000000004">
      <c r="W59241"/>
    </row>
    <row r="59242" spans="23:23" x14ac:dyDescent="0.55000000000000004">
      <c r="W59242"/>
    </row>
    <row r="59243" spans="23:23" x14ac:dyDescent="0.55000000000000004">
      <c r="W59243"/>
    </row>
    <row r="59244" spans="23:23" x14ac:dyDescent="0.55000000000000004">
      <c r="W59244"/>
    </row>
    <row r="59245" spans="23:23" x14ac:dyDescent="0.55000000000000004">
      <c r="W59245"/>
    </row>
    <row r="59246" spans="23:23" x14ac:dyDescent="0.55000000000000004">
      <c r="W59246"/>
    </row>
    <row r="59247" spans="23:23" x14ac:dyDescent="0.55000000000000004">
      <c r="W59247"/>
    </row>
    <row r="59248" spans="23:23" x14ac:dyDescent="0.55000000000000004">
      <c r="W59248"/>
    </row>
    <row r="59249" spans="23:23" x14ac:dyDescent="0.55000000000000004">
      <c r="W59249"/>
    </row>
    <row r="59250" spans="23:23" x14ac:dyDescent="0.55000000000000004">
      <c r="W59250"/>
    </row>
    <row r="59251" spans="23:23" x14ac:dyDescent="0.55000000000000004">
      <c r="W59251"/>
    </row>
    <row r="59252" spans="23:23" x14ac:dyDescent="0.55000000000000004">
      <c r="W59252"/>
    </row>
    <row r="59253" spans="23:23" x14ac:dyDescent="0.55000000000000004">
      <c r="W59253"/>
    </row>
    <row r="59254" spans="23:23" x14ac:dyDescent="0.55000000000000004">
      <c r="W59254"/>
    </row>
    <row r="59255" spans="23:23" x14ac:dyDescent="0.55000000000000004">
      <c r="W59255"/>
    </row>
    <row r="59256" spans="23:23" x14ac:dyDescent="0.55000000000000004">
      <c r="W59256"/>
    </row>
    <row r="59257" spans="23:23" x14ac:dyDescent="0.55000000000000004">
      <c r="W59257"/>
    </row>
    <row r="59258" spans="23:23" x14ac:dyDescent="0.55000000000000004">
      <c r="W59258"/>
    </row>
    <row r="59259" spans="23:23" x14ac:dyDescent="0.55000000000000004">
      <c r="W59259"/>
    </row>
    <row r="59260" spans="23:23" x14ac:dyDescent="0.55000000000000004">
      <c r="W59260"/>
    </row>
    <row r="59261" spans="23:23" x14ac:dyDescent="0.55000000000000004">
      <c r="W59261"/>
    </row>
    <row r="59262" spans="23:23" x14ac:dyDescent="0.55000000000000004">
      <c r="W59262"/>
    </row>
    <row r="59263" spans="23:23" x14ac:dyDescent="0.55000000000000004">
      <c r="W59263"/>
    </row>
    <row r="59264" spans="23:23" x14ac:dyDescent="0.55000000000000004">
      <c r="W59264"/>
    </row>
    <row r="59265" spans="23:23" x14ac:dyDescent="0.55000000000000004">
      <c r="W59265"/>
    </row>
    <row r="59266" spans="23:23" x14ac:dyDescent="0.55000000000000004">
      <c r="W59266"/>
    </row>
    <row r="59267" spans="23:23" x14ac:dyDescent="0.55000000000000004">
      <c r="W59267"/>
    </row>
    <row r="59268" spans="23:23" x14ac:dyDescent="0.55000000000000004">
      <c r="W59268"/>
    </row>
    <row r="59269" spans="23:23" x14ac:dyDescent="0.55000000000000004">
      <c r="W59269"/>
    </row>
    <row r="59270" spans="23:23" x14ac:dyDescent="0.55000000000000004">
      <c r="W59270"/>
    </row>
    <row r="59271" spans="23:23" x14ac:dyDescent="0.55000000000000004">
      <c r="W59271"/>
    </row>
    <row r="59272" spans="23:23" x14ac:dyDescent="0.55000000000000004">
      <c r="W59272"/>
    </row>
    <row r="59273" spans="23:23" x14ac:dyDescent="0.55000000000000004">
      <c r="W59273"/>
    </row>
    <row r="59274" spans="23:23" x14ac:dyDescent="0.55000000000000004">
      <c r="W59274"/>
    </row>
    <row r="59275" spans="23:23" x14ac:dyDescent="0.55000000000000004">
      <c r="W59275"/>
    </row>
    <row r="59276" spans="23:23" x14ac:dyDescent="0.55000000000000004">
      <c r="W59276"/>
    </row>
    <row r="59277" spans="23:23" x14ac:dyDescent="0.55000000000000004">
      <c r="W59277"/>
    </row>
    <row r="59278" spans="23:23" x14ac:dyDescent="0.55000000000000004">
      <c r="W59278"/>
    </row>
    <row r="59279" spans="23:23" x14ac:dyDescent="0.55000000000000004">
      <c r="W59279"/>
    </row>
    <row r="59280" spans="23:23" x14ac:dyDescent="0.55000000000000004">
      <c r="W59280"/>
    </row>
    <row r="59281" spans="23:23" x14ac:dyDescent="0.55000000000000004">
      <c r="W59281"/>
    </row>
    <row r="59282" spans="23:23" x14ac:dyDescent="0.55000000000000004">
      <c r="W59282"/>
    </row>
    <row r="59283" spans="23:23" x14ac:dyDescent="0.55000000000000004">
      <c r="W59283"/>
    </row>
    <row r="59284" spans="23:23" x14ac:dyDescent="0.55000000000000004">
      <c r="W59284"/>
    </row>
    <row r="59285" spans="23:23" x14ac:dyDescent="0.55000000000000004">
      <c r="W59285"/>
    </row>
    <row r="59286" spans="23:23" x14ac:dyDescent="0.55000000000000004">
      <c r="W59286"/>
    </row>
    <row r="59287" spans="23:23" x14ac:dyDescent="0.55000000000000004">
      <c r="W59287"/>
    </row>
    <row r="59288" spans="23:23" x14ac:dyDescent="0.55000000000000004">
      <c r="W59288"/>
    </row>
    <row r="59289" spans="23:23" x14ac:dyDescent="0.55000000000000004">
      <c r="W59289"/>
    </row>
    <row r="59290" spans="23:23" x14ac:dyDescent="0.55000000000000004">
      <c r="W59290"/>
    </row>
    <row r="59291" spans="23:23" x14ac:dyDescent="0.55000000000000004">
      <c r="W59291"/>
    </row>
    <row r="59292" spans="23:23" x14ac:dyDescent="0.55000000000000004">
      <c r="W59292"/>
    </row>
    <row r="59293" spans="23:23" x14ac:dyDescent="0.55000000000000004">
      <c r="W59293"/>
    </row>
    <row r="59294" spans="23:23" x14ac:dyDescent="0.55000000000000004">
      <c r="W59294"/>
    </row>
    <row r="59295" spans="23:23" x14ac:dyDescent="0.55000000000000004">
      <c r="W59295"/>
    </row>
    <row r="59296" spans="23:23" x14ac:dyDescent="0.55000000000000004">
      <c r="W59296"/>
    </row>
    <row r="59297" spans="23:23" x14ac:dyDescent="0.55000000000000004">
      <c r="W59297"/>
    </row>
    <row r="59298" spans="23:23" x14ac:dyDescent="0.55000000000000004">
      <c r="W59298"/>
    </row>
    <row r="59299" spans="23:23" x14ac:dyDescent="0.55000000000000004">
      <c r="W59299"/>
    </row>
    <row r="59300" spans="23:23" x14ac:dyDescent="0.55000000000000004">
      <c r="W59300"/>
    </row>
    <row r="59301" spans="23:23" x14ac:dyDescent="0.55000000000000004">
      <c r="W59301"/>
    </row>
    <row r="59302" spans="23:23" x14ac:dyDescent="0.55000000000000004">
      <c r="W59302"/>
    </row>
    <row r="59303" spans="23:23" x14ac:dyDescent="0.55000000000000004">
      <c r="W59303"/>
    </row>
    <row r="59304" spans="23:23" x14ac:dyDescent="0.55000000000000004">
      <c r="W59304"/>
    </row>
    <row r="59305" spans="23:23" x14ac:dyDescent="0.55000000000000004">
      <c r="W59305"/>
    </row>
    <row r="59306" spans="23:23" x14ac:dyDescent="0.55000000000000004">
      <c r="W59306"/>
    </row>
    <row r="59307" spans="23:23" x14ac:dyDescent="0.55000000000000004">
      <c r="W59307"/>
    </row>
    <row r="59308" spans="23:23" x14ac:dyDescent="0.55000000000000004">
      <c r="W59308"/>
    </row>
    <row r="59309" spans="23:23" x14ac:dyDescent="0.55000000000000004">
      <c r="W59309"/>
    </row>
    <row r="59310" spans="23:23" x14ac:dyDescent="0.55000000000000004">
      <c r="W59310"/>
    </row>
    <row r="59311" spans="23:23" x14ac:dyDescent="0.55000000000000004">
      <c r="W59311"/>
    </row>
    <row r="59312" spans="23:23" x14ac:dyDescent="0.55000000000000004">
      <c r="W59312"/>
    </row>
    <row r="59313" spans="23:23" x14ac:dyDescent="0.55000000000000004">
      <c r="W59313"/>
    </row>
    <row r="59314" spans="23:23" x14ac:dyDescent="0.55000000000000004">
      <c r="W59314"/>
    </row>
    <row r="59315" spans="23:23" x14ac:dyDescent="0.55000000000000004">
      <c r="W59315"/>
    </row>
    <row r="59316" spans="23:23" x14ac:dyDescent="0.55000000000000004">
      <c r="W59316"/>
    </row>
    <row r="59317" spans="23:23" x14ac:dyDescent="0.55000000000000004">
      <c r="W59317"/>
    </row>
    <row r="59318" spans="23:23" x14ac:dyDescent="0.55000000000000004">
      <c r="W59318"/>
    </row>
    <row r="59319" spans="23:23" x14ac:dyDescent="0.55000000000000004">
      <c r="W59319"/>
    </row>
    <row r="59320" spans="23:23" x14ac:dyDescent="0.55000000000000004">
      <c r="W59320"/>
    </row>
    <row r="59321" spans="23:23" x14ac:dyDescent="0.55000000000000004">
      <c r="W59321"/>
    </row>
    <row r="59322" spans="23:23" x14ac:dyDescent="0.55000000000000004">
      <c r="W59322"/>
    </row>
    <row r="59323" spans="23:23" x14ac:dyDescent="0.55000000000000004">
      <c r="W59323"/>
    </row>
    <row r="59324" spans="23:23" x14ac:dyDescent="0.55000000000000004">
      <c r="W59324"/>
    </row>
    <row r="59325" spans="23:23" x14ac:dyDescent="0.55000000000000004">
      <c r="W59325"/>
    </row>
    <row r="59326" spans="23:23" x14ac:dyDescent="0.55000000000000004">
      <c r="W59326"/>
    </row>
    <row r="59327" spans="23:23" x14ac:dyDescent="0.55000000000000004">
      <c r="W59327"/>
    </row>
    <row r="59328" spans="23:23" x14ac:dyDescent="0.55000000000000004">
      <c r="W59328"/>
    </row>
    <row r="59329" spans="23:23" x14ac:dyDescent="0.55000000000000004">
      <c r="W59329"/>
    </row>
    <row r="59330" spans="23:23" x14ac:dyDescent="0.55000000000000004">
      <c r="W59330"/>
    </row>
    <row r="59331" spans="23:23" x14ac:dyDescent="0.55000000000000004">
      <c r="W59331"/>
    </row>
    <row r="59332" spans="23:23" x14ac:dyDescent="0.55000000000000004">
      <c r="W59332"/>
    </row>
    <row r="59333" spans="23:23" x14ac:dyDescent="0.55000000000000004">
      <c r="W59333"/>
    </row>
    <row r="59334" spans="23:23" x14ac:dyDescent="0.55000000000000004">
      <c r="W59334"/>
    </row>
    <row r="59335" spans="23:23" x14ac:dyDescent="0.55000000000000004">
      <c r="W59335"/>
    </row>
    <row r="59336" spans="23:23" x14ac:dyDescent="0.55000000000000004">
      <c r="W59336"/>
    </row>
    <row r="59337" spans="23:23" x14ac:dyDescent="0.55000000000000004">
      <c r="W59337"/>
    </row>
    <row r="59338" spans="23:23" x14ac:dyDescent="0.55000000000000004">
      <c r="W59338"/>
    </row>
    <row r="59339" spans="23:23" x14ac:dyDescent="0.55000000000000004">
      <c r="W59339"/>
    </row>
    <row r="59340" spans="23:23" x14ac:dyDescent="0.55000000000000004">
      <c r="W59340"/>
    </row>
    <row r="59341" spans="23:23" x14ac:dyDescent="0.55000000000000004">
      <c r="W59341"/>
    </row>
    <row r="59342" spans="23:23" x14ac:dyDescent="0.55000000000000004">
      <c r="W59342"/>
    </row>
    <row r="59343" spans="23:23" x14ac:dyDescent="0.55000000000000004">
      <c r="W59343"/>
    </row>
    <row r="59344" spans="23:23" x14ac:dyDescent="0.55000000000000004">
      <c r="W59344"/>
    </row>
    <row r="59345" spans="23:23" x14ac:dyDescent="0.55000000000000004">
      <c r="W59345"/>
    </row>
    <row r="59346" spans="23:23" x14ac:dyDescent="0.55000000000000004">
      <c r="W59346"/>
    </row>
    <row r="59347" spans="23:23" x14ac:dyDescent="0.55000000000000004">
      <c r="W59347"/>
    </row>
    <row r="59348" spans="23:23" x14ac:dyDescent="0.55000000000000004">
      <c r="W59348"/>
    </row>
    <row r="59349" spans="23:23" x14ac:dyDescent="0.55000000000000004">
      <c r="W59349"/>
    </row>
    <row r="59350" spans="23:23" x14ac:dyDescent="0.55000000000000004">
      <c r="W59350"/>
    </row>
    <row r="59351" spans="23:23" x14ac:dyDescent="0.55000000000000004">
      <c r="W59351"/>
    </row>
    <row r="59352" spans="23:23" x14ac:dyDescent="0.55000000000000004">
      <c r="W59352"/>
    </row>
    <row r="59353" spans="23:23" x14ac:dyDescent="0.55000000000000004">
      <c r="W59353"/>
    </row>
    <row r="59354" spans="23:23" x14ac:dyDescent="0.55000000000000004">
      <c r="W59354"/>
    </row>
    <row r="59355" spans="23:23" x14ac:dyDescent="0.55000000000000004">
      <c r="W59355"/>
    </row>
    <row r="59356" spans="23:23" x14ac:dyDescent="0.55000000000000004">
      <c r="W59356"/>
    </row>
    <row r="59357" spans="23:23" x14ac:dyDescent="0.55000000000000004">
      <c r="W59357"/>
    </row>
    <row r="59358" spans="23:23" x14ac:dyDescent="0.55000000000000004">
      <c r="W59358"/>
    </row>
    <row r="59359" spans="23:23" x14ac:dyDescent="0.55000000000000004">
      <c r="W59359"/>
    </row>
    <row r="59360" spans="23:23" x14ac:dyDescent="0.55000000000000004">
      <c r="W59360"/>
    </row>
    <row r="59361" spans="23:23" x14ac:dyDescent="0.55000000000000004">
      <c r="W59361"/>
    </row>
    <row r="59362" spans="23:23" x14ac:dyDescent="0.55000000000000004">
      <c r="W59362"/>
    </row>
    <row r="59363" spans="23:23" x14ac:dyDescent="0.55000000000000004">
      <c r="W59363"/>
    </row>
    <row r="59364" spans="23:23" x14ac:dyDescent="0.55000000000000004">
      <c r="W59364"/>
    </row>
    <row r="59365" spans="23:23" x14ac:dyDescent="0.55000000000000004">
      <c r="W59365"/>
    </row>
    <row r="59366" spans="23:23" x14ac:dyDescent="0.55000000000000004">
      <c r="W59366"/>
    </row>
    <row r="59367" spans="23:23" x14ac:dyDescent="0.55000000000000004">
      <c r="W59367"/>
    </row>
    <row r="59368" spans="23:23" x14ac:dyDescent="0.55000000000000004">
      <c r="W59368"/>
    </row>
    <row r="59369" spans="23:23" x14ac:dyDescent="0.55000000000000004">
      <c r="W59369"/>
    </row>
    <row r="59370" spans="23:23" x14ac:dyDescent="0.55000000000000004">
      <c r="W59370"/>
    </row>
    <row r="59371" spans="23:23" x14ac:dyDescent="0.55000000000000004">
      <c r="W59371"/>
    </row>
    <row r="59372" spans="23:23" x14ac:dyDescent="0.55000000000000004">
      <c r="W59372"/>
    </row>
    <row r="59373" spans="23:23" x14ac:dyDescent="0.55000000000000004">
      <c r="W59373"/>
    </row>
    <row r="59374" spans="23:23" x14ac:dyDescent="0.55000000000000004">
      <c r="W59374"/>
    </row>
    <row r="59375" spans="23:23" x14ac:dyDescent="0.55000000000000004">
      <c r="W59375"/>
    </row>
    <row r="59376" spans="23:23" x14ac:dyDescent="0.55000000000000004">
      <c r="W59376"/>
    </row>
    <row r="59377" spans="23:23" x14ac:dyDescent="0.55000000000000004">
      <c r="W59377"/>
    </row>
    <row r="59378" spans="23:23" x14ac:dyDescent="0.55000000000000004">
      <c r="W59378"/>
    </row>
    <row r="59379" spans="23:23" x14ac:dyDescent="0.55000000000000004">
      <c r="W59379"/>
    </row>
    <row r="59380" spans="23:23" x14ac:dyDescent="0.55000000000000004">
      <c r="W59380"/>
    </row>
    <row r="59381" spans="23:23" x14ac:dyDescent="0.55000000000000004">
      <c r="W59381"/>
    </row>
    <row r="59382" spans="23:23" x14ac:dyDescent="0.55000000000000004">
      <c r="W59382"/>
    </row>
    <row r="59383" spans="23:23" x14ac:dyDescent="0.55000000000000004">
      <c r="W59383"/>
    </row>
    <row r="59384" spans="23:23" x14ac:dyDescent="0.55000000000000004">
      <c r="W59384"/>
    </row>
    <row r="59385" spans="23:23" x14ac:dyDescent="0.55000000000000004">
      <c r="W59385"/>
    </row>
    <row r="59386" spans="23:23" x14ac:dyDescent="0.55000000000000004">
      <c r="W59386"/>
    </row>
    <row r="59387" spans="23:23" x14ac:dyDescent="0.55000000000000004">
      <c r="W59387"/>
    </row>
    <row r="59388" spans="23:23" x14ac:dyDescent="0.55000000000000004">
      <c r="W59388"/>
    </row>
    <row r="59389" spans="23:23" x14ac:dyDescent="0.55000000000000004">
      <c r="W59389"/>
    </row>
    <row r="59390" spans="23:23" x14ac:dyDescent="0.55000000000000004">
      <c r="W59390"/>
    </row>
    <row r="59391" spans="23:23" x14ac:dyDescent="0.55000000000000004">
      <c r="W59391"/>
    </row>
    <row r="59392" spans="23:23" x14ac:dyDescent="0.55000000000000004">
      <c r="W59392"/>
    </row>
    <row r="59393" spans="23:23" x14ac:dyDescent="0.55000000000000004">
      <c r="W59393"/>
    </row>
    <row r="59394" spans="23:23" x14ac:dyDescent="0.55000000000000004">
      <c r="W59394"/>
    </row>
    <row r="59395" spans="23:23" x14ac:dyDescent="0.55000000000000004">
      <c r="W59395"/>
    </row>
    <row r="59396" spans="23:23" x14ac:dyDescent="0.55000000000000004">
      <c r="W59396"/>
    </row>
    <row r="59397" spans="23:23" x14ac:dyDescent="0.55000000000000004">
      <c r="W59397"/>
    </row>
    <row r="59398" spans="23:23" x14ac:dyDescent="0.55000000000000004">
      <c r="W59398"/>
    </row>
    <row r="59399" spans="23:23" x14ac:dyDescent="0.55000000000000004">
      <c r="W59399"/>
    </row>
    <row r="59400" spans="23:23" x14ac:dyDescent="0.55000000000000004">
      <c r="W59400"/>
    </row>
    <row r="59401" spans="23:23" x14ac:dyDescent="0.55000000000000004">
      <c r="W59401"/>
    </row>
    <row r="59402" spans="23:23" x14ac:dyDescent="0.55000000000000004">
      <c r="W59402"/>
    </row>
    <row r="59403" spans="23:23" x14ac:dyDescent="0.55000000000000004">
      <c r="W59403"/>
    </row>
    <row r="59404" spans="23:23" x14ac:dyDescent="0.55000000000000004">
      <c r="W59404"/>
    </row>
    <row r="59405" spans="23:23" x14ac:dyDescent="0.55000000000000004">
      <c r="W59405"/>
    </row>
    <row r="59406" spans="23:23" x14ac:dyDescent="0.55000000000000004">
      <c r="W59406"/>
    </row>
    <row r="59407" spans="23:23" x14ac:dyDescent="0.55000000000000004">
      <c r="W59407"/>
    </row>
    <row r="59408" spans="23:23" x14ac:dyDescent="0.55000000000000004">
      <c r="W59408"/>
    </row>
    <row r="59409" spans="23:23" x14ac:dyDescent="0.55000000000000004">
      <c r="W59409"/>
    </row>
    <row r="59410" spans="23:23" x14ac:dyDescent="0.55000000000000004">
      <c r="W59410"/>
    </row>
    <row r="59411" spans="23:23" x14ac:dyDescent="0.55000000000000004">
      <c r="W59411"/>
    </row>
    <row r="59412" spans="23:23" x14ac:dyDescent="0.55000000000000004">
      <c r="W59412"/>
    </row>
    <row r="59413" spans="23:23" x14ac:dyDescent="0.55000000000000004">
      <c r="W59413"/>
    </row>
    <row r="59414" spans="23:23" x14ac:dyDescent="0.55000000000000004">
      <c r="W59414"/>
    </row>
    <row r="59415" spans="23:23" x14ac:dyDescent="0.55000000000000004">
      <c r="W59415"/>
    </row>
    <row r="59416" spans="23:23" x14ac:dyDescent="0.55000000000000004">
      <c r="W59416"/>
    </row>
    <row r="59417" spans="23:23" x14ac:dyDescent="0.55000000000000004">
      <c r="W59417"/>
    </row>
    <row r="59418" spans="23:23" x14ac:dyDescent="0.55000000000000004">
      <c r="W59418"/>
    </row>
    <row r="59419" spans="23:23" x14ac:dyDescent="0.55000000000000004">
      <c r="W59419"/>
    </row>
    <row r="59420" spans="23:23" x14ac:dyDescent="0.55000000000000004">
      <c r="W59420"/>
    </row>
    <row r="59421" spans="23:23" x14ac:dyDescent="0.55000000000000004">
      <c r="W59421"/>
    </row>
    <row r="59422" spans="23:23" x14ac:dyDescent="0.55000000000000004">
      <c r="W59422"/>
    </row>
    <row r="59423" spans="23:23" x14ac:dyDescent="0.55000000000000004">
      <c r="W59423"/>
    </row>
    <row r="59424" spans="23:23" x14ac:dyDescent="0.55000000000000004">
      <c r="W59424"/>
    </row>
    <row r="59425" spans="23:23" x14ac:dyDescent="0.55000000000000004">
      <c r="W59425"/>
    </row>
    <row r="59426" spans="23:23" x14ac:dyDescent="0.55000000000000004">
      <c r="W59426"/>
    </row>
    <row r="59427" spans="23:23" x14ac:dyDescent="0.55000000000000004">
      <c r="W59427"/>
    </row>
    <row r="59428" spans="23:23" x14ac:dyDescent="0.55000000000000004">
      <c r="W59428"/>
    </row>
    <row r="59429" spans="23:23" x14ac:dyDescent="0.55000000000000004">
      <c r="W59429"/>
    </row>
    <row r="59430" spans="23:23" x14ac:dyDescent="0.55000000000000004">
      <c r="W59430"/>
    </row>
    <row r="59431" spans="23:23" x14ac:dyDescent="0.55000000000000004">
      <c r="W59431"/>
    </row>
    <row r="59432" spans="23:23" x14ac:dyDescent="0.55000000000000004">
      <c r="W59432"/>
    </row>
    <row r="59433" spans="23:23" x14ac:dyDescent="0.55000000000000004">
      <c r="W59433"/>
    </row>
    <row r="59434" spans="23:23" x14ac:dyDescent="0.55000000000000004">
      <c r="W59434"/>
    </row>
    <row r="59435" spans="23:23" x14ac:dyDescent="0.55000000000000004">
      <c r="W59435"/>
    </row>
    <row r="59436" spans="23:23" x14ac:dyDescent="0.55000000000000004">
      <c r="W59436"/>
    </row>
    <row r="59437" spans="23:23" x14ac:dyDescent="0.55000000000000004">
      <c r="W59437"/>
    </row>
    <row r="59438" spans="23:23" x14ac:dyDescent="0.55000000000000004">
      <c r="W59438"/>
    </row>
    <row r="59439" spans="23:23" x14ac:dyDescent="0.55000000000000004">
      <c r="W59439"/>
    </row>
    <row r="59440" spans="23:23" x14ac:dyDescent="0.55000000000000004">
      <c r="W59440"/>
    </row>
    <row r="59441" spans="23:23" x14ac:dyDescent="0.55000000000000004">
      <c r="W59441"/>
    </row>
    <row r="59442" spans="23:23" x14ac:dyDescent="0.55000000000000004">
      <c r="W59442"/>
    </row>
    <row r="59443" spans="23:23" x14ac:dyDescent="0.55000000000000004">
      <c r="W59443"/>
    </row>
    <row r="59444" spans="23:23" x14ac:dyDescent="0.55000000000000004">
      <c r="W59444"/>
    </row>
    <row r="59445" spans="23:23" x14ac:dyDescent="0.55000000000000004">
      <c r="W59445"/>
    </row>
    <row r="59446" spans="23:23" x14ac:dyDescent="0.55000000000000004">
      <c r="W59446"/>
    </row>
    <row r="59447" spans="23:23" x14ac:dyDescent="0.55000000000000004">
      <c r="W59447"/>
    </row>
    <row r="59448" spans="23:23" x14ac:dyDescent="0.55000000000000004">
      <c r="W59448"/>
    </row>
    <row r="59449" spans="23:23" x14ac:dyDescent="0.55000000000000004">
      <c r="W59449"/>
    </row>
    <row r="59450" spans="23:23" x14ac:dyDescent="0.55000000000000004">
      <c r="W59450"/>
    </row>
    <row r="59451" spans="23:23" x14ac:dyDescent="0.55000000000000004">
      <c r="W59451"/>
    </row>
    <row r="59452" spans="23:23" x14ac:dyDescent="0.55000000000000004">
      <c r="W59452"/>
    </row>
    <row r="59453" spans="23:23" x14ac:dyDescent="0.55000000000000004">
      <c r="W59453"/>
    </row>
    <row r="59454" spans="23:23" x14ac:dyDescent="0.55000000000000004">
      <c r="W59454"/>
    </row>
    <row r="59455" spans="23:23" x14ac:dyDescent="0.55000000000000004">
      <c r="W59455"/>
    </row>
    <row r="59456" spans="23:23" x14ac:dyDescent="0.55000000000000004">
      <c r="W59456"/>
    </row>
    <row r="59457" spans="23:23" x14ac:dyDescent="0.55000000000000004">
      <c r="W59457"/>
    </row>
    <row r="59458" spans="23:23" x14ac:dyDescent="0.55000000000000004">
      <c r="W59458"/>
    </row>
    <row r="59459" spans="23:23" x14ac:dyDescent="0.55000000000000004">
      <c r="W59459"/>
    </row>
    <row r="59460" spans="23:23" x14ac:dyDescent="0.55000000000000004">
      <c r="W59460"/>
    </row>
    <row r="59461" spans="23:23" x14ac:dyDescent="0.55000000000000004">
      <c r="W59461"/>
    </row>
    <row r="59462" spans="23:23" x14ac:dyDescent="0.55000000000000004">
      <c r="W59462"/>
    </row>
    <row r="59463" spans="23:23" x14ac:dyDescent="0.55000000000000004">
      <c r="W59463"/>
    </row>
    <row r="59464" spans="23:23" x14ac:dyDescent="0.55000000000000004">
      <c r="W59464"/>
    </row>
    <row r="59465" spans="23:23" x14ac:dyDescent="0.55000000000000004">
      <c r="W59465"/>
    </row>
    <row r="59466" spans="23:23" x14ac:dyDescent="0.55000000000000004">
      <c r="W59466"/>
    </row>
    <row r="59467" spans="23:23" x14ac:dyDescent="0.55000000000000004">
      <c r="W59467"/>
    </row>
    <row r="59468" spans="23:23" x14ac:dyDescent="0.55000000000000004">
      <c r="W59468"/>
    </row>
    <row r="59469" spans="23:23" x14ac:dyDescent="0.55000000000000004">
      <c r="W59469"/>
    </row>
    <row r="59470" spans="23:23" x14ac:dyDescent="0.55000000000000004">
      <c r="W59470"/>
    </row>
    <row r="59471" spans="23:23" x14ac:dyDescent="0.55000000000000004">
      <c r="W59471"/>
    </row>
    <row r="59472" spans="23:23" x14ac:dyDescent="0.55000000000000004">
      <c r="W59472"/>
    </row>
    <row r="59473" spans="23:23" x14ac:dyDescent="0.55000000000000004">
      <c r="W59473"/>
    </row>
    <row r="59474" spans="23:23" x14ac:dyDescent="0.55000000000000004">
      <c r="W59474"/>
    </row>
    <row r="59475" spans="23:23" x14ac:dyDescent="0.55000000000000004">
      <c r="W59475"/>
    </row>
    <row r="59476" spans="23:23" x14ac:dyDescent="0.55000000000000004">
      <c r="W59476"/>
    </row>
    <row r="59477" spans="23:23" x14ac:dyDescent="0.55000000000000004">
      <c r="W59477"/>
    </row>
    <row r="59478" spans="23:23" x14ac:dyDescent="0.55000000000000004">
      <c r="W59478"/>
    </row>
    <row r="59479" spans="23:23" x14ac:dyDescent="0.55000000000000004">
      <c r="W59479"/>
    </row>
    <row r="59480" spans="23:23" x14ac:dyDescent="0.55000000000000004">
      <c r="W59480"/>
    </row>
    <row r="59481" spans="23:23" x14ac:dyDescent="0.55000000000000004">
      <c r="W59481"/>
    </row>
    <row r="59482" spans="23:23" x14ac:dyDescent="0.55000000000000004">
      <c r="W59482"/>
    </row>
    <row r="59483" spans="23:23" x14ac:dyDescent="0.55000000000000004">
      <c r="W59483"/>
    </row>
    <row r="59484" spans="23:23" x14ac:dyDescent="0.55000000000000004">
      <c r="W59484"/>
    </row>
    <row r="59485" spans="23:23" x14ac:dyDescent="0.55000000000000004">
      <c r="W59485"/>
    </row>
    <row r="59486" spans="23:23" x14ac:dyDescent="0.55000000000000004">
      <c r="W59486"/>
    </row>
    <row r="59487" spans="23:23" x14ac:dyDescent="0.55000000000000004">
      <c r="W59487"/>
    </row>
    <row r="59488" spans="23:23" x14ac:dyDescent="0.55000000000000004">
      <c r="W59488"/>
    </row>
    <row r="59489" spans="23:23" x14ac:dyDescent="0.55000000000000004">
      <c r="W59489"/>
    </row>
    <row r="59490" spans="23:23" x14ac:dyDescent="0.55000000000000004">
      <c r="W59490"/>
    </row>
    <row r="59491" spans="23:23" x14ac:dyDescent="0.55000000000000004">
      <c r="W59491"/>
    </row>
    <row r="59492" spans="23:23" x14ac:dyDescent="0.55000000000000004">
      <c r="W59492"/>
    </row>
    <row r="59493" spans="23:23" x14ac:dyDescent="0.55000000000000004">
      <c r="W59493"/>
    </row>
    <row r="59494" spans="23:23" x14ac:dyDescent="0.55000000000000004">
      <c r="W59494"/>
    </row>
    <row r="59495" spans="23:23" x14ac:dyDescent="0.55000000000000004">
      <c r="W59495"/>
    </row>
    <row r="59496" spans="23:23" x14ac:dyDescent="0.55000000000000004">
      <c r="W59496"/>
    </row>
    <row r="59497" spans="23:23" x14ac:dyDescent="0.55000000000000004">
      <c r="W59497"/>
    </row>
    <row r="59498" spans="23:23" x14ac:dyDescent="0.55000000000000004">
      <c r="W59498"/>
    </row>
    <row r="59499" spans="23:23" x14ac:dyDescent="0.55000000000000004">
      <c r="W59499"/>
    </row>
    <row r="59500" spans="23:23" x14ac:dyDescent="0.55000000000000004">
      <c r="W59500"/>
    </row>
    <row r="59501" spans="23:23" x14ac:dyDescent="0.55000000000000004">
      <c r="W59501"/>
    </row>
    <row r="59502" spans="23:23" x14ac:dyDescent="0.55000000000000004">
      <c r="W59502"/>
    </row>
    <row r="59503" spans="23:23" x14ac:dyDescent="0.55000000000000004">
      <c r="W59503"/>
    </row>
    <row r="59504" spans="23:23" x14ac:dyDescent="0.55000000000000004">
      <c r="W59504"/>
    </row>
    <row r="59505" spans="23:23" x14ac:dyDescent="0.55000000000000004">
      <c r="W59505"/>
    </row>
    <row r="59506" spans="23:23" x14ac:dyDescent="0.55000000000000004">
      <c r="W59506"/>
    </row>
    <row r="59507" spans="23:23" x14ac:dyDescent="0.55000000000000004">
      <c r="W59507"/>
    </row>
    <row r="59508" spans="23:23" x14ac:dyDescent="0.55000000000000004">
      <c r="W59508"/>
    </row>
    <row r="59509" spans="23:23" x14ac:dyDescent="0.55000000000000004">
      <c r="W59509"/>
    </row>
    <row r="59510" spans="23:23" x14ac:dyDescent="0.55000000000000004">
      <c r="W59510"/>
    </row>
    <row r="59511" spans="23:23" x14ac:dyDescent="0.55000000000000004">
      <c r="W59511"/>
    </row>
    <row r="59512" spans="23:23" x14ac:dyDescent="0.55000000000000004">
      <c r="W59512"/>
    </row>
    <row r="59513" spans="23:23" x14ac:dyDescent="0.55000000000000004">
      <c r="W59513"/>
    </row>
    <row r="59514" spans="23:23" x14ac:dyDescent="0.55000000000000004">
      <c r="W59514"/>
    </row>
    <row r="59515" spans="23:23" x14ac:dyDescent="0.55000000000000004">
      <c r="W59515"/>
    </row>
    <row r="59516" spans="23:23" x14ac:dyDescent="0.55000000000000004">
      <c r="W59516"/>
    </row>
    <row r="59517" spans="23:23" x14ac:dyDescent="0.55000000000000004">
      <c r="W59517"/>
    </row>
    <row r="59518" spans="23:23" x14ac:dyDescent="0.55000000000000004">
      <c r="W59518"/>
    </row>
    <row r="59519" spans="23:23" x14ac:dyDescent="0.55000000000000004">
      <c r="W59519"/>
    </row>
    <row r="59520" spans="23:23" x14ac:dyDescent="0.55000000000000004">
      <c r="W59520"/>
    </row>
    <row r="59521" spans="23:23" x14ac:dyDescent="0.55000000000000004">
      <c r="W59521"/>
    </row>
    <row r="59522" spans="23:23" x14ac:dyDescent="0.55000000000000004">
      <c r="W59522"/>
    </row>
    <row r="59523" spans="23:23" x14ac:dyDescent="0.55000000000000004">
      <c r="W59523"/>
    </row>
    <row r="59524" spans="23:23" x14ac:dyDescent="0.55000000000000004">
      <c r="W59524"/>
    </row>
    <row r="59525" spans="23:23" x14ac:dyDescent="0.55000000000000004">
      <c r="W59525"/>
    </row>
    <row r="59526" spans="23:23" x14ac:dyDescent="0.55000000000000004">
      <c r="W59526"/>
    </row>
    <row r="59527" spans="23:23" x14ac:dyDescent="0.55000000000000004">
      <c r="W59527"/>
    </row>
    <row r="59528" spans="23:23" x14ac:dyDescent="0.55000000000000004">
      <c r="W59528"/>
    </row>
    <row r="59529" spans="23:23" x14ac:dyDescent="0.55000000000000004">
      <c r="W59529"/>
    </row>
    <row r="59530" spans="23:23" x14ac:dyDescent="0.55000000000000004">
      <c r="W59530"/>
    </row>
    <row r="59531" spans="23:23" x14ac:dyDescent="0.55000000000000004">
      <c r="W59531"/>
    </row>
    <row r="59532" spans="23:23" x14ac:dyDescent="0.55000000000000004">
      <c r="W59532"/>
    </row>
    <row r="59533" spans="23:23" x14ac:dyDescent="0.55000000000000004">
      <c r="W59533"/>
    </row>
    <row r="59534" spans="23:23" x14ac:dyDescent="0.55000000000000004">
      <c r="W59534"/>
    </row>
    <row r="59535" spans="23:23" x14ac:dyDescent="0.55000000000000004">
      <c r="W59535"/>
    </row>
    <row r="59536" spans="23:23" x14ac:dyDescent="0.55000000000000004">
      <c r="W59536"/>
    </row>
    <row r="59537" spans="23:23" x14ac:dyDescent="0.55000000000000004">
      <c r="W59537"/>
    </row>
    <row r="59538" spans="23:23" x14ac:dyDescent="0.55000000000000004">
      <c r="W59538"/>
    </row>
    <row r="59539" spans="23:23" x14ac:dyDescent="0.55000000000000004">
      <c r="W59539"/>
    </row>
    <row r="59540" spans="23:23" x14ac:dyDescent="0.55000000000000004">
      <c r="W59540"/>
    </row>
    <row r="59541" spans="23:23" x14ac:dyDescent="0.55000000000000004">
      <c r="W59541"/>
    </row>
    <row r="59542" spans="23:23" x14ac:dyDescent="0.55000000000000004">
      <c r="W59542"/>
    </row>
    <row r="59543" spans="23:23" x14ac:dyDescent="0.55000000000000004">
      <c r="W59543"/>
    </row>
    <row r="59544" spans="23:23" x14ac:dyDescent="0.55000000000000004">
      <c r="W59544"/>
    </row>
    <row r="59545" spans="23:23" x14ac:dyDescent="0.55000000000000004">
      <c r="W59545"/>
    </row>
    <row r="59546" spans="23:23" x14ac:dyDescent="0.55000000000000004">
      <c r="W59546"/>
    </row>
    <row r="59547" spans="23:23" x14ac:dyDescent="0.55000000000000004">
      <c r="W59547"/>
    </row>
    <row r="59548" spans="23:23" x14ac:dyDescent="0.55000000000000004">
      <c r="W59548"/>
    </row>
    <row r="59549" spans="23:23" x14ac:dyDescent="0.55000000000000004">
      <c r="W59549"/>
    </row>
    <row r="59550" spans="23:23" x14ac:dyDescent="0.55000000000000004">
      <c r="W59550"/>
    </row>
    <row r="59551" spans="23:23" x14ac:dyDescent="0.55000000000000004">
      <c r="W59551"/>
    </row>
    <row r="59552" spans="23:23" x14ac:dyDescent="0.55000000000000004">
      <c r="W59552"/>
    </row>
    <row r="59553" spans="23:23" x14ac:dyDescent="0.55000000000000004">
      <c r="W59553"/>
    </row>
    <row r="59554" spans="23:23" x14ac:dyDescent="0.55000000000000004">
      <c r="W59554"/>
    </row>
    <row r="59555" spans="23:23" x14ac:dyDescent="0.55000000000000004">
      <c r="W59555"/>
    </row>
    <row r="59556" spans="23:23" x14ac:dyDescent="0.55000000000000004">
      <c r="W59556"/>
    </row>
    <row r="59557" spans="23:23" x14ac:dyDescent="0.55000000000000004">
      <c r="W59557"/>
    </row>
    <row r="59558" spans="23:23" x14ac:dyDescent="0.55000000000000004">
      <c r="W59558"/>
    </row>
    <row r="59559" spans="23:23" x14ac:dyDescent="0.55000000000000004">
      <c r="W59559"/>
    </row>
    <row r="59560" spans="23:23" x14ac:dyDescent="0.55000000000000004">
      <c r="W59560"/>
    </row>
    <row r="59561" spans="23:23" x14ac:dyDescent="0.55000000000000004">
      <c r="W59561"/>
    </row>
    <row r="59562" spans="23:23" x14ac:dyDescent="0.55000000000000004">
      <c r="W59562"/>
    </row>
    <row r="59563" spans="23:23" x14ac:dyDescent="0.55000000000000004">
      <c r="W59563"/>
    </row>
    <row r="59564" spans="23:23" x14ac:dyDescent="0.55000000000000004">
      <c r="W59564"/>
    </row>
    <row r="59565" spans="23:23" x14ac:dyDescent="0.55000000000000004">
      <c r="W59565"/>
    </row>
    <row r="59566" spans="23:23" x14ac:dyDescent="0.55000000000000004">
      <c r="W59566"/>
    </row>
    <row r="59567" spans="23:23" x14ac:dyDescent="0.55000000000000004">
      <c r="W59567"/>
    </row>
    <row r="59568" spans="23:23" x14ac:dyDescent="0.55000000000000004">
      <c r="W59568"/>
    </row>
    <row r="59569" spans="23:23" x14ac:dyDescent="0.55000000000000004">
      <c r="W59569"/>
    </row>
    <row r="59570" spans="23:23" x14ac:dyDescent="0.55000000000000004">
      <c r="W59570"/>
    </row>
    <row r="59571" spans="23:23" x14ac:dyDescent="0.55000000000000004">
      <c r="W59571"/>
    </row>
    <row r="59572" spans="23:23" x14ac:dyDescent="0.55000000000000004">
      <c r="W59572"/>
    </row>
    <row r="59573" spans="23:23" x14ac:dyDescent="0.55000000000000004">
      <c r="W59573"/>
    </row>
    <row r="59574" spans="23:23" x14ac:dyDescent="0.55000000000000004">
      <c r="W59574"/>
    </row>
    <row r="59575" spans="23:23" x14ac:dyDescent="0.55000000000000004">
      <c r="W59575"/>
    </row>
    <row r="59576" spans="23:23" x14ac:dyDescent="0.55000000000000004">
      <c r="W59576"/>
    </row>
    <row r="59577" spans="23:23" x14ac:dyDescent="0.55000000000000004">
      <c r="W59577"/>
    </row>
    <row r="59578" spans="23:23" x14ac:dyDescent="0.55000000000000004">
      <c r="W59578"/>
    </row>
    <row r="59579" spans="23:23" x14ac:dyDescent="0.55000000000000004">
      <c r="W59579"/>
    </row>
    <row r="59580" spans="23:23" x14ac:dyDescent="0.55000000000000004">
      <c r="W59580"/>
    </row>
    <row r="59581" spans="23:23" x14ac:dyDescent="0.55000000000000004">
      <c r="W59581"/>
    </row>
    <row r="59582" spans="23:23" x14ac:dyDescent="0.55000000000000004">
      <c r="W59582"/>
    </row>
    <row r="59583" spans="23:23" x14ac:dyDescent="0.55000000000000004">
      <c r="W59583"/>
    </row>
    <row r="59584" spans="23:23" x14ac:dyDescent="0.55000000000000004">
      <c r="W59584"/>
    </row>
    <row r="59585" spans="23:23" x14ac:dyDescent="0.55000000000000004">
      <c r="W59585"/>
    </row>
    <row r="59586" spans="23:23" x14ac:dyDescent="0.55000000000000004">
      <c r="W59586"/>
    </row>
    <row r="59587" spans="23:23" x14ac:dyDescent="0.55000000000000004">
      <c r="W59587"/>
    </row>
    <row r="59588" spans="23:23" x14ac:dyDescent="0.55000000000000004">
      <c r="W59588"/>
    </row>
    <row r="59589" spans="23:23" x14ac:dyDescent="0.55000000000000004">
      <c r="W59589"/>
    </row>
    <row r="59590" spans="23:23" x14ac:dyDescent="0.55000000000000004">
      <c r="W59590"/>
    </row>
    <row r="59591" spans="23:23" x14ac:dyDescent="0.55000000000000004">
      <c r="W59591"/>
    </row>
    <row r="59592" spans="23:23" x14ac:dyDescent="0.55000000000000004">
      <c r="W59592"/>
    </row>
    <row r="59593" spans="23:23" x14ac:dyDescent="0.55000000000000004">
      <c r="W59593"/>
    </row>
    <row r="59594" spans="23:23" x14ac:dyDescent="0.55000000000000004">
      <c r="W59594"/>
    </row>
    <row r="59595" spans="23:23" x14ac:dyDescent="0.55000000000000004">
      <c r="W59595"/>
    </row>
    <row r="59596" spans="23:23" x14ac:dyDescent="0.55000000000000004">
      <c r="W59596"/>
    </row>
    <row r="59597" spans="23:23" x14ac:dyDescent="0.55000000000000004">
      <c r="W59597"/>
    </row>
    <row r="59598" spans="23:23" x14ac:dyDescent="0.55000000000000004">
      <c r="W59598"/>
    </row>
    <row r="59599" spans="23:23" x14ac:dyDescent="0.55000000000000004">
      <c r="W59599"/>
    </row>
    <row r="59600" spans="23:23" x14ac:dyDescent="0.55000000000000004">
      <c r="W59600"/>
    </row>
    <row r="59601" spans="23:23" x14ac:dyDescent="0.55000000000000004">
      <c r="W59601"/>
    </row>
    <row r="59602" spans="23:23" x14ac:dyDescent="0.55000000000000004">
      <c r="W59602"/>
    </row>
    <row r="59603" spans="23:23" x14ac:dyDescent="0.55000000000000004">
      <c r="W59603"/>
    </row>
    <row r="59604" spans="23:23" x14ac:dyDescent="0.55000000000000004">
      <c r="W59604"/>
    </row>
    <row r="59605" spans="23:23" x14ac:dyDescent="0.55000000000000004">
      <c r="W59605"/>
    </row>
    <row r="59606" spans="23:23" x14ac:dyDescent="0.55000000000000004">
      <c r="W59606"/>
    </row>
    <row r="59607" spans="23:23" x14ac:dyDescent="0.55000000000000004">
      <c r="W59607"/>
    </row>
    <row r="59608" spans="23:23" x14ac:dyDescent="0.55000000000000004">
      <c r="W59608"/>
    </row>
    <row r="59609" spans="23:23" x14ac:dyDescent="0.55000000000000004">
      <c r="W59609"/>
    </row>
    <row r="59610" spans="23:23" x14ac:dyDescent="0.55000000000000004">
      <c r="W59610"/>
    </row>
    <row r="59611" spans="23:23" x14ac:dyDescent="0.55000000000000004">
      <c r="W59611"/>
    </row>
    <row r="59612" spans="23:23" x14ac:dyDescent="0.55000000000000004">
      <c r="W59612"/>
    </row>
    <row r="59613" spans="23:23" x14ac:dyDescent="0.55000000000000004">
      <c r="W59613"/>
    </row>
    <row r="59614" spans="23:23" x14ac:dyDescent="0.55000000000000004">
      <c r="W59614"/>
    </row>
    <row r="59615" spans="23:23" x14ac:dyDescent="0.55000000000000004">
      <c r="W59615"/>
    </row>
    <row r="59616" spans="23:23" x14ac:dyDescent="0.55000000000000004">
      <c r="W59616"/>
    </row>
    <row r="59617" spans="23:23" x14ac:dyDescent="0.55000000000000004">
      <c r="W59617"/>
    </row>
    <row r="59618" spans="23:23" x14ac:dyDescent="0.55000000000000004">
      <c r="W59618"/>
    </row>
    <row r="59619" spans="23:23" x14ac:dyDescent="0.55000000000000004">
      <c r="W59619"/>
    </row>
    <row r="59620" spans="23:23" x14ac:dyDescent="0.55000000000000004">
      <c r="W59620"/>
    </row>
    <row r="59621" spans="23:23" x14ac:dyDescent="0.55000000000000004">
      <c r="W59621"/>
    </row>
    <row r="59622" spans="23:23" x14ac:dyDescent="0.55000000000000004">
      <c r="W59622"/>
    </row>
    <row r="59623" spans="23:23" x14ac:dyDescent="0.55000000000000004">
      <c r="W59623"/>
    </row>
    <row r="59624" spans="23:23" x14ac:dyDescent="0.55000000000000004">
      <c r="W59624"/>
    </row>
    <row r="59625" spans="23:23" x14ac:dyDescent="0.55000000000000004">
      <c r="W59625"/>
    </row>
    <row r="59626" spans="23:23" x14ac:dyDescent="0.55000000000000004">
      <c r="W59626"/>
    </row>
    <row r="59627" spans="23:23" x14ac:dyDescent="0.55000000000000004">
      <c r="W59627"/>
    </row>
    <row r="59628" spans="23:23" x14ac:dyDescent="0.55000000000000004">
      <c r="W59628"/>
    </row>
    <row r="59629" spans="23:23" x14ac:dyDescent="0.55000000000000004">
      <c r="W59629"/>
    </row>
    <row r="59630" spans="23:23" x14ac:dyDescent="0.55000000000000004">
      <c r="W59630"/>
    </row>
    <row r="59631" spans="23:23" x14ac:dyDescent="0.55000000000000004">
      <c r="W59631"/>
    </row>
    <row r="59632" spans="23:23" x14ac:dyDescent="0.55000000000000004">
      <c r="W59632"/>
    </row>
    <row r="59633" spans="23:23" x14ac:dyDescent="0.55000000000000004">
      <c r="W59633"/>
    </row>
    <row r="59634" spans="23:23" x14ac:dyDescent="0.55000000000000004">
      <c r="W59634"/>
    </row>
    <row r="59635" spans="23:23" x14ac:dyDescent="0.55000000000000004">
      <c r="W59635"/>
    </row>
    <row r="59636" spans="23:23" x14ac:dyDescent="0.55000000000000004">
      <c r="W59636"/>
    </row>
    <row r="59637" spans="23:23" x14ac:dyDescent="0.55000000000000004">
      <c r="W59637"/>
    </row>
    <row r="59638" spans="23:23" x14ac:dyDescent="0.55000000000000004">
      <c r="W59638"/>
    </row>
    <row r="59639" spans="23:23" x14ac:dyDescent="0.55000000000000004">
      <c r="W59639"/>
    </row>
    <row r="59640" spans="23:23" x14ac:dyDescent="0.55000000000000004">
      <c r="W59640"/>
    </row>
    <row r="59641" spans="23:23" x14ac:dyDescent="0.55000000000000004">
      <c r="W59641"/>
    </row>
    <row r="59642" spans="23:23" x14ac:dyDescent="0.55000000000000004">
      <c r="W59642"/>
    </row>
    <row r="59643" spans="23:23" x14ac:dyDescent="0.55000000000000004">
      <c r="W59643"/>
    </row>
    <row r="59644" spans="23:23" x14ac:dyDescent="0.55000000000000004">
      <c r="W59644"/>
    </row>
    <row r="59645" spans="23:23" x14ac:dyDescent="0.55000000000000004">
      <c r="W59645"/>
    </row>
    <row r="59646" spans="23:23" x14ac:dyDescent="0.55000000000000004">
      <c r="W59646"/>
    </row>
    <row r="59647" spans="23:23" x14ac:dyDescent="0.55000000000000004">
      <c r="W59647"/>
    </row>
    <row r="59648" spans="23:23" x14ac:dyDescent="0.55000000000000004">
      <c r="W59648"/>
    </row>
    <row r="59649" spans="23:23" x14ac:dyDescent="0.55000000000000004">
      <c r="W59649"/>
    </row>
    <row r="59650" spans="23:23" x14ac:dyDescent="0.55000000000000004">
      <c r="W59650"/>
    </row>
    <row r="59651" spans="23:23" x14ac:dyDescent="0.55000000000000004">
      <c r="W59651"/>
    </row>
    <row r="59652" spans="23:23" x14ac:dyDescent="0.55000000000000004">
      <c r="W59652"/>
    </row>
    <row r="59653" spans="23:23" x14ac:dyDescent="0.55000000000000004">
      <c r="W59653"/>
    </row>
    <row r="59654" spans="23:23" x14ac:dyDescent="0.55000000000000004">
      <c r="W59654"/>
    </row>
    <row r="59655" spans="23:23" x14ac:dyDescent="0.55000000000000004">
      <c r="W59655"/>
    </row>
    <row r="59656" spans="23:23" x14ac:dyDescent="0.55000000000000004">
      <c r="W59656"/>
    </row>
    <row r="59657" spans="23:23" x14ac:dyDescent="0.55000000000000004">
      <c r="W59657"/>
    </row>
    <row r="59658" spans="23:23" x14ac:dyDescent="0.55000000000000004">
      <c r="W59658"/>
    </row>
    <row r="59659" spans="23:23" x14ac:dyDescent="0.55000000000000004">
      <c r="W59659"/>
    </row>
    <row r="59660" spans="23:23" x14ac:dyDescent="0.55000000000000004">
      <c r="W59660"/>
    </row>
    <row r="59661" spans="23:23" x14ac:dyDescent="0.55000000000000004">
      <c r="W59661"/>
    </row>
    <row r="59662" spans="23:23" x14ac:dyDescent="0.55000000000000004">
      <c r="W59662"/>
    </row>
    <row r="59663" spans="23:23" x14ac:dyDescent="0.55000000000000004">
      <c r="W59663"/>
    </row>
    <row r="59664" spans="23:23" x14ac:dyDescent="0.55000000000000004">
      <c r="W59664"/>
    </row>
    <row r="59665" spans="23:23" x14ac:dyDescent="0.55000000000000004">
      <c r="W59665"/>
    </row>
    <row r="59666" spans="23:23" x14ac:dyDescent="0.55000000000000004">
      <c r="W59666"/>
    </row>
    <row r="59667" spans="23:23" x14ac:dyDescent="0.55000000000000004">
      <c r="W59667"/>
    </row>
    <row r="59668" spans="23:23" x14ac:dyDescent="0.55000000000000004">
      <c r="W59668"/>
    </row>
    <row r="59669" spans="23:23" x14ac:dyDescent="0.55000000000000004">
      <c r="W59669"/>
    </row>
    <row r="59670" spans="23:23" x14ac:dyDescent="0.55000000000000004">
      <c r="W59670"/>
    </row>
    <row r="59671" spans="23:23" x14ac:dyDescent="0.55000000000000004">
      <c r="W59671"/>
    </row>
    <row r="59672" spans="23:23" x14ac:dyDescent="0.55000000000000004">
      <c r="W59672"/>
    </row>
    <row r="59673" spans="23:23" x14ac:dyDescent="0.55000000000000004">
      <c r="W59673"/>
    </row>
    <row r="59674" spans="23:23" x14ac:dyDescent="0.55000000000000004">
      <c r="W59674"/>
    </row>
    <row r="59675" spans="23:23" x14ac:dyDescent="0.55000000000000004">
      <c r="W59675"/>
    </row>
    <row r="59676" spans="23:23" x14ac:dyDescent="0.55000000000000004">
      <c r="W59676"/>
    </row>
    <row r="59677" spans="23:23" x14ac:dyDescent="0.55000000000000004">
      <c r="W59677"/>
    </row>
    <row r="59678" spans="23:23" x14ac:dyDescent="0.55000000000000004">
      <c r="W59678"/>
    </row>
    <row r="59679" spans="23:23" x14ac:dyDescent="0.55000000000000004">
      <c r="W59679"/>
    </row>
    <row r="59680" spans="23:23" x14ac:dyDescent="0.55000000000000004">
      <c r="W59680"/>
    </row>
    <row r="59681" spans="23:23" x14ac:dyDescent="0.55000000000000004">
      <c r="W59681"/>
    </row>
    <row r="59682" spans="23:23" x14ac:dyDescent="0.55000000000000004">
      <c r="W59682"/>
    </row>
    <row r="59683" spans="23:23" x14ac:dyDescent="0.55000000000000004">
      <c r="W59683"/>
    </row>
    <row r="59684" spans="23:23" x14ac:dyDescent="0.55000000000000004">
      <c r="W59684"/>
    </row>
    <row r="59685" spans="23:23" x14ac:dyDescent="0.55000000000000004">
      <c r="W59685"/>
    </row>
    <row r="59686" spans="23:23" x14ac:dyDescent="0.55000000000000004">
      <c r="W59686"/>
    </row>
    <row r="59687" spans="23:23" x14ac:dyDescent="0.55000000000000004">
      <c r="W59687"/>
    </row>
    <row r="59688" spans="23:23" x14ac:dyDescent="0.55000000000000004">
      <c r="W59688"/>
    </row>
    <row r="59689" spans="23:23" x14ac:dyDescent="0.55000000000000004">
      <c r="W59689"/>
    </row>
    <row r="59690" spans="23:23" x14ac:dyDescent="0.55000000000000004">
      <c r="W59690"/>
    </row>
    <row r="59691" spans="23:23" x14ac:dyDescent="0.55000000000000004">
      <c r="W59691"/>
    </row>
    <row r="59692" spans="23:23" x14ac:dyDescent="0.55000000000000004">
      <c r="W59692"/>
    </row>
    <row r="59693" spans="23:23" x14ac:dyDescent="0.55000000000000004">
      <c r="W59693"/>
    </row>
    <row r="59694" spans="23:23" x14ac:dyDescent="0.55000000000000004">
      <c r="W59694"/>
    </row>
    <row r="59695" spans="23:23" x14ac:dyDescent="0.55000000000000004">
      <c r="W59695"/>
    </row>
    <row r="59696" spans="23:23" x14ac:dyDescent="0.55000000000000004">
      <c r="W59696"/>
    </row>
    <row r="59697" spans="23:23" x14ac:dyDescent="0.55000000000000004">
      <c r="W59697"/>
    </row>
    <row r="59698" spans="23:23" x14ac:dyDescent="0.55000000000000004">
      <c r="W59698"/>
    </row>
    <row r="59699" spans="23:23" x14ac:dyDescent="0.55000000000000004">
      <c r="W59699"/>
    </row>
    <row r="59700" spans="23:23" x14ac:dyDescent="0.55000000000000004">
      <c r="W59700"/>
    </row>
    <row r="59701" spans="23:23" x14ac:dyDescent="0.55000000000000004">
      <c r="W59701"/>
    </row>
    <row r="59702" spans="23:23" x14ac:dyDescent="0.55000000000000004">
      <c r="W59702"/>
    </row>
    <row r="59703" spans="23:23" x14ac:dyDescent="0.55000000000000004">
      <c r="W59703"/>
    </row>
    <row r="59704" spans="23:23" x14ac:dyDescent="0.55000000000000004">
      <c r="W59704"/>
    </row>
    <row r="59705" spans="23:23" x14ac:dyDescent="0.55000000000000004">
      <c r="W59705"/>
    </row>
    <row r="59706" spans="23:23" x14ac:dyDescent="0.55000000000000004">
      <c r="W59706"/>
    </row>
    <row r="59707" spans="23:23" x14ac:dyDescent="0.55000000000000004">
      <c r="W59707"/>
    </row>
    <row r="59708" spans="23:23" x14ac:dyDescent="0.55000000000000004">
      <c r="W59708"/>
    </row>
    <row r="59709" spans="23:23" x14ac:dyDescent="0.55000000000000004">
      <c r="W59709"/>
    </row>
    <row r="59710" spans="23:23" x14ac:dyDescent="0.55000000000000004">
      <c r="W59710"/>
    </row>
    <row r="59711" spans="23:23" x14ac:dyDescent="0.55000000000000004">
      <c r="W59711"/>
    </row>
    <row r="59712" spans="23:23" x14ac:dyDescent="0.55000000000000004">
      <c r="W59712"/>
    </row>
    <row r="59713" spans="23:23" x14ac:dyDescent="0.55000000000000004">
      <c r="W59713"/>
    </row>
    <row r="59714" spans="23:23" x14ac:dyDescent="0.55000000000000004">
      <c r="W59714"/>
    </row>
    <row r="59715" spans="23:23" x14ac:dyDescent="0.55000000000000004">
      <c r="W59715"/>
    </row>
    <row r="59716" spans="23:23" x14ac:dyDescent="0.55000000000000004">
      <c r="W59716"/>
    </row>
    <row r="59717" spans="23:23" x14ac:dyDescent="0.55000000000000004">
      <c r="W59717"/>
    </row>
    <row r="59718" spans="23:23" x14ac:dyDescent="0.55000000000000004">
      <c r="W59718"/>
    </row>
    <row r="59719" spans="23:23" x14ac:dyDescent="0.55000000000000004">
      <c r="W59719"/>
    </row>
    <row r="59720" spans="23:23" x14ac:dyDescent="0.55000000000000004">
      <c r="W59720"/>
    </row>
    <row r="59721" spans="23:23" x14ac:dyDescent="0.55000000000000004">
      <c r="W59721"/>
    </row>
    <row r="59722" spans="23:23" x14ac:dyDescent="0.55000000000000004">
      <c r="W59722"/>
    </row>
    <row r="59723" spans="23:23" x14ac:dyDescent="0.55000000000000004">
      <c r="W59723"/>
    </row>
    <row r="59724" spans="23:23" x14ac:dyDescent="0.55000000000000004">
      <c r="W59724"/>
    </row>
    <row r="59725" spans="23:23" x14ac:dyDescent="0.55000000000000004">
      <c r="W59725"/>
    </row>
    <row r="59726" spans="23:23" x14ac:dyDescent="0.55000000000000004">
      <c r="W59726"/>
    </row>
    <row r="59727" spans="23:23" x14ac:dyDescent="0.55000000000000004">
      <c r="W59727"/>
    </row>
    <row r="59728" spans="23:23" x14ac:dyDescent="0.55000000000000004">
      <c r="W59728"/>
    </row>
    <row r="59729" spans="23:23" x14ac:dyDescent="0.55000000000000004">
      <c r="W59729"/>
    </row>
    <row r="59730" spans="23:23" x14ac:dyDescent="0.55000000000000004">
      <c r="W59730"/>
    </row>
    <row r="59731" spans="23:23" x14ac:dyDescent="0.55000000000000004">
      <c r="W59731"/>
    </row>
    <row r="59732" spans="23:23" x14ac:dyDescent="0.55000000000000004">
      <c r="W59732"/>
    </row>
    <row r="59733" spans="23:23" x14ac:dyDescent="0.55000000000000004">
      <c r="W59733"/>
    </row>
    <row r="59734" spans="23:23" x14ac:dyDescent="0.55000000000000004">
      <c r="W59734"/>
    </row>
    <row r="59735" spans="23:23" x14ac:dyDescent="0.55000000000000004">
      <c r="W59735"/>
    </row>
    <row r="59736" spans="23:23" x14ac:dyDescent="0.55000000000000004">
      <c r="W59736"/>
    </row>
    <row r="59737" spans="23:23" x14ac:dyDescent="0.55000000000000004">
      <c r="W59737"/>
    </row>
    <row r="59738" spans="23:23" x14ac:dyDescent="0.55000000000000004">
      <c r="W59738"/>
    </row>
    <row r="59739" spans="23:23" x14ac:dyDescent="0.55000000000000004">
      <c r="W59739"/>
    </row>
    <row r="59740" spans="23:23" x14ac:dyDescent="0.55000000000000004">
      <c r="W59740"/>
    </row>
    <row r="59741" spans="23:23" x14ac:dyDescent="0.55000000000000004">
      <c r="W59741"/>
    </row>
    <row r="59742" spans="23:23" x14ac:dyDescent="0.55000000000000004">
      <c r="W59742"/>
    </row>
    <row r="59743" spans="23:23" x14ac:dyDescent="0.55000000000000004">
      <c r="W59743"/>
    </row>
    <row r="59744" spans="23:23" x14ac:dyDescent="0.55000000000000004">
      <c r="W59744"/>
    </row>
    <row r="59745" spans="23:23" x14ac:dyDescent="0.55000000000000004">
      <c r="W59745"/>
    </row>
    <row r="59746" spans="23:23" x14ac:dyDescent="0.55000000000000004">
      <c r="W59746"/>
    </row>
    <row r="59747" spans="23:23" x14ac:dyDescent="0.55000000000000004">
      <c r="W59747"/>
    </row>
    <row r="59748" spans="23:23" x14ac:dyDescent="0.55000000000000004">
      <c r="W59748"/>
    </row>
    <row r="59749" spans="23:23" x14ac:dyDescent="0.55000000000000004">
      <c r="W59749"/>
    </row>
    <row r="59750" spans="23:23" x14ac:dyDescent="0.55000000000000004">
      <c r="W59750"/>
    </row>
    <row r="59751" spans="23:23" x14ac:dyDescent="0.55000000000000004">
      <c r="W59751"/>
    </row>
    <row r="59752" spans="23:23" x14ac:dyDescent="0.55000000000000004">
      <c r="W59752"/>
    </row>
    <row r="59753" spans="23:23" x14ac:dyDescent="0.55000000000000004">
      <c r="W59753"/>
    </row>
    <row r="59754" spans="23:23" x14ac:dyDescent="0.55000000000000004">
      <c r="W59754"/>
    </row>
    <row r="59755" spans="23:23" x14ac:dyDescent="0.55000000000000004">
      <c r="W59755"/>
    </row>
    <row r="59756" spans="23:23" x14ac:dyDescent="0.55000000000000004">
      <c r="W59756"/>
    </row>
    <row r="59757" spans="23:23" x14ac:dyDescent="0.55000000000000004">
      <c r="W59757"/>
    </row>
    <row r="59758" spans="23:23" x14ac:dyDescent="0.55000000000000004">
      <c r="W59758"/>
    </row>
    <row r="59759" spans="23:23" x14ac:dyDescent="0.55000000000000004">
      <c r="W59759"/>
    </row>
    <row r="59760" spans="23:23" x14ac:dyDescent="0.55000000000000004">
      <c r="W59760"/>
    </row>
    <row r="59761" spans="23:23" x14ac:dyDescent="0.55000000000000004">
      <c r="W59761"/>
    </row>
    <row r="59762" spans="23:23" x14ac:dyDescent="0.55000000000000004">
      <c r="W59762"/>
    </row>
    <row r="59763" spans="23:23" x14ac:dyDescent="0.55000000000000004">
      <c r="W59763"/>
    </row>
    <row r="59764" spans="23:23" x14ac:dyDescent="0.55000000000000004">
      <c r="W59764"/>
    </row>
    <row r="59765" spans="23:23" x14ac:dyDescent="0.55000000000000004">
      <c r="W59765"/>
    </row>
    <row r="59766" spans="23:23" x14ac:dyDescent="0.55000000000000004">
      <c r="W59766"/>
    </row>
    <row r="59767" spans="23:23" x14ac:dyDescent="0.55000000000000004">
      <c r="W59767"/>
    </row>
    <row r="59768" spans="23:23" x14ac:dyDescent="0.55000000000000004">
      <c r="W59768"/>
    </row>
    <row r="59769" spans="23:23" x14ac:dyDescent="0.55000000000000004">
      <c r="W59769"/>
    </row>
    <row r="59770" spans="23:23" x14ac:dyDescent="0.55000000000000004">
      <c r="W59770"/>
    </row>
    <row r="59771" spans="23:23" x14ac:dyDescent="0.55000000000000004">
      <c r="W59771"/>
    </row>
    <row r="59772" spans="23:23" x14ac:dyDescent="0.55000000000000004">
      <c r="W59772"/>
    </row>
    <row r="59773" spans="23:23" x14ac:dyDescent="0.55000000000000004">
      <c r="W59773"/>
    </row>
    <row r="59774" spans="23:23" x14ac:dyDescent="0.55000000000000004">
      <c r="W59774"/>
    </row>
    <row r="59775" spans="23:23" x14ac:dyDescent="0.55000000000000004">
      <c r="W59775"/>
    </row>
    <row r="59776" spans="23:23" x14ac:dyDescent="0.55000000000000004">
      <c r="W59776"/>
    </row>
    <row r="59777" spans="23:23" x14ac:dyDescent="0.55000000000000004">
      <c r="W59777"/>
    </row>
    <row r="59778" spans="23:23" x14ac:dyDescent="0.55000000000000004">
      <c r="W59778"/>
    </row>
    <row r="59779" spans="23:23" x14ac:dyDescent="0.55000000000000004">
      <c r="W59779"/>
    </row>
    <row r="59780" spans="23:23" x14ac:dyDescent="0.55000000000000004">
      <c r="W59780"/>
    </row>
    <row r="59781" spans="23:23" x14ac:dyDescent="0.55000000000000004">
      <c r="W59781"/>
    </row>
    <row r="59782" spans="23:23" x14ac:dyDescent="0.55000000000000004">
      <c r="W59782"/>
    </row>
    <row r="59783" spans="23:23" x14ac:dyDescent="0.55000000000000004">
      <c r="W59783"/>
    </row>
    <row r="59784" spans="23:23" x14ac:dyDescent="0.55000000000000004">
      <c r="W59784"/>
    </row>
    <row r="59785" spans="23:23" x14ac:dyDescent="0.55000000000000004">
      <c r="W59785"/>
    </row>
    <row r="59786" spans="23:23" x14ac:dyDescent="0.55000000000000004">
      <c r="W59786"/>
    </row>
    <row r="59787" spans="23:23" x14ac:dyDescent="0.55000000000000004">
      <c r="W59787"/>
    </row>
    <row r="59788" spans="23:23" x14ac:dyDescent="0.55000000000000004">
      <c r="W59788"/>
    </row>
    <row r="59789" spans="23:23" x14ac:dyDescent="0.55000000000000004">
      <c r="W59789"/>
    </row>
    <row r="59790" spans="23:23" x14ac:dyDescent="0.55000000000000004">
      <c r="W59790"/>
    </row>
    <row r="59791" spans="23:23" x14ac:dyDescent="0.55000000000000004">
      <c r="W59791"/>
    </row>
    <row r="59792" spans="23:23" x14ac:dyDescent="0.55000000000000004">
      <c r="W59792"/>
    </row>
    <row r="59793" spans="23:23" x14ac:dyDescent="0.55000000000000004">
      <c r="W59793"/>
    </row>
    <row r="59794" spans="23:23" x14ac:dyDescent="0.55000000000000004">
      <c r="W59794"/>
    </row>
    <row r="59795" spans="23:23" x14ac:dyDescent="0.55000000000000004">
      <c r="W59795"/>
    </row>
    <row r="59796" spans="23:23" x14ac:dyDescent="0.55000000000000004">
      <c r="W59796"/>
    </row>
    <row r="59797" spans="23:23" x14ac:dyDescent="0.55000000000000004">
      <c r="W59797"/>
    </row>
    <row r="59798" spans="23:23" x14ac:dyDescent="0.55000000000000004">
      <c r="W59798"/>
    </row>
    <row r="59799" spans="23:23" x14ac:dyDescent="0.55000000000000004">
      <c r="W59799"/>
    </row>
    <row r="59800" spans="23:23" x14ac:dyDescent="0.55000000000000004">
      <c r="W59800"/>
    </row>
    <row r="59801" spans="23:23" x14ac:dyDescent="0.55000000000000004">
      <c r="W59801"/>
    </row>
    <row r="59802" spans="23:23" x14ac:dyDescent="0.55000000000000004">
      <c r="W59802"/>
    </row>
    <row r="59803" spans="23:23" x14ac:dyDescent="0.55000000000000004">
      <c r="W59803"/>
    </row>
    <row r="59804" spans="23:23" x14ac:dyDescent="0.55000000000000004">
      <c r="W59804"/>
    </row>
    <row r="59805" spans="23:23" x14ac:dyDescent="0.55000000000000004">
      <c r="W59805"/>
    </row>
    <row r="59806" spans="23:23" x14ac:dyDescent="0.55000000000000004">
      <c r="W59806"/>
    </row>
    <row r="59807" spans="23:23" x14ac:dyDescent="0.55000000000000004">
      <c r="W59807"/>
    </row>
    <row r="59808" spans="23:23" x14ac:dyDescent="0.55000000000000004">
      <c r="W59808"/>
    </row>
    <row r="59809" spans="23:23" x14ac:dyDescent="0.55000000000000004">
      <c r="W59809"/>
    </row>
    <row r="59810" spans="23:23" x14ac:dyDescent="0.55000000000000004">
      <c r="W59810"/>
    </row>
    <row r="59811" spans="23:23" x14ac:dyDescent="0.55000000000000004">
      <c r="W59811"/>
    </row>
    <row r="59812" spans="23:23" x14ac:dyDescent="0.55000000000000004">
      <c r="W59812"/>
    </row>
    <row r="59813" spans="23:23" x14ac:dyDescent="0.55000000000000004">
      <c r="W59813"/>
    </row>
    <row r="59814" spans="23:23" x14ac:dyDescent="0.55000000000000004">
      <c r="W59814"/>
    </row>
    <row r="59815" spans="23:23" x14ac:dyDescent="0.55000000000000004">
      <c r="W59815"/>
    </row>
    <row r="59816" spans="23:23" x14ac:dyDescent="0.55000000000000004">
      <c r="W59816"/>
    </row>
    <row r="59817" spans="23:23" x14ac:dyDescent="0.55000000000000004">
      <c r="W59817"/>
    </row>
    <row r="59818" spans="23:23" x14ac:dyDescent="0.55000000000000004">
      <c r="W59818"/>
    </row>
    <row r="59819" spans="23:23" x14ac:dyDescent="0.55000000000000004">
      <c r="W59819"/>
    </row>
    <row r="59820" spans="23:23" x14ac:dyDescent="0.55000000000000004">
      <c r="W59820"/>
    </row>
    <row r="59821" spans="23:23" x14ac:dyDescent="0.55000000000000004">
      <c r="W59821"/>
    </row>
    <row r="59822" spans="23:23" x14ac:dyDescent="0.55000000000000004">
      <c r="W59822"/>
    </row>
    <row r="59823" spans="23:23" x14ac:dyDescent="0.55000000000000004">
      <c r="W59823"/>
    </row>
    <row r="59824" spans="23:23" x14ac:dyDescent="0.55000000000000004">
      <c r="W59824"/>
    </row>
    <row r="59825" spans="23:23" x14ac:dyDescent="0.55000000000000004">
      <c r="W59825"/>
    </row>
    <row r="59826" spans="23:23" x14ac:dyDescent="0.55000000000000004">
      <c r="W59826"/>
    </row>
    <row r="59827" spans="23:23" x14ac:dyDescent="0.55000000000000004">
      <c r="W59827"/>
    </row>
    <row r="59828" spans="23:23" x14ac:dyDescent="0.55000000000000004">
      <c r="W59828"/>
    </row>
    <row r="59829" spans="23:23" x14ac:dyDescent="0.55000000000000004">
      <c r="W59829"/>
    </row>
    <row r="59830" spans="23:23" x14ac:dyDescent="0.55000000000000004">
      <c r="W59830"/>
    </row>
    <row r="59831" spans="23:23" x14ac:dyDescent="0.55000000000000004">
      <c r="W59831"/>
    </row>
    <row r="59832" spans="23:23" x14ac:dyDescent="0.55000000000000004">
      <c r="W59832"/>
    </row>
    <row r="59833" spans="23:23" x14ac:dyDescent="0.55000000000000004">
      <c r="W59833"/>
    </row>
    <row r="59834" spans="23:23" x14ac:dyDescent="0.55000000000000004">
      <c r="W59834"/>
    </row>
    <row r="59835" spans="23:23" x14ac:dyDescent="0.55000000000000004">
      <c r="W59835"/>
    </row>
    <row r="59836" spans="23:23" x14ac:dyDescent="0.55000000000000004">
      <c r="W59836"/>
    </row>
    <row r="59837" spans="23:23" x14ac:dyDescent="0.55000000000000004">
      <c r="W59837"/>
    </row>
    <row r="59838" spans="23:23" x14ac:dyDescent="0.55000000000000004">
      <c r="W59838"/>
    </row>
    <row r="59839" spans="23:23" x14ac:dyDescent="0.55000000000000004">
      <c r="W59839"/>
    </row>
    <row r="59840" spans="23:23" x14ac:dyDescent="0.55000000000000004">
      <c r="W59840"/>
    </row>
    <row r="59841" spans="23:23" x14ac:dyDescent="0.55000000000000004">
      <c r="W59841"/>
    </row>
    <row r="59842" spans="23:23" x14ac:dyDescent="0.55000000000000004">
      <c r="W59842"/>
    </row>
    <row r="59843" spans="23:23" x14ac:dyDescent="0.55000000000000004">
      <c r="W59843"/>
    </row>
    <row r="59844" spans="23:23" x14ac:dyDescent="0.55000000000000004">
      <c r="W59844"/>
    </row>
    <row r="59845" spans="23:23" x14ac:dyDescent="0.55000000000000004">
      <c r="W59845"/>
    </row>
    <row r="59846" spans="23:23" x14ac:dyDescent="0.55000000000000004">
      <c r="W59846"/>
    </row>
    <row r="59847" spans="23:23" x14ac:dyDescent="0.55000000000000004">
      <c r="W59847"/>
    </row>
    <row r="59848" spans="23:23" x14ac:dyDescent="0.55000000000000004">
      <c r="W59848"/>
    </row>
    <row r="59849" spans="23:23" x14ac:dyDescent="0.55000000000000004">
      <c r="W59849"/>
    </row>
    <row r="59850" spans="23:23" x14ac:dyDescent="0.55000000000000004">
      <c r="W59850"/>
    </row>
    <row r="59851" spans="23:23" x14ac:dyDescent="0.55000000000000004">
      <c r="W59851"/>
    </row>
    <row r="59852" spans="23:23" x14ac:dyDescent="0.55000000000000004">
      <c r="W59852"/>
    </row>
    <row r="59853" spans="23:23" x14ac:dyDescent="0.55000000000000004">
      <c r="W59853"/>
    </row>
    <row r="59854" spans="23:23" x14ac:dyDescent="0.55000000000000004">
      <c r="W59854"/>
    </row>
    <row r="59855" spans="23:23" x14ac:dyDescent="0.55000000000000004">
      <c r="W59855"/>
    </row>
    <row r="59856" spans="23:23" x14ac:dyDescent="0.55000000000000004">
      <c r="W59856"/>
    </row>
    <row r="59857" spans="23:23" x14ac:dyDescent="0.55000000000000004">
      <c r="W59857"/>
    </row>
    <row r="59858" spans="23:23" x14ac:dyDescent="0.55000000000000004">
      <c r="W59858"/>
    </row>
    <row r="59859" spans="23:23" x14ac:dyDescent="0.55000000000000004">
      <c r="W59859"/>
    </row>
    <row r="59860" spans="23:23" x14ac:dyDescent="0.55000000000000004">
      <c r="W59860"/>
    </row>
    <row r="59861" spans="23:23" x14ac:dyDescent="0.55000000000000004">
      <c r="W59861"/>
    </row>
    <row r="59862" spans="23:23" x14ac:dyDescent="0.55000000000000004">
      <c r="W59862"/>
    </row>
    <row r="59863" spans="23:23" x14ac:dyDescent="0.55000000000000004">
      <c r="W59863"/>
    </row>
    <row r="59864" spans="23:23" x14ac:dyDescent="0.55000000000000004">
      <c r="W59864"/>
    </row>
    <row r="59865" spans="23:23" x14ac:dyDescent="0.55000000000000004">
      <c r="W59865"/>
    </row>
    <row r="59866" spans="23:23" x14ac:dyDescent="0.55000000000000004">
      <c r="W59866"/>
    </row>
    <row r="59867" spans="23:23" x14ac:dyDescent="0.55000000000000004">
      <c r="W59867"/>
    </row>
    <row r="59868" spans="23:23" x14ac:dyDescent="0.55000000000000004">
      <c r="W59868"/>
    </row>
    <row r="59869" spans="23:23" x14ac:dyDescent="0.55000000000000004">
      <c r="W59869"/>
    </row>
    <row r="59870" spans="23:23" x14ac:dyDescent="0.55000000000000004">
      <c r="W59870"/>
    </row>
    <row r="59871" spans="23:23" x14ac:dyDescent="0.55000000000000004">
      <c r="W59871"/>
    </row>
    <row r="59872" spans="23:23" x14ac:dyDescent="0.55000000000000004">
      <c r="W59872"/>
    </row>
    <row r="59873" spans="23:23" x14ac:dyDescent="0.55000000000000004">
      <c r="W59873"/>
    </row>
    <row r="59874" spans="23:23" x14ac:dyDescent="0.55000000000000004">
      <c r="W59874"/>
    </row>
    <row r="59875" spans="23:23" x14ac:dyDescent="0.55000000000000004">
      <c r="W59875"/>
    </row>
    <row r="59876" spans="23:23" x14ac:dyDescent="0.55000000000000004">
      <c r="W59876"/>
    </row>
    <row r="59877" spans="23:23" x14ac:dyDescent="0.55000000000000004">
      <c r="W59877"/>
    </row>
    <row r="59878" spans="23:23" x14ac:dyDescent="0.55000000000000004">
      <c r="W59878"/>
    </row>
    <row r="59879" spans="23:23" x14ac:dyDescent="0.55000000000000004">
      <c r="W59879"/>
    </row>
    <row r="59880" spans="23:23" x14ac:dyDescent="0.55000000000000004">
      <c r="W59880"/>
    </row>
    <row r="59881" spans="23:23" x14ac:dyDescent="0.55000000000000004">
      <c r="W59881"/>
    </row>
    <row r="59882" spans="23:23" x14ac:dyDescent="0.55000000000000004">
      <c r="W59882"/>
    </row>
    <row r="59883" spans="23:23" x14ac:dyDescent="0.55000000000000004">
      <c r="W59883"/>
    </row>
    <row r="59884" spans="23:23" x14ac:dyDescent="0.55000000000000004">
      <c r="W59884"/>
    </row>
    <row r="59885" spans="23:23" x14ac:dyDescent="0.55000000000000004">
      <c r="W59885"/>
    </row>
    <row r="59886" spans="23:23" x14ac:dyDescent="0.55000000000000004">
      <c r="W59886"/>
    </row>
    <row r="59887" spans="23:23" x14ac:dyDescent="0.55000000000000004">
      <c r="W59887"/>
    </row>
    <row r="59888" spans="23:23" x14ac:dyDescent="0.55000000000000004">
      <c r="W59888"/>
    </row>
    <row r="59889" spans="23:23" x14ac:dyDescent="0.55000000000000004">
      <c r="W59889"/>
    </row>
    <row r="59890" spans="23:23" x14ac:dyDescent="0.55000000000000004">
      <c r="W59890"/>
    </row>
    <row r="59891" spans="23:23" x14ac:dyDescent="0.55000000000000004">
      <c r="W59891"/>
    </row>
    <row r="59892" spans="23:23" x14ac:dyDescent="0.55000000000000004">
      <c r="W59892"/>
    </row>
    <row r="59893" spans="23:23" x14ac:dyDescent="0.55000000000000004">
      <c r="W59893"/>
    </row>
    <row r="59894" spans="23:23" x14ac:dyDescent="0.55000000000000004">
      <c r="W59894"/>
    </row>
    <row r="59895" spans="23:23" x14ac:dyDescent="0.55000000000000004">
      <c r="W59895"/>
    </row>
    <row r="59896" spans="23:23" x14ac:dyDescent="0.55000000000000004">
      <c r="W59896"/>
    </row>
    <row r="59897" spans="23:23" x14ac:dyDescent="0.55000000000000004">
      <c r="W59897"/>
    </row>
    <row r="59898" spans="23:23" x14ac:dyDescent="0.55000000000000004">
      <c r="W59898"/>
    </row>
    <row r="59899" spans="23:23" x14ac:dyDescent="0.55000000000000004">
      <c r="W59899"/>
    </row>
    <row r="59900" spans="23:23" x14ac:dyDescent="0.55000000000000004">
      <c r="W59900"/>
    </row>
    <row r="59901" spans="23:23" x14ac:dyDescent="0.55000000000000004">
      <c r="W59901"/>
    </row>
    <row r="59902" spans="23:23" x14ac:dyDescent="0.55000000000000004">
      <c r="W59902"/>
    </row>
    <row r="59903" spans="23:23" x14ac:dyDescent="0.55000000000000004">
      <c r="W59903"/>
    </row>
    <row r="59904" spans="23:23" x14ac:dyDescent="0.55000000000000004">
      <c r="W59904"/>
    </row>
    <row r="59905" spans="23:23" x14ac:dyDescent="0.55000000000000004">
      <c r="W59905"/>
    </row>
    <row r="59906" spans="23:23" x14ac:dyDescent="0.55000000000000004">
      <c r="W59906"/>
    </row>
    <row r="59907" spans="23:23" x14ac:dyDescent="0.55000000000000004">
      <c r="W59907"/>
    </row>
    <row r="59908" spans="23:23" x14ac:dyDescent="0.55000000000000004">
      <c r="W59908"/>
    </row>
    <row r="59909" spans="23:23" x14ac:dyDescent="0.55000000000000004">
      <c r="W59909"/>
    </row>
    <row r="59910" spans="23:23" x14ac:dyDescent="0.55000000000000004">
      <c r="W59910"/>
    </row>
    <row r="59911" spans="23:23" x14ac:dyDescent="0.55000000000000004">
      <c r="W59911"/>
    </row>
    <row r="59912" spans="23:23" x14ac:dyDescent="0.55000000000000004">
      <c r="W59912"/>
    </row>
    <row r="59913" spans="23:23" x14ac:dyDescent="0.55000000000000004">
      <c r="W59913"/>
    </row>
    <row r="59914" spans="23:23" x14ac:dyDescent="0.55000000000000004">
      <c r="W59914"/>
    </row>
    <row r="59915" spans="23:23" x14ac:dyDescent="0.55000000000000004">
      <c r="W59915"/>
    </row>
    <row r="59916" spans="23:23" x14ac:dyDescent="0.55000000000000004">
      <c r="W59916"/>
    </row>
    <row r="59917" spans="23:23" x14ac:dyDescent="0.55000000000000004">
      <c r="W59917"/>
    </row>
    <row r="59918" spans="23:23" x14ac:dyDescent="0.55000000000000004">
      <c r="W59918"/>
    </row>
    <row r="59919" spans="23:23" x14ac:dyDescent="0.55000000000000004">
      <c r="W59919"/>
    </row>
    <row r="59920" spans="23:23" x14ac:dyDescent="0.55000000000000004">
      <c r="W59920"/>
    </row>
    <row r="59921" spans="23:23" x14ac:dyDescent="0.55000000000000004">
      <c r="W59921"/>
    </row>
    <row r="59922" spans="23:23" x14ac:dyDescent="0.55000000000000004">
      <c r="W59922"/>
    </row>
    <row r="59923" spans="23:23" x14ac:dyDescent="0.55000000000000004">
      <c r="W59923"/>
    </row>
    <row r="59924" spans="23:23" x14ac:dyDescent="0.55000000000000004">
      <c r="W59924"/>
    </row>
    <row r="59925" spans="23:23" x14ac:dyDescent="0.55000000000000004">
      <c r="W59925"/>
    </row>
    <row r="59926" spans="23:23" x14ac:dyDescent="0.55000000000000004">
      <c r="W59926"/>
    </row>
    <row r="59927" spans="23:23" x14ac:dyDescent="0.55000000000000004">
      <c r="W59927"/>
    </row>
    <row r="59928" spans="23:23" x14ac:dyDescent="0.55000000000000004">
      <c r="W59928"/>
    </row>
    <row r="59929" spans="23:23" x14ac:dyDescent="0.55000000000000004">
      <c r="W59929"/>
    </row>
    <row r="59930" spans="23:23" x14ac:dyDescent="0.55000000000000004">
      <c r="W59930"/>
    </row>
    <row r="59931" spans="23:23" x14ac:dyDescent="0.55000000000000004">
      <c r="W59931"/>
    </row>
    <row r="59932" spans="23:23" x14ac:dyDescent="0.55000000000000004">
      <c r="W59932"/>
    </row>
    <row r="59933" spans="23:23" x14ac:dyDescent="0.55000000000000004">
      <c r="W59933"/>
    </row>
    <row r="59934" spans="23:23" x14ac:dyDescent="0.55000000000000004">
      <c r="W59934"/>
    </row>
    <row r="59935" spans="23:23" x14ac:dyDescent="0.55000000000000004">
      <c r="W59935"/>
    </row>
    <row r="59936" spans="23:23" x14ac:dyDescent="0.55000000000000004">
      <c r="W59936"/>
    </row>
    <row r="59937" spans="23:23" x14ac:dyDescent="0.55000000000000004">
      <c r="W59937"/>
    </row>
    <row r="59938" spans="23:23" x14ac:dyDescent="0.55000000000000004">
      <c r="W59938"/>
    </row>
    <row r="59939" spans="23:23" x14ac:dyDescent="0.55000000000000004">
      <c r="W59939"/>
    </row>
    <row r="59940" spans="23:23" x14ac:dyDescent="0.55000000000000004">
      <c r="W59940"/>
    </row>
    <row r="59941" spans="23:23" x14ac:dyDescent="0.55000000000000004">
      <c r="W59941"/>
    </row>
    <row r="59942" spans="23:23" x14ac:dyDescent="0.55000000000000004">
      <c r="W59942"/>
    </row>
    <row r="59943" spans="23:23" x14ac:dyDescent="0.55000000000000004">
      <c r="W59943"/>
    </row>
    <row r="59944" spans="23:23" x14ac:dyDescent="0.55000000000000004">
      <c r="W59944"/>
    </row>
    <row r="59945" spans="23:23" x14ac:dyDescent="0.55000000000000004">
      <c r="W59945"/>
    </row>
    <row r="59946" spans="23:23" x14ac:dyDescent="0.55000000000000004">
      <c r="W59946"/>
    </row>
    <row r="59947" spans="23:23" x14ac:dyDescent="0.55000000000000004">
      <c r="W59947"/>
    </row>
    <row r="59948" spans="23:23" x14ac:dyDescent="0.55000000000000004">
      <c r="W59948"/>
    </row>
    <row r="59949" spans="23:23" x14ac:dyDescent="0.55000000000000004">
      <c r="W59949"/>
    </row>
    <row r="59950" spans="23:23" x14ac:dyDescent="0.55000000000000004">
      <c r="W59950"/>
    </row>
    <row r="59951" spans="23:23" x14ac:dyDescent="0.55000000000000004">
      <c r="W59951"/>
    </row>
    <row r="59952" spans="23:23" x14ac:dyDescent="0.55000000000000004">
      <c r="W59952"/>
    </row>
    <row r="59953" spans="23:23" x14ac:dyDescent="0.55000000000000004">
      <c r="W59953"/>
    </row>
    <row r="59954" spans="23:23" x14ac:dyDescent="0.55000000000000004">
      <c r="W59954"/>
    </row>
    <row r="59955" spans="23:23" x14ac:dyDescent="0.55000000000000004">
      <c r="W59955"/>
    </row>
    <row r="59956" spans="23:23" x14ac:dyDescent="0.55000000000000004">
      <c r="W59956"/>
    </row>
    <row r="59957" spans="23:23" x14ac:dyDescent="0.55000000000000004">
      <c r="W59957"/>
    </row>
    <row r="59958" spans="23:23" x14ac:dyDescent="0.55000000000000004">
      <c r="W59958"/>
    </row>
    <row r="59959" spans="23:23" x14ac:dyDescent="0.55000000000000004">
      <c r="W59959"/>
    </row>
    <row r="59960" spans="23:23" x14ac:dyDescent="0.55000000000000004">
      <c r="W59960"/>
    </row>
    <row r="59961" spans="23:23" x14ac:dyDescent="0.55000000000000004">
      <c r="W59961"/>
    </row>
    <row r="59962" spans="23:23" x14ac:dyDescent="0.55000000000000004">
      <c r="W59962"/>
    </row>
    <row r="59963" spans="23:23" x14ac:dyDescent="0.55000000000000004">
      <c r="W59963"/>
    </row>
    <row r="59964" spans="23:23" x14ac:dyDescent="0.55000000000000004">
      <c r="W59964"/>
    </row>
    <row r="59965" spans="23:23" x14ac:dyDescent="0.55000000000000004">
      <c r="W59965"/>
    </row>
    <row r="59966" spans="23:23" x14ac:dyDescent="0.55000000000000004">
      <c r="W59966"/>
    </row>
    <row r="59967" spans="23:23" x14ac:dyDescent="0.55000000000000004">
      <c r="W59967"/>
    </row>
    <row r="59968" spans="23:23" x14ac:dyDescent="0.55000000000000004">
      <c r="W59968"/>
    </row>
    <row r="59969" spans="23:23" x14ac:dyDescent="0.55000000000000004">
      <c r="W59969"/>
    </row>
    <row r="59970" spans="23:23" x14ac:dyDescent="0.55000000000000004">
      <c r="W59970"/>
    </row>
    <row r="59971" spans="23:23" x14ac:dyDescent="0.55000000000000004">
      <c r="W59971"/>
    </row>
    <row r="59972" spans="23:23" x14ac:dyDescent="0.55000000000000004">
      <c r="W59972"/>
    </row>
    <row r="59973" spans="23:23" x14ac:dyDescent="0.55000000000000004">
      <c r="W59973"/>
    </row>
    <row r="59974" spans="23:23" x14ac:dyDescent="0.55000000000000004">
      <c r="W59974"/>
    </row>
    <row r="59975" spans="23:23" x14ac:dyDescent="0.55000000000000004">
      <c r="W59975"/>
    </row>
    <row r="59976" spans="23:23" x14ac:dyDescent="0.55000000000000004">
      <c r="W59976"/>
    </row>
    <row r="59977" spans="23:23" x14ac:dyDescent="0.55000000000000004">
      <c r="W59977"/>
    </row>
    <row r="59978" spans="23:23" x14ac:dyDescent="0.55000000000000004">
      <c r="W59978"/>
    </row>
    <row r="59979" spans="23:23" x14ac:dyDescent="0.55000000000000004">
      <c r="W59979"/>
    </row>
    <row r="59980" spans="23:23" x14ac:dyDescent="0.55000000000000004">
      <c r="W59980"/>
    </row>
    <row r="59981" spans="23:23" x14ac:dyDescent="0.55000000000000004">
      <c r="W59981"/>
    </row>
    <row r="59982" spans="23:23" x14ac:dyDescent="0.55000000000000004">
      <c r="W59982"/>
    </row>
    <row r="59983" spans="23:23" x14ac:dyDescent="0.55000000000000004">
      <c r="W59983"/>
    </row>
    <row r="59984" spans="23:23" x14ac:dyDescent="0.55000000000000004">
      <c r="W59984"/>
    </row>
    <row r="59985" spans="23:23" x14ac:dyDescent="0.55000000000000004">
      <c r="W59985"/>
    </row>
    <row r="59986" spans="23:23" x14ac:dyDescent="0.55000000000000004">
      <c r="W59986"/>
    </row>
    <row r="59987" spans="23:23" x14ac:dyDescent="0.55000000000000004">
      <c r="W59987"/>
    </row>
    <row r="59988" spans="23:23" x14ac:dyDescent="0.55000000000000004">
      <c r="W59988"/>
    </row>
    <row r="59989" spans="23:23" x14ac:dyDescent="0.55000000000000004">
      <c r="W59989"/>
    </row>
    <row r="59990" spans="23:23" x14ac:dyDescent="0.55000000000000004">
      <c r="W59990"/>
    </row>
    <row r="59991" spans="23:23" x14ac:dyDescent="0.55000000000000004">
      <c r="W59991"/>
    </row>
    <row r="59992" spans="23:23" x14ac:dyDescent="0.55000000000000004">
      <c r="W59992"/>
    </row>
    <row r="59993" spans="23:23" x14ac:dyDescent="0.55000000000000004">
      <c r="W59993"/>
    </row>
    <row r="59994" spans="23:23" x14ac:dyDescent="0.55000000000000004">
      <c r="W59994"/>
    </row>
    <row r="59995" spans="23:23" x14ac:dyDescent="0.55000000000000004">
      <c r="W59995"/>
    </row>
    <row r="59996" spans="23:23" x14ac:dyDescent="0.55000000000000004">
      <c r="W59996"/>
    </row>
    <row r="59997" spans="23:23" x14ac:dyDescent="0.55000000000000004">
      <c r="W59997"/>
    </row>
    <row r="59998" spans="23:23" x14ac:dyDescent="0.55000000000000004">
      <c r="W59998"/>
    </row>
    <row r="59999" spans="23:23" x14ac:dyDescent="0.55000000000000004">
      <c r="W59999"/>
    </row>
    <row r="60000" spans="23:23" x14ac:dyDescent="0.55000000000000004">
      <c r="W60000"/>
    </row>
    <row r="60001" spans="23:23" x14ac:dyDescent="0.55000000000000004">
      <c r="W60001"/>
    </row>
    <row r="60002" spans="23:23" x14ac:dyDescent="0.55000000000000004">
      <c r="W60002"/>
    </row>
    <row r="60003" spans="23:23" x14ac:dyDescent="0.55000000000000004">
      <c r="W60003"/>
    </row>
    <row r="60004" spans="23:23" x14ac:dyDescent="0.55000000000000004">
      <c r="W60004"/>
    </row>
    <row r="60005" spans="23:23" x14ac:dyDescent="0.55000000000000004">
      <c r="W60005"/>
    </row>
    <row r="60006" spans="23:23" x14ac:dyDescent="0.55000000000000004">
      <c r="W60006"/>
    </row>
    <row r="60007" spans="23:23" x14ac:dyDescent="0.55000000000000004">
      <c r="W60007"/>
    </row>
    <row r="60008" spans="23:23" x14ac:dyDescent="0.55000000000000004">
      <c r="W60008"/>
    </row>
    <row r="60009" spans="23:23" x14ac:dyDescent="0.55000000000000004">
      <c r="W60009"/>
    </row>
    <row r="60010" spans="23:23" x14ac:dyDescent="0.55000000000000004">
      <c r="W60010"/>
    </row>
    <row r="60011" spans="23:23" x14ac:dyDescent="0.55000000000000004">
      <c r="W60011"/>
    </row>
    <row r="60012" spans="23:23" x14ac:dyDescent="0.55000000000000004">
      <c r="W60012"/>
    </row>
    <row r="60013" spans="23:23" x14ac:dyDescent="0.55000000000000004">
      <c r="W60013"/>
    </row>
    <row r="60014" spans="23:23" x14ac:dyDescent="0.55000000000000004">
      <c r="W60014"/>
    </row>
    <row r="60015" spans="23:23" x14ac:dyDescent="0.55000000000000004">
      <c r="W60015"/>
    </row>
    <row r="60016" spans="23:23" x14ac:dyDescent="0.55000000000000004">
      <c r="W60016"/>
    </row>
    <row r="60017" spans="23:23" x14ac:dyDescent="0.55000000000000004">
      <c r="W60017"/>
    </row>
    <row r="60018" spans="23:23" x14ac:dyDescent="0.55000000000000004">
      <c r="W60018"/>
    </row>
    <row r="60019" spans="23:23" x14ac:dyDescent="0.55000000000000004">
      <c r="W60019"/>
    </row>
    <row r="60020" spans="23:23" x14ac:dyDescent="0.55000000000000004">
      <c r="W60020"/>
    </row>
    <row r="60021" spans="23:23" x14ac:dyDescent="0.55000000000000004">
      <c r="W60021"/>
    </row>
    <row r="60022" spans="23:23" x14ac:dyDescent="0.55000000000000004">
      <c r="W60022"/>
    </row>
    <row r="60023" spans="23:23" x14ac:dyDescent="0.55000000000000004">
      <c r="W60023"/>
    </row>
    <row r="60024" spans="23:23" x14ac:dyDescent="0.55000000000000004">
      <c r="W60024"/>
    </row>
    <row r="60025" spans="23:23" x14ac:dyDescent="0.55000000000000004">
      <c r="W60025"/>
    </row>
    <row r="60026" spans="23:23" x14ac:dyDescent="0.55000000000000004">
      <c r="W60026"/>
    </row>
    <row r="60027" spans="23:23" x14ac:dyDescent="0.55000000000000004">
      <c r="W60027"/>
    </row>
    <row r="60028" spans="23:23" x14ac:dyDescent="0.55000000000000004">
      <c r="W60028"/>
    </row>
    <row r="60029" spans="23:23" x14ac:dyDescent="0.55000000000000004">
      <c r="W60029"/>
    </row>
    <row r="60030" spans="23:23" x14ac:dyDescent="0.55000000000000004">
      <c r="W60030"/>
    </row>
    <row r="60031" spans="23:23" x14ac:dyDescent="0.55000000000000004">
      <c r="W60031"/>
    </row>
    <row r="60032" spans="23:23" x14ac:dyDescent="0.55000000000000004">
      <c r="W60032"/>
    </row>
    <row r="60033" spans="23:23" x14ac:dyDescent="0.55000000000000004">
      <c r="W60033"/>
    </row>
    <row r="60034" spans="23:23" x14ac:dyDescent="0.55000000000000004">
      <c r="W60034"/>
    </row>
    <row r="60035" spans="23:23" x14ac:dyDescent="0.55000000000000004">
      <c r="W60035"/>
    </row>
    <row r="60036" spans="23:23" x14ac:dyDescent="0.55000000000000004">
      <c r="W60036"/>
    </row>
    <row r="60037" spans="23:23" x14ac:dyDescent="0.55000000000000004">
      <c r="W60037"/>
    </row>
    <row r="60038" spans="23:23" x14ac:dyDescent="0.55000000000000004">
      <c r="W60038"/>
    </row>
    <row r="60039" spans="23:23" x14ac:dyDescent="0.55000000000000004">
      <c r="W60039"/>
    </row>
    <row r="60040" spans="23:23" x14ac:dyDescent="0.55000000000000004">
      <c r="W60040"/>
    </row>
    <row r="60041" spans="23:23" x14ac:dyDescent="0.55000000000000004">
      <c r="W60041"/>
    </row>
    <row r="60042" spans="23:23" x14ac:dyDescent="0.55000000000000004">
      <c r="W60042"/>
    </row>
    <row r="60043" spans="23:23" x14ac:dyDescent="0.55000000000000004">
      <c r="W60043"/>
    </row>
    <row r="60044" spans="23:23" x14ac:dyDescent="0.55000000000000004">
      <c r="W60044"/>
    </row>
    <row r="60045" spans="23:23" x14ac:dyDescent="0.55000000000000004">
      <c r="W60045"/>
    </row>
    <row r="60046" spans="23:23" x14ac:dyDescent="0.55000000000000004">
      <c r="W60046"/>
    </row>
    <row r="60047" spans="23:23" x14ac:dyDescent="0.55000000000000004">
      <c r="W60047"/>
    </row>
    <row r="60048" spans="23:23" x14ac:dyDescent="0.55000000000000004">
      <c r="W60048"/>
    </row>
    <row r="60049" spans="23:23" x14ac:dyDescent="0.55000000000000004">
      <c r="W60049"/>
    </row>
    <row r="60050" spans="23:23" x14ac:dyDescent="0.55000000000000004">
      <c r="W60050"/>
    </row>
    <row r="60051" spans="23:23" x14ac:dyDescent="0.55000000000000004">
      <c r="W60051"/>
    </row>
    <row r="60052" spans="23:23" x14ac:dyDescent="0.55000000000000004">
      <c r="W60052"/>
    </row>
    <row r="60053" spans="23:23" x14ac:dyDescent="0.55000000000000004">
      <c r="W60053"/>
    </row>
    <row r="60054" spans="23:23" x14ac:dyDescent="0.55000000000000004">
      <c r="W60054"/>
    </row>
    <row r="60055" spans="23:23" x14ac:dyDescent="0.55000000000000004">
      <c r="W60055"/>
    </row>
    <row r="60056" spans="23:23" x14ac:dyDescent="0.55000000000000004">
      <c r="W60056"/>
    </row>
    <row r="60057" spans="23:23" x14ac:dyDescent="0.55000000000000004">
      <c r="W60057"/>
    </row>
    <row r="60058" spans="23:23" x14ac:dyDescent="0.55000000000000004">
      <c r="W60058"/>
    </row>
    <row r="60059" spans="23:23" x14ac:dyDescent="0.55000000000000004">
      <c r="W60059"/>
    </row>
    <row r="60060" spans="23:23" x14ac:dyDescent="0.55000000000000004">
      <c r="W60060"/>
    </row>
    <row r="60061" spans="23:23" x14ac:dyDescent="0.55000000000000004">
      <c r="W60061"/>
    </row>
    <row r="60062" spans="23:23" x14ac:dyDescent="0.55000000000000004">
      <c r="W60062"/>
    </row>
    <row r="60063" spans="23:23" x14ac:dyDescent="0.55000000000000004">
      <c r="W60063"/>
    </row>
    <row r="60064" spans="23:23" x14ac:dyDescent="0.55000000000000004">
      <c r="W60064"/>
    </row>
    <row r="60065" spans="23:23" x14ac:dyDescent="0.55000000000000004">
      <c r="W60065"/>
    </row>
    <row r="60066" spans="23:23" x14ac:dyDescent="0.55000000000000004">
      <c r="W60066"/>
    </row>
    <row r="60067" spans="23:23" x14ac:dyDescent="0.55000000000000004">
      <c r="W60067"/>
    </row>
    <row r="60068" spans="23:23" x14ac:dyDescent="0.55000000000000004">
      <c r="W60068"/>
    </row>
    <row r="60069" spans="23:23" x14ac:dyDescent="0.55000000000000004">
      <c r="W60069"/>
    </row>
    <row r="60070" spans="23:23" x14ac:dyDescent="0.55000000000000004">
      <c r="W60070"/>
    </row>
    <row r="60071" spans="23:23" x14ac:dyDescent="0.55000000000000004">
      <c r="W60071"/>
    </row>
    <row r="60072" spans="23:23" x14ac:dyDescent="0.55000000000000004">
      <c r="W60072"/>
    </row>
    <row r="60073" spans="23:23" x14ac:dyDescent="0.55000000000000004">
      <c r="W60073"/>
    </row>
    <row r="60074" spans="23:23" x14ac:dyDescent="0.55000000000000004">
      <c r="W60074"/>
    </row>
    <row r="60075" spans="23:23" x14ac:dyDescent="0.55000000000000004">
      <c r="W60075"/>
    </row>
    <row r="60076" spans="23:23" x14ac:dyDescent="0.55000000000000004">
      <c r="W60076"/>
    </row>
    <row r="60077" spans="23:23" x14ac:dyDescent="0.55000000000000004">
      <c r="W60077"/>
    </row>
    <row r="60078" spans="23:23" x14ac:dyDescent="0.55000000000000004">
      <c r="W60078"/>
    </row>
    <row r="60079" spans="23:23" x14ac:dyDescent="0.55000000000000004">
      <c r="W60079"/>
    </row>
    <row r="60080" spans="23:23" x14ac:dyDescent="0.55000000000000004">
      <c r="W60080"/>
    </row>
    <row r="60081" spans="23:23" x14ac:dyDescent="0.55000000000000004">
      <c r="W60081"/>
    </row>
    <row r="60082" spans="23:23" x14ac:dyDescent="0.55000000000000004">
      <c r="W60082"/>
    </row>
    <row r="60083" spans="23:23" x14ac:dyDescent="0.55000000000000004">
      <c r="W60083"/>
    </row>
    <row r="60084" spans="23:23" x14ac:dyDescent="0.55000000000000004">
      <c r="W60084"/>
    </row>
    <row r="60085" spans="23:23" x14ac:dyDescent="0.55000000000000004">
      <c r="W60085"/>
    </row>
    <row r="60086" spans="23:23" x14ac:dyDescent="0.55000000000000004">
      <c r="W60086"/>
    </row>
    <row r="60087" spans="23:23" x14ac:dyDescent="0.55000000000000004">
      <c r="W60087"/>
    </row>
    <row r="60088" spans="23:23" x14ac:dyDescent="0.55000000000000004">
      <c r="W60088"/>
    </row>
    <row r="60089" spans="23:23" x14ac:dyDescent="0.55000000000000004">
      <c r="W60089"/>
    </row>
    <row r="60090" spans="23:23" x14ac:dyDescent="0.55000000000000004">
      <c r="W60090"/>
    </row>
    <row r="60091" spans="23:23" x14ac:dyDescent="0.55000000000000004">
      <c r="W60091"/>
    </row>
    <row r="60092" spans="23:23" x14ac:dyDescent="0.55000000000000004">
      <c r="W60092"/>
    </row>
    <row r="60093" spans="23:23" x14ac:dyDescent="0.55000000000000004">
      <c r="W60093"/>
    </row>
    <row r="60094" spans="23:23" x14ac:dyDescent="0.55000000000000004">
      <c r="W60094"/>
    </row>
    <row r="60095" spans="23:23" x14ac:dyDescent="0.55000000000000004">
      <c r="W60095"/>
    </row>
    <row r="60096" spans="23:23" x14ac:dyDescent="0.55000000000000004">
      <c r="W60096"/>
    </row>
    <row r="60097" spans="23:23" x14ac:dyDescent="0.55000000000000004">
      <c r="W60097"/>
    </row>
    <row r="60098" spans="23:23" x14ac:dyDescent="0.55000000000000004">
      <c r="W60098"/>
    </row>
    <row r="60099" spans="23:23" x14ac:dyDescent="0.55000000000000004">
      <c r="W60099"/>
    </row>
    <row r="60100" spans="23:23" x14ac:dyDescent="0.55000000000000004">
      <c r="W60100"/>
    </row>
    <row r="60101" spans="23:23" x14ac:dyDescent="0.55000000000000004">
      <c r="W60101"/>
    </row>
    <row r="60102" spans="23:23" x14ac:dyDescent="0.55000000000000004">
      <c r="W60102"/>
    </row>
    <row r="60103" spans="23:23" x14ac:dyDescent="0.55000000000000004">
      <c r="W60103"/>
    </row>
    <row r="60104" spans="23:23" x14ac:dyDescent="0.55000000000000004">
      <c r="W60104"/>
    </row>
    <row r="60105" spans="23:23" x14ac:dyDescent="0.55000000000000004">
      <c r="W60105"/>
    </row>
    <row r="60106" spans="23:23" x14ac:dyDescent="0.55000000000000004">
      <c r="W60106"/>
    </row>
    <row r="60107" spans="23:23" x14ac:dyDescent="0.55000000000000004">
      <c r="W60107"/>
    </row>
    <row r="60108" spans="23:23" x14ac:dyDescent="0.55000000000000004">
      <c r="W60108"/>
    </row>
    <row r="60109" spans="23:23" x14ac:dyDescent="0.55000000000000004">
      <c r="W60109"/>
    </row>
    <row r="60110" spans="23:23" x14ac:dyDescent="0.55000000000000004">
      <c r="W60110"/>
    </row>
    <row r="60111" spans="23:23" x14ac:dyDescent="0.55000000000000004">
      <c r="W60111"/>
    </row>
    <row r="60112" spans="23:23" x14ac:dyDescent="0.55000000000000004">
      <c r="W60112"/>
    </row>
    <row r="60113" spans="23:23" x14ac:dyDescent="0.55000000000000004">
      <c r="W60113"/>
    </row>
    <row r="60114" spans="23:23" x14ac:dyDescent="0.55000000000000004">
      <c r="W60114"/>
    </row>
    <row r="60115" spans="23:23" x14ac:dyDescent="0.55000000000000004">
      <c r="W60115"/>
    </row>
    <row r="60116" spans="23:23" x14ac:dyDescent="0.55000000000000004">
      <c r="W60116"/>
    </row>
    <row r="60117" spans="23:23" x14ac:dyDescent="0.55000000000000004">
      <c r="W60117"/>
    </row>
    <row r="60118" spans="23:23" x14ac:dyDescent="0.55000000000000004">
      <c r="W60118"/>
    </row>
    <row r="60119" spans="23:23" x14ac:dyDescent="0.55000000000000004">
      <c r="W60119"/>
    </row>
    <row r="60120" spans="23:23" x14ac:dyDescent="0.55000000000000004">
      <c r="W60120"/>
    </row>
    <row r="60121" spans="23:23" x14ac:dyDescent="0.55000000000000004">
      <c r="W60121"/>
    </row>
    <row r="60122" spans="23:23" x14ac:dyDescent="0.55000000000000004">
      <c r="W60122"/>
    </row>
    <row r="60123" spans="23:23" x14ac:dyDescent="0.55000000000000004">
      <c r="W60123"/>
    </row>
    <row r="60124" spans="23:23" x14ac:dyDescent="0.55000000000000004">
      <c r="W60124"/>
    </row>
    <row r="60125" spans="23:23" x14ac:dyDescent="0.55000000000000004">
      <c r="W60125"/>
    </row>
    <row r="60126" spans="23:23" x14ac:dyDescent="0.55000000000000004">
      <c r="W60126"/>
    </row>
    <row r="60127" spans="23:23" x14ac:dyDescent="0.55000000000000004">
      <c r="W60127"/>
    </row>
    <row r="60128" spans="23:23" x14ac:dyDescent="0.55000000000000004">
      <c r="W60128"/>
    </row>
    <row r="60129" spans="23:23" x14ac:dyDescent="0.55000000000000004">
      <c r="W60129"/>
    </row>
    <row r="60130" spans="23:23" x14ac:dyDescent="0.55000000000000004">
      <c r="W60130"/>
    </row>
    <row r="60131" spans="23:23" x14ac:dyDescent="0.55000000000000004">
      <c r="W60131"/>
    </row>
    <row r="60132" spans="23:23" x14ac:dyDescent="0.55000000000000004">
      <c r="W60132"/>
    </row>
    <row r="60133" spans="23:23" x14ac:dyDescent="0.55000000000000004">
      <c r="W60133"/>
    </row>
    <row r="60134" spans="23:23" x14ac:dyDescent="0.55000000000000004">
      <c r="W60134"/>
    </row>
    <row r="60135" spans="23:23" x14ac:dyDescent="0.55000000000000004">
      <c r="W60135"/>
    </row>
    <row r="60136" spans="23:23" x14ac:dyDescent="0.55000000000000004">
      <c r="W60136"/>
    </row>
    <row r="60137" spans="23:23" x14ac:dyDescent="0.55000000000000004">
      <c r="W60137"/>
    </row>
    <row r="60138" spans="23:23" x14ac:dyDescent="0.55000000000000004">
      <c r="W60138"/>
    </row>
    <row r="60139" spans="23:23" x14ac:dyDescent="0.55000000000000004">
      <c r="W60139"/>
    </row>
    <row r="60140" spans="23:23" x14ac:dyDescent="0.55000000000000004">
      <c r="W60140"/>
    </row>
    <row r="60141" spans="23:23" x14ac:dyDescent="0.55000000000000004">
      <c r="W60141"/>
    </row>
    <row r="60142" spans="23:23" x14ac:dyDescent="0.55000000000000004">
      <c r="W60142"/>
    </row>
    <row r="60143" spans="23:23" x14ac:dyDescent="0.55000000000000004">
      <c r="W60143"/>
    </row>
    <row r="60144" spans="23:23" x14ac:dyDescent="0.55000000000000004">
      <c r="W60144"/>
    </row>
    <row r="60145" spans="23:23" x14ac:dyDescent="0.55000000000000004">
      <c r="W60145"/>
    </row>
    <row r="60146" spans="23:23" x14ac:dyDescent="0.55000000000000004">
      <c r="W60146"/>
    </row>
    <row r="60147" spans="23:23" x14ac:dyDescent="0.55000000000000004">
      <c r="W60147"/>
    </row>
    <row r="60148" spans="23:23" x14ac:dyDescent="0.55000000000000004">
      <c r="W60148"/>
    </row>
    <row r="60149" spans="23:23" x14ac:dyDescent="0.55000000000000004">
      <c r="W60149"/>
    </row>
    <row r="60150" spans="23:23" x14ac:dyDescent="0.55000000000000004">
      <c r="W60150"/>
    </row>
    <row r="60151" spans="23:23" x14ac:dyDescent="0.55000000000000004">
      <c r="W60151"/>
    </row>
    <row r="60152" spans="23:23" x14ac:dyDescent="0.55000000000000004">
      <c r="W60152"/>
    </row>
    <row r="60153" spans="23:23" x14ac:dyDescent="0.55000000000000004">
      <c r="W60153"/>
    </row>
    <row r="60154" spans="23:23" x14ac:dyDescent="0.55000000000000004">
      <c r="W60154"/>
    </row>
    <row r="60155" spans="23:23" x14ac:dyDescent="0.55000000000000004">
      <c r="W60155"/>
    </row>
    <row r="60156" spans="23:23" x14ac:dyDescent="0.55000000000000004">
      <c r="W60156"/>
    </row>
    <row r="60157" spans="23:23" x14ac:dyDescent="0.55000000000000004">
      <c r="W60157"/>
    </row>
    <row r="60158" spans="23:23" x14ac:dyDescent="0.55000000000000004">
      <c r="W60158"/>
    </row>
    <row r="60159" spans="23:23" x14ac:dyDescent="0.55000000000000004">
      <c r="W60159"/>
    </row>
    <row r="60160" spans="23:23" x14ac:dyDescent="0.55000000000000004">
      <c r="W60160"/>
    </row>
    <row r="60161" spans="23:23" x14ac:dyDescent="0.55000000000000004">
      <c r="W60161"/>
    </row>
    <row r="60162" spans="23:23" x14ac:dyDescent="0.55000000000000004">
      <c r="W60162"/>
    </row>
    <row r="60163" spans="23:23" x14ac:dyDescent="0.55000000000000004">
      <c r="W60163"/>
    </row>
    <row r="60164" spans="23:23" x14ac:dyDescent="0.55000000000000004">
      <c r="W60164"/>
    </row>
    <row r="60165" spans="23:23" x14ac:dyDescent="0.55000000000000004">
      <c r="W60165"/>
    </row>
    <row r="60166" spans="23:23" x14ac:dyDescent="0.55000000000000004">
      <c r="W60166"/>
    </row>
    <row r="60167" spans="23:23" x14ac:dyDescent="0.55000000000000004">
      <c r="W60167"/>
    </row>
    <row r="60168" spans="23:23" x14ac:dyDescent="0.55000000000000004">
      <c r="W60168"/>
    </row>
    <row r="60169" spans="23:23" x14ac:dyDescent="0.55000000000000004">
      <c r="W60169"/>
    </row>
    <row r="60170" spans="23:23" x14ac:dyDescent="0.55000000000000004">
      <c r="W60170"/>
    </row>
    <row r="60171" spans="23:23" x14ac:dyDescent="0.55000000000000004">
      <c r="W60171"/>
    </row>
    <row r="60172" spans="23:23" x14ac:dyDescent="0.55000000000000004">
      <c r="W60172"/>
    </row>
    <row r="60173" spans="23:23" x14ac:dyDescent="0.55000000000000004">
      <c r="W60173"/>
    </row>
    <row r="60174" spans="23:23" x14ac:dyDescent="0.55000000000000004">
      <c r="W60174"/>
    </row>
    <row r="60175" spans="23:23" x14ac:dyDescent="0.55000000000000004">
      <c r="W60175"/>
    </row>
    <row r="60176" spans="23:23" x14ac:dyDescent="0.55000000000000004">
      <c r="W60176"/>
    </row>
    <row r="60177" spans="23:23" x14ac:dyDescent="0.55000000000000004">
      <c r="W60177"/>
    </row>
    <row r="60178" spans="23:23" x14ac:dyDescent="0.55000000000000004">
      <c r="W60178"/>
    </row>
    <row r="60179" spans="23:23" x14ac:dyDescent="0.55000000000000004">
      <c r="W60179"/>
    </row>
    <row r="60180" spans="23:23" x14ac:dyDescent="0.55000000000000004">
      <c r="W60180"/>
    </row>
    <row r="60181" spans="23:23" x14ac:dyDescent="0.55000000000000004">
      <c r="W60181"/>
    </row>
    <row r="60182" spans="23:23" x14ac:dyDescent="0.55000000000000004">
      <c r="W60182"/>
    </row>
    <row r="60183" spans="23:23" x14ac:dyDescent="0.55000000000000004">
      <c r="W60183"/>
    </row>
    <row r="60184" spans="23:23" x14ac:dyDescent="0.55000000000000004">
      <c r="W60184"/>
    </row>
    <row r="60185" spans="23:23" x14ac:dyDescent="0.55000000000000004">
      <c r="W60185"/>
    </row>
    <row r="60186" spans="23:23" x14ac:dyDescent="0.55000000000000004">
      <c r="W60186"/>
    </row>
    <row r="60187" spans="23:23" x14ac:dyDescent="0.55000000000000004">
      <c r="W60187"/>
    </row>
    <row r="60188" spans="23:23" x14ac:dyDescent="0.55000000000000004">
      <c r="W60188"/>
    </row>
    <row r="60189" spans="23:23" x14ac:dyDescent="0.55000000000000004">
      <c r="W60189"/>
    </row>
    <row r="60190" spans="23:23" x14ac:dyDescent="0.55000000000000004">
      <c r="W60190"/>
    </row>
    <row r="60191" spans="23:23" x14ac:dyDescent="0.55000000000000004">
      <c r="W60191"/>
    </row>
    <row r="60192" spans="23:23" x14ac:dyDescent="0.55000000000000004">
      <c r="W60192"/>
    </row>
    <row r="60193" spans="23:23" x14ac:dyDescent="0.55000000000000004">
      <c r="W60193"/>
    </row>
    <row r="60194" spans="23:23" x14ac:dyDescent="0.55000000000000004">
      <c r="W60194"/>
    </row>
    <row r="60195" spans="23:23" x14ac:dyDescent="0.55000000000000004">
      <c r="W60195"/>
    </row>
    <row r="60196" spans="23:23" x14ac:dyDescent="0.55000000000000004">
      <c r="W60196"/>
    </row>
    <row r="60197" spans="23:23" x14ac:dyDescent="0.55000000000000004">
      <c r="W60197"/>
    </row>
    <row r="60198" spans="23:23" x14ac:dyDescent="0.55000000000000004">
      <c r="W60198"/>
    </row>
    <row r="60199" spans="23:23" x14ac:dyDescent="0.55000000000000004">
      <c r="W60199"/>
    </row>
    <row r="60200" spans="23:23" x14ac:dyDescent="0.55000000000000004">
      <c r="W60200"/>
    </row>
    <row r="60201" spans="23:23" x14ac:dyDescent="0.55000000000000004">
      <c r="W60201"/>
    </row>
    <row r="60202" spans="23:23" x14ac:dyDescent="0.55000000000000004">
      <c r="W60202"/>
    </row>
    <row r="60203" spans="23:23" x14ac:dyDescent="0.55000000000000004">
      <c r="W60203"/>
    </row>
    <row r="60204" spans="23:23" x14ac:dyDescent="0.55000000000000004">
      <c r="W60204"/>
    </row>
    <row r="60205" spans="23:23" x14ac:dyDescent="0.55000000000000004">
      <c r="W60205"/>
    </row>
    <row r="60206" spans="23:23" x14ac:dyDescent="0.55000000000000004">
      <c r="W60206"/>
    </row>
    <row r="60207" spans="23:23" x14ac:dyDescent="0.55000000000000004">
      <c r="W60207"/>
    </row>
    <row r="60208" spans="23:23" x14ac:dyDescent="0.55000000000000004">
      <c r="W60208"/>
    </row>
    <row r="60209" spans="23:23" x14ac:dyDescent="0.55000000000000004">
      <c r="W60209"/>
    </row>
    <row r="60210" spans="23:23" x14ac:dyDescent="0.55000000000000004">
      <c r="W60210"/>
    </row>
    <row r="60211" spans="23:23" x14ac:dyDescent="0.55000000000000004">
      <c r="W60211"/>
    </row>
    <row r="60212" spans="23:23" x14ac:dyDescent="0.55000000000000004">
      <c r="W60212"/>
    </row>
    <row r="60213" spans="23:23" x14ac:dyDescent="0.55000000000000004">
      <c r="W60213"/>
    </row>
    <row r="60214" spans="23:23" x14ac:dyDescent="0.55000000000000004">
      <c r="W60214"/>
    </row>
    <row r="60215" spans="23:23" x14ac:dyDescent="0.55000000000000004">
      <c r="W60215"/>
    </row>
    <row r="60216" spans="23:23" x14ac:dyDescent="0.55000000000000004">
      <c r="W60216"/>
    </row>
    <row r="60217" spans="23:23" x14ac:dyDescent="0.55000000000000004">
      <c r="W60217"/>
    </row>
    <row r="60218" spans="23:23" x14ac:dyDescent="0.55000000000000004">
      <c r="W60218"/>
    </row>
    <row r="60219" spans="23:23" x14ac:dyDescent="0.55000000000000004">
      <c r="W60219"/>
    </row>
    <row r="60220" spans="23:23" x14ac:dyDescent="0.55000000000000004">
      <c r="W60220"/>
    </row>
    <row r="60221" spans="23:23" x14ac:dyDescent="0.55000000000000004">
      <c r="W60221"/>
    </row>
    <row r="60222" spans="23:23" x14ac:dyDescent="0.55000000000000004">
      <c r="W60222"/>
    </row>
    <row r="60223" spans="23:23" x14ac:dyDescent="0.55000000000000004">
      <c r="W60223"/>
    </row>
    <row r="60224" spans="23:23" x14ac:dyDescent="0.55000000000000004">
      <c r="W60224"/>
    </row>
    <row r="60225" spans="23:23" x14ac:dyDescent="0.55000000000000004">
      <c r="W60225"/>
    </row>
    <row r="60226" spans="23:23" x14ac:dyDescent="0.55000000000000004">
      <c r="W60226"/>
    </row>
    <row r="60227" spans="23:23" x14ac:dyDescent="0.55000000000000004">
      <c r="W60227"/>
    </row>
    <row r="60228" spans="23:23" x14ac:dyDescent="0.55000000000000004">
      <c r="W60228"/>
    </row>
    <row r="60229" spans="23:23" x14ac:dyDescent="0.55000000000000004">
      <c r="W60229"/>
    </row>
    <row r="60230" spans="23:23" x14ac:dyDescent="0.55000000000000004">
      <c r="W60230"/>
    </row>
    <row r="60231" spans="23:23" x14ac:dyDescent="0.55000000000000004">
      <c r="W60231"/>
    </row>
    <row r="60232" spans="23:23" x14ac:dyDescent="0.55000000000000004">
      <c r="W60232"/>
    </row>
    <row r="60233" spans="23:23" x14ac:dyDescent="0.55000000000000004">
      <c r="W60233"/>
    </row>
    <row r="60234" spans="23:23" x14ac:dyDescent="0.55000000000000004">
      <c r="W60234"/>
    </row>
    <row r="60235" spans="23:23" x14ac:dyDescent="0.55000000000000004">
      <c r="W60235"/>
    </row>
    <row r="60236" spans="23:23" x14ac:dyDescent="0.55000000000000004">
      <c r="W60236"/>
    </row>
    <row r="60237" spans="23:23" x14ac:dyDescent="0.55000000000000004">
      <c r="W60237"/>
    </row>
    <row r="60238" spans="23:23" x14ac:dyDescent="0.55000000000000004">
      <c r="W60238"/>
    </row>
    <row r="60239" spans="23:23" x14ac:dyDescent="0.55000000000000004">
      <c r="W60239"/>
    </row>
    <row r="60240" spans="23:23" x14ac:dyDescent="0.55000000000000004">
      <c r="W60240"/>
    </row>
    <row r="60241" spans="23:23" x14ac:dyDescent="0.55000000000000004">
      <c r="W60241"/>
    </row>
    <row r="60242" spans="23:23" x14ac:dyDescent="0.55000000000000004">
      <c r="W60242"/>
    </row>
    <row r="60243" spans="23:23" x14ac:dyDescent="0.55000000000000004">
      <c r="W60243"/>
    </row>
    <row r="60244" spans="23:23" x14ac:dyDescent="0.55000000000000004">
      <c r="W60244"/>
    </row>
    <row r="60245" spans="23:23" x14ac:dyDescent="0.55000000000000004">
      <c r="W60245"/>
    </row>
    <row r="60246" spans="23:23" x14ac:dyDescent="0.55000000000000004">
      <c r="W60246"/>
    </row>
    <row r="60247" spans="23:23" x14ac:dyDescent="0.55000000000000004">
      <c r="W60247"/>
    </row>
    <row r="60248" spans="23:23" x14ac:dyDescent="0.55000000000000004">
      <c r="W60248"/>
    </row>
    <row r="60249" spans="23:23" x14ac:dyDescent="0.55000000000000004">
      <c r="W60249"/>
    </row>
    <row r="60250" spans="23:23" x14ac:dyDescent="0.55000000000000004">
      <c r="W60250"/>
    </row>
    <row r="60251" spans="23:23" x14ac:dyDescent="0.55000000000000004">
      <c r="W60251"/>
    </row>
    <row r="60252" spans="23:23" x14ac:dyDescent="0.55000000000000004">
      <c r="W60252"/>
    </row>
    <row r="60253" spans="23:23" x14ac:dyDescent="0.55000000000000004">
      <c r="W60253"/>
    </row>
    <row r="60254" spans="23:23" x14ac:dyDescent="0.55000000000000004">
      <c r="W60254"/>
    </row>
    <row r="60255" spans="23:23" x14ac:dyDescent="0.55000000000000004">
      <c r="W60255"/>
    </row>
    <row r="60256" spans="23:23" x14ac:dyDescent="0.55000000000000004">
      <c r="W60256"/>
    </row>
    <row r="60257" spans="23:23" x14ac:dyDescent="0.55000000000000004">
      <c r="W60257"/>
    </row>
    <row r="60258" spans="23:23" x14ac:dyDescent="0.55000000000000004">
      <c r="W60258"/>
    </row>
    <row r="60259" spans="23:23" x14ac:dyDescent="0.55000000000000004">
      <c r="W60259"/>
    </row>
    <row r="60260" spans="23:23" x14ac:dyDescent="0.55000000000000004">
      <c r="W60260"/>
    </row>
    <row r="60261" spans="23:23" x14ac:dyDescent="0.55000000000000004">
      <c r="W60261"/>
    </row>
    <row r="60262" spans="23:23" x14ac:dyDescent="0.55000000000000004">
      <c r="W60262"/>
    </row>
    <row r="60263" spans="23:23" x14ac:dyDescent="0.55000000000000004">
      <c r="W60263"/>
    </row>
    <row r="60264" spans="23:23" x14ac:dyDescent="0.55000000000000004">
      <c r="W60264"/>
    </row>
    <row r="60265" spans="23:23" x14ac:dyDescent="0.55000000000000004">
      <c r="W60265"/>
    </row>
    <row r="60266" spans="23:23" x14ac:dyDescent="0.55000000000000004">
      <c r="W60266"/>
    </row>
    <row r="60267" spans="23:23" x14ac:dyDescent="0.55000000000000004">
      <c r="W60267"/>
    </row>
    <row r="60268" spans="23:23" x14ac:dyDescent="0.55000000000000004">
      <c r="W60268"/>
    </row>
    <row r="60269" spans="23:23" x14ac:dyDescent="0.55000000000000004">
      <c r="W60269"/>
    </row>
    <row r="60270" spans="23:23" x14ac:dyDescent="0.55000000000000004">
      <c r="W60270"/>
    </row>
    <row r="60271" spans="23:23" x14ac:dyDescent="0.55000000000000004">
      <c r="W60271"/>
    </row>
    <row r="60272" spans="23:23" x14ac:dyDescent="0.55000000000000004">
      <c r="W60272"/>
    </row>
    <row r="60273" spans="23:23" x14ac:dyDescent="0.55000000000000004">
      <c r="W60273"/>
    </row>
    <row r="60274" spans="23:23" x14ac:dyDescent="0.55000000000000004">
      <c r="W60274"/>
    </row>
    <row r="60275" spans="23:23" x14ac:dyDescent="0.55000000000000004">
      <c r="W60275"/>
    </row>
    <row r="60276" spans="23:23" x14ac:dyDescent="0.55000000000000004">
      <c r="W60276"/>
    </row>
    <row r="60277" spans="23:23" x14ac:dyDescent="0.55000000000000004">
      <c r="W60277"/>
    </row>
    <row r="60278" spans="23:23" x14ac:dyDescent="0.55000000000000004">
      <c r="W60278"/>
    </row>
    <row r="60279" spans="23:23" x14ac:dyDescent="0.55000000000000004">
      <c r="W60279"/>
    </row>
    <row r="60280" spans="23:23" x14ac:dyDescent="0.55000000000000004">
      <c r="W60280"/>
    </row>
    <row r="60281" spans="23:23" x14ac:dyDescent="0.55000000000000004">
      <c r="W60281"/>
    </row>
    <row r="60282" spans="23:23" x14ac:dyDescent="0.55000000000000004">
      <c r="W60282"/>
    </row>
    <row r="60283" spans="23:23" x14ac:dyDescent="0.55000000000000004">
      <c r="W60283"/>
    </row>
    <row r="60284" spans="23:23" x14ac:dyDescent="0.55000000000000004">
      <c r="W60284"/>
    </row>
    <row r="60285" spans="23:23" x14ac:dyDescent="0.55000000000000004">
      <c r="W60285"/>
    </row>
    <row r="60286" spans="23:23" x14ac:dyDescent="0.55000000000000004">
      <c r="W60286"/>
    </row>
    <row r="60287" spans="23:23" x14ac:dyDescent="0.55000000000000004">
      <c r="W60287"/>
    </row>
    <row r="60288" spans="23:23" x14ac:dyDescent="0.55000000000000004">
      <c r="W60288"/>
    </row>
    <row r="60289" spans="23:23" x14ac:dyDescent="0.55000000000000004">
      <c r="W60289"/>
    </row>
    <row r="60290" spans="23:23" x14ac:dyDescent="0.55000000000000004">
      <c r="W60290"/>
    </row>
    <row r="60291" spans="23:23" x14ac:dyDescent="0.55000000000000004">
      <c r="W60291"/>
    </row>
    <row r="60292" spans="23:23" x14ac:dyDescent="0.55000000000000004">
      <c r="W60292"/>
    </row>
    <row r="60293" spans="23:23" x14ac:dyDescent="0.55000000000000004">
      <c r="W60293"/>
    </row>
    <row r="60294" spans="23:23" x14ac:dyDescent="0.55000000000000004">
      <c r="W60294"/>
    </row>
    <row r="60295" spans="23:23" x14ac:dyDescent="0.55000000000000004">
      <c r="W60295"/>
    </row>
    <row r="60296" spans="23:23" x14ac:dyDescent="0.55000000000000004">
      <c r="W60296"/>
    </row>
    <row r="60297" spans="23:23" x14ac:dyDescent="0.55000000000000004">
      <c r="W60297"/>
    </row>
    <row r="60298" spans="23:23" x14ac:dyDescent="0.55000000000000004">
      <c r="W60298"/>
    </row>
    <row r="60299" spans="23:23" x14ac:dyDescent="0.55000000000000004">
      <c r="W60299"/>
    </row>
    <row r="60300" spans="23:23" x14ac:dyDescent="0.55000000000000004">
      <c r="W60300"/>
    </row>
    <row r="60301" spans="23:23" x14ac:dyDescent="0.55000000000000004">
      <c r="W60301"/>
    </row>
    <row r="60302" spans="23:23" x14ac:dyDescent="0.55000000000000004">
      <c r="W60302"/>
    </row>
    <row r="60303" spans="23:23" x14ac:dyDescent="0.55000000000000004">
      <c r="W60303"/>
    </row>
    <row r="60304" spans="23:23" x14ac:dyDescent="0.55000000000000004">
      <c r="W60304"/>
    </row>
    <row r="60305" spans="23:23" x14ac:dyDescent="0.55000000000000004">
      <c r="W60305"/>
    </row>
    <row r="60306" spans="23:23" x14ac:dyDescent="0.55000000000000004">
      <c r="W60306"/>
    </row>
    <row r="60307" spans="23:23" x14ac:dyDescent="0.55000000000000004">
      <c r="W60307"/>
    </row>
    <row r="60308" spans="23:23" x14ac:dyDescent="0.55000000000000004">
      <c r="W60308"/>
    </row>
    <row r="60309" spans="23:23" x14ac:dyDescent="0.55000000000000004">
      <c r="W60309"/>
    </row>
    <row r="60310" spans="23:23" x14ac:dyDescent="0.55000000000000004">
      <c r="W60310"/>
    </row>
    <row r="60311" spans="23:23" x14ac:dyDescent="0.55000000000000004">
      <c r="W60311"/>
    </row>
    <row r="60312" spans="23:23" x14ac:dyDescent="0.55000000000000004">
      <c r="W60312"/>
    </row>
    <row r="60313" spans="23:23" x14ac:dyDescent="0.55000000000000004">
      <c r="W60313"/>
    </row>
    <row r="60314" spans="23:23" x14ac:dyDescent="0.55000000000000004">
      <c r="W60314"/>
    </row>
    <row r="60315" spans="23:23" x14ac:dyDescent="0.55000000000000004">
      <c r="W60315"/>
    </row>
    <row r="60316" spans="23:23" x14ac:dyDescent="0.55000000000000004">
      <c r="W60316"/>
    </row>
    <row r="60317" spans="23:23" x14ac:dyDescent="0.55000000000000004">
      <c r="W60317"/>
    </row>
    <row r="60318" spans="23:23" x14ac:dyDescent="0.55000000000000004">
      <c r="W60318"/>
    </row>
    <row r="60319" spans="23:23" x14ac:dyDescent="0.55000000000000004">
      <c r="W60319"/>
    </row>
    <row r="60320" spans="23:23" x14ac:dyDescent="0.55000000000000004">
      <c r="W60320"/>
    </row>
    <row r="60321" spans="23:23" x14ac:dyDescent="0.55000000000000004">
      <c r="W60321"/>
    </row>
    <row r="60322" spans="23:23" x14ac:dyDescent="0.55000000000000004">
      <c r="W60322"/>
    </row>
    <row r="60323" spans="23:23" x14ac:dyDescent="0.55000000000000004">
      <c r="W60323"/>
    </row>
    <row r="60324" spans="23:23" x14ac:dyDescent="0.55000000000000004">
      <c r="W60324"/>
    </row>
    <row r="60325" spans="23:23" x14ac:dyDescent="0.55000000000000004">
      <c r="W60325"/>
    </row>
    <row r="60326" spans="23:23" x14ac:dyDescent="0.55000000000000004">
      <c r="W60326"/>
    </row>
    <row r="60327" spans="23:23" x14ac:dyDescent="0.55000000000000004">
      <c r="W60327"/>
    </row>
    <row r="60328" spans="23:23" x14ac:dyDescent="0.55000000000000004">
      <c r="W60328"/>
    </row>
    <row r="60329" spans="23:23" x14ac:dyDescent="0.55000000000000004">
      <c r="W60329"/>
    </row>
    <row r="60330" spans="23:23" x14ac:dyDescent="0.55000000000000004">
      <c r="W60330"/>
    </row>
    <row r="60331" spans="23:23" x14ac:dyDescent="0.55000000000000004">
      <c r="W60331"/>
    </row>
    <row r="60332" spans="23:23" x14ac:dyDescent="0.55000000000000004">
      <c r="W60332"/>
    </row>
    <row r="60333" spans="23:23" x14ac:dyDescent="0.55000000000000004">
      <c r="W60333"/>
    </row>
    <row r="60334" spans="23:23" x14ac:dyDescent="0.55000000000000004">
      <c r="W60334"/>
    </row>
    <row r="60335" spans="23:23" x14ac:dyDescent="0.55000000000000004">
      <c r="W60335"/>
    </row>
    <row r="60336" spans="23:23" x14ac:dyDescent="0.55000000000000004">
      <c r="W60336"/>
    </row>
    <row r="60337" spans="23:23" x14ac:dyDescent="0.55000000000000004">
      <c r="W60337"/>
    </row>
    <row r="60338" spans="23:23" x14ac:dyDescent="0.55000000000000004">
      <c r="W60338"/>
    </row>
    <row r="60339" spans="23:23" x14ac:dyDescent="0.55000000000000004">
      <c r="W60339"/>
    </row>
    <row r="60340" spans="23:23" x14ac:dyDescent="0.55000000000000004">
      <c r="W60340"/>
    </row>
    <row r="60341" spans="23:23" x14ac:dyDescent="0.55000000000000004">
      <c r="W60341"/>
    </row>
    <row r="60342" spans="23:23" x14ac:dyDescent="0.55000000000000004">
      <c r="W60342"/>
    </row>
    <row r="60343" spans="23:23" x14ac:dyDescent="0.55000000000000004">
      <c r="W60343"/>
    </row>
    <row r="60344" spans="23:23" x14ac:dyDescent="0.55000000000000004">
      <c r="W60344"/>
    </row>
    <row r="60345" spans="23:23" x14ac:dyDescent="0.55000000000000004">
      <c r="W60345"/>
    </row>
    <row r="60346" spans="23:23" x14ac:dyDescent="0.55000000000000004">
      <c r="W60346"/>
    </row>
    <row r="60347" spans="23:23" x14ac:dyDescent="0.55000000000000004">
      <c r="W60347"/>
    </row>
    <row r="60348" spans="23:23" x14ac:dyDescent="0.55000000000000004">
      <c r="W60348"/>
    </row>
    <row r="60349" spans="23:23" x14ac:dyDescent="0.55000000000000004">
      <c r="W60349"/>
    </row>
    <row r="60350" spans="23:23" x14ac:dyDescent="0.55000000000000004">
      <c r="W60350"/>
    </row>
    <row r="60351" spans="23:23" x14ac:dyDescent="0.55000000000000004">
      <c r="W60351"/>
    </row>
    <row r="60352" spans="23:23" x14ac:dyDescent="0.55000000000000004">
      <c r="W60352"/>
    </row>
    <row r="60353" spans="23:23" x14ac:dyDescent="0.55000000000000004">
      <c r="W60353"/>
    </row>
    <row r="60354" spans="23:23" x14ac:dyDescent="0.55000000000000004">
      <c r="W60354"/>
    </row>
    <row r="60355" spans="23:23" x14ac:dyDescent="0.55000000000000004">
      <c r="W60355"/>
    </row>
    <row r="60356" spans="23:23" x14ac:dyDescent="0.55000000000000004">
      <c r="W60356"/>
    </row>
    <row r="60357" spans="23:23" x14ac:dyDescent="0.55000000000000004">
      <c r="W60357"/>
    </row>
    <row r="60358" spans="23:23" x14ac:dyDescent="0.55000000000000004">
      <c r="W60358"/>
    </row>
    <row r="60359" spans="23:23" x14ac:dyDescent="0.55000000000000004">
      <c r="W60359"/>
    </row>
    <row r="60360" spans="23:23" x14ac:dyDescent="0.55000000000000004">
      <c r="W60360"/>
    </row>
    <row r="60361" spans="23:23" x14ac:dyDescent="0.55000000000000004">
      <c r="W60361"/>
    </row>
    <row r="60362" spans="23:23" x14ac:dyDescent="0.55000000000000004">
      <c r="W60362"/>
    </row>
    <row r="60363" spans="23:23" x14ac:dyDescent="0.55000000000000004">
      <c r="W60363"/>
    </row>
    <row r="60364" spans="23:23" x14ac:dyDescent="0.55000000000000004">
      <c r="W60364"/>
    </row>
    <row r="60365" spans="23:23" x14ac:dyDescent="0.55000000000000004">
      <c r="W60365"/>
    </row>
    <row r="60366" spans="23:23" x14ac:dyDescent="0.55000000000000004">
      <c r="W60366"/>
    </row>
    <row r="60367" spans="23:23" x14ac:dyDescent="0.55000000000000004">
      <c r="W60367"/>
    </row>
    <row r="60368" spans="23:23" x14ac:dyDescent="0.55000000000000004">
      <c r="W60368"/>
    </row>
    <row r="60369" spans="23:23" x14ac:dyDescent="0.55000000000000004">
      <c r="W60369"/>
    </row>
    <row r="60370" spans="23:23" x14ac:dyDescent="0.55000000000000004">
      <c r="W60370"/>
    </row>
    <row r="60371" spans="23:23" x14ac:dyDescent="0.55000000000000004">
      <c r="W60371"/>
    </row>
    <row r="60372" spans="23:23" x14ac:dyDescent="0.55000000000000004">
      <c r="W60372"/>
    </row>
    <row r="60373" spans="23:23" x14ac:dyDescent="0.55000000000000004">
      <c r="W60373"/>
    </row>
    <row r="60374" spans="23:23" x14ac:dyDescent="0.55000000000000004">
      <c r="W60374"/>
    </row>
    <row r="60375" spans="23:23" x14ac:dyDescent="0.55000000000000004">
      <c r="W60375"/>
    </row>
    <row r="60376" spans="23:23" x14ac:dyDescent="0.55000000000000004">
      <c r="W60376"/>
    </row>
    <row r="60377" spans="23:23" x14ac:dyDescent="0.55000000000000004">
      <c r="W60377"/>
    </row>
    <row r="60378" spans="23:23" x14ac:dyDescent="0.55000000000000004">
      <c r="W60378"/>
    </row>
    <row r="60379" spans="23:23" x14ac:dyDescent="0.55000000000000004">
      <c r="W60379"/>
    </row>
    <row r="60380" spans="23:23" x14ac:dyDescent="0.55000000000000004">
      <c r="W60380"/>
    </row>
    <row r="60381" spans="23:23" x14ac:dyDescent="0.55000000000000004">
      <c r="W60381"/>
    </row>
    <row r="60382" spans="23:23" x14ac:dyDescent="0.55000000000000004">
      <c r="W60382"/>
    </row>
    <row r="60383" spans="23:23" x14ac:dyDescent="0.55000000000000004">
      <c r="W60383"/>
    </row>
    <row r="60384" spans="23:23" x14ac:dyDescent="0.55000000000000004">
      <c r="W60384"/>
    </row>
    <row r="60385" spans="23:23" x14ac:dyDescent="0.55000000000000004">
      <c r="W60385"/>
    </row>
    <row r="60386" spans="23:23" x14ac:dyDescent="0.55000000000000004">
      <c r="W60386"/>
    </row>
    <row r="60387" spans="23:23" x14ac:dyDescent="0.55000000000000004">
      <c r="W60387"/>
    </row>
    <row r="60388" spans="23:23" x14ac:dyDescent="0.55000000000000004">
      <c r="W60388"/>
    </row>
    <row r="60389" spans="23:23" x14ac:dyDescent="0.55000000000000004">
      <c r="W60389"/>
    </row>
    <row r="60390" spans="23:23" x14ac:dyDescent="0.55000000000000004">
      <c r="W60390"/>
    </row>
    <row r="60391" spans="23:23" x14ac:dyDescent="0.55000000000000004">
      <c r="W60391"/>
    </row>
    <row r="60392" spans="23:23" x14ac:dyDescent="0.55000000000000004">
      <c r="W60392"/>
    </row>
    <row r="60393" spans="23:23" x14ac:dyDescent="0.55000000000000004">
      <c r="W60393"/>
    </row>
    <row r="60394" spans="23:23" x14ac:dyDescent="0.55000000000000004">
      <c r="W60394"/>
    </row>
    <row r="60395" spans="23:23" x14ac:dyDescent="0.55000000000000004">
      <c r="W60395"/>
    </row>
    <row r="60396" spans="23:23" x14ac:dyDescent="0.55000000000000004">
      <c r="W60396"/>
    </row>
    <row r="60397" spans="23:23" x14ac:dyDescent="0.55000000000000004">
      <c r="W60397"/>
    </row>
    <row r="60398" spans="23:23" x14ac:dyDescent="0.55000000000000004">
      <c r="W60398"/>
    </row>
    <row r="60399" spans="23:23" x14ac:dyDescent="0.55000000000000004">
      <c r="W60399"/>
    </row>
    <row r="60400" spans="23:23" x14ac:dyDescent="0.55000000000000004">
      <c r="W60400"/>
    </row>
    <row r="60401" spans="23:23" x14ac:dyDescent="0.55000000000000004">
      <c r="W60401"/>
    </row>
    <row r="60402" spans="23:23" x14ac:dyDescent="0.55000000000000004">
      <c r="W60402"/>
    </row>
    <row r="60403" spans="23:23" x14ac:dyDescent="0.55000000000000004">
      <c r="W60403"/>
    </row>
    <row r="60404" spans="23:23" x14ac:dyDescent="0.55000000000000004">
      <c r="W60404"/>
    </row>
    <row r="60405" spans="23:23" x14ac:dyDescent="0.55000000000000004">
      <c r="W60405"/>
    </row>
    <row r="60406" spans="23:23" x14ac:dyDescent="0.55000000000000004">
      <c r="W60406"/>
    </row>
    <row r="60407" spans="23:23" x14ac:dyDescent="0.55000000000000004">
      <c r="W60407"/>
    </row>
    <row r="60408" spans="23:23" x14ac:dyDescent="0.55000000000000004">
      <c r="W60408"/>
    </row>
    <row r="60409" spans="23:23" x14ac:dyDescent="0.55000000000000004">
      <c r="W60409"/>
    </row>
    <row r="60410" spans="23:23" x14ac:dyDescent="0.55000000000000004">
      <c r="W60410"/>
    </row>
    <row r="60411" spans="23:23" x14ac:dyDescent="0.55000000000000004">
      <c r="W60411"/>
    </row>
    <row r="60412" spans="23:23" x14ac:dyDescent="0.55000000000000004">
      <c r="W60412"/>
    </row>
    <row r="60413" spans="23:23" x14ac:dyDescent="0.55000000000000004">
      <c r="W60413"/>
    </row>
    <row r="60414" spans="23:23" x14ac:dyDescent="0.55000000000000004">
      <c r="W60414"/>
    </row>
    <row r="60415" spans="23:23" x14ac:dyDescent="0.55000000000000004">
      <c r="W60415"/>
    </row>
    <row r="60416" spans="23:23" x14ac:dyDescent="0.55000000000000004">
      <c r="W60416"/>
    </row>
    <row r="60417" spans="23:23" x14ac:dyDescent="0.55000000000000004">
      <c r="W60417"/>
    </row>
    <row r="60418" spans="23:23" x14ac:dyDescent="0.55000000000000004">
      <c r="W60418"/>
    </row>
    <row r="60419" spans="23:23" x14ac:dyDescent="0.55000000000000004">
      <c r="W60419"/>
    </row>
    <row r="60420" spans="23:23" x14ac:dyDescent="0.55000000000000004">
      <c r="W60420"/>
    </row>
    <row r="60421" spans="23:23" x14ac:dyDescent="0.55000000000000004">
      <c r="W60421"/>
    </row>
    <row r="60422" spans="23:23" x14ac:dyDescent="0.55000000000000004">
      <c r="W60422"/>
    </row>
    <row r="60423" spans="23:23" x14ac:dyDescent="0.55000000000000004">
      <c r="W60423"/>
    </row>
    <row r="60424" spans="23:23" x14ac:dyDescent="0.55000000000000004">
      <c r="W60424"/>
    </row>
    <row r="60425" spans="23:23" x14ac:dyDescent="0.55000000000000004">
      <c r="W60425"/>
    </row>
    <row r="60426" spans="23:23" x14ac:dyDescent="0.55000000000000004">
      <c r="W60426"/>
    </row>
    <row r="60427" spans="23:23" x14ac:dyDescent="0.55000000000000004">
      <c r="W60427"/>
    </row>
    <row r="60428" spans="23:23" x14ac:dyDescent="0.55000000000000004">
      <c r="W60428"/>
    </row>
    <row r="60429" spans="23:23" x14ac:dyDescent="0.55000000000000004">
      <c r="W60429"/>
    </row>
    <row r="60430" spans="23:23" x14ac:dyDescent="0.55000000000000004">
      <c r="W60430"/>
    </row>
    <row r="60431" spans="23:23" x14ac:dyDescent="0.55000000000000004">
      <c r="W60431"/>
    </row>
    <row r="60432" spans="23:23" x14ac:dyDescent="0.55000000000000004">
      <c r="W60432"/>
    </row>
    <row r="60433" spans="23:23" x14ac:dyDescent="0.55000000000000004">
      <c r="W60433"/>
    </row>
    <row r="60434" spans="23:23" x14ac:dyDescent="0.55000000000000004">
      <c r="W60434"/>
    </row>
    <row r="60435" spans="23:23" x14ac:dyDescent="0.55000000000000004">
      <c r="W60435"/>
    </row>
    <row r="60436" spans="23:23" x14ac:dyDescent="0.55000000000000004">
      <c r="W60436"/>
    </row>
    <row r="60437" spans="23:23" x14ac:dyDescent="0.55000000000000004">
      <c r="W60437"/>
    </row>
    <row r="60438" spans="23:23" x14ac:dyDescent="0.55000000000000004">
      <c r="W60438"/>
    </row>
    <row r="60439" spans="23:23" x14ac:dyDescent="0.55000000000000004">
      <c r="W60439"/>
    </row>
    <row r="60440" spans="23:23" x14ac:dyDescent="0.55000000000000004">
      <c r="W60440"/>
    </row>
    <row r="60441" spans="23:23" x14ac:dyDescent="0.55000000000000004">
      <c r="W60441"/>
    </row>
    <row r="60442" spans="23:23" x14ac:dyDescent="0.55000000000000004">
      <c r="W60442"/>
    </row>
    <row r="60443" spans="23:23" x14ac:dyDescent="0.55000000000000004">
      <c r="W60443"/>
    </row>
    <row r="60444" spans="23:23" x14ac:dyDescent="0.55000000000000004">
      <c r="W60444"/>
    </row>
    <row r="60445" spans="23:23" x14ac:dyDescent="0.55000000000000004">
      <c r="W60445"/>
    </row>
    <row r="60446" spans="23:23" x14ac:dyDescent="0.55000000000000004">
      <c r="W60446"/>
    </row>
    <row r="60447" spans="23:23" x14ac:dyDescent="0.55000000000000004">
      <c r="W60447"/>
    </row>
    <row r="60448" spans="23:23" x14ac:dyDescent="0.55000000000000004">
      <c r="W60448"/>
    </row>
    <row r="60449" spans="23:23" x14ac:dyDescent="0.55000000000000004">
      <c r="W60449"/>
    </row>
    <row r="60450" spans="23:23" x14ac:dyDescent="0.55000000000000004">
      <c r="W60450"/>
    </row>
    <row r="60451" spans="23:23" x14ac:dyDescent="0.55000000000000004">
      <c r="W60451"/>
    </row>
    <row r="60452" spans="23:23" x14ac:dyDescent="0.55000000000000004">
      <c r="W60452"/>
    </row>
    <row r="60453" spans="23:23" x14ac:dyDescent="0.55000000000000004">
      <c r="W60453"/>
    </row>
    <row r="60454" spans="23:23" x14ac:dyDescent="0.55000000000000004">
      <c r="W60454"/>
    </row>
    <row r="60455" spans="23:23" x14ac:dyDescent="0.55000000000000004">
      <c r="W60455"/>
    </row>
    <row r="60456" spans="23:23" x14ac:dyDescent="0.55000000000000004">
      <c r="W60456"/>
    </row>
    <row r="60457" spans="23:23" x14ac:dyDescent="0.55000000000000004">
      <c r="W60457"/>
    </row>
    <row r="60458" spans="23:23" x14ac:dyDescent="0.55000000000000004">
      <c r="W60458"/>
    </row>
    <row r="60459" spans="23:23" x14ac:dyDescent="0.55000000000000004">
      <c r="W60459"/>
    </row>
    <row r="60460" spans="23:23" x14ac:dyDescent="0.55000000000000004">
      <c r="W60460"/>
    </row>
    <row r="60461" spans="23:23" x14ac:dyDescent="0.55000000000000004">
      <c r="W60461"/>
    </row>
    <row r="60462" spans="23:23" x14ac:dyDescent="0.55000000000000004">
      <c r="W60462"/>
    </row>
    <row r="60463" spans="23:23" x14ac:dyDescent="0.55000000000000004">
      <c r="W60463"/>
    </row>
    <row r="60464" spans="23:23" x14ac:dyDescent="0.55000000000000004">
      <c r="W60464"/>
    </row>
    <row r="60465" spans="23:23" x14ac:dyDescent="0.55000000000000004">
      <c r="W60465"/>
    </row>
    <row r="60466" spans="23:23" x14ac:dyDescent="0.55000000000000004">
      <c r="W60466"/>
    </row>
    <row r="60467" spans="23:23" x14ac:dyDescent="0.55000000000000004">
      <c r="W60467"/>
    </row>
    <row r="60468" spans="23:23" x14ac:dyDescent="0.55000000000000004">
      <c r="W60468"/>
    </row>
    <row r="60469" spans="23:23" x14ac:dyDescent="0.55000000000000004">
      <c r="W60469"/>
    </row>
    <row r="60470" spans="23:23" x14ac:dyDescent="0.55000000000000004">
      <c r="W60470"/>
    </row>
    <row r="60471" spans="23:23" x14ac:dyDescent="0.55000000000000004">
      <c r="W60471"/>
    </row>
    <row r="60472" spans="23:23" x14ac:dyDescent="0.55000000000000004">
      <c r="W60472"/>
    </row>
    <row r="60473" spans="23:23" x14ac:dyDescent="0.55000000000000004">
      <c r="W60473"/>
    </row>
    <row r="60474" spans="23:23" x14ac:dyDescent="0.55000000000000004">
      <c r="W60474"/>
    </row>
    <row r="60475" spans="23:23" x14ac:dyDescent="0.55000000000000004">
      <c r="W60475"/>
    </row>
    <row r="60476" spans="23:23" x14ac:dyDescent="0.55000000000000004">
      <c r="W60476"/>
    </row>
    <row r="60477" spans="23:23" x14ac:dyDescent="0.55000000000000004">
      <c r="W60477"/>
    </row>
    <row r="60478" spans="23:23" x14ac:dyDescent="0.55000000000000004">
      <c r="W60478"/>
    </row>
    <row r="60479" spans="23:23" x14ac:dyDescent="0.55000000000000004">
      <c r="W60479"/>
    </row>
    <row r="60480" spans="23:23" x14ac:dyDescent="0.55000000000000004">
      <c r="W60480"/>
    </row>
    <row r="60481" spans="23:23" x14ac:dyDescent="0.55000000000000004">
      <c r="W60481"/>
    </row>
    <row r="60482" spans="23:23" x14ac:dyDescent="0.55000000000000004">
      <c r="W60482"/>
    </row>
    <row r="60483" spans="23:23" x14ac:dyDescent="0.55000000000000004">
      <c r="W60483"/>
    </row>
    <row r="60484" spans="23:23" x14ac:dyDescent="0.55000000000000004">
      <c r="W60484"/>
    </row>
    <row r="60485" spans="23:23" x14ac:dyDescent="0.55000000000000004">
      <c r="W60485"/>
    </row>
    <row r="60486" spans="23:23" x14ac:dyDescent="0.55000000000000004">
      <c r="W60486"/>
    </row>
    <row r="60487" spans="23:23" x14ac:dyDescent="0.55000000000000004">
      <c r="W60487"/>
    </row>
    <row r="60488" spans="23:23" x14ac:dyDescent="0.55000000000000004">
      <c r="W60488"/>
    </row>
    <row r="60489" spans="23:23" x14ac:dyDescent="0.55000000000000004">
      <c r="W60489"/>
    </row>
    <row r="60490" spans="23:23" x14ac:dyDescent="0.55000000000000004">
      <c r="W60490"/>
    </row>
    <row r="60491" spans="23:23" x14ac:dyDescent="0.55000000000000004">
      <c r="W60491"/>
    </row>
    <row r="60492" spans="23:23" x14ac:dyDescent="0.55000000000000004">
      <c r="W60492"/>
    </row>
    <row r="60493" spans="23:23" x14ac:dyDescent="0.55000000000000004">
      <c r="W60493"/>
    </row>
    <row r="60494" spans="23:23" x14ac:dyDescent="0.55000000000000004">
      <c r="W60494"/>
    </row>
    <row r="60495" spans="23:23" x14ac:dyDescent="0.55000000000000004">
      <c r="W60495"/>
    </row>
    <row r="60496" spans="23:23" x14ac:dyDescent="0.55000000000000004">
      <c r="W60496"/>
    </row>
    <row r="60497" spans="23:23" x14ac:dyDescent="0.55000000000000004">
      <c r="W60497"/>
    </row>
    <row r="60498" spans="23:23" x14ac:dyDescent="0.55000000000000004">
      <c r="W60498"/>
    </row>
    <row r="60499" spans="23:23" x14ac:dyDescent="0.55000000000000004">
      <c r="W60499"/>
    </row>
    <row r="60500" spans="23:23" x14ac:dyDescent="0.55000000000000004">
      <c r="W60500"/>
    </row>
    <row r="60501" spans="23:23" x14ac:dyDescent="0.55000000000000004">
      <c r="W60501"/>
    </row>
    <row r="60502" spans="23:23" x14ac:dyDescent="0.55000000000000004">
      <c r="W60502"/>
    </row>
    <row r="60503" spans="23:23" x14ac:dyDescent="0.55000000000000004">
      <c r="W60503"/>
    </row>
    <row r="60504" spans="23:23" x14ac:dyDescent="0.55000000000000004">
      <c r="W60504"/>
    </row>
    <row r="60505" spans="23:23" x14ac:dyDescent="0.55000000000000004">
      <c r="W60505"/>
    </row>
    <row r="60506" spans="23:23" x14ac:dyDescent="0.55000000000000004">
      <c r="W60506"/>
    </row>
    <row r="60507" spans="23:23" x14ac:dyDescent="0.55000000000000004">
      <c r="W60507"/>
    </row>
    <row r="60508" spans="23:23" x14ac:dyDescent="0.55000000000000004">
      <c r="W60508"/>
    </row>
    <row r="60509" spans="23:23" x14ac:dyDescent="0.55000000000000004">
      <c r="W60509"/>
    </row>
    <row r="60510" spans="23:23" x14ac:dyDescent="0.55000000000000004">
      <c r="W60510"/>
    </row>
    <row r="60511" spans="23:23" x14ac:dyDescent="0.55000000000000004">
      <c r="W60511"/>
    </row>
    <row r="60512" spans="23:23" x14ac:dyDescent="0.55000000000000004">
      <c r="W60512"/>
    </row>
    <row r="60513" spans="23:23" x14ac:dyDescent="0.55000000000000004">
      <c r="W60513"/>
    </row>
    <row r="60514" spans="23:23" x14ac:dyDescent="0.55000000000000004">
      <c r="W60514"/>
    </row>
    <row r="60515" spans="23:23" x14ac:dyDescent="0.55000000000000004">
      <c r="W60515"/>
    </row>
    <row r="60516" spans="23:23" x14ac:dyDescent="0.55000000000000004">
      <c r="W60516"/>
    </row>
    <row r="60517" spans="23:23" x14ac:dyDescent="0.55000000000000004">
      <c r="W60517"/>
    </row>
    <row r="60518" spans="23:23" x14ac:dyDescent="0.55000000000000004">
      <c r="W60518"/>
    </row>
    <row r="60519" spans="23:23" x14ac:dyDescent="0.55000000000000004">
      <c r="W60519"/>
    </row>
    <row r="60520" spans="23:23" x14ac:dyDescent="0.55000000000000004">
      <c r="W60520"/>
    </row>
    <row r="60521" spans="23:23" x14ac:dyDescent="0.55000000000000004">
      <c r="W60521"/>
    </row>
    <row r="60522" spans="23:23" x14ac:dyDescent="0.55000000000000004">
      <c r="W60522"/>
    </row>
    <row r="60523" spans="23:23" x14ac:dyDescent="0.55000000000000004">
      <c r="W60523"/>
    </row>
    <row r="60524" spans="23:23" x14ac:dyDescent="0.55000000000000004">
      <c r="W60524"/>
    </row>
    <row r="60525" spans="23:23" x14ac:dyDescent="0.55000000000000004">
      <c r="W60525"/>
    </row>
    <row r="60526" spans="23:23" x14ac:dyDescent="0.55000000000000004">
      <c r="W60526"/>
    </row>
    <row r="60527" spans="23:23" x14ac:dyDescent="0.55000000000000004">
      <c r="W60527"/>
    </row>
    <row r="60528" spans="23:23" x14ac:dyDescent="0.55000000000000004">
      <c r="W60528"/>
    </row>
    <row r="60529" spans="23:23" x14ac:dyDescent="0.55000000000000004">
      <c r="W60529"/>
    </row>
    <row r="60530" spans="23:23" x14ac:dyDescent="0.55000000000000004">
      <c r="W60530"/>
    </row>
    <row r="60531" spans="23:23" x14ac:dyDescent="0.55000000000000004">
      <c r="W60531"/>
    </row>
    <row r="60532" spans="23:23" x14ac:dyDescent="0.55000000000000004">
      <c r="W60532"/>
    </row>
    <row r="60533" spans="23:23" x14ac:dyDescent="0.55000000000000004">
      <c r="W60533"/>
    </row>
    <row r="60534" spans="23:23" x14ac:dyDescent="0.55000000000000004">
      <c r="W60534"/>
    </row>
    <row r="60535" spans="23:23" x14ac:dyDescent="0.55000000000000004">
      <c r="W60535"/>
    </row>
    <row r="60536" spans="23:23" x14ac:dyDescent="0.55000000000000004">
      <c r="W60536"/>
    </row>
    <row r="60537" spans="23:23" x14ac:dyDescent="0.55000000000000004">
      <c r="W60537"/>
    </row>
    <row r="60538" spans="23:23" x14ac:dyDescent="0.55000000000000004">
      <c r="W60538"/>
    </row>
    <row r="60539" spans="23:23" x14ac:dyDescent="0.55000000000000004">
      <c r="W60539"/>
    </row>
    <row r="60540" spans="23:23" x14ac:dyDescent="0.55000000000000004">
      <c r="W60540"/>
    </row>
    <row r="60541" spans="23:23" x14ac:dyDescent="0.55000000000000004">
      <c r="W60541"/>
    </row>
    <row r="60542" spans="23:23" x14ac:dyDescent="0.55000000000000004">
      <c r="W60542"/>
    </row>
    <row r="60543" spans="23:23" x14ac:dyDescent="0.55000000000000004">
      <c r="W60543"/>
    </row>
    <row r="60544" spans="23:23" x14ac:dyDescent="0.55000000000000004">
      <c r="W60544"/>
    </row>
    <row r="60545" spans="23:23" x14ac:dyDescent="0.55000000000000004">
      <c r="W60545"/>
    </row>
    <row r="60546" spans="23:23" x14ac:dyDescent="0.55000000000000004">
      <c r="W60546"/>
    </row>
    <row r="60547" spans="23:23" x14ac:dyDescent="0.55000000000000004">
      <c r="W60547"/>
    </row>
    <row r="60548" spans="23:23" x14ac:dyDescent="0.55000000000000004">
      <c r="W60548"/>
    </row>
    <row r="60549" spans="23:23" x14ac:dyDescent="0.55000000000000004">
      <c r="W60549"/>
    </row>
    <row r="60550" spans="23:23" x14ac:dyDescent="0.55000000000000004">
      <c r="W60550"/>
    </row>
    <row r="60551" spans="23:23" x14ac:dyDescent="0.55000000000000004">
      <c r="W60551"/>
    </row>
    <row r="60552" spans="23:23" x14ac:dyDescent="0.55000000000000004">
      <c r="W60552"/>
    </row>
    <row r="60553" spans="23:23" x14ac:dyDescent="0.55000000000000004">
      <c r="W60553"/>
    </row>
    <row r="60554" spans="23:23" x14ac:dyDescent="0.55000000000000004">
      <c r="W60554"/>
    </row>
    <row r="60555" spans="23:23" x14ac:dyDescent="0.55000000000000004">
      <c r="W60555"/>
    </row>
    <row r="60556" spans="23:23" x14ac:dyDescent="0.55000000000000004">
      <c r="W60556"/>
    </row>
    <row r="60557" spans="23:23" x14ac:dyDescent="0.55000000000000004">
      <c r="W60557"/>
    </row>
    <row r="60558" spans="23:23" x14ac:dyDescent="0.55000000000000004">
      <c r="W60558"/>
    </row>
    <row r="60559" spans="23:23" x14ac:dyDescent="0.55000000000000004">
      <c r="W60559"/>
    </row>
    <row r="60560" spans="23:23" x14ac:dyDescent="0.55000000000000004">
      <c r="W60560"/>
    </row>
    <row r="60561" spans="23:23" x14ac:dyDescent="0.55000000000000004">
      <c r="W60561"/>
    </row>
    <row r="60562" spans="23:23" x14ac:dyDescent="0.55000000000000004">
      <c r="W60562"/>
    </row>
    <row r="60563" spans="23:23" x14ac:dyDescent="0.55000000000000004">
      <c r="W60563"/>
    </row>
    <row r="60564" spans="23:23" x14ac:dyDescent="0.55000000000000004">
      <c r="W60564"/>
    </row>
    <row r="60565" spans="23:23" x14ac:dyDescent="0.55000000000000004">
      <c r="W60565"/>
    </row>
    <row r="60566" spans="23:23" x14ac:dyDescent="0.55000000000000004">
      <c r="W60566"/>
    </row>
    <row r="60567" spans="23:23" x14ac:dyDescent="0.55000000000000004">
      <c r="W60567"/>
    </row>
    <row r="60568" spans="23:23" x14ac:dyDescent="0.55000000000000004">
      <c r="W60568"/>
    </row>
    <row r="60569" spans="23:23" x14ac:dyDescent="0.55000000000000004">
      <c r="W60569"/>
    </row>
    <row r="60570" spans="23:23" x14ac:dyDescent="0.55000000000000004">
      <c r="W60570"/>
    </row>
    <row r="60571" spans="23:23" x14ac:dyDescent="0.55000000000000004">
      <c r="W60571"/>
    </row>
    <row r="60572" spans="23:23" x14ac:dyDescent="0.55000000000000004">
      <c r="W60572"/>
    </row>
    <row r="60573" spans="23:23" x14ac:dyDescent="0.55000000000000004">
      <c r="W60573"/>
    </row>
    <row r="60574" spans="23:23" x14ac:dyDescent="0.55000000000000004">
      <c r="W60574"/>
    </row>
    <row r="60575" spans="23:23" x14ac:dyDescent="0.55000000000000004">
      <c r="W60575"/>
    </row>
    <row r="60576" spans="23:23" x14ac:dyDescent="0.55000000000000004">
      <c r="W60576"/>
    </row>
    <row r="60577" spans="23:23" x14ac:dyDescent="0.55000000000000004">
      <c r="W60577"/>
    </row>
    <row r="60578" spans="23:23" x14ac:dyDescent="0.55000000000000004">
      <c r="W60578"/>
    </row>
    <row r="60579" spans="23:23" x14ac:dyDescent="0.55000000000000004">
      <c r="W60579"/>
    </row>
    <row r="60580" spans="23:23" x14ac:dyDescent="0.55000000000000004">
      <c r="W60580"/>
    </row>
    <row r="60581" spans="23:23" x14ac:dyDescent="0.55000000000000004">
      <c r="W60581"/>
    </row>
    <row r="60582" spans="23:23" x14ac:dyDescent="0.55000000000000004">
      <c r="W60582"/>
    </row>
    <row r="60583" spans="23:23" x14ac:dyDescent="0.55000000000000004">
      <c r="W60583"/>
    </row>
    <row r="60584" spans="23:23" x14ac:dyDescent="0.55000000000000004">
      <c r="W60584"/>
    </row>
    <row r="60585" spans="23:23" x14ac:dyDescent="0.55000000000000004">
      <c r="W60585"/>
    </row>
    <row r="60586" spans="23:23" x14ac:dyDescent="0.55000000000000004">
      <c r="W60586"/>
    </row>
    <row r="60587" spans="23:23" x14ac:dyDescent="0.55000000000000004">
      <c r="W60587"/>
    </row>
    <row r="60588" spans="23:23" x14ac:dyDescent="0.55000000000000004">
      <c r="W60588"/>
    </row>
    <row r="60589" spans="23:23" x14ac:dyDescent="0.55000000000000004">
      <c r="W60589"/>
    </row>
    <row r="60590" spans="23:23" x14ac:dyDescent="0.55000000000000004">
      <c r="W60590"/>
    </row>
    <row r="60591" spans="23:23" x14ac:dyDescent="0.55000000000000004">
      <c r="W60591"/>
    </row>
    <row r="60592" spans="23:23" x14ac:dyDescent="0.55000000000000004">
      <c r="W60592"/>
    </row>
    <row r="60593" spans="23:23" x14ac:dyDescent="0.55000000000000004">
      <c r="W60593"/>
    </row>
    <row r="60594" spans="23:23" x14ac:dyDescent="0.55000000000000004">
      <c r="W60594"/>
    </row>
    <row r="60595" spans="23:23" x14ac:dyDescent="0.55000000000000004">
      <c r="W60595"/>
    </row>
    <row r="60596" spans="23:23" x14ac:dyDescent="0.55000000000000004">
      <c r="W60596"/>
    </row>
    <row r="60597" spans="23:23" x14ac:dyDescent="0.55000000000000004">
      <c r="W60597"/>
    </row>
    <row r="60598" spans="23:23" x14ac:dyDescent="0.55000000000000004">
      <c r="W60598"/>
    </row>
    <row r="60599" spans="23:23" x14ac:dyDescent="0.55000000000000004">
      <c r="W60599"/>
    </row>
    <row r="60600" spans="23:23" x14ac:dyDescent="0.55000000000000004">
      <c r="W60600"/>
    </row>
    <row r="60601" spans="23:23" x14ac:dyDescent="0.55000000000000004">
      <c r="W60601"/>
    </row>
    <row r="60602" spans="23:23" x14ac:dyDescent="0.55000000000000004">
      <c r="W60602"/>
    </row>
    <row r="60603" spans="23:23" x14ac:dyDescent="0.55000000000000004">
      <c r="W60603"/>
    </row>
    <row r="60604" spans="23:23" x14ac:dyDescent="0.55000000000000004">
      <c r="W60604"/>
    </row>
    <row r="60605" spans="23:23" x14ac:dyDescent="0.55000000000000004">
      <c r="W60605"/>
    </row>
    <row r="60606" spans="23:23" x14ac:dyDescent="0.55000000000000004">
      <c r="W60606"/>
    </row>
    <row r="60607" spans="23:23" x14ac:dyDescent="0.55000000000000004">
      <c r="W60607"/>
    </row>
    <row r="60608" spans="23:23" x14ac:dyDescent="0.55000000000000004">
      <c r="W60608"/>
    </row>
    <row r="60609" spans="23:23" x14ac:dyDescent="0.55000000000000004">
      <c r="W60609"/>
    </row>
    <row r="60610" spans="23:23" x14ac:dyDescent="0.55000000000000004">
      <c r="W60610"/>
    </row>
    <row r="60611" spans="23:23" x14ac:dyDescent="0.55000000000000004">
      <c r="W60611"/>
    </row>
    <row r="60612" spans="23:23" x14ac:dyDescent="0.55000000000000004">
      <c r="W60612"/>
    </row>
    <row r="60613" spans="23:23" x14ac:dyDescent="0.55000000000000004">
      <c r="W60613"/>
    </row>
    <row r="60614" spans="23:23" x14ac:dyDescent="0.55000000000000004">
      <c r="W60614"/>
    </row>
    <row r="60615" spans="23:23" x14ac:dyDescent="0.55000000000000004">
      <c r="W60615"/>
    </row>
    <row r="60616" spans="23:23" x14ac:dyDescent="0.55000000000000004">
      <c r="W60616"/>
    </row>
    <row r="60617" spans="23:23" x14ac:dyDescent="0.55000000000000004">
      <c r="W60617"/>
    </row>
    <row r="60618" spans="23:23" x14ac:dyDescent="0.55000000000000004">
      <c r="W60618"/>
    </row>
    <row r="60619" spans="23:23" x14ac:dyDescent="0.55000000000000004">
      <c r="W60619"/>
    </row>
    <row r="60620" spans="23:23" x14ac:dyDescent="0.55000000000000004">
      <c r="W60620"/>
    </row>
    <row r="60621" spans="23:23" x14ac:dyDescent="0.55000000000000004">
      <c r="W60621"/>
    </row>
    <row r="60622" spans="23:23" x14ac:dyDescent="0.55000000000000004">
      <c r="W60622"/>
    </row>
    <row r="60623" spans="23:23" x14ac:dyDescent="0.55000000000000004">
      <c r="W60623"/>
    </row>
    <row r="60624" spans="23:23" x14ac:dyDescent="0.55000000000000004">
      <c r="W60624"/>
    </row>
    <row r="60625" spans="23:23" x14ac:dyDescent="0.55000000000000004">
      <c r="W60625"/>
    </row>
    <row r="60626" spans="23:23" x14ac:dyDescent="0.55000000000000004">
      <c r="W60626"/>
    </row>
    <row r="60627" spans="23:23" x14ac:dyDescent="0.55000000000000004">
      <c r="W60627"/>
    </row>
    <row r="60628" spans="23:23" x14ac:dyDescent="0.55000000000000004">
      <c r="W60628"/>
    </row>
    <row r="60629" spans="23:23" x14ac:dyDescent="0.55000000000000004">
      <c r="W60629"/>
    </row>
    <row r="60630" spans="23:23" x14ac:dyDescent="0.55000000000000004">
      <c r="W60630"/>
    </row>
    <row r="60631" spans="23:23" x14ac:dyDescent="0.55000000000000004">
      <c r="W60631"/>
    </row>
    <row r="60632" spans="23:23" x14ac:dyDescent="0.55000000000000004">
      <c r="W60632"/>
    </row>
    <row r="60633" spans="23:23" x14ac:dyDescent="0.55000000000000004">
      <c r="W60633"/>
    </row>
    <row r="60634" spans="23:23" x14ac:dyDescent="0.55000000000000004">
      <c r="W60634"/>
    </row>
    <row r="60635" spans="23:23" x14ac:dyDescent="0.55000000000000004">
      <c r="W60635"/>
    </row>
    <row r="60636" spans="23:23" x14ac:dyDescent="0.55000000000000004">
      <c r="W60636"/>
    </row>
    <row r="60637" spans="23:23" x14ac:dyDescent="0.55000000000000004">
      <c r="W60637"/>
    </row>
    <row r="60638" spans="23:23" x14ac:dyDescent="0.55000000000000004">
      <c r="W60638"/>
    </row>
    <row r="60639" spans="23:23" x14ac:dyDescent="0.55000000000000004">
      <c r="W60639"/>
    </row>
    <row r="60640" spans="23:23" x14ac:dyDescent="0.55000000000000004">
      <c r="W60640"/>
    </row>
    <row r="60641" spans="23:23" x14ac:dyDescent="0.55000000000000004">
      <c r="W60641"/>
    </row>
    <row r="60642" spans="23:23" x14ac:dyDescent="0.55000000000000004">
      <c r="W60642"/>
    </row>
    <row r="60643" spans="23:23" x14ac:dyDescent="0.55000000000000004">
      <c r="W60643"/>
    </row>
    <row r="60644" spans="23:23" x14ac:dyDescent="0.55000000000000004">
      <c r="W60644"/>
    </row>
    <row r="60645" spans="23:23" x14ac:dyDescent="0.55000000000000004">
      <c r="W60645"/>
    </row>
    <row r="60646" spans="23:23" x14ac:dyDescent="0.55000000000000004">
      <c r="W60646"/>
    </row>
    <row r="60647" spans="23:23" x14ac:dyDescent="0.55000000000000004">
      <c r="W60647"/>
    </row>
    <row r="60648" spans="23:23" x14ac:dyDescent="0.55000000000000004">
      <c r="W60648"/>
    </row>
    <row r="60649" spans="23:23" x14ac:dyDescent="0.55000000000000004">
      <c r="W60649"/>
    </row>
    <row r="60650" spans="23:23" x14ac:dyDescent="0.55000000000000004">
      <c r="W60650"/>
    </row>
    <row r="60651" spans="23:23" x14ac:dyDescent="0.55000000000000004">
      <c r="W60651"/>
    </row>
    <row r="60652" spans="23:23" x14ac:dyDescent="0.55000000000000004">
      <c r="W60652"/>
    </row>
    <row r="60653" spans="23:23" x14ac:dyDescent="0.55000000000000004">
      <c r="W60653"/>
    </row>
    <row r="60654" spans="23:23" x14ac:dyDescent="0.55000000000000004">
      <c r="W60654"/>
    </row>
    <row r="60655" spans="23:23" x14ac:dyDescent="0.55000000000000004">
      <c r="W60655"/>
    </row>
    <row r="60656" spans="23:23" x14ac:dyDescent="0.55000000000000004">
      <c r="W60656"/>
    </row>
    <row r="60657" spans="23:23" x14ac:dyDescent="0.55000000000000004">
      <c r="W60657"/>
    </row>
    <row r="60658" spans="23:23" x14ac:dyDescent="0.55000000000000004">
      <c r="W60658"/>
    </row>
    <row r="60659" spans="23:23" x14ac:dyDescent="0.55000000000000004">
      <c r="W60659"/>
    </row>
    <row r="60660" spans="23:23" x14ac:dyDescent="0.55000000000000004">
      <c r="W60660"/>
    </row>
    <row r="60661" spans="23:23" x14ac:dyDescent="0.55000000000000004">
      <c r="W60661"/>
    </row>
    <row r="60662" spans="23:23" x14ac:dyDescent="0.55000000000000004">
      <c r="W60662"/>
    </row>
    <row r="60663" spans="23:23" x14ac:dyDescent="0.55000000000000004">
      <c r="W60663"/>
    </row>
    <row r="60664" spans="23:23" x14ac:dyDescent="0.55000000000000004">
      <c r="W60664"/>
    </row>
    <row r="60665" spans="23:23" x14ac:dyDescent="0.55000000000000004">
      <c r="W60665"/>
    </row>
    <row r="60666" spans="23:23" x14ac:dyDescent="0.55000000000000004">
      <c r="W60666"/>
    </row>
    <row r="60667" spans="23:23" x14ac:dyDescent="0.55000000000000004">
      <c r="W60667"/>
    </row>
    <row r="60668" spans="23:23" x14ac:dyDescent="0.55000000000000004">
      <c r="W60668"/>
    </row>
    <row r="60669" spans="23:23" x14ac:dyDescent="0.55000000000000004">
      <c r="W60669"/>
    </row>
    <row r="60670" spans="23:23" x14ac:dyDescent="0.55000000000000004">
      <c r="W60670"/>
    </row>
    <row r="60671" spans="23:23" x14ac:dyDescent="0.55000000000000004">
      <c r="W60671"/>
    </row>
    <row r="60672" spans="23:23" x14ac:dyDescent="0.55000000000000004">
      <c r="W60672"/>
    </row>
    <row r="60673" spans="23:23" x14ac:dyDescent="0.55000000000000004">
      <c r="W60673"/>
    </row>
    <row r="60674" spans="23:23" x14ac:dyDescent="0.55000000000000004">
      <c r="W60674"/>
    </row>
    <row r="60675" spans="23:23" x14ac:dyDescent="0.55000000000000004">
      <c r="W60675"/>
    </row>
    <row r="60676" spans="23:23" x14ac:dyDescent="0.55000000000000004">
      <c r="W60676"/>
    </row>
    <row r="60677" spans="23:23" x14ac:dyDescent="0.55000000000000004">
      <c r="W60677"/>
    </row>
    <row r="60678" spans="23:23" x14ac:dyDescent="0.55000000000000004">
      <c r="W60678"/>
    </row>
    <row r="60679" spans="23:23" x14ac:dyDescent="0.55000000000000004">
      <c r="W60679"/>
    </row>
    <row r="60680" spans="23:23" x14ac:dyDescent="0.55000000000000004">
      <c r="W60680"/>
    </row>
    <row r="60681" spans="23:23" x14ac:dyDescent="0.55000000000000004">
      <c r="W60681"/>
    </row>
    <row r="60682" spans="23:23" x14ac:dyDescent="0.55000000000000004">
      <c r="W60682"/>
    </row>
    <row r="60683" spans="23:23" x14ac:dyDescent="0.55000000000000004">
      <c r="W60683"/>
    </row>
    <row r="60684" spans="23:23" x14ac:dyDescent="0.55000000000000004">
      <c r="W60684"/>
    </row>
    <row r="60685" spans="23:23" x14ac:dyDescent="0.55000000000000004">
      <c r="W60685"/>
    </row>
    <row r="60686" spans="23:23" x14ac:dyDescent="0.55000000000000004">
      <c r="W60686"/>
    </row>
    <row r="60687" spans="23:23" x14ac:dyDescent="0.55000000000000004">
      <c r="W60687"/>
    </row>
    <row r="60688" spans="23:23" x14ac:dyDescent="0.55000000000000004">
      <c r="W60688"/>
    </row>
    <row r="60689" spans="23:23" x14ac:dyDescent="0.55000000000000004">
      <c r="W60689"/>
    </row>
    <row r="60690" spans="23:23" x14ac:dyDescent="0.55000000000000004">
      <c r="W60690"/>
    </row>
    <row r="60691" spans="23:23" x14ac:dyDescent="0.55000000000000004">
      <c r="W60691"/>
    </row>
    <row r="60692" spans="23:23" x14ac:dyDescent="0.55000000000000004">
      <c r="W60692"/>
    </row>
    <row r="60693" spans="23:23" x14ac:dyDescent="0.55000000000000004">
      <c r="W60693"/>
    </row>
    <row r="60694" spans="23:23" x14ac:dyDescent="0.55000000000000004">
      <c r="W60694"/>
    </row>
    <row r="60695" spans="23:23" x14ac:dyDescent="0.55000000000000004">
      <c r="W60695"/>
    </row>
    <row r="60696" spans="23:23" x14ac:dyDescent="0.55000000000000004">
      <c r="W60696"/>
    </row>
    <row r="60697" spans="23:23" x14ac:dyDescent="0.55000000000000004">
      <c r="W60697"/>
    </row>
    <row r="60698" spans="23:23" x14ac:dyDescent="0.55000000000000004">
      <c r="W60698"/>
    </row>
    <row r="60699" spans="23:23" x14ac:dyDescent="0.55000000000000004">
      <c r="W60699"/>
    </row>
    <row r="60700" spans="23:23" x14ac:dyDescent="0.55000000000000004">
      <c r="W60700"/>
    </row>
    <row r="60701" spans="23:23" x14ac:dyDescent="0.55000000000000004">
      <c r="W60701"/>
    </row>
    <row r="60702" spans="23:23" x14ac:dyDescent="0.55000000000000004">
      <c r="W60702"/>
    </row>
    <row r="60703" spans="23:23" x14ac:dyDescent="0.55000000000000004">
      <c r="W60703"/>
    </row>
    <row r="60704" spans="23:23" x14ac:dyDescent="0.55000000000000004">
      <c r="W60704"/>
    </row>
    <row r="60705" spans="23:23" x14ac:dyDescent="0.55000000000000004">
      <c r="W60705"/>
    </row>
    <row r="60706" spans="23:23" x14ac:dyDescent="0.55000000000000004">
      <c r="W60706"/>
    </row>
    <row r="60707" spans="23:23" x14ac:dyDescent="0.55000000000000004">
      <c r="W60707"/>
    </row>
    <row r="60708" spans="23:23" x14ac:dyDescent="0.55000000000000004">
      <c r="W60708"/>
    </row>
    <row r="60709" spans="23:23" x14ac:dyDescent="0.55000000000000004">
      <c r="W60709"/>
    </row>
    <row r="60710" spans="23:23" x14ac:dyDescent="0.55000000000000004">
      <c r="W60710"/>
    </row>
    <row r="60711" spans="23:23" x14ac:dyDescent="0.55000000000000004">
      <c r="W60711"/>
    </row>
    <row r="60712" spans="23:23" x14ac:dyDescent="0.55000000000000004">
      <c r="W60712"/>
    </row>
    <row r="60713" spans="23:23" x14ac:dyDescent="0.55000000000000004">
      <c r="W60713"/>
    </row>
    <row r="60714" spans="23:23" x14ac:dyDescent="0.55000000000000004">
      <c r="W60714"/>
    </row>
    <row r="60715" spans="23:23" x14ac:dyDescent="0.55000000000000004">
      <c r="W60715"/>
    </row>
    <row r="60716" spans="23:23" x14ac:dyDescent="0.55000000000000004">
      <c r="W60716"/>
    </row>
    <row r="60717" spans="23:23" x14ac:dyDescent="0.55000000000000004">
      <c r="W60717"/>
    </row>
    <row r="60718" spans="23:23" x14ac:dyDescent="0.55000000000000004">
      <c r="W60718"/>
    </row>
    <row r="60719" spans="23:23" x14ac:dyDescent="0.55000000000000004">
      <c r="W60719"/>
    </row>
    <row r="60720" spans="23:23" x14ac:dyDescent="0.55000000000000004">
      <c r="W60720"/>
    </row>
    <row r="60721" spans="23:23" x14ac:dyDescent="0.55000000000000004">
      <c r="W60721"/>
    </row>
    <row r="60722" spans="23:23" x14ac:dyDescent="0.55000000000000004">
      <c r="W60722"/>
    </row>
    <row r="60723" spans="23:23" x14ac:dyDescent="0.55000000000000004">
      <c r="W60723"/>
    </row>
    <row r="60724" spans="23:23" x14ac:dyDescent="0.55000000000000004">
      <c r="W60724"/>
    </row>
    <row r="60725" spans="23:23" x14ac:dyDescent="0.55000000000000004">
      <c r="W60725"/>
    </row>
    <row r="60726" spans="23:23" x14ac:dyDescent="0.55000000000000004">
      <c r="W60726"/>
    </row>
    <row r="60727" spans="23:23" x14ac:dyDescent="0.55000000000000004">
      <c r="W60727"/>
    </row>
    <row r="60728" spans="23:23" x14ac:dyDescent="0.55000000000000004">
      <c r="W60728"/>
    </row>
    <row r="60729" spans="23:23" x14ac:dyDescent="0.55000000000000004">
      <c r="W60729"/>
    </row>
    <row r="60730" spans="23:23" x14ac:dyDescent="0.55000000000000004">
      <c r="W60730"/>
    </row>
    <row r="60731" spans="23:23" x14ac:dyDescent="0.55000000000000004">
      <c r="W60731"/>
    </row>
    <row r="60732" spans="23:23" x14ac:dyDescent="0.55000000000000004">
      <c r="W60732"/>
    </row>
    <row r="60733" spans="23:23" x14ac:dyDescent="0.55000000000000004">
      <c r="W60733"/>
    </row>
    <row r="60734" spans="23:23" x14ac:dyDescent="0.55000000000000004">
      <c r="W60734"/>
    </row>
    <row r="60735" spans="23:23" x14ac:dyDescent="0.55000000000000004">
      <c r="W60735"/>
    </row>
    <row r="60736" spans="23:23" x14ac:dyDescent="0.55000000000000004">
      <c r="W60736"/>
    </row>
    <row r="60737" spans="23:23" x14ac:dyDescent="0.55000000000000004">
      <c r="W60737"/>
    </row>
    <row r="60738" spans="23:23" x14ac:dyDescent="0.55000000000000004">
      <c r="W60738"/>
    </row>
    <row r="60739" spans="23:23" x14ac:dyDescent="0.55000000000000004">
      <c r="W60739"/>
    </row>
    <row r="60740" spans="23:23" x14ac:dyDescent="0.55000000000000004">
      <c r="W60740"/>
    </row>
    <row r="60741" spans="23:23" x14ac:dyDescent="0.55000000000000004">
      <c r="W60741"/>
    </row>
    <row r="60742" spans="23:23" x14ac:dyDescent="0.55000000000000004">
      <c r="W60742"/>
    </row>
    <row r="60743" spans="23:23" x14ac:dyDescent="0.55000000000000004">
      <c r="W60743"/>
    </row>
    <row r="60744" spans="23:23" x14ac:dyDescent="0.55000000000000004">
      <c r="W60744"/>
    </row>
    <row r="60745" spans="23:23" x14ac:dyDescent="0.55000000000000004">
      <c r="W60745"/>
    </row>
    <row r="60746" spans="23:23" x14ac:dyDescent="0.55000000000000004">
      <c r="W60746"/>
    </row>
    <row r="60747" spans="23:23" x14ac:dyDescent="0.55000000000000004">
      <c r="W60747"/>
    </row>
    <row r="60748" spans="23:23" x14ac:dyDescent="0.55000000000000004">
      <c r="W60748"/>
    </row>
    <row r="60749" spans="23:23" x14ac:dyDescent="0.55000000000000004">
      <c r="W60749"/>
    </row>
    <row r="60750" spans="23:23" x14ac:dyDescent="0.55000000000000004">
      <c r="W60750"/>
    </row>
    <row r="60751" spans="23:23" x14ac:dyDescent="0.55000000000000004">
      <c r="W60751"/>
    </row>
    <row r="60752" spans="23:23" x14ac:dyDescent="0.55000000000000004">
      <c r="W60752"/>
    </row>
    <row r="60753" spans="23:23" x14ac:dyDescent="0.55000000000000004">
      <c r="W60753"/>
    </row>
    <row r="60754" spans="23:23" x14ac:dyDescent="0.55000000000000004">
      <c r="W60754"/>
    </row>
    <row r="60755" spans="23:23" x14ac:dyDescent="0.55000000000000004">
      <c r="W60755"/>
    </row>
    <row r="60756" spans="23:23" x14ac:dyDescent="0.55000000000000004">
      <c r="W60756"/>
    </row>
    <row r="60757" spans="23:23" x14ac:dyDescent="0.55000000000000004">
      <c r="W60757"/>
    </row>
    <row r="60758" spans="23:23" x14ac:dyDescent="0.55000000000000004">
      <c r="W60758"/>
    </row>
    <row r="60759" spans="23:23" x14ac:dyDescent="0.55000000000000004">
      <c r="W60759"/>
    </row>
    <row r="60760" spans="23:23" x14ac:dyDescent="0.55000000000000004">
      <c r="W60760"/>
    </row>
    <row r="60761" spans="23:23" x14ac:dyDescent="0.55000000000000004">
      <c r="W60761"/>
    </row>
    <row r="60762" spans="23:23" x14ac:dyDescent="0.55000000000000004">
      <c r="W60762"/>
    </row>
    <row r="60763" spans="23:23" x14ac:dyDescent="0.55000000000000004">
      <c r="W60763"/>
    </row>
    <row r="60764" spans="23:23" x14ac:dyDescent="0.55000000000000004">
      <c r="W60764"/>
    </row>
    <row r="60765" spans="23:23" x14ac:dyDescent="0.55000000000000004">
      <c r="W60765"/>
    </row>
    <row r="60766" spans="23:23" x14ac:dyDescent="0.55000000000000004">
      <c r="W60766"/>
    </row>
    <row r="60767" spans="23:23" x14ac:dyDescent="0.55000000000000004">
      <c r="W60767"/>
    </row>
    <row r="60768" spans="23:23" x14ac:dyDescent="0.55000000000000004">
      <c r="W60768"/>
    </row>
    <row r="60769" spans="23:23" x14ac:dyDescent="0.55000000000000004">
      <c r="W60769"/>
    </row>
    <row r="60770" spans="23:23" x14ac:dyDescent="0.55000000000000004">
      <c r="W60770"/>
    </row>
    <row r="60771" spans="23:23" x14ac:dyDescent="0.55000000000000004">
      <c r="W60771"/>
    </row>
    <row r="60772" spans="23:23" x14ac:dyDescent="0.55000000000000004">
      <c r="W60772"/>
    </row>
    <row r="60773" spans="23:23" x14ac:dyDescent="0.55000000000000004">
      <c r="W60773"/>
    </row>
    <row r="60774" spans="23:23" x14ac:dyDescent="0.55000000000000004">
      <c r="W60774"/>
    </row>
    <row r="60775" spans="23:23" x14ac:dyDescent="0.55000000000000004">
      <c r="W60775"/>
    </row>
    <row r="60776" spans="23:23" x14ac:dyDescent="0.55000000000000004">
      <c r="W60776"/>
    </row>
    <row r="60777" spans="23:23" x14ac:dyDescent="0.55000000000000004">
      <c r="W60777"/>
    </row>
    <row r="60778" spans="23:23" x14ac:dyDescent="0.55000000000000004">
      <c r="W60778"/>
    </row>
    <row r="60779" spans="23:23" x14ac:dyDescent="0.55000000000000004">
      <c r="W60779"/>
    </row>
    <row r="60780" spans="23:23" x14ac:dyDescent="0.55000000000000004">
      <c r="W60780"/>
    </row>
    <row r="60781" spans="23:23" x14ac:dyDescent="0.55000000000000004">
      <c r="W60781"/>
    </row>
    <row r="60782" spans="23:23" x14ac:dyDescent="0.55000000000000004">
      <c r="W60782"/>
    </row>
    <row r="60783" spans="23:23" x14ac:dyDescent="0.55000000000000004">
      <c r="W60783"/>
    </row>
    <row r="60784" spans="23:23" x14ac:dyDescent="0.55000000000000004">
      <c r="W60784"/>
    </row>
    <row r="60785" spans="23:23" x14ac:dyDescent="0.55000000000000004">
      <c r="W60785"/>
    </row>
    <row r="60786" spans="23:23" x14ac:dyDescent="0.55000000000000004">
      <c r="W60786"/>
    </row>
    <row r="60787" spans="23:23" x14ac:dyDescent="0.55000000000000004">
      <c r="W60787"/>
    </row>
    <row r="60788" spans="23:23" x14ac:dyDescent="0.55000000000000004">
      <c r="W60788"/>
    </row>
    <row r="60789" spans="23:23" x14ac:dyDescent="0.55000000000000004">
      <c r="W60789"/>
    </row>
    <row r="60790" spans="23:23" x14ac:dyDescent="0.55000000000000004">
      <c r="W60790"/>
    </row>
    <row r="60791" spans="23:23" x14ac:dyDescent="0.55000000000000004">
      <c r="W60791"/>
    </row>
    <row r="60792" spans="23:23" x14ac:dyDescent="0.55000000000000004">
      <c r="W60792"/>
    </row>
    <row r="60793" spans="23:23" x14ac:dyDescent="0.55000000000000004">
      <c r="W60793"/>
    </row>
    <row r="60794" spans="23:23" x14ac:dyDescent="0.55000000000000004">
      <c r="W60794"/>
    </row>
    <row r="60795" spans="23:23" x14ac:dyDescent="0.55000000000000004">
      <c r="W60795"/>
    </row>
    <row r="60796" spans="23:23" x14ac:dyDescent="0.55000000000000004">
      <c r="W60796"/>
    </row>
    <row r="60797" spans="23:23" x14ac:dyDescent="0.55000000000000004">
      <c r="W60797"/>
    </row>
    <row r="60798" spans="23:23" x14ac:dyDescent="0.55000000000000004">
      <c r="W60798"/>
    </row>
    <row r="60799" spans="23:23" x14ac:dyDescent="0.55000000000000004">
      <c r="W60799"/>
    </row>
    <row r="60800" spans="23:23" x14ac:dyDescent="0.55000000000000004">
      <c r="W60800"/>
    </row>
    <row r="60801" spans="23:23" x14ac:dyDescent="0.55000000000000004">
      <c r="W60801"/>
    </row>
    <row r="60802" spans="23:23" x14ac:dyDescent="0.55000000000000004">
      <c r="W60802"/>
    </row>
    <row r="60803" spans="23:23" x14ac:dyDescent="0.55000000000000004">
      <c r="W60803"/>
    </row>
    <row r="60804" spans="23:23" x14ac:dyDescent="0.55000000000000004">
      <c r="W60804"/>
    </row>
    <row r="60805" spans="23:23" x14ac:dyDescent="0.55000000000000004">
      <c r="W60805"/>
    </row>
    <row r="60806" spans="23:23" x14ac:dyDescent="0.55000000000000004">
      <c r="W60806"/>
    </row>
    <row r="60807" spans="23:23" x14ac:dyDescent="0.55000000000000004">
      <c r="W60807"/>
    </row>
    <row r="60808" spans="23:23" x14ac:dyDescent="0.55000000000000004">
      <c r="W60808"/>
    </row>
    <row r="60809" spans="23:23" x14ac:dyDescent="0.55000000000000004">
      <c r="W60809"/>
    </row>
    <row r="60810" spans="23:23" x14ac:dyDescent="0.55000000000000004">
      <c r="W60810"/>
    </row>
    <row r="60811" spans="23:23" x14ac:dyDescent="0.55000000000000004">
      <c r="W60811"/>
    </row>
    <row r="60812" spans="23:23" x14ac:dyDescent="0.55000000000000004">
      <c r="W60812"/>
    </row>
    <row r="60813" spans="23:23" x14ac:dyDescent="0.55000000000000004">
      <c r="W60813"/>
    </row>
    <row r="60814" spans="23:23" x14ac:dyDescent="0.55000000000000004">
      <c r="W60814"/>
    </row>
    <row r="60815" spans="23:23" x14ac:dyDescent="0.55000000000000004">
      <c r="W60815"/>
    </row>
    <row r="60816" spans="23:23" x14ac:dyDescent="0.55000000000000004">
      <c r="W60816"/>
    </row>
    <row r="60817" spans="23:23" x14ac:dyDescent="0.55000000000000004">
      <c r="W60817"/>
    </row>
    <row r="60818" spans="23:23" x14ac:dyDescent="0.55000000000000004">
      <c r="W60818"/>
    </row>
    <row r="60819" spans="23:23" x14ac:dyDescent="0.55000000000000004">
      <c r="W60819"/>
    </row>
    <row r="60820" spans="23:23" x14ac:dyDescent="0.55000000000000004">
      <c r="W60820"/>
    </row>
    <row r="60821" spans="23:23" x14ac:dyDescent="0.55000000000000004">
      <c r="W60821"/>
    </row>
    <row r="60822" spans="23:23" x14ac:dyDescent="0.55000000000000004">
      <c r="W60822"/>
    </row>
    <row r="60823" spans="23:23" x14ac:dyDescent="0.55000000000000004">
      <c r="W60823"/>
    </row>
    <row r="60824" spans="23:23" x14ac:dyDescent="0.55000000000000004">
      <c r="W60824"/>
    </row>
    <row r="60825" spans="23:23" x14ac:dyDescent="0.55000000000000004">
      <c r="W60825"/>
    </row>
    <row r="60826" spans="23:23" x14ac:dyDescent="0.55000000000000004">
      <c r="W60826"/>
    </row>
    <row r="60827" spans="23:23" x14ac:dyDescent="0.55000000000000004">
      <c r="W60827"/>
    </row>
    <row r="60828" spans="23:23" x14ac:dyDescent="0.55000000000000004">
      <c r="W60828"/>
    </row>
    <row r="60829" spans="23:23" x14ac:dyDescent="0.55000000000000004">
      <c r="W60829"/>
    </row>
    <row r="60830" spans="23:23" x14ac:dyDescent="0.55000000000000004">
      <c r="W60830"/>
    </row>
    <row r="60831" spans="23:23" x14ac:dyDescent="0.55000000000000004">
      <c r="W60831"/>
    </row>
    <row r="60832" spans="23:23" x14ac:dyDescent="0.55000000000000004">
      <c r="W60832"/>
    </row>
    <row r="60833" spans="23:23" x14ac:dyDescent="0.55000000000000004">
      <c r="W60833"/>
    </row>
    <row r="60834" spans="23:23" x14ac:dyDescent="0.55000000000000004">
      <c r="W60834"/>
    </row>
    <row r="60835" spans="23:23" x14ac:dyDescent="0.55000000000000004">
      <c r="W60835"/>
    </row>
    <row r="60836" spans="23:23" x14ac:dyDescent="0.55000000000000004">
      <c r="W60836"/>
    </row>
    <row r="60837" spans="23:23" x14ac:dyDescent="0.55000000000000004">
      <c r="W60837"/>
    </row>
    <row r="60838" spans="23:23" x14ac:dyDescent="0.55000000000000004">
      <c r="W60838"/>
    </row>
    <row r="60839" spans="23:23" x14ac:dyDescent="0.55000000000000004">
      <c r="W60839"/>
    </row>
    <row r="60840" spans="23:23" x14ac:dyDescent="0.55000000000000004">
      <c r="W60840"/>
    </row>
    <row r="60841" spans="23:23" x14ac:dyDescent="0.55000000000000004">
      <c r="W60841"/>
    </row>
    <row r="60842" spans="23:23" x14ac:dyDescent="0.55000000000000004">
      <c r="W60842"/>
    </row>
    <row r="60843" spans="23:23" x14ac:dyDescent="0.55000000000000004">
      <c r="W60843"/>
    </row>
    <row r="60844" spans="23:23" x14ac:dyDescent="0.55000000000000004">
      <c r="W60844"/>
    </row>
    <row r="60845" spans="23:23" x14ac:dyDescent="0.55000000000000004">
      <c r="W60845"/>
    </row>
    <row r="60846" spans="23:23" x14ac:dyDescent="0.55000000000000004">
      <c r="W60846"/>
    </row>
    <row r="60847" spans="23:23" x14ac:dyDescent="0.55000000000000004">
      <c r="W60847"/>
    </row>
    <row r="60848" spans="23:23" x14ac:dyDescent="0.55000000000000004">
      <c r="W60848"/>
    </row>
    <row r="60849" spans="23:23" x14ac:dyDescent="0.55000000000000004">
      <c r="W60849"/>
    </row>
    <row r="60850" spans="23:23" x14ac:dyDescent="0.55000000000000004">
      <c r="W60850"/>
    </row>
    <row r="60851" spans="23:23" x14ac:dyDescent="0.55000000000000004">
      <c r="W60851"/>
    </row>
    <row r="60852" spans="23:23" x14ac:dyDescent="0.55000000000000004">
      <c r="W60852"/>
    </row>
    <row r="60853" spans="23:23" x14ac:dyDescent="0.55000000000000004">
      <c r="W60853"/>
    </row>
    <row r="60854" spans="23:23" x14ac:dyDescent="0.55000000000000004">
      <c r="W60854"/>
    </row>
    <row r="60855" spans="23:23" x14ac:dyDescent="0.55000000000000004">
      <c r="W60855"/>
    </row>
    <row r="60856" spans="23:23" x14ac:dyDescent="0.55000000000000004">
      <c r="W60856"/>
    </row>
    <row r="60857" spans="23:23" x14ac:dyDescent="0.55000000000000004">
      <c r="W60857"/>
    </row>
    <row r="60858" spans="23:23" x14ac:dyDescent="0.55000000000000004">
      <c r="W60858"/>
    </row>
    <row r="60859" spans="23:23" x14ac:dyDescent="0.55000000000000004">
      <c r="W60859"/>
    </row>
    <row r="60860" spans="23:23" x14ac:dyDescent="0.55000000000000004">
      <c r="W60860"/>
    </row>
    <row r="60861" spans="23:23" x14ac:dyDescent="0.55000000000000004">
      <c r="W60861"/>
    </row>
    <row r="60862" spans="23:23" x14ac:dyDescent="0.55000000000000004">
      <c r="W60862"/>
    </row>
    <row r="60863" spans="23:23" x14ac:dyDescent="0.55000000000000004">
      <c r="W60863"/>
    </row>
    <row r="60864" spans="23:23" x14ac:dyDescent="0.55000000000000004">
      <c r="W60864"/>
    </row>
    <row r="60865" spans="23:23" x14ac:dyDescent="0.55000000000000004">
      <c r="W60865"/>
    </row>
    <row r="60866" spans="23:23" x14ac:dyDescent="0.55000000000000004">
      <c r="W60866"/>
    </row>
    <row r="60867" spans="23:23" x14ac:dyDescent="0.55000000000000004">
      <c r="W60867"/>
    </row>
    <row r="60868" spans="23:23" x14ac:dyDescent="0.55000000000000004">
      <c r="W60868"/>
    </row>
    <row r="60869" spans="23:23" x14ac:dyDescent="0.55000000000000004">
      <c r="W60869"/>
    </row>
    <row r="60870" spans="23:23" x14ac:dyDescent="0.55000000000000004">
      <c r="W60870"/>
    </row>
    <row r="60871" spans="23:23" x14ac:dyDescent="0.55000000000000004">
      <c r="W60871"/>
    </row>
    <row r="60872" spans="23:23" x14ac:dyDescent="0.55000000000000004">
      <c r="W60872"/>
    </row>
    <row r="60873" spans="23:23" x14ac:dyDescent="0.55000000000000004">
      <c r="W60873"/>
    </row>
    <row r="60874" spans="23:23" x14ac:dyDescent="0.55000000000000004">
      <c r="W60874"/>
    </row>
    <row r="60875" spans="23:23" x14ac:dyDescent="0.55000000000000004">
      <c r="W60875"/>
    </row>
    <row r="60876" spans="23:23" x14ac:dyDescent="0.55000000000000004">
      <c r="W60876"/>
    </row>
    <row r="60877" spans="23:23" x14ac:dyDescent="0.55000000000000004">
      <c r="W60877"/>
    </row>
    <row r="60878" spans="23:23" x14ac:dyDescent="0.55000000000000004">
      <c r="W60878"/>
    </row>
    <row r="60879" spans="23:23" x14ac:dyDescent="0.55000000000000004">
      <c r="W60879"/>
    </row>
    <row r="60880" spans="23:23" x14ac:dyDescent="0.55000000000000004">
      <c r="W60880"/>
    </row>
    <row r="60881" spans="23:23" x14ac:dyDescent="0.55000000000000004">
      <c r="W60881"/>
    </row>
    <row r="60882" spans="23:23" x14ac:dyDescent="0.55000000000000004">
      <c r="W60882"/>
    </row>
    <row r="60883" spans="23:23" x14ac:dyDescent="0.55000000000000004">
      <c r="W60883"/>
    </row>
    <row r="60884" spans="23:23" x14ac:dyDescent="0.55000000000000004">
      <c r="W60884"/>
    </row>
    <row r="60885" spans="23:23" x14ac:dyDescent="0.55000000000000004">
      <c r="W60885"/>
    </row>
    <row r="60886" spans="23:23" x14ac:dyDescent="0.55000000000000004">
      <c r="W60886"/>
    </row>
    <row r="60887" spans="23:23" x14ac:dyDescent="0.55000000000000004">
      <c r="W60887"/>
    </row>
    <row r="60888" spans="23:23" x14ac:dyDescent="0.55000000000000004">
      <c r="W60888"/>
    </row>
    <row r="60889" spans="23:23" x14ac:dyDescent="0.55000000000000004">
      <c r="W60889"/>
    </row>
    <row r="60890" spans="23:23" x14ac:dyDescent="0.55000000000000004">
      <c r="W60890"/>
    </row>
    <row r="60891" spans="23:23" x14ac:dyDescent="0.55000000000000004">
      <c r="W60891"/>
    </row>
    <row r="60892" spans="23:23" x14ac:dyDescent="0.55000000000000004">
      <c r="W60892"/>
    </row>
    <row r="60893" spans="23:23" x14ac:dyDescent="0.55000000000000004">
      <c r="W60893"/>
    </row>
    <row r="60894" spans="23:23" x14ac:dyDescent="0.55000000000000004">
      <c r="W60894"/>
    </row>
    <row r="60895" spans="23:23" x14ac:dyDescent="0.55000000000000004">
      <c r="W60895"/>
    </row>
    <row r="60896" spans="23:23" x14ac:dyDescent="0.55000000000000004">
      <c r="W60896"/>
    </row>
    <row r="60897" spans="23:23" x14ac:dyDescent="0.55000000000000004">
      <c r="W60897"/>
    </row>
    <row r="60898" spans="23:23" x14ac:dyDescent="0.55000000000000004">
      <c r="W60898"/>
    </row>
    <row r="60899" spans="23:23" x14ac:dyDescent="0.55000000000000004">
      <c r="W60899"/>
    </row>
    <row r="60900" spans="23:23" x14ac:dyDescent="0.55000000000000004">
      <c r="W60900"/>
    </row>
    <row r="60901" spans="23:23" x14ac:dyDescent="0.55000000000000004">
      <c r="W60901"/>
    </row>
    <row r="60902" spans="23:23" x14ac:dyDescent="0.55000000000000004">
      <c r="W60902"/>
    </row>
    <row r="60903" spans="23:23" x14ac:dyDescent="0.55000000000000004">
      <c r="W60903"/>
    </row>
    <row r="60904" spans="23:23" x14ac:dyDescent="0.55000000000000004">
      <c r="W60904"/>
    </row>
    <row r="60905" spans="23:23" x14ac:dyDescent="0.55000000000000004">
      <c r="W60905"/>
    </row>
    <row r="60906" spans="23:23" x14ac:dyDescent="0.55000000000000004">
      <c r="W60906"/>
    </row>
    <row r="60907" spans="23:23" x14ac:dyDescent="0.55000000000000004">
      <c r="W60907"/>
    </row>
    <row r="60908" spans="23:23" x14ac:dyDescent="0.55000000000000004">
      <c r="W60908"/>
    </row>
    <row r="60909" spans="23:23" x14ac:dyDescent="0.55000000000000004">
      <c r="W60909"/>
    </row>
    <row r="60910" spans="23:23" x14ac:dyDescent="0.55000000000000004">
      <c r="W60910"/>
    </row>
    <row r="60911" spans="23:23" x14ac:dyDescent="0.55000000000000004">
      <c r="W60911"/>
    </row>
    <row r="60912" spans="23:23" x14ac:dyDescent="0.55000000000000004">
      <c r="W60912"/>
    </row>
    <row r="60913" spans="23:23" x14ac:dyDescent="0.55000000000000004">
      <c r="W60913"/>
    </row>
    <row r="60914" spans="23:23" x14ac:dyDescent="0.55000000000000004">
      <c r="W60914"/>
    </row>
    <row r="60915" spans="23:23" x14ac:dyDescent="0.55000000000000004">
      <c r="W60915"/>
    </row>
    <row r="60916" spans="23:23" x14ac:dyDescent="0.55000000000000004">
      <c r="W60916"/>
    </row>
    <row r="60917" spans="23:23" x14ac:dyDescent="0.55000000000000004">
      <c r="W60917"/>
    </row>
    <row r="60918" spans="23:23" x14ac:dyDescent="0.55000000000000004">
      <c r="W60918"/>
    </row>
    <row r="60919" spans="23:23" x14ac:dyDescent="0.55000000000000004">
      <c r="W60919"/>
    </row>
    <row r="60920" spans="23:23" x14ac:dyDescent="0.55000000000000004">
      <c r="W60920"/>
    </row>
    <row r="60921" spans="23:23" x14ac:dyDescent="0.55000000000000004">
      <c r="W60921"/>
    </row>
    <row r="60922" spans="23:23" x14ac:dyDescent="0.55000000000000004">
      <c r="W60922"/>
    </row>
    <row r="60923" spans="23:23" x14ac:dyDescent="0.55000000000000004">
      <c r="W60923"/>
    </row>
    <row r="60924" spans="23:23" x14ac:dyDescent="0.55000000000000004">
      <c r="W60924"/>
    </row>
    <row r="60925" spans="23:23" x14ac:dyDescent="0.55000000000000004">
      <c r="W60925"/>
    </row>
    <row r="60926" spans="23:23" x14ac:dyDescent="0.55000000000000004">
      <c r="W60926"/>
    </row>
    <row r="60927" spans="23:23" x14ac:dyDescent="0.55000000000000004">
      <c r="W60927"/>
    </row>
    <row r="60928" spans="23:23" x14ac:dyDescent="0.55000000000000004">
      <c r="W60928"/>
    </row>
    <row r="60929" spans="23:23" x14ac:dyDescent="0.55000000000000004">
      <c r="W60929"/>
    </row>
    <row r="60930" spans="23:23" x14ac:dyDescent="0.55000000000000004">
      <c r="W60930"/>
    </row>
    <row r="60931" spans="23:23" x14ac:dyDescent="0.55000000000000004">
      <c r="W60931"/>
    </row>
    <row r="60932" spans="23:23" x14ac:dyDescent="0.55000000000000004">
      <c r="W60932"/>
    </row>
    <row r="60933" spans="23:23" x14ac:dyDescent="0.55000000000000004">
      <c r="W60933"/>
    </row>
    <row r="60934" spans="23:23" x14ac:dyDescent="0.55000000000000004">
      <c r="W60934"/>
    </row>
    <row r="60935" spans="23:23" x14ac:dyDescent="0.55000000000000004">
      <c r="W60935"/>
    </row>
    <row r="60936" spans="23:23" x14ac:dyDescent="0.55000000000000004">
      <c r="W60936"/>
    </row>
    <row r="60937" spans="23:23" x14ac:dyDescent="0.55000000000000004">
      <c r="W60937"/>
    </row>
    <row r="60938" spans="23:23" x14ac:dyDescent="0.55000000000000004">
      <c r="W60938"/>
    </row>
    <row r="60939" spans="23:23" x14ac:dyDescent="0.55000000000000004">
      <c r="W60939"/>
    </row>
    <row r="60940" spans="23:23" x14ac:dyDescent="0.55000000000000004">
      <c r="W60940"/>
    </row>
    <row r="60941" spans="23:23" x14ac:dyDescent="0.55000000000000004">
      <c r="W60941"/>
    </row>
    <row r="60942" spans="23:23" x14ac:dyDescent="0.55000000000000004">
      <c r="W60942"/>
    </row>
    <row r="60943" spans="23:23" x14ac:dyDescent="0.55000000000000004">
      <c r="W60943"/>
    </row>
    <row r="60944" spans="23:23" x14ac:dyDescent="0.55000000000000004">
      <c r="W60944"/>
    </row>
    <row r="60945" spans="23:23" x14ac:dyDescent="0.55000000000000004">
      <c r="W60945"/>
    </row>
    <row r="60946" spans="23:23" x14ac:dyDescent="0.55000000000000004">
      <c r="W60946"/>
    </row>
    <row r="60947" spans="23:23" x14ac:dyDescent="0.55000000000000004">
      <c r="W60947"/>
    </row>
    <row r="60948" spans="23:23" x14ac:dyDescent="0.55000000000000004">
      <c r="W60948"/>
    </row>
    <row r="60949" spans="23:23" x14ac:dyDescent="0.55000000000000004">
      <c r="W60949"/>
    </row>
    <row r="60950" spans="23:23" x14ac:dyDescent="0.55000000000000004">
      <c r="W60950"/>
    </row>
    <row r="60951" spans="23:23" x14ac:dyDescent="0.55000000000000004">
      <c r="W60951"/>
    </row>
    <row r="60952" spans="23:23" x14ac:dyDescent="0.55000000000000004">
      <c r="W60952"/>
    </row>
    <row r="60953" spans="23:23" x14ac:dyDescent="0.55000000000000004">
      <c r="W60953"/>
    </row>
    <row r="60954" spans="23:23" x14ac:dyDescent="0.55000000000000004">
      <c r="W60954"/>
    </row>
    <row r="60955" spans="23:23" x14ac:dyDescent="0.55000000000000004">
      <c r="W60955"/>
    </row>
    <row r="60956" spans="23:23" x14ac:dyDescent="0.55000000000000004">
      <c r="W60956"/>
    </row>
    <row r="60957" spans="23:23" x14ac:dyDescent="0.55000000000000004">
      <c r="W60957"/>
    </row>
    <row r="60958" spans="23:23" x14ac:dyDescent="0.55000000000000004">
      <c r="W60958"/>
    </row>
    <row r="60959" spans="23:23" x14ac:dyDescent="0.55000000000000004">
      <c r="W60959"/>
    </row>
    <row r="60960" spans="23:23" x14ac:dyDescent="0.55000000000000004">
      <c r="W60960"/>
    </row>
    <row r="60961" spans="23:23" x14ac:dyDescent="0.55000000000000004">
      <c r="W60961"/>
    </row>
    <row r="60962" spans="23:23" x14ac:dyDescent="0.55000000000000004">
      <c r="W60962"/>
    </row>
    <row r="60963" spans="23:23" x14ac:dyDescent="0.55000000000000004">
      <c r="W60963"/>
    </row>
    <row r="60964" spans="23:23" x14ac:dyDescent="0.55000000000000004">
      <c r="W60964"/>
    </row>
    <row r="60965" spans="23:23" x14ac:dyDescent="0.55000000000000004">
      <c r="W60965"/>
    </row>
    <row r="60966" spans="23:23" x14ac:dyDescent="0.55000000000000004">
      <c r="W60966"/>
    </row>
    <row r="60967" spans="23:23" x14ac:dyDescent="0.55000000000000004">
      <c r="W60967"/>
    </row>
    <row r="60968" spans="23:23" x14ac:dyDescent="0.55000000000000004">
      <c r="W60968"/>
    </row>
    <row r="60969" spans="23:23" x14ac:dyDescent="0.55000000000000004">
      <c r="W60969"/>
    </row>
    <row r="60970" spans="23:23" x14ac:dyDescent="0.55000000000000004">
      <c r="W60970"/>
    </row>
    <row r="60971" spans="23:23" x14ac:dyDescent="0.55000000000000004">
      <c r="W60971"/>
    </row>
    <row r="60972" spans="23:23" x14ac:dyDescent="0.55000000000000004">
      <c r="W60972"/>
    </row>
    <row r="60973" spans="23:23" x14ac:dyDescent="0.55000000000000004">
      <c r="W60973"/>
    </row>
    <row r="60974" spans="23:23" x14ac:dyDescent="0.55000000000000004">
      <c r="W60974"/>
    </row>
    <row r="60975" spans="23:23" x14ac:dyDescent="0.55000000000000004">
      <c r="W60975"/>
    </row>
    <row r="60976" spans="23:23" x14ac:dyDescent="0.55000000000000004">
      <c r="W60976"/>
    </row>
    <row r="60977" spans="23:23" x14ac:dyDescent="0.55000000000000004">
      <c r="W60977"/>
    </row>
    <row r="60978" spans="23:23" x14ac:dyDescent="0.55000000000000004">
      <c r="W60978"/>
    </row>
    <row r="60979" spans="23:23" x14ac:dyDescent="0.55000000000000004">
      <c r="W60979"/>
    </row>
    <row r="60980" spans="23:23" x14ac:dyDescent="0.55000000000000004">
      <c r="W60980"/>
    </row>
    <row r="60981" spans="23:23" x14ac:dyDescent="0.55000000000000004">
      <c r="W60981"/>
    </row>
    <row r="60982" spans="23:23" x14ac:dyDescent="0.55000000000000004">
      <c r="W60982"/>
    </row>
    <row r="60983" spans="23:23" x14ac:dyDescent="0.55000000000000004">
      <c r="W60983"/>
    </row>
    <row r="60984" spans="23:23" x14ac:dyDescent="0.55000000000000004">
      <c r="W60984"/>
    </row>
    <row r="60985" spans="23:23" x14ac:dyDescent="0.55000000000000004">
      <c r="W60985"/>
    </row>
    <row r="60986" spans="23:23" x14ac:dyDescent="0.55000000000000004">
      <c r="W60986"/>
    </row>
    <row r="60987" spans="23:23" x14ac:dyDescent="0.55000000000000004">
      <c r="W60987"/>
    </row>
    <row r="60988" spans="23:23" x14ac:dyDescent="0.55000000000000004">
      <c r="W60988"/>
    </row>
    <row r="60989" spans="23:23" x14ac:dyDescent="0.55000000000000004">
      <c r="W60989"/>
    </row>
    <row r="60990" spans="23:23" x14ac:dyDescent="0.55000000000000004">
      <c r="W60990"/>
    </row>
    <row r="60991" spans="23:23" x14ac:dyDescent="0.55000000000000004">
      <c r="W60991"/>
    </row>
    <row r="60992" spans="23:23" x14ac:dyDescent="0.55000000000000004">
      <c r="W60992"/>
    </row>
    <row r="60993" spans="23:23" x14ac:dyDescent="0.55000000000000004">
      <c r="W60993"/>
    </row>
    <row r="60994" spans="23:23" x14ac:dyDescent="0.55000000000000004">
      <c r="W60994"/>
    </row>
    <row r="60995" spans="23:23" x14ac:dyDescent="0.55000000000000004">
      <c r="W60995"/>
    </row>
    <row r="60996" spans="23:23" x14ac:dyDescent="0.55000000000000004">
      <c r="W60996"/>
    </row>
    <row r="60997" spans="23:23" x14ac:dyDescent="0.55000000000000004">
      <c r="W60997"/>
    </row>
    <row r="60998" spans="23:23" x14ac:dyDescent="0.55000000000000004">
      <c r="W60998"/>
    </row>
    <row r="60999" spans="23:23" x14ac:dyDescent="0.55000000000000004">
      <c r="W60999"/>
    </row>
    <row r="61000" spans="23:23" x14ac:dyDescent="0.55000000000000004">
      <c r="W61000"/>
    </row>
    <row r="61001" spans="23:23" x14ac:dyDescent="0.55000000000000004">
      <c r="W61001"/>
    </row>
    <row r="61002" spans="23:23" x14ac:dyDescent="0.55000000000000004">
      <c r="W61002"/>
    </row>
    <row r="61003" spans="23:23" x14ac:dyDescent="0.55000000000000004">
      <c r="W61003"/>
    </row>
    <row r="61004" spans="23:23" x14ac:dyDescent="0.55000000000000004">
      <c r="W61004"/>
    </row>
    <row r="61005" spans="23:23" x14ac:dyDescent="0.55000000000000004">
      <c r="W61005"/>
    </row>
    <row r="61006" spans="23:23" x14ac:dyDescent="0.55000000000000004">
      <c r="W61006"/>
    </row>
    <row r="61007" spans="23:23" x14ac:dyDescent="0.55000000000000004">
      <c r="W61007"/>
    </row>
    <row r="61008" spans="23:23" x14ac:dyDescent="0.55000000000000004">
      <c r="W61008"/>
    </row>
    <row r="61009" spans="23:23" x14ac:dyDescent="0.55000000000000004">
      <c r="W61009"/>
    </row>
    <row r="61010" spans="23:23" x14ac:dyDescent="0.55000000000000004">
      <c r="W61010"/>
    </row>
    <row r="61011" spans="23:23" x14ac:dyDescent="0.55000000000000004">
      <c r="W61011"/>
    </row>
    <row r="61012" spans="23:23" x14ac:dyDescent="0.55000000000000004">
      <c r="W61012"/>
    </row>
    <row r="61013" spans="23:23" x14ac:dyDescent="0.55000000000000004">
      <c r="W61013"/>
    </row>
    <row r="61014" spans="23:23" x14ac:dyDescent="0.55000000000000004">
      <c r="W61014"/>
    </row>
    <row r="61015" spans="23:23" x14ac:dyDescent="0.55000000000000004">
      <c r="W61015"/>
    </row>
    <row r="61016" spans="23:23" x14ac:dyDescent="0.55000000000000004">
      <c r="W61016"/>
    </row>
    <row r="61017" spans="23:23" x14ac:dyDescent="0.55000000000000004">
      <c r="W61017"/>
    </row>
    <row r="61018" spans="23:23" x14ac:dyDescent="0.55000000000000004">
      <c r="W61018"/>
    </row>
    <row r="61019" spans="23:23" x14ac:dyDescent="0.55000000000000004">
      <c r="W61019"/>
    </row>
    <row r="61020" spans="23:23" x14ac:dyDescent="0.55000000000000004">
      <c r="W61020"/>
    </row>
    <row r="61021" spans="23:23" x14ac:dyDescent="0.55000000000000004">
      <c r="W61021"/>
    </row>
    <row r="61022" spans="23:23" x14ac:dyDescent="0.55000000000000004">
      <c r="W61022"/>
    </row>
    <row r="61023" spans="23:23" x14ac:dyDescent="0.55000000000000004">
      <c r="W61023"/>
    </row>
    <row r="61024" spans="23:23" x14ac:dyDescent="0.55000000000000004">
      <c r="W61024"/>
    </row>
    <row r="61025" spans="23:23" x14ac:dyDescent="0.55000000000000004">
      <c r="W61025"/>
    </row>
    <row r="61026" spans="23:23" x14ac:dyDescent="0.55000000000000004">
      <c r="W61026"/>
    </row>
    <row r="61027" spans="23:23" x14ac:dyDescent="0.55000000000000004">
      <c r="W61027"/>
    </row>
    <row r="61028" spans="23:23" x14ac:dyDescent="0.55000000000000004">
      <c r="W61028"/>
    </row>
    <row r="61029" spans="23:23" x14ac:dyDescent="0.55000000000000004">
      <c r="W61029"/>
    </row>
    <row r="61030" spans="23:23" x14ac:dyDescent="0.55000000000000004">
      <c r="W61030"/>
    </row>
    <row r="61031" spans="23:23" x14ac:dyDescent="0.55000000000000004">
      <c r="W61031"/>
    </row>
    <row r="61032" spans="23:23" x14ac:dyDescent="0.55000000000000004">
      <c r="W61032"/>
    </row>
    <row r="61033" spans="23:23" x14ac:dyDescent="0.55000000000000004">
      <c r="W61033"/>
    </row>
    <row r="61034" spans="23:23" x14ac:dyDescent="0.55000000000000004">
      <c r="W61034"/>
    </row>
    <row r="61035" spans="23:23" x14ac:dyDescent="0.55000000000000004">
      <c r="W61035"/>
    </row>
    <row r="61036" spans="23:23" x14ac:dyDescent="0.55000000000000004">
      <c r="W61036"/>
    </row>
    <row r="61037" spans="23:23" x14ac:dyDescent="0.55000000000000004">
      <c r="W61037"/>
    </row>
    <row r="61038" spans="23:23" x14ac:dyDescent="0.55000000000000004">
      <c r="W61038"/>
    </row>
    <row r="61039" spans="23:23" x14ac:dyDescent="0.55000000000000004">
      <c r="W61039"/>
    </row>
    <row r="61040" spans="23:23" x14ac:dyDescent="0.55000000000000004">
      <c r="W61040"/>
    </row>
    <row r="61041" spans="23:23" x14ac:dyDescent="0.55000000000000004">
      <c r="W61041"/>
    </row>
    <row r="61042" spans="23:23" x14ac:dyDescent="0.55000000000000004">
      <c r="W61042"/>
    </row>
    <row r="61043" spans="23:23" x14ac:dyDescent="0.55000000000000004">
      <c r="W61043"/>
    </row>
    <row r="61044" spans="23:23" x14ac:dyDescent="0.55000000000000004">
      <c r="W61044"/>
    </row>
    <row r="61045" spans="23:23" x14ac:dyDescent="0.55000000000000004">
      <c r="W61045"/>
    </row>
    <row r="61046" spans="23:23" x14ac:dyDescent="0.55000000000000004">
      <c r="W61046"/>
    </row>
    <row r="61047" spans="23:23" x14ac:dyDescent="0.55000000000000004">
      <c r="W61047"/>
    </row>
    <row r="61048" spans="23:23" x14ac:dyDescent="0.55000000000000004">
      <c r="W61048"/>
    </row>
    <row r="61049" spans="23:23" x14ac:dyDescent="0.55000000000000004">
      <c r="W61049"/>
    </row>
    <row r="61050" spans="23:23" x14ac:dyDescent="0.55000000000000004">
      <c r="W61050"/>
    </row>
    <row r="61051" spans="23:23" x14ac:dyDescent="0.55000000000000004">
      <c r="W61051"/>
    </row>
    <row r="61052" spans="23:23" x14ac:dyDescent="0.55000000000000004">
      <c r="W61052"/>
    </row>
    <row r="61053" spans="23:23" x14ac:dyDescent="0.55000000000000004">
      <c r="W61053"/>
    </row>
    <row r="61054" spans="23:23" x14ac:dyDescent="0.55000000000000004">
      <c r="W61054"/>
    </row>
    <row r="61055" spans="23:23" x14ac:dyDescent="0.55000000000000004">
      <c r="W61055"/>
    </row>
    <row r="61056" spans="23:23" x14ac:dyDescent="0.55000000000000004">
      <c r="W61056"/>
    </row>
    <row r="61057" spans="23:23" x14ac:dyDescent="0.55000000000000004">
      <c r="W61057"/>
    </row>
    <row r="61058" spans="23:23" x14ac:dyDescent="0.55000000000000004">
      <c r="W61058"/>
    </row>
    <row r="61059" spans="23:23" x14ac:dyDescent="0.55000000000000004">
      <c r="W61059"/>
    </row>
    <row r="61060" spans="23:23" x14ac:dyDescent="0.55000000000000004">
      <c r="W61060"/>
    </row>
    <row r="61061" spans="23:23" x14ac:dyDescent="0.55000000000000004">
      <c r="W61061"/>
    </row>
    <row r="61062" spans="23:23" x14ac:dyDescent="0.55000000000000004">
      <c r="W61062"/>
    </row>
    <row r="61063" spans="23:23" x14ac:dyDescent="0.55000000000000004">
      <c r="W61063"/>
    </row>
    <row r="61064" spans="23:23" x14ac:dyDescent="0.55000000000000004">
      <c r="W61064"/>
    </row>
    <row r="61065" spans="23:23" x14ac:dyDescent="0.55000000000000004">
      <c r="W61065"/>
    </row>
    <row r="61066" spans="23:23" x14ac:dyDescent="0.55000000000000004">
      <c r="W61066"/>
    </row>
    <row r="61067" spans="23:23" x14ac:dyDescent="0.55000000000000004">
      <c r="W61067"/>
    </row>
    <row r="61068" spans="23:23" x14ac:dyDescent="0.55000000000000004">
      <c r="W61068"/>
    </row>
    <row r="61069" spans="23:23" x14ac:dyDescent="0.55000000000000004">
      <c r="W61069"/>
    </row>
    <row r="61070" spans="23:23" x14ac:dyDescent="0.55000000000000004">
      <c r="W61070"/>
    </row>
    <row r="61071" spans="23:23" x14ac:dyDescent="0.55000000000000004">
      <c r="W61071"/>
    </row>
    <row r="61072" spans="23:23" x14ac:dyDescent="0.55000000000000004">
      <c r="W61072"/>
    </row>
    <row r="61073" spans="23:23" x14ac:dyDescent="0.55000000000000004">
      <c r="W61073"/>
    </row>
    <row r="61074" spans="23:23" x14ac:dyDescent="0.55000000000000004">
      <c r="W61074"/>
    </row>
    <row r="61075" spans="23:23" x14ac:dyDescent="0.55000000000000004">
      <c r="W61075"/>
    </row>
    <row r="61076" spans="23:23" x14ac:dyDescent="0.55000000000000004">
      <c r="W61076"/>
    </row>
    <row r="61077" spans="23:23" x14ac:dyDescent="0.55000000000000004">
      <c r="W61077"/>
    </row>
    <row r="61078" spans="23:23" x14ac:dyDescent="0.55000000000000004">
      <c r="W61078"/>
    </row>
    <row r="61079" spans="23:23" x14ac:dyDescent="0.55000000000000004">
      <c r="W61079"/>
    </row>
    <row r="61080" spans="23:23" x14ac:dyDescent="0.55000000000000004">
      <c r="W61080"/>
    </row>
    <row r="61081" spans="23:23" x14ac:dyDescent="0.55000000000000004">
      <c r="W61081"/>
    </row>
    <row r="61082" spans="23:23" x14ac:dyDescent="0.55000000000000004">
      <c r="W61082"/>
    </row>
    <row r="61083" spans="23:23" x14ac:dyDescent="0.55000000000000004">
      <c r="W61083"/>
    </row>
    <row r="61084" spans="23:23" x14ac:dyDescent="0.55000000000000004">
      <c r="W61084"/>
    </row>
    <row r="61085" spans="23:23" x14ac:dyDescent="0.55000000000000004">
      <c r="W61085"/>
    </row>
    <row r="61086" spans="23:23" x14ac:dyDescent="0.55000000000000004">
      <c r="W61086"/>
    </row>
    <row r="61087" spans="23:23" x14ac:dyDescent="0.55000000000000004">
      <c r="W61087"/>
    </row>
    <row r="61088" spans="23:23" x14ac:dyDescent="0.55000000000000004">
      <c r="W61088"/>
    </row>
    <row r="61089" spans="23:23" x14ac:dyDescent="0.55000000000000004">
      <c r="W61089"/>
    </row>
    <row r="61090" spans="23:23" x14ac:dyDescent="0.55000000000000004">
      <c r="W61090"/>
    </row>
    <row r="61091" spans="23:23" x14ac:dyDescent="0.55000000000000004">
      <c r="W61091"/>
    </row>
    <row r="61092" spans="23:23" x14ac:dyDescent="0.55000000000000004">
      <c r="W61092"/>
    </row>
    <row r="61093" spans="23:23" x14ac:dyDescent="0.55000000000000004">
      <c r="W61093"/>
    </row>
    <row r="61094" spans="23:23" x14ac:dyDescent="0.55000000000000004">
      <c r="W61094"/>
    </row>
    <row r="61095" spans="23:23" x14ac:dyDescent="0.55000000000000004">
      <c r="W61095"/>
    </row>
    <row r="61096" spans="23:23" x14ac:dyDescent="0.55000000000000004">
      <c r="W61096"/>
    </row>
    <row r="61097" spans="23:23" x14ac:dyDescent="0.55000000000000004">
      <c r="W61097"/>
    </row>
    <row r="61098" spans="23:23" x14ac:dyDescent="0.55000000000000004">
      <c r="W61098"/>
    </row>
    <row r="61099" spans="23:23" x14ac:dyDescent="0.55000000000000004">
      <c r="W61099"/>
    </row>
    <row r="61100" spans="23:23" x14ac:dyDescent="0.55000000000000004">
      <c r="W61100"/>
    </row>
    <row r="61101" spans="23:23" x14ac:dyDescent="0.55000000000000004">
      <c r="W61101"/>
    </row>
    <row r="61102" spans="23:23" x14ac:dyDescent="0.55000000000000004">
      <c r="W61102"/>
    </row>
    <row r="61103" spans="23:23" x14ac:dyDescent="0.55000000000000004">
      <c r="W61103"/>
    </row>
    <row r="61104" spans="23:23" x14ac:dyDescent="0.55000000000000004">
      <c r="W61104"/>
    </row>
    <row r="61105" spans="23:23" x14ac:dyDescent="0.55000000000000004">
      <c r="W61105"/>
    </row>
    <row r="61106" spans="23:23" x14ac:dyDescent="0.55000000000000004">
      <c r="W61106"/>
    </row>
    <row r="61107" spans="23:23" x14ac:dyDescent="0.55000000000000004">
      <c r="W61107"/>
    </row>
    <row r="61108" spans="23:23" x14ac:dyDescent="0.55000000000000004">
      <c r="W61108"/>
    </row>
    <row r="61109" spans="23:23" x14ac:dyDescent="0.55000000000000004">
      <c r="W61109"/>
    </row>
    <row r="61110" spans="23:23" x14ac:dyDescent="0.55000000000000004">
      <c r="W61110"/>
    </row>
    <row r="61111" spans="23:23" x14ac:dyDescent="0.55000000000000004">
      <c r="W61111"/>
    </row>
    <row r="61112" spans="23:23" x14ac:dyDescent="0.55000000000000004">
      <c r="W61112"/>
    </row>
    <row r="61113" spans="23:23" x14ac:dyDescent="0.55000000000000004">
      <c r="W61113"/>
    </row>
    <row r="61114" spans="23:23" x14ac:dyDescent="0.55000000000000004">
      <c r="W61114"/>
    </row>
    <row r="61115" spans="23:23" x14ac:dyDescent="0.55000000000000004">
      <c r="W61115"/>
    </row>
    <row r="61116" spans="23:23" x14ac:dyDescent="0.55000000000000004">
      <c r="W61116"/>
    </row>
    <row r="61117" spans="23:23" x14ac:dyDescent="0.55000000000000004">
      <c r="W61117"/>
    </row>
    <row r="61118" spans="23:23" x14ac:dyDescent="0.55000000000000004">
      <c r="W61118"/>
    </row>
    <row r="61119" spans="23:23" x14ac:dyDescent="0.55000000000000004">
      <c r="W61119"/>
    </row>
    <row r="61120" spans="23:23" x14ac:dyDescent="0.55000000000000004">
      <c r="W61120"/>
    </row>
    <row r="61121" spans="23:23" x14ac:dyDescent="0.55000000000000004">
      <c r="W61121"/>
    </row>
    <row r="61122" spans="23:23" x14ac:dyDescent="0.55000000000000004">
      <c r="W61122"/>
    </row>
    <row r="61123" spans="23:23" x14ac:dyDescent="0.55000000000000004">
      <c r="W61123"/>
    </row>
    <row r="61124" spans="23:23" x14ac:dyDescent="0.55000000000000004">
      <c r="W61124"/>
    </row>
    <row r="61125" spans="23:23" x14ac:dyDescent="0.55000000000000004">
      <c r="W61125"/>
    </row>
    <row r="61126" spans="23:23" x14ac:dyDescent="0.55000000000000004">
      <c r="W61126"/>
    </row>
    <row r="61127" spans="23:23" x14ac:dyDescent="0.55000000000000004">
      <c r="W61127"/>
    </row>
    <row r="61128" spans="23:23" x14ac:dyDescent="0.55000000000000004">
      <c r="W61128"/>
    </row>
    <row r="61129" spans="23:23" x14ac:dyDescent="0.55000000000000004">
      <c r="W61129"/>
    </row>
    <row r="61130" spans="23:23" x14ac:dyDescent="0.55000000000000004">
      <c r="W61130"/>
    </row>
    <row r="61131" spans="23:23" x14ac:dyDescent="0.55000000000000004">
      <c r="W61131"/>
    </row>
    <row r="61132" spans="23:23" x14ac:dyDescent="0.55000000000000004">
      <c r="W61132"/>
    </row>
    <row r="61133" spans="23:23" x14ac:dyDescent="0.55000000000000004">
      <c r="W61133"/>
    </row>
    <row r="61134" spans="23:23" x14ac:dyDescent="0.55000000000000004">
      <c r="W61134"/>
    </row>
    <row r="61135" spans="23:23" x14ac:dyDescent="0.55000000000000004">
      <c r="W61135"/>
    </row>
    <row r="61136" spans="23:23" x14ac:dyDescent="0.55000000000000004">
      <c r="W61136"/>
    </row>
    <row r="61137" spans="23:23" x14ac:dyDescent="0.55000000000000004">
      <c r="W61137"/>
    </row>
    <row r="61138" spans="23:23" x14ac:dyDescent="0.55000000000000004">
      <c r="W61138"/>
    </row>
    <row r="61139" spans="23:23" x14ac:dyDescent="0.55000000000000004">
      <c r="W61139"/>
    </row>
    <row r="61140" spans="23:23" x14ac:dyDescent="0.55000000000000004">
      <c r="W61140"/>
    </row>
    <row r="61141" spans="23:23" x14ac:dyDescent="0.55000000000000004">
      <c r="W61141"/>
    </row>
    <row r="61142" spans="23:23" x14ac:dyDescent="0.55000000000000004">
      <c r="W61142"/>
    </row>
    <row r="61143" spans="23:23" x14ac:dyDescent="0.55000000000000004">
      <c r="W61143"/>
    </row>
    <row r="61144" spans="23:23" x14ac:dyDescent="0.55000000000000004">
      <c r="W61144"/>
    </row>
    <row r="61145" spans="23:23" x14ac:dyDescent="0.55000000000000004">
      <c r="W61145"/>
    </row>
    <row r="61146" spans="23:23" x14ac:dyDescent="0.55000000000000004">
      <c r="W61146"/>
    </row>
    <row r="61147" spans="23:23" x14ac:dyDescent="0.55000000000000004">
      <c r="W61147"/>
    </row>
    <row r="61148" spans="23:23" x14ac:dyDescent="0.55000000000000004">
      <c r="W61148"/>
    </row>
    <row r="61149" spans="23:23" x14ac:dyDescent="0.55000000000000004">
      <c r="W61149"/>
    </row>
    <row r="61150" spans="23:23" x14ac:dyDescent="0.55000000000000004">
      <c r="W61150"/>
    </row>
    <row r="61151" spans="23:23" x14ac:dyDescent="0.55000000000000004">
      <c r="W61151"/>
    </row>
    <row r="61152" spans="23:23" x14ac:dyDescent="0.55000000000000004">
      <c r="W61152"/>
    </row>
    <row r="61153" spans="23:23" x14ac:dyDescent="0.55000000000000004">
      <c r="W61153"/>
    </row>
    <row r="61154" spans="23:23" x14ac:dyDescent="0.55000000000000004">
      <c r="W61154"/>
    </row>
    <row r="61155" spans="23:23" x14ac:dyDescent="0.55000000000000004">
      <c r="W61155"/>
    </row>
    <row r="61156" spans="23:23" x14ac:dyDescent="0.55000000000000004">
      <c r="W61156"/>
    </row>
    <row r="61157" spans="23:23" x14ac:dyDescent="0.55000000000000004">
      <c r="W61157"/>
    </row>
    <row r="61158" spans="23:23" x14ac:dyDescent="0.55000000000000004">
      <c r="W61158"/>
    </row>
    <row r="61159" spans="23:23" x14ac:dyDescent="0.55000000000000004">
      <c r="W61159"/>
    </row>
    <row r="61160" spans="23:23" x14ac:dyDescent="0.55000000000000004">
      <c r="W61160"/>
    </row>
    <row r="61161" spans="23:23" x14ac:dyDescent="0.55000000000000004">
      <c r="W61161"/>
    </row>
    <row r="61162" spans="23:23" x14ac:dyDescent="0.55000000000000004">
      <c r="W61162"/>
    </row>
    <row r="61163" spans="23:23" x14ac:dyDescent="0.55000000000000004">
      <c r="W61163"/>
    </row>
    <row r="61164" spans="23:23" x14ac:dyDescent="0.55000000000000004">
      <c r="W61164"/>
    </row>
    <row r="61165" spans="23:23" x14ac:dyDescent="0.55000000000000004">
      <c r="W61165"/>
    </row>
    <row r="61166" spans="23:23" x14ac:dyDescent="0.55000000000000004">
      <c r="W61166"/>
    </row>
    <row r="61167" spans="23:23" x14ac:dyDescent="0.55000000000000004">
      <c r="W61167"/>
    </row>
    <row r="61168" spans="23:23" x14ac:dyDescent="0.55000000000000004">
      <c r="W61168"/>
    </row>
    <row r="61169" spans="23:23" x14ac:dyDescent="0.55000000000000004">
      <c r="W61169"/>
    </row>
    <row r="61170" spans="23:23" x14ac:dyDescent="0.55000000000000004">
      <c r="W61170"/>
    </row>
    <row r="61171" spans="23:23" x14ac:dyDescent="0.55000000000000004">
      <c r="W61171"/>
    </row>
    <row r="61172" spans="23:23" x14ac:dyDescent="0.55000000000000004">
      <c r="W61172"/>
    </row>
    <row r="61173" spans="23:23" x14ac:dyDescent="0.55000000000000004">
      <c r="W61173"/>
    </row>
    <row r="61174" spans="23:23" x14ac:dyDescent="0.55000000000000004">
      <c r="W61174"/>
    </row>
    <row r="61175" spans="23:23" x14ac:dyDescent="0.55000000000000004">
      <c r="W61175"/>
    </row>
    <row r="61176" spans="23:23" x14ac:dyDescent="0.55000000000000004">
      <c r="W61176"/>
    </row>
    <row r="61177" spans="23:23" x14ac:dyDescent="0.55000000000000004">
      <c r="W61177"/>
    </row>
    <row r="61178" spans="23:23" x14ac:dyDescent="0.55000000000000004">
      <c r="W61178"/>
    </row>
    <row r="61179" spans="23:23" x14ac:dyDescent="0.55000000000000004">
      <c r="W61179"/>
    </row>
    <row r="61180" spans="23:23" x14ac:dyDescent="0.55000000000000004">
      <c r="W61180"/>
    </row>
    <row r="61181" spans="23:23" x14ac:dyDescent="0.55000000000000004">
      <c r="W61181"/>
    </row>
    <row r="61182" spans="23:23" x14ac:dyDescent="0.55000000000000004">
      <c r="W61182"/>
    </row>
    <row r="61183" spans="23:23" x14ac:dyDescent="0.55000000000000004">
      <c r="W61183"/>
    </row>
    <row r="61184" spans="23:23" x14ac:dyDescent="0.55000000000000004">
      <c r="W61184"/>
    </row>
    <row r="61185" spans="23:23" x14ac:dyDescent="0.55000000000000004">
      <c r="W61185"/>
    </row>
    <row r="61186" spans="23:23" x14ac:dyDescent="0.55000000000000004">
      <c r="W61186"/>
    </row>
    <row r="61187" spans="23:23" x14ac:dyDescent="0.55000000000000004">
      <c r="W61187"/>
    </row>
    <row r="61188" spans="23:23" x14ac:dyDescent="0.55000000000000004">
      <c r="W61188"/>
    </row>
    <row r="61189" spans="23:23" x14ac:dyDescent="0.55000000000000004">
      <c r="W61189"/>
    </row>
    <row r="61190" spans="23:23" x14ac:dyDescent="0.55000000000000004">
      <c r="W61190"/>
    </row>
    <row r="61191" spans="23:23" x14ac:dyDescent="0.55000000000000004">
      <c r="W61191"/>
    </row>
    <row r="61192" spans="23:23" x14ac:dyDescent="0.55000000000000004">
      <c r="W61192"/>
    </row>
    <row r="61193" spans="23:23" x14ac:dyDescent="0.55000000000000004">
      <c r="W61193"/>
    </row>
    <row r="61194" spans="23:23" x14ac:dyDescent="0.55000000000000004">
      <c r="W61194"/>
    </row>
    <row r="61195" spans="23:23" x14ac:dyDescent="0.55000000000000004">
      <c r="W61195"/>
    </row>
    <row r="61196" spans="23:23" x14ac:dyDescent="0.55000000000000004">
      <c r="W61196"/>
    </row>
    <row r="61197" spans="23:23" x14ac:dyDescent="0.55000000000000004">
      <c r="W61197"/>
    </row>
    <row r="61198" spans="23:23" x14ac:dyDescent="0.55000000000000004">
      <c r="W61198"/>
    </row>
    <row r="61199" spans="23:23" x14ac:dyDescent="0.55000000000000004">
      <c r="W61199"/>
    </row>
    <row r="61200" spans="23:23" x14ac:dyDescent="0.55000000000000004">
      <c r="W61200"/>
    </row>
    <row r="61201" spans="23:23" x14ac:dyDescent="0.55000000000000004">
      <c r="W61201"/>
    </row>
    <row r="61202" spans="23:23" x14ac:dyDescent="0.55000000000000004">
      <c r="W61202"/>
    </row>
    <row r="61203" spans="23:23" x14ac:dyDescent="0.55000000000000004">
      <c r="W61203"/>
    </row>
    <row r="61204" spans="23:23" x14ac:dyDescent="0.55000000000000004">
      <c r="W61204"/>
    </row>
    <row r="61205" spans="23:23" x14ac:dyDescent="0.55000000000000004">
      <c r="W61205"/>
    </row>
    <row r="61206" spans="23:23" x14ac:dyDescent="0.55000000000000004">
      <c r="W61206"/>
    </row>
    <row r="61207" spans="23:23" x14ac:dyDescent="0.55000000000000004">
      <c r="W61207"/>
    </row>
    <row r="61208" spans="23:23" x14ac:dyDescent="0.55000000000000004">
      <c r="W61208"/>
    </row>
    <row r="61209" spans="23:23" x14ac:dyDescent="0.55000000000000004">
      <c r="W61209"/>
    </row>
    <row r="61210" spans="23:23" x14ac:dyDescent="0.55000000000000004">
      <c r="W61210"/>
    </row>
    <row r="61211" spans="23:23" x14ac:dyDescent="0.55000000000000004">
      <c r="W61211"/>
    </row>
    <row r="61212" spans="23:23" x14ac:dyDescent="0.55000000000000004">
      <c r="W61212"/>
    </row>
    <row r="61213" spans="23:23" x14ac:dyDescent="0.55000000000000004">
      <c r="W61213"/>
    </row>
    <row r="61214" spans="23:23" x14ac:dyDescent="0.55000000000000004">
      <c r="W61214"/>
    </row>
    <row r="61215" spans="23:23" x14ac:dyDescent="0.55000000000000004">
      <c r="W61215"/>
    </row>
    <row r="61216" spans="23:23" x14ac:dyDescent="0.55000000000000004">
      <c r="W61216"/>
    </row>
    <row r="61217" spans="23:23" x14ac:dyDescent="0.55000000000000004">
      <c r="W61217"/>
    </row>
    <row r="61218" spans="23:23" x14ac:dyDescent="0.55000000000000004">
      <c r="W61218"/>
    </row>
    <row r="61219" spans="23:23" x14ac:dyDescent="0.55000000000000004">
      <c r="W61219"/>
    </row>
    <row r="61220" spans="23:23" x14ac:dyDescent="0.55000000000000004">
      <c r="W61220"/>
    </row>
    <row r="61221" spans="23:23" x14ac:dyDescent="0.55000000000000004">
      <c r="W61221"/>
    </row>
    <row r="61222" spans="23:23" x14ac:dyDescent="0.55000000000000004">
      <c r="W61222"/>
    </row>
    <row r="61223" spans="23:23" x14ac:dyDescent="0.55000000000000004">
      <c r="W61223"/>
    </row>
    <row r="61224" spans="23:23" x14ac:dyDescent="0.55000000000000004">
      <c r="W61224"/>
    </row>
    <row r="61225" spans="23:23" x14ac:dyDescent="0.55000000000000004">
      <c r="W61225"/>
    </row>
    <row r="61226" spans="23:23" x14ac:dyDescent="0.55000000000000004">
      <c r="W61226"/>
    </row>
    <row r="61227" spans="23:23" x14ac:dyDescent="0.55000000000000004">
      <c r="W61227"/>
    </row>
    <row r="61228" spans="23:23" x14ac:dyDescent="0.55000000000000004">
      <c r="W61228"/>
    </row>
    <row r="61229" spans="23:23" x14ac:dyDescent="0.55000000000000004">
      <c r="W61229"/>
    </row>
    <row r="61230" spans="23:23" x14ac:dyDescent="0.55000000000000004">
      <c r="W61230"/>
    </row>
    <row r="61231" spans="23:23" x14ac:dyDescent="0.55000000000000004">
      <c r="W61231"/>
    </row>
    <row r="61232" spans="23:23" x14ac:dyDescent="0.55000000000000004">
      <c r="W61232"/>
    </row>
    <row r="61233" spans="23:23" x14ac:dyDescent="0.55000000000000004">
      <c r="W61233"/>
    </row>
    <row r="61234" spans="23:23" x14ac:dyDescent="0.55000000000000004">
      <c r="W61234"/>
    </row>
    <row r="61235" spans="23:23" x14ac:dyDescent="0.55000000000000004">
      <c r="W61235"/>
    </row>
    <row r="61236" spans="23:23" x14ac:dyDescent="0.55000000000000004">
      <c r="W61236"/>
    </row>
    <row r="61237" spans="23:23" x14ac:dyDescent="0.55000000000000004">
      <c r="W61237"/>
    </row>
    <row r="61238" spans="23:23" x14ac:dyDescent="0.55000000000000004">
      <c r="W61238"/>
    </row>
    <row r="61239" spans="23:23" x14ac:dyDescent="0.55000000000000004">
      <c r="W61239"/>
    </row>
    <row r="61240" spans="23:23" x14ac:dyDescent="0.55000000000000004">
      <c r="W61240"/>
    </row>
    <row r="61241" spans="23:23" x14ac:dyDescent="0.55000000000000004">
      <c r="W61241"/>
    </row>
    <row r="61242" spans="23:23" x14ac:dyDescent="0.55000000000000004">
      <c r="W61242"/>
    </row>
    <row r="61243" spans="23:23" x14ac:dyDescent="0.55000000000000004">
      <c r="W61243"/>
    </row>
    <row r="61244" spans="23:23" x14ac:dyDescent="0.55000000000000004">
      <c r="W61244"/>
    </row>
    <row r="61245" spans="23:23" x14ac:dyDescent="0.55000000000000004">
      <c r="W61245"/>
    </row>
    <row r="61246" spans="23:23" x14ac:dyDescent="0.55000000000000004">
      <c r="W61246"/>
    </row>
    <row r="61247" spans="23:23" x14ac:dyDescent="0.55000000000000004">
      <c r="W61247"/>
    </row>
    <row r="61248" spans="23:23" x14ac:dyDescent="0.55000000000000004">
      <c r="W61248"/>
    </row>
    <row r="61249" spans="23:23" x14ac:dyDescent="0.55000000000000004">
      <c r="W61249"/>
    </row>
    <row r="61250" spans="23:23" x14ac:dyDescent="0.55000000000000004">
      <c r="W61250"/>
    </row>
    <row r="61251" spans="23:23" x14ac:dyDescent="0.55000000000000004">
      <c r="W61251"/>
    </row>
    <row r="61252" spans="23:23" x14ac:dyDescent="0.55000000000000004">
      <c r="W61252"/>
    </row>
    <row r="61253" spans="23:23" x14ac:dyDescent="0.55000000000000004">
      <c r="W61253"/>
    </row>
    <row r="61254" spans="23:23" x14ac:dyDescent="0.55000000000000004">
      <c r="W61254"/>
    </row>
    <row r="61255" spans="23:23" x14ac:dyDescent="0.55000000000000004">
      <c r="W61255"/>
    </row>
    <row r="61256" spans="23:23" x14ac:dyDescent="0.55000000000000004">
      <c r="W61256"/>
    </row>
    <row r="61257" spans="23:23" x14ac:dyDescent="0.55000000000000004">
      <c r="W61257"/>
    </row>
    <row r="61258" spans="23:23" x14ac:dyDescent="0.55000000000000004">
      <c r="W61258"/>
    </row>
    <row r="61259" spans="23:23" x14ac:dyDescent="0.55000000000000004">
      <c r="W61259"/>
    </row>
    <row r="61260" spans="23:23" x14ac:dyDescent="0.55000000000000004">
      <c r="W61260"/>
    </row>
    <row r="61261" spans="23:23" x14ac:dyDescent="0.55000000000000004">
      <c r="W61261"/>
    </row>
    <row r="61262" spans="23:23" x14ac:dyDescent="0.55000000000000004">
      <c r="W61262"/>
    </row>
    <row r="61263" spans="23:23" x14ac:dyDescent="0.55000000000000004">
      <c r="W61263"/>
    </row>
    <row r="61264" spans="23:23" x14ac:dyDescent="0.55000000000000004">
      <c r="W61264"/>
    </row>
    <row r="61265" spans="23:23" x14ac:dyDescent="0.55000000000000004">
      <c r="W61265"/>
    </row>
    <row r="61266" spans="23:23" x14ac:dyDescent="0.55000000000000004">
      <c r="W61266"/>
    </row>
    <row r="61267" spans="23:23" x14ac:dyDescent="0.55000000000000004">
      <c r="W61267"/>
    </row>
    <row r="61268" spans="23:23" x14ac:dyDescent="0.55000000000000004">
      <c r="W61268"/>
    </row>
    <row r="61269" spans="23:23" x14ac:dyDescent="0.55000000000000004">
      <c r="W61269"/>
    </row>
    <row r="61270" spans="23:23" x14ac:dyDescent="0.55000000000000004">
      <c r="W61270"/>
    </row>
    <row r="61271" spans="23:23" x14ac:dyDescent="0.55000000000000004">
      <c r="W61271"/>
    </row>
    <row r="61272" spans="23:23" x14ac:dyDescent="0.55000000000000004">
      <c r="W61272"/>
    </row>
    <row r="61273" spans="23:23" x14ac:dyDescent="0.55000000000000004">
      <c r="W61273"/>
    </row>
    <row r="61274" spans="23:23" x14ac:dyDescent="0.55000000000000004">
      <c r="W61274"/>
    </row>
    <row r="61275" spans="23:23" x14ac:dyDescent="0.55000000000000004">
      <c r="W61275"/>
    </row>
    <row r="61276" spans="23:23" x14ac:dyDescent="0.55000000000000004">
      <c r="W61276"/>
    </row>
    <row r="61277" spans="23:23" x14ac:dyDescent="0.55000000000000004">
      <c r="W61277"/>
    </row>
    <row r="61278" spans="23:23" x14ac:dyDescent="0.55000000000000004">
      <c r="W61278"/>
    </row>
    <row r="61279" spans="23:23" x14ac:dyDescent="0.55000000000000004">
      <c r="W61279"/>
    </row>
    <row r="61280" spans="23:23" x14ac:dyDescent="0.55000000000000004">
      <c r="W61280"/>
    </row>
    <row r="61281" spans="23:23" x14ac:dyDescent="0.55000000000000004">
      <c r="W61281"/>
    </row>
    <row r="61282" spans="23:23" x14ac:dyDescent="0.55000000000000004">
      <c r="W61282"/>
    </row>
    <row r="61283" spans="23:23" x14ac:dyDescent="0.55000000000000004">
      <c r="W61283"/>
    </row>
    <row r="61284" spans="23:23" x14ac:dyDescent="0.55000000000000004">
      <c r="W61284"/>
    </row>
    <row r="61285" spans="23:23" x14ac:dyDescent="0.55000000000000004">
      <c r="W61285"/>
    </row>
    <row r="61286" spans="23:23" x14ac:dyDescent="0.55000000000000004">
      <c r="W61286"/>
    </row>
    <row r="61287" spans="23:23" x14ac:dyDescent="0.55000000000000004">
      <c r="W61287"/>
    </row>
    <row r="61288" spans="23:23" x14ac:dyDescent="0.55000000000000004">
      <c r="W61288"/>
    </row>
    <row r="61289" spans="23:23" x14ac:dyDescent="0.55000000000000004">
      <c r="W61289"/>
    </row>
    <row r="61290" spans="23:23" x14ac:dyDescent="0.55000000000000004">
      <c r="W61290"/>
    </row>
    <row r="61291" spans="23:23" x14ac:dyDescent="0.55000000000000004">
      <c r="W61291"/>
    </row>
    <row r="61292" spans="23:23" x14ac:dyDescent="0.55000000000000004">
      <c r="W61292"/>
    </row>
    <row r="61293" spans="23:23" x14ac:dyDescent="0.55000000000000004">
      <c r="W61293"/>
    </row>
    <row r="61294" spans="23:23" x14ac:dyDescent="0.55000000000000004">
      <c r="W61294"/>
    </row>
    <row r="61295" spans="23:23" x14ac:dyDescent="0.55000000000000004">
      <c r="W61295"/>
    </row>
    <row r="61296" spans="23:23" x14ac:dyDescent="0.55000000000000004">
      <c r="W61296"/>
    </row>
    <row r="61297" spans="23:23" x14ac:dyDescent="0.55000000000000004">
      <c r="W61297"/>
    </row>
    <row r="61298" spans="23:23" x14ac:dyDescent="0.55000000000000004">
      <c r="W61298"/>
    </row>
    <row r="61299" spans="23:23" x14ac:dyDescent="0.55000000000000004">
      <c r="W61299"/>
    </row>
    <row r="61300" spans="23:23" x14ac:dyDescent="0.55000000000000004">
      <c r="W61300"/>
    </row>
    <row r="61301" spans="23:23" x14ac:dyDescent="0.55000000000000004">
      <c r="W61301"/>
    </row>
    <row r="61302" spans="23:23" x14ac:dyDescent="0.55000000000000004">
      <c r="W61302"/>
    </row>
    <row r="61303" spans="23:23" x14ac:dyDescent="0.55000000000000004">
      <c r="W61303"/>
    </row>
    <row r="61304" spans="23:23" x14ac:dyDescent="0.55000000000000004">
      <c r="W61304"/>
    </row>
    <row r="61305" spans="23:23" x14ac:dyDescent="0.55000000000000004">
      <c r="W61305"/>
    </row>
    <row r="61306" spans="23:23" x14ac:dyDescent="0.55000000000000004">
      <c r="W61306"/>
    </row>
    <row r="61307" spans="23:23" x14ac:dyDescent="0.55000000000000004">
      <c r="W61307"/>
    </row>
    <row r="61308" spans="23:23" x14ac:dyDescent="0.55000000000000004">
      <c r="W61308"/>
    </row>
    <row r="61309" spans="23:23" x14ac:dyDescent="0.55000000000000004">
      <c r="W61309"/>
    </row>
    <row r="61310" spans="23:23" x14ac:dyDescent="0.55000000000000004">
      <c r="W61310"/>
    </row>
    <row r="61311" spans="23:23" x14ac:dyDescent="0.55000000000000004">
      <c r="W61311"/>
    </row>
    <row r="61312" spans="23:23" x14ac:dyDescent="0.55000000000000004">
      <c r="W61312"/>
    </row>
    <row r="61313" spans="23:23" x14ac:dyDescent="0.55000000000000004">
      <c r="W61313"/>
    </row>
    <row r="61314" spans="23:23" x14ac:dyDescent="0.55000000000000004">
      <c r="W61314"/>
    </row>
    <row r="61315" spans="23:23" x14ac:dyDescent="0.55000000000000004">
      <c r="W61315"/>
    </row>
    <row r="61316" spans="23:23" x14ac:dyDescent="0.55000000000000004">
      <c r="W61316"/>
    </row>
    <row r="61317" spans="23:23" x14ac:dyDescent="0.55000000000000004">
      <c r="W61317"/>
    </row>
    <row r="61318" spans="23:23" x14ac:dyDescent="0.55000000000000004">
      <c r="W61318"/>
    </row>
    <row r="61319" spans="23:23" x14ac:dyDescent="0.55000000000000004">
      <c r="W61319"/>
    </row>
    <row r="61320" spans="23:23" x14ac:dyDescent="0.55000000000000004">
      <c r="W61320"/>
    </row>
    <row r="61321" spans="23:23" x14ac:dyDescent="0.55000000000000004">
      <c r="W61321"/>
    </row>
    <row r="61322" spans="23:23" x14ac:dyDescent="0.55000000000000004">
      <c r="W61322"/>
    </row>
    <row r="61323" spans="23:23" x14ac:dyDescent="0.55000000000000004">
      <c r="W61323"/>
    </row>
    <row r="61324" spans="23:23" x14ac:dyDescent="0.55000000000000004">
      <c r="W61324"/>
    </row>
    <row r="61325" spans="23:23" x14ac:dyDescent="0.55000000000000004">
      <c r="W61325"/>
    </row>
    <row r="61326" spans="23:23" x14ac:dyDescent="0.55000000000000004">
      <c r="W61326"/>
    </row>
    <row r="61327" spans="23:23" x14ac:dyDescent="0.55000000000000004">
      <c r="W61327"/>
    </row>
    <row r="61328" spans="23:23" x14ac:dyDescent="0.55000000000000004">
      <c r="W61328"/>
    </row>
    <row r="61329" spans="23:23" x14ac:dyDescent="0.55000000000000004">
      <c r="W61329"/>
    </row>
    <row r="61330" spans="23:23" x14ac:dyDescent="0.55000000000000004">
      <c r="W61330"/>
    </row>
    <row r="61331" spans="23:23" x14ac:dyDescent="0.55000000000000004">
      <c r="W61331"/>
    </row>
    <row r="61332" spans="23:23" x14ac:dyDescent="0.55000000000000004">
      <c r="W61332"/>
    </row>
    <row r="61333" spans="23:23" x14ac:dyDescent="0.55000000000000004">
      <c r="W61333"/>
    </row>
    <row r="61334" spans="23:23" x14ac:dyDescent="0.55000000000000004">
      <c r="W61334"/>
    </row>
    <row r="61335" spans="23:23" x14ac:dyDescent="0.55000000000000004">
      <c r="W61335"/>
    </row>
    <row r="61336" spans="23:23" x14ac:dyDescent="0.55000000000000004">
      <c r="W61336"/>
    </row>
    <row r="61337" spans="23:23" x14ac:dyDescent="0.55000000000000004">
      <c r="W61337"/>
    </row>
    <row r="61338" spans="23:23" x14ac:dyDescent="0.55000000000000004">
      <c r="W61338"/>
    </row>
    <row r="61339" spans="23:23" x14ac:dyDescent="0.55000000000000004">
      <c r="W61339"/>
    </row>
    <row r="61340" spans="23:23" x14ac:dyDescent="0.55000000000000004">
      <c r="W61340"/>
    </row>
    <row r="61341" spans="23:23" x14ac:dyDescent="0.55000000000000004">
      <c r="W61341"/>
    </row>
    <row r="61342" spans="23:23" x14ac:dyDescent="0.55000000000000004">
      <c r="W61342"/>
    </row>
    <row r="61343" spans="23:23" x14ac:dyDescent="0.55000000000000004">
      <c r="W61343"/>
    </row>
    <row r="61344" spans="23:23" x14ac:dyDescent="0.55000000000000004">
      <c r="W61344"/>
    </row>
    <row r="61345" spans="23:23" x14ac:dyDescent="0.55000000000000004">
      <c r="W61345"/>
    </row>
    <row r="61346" spans="23:23" x14ac:dyDescent="0.55000000000000004">
      <c r="W61346"/>
    </row>
    <row r="61347" spans="23:23" x14ac:dyDescent="0.55000000000000004">
      <c r="W61347"/>
    </row>
    <row r="61348" spans="23:23" x14ac:dyDescent="0.55000000000000004">
      <c r="W61348"/>
    </row>
    <row r="61349" spans="23:23" x14ac:dyDescent="0.55000000000000004">
      <c r="W61349"/>
    </row>
    <row r="61350" spans="23:23" x14ac:dyDescent="0.55000000000000004">
      <c r="W61350"/>
    </row>
    <row r="61351" spans="23:23" x14ac:dyDescent="0.55000000000000004">
      <c r="W61351"/>
    </row>
    <row r="61352" spans="23:23" x14ac:dyDescent="0.55000000000000004">
      <c r="W61352"/>
    </row>
    <row r="61353" spans="23:23" x14ac:dyDescent="0.55000000000000004">
      <c r="W61353"/>
    </row>
    <row r="61354" spans="23:23" x14ac:dyDescent="0.55000000000000004">
      <c r="W61354"/>
    </row>
    <row r="61355" spans="23:23" x14ac:dyDescent="0.55000000000000004">
      <c r="W61355"/>
    </row>
    <row r="61356" spans="23:23" x14ac:dyDescent="0.55000000000000004">
      <c r="W61356"/>
    </row>
    <row r="61357" spans="23:23" x14ac:dyDescent="0.55000000000000004">
      <c r="W61357"/>
    </row>
    <row r="61358" spans="23:23" x14ac:dyDescent="0.55000000000000004">
      <c r="W61358"/>
    </row>
    <row r="61359" spans="23:23" x14ac:dyDescent="0.55000000000000004">
      <c r="W61359"/>
    </row>
    <row r="61360" spans="23:23" x14ac:dyDescent="0.55000000000000004">
      <c r="W61360"/>
    </row>
    <row r="61361" spans="23:23" x14ac:dyDescent="0.55000000000000004">
      <c r="W61361"/>
    </row>
    <row r="61362" spans="23:23" x14ac:dyDescent="0.55000000000000004">
      <c r="W61362"/>
    </row>
    <row r="61363" spans="23:23" x14ac:dyDescent="0.55000000000000004">
      <c r="W61363"/>
    </row>
    <row r="61364" spans="23:23" x14ac:dyDescent="0.55000000000000004">
      <c r="W61364"/>
    </row>
    <row r="61365" spans="23:23" x14ac:dyDescent="0.55000000000000004">
      <c r="W61365"/>
    </row>
    <row r="61366" spans="23:23" x14ac:dyDescent="0.55000000000000004">
      <c r="W61366"/>
    </row>
    <row r="61367" spans="23:23" x14ac:dyDescent="0.55000000000000004">
      <c r="W61367"/>
    </row>
    <row r="61368" spans="23:23" x14ac:dyDescent="0.55000000000000004">
      <c r="W61368"/>
    </row>
    <row r="61369" spans="23:23" x14ac:dyDescent="0.55000000000000004">
      <c r="W61369"/>
    </row>
    <row r="61370" spans="23:23" x14ac:dyDescent="0.55000000000000004">
      <c r="W61370"/>
    </row>
    <row r="61371" spans="23:23" x14ac:dyDescent="0.55000000000000004">
      <c r="W61371"/>
    </row>
    <row r="61372" spans="23:23" x14ac:dyDescent="0.55000000000000004">
      <c r="W61372"/>
    </row>
    <row r="61373" spans="23:23" x14ac:dyDescent="0.55000000000000004">
      <c r="W61373"/>
    </row>
    <row r="61374" spans="23:23" x14ac:dyDescent="0.55000000000000004">
      <c r="W61374"/>
    </row>
    <row r="61375" spans="23:23" x14ac:dyDescent="0.55000000000000004">
      <c r="W61375"/>
    </row>
    <row r="61376" spans="23:23" x14ac:dyDescent="0.55000000000000004">
      <c r="W61376"/>
    </row>
    <row r="61377" spans="23:23" x14ac:dyDescent="0.55000000000000004">
      <c r="W61377"/>
    </row>
    <row r="61378" spans="23:23" x14ac:dyDescent="0.55000000000000004">
      <c r="W61378"/>
    </row>
    <row r="61379" spans="23:23" x14ac:dyDescent="0.55000000000000004">
      <c r="W61379"/>
    </row>
    <row r="61380" spans="23:23" x14ac:dyDescent="0.55000000000000004">
      <c r="W61380"/>
    </row>
    <row r="61381" spans="23:23" x14ac:dyDescent="0.55000000000000004">
      <c r="W61381"/>
    </row>
    <row r="61382" spans="23:23" x14ac:dyDescent="0.55000000000000004">
      <c r="W61382"/>
    </row>
    <row r="61383" spans="23:23" x14ac:dyDescent="0.55000000000000004">
      <c r="W61383"/>
    </row>
    <row r="61384" spans="23:23" x14ac:dyDescent="0.55000000000000004">
      <c r="W61384"/>
    </row>
    <row r="61385" spans="23:23" x14ac:dyDescent="0.55000000000000004">
      <c r="W61385"/>
    </row>
    <row r="61386" spans="23:23" x14ac:dyDescent="0.55000000000000004">
      <c r="W61386"/>
    </row>
    <row r="61387" spans="23:23" x14ac:dyDescent="0.55000000000000004">
      <c r="W61387"/>
    </row>
    <row r="61388" spans="23:23" x14ac:dyDescent="0.55000000000000004">
      <c r="W61388"/>
    </row>
    <row r="61389" spans="23:23" x14ac:dyDescent="0.55000000000000004">
      <c r="W61389"/>
    </row>
    <row r="61390" spans="23:23" x14ac:dyDescent="0.55000000000000004">
      <c r="W61390"/>
    </row>
    <row r="61391" spans="23:23" x14ac:dyDescent="0.55000000000000004">
      <c r="W61391"/>
    </row>
    <row r="61392" spans="23:23" x14ac:dyDescent="0.55000000000000004">
      <c r="W61392"/>
    </row>
    <row r="61393" spans="23:23" x14ac:dyDescent="0.55000000000000004">
      <c r="W61393"/>
    </row>
    <row r="61394" spans="23:23" x14ac:dyDescent="0.55000000000000004">
      <c r="W61394"/>
    </row>
    <row r="61395" spans="23:23" x14ac:dyDescent="0.55000000000000004">
      <c r="W61395"/>
    </row>
    <row r="61396" spans="23:23" x14ac:dyDescent="0.55000000000000004">
      <c r="W61396"/>
    </row>
    <row r="61397" spans="23:23" x14ac:dyDescent="0.55000000000000004">
      <c r="W61397"/>
    </row>
    <row r="61398" spans="23:23" x14ac:dyDescent="0.55000000000000004">
      <c r="W61398"/>
    </row>
    <row r="61399" spans="23:23" x14ac:dyDescent="0.55000000000000004">
      <c r="W61399"/>
    </row>
    <row r="61400" spans="23:23" x14ac:dyDescent="0.55000000000000004">
      <c r="W61400"/>
    </row>
    <row r="61401" spans="23:23" x14ac:dyDescent="0.55000000000000004">
      <c r="W61401"/>
    </row>
    <row r="61402" spans="23:23" x14ac:dyDescent="0.55000000000000004">
      <c r="W61402"/>
    </row>
    <row r="61403" spans="23:23" x14ac:dyDescent="0.55000000000000004">
      <c r="W61403"/>
    </row>
    <row r="61404" spans="23:23" x14ac:dyDescent="0.55000000000000004">
      <c r="W61404"/>
    </row>
    <row r="61405" spans="23:23" x14ac:dyDescent="0.55000000000000004">
      <c r="W61405"/>
    </row>
    <row r="61406" spans="23:23" x14ac:dyDescent="0.55000000000000004">
      <c r="W61406"/>
    </row>
    <row r="61407" spans="23:23" x14ac:dyDescent="0.55000000000000004">
      <c r="W61407"/>
    </row>
    <row r="61408" spans="23:23" x14ac:dyDescent="0.55000000000000004">
      <c r="W61408"/>
    </row>
    <row r="61409" spans="23:23" x14ac:dyDescent="0.55000000000000004">
      <c r="W61409"/>
    </row>
    <row r="61410" spans="23:23" x14ac:dyDescent="0.55000000000000004">
      <c r="W61410"/>
    </row>
    <row r="61411" spans="23:23" x14ac:dyDescent="0.55000000000000004">
      <c r="W61411"/>
    </row>
    <row r="61412" spans="23:23" x14ac:dyDescent="0.55000000000000004">
      <c r="W61412"/>
    </row>
    <row r="61413" spans="23:23" x14ac:dyDescent="0.55000000000000004">
      <c r="W61413"/>
    </row>
    <row r="61414" spans="23:23" x14ac:dyDescent="0.55000000000000004">
      <c r="W61414"/>
    </row>
    <row r="61415" spans="23:23" x14ac:dyDescent="0.55000000000000004">
      <c r="W61415"/>
    </row>
    <row r="61416" spans="23:23" x14ac:dyDescent="0.55000000000000004">
      <c r="W61416"/>
    </row>
    <row r="61417" spans="23:23" x14ac:dyDescent="0.55000000000000004">
      <c r="W61417"/>
    </row>
    <row r="61418" spans="23:23" x14ac:dyDescent="0.55000000000000004">
      <c r="W61418"/>
    </row>
    <row r="61419" spans="23:23" x14ac:dyDescent="0.55000000000000004">
      <c r="W61419"/>
    </row>
    <row r="61420" spans="23:23" x14ac:dyDescent="0.55000000000000004">
      <c r="W61420"/>
    </row>
    <row r="61421" spans="23:23" x14ac:dyDescent="0.55000000000000004">
      <c r="W61421"/>
    </row>
    <row r="61422" spans="23:23" x14ac:dyDescent="0.55000000000000004">
      <c r="W61422"/>
    </row>
    <row r="61423" spans="23:23" x14ac:dyDescent="0.55000000000000004">
      <c r="W61423"/>
    </row>
    <row r="61424" spans="23:23" x14ac:dyDescent="0.55000000000000004">
      <c r="W61424"/>
    </row>
    <row r="61425" spans="23:23" x14ac:dyDescent="0.55000000000000004">
      <c r="W61425"/>
    </row>
    <row r="61426" spans="23:23" x14ac:dyDescent="0.55000000000000004">
      <c r="W61426"/>
    </row>
    <row r="61427" spans="23:23" x14ac:dyDescent="0.55000000000000004">
      <c r="W61427"/>
    </row>
    <row r="61428" spans="23:23" x14ac:dyDescent="0.55000000000000004">
      <c r="W61428"/>
    </row>
    <row r="61429" spans="23:23" x14ac:dyDescent="0.55000000000000004">
      <c r="W61429"/>
    </row>
    <row r="61430" spans="23:23" x14ac:dyDescent="0.55000000000000004">
      <c r="W61430"/>
    </row>
    <row r="61431" spans="23:23" x14ac:dyDescent="0.55000000000000004">
      <c r="W61431"/>
    </row>
    <row r="61432" spans="23:23" x14ac:dyDescent="0.55000000000000004">
      <c r="W61432"/>
    </row>
    <row r="61433" spans="23:23" x14ac:dyDescent="0.55000000000000004">
      <c r="W61433"/>
    </row>
    <row r="61434" spans="23:23" x14ac:dyDescent="0.55000000000000004">
      <c r="W61434"/>
    </row>
    <row r="61435" spans="23:23" x14ac:dyDescent="0.55000000000000004">
      <c r="W61435"/>
    </row>
    <row r="61436" spans="23:23" x14ac:dyDescent="0.55000000000000004">
      <c r="W61436"/>
    </row>
    <row r="61437" spans="23:23" x14ac:dyDescent="0.55000000000000004">
      <c r="W61437"/>
    </row>
    <row r="61438" spans="23:23" x14ac:dyDescent="0.55000000000000004">
      <c r="W61438"/>
    </row>
    <row r="61439" spans="23:23" x14ac:dyDescent="0.55000000000000004">
      <c r="W61439"/>
    </row>
    <row r="61440" spans="23:23" x14ac:dyDescent="0.55000000000000004">
      <c r="W61440"/>
    </row>
    <row r="61441" spans="23:23" x14ac:dyDescent="0.55000000000000004">
      <c r="W61441"/>
    </row>
    <row r="61442" spans="23:23" x14ac:dyDescent="0.55000000000000004">
      <c r="W61442"/>
    </row>
    <row r="61443" spans="23:23" x14ac:dyDescent="0.55000000000000004">
      <c r="W61443"/>
    </row>
    <row r="61444" spans="23:23" x14ac:dyDescent="0.55000000000000004">
      <c r="W61444"/>
    </row>
    <row r="61445" spans="23:23" x14ac:dyDescent="0.55000000000000004">
      <c r="W61445"/>
    </row>
    <row r="61446" spans="23:23" x14ac:dyDescent="0.55000000000000004">
      <c r="W61446"/>
    </row>
    <row r="61447" spans="23:23" x14ac:dyDescent="0.55000000000000004">
      <c r="W61447"/>
    </row>
    <row r="61448" spans="23:23" x14ac:dyDescent="0.55000000000000004">
      <c r="W61448"/>
    </row>
    <row r="61449" spans="23:23" x14ac:dyDescent="0.55000000000000004">
      <c r="W61449"/>
    </row>
    <row r="61450" spans="23:23" x14ac:dyDescent="0.55000000000000004">
      <c r="W61450"/>
    </row>
    <row r="61451" spans="23:23" x14ac:dyDescent="0.55000000000000004">
      <c r="W61451"/>
    </row>
    <row r="61452" spans="23:23" x14ac:dyDescent="0.55000000000000004">
      <c r="W61452"/>
    </row>
    <row r="61453" spans="23:23" x14ac:dyDescent="0.55000000000000004">
      <c r="W61453"/>
    </row>
    <row r="61454" spans="23:23" x14ac:dyDescent="0.55000000000000004">
      <c r="W61454"/>
    </row>
    <row r="61455" spans="23:23" x14ac:dyDescent="0.55000000000000004">
      <c r="W61455"/>
    </row>
    <row r="61456" spans="23:23" x14ac:dyDescent="0.55000000000000004">
      <c r="W61456"/>
    </row>
    <row r="61457" spans="23:23" x14ac:dyDescent="0.55000000000000004">
      <c r="W61457"/>
    </row>
    <row r="61458" spans="23:23" x14ac:dyDescent="0.55000000000000004">
      <c r="W61458"/>
    </row>
    <row r="61459" spans="23:23" x14ac:dyDescent="0.55000000000000004">
      <c r="W61459"/>
    </row>
    <row r="61460" spans="23:23" x14ac:dyDescent="0.55000000000000004">
      <c r="W61460"/>
    </row>
    <row r="61461" spans="23:23" x14ac:dyDescent="0.55000000000000004">
      <c r="W61461"/>
    </row>
    <row r="61462" spans="23:23" x14ac:dyDescent="0.55000000000000004">
      <c r="W61462"/>
    </row>
    <row r="61463" spans="23:23" x14ac:dyDescent="0.55000000000000004">
      <c r="W61463"/>
    </row>
    <row r="61464" spans="23:23" x14ac:dyDescent="0.55000000000000004">
      <c r="W61464"/>
    </row>
    <row r="61465" spans="23:23" x14ac:dyDescent="0.55000000000000004">
      <c r="W61465"/>
    </row>
    <row r="61466" spans="23:23" x14ac:dyDescent="0.55000000000000004">
      <c r="W61466"/>
    </row>
    <row r="61467" spans="23:23" x14ac:dyDescent="0.55000000000000004">
      <c r="W61467"/>
    </row>
    <row r="61468" spans="23:23" x14ac:dyDescent="0.55000000000000004">
      <c r="W61468"/>
    </row>
    <row r="61469" spans="23:23" x14ac:dyDescent="0.55000000000000004">
      <c r="W61469"/>
    </row>
    <row r="61470" spans="23:23" x14ac:dyDescent="0.55000000000000004">
      <c r="W61470"/>
    </row>
    <row r="61471" spans="23:23" x14ac:dyDescent="0.55000000000000004">
      <c r="W61471"/>
    </row>
    <row r="61472" spans="23:23" x14ac:dyDescent="0.55000000000000004">
      <c r="W61472"/>
    </row>
    <row r="61473" spans="23:23" x14ac:dyDescent="0.55000000000000004">
      <c r="W61473"/>
    </row>
    <row r="61474" spans="23:23" x14ac:dyDescent="0.55000000000000004">
      <c r="W61474"/>
    </row>
    <row r="61475" spans="23:23" x14ac:dyDescent="0.55000000000000004">
      <c r="W61475"/>
    </row>
    <row r="61476" spans="23:23" x14ac:dyDescent="0.55000000000000004">
      <c r="W61476"/>
    </row>
    <row r="61477" spans="23:23" x14ac:dyDescent="0.55000000000000004">
      <c r="W61477"/>
    </row>
    <row r="61478" spans="23:23" x14ac:dyDescent="0.55000000000000004">
      <c r="W61478"/>
    </row>
    <row r="61479" spans="23:23" x14ac:dyDescent="0.55000000000000004">
      <c r="W61479"/>
    </row>
    <row r="61480" spans="23:23" x14ac:dyDescent="0.55000000000000004">
      <c r="W61480"/>
    </row>
    <row r="61481" spans="23:23" x14ac:dyDescent="0.55000000000000004">
      <c r="W61481"/>
    </row>
    <row r="61482" spans="23:23" x14ac:dyDescent="0.55000000000000004">
      <c r="W61482"/>
    </row>
    <row r="61483" spans="23:23" x14ac:dyDescent="0.55000000000000004">
      <c r="W61483"/>
    </row>
    <row r="61484" spans="23:23" x14ac:dyDescent="0.55000000000000004">
      <c r="W61484"/>
    </row>
    <row r="61485" spans="23:23" x14ac:dyDescent="0.55000000000000004">
      <c r="W61485"/>
    </row>
    <row r="61486" spans="23:23" x14ac:dyDescent="0.55000000000000004">
      <c r="W61486"/>
    </row>
    <row r="61487" spans="23:23" x14ac:dyDescent="0.55000000000000004">
      <c r="W61487"/>
    </row>
    <row r="61488" spans="23:23" x14ac:dyDescent="0.55000000000000004">
      <c r="W61488"/>
    </row>
    <row r="61489" spans="23:23" x14ac:dyDescent="0.55000000000000004">
      <c r="W61489"/>
    </row>
    <row r="61490" spans="23:23" x14ac:dyDescent="0.55000000000000004">
      <c r="W61490"/>
    </row>
    <row r="61491" spans="23:23" x14ac:dyDescent="0.55000000000000004">
      <c r="W61491"/>
    </row>
    <row r="61492" spans="23:23" x14ac:dyDescent="0.55000000000000004">
      <c r="W61492"/>
    </row>
    <row r="61493" spans="23:23" x14ac:dyDescent="0.55000000000000004">
      <c r="W61493"/>
    </row>
    <row r="61494" spans="23:23" x14ac:dyDescent="0.55000000000000004">
      <c r="W61494"/>
    </row>
    <row r="61495" spans="23:23" x14ac:dyDescent="0.55000000000000004">
      <c r="W61495"/>
    </row>
    <row r="61496" spans="23:23" x14ac:dyDescent="0.55000000000000004">
      <c r="W61496"/>
    </row>
    <row r="61497" spans="23:23" x14ac:dyDescent="0.55000000000000004">
      <c r="W61497"/>
    </row>
    <row r="61498" spans="23:23" x14ac:dyDescent="0.55000000000000004">
      <c r="W61498"/>
    </row>
    <row r="61499" spans="23:23" x14ac:dyDescent="0.55000000000000004">
      <c r="W61499"/>
    </row>
    <row r="61500" spans="23:23" x14ac:dyDescent="0.55000000000000004">
      <c r="W61500"/>
    </row>
    <row r="61501" spans="23:23" x14ac:dyDescent="0.55000000000000004">
      <c r="W61501"/>
    </row>
    <row r="61502" spans="23:23" x14ac:dyDescent="0.55000000000000004">
      <c r="W61502"/>
    </row>
    <row r="61503" spans="23:23" x14ac:dyDescent="0.55000000000000004">
      <c r="W61503"/>
    </row>
    <row r="61504" spans="23:23" x14ac:dyDescent="0.55000000000000004">
      <c r="W61504"/>
    </row>
    <row r="61505" spans="23:23" x14ac:dyDescent="0.55000000000000004">
      <c r="W61505"/>
    </row>
    <row r="61506" spans="23:23" x14ac:dyDescent="0.55000000000000004">
      <c r="W61506"/>
    </row>
    <row r="61507" spans="23:23" x14ac:dyDescent="0.55000000000000004">
      <c r="W61507"/>
    </row>
    <row r="61508" spans="23:23" x14ac:dyDescent="0.55000000000000004">
      <c r="W61508"/>
    </row>
    <row r="61509" spans="23:23" x14ac:dyDescent="0.55000000000000004">
      <c r="W61509"/>
    </row>
    <row r="61510" spans="23:23" x14ac:dyDescent="0.55000000000000004">
      <c r="W61510"/>
    </row>
    <row r="61511" spans="23:23" x14ac:dyDescent="0.55000000000000004">
      <c r="W61511"/>
    </row>
    <row r="61512" spans="23:23" x14ac:dyDescent="0.55000000000000004">
      <c r="W61512"/>
    </row>
    <row r="61513" spans="23:23" x14ac:dyDescent="0.55000000000000004">
      <c r="W61513"/>
    </row>
    <row r="61514" spans="23:23" x14ac:dyDescent="0.55000000000000004">
      <c r="W61514"/>
    </row>
    <row r="61515" spans="23:23" x14ac:dyDescent="0.55000000000000004">
      <c r="W61515"/>
    </row>
    <row r="61516" spans="23:23" x14ac:dyDescent="0.55000000000000004">
      <c r="W61516"/>
    </row>
    <row r="61517" spans="23:23" x14ac:dyDescent="0.55000000000000004">
      <c r="W61517"/>
    </row>
    <row r="61518" spans="23:23" x14ac:dyDescent="0.55000000000000004">
      <c r="W61518"/>
    </row>
    <row r="61519" spans="23:23" x14ac:dyDescent="0.55000000000000004">
      <c r="W61519"/>
    </row>
    <row r="61520" spans="23:23" x14ac:dyDescent="0.55000000000000004">
      <c r="W61520"/>
    </row>
    <row r="61521" spans="23:23" x14ac:dyDescent="0.55000000000000004">
      <c r="W61521"/>
    </row>
    <row r="61522" spans="23:23" x14ac:dyDescent="0.55000000000000004">
      <c r="W61522"/>
    </row>
    <row r="61523" spans="23:23" x14ac:dyDescent="0.55000000000000004">
      <c r="W61523"/>
    </row>
    <row r="61524" spans="23:23" x14ac:dyDescent="0.55000000000000004">
      <c r="W61524"/>
    </row>
    <row r="61525" spans="23:23" x14ac:dyDescent="0.55000000000000004">
      <c r="W61525"/>
    </row>
    <row r="61526" spans="23:23" x14ac:dyDescent="0.55000000000000004">
      <c r="W61526"/>
    </row>
    <row r="61527" spans="23:23" x14ac:dyDescent="0.55000000000000004">
      <c r="W61527"/>
    </row>
    <row r="61528" spans="23:23" x14ac:dyDescent="0.55000000000000004">
      <c r="W61528"/>
    </row>
    <row r="61529" spans="23:23" x14ac:dyDescent="0.55000000000000004">
      <c r="W61529"/>
    </row>
    <row r="61530" spans="23:23" x14ac:dyDescent="0.55000000000000004">
      <c r="W61530"/>
    </row>
    <row r="61531" spans="23:23" x14ac:dyDescent="0.55000000000000004">
      <c r="W61531"/>
    </row>
    <row r="61532" spans="23:23" x14ac:dyDescent="0.55000000000000004">
      <c r="W61532"/>
    </row>
    <row r="61533" spans="23:23" x14ac:dyDescent="0.55000000000000004">
      <c r="W61533"/>
    </row>
    <row r="61534" spans="23:23" x14ac:dyDescent="0.55000000000000004">
      <c r="W61534"/>
    </row>
    <row r="61535" spans="23:23" x14ac:dyDescent="0.55000000000000004">
      <c r="W61535"/>
    </row>
    <row r="61536" spans="23:23" x14ac:dyDescent="0.55000000000000004">
      <c r="W61536"/>
    </row>
    <row r="61537" spans="23:23" x14ac:dyDescent="0.55000000000000004">
      <c r="W61537"/>
    </row>
    <row r="61538" spans="23:23" x14ac:dyDescent="0.55000000000000004">
      <c r="W61538"/>
    </row>
    <row r="61539" spans="23:23" x14ac:dyDescent="0.55000000000000004">
      <c r="W61539"/>
    </row>
    <row r="61540" spans="23:23" x14ac:dyDescent="0.55000000000000004">
      <c r="W61540"/>
    </row>
    <row r="61541" spans="23:23" x14ac:dyDescent="0.55000000000000004">
      <c r="W61541"/>
    </row>
    <row r="61542" spans="23:23" x14ac:dyDescent="0.55000000000000004">
      <c r="W61542"/>
    </row>
    <row r="61543" spans="23:23" x14ac:dyDescent="0.55000000000000004">
      <c r="W61543"/>
    </row>
    <row r="61544" spans="23:23" x14ac:dyDescent="0.55000000000000004">
      <c r="W61544"/>
    </row>
    <row r="61545" spans="23:23" x14ac:dyDescent="0.55000000000000004">
      <c r="W61545"/>
    </row>
    <row r="61546" spans="23:23" x14ac:dyDescent="0.55000000000000004">
      <c r="W61546"/>
    </row>
    <row r="61547" spans="23:23" x14ac:dyDescent="0.55000000000000004">
      <c r="W61547"/>
    </row>
    <row r="61548" spans="23:23" x14ac:dyDescent="0.55000000000000004">
      <c r="W61548"/>
    </row>
    <row r="61549" spans="23:23" x14ac:dyDescent="0.55000000000000004">
      <c r="W61549"/>
    </row>
    <row r="61550" spans="23:23" x14ac:dyDescent="0.55000000000000004">
      <c r="W61550"/>
    </row>
    <row r="61551" spans="23:23" x14ac:dyDescent="0.55000000000000004">
      <c r="W61551"/>
    </row>
    <row r="61552" spans="23:23" x14ac:dyDescent="0.55000000000000004">
      <c r="W61552"/>
    </row>
    <row r="61553" spans="23:23" x14ac:dyDescent="0.55000000000000004">
      <c r="W61553"/>
    </row>
    <row r="61554" spans="23:23" x14ac:dyDescent="0.55000000000000004">
      <c r="W61554"/>
    </row>
    <row r="61555" spans="23:23" x14ac:dyDescent="0.55000000000000004">
      <c r="W61555"/>
    </row>
    <row r="61556" spans="23:23" x14ac:dyDescent="0.55000000000000004">
      <c r="W61556"/>
    </row>
    <row r="61557" spans="23:23" x14ac:dyDescent="0.55000000000000004">
      <c r="W61557"/>
    </row>
    <row r="61558" spans="23:23" x14ac:dyDescent="0.55000000000000004">
      <c r="W61558"/>
    </row>
    <row r="61559" spans="23:23" x14ac:dyDescent="0.55000000000000004">
      <c r="W61559"/>
    </row>
    <row r="61560" spans="23:23" x14ac:dyDescent="0.55000000000000004">
      <c r="W61560"/>
    </row>
    <row r="61561" spans="23:23" x14ac:dyDescent="0.55000000000000004">
      <c r="W61561"/>
    </row>
    <row r="61562" spans="23:23" x14ac:dyDescent="0.55000000000000004">
      <c r="W61562"/>
    </row>
    <row r="61563" spans="23:23" x14ac:dyDescent="0.55000000000000004">
      <c r="W61563"/>
    </row>
    <row r="61564" spans="23:23" x14ac:dyDescent="0.55000000000000004">
      <c r="W61564"/>
    </row>
    <row r="61565" spans="23:23" x14ac:dyDescent="0.55000000000000004">
      <c r="W61565"/>
    </row>
    <row r="61566" spans="23:23" x14ac:dyDescent="0.55000000000000004">
      <c r="W61566"/>
    </row>
    <row r="61567" spans="23:23" x14ac:dyDescent="0.55000000000000004">
      <c r="W61567"/>
    </row>
    <row r="61568" spans="23:23" x14ac:dyDescent="0.55000000000000004">
      <c r="W61568"/>
    </row>
    <row r="61569" spans="23:23" x14ac:dyDescent="0.55000000000000004">
      <c r="W61569"/>
    </row>
    <row r="61570" spans="23:23" x14ac:dyDescent="0.55000000000000004">
      <c r="W61570"/>
    </row>
    <row r="61571" spans="23:23" x14ac:dyDescent="0.55000000000000004">
      <c r="W61571"/>
    </row>
    <row r="61572" spans="23:23" x14ac:dyDescent="0.55000000000000004">
      <c r="W61572"/>
    </row>
    <row r="61573" spans="23:23" x14ac:dyDescent="0.55000000000000004">
      <c r="W61573"/>
    </row>
    <row r="61574" spans="23:23" x14ac:dyDescent="0.55000000000000004">
      <c r="W61574"/>
    </row>
    <row r="61575" spans="23:23" x14ac:dyDescent="0.55000000000000004">
      <c r="W61575"/>
    </row>
    <row r="61576" spans="23:23" x14ac:dyDescent="0.55000000000000004">
      <c r="W61576"/>
    </row>
    <row r="61577" spans="23:23" x14ac:dyDescent="0.55000000000000004">
      <c r="W61577"/>
    </row>
    <row r="61578" spans="23:23" x14ac:dyDescent="0.55000000000000004">
      <c r="W61578"/>
    </row>
    <row r="61579" spans="23:23" x14ac:dyDescent="0.55000000000000004">
      <c r="W61579"/>
    </row>
    <row r="61580" spans="23:23" x14ac:dyDescent="0.55000000000000004">
      <c r="W61580"/>
    </row>
    <row r="61581" spans="23:23" x14ac:dyDescent="0.55000000000000004">
      <c r="W61581"/>
    </row>
    <row r="61582" spans="23:23" x14ac:dyDescent="0.55000000000000004">
      <c r="W61582"/>
    </row>
    <row r="61583" spans="23:23" x14ac:dyDescent="0.55000000000000004">
      <c r="W61583"/>
    </row>
    <row r="61584" spans="23:23" x14ac:dyDescent="0.55000000000000004">
      <c r="W61584"/>
    </row>
    <row r="61585" spans="23:23" x14ac:dyDescent="0.55000000000000004">
      <c r="W61585"/>
    </row>
    <row r="61586" spans="23:23" x14ac:dyDescent="0.55000000000000004">
      <c r="W61586"/>
    </row>
    <row r="61587" spans="23:23" x14ac:dyDescent="0.55000000000000004">
      <c r="W61587"/>
    </row>
    <row r="61588" spans="23:23" x14ac:dyDescent="0.55000000000000004">
      <c r="W61588"/>
    </row>
    <row r="61589" spans="23:23" x14ac:dyDescent="0.55000000000000004">
      <c r="W61589"/>
    </row>
    <row r="61590" spans="23:23" x14ac:dyDescent="0.55000000000000004">
      <c r="W61590"/>
    </row>
    <row r="61591" spans="23:23" x14ac:dyDescent="0.55000000000000004">
      <c r="W61591"/>
    </row>
    <row r="61592" spans="23:23" x14ac:dyDescent="0.55000000000000004">
      <c r="W61592"/>
    </row>
    <row r="61593" spans="23:23" x14ac:dyDescent="0.55000000000000004">
      <c r="W61593"/>
    </row>
    <row r="61594" spans="23:23" x14ac:dyDescent="0.55000000000000004">
      <c r="W61594"/>
    </row>
    <row r="61595" spans="23:23" x14ac:dyDescent="0.55000000000000004">
      <c r="W61595"/>
    </row>
    <row r="61596" spans="23:23" x14ac:dyDescent="0.55000000000000004">
      <c r="W61596"/>
    </row>
    <row r="61597" spans="23:23" x14ac:dyDescent="0.55000000000000004">
      <c r="W61597"/>
    </row>
    <row r="61598" spans="23:23" x14ac:dyDescent="0.55000000000000004">
      <c r="W61598"/>
    </row>
    <row r="61599" spans="23:23" x14ac:dyDescent="0.55000000000000004">
      <c r="W61599"/>
    </row>
    <row r="61600" spans="23:23" x14ac:dyDescent="0.55000000000000004">
      <c r="W61600"/>
    </row>
    <row r="61601" spans="23:23" x14ac:dyDescent="0.55000000000000004">
      <c r="W61601"/>
    </row>
    <row r="61602" spans="23:23" x14ac:dyDescent="0.55000000000000004">
      <c r="W61602"/>
    </row>
    <row r="61603" spans="23:23" x14ac:dyDescent="0.55000000000000004">
      <c r="W61603"/>
    </row>
    <row r="61604" spans="23:23" x14ac:dyDescent="0.55000000000000004">
      <c r="W61604"/>
    </row>
    <row r="61605" spans="23:23" x14ac:dyDescent="0.55000000000000004">
      <c r="W61605"/>
    </row>
    <row r="61606" spans="23:23" x14ac:dyDescent="0.55000000000000004">
      <c r="W61606"/>
    </row>
    <row r="61607" spans="23:23" x14ac:dyDescent="0.55000000000000004">
      <c r="W61607"/>
    </row>
    <row r="61608" spans="23:23" x14ac:dyDescent="0.55000000000000004">
      <c r="W61608"/>
    </row>
    <row r="61609" spans="23:23" x14ac:dyDescent="0.55000000000000004">
      <c r="W61609"/>
    </row>
    <row r="61610" spans="23:23" x14ac:dyDescent="0.55000000000000004">
      <c r="W61610"/>
    </row>
    <row r="61611" spans="23:23" x14ac:dyDescent="0.55000000000000004">
      <c r="W61611"/>
    </row>
    <row r="61612" spans="23:23" x14ac:dyDescent="0.55000000000000004">
      <c r="W61612"/>
    </row>
    <row r="61613" spans="23:23" x14ac:dyDescent="0.55000000000000004">
      <c r="W61613"/>
    </row>
    <row r="61614" spans="23:23" x14ac:dyDescent="0.55000000000000004">
      <c r="W61614"/>
    </row>
    <row r="61615" spans="23:23" x14ac:dyDescent="0.55000000000000004">
      <c r="W61615"/>
    </row>
    <row r="61616" spans="23:23" x14ac:dyDescent="0.55000000000000004">
      <c r="W61616"/>
    </row>
    <row r="61617" spans="23:23" x14ac:dyDescent="0.55000000000000004">
      <c r="W61617"/>
    </row>
    <row r="61618" spans="23:23" x14ac:dyDescent="0.55000000000000004">
      <c r="W61618"/>
    </row>
    <row r="61619" spans="23:23" x14ac:dyDescent="0.55000000000000004">
      <c r="W61619"/>
    </row>
    <row r="61620" spans="23:23" x14ac:dyDescent="0.55000000000000004">
      <c r="W61620"/>
    </row>
    <row r="61621" spans="23:23" x14ac:dyDescent="0.55000000000000004">
      <c r="W61621"/>
    </row>
    <row r="61622" spans="23:23" x14ac:dyDescent="0.55000000000000004">
      <c r="W61622"/>
    </row>
    <row r="61623" spans="23:23" x14ac:dyDescent="0.55000000000000004">
      <c r="W61623"/>
    </row>
    <row r="61624" spans="23:23" x14ac:dyDescent="0.55000000000000004">
      <c r="W61624"/>
    </row>
    <row r="61625" spans="23:23" x14ac:dyDescent="0.55000000000000004">
      <c r="W61625"/>
    </row>
    <row r="61626" spans="23:23" x14ac:dyDescent="0.55000000000000004">
      <c r="W61626"/>
    </row>
    <row r="61627" spans="23:23" x14ac:dyDescent="0.55000000000000004">
      <c r="W61627"/>
    </row>
    <row r="61628" spans="23:23" x14ac:dyDescent="0.55000000000000004">
      <c r="W61628"/>
    </row>
    <row r="61629" spans="23:23" x14ac:dyDescent="0.55000000000000004">
      <c r="W61629"/>
    </row>
    <row r="61630" spans="23:23" x14ac:dyDescent="0.55000000000000004">
      <c r="W61630"/>
    </row>
    <row r="61631" spans="23:23" x14ac:dyDescent="0.55000000000000004">
      <c r="W61631"/>
    </row>
    <row r="61632" spans="23:23" x14ac:dyDescent="0.55000000000000004">
      <c r="W61632"/>
    </row>
    <row r="61633" spans="23:23" x14ac:dyDescent="0.55000000000000004">
      <c r="W61633"/>
    </row>
    <row r="61634" spans="23:23" x14ac:dyDescent="0.55000000000000004">
      <c r="W61634"/>
    </row>
    <row r="61635" spans="23:23" x14ac:dyDescent="0.55000000000000004">
      <c r="W61635"/>
    </row>
    <row r="61636" spans="23:23" x14ac:dyDescent="0.55000000000000004">
      <c r="W61636"/>
    </row>
    <row r="61637" spans="23:23" x14ac:dyDescent="0.55000000000000004">
      <c r="W61637"/>
    </row>
    <row r="61638" spans="23:23" x14ac:dyDescent="0.55000000000000004">
      <c r="W61638"/>
    </row>
    <row r="61639" spans="23:23" x14ac:dyDescent="0.55000000000000004">
      <c r="W61639"/>
    </row>
    <row r="61640" spans="23:23" x14ac:dyDescent="0.55000000000000004">
      <c r="W61640"/>
    </row>
    <row r="61641" spans="23:23" x14ac:dyDescent="0.55000000000000004">
      <c r="W61641"/>
    </row>
    <row r="61642" spans="23:23" x14ac:dyDescent="0.55000000000000004">
      <c r="W61642"/>
    </row>
    <row r="61643" spans="23:23" x14ac:dyDescent="0.55000000000000004">
      <c r="W61643"/>
    </row>
    <row r="61644" spans="23:23" x14ac:dyDescent="0.55000000000000004">
      <c r="W61644"/>
    </row>
    <row r="61645" spans="23:23" x14ac:dyDescent="0.55000000000000004">
      <c r="W61645"/>
    </row>
    <row r="61646" spans="23:23" x14ac:dyDescent="0.55000000000000004">
      <c r="W61646"/>
    </row>
    <row r="61647" spans="23:23" x14ac:dyDescent="0.55000000000000004">
      <c r="W61647"/>
    </row>
    <row r="61648" spans="23:23" x14ac:dyDescent="0.55000000000000004">
      <c r="W61648"/>
    </row>
    <row r="61649" spans="23:23" x14ac:dyDescent="0.55000000000000004">
      <c r="W61649"/>
    </row>
    <row r="61650" spans="23:23" x14ac:dyDescent="0.55000000000000004">
      <c r="W61650"/>
    </row>
    <row r="61651" spans="23:23" x14ac:dyDescent="0.55000000000000004">
      <c r="W61651"/>
    </row>
    <row r="61652" spans="23:23" x14ac:dyDescent="0.55000000000000004">
      <c r="W61652"/>
    </row>
    <row r="61653" spans="23:23" x14ac:dyDescent="0.55000000000000004">
      <c r="W61653"/>
    </row>
    <row r="61654" spans="23:23" x14ac:dyDescent="0.55000000000000004">
      <c r="W61654"/>
    </row>
    <row r="61655" spans="23:23" x14ac:dyDescent="0.55000000000000004">
      <c r="W61655"/>
    </row>
    <row r="61656" spans="23:23" x14ac:dyDescent="0.55000000000000004">
      <c r="W61656"/>
    </row>
    <row r="61657" spans="23:23" x14ac:dyDescent="0.55000000000000004">
      <c r="W61657"/>
    </row>
    <row r="61658" spans="23:23" x14ac:dyDescent="0.55000000000000004">
      <c r="W61658"/>
    </row>
    <row r="61659" spans="23:23" x14ac:dyDescent="0.55000000000000004">
      <c r="W61659"/>
    </row>
    <row r="61660" spans="23:23" x14ac:dyDescent="0.55000000000000004">
      <c r="W61660"/>
    </row>
    <row r="61661" spans="23:23" x14ac:dyDescent="0.55000000000000004">
      <c r="W61661"/>
    </row>
    <row r="61662" spans="23:23" x14ac:dyDescent="0.55000000000000004">
      <c r="W61662"/>
    </row>
    <row r="61663" spans="23:23" x14ac:dyDescent="0.55000000000000004">
      <c r="W61663"/>
    </row>
    <row r="61664" spans="23:23" x14ac:dyDescent="0.55000000000000004">
      <c r="W61664"/>
    </row>
    <row r="61665" spans="23:23" x14ac:dyDescent="0.55000000000000004">
      <c r="W61665"/>
    </row>
    <row r="61666" spans="23:23" x14ac:dyDescent="0.55000000000000004">
      <c r="W61666"/>
    </row>
    <row r="61667" spans="23:23" x14ac:dyDescent="0.55000000000000004">
      <c r="W61667"/>
    </row>
    <row r="61668" spans="23:23" x14ac:dyDescent="0.55000000000000004">
      <c r="W61668"/>
    </row>
    <row r="61669" spans="23:23" x14ac:dyDescent="0.55000000000000004">
      <c r="W61669"/>
    </row>
    <row r="61670" spans="23:23" x14ac:dyDescent="0.55000000000000004">
      <c r="W61670"/>
    </row>
    <row r="61671" spans="23:23" x14ac:dyDescent="0.55000000000000004">
      <c r="W61671"/>
    </row>
    <row r="61672" spans="23:23" x14ac:dyDescent="0.55000000000000004">
      <c r="W61672"/>
    </row>
    <row r="61673" spans="23:23" x14ac:dyDescent="0.55000000000000004">
      <c r="W61673"/>
    </row>
    <row r="61674" spans="23:23" x14ac:dyDescent="0.55000000000000004">
      <c r="W61674"/>
    </row>
    <row r="61675" spans="23:23" x14ac:dyDescent="0.55000000000000004">
      <c r="W61675"/>
    </row>
    <row r="61676" spans="23:23" x14ac:dyDescent="0.55000000000000004">
      <c r="W61676"/>
    </row>
    <row r="61677" spans="23:23" x14ac:dyDescent="0.55000000000000004">
      <c r="W61677"/>
    </row>
    <row r="61678" spans="23:23" x14ac:dyDescent="0.55000000000000004">
      <c r="W61678"/>
    </row>
    <row r="61679" spans="23:23" x14ac:dyDescent="0.55000000000000004">
      <c r="W61679"/>
    </row>
    <row r="61680" spans="23:23" x14ac:dyDescent="0.55000000000000004">
      <c r="W61680"/>
    </row>
    <row r="61681" spans="23:23" x14ac:dyDescent="0.55000000000000004">
      <c r="W61681"/>
    </row>
    <row r="61682" spans="23:23" x14ac:dyDescent="0.55000000000000004">
      <c r="W61682"/>
    </row>
    <row r="61683" spans="23:23" x14ac:dyDescent="0.55000000000000004">
      <c r="W61683"/>
    </row>
    <row r="61684" spans="23:23" x14ac:dyDescent="0.55000000000000004">
      <c r="W61684"/>
    </row>
    <row r="61685" spans="23:23" x14ac:dyDescent="0.55000000000000004">
      <c r="W61685"/>
    </row>
    <row r="61686" spans="23:23" x14ac:dyDescent="0.55000000000000004">
      <c r="W61686"/>
    </row>
    <row r="61687" spans="23:23" x14ac:dyDescent="0.55000000000000004">
      <c r="W61687"/>
    </row>
    <row r="61688" spans="23:23" x14ac:dyDescent="0.55000000000000004">
      <c r="W61688"/>
    </row>
    <row r="61689" spans="23:23" x14ac:dyDescent="0.55000000000000004">
      <c r="W61689"/>
    </row>
    <row r="61690" spans="23:23" x14ac:dyDescent="0.55000000000000004">
      <c r="W61690"/>
    </row>
    <row r="61691" spans="23:23" x14ac:dyDescent="0.55000000000000004">
      <c r="W61691"/>
    </row>
    <row r="61692" spans="23:23" x14ac:dyDescent="0.55000000000000004">
      <c r="W61692"/>
    </row>
    <row r="61693" spans="23:23" x14ac:dyDescent="0.55000000000000004">
      <c r="W61693"/>
    </row>
    <row r="61694" spans="23:23" x14ac:dyDescent="0.55000000000000004">
      <c r="W61694"/>
    </row>
    <row r="61695" spans="23:23" x14ac:dyDescent="0.55000000000000004">
      <c r="W61695"/>
    </row>
    <row r="61696" spans="23:23" x14ac:dyDescent="0.55000000000000004">
      <c r="W61696"/>
    </row>
    <row r="61697" spans="23:23" x14ac:dyDescent="0.55000000000000004">
      <c r="W61697"/>
    </row>
    <row r="61698" spans="23:23" x14ac:dyDescent="0.55000000000000004">
      <c r="W61698"/>
    </row>
    <row r="61699" spans="23:23" x14ac:dyDescent="0.55000000000000004">
      <c r="W61699"/>
    </row>
    <row r="61700" spans="23:23" x14ac:dyDescent="0.55000000000000004">
      <c r="W61700"/>
    </row>
    <row r="61701" spans="23:23" x14ac:dyDescent="0.55000000000000004">
      <c r="W61701"/>
    </row>
    <row r="61702" spans="23:23" x14ac:dyDescent="0.55000000000000004">
      <c r="W61702"/>
    </row>
    <row r="61703" spans="23:23" x14ac:dyDescent="0.55000000000000004">
      <c r="W61703"/>
    </row>
    <row r="61704" spans="23:23" x14ac:dyDescent="0.55000000000000004">
      <c r="W61704"/>
    </row>
    <row r="61705" spans="23:23" x14ac:dyDescent="0.55000000000000004">
      <c r="W61705"/>
    </row>
    <row r="61706" spans="23:23" x14ac:dyDescent="0.55000000000000004">
      <c r="W61706"/>
    </row>
    <row r="61707" spans="23:23" x14ac:dyDescent="0.55000000000000004">
      <c r="W61707"/>
    </row>
    <row r="61708" spans="23:23" x14ac:dyDescent="0.55000000000000004">
      <c r="W61708"/>
    </row>
    <row r="61709" spans="23:23" x14ac:dyDescent="0.55000000000000004">
      <c r="W61709"/>
    </row>
    <row r="61710" spans="23:23" x14ac:dyDescent="0.55000000000000004">
      <c r="W61710"/>
    </row>
    <row r="61711" spans="23:23" x14ac:dyDescent="0.55000000000000004">
      <c r="W61711"/>
    </row>
    <row r="61712" spans="23:23" x14ac:dyDescent="0.55000000000000004">
      <c r="W61712"/>
    </row>
    <row r="61713" spans="23:23" x14ac:dyDescent="0.55000000000000004">
      <c r="W61713"/>
    </row>
    <row r="61714" spans="23:23" x14ac:dyDescent="0.55000000000000004">
      <c r="W61714"/>
    </row>
    <row r="61715" spans="23:23" x14ac:dyDescent="0.55000000000000004">
      <c r="W61715"/>
    </row>
    <row r="61716" spans="23:23" x14ac:dyDescent="0.55000000000000004">
      <c r="W61716"/>
    </row>
    <row r="61717" spans="23:23" x14ac:dyDescent="0.55000000000000004">
      <c r="W61717"/>
    </row>
    <row r="61718" spans="23:23" x14ac:dyDescent="0.55000000000000004">
      <c r="W61718"/>
    </row>
    <row r="61719" spans="23:23" x14ac:dyDescent="0.55000000000000004">
      <c r="W61719"/>
    </row>
    <row r="61720" spans="23:23" x14ac:dyDescent="0.55000000000000004">
      <c r="W61720"/>
    </row>
    <row r="61721" spans="23:23" x14ac:dyDescent="0.55000000000000004">
      <c r="W61721"/>
    </row>
    <row r="61722" spans="23:23" x14ac:dyDescent="0.55000000000000004">
      <c r="W61722"/>
    </row>
    <row r="61723" spans="23:23" x14ac:dyDescent="0.55000000000000004">
      <c r="W61723"/>
    </row>
    <row r="61724" spans="23:23" x14ac:dyDescent="0.55000000000000004">
      <c r="W61724"/>
    </row>
    <row r="61725" spans="23:23" x14ac:dyDescent="0.55000000000000004">
      <c r="W61725"/>
    </row>
    <row r="61726" spans="23:23" x14ac:dyDescent="0.55000000000000004">
      <c r="W61726"/>
    </row>
    <row r="61727" spans="23:23" x14ac:dyDescent="0.55000000000000004">
      <c r="W61727"/>
    </row>
    <row r="61728" spans="23:23" x14ac:dyDescent="0.55000000000000004">
      <c r="W61728"/>
    </row>
    <row r="61729" spans="23:23" x14ac:dyDescent="0.55000000000000004">
      <c r="W61729"/>
    </row>
    <row r="61730" spans="23:23" x14ac:dyDescent="0.55000000000000004">
      <c r="W61730"/>
    </row>
    <row r="61731" spans="23:23" x14ac:dyDescent="0.55000000000000004">
      <c r="W61731"/>
    </row>
    <row r="61732" spans="23:23" x14ac:dyDescent="0.55000000000000004">
      <c r="W61732"/>
    </row>
    <row r="61733" spans="23:23" x14ac:dyDescent="0.55000000000000004">
      <c r="W61733"/>
    </row>
    <row r="61734" spans="23:23" x14ac:dyDescent="0.55000000000000004">
      <c r="W61734"/>
    </row>
    <row r="61735" spans="23:23" x14ac:dyDescent="0.55000000000000004">
      <c r="W61735"/>
    </row>
    <row r="61736" spans="23:23" x14ac:dyDescent="0.55000000000000004">
      <c r="W61736"/>
    </row>
    <row r="61737" spans="23:23" x14ac:dyDescent="0.55000000000000004">
      <c r="W61737"/>
    </row>
    <row r="61738" spans="23:23" x14ac:dyDescent="0.55000000000000004">
      <c r="W61738"/>
    </row>
    <row r="61739" spans="23:23" x14ac:dyDescent="0.55000000000000004">
      <c r="W61739"/>
    </row>
    <row r="61740" spans="23:23" x14ac:dyDescent="0.55000000000000004">
      <c r="W61740"/>
    </row>
    <row r="61741" spans="23:23" x14ac:dyDescent="0.55000000000000004">
      <c r="W61741"/>
    </row>
    <row r="61742" spans="23:23" x14ac:dyDescent="0.55000000000000004">
      <c r="W61742"/>
    </row>
    <row r="61743" spans="23:23" x14ac:dyDescent="0.55000000000000004">
      <c r="W61743"/>
    </row>
    <row r="61744" spans="23:23" x14ac:dyDescent="0.55000000000000004">
      <c r="W61744"/>
    </row>
    <row r="61745" spans="23:23" x14ac:dyDescent="0.55000000000000004">
      <c r="W61745"/>
    </row>
    <row r="61746" spans="23:23" x14ac:dyDescent="0.55000000000000004">
      <c r="W61746"/>
    </row>
    <row r="61747" spans="23:23" x14ac:dyDescent="0.55000000000000004">
      <c r="W61747"/>
    </row>
    <row r="61748" spans="23:23" x14ac:dyDescent="0.55000000000000004">
      <c r="W61748"/>
    </row>
    <row r="61749" spans="23:23" x14ac:dyDescent="0.55000000000000004">
      <c r="W61749"/>
    </row>
    <row r="61750" spans="23:23" x14ac:dyDescent="0.55000000000000004">
      <c r="W61750"/>
    </row>
    <row r="61751" spans="23:23" x14ac:dyDescent="0.55000000000000004">
      <c r="W61751"/>
    </row>
    <row r="61752" spans="23:23" x14ac:dyDescent="0.55000000000000004">
      <c r="W61752"/>
    </row>
    <row r="61753" spans="23:23" x14ac:dyDescent="0.55000000000000004">
      <c r="W61753"/>
    </row>
    <row r="61754" spans="23:23" x14ac:dyDescent="0.55000000000000004">
      <c r="W61754"/>
    </row>
    <row r="61755" spans="23:23" x14ac:dyDescent="0.55000000000000004">
      <c r="W61755"/>
    </row>
    <row r="61756" spans="23:23" x14ac:dyDescent="0.55000000000000004">
      <c r="W61756"/>
    </row>
    <row r="61757" spans="23:23" x14ac:dyDescent="0.55000000000000004">
      <c r="W61757"/>
    </row>
    <row r="61758" spans="23:23" x14ac:dyDescent="0.55000000000000004">
      <c r="W61758"/>
    </row>
    <row r="61759" spans="23:23" x14ac:dyDescent="0.55000000000000004">
      <c r="W61759"/>
    </row>
    <row r="61760" spans="23:23" x14ac:dyDescent="0.55000000000000004">
      <c r="W61760"/>
    </row>
    <row r="61761" spans="23:23" x14ac:dyDescent="0.55000000000000004">
      <c r="W61761"/>
    </row>
    <row r="61762" spans="23:23" x14ac:dyDescent="0.55000000000000004">
      <c r="W61762"/>
    </row>
    <row r="61763" spans="23:23" x14ac:dyDescent="0.55000000000000004">
      <c r="W61763"/>
    </row>
    <row r="61764" spans="23:23" x14ac:dyDescent="0.55000000000000004">
      <c r="W61764"/>
    </row>
    <row r="61765" spans="23:23" x14ac:dyDescent="0.55000000000000004">
      <c r="W61765"/>
    </row>
    <row r="61766" spans="23:23" x14ac:dyDescent="0.55000000000000004">
      <c r="W61766"/>
    </row>
    <row r="61767" spans="23:23" x14ac:dyDescent="0.55000000000000004">
      <c r="W61767"/>
    </row>
    <row r="61768" spans="23:23" x14ac:dyDescent="0.55000000000000004">
      <c r="W61768"/>
    </row>
    <row r="61769" spans="23:23" x14ac:dyDescent="0.55000000000000004">
      <c r="W61769"/>
    </row>
    <row r="61770" spans="23:23" x14ac:dyDescent="0.55000000000000004">
      <c r="W61770"/>
    </row>
    <row r="61771" spans="23:23" x14ac:dyDescent="0.55000000000000004">
      <c r="W61771"/>
    </row>
    <row r="61772" spans="23:23" x14ac:dyDescent="0.55000000000000004">
      <c r="W61772"/>
    </row>
    <row r="61773" spans="23:23" x14ac:dyDescent="0.55000000000000004">
      <c r="W61773"/>
    </row>
    <row r="61774" spans="23:23" x14ac:dyDescent="0.55000000000000004">
      <c r="W61774"/>
    </row>
    <row r="61775" spans="23:23" x14ac:dyDescent="0.55000000000000004">
      <c r="W61775"/>
    </row>
    <row r="61776" spans="23:23" x14ac:dyDescent="0.55000000000000004">
      <c r="W61776"/>
    </row>
    <row r="61777" spans="23:23" x14ac:dyDescent="0.55000000000000004">
      <c r="W61777"/>
    </row>
    <row r="61778" spans="23:23" x14ac:dyDescent="0.55000000000000004">
      <c r="W61778"/>
    </row>
    <row r="61779" spans="23:23" x14ac:dyDescent="0.55000000000000004">
      <c r="W61779"/>
    </row>
    <row r="61780" spans="23:23" x14ac:dyDescent="0.55000000000000004">
      <c r="W61780"/>
    </row>
    <row r="61781" spans="23:23" x14ac:dyDescent="0.55000000000000004">
      <c r="W61781"/>
    </row>
    <row r="61782" spans="23:23" x14ac:dyDescent="0.55000000000000004">
      <c r="W61782"/>
    </row>
    <row r="61783" spans="23:23" x14ac:dyDescent="0.55000000000000004">
      <c r="W61783"/>
    </row>
    <row r="61784" spans="23:23" x14ac:dyDescent="0.55000000000000004">
      <c r="W61784"/>
    </row>
    <row r="61785" spans="23:23" x14ac:dyDescent="0.55000000000000004">
      <c r="W61785"/>
    </row>
    <row r="61786" spans="23:23" x14ac:dyDescent="0.55000000000000004">
      <c r="W61786"/>
    </row>
    <row r="61787" spans="23:23" x14ac:dyDescent="0.55000000000000004">
      <c r="W61787"/>
    </row>
    <row r="61788" spans="23:23" x14ac:dyDescent="0.55000000000000004">
      <c r="W61788"/>
    </row>
    <row r="61789" spans="23:23" x14ac:dyDescent="0.55000000000000004">
      <c r="W61789"/>
    </row>
    <row r="61790" spans="23:23" x14ac:dyDescent="0.55000000000000004">
      <c r="W61790"/>
    </row>
    <row r="61791" spans="23:23" x14ac:dyDescent="0.55000000000000004">
      <c r="W61791"/>
    </row>
    <row r="61792" spans="23:23" x14ac:dyDescent="0.55000000000000004">
      <c r="W61792"/>
    </row>
    <row r="61793" spans="23:23" x14ac:dyDescent="0.55000000000000004">
      <c r="W61793"/>
    </row>
    <row r="61794" spans="23:23" x14ac:dyDescent="0.55000000000000004">
      <c r="W61794"/>
    </row>
    <row r="61795" spans="23:23" x14ac:dyDescent="0.55000000000000004">
      <c r="W61795"/>
    </row>
    <row r="61796" spans="23:23" x14ac:dyDescent="0.55000000000000004">
      <c r="W61796"/>
    </row>
    <row r="61797" spans="23:23" x14ac:dyDescent="0.55000000000000004">
      <c r="W61797"/>
    </row>
    <row r="61798" spans="23:23" x14ac:dyDescent="0.55000000000000004">
      <c r="W61798"/>
    </row>
    <row r="61799" spans="23:23" x14ac:dyDescent="0.55000000000000004">
      <c r="W61799"/>
    </row>
    <row r="61800" spans="23:23" x14ac:dyDescent="0.55000000000000004">
      <c r="W61800"/>
    </row>
    <row r="61801" spans="23:23" x14ac:dyDescent="0.55000000000000004">
      <c r="W61801"/>
    </row>
    <row r="61802" spans="23:23" x14ac:dyDescent="0.55000000000000004">
      <c r="W61802"/>
    </row>
    <row r="61803" spans="23:23" x14ac:dyDescent="0.55000000000000004">
      <c r="W61803"/>
    </row>
    <row r="61804" spans="23:23" x14ac:dyDescent="0.55000000000000004">
      <c r="W61804"/>
    </row>
    <row r="61805" spans="23:23" x14ac:dyDescent="0.55000000000000004">
      <c r="W61805"/>
    </row>
    <row r="61806" spans="23:23" x14ac:dyDescent="0.55000000000000004">
      <c r="W61806"/>
    </row>
    <row r="61807" spans="23:23" x14ac:dyDescent="0.55000000000000004">
      <c r="W61807"/>
    </row>
    <row r="61808" spans="23:23" x14ac:dyDescent="0.55000000000000004">
      <c r="W61808"/>
    </row>
    <row r="61809" spans="23:23" x14ac:dyDescent="0.55000000000000004">
      <c r="W61809"/>
    </row>
    <row r="61810" spans="23:23" x14ac:dyDescent="0.55000000000000004">
      <c r="W61810"/>
    </row>
    <row r="61811" spans="23:23" x14ac:dyDescent="0.55000000000000004">
      <c r="W61811"/>
    </row>
    <row r="61812" spans="23:23" x14ac:dyDescent="0.55000000000000004">
      <c r="W61812"/>
    </row>
    <row r="61813" spans="23:23" x14ac:dyDescent="0.55000000000000004">
      <c r="W61813"/>
    </row>
    <row r="61814" spans="23:23" x14ac:dyDescent="0.55000000000000004">
      <c r="W61814"/>
    </row>
    <row r="61815" spans="23:23" x14ac:dyDescent="0.55000000000000004">
      <c r="W61815"/>
    </row>
    <row r="61816" spans="23:23" x14ac:dyDescent="0.55000000000000004">
      <c r="W61816"/>
    </row>
    <row r="61817" spans="23:23" x14ac:dyDescent="0.55000000000000004">
      <c r="W61817"/>
    </row>
    <row r="61818" spans="23:23" x14ac:dyDescent="0.55000000000000004">
      <c r="W61818"/>
    </row>
    <row r="61819" spans="23:23" x14ac:dyDescent="0.55000000000000004">
      <c r="W61819"/>
    </row>
    <row r="61820" spans="23:23" x14ac:dyDescent="0.55000000000000004">
      <c r="W61820"/>
    </row>
    <row r="61821" spans="23:23" x14ac:dyDescent="0.55000000000000004">
      <c r="W61821"/>
    </row>
    <row r="61822" spans="23:23" x14ac:dyDescent="0.55000000000000004">
      <c r="W61822"/>
    </row>
    <row r="61823" spans="23:23" x14ac:dyDescent="0.55000000000000004">
      <c r="W61823"/>
    </row>
    <row r="61824" spans="23:23" x14ac:dyDescent="0.55000000000000004">
      <c r="W61824"/>
    </row>
    <row r="61825" spans="23:23" x14ac:dyDescent="0.55000000000000004">
      <c r="W61825"/>
    </row>
    <row r="61826" spans="23:23" x14ac:dyDescent="0.55000000000000004">
      <c r="W61826"/>
    </row>
    <row r="61827" spans="23:23" x14ac:dyDescent="0.55000000000000004">
      <c r="W61827"/>
    </row>
    <row r="61828" spans="23:23" x14ac:dyDescent="0.55000000000000004">
      <c r="W61828"/>
    </row>
    <row r="61829" spans="23:23" x14ac:dyDescent="0.55000000000000004">
      <c r="W61829"/>
    </row>
    <row r="61830" spans="23:23" x14ac:dyDescent="0.55000000000000004">
      <c r="W61830"/>
    </row>
    <row r="61831" spans="23:23" x14ac:dyDescent="0.55000000000000004">
      <c r="W61831"/>
    </row>
    <row r="61832" spans="23:23" x14ac:dyDescent="0.55000000000000004">
      <c r="W61832"/>
    </row>
    <row r="61833" spans="23:23" x14ac:dyDescent="0.55000000000000004">
      <c r="W61833"/>
    </row>
    <row r="61834" spans="23:23" x14ac:dyDescent="0.55000000000000004">
      <c r="W61834"/>
    </row>
    <row r="61835" spans="23:23" x14ac:dyDescent="0.55000000000000004">
      <c r="W61835"/>
    </row>
    <row r="61836" spans="23:23" x14ac:dyDescent="0.55000000000000004">
      <c r="W61836"/>
    </row>
    <row r="61837" spans="23:23" x14ac:dyDescent="0.55000000000000004">
      <c r="W61837"/>
    </row>
    <row r="61838" spans="23:23" x14ac:dyDescent="0.55000000000000004">
      <c r="W61838"/>
    </row>
    <row r="61839" spans="23:23" x14ac:dyDescent="0.55000000000000004">
      <c r="W61839"/>
    </row>
    <row r="61840" spans="23:23" x14ac:dyDescent="0.55000000000000004">
      <c r="W61840"/>
    </row>
    <row r="61841" spans="23:23" x14ac:dyDescent="0.55000000000000004">
      <c r="W61841"/>
    </row>
    <row r="61842" spans="23:23" x14ac:dyDescent="0.55000000000000004">
      <c r="W61842"/>
    </row>
    <row r="61843" spans="23:23" x14ac:dyDescent="0.55000000000000004">
      <c r="W61843"/>
    </row>
    <row r="61844" spans="23:23" x14ac:dyDescent="0.55000000000000004">
      <c r="W61844"/>
    </row>
    <row r="61845" spans="23:23" x14ac:dyDescent="0.55000000000000004">
      <c r="W61845"/>
    </row>
    <row r="61846" spans="23:23" x14ac:dyDescent="0.55000000000000004">
      <c r="W61846"/>
    </row>
    <row r="61847" spans="23:23" x14ac:dyDescent="0.55000000000000004">
      <c r="W61847"/>
    </row>
    <row r="61848" spans="23:23" x14ac:dyDescent="0.55000000000000004">
      <c r="W61848"/>
    </row>
    <row r="61849" spans="23:23" x14ac:dyDescent="0.55000000000000004">
      <c r="W61849"/>
    </row>
    <row r="61850" spans="23:23" x14ac:dyDescent="0.55000000000000004">
      <c r="W61850"/>
    </row>
    <row r="61851" spans="23:23" x14ac:dyDescent="0.55000000000000004">
      <c r="W61851"/>
    </row>
    <row r="61852" spans="23:23" x14ac:dyDescent="0.55000000000000004">
      <c r="W61852"/>
    </row>
    <row r="61853" spans="23:23" x14ac:dyDescent="0.55000000000000004">
      <c r="W61853"/>
    </row>
    <row r="61854" spans="23:23" x14ac:dyDescent="0.55000000000000004">
      <c r="W61854"/>
    </row>
    <row r="61855" spans="23:23" x14ac:dyDescent="0.55000000000000004">
      <c r="W61855"/>
    </row>
    <row r="61856" spans="23:23" x14ac:dyDescent="0.55000000000000004">
      <c r="W61856"/>
    </row>
    <row r="61857" spans="23:23" x14ac:dyDescent="0.55000000000000004">
      <c r="W61857"/>
    </row>
    <row r="61858" spans="23:23" x14ac:dyDescent="0.55000000000000004">
      <c r="W61858"/>
    </row>
    <row r="61859" spans="23:23" x14ac:dyDescent="0.55000000000000004">
      <c r="W61859"/>
    </row>
    <row r="61860" spans="23:23" x14ac:dyDescent="0.55000000000000004">
      <c r="W61860"/>
    </row>
    <row r="61861" spans="23:23" x14ac:dyDescent="0.55000000000000004">
      <c r="W61861"/>
    </row>
    <row r="61862" spans="23:23" x14ac:dyDescent="0.55000000000000004">
      <c r="W61862"/>
    </row>
    <row r="61863" spans="23:23" x14ac:dyDescent="0.55000000000000004">
      <c r="W61863"/>
    </row>
    <row r="61864" spans="23:23" x14ac:dyDescent="0.55000000000000004">
      <c r="W61864"/>
    </row>
    <row r="61865" spans="23:23" x14ac:dyDescent="0.55000000000000004">
      <c r="W61865"/>
    </row>
    <row r="61866" spans="23:23" x14ac:dyDescent="0.55000000000000004">
      <c r="W61866"/>
    </row>
    <row r="61867" spans="23:23" x14ac:dyDescent="0.55000000000000004">
      <c r="W61867"/>
    </row>
    <row r="61868" spans="23:23" x14ac:dyDescent="0.55000000000000004">
      <c r="W61868"/>
    </row>
    <row r="61869" spans="23:23" x14ac:dyDescent="0.55000000000000004">
      <c r="W61869"/>
    </row>
    <row r="61870" spans="23:23" x14ac:dyDescent="0.55000000000000004">
      <c r="W61870"/>
    </row>
    <row r="61871" spans="23:23" x14ac:dyDescent="0.55000000000000004">
      <c r="W61871"/>
    </row>
    <row r="61872" spans="23:23" x14ac:dyDescent="0.55000000000000004">
      <c r="W61872"/>
    </row>
    <row r="61873" spans="23:23" x14ac:dyDescent="0.55000000000000004">
      <c r="W61873"/>
    </row>
    <row r="61874" spans="23:23" x14ac:dyDescent="0.55000000000000004">
      <c r="W61874"/>
    </row>
    <row r="61875" spans="23:23" x14ac:dyDescent="0.55000000000000004">
      <c r="W61875"/>
    </row>
    <row r="61876" spans="23:23" x14ac:dyDescent="0.55000000000000004">
      <c r="W61876"/>
    </row>
    <row r="61877" spans="23:23" x14ac:dyDescent="0.55000000000000004">
      <c r="W61877"/>
    </row>
    <row r="61878" spans="23:23" x14ac:dyDescent="0.55000000000000004">
      <c r="W61878"/>
    </row>
    <row r="61879" spans="23:23" x14ac:dyDescent="0.55000000000000004">
      <c r="W61879"/>
    </row>
    <row r="61880" spans="23:23" x14ac:dyDescent="0.55000000000000004">
      <c r="W61880"/>
    </row>
    <row r="61881" spans="23:23" x14ac:dyDescent="0.55000000000000004">
      <c r="W61881"/>
    </row>
    <row r="61882" spans="23:23" x14ac:dyDescent="0.55000000000000004">
      <c r="W61882"/>
    </row>
    <row r="61883" spans="23:23" x14ac:dyDescent="0.55000000000000004">
      <c r="W61883"/>
    </row>
    <row r="61884" spans="23:23" x14ac:dyDescent="0.55000000000000004">
      <c r="W61884"/>
    </row>
    <row r="61885" spans="23:23" x14ac:dyDescent="0.55000000000000004">
      <c r="W61885"/>
    </row>
    <row r="61886" spans="23:23" x14ac:dyDescent="0.55000000000000004">
      <c r="W61886"/>
    </row>
    <row r="61887" spans="23:23" x14ac:dyDescent="0.55000000000000004">
      <c r="W61887"/>
    </row>
    <row r="61888" spans="23:23" x14ac:dyDescent="0.55000000000000004">
      <c r="W61888"/>
    </row>
    <row r="61889" spans="23:23" x14ac:dyDescent="0.55000000000000004">
      <c r="W61889"/>
    </row>
    <row r="61890" spans="23:23" x14ac:dyDescent="0.55000000000000004">
      <c r="W61890"/>
    </row>
    <row r="61891" spans="23:23" x14ac:dyDescent="0.55000000000000004">
      <c r="W61891"/>
    </row>
    <row r="61892" spans="23:23" x14ac:dyDescent="0.55000000000000004">
      <c r="W61892"/>
    </row>
    <row r="61893" spans="23:23" x14ac:dyDescent="0.55000000000000004">
      <c r="W61893"/>
    </row>
    <row r="61894" spans="23:23" x14ac:dyDescent="0.55000000000000004">
      <c r="W61894"/>
    </row>
    <row r="61895" spans="23:23" x14ac:dyDescent="0.55000000000000004">
      <c r="W61895"/>
    </row>
    <row r="61896" spans="23:23" x14ac:dyDescent="0.55000000000000004">
      <c r="W61896"/>
    </row>
    <row r="61897" spans="23:23" x14ac:dyDescent="0.55000000000000004">
      <c r="W61897"/>
    </row>
    <row r="61898" spans="23:23" x14ac:dyDescent="0.55000000000000004">
      <c r="W61898"/>
    </row>
    <row r="61899" spans="23:23" x14ac:dyDescent="0.55000000000000004">
      <c r="W61899"/>
    </row>
    <row r="61900" spans="23:23" x14ac:dyDescent="0.55000000000000004">
      <c r="W61900"/>
    </row>
    <row r="61901" spans="23:23" x14ac:dyDescent="0.55000000000000004">
      <c r="W61901"/>
    </row>
    <row r="61902" spans="23:23" x14ac:dyDescent="0.55000000000000004">
      <c r="W61902"/>
    </row>
    <row r="61903" spans="23:23" x14ac:dyDescent="0.55000000000000004">
      <c r="W61903"/>
    </row>
    <row r="61904" spans="23:23" x14ac:dyDescent="0.55000000000000004">
      <c r="W61904"/>
    </row>
    <row r="61905" spans="23:23" x14ac:dyDescent="0.55000000000000004">
      <c r="W61905"/>
    </row>
    <row r="61906" spans="23:23" x14ac:dyDescent="0.55000000000000004">
      <c r="W61906"/>
    </row>
    <row r="61907" spans="23:23" x14ac:dyDescent="0.55000000000000004">
      <c r="W61907"/>
    </row>
    <row r="61908" spans="23:23" x14ac:dyDescent="0.55000000000000004">
      <c r="W61908"/>
    </row>
    <row r="61909" spans="23:23" x14ac:dyDescent="0.55000000000000004">
      <c r="W61909"/>
    </row>
    <row r="61910" spans="23:23" x14ac:dyDescent="0.55000000000000004">
      <c r="W61910"/>
    </row>
    <row r="61911" spans="23:23" x14ac:dyDescent="0.55000000000000004">
      <c r="W61911"/>
    </row>
    <row r="61912" spans="23:23" x14ac:dyDescent="0.55000000000000004">
      <c r="W61912"/>
    </row>
    <row r="61913" spans="23:23" x14ac:dyDescent="0.55000000000000004">
      <c r="W61913"/>
    </row>
    <row r="61914" spans="23:23" x14ac:dyDescent="0.55000000000000004">
      <c r="W61914"/>
    </row>
    <row r="61915" spans="23:23" x14ac:dyDescent="0.55000000000000004">
      <c r="W61915"/>
    </row>
    <row r="61916" spans="23:23" x14ac:dyDescent="0.55000000000000004">
      <c r="W61916"/>
    </row>
    <row r="61917" spans="23:23" x14ac:dyDescent="0.55000000000000004">
      <c r="W61917"/>
    </row>
    <row r="61918" spans="23:23" x14ac:dyDescent="0.55000000000000004">
      <c r="W61918"/>
    </row>
    <row r="61919" spans="23:23" x14ac:dyDescent="0.55000000000000004">
      <c r="W61919"/>
    </row>
    <row r="61920" spans="23:23" x14ac:dyDescent="0.55000000000000004">
      <c r="W61920"/>
    </row>
    <row r="61921" spans="23:23" x14ac:dyDescent="0.55000000000000004">
      <c r="W61921"/>
    </row>
    <row r="61922" spans="23:23" x14ac:dyDescent="0.55000000000000004">
      <c r="W61922"/>
    </row>
    <row r="61923" spans="23:23" x14ac:dyDescent="0.55000000000000004">
      <c r="W61923"/>
    </row>
    <row r="61924" spans="23:23" x14ac:dyDescent="0.55000000000000004">
      <c r="W61924"/>
    </row>
    <row r="61925" spans="23:23" x14ac:dyDescent="0.55000000000000004">
      <c r="W61925"/>
    </row>
    <row r="61926" spans="23:23" x14ac:dyDescent="0.55000000000000004">
      <c r="W61926"/>
    </row>
    <row r="61927" spans="23:23" x14ac:dyDescent="0.55000000000000004">
      <c r="W61927"/>
    </row>
    <row r="61928" spans="23:23" x14ac:dyDescent="0.55000000000000004">
      <c r="W61928"/>
    </row>
    <row r="61929" spans="23:23" x14ac:dyDescent="0.55000000000000004">
      <c r="W61929"/>
    </row>
    <row r="61930" spans="23:23" x14ac:dyDescent="0.55000000000000004">
      <c r="W61930"/>
    </row>
    <row r="61931" spans="23:23" x14ac:dyDescent="0.55000000000000004">
      <c r="W61931"/>
    </row>
    <row r="61932" spans="23:23" x14ac:dyDescent="0.55000000000000004">
      <c r="W61932"/>
    </row>
    <row r="61933" spans="23:23" x14ac:dyDescent="0.55000000000000004">
      <c r="W61933"/>
    </row>
    <row r="61934" spans="23:23" x14ac:dyDescent="0.55000000000000004">
      <c r="W61934"/>
    </row>
    <row r="61935" spans="23:23" x14ac:dyDescent="0.55000000000000004">
      <c r="W61935"/>
    </row>
    <row r="61936" spans="23:23" x14ac:dyDescent="0.55000000000000004">
      <c r="W61936"/>
    </row>
    <row r="61937" spans="23:23" x14ac:dyDescent="0.55000000000000004">
      <c r="W61937"/>
    </row>
    <row r="61938" spans="23:23" x14ac:dyDescent="0.55000000000000004">
      <c r="W61938"/>
    </row>
    <row r="61939" spans="23:23" x14ac:dyDescent="0.55000000000000004">
      <c r="W61939"/>
    </row>
    <row r="61940" spans="23:23" x14ac:dyDescent="0.55000000000000004">
      <c r="W61940"/>
    </row>
    <row r="61941" spans="23:23" x14ac:dyDescent="0.55000000000000004">
      <c r="W61941"/>
    </row>
    <row r="61942" spans="23:23" x14ac:dyDescent="0.55000000000000004">
      <c r="W61942"/>
    </row>
    <row r="61943" spans="23:23" x14ac:dyDescent="0.55000000000000004">
      <c r="W61943"/>
    </row>
    <row r="61944" spans="23:23" x14ac:dyDescent="0.55000000000000004">
      <c r="W61944"/>
    </row>
    <row r="61945" spans="23:23" x14ac:dyDescent="0.55000000000000004">
      <c r="W61945"/>
    </row>
    <row r="61946" spans="23:23" x14ac:dyDescent="0.55000000000000004">
      <c r="W61946"/>
    </row>
    <row r="61947" spans="23:23" x14ac:dyDescent="0.55000000000000004">
      <c r="W61947"/>
    </row>
    <row r="61948" spans="23:23" x14ac:dyDescent="0.55000000000000004">
      <c r="W61948"/>
    </row>
    <row r="61949" spans="23:23" x14ac:dyDescent="0.55000000000000004">
      <c r="W61949"/>
    </row>
    <row r="61950" spans="23:23" x14ac:dyDescent="0.55000000000000004">
      <c r="W61950"/>
    </row>
    <row r="61951" spans="23:23" x14ac:dyDescent="0.55000000000000004">
      <c r="W61951"/>
    </row>
    <row r="61952" spans="23:23" x14ac:dyDescent="0.55000000000000004">
      <c r="W61952"/>
    </row>
    <row r="61953" spans="23:23" x14ac:dyDescent="0.55000000000000004">
      <c r="W61953"/>
    </row>
    <row r="61954" spans="23:23" x14ac:dyDescent="0.55000000000000004">
      <c r="W61954"/>
    </row>
    <row r="61955" spans="23:23" x14ac:dyDescent="0.55000000000000004">
      <c r="W61955"/>
    </row>
    <row r="61956" spans="23:23" x14ac:dyDescent="0.55000000000000004">
      <c r="W61956"/>
    </row>
    <row r="61957" spans="23:23" x14ac:dyDescent="0.55000000000000004">
      <c r="W61957"/>
    </row>
    <row r="61958" spans="23:23" x14ac:dyDescent="0.55000000000000004">
      <c r="W61958"/>
    </row>
    <row r="61959" spans="23:23" x14ac:dyDescent="0.55000000000000004">
      <c r="W61959"/>
    </row>
    <row r="61960" spans="23:23" x14ac:dyDescent="0.55000000000000004">
      <c r="W61960"/>
    </row>
    <row r="61961" spans="23:23" x14ac:dyDescent="0.55000000000000004">
      <c r="W61961"/>
    </row>
    <row r="61962" spans="23:23" x14ac:dyDescent="0.55000000000000004">
      <c r="W61962"/>
    </row>
    <row r="61963" spans="23:23" x14ac:dyDescent="0.55000000000000004">
      <c r="W61963"/>
    </row>
    <row r="61964" spans="23:23" x14ac:dyDescent="0.55000000000000004">
      <c r="W61964"/>
    </row>
    <row r="61965" spans="23:23" x14ac:dyDescent="0.55000000000000004">
      <c r="W61965"/>
    </row>
    <row r="61966" spans="23:23" x14ac:dyDescent="0.55000000000000004">
      <c r="W61966"/>
    </row>
    <row r="61967" spans="23:23" x14ac:dyDescent="0.55000000000000004">
      <c r="W61967"/>
    </row>
    <row r="61968" spans="23:23" x14ac:dyDescent="0.55000000000000004">
      <c r="W61968"/>
    </row>
    <row r="61969" spans="23:23" x14ac:dyDescent="0.55000000000000004">
      <c r="W61969"/>
    </row>
    <row r="61970" spans="23:23" x14ac:dyDescent="0.55000000000000004">
      <c r="W61970"/>
    </row>
    <row r="61971" spans="23:23" x14ac:dyDescent="0.55000000000000004">
      <c r="W61971"/>
    </row>
    <row r="61972" spans="23:23" x14ac:dyDescent="0.55000000000000004">
      <c r="W61972"/>
    </row>
    <row r="61973" spans="23:23" x14ac:dyDescent="0.55000000000000004">
      <c r="W61973"/>
    </row>
    <row r="61974" spans="23:23" x14ac:dyDescent="0.55000000000000004">
      <c r="W61974"/>
    </row>
    <row r="61975" spans="23:23" x14ac:dyDescent="0.55000000000000004">
      <c r="W61975"/>
    </row>
    <row r="61976" spans="23:23" x14ac:dyDescent="0.55000000000000004">
      <c r="W61976"/>
    </row>
    <row r="61977" spans="23:23" x14ac:dyDescent="0.55000000000000004">
      <c r="W61977"/>
    </row>
    <row r="61978" spans="23:23" x14ac:dyDescent="0.55000000000000004">
      <c r="W61978"/>
    </row>
    <row r="61979" spans="23:23" x14ac:dyDescent="0.55000000000000004">
      <c r="W61979"/>
    </row>
    <row r="61980" spans="23:23" x14ac:dyDescent="0.55000000000000004">
      <c r="W61980"/>
    </row>
    <row r="61981" spans="23:23" x14ac:dyDescent="0.55000000000000004">
      <c r="W61981"/>
    </row>
    <row r="61982" spans="23:23" x14ac:dyDescent="0.55000000000000004">
      <c r="W61982"/>
    </row>
    <row r="61983" spans="23:23" x14ac:dyDescent="0.55000000000000004">
      <c r="W61983"/>
    </row>
    <row r="61984" spans="23:23" x14ac:dyDescent="0.55000000000000004">
      <c r="W61984"/>
    </row>
    <row r="61985" spans="23:23" x14ac:dyDescent="0.55000000000000004">
      <c r="W61985"/>
    </row>
    <row r="61986" spans="23:23" x14ac:dyDescent="0.55000000000000004">
      <c r="W61986"/>
    </row>
    <row r="61987" spans="23:23" x14ac:dyDescent="0.55000000000000004">
      <c r="W61987"/>
    </row>
    <row r="61988" spans="23:23" x14ac:dyDescent="0.55000000000000004">
      <c r="W61988"/>
    </row>
    <row r="61989" spans="23:23" x14ac:dyDescent="0.55000000000000004">
      <c r="W61989"/>
    </row>
    <row r="61990" spans="23:23" x14ac:dyDescent="0.55000000000000004">
      <c r="W61990"/>
    </row>
    <row r="61991" spans="23:23" x14ac:dyDescent="0.55000000000000004">
      <c r="W61991"/>
    </row>
    <row r="61992" spans="23:23" x14ac:dyDescent="0.55000000000000004">
      <c r="W61992"/>
    </row>
    <row r="61993" spans="23:23" x14ac:dyDescent="0.55000000000000004">
      <c r="W61993"/>
    </row>
    <row r="61994" spans="23:23" x14ac:dyDescent="0.55000000000000004">
      <c r="W61994"/>
    </row>
    <row r="61995" spans="23:23" x14ac:dyDescent="0.55000000000000004">
      <c r="W61995"/>
    </row>
    <row r="61996" spans="23:23" x14ac:dyDescent="0.55000000000000004">
      <c r="W61996"/>
    </row>
    <row r="61997" spans="23:23" x14ac:dyDescent="0.55000000000000004">
      <c r="W61997"/>
    </row>
    <row r="61998" spans="23:23" x14ac:dyDescent="0.55000000000000004">
      <c r="W61998"/>
    </row>
    <row r="61999" spans="23:23" x14ac:dyDescent="0.55000000000000004">
      <c r="W61999"/>
    </row>
    <row r="62000" spans="23:23" x14ac:dyDescent="0.55000000000000004">
      <c r="W62000"/>
    </row>
    <row r="62001" spans="23:23" x14ac:dyDescent="0.55000000000000004">
      <c r="W62001"/>
    </row>
    <row r="62002" spans="23:23" x14ac:dyDescent="0.55000000000000004">
      <c r="W62002"/>
    </row>
    <row r="62003" spans="23:23" x14ac:dyDescent="0.55000000000000004">
      <c r="W62003"/>
    </row>
    <row r="62004" spans="23:23" x14ac:dyDescent="0.55000000000000004">
      <c r="W62004"/>
    </row>
    <row r="62005" spans="23:23" x14ac:dyDescent="0.55000000000000004">
      <c r="W62005"/>
    </row>
    <row r="62006" spans="23:23" x14ac:dyDescent="0.55000000000000004">
      <c r="W62006"/>
    </row>
    <row r="62007" spans="23:23" x14ac:dyDescent="0.55000000000000004">
      <c r="W62007"/>
    </row>
    <row r="62008" spans="23:23" x14ac:dyDescent="0.55000000000000004">
      <c r="W62008"/>
    </row>
    <row r="62009" spans="23:23" x14ac:dyDescent="0.55000000000000004">
      <c r="W62009"/>
    </row>
    <row r="62010" spans="23:23" x14ac:dyDescent="0.55000000000000004">
      <c r="W62010"/>
    </row>
    <row r="62011" spans="23:23" x14ac:dyDescent="0.55000000000000004">
      <c r="W62011"/>
    </row>
    <row r="62012" spans="23:23" x14ac:dyDescent="0.55000000000000004">
      <c r="W62012"/>
    </row>
    <row r="62013" spans="23:23" x14ac:dyDescent="0.55000000000000004">
      <c r="W62013"/>
    </row>
    <row r="62014" spans="23:23" x14ac:dyDescent="0.55000000000000004">
      <c r="W62014"/>
    </row>
    <row r="62015" spans="23:23" x14ac:dyDescent="0.55000000000000004">
      <c r="W62015"/>
    </row>
    <row r="62016" spans="23:23" x14ac:dyDescent="0.55000000000000004">
      <c r="W62016"/>
    </row>
    <row r="62017" spans="23:23" x14ac:dyDescent="0.55000000000000004">
      <c r="W62017"/>
    </row>
    <row r="62018" spans="23:23" x14ac:dyDescent="0.55000000000000004">
      <c r="W62018"/>
    </row>
    <row r="62019" spans="23:23" x14ac:dyDescent="0.55000000000000004">
      <c r="W62019"/>
    </row>
    <row r="62020" spans="23:23" x14ac:dyDescent="0.55000000000000004">
      <c r="W62020"/>
    </row>
    <row r="62021" spans="23:23" x14ac:dyDescent="0.55000000000000004">
      <c r="W62021"/>
    </row>
    <row r="62022" spans="23:23" x14ac:dyDescent="0.55000000000000004">
      <c r="W62022"/>
    </row>
    <row r="62023" spans="23:23" x14ac:dyDescent="0.55000000000000004">
      <c r="W62023"/>
    </row>
    <row r="62024" spans="23:23" x14ac:dyDescent="0.55000000000000004">
      <c r="W62024"/>
    </row>
    <row r="62025" spans="23:23" x14ac:dyDescent="0.55000000000000004">
      <c r="W62025"/>
    </row>
    <row r="62026" spans="23:23" x14ac:dyDescent="0.55000000000000004">
      <c r="W62026"/>
    </row>
    <row r="62027" spans="23:23" x14ac:dyDescent="0.55000000000000004">
      <c r="W62027"/>
    </row>
    <row r="62028" spans="23:23" x14ac:dyDescent="0.55000000000000004">
      <c r="W62028"/>
    </row>
    <row r="62029" spans="23:23" x14ac:dyDescent="0.55000000000000004">
      <c r="W62029"/>
    </row>
    <row r="62030" spans="23:23" x14ac:dyDescent="0.55000000000000004">
      <c r="W62030"/>
    </row>
    <row r="62031" spans="23:23" x14ac:dyDescent="0.55000000000000004">
      <c r="W62031"/>
    </row>
    <row r="62032" spans="23:23" x14ac:dyDescent="0.55000000000000004">
      <c r="W62032"/>
    </row>
    <row r="62033" spans="23:23" x14ac:dyDescent="0.55000000000000004">
      <c r="W62033"/>
    </row>
    <row r="62034" spans="23:23" x14ac:dyDescent="0.55000000000000004">
      <c r="W62034"/>
    </row>
    <row r="62035" spans="23:23" x14ac:dyDescent="0.55000000000000004">
      <c r="W62035"/>
    </row>
    <row r="62036" spans="23:23" x14ac:dyDescent="0.55000000000000004">
      <c r="W62036"/>
    </row>
    <row r="62037" spans="23:23" x14ac:dyDescent="0.55000000000000004">
      <c r="W62037"/>
    </row>
    <row r="62038" spans="23:23" x14ac:dyDescent="0.55000000000000004">
      <c r="W62038"/>
    </row>
    <row r="62039" spans="23:23" x14ac:dyDescent="0.55000000000000004">
      <c r="W62039"/>
    </row>
    <row r="62040" spans="23:23" x14ac:dyDescent="0.55000000000000004">
      <c r="W62040"/>
    </row>
    <row r="62041" spans="23:23" x14ac:dyDescent="0.55000000000000004">
      <c r="W62041"/>
    </row>
    <row r="62042" spans="23:23" x14ac:dyDescent="0.55000000000000004">
      <c r="W62042"/>
    </row>
    <row r="62043" spans="23:23" x14ac:dyDescent="0.55000000000000004">
      <c r="W62043"/>
    </row>
    <row r="62044" spans="23:23" x14ac:dyDescent="0.55000000000000004">
      <c r="W62044"/>
    </row>
    <row r="62045" spans="23:23" x14ac:dyDescent="0.55000000000000004">
      <c r="W62045"/>
    </row>
    <row r="62046" spans="23:23" x14ac:dyDescent="0.55000000000000004">
      <c r="W62046"/>
    </row>
    <row r="62047" spans="23:23" x14ac:dyDescent="0.55000000000000004">
      <c r="W62047"/>
    </row>
    <row r="62048" spans="23:23" x14ac:dyDescent="0.55000000000000004">
      <c r="W62048"/>
    </row>
    <row r="62049" spans="23:23" x14ac:dyDescent="0.55000000000000004">
      <c r="W62049"/>
    </row>
    <row r="62050" spans="23:23" x14ac:dyDescent="0.55000000000000004">
      <c r="W62050"/>
    </row>
    <row r="62051" spans="23:23" x14ac:dyDescent="0.55000000000000004">
      <c r="W62051"/>
    </row>
    <row r="62052" spans="23:23" x14ac:dyDescent="0.55000000000000004">
      <c r="W62052"/>
    </row>
    <row r="62053" spans="23:23" x14ac:dyDescent="0.55000000000000004">
      <c r="W62053"/>
    </row>
    <row r="62054" spans="23:23" x14ac:dyDescent="0.55000000000000004">
      <c r="W62054"/>
    </row>
    <row r="62055" spans="23:23" x14ac:dyDescent="0.55000000000000004">
      <c r="W62055"/>
    </row>
    <row r="62056" spans="23:23" x14ac:dyDescent="0.55000000000000004">
      <c r="W62056"/>
    </row>
    <row r="62057" spans="23:23" x14ac:dyDescent="0.55000000000000004">
      <c r="W62057"/>
    </row>
    <row r="62058" spans="23:23" x14ac:dyDescent="0.55000000000000004">
      <c r="W62058"/>
    </row>
    <row r="62059" spans="23:23" x14ac:dyDescent="0.55000000000000004">
      <c r="W62059"/>
    </row>
    <row r="62060" spans="23:23" x14ac:dyDescent="0.55000000000000004">
      <c r="W62060"/>
    </row>
    <row r="62061" spans="23:23" x14ac:dyDescent="0.55000000000000004">
      <c r="W62061"/>
    </row>
    <row r="62062" spans="23:23" x14ac:dyDescent="0.55000000000000004">
      <c r="W62062"/>
    </row>
    <row r="62063" spans="23:23" x14ac:dyDescent="0.55000000000000004">
      <c r="W62063"/>
    </row>
    <row r="62064" spans="23:23" x14ac:dyDescent="0.55000000000000004">
      <c r="W62064"/>
    </row>
    <row r="62065" spans="23:23" x14ac:dyDescent="0.55000000000000004">
      <c r="W62065"/>
    </row>
    <row r="62066" spans="23:23" x14ac:dyDescent="0.55000000000000004">
      <c r="W62066"/>
    </row>
    <row r="62067" spans="23:23" x14ac:dyDescent="0.55000000000000004">
      <c r="W62067"/>
    </row>
    <row r="62068" spans="23:23" x14ac:dyDescent="0.55000000000000004">
      <c r="W62068"/>
    </row>
    <row r="62069" spans="23:23" x14ac:dyDescent="0.55000000000000004">
      <c r="W62069"/>
    </row>
    <row r="62070" spans="23:23" x14ac:dyDescent="0.55000000000000004">
      <c r="W62070"/>
    </row>
    <row r="62071" spans="23:23" x14ac:dyDescent="0.55000000000000004">
      <c r="W62071"/>
    </row>
    <row r="62072" spans="23:23" x14ac:dyDescent="0.55000000000000004">
      <c r="W62072"/>
    </row>
    <row r="62073" spans="23:23" x14ac:dyDescent="0.55000000000000004">
      <c r="W62073"/>
    </row>
    <row r="62074" spans="23:23" x14ac:dyDescent="0.55000000000000004">
      <c r="W62074"/>
    </row>
    <row r="62075" spans="23:23" x14ac:dyDescent="0.55000000000000004">
      <c r="W62075"/>
    </row>
    <row r="62076" spans="23:23" x14ac:dyDescent="0.55000000000000004">
      <c r="W62076"/>
    </row>
    <row r="62077" spans="23:23" x14ac:dyDescent="0.55000000000000004">
      <c r="W62077"/>
    </row>
    <row r="62078" spans="23:23" x14ac:dyDescent="0.55000000000000004">
      <c r="W62078"/>
    </row>
    <row r="62079" spans="23:23" x14ac:dyDescent="0.55000000000000004">
      <c r="W62079"/>
    </row>
    <row r="62080" spans="23:23" x14ac:dyDescent="0.55000000000000004">
      <c r="W62080"/>
    </row>
    <row r="62081" spans="23:23" x14ac:dyDescent="0.55000000000000004">
      <c r="W62081"/>
    </row>
    <row r="62082" spans="23:23" x14ac:dyDescent="0.55000000000000004">
      <c r="W62082"/>
    </row>
    <row r="62083" spans="23:23" x14ac:dyDescent="0.55000000000000004">
      <c r="W62083"/>
    </row>
    <row r="62084" spans="23:23" x14ac:dyDescent="0.55000000000000004">
      <c r="W62084"/>
    </row>
    <row r="62085" spans="23:23" x14ac:dyDescent="0.55000000000000004">
      <c r="W62085"/>
    </row>
    <row r="62086" spans="23:23" x14ac:dyDescent="0.55000000000000004">
      <c r="W62086"/>
    </row>
    <row r="62087" spans="23:23" x14ac:dyDescent="0.55000000000000004">
      <c r="W62087"/>
    </row>
    <row r="62088" spans="23:23" x14ac:dyDescent="0.55000000000000004">
      <c r="W62088"/>
    </row>
    <row r="62089" spans="23:23" x14ac:dyDescent="0.55000000000000004">
      <c r="W62089"/>
    </row>
    <row r="62090" spans="23:23" x14ac:dyDescent="0.55000000000000004">
      <c r="W62090"/>
    </row>
    <row r="62091" spans="23:23" x14ac:dyDescent="0.55000000000000004">
      <c r="W62091"/>
    </row>
    <row r="62092" spans="23:23" x14ac:dyDescent="0.55000000000000004">
      <c r="W62092"/>
    </row>
    <row r="62093" spans="23:23" x14ac:dyDescent="0.55000000000000004">
      <c r="W62093"/>
    </row>
    <row r="62094" spans="23:23" x14ac:dyDescent="0.55000000000000004">
      <c r="W62094"/>
    </row>
    <row r="62095" spans="23:23" x14ac:dyDescent="0.55000000000000004">
      <c r="W62095"/>
    </row>
    <row r="62096" spans="23:23" x14ac:dyDescent="0.55000000000000004">
      <c r="W62096"/>
    </row>
    <row r="62097" spans="23:23" x14ac:dyDescent="0.55000000000000004">
      <c r="W62097"/>
    </row>
    <row r="62098" spans="23:23" x14ac:dyDescent="0.55000000000000004">
      <c r="W62098"/>
    </row>
    <row r="62099" spans="23:23" x14ac:dyDescent="0.55000000000000004">
      <c r="W62099"/>
    </row>
    <row r="62100" spans="23:23" x14ac:dyDescent="0.55000000000000004">
      <c r="W62100"/>
    </row>
    <row r="62101" spans="23:23" x14ac:dyDescent="0.55000000000000004">
      <c r="W62101"/>
    </row>
    <row r="62102" spans="23:23" x14ac:dyDescent="0.55000000000000004">
      <c r="W62102"/>
    </row>
    <row r="62103" spans="23:23" x14ac:dyDescent="0.55000000000000004">
      <c r="W62103"/>
    </row>
    <row r="62104" spans="23:23" x14ac:dyDescent="0.55000000000000004">
      <c r="W62104"/>
    </row>
    <row r="62105" spans="23:23" x14ac:dyDescent="0.55000000000000004">
      <c r="W62105"/>
    </row>
    <row r="62106" spans="23:23" x14ac:dyDescent="0.55000000000000004">
      <c r="W62106"/>
    </row>
    <row r="62107" spans="23:23" x14ac:dyDescent="0.55000000000000004">
      <c r="W62107"/>
    </row>
    <row r="62108" spans="23:23" x14ac:dyDescent="0.55000000000000004">
      <c r="W62108"/>
    </row>
    <row r="62109" spans="23:23" x14ac:dyDescent="0.55000000000000004">
      <c r="W62109"/>
    </row>
    <row r="62110" spans="23:23" x14ac:dyDescent="0.55000000000000004">
      <c r="W62110"/>
    </row>
    <row r="62111" spans="23:23" x14ac:dyDescent="0.55000000000000004">
      <c r="W62111"/>
    </row>
    <row r="62112" spans="23:23" x14ac:dyDescent="0.55000000000000004">
      <c r="W62112"/>
    </row>
    <row r="62113" spans="23:23" x14ac:dyDescent="0.55000000000000004">
      <c r="W62113"/>
    </row>
    <row r="62114" spans="23:23" x14ac:dyDescent="0.55000000000000004">
      <c r="W62114"/>
    </row>
    <row r="62115" spans="23:23" x14ac:dyDescent="0.55000000000000004">
      <c r="W62115"/>
    </row>
    <row r="62116" spans="23:23" x14ac:dyDescent="0.55000000000000004">
      <c r="W62116"/>
    </row>
    <row r="62117" spans="23:23" x14ac:dyDescent="0.55000000000000004">
      <c r="W62117"/>
    </row>
    <row r="62118" spans="23:23" x14ac:dyDescent="0.55000000000000004">
      <c r="W62118"/>
    </row>
    <row r="62119" spans="23:23" x14ac:dyDescent="0.55000000000000004">
      <c r="W62119"/>
    </row>
    <row r="62120" spans="23:23" x14ac:dyDescent="0.55000000000000004">
      <c r="W62120"/>
    </row>
    <row r="62121" spans="23:23" x14ac:dyDescent="0.55000000000000004">
      <c r="W62121"/>
    </row>
    <row r="62122" spans="23:23" x14ac:dyDescent="0.55000000000000004">
      <c r="W62122"/>
    </row>
    <row r="62123" spans="23:23" x14ac:dyDescent="0.55000000000000004">
      <c r="W62123"/>
    </row>
    <row r="62124" spans="23:23" x14ac:dyDescent="0.55000000000000004">
      <c r="W62124"/>
    </row>
    <row r="62125" spans="23:23" x14ac:dyDescent="0.55000000000000004">
      <c r="W62125"/>
    </row>
    <row r="62126" spans="23:23" x14ac:dyDescent="0.55000000000000004">
      <c r="W62126"/>
    </row>
    <row r="62127" spans="23:23" x14ac:dyDescent="0.55000000000000004">
      <c r="W62127"/>
    </row>
    <row r="62128" spans="23:23" x14ac:dyDescent="0.55000000000000004">
      <c r="W62128"/>
    </row>
    <row r="62129" spans="23:23" x14ac:dyDescent="0.55000000000000004">
      <c r="W62129"/>
    </row>
    <row r="62130" spans="23:23" x14ac:dyDescent="0.55000000000000004">
      <c r="W62130"/>
    </row>
    <row r="62131" spans="23:23" x14ac:dyDescent="0.55000000000000004">
      <c r="W62131"/>
    </row>
    <row r="62132" spans="23:23" x14ac:dyDescent="0.55000000000000004">
      <c r="W62132"/>
    </row>
    <row r="62133" spans="23:23" x14ac:dyDescent="0.55000000000000004">
      <c r="W62133"/>
    </row>
    <row r="62134" spans="23:23" x14ac:dyDescent="0.55000000000000004">
      <c r="W62134"/>
    </row>
    <row r="62135" spans="23:23" x14ac:dyDescent="0.55000000000000004">
      <c r="W62135"/>
    </row>
    <row r="62136" spans="23:23" x14ac:dyDescent="0.55000000000000004">
      <c r="W62136"/>
    </row>
    <row r="62137" spans="23:23" x14ac:dyDescent="0.55000000000000004">
      <c r="W62137"/>
    </row>
    <row r="62138" spans="23:23" x14ac:dyDescent="0.55000000000000004">
      <c r="W62138"/>
    </row>
    <row r="62139" spans="23:23" x14ac:dyDescent="0.55000000000000004">
      <c r="W62139"/>
    </row>
    <row r="62140" spans="23:23" x14ac:dyDescent="0.55000000000000004">
      <c r="W62140"/>
    </row>
    <row r="62141" spans="23:23" x14ac:dyDescent="0.55000000000000004">
      <c r="W62141"/>
    </row>
    <row r="62142" spans="23:23" x14ac:dyDescent="0.55000000000000004">
      <c r="W62142"/>
    </row>
    <row r="62143" spans="23:23" x14ac:dyDescent="0.55000000000000004">
      <c r="W62143"/>
    </row>
    <row r="62144" spans="23:23" x14ac:dyDescent="0.55000000000000004">
      <c r="W62144"/>
    </row>
    <row r="62145" spans="23:23" x14ac:dyDescent="0.55000000000000004">
      <c r="W62145"/>
    </row>
    <row r="62146" spans="23:23" x14ac:dyDescent="0.55000000000000004">
      <c r="W62146"/>
    </row>
    <row r="62147" spans="23:23" x14ac:dyDescent="0.55000000000000004">
      <c r="W62147"/>
    </row>
    <row r="62148" spans="23:23" x14ac:dyDescent="0.55000000000000004">
      <c r="W62148"/>
    </row>
    <row r="62149" spans="23:23" x14ac:dyDescent="0.55000000000000004">
      <c r="W62149"/>
    </row>
    <row r="62150" spans="23:23" x14ac:dyDescent="0.55000000000000004">
      <c r="W62150"/>
    </row>
    <row r="62151" spans="23:23" x14ac:dyDescent="0.55000000000000004">
      <c r="W62151"/>
    </row>
    <row r="62152" spans="23:23" x14ac:dyDescent="0.55000000000000004">
      <c r="W62152"/>
    </row>
    <row r="62153" spans="23:23" x14ac:dyDescent="0.55000000000000004">
      <c r="W62153"/>
    </row>
    <row r="62154" spans="23:23" x14ac:dyDescent="0.55000000000000004">
      <c r="W62154"/>
    </row>
    <row r="62155" spans="23:23" x14ac:dyDescent="0.55000000000000004">
      <c r="W62155"/>
    </row>
    <row r="62156" spans="23:23" x14ac:dyDescent="0.55000000000000004">
      <c r="W62156"/>
    </row>
    <row r="62157" spans="23:23" x14ac:dyDescent="0.55000000000000004">
      <c r="W62157"/>
    </row>
    <row r="62158" spans="23:23" x14ac:dyDescent="0.55000000000000004">
      <c r="W62158"/>
    </row>
    <row r="62159" spans="23:23" x14ac:dyDescent="0.55000000000000004">
      <c r="W62159"/>
    </row>
    <row r="62160" spans="23:23" x14ac:dyDescent="0.55000000000000004">
      <c r="W62160"/>
    </row>
    <row r="62161" spans="23:23" x14ac:dyDescent="0.55000000000000004">
      <c r="W62161"/>
    </row>
    <row r="62162" spans="23:23" x14ac:dyDescent="0.55000000000000004">
      <c r="W62162"/>
    </row>
    <row r="62163" spans="23:23" x14ac:dyDescent="0.55000000000000004">
      <c r="W62163"/>
    </row>
    <row r="62164" spans="23:23" x14ac:dyDescent="0.55000000000000004">
      <c r="W62164"/>
    </row>
    <row r="62165" spans="23:23" x14ac:dyDescent="0.55000000000000004">
      <c r="W62165"/>
    </row>
    <row r="62166" spans="23:23" x14ac:dyDescent="0.55000000000000004">
      <c r="W62166"/>
    </row>
    <row r="62167" spans="23:23" x14ac:dyDescent="0.55000000000000004">
      <c r="W62167"/>
    </row>
    <row r="62168" spans="23:23" x14ac:dyDescent="0.55000000000000004">
      <c r="W62168"/>
    </row>
    <row r="62169" spans="23:23" x14ac:dyDescent="0.55000000000000004">
      <c r="W62169"/>
    </row>
    <row r="62170" spans="23:23" x14ac:dyDescent="0.55000000000000004">
      <c r="W62170"/>
    </row>
    <row r="62171" spans="23:23" x14ac:dyDescent="0.55000000000000004">
      <c r="W62171"/>
    </row>
    <row r="62172" spans="23:23" x14ac:dyDescent="0.55000000000000004">
      <c r="W62172"/>
    </row>
    <row r="62173" spans="23:23" x14ac:dyDescent="0.55000000000000004">
      <c r="W62173"/>
    </row>
    <row r="62174" spans="23:23" x14ac:dyDescent="0.55000000000000004">
      <c r="W62174"/>
    </row>
    <row r="62175" spans="23:23" x14ac:dyDescent="0.55000000000000004">
      <c r="W62175"/>
    </row>
    <row r="62176" spans="23:23" x14ac:dyDescent="0.55000000000000004">
      <c r="W62176"/>
    </row>
    <row r="62177" spans="23:23" x14ac:dyDescent="0.55000000000000004">
      <c r="W62177"/>
    </row>
    <row r="62178" spans="23:23" x14ac:dyDescent="0.55000000000000004">
      <c r="W62178"/>
    </row>
    <row r="62179" spans="23:23" x14ac:dyDescent="0.55000000000000004">
      <c r="W62179"/>
    </row>
    <row r="62180" spans="23:23" x14ac:dyDescent="0.55000000000000004">
      <c r="W62180"/>
    </row>
    <row r="62181" spans="23:23" x14ac:dyDescent="0.55000000000000004">
      <c r="W62181"/>
    </row>
    <row r="62182" spans="23:23" x14ac:dyDescent="0.55000000000000004">
      <c r="W62182"/>
    </row>
    <row r="62183" spans="23:23" x14ac:dyDescent="0.55000000000000004">
      <c r="W62183"/>
    </row>
    <row r="62184" spans="23:23" x14ac:dyDescent="0.55000000000000004">
      <c r="W62184"/>
    </row>
    <row r="62185" spans="23:23" x14ac:dyDescent="0.55000000000000004">
      <c r="W62185"/>
    </row>
    <row r="62186" spans="23:23" x14ac:dyDescent="0.55000000000000004">
      <c r="W62186"/>
    </row>
    <row r="62187" spans="23:23" x14ac:dyDescent="0.55000000000000004">
      <c r="W62187"/>
    </row>
    <row r="62188" spans="23:23" x14ac:dyDescent="0.55000000000000004">
      <c r="W62188"/>
    </row>
    <row r="62189" spans="23:23" x14ac:dyDescent="0.55000000000000004">
      <c r="W62189"/>
    </row>
    <row r="62190" spans="23:23" x14ac:dyDescent="0.55000000000000004">
      <c r="W62190"/>
    </row>
    <row r="62191" spans="23:23" x14ac:dyDescent="0.55000000000000004">
      <c r="W62191"/>
    </row>
    <row r="62192" spans="23:23" x14ac:dyDescent="0.55000000000000004">
      <c r="W62192"/>
    </row>
    <row r="62193" spans="23:23" x14ac:dyDescent="0.55000000000000004">
      <c r="W62193"/>
    </row>
    <row r="62194" spans="23:23" x14ac:dyDescent="0.55000000000000004">
      <c r="W62194"/>
    </row>
    <row r="62195" spans="23:23" x14ac:dyDescent="0.55000000000000004">
      <c r="W62195"/>
    </row>
    <row r="62196" spans="23:23" x14ac:dyDescent="0.55000000000000004">
      <c r="W62196"/>
    </row>
    <row r="62197" spans="23:23" x14ac:dyDescent="0.55000000000000004">
      <c r="W62197"/>
    </row>
    <row r="62198" spans="23:23" x14ac:dyDescent="0.55000000000000004">
      <c r="W62198"/>
    </row>
    <row r="62199" spans="23:23" x14ac:dyDescent="0.55000000000000004">
      <c r="W62199"/>
    </row>
    <row r="62200" spans="23:23" x14ac:dyDescent="0.55000000000000004">
      <c r="W62200"/>
    </row>
    <row r="62201" spans="23:23" x14ac:dyDescent="0.55000000000000004">
      <c r="W62201"/>
    </row>
    <row r="62202" spans="23:23" x14ac:dyDescent="0.55000000000000004">
      <c r="W62202"/>
    </row>
    <row r="62203" spans="23:23" x14ac:dyDescent="0.55000000000000004">
      <c r="W62203"/>
    </row>
    <row r="62204" spans="23:23" x14ac:dyDescent="0.55000000000000004">
      <c r="W62204"/>
    </row>
    <row r="62205" spans="23:23" x14ac:dyDescent="0.55000000000000004">
      <c r="W62205"/>
    </row>
    <row r="62206" spans="23:23" x14ac:dyDescent="0.55000000000000004">
      <c r="W62206"/>
    </row>
    <row r="62207" spans="23:23" x14ac:dyDescent="0.55000000000000004">
      <c r="W62207"/>
    </row>
    <row r="62208" spans="23:23" x14ac:dyDescent="0.55000000000000004">
      <c r="W62208"/>
    </row>
    <row r="62209" spans="23:23" x14ac:dyDescent="0.55000000000000004">
      <c r="W62209"/>
    </row>
    <row r="62210" spans="23:23" x14ac:dyDescent="0.55000000000000004">
      <c r="W62210"/>
    </row>
    <row r="62211" spans="23:23" x14ac:dyDescent="0.55000000000000004">
      <c r="W62211"/>
    </row>
    <row r="62212" spans="23:23" x14ac:dyDescent="0.55000000000000004">
      <c r="W62212"/>
    </row>
    <row r="62213" spans="23:23" x14ac:dyDescent="0.55000000000000004">
      <c r="W62213"/>
    </row>
    <row r="62214" spans="23:23" x14ac:dyDescent="0.55000000000000004">
      <c r="W62214"/>
    </row>
    <row r="62215" spans="23:23" x14ac:dyDescent="0.55000000000000004">
      <c r="W62215"/>
    </row>
    <row r="62216" spans="23:23" x14ac:dyDescent="0.55000000000000004">
      <c r="W62216"/>
    </row>
    <row r="62217" spans="23:23" x14ac:dyDescent="0.55000000000000004">
      <c r="W62217"/>
    </row>
    <row r="62218" spans="23:23" x14ac:dyDescent="0.55000000000000004">
      <c r="W62218"/>
    </row>
    <row r="62219" spans="23:23" x14ac:dyDescent="0.55000000000000004">
      <c r="W62219"/>
    </row>
    <row r="62220" spans="23:23" x14ac:dyDescent="0.55000000000000004">
      <c r="W62220"/>
    </row>
    <row r="62221" spans="23:23" x14ac:dyDescent="0.55000000000000004">
      <c r="W62221"/>
    </row>
    <row r="62222" spans="23:23" x14ac:dyDescent="0.55000000000000004">
      <c r="W62222"/>
    </row>
    <row r="62223" spans="23:23" x14ac:dyDescent="0.55000000000000004">
      <c r="W62223"/>
    </row>
    <row r="62224" spans="23:23" x14ac:dyDescent="0.55000000000000004">
      <c r="W62224"/>
    </row>
    <row r="62225" spans="23:23" x14ac:dyDescent="0.55000000000000004">
      <c r="W62225"/>
    </row>
    <row r="62226" spans="23:23" x14ac:dyDescent="0.55000000000000004">
      <c r="W62226"/>
    </row>
    <row r="62227" spans="23:23" x14ac:dyDescent="0.55000000000000004">
      <c r="W62227"/>
    </row>
    <row r="62228" spans="23:23" x14ac:dyDescent="0.55000000000000004">
      <c r="W62228"/>
    </row>
    <row r="62229" spans="23:23" x14ac:dyDescent="0.55000000000000004">
      <c r="W62229"/>
    </row>
    <row r="62230" spans="23:23" x14ac:dyDescent="0.55000000000000004">
      <c r="W62230"/>
    </row>
    <row r="62231" spans="23:23" x14ac:dyDescent="0.55000000000000004">
      <c r="W62231"/>
    </row>
    <row r="62232" spans="23:23" x14ac:dyDescent="0.55000000000000004">
      <c r="W62232"/>
    </row>
    <row r="62233" spans="23:23" x14ac:dyDescent="0.55000000000000004">
      <c r="W62233"/>
    </row>
    <row r="62234" spans="23:23" x14ac:dyDescent="0.55000000000000004">
      <c r="W62234"/>
    </row>
    <row r="62235" spans="23:23" x14ac:dyDescent="0.55000000000000004">
      <c r="W62235"/>
    </row>
    <row r="62236" spans="23:23" x14ac:dyDescent="0.55000000000000004">
      <c r="W62236"/>
    </row>
    <row r="62237" spans="23:23" x14ac:dyDescent="0.55000000000000004">
      <c r="W62237"/>
    </row>
    <row r="62238" spans="23:23" x14ac:dyDescent="0.55000000000000004">
      <c r="W62238"/>
    </row>
    <row r="62239" spans="23:23" x14ac:dyDescent="0.55000000000000004">
      <c r="W62239"/>
    </row>
    <row r="62240" spans="23:23" x14ac:dyDescent="0.55000000000000004">
      <c r="W62240"/>
    </row>
    <row r="62241" spans="23:23" x14ac:dyDescent="0.55000000000000004">
      <c r="W62241"/>
    </row>
    <row r="62242" spans="23:23" x14ac:dyDescent="0.55000000000000004">
      <c r="W62242"/>
    </row>
    <row r="62243" spans="23:23" x14ac:dyDescent="0.55000000000000004">
      <c r="W62243"/>
    </row>
    <row r="62244" spans="23:23" x14ac:dyDescent="0.55000000000000004">
      <c r="W62244"/>
    </row>
    <row r="62245" spans="23:23" x14ac:dyDescent="0.55000000000000004">
      <c r="W62245"/>
    </row>
    <row r="62246" spans="23:23" x14ac:dyDescent="0.55000000000000004">
      <c r="W62246"/>
    </row>
    <row r="62247" spans="23:23" x14ac:dyDescent="0.55000000000000004">
      <c r="W62247"/>
    </row>
    <row r="62248" spans="23:23" x14ac:dyDescent="0.55000000000000004">
      <c r="W62248"/>
    </row>
    <row r="62249" spans="23:23" x14ac:dyDescent="0.55000000000000004">
      <c r="W62249"/>
    </row>
    <row r="62250" spans="23:23" x14ac:dyDescent="0.55000000000000004">
      <c r="W62250"/>
    </row>
    <row r="62251" spans="23:23" x14ac:dyDescent="0.55000000000000004">
      <c r="W62251"/>
    </row>
    <row r="62252" spans="23:23" x14ac:dyDescent="0.55000000000000004">
      <c r="W62252"/>
    </row>
    <row r="62253" spans="23:23" x14ac:dyDescent="0.55000000000000004">
      <c r="W62253"/>
    </row>
    <row r="62254" spans="23:23" x14ac:dyDescent="0.55000000000000004">
      <c r="W62254"/>
    </row>
    <row r="62255" spans="23:23" x14ac:dyDescent="0.55000000000000004">
      <c r="W62255"/>
    </row>
    <row r="62256" spans="23:23" x14ac:dyDescent="0.55000000000000004">
      <c r="W62256"/>
    </row>
    <row r="62257" spans="23:23" x14ac:dyDescent="0.55000000000000004">
      <c r="W62257"/>
    </row>
    <row r="62258" spans="23:23" x14ac:dyDescent="0.55000000000000004">
      <c r="W62258"/>
    </row>
    <row r="62259" spans="23:23" x14ac:dyDescent="0.55000000000000004">
      <c r="W62259"/>
    </row>
    <row r="62260" spans="23:23" x14ac:dyDescent="0.55000000000000004">
      <c r="W62260"/>
    </row>
    <row r="62261" spans="23:23" x14ac:dyDescent="0.55000000000000004">
      <c r="W62261"/>
    </row>
    <row r="62262" spans="23:23" x14ac:dyDescent="0.55000000000000004">
      <c r="W62262"/>
    </row>
    <row r="62263" spans="23:23" x14ac:dyDescent="0.55000000000000004">
      <c r="W62263"/>
    </row>
    <row r="62264" spans="23:23" x14ac:dyDescent="0.55000000000000004">
      <c r="W62264"/>
    </row>
    <row r="62265" spans="23:23" x14ac:dyDescent="0.55000000000000004">
      <c r="W62265"/>
    </row>
    <row r="62266" spans="23:23" x14ac:dyDescent="0.55000000000000004">
      <c r="W62266"/>
    </row>
    <row r="62267" spans="23:23" x14ac:dyDescent="0.55000000000000004">
      <c r="W62267"/>
    </row>
    <row r="62268" spans="23:23" x14ac:dyDescent="0.55000000000000004">
      <c r="W62268"/>
    </row>
    <row r="62269" spans="23:23" x14ac:dyDescent="0.55000000000000004">
      <c r="W62269"/>
    </row>
    <row r="62270" spans="23:23" x14ac:dyDescent="0.55000000000000004">
      <c r="W62270"/>
    </row>
    <row r="62271" spans="23:23" x14ac:dyDescent="0.55000000000000004">
      <c r="W62271"/>
    </row>
    <row r="62272" spans="23:23" x14ac:dyDescent="0.55000000000000004">
      <c r="W62272"/>
    </row>
    <row r="62273" spans="23:23" x14ac:dyDescent="0.55000000000000004">
      <c r="W62273"/>
    </row>
    <row r="62274" spans="23:23" x14ac:dyDescent="0.55000000000000004">
      <c r="W62274"/>
    </row>
    <row r="62275" spans="23:23" x14ac:dyDescent="0.55000000000000004">
      <c r="W62275"/>
    </row>
    <row r="62276" spans="23:23" x14ac:dyDescent="0.55000000000000004">
      <c r="W62276"/>
    </row>
    <row r="62277" spans="23:23" x14ac:dyDescent="0.55000000000000004">
      <c r="W62277"/>
    </row>
    <row r="62278" spans="23:23" x14ac:dyDescent="0.55000000000000004">
      <c r="W62278"/>
    </row>
    <row r="62279" spans="23:23" x14ac:dyDescent="0.55000000000000004">
      <c r="W62279"/>
    </row>
    <row r="62280" spans="23:23" x14ac:dyDescent="0.55000000000000004">
      <c r="W62280"/>
    </row>
    <row r="62281" spans="23:23" x14ac:dyDescent="0.55000000000000004">
      <c r="W62281"/>
    </row>
    <row r="62282" spans="23:23" x14ac:dyDescent="0.55000000000000004">
      <c r="W62282"/>
    </row>
    <row r="62283" spans="23:23" x14ac:dyDescent="0.55000000000000004">
      <c r="W62283"/>
    </row>
    <row r="62284" spans="23:23" x14ac:dyDescent="0.55000000000000004">
      <c r="W62284"/>
    </row>
    <row r="62285" spans="23:23" x14ac:dyDescent="0.55000000000000004">
      <c r="W62285"/>
    </row>
    <row r="62286" spans="23:23" x14ac:dyDescent="0.55000000000000004">
      <c r="W62286"/>
    </row>
    <row r="62287" spans="23:23" x14ac:dyDescent="0.55000000000000004">
      <c r="W62287"/>
    </row>
    <row r="62288" spans="23:23" x14ac:dyDescent="0.55000000000000004">
      <c r="W62288"/>
    </row>
    <row r="62289" spans="23:23" x14ac:dyDescent="0.55000000000000004">
      <c r="W62289"/>
    </row>
    <row r="62290" spans="23:23" x14ac:dyDescent="0.55000000000000004">
      <c r="W62290"/>
    </row>
    <row r="62291" spans="23:23" x14ac:dyDescent="0.55000000000000004">
      <c r="W62291"/>
    </row>
    <row r="62292" spans="23:23" x14ac:dyDescent="0.55000000000000004">
      <c r="W62292"/>
    </row>
    <row r="62293" spans="23:23" x14ac:dyDescent="0.55000000000000004">
      <c r="W62293"/>
    </row>
    <row r="62294" spans="23:23" x14ac:dyDescent="0.55000000000000004">
      <c r="W62294"/>
    </row>
    <row r="62295" spans="23:23" x14ac:dyDescent="0.55000000000000004">
      <c r="W62295"/>
    </row>
    <row r="62296" spans="23:23" x14ac:dyDescent="0.55000000000000004">
      <c r="W62296"/>
    </row>
    <row r="62297" spans="23:23" x14ac:dyDescent="0.55000000000000004">
      <c r="W62297"/>
    </row>
    <row r="62298" spans="23:23" x14ac:dyDescent="0.55000000000000004">
      <c r="W62298"/>
    </row>
    <row r="62299" spans="23:23" x14ac:dyDescent="0.55000000000000004">
      <c r="W62299"/>
    </row>
    <row r="62300" spans="23:23" x14ac:dyDescent="0.55000000000000004">
      <c r="W62300"/>
    </row>
    <row r="62301" spans="23:23" x14ac:dyDescent="0.55000000000000004">
      <c r="W62301"/>
    </row>
    <row r="62302" spans="23:23" x14ac:dyDescent="0.55000000000000004">
      <c r="W62302"/>
    </row>
    <row r="62303" spans="23:23" x14ac:dyDescent="0.55000000000000004">
      <c r="W62303"/>
    </row>
    <row r="62304" spans="23:23" x14ac:dyDescent="0.55000000000000004">
      <c r="W62304"/>
    </row>
    <row r="62305" spans="23:23" x14ac:dyDescent="0.55000000000000004">
      <c r="W62305"/>
    </row>
    <row r="62306" spans="23:23" x14ac:dyDescent="0.55000000000000004">
      <c r="W62306"/>
    </row>
    <row r="62307" spans="23:23" x14ac:dyDescent="0.55000000000000004">
      <c r="W62307"/>
    </row>
    <row r="62308" spans="23:23" x14ac:dyDescent="0.55000000000000004">
      <c r="W62308"/>
    </row>
    <row r="62309" spans="23:23" x14ac:dyDescent="0.55000000000000004">
      <c r="W62309"/>
    </row>
    <row r="62310" spans="23:23" x14ac:dyDescent="0.55000000000000004">
      <c r="W62310"/>
    </row>
    <row r="62311" spans="23:23" x14ac:dyDescent="0.55000000000000004">
      <c r="W62311"/>
    </row>
    <row r="62312" spans="23:23" x14ac:dyDescent="0.55000000000000004">
      <c r="W62312"/>
    </row>
    <row r="62313" spans="23:23" x14ac:dyDescent="0.55000000000000004">
      <c r="W62313"/>
    </row>
    <row r="62314" spans="23:23" x14ac:dyDescent="0.55000000000000004">
      <c r="W62314"/>
    </row>
    <row r="62315" spans="23:23" x14ac:dyDescent="0.55000000000000004">
      <c r="W62315"/>
    </row>
    <row r="62316" spans="23:23" x14ac:dyDescent="0.55000000000000004">
      <c r="W62316"/>
    </row>
    <row r="62317" spans="23:23" x14ac:dyDescent="0.55000000000000004">
      <c r="W62317"/>
    </row>
    <row r="62318" spans="23:23" x14ac:dyDescent="0.55000000000000004">
      <c r="W62318"/>
    </row>
    <row r="62319" spans="23:23" x14ac:dyDescent="0.55000000000000004">
      <c r="W62319"/>
    </row>
    <row r="62320" spans="23:23" x14ac:dyDescent="0.55000000000000004">
      <c r="W62320"/>
    </row>
    <row r="62321" spans="23:23" x14ac:dyDescent="0.55000000000000004">
      <c r="W62321"/>
    </row>
    <row r="62322" spans="23:23" x14ac:dyDescent="0.55000000000000004">
      <c r="W62322"/>
    </row>
    <row r="62323" spans="23:23" x14ac:dyDescent="0.55000000000000004">
      <c r="W62323"/>
    </row>
    <row r="62324" spans="23:23" x14ac:dyDescent="0.55000000000000004">
      <c r="W62324"/>
    </row>
    <row r="62325" spans="23:23" x14ac:dyDescent="0.55000000000000004">
      <c r="W62325"/>
    </row>
    <row r="62326" spans="23:23" x14ac:dyDescent="0.55000000000000004">
      <c r="W62326"/>
    </row>
    <row r="62327" spans="23:23" x14ac:dyDescent="0.55000000000000004">
      <c r="W62327"/>
    </row>
    <row r="62328" spans="23:23" x14ac:dyDescent="0.55000000000000004">
      <c r="W62328"/>
    </row>
    <row r="62329" spans="23:23" x14ac:dyDescent="0.55000000000000004">
      <c r="W62329"/>
    </row>
    <row r="62330" spans="23:23" x14ac:dyDescent="0.55000000000000004">
      <c r="W62330"/>
    </row>
    <row r="62331" spans="23:23" x14ac:dyDescent="0.55000000000000004">
      <c r="W62331"/>
    </row>
    <row r="62332" spans="23:23" x14ac:dyDescent="0.55000000000000004">
      <c r="W62332"/>
    </row>
    <row r="62333" spans="23:23" x14ac:dyDescent="0.55000000000000004">
      <c r="W62333"/>
    </row>
    <row r="62334" spans="23:23" x14ac:dyDescent="0.55000000000000004">
      <c r="W62334"/>
    </row>
    <row r="62335" spans="23:23" x14ac:dyDescent="0.55000000000000004">
      <c r="W62335"/>
    </row>
    <row r="62336" spans="23:23" x14ac:dyDescent="0.55000000000000004">
      <c r="W62336"/>
    </row>
    <row r="62337" spans="23:23" x14ac:dyDescent="0.55000000000000004">
      <c r="W62337"/>
    </row>
    <row r="62338" spans="23:23" x14ac:dyDescent="0.55000000000000004">
      <c r="W62338"/>
    </row>
    <row r="62339" spans="23:23" x14ac:dyDescent="0.55000000000000004">
      <c r="W62339"/>
    </row>
    <row r="62340" spans="23:23" x14ac:dyDescent="0.55000000000000004">
      <c r="W62340"/>
    </row>
    <row r="62341" spans="23:23" x14ac:dyDescent="0.55000000000000004">
      <c r="W62341"/>
    </row>
    <row r="62342" spans="23:23" x14ac:dyDescent="0.55000000000000004">
      <c r="W62342"/>
    </row>
    <row r="62343" spans="23:23" x14ac:dyDescent="0.55000000000000004">
      <c r="W62343"/>
    </row>
    <row r="62344" spans="23:23" x14ac:dyDescent="0.55000000000000004">
      <c r="W62344"/>
    </row>
    <row r="62345" spans="23:23" x14ac:dyDescent="0.55000000000000004">
      <c r="W62345"/>
    </row>
    <row r="62346" spans="23:23" x14ac:dyDescent="0.55000000000000004">
      <c r="W62346"/>
    </row>
    <row r="62347" spans="23:23" x14ac:dyDescent="0.55000000000000004">
      <c r="W62347"/>
    </row>
    <row r="62348" spans="23:23" x14ac:dyDescent="0.55000000000000004">
      <c r="W62348"/>
    </row>
    <row r="62349" spans="23:23" x14ac:dyDescent="0.55000000000000004">
      <c r="W62349"/>
    </row>
    <row r="62350" spans="23:23" x14ac:dyDescent="0.55000000000000004">
      <c r="W62350"/>
    </row>
    <row r="62351" spans="23:23" x14ac:dyDescent="0.55000000000000004">
      <c r="W62351"/>
    </row>
    <row r="62352" spans="23:23" x14ac:dyDescent="0.55000000000000004">
      <c r="W62352"/>
    </row>
    <row r="62353" spans="23:23" x14ac:dyDescent="0.55000000000000004">
      <c r="W62353"/>
    </row>
    <row r="62354" spans="23:23" x14ac:dyDescent="0.55000000000000004">
      <c r="W62354"/>
    </row>
    <row r="62355" spans="23:23" x14ac:dyDescent="0.55000000000000004">
      <c r="W62355"/>
    </row>
    <row r="62356" spans="23:23" x14ac:dyDescent="0.55000000000000004">
      <c r="W62356"/>
    </row>
    <row r="62357" spans="23:23" x14ac:dyDescent="0.55000000000000004">
      <c r="W62357"/>
    </row>
    <row r="62358" spans="23:23" x14ac:dyDescent="0.55000000000000004">
      <c r="W62358"/>
    </row>
    <row r="62359" spans="23:23" x14ac:dyDescent="0.55000000000000004">
      <c r="W62359"/>
    </row>
    <row r="62360" spans="23:23" x14ac:dyDescent="0.55000000000000004">
      <c r="W62360"/>
    </row>
    <row r="62361" spans="23:23" x14ac:dyDescent="0.55000000000000004">
      <c r="W62361"/>
    </row>
    <row r="62362" spans="23:23" x14ac:dyDescent="0.55000000000000004">
      <c r="W62362"/>
    </row>
    <row r="62363" spans="23:23" x14ac:dyDescent="0.55000000000000004">
      <c r="W62363"/>
    </row>
    <row r="62364" spans="23:23" x14ac:dyDescent="0.55000000000000004">
      <c r="W62364"/>
    </row>
    <row r="62365" spans="23:23" x14ac:dyDescent="0.55000000000000004">
      <c r="W62365"/>
    </row>
    <row r="62366" spans="23:23" x14ac:dyDescent="0.55000000000000004">
      <c r="W62366"/>
    </row>
    <row r="62367" spans="23:23" x14ac:dyDescent="0.55000000000000004">
      <c r="W62367"/>
    </row>
    <row r="62368" spans="23:23" x14ac:dyDescent="0.55000000000000004">
      <c r="W62368"/>
    </row>
    <row r="62369" spans="23:23" x14ac:dyDescent="0.55000000000000004">
      <c r="W62369"/>
    </row>
    <row r="62370" spans="23:23" x14ac:dyDescent="0.55000000000000004">
      <c r="W62370"/>
    </row>
    <row r="62371" spans="23:23" x14ac:dyDescent="0.55000000000000004">
      <c r="W62371"/>
    </row>
    <row r="62372" spans="23:23" x14ac:dyDescent="0.55000000000000004">
      <c r="W62372"/>
    </row>
    <row r="62373" spans="23:23" x14ac:dyDescent="0.55000000000000004">
      <c r="W62373"/>
    </row>
    <row r="62374" spans="23:23" x14ac:dyDescent="0.55000000000000004">
      <c r="W62374"/>
    </row>
    <row r="62375" spans="23:23" x14ac:dyDescent="0.55000000000000004">
      <c r="W62375"/>
    </row>
    <row r="62376" spans="23:23" x14ac:dyDescent="0.55000000000000004">
      <c r="W62376"/>
    </row>
    <row r="62377" spans="23:23" x14ac:dyDescent="0.55000000000000004">
      <c r="W62377"/>
    </row>
    <row r="62378" spans="23:23" x14ac:dyDescent="0.55000000000000004">
      <c r="W62378"/>
    </row>
    <row r="62379" spans="23:23" x14ac:dyDescent="0.55000000000000004">
      <c r="W62379"/>
    </row>
    <row r="62380" spans="23:23" x14ac:dyDescent="0.55000000000000004">
      <c r="W62380"/>
    </row>
    <row r="62381" spans="23:23" x14ac:dyDescent="0.55000000000000004">
      <c r="W62381"/>
    </row>
    <row r="62382" spans="23:23" x14ac:dyDescent="0.55000000000000004">
      <c r="W62382"/>
    </row>
    <row r="62383" spans="23:23" x14ac:dyDescent="0.55000000000000004">
      <c r="W62383"/>
    </row>
    <row r="62384" spans="23:23" x14ac:dyDescent="0.55000000000000004">
      <c r="W62384"/>
    </row>
    <row r="62385" spans="23:23" x14ac:dyDescent="0.55000000000000004">
      <c r="W62385"/>
    </row>
    <row r="62386" spans="23:23" x14ac:dyDescent="0.55000000000000004">
      <c r="W62386"/>
    </row>
    <row r="62387" spans="23:23" x14ac:dyDescent="0.55000000000000004">
      <c r="W62387"/>
    </row>
    <row r="62388" spans="23:23" x14ac:dyDescent="0.55000000000000004">
      <c r="W62388"/>
    </row>
    <row r="62389" spans="23:23" x14ac:dyDescent="0.55000000000000004">
      <c r="W62389"/>
    </row>
    <row r="62390" spans="23:23" x14ac:dyDescent="0.55000000000000004">
      <c r="W62390"/>
    </row>
    <row r="62391" spans="23:23" x14ac:dyDescent="0.55000000000000004">
      <c r="W62391"/>
    </row>
    <row r="62392" spans="23:23" x14ac:dyDescent="0.55000000000000004">
      <c r="W62392"/>
    </row>
    <row r="62393" spans="23:23" x14ac:dyDescent="0.55000000000000004">
      <c r="W62393"/>
    </row>
    <row r="62394" spans="23:23" x14ac:dyDescent="0.55000000000000004">
      <c r="W62394"/>
    </row>
    <row r="62395" spans="23:23" x14ac:dyDescent="0.55000000000000004">
      <c r="W62395"/>
    </row>
    <row r="62396" spans="23:23" x14ac:dyDescent="0.55000000000000004">
      <c r="W62396"/>
    </row>
    <row r="62397" spans="23:23" x14ac:dyDescent="0.55000000000000004">
      <c r="W62397"/>
    </row>
    <row r="62398" spans="23:23" x14ac:dyDescent="0.55000000000000004">
      <c r="W62398"/>
    </row>
    <row r="62399" spans="23:23" x14ac:dyDescent="0.55000000000000004">
      <c r="W62399"/>
    </row>
    <row r="62400" spans="23:23" x14ac:dyDescent="0.55000000000000004">
      <c r="W62400"/>
    </row>
    <row r="62401" spans="23:23" x14ac:dyDescent="0.55000000000000004">
      <c r="W62401"/>
    </row>
    <row r="62402" spans="23:23" x14ac:dyDescent="0.55000000000000004">
      <c r="W62402"/>
    </row>
    <row r="62403" spans="23:23" x14ac:dyDescent="0.55000000000000004">
      <c r="W62403"/>
    </row>
    <row r="62404" spans="23:23" x14ac:dyDescent="0.55000000000000004">
      <c r="W62404"/>
    </row>
    <row r="62405" spans="23:23" x14ac:dyDescent="0.55000000000000004">
      <c r="W62405"/>
    </row>
    <row r="62406" spans="23:23" x14ac:dyDescent="0.55000000000000004">
      <c r="W62406"/>
    </row>
    <row r="62407" spans="23:23" x14ac:dyDescent="0.55000000000000004">
      <c r="W62407"/>
    </row>
    <row r="62408" spans="23:23" x14ac:dyDescent="0.55000000000000004">
      <c r="W62408"/>
    </row>
    <row r="62409" spans="23:23" x14ac:dyDescent="0.55000000000000004">
      <c r="W62409"/>
    </row>
    <row r="62410" spans="23:23" x14ac:dyDescent="0.55000000000000004">
      <c r="W62410"/>
    </row>
    <row r="62411" spans="23:23" x14ac:dyDescent="0.55000000000000004">
      <c r="W62411"/>
    </row>
    <row r="62412" spans="23:23" x14ac:dyDescent="0.55000000000000004">
      <c r="W62412"/>
    </row>
    <row r="62413" spans="23:23" x14ac:dyDescent="0.55000000000000004">
      <c r="W62413"/>
    </row>
    <row r="62414" spans="23:23" x14ac:dyDescent="0.55000000000000004">
      <c r="W62414"/>
    </row>
    <row r="62415" spans="23:23" x14ac:dyDescent="0.55000000000000004">
      <c r="W62415"/>
    </row>
    <row r="62416" spans="23:23" x14ac:dyDescent="0.55000000000000004">
      <c r="W62416"/>
    </row>
    <row r="62417" spans="23:23" x14ac:dyDescent="0.55000000000000004">
      <c r="W62417"/>
    </row>
    <row r="62418" spans="23:23" x14ac:dyDescent="0.55000000000000004">
      <c r="W62418"/>
    </row>
    <row r="62419" spans="23:23" x14ac:dyDescent="0.55000000000000004">
      <c r="W62419"/>
    </row>
    <row r="62420" spans="23:23" x14ac:dyDescent="0.55000000000000004">
      <c r="W62420"/>
    </row>
    <row r="62421" spans="23:23" x14ac:dyDescent="0.55000000000000004">
      <c r="W62421"/>
    </row>
    <row r="62422" spans="23:23" x14ac:dyDescent="0.55000000000000004">
      <c r="W62422"/>
    </row>
    <row r="62423" spans="23:23" x14ac:dyDescent="0.55000000000000004">
      <c r="W62423"/>
    </row>
    <row r="62424" spans="23:23" x14ac:dyDescent="0.55000000000000004">
      <c r="W62424"/>
    </row>
    <row r="62425" spans="23:23" x14ac:dyDescent="0.55000000000000004">
      <c r="W62425"/>
    </row>
    <row r="62426" spans="23:23" x14ac:dyDescent="0.55000000000000004">
      <c r="W62426"/>
    </row>
    <row r="62427" spans="23:23" x14ac:dyDescent="0.55000000000000004">
      <c r="W62427"/>
    </row>
    <row r="62428" spans="23:23" x14ac:dyDescent="0.55000000000000004">
      <c r="W62428"/>
    </row>
    <row r="62429" spans="23:23" x14ac:dyDescent="0.55000000000000004">
      <c r="W62429"/>
    </row>
    <row r="62430" spans="23:23" x14ac:dyDescent="0.55000000000000004">
      <c r="W62430"/>
    </row>
    <row r="62431" spans="23:23" x14ac:dyDescent="0.55000000000000004">
      <c r="W62431"/>
    </row>
    <row r="62432" spans="23:23" x14ac:dyDescent="0.55000000000000004">
      <c r="W62432"/>
    </row>
    <row r="62433" spans="23:23" x14ac:dyDescent="0.55000000000000004">
      <c r="W62433"/>
    </row>
    <row r="62434" spans="23:23" x14ac:dyDescent="0.55000000000000004">
      <c r="W62434"/>
    </row>
    <row r="62435" spans="23:23" x14ac:dyDescent="0.55000000000000004">
      <c r="W62435"/>
    </row>
    <row r="62436" spans="23:23" x14ac:dyDescent="0.55000000000000004">
      <c r="W62436"/>
    </row>
    <row r="62437" spans="23:23" x14ac:dyDescent="0.55000000000000004">
      <c r="W62437"/>
    </row>
    <row r="62438" spans="23:23" x14ac:dyDescent="0.55000000000000004">
      <c r="W62438"/>
    </row>
    <row r="62439" spans="23:23" x14ac:dyDescent="0.55000000000000004">
      <c r="W62439"/>
    </row>
    <row r="62440" spans="23:23" x14ac:dyDescent="0.55000000000000004">
      <c r="W62440"/>
    </row>
    <row r="62441" spans="23:23" x14ac:dyDescent="0.55000000000000004">
      <c r="W62441"/>
    </row>
    <row r="62442" spans="23:23" x14ac:dyDescent="0.55000000000000004">
      <c r="W62442"/>
    </row>
    <row r="62443" spans="23:23" x14ac:dyDescent="0.55000000000000004">
      <c r="W62443"/>
    </row>
    <row r="62444" spans="23:23" x14ac:dyDescent="0.55000000000000004">
      <c r="W62444"/>
    </row>
    <row r="62445" spans="23:23" x14ac:dyDescent="0.55000000000000004">
      <c r="W62445"/>
    </row>
    <row r="62446" spans="23:23" x14ac:dyDescent="0.55000000000000004">
      <c r="W62446"/>
    </row>
    <row r="62447" spans="23:23" x14ac:dyDescent="0.55000000000000004">
      <c r="W62447"/>
    </row>
    <row r="62448" spans="23:23" x14ac:dyDescent="0.55000000000000004">
      <c r="W62448"/>
    </row>
    <row r="62449" spans="23:23" x14ac:dyDescent="0.55000000000000004">
      <c r="W62449"/>
    </row>
    <row r="62450" spans="23:23" x14ac:dyDescent="0.55000000000000004">
      <c r="W62450"/>
    </row>
    <row r="62451" spans="23:23" x14ac:dyDescent="0.55000000000000004">
      <c r="W62451"/>
    </row>
    <row r="62452" spans="23:23" x14ac:dyDescent="0.55000000000000004">
      <c r="W62452"/>
    </row>
    <row r="62453" spans="23:23" x14ac:dyDescent="0.55000000000000004">
      <c r="W62453"/>
    </row>
    <row r="62454" spans="23:23" x14ac:dyDescent="0.55000000000000004">
      <c r="W62454"/>
    </row>
    <row r="62455" spans="23:23" x14ac:dyDescent="0.55000000000000004">
      <c r="W62455"/>
    </row>
    <row r="62456" spans="23:23" x14ac:dyDescent="0.55000000000000004">
      <c r="W62456"/>
    </row>
    <row r="62457" spans="23:23" x14ac:dyDescent="0.55000000000000004">
      <c r="W62457"/>
    </row>
    <row r="62458" spans="23:23" x14ac:dyDescent="0.55000000000000004">
      <c r="W62458"/>
    </row>
    <row r="62459" spans="23:23" x14ac:dyDescent="0.55000000000000004">
      <c r="W62459"/>
    </row>
    <row r="62460" spans="23:23" x14ac:dyDescent="0.55000000000000004">
      <c r="W62460"/>
    </row>
    <row r="62461" spans="23:23" x14ac:dyDescent="0.55000000000000004">
      <c r="W62461"/>
    </row>
    <row r="62462" spans="23:23" x14ac:dyDescent="0.55000000000000004">
      <c r="W62462"/>
    </row>
    <row r="62463" spans="23:23" x14ac:dyDescent="0.55000000000000004">
      <c r="W62463"/>
    </row>
    <row r="62464" spans="23:23" x14ac:dyDescent="0.55000000000000004">
      <c r="W62464"/>
    </row>
    <row r="62465" spans="23:23" x14ac:dyDescent="0.55000000000000004">
      <c r="W62465"/>
    </row>
    <row r="62466" spans="23:23" x14ac:dyDescent="0.55000000000000004">
      <c r="W62466"/>
    </row>
    <row r="62467" spans="23:23" x14ac:dyDescent="0.55000000000000004">
      <c r="W62467"/>
    </row>
    <row r="62468" spans="23:23" x14ac:dyDescent="0.55000000000000004">
      <c r="W62468"/>
    </row>
    <row r="62469" spans="23:23" x14ac:dyDescent="0.55000000000000004">
      <c r="W62469"/>
    </row>
    <row r="62470" spans="23:23" x14ac:dyDescent="0.55000000000000004">
      <c r="W62470"/>
    </row>
    <row r="62471" spans="23:23" x14ac:dyDescent="0.55000000000000004">
      <c r="W62471"/>
    </row>
    <row r="62472" spans="23:23" x14ac:dyDescent="0.55000000000000004">
      <c r="W62472"/>
    </row>
    <row r="62473" spans="23:23" x14ac:dyDescent="0.55000000000000004">
      <c r="W62473"/>
    </row>
    <row r="62474" spans="23:23" x14ac:dyDescent="0.55000000000000004">
      <c r="W62474"/>
    </row>
    <row r="62475" spans="23:23" x14ac:dyDescent="0.55000000000000004">
      <c r="W62475"/>
    </row>
    <row r="62476" spans="23:23" x14ac:dyDescent="0.55000000000000004">
      <c r="W62476"/>
    </row>
    <row r="62477" spans="23:23" x14ac:dyDescent="0.55000000000000004">
      <c r="W62477"/>
    </row>
    <row r="62478" spans="23:23" x14ac:dyDescent="0.55000000000000004">
      <c r="W62478"/>
    </row>
    <row r="62479" spans="23:23" x14ac:dyDescent="0.55000000000000004">
      <c r="W62479"/>
    </row>
    <row r="62480" spans="23:23" x14ac:dyDescent="0.55000000000000004">
      <c r="W62480"/>
    </row>
    <row r="62481" spans="23:23" x14ac:dyDescent="0.55000000000000004">
      <c r="W62481"/>
    </row>
    <row r="62482" spans="23:23" x14ac:dyDescent="0.55000000000000004">
      <c r="W62482"/>
    </row>
    <row r="62483" spans="23:23" x14ac:dyDescent="0.55000000000000004">
      <c r="W62483"/>
    </row>
    <row r="62484" spans="23:23" x14ac:dyDescent="0.55000000000000004">
      <c r="W62484"/>
    </row>
    <row r="62485" spans="23:23" x14ac:dyDescent="0.55000000000000004">
      <c r="W62485"/>
    </row>
    <row r="62486" spans="23:23" x14ac:dyDescent="0.55000000000000004">
      <c r="W62486"/>
    </row>
    <row r="62487" spans="23:23" x14ac:dyDescent="0.55000000000000004">
      <c r="W62487"/>
    </row>
    <row r="62488" spans="23:23" x14ac:dyDescent="0.55000000000000004">
      <c r="W62488"/>
    </row>
    <row r="62489" spans="23:23" x14ac:dyDescent="0.55000000000000004">
      <c r="W62489"/>
    </row>
    <row r="62490" spans="23:23" x14ac:dyDescent="0.55000000000000004">
      <c r="W62490"/>
    </row>
    <row r="62491" spans="23:23" x14ac:dyDescent="0.55000000000000004">
      <c r="W62491"/>
    </row>
    <row r="62492" spans="23:23" x14ac:dyDescent="0.55000000000000004">
      <c r="W62492"/>
    </row>
    <row r="62493" spans="23:23" x14ac:dyDescent="0.55000000000000004">
      <c r="W62493"/>
    </row>
    <row r="62494" spans="23:23" x14ac:dyDescent="0.55000000000000004">
      <c r="W62494"/>
    </row>
    <row r="62495" spans="23:23" x14ac:dyDescent="0.55000000000000004">
      <c r="W62495"/>
    </row>
    <row r="62496" spans="23:23" x14ac:dyDescent="0.55000000000000004">
      <c r="W62496"/>
    </row>
    <row r="62497" spans="23:23" x14ac:dyDescent="0.55000000000000004">
      <c r="W62497"/>
    </row>
    <row r="62498" spans="23:23" x14ac:dyDescent="0.55000000000000004">
      <c r="W62498"/>
    </row>
    <row r="62499" spans="23:23" x14ac:dyDescent="0.55000000000000004">
      <c r="W62499"/>
    </row>
    <row r="62500" spans="23:23" x14ac:dyDescent="0.55000000000000004">
      <c r="W62500"/>
    </row>
    <row r="62501" spans="23:23" x14ac:dyDescent="0.55000000000000004">
      <c r="W62501"/>
    </row>
    <row r="62502" spans="23:23" x14ac:dyDescent="0.55000000000000004">
      <c r="W62502"/>
    </row>
    <row r="62503" spans="23:23" x14ac:dyDescent="0.55000000000000004">
      <c r="W62503"/>
    </row>
    <row r="62504" spans="23:23" x14ac:dyDescent="0.55000000000000004">
      <c r="W62504"/>
    </row>
    <row r="62505" spans="23:23" x14ac:dyDescent="0.55000000000000004">
      <c r="W62505"/>
    </row>
    <row r="62506" spans="23:23" x14ac:dyDescent="0.55000000000000004">
      <c r="W62506"/>
    </row>
    <row r="62507" spans="23:23" x14ac:dyDescent="0.55000000000000004">
      <c r="W62507"/>
    </row>
    <row r="62508" spans="23:23" x14ac:dyDescent="0.55000000000000004">
      <c r="W62508"/>
    </row>
    <row r="62509" spans="23:23" x14ac:dyDescent="0.55000000000000004">
      <c r="W62509"/>
    </row>
    <row r="62510" spans="23:23" x14ac:dyDescent="0.55000000000000004">
      <c r="W62510"/>
    </row>
    <row r="62511" spans="23:23" x14ac:dyDescent="0.55000000000000004">
      <c r="W62511"/>
    </row>
    <row r="62512" spans="23:23" x14ac:dyDescent="0.55000000000000004">
      <c r="W62512"/>
    </row>
    <row r="62513" spans="23:23" x14ac:dyDescent="0.55000000000000004">
      <c r="W62513"/>
    </row>
    <row r="62514" spans="23:23" x14ac:dyDescent="0.55000000000000004">
      <c r="W62514"/>
    </row>
    <row r="62515" spans="23:23" x14ac:dyDescent="0.55000000000000004">
      <c r="W62515"/>
    </row>
    <row r="62516" spans="23:23" x14ac:dyDescent="0.55000000000000004">
      <c r="W62516"/>
    </row>
    <row r="62517" spans="23:23" x14ac:dyDescent="0.55000000000000004">
      <c r="W62517"/>
    </row>
    <row r="62518" spans="23:23" x14ac:dyDescent="0.55000000000000004">
      <c r="W62518"/>
    </row>
    <row r="62519" spans="23:23" x14ac:dyDescent="0.55000000000000004">
      <c r="W62519"/>
    </row>
    <row r="62520" spans="23:23" x14ac:dyDescent="0.55000000000000004">
      <c r="W62520"/>
    </row>
    <row r="62521" spans="23:23" x14ac:dyDescent="0.55000000000000004">
      <c r="W62521"/>
    </row>
    <row r="62522" spans="23:23" x14ac:dyDescent="0.55000000000000004">
      <c r="W62522"/>
    </row>
    <row r="62523" spans="23:23" x14ac:dyDescent="0.55000000000000004">
      <c r="W62523"/>
    </row>
    <row r="62524" spans="23:23" x14ac:dyDescent="0.55000000000000004">
      <c r="W62524"/>
    </row>
    <row r="62525" spans="23:23" x14ac:dyDescent="0.55000000000000004">
      <c r="W62525"/>
    </row>
    <row r="62526" spans="23:23" x14ac:dyDescent="0.55000000000000004">
      <c r="W62526"/>
    </row>
    <row r="62527" spans="23:23" x14ac:dyDescent="0.55000000000000004">
      <c r="W62527"/>
    </row>
    <row r="62528" spans="23:23" x14ac:dyDescent="0.55000000000000004">
      <c r="W62528"/>
    </row>
    <row r="62529" spans="23:23" x14ac:dyDescent="0.55000000000000004">
      <c r="W62529"/>
    </row>
    <row r="62530" spans="23:23" x14ac:dyDescent="0.55000000000000004">
      <c r="W62530"/>
    </row>
    <row r="62531" spans="23:23" x14ac:dyDescent="0.55000000000000004">
      <c r="W62531"/>
    </row>
    <row r="62532" spans="23:23" x14ac:dyDescent="0.55000000000000004">
      <c r="W62532"/>
    </row>
    <row r="62533" spans="23:23" x14ac:dyDescent="0.55000000000000004">
      <c r="W62533"/>
    </row>
    <row r="62534" spans="23:23" x14ac:dyDescent="0.55000000000000004">
      <c r="W62534"/>
    </row>
    <row r="62535" spans="23:23" x14ac:dyDescent="0.55000000000000004">
      <c r="W62535"/>
    </row>
    <row r="62536" spans="23:23" x14ac:dyDescent="0.55000000000000004">
      <c r="W62536"/>
    </row>
    <row r="62537" spans="23:23" x14ac:dyDescent="0.55000000000000004">
      <c r="W62537"/>
    </row>
    <row r="62538" spans="23:23" x14ac:dyDescent="0.55000000000000004">
      <c r="W62538"/>
    </row>
    <row r="62539" spans="23:23" x14ac:dyDescent="0.55000000000000004">
      <c r="W62539"/>
    </row>
    <row r="62540" spans="23:23" x14ac:dyDescent="0.55000000000000004">
      <c r="W62540"/>
    </row>
    <row r="62541" spans="23:23" x14ac:dyDescent="0.55000000000000004">
      <c r="W62541"/>
    </row>
    <row r="62542" spans="23:23" x14ac:dyDescent="0.55000000000000004">
      <c r="W62542"/>
    </row>
    <row r="62543" spans="23:23" x14ac:dyDescent="0.55000000000000004">
      <c r="W62543"/>
    </row>
    <row r="62544" spans="23:23" x14ac:dyDescent="0.55000000000000004">
      <c r="W62544"/>
    </row>
    <row r="62545" spans="23:23" x14ac:dyDescent="0.55000000000000004">
      <c r="W62545"/>
    </row>
    <row r="62546" spans="23:23" x14ac:dyDescent="0.55000000000000004">
      <c r="W62546"/>
    </row>
    <row r="62547" spans="23:23" x14ac:dyDescent="0.55000000000000004">
      <c r="W62547"/>
    </row>
    <row r="62548" spans="23:23" x14ac:dyDescent="0.55000000000000004">
      <c r="W62548"/>
    </row>
    <row r="62549" spans="23:23" x14ac:dyDescent="0.55000000000000004">
      <c r="W62549"/>
    </row>
    <row r="62550" spans="23:23" x14ac:dyDescent="0.55000000000000004">
      <c r="W62550"/>
    </row>
    <row r="62551" spans="23:23" x14ac:dyDescent="0.55000000000000004">
      <c r="W62551"/>
    </row>
    <row r="62552" spans="23:23" x14ac:dyDescent="0.55000000000000004">
      <c r="W62552"/>
    </row>
    <row r="62553" spans="23:23" x14ac:dyDescent="0.55000000000000004">
      <c r="W62553"/>
    </row>
    <row r="62554" spans="23:23" x14ac:dyDescent="0.55000000000000004">
      <c r="W62554"/>
    </row>
    <row r="62555" spans="23:23" x14ac:dyDescent="0.55000000000000004">
      <c r="W62555"/>
    </row>
    <row r="62556" spans="23:23" x14ac:dyDescent="0.55000000000000004">
      <c r="W62556"/>
    </row>
    <row r="62557" spans="23:23" x14ac:dyDescent="0.55000000000000004">
      <c r="W62557"/>
    </row>
    <row r="62558" spans="23:23" x14ac:dyDescent="0.55000000000000004">
      <c r="W62558"/>
    </row>
    <row r="62559" spans="23:23" x14ac:dyDescent="0.55000000000000004">
      <c r="W62559"/>
    </row>
    <row r="62560" spans="23:23" x14ac:dyDescent="0.55000000000000004">
      <c r="W62560"/>
    </row>
    <row r="62561" spans="23:23" x14ac:dyDescent="0.55000000000000004">
      <c r="W62561"/>
    </row>
    <row r="62562" spans="23:23" x14ac:dyDescent="0.55000000000000004">
      <c r="W62562"/>
    </row>
    <row r="62563" spans="23:23" x14ac:dyDescent="0.55000000000000004">
      <c r="W62563"/>
    </row>
    <row r="62564" spans="23:23" x14ac:dyDescent="0.55000000000000004">
      <c r="W62564"/>
    </row>
    <row r="62565" spans="23:23" x14ac:dyDescent="0.55000000000000004">
      <c r="W62565"/>
    </row>
    <row r="62566" spans="23:23" x14ac:dyDescent="0.55000000000000004">
      <c r="W62566"/>
    </row>
    <row r="62567" spans="23:23" x14ac:dyDescent="0.55000000000000004">
      <c r="W62567"/>
    </row>
    <row r="62568" spans="23:23" x14ac:dyDescent="0.55000000000000004">
      <c r="W62568"/>
    </row>
    <row r="62569" spans="23:23" x14ac:dyDescent="0.55000000000000004">
      <c r="W62569"/>
    </row>
    <row r="62570" spans="23:23" x14ac:dyDescent="0.55000000000000004">
      <c r="W62570"/>
    </row>
    <row r="62571" spans="23:23" x14ac:dyDescent="0.55000000000000004">
      <c r="W62571"/>
    </row>
    <row r="62572" spans="23:23" x14ac:dyDescent="0.55000000000000004">
      <c r="W62572"/>
    </row>
    <row r="62573" spans="23:23" x14ac:dyDescent="0.55000000000000004">
      <c r="W62573"/>
    </row>
    <row r="62574" spans="23:23" x14ac:dyDescent="0.55000000000000004">
      <c r="W62574"/>
    </row>
    <row r="62575" spans="23:23" x14ac:dyDescent="0.55000000000000004">
      <c r="W62575"/>
    </row>
    <row r="62576" spans="23:23" x14ac:dyDescent="0.55000000000000004">
      <c r="W62576"/>
    </row>
    <row r="62577" spans="23:23" x14ac:dyDescent="0.55000000000000004">
      <c r="W62577"/>
    </row>
    <row r="62578" spans="23:23" x14ac:dyDescent="0.55000000000000004">
      <c r="W62578"/>
    </row>
    <row r="62579" spans="23:23" x14ac:dyDescent="0.55000000000000004">
      <c r="W62579"/>
    </row>
    <row r="62580" spans="23:23" x14ac:dyDescent="0.55000000000000004">
      <c r="W62580"/>
    </row>
    <row r="62581" spans="23:23" x14ac:dyDescent="0.55000000000000004">
      <c r="W62581"/>
    </row>
    <row r="62582" spans="23:23" x14ac:dyDescent="0.55000000000000004">
      <c r="W62582"/>
    </row>
    <row r="62583" spans="23:23" x14ac:dyDescent="0.55000000000000004">
      <c r="W62583"/>
    </row>
    <row r="62584" spans="23:23" x14ac:dyDescent="0.55000000000000004">
      <c r="W62584"/>
    </row>
    <row r="62585" spans="23:23" x14ac:dyDescent="0.55000000000000004">
      <c r="W62585"/>
    </row>
    <row r="62586" spans="23:23" x14ac:dyDescent="0.55000000000000004">
      <c r="W62586"/>
    </row>
    <row r="62587" spans="23:23" x14ac:dyDescent="0.55000000000000004">
      <c r="W62587"/>
    </row>
    <row r="62588" spans="23:23" x14ac:dyDescent="0.55000000000000004">
      <c r="W62588"/>
    </row>
    <row r="62589" spans="23:23" x14ac:dyDescent="0.55000000000000004">
      <c r="W62589"/>
    </row>
    <row r="62590" spans="23:23" x14ac:dyDescent="0.55000000000000004">
      <c r="W62590"/>
    </row>
    <row r="62591" spans="23:23" x14ac:dyDescent="0.55000000000000004">
      <c r="W62591"/>
    </row>
    <row r="62592" spans="23:23" x14ac:dyDescent="0.55000000000000004">
      <c r="W62592"/>
    </row>
    <row r="62593" spans="23:23" x14ac:dyDescent="0.55000000000000004">
      <c r="W62593"/>
    </row>
    <row r="62594" spans="23:23" x14ac:dyDescent="0.55000000000000004">
      <c r="W62594"/>
    </row>
    <row r="62595" spans="23:23" x14ac:dyDescent="0.55000000000000004">
      <c r="W62595"/>
    </row>
    <row r="62596" spans="23:23" x14ac:dyDescent="0.55000000000000004">
      <c r="W62596"/>
    </row>
    <row r="62597" spans="23:23" x14ac:dyDescent="0.55000000000000004">
      <c r="W62597"/>
    </row>
    <row r="62598" spans="23:23" x14ac:dyDescent="0.55000000000000004">
      <c r="W62598"/>
    </row>
    <row r="62599" spans="23:23" x14ac:dyDescent="0.55000000000000004">
      <c r="W62599"/>
    </row>
    <row r="62600" spans="23:23" x14ac:dyDescent="0.55000000000000004">
      <c r="W62600"/>
    </row>
    <row r="62601" spans="23:23" x14ac:dyDescent="0.55000000000000004">
      <c r="W62601"/>
    </row>
    <row r="62602" spans="23:23" x14ac:dyDescent="0.55000000000000004">
      <c r="W62602"/>
    </row>
    <row r="62603" spans="23:23" x14ac:dyDescent="0.55000000000000004">
      <c r="W62603"/>
    </row>
    <row r="62604" spans="23:23" x14ac:dyDescent="0.55000000000000004">
      <c r="W62604"/>
    </row>
    <row r="62605" spans="23:23" x14ac:dyDescent="0.55000000000000004">
      <c r="W62605"/>
    </row>
    <row r="62606" spans="23:23" x14ac:dyDescent="0.55000000000000004">
      <c r="W62606"/>
    </row>
    <row r="62607" spans="23:23" x14ac:dyDescent="0.55000000000000004">
      <c r="W62607"/>
    </row>
    <row r="62608" spans="23:23" x14ac:dyDescent="0.55000000000000004">
      <c r="W62608"/>
    </row>
    <row r="62609" spans="23:23" x14ac:dyDescent="0.55000000000000004">
      <c r="W62609"/>
    </row>
    <row r="62610" spans="23:23" x14ac:dyDescent="0.55000000000000004">
      <c r="W62610"/>
    </row>
    <row r="62611" spans="23:23" x14ac:dyDescent="0.55000000000000004">
      <c r="W62611"/>
    </row>
    <row r="62612" spans="23:23" x14ac:dyDescent="0.55000000000000004">
      <c r="W62612"/>
    </row>
    <row r="62613" spans="23:23" x14ac:dyDescent="0.55000000000000004">
      <c r="W62613"/>
    </row>
    <row r="62614" spans="23:23" x14ac:dyDescent="0.55000000000000004">
      <c r="W62614"/>
    </row>
    <row r="62615" spans="23:23" x14ac:dyDescent="0.55000000000000004">
      <c r="W62615"/>
    </row>
    <row r="62616" spans="23:23" x14ac:dyDescent="0.55000000000000004">
      <c r="W62616"/>
    </row>
    <row r="62617" spans="23:23" x14ac:dyDescent="0.55000000000000004">
      <c r="W62617"/>
    </row>
    <row r="62618" spans="23:23" x14ac:dyDescent="0.55000000000000004">
      <c r="W62618"/>
    </row>
    <row r="62619" spans="23:23" x14ac:dyDescent="0.55000000000000004">
      <c r="W62619"/>
    </row>
    <row r="62620" spans="23:23" x14ac:dyDescent="0.55000000000000004">
      <c r="W62620"/>
    </row>
    <row r="62621" spans="23:23" x14ac:dyDescent="0.55000000000000004">
      <c r="W62621"/>
    </row>
    <row r="62622" spans="23:23" x14ac:dyDescent="0.55000000000000004">
      <c r="W62622"/>
    </row>
    <row r="62623" spans="23:23" x14ac:dyDescent="0.55000000000000004">
      <c r="W62623"/>
    </row>
    <row r="62624" spans="23:23" x14ac:dyDescent="0.55000000000000004">
      <c r="W62624"/>
    </row>
    <row r="62625" spans="23:23" x14ac:dyDescent="0.55000000000000004">
      <c r="W62625"/>
    </row>
    <row r="62626" spans="23:23" x14ac:dyDescent="0.55000000000000004">
      <c r="W62626"/>
    </row>
    <row r="62627" spans="23:23" x14ac:dyDescent="0.55000000000000004">
      <c r="W62627"/>
    </row>
    <row r="62628" spans="23:23" x14ac:dyDescent="0.55000000000000004">
      <c r="W62628"/>
    </row>
    <row r="62629" spans="23:23" x14ac:dyDescent="0.55000000000000004">
      <c r="W62629"/>
    </row>
    <row r="62630" spans="23:23" x14ac:dyDescent="0.55000000000000004">
      <c r="W62630"/>
    </row>
    <row r="62631" spans="23:23" x14ac:dyDescent="0.55000000000000004">
      <c r="W62631"/>
    </row>
    <row r="62632" spans="23:23" x14ac:dyDescent="0.55000000000000004">
      <c r="W62632"/>
    </row>
    <row r="62633" spans="23:23" x14ac:dyDescent="0.55000000000000004">
      <c r="W62633"/>
    </row>
    <row r="62634" spans="23:23" x14ac:dyDescent="0.55000000000000004">
      <c r="W62634"/>
    </row>
    <row r="62635" spans="23:23" x14ac:dyDescent="0.55000000000000004">
      <c r="W62635"/>
    </row>
    <row r="62636" spans="23:23" x14ac:dyDescent="0.55000000000000004">
      <c r="W62636"/>
    </row>
    <row r="62637" spans="23:23" x14ac:dyDescent="0.55000000000000004">
      <c r="W62637"/>
    </row>
    <row r="62638" spans="23:23" x14ac:dyDescent="0.55000000000000004">
      <c r="W62638"/>
    </row>
    <row r="62639" spans="23:23" x14ac:dyDescent="0.55000000000000004">
      <c r="W62639"/>
    </row>
    <row r="62640" spans="23:23" x14ac:dyDescent="0.55000000000000004">
      <c r="W62640"/>
    </row>
    <row r="62641" spans="23:23" x14ac:dyDescent="0.55000000000000004">
      <c r="W62641"/>
    </row>
    <row r="62642" spans="23:23" x14ac:dyDescent="0.55000000000000004">
      <c r="W62642"/>
    </row>
    <row r="62643" spans="23:23" x14ac:dyDescent="0.55000000000000004">
      <c r="W62643"/>
    </row>
    <row r="62644" spans="23:23" x14ac:dyDescent="0.55000000000000004">
      <c r="W62644"/>
    </row>
    <row r="62645" spans="23:23" x14ac:dyDescent="0.55000000000000004">
      <c r="W62645"/>
    </row>
    <row r="62646" spans="23:23" x14ac:dyDescent="0.55000000000000004">
      <c r="W62646"/>
    </row>
    <row r="62647" spans="23:23" x14ac:dyDescent="0.55000000000000004">
      <c r="W62647"/>
    </row>
    <row r="62648" spans="23:23" x14ac:dyDescent="0.55000000000000004">
      <c r="W62648"/>
    </row>
    <row r="62649" spans="23:23" x14ac:dyDescent="0.55000000000000004">
      <c r="W62649"/>
    </row>
    <row r="62650" spans="23:23" x14ac:dyDescent="0.55000000000000004">
      <c r="W62650"/>
    </row>
    <row r="62651" spans="23:23" x14ac:dyDescent="0.55000000000000004">
      <c r="W62651"/>
    </row>
    <row r="62652" spans="23:23" x14ac:dyDescent="0.55000000000000004">
      <c r="W62652"/>
    </row>
    <row r="62653" spans="23:23" x14ac:dyDescent="0.55000000000000004">
      <c r="W62653"/>
    </row>
    <row r="62654" spans="23:23" x14ac:dyDescent="0.55000000000000004">
      <c r="W62654"/>
    </row>
    <row r="62655" spans="23:23" x14ac:dyDescent="0.55000000000000004">
      <c r="W62655"/>
    </row>
    <row r="62656" spans="23:23" x14ac:dyDescent="0.55000000000000004">
      <c r="W62656"/>
    </row>
    <row r="62657" spans="23:23" x14ac:dyDescent="0.55000000000000004">
      <c r="W62657"/>
    </row>
    <row r="62658" spans="23:23" x14ac:dyDescent="0.55000000000000004">
      <c r="W62658"/>
    </row>
    <row r="62659" spans="23:23" x14ac:dyDescent="0.55000000000000004">
      <c r="W62659"/>
    </row>
    <row r="62660" spans="23:23" x14ac:dyDescent="0.55000000000000004">
      <c r="W62660"/>
    </row>
    <row r="62661" spans="23:23" x14ac:dyDescent="0.55000000000000004">
      <c r="W62661"/>
    </row>
    <row r="62662" spans="23:23" x14ac:dyDescent="0.55000000000000004">
      <c r="W62662"/>
    </row>
    <row r="62663" spans="23:23" x14ac:dyDescent="0.55000000000000004">
      <c r="W62663"/>
    </row>
    <row r="62664" spans="23:23" x14ac:dyDescent="0.55000000000000004">
      <c r="W62664"/>
    </row>
    <row r="62665" spans="23:23" x14ac:dyDescent="0.55000000000000004">
      <c r="W62665"/>
    </row>
    <row r="62666" spans="23:23" x14ac:dyDescent="0.55000000000000004">
      <c r="W62666"/>
    </row>
    <row r="62667" spans="23:23" x14ac:dyDescent="0.55000000000000004">
      <c r="W62667"/>
    </row>
    <row r="62668" spans="23:23" x14ac:dyDescent="0.55000000000000004">
      <c r="W62668"/>
    </row>
    <row r="62669" spans="23:23" x14ac:dyDescent="0.55000000000000004">
      <c r="W62669"/>
    </row>
    <row r="62670" spans="23:23" x14ac:dyDescent="0.55000000000000004">
      <c r="W62670"/>
    </row>
    <row r="62671" spans="23:23" x14ac:dyDescent="0.55000000000000004">
      <c r="W62671"/>
    </row>
    <row r="62672" spans="23:23" x14ac:dyDescent="0.55000000000000004">
      <c r="W62672"/>
    </row>
    <row r="62673" spans="23:23" x14ac:dyDescent="0.55000000000000004">
      <c r="W62673"/>
    </row>
    <row r="62674" spans="23:23" x14ac:dyDescent="0.55000000000000004">
      <c r="W62674"/>
    </row>
    <row r="62675" spans="23:23" x14ac:dyDescent="0.55000000000000004">
      <c r="W62675"/>
    </row>
    <row r="62676" spans="23:23" x14ac:dyDescent="0.55000000000000004">
      <c r="W62676"/>
    </row>
    <row r="62677" spans="23:23" x14ac:dyDescent="0.55000000000000004">
      <c r="W62677"/>
    </row>
    <row r="62678" spans="23:23" x14ac:dyDescent="0.55000000000000004">
      <c r="W62678"/>
    </row>
    <row r="62679" spans="23:23" x14ac:dyDescent="0.55000000000000004">
      <c r="W62679"/>
    </row>
    <row r="62680" spans="23:23" x14ac:dyDescent="0.55000000000000004">
      <c r="W62680"/>
    </row>
    <row r="62681" spans="23:23" x14ac:dyDescent="0.55000000000000004">
      <c r="W62681"/>
    </row>
    <row r="62682" spans="23:23" x14ac:dyDescent="0.55000000000000004">
      <c r="W62682"/>
    </row>
    <row r="62683" spans="23:23" x14ac:dyDescent="0.55000000000000004">
      <c r="W62683"/>
    </row>
    <row r="62684" spans="23:23" x14ac:dyDescent="0.55000000000000004">
      <c r="W62684"/>
    </row>
    <row r="62685" spans="23:23" x14ac:dyDescent="0.55000000000000004">
      <c r="W62685"/>
    </row>
    <row r="62686" spans="23:23" x14ac:dyDescent="0.55000000000000004">
      <c r="W62686"/>
    </row>
    <row r="62687" spans="23:23" x14ac:dyDescent="0.55000000000000004">
      <c r="W62687"/>
    </row>
    <row r="62688" spans="23:23" x14ac:dyDescent="0.55000000000000004">
      <c r="W62688"/>
    </row>
    <row r="62689" spans="23:23" x14ac:dyDescent="0.55000000000000004">
      <c r="W62689"/>
    </row>
    <row r="62690" spans="23:23" x14ac:dyDescent="0.55000000000000004">
      <c r="W62690"/>
    </row>
    <row r="62691" spans="23:23" x14ac:dyDescent="0.55000000000000004">
      <c r="W62691"/>
    </row>
    <row r="62692" spans="23:23" x14ac:dyDescent="0.55000000000000004">
      <c r="W62692"/>
    </row>
    <row r="62693" spans="23:23" x14ac:dyDescent="0.55000000000000004">
      <c r="W62693"/>
    </row>
    <row r="62694" spans="23:23" x14ac:dyDescent="0.55000000000000004">
      <c r="W62694"/>
    </row>
    <row r="62695" spans="23:23" x14ac:dyDescent="0.55000000000000004">
      <c r="W62695"/>
    </row>
    <row r="62696" spans="23:23" x14ac:dyDescent="0.55000000000000004">
      <c r="W62696"/>
    </row>
    <row r="62697" spans="23:23" x14ac:dyDescent="0.55000000000000004">
      <c r="W62697"/>
    </row>
    <row r="62698" spans="23:23" x14ac:dyDescent="0.55000000000000004">
      <c r="W62698"/>
    </row>
    <row r="62699" spans="23:23" x14ac:dyDescent="0.55000000000000004">
      <c r="W62699"/>
    </row>
    <row r="62700" spans="23:23" x14ac:dyDescent="0.55000000000000004">
      <c r="W62700"/>
    </row>
    <row r="62701" spans="23:23" x14ac:dyDescent="0.55000000000000004">
      <c r="W62701"/>
    </row>
    <row r="62702" spans="23:23" x14ac:dyDescent="0.55000000000000004">
      <c r="W62702"/>
    </row>
    <row r="62703" spans="23:23" x14ac:dyDescent="0.55000000000000004">
      <c r="W62703"/>
    </row>
    <row r="62704" spans="23:23" x14ac:dyDescent="0.55000000000000004">
      <c r="W62704"/>
    </row>
    <row r="62705" spans="23:23" x14ac:dyDescent="0.55000000000000004">
      <c r="W62705"/>
    </row>
    <row r="62706" spans="23:23" x14ac:dyDescent="0.55000000000000004">
      <c r="W62706"/>
    </row>
    <row r="62707" spans="23:23" x14ac:dyDescent="0.55000000000000004">
      <c r="W62707"/>
    </row>
    <row r="62708" spans="23:23" x14ac:dyDescent="0.55000000000000004">
      <c r="W62708"/>
    </row>
    <row r="62709" spans="23:23" x14ac:dyDescent="0.55000000000000004">
      <c r="W62709"/>
    </row>
    <row r="62710" spans="23:23" x14ac:dyDescent="0.55000000000000004">
      <c r="W62710"/>
    </row>
    <row r="62711" spans="23:23" x14ac:dyDescent="0.55000000000000004">
      <c r="W62711"/>
    </row>
    <row r="62712" spans="23:23" x14ac:dyDescent="0.55000000000000004">
      <c r="W62712"/>
    </row>
    <row r="62713" spans="23:23" x14ac:dyDescent="0.55000000000000004">
      <c r="W62713"/>
    </row>
    <row r="62714" spans="23:23" x14ac:dyDescent="0.55000000000000004">
      <c r="W62714"/>
    </row>
    <row r="62715" spans="23:23" x14ac:dyDescent="0.55000000000000004">
      <c r="W62715"/>
    </row>
    <row r="62716" spans="23:23" x14ac:dyDescent="0.55000000000000004">
      <c r="W62716"/>
    </row>
    <row r="62717" spans="23:23" x14ac:dyDescent="0.55000000000000004">
      <c r="W62717"/>
    </row>
    <row r="62718" spans="23:23" x14ac:dyDescent="0.55000000000000004">
      <c r="W62718"/>
    </row>
    <row r="62719" spans="23:23" x14ac:dyDescent="0.55000000000000004">
      <c r="W62719"/>
    </row>
    <row r="62720" spans="23:23" x14ac:dyDescent="0.55000000000000004">
      <c r="W62720"/>
    </row>
    <row r="62721" spans="23:23" x14ac:dyDescent="0.55000000000000004">
      <c r="W62721"/>
    </row>
    <row r="62722" spans="23:23" x14ac:dyDescent="0.55000000000000004">
      <c r="W62722"/>
    </row>
    <row r="62723" spans="23:23" x14ac:dyDescent="0.55000000000000004">
      <c r="W62723"/>
    </row>
    <row r="62724" spans="23:23" x14ac:dyDescent="0.55000000000000004">
      <c r="W62724"/>
    </row>
    <row r="62725" spans="23:23" x14ac:dyDescent="0.55000000000000004">
      <c r="W62725"/>
    </row>
    <row r="62726" spans="23:23" x14ac:dyDescent="0.55000000000000004">
      <c r="W62726"/>
    </row>
    <row r="62727" spans="23:23" x14ac:dyDescent="0.55000000000000004">
      <c r="W62727"/>
    </row>
    <row r="62728" spans="23:23" x14ac:dyDescent="0.55000000000000004">
      <c r="W62728"/>
    </row>
    <row r="62729" spans="23:23" x14ac:dyDescent="0.55000000000000004">
      <c r="W62729"/>
    </row>
    <row r="62730" spans="23:23" x14ac:dyDescent="0.55000000000000004">
      <c r="W62730"/>
    </row>
    <row r="62731" spans="23:23" x14ac:dyDescent="0.55000000000000004">
      <c r="W62731"/>
    </row>
    <row r="62732" spans="23:23" x14ac:dyDescent="0.55000000000000004">
      <c r="W62732"/>
    </row>
    <row r="62733" spans="23:23" x14ac:dyDescent="0.55000000000000004">
      <c r="W62733"/>
    </row>
    <row r="62734" spans="23:23" x14ac:dyDescent="0.55000000000000004">
      <c r="W62734"/>
    </row>
    <row r="62735" spans="23:23" x14ac:dyDescent="0.55000000000000004">
      <c r="W62735"/>
    </row>
    <row r="62736" spans="23:23" x14ac:dyDescent="0.55000000000000004">
      <c r="W62736"/>
    </row>
    <row r="62737" spans="23:23" x14ac:dyDescent="0.55000000000000004">
      <c r="W62737"/>
    </row>
    <row r="62738" spans="23:23" x14ac:dyDescent="0.55000000000000004">
      <c r="W62738"/>
    </row>
    <row r="62739" spans="23:23" x14ac:dyDescent="0.55000000000000004">
      <c r="W62739"/>
    </row>
    <row r="62740" spans="23:23" x14ac:dyDescent="0.55000000000000004">
      <c r="W62740"/>
    </row>
    <row r="62741" spans="23:23" x14ac:dyDescent="0.55000000000000004">
      <c r="W62741"/>
    </row>
    <row r="62742" spans="23:23" x14ac:dyDescent="0.55000000000000004">
      <c r="W62742"/>
    </row>
    <row r="62743" spans="23:23" x14ac:dyDescent="0.55000000000000004">
      <c r="W62743"/>
    </row>
    <row r="62744" spans="23:23" x14ac:dyDescent="0.55000000000000004">
      <c r="W62744"/>
    </row>
    <row r="62745" spans="23:23" x14ac:dyDescent="0.55000000000000004">
      <c r="W62745"/>
    </row>
    <row r="62746" spans="23:23" x14ac:dyDescent="0.55000000000000004">
      <c r="W62746"/>
    </row>
    <row r="62747" spans="23:23" x14ac:dyDescent="0.55000000000000004">
      <c r="W62747"/>
    </row>
    <row r="62748" spans="23:23" x14ac:dyDescent="0.55000000000000004">
      <c r="W62748"/>
    </row>
    <row r="62749" spans="23:23" x14ac:dyDescent="0.55000000000000004">
      <c r="W62749"/>
    </row>
    <row r="62750" spans="23:23" x14ac:dyDescent="0.55000000000000004">
      <c r="W62750"/>
    </row>
    <row r="62751" spans="23:23" x14ac:dyDescent="0.55000000000000004">
      <c r="W62751"/>
    </row>
    <row r="62752" spans="23:23" x14ac:dyDescent="0.55000000000000004">
      <c r="W62752"/>
    </row>
    <row r="62753" spans="23:23" x14ac:dyDescent="0.55000000000000004">
      <c r="W62753"/>
    </row>
    <row r="62754" spans="23:23" x14ac:dyDescent="0.55000000000000004">
      <c r="W62754"/>
    </row>
    <row r="62755" spans="23:23" x14ac:dyDescent="0.55000000000000004">
      <c r="W62755"/>
    </row>
    <row r="62756" spans="23:23" x14ac:dyDescent="0.55000000000000004">
      <c r="W62756"/>
    </row>
    <row r="62757" spans="23:23" x14ac:dyDescent="0.55000000000000004">
      <c r="W62757"/>
    </row>
    <row r="62758" spans="23:23" x14ac:dyDescent="0.55000000000000004">
      <c r="W62758"/>
    </row>
    <row r="62759" spans="23:23" x14ac:dyDescent="0.55000000000000004">
      <c r="W62759"/>
    </row>
    <row r="62760" spans="23:23" x14ac:dyDescent="0.55000000000000004">
      <c r="W62760"/>
    </row>
    <row r="62761" spans="23:23" x14ac:dyDescent="0.55000000000000004">
      <c r="W62761"/>
    </row>
    <row r="62762" spans="23:23" x14ac:dyDescent="0.55000000000000004">
      <c r="W62762"/>
    </row>
    <row r="62763" spans="23:23" x14ac:dyDescent="0.55000000000000004">
      <c r="W62763"/>
    </row>
    <row r="62764" spans="23:23" x14ac:dyDescent="0.55000000000000004">
      <c r="W62764"/>
    </row>
    <row r="62765" spans="23:23" x14ac:dyDescent="0.55000000000000004">
      <c r="W62765"/>
    </row>
    <row r="62766" spans="23:23" x14ac:dyDescent="0.55000000000000004">
      <c r="W62766"/>
    </row>
    <row r="62767" spans="23:23" x14ac:dyDescent="0.55000000000000004">
      <c r="W62767"/>
    </row>
    <row r="62768" spans="23:23" x14ac:dyDescent="0.55000000000000004">
      <c r="W62768"/>
    </row>
    <row r="62769" spans="23:23" x14ac:dyDescent="0.55000000000000004">
      <c r="W62769"/>
    </row>
    <row r="62770" spans="23:23" x14ac:dyDescent="0.55000000000000004">
      <c r="W62770"/>
    </row>
    <row r="62771" spans="23:23" x14ac:dyDescent="0.55000000000000004">
      <c r="W62771"/>
    </row>
    <row r="62772" spans="23:23" x14ac:dyDescent="0.55000000000000004">
      <c r="W62772"/>
    </row>
    <row r="62773" spans="23:23" x14ac:dyDescent="0.55000000000000004">
      <c r="W62773"/>
    </row>
    <row r="62774" spans="23:23" x14ac:dyDescent="0.55000000000000004">
      <c r="W62774"/>
    </row>
    <row r="62775" spans="23:23" x14ac:dyDescent="0.55000000000000004">
      <c r="W62775"/>
    </row>
    <row r="62776" spans="23:23" x14ac:dyDescent="0.55000000000000004">
      <c r="W62776"/>
    </row>
    <row r="62777" spans="23:23" x14ac:dyDescent="0.55000000000000004">
      <c r="W62777"/>
    </row>
    <row r="62778" spans="23:23" x14ac:dyDescent="0.55000000000000004">
      <c r="W62778"/>
    </row>
    <row r="62779" spans="23:23" x14ac:dyDescent="0.55000000000000004">
      <c r="W62779"/>
    </row>
    <row r="62780" spans="23:23" x14ac:dyDescent="0.55000000000000004">
      <c r="W62780"/>
    </row>
    <row r="62781" spans="23:23" x14ac:dyDescent="0.55000000000000004">
      <c r="W62781"/>
    </row>
    <row r="62782" spans="23:23" x14ac:dyDescent="0.55000000000000004">
      <c r="W62782"/>
    </row>
    <row r="62783" spans="23:23" x14ac:dyDescent="0.55000000000000004">
      <c r="W62783"/>
    </row>
    <row r="62784" spans="23:23" x14ac:dyDescent="0.55000000000000004">
      <c r="W62784"/>
    </row>
    <row r="62785" spans="23:23" x14ac:dyDescent="0.55000000000000004">
      <c r="W62785"/>
    </row>
    <row r="62786" spans="23:23" x14ac:dyDescent="0.55000000000000004">
      <c r="W62786"/>
    </row>
    <row r="62787" spans="23:23" x14ac:dyDescent="0.55000000000000004">
      <c r="W62787"/>
    </row>
    <row r="62788" spans="23:23" x14ac:dyDescent="0.55000000000000004">
      <c r="W62788"/>
    </row>
    <row r="62789" spans="23:23" x14ac:dyDescent="0.55000000000000004">
      <c r="W62789"/>
    </row>
    <row r="62790" spans="23:23" x14ac:dyDescent="0.55000000000000004">
      <c r="W62790"/>
    </row>
    <row r="62791" spans="23:23" x14ac:dyDescent="0.55000000000000004">
      <c r="W62791"/>
    </row>
    <row r="62792" spans="23:23" x14ac:dyDescent="0.55000000000000004">
      <c r="W62792"/>
    </row>
    <row r="62793" spans="23:23" x14ac:dyDescent="0.55000000000000004">
      <c r="W62793"/>
    </row>
    <row r="62794" spans="23:23" x14ac:dyDescent="0.55000000000000004">
      <c r="W62794"/>
    </row>
    <row r="62795" spans="23:23" x14ac:dyDescent="0.55000000000000004">
      <c r="W62795"/>
    </row>
    <row r="62796" spans="23:23" x14ac:dyDescent="0.55000000000000004">
      <c r="W62796"/>
    </row>
    <row r="62797" spans="23:23" x14ac:dyDescent="0.55000000000000004">
      <c r="W62797"/>
    </row>
    <row r="62798" spans="23:23" x14ac:dyDescent="0.55000000000000004">
      <c r="W62798"/>
    </row>
    <row r="62799" spans="23:23" x14ac:dyDescent="0.55000000000000004">
      <c r="W62799"/>
    </row>
    <row r="62800" spans="23:23" x14ac:dyDescent="0.55000000000000004">
      <c r="W62800"/>
    </row>
    <row r="62801" spans="23:23" x14ac:dyDescent="0.55000000000000004">
      <c r="W62801"/>
    </row>
    <row r="62802" spans="23:23" x14ac:dyDescent="0.55000000000000004">
      <c r="W62802"/>
    </row>
    <row r="62803" spans="23:23" x14ac:dyDescent="0.55000000000000004">
      <c r="W62803"/>
    </row>
    <row r="62804" spans="23:23" x14ac:dyDescent="0.55000000000000004">
      <c r="W62804"/>
    </row>
    <row r="62805" spans="23:23" x14ac:dyDescent="0.55000000000000004">
      <c r="W62805"/>
    </row>
    <row r="62806" spans="23:23" x14ac:dyDescent="0.55000000000000004">
      <c r="W62806"/>
    </row>
    <row r="62807" spans="23:23" x14ac:dyDescent="0.55000000000000004">
      <c r="W62807"/>
    </row>
    <row r="62808" spans="23:23" x14ac:dyDescent="0.55000000000000004">
      <c r="W62808"/>
    </row>
    <row r="62809" spans="23:23" x14ac:dyDescent="0.55000000000000004">
      <c r="W62809"/>
    </row>
    <row r="62810" spans="23:23" x14ac:dyDescent="0.55000000000000004">
      <c r="W62810"/>
    </row>
    <row r="62811" spans="23:23" x14ac:dyDescent="0.55000000000000004">
      <c r="W62811"/>
    </row>
    <row r="62812" spans="23:23" x14ac:dyDescent="0.55000000000000004">
      <c r="W62812"/>
    </row>
    <row r="62813" spans="23:23" x14ac:dyDescent="0.55000000000000004">
      <c r="W62813"/>
    </row>
    <row r="62814" spans="23:23" x14ac:dyDescent="0.55000000000000004">
      <c r="W62814"/>
    </row>
    <row r="62815" spans="23:23" x14ac:dyDescent="0.55000000000000004">
      <c r="W62815"/>
    </row>
    <row r="62816" spans="23:23" x14ac:dyDescent="0.55000000000000004">
      <c r="W62816"/>
    </row>
    <row r="62817" spans="23:23" x14ac:dyDescent="0.55000000000000004">
      <c r="W62817"/>
    </row>
    <row r="62818" spans="23:23" x14ac:dyDescent="0.55000000000000004">
      <c r="W62818"/>
    </row>
    <row r="62819" spans="23:23" x14ac:dyDescent="0.55000000000000004">
      <c r="W62819"/>
    </row>
    <row r="62820" spans="23:23" x14ac:dyDescent="0.55000000000000004">
      <c r="W62820"/>
    </row>
    <row r="62821" spans="23:23" x14ac:dyDescent="0.55000000000000004">
      <c r="W62821"/>
    </row>
    <row r="62822" spans="23:23" x14ac:dyDescent="0.55000000000000004">
      <c r="W62822"/>
    </row>
    <row r="62823" spans="23:23" x14ac:dyDescent="0.55000000000000004">
      <c r="W62823"/>
    </row>
    <row r="62824" spans="23:23" x14ac:dyDescent="0.55000000000000004">
      <c r="W62824"/>
    </row>
    <row r="62825" spans="23:23" x14ac:dyDescent="0.55000000000000004">
      <c r="W62825"/>
    </row>
    <row r="62826" spans="23:23" x14ac:dyDescent="0.55000000000000004">
      <c r="W62826"/>
    </row>
    <row r="62827" spans="23:23" x14ac:dyDescent="0.55000000000000004">
      <c r="W62827"/>
    </row>
    <row r="62828" spans="23:23" x14ac:dyDescent="0.55000000000000004">
      <c r="W62828"/>
    </row>
    <row r="62829" spans="23:23" x14ac:dyDescent="0.55000000000000004">
      <c r="W62829"/>
    </row>
    <row r="62830" spans="23:23" x14ac:dyDescent="0.55000000000000004">
      <c r="W62830"/>
    </row>
    <row r="62831" spans="23:23" x14ac:dyDescent="0.55000000000000004">
      <c r="W62831"/>
    </row>
    <row r="62832" spans="23:23" x14ac:dyDescent="0.55000000000000004">
      <c r="W62832"/>
    </row>
    <row r="62833" spans="23:23" x14ac:dyDescent="0.55000000000000004">
      <c r="W62833"/>
    </row>
    <row r="62834" spans="23:23" x14ac:dyDescent="0.55000000000000004">
      <c r="W62834"/>
    </row>
    <row r="62835" spans="23:23" x14ac:dyDescent="0.55000000000000004">
      <c r="W62835"/>
    </row>
    <row r="62836" spans="23:23" x14ac:dyDescent="0.55000000000000004">
      <c r="W62836"/>
    </row>
    <row r="62837" spans="23:23" x14ac:dyDescent="0.55000000000000004">
      <c r="W62837"/>
    </row>
    <row r="62838" spans="23:23" x14ac:dyDescent="0.55000000000000004">
      <c r="W62838"/>
    </row>
    <row r="62839" spans="23:23" x14ac:dyDescent="0.55000000000000004">
      <c r="W62839"/>
    </row>
    <row r="62840" spans="23:23" x14ac:dyDescent="0.55000000000000004">
      <c r="W62840"/>
    </row>
    <row r="62841" spans="23:23" x14ac:dyDescent="0.55000000000000004">
      <c r="W62841"/>
    </row>
    <row r="62842" spans="23:23" x14ac:dyDescent="0.55000000000000004">
      <c r="W62842"/>
    </row>
    <row r="62843" spans="23:23" x14ac:dyDescent="0.55000000000000004">
      <c r="W62843"/>
    </row>
    <row r="62844" spans="23:23" x14ac:dyDescent="0.55000000000000004">
      <c r="W62844"/>
    </row>
    <row r="62845" spans="23:23" x14ac:dyDescent="0.55000000000000004">
      <c r="W62845"/>
    </row>
    <row r="62846" spans="23:23" x14ac:dyDescent="0.55000000000000004">
      <c r="W62846"/>
    </row>
    <row r="62847" spans="23:23" x14ac:dyDescent="0.55000000000000004">
      <c r="W62847"/>
    </row>
    <row r="62848" spans="23:23" x14ac:dyDescent="0.55000000000000004">
      <c r="W62848"/>
    </row>
    <row r="62849" spans="23:23" x14ac:dyDescent="0.55000000000000004">
      <c r="W62849"/>
    </row>
    <row r="62850" spans="23:23" x14ac:dyDescent="0.55000000000000004">
      <c r="W62850"/>
    </row>
    <row r="62851" spans="23:23" x14ac:dyDescent="0.55000000000000004">
      <c r="W62851"/>
    </row>
    <row r="62852" spans="23:23" x14ac:dyDescent="0.55000000000000004">
      <c r="W62852"/>
    </row>
    <row r="62853" spans="23:23" x14ac:dyDescent="0.55000000000000004">
      <c r="W62853"/>
    </row>
    <row r="62854" spans="23:23" x14ac:dyDescent="0.55000000000000004">
      <c r="W62854"/>
    </row>
    <row r="62855" spans="23:23" x14ac:dyDescent="0.55000000000000004">
      <c r="W62855"/>
    </row>
    <row r="62856" spans="23:23" x14ac:dyDescent="0.55000000000000004">
      <c r="W62856"/>
    </row>
    <row r="62857" spans="23:23" x14ac:dyDescent="0.55000000000000004">
      <c r="W62857"/>
    </row>
    <row r="62858" spans="23:23" x14ac:dyDescent="0.55000000000000004">
      <c r="W62858"/>
    </row>
    <row r="62859" spans="23:23" x14ac:dyDescent="0.55000000000000004">
      <c r="W62859"/>
    </row>
    <row r="62860" spans="23:23" x14ac:dyDescent="0.55000000000000004">
      <c r="W62860"/>
    </row>
    <row r="62861" spans="23:23" x14ac:dyDescent="0.55000000000000004">
      <c r="W62861"/>
    </row>
    <row r="62862" spans="23:23" x14ac:dyDescent="0.55000000000000004">
      <c r="W62862"/>
    </row>
    <row r="62863" spans="23:23" x14ac:dyDescent="0.55000000000000004">
      <c r="W62863"/>
    </row>
    <row r="62864" spans="23:23" x14ac:dyDescent="0.55000000000000004">
      <c r="W62864"/>
    </row>
    <row r="62865" spans="23:23" x14ac:dyDescent="0.55000000000000004">
      <c r="W62865"/>
    </row>
    <row r="62866" spans="23:23" x14ac:dyDescent="0.55000000000000004">
      <c r="W62866"/>
    </row>
    <row r="62867" spans="23:23" x14ac:dyDescent="0.55000000000000004">
      <c r="W62867"/>
    </row>
    <row r="62868" spans="23:23" x14ac:dyDescent="0.55000000000000004">
      <c r="W62868"/>
    </row>
    <row r="62869" spans="23:23" x14ac:dyDescent="0.55000000000000004">
      <c r="W62869"/>
    </row>
    <row r="62870" spans="23:23" x14ac:dyDescent="0.55000000000000004">
      <c r="W62870"/>
    </row>
    <row r="62871" spans="23:23" x14ac:dyDescent="0.55000000000000004">
      <c r="W62871"/>
    </row>
    <row r="62872" spans="23:23" x14ac:dyDescent="0.55000000000000004">
      <c r="W62872"/>
    </row>
    <row r="62873" spans="23:23" x14ac:dyDescent="0.55000000000000004">
      <c r="W62873"/>
    </row>
    <row r="62874" spans="23:23" x14ac:dyDescent="0.55000000000000004">
      <c r="W62874"/>
    </row>
    <row r="62875" spans="23:23" x14ac:dyDescent="0.55000000000000004">
      <c r="W62875"/>
    </row>
    <row r="62876" spans="23:23" x14ac:dyDescent="0.55000000000000004">
      <c r="W62876"/>
    </row>
    <row r="62877" spans="23:23" x14ac:dyDescent="0.55000000000000004">
      <c r="W62877"/>
    </row>
    <row r="62878" spans="23:23" x14ac:dyDescent="0.55000000000000004">
      <c r="W62878"/>
    </row>
    <row r="62879" spans="23:23" x14ac:dyDescent="0.55000000000000004">
      <c r="W62879"/>
    </row>
    <row r="62880" spans="23:23" x14ac:dyDescent="0.55000000000000004">
      <c r="W62880"/>
    </row>
    <row r="62881" spans="23:23" x14ac:dyDescent="0.55000000000000004">
      <c r="W62881"/>
    </row>
    <row r="62882" spans="23:23" x14ac:dyDescent="0.55000000000000004">
      <c r="W62882"/>
    </row>
    <row r="62883" spans="23:23" x14ac:dyDescent="0.55000000000000004">
      <c r="W62883"/>
    </row>
    <row r="62884" spans="23:23" x14ac:dyDescent="0.55000000000000004">
      <c r="W62884"/>
    </row>
    <row r="62885" spans="23:23" x14ac:dyDescent="0.55000000000000004">
      <c r="W62885"/>
    </row>
    <row r="62886" spans="23:23" x14ac:dyDescent="0.55000000000000004">
      <c r="W62886"/>
    </row>
    <row r="62887" spans="23:23" x14ac:dyDescent="0.55000000000000004">
      <c r="W62887"/>
    </row>
    <row r="62888" spans="23:23" x14ac:dyDescent="0.55000000000000004">
      <c r="W62888"/>
    </row>
    <row r="62889" spans="23:23" x14ac:dyDescent="0.55000000000000004">
      <c r="W62889"/>
    </row>
    <row r="62890" spans="23:23" x14ac:dyDescent="0.55000000000000004">
      <c r="W62890"/>
    </row>
    <row r="62891" spans="23:23" x14ac:dyDescent="0.55000000000000004">
      <c r="W62891"/>
    </row>
    <row r="62892" spans="23:23" x14ac:dyDescent="0.55000000000000004">
      <c r="W62892"/>
    </row>
    <row r="62893" spans="23:23" x14ac:dyDescent="0.55000000000000004">
      <c r="W62893"/>
    </row>
    <row r="62894" spans="23:23" x14ac:dyDescent="0.55000000000000004">
      <c r="W62894"/>
    </row>
    <row r="62895" spans="23:23" x14ac:dyDescent="0.55000000000000004">
      <c r="W62895"/>
    </row>
    <row r="62896" spans="23:23" x14ac:dyDescent="0.55000000000000004">
      <c r="W62896"/>
    </row>
    <row r="62897" spans="23:23" x14ac:dyDescent="0.55000000000000004">
      <c r="W62897"/>
    </row>
    <row r="62898" spans="23:23" x14ac:dyDescent="0.55000000000000004">
      <c r="W62898"/>
    </row>
    <row r="62899" spans="23:23" x14ac:dyDescent="0.55000000000000004">
      <c r="W62899"/>
    </row>
    <row r="62900" spans="23:23" x14ac:dyDescent="0.55000000000000004">
      <c r="W62900"/>
    </row>
    <row r="62901" spans="23:23" x14ac:dyDescent="0.55000000000000004">
      <c r="W62901"/>
    </row>
    <row r="62902" spans="23:23" x14ac:dyDescent="0.55000000000000004">
      <c r="W62902"/>
    </row>
    <row r="62903" spans="23:23" x14ac:dyDescent="0.55000000000000004">
      <c r="W62903"/>
    </row>
    <row r="62904" spans="23:23" x14ac:dyDescent="0.55000000000000004">
      <c r="W62904"/>
    </row>
    <row r="62905" spans="23:23" x14ac:dyDescent="0.55000000000000004">
      <c r="W62905"/>
    </row>
    <row r="62906" spans="23:23" x14ac:dyDescent="0.55000000000000004">
      <c r="W62906"/>
    </row>
    <row r="62907" spans="23:23" x14ac:dyDescent="0.55000000000000004">
      <c r="W62907"/>
    </row>
    <row r="62908" spans="23:23" x14ac:dyDescent="0.55000000000000004">
      <c r="W62908"/>
    </row>
    <row r="62909" spans="23:23" x14ac:dyDescent="0.55000000000000004">
      <c r="W62909"/>
    </row>
    <row r="62910" spans="23:23" x14ac:dyDescent="0.55000000000000004">
      <c r="W62910"/>
    </row>
    <row r="62911" spans="23:23" x14ac:dyDescent="0.55000000000000004">
      <c r="W62911"/>
    </row>
    <row r="62912" spans="23:23" x14ac:dyDescent="0.55000000000000004">
      <c r="W62912"/>
    </row>
    <row r="62913" spans="23:23" x14ac:dyDescent="0.55000000000000004">
      <c r="W62913"/>
    </row>
    <row r="62914" spans="23:23" x14ac:dyDescent="0.55000000000000004">
      <c r="W62914"/>
    </row>
    <row r="62915" spans="23:23" x14ac:dyDescent="0.55000000000000004">
      <c r="W62915"/>
    </row>
    <row r="62916" spans="23:23" x14ac:dyDescent="0.55000000000000004">
      <c r="W62916"/>
    </row>
    <row r="62917" spans="23:23" x14ac:dyDescent="0.55000000000000004">
      <c r="W62917"/>
    </row>
    <row r="62918" spans="23:23" x14ac:dyDescent="0.55000000000000004">
      <c r="W62918"/>
    </row>
    <row r="62919" spans="23:23" x14ac:dyDescent="0.55000000000000004">
      <c r="W62919"/>
    </row>
    <row r="62920" spans="23:23" x14ac:dyDescent="0.55000000000000004">
      <c r="W62920"/>
    </row>
    <row r="62921" spans="23:23" x14ac:dyDescent="0.55000000000000004">
      <c r="W62921"/>
    </row>
    <row r="62922" spans="23:23" x14ac:dyDescent="0.55000000000000004">
      <c r="W62922"/>
    </row>
    <row r="62923" spans="23:23" x14ac:dyDescent="0.55000000000000004">
      <c r="W62923"/>
    </row>
    <row r="62924" spans="23:23" x14ac:dyDescent="0.55000000000000004">
      <c r="W62924"/>
    </row>
    <row r="62925" spans="23:23" x14ac:dyDescent="0.55000000000000004">
      <c r="W62925"/>
    </row>
    <row r="62926" spans="23:23" x14ac:dyDescent="0.55000000000000004">
      <c r="W62926"/>
    </row>
    <row r="62927" spans="23:23" x14ac:dyDescent="0.55000000000000004">
      <c r="W62927"/>
    </row>
    <row r="62928" spans="23:23" x14ac:dyDescent="0.55000000000000004">
      <c r="W62928"/>
    </row>
    <row r="62929" spans="23:23" x14ac:dyDescent="0.55000000000000004">
      <c r="W62929"/>
    </row>
    <row r="62930" spans="23:23" x14ac:dyDescent="0.55000000000000004">
      <c r="W62930"/>
    </row>
    <row r="62931" spans="23:23" x14ac:dyDescent="0.55000000000000004">
      <c r="W62931"/>
    </row>
    <row r="62932" spans="23:23" x14ac:dyDescent="0.55000000000000004">
      <c r="W62932"/>
    </row>
    <row r="62933" spans="23:23" x14ac:dyDescent="0.55000000000000004">
      <c r="W62933"/>
    </row>
    <row r="62934" spans="23:23" x14ac:dyDescent="0.55000000000000004">
      <c r="W62934"/>
    </row>
    <row r="62935" spans="23:23" x14ac:dyDescent="0.55000000000000004">
      <c r="W62935"/>
    </row>
    <row r="62936" spans="23:23" x14ac:dyDescent="0.55000000000000004">
      <c r="W62936"/>
    </row>
    <row r="62937" spans="23:23" x14ac:dyDescent="0.55000000000000004">
      <c r="W62937"/>
    </row>
    <row r="62938" spans="23:23" x14ac:dyDescent="0.55000000000000004">
      <c r="W62938"/>
    </row>
    <row r="62939" spans="23:23" x14ac:dyDescent="0.55000000000000004">
      <c r="W62939"/>
    </row>
    <row r="62940" spans="23:23" x14ac:dyDescent="0.55000000000000004">
      <c r="W62940"/>
    </row>
    <row r="62941" spans="23:23" x14ac:dyDescent="0.55000000000000004">
      <c r="W62941"/>
    </row>
    <row r="62942" spans="23:23" x14ac:dyDescent="0.55000000000000004">
      <c r="W62942"/>
    </row>
    <row r="62943" spans="23:23" x14ac:dyDescent="0.55000000000000004">
      <c r="W62943"/>
    </row>
    <row r="62944" spans="23:23" x14ac:dyDescent="0.55000000000000004">
      <c r="W62944"/>
    </row>
    <row r="62945" spans="23:23" x14ac:dyDescent="0.55000000000000004">
      <c r="W62945"/>
    </row>
    <row r="62946" spans="23:23" x14ac:dyDescent="0.55000000000000004">
      <c r="W62946"/>
    </row>
    <row r="62947" spans="23:23" x14ac:dyDescent="0.55000000000000004">
      <c r="W62947"/>
    </row>
    <row r="62948" spans="23:23" x14ac:dyDescent="0.55000000000000004">
      <c r="W62948"/>
    </row>
    <row r="62949" spans="23:23" x14ac:dyDescent="0.55000000000000004">
      <c r="W62949"/>
    </row>
    <row r="62950" spans="23:23" x14ac:dyDescent="0.55000000000000004">
      <c r="W62950"/>
    </row>
    <row r="62951" spans="23:23" x14ac:dyDescent="0.55000000000000004">
      <c r="W62951"/>
    </row>
    <row r="62952" spans="23:23" x14ac:dyDescent="0.55000000000000004">
      <c r="W62952"/>
    </row>
    <row r="62953" spans="23:23" x14ac:dyDescent="0.55000000000000004">
      <c r="W62953"/>
    </row>
    <row r="62954" spans="23:23" x14ac:dyDescent="0.55000000000000004">
      <c r="W62954"/>
    </row>
    <row r="62955" spans="23:23" x14ac:dyDescent="0.55000000000000004">
      <c r="W62955"/>
    </row>
    <row r="62956" spans="23:23" x14ac:dyDescent="0.55000000000000004">
      <c r="W62956"/>
    </row>
    <row r="62957" spans="23:23" x14ac:dyDescent="0.55000000000000004">
      <c r="W62957"/>
    </row>
    <row r="62958" spans="23:23" x14ac:dyDescent="0.55000000000000004">
      <c r="W62958"/>
    </row>
    <row r="62959" spans="23:23" x14ac:dyDescent="0.55000000000000004">
      <c r="W62959"/>
    </row>
    <row r="62960" spans="23:23" x14ac:dyDescent="0.55000000000000004">
      <c r="W62960"/>
    </row>
    <row r="62961" spans="23:23" x14ac:dyDescent="0.55000000000000004">
      <c r="W62961"/>
    </row>
    <row r="62962" spans="23:23" x14ac:dyDescent="0.55000000000000004">
      <c r="W62962"/>
    </row>
    <row r="62963" spans="23:23" x14ac:dyDescent="0.55000000000000004">
      <c r="W62963"/>
    </row>
    <row r="62964" spans="23:23" x14ac:dyDescent="0.55000000000000004">
      <c r="W62964"/>
    </row>
    <row r="62965" spans="23:23" x14ac:dyDescent="0.55000000000000004">
      <c r="W62965"/>
    </row>
    <row r="62966" spans="23:23" x14ac:dyDescent="0.55000000000000004">
      <c r="W62966"/>
    </row>
    <row r="62967" spans="23:23" x14ac:dyDescent="0.55000000000000004">
      <c r="W62967"/>
    </row>
    <row r="62968" spans="23:23" x14ac:dyDescent="0.55000000000000004">
      <c r="W62968"/>
    </row>
    <row r="62969" spans="23:23" x14ac:dyDescent="0.55000000000000004">
      <c r="W62969"/>
    </row>
    <row r="62970" spans="23:23" x14ac:dyDescent="0.55000000000000004">
      <c r="W62970"/>
    </row>
    <row r="62971" spans="23:23" x14ac:dyDescent="0.55000000000000004">
      <c r="W62971"/>
    </row>
    <row r="62972" spans="23:23" x14ac:dyDescent="0.55000000000000004">
      <c r="W62972"/>
    </row>
    <row r="62973" spans="23:23" x14ac:dyDescent="0.55000000000000004">
      <c r="W62973"/>
    </row>
    <row r="62974" spans="23:23" x14ac:dyDescent="0.55000000000000004">
      <c r="W62974"/>
    </row>
    <row r="62975" spans="23:23" x14ac:dyDescent="0.55000000000000004">
      <c r="W62975"/>
    </row>
    <row r="62976" spans="23:23" x14ac:dyDescent="0.55000000000000004">
      <c r="W62976"/>
    </row>
    <row r="62977" spans="23:23" x14ac:dyDescent="0.55000000000000004">
      <c r="W62977"/>
    </row>
    <row r="62978" spans="23:23" x14ac:dyDescent="0.55000000000000004">
      <c r="W62978"/>
    </row>
    <row r="62979" spans="23:23" x14ac:dyDescent="0.55000000000000004">
      <c r="W62979"/>
    </row>
    <row r="62980" spans="23:23" x14ac:dyDescent="0.55000000000000004">
      <c r="W62980"/>
    </row>
    <row r="62981" spans="23:23" x14ac:dyDescent="0.55000000000000004">
      <c r="W62981"/>
    </row>
    <row r="62982" spans="23:23" x14ac:dyDescent="0.55000000000000004">
      <c r="W62982"/>
    </row>
    <row r="62983" spans="23:23" x14ac:dyDescent="0.55000000000000004">
      <c r="W62983"/>
    </row>
    <row r="62984" spans="23:23" x14ac:dyDescent="0.55000000000000004">
      <c r="W62984"/>
    </row>
    <row r="62985" spans="23:23" x14ac:dyDescent="0.55000000000000004">
      <c r="W62985"/>
    </row>
    <row r="62986" spans="23:23" x14ac:dyDescent="0.55000000000000004">
      <c r="W62986"/>
    </row>
    <row r="62987" spans="23:23" x14ac:dyDescent="0.55000000000000004">
      <c r="W62987"/>
    </row>
    <row r="62988" spans="23:23" x14ac:dyDescent="0.55000000000000004">
      <c r="W62988"/>
    </row>
    <row r="62989" spans="23:23" x14ac:dyDescent="0.55000000000000004">
      <c r="W62989"/>
    </row>
    <row r="62990" spans="23:23" x14ac:dyDescent="0.55000000000000004">
      <c r="W62990"/>
    </row>
    <row r="62991" spans="23:23" x14ac:dyDescent="0.55000000000000004">
      <c r="W62991"/>
    </row>
    <row r="62992" spans="23:23" x14ac:dyDescent="0.55000000000000004">
      <c r="W62992"/>
    </row>
    <row r="62993" spans="23:23" x14ac:dyDescent="0.55000000000000004">
      <c r="W62993"/>
    </row>
    <row r="62994" spans="23:23" x14ac:dyDescent="0.55000000000000004">
      <c r="W62994"/>
    </row>
    <row r="62995" spans="23:23" x14ac:dyDescent="0.55000000000000004">
      <c r="W62995"/>
    </row>
    <row r="62996" spans="23:23" x14ac:dyDescent="0.55000000000000004">
      <c r="W62996"/>
    </row>
    <row r="62997" spans="23:23" x14ac:dyDescent="0.55000000000000004">
      <c r="W62997"/>
    </row>
    <row r="62998" spans="23:23" x14ac:dyDescent="0.55000000000000004">
      <c r="W62998"/>
    </row>
    <row r="62999" spans="23:23" x14ac:dyDescent="0.55000000000000004">
      <c r="W62999"/>
    </row>
    <row r="63000" spans="23:23" x14ac:dyDescent="0.55000000000000004">
      <c r="W63000"/>
    </row>
    <row r="63001" spans="23:23" x14ac:dyDescent="0.55000000000000004">
      <c r="W63001"/>
    </row>
    <row r="63002" spans="23:23" x14ac:dyDescent="0.55000000000000004">
      <c r="W63002"/>
    </row>
    <row r="63003" spans="23:23" x14ac:dyDescent="0.55000000000000004">
      <c r="W63003"/>
    </row>
    <row r="63004" spans="23:23" x14ac:dyDescent="0.55000000000000004">
      <c r="W63004"/>
    </row>
    <row r="63005" spans="23:23" x14ac:dyDescent="0.55000000000000004">
      <c r="W63005"/>
    </row>
    <row r="63006" spans="23:23" x14ac:dyDescent="0.55000000000000004">
      <c r="W63006"/>
    </row>
    <row r="63007" spans="23:23" x14ac:dyDescent="0.55000000000000004">
      <c r="W63007"/>
    </row>
    <row r="63008" spans="23:23" x14ac:dyDescent="0.55000000000000004">
      <c r="W63008"/>
    </row>
    <row r="63009" spans="23:23" x14ac:dyDescent="0.55000000000000004">
      <c r="W63009"/>
    </row>
    <row r="63010" spans="23:23" x14ac:dyDescent="0.55000000000000004">
      <c r="W63010"/>
    </row>
    <row r="63011" spans="23:23" x14ac:dyDescent="0.55000000000000004">
      <c r="W63011"/>
    </row>
    <row r="63012" spans="23:23" x14ac:dyDescent="0.55000000000000004">
      <c r="W63012"/>
    </row>
    <row r="63013" spans="23:23" x14ac:dyDescent="0.55000000000000004">
      <c r="W63013"/>
    </row>
    <row r="63014" spans="23:23" x14ac:dyDescent="0.55000000000000004">
      <c r="W63014"/>
    </row>
    <row r="63015" spans="23:23" x14ac:dyDescent="0.55000000000000004">
      <c r="W63015"/>
    </row>
    <row r="63016" spans="23:23" x14ac:dyDescent="0.55000000000000004">
      <c r="W63016"/>
    </row>
    <row r="63017" spans="23:23" x14ac:dyDescent="0.55000000000000004">
      <c r="W63017"/>
    </row>
    <row r="63018" spans="23:23" x14ac:dyDescent="0.55000000000000004">
      <c r="W63018"/>
    </row>
    <row r="63019" spans="23:23" x14ac:dyDescent="0.55000000000000004">
      <c r="W63019"/>
    </row>
    <row r="63020" spans="23:23" x14ac:dyDescent="0.55000000000000004">
      <c r="W63020"/>
    </row>
    <row r="63021" spans="23:23" x14ac:dyDescent="0.55000000000000004">
      <c r="W63021"/>
    </row>
    <row r="63022" spans="23:23" x14ac:dyDescent="0.55000000000000004">
      <c r="W63022"/>
    </row>
    <row r="63023" spans="23:23" x14ac:dyDescent="0.55000000000000004">
      <c r="W63023"/>
    </row>
    <row r="63024" spans="23:23" x14ac:dyDescent="0.55000000000000004">
      <c r="W63024"/>
    </row>
    <row r="63025" spans="23:23" x14ac:dyDescent="0.55000000000000004">
      <c r="W63025"/>
    </row>
    <row r="63026" spans="23:23" x14ac:dyDescent="0.55000000000000004">
      <c r="W63026"/>
    </row>
    <row r="63027" spans="23:23" x14ac:dyDescent="0.55000000000000004">
      <c r="W63027"/>
    </row>
    <row r="63028" spans="23:23" x14ac:dyDescent="0.55000000000000004">
      <c r="W63028"/>
    </row>
    <row r="63029" spans="23:23" x14ac:dyDescent="0.55000000000000004">
      <c r="W63029"/>
    </row>
    <row r="63030" spans="23:23" x14ac:dyDescent="0.55000000000000004">
      <c r="W63030"/>
    </row>
    <row r="63031" spans="23:23" x14ac:dyDescent="0.55000000000000004">
      <c r="W63031"/>
    </row>
    <row r="63032" spans="23:23" x14ac:dyDescent="0.55000000000000004">
      <c r="W63032"/>
    </row>
    <row r="63033" spans="23:23" x14ac:dyDescent="0.55000000000000004">
      <c r="W63033"/>
    </row>
    <row r="63034" spans="23:23" x14ac:dyDescent="0.55000000000000004">
      <c r="W63034"/>
    </row>
    <row r="63035" spans="23:23" x14ac:dyDescent="0.55000000000000004">
      <c r="W63035"/>
    </row>
    <row r="63036" spans="23:23" x14ac:dyDescent="0.55000000000000004">
      <c r="W63036"/>
    </row>
    <row r="63037" spans="23:23" x14ac:dyDescent="0.55000000000000004">
      <c r="W63037"/>
    </row>
    <row r="63038" spans="23:23" x14ac:dyDescent="0.55000000000000004">
      <c r="W63038"/>
    </row>
    <row r="63039" spans="23:23" x14ac:dyDescent="0.55000000000000004">
      <c r="W63039"/>
    </row>
    <row r="63040" spans="23:23" x14ac:dyDescent="0.55000000000000004">
      <c r="W63040"/>
    </row>
    <row r="63041" spans="23:23" x14ac:dyDescent="0.55000000000000004">
      <c r="W63041"/>
    </row>
    <row r="63042" spans="23:23" x14ac:dyDescent="0.55000000000000004">
      <c r="W63042"/>
    </row>
    <row r="63043" spans="23:23" x14ac:dyDescent="0.55000000000000004">
      <c r="W63043"/>
    </row>
    <row r="63044" spans="23:23" x14ac:dyDescent="0.55000000000000004">
      <c r="W63044"/>
    </row>
    <row r="63045" spans="23:23" x14ac:dyDescent="0.55000000000000004">
      <c r="W63045"/>
    </row>
    <row r="63046" spans="23:23" x14ac:dyDescent="0.55000000000000004">
      <c r="W63046"/>
    </row>
    <row r="63047" spans="23:23" x14ac:dyDescent="0.55000000000000004">
      <c r="W63047"/>
    </row>
    <row r="63048" spans="23:23" x14ac:dyDescent="0.55000000000000004">
      <c r="W63048"/>
    </row>
    <row r="63049" spans="23:23" x14ac:dyDescent="0.55000000000000004">
      <c r="W63049"/>
    </row>
    <row r="63050" spans="23:23" x14ac:dyDescent="0.55000000000000004">
      <c r="W63050"/>
    </row>
    <row r="63051" spans="23:23" x14ac:dyDescent="0.55000000000000004">
      <c r="W63051"/>
    </row>
    <row r="63052" spans="23:23" x14ac:dyDescent="0.55000000000000004">
      <c r="W63052"/>
    </row>
    <row r="63053" spans="23:23" x14ac:dyDescent="0.55000000000000004">
      <c r="W63053"/>
    </row>
    <row r="63054" spans="23:23" x14ac:dyDescent="0.55000000000000004">
      <c r="W63054"/>
    </row>
    <row r="63055" spans="23:23" x14ac:dyDescent="0.55000000000000004">
      <c r="W63055"/>
    </row>
    <row r="63056" spans="23:23" x14ac:dyDescent="0.55000000000000004">
      <c r="W63056"/>
    </row>
    <row r="63057" spans="23:23" x14ac:dyDescent="0.55000000000000004">
      <c r="W63057"/>
    </row>
    <row r="63058" spans="23:23" x14ac:dyDescent="0.55000000000000004">
      <c r="W63058"/>
    </row>
    <row r="63059" spans="23:23" x14ac:dyDescent="0.55000000000000004">
      <c r="W63059"/>
    </row>
    <row r="63060" spans="23:23" x14ac:dyDescent="0.55000000000000004">
      <c r="W63060"/>
    </row>
    <row r="63061" spans="23:23" x14ac:dyDescent="0.55000000000000004">
      <c r="W63061"/>
    </row>
    <row r="63062" spans="23:23" x14ac:dyDescent="0.55000000000000004">
      <c r="W63062"/>
    </row>
    <row r="63063" spans="23:23" x14ac:dyDescent="0.55000000000000004">
      <c r="W63063"/>
    </row>
    <row r="63064" spans="23:23" x14ac:dyDescent="0.55000000000000004">
      <c r="W63064"/>
    </row>
    <row r="63065" spans="23:23" x14ac:dyDescent="0.55000000000000004">
      <c r="W63065"/>
    </row>
    <row r="63066" spans="23:23" x14ac:dyDescent="0.55000000000000004">
      <c r="W63066"/>
    </row>
    <row r="63067" spans="23:23" x14ac:dyDescent="0.55000000000000004">
      <c r="W63067"/>
    </row>
    <row r="63068" spans="23:23" x14ac:dyDescent="0.55000000000000004">
      <c r="W63068"/>
    </row>
    <row r="63069" spans="23:23" x14ac:dyDescent="0.55000000000000004">
      <c r="W63069"/>
    </row>
    <row r="63070" spans="23:23" x14ac:dyDescent="0.55000000000000004">
      <c r="W63070"/>
    </row>
    <row r="63071" spans="23:23" x14ac:dyDescent="0.55000000000000004">
      <c r="W63071"/>
    </row>
    <row r="63072" spans="23:23" x14ac:dyDescent="0.55000000000000004">
      <c r="W63072"/>
    </row>
    <row r="63073" spans="23:23" x14ac:dyDescent="0.55000000000000004">
      <c r="W63073"/>
    </row>
    <row r="63074" spans="23:23" x14ac:dyDescent="0.55000000000000004">
      <c r="W63074"/>
    </row>
    <row r="63075" spans="23:23" x14ac:dyDescent="0.55000000000000004">
      <c r="W63075"/>
    </row>
    <row r="63076" spans="23:23" x14ac:dyDescent="0.55000000000000004">
      <c r="W63076"/>
    </row>
    <row r="63077" spans="23:23" x14ac:dyDescent="0.55000000000000004">
      <c r="W63077"/>
    </row>
    <row r="63078" spans="23:23" x14ac:dyDescent="0.55000000000000004">
      <c r="W63078"/>
    </row>
    <row r="63079" spans="23:23" x14ac:dyDescent="0.55000000000000004">
      <c r="W63079"/>
    </row>
    <row r="63080" spans="23:23" x14ac:dyDescent="0.55000000000000004">
      <c r="W63080"/>
    </row>
    <row r="63081" spans="23:23" x14ac:dyDescent="0.55000000000000004">
      <c r="W63081"/>
    </row>
    <row r="63082" spans="23:23" x14ac:dyDescent="0.55000000000000004">
      <c r="W63082"/>
    </row>
    <row r="63083" spans="23:23" x14ac:dyDescent="0.55000000000000004">
      <c r="W63083"/>
    </row>
    <row r="63084" spans="23:23" x14ac:dyDescent="0.55000000000000004">
      <c r="W63084"/>
    </row>
    <row r="63085" spans="23:23" x14ac:dyDescent="0.55000000000000004">
      <c r="W63085"/>
    </row>
    <row r="63086" spans="23:23" x14ac:dyDescent="0.55000000000000004">
      <c r="W63086"/>
    </row>
    <row r="63087" spans="23:23" x14ac:dyDescent="0.55000000000000004">
      <c r="W63087"/>
    </row>
    <row r="63088" spans="23:23" x14ac:dyDescent="0.55000000000000004">
      <c r="W63088"/>
    </row>
    <row r="63089" spans="23:23" x14ac:dyDescent="0.55000000000000004">
      <c r="W63089"/>
    </row>
    <row r="63090" spans="23:23" x14ac:dyDescent="0.55000000000000004">
      <c r="W63090"/>
    </row>
    <row r="63091" spans="23:23" x14ac:dyDescent="0.55000000000000004">
      <c r="W63091"/>
    </row>
    <row r="63092" spans="23:23" x14ac:dyDescent="0.55000000000000004">
      <c r="W63092"/>
    </row>
    <row r="63093" spans="23:23" x14ac:dyDescent="0.55000000000000004">
      <c r="W63093"/>
    </row>
    <row r="63094" spans="23:23" x14ac:dyDescent="0.55000000000000004">
      <c r="W63094"/>
    </row>
    <row r="63095" spans="23:23" x14ac:dyDescent="0.55000000000000004">
      <c r="W63095"/>
    </row>
    <row r="63096" spans="23:23" x14ac:dyDescent="0.55000000000000004">
      <c r="W63096"/>
    </row>
    <row r="63097" spans="23:23" x14ac:dyDescent="0.55000000000000004">
      <c r="W63097"/>
    </row>
    <row r="63098" spans="23:23" x14ac:dyDescent="0.55000000000000004">
      <c r="W63098"/>
    </row>
    <row r="63099" spans="23:23" x14ac:dyDescent="0.55000000000000004">
      <c r="W63099"/>
    </row>
    <row r="63100" spans="23:23" x14ac:dyDescent="0.55000000000000004">
      <c r="W63100"/>
    </row>
    <row r="63101" spans="23:23" x14ac:dyDescent="0.55000000000000004">
      <c r="W63101"/>
    </row>
    <row r="63102" spans="23:23" x14ac:dyDescent="0.55000000000000004">
      <c r="W63102"/>
    </row>
    <row r="63103" spans="23:23" x14ac:dyDescent="0.55000000000000004">
      <c r="W63103"/>
    </row>
    <row r="63104" spans="23:23" x14ac:dyDescent="0.55000000000000004">
      <c r="W63104"/>
    </row>
    <row r="63105" spans="23:23" x14ac:dyDescent="0.55000000000000004">
      <c r="W63105"/>
    </row>
    <row r="63106" spans="23:23" x14ac:dyDescent="0.55000000000000004">
      <c r="W63106"/>
    </row>
    <row r="63107" spans="23:23" x14ac:dyDescent="0.55000000000000004">
      <c r="W63107"/>
    </row>
    <row r="63108" spans="23:23" x14ac:dyDescent="0.55000000000000004">
      <c r="W63108"/>
    </row>
    <row r="63109" spans="23:23" x14ac:dyDescent="0.55000000000000004">
      <c r="W63109"/>
    </row>
    <row r="63110" spans="23:23" x14ac:dyDescent="0.55000000000000004">
      <c r="W63110"/>
    </row>
    <row r="63111" spans="23:23" x14ac:dyDescent="0.55000000000000004">
      <c r="W63111"/>
    </row>
    <row r="63112" spans="23:23" x14ac:dyDescent="0.55000000000000004">
      <c r="W63112"/>
    </row>
    <row r="63113" spans="23:23" x14ac:dyDescent="0.55000000000000004">
      <c r="W63113"/>
    </row>
    <row r="63114" spans="23:23" x14ac:dyDescent="0.55000000000000004">
      <c r="W63114"/>
    </row>
    <row r="63115" spans="23:23" x14ac:dyDescent="0.55000000000000004">
      <c r="W63115"/>
    </row>
    <row r="63116" spans="23:23" x14ac:dyDescent="0.55000000000000004">
      <c r="W63116"/>
    </row>
    <row r="63117" spans="23:23" x14ac:dyDescent="0.55000000000000004">
      <c r="W63117"/>
    </row>
    <row r="63118" spans="23:23" x14ac:dyDescent="0.55000000000000004">
      <c r="W63118"/>
    </row>
    <row r="63119" spans="23:23" x14ac:dyDescent="0.55000000000000004">
      <c r="W63119"/>
    </row>
    <row r="63120" spans="23:23" x14ac:dyDescent="0.55000000000000004">
      <c r="W63120"/>
    </row>
    <row r="63121" spans="23:23" x14ac:dyDescent="0.55000000000000004">
      <c r="W63121"/>
    </row>
    <row r="63122" spans="23:23" x14ac:dyDescent="0.55000000000000004">
      <c r="W63122"/>
    </row>
    <row r="63123" spans="23:23" x14ac:dyDescent="0.55000000000000004">
      <c r="W63123"/>
    </row>
    <row r="63124" spans="23:23" x14ac:dyDescent="0.55000000000000004">
      <c r="W63124"/>
    </row>
    <row r="63125" spans="23:23" x14ac:dyDescent="0.55000000000000004">
      <c r="W63125"/>
    </row>
    <row r="63126" spans="23:23" x14ac:dyDescent="0.55000000000000004">
      <c r="W63126"/>
    </row>
    <row r="63127" spans="23:23" x14ac:dyDescent="0.55000000000000004">
      <c r="W63127"/>
    </row>
    <row r="63128" spans="23:23" x14ac:dyDescent="0.55000000000000004">
      <c r="W63128"/>
    </row>
    <row r="63129" spans="23:23" x14ac:dyDescent="0.55000000000000004">
      <c r="W63129"/>
    </row>
    <row r="63130" spans="23:23" x14ac:dyDescent="0.55000000000000004">
      <c r="W63130"/>
    </row>
    <row r="63131" spans="23:23" x14ac:dyDescent="0.55000000000000004">
      <c r="W63131"/>
    </row>
    <row r="63132" spans="23:23" x14ac:dyDescent="0.55000000000000004">
      <c r="W63132"/>
    </row>
    <row r="63133" spans="23:23" x14ac:dyDescent="0.55000000000000004">
      <c r="W63133"/>
    </row>
    <row r="63134" spans="23:23" x14ac:dyDescent="0.55000000000000004">
      <c r="W63134"/>
    </row>
    <row r="63135" spans="23:23" x14ac:dyDescent="0.55000000000000004">
      <c r="W63135"/>
    </row>
    <row r="63136" spans="23:23" x14ac:dyDescent="0.55000000000000004">
      <c r="W63136"/>
    </row>
    <row r="63137" spans="23:23" x14ac:dyDescent="0.55000000000000004">
      <c r="W63137"/>
    </row>
    <row r="63138" spans="23:23" x14ac:dyDescent="0.55000000000000004">
      <c r="W63138"/>
    </row>
    <row r="63139" spans="23:23" x14ac:dyDescent="0.55000000000000004">
      <c r="W63139"/>
    </row>
    <row r="63140" spans="23:23" x14ac:dyDescent="0.55000000000000004">
      <c r="W63140"/>
    </row>
    <row r="63141" spans="23:23" x14ac:dyDescent="0.55000000000000004">
      <c r="W63141"/>
    </row>
    <row r="63142" spans="23:23" x14ac:dyDescent="0.55000000000000004">
      <c r="W63142"/>
    </row>
    <row r="63143" spans="23:23" x14ac:dyDescent="0.55000000000000004">
      <c r="W63143"/>
    </row>
    <row r="63144" spans="23:23" x14ac:dyDescent="0.55000000000000004">
      <c r="W63144"/>
    </row>
    <row r="63145" spans="23:23" x14ac:dyDescent="0.55000000000000004">
      <c r="W63145"/>
    </row>
    <row r="63146" spans="23:23" x14ac:dyDescent="0.55000000000000004">
      <c r="W63146"/>
    </row>
    <row r="63147" spans="23:23" x14ac:dyDescent="0.55000000000000004">
      <c r="W63147"/>
    </row>
    <row r="63148" spans="23:23" x14ac:dyDescent="0.55000000000000004">
      <c r="W63148"/>
    </row>
    <row r="63149" spans="23:23" x14ac:dyDescent="0.55000000000000004">
      <c r="W63149"/>
    </row>
    <row r="63150" spans="23:23" x14ac:dyDescent="0.55000000000000004">
      <c r="W63150"/>
    </row>
    <row r="63151" spans="23:23" x14ac:dyDescent="0.55000000000000004">
      <c r="W63151"/>
    </row>
    <row r="63152" spans="23:23" x14ac:dyDescent="0.55000000000000004">
      <c r="W63152"/>
    </row>
    <row r="63153" spans="23:23" x14ac:dyDescent="0.55000000000000004">
      <c r="W63153"/>
    </row>
    <row r="63154" spans="23:23" x14ac:dyDescent="0.55000000000000004">
      <c r="W63154"/>
    </row>
    <row r="63155" spans="23:23" x14ac:dyDescent="0.55000000000000004">
      <c r="W63155"/>
    </row>
    <row r="63156" spans="23:23" x14ac:dyDescent="0.55000000000000004">
      <c r="W63156"/>
    </row>
    <row r="63157" spans="23:23" x14ac:dyDescent="0.55000000000000004">
      <c r="W63157"/>
    </row>
    <row r="63158" spans="23:23" x14ac:dyDescent="0.55000000000000004">
      <c r="W63158"/>
    </row>
    <row r="63159" spans="23:23" x14ac:dyDescent="0.55000000000000004">
      <c r="W63159"/>
    </row>
    <row r="63160" spans="23:23" x14ac:dyDescent="0.55000000000000004">
      <c r="W63160"/>
    </row>
    <row r="63161" spans="23:23" x14ac:dyDescent="0.55000000000000004">
      <c r="W63161"/>
    </row>
    <row r="63162" spans="23:23" x14ac:dyDescent="0.55000000000000004">
      <c r="W63162"/>
    </row>
    <row r="63163" spans="23:23" x14ac:dyDescent="0.55000000000000004">
      <c r="W63163"/>
    </row>
    <row r="63164" spans="23:23" x14ac:dyDescent="0.55000000000000004">
      <c r="W63164"/>
    </row>
    <row r="63165" spans="23:23" x14ac:dyDescent="0.55000000000000004">
      <c r="W63165"/>
    </row>
    <row r="63166" spans="23:23" x14ac:dyDescent="0.55000000000000004">
      <c r="W63166"/>
    </row>
    <row r="63167" spans="23:23" x14ac:dyDescent="0.55000000000000004">
      <c r="W63167"/>
    </row>
    <row r="63168" spans="23:23" x14ac:dyDescent="0.55000000000000004">
      <c r="W63168"/>
    </row>
    <row r="63169" spans="23:23" x14ac:dyDescent="0.55000000000000004">
      <c r="W63169"/>
    </row>
    <row r="63170" spans="23:23" x14ac:dyDescent="0.55000000000000004">
      <c r="W63170"/>
    </row>
    <row r="63171" spans="23:23" x14ac:dyDescent="0.55000000000000004">
      <c r="W63171"/>
    </row>
    <row r="63172" spans="23:23" x14ac:dyDescent="0.55000000000000004">
      <c r="W63172"/>
    </row>
    <row r="63173" spans="23:23" x14ac:dyDescent="0.55000000000000004">
      <c r="W63173"/>
    </row>
    <row r="63174" spans="23:23" x14ac:dyDescent="0.55000000000000004">
      <c r="W63174"/>
    </row>
    <row r="63175" spans="23:23" x14ac:dyDescent="0.55000000000000004">
      <c r="W63175"/>
    </row>
    <row r="63176" spans="23:23" x14ac:dyDescent="0.55000000000000004">
      <c r="W63176"/>
    </row>
    <row r="63177" spans="23:23" x14ac:dyDescent="0.55000000000000004">
      <c r="W63177"/>
    </row>
    <row r="63178" spans="23:23" x14ac:dyDescent="0.55000000000000004">
      <c r="W63178"/>
    </row>
    <row r="63179" spans="23:23" x14ac:dyDescent="0.55000000000000004">
      <c r="W63179"/>
    </row>
    <row r="63180" spans="23:23" x14ac:dyDescent="0.55000000000000004">
      <c r="W63180"/>
    </row>
    <row r="63181" spans="23:23" x14ac:dyDescent="0.55000000000000004">
      <c r="W63181"/>
    </row>
    <row r="63182" spans="23:23" x14ac:dyDescent="0.55000000000000004">
      <c r="W63182"/>
    </row>
    <row r="63183" spans="23:23" x14ac:dyDescent="0.55000000000000004">
      <c r="W63183"/>
    </row>
    <row r="63184" spans="23:23" x14ac:dyDescent="0.55000000000000004">
      <c r="W63184"/>
    </row>
    <row r="63185" spans="23:23" x14ac:dyDescent="0.55000000000000004">
      <c r="W63185"/>
    </row>
    <row r="63186" spans="23:23" x14ac:dyDescent="0.55000000000000004">
      <c r="W63186"/>
    </row>
    <row r="63187" spans="23:23" x14ac:dyDescent="0.55000000000000004">
      <c r="W63187"/>
    </row>
    <row r="63188" spans="23:23" x14ac:dyDescent="0.55000000000000004">
      <c r="W63188"/>
    </row>
    <row r="63189" spans="23:23" x14ac:dyDescent="0.55000000000000004">
      <c r="W63189"/>
    </row>
    <row r="63190" spans="23:23" x14ac:dyDescent="0.55000000000000004">
      <c r="W63190"/>
    </row>
    <row r="63191" spans="23:23" x14ac:dyDescent="0.55000000000000004">
      <c r="W63191"/>
    </row>
    <row r="63192" spans="23:23" x14ac:dyDescent="0.55000000000000004">
      <c r="W63192"/>
    </row>
    <row r="63193" spans="23:23" x14ac:dyDescent="0.55000000000000004">
      <c r="W63193"/>
    </row>
    <row r="63194" spans="23:23" x14ac:dyDescent="0.55000000000000004">
      <c r="W63194"/>
    </row>
    <row r="63195" spans="23:23" x14ac:dyDescent="0.55000000000000004">
      <c r="W63195"/>
    </row>
    <row r="63196" spans="23:23" x14ac:dyDescent="0.55000000000000004">
      <c r="W63196"/>
    </row>
    <row r="63197" spans="23:23" x14ac:dyDescent="0.55000000000000004">
      <c r="W63197"/>
    </row>
    <row r="63198" spans="23:23" x14ac:dyDescent="0.55000000000000004">
      <c r="W63198"/>
    </row>
    <row r="63199" spans="23:23" x14ac:dyDescent="0.55000000000000004">
      <c r="W63199"/>
    </row>
    <row r="63200" spans="23:23" x14ac:dyDescent="0.55000000000000004">
      <c r="W63200"/>
    </row>
    <row r="63201" spans="23:23" x14ac:dyDescent="0.55000000000000004">
      <c r="W63201"/>
    </row>
    <row r="63202" spans="23:23" x14ac:dyDescent="0.55000000000000004">
      <c r="W63202"/>
    </row>
    <row r="63203" spans="23:23" x14ac:dyDescent="0.55000000000000004">
      <c r="W63203"/>
    </row>
    <row r="63204" spans="23:23" x14ac:dyDescent="0.55000000000000004">
      <c r="W63204"/>
    </row>
    <row r="63205" spans="23:23" x14ac:dyDescent="0.55000000000000004">
      <c r="W63205"/>
    </row>
    <row r="63206" spans="23:23" x14ac:dyDescent="0.55000000000000004">
      <c r="W63206"/>
    </row>
    <row r="63207" spans="23:23" x14ac:dyDescent="0.55000000000000004">
      <c r="W63207"/>
    </row>
    <row r="63208" spans="23:23" x14ac:dyDescent="0.55000000000000004">
      <c r="W63208"/>
    </row>
    <row r="63209" spans="23:23" x14ac:dyDescent="0.55000000000000004">
      <c r="W63209"/>
    </row>
    <row r="63210" spans="23:23" x14ac:dyDescent="0.55000000000000004">
      <c r="W63210"/>
    </row>
    <row r="63211" spans="23:23" x14ac:dyDescent="0.55000000000000004">
      <c r="W63211"/>
    </row>
    <row r="63212" spans="23:23" x14ac:dyDescent="0.55000000000000004">
      <c r="W63212"/>
    </row>
    <row r="63213" spans="23:23" x14ac:dyDescent="0.55000000000000004">
      <c r="W63213"/>
    </row>
    <row r="63214" spans="23:23" x14ac:dyDescent="0.55000000000000004">
      <c r="W63214"/>
    </row>
    <row r="63215" spans="23:23" x14ac:dyDescent="0.55000000000000004">
      <c r="W63215"/>
    </row>
    <row r="63216" spans="23:23" x14ac:dyDescent="0.55000000000000004">
      <c r="W63216"/>
    </row>
    <row r="63217" spans="23:23" x14ac:dyDescent="0.55000000000000004">
      <c r="W63217"/>
    </row>
    <row r="63218" spans="23:23" x14ac:dyDescent="0.55000000000000004">
      <c r="W63218"/>
    </row>
    <row r="63219" spans="23:23" x14ac:dyDescent="0.55000000000000004">
      <c r="W63219"/>
    </row>
    <row r="63220" spans="23:23" x14ac:dyDescent="0.55000000000000004">
      <c r="W63220"/>
    </row>
    <row r="63221" spans="23:23" x14ac:dyDescent="0.55000000000000004">
      <c r="W63221"/>
    </row>
    <row r="63222" spans="23:23" x14ac:dyDescent="0.55000000000000004">
      <c r="W63222"/>
    </row>
    <row r="63223" spans="23:23" x14ac:dyDescent="0.55000000000000004">
      <c r="W63223"/>
    </row>
    <row r="63224" spans="23:23" x14ac:dyDescent="0.55000000000000004">
      <c r="W63224"/>
    </row>
    <row r="63225" spans="23:23" x14ac:dyDescent="0.55000000000000004">
      <c r="W63225"/>
    </row>
    <row r="63226" spans="23:23" x14ac:dyDescent="0.55000000000000004">
      <c r="W63226"/>
    </row>
    <row r="63227" spans="23:23" x14ac:dyDescent="0.55000000000000004">
      <c r="W63227"/>
    </row>
    <row r="63228" spans="23:23" x14ac:dyDescent="0.55000000000000004">
      <c r="W63228"/>
    </row>
    <row r="63229" spans="23:23" x14ac:dyDescent="0.55000000000000004">
      <c r="W63229"/>
    </row>
    <row r="63230" spans="23:23" x14ac:dyDescent="0.55000000000000004">
      <c r="W63230"/>
    </row>
    <row r="63231" spans="23:23" x14ac:dyDescent="0.55000000000000004">
      <c r="W63231"/>
    </row>
    <row r="63232" spans="23:23" x14ac:dyDescent="0.55000000000000004">
      <c r="W63232"/>
    </row>
    <row r="63233" spans="23:23" x14ac:dyDescent="0.55000000000000004">
      <c r="W63233"/>
    </row>
    <row r="63234" spans="23:23" x14ac:dyDescent="0.55000000000000004">
      <c r="W63234"/>
    </row>
    <row r="63235" spans="23:23" x14ac:dyDescent="0.55000000000000004">
      <c r="W63235"/>
    </row>
    <row r="63236" spans="23:23" x14ac:dyDescent="0.55000000000000004">
      <c r="W63236"/>
    </row>
    <row r="63237" spans="23:23" x14ac:dyDescent="0.55000000000000004">
      <c r="W63237"/>
    </row>
    <row r="63238" spans="23:23" x14ac:dyDescent="0.55000000000000004">
      <c r="W63238"/>
    </row>
    <row r="63239" spans="23:23" x14ac:dyDescent="0.55000000000000004">
      <c r="W63239"/>
    </row>
    <row r="63240" spans="23:23" x14ac:dyDescent="0.55000000000000004">
      <c r="W63240"/>
    </row>
    <row r="63241" spans="23:23" x14ac:dyDescent="0.55000000000000004">
      <c r="W63241"/>
    </row>
    <row r="63242" spans="23:23" x14ac:dyDescent="0.55000000000000004">
      <c r="W63242"/>
    </row>
    <row r="63243" spans="23:23" x14ac:dyDescent="0.55000000000000004">
      <c r="W63243"/>
    </row>
    <row r="63244" spans="23:23" x14ac:dyDescent="0.55000000000000004">
      <c r="W63244"/>
    </row>
    <row r="63245" spans="23:23" x14ac:dyDescent="0.55000000000000004">
      <c r="W63245"/>
    </row>
    <row r="63246" spans="23:23" x14ac:dyDescent="0.55000000000000004">
      <c r="W63246"/>
    </row>
    <row r="63247" spans="23:23" x14ac:dyDescent="0.55000000000000004">
      <c r="W63247"/>
    </row>
    <row r="63248" spans="23:23" x14ac:dyDescent="0.55000000000000004">
      <c r="W63248"/>
    </row>
    <row r="63249" spans="23:23" x14ac:dyDescent="0.55000000000000004">
      <c r="W63249"/>
    </row>
    <row r="63250" spans="23:23" x14ac:dyDescent="0.55000000000000004">
      <c r="W63250"/>
    </row>
    <row r="63251" spans="23:23" x14ac:dyDescent="0.55000000000000004">
      <c r="W63251"/>
    </row>
    <row r="63252" spans="23:23" x14ac:dyDescent="0.55000000000000004">
      <c r="W63252"/>
    </row>
    <row r="63253" spans="23:23" x14ac:dyDescent="0.55000000000000004">
      <c r="W63253"/>
    </row>
    <row r="63254" spans="23:23" x14ac:dyDescent="0.55000000000000004">
      <c r="W63254"/>
    </row>
    <row r="63255" spans="23:23" x14ac:dyDescent="0.55000000000000004">
      <c r="W63255"/>
    </row>
    <row r="63256" spans="23:23" x14ac:dyDescent="0.55000000000000004">
      <c r="W63256"/>
    </row>
    <row r="63257" spans="23:23" x14ac:dyDescent="0.55000000000000004">
      <c r="W63257"/>
    </row>
    <row r="63258" spans="23:23" x14ac:dyDescent="0.55000000000000004">
      <c r="W63258"/>
    </row>
    <row r="63259" spans="23:23" x14ac:dyDescent="0.55000000000000004">
      <c r="W63259"/>
    </row>
    <row r="63260" spans="23:23" x14ac:dyDescent="0.55000000000000004">
      <c r="W63260"/>
    </row>
    <row r="63261" spans="23:23" x14ac:dyDescent="0.55000000000000004">
      <c r="W63261"/>
    </row>
    <row r="63262" spans="23:23" x14ac:dyDescent="0.55000000000000004">
      <c r="W63262"/>
    </row>
    <row r="63263" spans="23:23" x14ac:dyDescent="0.55000000000000004">
      <c r="W63263"/>
    </row>
    <row r="63264" spans="23:23" x14ac:dyDescent="0.55000000000000004">
      <c r="W63264"/>
    </row>
    <row r="63265" spans="23:23" x14ac:dyDescent="0.55000000000000004">
      <c r="W63265"/>
    </row>
    <row r="63266" spans="23:23" x14ac:dyDescent="0.55000000000000004">
      <c r="W63266"/>
    </row>
    <row r="63267" spans="23:23" x14ac:dyDescent="0.55000000000000004">
      <c r="W63267"/>
    </row>
    <row r="63268" spans="23:23" x14ac:dyDescent="0.55000000000000004">
      <c r="W63268"/>
    </row>
    <row r="63269" spans="23:23" x14ac:dyDescent="0.55000000000000004">
      <c r="W63269"/>
    </row>
    <row r="63270" spans="23:23" x14ac:dyDescent="0.55000000000000004">
      <c r="W63270"/>
    </row>
    <row r="63271" spans="23:23" x14ac:dyDescent="0.55000000000000004">
      <c r="W63271"/>
    </row>
    <row r="63272" spans="23:23" x14ac:dyDescent="0.55000000000000004">
      <c r="W63272"/>
    </row>
    <row r="63273" spans="23:23" x14ac:dyDescent="0.55000000000000004">
      <c r="W63273"/>
    </row>
    <row r="63274" spans="23:23" x14ac:dyDescent="0.55000000000000004">
      <c r="W63274"/>
    </row>
    <row r="63275" spans="23:23" x14ac:dyDescent="0.55000000000000004">
      <c r="W63275"/>
    </row>
    <row r="63276" spans="23:23" x14ac:dyDescent="0.55000000000000004">
      <c r="W63276"/>
    </row>
    <row r="63277" spans="23:23" x14ac:dyDescent="0.55000000000000004">
      <c r="W63277"/>
    </row>
    <row r="63278" spans="23:23" x14ac:dyDescent="0.55000000000000004">
      <c r="W63278"/>
    </row>
    <row r="63279" spans="23:23" x14ac:dyDescent="0.55000000000000004">
      <c r="W63279"/>
    </row>
    <row r="63280" spans="23:23" x14ac:dyDescent="0.55000000000000004">
      <c r="W63280"/>
    </row>
    <row r="63281" spans="23:23" x14ac:dyDescent="0.55000000000000004">
      <c r="W63281"/>
    </row>
    <row r="63282" spans="23:23" x14ac:dyDescent="0.55000000000000004">
      <c r="W63282"/>
    </row>
    <row r="63283" spans="23:23" x14ac:dyDescent="0.55000000000000004">
      <c r="W63283"/>
    </row>
    <row r="63284" spans="23:23" x14ac:dyDescent="0.55000000000000004">
      <c r="W63284"/>
    </row>
    <row r="63285" spans="23:23" x14ac:dyDescent="0.55000000000000004">
      <c r="W63285"/>
    </row>
    <row r="63286" spans="23:23" x14ac:dyDescent="0.55000000000000004">
      <c r="W63286"/>
    </row>
    <row r="63287" spans="23:23" x14ac:dyDescent="0.55000000000000004">
      <c r="W63287"/>
    </row>
    <row r="63288" spans="23:23" x14ac:dyDescent="0.55000000000000004">
      <c r="W63288"/>
    </row>
    <row r="63289" spans="23:23" x14ac:dyDescent="0.55000000000000004">
      <c r="W63289"/>
    </row>
    <row r="63290" spans="23:23" x14ac:dyDescent="0.55000000000000004">
      <c r="W63290"/>
    </row>
    <row r="63291" spans="23:23" x14ac:dyDescent="0.55000000000000004">
      <c r="W63291"/>
    </row>
    <row r="63292" spans="23:23" x14ac:dyDescent="0.55000000000000004">
      <c r="W63292"/>
    </row>
    <row r="63293" spans="23:23" x14ac:dyDescent="0.55000000000000004">
      <c r="W63293"/>
    </row>
    <row r="63294" spans="23:23" x14ac:dyDescent="0.55000000000000004">
      <c r="W63294"/>
    </row>
    <row r="63295" spans="23:23" x14ac:dyDescent="0.55000000000000004">
      <c r="W63295"/>
    </row>
    <row r="63296" spans="23:23" x14ac:dyDescent="0.55000000000000004">
      <c r="W63296"/>
    </row>
    <row r="63297" spans="23:23" x14ac:dyDescent="0.55000000000000004">
      <c r="W63297"/>
    </row>
    <row r="63298" spans="23:23" x14ac:dyDescent="0.55000000000000004">
      <c r="W63298"/>
    </row>
    <row r="63299" spans="23:23" x14ac:dyDescent="0.55000000000000004">
      <c r="W63299"/>
    </row>
    <row r="63300" spans="23:23" x14ac:dyDescent="0.55000000000000004">
      <c r="W63300"/>
    </row>
    <row r="63301" spans="23:23" x14ac:dyDescent="0.55000000000000004">
      <c r="W63301"/>
    </row>
    <row r="63302" spans="23:23" x14ac:dyDescent="0.55000000000000004">
      <c r="W63302"/>
    </row>
    <row r="63303" spans="23:23" x14ac:dyDescent="0.55000000000000004">
      <c r="W63303"/>
    </row>
    <row r="63304" spans="23:23" x14ac:dyDescent="0.55000000000000004">
      <c r="W63304"/>
    </row>
    <row r="63305" spans="23:23" x14ac:dyDescent="0.55000000000000004">
      <c r="W63305"/>
    </row>
    <row r="63306" spans="23:23" x14ac:dyDescent="0.55000000000000004">
      <c r="W63306"/>
    </row>
    <row r="63307" spans="23:23" x14ac:dyDescent="0.55000000000000004">
      <c r="W63307"/>
    </row>
    <row r="63308" spans="23:23" x14ac:dyDescent="0.55000000000000004">
      <c r="W63308"/>
    </row>
    <row r="63309" spans="23:23" x14ac:dyDescent="0.55000000000000004">
      <c r="W63309"/>
    </row>
    <row r="63310" spans="23:23" x14ac:dyDescent="0.55000000000000004">
      <c r="W63310"/>
    </row>
    <row r="63311" spans="23:23" x14ac:dyDescent="0.55000000000000004">
      <c r="W63311"/>
    </row>
    <row r="63312" spans="23:23" x14ac:dyDescent="0.55000000000000004">
      <c r="W63312"/>
    </row>
    <row r="63313" spans="23:23" x14ac:dyDescent="0.55000000000000004">
      <c r="W63313"/>
    </row>
    <row r="63314" spans="23:23" x14ac:dyDescent="0.55000000000000004">
      <c r="W63314"/>
    </row>
    <row r="63315" spans="23:23" x14ac:dyDescent="0.55000000000000004">
      <c r="W63315"/>
    </row>
    <row r="63316" spans="23:23" x14ac:dyDescent="0.55000000000000004">
      <c r="W63316"/>
    </row>
    <row r="63317" spans="23:23" x14ac:dyDescent="0.55000000000000004">
      <c r="W63317"/>
    </row>
    <row r="63318" spans="23:23" x14ac:dyDescent="0.55000000000000004">
      <c r="W63318"/>
    </row>
    <row r="63319" spans="23:23" x14ac:dyDescent="0.55000000000000004">
      <c r="W63319"/>
    </row>
    <row r="63320" spans="23:23" x14ac:dyDescent="0.55000000000000004">
      <c r="W63320"/>
    </row>
    <row r="63321" spans="23:23" x14ac:dyDescent="0.55000000000000004">
      <c r="W63321"/>
    </row>
    <row r="63322" spans="23:23" x14ac:dyDescent="0.55000000000000004">
      <c r="W63322"/>
    </row>
    <row r="63323" spans="23:23" x14ac:dyDescent="0.55000000000000004">
      <c r="W63323"/>
    </row>
    <row r="63324" spans="23:23" x14ac:dyDescent="0.55000000000000004">
      <c r="W63324"/>
    </row>
    <row r="63325" spans="23:23" x14ac:dyDescent="0.55000000000000004">
      <c r="W63325"/>
    </row>
    <row r="63326" spans="23:23" x14ac:dyDescent="0.55000000000000004">
      <c r="W63326"/>
    </row>
    <row r="63327" spans="23:23" x14ac:dyDescent="0.55000000000000004">
      <c r="W63327"/>
    </row>
    <row r="63328" spans="23:23" x14ac:dyDescent="0.55000000000000004">
      <c r="W63328"/>
    </row>
    <row r="63329" spans="23:23" x14ac:dyDescent="0.55000000000000004">
      <c r="W63329"/>
    </row>
    <row r="63330" spans="23:23" x14ac:dyDescent="0.55000000000000004">
      <c r="W63330"/>
    </row>
    <row r="63331" spans="23:23" x14ac:dyDescent="0.55000000000000004">
      <c r="W63331"/>
    </row>
    <row r="63332" spans="23:23" x14ac:dyDescent="0.55000000000000004">
      <c r="W63332"/>
    </row>
    <row r="63333" spans="23:23" x14ac:dyDescent="0.55000000000000004">
      <c r="W63333"/>
    </row>
    <row r="63334" spans="23:23" x14ac:dyDescent="0.55000000000000004">
      <c r="W63334"/>
    </row>
    <row r="63335" spans="23:23" x14ac:dyDescent="0.55000000000000004">
      <c r="W63335"/>
    </row>
    <row r="63336" spans="23:23" x14ac:dyDescent="0.55000000000000004">
      <c r="W63336"/>
    </row>
    <row r="63337" spans="23:23" x14ac:dyDescent="0.55000000000000004">
      <c r="W63337"/>
    </row>
    <row r="63338" spans="23:23" x14ac:dyDescent="0.55000000000000004">
      <c r="W63338"/>
    </row>
    <row r="63339" spans="23:23" x14ac:dyDescent="0.55000000000000004">
      <c r="W63339"/>
    </row>
    <row r="63340" spans="23:23" x14ac:dyDescent="0.55000000000000004">
      <c r="W63340"/>
    </row>
    <row r="63341" spans="23:23" x14ac:dyDescent="0.55000000000000004">
      <c r="W63341"/>
    </row>
    <row r="63342" spans="23:23" x14ac:dyDescent="0.55000000000000004">
      <c r="W63342"/>
    </row>
    <row r="63343" spans="23:23" x14ac:dyDescent="0.55000000000000004">
      <c r="W63343"/>
    </row>
    <row r="63344" spans="23:23" x14ac:dyDescent="0.55000000000000004">
      <c r="W63344"/>
    </row>
    <row r="63345" spans="23:23" x14ac:dyDescent="0.55000000000000004">
      <c r="W63345"/>
    </row>
    <row r="63346" spans="23:23" x14ac:dyDescent="0.55000000000000004">
      <c r="W63346"/>
    </row>
    <row r="63347" spans="23:23" x14ac:dyDescent="0.55000000000000004">
      <c r="W63347"/>
    </row>
    <row r="63348" spans="23:23" x14ac:dyDescent="0.55000000000000004">
      <c r="W63348"/>
    </row>
    <row r="63349" spans="23:23" x14ac:dyDescent="0.55000000000000004">
      <c r="W63349"/>
    </row>
    <row r="63350" spans="23:23" x14ac:dyDescent="0.55000000000000004">
      <c r="W63350"/>
    </row>
    <row r="63351" spans="23:23" x14ac:dyDescent="0.55000000000000004">
      <c r="W63351"/>
    </row>
    <row r="63352" spans="23:23" x14ac:dyDescent="0.55000000000000004">
      <c r="W63352"/>
    </row>
    <row r="63353" spans="23:23" x14ac:dyDescent="0.55000000000000004">
      <c r="W63353"/>
    </row>
    <row r="63354" spans="23:23" x14ac:dyDescent="0.55000000000000004">
      <c r="W63354"/>
    </row>
    <row r="63355" spans="23:23" x14ac:dyDescent="0.55000000000000004">
      <c r="W63355"/>
    </row>
    <row r="63356" spans="23:23" x14ac:dyDescent="0.55000000000000004">
      <c r="W63356"/>
    </row>
    <row r="63357" spans="23:23" x14ac:dyDescent="0.55000000000000004">
      <c r="W63357"/>
    </row>
    <row r="63358" spans="23:23" x14ac:dyDescent="0.55000000000000004">
      <c r="W63358"/>
    </row>
    <row r="63359" spans="23:23" x14ac:dyDescent="0.55000000000000004">
      <c r="W63359"/>
    </row>
    <row r="63360" spans="23:23" x14ac:dyDescent="0.55000000000000004">
      <c r="W63360"/>
    </row>
    <row r="63361" spans="23:23" x14ac:dyDescent="0.55000000000000004">
      <c r="W63361"/>
    </row>
    <row r="63362" spans="23:23" x14ac:dyDescent="0.55000000000000004">
      <c r="W63362"/>
    </row>
    <row r="63363" spans="23:23" x14ac:dyDescent="0.55000000000000004">
      <c r="W63363"/>
    </row>
    <row r="63364" spans="23:23" x14ac:dyDescent="0.55000000000000004">
      <c r="W63364"/>
    </row>
    <row r="63365" spans="23:23" x14ac:dyDescent="0.55000000000000004">
      <c r="W63365"/>
    </row>
    <row r="63366" spans="23:23" x14ac:dyDescent="0.55000000000000004">
      <c r="W63366"/>
    </row>
    <row r="63367" spans="23:23" x14ac:dyDescent="0.55000000000000004">
      <c r="W63367"/>
    </row>
    <row r="63368" spans="23:23" x14ac:dyDescent="0.55000000000000004">
      <c r="W63368"/>
    </row>
    <row r="63369" spans="23:23" x14ac:dyDescent="0.55000000000000004">
      <c r="W63369"/>
    </row>
    <row r="63370" spans="23:23" x14ac:dyDescent="0.55000000000000004">
      <c r="W63370"/>
    </row>
    <row r="63371" spans="23:23" x14ac:dyDescent="0.55000000000000004">
      <c r="W63371"/>
    </row>
    <row r="63372" spans="23:23" x14ac:dyDescent="0.55000000000000004">
      <c r="W63372"/>
    </row>
    <row r="63373" spans="23:23" x14ac:dyDescent="0.55000000000000004">
      <c r="W63373"/>
    </row>
    <row r="63374" spans="23:23" x14ac:dyDescent="0.55000000000000004">
      <c r="W63374"/>
    </row>
    <row r="63375" spans="23:23" x14ac:dyDescent="0.55000000000000004">
      <c r="W63375"/>
    </row>
    <row r="63376" spans="23:23" x14ac:dyDescent="0.55000000000000004">
      <c r="W63376"/>
    </row>
    <row r="63377" spans="23:23" x14ac:dyDescent="0.55000000000000004">
      <c r="W63377"/>
    </row>
    <row r="63378" spans="23:23" x14ac:dyDescent="0.55000000000000004">
      <c r="W63378"/>
    </row>
    <row r="63379" spans="23:23" x14ac:dyDescent="0.55000000000000004">
      <c r="W63379"/>
    </row>
    <row r="63380" spans="23:23" x14ac:dyDescent="0.55000000000000004">
      <c r="W63380"/>
    </row>
    <row r="63381" spans="23:23" x14ac:dyDescent="0.55000000000000004">
      <c r="W63381"/>
    </row>
    <row r="63382" spans="23:23" x14ac:dyDescent="0.55000000000000004">
      <c r="W63382"/>
    </row>
    <row r="63383" spans="23:23" x14ac:dyDescent="0.55000000000000004">
      <c r="W63383"/>
    </row>
    <row r="63384" spans="23:23" x14ac:dyDescent="0.55000000000000004">
      <c r="W63384"/>
    </row>
    <row r="63385" spans="23:23" x14ac:dyDescent="0.55000000000000004">
      <c r="W63385"/>
    </row>
    <row r="63386" spans="23:23" x14ac:dyDescent="0.55000000000000004">
      <c r="W63386"/>
    </row>
    <row r="63387" spans="23:23" x14ac:dyDescent="0.55000000000000004">
      <c r="W63387"/>
    </row>
    <row r="63388" spans="23:23" x14ac:dyDescent="0.55000000000000004">
      <c r="W63388"/>
    </row>
    <row r="63389" spans="23:23" x14ac:dyDescent="0.55000000000000004">
      <c r="W63389"/>
    </row>
    <row r="63390" spans="23:23" x14ac:dyDescent="0.55000000000000004">
      <c r="W63390"/>
    </row>
    <row r="63391" spans="23:23" x14ac:dyDescent="0.55000000000000004">
      <c r="W63391"/>
    </row>
    <row r="63392" spans="23:23" x14ac:dyDescent="0.55000000000000004">
      <c r="W63392"/>
    </row>
    <row r="63393" spans="23:23" x14ac:dyDescent="0.55000000000000004">
      <c r="W63393"/>
    </row>
    <row r="63394" spans="23:23" x14ac:dyDescent="0.55000000000000004">
      <c r="W63394"/>
    </row>
    <row r="63395" spans="23:23" x14ac:dyDescent="0.55000000000000004">
      <c r="W63395"/>
    </row>
    <row r="63396" spans="23:23" x14ac:dyDescent="0.55000000000000004">
      <c r="W63396"/>
    </row>
    <row r="63397" spans="23:23" x14ac:dyDescent="0.55000000000000004">
      <c r="W63397"/>
    </row>
    <row r="63398" spans="23:23" x14ac:dyDescent="0.55000000000000004">
      <c r="W63398"/>
    </row>
    <row r="63399" spans="23:23" x14ac:dyDescent="0.55000000000000004">
      <c r="W63399"/>
    </row>
    <row r="63400" spans="23:23" x14ac:dyDescent="0.55000000000000004">
      <c r="W63400"/>
    </row>
    <row r="63401" spans="23:23" x14ac:dyDescent="0.55000000000000004">
      <c r="W63401"/>
    </row>
    <row r="63402" spans="23:23" x14ac:dyDescent="0.55000000000000004">
      <c r="W63402"/>
    </row>
    <row r="63403" spans="23:23" x14ac:dyDescent="0.55000000000000004">
      <c r="W63403"/>
    </row>
    <row r="63404" spans="23:23" x14ac:dyDescent="0.55000000000000004">
      <c r="W63404"/>
    </row>
    <row r="63405" spans="23:23" x14ac:dyDescent="0.55000000000000004">
      <c r="W63405"/>
    </row>
    <row r="63406" spans="23:23" x14ac:dyDescent="0.55000000000000004">
      <c r="W63406"/>
    </row>
    <row r="63407" spans="23:23" x14ac:dyDescent="0.55000000000000004">
      <c r="W63407"/>
    </row>
    <row r="63408" spans="23:23" x14ac:dyDescent="0.55000000000000004">
      <c r="W63408"/>
    </row>
    <row r="63409" spans="23:23" x14ac:dyDescent="0.55000000000000004">
      <c r="W63409"/>
    </row>
    <row r="63410" spans="23:23" x14ac:dyDescent="0.55000000000000004">
      <c r="W63410"/>
    </row>
    <row r="63411" spans="23:23" x14ac:dyDescent="0.55000000000000004">
      <c r="W63411"/>
    </row>
    <row r="63412" spans="23:23" x14ac:dyDescent="0.55000000000000004">
      <c r="W63412"/>
    </row>
    <row r="63413" spans="23:23" x14ac:dyDescent="0.55000000000000004">
      <c r="W63413"/>
    </row>
    <row r="63414" spans="23:23" x14ac:dyDescent="0.55000000000000004">
      <c r="W63414"/>
    </row>
    <row r="63415" spans="23:23" x14ac:dyDescent="0.55000000000000004">
      <c r="W63415"/>
    </row>
    <row r="63416" spans="23:23" x14ac:dyDescent="0.55000000000000004">
      <c r="W63416"/>
    </row>
    <row r="63417" spans="23:23" x14ac:dyDescent="0.55000000000000004">
      <c r="W63417"/>
    </row>
    <row r="63418" spans="23:23" x14ac:dyDescent="0.55000000000000004">
      <c r="W63418"/>
    </row>
    <row r="63419" spans="23:23" x14ac:dyDescent="0.55000000000000004">
      <c r="W63419"/>
    </row>
    <row r="63420" spans="23:23" x14ac:dyDescent="0.55000000000000004">
      <c r="W63420"/>
    </row>
    <row r="63421" spans="23:23" x14ac:dyDescent="0.55000000000000004">
      <c r="W63421"/>
    </row>
    <row r="63422" spans="23:23" x14ac:dyDescent="0.55000000000000004">
      <c r="W63422"/>
    </row>
    <row r="63423" spans="23:23" x14ac:dyDescent="0.55000000000000004">
      <c r="W63423"/>
    </row>
    <row r="63424" spans="23:23" x14ac:dyDescent="0.55000000000000004">
      <c r="W63424"/>
    </row>
    <row r="63425" spans="23:23" x14ac:dyDescent="0.55000000000000004">
      <c r="W63425"/>
    </row>
    <row r="63426" spans="23:23" x14ac:dyDescent="0.55000000000000004">
      <c r="W63426"/>
    </row>
    <row r="63427" spans="23:23" x14ac:dyDescent="0.55000000000000004">
      <c r="W63427"/>
    </row>
    <row r="63428" spans="23:23" x14ac:dyDescent="0.55000000000000004">
      <c r="W63428"/>
    </row>
    <row r="63429" spans="23:23" x14ac:dyDescent="0.55000000000000004">
      <c r="W63429"/>
    </row>
    <row r="63430" spans="23:23" x14ac:dyDescent="0.55000000000000004">
      <c r="W63430"/>
    </row>
    <row r="63431" spans="23:23" x14ac:dyDescent="0.55000000000000004">
      <c r="W63431"/>
    </row>
    <row r="63432" spans="23:23" x14ac:dyDescent="0.55000000000000004">
      <c r="W63432"/>
    </row>
    <row r="63433" spans="23:23" x14ac:dyDescent="0.55000000000000004">
      <c r="W63433"/>
    </row>
    <row r="63434" spans="23:23" x14ac:dyDescent="0.55000000000000004">
      <c r="W63434"/>
    </row>
    <row r="63435" spans="23:23" x14ac:dyDescent="0.55000000000000004">
      <c r="W63435"/>
    </row>
    <row r="63436" spans="23:23" x14ac:dyDescent="0.55000000000000004">
      <c r="W63436"/>
    </row>
    <row r="63437" spans="23:23" x14ac:dyDescent="0.55000000000000004">
      <c r="W63437"/>
    </row>
    <row r="63438" spans="23:23" x14ac:dyDescent="0.55000000000000004">
      <c r="W63438"/>
    </row>
    <row r="63439" spans="23:23" x14ac:dyDescent="0.55000000000000004">
      <c r="W63439"/>
    </row>
    <row r="63440" spans="23:23" x14ac:dyDescent="0.55000000000000004">
      <c r="W63440"/>
    </row>
    <row r="63441" spans="23:23" x14ac:dyDescent="0.55000000000000004">
      <c r="W63441"/>
    </row>
    <row r="63442" spans="23:23" x14ac:dyDescent="0.55000000000000004">
      <c r="W63442"/>
    </row>
    <row r="63443" spans="23:23" x14ac:dyDescent="0.55000000000000004">
      <c r="W63443"/>
    </row>
    <row r="63444" spans="23:23" x14ac:dyDescent="0.55000000000000004">
      <c r="W63444"/>
    </row>
    <row r="63445" spans="23:23" x14ac:dyDescent="0.55000000000000004">
      <c r="W63445"/>
    </row>
    <row r="63446" spans="23:23" x14ac:dyDescent="0.55000000000000004">
      <c r="W63446"/>
    </row>
    <row r="63447" spans="23:23" x14ac:dyDescent="0.55000000000000004">
      <c r="W63447"/>
    </row>
    <row r="63448" spans="23:23" x14ac:dyDescent="0.55000000000000004">
      <c r="W63448"/>
    </row>
    <row r="63449" spans="23:23" x14ac:dyDescent="0.55000000000000004">
      <c r="W63449"/>
    </row>
    <row r="63450" spans="23:23" x14ac:dyDescent="0.55000000000000004">
      <c r="W63450"/>
    </row>
    <row r="63451" spans="23:23" x14ac:dyDescent="0.55000000000000004">
      <c r="W63451"/>
    </row>
    <row r="63452" spans="23:23" x14ac:dyDescent="0.55000000000000004">
      <c r="W63452"/>
    </row>
    <row r="63453" spans="23:23" x14ac:dyDescent="0.55000000000000004">
      <c r="W63453"/>
    </row>
    <row r="63454" spans="23:23" x14ac:dyDescent="0.55000000000000004">
      <c r="W63454"/>
    </row>
    <row r="63455" spans="23:23" x14ac:dyDescent="0.55000000000000004">
      <c r="W63455"/>
    </row>
    <row r="63456" spans="23:23" x14ac:dyDescent="0.55000000000000004">
      <c r="W63456"/>
    </row>
    <row r="63457" spans="23:23" x14ac:dyDescent="0.55000000000000004">
      <c r="W63457"/>
    </row>
    <row r="63458" spans="23:23" x14ac:dyDescent="0.55000000000000004">
      <c r="W63458"/>
    </row>
    <row r="63459" spans="23:23" x14ac:dyDescent="0.55000000000000004">
      <c r="W63459"/>
    </row>
    <row r="63460" spans="23:23" x14ac:dyDescent="0.55000000000000004">
      <c r="W63460"/>
    </row>
    <row r="63461" spans="23:23" x14ac:dyDescent="0.55000000000000004">
      <c r="W63461"/>
    </row>
    <row r="63462" spans="23:23" x14ac:dyDescent="0.55000000000000004">
      <c r="W63462"/>
    </row>
    <row r="63463" spans="23:23" x14ac:dyDescent="0.55000000000000004">
      <c r="W63463"/>
    </row>
    <row r="63464" spans="23:23" x14ac:dyDescent="0.55000000000000004">
      <c r="W63464"/>
    </row>
    <row r="63465" spans="23:23" x14ac:dyDescent="0.55000000000000004">
      <c r="W63465"/>
    </row>
    <row r="63466" spans="23:23" x14ac:dyDescent="0.55000000000000004">
      <c r="W63466"/>
    </row>
    <row r="63467" spans="23:23" x14ac:dyDescent="0.55000000000000004">
      <c r="W63467"/>
    </row>
    <row r="63468" spans="23:23" x14ac:dyDescent="0.55000000000000004">
      <c r="W63468"/>
    </row>
    <row r="63469" spans="23:23" x14ac:dyDescent="0.55000000000000004">
      <c r="W63469"/>
    </row>
    <row r="63470" spans="23:23" x14ac:dyDescent="0.55000000000000004">
      <c r="W63470"/>
    </row>
    <row r="63471" spans="23:23" x14ac:dyDescent="0.55000000000000004">
      <c r="W63471"/>
    </row>
    <row r="63472" spans="23:23" x14ac:dyDescent="0.55000000000000004">
      <c r="W63472"/>
    </row>
    <row r="63473" spans="23:23" x14ac:dyDescent="0.55000000000000004">
      <c r="W63473"/>
    </row>
    <row r="63474" spans="23:23" x14ac:dyDescent="0.55000000000000004">
      <c r="W63474"/>
    </row>
    <row r="63475" spans="23:23" x14ac:dyDescent="0.55000000000000004">
      <c r="W63475"/>
    </row>
    <row r="63476" spans="23:23" x14ac:dyDescent="0.55000000000000004">
      <c r="W63476"/>
    </row>
    <row r="63477" spans="23:23" x14ac:dyDescent="0.55000000000000004">
      <c r="W63477"/>
    </row>
    <row r="63478" spans="23:23" x14ac:dyDescent="0.55000000000000004">
      <c r="W63478"/>
    </row>
    <row r="63479" spans="23:23" x14ac:dyDescent="0.55000000000000004">
      <c r="W63479"/>
    </row>
    <row r="63480" spans="23:23" x14ac:dyDescent="0.55000000000000004">
      <c r="W63480"/>
    </row>
    <row r="63481" spans="23:23" x14ac:dyDescent="0.55000000000000004">
      <c r="W63481"/>
    </row>
    <row r="63482" spans="23:23" x14ac:dyDescent="0.55000000000000004">
      <c r="W63482"/>
    </row>
    <row r="63483" spans="23:23" x14ac:dyDescent="0.55000000000000004">
      <c r="W63483"/>
    </row>
    <row r="63484" spans="23:23" x14ac:dyDescent="0.55000000000000004">
      <c r="W63484"/>
    </row>
    <row r="63485" spans="23:23" x14ac:dyDescent="0.55000000000000004">
      <c r="W63485"/>
    </row>
    <row r="63486" spans="23:23" x14ac:dyDescent="0.55000000000000004">
      <c r="W63486"/>
    </row>
    <row r="63487" spans="23:23" x14ac:dyDescent="0.55000000000000004">
      <c r="W63487"/>
    </row>
    <row r="63488" spans="23:23" x14ac:dyDescent="0.55000000000000004">
      <c r="W63488"/>
    </row>
    <row r="63489" spans="23:23" x14ac:dyDescent="0.55000000000000004">
      <c r="W63489"/>
    </row>
    <row r="63490" spans="23:23" x14ac:dyDescent="0.55000000000000004">
      <c r="W63490"/>
    </row>
    <row r="63491" spans="23:23" x14ac:dyDescent="0.55000000000000004">
      <c r="W63491"/>
    </row>
    <row r="63492" spans="23:23" x14ac:dyDescent="0.55000000000000004">
      <c r="W63492"/>
    </row>
    <row r="63493" spans="23:23" x14ac:dyDescent="0.55000000000000004">
      <c r="W63493"/>
    </row>
    <row r="63494" spans="23:23" x14ac:dyDescent="0.55000000000000004">
      <c r="W63494"/>
    </row>
    <row r="63495" spans="23:23" x14ac:dyDescent="0.55000000000000004">
      <c r="W63495"/>
    </row>
    <row r="63496" spans="23:23" x14ac:dyDescent="0.55000000000000004">
      <c r="W63496"/>
    </row>
    <row r="63497" spans="23:23" x14ac:dyDescent="0.55000000000000004">
      <c r="W63497"/>
    </row>
    <row r="63498" spans="23:23" x14ac:dyDescent="0.55000000000000004">
      <c r="W63498"/>
    </row>
    <row r="63499" spans="23:23" x14ac:dyDescent="0.55000000000000004">
      <c r="W63499"/>
    </row>
    <row r="63500" spans="23:23" x14ac:dyDescent="0.55000000000000004">
      <c r="W63500"/>
    </row>
    <row r="63501" spans="23:23" x14ac:dyDescent="0.55000000000000004">
      <c r="W63501"/>
    </row>
    <row r="63502" spans="23:23" x14ac:dyDescent="0.55000000000000004">
      <c r="W63502"/>
    </row>
    <row r="63503" spans="23:23" x14ac:dyDescent="0.55000000000000004">
      <c r="W63503"/>
    </row>
    <row r="63504" spans="23:23" x14ac:dyDescent="0.55000000000000004">
      <c r="W63504"/>
    </row>
    <row r="63505" spans="23:23" x14ac:dyDescent="0.55000000000000004">
      <c r="W63505"/>
    </row>
    <row r="63506" spans="23:23" x14ac:dyDescent="0.55000000000000004">
      <c r="W63506"/>
    </row>
    <row r="63507" spans="23:23" x14ac:dyDescent="0.55000000000000004">
      <c r="W63507"/>
    </row>
    <row r="63508" spans="23:23" x14ac:dyDescent="0.55000000000000004">
      <c r="W63508"/>
    </row>
    <row r="63509" spans="23:23" x14ac:dyDescent="0.55000000000000004">
      <c r="W63509"/>
    </row>
    <row r="63510" spans="23:23" x14ac:dyDescent="0.55000000000000004">
      <c r="W63510"/>
    </row>
    <row r="63511" spans="23:23" x14ac:dyDescent="0.55000000000000004">
      <c r="W63511"/>
    </row>
    <row r="63512" spans="23:23" x14ac:dyDescent="0.55000000000000004">
      <c r="W63512"/>
    </row>
    <row r="63513" spans="23:23" x14ac:dyDescent="0.55000000000000004">
      <c r="W63513"/>
    </row>
    <row r="63514" spans="23:23" x14ac:dyDescent="0.55000000000000004">
      <c r="W63514"/>
    </row>
    <row r="63515" spans="23:23" x14ac:dyDescent="0.55000000000000004">
      <c r="W63515"/>
    </row>
    <row r="63516" spans="23:23" x14ac:dyDescent="0.55000000000000004">
      <c r="W63516"/>
    </row>
    <row r="63517" spans="23:23" x14ac:dyDescent="0.55000000000000004">
      <c r="W63517"/>
    </row>
    <row r="63518" spans="23:23" x14ac:dyDescent="0.55000000000000004">
      <c r="W63518"/>
    </row>
    <row r="63519" spans="23:23" x14ac:dyDescent="0.55000000000000004">
      <c r="W63519"/>
    </row>
    <row r="63520" spans="23:23" x14ac:dyDescent="0.55000000000000004">
      <c r="W63520"/>
    </row>
    <row r="63521" spans="23:23" x14ac:dyDescent="0.55000000000000004">
      <c r="W63521"/>
    </row>
    <row r="63522" spans="23:23" x14ac:dyDescent="0.55000000000000004">
      <c r="W63522"/>
    </row>
    <row r="63523" spans="23:23" x14ac:dyDescent="0.55000000000000004">
      <c r="W63523"/>
    </row>
    <row r="63524" spans="23:23" x14ac:dyDescent="0.55000000000000004">
      <c r="W63524"/>
    </row>
    <row r="63525" spans="23:23" x14ac:dyDescent="0.55000000000000004">
      <c r="W63525"/>
    </row>
    <row r="63526" spans="23:23" x14ac:dyDescent="0.55000000000000004">
      <c r="W63526"/>
    </row>
    <row r="63527" spans="23:23" x14ac:dyDescent="0.55000000000000004">
      <c r="W63527"/>
    </row>
    <row r="63528" spans="23:23" x14ac:dyDescent="0.55000000000000004">
      <c r="W63528"/>
    </row>
    <row r="63529" spans="23:23" x14ac:dyDescent="0.55000000000000004">
      <c r="W63529"/>
    </row>
    <row r="63530" spans="23:23" x14ac:dyDescent="0.55000000000000004">
      <c r="W63530"/>
    </row>
    <row r="63531" spans="23:23" x14ac:dyDescent="0.55000000000000004">
      <c r="W63531"/>
    </row>
    <row r="63532" spans="23:23" x14ac:dyDescent="0.55000000000000004">
      <c r="W63532"/>
    </row>
    <row r="63533" spans="23:23" x14ac:dyDescent="0.55000000000000004">
      <c r="W63533"/>
    </row>
    <row r="63534" spans="23:23" x14ac:dyDescent="0.55000000000000004">
      <c r="W63534"/>
    </row>
    <row r="63535" spans="23:23" x14ac:dyDescent="0.55000000000000004">
      <c r="W63535"/>
    </row>
    <row r="63536" spans="23:23" x14ac:dyDescent="0.55000000000000004">
      <c r="W63536"/>
    </row>
    <row r="63537" spans="23:23" x14ac:dyDescent="0.55000000000000004">
      <c r="W63537"/>
    </row>
    <row r="63538" spans="23:23" x14ac:dyDescent="0.55000000000000004">
      <c r="W63538"/>
    </row>
    <row r="63539" spans="23:23" x14ac:dyDescent="0.55000000000000004">
      <c r="W63539"/>
    </row>
    <row r="63540" spans="23:23" x14ac:dyDescent="0.55000000000000004">
      <c r="W63540"/>
    </row>
    <row r="63541" spans="23:23" x14ac:dyDescent="0.55000000000000004">
      <c r="W63541"/>
    </row>
    <row r="63542" spans="23:23" x14ac:dyDescent="0.55000000000000004">
      <c r="W63542"/>
    </row>
    <row r="63543" spans="23:23" x14ac:dyDescent="0.55000000000000004">
      <c r="W63543"/>
    </row>
    <row r="63544" spans="23:23" x14ac:dyDescent="0.55000000000000004">
      <c r="W63544"/>
    </row>
    <row r="63545" spans="23:23" x14ac:dyDescent="0.55000000000000004">
      <c r="W63545"/>
    </row>
    <row r="63546" spans="23:23" x14ac:dyDescent="0.55000000000000004">
      <c r="W63546"/>
    </row>
    <row r="63547" spans="23:23" x14ac:dyDescent="0.55000000000000004">
      <c r="W63547"/>
    </row>
    <row r="63548" spans="23:23" x14ac:dyDescent="0.55000000000000004">
      <c r="W63548"/>
    </row>
    <row r="63549" spans="23:23" x14ac:dyDescent="0.55000000000000004">
      <c r="W63549"/>
    </row>
    <row r="63550" spans="23:23" x14ac:dyDescent="0.55000000000000004">
      <c r="W63550"/>
    </row>
    <row r="63551" spans="23:23" x14ac:dyDescent="0.55000000000000004">
      <c r="W63551"/>
    </row>
    <row r="63552" spans="23:23" x14ac:dyDescent="0.55000000000000004">
      <c r="W63552"/>
    </row>
    <row r="63553" spans="23:23" x14ac:dyDescent="0.55000000000000004">
      <c r="W63553"/>
    </row>
    <row r="63554" spans="23:23" x14ac:dyDescent="0.55000000000000004">
      <c r="W63554"/>
    </row>
    <row r="63555" spans="23:23" x14ac:dyDescent="0.55000000000000004">
      <c r="W63555"/>
    </row>
    <row r="63556" spans="23:23" x14ac:dyDescent="0.55000000000000004">
      <c r="W63556"/>
    </row>
    <row r="63557" spans="23:23" x14ac:dyDescent="0.55000000000000004">
      <c r="W63557"/>
    </row>
    <row r="63558" spans="23:23" x14ac:dyDescent="0.55000000000000004">
      <c r="W63558"/>
    </row>
    <row r="63559" spans="23:23" x14ac:dyDescent="0.55000000000000004">
      <c r="W63559"/>
    </row>
    <row r="63560" spans="23:23" x14ac:dyDescent="0.55000000000000004">
      <c r="W63560"/>
    </row>
    <row r="63561" spans="23:23" x14ac:dyDescent="0.55000000000000004">
      <c r="W63561"/>
    </row>
    <row r="63562" spans="23:23" x14ac:dyDescent="0.55000000000000004">
      <c r="W63562"/>
    </row>
    <row r="63563" spans="23:23" x14ac:dyDescent="0.55000000000000004">
      <c r="W63563"/>
    </row>
    <row r="63564" spans="23:23" x14ac:dyDescent="0.55000000000000004">
      <c r="W63564"/>
    </row>
    <row r="63565" spans="23:23" x14ac:dyDescent="0.55000000000000004">
      <c r="W63565"/>
    </row>
    <row r="63566" spans="23:23" x14ac:dyDescent="0.55000000000000004">
      <c r="W63566"/>
    </row>
    <row r="63567" spans="23:23" x14ac:dyDescent="0.55000000000000004">
      <c r="W63567"/>
    </row>
    <row r="63568" spans="23:23" x14ac:dyDescent="0.55000000000000004">
      <c r="W63568"/>
    </row>
    <row r="63569" spans="23:23" x14ac:dyDescent="0.55000000000000004">
      <c r="W63569"/>
    </row>
    <row r="63570" spans="23:23" x14ac:dyDescent="0.55000000000000004">
      <c r="W63570"/>
    </row>
    <row r="63571" spans="23:23" x14ac:dyDescent="0.55000000000000004">
      <c r="W63571"/>
    </row>
    <row r="63572" spans="23:23" x14ac:dyDescent="0.55000000000000004">
      <c r="W63572"/>
    </row>
    <row r="63573" spans="23:23" x14ac:dyDescent="0.55000000000000004">
      <c r="W63573"/>
    </row>
    <row r="63574" spans="23:23" x14ac:dyDescent="0.55000000000000004">
      <c r="W63574"/>
    </row>
    <row r="63575" spans="23:23" x14ac:dyDescent="0.55000000000000004">
      <c r="W63575"/>
    </row>
    <row r="63576" spans="23:23" x14ac:dyDescent="0.55000000000000004">
      <c r="W63576"/>
    </row>
    <row r="63577" spans="23:23" x14ac:dyDescent="0.55000000000000004">
      <c r="W63577"/>
    </row>
    <row r="63578" spans="23:23" x14ac:dyDescent="0.55000000000000004">
      <c r="W63578"/>
    </row>
    <row r="63579" spans="23:23" x14ac:dyDescent="0.55000000000000004">
      <c r="W63579"/>
    </row>
    <row r="63580" spans="23:23" x14ac:dyDescent="0.55000000000000004">
      <c r="W63580"/>
    </row>
    <row r="63581" spans="23:23" x14ac:dyDescent="0.55000000000000004">
      <c r="W63581"/>
    </row>
    <row r="63582" spans="23:23" x14ac:dyDescent="0.55000000000000004">
      <c r="W63582"/>
    </row>
    <row r="63583" spans="23:23" x14ac:dyDescent="0.55000000000000004">
      <c r="W63583"/>
    </row>
    <row r="63584" spans="23:23" x14ac:dyDescent="0.55000000000000004">
      <c r="W63584"/>
    </row>
    <row r="63585" spans="23:23" x14ac:dyDescent="0.55000000000000004">
      <c r="W63585"/>
    </row>
    <row r="63586" spans="23:23" x14ac:dyDescent="0.55000000000000004">
      <c r="W63586"/>
    </row>
    <row r="63587" spans="23:23" x14ac:dyDescent="0.55000000000000004">
      <c r="W63587"/>
    </row>
    <row r="63588" spans="23:23" x14ac:dyDescent="0.55000000000000004">
      <c r="W63588"/>
    </row>
    <row r="63589" spans="23:23" x14ac:dyDescent="0.55000000000000004">
      <c r="W63589"/>
    </row>
    <row r="63590" spans="23:23" x14ac:dyDescent="0.55000000000000004">
      <c r="W63590"/>
    </row>
    <row r="63591" spans="23:23" x14ac:dyDescent="0.55000000000000004">
      <c r="W63591"/>
    </row>
    <row r="63592" spans="23:23" x14ac:dyDescent="0.55000000000000004">
      <c r="W63592"/>
    </row>
    <row r="63593" spans="23:23" x14ac:dyDescent="0.55000000000000004">
      <c r="W63593"/>
    </row>
    <row r="63594" spans="23:23" x14ac:dyDescent="0.55000000000000004">
      <c r="W63594"/>
    </row>
    <row r="63595" spans="23:23" x14ac:dyDescent="0.55000000000000004">
      <c r="W63595"/>
    </row>
    <row r="63596" spans="23:23" x14ac:dyDescent="0.55000000000000004">
      <c r="W63596"/>
    </row>
    <row r="63597" spans="23:23" x14ac:dyDescent="0.55000000000000004">
      <c r="W63597"/>
    </row>
    <row r="63598" spans="23:23" x14ac:dyDescent="0.55000000000000004">
      <c r="W63598"/>
    </row>
    <row r="63599" spans="23:23" x14ac:dyDescent="0.55000000000000004">
      <c r="W63599"/>
    </row>
    <row r="63600" spans="23:23" x14ac:dyDescent="0.55000000000000004">
      <c r="W63600"/>
    </row>
    <row r="63601" spans="23:23" x14ac:dyDescent="0.55000000000000004">
      <c r="W63601"/>
    </row>
    <row r="63602" spans="23:23" x14ac:dyDescent="0.55000000000000004">
      <c r="W63602"/>
    </row>
    <row r="63603" spans="23:23" x14ac:dyDescent="0.55000000000000004">
      <c r="W63603"/>
    </row>
    <row r="63604" spans="23:23" x14ac:dyDescent="0.55000000000000004">
      <c r="W63604"/>
    </row>
    <row r="63605" spans="23:23" x14ac:dyDescent="0.55000000000000004">
      <c r="W63605"/>
    </row>
    <row r="63606" spans="23:23" x14ac:dyDescent="0.55000000000000004">
      <c r="W63606"/>
    </row>
    <row r="63607" spans="23:23" x14ac:dyDescent="0.55000000000000004">
      <c r="W63607"/>
    </row>
    <row r="63608" spans="23:23" x14ac:dyDescent="0.55000000000000004">
      <c r="W63608"/>
    </row>
    <row r="63609" spans="23:23" x14ac:dyDescent="0.55000000000000004">
      <c r="W63609"/>
    </row>
    <row r="63610" spans="23:23" x14ac:dyDescent="0.55000000000000004">
      <c r="W63610"/>
    </row>
    <row r="63611" spans="23:23" x14ac:dyDescent="0.55000000000000004">
      <c r="W63611"/>
    </row>
    <row r="63612" spans="23:23" x14ac:dyDescent="0.55000000000000004">
      <c r="W63612"/>
    </row>
    <row r="63613" spans="23:23" x14ac:dyDescent="0.55000000000000004">
      <c r="W63613"/>
    </row>
    <row r="63614" spans="23:23" x14ac:dyDescent="0.55000000000000004">
      <c r="W63614"/>
    </row>
    <row r="63615" spans="23:23" x14ac:dyDescent="0.55000000000000004">
      <c r="W63615"/>
    </row>
    <row r="63616" spans="23:23" x14ac:dyDescent="0.55000000000000004">
      <c r="W63616"/>
    </row>
    <row r="63617" spans="23:23" x14ac:dyDescent="0.55000000000000004">
      <c r="W63617"/>
    </row>
    <row r="63618" spans="23:23" x14ac:dyDescent="0.55000000000000004">
      <c r="W63618"/>
    </row>
    <row r="63619" spans="23:23" x14ac:dyDescent="0.55000000000000004">
      <c r="W63619"/>
    </row>
    <row r="63620" spans="23:23" x14ac:dyDescent="0.55000000000000004">
      <c r="W63620"/>
    </row>
    <row r="63621" spans="23:23" x14ac:dyDescent="0.55000000000000004">
      <c r="W63621"/>
    </row>
    <row r="63622" spans="23:23" x14ac:dyDescent="0.55000000000000004">
      <c r="W63622"/>
    </row>
    <row r="63623" spans="23:23" x14ac:dyDescent="0.55000000000000004">
      <c r="W63623"/>
    </row>
    <row r="63624" spans="23:23" x14ac:dyDescent="0.55000000000000004">
      <c r="W63624"/>
    </row>
    <row r="63625" spans="23:23" x14ac:dyDescent="0.55000000000000004">
      <c r="W63625"/>
    </row>
    <row r="63626" spans="23:23" x14ac:dyDescent="0.55000000000000004">
      <c r="W63626"/>
    </row>
    <row r="63627" spans="23:23" x14ac:dyDescent="0.55000000000000004">
      <c r="W63627"/>
    </row>
    <row r="63628" spans="23:23" x14ac:dyDescent="0.55000000000000004">
      <c r="W63628"/>
    </row>
    <row r="63629" spans="23:23" x14ac:dyDescent="0.55000000000000004">
      <c r="W63629"/>
    </row>
    <row r="63630" spans="23:23" x14ac:dyDescent="0.55000000000000004">
      <c r="W63630"/>
    </row>
    <row r="63631" spans="23:23" x14ac:dyDescent="0.55000000000000004">
      <c r="W63631"/>
    </row>
    <row r="63632" spans="23:23" x14ac:dyDescent="0.55000000000000004">
      <c r="W63632"/>
    </row>
    <row r="63633" spans="23:23" x14ac:dyDescent="0.55000000000000004">
      <c r="W63633"/>
    </row>
    <row r="63634" spans="23:23" x14ac:dyDescent="0.55000000000000004">
      <c r="W63634"/>
    </row>
    <row r="63635" spans="23:23" x14ac:dyDescent="0.55000000000000004">
      <c r="W63635"/>
    </row>
    <row r="63636" spans="23:23" x14ac:dyDescent="0.55000000000000004">
      <c r="W63636"/>
    </row>
    <row r="63637" spans="23:23" x14ac:dyDescent="0.55000000000000004">
      <c r="W63637"/>
    </row>
    <row r="63638" spans="23:23" x14ac:dyDescent="0.55000000000000004">
      <c r="W63638"/>
    </row>
    <row r="63639" spans="23:23" x14ac:dyDescent="0.55000000000000004">
      <c r="W63639"/>
    </row>
    <row r="63640" spans="23:23" x14ac:dyDescent="0.55000000000000004">
      <c r="W63640"/>
    </row>
    <row r="63641" spans="23:23" x14ac:dyDescent="0.55000000000000004">
      <c r="W63641"/>
    </row>
    <row r="63642" spans="23:23" x14ac:dyDescent="0.55000000000000004">
      <c r="W63642"/>
    </row>
    <row r="63643" spans="23:23" x14ac:dyDescent="0.55000000000000004">
      <c r="W63643"/>
    </row>
    <row r="63644" spans="23:23" x14ac:dyDescent="0.55000000000000004">
      <c r="W63644"/>
    </row>
    <row r="63645" spans="23:23" x14ac:dyDescent="0.55000000000000004">
      <c r="W63645"/>
    </row>
    <row r="63646" spans="23:23" x14ac:dyDescent="0.55000000000000004">
      <c r="W63646"/>
    </row>
    <row r="63647" spans="23:23" x14ac:dyDescent="0.55000000000000004">
      <c r="W63647"/>
    </row>
    <row r="63648" spans="23:23" x14ac:dyDescent="0.55000000000000004">
      <c r="W63648"/>
    </row>
    <row r="63649" spans="23:23" x14ac:dyDescent="0.55000000000000004">
      <c r="W63649"/>
    </row>
    <row r="63650" spans="23:23" x14ac:dyDescent="0.55000000000000004">
      <c r="W63650"/>
    </row>
    <row r="63651" spans="23:23" x14ac:dyDescent="0.55000000000000004">
      <c r="W63651"/>
    </row>
    <row r="63652" spans="23:23" x14ac:dyDescent="0.55000000000000004">
      <c r="W63652"/>
    </row>
    <row r="63653" spans="23:23" x14ac:dyDescent="0.55000000000000004">
      <c r="W63653"/>
    </row>
    <row r="63654" spans="23:23" x14ac:dyDescent="0.55000000000000004">
      <c r="W63654"/>
    </row>
    <row r="63655" spans="23:23" x14ac:dyDescent="0.55000000000000004">
      <c r="W63655"/>
    </row>
    <row r="63656" spans="23:23" x14ac:dyDescent="0.55000000000000004">
      <c r="W63656"/>
    </row>
    <row r="63657" spans="23:23" x14ac:dyDescent="0.55000000000000004">
      <c r="W63657"/>
    </row>
    <row r="63658" spans="23:23" x14ac:dyDescent="0.55000000000000004">
      <c r="W63658"/>
    </row>
    <row r="63659" spans="23:23" x14ac:dyDescent="0.55000000000000004">
      <c r="W63659"/>
    </row>
    <row r="63660" spans="23:23" x14ac:dyDescent="0.55000000000000004">
      <c r="W63660"/>
    </row>
    <row r="63661" spans="23:23" x14ac:dyDescent="0.55000000000000004">
      <c r="W63661"/>
    </row>
    <row r="63662" spans="23:23" x14ac:dyDescent="0.55000000000000004">
      <c r="W63662"/>
    </row>
    <row r="63663" spans="23:23" x14ac:dyDescent="0.55000000000000004">
      <c r="W63663"/>
    </row>
    <row r="63664" spans="23:23" x14ac:dyDescent="0.55000000000000004">
      <c r="W63664"/>
    </row>
    <row r="63665" spans="23:23" x14ac:dyDescent="0.55000000000000004">
      <c r="W63665"/>
    </row>
    <row r="63666" spans="23:23" x14ac:dyDescent="0.55000000000000004">
      <c r="W63666"/>
    </row>
    <row r="63667" spans="23:23" x14ac:dyDescent="0.55000000000000004">
      <c r="W63667"/>
    </row>
    <row r="63668" spans="23:23" x14ac:dyDescent="0.55000000000000004">
      <c r="W63668"/>
    </row>
    <row r="63669" spans="23:23" x14ac:dyDescent="0.55000000000000004">
      <c r="W63669"/>
    </row>
    <row r="63670" spans="23:23" x14ac:dyDescent="0.55000000000000004">
      <c r="W63670"/>
    </row>
    <row r="63671" spans="23:23" x14ac:dyDescent="0.55000000000000004">
      <c r="W63671"/>
    </row>
    <row r="63672" spans="23:23" x14ac:dyDescent="0.55000000000000004">
      <c r="W63672"/>
    </row>
    <row r="63673" spans="23:23" x14ac:dyDescent="0.55000000000000004">
      <c r="W63673"/>
    </row>
    <row r="63674" spans="23:23" x14ac:dyDescent="0.55000000000000004">
      <c r="W63674"/>
    </row>
    <row r="63675" spans="23:23" x14ac:dyDescent="0.55000000000000004">
      <c r="W63675"/>
    </row>
    <row r="63676" spans="23:23" x14ac:dyDescent="0.55000000000000004">
      <c r="W63676"/>
    </row>
    <row r="63677" spans="23:23" x14ac:dyDescent="0.55000000000000004">
      <c r="W63677"/>
    </row>
    <row r="63678" spans="23:23" x14ac:dyDescent="0.55000000000000004">
      <c r="W63678"/>
    </row>
    <row r="63679" spans="23:23" x14ac:dyDescent="0.55000000000000004">
      <c r="W63679"/>
    </row>
    <row r="63680" spans="23:23" x14ac:dyDescent="0.55000000000000004">
      <c r="W63680"/>
    </row>
    <row r="63681" spans="23:23" x14ac:dyDescent="0.55000000000000004">
      <c r="W63681"/>
    </row>
    <row r="63682" spans="23:23" x14ac:dyDescent="0.55000000000000004">
      <c r="W63682"/>
    </row>
    <row r="63683" spans="23:23" x14ac:dyDescent="0.55000000000000004">
      <c r="W63683"/>
    </row>
    <row r="63684" spans="23:23" x14ac:dyDescent="0.55000000000000004">
      <c r="W63684"/>
    </row>
    <row r="63685" spans="23:23" x14ac:dyDescent="0.55000000000000004">
      <c r="W63685"/>
    </row>
    <row r="63686" spans="23:23" x14ac:dyDescent="0.55000000000000004">
      <c r="W63686"/>
    </row>
    <row r="63687" spans="23:23" x14ac:dyDescent="0.55000000000000004">
      <c r="W63687"/>
    </row>
    <row r="63688" spans="23:23" x14ac:dyDescent="0.55000000000000004">
      <c r="W63688"/>
    </row>
    <row r="63689" spans="23:23" x14ac:dyDescent="0.55000000000000004">
      <c r="W63689"/>
    </row>
    <row r="63690" spans="23:23" x14ac:dyDescent="0.55000000000000004">
      <c r="W63690"/>
    </row>
    <row r="63691" spans="23:23" x14ac:dyDescent="0.55000000000000004">
      <c r="W63691"/>
    </row>
    <row r="63692" spans="23:23" x14ac:dyDescent="0.55000000000000004">
      <c r="W63692"/>
    </row>
    <row r="63693" spans="23:23" x14ac:dyDescent="0.55000000000000004">
      <c r="W63693"/>
    </row>
    <row r="63694" spans="23:23" x14ac:dyDescent="0.55000000000000004">
      <c r="W63694"/>
    </row>
    <row r="63695" spans="23:23" x14ac:dyDescent="0.55000000000000004">
      <c r="W63695"/>
    </row>
    <row r="63696" spans="23:23" x14ac:dyDescent="0.55000000000000004">
      <c r="W63696"/>
    </row>
    <row r="63697" spans="23:23" x14ac:dyDescent="0.55000000000000004">
      <c r="W63697"/>
    </row>
    <row r="63698" spans="23:23" x14ac:dyDescent="0.55000000000000004">
      <c r="W63698"/>
    </row>
    <row r="63699" spans="23:23" x14ac:dyDescent="0.55000000000000004">
      <c r="W63699"/>
    </row>
    <row r="63700" spans="23:23" x14ac:dyDescent="0.55000000000000004">
      <c r="W63700"/>
    </row>
    <row r="63701" spans="23:23" x14ac:dyDescent="0.55000000000000004">
      <c r="W63701"/>
    </row>
    <row r="63702" spans="23:23" x14ac:dyDescent="0.55000000000000004">
      <c r="W63702"/>
    </row>
    <row r="63703" spans="23:23" x14ac:dyDescent="0.55000000000000004">
      <c r="W63703"/>
    </row>
    <row r="63704" spans="23:23" x14ac:dyDescent="0.55000000000000004">
      <c r="W63704"/>
    </row>
    <row r="63705" spans="23:23" x14ac:dyDescent="0.55000000000000004">
      <c r="W63705"/>
    </row>
    <row r="63706" spans="23:23" x14ac:dyDescent="0.55000000000000004">
      <c r="W63706"/>
    </row>
    <row r="63707" spans="23:23" x14ac:dyDescent="0.55000000000000004">
      <c r="W63707"/>
    </row>
    <row r="63708" spans="23:23" x14ac:dyDescent="0.55000000000000004">
      <c r="W63708"/>
    </row>
    <row r="63709" spans="23:23" x14ac:dyDescent="0.55000000000000004">
      <c r="W63709"/>
    </row>
    <row r="63710" spans="23:23" x14ac:dyDescent="0.55000000000000004">
      <c r="W63710"/>
    </row>
    <row r="63711" spans="23:23" x14ac:dyDescent="0.55000000000000004">
      <c r="W63711"/>
    </row>
    <row r="63712" spans="23:23" x14ac:dyDescent="0.55000000000000004">
      <c r="W63712"/>
    </row>
    <row r="63713" spans="23:23" x14ac:dyDescent="0.55000000000000004">
      <c r="W63713"/>
    </row>
    <row r="63714" spans="23:23" x14ac:dyDescent="0.55000000000000004">
      <c r="W63714"/>
    </row>
    <row r="63715" spans="23:23" x14ac:dyDescent="0.55000000000000004">
      <c r="W63715"/>
    </row>
    <row r="63716" spans="23:23" x14ac:dyDescent="0.55000000000000004">
      <c r="W63716"/>
    </row>
    <row r="63717" spans="23:23" x14ac:dyDescent="0.55000000000000004">
      <c r="W63717"/>
    </row>
    <row r="63718" spans="23:23" x14ac:dyDescent="0.55000000000000004">
      <c r="W63718"/>
    </row>
    <row r="63719" spans="23:23" x14ac:dyDescent="0.55000000000000004">
      <c r="W63719"/>
    </row>
    <row r="63720" spans="23:23" x14ac:dyDescent="0.55000000000000004">
      <c r="W63720"/>
    </row>
    <row r="63721" spans="23:23" x14ac:dyDescent="0.55000000000000004">
      <c r="W63721"/>
    </row>
    <row r="63722" spans="23:23" x14ac:dyDescent="0.55000000000000004">
      <c r="W63722"/>
    </row>
    <row r="63723" spans="23:23" x14ac:dyDescent="0.55000000000000004">
      <c r="W63723"/>
    </row>
    <row r="63724" spans="23:23" x14ac:dyDescent="0.55000000000000004">
      <c r="W63724"/>
    </row>
    <row r="63725" spans="23:23" x14ac:dyDescent="0.55000000000000004">
      <c r="W63725"/>
    </row>
    <row r="63726" spans="23:23" x14ac:dyDescent="0.55000000000000004">
      <c r="W63726"/>
    </row>
    <row r="63727" spans="23:23" x14ac:dyDescent="0.55000000000000004">
      <c r="W63727"/>
    </row>
    <row r="63728" spans="23:23" x14ac:dyDescent="0.55000000000000004">
      <c r="W63728"/>
    </row>
    <row r="63729" spans="23:23" x14ac:dyDescent="0.55000000000000004">
      <c r="W63729"/>
    </row>
    <row r="63730" spans="23:23" x14ac:dyDescent="0.55000000000000004">
      <c r="W63730"/>
    </row>
    <row r="63731" spans="23:23" x14ac:dyDescent="0.55000000000000004">
      <c r="W63731"/>
    </row>
    <row r="63732" spans="23:23" x14ac:dyDescent="0.55000000000000004">
      <c r="W63732"/>
    </row>
    <row r="63733" spans="23:23" x14ac:dyDescent="0.55000000000000004">
      <c r="W63733"/>
    </row>
    <row r="63734" spans="23:23" x14ac:dyDescent="0.55000000000000004">
      <c r="W63734"/>
    </row>
    <row r="63735" spans="23:23" x14ac:dyDescent="0.55000000000000004">
      <c r="W63735"/>
    </row>
    <row r="63736" spans="23:23" x14ac:dyDescent="0.55000000000000004">
      <c r="W63736"/>
    </row>
    <row r="63737" spans="23:23" x14ac:dyDescent="0.55000000000000004">
      <c r="W63737"/>
    </row>
    <row r="63738" spans="23:23" x14ac:dyDescent="0.55000000000000004">
      <c r="W63738"/>
    </row>
    <row r="63739" spans="23:23" x14ac:dyDescent="0.55000000000000004">
      <c r="W63739"/>
    </row>
    <row r="63740" spans="23:23" x14ac:dyDescent="0.55000000000000004">
      <c r="W63740"/>
    </row>
    <row r="63741" spans="23:23" x14ac:dyDescent="0.55000000000000004">
      <c r="W63741"/>
    </row>
    <row r="63742" spans="23:23" x14ac:dyDescent="0.55000000000000004">
      <c r="W63742"/>
    </row>
    <row r="63743" spans="23:23" x14ac:dyDescent="0.55000000000000004">
      <c r="W63743"/>
    </row>
    <row r="63744" spans="23:23" x14ac:dyDescent="0.55000000000000004">
      <c r="W63744"/>
    </row>
    <row r="63745" spans="23:23" x14ac:dyDescent="0.55000000000000004">
      <c r="W63745"/>
    </row>
    <row r="63746" spans="23:23" x14ac:dyDescent="0.55000000000000004">
      <c r="W63746"/>
    </row>
    <row r="63747" spans="23:23" x14ac:dyDescent="0.55000000000000004">
      <c r="W63747"/>
    </row>
    <row r="63748" spans="23:23" x14ac:dyDescent="0.55000000000000004">
      <c r="W63748"/>
    </row>
    <row r="63749" spans="23:23" x14ac:dyDescent="0.55000000000000004">
      <c r="W63749"/>
    </row>
    <row r="63750" spans="23:23" x14ac:dyDescent="0.55000000000000004">
      <c r="W63750"/>
    </row>
    <row r="63751" spans="23:23" x14ac:dyDescent="0.55000000000000004">
      <c r="W63751"/>
    </row>
    <row r="63752" spans="23:23" x14ac:dyDescent="0.55000000000000004">
      <c r="W63752"/>
    </row>
    <row r="63753" spans="23:23" x14ac:dyDescent="0.55000000000000004">
      <c r="W63753"/>
    </row>
    <row r="63754" spans="23:23" x14ac:dyDescent="0.55000000000000004">
      <c r="W63754"/>
    </row>
    <row r="63755" spans="23:23" x14ac:dyDescent="0.55000000000000004">
      <c r="W63755"/>
    </row>
    <row r="63756" spans="23:23" x14ac:dyDescent="0.55000000000000004">
      <c r="W63756"/>
    </row>
    <row r="63757" spans="23:23" x14ac:dyDescent="0.55000000000000004">
      <c r="W63757"/>
    </row>
    <row r="63758" spans="23:23" x14ac:dyDescent="0.55000000000000004">
      <c r="W63758"/>
    </row>
    <row r="63759" spans="23:23" x14ac:dyDescent="0.55000000000000004">
      <c r="W63759"/>
    </row>
    <row r="63760" spans="23:23" x14ac:dyDescent="0.55000000000000004">
      <c r="W63760"/>
    </row>
    <row r="63761" spans="23:23" x14ac:dyDescent="0.55000000000000004">
      <c r="W63761"/>
    </row>
    <row r="63762" spans="23:23" x14ac:dyDescent="0.55000000000000004">
      <c r="W63762"/>
    </row>
    <row r="63763" spans="23:23" x14ac:dyDescent="0.55000000000000004">
      <c r="W63763"/>
    </row>
    <row r="63764" spans="23:23" x14ac:dyDescent="0.55000000000000004">
      <c r="W63764"/>
    </row>
    <row r="63765" spans="23:23" x14ac:dyDescent="0.55000000000000004">
      <c r="W63765"/>
    </row>
    <row r="63766" spans="23:23" x14ac:dyDescent="0.55000000000000004">
      <c r="W63766"/>
    </row>
    <row r="63767" spans="23:23" x14ac:dyDescent="0.55000000000000004">
      <c r="W63767"/>
    </row>
    <row r="63768" spans="23:23" x14ac:dyDescent="0.55000000000000004">
      <c r="W63768"/>
    </row>
    <row r="63769" spans="23:23" x14ac:dyDescent="0.55000000000000004">
      <c r="W63769"/>
    </row>
    <row r="63770" spans="23:23" x14ac:dyDescent="0.55000000000000004">
      <c r="W63770"/>
    </row>
    <row r="63771" spans="23:23" x14ac:dyDescent="0.55000000000000004">
      <c r="W63771"/>
    </row>
    <row r="63772" spans="23:23" x14ac:dyDescent="0.55000000000000004">
      <c r="W63772"/>
    </row>
    <row r="63773" spans="23:23" x14ac:dyDescent="0.55000000000000004">
      <c r="W63773"/>
    </row>
    <row r="63774" spans="23:23" x14ac:dyDescent="0.55000000000000004">
      <c r="W63774"/>
    </row>
    <row r="63775" spans="23:23" x14ac:dyDescent="0.55000000000000004">
      <c r="W63775"/>
    </row>
    <row r="63776" spans="23:23" x14ac:dyDescent="0.55000000000000004">
      <c r="W63776"/>
    </row>
    <row r="63777" spans="23:23" x14ac:dyDescent="0.55000000000000004">
      <c r="W63777"/>
    </row>
    <row r="63778" spans="23:23" x14ac:dyDescent="0.55000000000000004">
      <c r="W63778"/>
    </row>
    <row r="63779" spans="23:23" x14ac:dyDescent="0.55000000000000004">
      <c r="W63779"/>
    </row>
    <row r="63780" spans="23:23" x14ac:dyDescent="0.55000000000000004">
      <c r="W63780"/>
    </row>
    <row r="63781" spans="23:23" x14ac:dyDescent="0.55000000000000004">
      <c r="W63781"/>
    </row>
    <row r="63782" spans="23:23" x14ac:dyDescent="0.55000000000000004">
      <c r="W63782"/>
    </row>
    <row r="63783" spans="23:23" x14ac:dyDescent="0.55000000000000004">
      <c r="W63783"/>
    </row>
    <row r="63784" spans="23:23" x14ac:dyDescent="0.55000000000000004">
      <c r="W63784"/>
    </row>
    <row r="63785" spans="23:23" x14ac:dyDescent="0.55000000000000004">
      <c r="W63785"/>
    </row>
    <row r="63786" spans="23:23" x14ac:dyDescent="0.55000000000000004">
      <c r="W63786"/>
    </row>
    <row r="63787" spans="23:23" x14ac:dyDescent="0.55000000000000004">
      <c r="W63787"/>
    </row>
    <row r="63788" spans="23:23" x14ac:dyDescent="0.55000000000000004">
      <c r="W63788"/>
    </row>
    <row r="63789" spans="23:23" x14ac:dyDescent="0.55000000000000004">
      <c r="W63789"/>
    </row>
    <row r="63790" spans="23:23" x14ac:dyDescent="0.55000000000000004">
      <c r="W63790"/>
    </row>
    <row r="63791" spans="23:23" x14ac:dyDescent="0.55000000000000004">
      <c r="W63791"/>
    </row>
    <row r="63792" spans="23:23" x14ac:dyDescent="0.55000000000000004">
      <c r="W63792"/>
    </row>
    <row r="63793" spans="23:23" x14ac:dyDescent="0.55000000000000004">
      <c r="W63793"/>
    </row>
    <row r="63794" spans="23:23" x14ac:dyDescent="0.55000000000000004">
      <c r="W63794"/>
    </row>
    <row r="63795" spans="23:23" x14ac:dyDescent="0.55000000000000004">
      <c r="W63795"/>
    </row>
    <row r="63796" spans="23:23" x14ac:dyDescent="0.55000000000000004">
      <c r="W63796"/>
    </row>
    <row r="63797" spans="23:23" x14ac:dyDescent="0.55000000000000004">
      <c r="W63797"/>
    </row>
    <row r="63798" spans="23:23" x14ac:dyDescent="0.55000000000000004">
      <c r="W63798"/>
    </row>
    <row r="63799" spans="23:23" x14ac:dyDescent="0.55000000000000004">
      <c r="W63799"/>
    </row>
    <row r="63800" spans="23:23" x14ac:dyDescent="0.55000000000000004">
      <c r="W63800"/>
    </row>
    <row r="63801" spans="23:23" x14ac:dyDescent="0.55000000000000004">
      <c r="W63801"/>
    </row>
    <row r="63802" spans="23:23" x14ac:dyDescent="0.55000000000000004">
      <c r="W63802"/>
    </row>
    <row r="63803" spans="23:23" x14ac:dyDescent="0.55000000000000004">
      <c r="W63803"/>
    </row>
    <row r="63804" spans="23:23" x14ac:dyDescent="0.55000000000000004">
      <c r="W63804"/>
    </row>
    <row r="63805" spans="23:23" x14ac:dyDescent="0.55000000000000004">
      <c r="W63805"/>
    </row>
    <row r="63806" spans="23:23" x14ac:dyDescent="0.55000000000000004">
      <c r="W63806"/>
    </row>
    <row r="63807" spans="23:23" x14ac:dyDescent="0.55000000000000004">
      <c r="W63807"/>
    </row>
    <row r="63808" spans="23:23" x14ac:dyDescent="0.55000000000000004">
      <c r="W63808"/>
    </row>
    <row r="63809" spans="23:23" x14ac:dyDescent="0.55000000000000004">
      <c r="W63809"/>
    </row>
    <row r="63810" spans="23:23" x14ac:dyDescent="0.55000000000000004">
      <c r="W63810"/>
    </row>
    <row r="63811" spans="23:23" x14ac:dyDescent="0.55000000000000004">
      <c r="W63811"/>
    </row>
    <row r="63812" spans="23:23" x14ac:dyDescent="0.55000000000000004">
      <c r="W63812"/>
    </row>
    <row r="63813" spans="23:23" x14ac:dyDescent="0.55000000000000004">
      <c r="W63813"/>
    </row>
    <row r="63814" spans="23:23" x14ac:dyDescent="0.55000000000000004">
      <c r="W63814"/>
    </row>
    <row r="63815" spans="23:23" x14ac:dyDescent="0.55000000000000004">
      <c r="W63815"/>
    </row>
    <row r="63816" spans="23:23" x14ac:dyDescent="0.55000000000000004">
      <c r="W63816"/>
    </row>
    <row r="63817" spans="23:23" x14ac:dyDescent="0.55000000000000004">
      <c r="W63817"/>
    </row>
    <row r="63818" spans="23:23" x14ac:dyDescent="0.55000000000000004">
      <c r="W63818"/>
    </row>
    <row r="63819" spans="23:23" x14ac:dyDescent="0.55000000000000004">
      <c r="W63819"/>
    </row>
    <row r="63820" spans="23:23" x14ac:dyDescent="0.55000000000000004">
      <c r="W63820"/>
    </row>
    <row r="63821" spans="23:23" x14ac:dyDescent="0.55000000000000004">
      <c r="W63821"/>
    </row>
    <row r="63822" spans="23:23" x14ac:dyDescent="0.55000000000000004">
      <c r="W63822"/>
    </row>
    <row r="63823" spans="23:23" x14ac:dyDescent="0.55000000000000004">
      <c r="W63823"/>
    </row>
    <row r="63824" spans="23:23" x14ac:dyDescent="0.55000000000000004">
      <c r="W63824"/>
    </row>
    <row r="63825" spans="23:23" x14ac:dyDescent="0.55000000000000004">
      <c r="W63825"/>
    </row>
    <row r="63826" spans="23:23" x14ac:dyDescent="0.55000000000000004">
      <c r="W63826"/>
    </row>
    <row r="63827" spans="23:23" x14ac:dyDescent="0.55000000000000004">
      <c r="W63827"/>
    </row>
    <row r="63828" spans="23:23" x14ac:dyDescent="0.55000000000000004">
      <c r="W63828"/>
    </row>
    <row r="63829" spans="23:23" x14ac:dyDescent="0.55000000000000004">
      <c r="W63829"/>
    </row>
    <row r="63830" spans="23:23" x14ac:dyDescent="0.55000000000000004">
      <c r="W63830"/>
    </row>
    <row r="63831" spans="23:23" x14ac:dyDescent="0.55000000000000004">
      <c r="W63831"/>
    </row>
    <row r="63832" spans="23:23" x14ac:dyDescent="0.55000000000000004">
      <c r="W63832"/>
    </row>
    <row r="63833" spans="23:23" x14ac:dyDescent="0.55000000000000004">
      <c r="W63833"/>
    </row>
    <row r="63834" spans="23:23" x14ac:dyDescent="0.55000000000000004">
      <c r="W63834"/>
    </row>
    <row r="63835" spans="23:23" x14ac:dyDescent="0.55000000000000004">
      <c r="W63835"/>
    </row>
    <row r="63836" spans="23:23" x14ac:dyDescent="0.55000000000000004">
      <c r="W63836"/>
    </row>
    <row r="63837" spans="23:23" x14ac:dyDescent="0.55000000000000004">
      <c r="W63837"/>
    </row>
    <row r="63838" spans="23:23" x14ac:dyDescent="0.55000000000000004">
      <c r="W63838"/>
    </row>
    <row r="63839" spans="23:23" x14ac:dyDescent="0.55000000000000004">
      <c r="W63839"/>
    </row>
    <row r="63840" spans="23:23" x14ac:dyDescent="0.55000000000000004">
      <c r="W63840"/>
    </row>
    <row r="63841" spans="23:23" x14ac:dyDescent="0.55000000000000004">
      <c r="W63841"/>
    </row>
    <row r="63842" spans="23:23" x14ac:dyDescent="0.55000000000000004">
      <c r="W63842"/>
    </row>
    <row r="63843" spans="23:23" x14ac:dyDescent="0.55000000000000004">
      <c r="W63843"/>
    </row>
    <row r="63844" spans="23:23" x14ac:dyDescent="0.55000000000000004">
      <c r="W63844"/>
    </row>
    <row r="63845" spans="23:23" x14ac:dyDescent="0.55000000000000004">
      <c r="W63845"/>
    </row>
    <row r="63846" spans="23:23" x14ac:dyDescent="0.55000000000000004">
      <c r="W63846"/>
    </row>
    <row r="63847" spans="23:23" x14ac:dyDescent="0.55000000000000004">
      <c r="W63847"/>
    </row>
    <row r="63848" spans="23:23" x14ac:dyDescent="0.55000000000000004">
      <c r="W63848"/>
    </row>
    <row r="63849" spans="23:23" x14ac:dyDescent="0.55000000000000004">
      <c r="W63849"/>
    </row>
    <row r="63850" spans="23:23" x14ac:dyDescent="0.55000000000000004">
      <c r="W63850"/>
    </row>
    <row r="63851" spans="23:23" x14ac:dyDescent="0.55000000000000004">
      <c r="W63851"/>
    </row>
    <row r="63852" spans="23:23" x14ac:dyDescent="0.55000000000000004">
      <c r="W63852"/>
    </row>
    <row r="63853" spans="23:23" x14ac:dyDescent="0.55000000000000004">
      <c r="W63853"/>
    </row>
    <row r="63854" spans="23:23" x14ac:dyDescent="0.55000000000000004">
      <c r="W63854"/>
    </row>
    <row r="63855" spans="23:23" x14ac:dyDescent="0.55000000000000004">
      <c r="W63855"/>
    </row>
    <row r="63856" spans="23:23" x14ac:dyDescent="0.55000000000000004">
      <c r="W63856"/>
    </row>
    <row r="63857" spans="23:23" x14ac:dyDescent="0.55000000000000004">
      <c r="W63857"/>
    </row>
    <row r="63858" spans="23:23" x14ac:dyDescent="0.55000000000000004">
      <c r="W63858"/>
    </row>
    <row r="63859" spans="23:23" x14ac:dyDescent="0.55000000000000004">
      <c r="W63859"/>
    </row>
    <row r="63860" spans="23:23" x14ac:dyDescent="0.55000000000000004">
      <c r="W63860"/>
    </row>
    <row r="63861" spans="23:23" x14ac:dyDescent="0.55000000000000004">
      <c r="W63861"/>
    </row>
    <row r="63862" spans="23:23" x14ac:dyDescent="0.55000000000000004">
      <c r="W63862"/>
    </row>
    <row r="63863" spans="23:23" x14ac:dyDescent="0.55000000000000004">
      <c r="W63863"/>
    </row>
    <row r="63864" spans="23:23" x14ac:dyDescent="0.55000000000000004">
      <c r="W63864"/>
    </row>
    <row r="63865" spans="23:23" x14ac:dyDescent="0.55000000000000004">
      <c r="W63865"/>
    </row>
    <row r="63866" spans="23:23" x14ac:dyDescent="0.55000000000000004">
      <c r="W63866"/>
    </row>
    <row r="63867" spans="23:23" x14ac:dyDescent="0.55000000000000004">
      <c r="W63867"/>
    </row>
    <row r="63868" spans="23:23" x14ac:dyDescent="0.55000000000000004">
      <c r="W63868"/>
    </row>
    <row r="63869" spans="23:23" x14ac:dyDescent="0.55000000000000004">
      <c r="W63869"/>
    </row>
    <row r="63870" spans="23:23" x14ac:dyDescent="0.55000000000000004">
      <c r="W63870"/>
    </row>
    <row r="63871" spans="23:23" x14ac:dyDescent="0.55000000000000004">
      <c r="W63871"/>
    </row>
    <row r="63872" spans="23:23" x14ac:dyDescent="0.55000000000000004">
      <c r="W63872"/>
    </row>
    <row r="63873" spans="23:23" x14ac:dyDescent="0.55000000000000004">
      <c r="W63873"/>
    </row>
    <row r="63874" spans="23:23" x14ac:dyDescent="0.55000000000000004">
      <c r="W63874"/>
    </row>
    <row r="63875" spans="23:23" x14ac:dyDescent="0.55000000000000004">
      <c r="W63875"/>
    </row>
    <row r="63876" spans="23:23" x14ac:dyDescent="0.55000000000000004">
      <c r="W63876"/>
    </row>
    <row r="63877" spans="23:23" x14ac:dyDescent="0.55000000000000004">
      <c r="W63877"/>
    </row>
    <row r="63878" spans="23:23" x14ac:dyDescent="0.55000000000000004">
      <c r="W63878"/>
    </row>
    <row r="63879" spans="23:23" x14ac:dyDescent="0.55000000000000004">
      <c r="W63879"/>
    </row>
    <row r="63880" spans="23:23" x14ac:dyDescent="0.55000000000000004">
      <c r="W63880"/>
    </row>
    <row r="63881" spans="23:23" x14ac:dyDescent="0.55000000000000004">
      <c r="W63881"/>
    </row>
    <row r="63882" spans="23:23" x14ac:dyDescent="0.55000000000000004">
      <c r="W63882"/>
    </row>
    <row r="63883" spans="23:23" x14ac:dyDescent="0.55000000000000004">
      <c r="W63883"/>
    </row>
    <row r="63884" spans="23:23" x14ac:dyDescent="0.55000000000000004">
      <c r="W63884"/>
    </row>
    <row r="63885" spans="23:23" x14ac:dyDescent="0.55000000000000004">
      <c r="W63885"/>
    </row>
    <row r="63886" spans="23:23" x14ac:dyDescent="0.55000000000000004">
      <c r="W63886"/>
    </row>
    <row r="63887" spans="23:23" x14ac:dyDescent="0.55000000000000004">
      <c r="W63887"/>
    </row>
    <row r="63888" spans="23:23" x14ac:dyDescent="0.55000000000000004">
      <c r="W63888"/>
    </row>
    <row r="63889" spans="23:23" x14ac:dyDescent="0.55000000000000004">
      <c r="W63889"/>
    </row>
    <row r="63890" spans="23:23" x14ac:dyDescent="0.55000000000000004">
      <c r="W63890"/>
    </row>
    <row r="63891" spans="23:23" x14ac:dyDescent="0.55000000000000004">
      <c r="W63891"/>
    </row>
    <row r="63892" spans="23:23" x14ac:dyDescent="0.55000000000000004">
      <c r="W63892"/>
    </row>
    <row r="63893" spans="23:23" x14ac:dyDescent="0.55000000000000004">
      <c r="W63893"/>
    </row>
    <row r="63894" spans="23:23" x14ac:dyDescent="0.55000000000000004">
      <c r="W63894"/>
    </row>
    <row r="63895" spans="23:23" x14ac:dyDescent="0.55000000000000004">
      <c r="W63895"/>
    </row>
    <row r="63896" spans="23:23" x14ac:dyDescent="0.55000000000000004">
      <c r="W63896"/>
    </row>
    <row r="63897" spans="23:23" x14ac:dyDescent="0.55000000000000004">
      <c r="W63897"/>
    </row>
    <row r="63898" spans="23:23" x14ac:dyDescent="0.55000000000000004">
      <c r="W63898"/>
    </row>
    <row r="63899" spans="23:23" x14ac:dyDescent="0.55000000000000004">
      <c r="W63899"/>
    </row>
    <row r="63900" spans="23:23" x14ac:dyDescent="0.55000000000000004">
      <c r="W63900"/>
    </row>
    <row r="63901" spans="23:23" x14ac:dyDescent="0.55000000000000004">
      <c r="W63901"/>
    </row>
    <row r="63902" spans="23:23" x14ac:dyDescent="0.55000000000000004">
      <c r="W63902"/>
    </row>
    <row r="63903" spans="23:23" x14ac:dyDescent="0.55000000000000004">
      <c r="W63903"/>
    </row>
    <row r="63904" spans="23:23" x14ac:dyDescent="0.55000000000000004">
      <c r="W63904"/>
    </row>
    <row r="63905" spans="23:23" x14ac:dyDescent="0.55000000000000004">
      <c r="W63905"/>
    </row>
    <row r="63906" spans="23:23" x14ac:dyDescent="0.55000000000000004">
      <c r="W63906"/>
    </row>
    <row r="63907" spans="23:23" x14ac:dyDescent="0.55000000000000004">
      <c r="W63907"/>
    </row>
    <row r="63908" spans="23:23" x14ac:dyDescent="0.55000000000000004">
      <c r="W63908"/>
    </row>
    <row r="63909" spans="23:23" x14ac:dyDescent="0.55000000000000004">
      <c r="W63909"/>
    </row>
    <row r="63910" spans="23:23" x14ac:dyDescent="0.55000000000000004">
      <c r="W63910"/>
    </row>
    <row r="63911" spans="23:23" x14ac:dyDescent="0.55000000000000004">
      <c r="W63911"/>
    </row>
    <row r="63912" spans="23:23" x14ac:dyDescent="0.55000000000000004">
      <c r="W63912"/>
    </row>
    <row r="63913" spans="23:23" x14ac:dyDescent="0.55000000000000004">
      <c r="W63913"/>
    </row>
    <row r="63914" spans="23:23" x14ac:dyDescent="0.55000000000000004">
      <c r="W63914"/>
    </row>
    <row r="63915" spans="23:23" x14ac:dyDescent="0.55000000000000004">
      <c r="W63915"/>
    </row>
    <row r="63916" spans="23:23" x14ac:dyDescent="0.55000000000000004">
      <c r="W63916"/>
    </row>
    <row r="63917" spans="23:23" x14ac:dyDescent="0.55000000000000004">
      <c r="W63917"/>
    </row>
    <row r="63918" spans="23:23" x14ac:dyDescent="0.55000000000000004">
      <c r="W63918"/>
    </row>
    <row r="63919" spans="23:23" x14ac:dyDescent="0.55000000000000004">
      <c r="W63919"/>
    </row>
    <row r="63920" spans="23:23" x14ac:dyDescent="0.55000000000000004">
      <c r="W63920"/>
    </row>
    <row r="63921" spans="23:23" x14ac:dyDescent="0.55000000000000004">
      <c r="W63921"/>
    </row>
    <row r="63922" spans="23:23" x14ac:dyDescent="0.55000000000000004">
      <c r="W63922"/>
    </row>
    <row r="63923" spans="23:23" x14ac:dyDescent="0.55000000000000004">
      <c r="W63923"/>
    </row>
    <row r="63924" spans="23:23" x14ac:dyDescent="0.55000000000000004">
      <c r="W63924"/>
    </row>
    <row r="63925" spans="23:23" x14ac:dyDescent="0.55000000000000004">
      <c r="W63925"/>
    </row>
    <row r="63926" spans="23:23" x14ac:dyDescent="0.55000000000000004">
      <c r="W63926"/>
    </row>
    <row r="63927" spans="23:23" x14ac:dyDescent="0.55000000000000004">
      <c r="W63927"/>
    </row>
    <row r="63928" spans="23:23" x14ac:dyDescent="0.55000000000000004">
      <c r="W63928"/>
    </row>
    <row r="63929" spans="23:23" x14ac:dyDescent="0.55000000000000004">
      <c r="W63929"/>
    </row>
    <row r="63930" spans="23:23" x14ac:dyDescent="0.55000000000000004">
      <c r="W63930"/>
    </row>
    <row r="63931" spans="23:23" x14ac:dyDescent="0.55000000000000004">
      <c r="W63931"/>
    </row>
    <row r="63932" spans="23:23" x14ac:dyDescent="0.55000000000000004">
      <c r="W63932"/>
    </row>
    <row r="63933" spans="23:23" x14ac:dyDescent="0.55000000000000004">
      <c r="W63933"/>
    </row>
    <row r="63934" spans="23:23" x14ac:dyDescent="0.55000000000000004">
      <c r="W63934"/>
    </row>
    <row r="63935" spans="23:23" x14ac:dyDescent="0.55000000000000004">
      <c r="W63935"/>
    </row>
    <row r="63936" spans="23:23" x14ac:dyDescent="0.55000000000000004">
      <c r="W63936"/>
    </row>
    <row r="63937" spans="23:23" x14ac:dyDescent="0.55000000000000004">
      <c r="W63937"/>
    </row>
    <row r="63938" spans="23:23" x14ac:dyDescent="0.55000000000000004">
      <c r="W63938"/>
    </row>
    <row r="63939" spans="23:23" x14ac:dyDescent="0.55000000000000004">
      <c r="W63939"/>
    </row>
    <row r="63940" spans="23:23" x14ac:dyDescent="0.55000000000000004">
      <c r="W63940"/>
    </row>
    <row r="63941" spans="23:23" x14ac:dyDescent="0.55000000000000004">
      <c r="W63941"/>
    </row>
    <row r="63942" spans="23:23" x14ac:dyDescent="0.55000000000000004">
      <c r="W63942"/>
    </row>
    <row r="63943" spans="23:23" x14ac:dyDescent="0.55000000000000004">
      <c r="W63943"/>
    </row>
    <row r="63944" spans="23:23" x14ac:dyDescent="0.55000000000000004">
      <c r="W63944"/>
    </row>
    <row r="63945" spans="23:23" x14ac:dyDescent="0.55000000000000004">
      <c r="W63945"/>
    </row>
    <row r="63946" spans="23:23" x14ac:dyDescent="0.55000000000000004">
      <c r="W63946"/>
    </row>
    <row r="63947" spans="23:23" x14ac:dyDescent="0.55000000000000004">
      <c r="W63947"/>
    </row>
    <row r="63948" spans="23:23" x14ac:dyDescent="0.55000000000000004">
      <c r="W63948"/>
    </row>
    <row r="63949" spans="23:23" x14ac:dyDescent="0.55000000000000004">
      <c r="W63949"/>
    </row>
    <row r="63950" spans="23:23" x14ac:dyDescent="0.55000000000000004">
      <c r="W63950"/>
    </row>
    <row r="63951" spans="23:23" x14ac:dyDescent="0.55000000000000004">
      <c r="W63951"/>
    </row>
    <row r="63952" spans="23:23" x14ac:dyDescent="0.55000000000000004">
      <c r="W63952"/>
    </row>
    <row r="63953" spans="23:23" x14ac:dyDescent="0.55000000000000004">
      <c r="W63953"/>
    </row>
    <row r="63954" spans="23:23" x14ac:dyDescent="0.55000000000000004">
      <c r="W63954"/>
    </row>
    <row r="63955" spans="23:23" x14ac:dyDescent="0.55000000000000004">
      <c r="W63955"/>
    </row>
    <row r="63956" spans="23:23" x14ac:dyDescent="0.55000000000000004">
      <c r="W63956"/>
    </row>
    <row r="63957" spans="23:23" x14ac:dyDescent="0.55000000000000004">
      <c r="W63957"/>
    </row>
    <row r="63958" spans="23:23" x14ac:dyDescent="0.55000000000000004">
      <c r="W63958"/>
    </row>
    <row r="63959" spans="23:23" x14ac:dyDescent="0.55000000000000004">
      <c r="W63959"/>
    </row>
    <row r="63960" spans="23:23" x14ac:dyDescent="0.55000000000000004">
      <c r="W63960"/>
    </row>
    <row r="63961" spans="23:23" x14ac:dyDescent="0.55000000000000004">
      <c r="W63961"/>
    </row>
    <row r="63962" spans="23:23" x14ac:dyDescent="0.55000000000000004">
      <c r="W63962"/>
    </row>
    <row r="63963" spans="23:23" x14ac:dyDescent="0.55000000000000004">
      <c r="W63963"/>
    </row>
    <row r="63964" spans="23:23" x14ac:dyDescent="0.55000000000000004">
      <c r="W63964"/>
    </row>
    <row r="63965" spans="23:23" x14ac:dyDescent="0.55000000000000004">
      <c r="W63965"/>
    </row>
    <row r="63966" spans="23:23" x14ac:dyDescent="0.55000000000000004">
      <c r="W63966"/>
    </row>
    <row r="63967" spans="23:23" x14ac:dyDescent="0.55000000000000004">
      <c r="W63967"/>
    </row>
    <row r="63968" spans="23:23" x14ac:dyDescent="0.55000000000000004">
      <c r="W63968"/>
    </row>
    <row r="63969" spans="23:23" x14ac:dyDescent="0.55000000000000004">
      <c r="W63969"/>
    </row>
    <row r="63970" spans="23:23" x14ac:dyDescent="0.55000000000000004">
      <c r="W63970"/>
    </row>
    <row r="63971" spans="23:23" x14ac:dyDescent="0.55000000000000004">
      <c r="W63971"/>
    </row>
    <row r="63972" spans="23:23" x14ac:dyDescent="0.55000000000000004">
      <c r="W63972"/>
    </row>
    <row r="63973" spans="23:23" x14ac:dyDescent="0.55000000000000004">
      <c r="W63973"/>
    </row>
    <row r="63974" spans="23:23" x14ac:dyDescent="0.55000000000000004">
      <c r="W63974"/>
    </row>
    <row r="63975" spans="23:23" x14ac:dyDescent="0.55000000000000004">
      <c r="W63975"/>
    </row>
    <row r="63976" spans="23:23" x14ac:dyDescent="0.55000000000000004">
      <c r="W63976"/>
    </row>
    <row r="63977" spans="23:23" x14ac:dyDescent="0.55000000000000004">
      <c r="W63977"/>
    </row>
    <row r="63978" spans="23:23" x14ac:dyDescent="0.55000000000000004">
      <c r="W63978"/>
    </row>
    <row r="63979" spans="23:23" x14ac:dyDescent="0.55000000000000004">
      <c r="W63979"/>
    </row>
    <row r="63980" spans="23:23" x14ac:dyDescent="0.55000000000000004">
      <c r="W63980"/>
    </row>
    <row r="63981" spans="23:23" x14ac:dyDescent="0.55000000000000004">
      <c r="W63981"/>
    </row>
    <row r="63982" spans="23:23" x14ac:dyDescent="0.55000000000000004">
      <c r="W63982"/>
    </row>
    <row r="63983" spans="23:23" x14ac:dyDescent="0.55000000000000004">
      <c r="W63983"/>
    </row>
    <row r="63984" spans="23:23" x14ac:dyDescent="0.55000000000000004">
      <c r="W63984"/>
    </row>
    <row r="63985" spans="23:23" x14ac:dyDescent="0.55000000000000004">
      <c r="W63985"/>
    </row>
    <row r="63986" spans="23:23" x14ac:dyDescent="0.55000000000000004">
      <c r="W63986"/>
    </row>
    <row r="63987" spans="23:23" x14ac:dyDescent="0.55000000000000004">
      <c r="W63987"/>
    </row>
    <row r="63988" spans="23:23" x14ac:dyDescent="0.55000000000000004">
      <c r="W63988"/>
    </row>
    <row r="63989" spans="23:23" x14ac:dyDescent="0.55000000000000004">
      <c r="W63989"/>
    </row>
    <row r="63990" spans="23:23" x14ac:dyDescent="0.55000000000000004">
      <c r="W63990"/>
    </row>
    <row r="63991" spans="23:23" x14ac:dyDescent="0.55000000000000004">
      <c r="W63991"/>
    </row>
    <row r="63992" spans="23:23" x14ac:dyDescent="0.55000000000000004">
      <c r="W63992"/>
    </row>
    <row r="63993" spans="23:23" x14ac:dyDescent="0.55000000000000004">
      <c r="W63993"/>
    </row>
    <row r="63994" spans="23:23" x14ac:dyDescent="0.55000000000000004">
      <c r="W63994"/>
    </row>
    <row r="63995" spans="23:23" x14ac:dyDescent="0.55000000000000004">
      <c r="W63995"/>
    </row>
    <row r="63996" spans="23:23" x14ac:dyDescent="0.55000000000000004">
      <c r="W63996"/>
    </row>
    <row r="63997" spans="23:23" x14ac:dyDescent="0.55000000000000004">
      <c r="W63997"/>
    </row>
    <row r="63998" spans="23:23" x14ac:dyDescent="0.55000000000000004">
      <c r="W63998"/>
    </row>
    <row r="63999" spans="23:23" x14ac:dyDescent="0.55000000000000004">
      <c r="W63999"/>
    </row>
    <row r="64000" spans="23:23" x14ac:dyDescent="0.55000000000000004">
      <c r="W64000"/>
    </row>
    <row r="64001" spans="23:23" x14ac:dyDescent="0.55000000000000004">
      <c r="W64001"/>
    </row>
    <row r="64002" spans="23:23" x14ac:dyDescent="0.55000000000000004">
      <c r="W64002"/>
    </row>
    <row r="64003" spans="23:23" x14ac:dyDescent="0.55000000000000004">
      <c r="W64003"/>
    </row>
    <row r="64004" spans="23:23" x14ac:dyDescent="0.55000000000000004">
      <c r="W64004"/>
    </row>
    <row r="64005" spans="23:23" x14ac:dyDescent="0.55000000000000004">
      <c r="W64005"/>
    </row>
    <row r="64006" spans="23:23" x14ac:dyDescent="0.55000000000000004">
      <c r="W64006"/>
    </row>
    <row r="64007" spans="23:23" x14ac:dyDescent="0.55000000000000004">
      <c r="W64007"/>
    </row>
    <row r="64008" spans="23:23" x14ac:dyDescent="0.55000000000000004">
      <c r="W64008"/>
    </row>
    <row r="64009" spans="23:23" x14ac:dyDescent="0.55000000000000004">
      <c r="W64009"/>
    </row>
    <row r="64010" spans="23:23" x14ac:dyDescent="0.55000000000000004">
      <c r="W64010"/>
    </row>
    <row r="64011" spans="23:23" x14ac:dyDescent="0.55000000000000004">
      <c r="W64011"/>
    </row>
    <row r="64012" spans="23:23" x14ac:dyDescent="0.55000000000000004">
      <c r="W64012"/>
    </row>
    <row r="64013" spans="23:23" x14ac:dyDescent="0.55000000000000004">
      <c r="W64013"/>
    </row>
    <row r="64014" spans="23:23" x14ac:dyDescent="0.55000000000000004">
      <c r="W64014"/>
    </row>
    <row r="64015" spans="23:23" x14ac:dyDescent="0.55000000000000004">
      <c r="W64015"/>
    </row>
    <row r="64016" spans="23:23" x14ac:dyDescent="0.55000000000000004">
      <c r="W64016"/>
    </row>
    <row r="64017" spans="23:23" x14ac:dyDescent="0.55000000000000004">
      <c r="W64017"/>
    </row>
    <row r="64018" spans="23:23" x14ac:dyDescent="0.55000000000000004">
      <c r="W64018"/>
    </row>
    <row r="64019" spans="23:23" x14ac:dyDescent="0.55000000000000004">
      <c r="W64019"/>
    </row>
    <row r="64020" spans="23:23" x14ac:dyDescent="0.55000000000000004">
      <c r="W64020"/>
    </row>
    <row r="64021" spans="23:23" x14ac:dyDescent="0.55000000000000004">
      <c r="W64021"/>
    </row>
    <row r="64022" spans="23:23" x14ac:dyDescent="0.55000000000000004">
      <c r="W64022"/>
    </row>
    <row r="64023" spans="23:23" x14ac:dyDescent="0.55000000000000004">
      <c r="W64023"/>
    </row>
    <row r="64024" spans="23:23" x14ac:dyDescent="0.55000000000000004">
      <c r="W64024"/>
    </row>
    <row r="64025" spans="23:23" x14ac:dyDescent="0.55000000000000004">
      <c r="W64025"/>
    </row>
    <row r="64026" spans="23:23" x14ac:dyDescent="0.55000000000000004">
      <c r="W64026"/>
    </row>
    <row r="64027" spans="23:23" x14ac:dyDescent="0.55000000000000004">
      <c r="W64027"/>
    </row>
    <row r="64028" spans="23:23" x14ac:dyDescent="0.55000000000000004">
      <c r="W64028"/>
    </row>
    <row r="64029" spans="23:23" x14ac:dyDescent="0.55000000000000004">
      <c r="W64029"/>
    </row>
    <row r="64030" spans="23:23" x14ac:dyDescent="0.55000000000000004">
      <c r="W64030"/>
    </row>
    <row r="64031" spans="23:23" x14ac:dyDescent="0.55000000000000004">
      <c r="W64031"/>
    </row>
    <row r="64032" spans="23:23" x14ac:dyDescent="0.55000000000000004">
      <c r="W64032"/>
    </row>
    <row r="64033" spans="23:23" x14ac:dyDescent="0.55000000000000004">
      <c r="W64033"/>
    </row>
    <row r="64034" spans="23:23" x14ac:dyDescent="0.55000000000000004">
      <c r="W64034"/>
    </row>
    <row r="64035" spans="23:23" x14ac:dyDescent="0.55000000000000004">
      <c r="W64035"/>
    </row>
    <row r="64036" spans="23:23" x14ac:dyDescent="0.55000000000000004">
      <c r="W64036"/>
    </row>
    <row r="64037" spans="23:23" x14ac:dyDescent="0.55000000000000004">
      <c r="W64037"/>
    </row>
    <row r="64038" spans="23:23" x14ac:dyDescent="0.55000000000000004">
      <c r="W64038"/>
    </row>
    <row r="64039" spans="23:23" x14ac:dyDescent="0.55000000000000004">
      <c r="W64039"/>
    </row>
    <row r="64040" spans="23:23" x14ac:dyDescent="0.55000000000000004">
      <c r="W64040"/>
    </row>
    <row r="64041" spans="23:23" x14ac:dyDescent="0.55000000000000004">
      <c r="W64041"/>
    </row>
    <row r="64042" spans="23:23" x14ac:dyDescent="0.55000000000000004">
      <c r="W64042"/>
    </row>
    <row r="64043" spans="23:23" x14ac:dyDescent="0.55000000000000004">
      <c r="W64043"/>
    </row>
    <row r="64044" spans="23:23" x14ac:dyDescent="0.55000000000000004">
      <c r="W64044"/>
    </row>
    <row r="64045" spans="23:23" x14ac:dyDescent="0.55000000000000004">
      <c r="W64045"/>
    </row>
    <row r="64046" spans="23:23" x14ac:dyDescent="0.55000000000000004">
      <c r="W64046"/>
    </row>
    <row r="64047" spans="23:23" x14ac:dyDescent="0.55000000000000004">
      <c r="W64047"/>
    </row>
    <row r="64048" spans="23:23" x14ac:dyDescent="0.55000000000000004">
      <c r="W64048"/>
    </row>
    <row r="64049" spans="23:23" x14ac:dyDescent="0.55000000000000004">
      <c r="W64049"/>
    </row>
    <row r="64050" spans="23:23" x14ac:dyDescent="0.55000000000000004">
      <c r="W64050"/>
    </row>
    <row r="64051" spans="23:23" x14ac:dyDescent="0.55000000000000004">
      <c r="W64051"/>
    </row>
    <row r="64052" spans="23:23" x14ac:dyDescent="0.55000000000000004">
      <c r="W64052"/>
    </row>
    <row r="64053" spans="23:23" x14ac:dyDescent="0.55000000000000004">
      <c r="W64053"/>
    </row>
    <row r="64054" spans="23:23" x14ac:dyDescent="0.55000000000000004">
      <c r="W64054"/>
    </row>
    <row r="64055" spans="23:23" x14ac:dyDescent="0.55000000000000004">
      <c r="W64055"/>
    </row>
    <row r="64056" spans="23:23" x14ac:dyDescent="0.55000000000000004">
      <c r="W64056"/>
    </row>
    <row r="64057" spans="23:23" x14ac:dyDescent="0.55000000000000004">
      <c r="W64057"/>
    </row>
    <row r="64058" spans="23:23" x14ac:dyDescent="0.55000000000000004">
      <c r="W64058"/>
    </row>
    <row r="64059" spans="23:23" x14ac:dyDescent="0.55000000000000004">
      <c r="W64059"/>
    </row>
    <row r="64060" spans="23:23" x14ac:dyDescent="0.55000000000000004">
      <c r="W64060"/>
    </row>
    <row r="64061" spans="23:23" x14ac:dyDescent="0.55000000000000004">
      <c r="W64061"/>
    </row>
    <row r="64062" spans="23:23" x14ac:dyDescent="0.55000000000000004">
      <c r="W64062"/>
    </row>
    <row r="64063" spans="23:23" x14ac:dyDescent="0.55000000000000004">
      <c r="W64063"/>
    </row>
    <row r="64064" spans="23:23" x14ac:dyDescent="0.55000000000000004">
      <c r="W64064"/>
    </row>
    <row r="64065" spans="23:23" x14ac:dyDescent="0.55000000000000004">
      <c r="W64065"/>
    </row>
    <row r="64066" spans="23:23" x14ac:dyDescent="0.55000000000000004">
      <c r="W64066"/>
    </row>
    <row r="64067" spans="23:23" x14ac:dyDescent="0.55000000000000004">
      <c r="W64067"/>
    </row>
    <row r="64068" spans="23:23" x14ac:dyDescent="0.55000000000000004">
      <c r="W64068"/>
    </row>
    <row r="64069" spans="23:23" x14ac:dyDescent="0.55000000000000004">
      <c r="W64069"/>
    </row>
    <row r="64070" spans="23:23" x14ac:dyDescent="0.55000000000000004">
      <c r="W64070"/>
    </row>
    <row r="64071" spans="23:23" x14ac:dyDescent="0.55000000000000004">
      <c r="W64071"/>
    </row>
    <row r="64072" spans="23:23" x14ac:dyDescent="0.55000000000000004">
      <c r="W64072"/>
    </row>
    <row r="64073" spans="23:23" x14ac:dyDescent="0.55000000000000004">
      <c r="W64073"/>
    </row>
    <row r="64074" spans="23:23" x14ac:dyDescent="0.55000000000000004">
      <c r="W64074"/>
    </row>
    <row r="64075" spans="23:23" x14ac:dyDescent="0.55000000000000004">
      <c r="W64075"/>
    </row>
    <row r="64076" spans="23:23" x14ac:dyDescent="0.55000000000000004">
      <c r="W64076"/>
    </row>
    <row r="64077" spans="23:23" x14ac:dyDescent="0.55000000000000004">
      <c r="W64077"/>
    </row>
    <row r="64078" spans="23:23" x14ac:dyDescent="0.55000000000000004">
      <c r="W64078"/>
    </row>
    <row r="64079" spans="23:23" x14ac:dyDescent="0.55000000000000004">
      <c r="W64079"/>
    </row>
    <row r="64080" spans="23:23" x14ac:dyDescent="0.55000000000000004">
      <c r="W64080"/>
    </row>
    <row r="64081" spans="23:23" x14ac:dyDescent="0.55000000000000004">
      <c r="W64081"/>
    </row>
    <row r="64082" spans="23:23" x14ac:dyDescent="0.55000000000000004">
      <c r="W64082"/>
    </row>
    <row r="64083" spans="23:23" x14ac:dyDescent="0.55000000000000004">
      <c r="W64083"/>
    </row>
    <row r="64084" spans="23:23" x14ac:dyDescent="0.55000000000000004">
      <c r="W64084"/>
    </row>
    <row r="64085" spans="23:23" x14ac:dyDescent="0.55000000000000004">
      <c r="W64085"/>
    </row>
    <row r="64086" spans="23:23" x14ac:dyDescent="0.55000000000000004">
      <c r="W64086"/>
    </row>
    <row r="64087" spans="23:23" x14ac:dyDescent="0.55000000000000004">
      <c r="W64087"/>
    </row>
    <row r="64088" spans="23:23" x14ac:dyDescent="0.55000000000000004">
      <c r="W64088"/>
    </row>
    <row r="64089" spans="23:23" x14ac:dyDescent="0.55000000000000004">
      <c r="W64089"/>
    </row>
    <row r="64090" spans="23:23" x14ac:dyDescent="0.55000000000000004">
      <c r="W64090"/>
    </row>
    <row r="64091" spans="23:23" x14ac:dyDescent="0.55000000000000004">
      <c r="W64091"/>
    </row>
    <row r="64092" spans="23:23" x14ac:dyDescent="0.55000000000000004">
      <c r="W64092"/>
    </row>
    <row r="64093" spans="23:23" x14ac:dyDescent="0.55000000000000004">
      <c r="W64093"/>
    </row>
    <row r="64094" spans="23:23" x14ac:dyDescent="0.55000000000000004">
      <c r="W64094"/>
    </row>
    <row r="64095" spans="23:23" x14ac:dyDescent="0.55000000000000004">
      <c r="W64095"/>
    </row>
    <row r="64096" spans="23:23" x14ac:dyDescent="0.55000000000000004">
      <c r="W64096"/>
    </row>
    <row r="64097" spans="23:23" x14ac:dyDescent="0.55000000000000004">
      <c r="W64097"/>
    </row>
    <row r="64098" spans="23:23" x14ac:dyDescent="0.55000000000000004">
      <c r="W64098"/>
    </row>
    <row r="64099" spans="23:23" x14ac:dyDescent="0.55000000000000004">
      <c r="W64099"/>
    </row>
    <row r="64100" spans="23:23" x14ac:dyDescent="0.55000000000000004">
      <c r="W64100"/>
    </row>
    <row r="64101" spans="23:23" x14ac:dyDescent="0.55000000000000004">
      <c r="W64101"/>
    </row>
    <row r="64102" spans="23:23" x14ac:dyDescent="0.55000000000000004">
      <c r="W64102"/>
    </row>
    <row r="64103" spans="23:23" x14ac:dyDescent="0.55000000000000004">
      <c r="W64103"/>
    </row>
    <row r="64104" spans="23:23" x14ac:dyDescent="0.55000000000000004">
      <c r="W64104"/>
    </row>
    <row r="64105" spans="23:23" x14ac:dyDescent="0.55000000000000004">
      <c r="W64105"/>
    </row>
    <row r="64106" spans="23:23" x14ac:dyDescent="0.55000000000000004">
      <c r="W64106"/>
    </row>
    <row r="64107" spans="23:23" x14ac:dyDescent="0.55000000000000004">
      <c r="W64107"/>
    </row>
    <row r="64108" spans="23:23" x14ac:dyDescent="0.55000000000000004">
      <c r="W64108"/>
    </row>
    <row r="64109" spans="23:23" x14ac:dyDescent="0.55000000000000004">
      <c r="W64109"/>
    </row>
    <row r="64110" spans="23:23" x14ac:dyDescent="0.55000000000000004">
      <c r="W64110"/>
    </row>
    <row r="64111" spans="23:23" x14ac:dyDescent="0.55000000000000004">
      <c r="W64111"/>
    </row>
    <row r="64112" spans="23:23" x14ac:dyDescent="0.55000000000000004">
      <c r="W64112"/>
    </row>
    <row r="64113" spans="23:23" x14ac:dyDescent="0.55000000000000004">
      <c r="W64113"/>
    </row>
    <row r="64114" spans="23:23" x14ac:dyDescent="0.55000000000000004">
      <c r="W64114"/>
    </row>
    <row r="64115" spans="23:23" x14ac:dyDescent="0.55000000000000004">
      <c r="W64115"/>
    </row>
    <row r="64116" spans="23:23" x14ac:dyDescent="0.55000000000000004">
      <c r="W64116"/>
    </row>
    <row r="64117" spans="23:23" x14ac:dyDescent="0.55000000000000004">
      <c r="W64117"/>
    </row>
    <row r="64118" spans="23:23" x14ac:dyDescent="0.55000000000000004">
      <c r="W64118"/>
    </row>
    <row r="64119" spans="23:23" x14ac:dyDescent="0.55000000000000004">
      <c r="W64119"/>
    </row>
    <row r="64120" spans="23:23" x14ac:dyDescent="0.55000000000000004">
      <c r="W64120"/>
    </row>
    <row r="64121" spans="23:23" x14ac:dyDescent="0.55000000000000004">
      <c r="W64121"/>
    </row>
    <row r="64122" spans="23:23" x14ac:dyDescent="0.55000000000000004">
      <c r="W64122"/>
    </row>
    <row r="64123" spans="23:23" x14ac:dyDescent="0.55000000000000004">
      <c r="W64123"/>
    </row>
    <row r="64124" spans="23:23" x14ac:dyDescent="0.55000000000000004">
      <c r="W64124"/>
    </row>
    <row r="64125" spans="23:23" x14ac:dyDescent="0.55000000000000004">
      <c r="W64125"/>
    </row>
    <row r="64126" spans="23:23" x14ac:dyDescent="0.55000000000000004">
      <c r="W64126"/>
    </row>
    <row r="64127" spans="23:23" x14ac:dyDescent="0.55000000000000004">
      <c r="W64127"/>
    </row>
    <row r="64128" spans="23:23" x14ac:dyDescent="0.55000000000000004">
      <c r="W64128"/>
    </row>
    <row r="64129" spans="23:23" x14ac:dyDescent="0.55000000000000004">
      <c r="W64129"/>
    </row>
    <row r="64130" spans="23:23" x14ac:dyDescent="0.55000000000000004">
      <c r="W64130"/>
    </row>
    <row r="64131" spans="23:23" x14ac:dyDescent="0.55000000000000004">
      <c r="W64131"/>
    </row>
    <row r="64132" spans="23:23" x14ac:dyDescent="0.55000000000000004">
      <c r="W64132"/>
    </row>
    <row r="64133" spans="23:23" x14ac:dyDescent="0.55000000000000004">
      <c r="W64133"/>
    </row>
    <row r="64134" spans="23:23" x14ac:dyDescent="0.55000000000000004">
      <c r="W64134"/>
    </row>
    <row r="64135" spans="23:23" x14ac:dyDescent="0.55000000000000004">
      <c r="W64135"/>
    </row>
    <row r="64136" spans="23:23" x14ac:dyDescent="0.55000000000000004">
      <c r="W64136"/>
    </row>
    <row r="64137" spans="23:23" x14ac:dyDescent="0.55000000000000004">
      <c r="W64137"/>
    </row>
    <row r="64138" spans="23:23" x14ac:dyDescent="0.55000000000000004">
      <c r="W64138"/>
    </row>
    <row r="64139" spans="23:23" x14ac:dyDescent="0.55000000000000004">
      <c r="W64139"/>
    </row>
    <row r="64140" spans="23:23" x14ac:dyDescent="0.55000000000000004">
      <c r="W64140"/>
    </row>
    <row r="64141" spans="23:23" x14ac:dyDescent="0.55000000000000004">
      <c r="W64141"/>
    </row>
    <row r="64142" spans="23:23" x14ac:dyDescent="0.55000000000000004">
      <c r="W64142"/>
    </row>
    <row r="64143" spans="23:23" x14ac:dyDescent="0.55000000000000004">
      <c r="W64143"/>
    </row>
    <row r="64144" spans="23:23" x14ac:dyDescent="0.55000000000000004">
      <c r="W64144"/>
    </row>
    <row r="64145" spans="23:23" x14ac:dyDescent="0.55000000000000004">
      <c r="W64145"/>
    </row>
    <row r="64146" spans="23:23" x14ac:dyDescent="0.55000000000000004">
      <c r="W64146"/>
    </row>
    <row r="64147" spans="23:23" x14ac:dyDescent="0.55000000000000004">
      <c r="W64147"/>
    </row>
    <row r="64148" spans="23:23" x14ac:dyDescent="0.55000000000000004">
      <c r="W64148"/>
    </row>
    <row r="64149" spans="23:23" x14ac:dyDescent="0.55000000000000004">
      <c r="W64149"/>
    </row>
    <row r="64150" spans="23:23" x14ac:dyDescent="0.55000000000000004">
      <c r="W64150"/>
    </row>
    <row r="64151" spans="23:23" x14ac:dyDescent="0.55000000000000004">
      <c r="W64151"/>
    </row>
    <row r="64152" spans="23:23" x14ac:dyDescent="0.55000000000000004">
      <c r="W64152"/>
    </row>
    <row r="64153" spans="23:23" x14ac:dyDescent="0.55000000000000004">
      <c r="W64153"/>
    </row>
    <row r="64154" spans="23:23" x14ac:dyDescent="0.55000000000000004">
      <c r="W64154"/>
    </row>
    <row r="64155" spans="23:23" x14ac:dyDescent="0.55000000000000004">
      <c r="W64155"/>
    </row>
    <row r="64156" spans="23:23" x14ac:dyDescent="0.55000000000000004">
      <c r="W64156"/>
    </row>
    <row r="64157" spans="23:23" x14ac:dyDescent="0.55000000000000004">
      <c r="W64157"/>
    </row>
    <row r="64158" spans="23:23" x14ac:dyDescent="0.55000000000000004">
      <c r="W64158"/>
    </row>
    <row r="64159" spans="23:23" x14ac:dyDescent="0.55000000000000004">
      <c r="W64159"/>
    </row>
    <row r="64160" spans="23:23" x14ac:dyDescent="0.55000000000000004">
      <c r="W64160"/>
    </row>
    <row r="64161" spans="23:23" x14ac:dyDescent="0.55000000000000004">
      <c r="W64161"/>
    </row>
    <row r="64162" spans="23:23" x14ac:dyDescent="0.55000000000000004">
      <c r="W64162"/>
    </row>
    <row r="64163" spans="23:23" x14ac:dyDescent="0.55000000000000004">
      <c r="W64163"/>
    </row>
    <row r="64164" spans="23:23" x14ac:dyDescent="0.55000000000000004">
      <c r="W64164"/>
    </row>
    <row r="64165" spans="23:23" x14ac:dyDescent="0.55000000000000004">
      <c r="W64165"/>
    </row>
    <row r="64166" spans="23:23" x14ac:dyDescent="0.55000000000000004">
      <c r="W64166"/>
    </row>
    <row r="64167" spans="23:23" x14ac:dyDescent="0.55000000000000004">
      <c r="W64167"/>
    </row>
    <row r="64168" spans="23:23" x14ac:dyDescent="0.55000000000000004">
      <c r="W64168"/>
    </row>
    <row r="64169" spans="23:23" x14ac:dyDescent="0.55000000000000004">
      <c r="W64169"/>
    </row>
    <row r="64170" spans="23:23" x14ac:dyDescent="0.55000000000000004">
      <c r="W64170"/>
    </row>
    <row r="64171" spans="23:23" x14ac:dyDescent="0.55000000000000004">
      <c r="W64171"/>
    </row>
    <row r="64172" spans="23:23" x14ac:dyDescent="0.55000000000000004">
      <c r="W64172"/>
    </row>
    <row r="64173" spans="23:23" x14ac:dyDescent="0.55000000000000004">
      <c r="W64173"/>
    </row>
    <row r="64174" spans="23:23" x14ac:dyDescent="0.55000000000000004">
      <c r="W64174"/>
    </row>
    <row r="64175" spans="23:23" x14ac:dyDescent="0.55000000000000004">
      <c r="W64175"/>
    </row>
    <row r="64176" spans="23:23" x14ac:dyDescent="0.55000000000000004">
      <c r="W64176"/>
    </row>
    <row r="64177" spans="23:23" x14ac:dyDescent="0.55000000000000004">
      <c r="W64177"/>
    </row>
    <row r="64178" spans="23:23" x14ac:dyDescent="0.55000000000000004">
      <c r="W64178"/>
    </row>
    <row r="64179" spans="23:23" x14ac:dyDescent="0.55000000000000004">
      <c r="W64179"/>
    </row>
    <row r="64180" spans="23:23" x14ac:dyDescent="0.55000000000000004">
      <c r="W64180"/>
    </row>
    <row r="64181" spans="23:23" x14ac:dyDescent="0.55000000000000004">
      <c r="W64181"/>
    </row>
    <row r="64182" spans="23:23" x14ac:dyDescent="0.55000000000000004">
      <c r="W64182"/>
    </row>
    <row r="64183" spans="23:23" x14ac:dyDescent="0.55000000000000004">
      <c r="W64183"/>
    </row>
    <row r="64184" spans="23:23" x14ac:dyDescent="0.55000000000000004">
      <c r="W64184"/>
    </row>
    <row r="64185" spans="23:23" x14ac:dyDescent="0.55000000000000004">
      <c r="W64185"/>
    </row>
    <row r="64186" spans="23:23" x14ac:dyDescent="0.55000000000000004">
      <c r="W64186"/>
    </row>
    <row r="64187" spans="23:23" x14ac:dyDescent="0.55000000000000004">
      <c r="W64187"/>
    </row>
    <row r="64188" spans="23:23" x14ac:dyDescent="0.55000000000000004">
      <c r="W64188"/>
    </row>
    <row r="64189" spans="23:23" x14ac:dyDescent="0.55000000000000004">
      <c r="W64189"/>
    </row>
    <row r="64190" spans="23:23" x14ac:dyDescent="0.55000000000000004">
      <c r="W64190"/>
    </row>
    <row r="64191" spans="23:23" x14ac:dyDescent="0.55000000000000004">
      <c r="W64191"/>
    </row>
    <row r="64192" spans="23:23" x14ac:dyDescent="0.55000000000000004">
      <c r="W64192"/>
    </row>
    <row r="64193" spans="23:23" x14ac:dyDescent="0.55000000000000004">
      <c r="W64193"/>
    </row>
    <row r="64194" spans="23:23" x14ac:dyDescent="0.55000000000000004">
      <c r="W64194"/>
    </row>
    <row r="64195" spans="23:23" x14ac:dyDescent="0.55000000000000004">
      <c r="W64195"/>
    </row>
    <row r="64196" spans="23:23" x14ac:dyDescent="0.55000000000000004">
      <c r="W64196"/>
    </row>
    <row r="64197" spans="23:23" x14ac:dyDescent="0.55000000000000004">
      <c r="W64197"/>
    </row>
    <row r="64198" spans="23:23" x14ac:dyDescent="0.55000000000000004">
      <c r="W64198"/>
    </row>
    <row r="64199" spans="23:23" x14ac:dyDescent="0.55000000000000004">
      <c r="W64199"/>
    </row>
    <row r="64200" spans="23:23" x14ac:dyDescent="0.55000000000000004">
      <c r="W64200"/>
    </row>
    <row r="64201" spans="23:23" x14ac:dyDescent="0.55000000000000004">
      <c r="W64201"/>
    </row>
    <row r="64202" spans="23:23" x14ac:dyDescent="0.55000000000000004">
      <c r="W64202"/>
    </row>
    <row r="64203" spans="23:23" x14ac:dyDescent="0.55000000000000004">
      <c r="W64203"/>
    </row>
    <row r="64204" spans="23:23" x14ac:dyDescent="0.55000000000000004">
      <c r="W64204"/>
    </row>
    <row r="64205" spans="23:23" x14ac:dyDescent="0.55000000000000004">
      <c r="W64205"/>
    </row>
    <row r="64206" spans="23:23" x14ac:dyDescent="0.55000000000000004">
      <c r="W64206"/>
    </row>
    <row r="64207" spans="23:23" x14ac:dyDescent="0.55000000000000004">
      <c r="W64207"/>
    </row>
    <row r="64208" spans="23:23" x14ac:dyDescent="0.55000000000000004">
      <c r="W64208"/>
    </row>
    <row r="64209" spans="23:23" x14ac:dyDescent="0.55000000000000004">
      <c r="W64209"/>
    </row>
    <row r="64210" spans="23:23" x14ac:dyDescent="0.55000000000000004">
      <c r="W64210"/>
    </row>
    <row r="64211" spans="23:23" x14ac:dyDescent="0.55000000000000004">
      <c r="W64211"/>
    </row>
    <row r="64212" spans="23:23" x14ac:dyDescent="0.55000000000000004">
      <c r="W64212"/>
    </row>
    <row r="64213" spans="23:23" x14ac:dyDescent="0.55000000000000004">
      <c r="W64213"/>
    </row>
    <row r="64214" spans="23:23" x14ac:dyDescent="0.55000000000000004">
      <c r="W64214"/>
    </row>
    <row r="64215" spans="23:23" x14ac:dyDescent="0.55000000000000004">
      <c r="W64215"/>
    </row>
    <row r="64216" spans="23:23" x14ac:dyDescent="0.55000000000000004">
      <c r="W64216"/>
    </row>
    <row r="64217" spans="23:23" x14ac:dyDescent="0.55000000000000004">
      <c r="W64217"/>
    </row>
    <row r="64218" spans="23:23" x14ac:dyDescent="0.55000000000000004">
      <c r="W64218"/>
    </row>
    <row r="64219" spans="23:23" x14ac:dyDescent="0.55000000000000004">
      <c r="W64219"/>
    </row>
    <row r="64220" spans="23:23" x14ac:dyDescent="0.55000000000000004">
      <c r="W64220"/>
    </row>
    <row r="64221" spans="23:23" x14ac:dyDescent="0.55000000000000004">
      <c r="W64221"/>
    </row>
    <row r="64222" spans="23:23" x14ac:dyDescent="0.55000000000000004">
      <c r="W64222"/>
    </row>
    <row r="64223" spans="23:23" x14ac:dyDescent="0.55000000000000004">
      <c r="W64223"/>
    </row>
    <row r="64224" spans="23:23" x14ac:dyDescent="0.55000000000000004">
      <c r="W64224"/>
    </row>
    <row r="64225" spans="23:23" x14ac:dyDescent="0.55000000000000004">
      <c r="W64225"/>
    </row>
    <row r="64226" spans="23:23" x14ac:dyDescent="0.55000000000000004">
      <c r="W64226"/>
    </row>
    <row r="64227" spans="23:23" x14ac:dyDescent="0.55000000000000004">
      <c r="W64227"/>
    </row>
    <row r="64228" spans="23:23" x14ac:dyDescent="0.55000000000000004">
      <c r="W64228"/>
    </row>
    <row r="64229" spans="23:23" x14ac:dyDescent="0.55000000000000004">
      <c r="W64229"/>
    </row>
    <row r="64230" spans="23:23" x14ac:dyDescent="0.55000000000000004">
      <c r="W64230"/>
    </row>
    <row r="64231" spans="23:23" x14ac:dyDescent="0.55000000000000004">
      <c r="W64231"/>
    </row>
    <row r="64232" spans="23:23" x14ac:dyDescent="0.55000000000000004">
      <c r="W64232"/>
    </row>
    <row r="64233" spans="23:23" x14ac:dyDescent="0.55000000000000004">
      <c r="W64233"/>
    </row>
    <row r="64234" spans="23:23" x14ac:dyDescent="0.55000000000000004">
      <c r="W64234"/>
    </row>
    <row r="64235" spans="23:23" x14ac:dyDescent="0.55000000000000004">
      <c r="W64235"/>
    </row>
    <row r="64236" spans="23:23" x14ac:dyDescent="0.55000000000000004">
      <c r="W64236"/>
    </row>
    <row r="64237" spans="23:23" x14ac:dyDescent="0.55000000000000004">
      <c r="W64237"/>
    </row>
    <row r="64238" spans="23:23" x14ac:dyDescent="0.55000000000000004">
      <c r="W64238"/>
    </row>
    <row r="64239" spans="23:23" x14ac:dyDescent="0.55000000000000004">
      <c r="W64239"/>
    </row>
    <row r="64240" spans="23:23" x14ac:dyDescent="0.55000000000000004">
      <c r="W64240"/>
    </row>
    <row r="64241" spans="23:23" x14ac:dyDescent="0.55000000000000004">
      <c r="W64241"/>
    </row>
    <row r="64242" spans="23:23" x14ac:dyDescent="0.55000000000000004">
      <c r="W64242"/>
    </row>
    <row r="64243" spans="23:23" x14ac:dyDescent="0.55000000000000004">
      <c r="W64243"/>
    </row>
    <row r="64244" spans="23:23" x14ac:dyDescent="0.55000000000000004">
      <c r="W64244"/>
    </row>
    <row r="64245" spans="23:23" x14ac:dyDescent="0.55000000000000004">
      <c r="W64245"/>
    </row>
    <row r="64246" spans="23:23" x14ac:dyDescent="0.55000000000000004">
      <c r="W64246"/>
    </row>
    <row r="64247" spans="23:23" x14ac:dyDescent="0.55000000000000004">
      <c r="W64247"/>
    </row>
    <row r="64248" spans="23:23" x14ac:dyDescent="0.55000000000000004">
      <c r="W64248"/>
    </row>
    <row r="64249" spans="23:23" x14ac:dyDescent="0.55000000000000004">
      <c r="W64249"/>
    </row>
    <row r="64250" spans="23:23" x14ac:dyDescent="0.55000000000000004">
      <c r="W64250"/>
    </row>
    <row r="64251" spans="23:23" x14ac:dyDescent="0.55000000000000004">
      <c r="W64251"/>
    </row>
    <row r="64252" spans="23:23" x14ac:dyDescent="0.55000000000000004">
      <c r="W64252"/>
    </row>
    <row r="64253" spans="23:23" x14ac:dyDescent="0.55000000000000004">
      <c r="W64253"/>
    </row>
    <row r="64254" spans="23:23" x14ac:dyDescent="0.55000000000000004">
      <c r="W64254"/>
    </row>
    <row r="64255" spans="23:23" x14ac:dyDescent="0.55000000000000004">
      <c r="W64255"/>
    </row>
    <row r="64256" spans="23:23" x14ac:dyDescent="0.55000000000000004">
      <c r="W64256"/>
    </row>
    <row r="64257" spans="23:23" x14ac:dyDescent="0.55000000000000004">
      <c r="W64257"/>
    </row>
    <row r="64258" spans="23:23" x14ac:dyDescent="0.55000000000000004">
      <c r="W64258"/>
    </row>
    <row r="64259" spans="23:23" x14ac:dyDescent="0.55000000000000004">
      <c r="W64259"/>
    </row>
    <row r="64260" spans="23:23" x14ac:dyDescent="0.55000000000000004">
      <c r="W64260"/>
    </row>
    <row r="64261" spans="23:23" x14ac:dyDescent="0.55000000000000004">
      <c r="W64261"/>
    </row>
    <row r="64262" spans="23:23" x14ac:dyDescent="0.55000000000000004">
      <c r="W64262"/>
    </row>
    <row r="64263" spans="23:23" x14ac:dyDescent="0.55000000000000004">
      <c r="W64263"/>
    </row>
    <row r="64264" spans="23:23" x14ac:dyDescent="0.55000000000000004">
      <c r="W64264"/>
    </row>
    <row r="64265" spans="23:23" x14ac:dyDescent="0.55000000000000004">
      <c r="W64265"/>
    </row>
    <row r="64266" spans="23:23" x14ac:dyDescent="0.55000000000000004">
      <c r="W64266"/>
    </row>
    <row r="64267" spans="23:23" x14ac:dyDescent="0.55000000000000004">
      <c r="W64267"/>
    </row>
    <row r="64268" spans="23:23" x14ac:dyDescent="0.55000000000000004">
      <c r="W64268"/>
    </row>
    <row r="64269" spans="23:23" x14ac:dyDescent="0.55000000000000004">
      <c r="W64269"/>
    </row>
    <row r="64270" spans="23:23" x14ac:dyDescent="0.55000000000000004">
      <c r="W64270"/>
    </row>
    <row r="64271" spans="23:23" x14ac:dyDescent="0.55000000000000004">
      <c r="W64271"/>
    </row>
    <row r="64272" spans="23:23" x14ac:dyDescent="0.55000000000000004">
      <c r="W64272"/>
    </row>
    <row r="64273" spans="23:23" x14ac:dyDescent="0.55000000000000004">
      <c r="W64273"/>
    </row>
    <row r="64274" spans="23:23" x14ac:dyDescent="0.55000000000000004">
      <c r="W64274"/>
    </row>
    <row r="64275" spans="23:23" x14ac:dyDescent="0.55000000000000004">
      <c r="W64275"/>
    </row>
    <row r="64276" spans="23:23" x14ac:dyDescent="0.55000000000000004">
      <c r="W64276"/>
    </row>
    <row r="64277" spans="23:23" x14ac:dyDescent="0.55000000000000004">
      <c r="W64277"/>
    </row>
    <row r="64278" spans="23:23" x14ac:dyDescent="0.55000000000000004">
      <c r="W64278"/>
    </row>
    <row r="64279" spans="23:23" x14ac:dyDescent="0.55000000000000004">
      <c r="W64279"/>
    </row>
    <row r="64280" spans="23:23" x14ac:dyDescent="0.55000000000000004">
      <c r="W64280"/>
    </row>
    <row r="64281" spans="23:23" x14ac:dyDescent="0.55000000000000004">
      <c r="W64281"/>
    </row>
    <row r="64282" spans="23:23" x14ac:dyDescent="0.55000000000000004">
      <c r="W64282"/>
    </row>
    <row r="64283" spans="23:23" x14ac:dyDescent="0.55000000000000004">
      <c r="W64283"/>
    </row>
    <row r="64284" spans="23:23" x14ac:dyDescent="0.55000000000000004">
      <c r="W64284"/>
    </row>
    <row r="64285" spans="23:23" x14ac:dyDescent="0.55000000000000004">
      <c r="W64285"/>
    </row>
    <row r="64286" spans="23:23" x14ac:dyDescent="0.55000000000000004">
      <c r="W64286"/>
    </row>
    <row r="64287" spans="23:23" x14ac:dyDescent="0.55000000000000004">
      <c r="W64287"/>
    </row>
    <row r="64288" spans="23:23" x14ac:dyDescent="0.55000000000000004">
      <c r="W64288"/>
    </row>
    <row r="64289" spans="23:23" x14ac:dyDescent="0.55000000000000004">
      <c r="W64289"/>
    </row>
    <row r="64290" spans="23:23" x14ac:dyDescent="0.55000000000000004">
      <c r="W64290"/>
    </row>
    <row r="64291" spans="23:23" x14ac:dyDescent="0.55000000000000004">
      <c r="W64291"/>
    </row>
    <row r="64292" spans="23:23" x14ac:dyDescent="0.55000000000000004">
      <c r="W64292"/>
    </row>
    <row r="64293" spans="23:23" x14ac:dyDescent="0.55000000000000004">
      <c r="W64293"/>
    </row>
    <row r="64294" spans="23:23" x14ac:dyDescent="0.55000000000000004">
      <c r="W64294"/>
    </row>
    <row r="64295" spans="23:23" x14ac:dyDescent="0.55000000000000004">
      <c r="W64295"/>
    </row>
    <row r="64296" spans="23:23" x14ac:dyDescent="0.55000000000000004">
      <c r="W64296"/>
    </row>
    <row r="64297" spans="23:23" x14ac:dyDescent="0.55000000000000004">
      <c r="W64297"/>
    </row>
    <row r="64298" spans="23:23" x14ac:dyDescent="0.55000000000000004">
      <c r="W64298"/>
    </row>
    <row r="64299" spans="23:23" x14ac:dyDescent="0.55000000000000004">
      <c r="W64299"/>
    </row>
    <row r="64300" spans="23:23" x14ac:dyDescent="0.55000000000000004">
      <c r="W64300"/>
    </row>
    <row r="64301" spans="23:23" x14ac:dyDescent="0.55000000000000004">
      <c r="W64301"/>
    </row>
    <row r="64302" spans="23:23" x14ac:dyDescent="0.55000000000000004">
      <c r="W64302"/>
    </row>
    <row r="64303" spans="23:23" x14ac:dyDescent="0.55000000000000004">
      <c r="W64303"/>
    </row>
    <row r="64304" spans="23:23" x14ac:dyDescent="0.55000000000000004">
      <c r="W64304"/>
    </row>
    <row r="64305" spans="23:23" x14ac:dyDescent="0.55000000000000004">
      <c r="W64305"/>
    </row>
    <row r="64306" spans="23:23" x14ac:dyDescent="0.55000000000000004">
      <c r="W64306"/>
    </row>
    <row r="64307" spans="23:23" x14ac:dyDescent="0.55000000000000004">
      <c r="W64307"/>
    </row>
    <row r="64308" spans="23:23" x14ac:dyDescent="0.55000000000000004">
      <c r="W64308"/>
    </row>
    <row r="64309" spans="23:23" x14ac:dyDescent="0.55000000000000004">
      <c r="W64309"/>
    </row>
    <row r="64310" spans="23:23" x14ac:dyDescent="0.55000000000000004">
      <c r="W64310"/>
    </row>
    <row r="64311" spans="23:23" x14ac:dyDescent="0.55000000000000004">
      <c r="W64311"/>
    </row>
    <row r="64312" spans="23:23" x14ac:dyDescent="0.55000000000000004">
      <c r="W64312"/>
    </row>
    <row r="64313" spans="23:23" x14ac:dyDescent="0.55000000000000004">
      <c r="W64313"/>
    </row>
    <row r="64314" spans="23:23" x14ac:dyDescent="0.55000000000000004">
      <c r="W64314"/>
    </row>
    <row r="64315" spans="23:23" x14ac:dyDescent="0.55000000000000004">
      <c r="W64315"/>
    </row>
    <row r="64316" spans="23:23" x14ac:dyDescent="0.55000000000000004">
      <c r="W64316"/>
    </row>
    <row r="64317" spans="23:23" x14ac:dyDescent="0.55000000000000004">
      <c r="W64317"/>
    </row>
    <row r="64318" spans="23:23" x14ac:dyDescent="0.55000000000000004">
      <c r="W64318"/>
    </row>
    <row r="64319" spans="23:23" x14ac:dyDescent="0.55000000000000004">
      <c r="W64319"/>
    </row>
    <row r="64320" spans="23:23" x14ac:dyDescent="0.55000000000000004">
      <c r="W64320"/>
    </row>
    <row r="64321" spans="23:23" x14ac:dyDescent="0.55000000000000004">
      <c r="W64321"/>
    </row>
    <row r="64322" spans="23:23" x14ac:dyDescent="0.55000000000000004">
      <c r="W64322"/>
    </row>
    <row r="64323" spans="23:23" x14ac:dyDescent="0.55000000000000004">
      <c r="W64323"/>
    </row>
    <row r="64324" spans="23:23" x14ac:dyDescent="0.55000000000000004">
      <c r="W64324"/>
    </row>
    <row r="64325" spans="23:23" x14ac:dyDescent="0.55000000000000004">
      <c r="W64325"/>
    </row>
    <row r="64326" spans="23:23" x14ac:dyDescent="0.55000000000000004">
      <c r="W64326"/>
    </row>
    <row r="64327" spans="23:23" x14ac:dyDescent="0.55000000000000004">
      <c r="W64327"/>
    </row>
    <row r="64328" spans="23:23" x14ac:dyDescent="0.55000000000000004">
      <c r="W64328"/>
    </row>
    <row r="64329" spans="23:23" x14ac:dyDescent="0.55000000000000004">
      <c r="W64329"/>
    </row>
    <row r="64330" spans="23:23" x14ac:dyDescent="0.55000000000000004">
      <c r="W64330"/>
    </row>
    <row r="64331" spans="23:23" x14ac:dyDescent="0.55000000000000004">
      <c r="W64331"/>
    </row>
    <row r="64332" spans="23:23" x14ac:dyDescent="0.55000000000000004">
      <c r="W64332"/>
    </row>
    <row r="64333" spans="23:23" x14ac:dyDescent="0.55000000000000004">
      <c r="W64333"/>
    </row>
    <row r="64334" spans="23:23" x14ac:dyDescent="0.55000000000000004">
      <c r="W64334"/>
    </row>
    <row r="64335" spans="23:23" x14ac:dyDescent="0.55000000000000004">
      <c r="W64335"/>
    </row>
    <row r="64336" spans="23:23" x14ac:dyDescent="0.55000000000000004">
      <c r="W64336"/>
    </row>
    <row r="64337" spans="23:23" x14ac:dyDescent="0.55000000000000004">
      <c r="W64337"/>
    </row>
    <row r="64338" spans="23:23" x14ac:dyDescent="0.55000000000000004">
      <c r="W64338"/>
    </row>
    <row r="64339" spans="23:23" x14ac:dyDescent="0.55000000000000004">
      <c r="W64339"/>
    </row>
    <row r="64340" spans="23:23" x14ac:dyDescent="0.55000000000000004">
      <c r="W64340"/>
    </row>
    <row r="64341" spans="23:23" x14ac:dyDescent="0.55000000000000004">
      <c r="W64341"/>
    </row>
    <row r="64342" spans="23:23" x14ac:dyDescent="0.55000000000000004">
      <c r="W64342"/>
    </row>
    <row r="64343" spans="23:23" x14ac:dyDescent="0.55000000000000004">
      <c r="W64343"/>
    </row>
    <row r="64344" spans="23:23" x14ac:dyDescent="0.55000000000000004">
      <c r="W64344"/>
    </row>
    <row r="64345" spans="23:23" x14ac:dyDescent="0.55000000000000004">
      <c r="W64345"/>
    </row>
    <row r="64346" spans="23:23" x14ac:dyDescent="0.55000000000000004">
      <c r="W64346"/>
    </row>
    <row r="64347" spans="23:23" x14ac:dyDescent="0.55000000000000004">
      <c r="W64347"/>
    </row>
    <row r="64348" spans="23:23" x14ac:dyDescent="0.55000000000000004">
      <c r="W64348"/>
    </row>
    <row r="64349" spans="23:23" x14ac:dyDescent="0.55000000000000004">
      <c r="W64349"/>
    </row>
    <row r="64350" spans="23:23" x14ac:dyDescent="0.55000000000000004">
      <c r="W64350"/>
    </row>
    <row r="64351" spans="23:23" x14ac:dyDescent="0.55000000000000004">
      <c r="W64351"/>
    </row>
    <row r="64352" spans="23:23" x14ac:dyDescent="0.55000000000000004">
      <c r="W64352"/>
    </row>
    <row r="64353" spans="23:23" x14ac:dyDescent="0.55000000000000004">
      <c r="W64353"/>
    </row>
    <row r="64354" spans="23:23" x14ac:dyDescent="0.55000000000000004">
      <c r="W64354"/>
    </row>
    <row r="64355" spans="23:23" x14ac:dyDescent="0.55000000000000004">
      <c r="W64355"/>
    </row>
    <row r="64356" spans="23:23" x14ac:dyDescent="0.55000000000000004">
      <c r="W64356"/>
    </row>
    <row r="64357" spans="23:23" x14ac:dyDescent="0.55000000000000004">
      <c r="W64357"/>
    </row>
    <row r="64358" spans="23:23" x14ac:dyDescent="0.55000000000000004">
      <c r="W64358"/>
    </row>
    <row r="64359" spans="23:23" x14ac:dyDescent="0.55000000000000004">
      <c r="W64359"/>
    </row>
    <row r="64360" spans="23:23" x14ac:dyDescent="0.55000000000000004">
      <c r="W64360"/>
    </row>
    <row r="64361" spans="23:23" x14ac:dyDescent="0.55000000000000004">
      <c r="W64361"/>
    </row>
    <row r="64362" spans="23:23" x14ac:dyDescent="0.55000000000000004">
      <c r="W64362"/>
    </row>
    <row r="64363" spans="23:23" x14ac:dyDescent="0.55000000000000004">
      <c r="W64363"/>
    </row>
    <row r="64364" spans="23:23" x14ac:dyDescent="0.55000000000000004">
      <c r="W64364"/>
    </row>
    <row r="64365" spans="23:23" x14ac:dyDescent="0.55000000000000004">
      <c r="W64365"/>
    </row>
    <row r="64366" spans="23:23" x14ac:dyDescent="0.55000000000000004">
      <c r="W64366"/>
    </row>
    <row r="64367" spans="23:23" x14ac:dyDescent="0.55000000000000004">
      <c r="W64367"/>
    </row>
    <row r="64368" spans="23:23" x14ac:dyDescent="0.55000000000000004">
      <c r="W64368"/>
    </row>
    <row r="64369" spans="23:23" x14ac:dyDescent="0.55000000000000004">
      <c r="W64369"/>
    </row>
    <row r="64370" spans="23:23" x14ac:dyDescent="0.55000000000000004">
      <c r="W64370"/>
    </row>
    <row r="64371" spans="23:23" x14ac:dyDescent="0.55000000000000004">
      <c r="W64371"/>
    </row>
    <row r="64372" spans="23:23" x14ac:dyDescent="0.55000000000000004">
      <c r="W64372"/>
    </row>
    <row r="64373" spans="23:23" x14ac:dyDescent="0.55000000000000004">
      <c r="W64373"/>
    </row>
    <row r="64374" spans="23:23" x14ac:dyDescent="0.55000000000000004">
      <c r="W64374"/>
    </row>
    <row r="64375" spans="23:23" x14ac:dyDescent="0.55000000000000004">
      <c r="W64375"/>
    </row>
    <row r="64376" spans="23:23" x14ac:dyDescent="0.55000000000000004">
      <c r="W64376"/>
    </row>
    <row r="64377" spans="23:23" x14ac:dyDescent="0.55000000000000004">
      <c r="W64377"/>
    </row>
    <row r="64378" spans="23:23" x14ac:dyDescent="0.55000000000000004">
      <c r="W64378"/>
    </row>
    <row r="64379" spans="23:23" x14ac:dyDescent="0.55000000000000004">
      <c r="W64379"/>
    </row>
    <row r="64380" spans="23:23" x14ac:dyDescent="0.55000000000000004">
      <c r="W64380"/>
    </row>
    <row r="64381" spans="23:23" x14ac:dyDescent="0.55000000000000004">
      <c r="W64381"/>
    </row>
    <row r="64382" spans="23:23" x14ac:dyDescent="0.55000000000000004">
      <c r="W64382"/>
    </row>
    <row r="64383" spans="23:23" x14ac:dyDescent="0.55000000000000004">
      <c r="W64383"/>
    </row>
    <row r="64384" spans="23:23" x14ac:dyDescent="0.55000000000000004">
      <c r="W64384"/>
    </row>
    <row r="64385" spans="23:23" x14ac:dyDescent="0.55000000000000004">
      <c r="W64385"/>
    </row>
    <row r="64386" spans="23:23" x14ac:dyDescent="0.55000000000000004">
      <c r="W64386"/>
    </row>
    <row r="64387" spans="23:23" x14ac:dyDescent="0.55000000000000004">
      <c r="W64387"/>
    </row>
    <row r="64388" spans="23:23" x14ac:dyDescent="0.55000000000000004">
      <c r="W64388"/>
    </row>
    <row r="64389" spans="23:23" x14ac:dyDescent="0.55000000000000004">
      <c r="W64389"/>
    </row>
    <row r="64390" spans="23:23" x14ac:dyDescent="0.55000000000000004">
      <c r="W64390"/>
    </row>
    <row r="64391" spans="23:23" x14ac:dyDescent="0.55000000000000004">
      <c r="W64391"/>
    </row>
    <row r="64392" spans="23:23" x14ac:dyDescent="0.55000000000000004">
      <c r="W64392"/>
    </row>
    <row r="64393" spans="23:23" x14ac:dyDescent="0.55000000000000004">
      <c r="W64393"/>
    </row>
    <row r="64394" spans="23:23" x14ac:dyDescent="0.55000000000000004">
      <c r="W64394"/>
    </row>
    <row r="64395" spans="23:23" x14ac:dyDescent="0.55000000000000004">
      <c r="W64395"/>
    </row>
    <row r="64396" spans="23:23" x14ac:dyDescent="0.55000000000000004">
      <c r="W64396"/>
    </row>
    <row r="64397" spans="23:23" x14ac:dyDescent="0.55000000000000004">
      <c r="W64397"/>
    </row>
    <row r="64398" spans="23:23" x14ac:dyDescent="0.55000000000000004">
      <c r="W64398"/>
    </row>
    <row r="64399" spans="23:23" x14ac:dyDescent="0.55000000000000004">
      <c r="W64399"/>
    </row>
    <row r="64400" spans="23:23" x14ac:dyDescent="0.55000000000000004">
      <c r="W64400"/>
    </row>
    <row r="64401" spans="23:23" x14ac:dyDescent="0.55000000000000004">
      <c r="W64401"/>
    </row>
    <row r="64402" spans="23:23" x14ac:dyDescent="0.55000000000000004">
      <c r="W64402"/>
    </row>
    <row r="64403" spans="23:23" x14ac:dyDescent="0.55000000000000004">
      <c r="W64403"/>
    </row>
    <row r="64404" spans="23:23" x14ac:dyDescent="0.55000000000000004">
      <c r="W64404"/>
    </row>
    <row r="64405" spans="23:23" x14ac:dyDescent="0.55000000000000004">
      <c r="W64405"/>
    </row>
    <row r="64406" spans="23:23" x14ac:dyDescent="0.55000000000000004">
      <c r="W64406"/>
    </row>
    <row r="64407" spans="23:23" x14ac:dyDescent="0.55000000000000004">
      <c r="W64407"/>
    </row>
    <row r="64408" spans="23:23" x14ac:dyDescent="0.55000000000000004">
      <c r="W64408"/>
    </row>
    <row r="64409" spans="23:23" x14ac:dyDescent="0.55000000000000004">
      <c r="W64409"/>
    </row>
    <row r="64410" spans="23:23" x14ac:dyDescent="0.55000000000000004">
      <c r="W64410"/>
    </row>
    <row r="64411" spans="23:23" x14ac:dyDescent="0.55000000000000004">
      <c r="W64411"/>
    </row>
    <row r="64412" spans="23:23" x14ac:dyDescent="0.55000000000000004">
      <c r="W64412"/>
    </row>
    <row r="64413" spans="23:23" x14ac:dyDescent="0.55000000000000004">
      <c r="W64413"/>
    </row>
    <row r="64414" spans="23:23" x14ac:dyDescent="0.55000000000000004">
      <c r="W64414"/>
    </row>
    <row r="64415" spans="23:23" x14ac:dyDescent="0.55000000000000004">
      <c r="W64415"/>
    </row>
    <row r="64416" spans="23:23" x14ac:dyDescent="0.55000000000000004">
      <c r="W64416"/>
    </row>
    <row r="64417" spans="23:23" x14ac:dyDescent="0.55000000000000004">
      <c r="W64417"/>
    </row>
    <row r="64418" spans="23:23" x14ac:dyDescent="0.55000000000000004">
      <c r="W64418"/>
    </row>
    <row r="64419" spans="23:23" x14ac:dyDescent="0.55000000000000004">
      <c r="W64419"/>
    </row>
    <row r="64420" spans="23:23" x14ac:dyDescent="0.55000000000000004">
      <c r="W64420"/>
    </row>
    <row r="64421" spans="23:23" x14ac:dyDescent="0.55000000000000004">
      <c r="W64421"/>
    </row>
    <row r="64422" spans="23:23" x14ac:dyDescent="0.55000000000000004">
      <c r="W64422"/>
    </row>
    <row r="64423" spans="23:23" x14ac:dyDescent="0.55000000000000004">
      <c r="W64423"/>
    </row>
    <row r="64424" spans="23:23" x14ac:dyDescent="0.55000000000000004">
      <c r="W64424"/>
    </row>
    <row r="64425" spans="23:23" x14ac:dyDescent="0.55000000000000004">
      <c r="W64425"/>
    </row>
    <row r="64426" spans="23:23" x14ac:dyDescent="0.55000000000000004">
      <c r="W64426"/>
    </row>
    <row r="64427" spans="23:23" x14ac:dyDescent="0.55000000000000004">
      <c r="W64427"/>
    </row>
    <row r="64428" spans="23:23" x14ac:dyDescent="0.55000000000000004">
      <c r="W64428"/>
    </row>
    <row r="64429" spans="23:23" x14ac:dyDescent="0.55000000000000004">
      <c r="W64429"/>
    </row>
    <row r="64430" spans="23:23" x14ac:dyDescent="0.55000000000000004">
      <c r="W64430"/>
    </row>
    <row r="64431" spans="23:23" x14ac:dyDescent="0.55000000000000004">
      <c r="W64431"/>
    </row>
    <row r="64432" spans="23:23" x14ac:dyDescent="0.55000000000000004">
      <c r="W64432"/>
    </row>
    <row r="64433" spans="23:23" x14ac:dyDescent="0.55000000000000004">
      <c r="W64433"/>
    </row>
    <row r="64434" spans="23:23" x14ac:dyDescent="0.55000000000000004">
      <c r="W64434"/>
    </row>
    <row r="64435" spans="23:23" x14ac:dyDescent="0.55000000000000004">
      <c r="W64435"/>
    </row>
    <row r="64436" spans="23:23" x14ac:dyDescent="0.55000000000000004">
      <c r="W64436"/>
    </row>
    <row r="64437" spans="23:23" x14ac:dyDescent="0.55000000000000004">
      <c r="W64437"/>
    </row>
    <row r="64438" spans="23:23" x14ac:dyDescent="0.55000000000000004">
      <c r="W64438"/>
    </row>
    <row r="64439" spans="23:23" x14ac:dyDescent="0.55000000000000004">
      <c r="W64439"/>
    </row>
    <row r="64440" spans="23:23" x14ac:dyDescent="0.55000000000000004">
      <c r="W64440"/>
    </row>
    <row r="64441" spans="23:23" x14ac:dyDescent="0.55000000000000004">
      <c r="W64441"/>
    </row>
    <row r="64442" spans="23:23" x14ac:dyDescent="0.55000000000000004">
      <c r="W64442"/>
    </row>
    <row r="64443" spans="23:23" x14ac:dyDescent="0.55000000000000004">
      <c r="W64443"/>
    </row>
    <row r="64444" spans="23:23" x14ac:dyDescent="0.55000000000000004">
      <c r="W64444"/>
    </row>
    <row r="64445" spans="23:23" x14ac:dyDescent="0.55000000000000004">
      <c r="W64445"/>
    </row>
    <row r="64446" spans="23:23" x14ac:dyDescent="0.55000000000000004">
      <c r="W64446"/>
    </row>
    <row r="64447" spans="23:23" x14ac:dyDescent="0.55000000000000004">
      <c r="W64447"/>
    </row>
    <row r="64448" spans="23:23" x14ac:dyDescent="0.55000000000000004">
      <c r="W64448"/>
    </row>
    <row r="64449" spans="23:23" x14ac:dyDescent="0.55000000000000004">
      <c r="W64449"/>
    </row>
    <row r="64450" spans="23:23" x14ac:dyDescent="0.55000000000000004">
      <c r="W64450"/>
    </row>
    <row r="64451" spans="23:23" x14ac:dyDescent="0.55000000000000004">
      <c r="W64451"/>
    </row>
    <row r="64452" spans="23:23" x14ac:dyDescent="0.55000000000000004">
      <c r="W64452"/>
    </row>
    <row r="64453" spans="23:23" x14ac:dyDescent="0.55000000000000004">
      <c r="W64453"/>
    </row>
    <row r="64454" spans="23:23" x14ac:dyDescent="0.55000000000000004">
      <c r="W64454"/>
    </row>
    <row r="64455" spans="23:23" x14ac:dyDescent="0.55000000000000004">
      <c r="W64455"/>
    </row>
    <row r="64456" spans="23:23" x14ac:dyDescent="0.55000000000000004">
      <c r="W64456"/>
    </row>
    <row r="64457" spans="23:23" x14ac:dyDescent="0.55000000000000004">
      <c r="W64457"/>
    </row>
    <row r="64458" spans="23:23" x14ac:dyDescent="0.55000000000000004">
      <c r="W64458"/>
    </row>
    <row r="64459" spans="23:23" x14ac:dyDescent="0.55000000000000004">
      <c r="W64459"/>
    </row>
    <row r="64460" spans="23:23" x14ac:dyDescent="0.55000000000000004">
      <c r="W64460"/>
    </row>
    <row r="64461" spans="23:23" x14ac:dyDescent="0.55000000000000004">
      <c r="W64461"/>
    </row>
    <row r="64462" spans="23:23" x14ac:dyDescent="0.55000000000000004">
      <c r="W64462"/>
    </row>
    <row r="64463" spans="23:23" x14ac:dyDescent="0.55000000000000004">
      <c r="W64463"/>
    </row>
    <row r="64464" spans="23:23" x14ac:dyDescent="0.55000000000000004">
      <c r="W64464"/>
    </row>
    <row r="64465" spans="23:23" x14ac:dyDescent="0.55000000000000004">
      <c r="W64465"/>
    </row>
    <row r="64466" spans="23:23" x14ac:dyDescent="0.55000000000000004">
      <c r="W64466"/>
    </row>
    <row r="64467" spans="23:23" x14ac:dyDescent="0.55000000000000004">
      <c r="W64467"/>
    </row>
    <row r="64468" spans="23:23" x14ac:dyDescent="0.55000000000000004">
      <c r="W64468"/>
    </row>
    <row r="64469" spans="23:23" x14ac:dyDescent="0.55000000000000004">
      <c r="W64469"/>
    </row>
    <row r="64470" spans="23:23" x14ac:dyDescent="0.55000000000000004">
      <c r="W64470"/>
    </row>
    <row r="64471" spans="23:23" x14ac:dyDescent="0.55000000000000004">
      <c r="W64471"/>
    </row>
    <row r="64472" spans="23:23" x14ac:dyDescent="0.55000000000000004">
      <c r="W64472"/>
    </row>
    <row r="64473" spans="23:23" x14ac:dyDescent="0.55000000000000004">
      <c r="W64473"/>
    </row>
    <row r="64474" spans="23:23" x14ac:dyDescent="0.55000000000000004">
      <c r="W64474"/>
    </row>
    <row r="64475" spans="23:23" x14ac:dyDescent="0.55000000000000004">
      <c r="W64475"/>
    </row>
    <row r="64476" spans="23:23" x14ac:dyDescent="0.55000000000000004">
      <c r="W64476"/>
    </row>
    <row r="64477" spans="23:23" x14ac:dyDescent="0.55000000000000004">
      <c r="W64477"/>
    </row>
    <row r="64478" spans="23:23" x14ac:dyDescent="0.55000000000000004">
      <c r="W64478"/>
    </row>
    <row r="64479" spans="23:23" x14ac:dyDescent="0.55000000000000004">
      <c r="W64479"/>
    </row>
    <row r="64480" spans="23:23" x14ac:dyDescent="0.55000000000000004">
      <c r="W64480"/>
    </row>
    <row r="64481" spans="23:23" x14ac:dyDescent="0.55000000000000004">
      <c r="W64481"/>
    </row>
    <row r="64482" spans="23:23" x14ac:dyDescent="0.55000000000000004">
      <c r="W64482"/>
    </row>
    <row r="64483" spans="23:23" x14ac:dyDescent="0.55000000000000004">
      <c r="W64483"/>
    </row>
    <row r="64484" spans="23:23" x14ac:dyDescent="0.55000000000000004">
      <c r="W64484"/>
    </row>
    <row r="64485" spans="23:23" x14ac:dyDescent="0.55000000000000004">
      <c r="W64485"/>
    </row>
    <row r="64486" spans="23:23" x14ac:dyDescent="0.55000000000000004">
      <c r="W64486"/>
    </row>
    <row r="64487" spans="23:23" x14ac:dyDescent="0.55000000000000004">
      <c r="W64487"/>
    </row>
    <row r="64488" spans="23:23" x14ac:dyDescent="0.55000000000000004">
      <c r="W64488"/>
    </row>
    <row r="64489" spans="23:23" x14ac:dyDescent="0.55000000000000004">
      <c r="W64489"/>
    </row>
    <row r="64490" spans="23:23" x14ac:dyDescent="0.55000000000000004">
      <c r="W64490"/>
    </row>
    <row r="64491" spans="23:23" x14ac:dyDescent="0.55000000000000004">
      <c r="W64491"/>
    </row>
    <row r="64492" spans="23:23" x14ac:dyDescent="0.55000000000000004">
      <c r="W64492"/>
    </row>
    <row r="64493" spans="23:23" x14ac:dyDescent="0.55000000000000004">
      <c r="W64493"/>
    </row>
    <row r="64494" spans="23:23" x14ac:dyDescent="0.55000000000000004">
      <c r="W64494"/>
    </row>
    <row r="64495" spans="23:23" x14ac:dyDescent="0.55000000000000004">
      <c r="W64495"/>
    </row>
    <row r="64496" spans="23:23" x14ac:dyDescent="0.55000000000000004">
      <c r="W64496"/>
    </row>
    <row r="64497" spans="23:23" x14ac:dyDescent="0.55000000000000004">
      <c r="W64497"/>
    </row>
    <row r="64498" spans="23:23" x14ac:dyDescent="0.55000000000000004">
      <c r="W64498"/>
    </row>
    <row r="64499" spans="23:23" x14ac:dyDescent="0.55000000000000004">
      <c r="W64499"/>
    </row>
    <row r="64500" spans="23:23" x14ac:dyDescent="0.55000000000000004">
      <c r="W64500"/>
    </row>
    <row r="64501" spans="23:23" x14ac:dyDescent="0.55000000000000004">
      <c r="W64501"/>
    </row>
    <row r="64502" spans="23:23" x14ac:dyDescent="0.55000000000000004">
      <c r="W64502"/>
    </row>
    <row r="64503" spans="23:23" x14ac:dyDescent="0.55000000000000004">
      <c r="W64503"/>
    </row>
    <row r="64504" spans="23:23" x14ac:dyDescent="0.55000000000000004">
      <c r="W64504"/>
    </row>
    <row r="64505" spans="23:23" x14ac:dyDescent="0.55000000000000004">
      <c r="W64505"/>
    </row>
    <row r="64506" spans="23:23" x14ac:dyDescent="0.55000000000000004">
      <c r="W64506"/>
    </row>
    <row r="64507" spans="23:23" x14ac:dyDescent="0.55000000000000004">
      <c r="W64507"/>
    </row>
    <row r="64508" spans="23:23" x14ac:dyDescent="0.55000000000000004">
      <c r="W64508"/>
    </row>
    <row r="64509" spans="23:23" x14ac:dyDescent="0.55000000000000004">
      <c r="W64509"/>
    </row>
    <row r="64510" spans="23:23" x14ac:dyDescent="0.55000000000000004">
      <c r="W64510"/>
    </row>
    <row r="64511" spans="23:23" x14ac:dyDescent="0.55000000000000004">
      <c r="W64511"/>
    </row>
    <row r="64512" spans="23:23" x14ac:dyDescent="0.55000000000000004">
      <c r="W64512"/>
    </row>
    <row r="64513" spans="23:23" x14ac:dyDescent="0.55000000000000004">
      <c r="W64513"/>
    </row>
    <row r="64514" spans="23:23" x14ac:dyDescent="0.55000000000000004">
      <c r="W64514"/>
    </row>
    <row r="64515" spans="23:23" x14ac:dyDescent="0.55000000000000004">
      <c r="W64515"/>
    </row>
    <row r="64516" spans="23:23" x14ac:dyDescent="0.55000000000000004">
      <c r="W64516"/>
    </row>
    <row r="64517" spans="23:23" x14ac:dyDescent="0.55000000000000004">
      <c r="W64517"/>
    </row>
    <row r="64518" spans="23:23" x14ac:dyDescent="0.55000000000000004">
      <c r="W64518"/>
    </row>
    <row r="64519" spans="23:23" x14ac:dyDescent="0.55000000000000004">
      <c r="W64519"/>
    </row>
    <row r="64520" spans="23:23" x14ac:dyDescent="0.55000000000000004">
      <c r="W64520"/>
    </row>
    <row r="64521" spans="23:23" x14ac:dyDescent="0.55000000000000004">
      <c r="W64521"/>
    </row>
    <row r="64522" spans="23:23" x14ac:dyDescent="0.55000000000000004">
      <c r="W64522"/>
    </row>
    <row r="64523" spans="23:23" x14ac:dyDescent="0.55000000000000004">
      <c r="W64523"/>
    </row>
    <row r="64524" spans="23:23" x14ac:dyDescent="0.55000000000000004">
      <c r="W64524"/>
    </row>
    <row r="64525" spans="23:23" x14ac:dyDescent="0.55000000000000004">
      <c r="W64525"/>
    </row>
    <row r="64526" spans="23:23" x14ac:dyDescent="0.55000000000000004">
      <c r="W64526"/>
    </row>
    <row r="64527" spans="23:23" x14ac:dyDescent="0.55000000000000004">
      <c r="W64527"/>
    </row>
    <row r="64528" spans="23:23" x14ac:dyDescent="0.55000000000000004">
      <c r="W64528"/>
    </row>
    <row r="64529" spans="23:23" x14ac:dyDescent="0.55000000000000004">
      <c r="W64529"/>
    </row>
    <row r="64530" spans="23:23" x14ac:dyDescent="0.55000000000000004">
      <c r="W64530"/>
    </row>
    <row r="64531" spans="23:23" x14ac:dyDescent="0.55000000000000004">
      <c r="W64531"/>
    </row>
    <row r="64532" spans="23:23" x14ac:dyDescent="0.55000000000000004">
      <c r="W64532"/>
    </row>
    <row r="64533" spans="23:23" x14ac:dyDescent="0.55000000000000004">
      <c r="W64533"/>
    </row>
    <row r="64534" spans="23:23" x14ac:dyDescent="0.55000000000000004">
      <c r="W64534"/>
    </row>
    <row r="64535" spans="23:23" x14ac:dyDescent="0.55000000000000004">
      <c r="W64535"/>
    </row>
    <row r="64536" spans="23:23" x14ac:dyDescent="0.55000000000000004">
      <c r="W64536"/>
    </row>
    <row r="64537" spans="23:23" x14ac:dyDescent="0.55000000000000004">
      <c r="W64537"/>
    </row>
    <row r="64538" spans="23:23" x14ac:dyDescent="0.55000000000000004">
      <c r="W64538"/>
    </row>
    <row r="64539" spans="23:23" x14ac:dyDescent="0.55000000000000004">
      <c r="W64539"/>
    </row>
    <row r="64540" spans="23:23" x14ac:dyDescent="0.55000000000000004">
      <c r="W64540"/>
    </row>
    <row r="64541" spans="23:23" x14ac:dyDescent="0.55000000000000004">
      <c r="W64541"/>
    </row>
    <row r="64542" spans="23:23" x14ac:dyDescent="0.55000000000000004">
      <c r="W64542"/>
    </row>
    <row r="64543" spans="23:23" x14ac:dyDescent="0.55000000000000004">
      <c r="W64543"/>
    </row>
    <row r="64544" spans="23:23" x14ac:dyDescent="0.55000000000000004">
      <c r="W64544"/>
    </row>
    <row r="64545" spans="23:23" x14ac:dyDescent="0.55000000000000004">
      <c r="W64545"/>
    </row>
    <row r="64546" spans="23:23" x14ac:dyDescent="0.55000000000000004">
      <c r="W64546"/>
    </row>
    <row r="64547" spans="23:23" x14ac:dyDescent="0.55000000000000004">
      <c r="W64547"/>
    </row>
    <row r="64548" spans="23:23" x14ac:dyDescent="0.55000000000000004">
      <c r="W64548"/>
    </row>
    <row r="64549" spans="23:23" x14ac:dyDescent="0.55000000000000004">
      <c r="W64549"/>
    </row>
    <row r="64550" spans="23:23" x14ac:dyDescent="0.55000000000000004">
      <c r="W64550"/>
    </row>
    <row r="64551" spans="23:23" x14ac:dyDescent="0.55000000000000004">
      <c r="W64551"/>
    </row>
    <row r="64552" spans="23:23" x14ac:dyDescent="0.55000000000000004">
      <c r="W64552"/>
    </row>
    <row r="64553" spans="23:23" x14ac:dyDescent="0.55000000000000004">
      <c r="W64553"/>
    </row>
    <row r="64554" spans="23:23" x14ac:dyDescent="0.55000000000000004">
      <c r="W64554"/>
    </row>
    <row r="64555" spans="23:23" x14ac:dyDescent="0.55000000000000004">
      <c r="W64555"/>
    </row>
    <row r="64556" spans="23:23" x14ac:dyDescent="0.55000000000000004">
      <c r="W64556"/>
    </row>
    <row r="64557" spans="23:23" x14ac:dyDescent="0.55000000000000004">
      <c r="W64557"/>
    </row>
    <row r="64558" spans="23:23" x14ac:dyDescent="0.55000000000000004">
      <c r="W64558"/>
    </row>
    <row r="64559" spans="23:23" x14ac:dyDescent="0.55000000000000004">
      <c r="W64559"/>
    </row>
    <row r="64560" spans="23:23" x14ac:dyDescent="0.55000000000000004">
      <c r="W64560"/>
    </row>
    <row r="64561" spans="23:23" x14ac:dyDescent="0.55000000000000004">
      <c r="W64561"/>
    </row>
    <row r="64562" spans="23:23" x14ac:dyDescent="0.55000000000000004">
      <c r="W64562"/>
    </row>
    <row r="64563" spans="23:23" x14ac:dyDescent="0.55000000000000004">
      <c r="W64563"/>
    </row>
    <row r="64564" spans="23:23" x14ac:dyDescent="0.55000000000000004">
      <c r="W64564"/>
    </row>
    <row r="64565" spans="23:23" x14ac:dyDescent="0.55000000000000004">
      <c r="W64565"/>
    </row>
    <row r="64566" spans="23:23" x14ac:dyDescent="0.55000000000000004">
      <c r="W64566"/>
    </row>
    <row r="64567" spans="23:23" x14ac:dyDescent="0.55000000000000004">
      <c r="W64567"/>
    </row>
    <row r="64568" spans="23:23" x14ac:dyDescent="0.55000000000000004">
      <c r="W64568"/>
    </row>
    <row r="64569" spans="23:23" x14ac:dyDescent="0.55000000000000004">
      <c r="W64569"/>
    </row>
    <row r="64570" spans="23:23" x14ac:dyDescent="0.55000000000000004">
      <c r="W64570"/>
    </row>
    <row r="64571" spans="23:23" x14ac:dyDescent="0.55000000000000004">
      <c r="W64571"/>
    </row>
    <row r="64572" spans="23:23" x14ac:dyDescent="0.55000000000000004">
      <c r="W64572"/>
    </row>
    <row r="64573" spans="23:23" x14ac:dyDescent="0.55000000000000004">
      <c r="W64573"/>
    </row>
    <row r="64574" spans="23:23" x14ac:dyDescent="0.55000000000000004">
      <c r="W64574"/>
    </row>
    <row r="64575" spans="23:23" x14ac:dyDescent="0.55000000000000004">
      <c r="W64575"/>
    </row>
    <row r="64576" spans="23:23" x14ac:dyDescent="0.55000000000000004">
      <c r="W64576"/>
    </row>
    <row r="64577" spans="23:23" x14ac:dyDescent="0.55000000000000004">
      <c r="W64577"/>
    </row>
    <row r="64578" spans="23:23" x14ac:dyDescent="0.55000000000000004">
      <c r="W64578"/>
    </row>
    <row r="64579" spans="23:23" x14ac:dyDescent="0.55000000000000004">
      <c r="W64579"/>
    </row>
    <row r="64580" spans="23:23" x14ac:dyDescent="0.55000000000000004">
      <c r="W64580"/>
    </row>
    <row r="64581" spans="23:23" x14ac:dyDescent="0.55000000000000004">
      <c r="W64581"/>
    </row>
    <row r="64582" spans="23:23" x14ac:dyDescent="0.55000000000000004">
      <c r="W64582"/>
    </row>
    <row r="64583" spans="23:23" x14ac:dyDescent="0.55000000000000004">
      <c r="W64583"/>
    </row>
    <row r="64584" spans="23:23" x14ac:dyDescent="0.55000000000000004">
      <c r="W64584"/>
    </row>
    <row r="64585" spans="23:23" x14ac:dyDescent="0.55000000000000004">
      <c r="W64585"/>
    </row>
    <row r="64586" spans="23:23" x14ac:dyDescent="0.55000000000000004">
      <c r="W64586"/>
    </row>
    <row r="64587" spans="23:23" x14ac:dyDescent="0.55000000000000004">
      <c r="W64587"/>
    </row>
    <row r="64588" spans="23:23" x14ac:dyDescent="0.55000000000000004">
      <c r="W64588"/>
    </row>
    <row r="64589" spans="23:23" x14ac:dyDescent="0.55000000000000004">
      <c r="W64589"/>
    </row>
    <row r="64590" spans="23:23" x14ac:dyDescent="0.55000000000000004">
      <c r="W64590"/>
    </row>
    <row r="64591" spans="23:23" x14ac:dyDescent="0.55000000000000004">
      <c r="W64591"/>
    </row>
    <row r="64592" spans="23:23" x14ac:dyDescent="0.55000000000000004">
      <c r="W64592"/>
    </row>
    <row r="64593" spans="23:23" x14ac:dyDescent="0.55000000000000004">
      <c r="W64593"/>
    </row>
    <row r="64594" spans="23:23" x14ac:dyDescent="0.55000000000000004">
      <c r="W64594"/>
    </row>
    <row r="64595" spans="23:23" x14ac:dyDescent="0.55000000000000004">
      <c r="W64595"/>
    </row>
    <row r="64596" spans="23:23" x14ac:dyDescent="0.55000000000000004">
      <c r="W64596"/>
    </row>
    <row r="64597" spans="23:23" x14ac:dyDescent="0.55000000000000004">
      <c r="W64597"/>
    </row>
    <row r="64598" spans="23:23" x14ac:dyDescent="0.55000000000000004">
      <c r="W64598"/>
    </row>
    <row r="64599" spans="23:23" x14ac:dyDescent="0.55000000000000004">
      <c r="W64599"/>
    </row>
    <row r="64600" spans="23:23" x14ac:dyDescent="0.55000000000000004">
      <c r="W64600"/>
    </row>
    <row r="64601" spans="23:23" x14ac:dyDescent="0.55000000000000004">
      <c r="W64601"/>
    </row>
    <row r="64602" spans="23:23" x14ac:dyDescent="0.55000000000000004">
      <c r="W64602"/>
    </row>
    <row r="64603" spans="23:23" x14ac:dyDescent="0.55000000000000004">
      <c r="W64603"/>
    </row>
    <row r="64604" spans="23:23" x14ac:dyDescent="0.55000000000000004">
      <c r="W64604"/>
    </row>
    <row r="64605" spans="23:23" x14ac:dyDescent="0.55000000000000004">
      <c r="W64605"/>
    </row>
    <row r="64606" spans="23:23" x14ac:dyDescent="0.55000000000000004">
      <c r="W64606"/>
    </row>
    <row r="64607" spans="23:23" x14ac:dyDescent="0.55000000000000004">
      <c r="W64607"/>
    </row>
    <row r="64608" spans="23:23" x14ac:dyDescent="0.55000000000000004">
      <c r="W64608"/>
    </row>
    <row r="64609" spans="23:23" x14ac:dyDescent="0.55000000000000004">
      <c r="W64609"/>
    </row>
    <row r="64610" spans="23:23" x14ac:dyDescent="0.55000000000000004">
      <c r="W64610"/>
    </row>
    <row r="64611" spans="23:23" x14ac:dyDescent="0.55000000000000004">
      <c r="W64611"/>
    </row>
    <row r="64612" spans="23:23" x14ac:dyDescent="0.55000000000000004">
      <c r="W64612"/>
    </row>
    <row r="64613" spans="23:23" x14ac:dyDescent="0.55000000000000004">
      <c r="W64613"/>
    </row>
    <row r="64614" spans="23:23" x14ac:dyDescent="0.55000000000000004">
      <c r="W64614"/>
    </row>
    <row r="64615" spans="23:23" x14ac:dyDescent="0.55000000000000004">
      <c r="W64615"/>
    </row>
    <row r="64616" spans="23:23" x14ac:dyDescent="0.55000000000000004">
      <c r="W64616"/>
    </row>
    <row r="64617" spans="23:23" x14ac:dyDescent="0.55000000000000004">
      <c r="W64617"/>
    </row>
    <row r="64618" spans="23:23" x14ac:dyDescent="0.55000000000000004">
      <c r="W64618"/>
    </row>
    <row r="64619" spans="23:23" x14ac:dyDescent="0.55000000000000004">
      <c r="W64619"/>
    </row>
    <row r="64620" spans="23:23" x14ac:dyDescent="0.55000000000000004">
      <c r="W64620"/>
    </row>
    <row r="64621" spans="23:23" x14ac:dyDescent="0.55000000000000004">
      <c r="W64621"/>
    </row>
    <row r="64622" spans="23:23" x14ac:dyDescent="0.55000000000000004">
      <c r="W64622"/>
    </row>
    <row r="64623" spans="23:23" x14ac:dyDescent="0.55000000000000004">
      <c r="W64623"/>
    </row>
    <row r="64624" spans="23:23" x14ac:dyDescent="0.55000000000000004">
      <c r="W64624"/>
    </row>
    <row r="64625" spans="23:23" x14ac:dyDescent="0.55000000000000004">
      <c r="W64625"/>
    </row>
    <row r="64626" spans="23:23" x14ac:dyDescent="0.55000000000000004">
      <c r="W64626"/>
    </row>
    <row r="64627" spans="23:23" x14ac:dyDescent="0.55000000000000004">
      <c r="W64627"/>
    </row>
    <row r="64628" spans="23:23" x14ac:dyDescent="0.55000000000000004">
      <c r="W64628"/>
    </row>
    <row r="64629" spans="23:23" x14ac:dyDescent="0.55000000000000004">
      <c r="W64629"/>
    </row>
    <row r="64630" spans="23:23" x14ac:dyDescent="0.55000000000000004">
      <c r="W64630"/>
    </row>
    <row r="64631" spans="23:23" x14ac:dyDescent="0.55000000000000004">
      <c r="W64631"/>
    </row>
    <row r="64632" spans="23:23" x14ac:dyDescent="0.55000000000000004">
      <c r="W64632"/>
    </row>
    <row r="64633" spans="23:23" x14ac:dyDescent="0.55000000000000004">
      <c r="W64633"/>
    </row>
    <row r="64634" spans="23:23" x14ac:dyDescent="0.55000000000000004">
      <c r="W64634"/>
    </row>
    <row r="64635" spans="23:23" x14ac:dyDescent="0.55000000000000004">
      <c r="W64635"/>
    </row>
    <row r="64636" spans="23:23" x14ac:dyDescent="0.55000000000000004">
      <c r="W64636"/>
    </row>
    <row r="64637" spans="23:23" x14ac:dyDescent="0.55000000000000004">
      <c r="W64637"/>
    </row>
    <row r="64638" spans="23:23" x14ac:dyDescent="0.55000000000000004">
      <c r="W64638"/>
    </row>
    <row r="64639" spans="23:23" x14ac:dyDescent="0.55000000000000004">
      <c r="W64639"/>
    </row>
    <row r="64640" spans="23:23" x14ac:dyDescent="0.55000000000000004">
      <c r="W64640"/>
    </row>
    <row r="64641" spans="23:23" x14ac:dyDescent="0.55000000000000004">
      <c r="W64641"/>
    </row>
    <row r="64642" spans="23:23" x14ac:dyDescent="0.55000000000000004">
      <c r="W64642"/>
    </row>
    <row r="64643" spans="23:23" x14ac:dyDescent="0.55000000000000004">
      <c r="W64643"/>
    </row>
    <row r="64644" spans="23:23" x14ac:dyDescent="0.55000000000000004">
      <c r="W64644"/>
    </row>
    <row r="64645" spans="23:23" x14ac:dyDescent="0.55000000000000004">
      <c r="W64645"/>
    </row>
    <row r="64646" spans="23:23" x14ac:dyDescent="0.55000000000000004">
      <c r="W64646"/>
    </row>
    <row r="64647" spans="23:23" x14ac:dyDescent="0.55000000000000004">
      <c r="W64647"/>
    </row>
    <row r="64648" spans="23:23" x14ac:dyDescent="0.55000000000000004">
      <c r="W64648"/>
    </row>
    <row r="64649" spans="23:23" x14ac:dyDescent="0.55000000000000004">
      <c r="W64649"/>
    </row>
    <row r="64650" spans="23:23" x14ac:dyDescent="0.55000000000000004">
      <c r="W64650"/>
    </row>
    <row r="64651" spans="23:23" x14ac:dyDescent="0.55000000000000004">
      <c r="W64651"/>
    </row>
    <row r="64652" spans="23:23" x14ac:dyDescent="0.55000000000000004">
      <c r="W64652"/>
    </row>
    <row r="64653" spans="23:23" x14ac:dyDescent="0.55000000000000004">
      <c r="W64653"/>
    </row>
    <row r="64654" spans="23:23" x14ac:dyDescent="0.55000000000000004">
      <c r="W64654"/>
    </row>
    <row r="64655" spans="23:23" x14ac:dyDescent="0.55000000000000004">
      <c r="W64655"/>
    </row>
    <row r="64656" spans="23:23" x14ac:dyDescent="0.55000000000000004">
      <c r="W64656"/>
    </row>
    <row r="64657" spans="23:23" x14ac:dyDescent="0.55000000000000004">
      <c r="W64657"/>
    </row>
    <row r="64658" spans="23:23" x14ac:dyDescent="0.55000000000000004">
      <c r="W64658"/>
    </row>
    <row r="64659" spans="23:23" x14ac:dyDescent="0.55000000000000004">
      <c r="W64659"/>
    </row>
    <row r="64660" spans="23:23" x14ac:dyDescent="0.55000000000000004">
      <c r="W64660"/>
    </row>
    <row r="64661" spans="23:23" x14ac:dyDescent="0.55000000000000004">
      <c r="W64661"/>
    </row>
    <row r="64662" spans="23:23" x14ac:dyDescent="0.55000000000000004">
      <c r="W64662"/>
    </row>
    <row r="64663" spans="23:23" x14ac:dyDescent="0.55000000000000004">
      <c r="W64663"/>
    </row>
    <row r="64664" spans="23:23" x14ac:dyDescent="0.55000000000000004">
      <c r="W64664"/>
    </row>
    <row r="64665" spans="23:23" x14ac:dyDescent="0.55000000000000004">
      <c r="W64665"/>
    </row>
    <row r="64666" spans="23:23" x14ac:dyDescent="0.55000000000000004">
      <c r="W64666"/>
    </row>
    <row r="64667" spans="23:23" x14ac:dyDescent="0.55000000000000004">
      <c r="W64667"/>
    </row>
    <row r="64668" spans="23:23" x14ac:dyDescent="0.55000000000000004">
      <c r="W64668"/>
    </row>
    <row r="64669" spans="23:23" x14ac:dyDescent="0.55000000000000004">
      <c r="W64669"/>
    </row>
    <row r="64670" spans="23:23" x14ac:dyDescent="0.55000000000000004">
      <c r="W64670"/>
    </row>
    <row r="64671" spans="23:23" x14ac:dyDescent="0.55000000000000004">
      <c r="W64671"/>
    </row>
    <row r="64672" spans="23:23" x14ac:dyDescent="0.55000000000000004">
      <c r="W64672"/>
    </row>
    <row r="64673" spans="23:23" x14ac:dyDescent="0.55000000000000004">
      <c r="W64673"/>
    </row>
    <row r="64674" spans="23:23" x14ac:dyDescent="0.55000000000000004">
      <c r="W64674"/>
    </row>
    <row r="64675" spans="23:23" x14ac:dyDescent="0.55000000000000004">
      <c r="W64675"/>
    </row>
    <row r="64676" spans="23:23" x14ac:dyDescent="0.55000000000000004">
      <c r="W64676"/>
    </row>
    <row r="64677" spans="23:23" x14ac:dyDescent="0.55000000000000004">
      <c r="W64677"/>
    </row>
    <row r="64678" spans="23:23" x14ac:dyDescent="0.55000000000000004">
      <c r="W64678"/>
    </row>
    <row r="64679" spans="23:23" x14ac:dyDescent="0.55000000000000004">
      <c r="W64679"/>
    </row>
    <row r="64680" spans="23:23" x14ac:dyDescent="0.55000000000000004">
      <c r="W64680"/>
    </row>
    <row r="64681" spans="23:23" x14ac:dyDescent="0.55000000000000004">
      <c r="W64681"/>
    </row>
    <row r="64682" spans="23:23" x14ac:dyDescent="0.55000000000000004">
      <c r="W64682"/>
    </row>
    <row r="64683" spans="23:23" x14ac:dyDescent="0.55000000000000004">
      <c r="W64683"/>
    </row>
    <row r="64684" spans="23:23" x14ac:dyDescent="0.55000000000000004">
      <c r="W64684"/>
    </row>
    <row r="64685" spans="23:23" x14ac:dyDescent="0.55000000000000004">
      <c r="W64685"/>
    </row>
    <row r="64686" spans="23:23" x14ac:dyDescent="0.55000000000000004">
      <c r="W64686"/>
    </row>
    <row r="64687" spans="23:23" x14ac:dyDescent="0.55000000000000004">
      <c r="W64687"/>
    </row>
    <row r="64688" spans="23:23" x14ac:dyDescent="0.55000000000000004">
      <c r="W64688"/>
    </row>
    <row r="64689" spans="23:23" x14ac:dyDescent="0.55000000000000004">
      <c r="W64689"/>
    </row>
    <row r="64690" spans="23:23" x14ac:dyDescent="0.55000000000000004">
      <c r="W64690"/>
    </row>
    <row r="64691" spans="23:23" x14ac:dyDescent="0.55000000000000004">
      <c r="W64691"/>
    </row>
    <row r="64692" spans="23:23" x14ac:dyDescent="0.55000000000000004">
      <c r="W64692"/>
    </row>
    <row r="64693" spans="23:23" x14ac:dyDescent="0.55000000000000004">
      <c r="W64693"/>
    </row>
    <row r="64694" spans="23:23" x14ac:dyDescent="0.55000000000000004">
      <c r="W64694"/>
    </row>
    <row r="64695" spans="23:23" x14ac:dyDescent="0.55000000000000004">
      <c r="W64695"/>
    </row>
    <row r="64696" spans="23:23" x14ac:dyDescent="0.55000000000000004">
      <c r="W64696"/>
    </row>
    <row r="64697" spans="23:23" x14ac:dyDescent="0.55000000000000004">
      <c r="W64697"/>
    </row>
    <row r="64698" spans="23:23" x14ac:dyDescent="0.55000000000000004">
      <c r="W64698"/>
    </row>
    <row r="64699" spans="23:23" x14ac:dyDescent="0.55000000000000004">
      <c r="W64699"/>
    </row>
    <row r="64700" spans="23:23" x14ac:dyDescent="0.55000000000000004">
      <c r="W64700"/>
    </row>
    <row r="64701" spans="23:23" x14ac:dyDescent="0.55000000000000004">
      <c r="W64701"/>
    </row>
    <row r="64702" spans="23:23" x14ac:dyDescent="0.55000000000000004">
      <c r="W64702"/>
    </row>
    <row r="64703" spans="23:23" x14ac:dyDescent="0.55000000000000004">
      <c r="W64703"/>
    </row>
    <row r="64704" spans="23:23" x14ac:dyDescent="0.55000000000000004">
      <c r="W64704"/>
    </row>
    <row r="64705" spans="23:23" x14ac:dyDescent="0.55000000000000004">
      <c r="W64705"/>
    </row>
    <row r="64706" spans="23:23" x14ac:dyDescent="0.55000000000000004">
      <c r="W64706"/>
    </row>
    <row r="64707" spans="23:23" x14ac:dyDescent="0.55000000000000004">
      <c r="W64707"/>
    </row>
    <row r="64708" spans="23:23" x14ac:dyDescent="0.55000000000000004">
      <c r="W64708"/>
    </row>
    <row r="64709" spans="23:23" x14ac:dyDescent="0.55000000000000004">
      <c r="W64709"/>
    </row>
    <row r="64710" spans="23:23" x14ac:dyDescent="0.55000000000000004">
      <c r="W64710"/>
    </row>
    <row r="64711" spans="23:23" x14ac:dyDescent="0.55000000000000004">
      <c r="W64711"/>
    </row>
    <row r="64712" spans="23:23" x14ac:dyDescent="0.55000000000000004">
      <c r="W64712"/>
    </row>
    <row r="64713" spans="23:23" x14ac:dyDescent="0.55000000000000004">
      <c r="W64713"/>
    </row>
    <row r="64714" spans="23:23" x14ac:dyDescent="0.55000000000000004">
      <c r="W64714"/>
    </row>
    <row r="64715" spans="23:23" x14ac:dyDescent="0.55000000000000004">
      <c r="W64715"/>
    </row>
    <row r="64716" spans="23:23" x14ac:dyDescent="0.55000000000000004">
      <c r="W64716"/>
    </row>
    <row r="64717" spans="23:23" x14ac:dyDescent="0.55000000000000004">
      <c r="W64717"/>
    </row>
    <row r="64718" spans="23:23" x14ac:dyDescent="0.55000000000000004">
      <c r="W64718"/>
    </row>
    <row r="64719" spans="23:23" x14ac:dyDescent="0.55000000000000004">
      <c r="W64719"/>
    </row>
    <row r="64720" spans="23:23" x14ac:dyDescent="0.55000000000000004">
      <c r="W64720"/>
    </row>
    <row r="64721" spans="23:23" x14ac:dyDescent="0.55000000000000004">
      <c r="W64721"/>
    </row>
    <row r="64722" spans="23:23" x14ac:dyDescent="0.55000000000000004">
      <c r="W64722"/>
    </row>
    <row r="64723" spans="23:23" x14ac:dyDescent="0.55000000000000004">
      <c r="W64723"/>
    </row>
    <row r="64724" spans="23:23" x14ac:dyDescent="0.55000000000000004">
      <c r="W64724"/>
    </row>
    <row r="64725" spans="23:23" x14ac:dyDescent="0.55000000000000004">
      <c r="W64725"/>
    </row>
    <row r="64726" spans="23:23" x14ac:dyDescent="0.55000000000000004">
      <c r="W64726"/>
    </row>
    <row r="64727" spans="23:23" x14ac:dyDescent="0.55000000000000004">
      <c r="W64727"/>
    </row>
    <row r="64728" spans="23:23" x14ac:dyDescent="0.55000000000000004">
      <c r="W64728"/>
    </row>
    <row r="64729" spans="23:23" x14ac:dyDescent="0.55000000000000004">
      <c r="W64729"/>
    </row>
    <row r="64730" spans="23:23" x14ac:dyDescent="0.55000000000000004">
      <c r="W64730"/>
    </row>
    <row r="64731" spans="23:23" x14ac:dyDescent="0.55000000000000004">
      <c r="W64731"/>
    </row>
    <row r="64732" spans="23:23" x14ac:dyDescent="0.55000000000000004">
      <c r="W64732"/>
    </row>
    <row r="64733" spans="23:23" x14ac:dyDescent="0.55000000000000004">
      <c r="W64733"/>
    </row>
    <row r="64734" spans="23:23" x14ac:dyDescent="0.55000000000000004">
      <c r="W64734"/>
    </row>
    <row r="64735" spans="23:23" x14ac:dyDescent="0.55000000000000004">
      <c r="W64735"/>
    </row>
    <row r="64736" spans="23:23" x14ac:dyDescent="0.55000000000000004">
      <c r="W64736"/>
    </row>
    <row r="64737" spans="23:23" x14ac:dyDescent="0.55000000000000004">
      <c r="W64737"/>
    </row>
    <row r="64738" spans="23:23" x14ac:dyDescent="0.55000000000000004">
      <c r="W64738"/>
    </row>
    <row r="64739" spans="23:23" x14ac:dyDescent="0.55000000000000004">
      <c r="W64739"/>
    </row>
    <row r="64740" spans="23:23" x14ac:dyDescent="0.55000000000000004">
      <c r="W64740"/>
    </row>
    <row r="64741" spans="23:23" x14ac:dyDescent="0.55000000000000004">
      <c r="W64741"/>
    </row>
    <row r="64742" spans="23:23" x14ac:dyDescent="0.55000000000000004">
      <c r="W64742"/>
    </row>
    <row r="64743" spans="23:23" x14ac:dyDescent="0.55000000000000004">
      <c r="W64743"/>
    </row>
    <row r="64744" spans="23:23" x14ac:dyDescent="0.55000000000000004">
      <c r="W64744"/>
    </row>
    <row r="64745" spans="23:23" x14ac:dyDescent="0.55000000000000004">
      <c r="W64745"/>
    </row>
    <row r="64746" spans="23:23" x14ac:dyDescent="0.55000000000000004">
      <c r="W64746"/>
    </row>
    <row r="64747" spans="23:23" x14ac:dyDescent="0.55000000000000004">
      <c r="W64747"/>
    </row>
    <row r="64748" spans="23:23" x14ac:dyDescent="0.55000000000000004">
      <c r="W64748"/>
    </row>
    <row r="64749" spans="23:23" x14ac:dyDescent="0.55000000000000004">
      <c r="W64749"/>
    </row>
    <row r="64750" spans="23:23" x14ac:dyDescent="0.55000000000000004">
      <c r="W64750"/>
    </row>
    <row r="64751" spans="23:23" x14ac:dyDescent="0.55000000000000004">
      <c r="W64751"/>
    </row>
    <row r="64752" spans="23:23" x14ac:dyDescent="0.55000000000000004">
      <c r="W64752"/>
    </row>
    <row r="64753" spans="23:23" x14ac:dyDescent="0.55000000000000004">
      <c r="W64753"/>
    </row>
    <row r="64754" spans="23:23" x14ac:dyDescent="0.55000000000000004">
      <c r="W64754"/>
    </row>
    <row r="64755" spans="23:23" x14ac:dyDescent="0.55000000000000004">
      <c r="W64755"/>
    </row>
    <row r="64756" spans="23:23" x14ac:dyDescent="0.55000000000000004">
      <c r="W64756"/>
    </row>
    <row r="64757" spans="23:23" x14ac:dyDescent="0.55000000000000004">
      <c r="W64757"/>
    </row>
    <row r="64758" spans="23:23" x14ac:dyDescent="0.55000000000000004">
      <c r="W64758"/>
    </row>
    <row r="64759" spans="23:23" x14ac:dyDescent="0.55000000000000004">
      <c r="W64759"/>
    </row>
    <row r="64760" spans="23:23" x14ac:dyDescent="0.55000000000000004">
      <c r="W64760"/>
    </row>
    <row r="64761" spans="23:23" x14ac:dyDescent="0.55000000000000004">
      <c r="W64761"/>
    </row>
    <row r="64762" spans="23:23" x14ac:dyDescent="0.55000000000000004">
      <c r="W64762"/>
    </row>
    <row r="64763" spans="23:23" x14ac:dyDescent="0.55000000000000004">
      <c r="W64763"/>
    </row>
    <row r="64764" spans="23:23" x14ac:dyDescent="0.55000000000000004">
      <c r="W64764"/>
    </row>
    <row r="64765" spans="23:23" x14ac:dyDescent="0.55000000000000004">
      <c r="W64765"/>
    </row>
    <row r="64766" spans="23:23" x14ac:dyDescent="0.55000000000000004">
      <c r="W64766"/>
    </row>
    <row r="64767" spans="23:23" x14ac:dyDescent="0.55000000000000004">
      <c r="W64767"/>
    </row>
    <row r="64768" spans="23:23" x14ac:dyDescent="0.55000000000000004">
      <c r="W64768"/>
    </row>
    <row r="64769" spans="23:23" x14ac:dyDescent="0.55000000000000004">
      <c r="W64769"/>
    </row>
    <row r="64770" spans="23:23" x14ac:dyDescent="0.55000000000000004">
      <c r="W64770"/>
    </row>
    <row r="64771" spans="23:23" x14ac:dyDescent="0.55000000000000004">
      <c r="W64771"/>
    </row>
    <row r="64772" spans="23:23" x14ac:dyDescent="0.55000000000000004">
      <c r="W64772"/>
    </row>
    <row r="64773" spans="23:23" x14ac:dyDescent="0.55000000000000004">
      <c r="W64773"/>
    </row>
    <row r="64774" spans="23:23" x14ac:dyDescent="0.55000000000000004">
      <c r="W64774"/>
    </row>
    <row r="64775" spans="23:23" x14ac:dyDescent="0.55000000000000004">
      <c r="W64775"/>
    </row>
    <row r="64776" spans="23:23" x14ac:dyDescent="0.55000000000000004">
      <c r="W64776"/>
    </row>
    <row r="64777" spans="23:23" x14ac:dyDescent="0.55000000000000004">
      <c r="W64777"/>
    </row>
    <row r="64778" spans="23:23" x14ac:dyDescent="0.55000000000000004">
      <c r="W64778"/>
    </row>
    <row r="64779" spans="23:23" x14ac:dyDescent="0.55000000000000004">
      <c r="W64779"/>
    </row>
    <row r="64780" spans="23:23" x14ac:dyDescent="0.55000000000000004">
      <c r="W64780"/>
    </row>
    <row r="64781" spans="23:23" x14ac:dyDescent="0.55000000000000004">
      <c r="W64781"/>
    </row>
    <row r="64782" spans="23:23" x14ac:dyDescent="0.55000000000000004">
      <c r="W64782"/>
    </row>
    <row r="64783" spans="23:23" x14ac:dyDescent="0.55000000000000004">
      <c r="W64783"/>
    </row>
    <row r="64784" spans="23:23" x14ac:dyDescent="0.55000000000000004">
      <c r="W64784"/>
    </row>
    <row r="64785" spans="23:23" x14ac:dyDescent="0.55000000000000004">
      <c r="W64785"/>
    </row>
    <row r="64786" spans="23:23" x14ac:dyDescent="0.55000000000000004">
      <c r="W64786"/>
    </row>
    <row r="64787" spans="23:23" x14ac:dyDescent="0.55000000000000004">
      <c r="W64787"/>
    </row>
    <row r="64788" spans="23:23" x14ac:dyDescent="0.55000000000000004">
      <c r="W64788"/>
    </row>
    <row r="64789" spans="23:23" x14ac:dyDescent="0.55000000000000004">
      <c r="W64789"/>
    </row>
    <row r="64790" spans="23:23" x14ac:dyDescent="0.55000000000000004">
      <c r="W64790"/>
    </row>
    <row r="64791" spans="23:23" x14ac:dyDescent="0.55000000000000004">
      <c r="W64791"/>
    </row>
    <row r="64792" spans="23:23" x14ac:dyDescent="0.55000000000000004">
      <c r="W64792"/>
    </row>
    <row r="64793" spans="23:23" x14ac:dyDescent="0.55000000000000004">
      <c r="W64793"/>
    </row>
    <row r="64794" spans="23:23" x14ac:dyDescent="0.55000000000000004">
      <c r="W64794"/>
    </row>
    <row r="64795" spans="23:23" x14ac:dyDescent="0.55000000000000004">
      <c r="W64795"/>
    </row>
    <row r="64796" spans="23:23" x14ac:dyDescent="0.55000000000000004">
      <c r="W64796"/>
    </row>
    <row r="64797" spans="23:23" x14ac:dyDescent="0.55000000000000004">
      <c r="W64797"/>
    </row>
    <row r="64798" spans="23:23" x14ac:dyDescent="0.55000000000000004">
      <c r="W64798"/>
    </row>
    <row r="64799" spans="23:23" x14ac:dyDescent="0.55000000000000004">
      <c r="W64799"/>
    </row>
    <row r="64800" spans="23:23" x14ac:dyDescent="0.55000000000000004">
      <c r="W64800"/>
    </row>
    <row r="64801" spans="23:23" x14ac:dyDescent="0.55000000000000004">
      <c r="W64801"/>
    </row>
    <row r="64802" spans="23:23" x14ac:dyDescent="0.55000000000000004">
      <c r="W64802"/>
    </row>
    <row r="64803" spans="23:23" x14ac:dyDescent="0.55000000000000004">
      <c r="W64803"/>
    </row>
    <row r="64804" spans="23:23" x14ac:dyDescent="0.55000000000000004">
      <c r="W64804"/>
    </row>
    <row r="64805" spans="23:23" x14ac:dyDescent="0.55000000000000004">
      <c r="W64805"/>
    </row>
    <row r="64806" spans="23:23" x14ac:dyDescent="0.55000000000000004">
      <c r="W64806"/>
    </row>
    <row r="64807" spans="23:23" x14ac:dyDescent="0.55000000000000004">
      <c r="W64807"/>
    </row>
    <row r="64808" spans="23:23" x14ac:dyDescent="0.55000000000000004">
      <c r="W64808"/>
    </row>
    <row r="64809" spans="23:23" x14ac:dyDescent="0.55000000000000004">
      <c r="W64809"/>
    </row>
    <row r="64810" spans="23:23" x14ac:dyDescent="0.55000000000000004">
      <c r="W64810"/>
    </row>
    <row r="64811" spans="23:23" x14ac:dyDescent="0.55000000000000004">
      <c r="W64811"/>
    </row>
    <row r="64812" spans="23:23" x14ac:dyDescent="0.55000000000000004">
      <c r="W64812"/>
    </row>
    <row r="64813" spans="23:23" x14ac:dyDescent="0.55000000000000004">
      <c r="W64813"/>
    </row>
    <row r="64814" spans="23:23" x14ac:dyDescent="0.55000000000000004">
      <c r="W64814"/>
    </row>
    <row r="64815" spans="23:23" x14ac:dyDescent="0.55000000000000004">
      <c r="W64815"/>
    </row>
    <row r="64816" spans="23:23" x14ac:dyDescent="0.55000000000000004">
      <c r="W64816"/>
    </row>
    <row r="64817" spans="23:23" x14ac:dyDescent="0.55000000000000004">
      <c r="W64817"/>
    </row>
    <row r="64818" spans="23:23" x14ac:dyDescent="0.55000000000000004">
      <c r="W64818"/>
    </row>
    <row r="64819" spans="23:23" x14ac:dyDescent="0.55000000000000004">
      <c r="W64819"/>
    </row>
    <row r="64820" spans="23:23" x14ac:dyDescent="0.55000000000000004">
      <c r="W64820"/>
    </row>
    <row r="64821" spans="23:23" x14ac:dyDescent="0.55000000000000004">
      <c r="W64821"/>
    </row>
    <row r="64822" spans="23:23" x14ac:dyDescent="0.55000000000000004">
      <c r="W64822"/>
    </row>
    <row r="64823" spans="23:23" x14ac:dyDescent="0.55000000000000004">
      <c r="W64823"/>
    </row>
    <row r="64824" spans="23:23" x14ac:dyDescent="0.55000000000000004">
      <c r="W64824"/>
    </row>
    <row r="64825" spans="23:23" x14ac:dyDescent="0.55000000000000004">
      <c r="W64825"/>
    </row>
    <row r="64826" spans="23:23" x14ac:dyDescent="0.55000000000000004">
      <c r="W64826"/>
    </row>
    <row r="64827" spans="23:23" x14ac:dyDescent="0.55000000000000004">
      <c r="W64827"/>
    </row>
    <row r="64828" spans="23:23" x14ac:dyDescent="0.55000000000000004">
      <c r="W64828"/>
    </row>
    <row r="64829" spans="23:23" x14ac:dyDescent="0.55000000000000004">
      <c r="W64829"/>
    </row>
    <row r="64830" spans="23:23" x14ac:dyDescent="0.55000000000000004">
      <c r="W64830"/>
    </row>
    <row r="64831" spans="23:23" x14ac:dyDescent="0.55000000000000004">
      <c r="W64831"/>
    </row>
    <row r="64832" spans="23:23" x14ac:dyDescent="0.55000000000000004">
      <c r="W64832"/>
    </row>
    <row r="64833" spans="23:23" x14ac:dyDescent="0.55000000000000004">
      <c r="W64833"/>
    </row>
    <row r="64834" spans="23:23" x14ac:dyDescent="0.55000000000000004">
      <c r="W64834"/>
    </row>
    <row r="64835" spans="23:23" x14ac:dyDescent="0.55000000000000004">
      <c r="W64835"/>
    </row>
    <row r="64836" spans="23:23" x14ac:dyDescent="0.55000000000000004">
      <c r="W64836"/>
    </row>
    <row r="64837" spans="23:23" x14ac:dyDescent="0.55000000000000004">
      <c r="W64837"/>
    </row>
    <row r="64838" spans="23:23" x14ac:dyDescent="0.55000000000000004">
      <c r="W64838"/>
    </row>
    <row r="64839" spans="23:23" x14ac:dyDescent="0.55000000000000004">
      <c r="W64839"/>
    </row>
    <row r="64840" spans="23:23" x14ac:dyDescent="0.55000000000000004">
      <c r="W64840"/>
    </row>
    <row r="64841" spans="23:23" x14ac:dyDescent="0.55000000000000004">
      <c r="W64841"/>
    </row>
    <row r="64842" spans="23:23" x14ac:dyDescent="0.55000000000000004">
      <c r="W64842"/>
    </row>
    <row r="64843" spans="23:23" x14ac:dyDescent="0.55000000000000004">
      <c r="W64843"/>
    </row>
    <row r="64844" spans="23:23" x14ac:dyDescent="0.55000000000000004">
      <c r="W64844"/>
    </row>
    <row r="64845" spans="23:23" x14ac:dyDescent="0.55000000000000004">
      <c r="W64845"/>
    </row>
    <row r="64846" spans="23:23" x14ac:dyDescent="0.55000000000000004">
      <c r="W64846"/>
    </row>
    <row r="64847" spans="23:23" x14ac:dyDescent="0.55000000000000004">
      <c r="W64847"/>
    </row>
    <row r="64848" spans="23:23" x14ac:dyDescent="0.55000000000000004">
      <c r="W64848"/>
    </row>
    <row r="64849" spans="23:23" x14ac:dyDescent="0.55000000000000004">
      <c r="W64849"/>
    </row>
    <row r="64850" spans="23:23" x14ac:dyDescent="0.55000000000000004">
      <c r="W64850"/>
    </row>
    <row r="64851" spans="23:23" x14ac:dyDescent="0.55000000000000004">
      <c r="W64851"/>
    </row>
    <row r="64852" spans="23:23" x14ac:dyDescent="0.55000000000000004">
      <c r="W64852"/>
    </row>
    <row r="64853" spans="23:23" x14ac:dyDescent="0.55000000000000004">
      <c r="W64853"/>
    </row>
    <row r="64854" spans="23:23" x14ac:dyDescent="0.55000000000000004">
      <c r="W64854"/>
    </row>
    <row r="64855" spans="23:23" x14ac:dyDescent="0.55000000000000004">
      <c r="W64855"/>
    </row>
    <row r="64856" spans="23:23" x14ac:dyDescent="0.55000000000000004">
      <c r="W64856"/>
    </row>
    <row r="64857" spans="23:23" x14ac:dyDescent="0.55000000000000004">
      <c r="W64857"/>
    </row>
    <row r="64858" spans="23:23" x14ac:dyDescent="0.55000000000000004">
      <c r="W64858"/>
    </row>
    <row r="64859" spans="23:23" x14ac:dyDescent="0.55000000000000004">
      <c r="W64859"/>
    </row>
    <row r="64860" spans="23:23" x14ac:dyDescent="0.55000000000000004">
      <c r="W64860"/>
    </row>
    <row r="64861" spans="23:23" x14ac:dyDescent="0.55000000000000004">
      <c r="W64861"/>
    </row>
    <row r="64862" spans="23:23" x14ac:dyDescent="0.55000000000000004">
      <c r="W64862"/>
    </row>
    <row r="64863" spans="23:23" x14ac:dyDescent="0.55000000000000004">
      <c r="W64863"/>
    </row>
    <row r="64864" spans="23:23" x14ac:dyDescent="0.55000000000000004">
      <c r="W64864"/>
    </row>
    <row r="64865" spans="23:23" x14ac:dyDescent="0.55000000000000004">
      <c r="W64865"/>
    </row>
    <row r="64866" spans="23:23" x14ac:dyDescent="0.55000000000000004">
      <c r="W64866"/>
    </row>
    <row r="64867" spans="23:23" x14ac:dyDescent="0.55000000000000004">
      <c r="W64867"/>
    </row>
    <row r="64868" spans="23:23" x14ac:dyDescent="0.55000000000000004">
      <c r="W64868"/>
    </row>
    <row r="64869" spans="23:23" x14ac:dyDescent="0.55000000000000004">
      <c r="W64869"/>
    </row>
    <row r="64870" spans="23:23" x14ac:dyDescent="0.55000000000000004">
      <c r="W64870"/>
    </row>
    <row r="64871" spans="23:23" x14ac:dyDescent="0.55000000000000004">
      <c r="W64871"/>
    </row>
    <row r="64872" spans="23:23" x14ac:dyDescent="0.55000000000000004">
      <c r="W64872"/>
    </row>
    <row r="64873" spans="23:23" x14ac:dyDescent="0.55000000000000004">
      <c r="W64873"/>
    </row>
    <row r="64874" spans="23:23" x14ac:dyDescent="0.55000000000000004">
      <c r="W64874"/>
    </row>
    <row r="64875" spans="23:23" x14ac:dyDescent="0.55000000000000004">
      <c r="W64875"/>
    </row>
    <row r="64876" spans="23:23" x14ac:dyDescent="0.55000000000000004">
      <c r="W64876"/>
    </row>
    <row r="64877" spans="23:23" x14ac:dyDescent="0.55000000000000004">
      <c r="W64877"/>
    </row>
    <row r="64878" spans="23:23" x14ac:dyDescent="0.55000000000000004">
      <c r="W64878"/>
    </row>
    <row r="64879" spans="23:23" x14ac:dyDescent="0.55000000000000004">
      <c r="W64879"/>
    </row>
    <row r="64880" spans="23:23" x14ac:dyDescent="0.55000000000000004">
      <c r="W64880"/>
    </row>
    <row r="64881" spans="23:23" x14ac:dyDescent="0.55000000000000004">
      <c r="W64881"/>
    </row>
    <row r="64882" spans="23:23" x14ac:dyDescent="0.55000000000000004">
      <c r="W64882"/>
    </row>
    <row r="64883" spans="23:23" x14ac:dyDescent="0.55000000000000004">
      <c r="W64883"/>
    </row>
    <row r="64884" spans="23:23" x14ac:dyDescent="0.55000000000000004">
      <c r="W64884"/>
    </row>
    <row r="64885" spans="23:23" x14ac:dyDescent="0.55000000000000004">
      <c r="W64885"/>
    </row>
    <row r="64886" spans="23:23" x14ac:dyDescent="0.55000000000000004">
      <c r="W64886"/>
    </row>
    <row r="64887" spans="23:23" x14ac:dyDescent="0.55000000000000004">
      <c r="W64887"/>
    </row>
    <row r="64888" spans="23:23" x14ac:dyDescent="0.55000000000000004">
      <c r="W64888"/>
    </row>
    <row r="64889" spans="23:23" x14ac:dyDescent="0.55000000000000004">
      <c r="W64889"/>
    </row>
    <row r="64890" spans="23:23" x14ac:dyDescent="0.55000000000000004">
      <c r="W64890"/>
    </row>
    <row r="64891" spans="23:23" x14ac:dyDescent="0.55000000000000004">
      <c r="W64891"/>
    </row>
    <row r="64892" spans="23:23" x14ac:dyDescent="0.55000000000000004">
      <c r="W64892"/>
    </row>
    <row r="64893" spans="23:23" x14ac:dyDescent="0.55000000000000004">
      <c r="W64893"/>
    </row>
    <row r="64894" spans="23:23" x14ac:dyDescent="0.55000000000000004">
      <c r="W64894"/>
    </row>
    <row r="64895" spans="23:23" x14ac:dyDescent="0.55000000000000004">
      <c r="W64895"/>
    </row>
    <row r="64896" spans="23:23" x14ac:dyDescent="0.55000000000000004">
      <c r="W64896"/>
    </row>
    <row r="64897" spans="23:23" x14ac:dyDescent="0.55000000000000004">
      <c r="W64897"/>
    </row>
    <row r="64898" spans="23:23" x14ac:dyDescent="0.55000000000000004">
      <c r="W64898"/>
    </row>
    <row r="64899" spans="23:23" x14ac:dyDescent="0.55000000000000004">
      <c r="W64899"/>
    </row>
    <row r="64900" spans="23:23" x14ac:dyDescent="0.55000000000000004">
      <c r="W64900"/>
    </row>
    <row r="64901" spans="23:23" x14ac:dyDescent="0.55000000000000004">
      <c r="W64901"/>
    </row>
    <row r="64902" spans="23:23" x14ac:dyDescent="0.55000000000000004">
      <c r="W64902"/>
    </row>
    <row r="64903" spans="23:23" x14ac:dyDescent="0.55000000000000004">
      <c r="W64903"/>
    </row>
    <row r="64904" spans="23:23" x14ac:dyDescent="0.55000000000000004">
      <c r="W64904"/>
    </row>
    <row r="64905" spans="23:23" x14ac:dyDescent="0.55000000000000004">
      <c r="W64905"/>
    </row>
    <row r="64906" spans="23:23" x14ac:dyDescent="0.55000000000000004">
      <c r="W64906"/>
    </row>
    <row r="64907" spans="23:23" x14ac:dyDescent="0.55000000000000004">
      <c r="W64907"/>
    </row>
    <row r="64908" spans="23:23" x14ac:dyDescent="0.55000000000000004">
      <c r="W64908"/>
    </row>
    <row r="64909" spans="23:23" x14ac:dyDescent="0.55000000000000004">
      <c r="W64909"/>
    </row>
    <row r="64910" spans="23:23" x14ac:dyDescent="0.55000000000000004">
      <c r="W64910"/>
    </row>
    <row r="64911" spans="23:23" x14ac:dyDescent="0.55000000000000004">
      <c r="W64911"/>
    </row>
    <row r="64912" spans="23:23" x14ac:dyDescent="0.55000000000000004">
      <c r="W64912"/>
    </row>
    <row r="64913" spans="23:23" x14ac:dyDescent="0.55000000000000004">
      <c r="W64913"/>
    </row>
    <row r="64914" spans="23:23" x14ac:dyDescent="0.55000000000000004">
      <c r="W64914"/>
    </row>
    <row r="64915" spans="23:23" x14ac:dyDescent="0.55000000000000004">
      <c r="W64915"/>
    </row>
    <row r="64916" spans="23:23" x14ac:dyDescent="0.55000000000000004">
      <c r="W64916"/>
    </row>
    <row r="64917" spans="23:23" x14ac:dyDescent="0.55000000000000004">
      <c r="W64917"/>
    </row>
    <row r="64918" spans="23:23" x14ac:dyDescent="0.55000000000000004">
      <c r="W64918"/>
    </row>
    <row r="64919" spans="23:23" x14ac:dyDescent="0.55000000000000004">
      <c r="W64919"/>
    </row>
    <row r="64920" spans="23:23" x14ac:dyDescent="0.55000000000000004">
      <c r="W64920"/>
    </row>
    <row r="64921" spans="23:23" x14ac:dyDescent="0.55000000000000004">
      <c r="W64921"/>
    </row>
    <row r="64922" spans="23:23" x14ac:dyDescent="0.55000000000000004">
      <c r="W64922"/>
    </row>
    <row r="64923" spans="23:23" x14ac:dyDescent="0.55000000000000004">
      <c r="W64923"/>
    </row>
    <row r="64924" spans="23:23" x14ac:dyDescent="0.55000000000000004">
      <c r="W64924"/>
    </row>
    <row r="64925" spans="23:23" x14ac:dyDescent="0.55000000000000004">
      <c r="W64925"/>
    </row>
    <row r="64926" spans="23:23" x14ac:dyDescent="0.55000000000000004">
      <c r="W64926"/>
    </row>
    <row r="64927" spans="23:23" x14ac:dyDescent="0.55000000000000004">
      <c r="W64927"/>
    </row>
    <row r="64928" spans="23:23" x14ac:dyDescent="0.55000000000000004">
      <c r="W64928"/>
    </row>
    <row r="64929" spans="23:23" x14ac:dyDescent="0.55000000000000004">
      <c r="W64929"/>
    </row>
    <row r="64930" spans="23:23" x14ac:dyDescent="0.55000000000000004">
      <c r="W64930"/>
    </row>
    <row r="64931" spans="23:23" x14ac:dyDescent="0.55000000000000004">
      <c r="W64931"/>
    </row>
    <row r="64932" spans="23:23" x14ac:dyDescent="0.55000000000000004">
      <c r="W64932"/>
    </row>
    <row r="64933" spans="23:23" x14ac:dyDescent="0.55000000000000004">
      <c r="W64933"/>
    </row>
    <row r="64934" spans="23:23" x14ac:dyDescent="0.55000000000000004">
      <c r="W64934"/>
    </row>
    <row r="64935" spans="23:23" x14ac:dyDescent="0.55000000000000004">
      <c r="W64935"/>
    </row>
    <row r="64936" spans="23:23" x14ac:dyDescent="0.55000000000000004">
      <c r="W64936"/>
    </row>
    <row r="64937" spans="23:23" x14ac:dyDescent="0.55000000000000004">
      <c r="W64937"/>
    </row>
    <row r="64938" spans="23:23" x14ac:dyDescent="0.55000000000000004">
      <c r="W64938"/>
    </row>
    <row r="64939" spans="23:23" x14ac:dyDescent="0.55000000000000004">
      <c r="W64939"/>
    </row>
    <row r="64940" spans="23:23" x14ac:dyDescent="0.55000000000000004">
      <c r="W64940"/>
    </row>
    <row r="64941" spans="23:23" x14ac:dyDescent="0.55000000000000004">
      <c r="W64941"/>
    </row>
    <row r="64942" spans="23:23" x14ac:dyDescent="0.55000000000000004">
      <c r="W64942"/>
    </row>
    <row r="64943" spans="23:23" x14ac:dyDescent="0.55000000000000004">
      <c r="W64943"/>
    </row>
    <row r="64944" spans="23:23" x14ac:dyDescent="0.55000000000000004">
      <c r="W64944"/>
    </row>
    <row r="64945" spans="23:23" x14ac:dyDescent="0.55000000000000004">
      <c r="W64945"/>
    </row>
    <row r="64946" spans="23:23" x14ac:dyDescent="0.55000000000000004">
      <c r="W64946"/>
    </row>
    <row r="64947" spans="23:23" x14ac:dyDescent="0.55000000000000004">
      <c r="W64947"/>
    </row>
    <row r="64948" spans="23:23" x14ac:dyDescent="0.55000000000000004">
      <c r="W64948"/>
    </row>
    <row r="64949" spans="23:23" x14ac:dyDescent="0.55000000000000004">
      <c r="W64949"/>
    </row>
    <row r="64950" spans="23:23" x14ac:dyDescent="0.55000000000000004">
      <c r="W64950"/>
    </row>
    <row r="64951" spans="23:23" x14ac:dyDescent="0.55000000000000004">
      <c r="W64951"/>
    </row>
    <row r="64952" spans="23:23" x14ac:dyDescent="0.55000000000000004">
      <c r="W64952"/>
    </row>
    <row r="64953" spans="23:23" x14ac:dyDescent="0.55000000000000004">
      <c r="W64953"/>
    </row>
    <row r="64954" spans="23:23" x14ac:dyDescent="0.55000000000000004">
      <c r="W64954"/>
    </row>
    <row r="64955" spans="23:23" x14ac:dyDescent="0.55000000000000004">
      <c r="W64955"/>
    </row>
    <row r="64956" spans="23:23" x14ac:dyDescent="0.55000000000000004">
      <c r="W64956"/>
    </row>
    <row r="64957" spans="23:23" x14ac:dyDescent="0.55000000000000004">
      <c r="W64957"/>
    </row>
    <row r="64958" spans="23:23" x14ac:dyDescent="0.55000000000000004">
      <c r="W64958"/>
    </row>
    <row r="64959" spans="23:23" x14ac:dyDescent="0.55000000000000004">
      <c r="W64959"/>
    </row>
    <row r="64960" spans="23:23" x14ac:dyDescent="0.55000000000000004">
      <c r="W64960"/>
    </row>
    <row r="64961" spans="23:23" x14ac:dyDescent="0.55000000000000004">
      <c r="W64961"/>
    </row>
    <row r="64962" spans="23:23" x14ac:dyDescent="0.55000000000000004">
      <c r="W64962"/>
    </row>
    <row r="64963" spans="23:23" x14ac:dyDescent="0.55000000000000004">
      <c r="W64963"/>
    </row>
    <row r="64964" spans="23:23" x14ac:dyDescent="0.55000000000000004">
      <c r="W64964"/>
    </row>
    <row r="64965" spans="23:23" x14ac:dyDescent="0.55000000000000004">
      <c r="W64965"/>
    </row>
    <row r="64966" spans="23:23" x14ac:dyDescent="0.55000000000000004">
      <c r="W64966"/>
    </row>
    <row r="64967" spans="23:23" x14ac:dyDescent="0.55000000000000004">
      <c r="W64967"/>
    </row>
    <row r="64968" spans="23:23" x14ac:dyDescent="0.55000000000000004">
      <c r="W64968"/>
    </row>
    <row r="64969" spans="23:23" x14ac:dyDescent="0.55000000000000004">
      <c r="W64969"/>
    </row>
    <row r="64970" spans="23:23" x14ac:dyDescent="0.55000000000000004">
      <c r="W64970"/>
    </row>
    <row r="64971" spans="23:23" x14ac:dyDescent="0.55000000000000004">
      <c r="W64971"/>
    </row>
    <row r="64972" spans="23:23" x14ac:dyDescent="0.55000000000000004">
      <c r="W64972"/>
    </row>
    <row r="64973" spans="23:23" x14ac:dyDescent="0.55000000000000004">
      <c r="W64973"/>
    </row>
    <row r="64974" spans="23:23" x14ac:dyDescent="0.55000000000000004">
      <c r="W64974"/>
    </row>
    <row r="64975" spans="23:23" x14ac:dyDescent="0.55000000000000004">
      <c r="W64975"/>
    </row>
    <row r="64976" spans="23:23" x14ac:dyDescent="0.55000000000000004">
      <c r="W64976"/>
    </row>
    <row r="64977" spans="23:23" x14ac:dyDescent="0.55000000000000004">
      <c r="W64977"/>
    </row>
    <row r="64978" spans="23:23" x14ac:dyDescent="0.55000000000000004">
      <c r="W64978"/>
    </row>
    <row r="64979" spans="23:23" x14ac:dyDescent="0.55000000000000004">
      <c r="W64979"/>
    </row>
    <row r="64980" spans="23:23" x14ac:dyDescent="0.55000000000000004">
      <c r="W64980"/>
    </row>
    <row r="64981" spans="23:23" x14ac:dyDescent="0.55000000000000004">
      <c r="W64981"/>
    </row>
    <row r="64982" spans="23:23" x14ac:dyDescent="0.55000000000000004">
      <c r="W64982"/>
    </row>
    <row r="64983" spans="23:23" x14ac:dyDescent="0.55000000000000004">
      <c r="W64983"/>
    </row>
    <row r="64984" spans="23:23" x14ac:dyDescent="0.55000000000000004">
      <c r="W64984"/>
    </row>
    <row r="64985" spans="23:23" x14ac:dyDescent="0.55000000000000004">
      <c r="W64985"/>
    </row>
    <row r="64986" spans="23:23" x14ac:dyDescent="0.55000000000000004">
      <c r="W64986"/>
    </row>
    <row r="64987" spans="23:23" x14ac:dyDescent="0.55000000000000004">
      <c r="W64987"/>
    </row>
    <row r="64988" spans="23:23" x14ac:dyDescent="0.55000000000000004">
      <c r="W64988"/>
    </row>
    <row r="64989" spans="23:23" x14ac:dyDescent="0.55000000000000004">
      <c r="W64989"/>
    </row>
    <row r="64990" spans="23:23" x14ac:dyDescent="0.55000000000000004">
      <c r="W64990"/>
    </row>
    <row r="64991" spans="23:23" x14ac:dyDescent="0.55000000000000004">
      <c r="W64991"/>
    </row>
    <row r="64992" spans="23:23" x14ac:dyDescent="0.55000000000000004">
      <c r="W64992"/>
    </row>
    <row r="64993" spans="23:23" x14ac:dyDescent="0.55000000000000004">
      <c r="W64993"/>
    </row>
    <row r="64994" spans="23:23" x14ac:dyDescent="0.55000000000000004">
      <c r="W64994"/>
    </row>
    <row r="64995" spans="23:23" x14ac:dyDescent="0.55000000000000004">
      <c r="W64995"/>
    </row>
    <row r="64996" spans="23:23" x14ac:dyDescent="0.55000000000000004">
      <c r="W64996"/>
    </row>
    <row r="64997" spans="23:23" x14ac:dyDescent="0.55000000000000004">
      <c r="W64997"/>
    </row>
    <row r="64998" spans="23:23" x14ac:dyDescent="0.55000000000000004">
      <c r="W64998"/>
    </row>
    <row r="64999" spans="23:23" x14ac:dyDescent="0.55000000000000004">
      <c r="W64999"/>
    </row>
    <row r="65000" spans="23:23" x14ac:dyDescent="0.55000000000000004">
      <c r="W65000"/>
    </row>
    <row r="65001" spans="23:23" x14ac:dyDescent="0.55000000000000004">
      <c r="W65001"/>
    </row>
    <row r="65002" spans="23:23" x14ac:dyDescent="0.55000000000000004">
      <c r="W65002"/>
    </row>
    <row r="65003" spans="23:23" x14ac:dyDescent="0.55000000000000004">
      <c r="W65003"/>
    </row>
    <row r="65004" spans="23:23" x14ac:dyDescent="0.55000000000000004">
      <c r="W65004"/>
    </row>
    <row r="65005" spans="23:23" x14ac:dyDescent="0.55000000000000004">
      <c r="W65005"/>
    </row>
    <row r="65006" spans="23:23" x14ac:dyDescent="0.55000000000000004">
      <c r="W65006"/>
    </row>
    <row r="65007" spans="23:23" x14ac:dyDescent="0.55000000000000004">
      <c r="W65007"/>
    </row>
    <row r="65008" spans="23:23" x14ac:dyDescent="0.55000000000000004">
      <c r="W65008"/>
    </row>
    <row r="65009" spans="23:23" x14ac:dyDescent="0.55000000000000004">
      <c r="W65009"/>
    </row>
    <row r="65010" spans="23:23" x14ac:dyDescent="0.55000000000000004">
      <c r="W65010"/>
    </row>
    <row r="65011" spans="23:23" x14ac:dyDescent="0.55000000000000004">
      <c r="W65011"/>
    </row>
    <row r="65012" spans="23:23" x14ac:dyDescent="0.55000000000000004">
      <c r="W65012"/>
    </row>
    <row r="65013" spans="23:23" x14ac:dyDescent="0.55000000000000004">
      <c r="W65013"/>
    </row>
    <row r="65014" spans="23:23" x14ac:dyDescent="0.55000000000000004">
      <c r="W65014"/>
    </row>
    <row r="65015" spans="23:23" x14ac:dyDescent="0.55000000000000004">
      <c r="W65015"/>
    </row>
    <row r="65016" spans="23:23" x14ac:dyDescent="0.55000000000000004">
      <c r="W65016"/>
    </row>
    <row r="65017" spans="23:23" x14ac:dyDescent="0.55000000000000004">
      <c r="W65017"/>
    </row>
    <row r="65018" spans="23:23" x14ac:dyDescent="0.55000000000000004">
      <c r="W65018"/>
    </row>
    <row r="65019" spans="23:23" x14ac:dyDescent="0.55000000000000004">
      <c r="W65019"/>
    </row>
    <row r="65020" spans="23:23" x14ac:dyDescent="0.55000000000000004">
      <c r="W65020"/>
    </row>
    <row r="65021" spans="23:23" x14ac:dyDescent="0.55000000000000004">
      <c r="W65021"/>
    </row>
    <row r="65022" spans="23:23" x14ac:dyDescent="0.55000000000000004">
      <c r="W65022"/>
    </row>
    <row r="65023" spans="23:23" x14ac:dyDescent="0.55000000000000004">
      <c r="W65023"/>
    </row>
    <row r="65024" spans="23:23" x14ac:dyDescent="0.55000000000000004">
      <c r="W65024"/>
    </row>
    <row r="65025" spans="23:23" x14ac:dyDescent="0.55000000000000004">
      <c r="W65025"/>
    </row>
    <row r="65026" spans="23:23" x14ac:dyDescent="0.55000000000000004">
      <c r="W65026"/>
    </row>
    <row r="65027" spans="23:23" x14ac:dyDescent="0.55000000000000004">
      <c r="W65027"/>
    </row>
    <row r="65028" spans="23:23" x14ac:dyDescent="0.55000000000000004">
      <c r="W65028"/>
    </row>
    <row r="65029" spans="23:23" x14ac:dyDescent="0.55000000000000004">
      <c r="W65029"/>
    </row>
    <row r="65030" spans="23:23" x14ac:dyDescent="0.55000000000000004">
      <c r="W65030"/>
    </row>
    <row r="65031" spans="23:23" x14ac:dyDescent="0.55000000000000004">
      <c r="W65031"/>
    </row>
    <row r="65032" spans="23:23" x14ac:dyDescent="0.55000000000000004">
      <c r="W65032"/>
    </row>
    <row r="65033" spans="23:23" x14ac:dyDescent="0.55000000000000004">
      <c r="W65033"/>
    </row>
    <row r="65034" spans="23:23" x14ac:dyDescent="0.55000000000000004">
      <c r="W65034"/>
    </row>
    <row r="65035" spans="23:23" x14ac:dyDescent="0.55000000000000004">
      <c r="W65035"/>
    </row>
    <row r="65036" spans="23:23" x14ac:dyDescent="0.55000000000000004">
      <c r="W65036"/>
    </row>
    <row r="65037" spans="23:23" x14ac:dyDescent="0.55000000000000004">
      <c r="W65037"/>
    </row>
    <row r="65038" spans="23:23" x14ac:dyDescent="0.55000000000000004">
      <c r="W65038"/>
    </row>
    <row r="65039" spans="23:23" x14ac:dyDescent="0.55000000000000004">
      <c r="W65039"/>
    </row>
    <row r="65040" spans="23:23" x14ac:dyDescent="0.55000000000000004">
      <c r="W65040"/>
    </row>
    <row r="65041" spans="23:23" x14ac:dyDescent="0.55000000000000004">
      <c r="W65041"/>
    </row>
    <row r="65042" spans="23:23" x14ac:dyDescent="0.55000000000000004">
      <c r="W65042"/>
    </row>
    <row r="65043" spans="23:23" x14ac:dyDescent="0.55000000000000004">
      <c r="W65043"/>
    </row>
    <row r="65044" spans="23:23" x14ac:dyDescent="0.55000000000000004">
      <c r="W65044"/>
    </row>
    <row r="65045" spans="23:23" x14ac:dyDescent="0.55000000000000004">
      <c r="W65045"/>
    </row>
    <row r="65046" spans="23:23" x14ac:dyDescent="0.55000000000000004">
      <c r="W65046"/>
    </row>
    <row r="65047" spans="23:23" x14ac:dyDescent="0.55000000000000004">
      <c r="W65047"/>
    </row>
    <row r="65048" spans="23:23" x14ac:dyDescent="0.55000000000000004">
      <c r="W65048"/>
    </row>
    <row r="65049" spans="23:23" x14ac:dyDescent="0.55000000000000004">
      <c r="W65049"/>
    </row>
    <row r="65050" spans="23:23" x14ac:dyDescent="0.55000000000000004">
      <c r="W65050"/>
    </row>
    <row r="65051" spans="23:23" x14ac:dyDescent="0.55000000000000004">
      <c r="W65051"/>
    </row>
    <row r="65052" spans="23:23" x14ac:dyDescent="0.55000000000000004">
      <c r="W65052"/>
    </row>
    <row r="65053" spans="23:23" x14ac:dyDescent="0.55000000000000004">
      <c r="W65053"/>
    </row>
    <row r="65054" spans="23:23" x14ac:dyDescent="0.55000000000000004">
      <c r="W65054"/>
    </row>
    <row r="65055" spans="23:23" x14ac:dyDescent="0.55000000000000004">
      <c r="W65055"/>
    </row>
    <row r="65056" spans="23:23" x14ac:dyDescent="0.55000000000000004">
      <c r="W65056"/>
    </row>
    <row r="65057" spans="23:23" x14ac:dyDescent="0.55000000000000004">
      <c r="W65057"/>
    </row>
    <row r="65058" spans="23:23" x14ac:dyDescent="0.55000000000000004">
      <c r="W65058"/>
    </row>
    <row r="65059" spans="23:23" x14ac:dyDescent="0.55000000000000004">
      <c r="W65059"/>
    </row>
    <row r="65060" spans="23:23" x14ac:dyDescent="0.55000000000000004">
      <c r="W65060"/>
    </row>
    <row r="65061" spans="23:23" x14ac:dyDescent="0.55000000000000004">
      <c r="W65061"/>
    </row>
    <row r="65062" spans="23:23" x14ac:dyDescent="0.55000000000000004">
      <c r="W65062"/>
    </row>
    <row r="65063" spans="23:23" x14ac:dyDescent="0.55000000000000004">
      <c r="W65063"/>
    </row>
    <row r="65064" spans="23:23" x14ac:dyDescent="0.55000000000000004">
      <c r="W65064"/>
    </row>
    <row r="65065" spans="23:23" x14ac:dyDescent="0.55000000000000004">
      <c r="W65065"/>
    </row>
    <row r="65066" spans="23:23" x14ac:dyDescent="0.55000000000000004">
      <c r="W65066"/>
    </row>
    <row r="65067" spans="23:23" x14ac:dyDescent="0.55000000000000004">
      <c r="W65067"/>
    </row>
    <row r="65068" spans="23:23" x14ac:dyDescent="0.55000000000000004">
      <c r="W65068"/>
    </row>
    <row r="65069" spans="23:23" x14ac:dyDescent="0.55000000000000004">
      <c r="W65069"/>
    </row>
    <row r="65070" spans="23:23" x14ac:dyDescent="0.55000000000000004">
      <c r="W65070"/>
    </row>
    <row r="65071" spans="23:23" x14ac:dyDescent="0.55000000000000004">
      <c r="W65071"/>
    </row>
    <row r="65072" spans="23:23" x14ac:dyDescent="0.55000000000000004">
      <c r="W65072"/>
    </row>
    <row r="65073" spans="23:23" x14ac:dyDescent="0.55000000000000004">
      <c r="W65073"/>
    </row>
    <row r="65074" spans="23:23" x14ac:dyDescent="0.55000000000000004">
      <c r="W65074"/>
    </row>
    <row r="65075" spans="23:23" x14ac:dyDescent="0.55000000000000004">
      <c r="W65075"/>
    </row>
    <row r="65076" spans="23:23" x14ac:dyDescent="0.55000000000000004">
      <c r="W65076"/>
    </row>
    <row r="65077" spans="23:23" x14ac:dyDescent="0.55000000000000004">
      <c r="W65077"/>
    </row>
    <row r="65078" spans="23:23" x14ac:dyDescent="0.55000000000000004">
      <c r="W65078"/>
    </row>
    <row r="65079" spans="23:23" x14ac:dyDescent="0.55000000000000004">
      <c r="W65079"/>
    </row>
    <row r="65080" spans="23:23" x14ac:dyDescent="0.55000000000000004">
      <c r="W65080"/>
    </row>
    <row r="65081" spans="23:23" x14ac:dyDescent="0.55000000000000004">
      <c r="W65081"/>
    </row>
    <row r="65082" spans="23:23" x14ac:dyDescent="0.55000000000000004">
      <c r="W65082"/>
    </row>
    <row r="65083" spans="23:23" x14ac:dyDescent="0.55000000000000004">
      <c r="W65083"/>
    </row>
    <row r="65084" spans="23:23" x14ac:dyDescent="0.55000000000000004">
      <c r="W65084"/>
    </row>
    <row r="65085" spans="23:23" x14ac:dyDescent="0.55000000000000004">
      <c r="W65085"/>
    </row>
    <row r="65086" spans="23:23" x14ac:dyDescent="0.55000000000000004">
      <c r="W65086"/>
    </row>
    <row r="65087" spans="23:23" x14ac:dyDescent="0.55000000000000004">
      <c r="W65087"/>
    </row>
    <row r="65088" spans="23:23" x14ac:dyDescent="0.55000000000000004">
      <c r="W65088"/>
    </row>
    <row r="65089" spans="23:23" x14ac:dyDescent="0.55000000000000004">
      <c r="W65089"/>
    </row>
    <row r="65090" spans="23:23" x14ac:dyDescent="0.55000000000000004">
      <c r="W65090"/>
    </row>
    <row r="65091" spans="23:23" x14ac:dyDescent="0.55000000000000004">
      <c r="W65091"/>
    </row>
    <row r="65092" spans="23:23" x14ac:dyDescent="0.55000000000000004">
      <c r="W65092"/>
    </row>
    <row r="65093" spans="23:23" x14ac:dyDescent="0.55000000000000004">
      <c r="W65093"/>
    </row>
    <row r="65094" spans="23:23" x14ac:dyDescent="0.55000000000000004">
      <c r="W65094"/>
    </row>
    <row r="65095" spans="23:23" x14ac:dyDescent="0.55000000000000004">
      <c r="W65095"/>
    </row>
    <row r="65096" spans="23:23" x14ac:dyDescent="0.55000000000000004">
      <c r="W65096"/>
    </row>
    <row r="65097" spans="23:23" x14ac:dyDescent="0.55000000000000004">
      <c r="W65097"/>
    </row>
    <row r="65098" spans="23:23" x14ac:dyDescent="0.55000000000000004">
      <c r="W65098"/>
    </row>
    <row r="65099" spans="23:23" x14ac:dyDescent="0.55000000000000004">
      <c r="W65099"/>
    </row>
    <row r="65100" spans="23:23" x14ac:dyDescent="0.55000000000000004">
      <c r="W65100"/>
    </row>
    <row r="65101" spans="23:23" x14ac:dyDescent="0.55000000000000004">
      <c r="W65101"/>
    </row>
    <row r="65102" spans="23:23" x14ac:dyDescent="0.55000000000000004">
      <c r="W65102"/>
    </row>
    <row r="65103" spans="23:23" x14ac:dyDescent="0.55000000000000004">
      <c r="W65103"/>
    </row>
    <row r="65104" spans="23:23" x14ac:dyDescent="0.55000000000000004">
      <c r="W65104"/>
    </row>
    <row r="65105" spans="23:23" x14ac:dyDescent="0.55000000000000004">
      <c r="W65105"/>
    </row>
    <row r="65106" spans="23:23" x14ac:dyDescent="0.55000000000000004">
      <c r="W65106"/>
    </row>
    <row r="65107" spans="23:23" x14ac:dyDescent="0.55000000000000004">
      <c r="W65107"/>
    </row>
    <row r="65108" spans="23:23" x14ac:dyDescent="0.55000000000000004">
      <c r="W65108"/>
    </row>
    <row r="65109" spans="23:23" x14ac:dyDescent="0.55000000000000004">
      <c r="W65109"/>
    </row>
    <row r="65110" spans="23:23" x14ac:dyDescent="0.55000000000000004">
      <c r="W65110"/>
    </row>
    <row r="65111" spans="23:23" x14ac:dyDescent="0.55000000000000004">
      <c r="W65111"/>
    </row>
    <row r="65112" spans="23:23" x14ac:dyDescent="0.55000000000000004">
      <c r="W65112"/>
    </row>
    <row r="65113" spans="23:23" x14ac:dyDescent="0.55000000000000004">
      <c r="W65113"/>
    </row>
    <row r="65114" spans="23:23" x14ac:dyDescent="0.55000000000000004">
      <c r="W65114"/>
    </row>
    <row r="65115" spans="23:23" x14ac:dyDescent="0.55000000000000004">
      <c r="W65115"/>
    </row>
    <row r="65116" spans="23:23" x14ac:dyDescent="0.55000000000000004">
      <c r="W65116"/>
    </row>
    <row r="65117" spans="23:23" x14ac:dyDescent="0.55000000000000004">
      <c r="W65117"/>
    </row>
    <row r="65118" spans="23:23" x14ac:dyDescent="0.55000000000000004">
      <c r="W65118"/>
    </row>
    <row r="65119" spans="23:23" x14ac:dyDescent="0.55000000000000004">
      <c r="W65119"/>
    </row>
    <row r="65120" spans="23:23" x14ac:dyDescent="0.55000000000000004">
      <c r="W65120"/>
    </row>
    <row r="65121" spans="23:23" x14ac:dyDescent="0.55000000000000004">
      <c r="W65121"/>
    </row>
    <row r="65122" spans="23:23" x14ac:dyDescent="0.55000000000000004">
      <c r="W65122"/>
    </row>
    <row r="65123" spans="23:23" x14ac:dyDescent="0.55000000000000004">
      <c r="W65123"/>
    </row>
    <row r="65124" spans="23:23" x14ac:dyDescent="0.55000000000000004">
      <c r="W65124"/>
    </row>
    <row r="65125" spans="23:23" x14ac:dyDescent="0.55000000000000004">
      <c r="W65125"/>
    </row>
    <row r="65126" spans="23:23" x14ac:dyDescent="0.55000000000000004">
      <c r="W65126"/>
    </row>
    <row r="65127" spans="23:23" x14ac:dyDescent="0.55000000000000004">
      <c r="W65127"/>
    </row>
    <row r="65128" spans="23:23" x14ac:dyDescent="0.55000000000000004">
      <c r="W65128"/>
    </row>
    <row r="65129" spans="23:23" x14ac:dyDescent="0.55000000000000004">
      <c r="W65129"/>
    </row>
    <row r="65130" spans="23:23" x14ac:dyDescent="0.55000000000000004">
      <c r="W65130"/>
    </row>
    <row r="65131" spans="23:23" x14ac:dyDescent="0.55000000000000004">
      <c r="W65131"/>
    </row>
    <row r="65132" spans="23:23" x14ac:dyDescent="0.55000000000000004">
      <c r="W65132"/>
    </row>
    <row r="65133" spans="23:23" x14ac:dyDescent="0.55000000000000004">
      <c r="W65133"/>
    </row>
    <row r="65134" spans="23:23" x14ac:dyDescent="0.55000000000000004">
      <c r="W65134"/>
    </row>
    <row r="65135" spans="23:23" x14ac:dyDescent="0.55000000000000004">
      <c r="W65135"/>
    </row>
    <row r="65136" spans="23:23" x14ac:dyDescent="0.55000000000000004">
      <c r="W65136"/>
    </row>
    <row r="65137" spans="23:23" x14ac:dyDescent="0.55000000000000004">
      <c r="W65137"/>
    </row>
    <row r="65138" spans="23:23" x14ac:dyDescent="0.55000000000000004">
      <c r="W65138"/>
    </row>
    <row r="65139" spans="23:23" x14ac:dyDescent="0.55000000000000004">
      <c r="W65139"/>
    </row>
    <row r="65140" spans="23:23" x14ac:dyDescent="0.55000000000000004">
      <c r="W65140"/>
    </row>
    <row r="65141" spans="23:23" x14ac:dyDescent="0.55000000000000004">
      <c r="W65141"/>
    </row>
    <row r="65142" spans="23:23" x14ac:dyDescent="0.55000000000000004">
      <c r="W65142"/>
    </row>
    <row r="65143" spans="23:23" x14ac:dyDescent="0.55000000000000004">
      <c r="W65143"/>
    </row>
    <row r="65144" spans="23:23" x14ac:dyDescent="0.55000000000000004">
      <c r="W65144"/>
    </row>
    <row r="65145" spans="23:23" x14ac:dyDescent="0.55000000000000004">
      <c r="W65145"/>
    </row>
    <row r="65146" spans="23:23" x14ac:dyDescent="0.55000000000000004">
      <c r="W65146"/>
    </row>
    <row r="65147" spans="23:23" x14ac:dyDescent="0.55000000000000004">
      <c r="W65147"/>
    </row>
    <row r="65148" spans="23:23" x14ac:dyDescent="0.55000000000000004">
      <c r="W65148"/>
    </row>
    <row r="65149" spans="23:23" x14ac:dyDescent="0.55000000000000004">
      <c r="W65149"/>
    </row>
    <row r="65150" spans="23:23" x14ac:dyDescent="0.55000000000000004">
      <c r="W65150"/>
    </row>
    <row r="65151" spans="23:23" x14ac:dyDescent="0.55000000000000004">
      <c r="W65151"/>
    </row>
    <row r="65152" spans="23:23" x14ac:dyDescent="0.55000000000000004">
      <c r="W65152"/>
    </row>
    <row r="65153" spans="23:23" x14ac:dyDescent="0.55000000000000004">
      <c r="W65153"/>
    </row>
    <row r="65154" spans="23:23" x14ac:dyDescent="0.55000000000000004">
      <c r="W65154"/>
    </row>
    <row r="65155" spans="23:23" x14ac:dyDescent="0.55000000000000004">
      <c r="W65155"/>
    </row>
    <row r="65156" spans="23:23" x14ac:dyDescent="0.55000000000000004">
      <c r="W65156"/>
    </row>
    <row r="65157" spans="23:23" x14ac:dyDescent="0.55000000000000004">
      <c r="W65157"/>
    </row>
    <row r="65158" spans="23:23" x14ac:dyDescent="0.55000000000000004">
      <c r="W65158"/>
    </row>
    <row r="65159" spans="23:23" x14ac:dyDescent="0.55000000000000004">
      <c r="W65159"/>
    </row>
    <row r="65160" spans="23:23" x14ac:dyDescent="0.55000000000000004">
      <c r="W65160"/>
    </row>
    <row r="65161" spans="23:23" x14ac:dyDescent="0.55000000000000004">
      <c r="W65161"/>
    </row>
    <row r="65162" spans="23:23" x14ac:dyDescent="0.55000000000000004">
      <c r="W65162"/>
    </row>
    <row r="65163" spans="23:23" x14ac:dyDescent="0.55000000000000004">
      <c r="W65163"/>
    </row>
    <row r="65164" spans="23:23" x14ac:dyDescent="0.55000000000000004">
      <c r="W65164"/>
    </row>
    <row r="65165" spans="23:23" x14ac:dyDescent="0.55000000000000004">
      <c r="W65165"/>
    </row>
    <row r="65166" spans="23:23" x14ac:dyDescent="0.55000000000000004">
      <c r="W65166"/>
    </row>
    <row r="65167" spans="23:23" x14ac:dyDescent="0.55000000000000004">
      <c r="W65167"/>
    </row>
    <row r="65168" spans="23:23" x14ac:dyDescent="0.55000000000000004">
      <c r="W65168"/>
    </row>
    <row r="65169" spans="23:23" x14ac:dyDescent="0.55000000000000004">
      <c r="W65169"/>
    </row>
    <row r="65170" spans="23:23" x14ac:dyDescent="0.55000000000000004">
      <c r="W65170"/>
    </row>
    <row r="65171" spans="23:23" x14ac:dyDescent="0.55000000000000004">
      <c r="W65171"/>
    </row>
    <row r="65172" spans="23:23" x14ac:dyDescent="0.55000000000000004">
      <c r="W65172"/>
    </row>
    <row r="65173" spans="23:23" x14ac:dyDescent="0.55000000000000004">
      <c r="W65173"/>
    </row>
    <row r="65174" spans="23:23" x14ac:dyDescent="0.55000000000000004">
      <c r="W65174"/>
    </row>
    <row r="65175" spans="23:23" x14ac:dyDescent="0.55000000000000004">
      <c r="W65175"/>
    </row>
    <row r="65176" spans="23:23" x14ac:dyDescent="0.55000000000000004">
      <c r="W65176"/>
    </row>
    <row r="65177" spans="23:23" x14ac:dyDescent="0.55000000000000004">
      <c r="W65177"/>
    </row>
    <row r="65178" spans="23:23" x14ac:dyDescent="0.55000000000000004">
      <c r="W65178"/>
    </row>
    <row r="65179" spans="23:23" x14ac:dyDescent="0.55000000000000004">
      <c r="W65179"/>
    </row>
    <row r="65180" spans="23:23" x14ac:dyDescent="0.55000000000000004">
      <c r="W65180"/>
    </row>
    <row r="65181" spans="23:23" x14ac:dyDescent="0.55000000000000004">
      <c r="W65181"/>
    </row>
    <row r="65182" spans="23:23" x14ac:dyDescent="0.55000000000000004">
      <c r="W65182"/>
    </row>
    <row r="65183" spans="23:23" x14ac:dyDescent="0.55000000000000004">
      <c r="W65183"/>
    </row>
    <row r="65184" spans="23:23" x14ac:dyDescent="0.55000000000000004">
      <c r="W65184"/>
    </row>
    <row r="65185" spans="23:23" x14ac:dyDescent="0.55000000000000004">
      <c r="W65185"/>
    </row>
    <row r="65186" spans="23:23" x14ac:dyDescent="0.55000000000000004">
      <c r="W65186"/>
    </row>
    <row r="65187" spans="23:23" x14ac:dyDescent="0.55000000000000004">
      <c r="W65187"/>
    </row>
    <row r="65188" spans="23:23" x14ac:dyDescent="0.55000000000000004">
      <c r="W65188"/>
    </row>
    <row r="65189" spans="23:23" x14ac:dyDescent="0.55000000000000004">
      <c r="W65189"/>
    </row>
    <row r="65190" spans="23:23" x14ac:dyDescent="0.55000000000000004">
      <c r="W65190"/>
    </row>
    <row r="65191" spans="23:23" x14ac:dyDescent="0.55000000000000004">
      <c r="W65191"/>
    </row>
    <row r="65192" spans="23:23" x14ac:dyDescent="0.55000000000000004">
      <c r="W65192"/>
    </row>
    <row r="65193" spans="23:23" x14ac:dyDescent="0.55000000000000004">
      <c r="W65193"/>
    </row>
    <row r="65194" spans="23:23" x14ac:dyDescent="0.55000000000000004">
      <c r="W65194"/>
    </row>
    <row r="65195" spans="23:23" x14ac:dyDescent="0.55000000000000004">
      <c r="W65195"/>
    </row>
    <row r="65196" spans="23:23" x14ac:dyDescent="0.55000000000000004">
      <c r="W65196"/>
    </row>
    <row r="65197" spans="23:23" x14ac:dyDescent="0.55000000000000004">
      <c r="W65197"/>
    </row>
    <row r="65198" spans="23:23" x14ac:dyDescent="0.55000000000000004">
      <c r="W65198"/>
    </row>
    <row r="65199" spans="23:23" x14ac:dyDescent="0.55000000000000004">
      <c r="W65199"/>
    </row>
    <row r="65200" spans="23:23" x14ac:dyDescent="0.55000000000000004">
      <c r="W65200"/>
    </row>
    <row r="65201" spans="23:23" x14ac:dyDescent="0.55000000000000004">
      <c r="W65201"/>
    </row>
    <row r="65202" spans="23:23" x14ac:dyDescent="0.55000000000000004">
      <c r="W65202"/>
    </row>
    <row r="65203" spans="23:23" x14ac:dyDescent="0.55000000000000004">
      <c r="W65203"/>
    </row>
    <row r="65204" spans="23:23" x14ac:dyDescent="0.55000000000000004">
      <c r="W65204"/>
    </row>
    <row r="65205" spans="23:23" x14ac:dyDescent="0.55000000000000004">
      <c r="W65205"/>
    </row>
    <row r="65206" spans="23:23" x14ac:dyDescent="0.55000000000000004">
      <c r="W65206"/>
    </row>
    <row r="65207" spans="23:23" x14ac:dyDescent="0.55000000000000004">
      <c r="W65207"/>
    </row>
    <row r="65208" spans="23:23" x14ac:dyDescent="0.55000000000000004">
      <c r="W65208"/>
    </row>
    <row r="65209" spans="23:23" x14ac:dyDescent="0.55000000000000004">
      <c r="W65209"/>
    </row>
    <row r="65210" spans="23:23" x14ac:dyDescent="0.55000000000000004">
      <c r="W65210"/>
    </row>
    <row r="65211" spans="23:23" x14ac:dyDescent="0.55000000000000004">
      <c r="W65211"/>
    </row>
    <row r="65212" spans="23:23" x14ac:dyDescent="0.55000000000000004">
      <c r="W65212"/>
    </row>
    <row r="65213" spans="23:23" x14ac:dyDescent="0.55000000000000004">
      <c r="W65213"/>
    </row>
    <row r="65214" spans="23:23" x14ac:dyDescent="0.55000000000000004">
      <c r="W65214"/>
    </row>
    <row r="65215" spans="23:23" x14ac:dyDescent="0.55000000000000004">
      <c r="W65215"/>
    </row>
    <row r="65216" spans="23:23" x14ac:dyDescent="0.55000000000000004">
      <c r="W65216"/>
    </row>
    <row r="65217" spans="23:23" x14ac:dyDescent="0.55000000000000004">
      <c r="W65217"/>
    </row>
    <row r="65218" spans="23:23" x14ac:dyDescent="0.55000000000000004">
      <c r="W65218"/>
    </row>
    <row r="65219" spans="23:23" x14ac:dyDescent="0.55000000000000004">
      <c r="W65219"/>
    </row>
    <row r="65220" spans="23:23" x14ac:dyDescent="0.55000000000000004">
      <c r="W65220"/>
    </row>
    <row r="65221" spans="23:23" x14ac:dyDescent="0.55000000000000004">
      <c r="W65221"/>
    </row>
    <row r="65222" spans="23:23" x14ac:dyDescent="0.55000000000000004">
      <c r="W65222"/>
    </row>
    <row r="65223" spans="23:23" x14ac:dyDescent="0.55000000000000004">
      <c r="W65223"/>
    </row>
    <row r="65224" spans="23:23" x14ac:dyDescent="0.55000000000000004">
      <c r="W65224"/>
    </row>
    <row r="65225" spans="23:23" x14ac:dyDescent="0.55000000000000004">
      <c r="W65225"/>
    </row>
    <row r="65226" spans="23:23" x14ac:dyDescent="0.55000000000000004">
      <c r="W65226"/>
    </row>
    <row r="65227" spans="23:23" x14ac:dyDescent="0.55000000000000004">
      <c r="W65227"/>
    </row>
    <row r="65228" spans="23:23" x14ac:dyDescent="0.55000000000000004">
      <c r="W65228"/>
    </row>
    <row r="65229" spans="23:23" x14ac:dyDescent="0.55000000000000004">
      <c r="W65229"/>
    </row>
    <row r="65230" spans="23:23" x14ac:dyDescent="0.55000000000000004">
      <c r="W65230"/>
    </row>
    <row r="65231" spans="23:23" x14ac:dyDescent="0.55000000000000004">
      <c r="W65231"/>
    </row>
    <row r="65232" spans="23:23" x14ac:dyDescent="0.55000000000000004">
      <c r="W65232"/>
    </row>
    <row r="65233" spans="23:23" x14ac:dyDescent="0.55000000000000004">
      <c r="W65233"/>
    </row>
    <row r="65234" spans="23:23" x14ac:dyDescent="0.55000000000000004">
      <c r="W65234"/>
    </row>
    <row r="65235" spans="23:23" x14ac:dyDescent="0.55000000000000004">
      <c r="W65235"/>
    </row>
    <row r="65236" spans="23:23" x14ac:dyDescent="0.55000000000000004">
      <c r="W65236"/>
    </row>
    <row r="65237" spans="23:23" x14ac:dyDescent="0.55000000000000004">
      <c r="W65237"/>
    </row>
    <row r="65238" spans="23:23" x14ac:dyDescent="0.55000000000000004">
      <c r="W65238"/>
    </row>
    <row r="65239" spans="23:23" x14ac:dyDescent="0.55000000000000004">
      <c r="W65239"/>
    </row>
    <row r="65240" spans="23:23" x14ac:dyDescent="0.55000000000000004">
      <c r="W65240"/>
    </row>
    <row r="65241" spans="23:23" x14ac:dyDescent="0.55000000000000004">
      <c r="W65241"/>
    </row>
    <row r="65242" spans="23:23" x14ac:dyDescent="0.55000000000000004">
      <c r="W65242"/>
    </row>
    <row r="65243" spans="23:23" x14ac:dyDescent="0.55000000000000004">
      <c r="W65243"/>
    </row>
    <row r="65244" spans="23:23" x14ac:dyDescent="0.55000000000000004">
      <c r="W65244"/>
    </row>
    <row r="65245" spans="23:23" x14ac:dyDescent="0.55000000000000004">
      <c r="W65245"/>
    </row>
    <row r="65246" spans="23:23" x14ac:dyDescent="0.55000000000000004">
      <c r="W65246"/>
    </row>
    <row r="65247" spans="23:23" x14ac:dyDescent="0.55000000000000004">
      <c r="W65247"/>
    </row>
    <row r="65248" spans="23:23" x14ac:dyDescent="0.55000000000000004">
      <c r="W65248"/>
    </row>
    <row r="65249" spans="23:23" x14ac:dyDescent="0.55000000000000004">
      <c r="W65249"/>
    </row>
    <row r="65250" spans="23:23" x14ac:dyDescent="0.55000000000000004">
      <c r="W65250"/>
    </row>
    <row r="65251" spans="23:23" x14ac:dyDescent="0.55000000000000004">
      <c r="W65251"/>
    </row>
    <row r="65252" spans="23:23" x14ac:dyDescent="0.55000000000000004">
      <c r="W65252"/>
    </row>
    <row r="65253" spans="23:23" x14ac:dyDescent="0.55000000000000004">
      <c r="W65253"/>
    </row>
    <row r="65254" spans="23:23" x14ac:dyDescent="0.55000000000000004">
      <c r="W65254"/>
    </row>
    <row r="65255" spans="23:23" x14ac:dyDescent="0.55000000000000004">
      <c r="W65255"/>
    </row>
    <row r="65256" spans="23:23" x14ac:dyDescent="0.55000000000000004">
      <c r="W65256"/>
    </row>
    <row r="65257" spans="23:23" x14ac:dyDescent="0.55000000000000004">
      <c r="W65257"/>
    </row>
    <row r="65258" spans="23:23" x14ac:dyDescent="0.55000000000000004">
      <c r="W65258"/>
    </row>
    <row r="65259" spans="23:23" x14ac:dyDescent="0.55000000000000004">
      <c r="W65259"/>
    </row>
    <row r="65260" spans="23:23" x14ac:dyDescent="0.55000000000000004">
      <c r="W65260"/>
    </row>
    <row r="65261" spans="23:23" x14ac:dyDescent="0.55000000000000004">
      <c r="W65261"/>
    </row>
    <row r="65262" spans="23:23" x14ac:dyDescent="0.55000000000000004">
      <c r="W65262"/>
    </row>
    <row r="65263" spans="23:23" x14ac:dyDescent="0.55000000000000004">
      <c r="W65263"/>
    </row>
    <row r="65264" spans="23:23" x14ac:dyDescent="0.55000000000000004">
      <c r="W65264"/>
    </row>
    <row r="65265" spans="23:23" x14ac:dyDescent="0.55000000000000004">
      <c r="W65265"/>
    </row>
    <row r="65266" spans="23:23" x14ac:dyDescent="0.55000000000000004">
      <c r="W65266"/>
    </row>
    <row r="65267" spans="23:23" x14ac:dyDescent="0.55000000000000004">
      <c r="W65267"/>
    </row>
    <row r="65268" spans="23:23" x14ac:dyDescent="0.55000000000000004">
      <c r="W65268"/>
    </row>
    <row r="65269" spans="23:23" x14ac:dyDescent="0.55000000000000004">
      <c r="W65269"/>
    </row>
    <row r="65270" spans="23:23" x14ac:dyDescent="0.55000000000000004">
      <c r="W65270"/>
    </row>
    <row r="65271" spans="23:23" x14ac:dyDescent="0.55000000000000004">
      <c r="W65271"/>
    </row>
    <row r="65272" spans="23:23" x14ac:dyDescent="0.55000000000000004">
      <c r="W65272"/>
    </row>
    <row r="65273" spans="23:23" x14ac:dyDescent="0.55000000000000004">
      <c r="W65273"/>
    </row>
    <row r="65274" spans="23:23" x14ac:dyDescent="0.55000000000000004">
      <c r="W65274"/>
    </row>
    <row r="65275" spans="23:23" x14ac:dyDescent="0.55000000000000004">
      <c r="W65275"/>
    </row>
    <row r="65276" spans="23:23" x14ac:dyDescent="0.55000000000000004">
      <c r="W65276"/>
    </row>
    <row r="65277" spans="23:23" x14ac:dyDescent="0.55000000000000004">
      <c r="W65277"/>
    </row>
    <row r="65278" spans="23:23" x14ac:dyDescent="0.55000000000000004">
      <c r="W65278"/>
    </row>
    <row r="65279" spans="23:23" x14ac:dyDescent="0.55000000000000004">
      <c r="W65279"/>
    </row>
    <row r="65280" spans="23:23" x14ac:dyDescent="0.55000000000000004">
      <c r="W65280"/>
    </row>
    <row r="65281" spans="23:23" x14ac:dyDescent="0.55000000000000004">
      <c r="W65281"/>
    </row>
    <row r="65282" spans="23:23" x14ac:dyDescent="0.55000000000000004">
      <c r="W65282"/>
    </row>
    <row r="65283" spans="23:23" x14ac:dyDescent="0.55000000000000004">
      <c r="W65283"/>
    </row>
    <row r="65284" spans="23:23" x14ac:dyDescent="0.55000000000000004">
      <c r="W65284"/>
    </row>
    <row r="65285" spans="23:23" x14ac:dyDescent="0.55000000000000004">
      <c r="W65285"/>
    </row>
    <row r="65286" spans="23:23" x14ac:dyDescent="0.55000000000000004">
      <c r="W65286"/>
    </row>
    <row r="65287" spans="23:23" x14ac:dyDescent="0.55000000000000004">
      <c r="W65287"/>
    </row>
    <row r="65288" spans="23:23" x14ac:dyDescent="0.55000000000000004">
      <c r="W65288"/>
    </row>
    <row r="65289" spans="23:23" x14ac:dyDescent="0.55000000000000004">
      <c r="W65289"/>
    </row>
    <row r="65290" spans="23:23" x14ac:dyDescent="0.55000000000000004">
      <c r="W65290"/>
    </row>
    <row r="65291" spans="23:23" x14ac:dyDescent="0.55000000000000004">
      <c r="W65291"/>
    </row>
    <row r="65292" spans="23:23" x14ac:dyDescent="0.55000000000000004">
      <c r="W65292"/>
    </row>
    <row r="65293" spans="23:23" x14ac:dyDescent="0.55000000000000004">
      <c r="W65293"/>
    </row>
    <row r="65294" spans="23:23" x14ac:dyDescent="0.55000000000000004">
      <c r="W65294"/>
    </row>
    <row r="65295" spans="23:23" x14ac:dyDescent="0.55000000000000004">
      <c r="W65295"/>
    </row>
    <row r="65296" spans="23:23" x14ac:dyDescent="0.55000000000000004">
      <c r="W65296"/>
    </row>
    <row r="65297" spans="23:23" x14ac:dyDescent="0.55000000000000004">
      <c r="W65297"/>
    </row>
    <row r="65298" spans="23:23" x14ac:dyDescent="0.55000000000000004">
      <c r="W65298"/>
    </row>
    <row r="65299" spans="23:23" x14ac:dyDescent="0.55000000000000004">
      <c r="W65299"/>
    </row>
    <row r="65300" spans="23:23" x14ac:dyDescent="0.55000000000000004">
      <c r="W65300"/>
    </row>
    <row r="65301" spans="23:23" x14ac:dyDescent="0.55000000000000004">
      <c r="W65301"/>
    </row>
    <row r="65302" spans="23:23" x14ac:dyDescent="0.55000000000000004">
      <c r="W65302"/>
    </row>
    <row r="65303" spans="23:23" x14ac:dyDescent="0.55000000000000004">
      <c r="W65303"/>
    </row>
    <row r="65304" spans="23:23" x14ac:dyDescent="0.55000000000000004">
      <c r="W65304"/>
    </row>
    <row r="65305" spans="23:23" x14ac:dyDescent="0.55000000000000004">
      <c r="W65305"/>
    </row>
    <row r="65306" spans="23:23" x14ac:dyDescent="0.55000000000000004">
      <c r="W65306"/>
    </row>
    <row r="65307" spans="23:23" x14ac:dyDescent="0.55000000000000004">
      <c r="W65307"/>
    </row>
    <row r="65308" spans="23:23" x14ac:dyDescent="0.55000000000000004">
      <c r="W65308"/>
    </row>
    <row r="65309" spans="23:23" x14ac:dyDescent="0.55000000000000004">
      <c r="W65309"/>
    </row>
    <row r="65310" spans="23:23" x14ac:dyDescent="0.55000000000000004">
      <c r="W65310"/>
    </row>
    <row r="65311" spans="23:23" x14ac:dyDescent="0.55000000000000004">
      <c r="W65311"/>
    </row>
    <row r="65312" spans="23:23" x14ac:dyDescent="0.55000000000000004">
      <c r="W65312"/>
    </row>
    <row r="65313" spans="23:23" x14ac:dyDescent="0.55000000000000004">
      <c r="W65313"/>
    </row>
    <row r="65314" spans="23:23" x14ac:dyDescent="0.55000000000000004">
      <c r="W65314"/>
    </row>
    <row r="65315" spans="23:23" x14ac:dyDescent="0.55000000000000004">
      <c r="W65315"/>
    </row>
    <row r="65316" spans="23:23" x14ac:dyDescent="0.55000000000000004">
      <c r="W65316"/>
    </row>
    <row r="65317" spans="23:23" x14ac:dyDescent="0.55000000000000004">
      <c r="W65317"/>
    </row>
    <row r="65318" spans="23:23" x14ac:dyDescent="0.55000000000000004">
      <c r="W65318"/>
    </row>
    <row r="65319" spans="23:23" x14ac:dyDescent="0.55000000000000004">
      <c r="W65319"/>
    </row>
    <row r="65320" spans="23:23" x14ac:dyDescent="0.55000000000000004">
      <c r="W65320"/>
    </row>
    <row r="65321" spans="23:23" x14ac:dyDescent="0.55000000000000004">
      <c r="W65321"/>
    </row>
    <row r="65322" spans="23:23" x14ac:dyDescent="0.55000000000000004">
      <c r="W65322"/>
    </row>
    <row r="65323" spans="23:23" x14ac:dyDescent="0.55000000000000004">
      <c r="W65323"/>
    </row>
    <row r="65324" spans="23:23" x14ac:dyDescent="0.55000000000000004">
      <c r="W65324"/>
    </row>
    <row r="65325" spans="23:23" x14ac:dyDescent="0.55000000000000004">
      <c r="W65325"/>
    </row>
    <row r="65326" spans="23:23" x14ac:dyDescent="0.55000000000000004">
      <c r="W65326"/>
    </row>
    <row r="65327" spans="23:23" x14ac:dyDescent="0.55000000000000004">
      <c r="W65327"/>
    </row>
    <row r="65328" spans="23:23" x14ac:dyDescent="0.55000000000000004">
      <c r="W65328"/>
    </row>
    <row r="65329" spans="23:23" x14ac:dyDescent="0.55000000000000004">
      <c r="W65329"/>
    </row>
    <row r="65330" spans="23:23" x14ac:dyDescent="0.55000000000000004">
      <c r="W65330"/>
    </row>
    <row r="65331" spans="23:23" x14ac:dyDescent="0.55000000000000004">
      <c r="W65331"/>
    </row>
    <row r="65332" spans="23:23" x14ac:dyDescent="0.55000000000000004">
      <c r="W65332"/>
    </row>
    <row r="65333" spans="23:23" x14ac:dyDescent="0.55000000000000004">
      <c r="W65333"/>
    </row>
    <row r="65334" spans="23:23" x14ac:dyDescent="0.55000000000000004">
      <c r="W65334"/>
    </row>
    <row r="65335" spans="23:23" x14ac:dyDescent="0.55000000000000004">
      <c r="W65335"/>
    </row>
    <row r="65336" spans="23:23" x14ac:dyDescent="0.55000000000000004">
      <c r="W65336"/>
    </row>
    <row r="65337" spans="23:23" x14ac:dyDescent="0.55000000000000004">
      <c r="W65337"/>
    </row>
    <row r="65338" spans="23:23" x14ac:dyDescent="0.55000000000000004">
      <c r="W65338"/>
    </row>
    <row r="65339" spans="23:23" x14ac:dyDescent="0.55000000000000004">
      <c r="W65339"/>
    </row>
    <row r="65340" spans="23:23" x14ac:dyDescent="0.55000000000000004">
      <c r="W65340"/>
    </row>
    <row r="65341" spans="23:23" x14ac:dyDescent="0.55000000000000004">
      <c r="W65341"/>
    </row>
    <row r="65342" spans="23:23" x14ac:dyDescent="0.55000000000000004">
      <c r="W65342"/>
    </row>
    <row r="65343" spans="23:23" x14ac:dyDescent="0.55000000000000004">
      <c r="W65343"/>
    </row>
    <row r="65344" spans="23:23" x14ac:dyDescent="0.55000000000000004">
      <c r="W65344"/>
    </row>
    <row r="65345" spans="23:23" x14ac:dyDescent="0.55000000000000004">
      <c r="W65345"/>
    </row>
    <row r="65346" spans="23:23" x14ac:dyDescent="0.55000000000000004">
      <c r="W65346"/>
    </row>
    <row r="65347" spans="23:23" x14ac:dyDescent="0.55000000000000004">
      <c r="W65347"/>
    </row>
    <row r="65348" spans="23:23" x14ac:dyDescent="0.55000000000000004">
      <c r="W65348"/>
    </row>
    <row r="65349" spans="23:23" x14ac:dyDescent="0.55000000000000004">
      <c r="W65349"/>
    </row>
    <row r="65350" spans="23:23" x14ac:dyDescent="0.55000000000000004">
      <c r="W65350"/>
    </row>
    <row r="65351" spans="23:23" x14ac:dyDescent="0.55000000000000004">
      <c r="W65351"/>
    </row>
    <row r="65352" spans="23:23" x14ac:dyDescent="0.55000000000000004">
      <c r="W65352"/>
    </row>
    <row r="65353" spans="23:23" x14ac:dyDescent="0.55000000000000004">
      <c r="W65353"/>
    </row>
    <row r="65354" spans="23:23" x14ac:dyDescent="0.55000000000000004">
      <c r="W65354"/>
    </row>
    <row r="65355" spans="23:23" x14ac:dyDescent="0.55000000000000004">
      <c r="W65355"/>
    </row>
    <row r="65356" spans="23:23" x14ac:dyDescent="0.55000000000000004">
      <c r="W65356"/>
    </row>
    <row r="65357" spans="23:23" x14ac:dyDescent="0.55000000000000004">
      <c r="W65357"/>
    </row>
    <row r="65358" spans="23:23" x14ac:dyDescent="0.55000000000000004">
      <c r="W65358"/>
    </row>
    <row r="65359" spans="23:23" x14ac:dyDescent="0.55000000000000004">
      <c r="W65359"/>
    </row>
    <row r="65360" spans="23:23" x14ac:dyDescent="0.55000000000000004">
      <c r="W65360"/>
    </row>
    <row r="65361" spans="23:23" x14ac:dyDescent="0.55000000000000004">
      <c r="W65361"/>
    </row>
    <row r="65362" spans="23:23" x14ac:dyDescent="0.55000000000000004">
      <c r="W65362"/>
    </row>
    <row r="65363" spans="23:23" x14ac:dyDescent="0.55000000000000004">
      <c r="W65363"/>
    </row>
    <row r="65364" spans="23:23" x14ac:dyDescent="0.55000000000000004">
      <c r="W65364"/>
    </row>
    <row r="65365" spans="23:23" x14ac:dyDescent="0.55000000000000004">
      <c r="W65365"/>
    </row>
    <row r="65366" spans="23:23" x14ac:dyDescent="0.55000000000000004">
      <c r="W65366"/>
    </row>
    <row r="65367" spans="23:23" x14ac:dyDescent="0.55000000000000004">
      <c r="W65367"/>
    </row>
    <row r="65368" spans="23:23" x14ac:dyDescent="0.55000000000000004">
      <c r="W65368"/>
    </row>
    <row r="65369" spans="23:23" x14ac:dyDescent="0.55000000000000004">
      <c r="W65369"/>
    </row>
    <row r="65370" spans="23:23" x14ac:dyDescent="0.55000000000000004">
      <c r="W65370"/>
    </row>
    <row r="65371" spans="23:23" x14ac:dyDescent="0.55000000000000004">
      <c r="W65371"/>
    </row>
    <row r="65372" spans="23:23" x14ac:dyDescent="0.55000000000000004">
      <c r="W65372"/>
    </row>
    <row r="65373" spans="23:23" x14ac:dyDescent="0.55000000000000004">
      <c r="W65373"/>
    </row>
    <row r="65374" spans="23:23" x14ac:dyDescent="0.55000000000000004">
      <c r="W65374"/>
    </row>
    <row r="65375" spans="23:23" x14ac:dyDescent="0.55000000000000004">
      <c r="W65375"/>
    </row>
    <row r="65376" spans="23:23" x14ac:dyDescent="0.55000000000000004">
      <c r="W65376"/>
    </row>
    <row r="65377" spans="23:23" x14ac:dyDescent="0.55000000000000004">
      <c r="W65377"/>
    </row>
    <row r="65378" spans="23:23" x14ac:dyDescent="0.55000000000000004">
      <c r="W65378"/>
    </row>
    <row r="65379" spans="23:23" x14ac:dyDescent="0.55000000000000004">
      <c r="W65379"/>
    </row>
    <row r="65380" spans="23:23" x14ac:dyDescent="0.55000000000000004">
      <c r="W65380"/>
    </row>
    <row r="65381" spans="23:23" x14ac:dyDescent="0.55000000000000004">
      <c r="W65381"/>
    </row>
    <row r="65382" spans="23:23" x14ac:dyDescent="0.55000000000000004">
      <c r="W65382"/>
    </row>
    <row r="65383" spans="23:23" x14ac:dyDescent="0.55000000000000004">
      <c r="W65383"/>
    </row>
    <row r="65384" spans="23:23" x14ac:dyDescent="0.55000000000000004">
      <c r="W65384"/>
    </row>
    <row r="65385" spans="23:23" x14ac:dyDescent="0.55000000000000004">
      <c r="W65385"/>
    </row>
    <row r="65386" spans="23:23" x14ac:dyDescent="0.55000000000000004">
      <c r="W65386"/>
    </row>
    <row r="65387" spans="23:23" x14ac:dyDescent="0.55000000000000004">
      <c r="W65387"/>
    </row>
    <row r="65388" spans="23:23" x14ac:dyDescent="0.55000000000000004">
      <c r="W65388"/>
    </row>
    <row r="65389" spans="23:23" x14ac:dyDescent="0.55000000000000004">
      <c r="W65389"/>
    </row>
    <row r="65390" spans="23:23" x14ac:dyDescent="0.55000000000000004">
      <c r="W65390"/>
    </row>
    <row r="65391" spans="23:23" x14ac:dyDescent="0.55000000000000004">
      <c r="W65391"/>
    </row>
    <row r="65392" spans="23:23" x14ac:dyDescent="0.55000000000000004">
      <c r="W65392"/>
    </row>
    <row r="65393" spans="23:23" x14ac:dyDescent="0.55000000000000004">
      <c r="W65393"/>
    </row>
    <row r="65394" spans="23:23" x14ac:dyDescent="0.55000000000000004">
      <c r="W65394"/>
    </row>
    <row r="65395" spans="23:23" x14ac:dyDescent="0.55000000000000004">
      <c r="W65395"/>
    </row>
    <row r="65396" spans="23:23" x14ac:dyDescent="0.55000000000000004">
      <c r="W65396"/>
    </row>
    <row r="65397" spans="23:23" x14ac:dyDescent="0.55000000000000004">
      <c r="W65397"/>
    </row>
    <row r="65398" spans="23:23" x14ac:dyDescent="0.55000000000000004">
      <c r="W65398"/>
    </row>
    <row r="65399" spans="23:23" x14ac:dyDescent="0.55000000000000004">
      <c r="W65399"/>
    </row>
    <row r="65400" spans="23:23" x14ac:dyDescent="0.55000000000000004">
      <c r="W65400"/>
    </row>
    <row r="65401" spans="23:23" x14ac:dyDescent="0.55000000000000004">
      <c r="W65401"/>
    </row>
    <row r="65402" spans="23:23" x14ac:dyDescent="0.55000000000000004">
      <c r="W65402"/>
    </row>
    <row r="65403" spans="23:23" x14ac:dyDescent="0.55000000000000004">
      <c r="W65403"/>
    </row>
    <row r="65404" spans="23:23" x14ac:dyDescent="0.55000000000000004">
      <c r="W65404"/>
    </row>
    <row r="65405" spans="23:23" x14ac:dyDescent="0.55000000000000004">
      <c r="W65405"/>
    </row>
    <row r="65406" spans="23:23" x14ac:dyDescent="0.55000000000000004">
      <c r="W65406"/>
    </row>
    <row r="65407" spans="23:23" x14ac:dyDescent="0.55000000000000004">
      <c r="W65407"/>
    </row>
    <row r="65408" spans="23:23" x14ac:dyDescent="0.55000000000000004">
      <c r="W65408"/>
    </row>
    <row r="65409" spans="23:23" x14ac:dyDescent="0.55000000000000004">
      <c r="W65409"/>
    </row>
    <row r="65410" spans="23:23" x14ac:dyDescent="0.55000000000000004">
      <c r="W65410"/>
    </row>
    <row r="65411" spans="23:23" x14ac:dyDescent="0.55000000000000004">
      <c r="W65411"/>
    </row>
    <row r="65412" spans="23:23" x14ac:dyDescent="0.55000000000000004">
      <c r="W65412"/>
    </row>
    <row r="65413" spans="23:23" x14ac:dyDescent="0.55000000000000004">
      <c r="W65413"/>
    </row>
    <row r="65414" spans="23:23" x14ac:dyDescent="0.55000000000000004">
      <c r="W65414"/>
    </row>
    <row r="65415" spans="23:23" x14ac:dyDescent="0.55000000000000004">
      <c r="W65415"/>
    </row>
    <row r="65416" spans="23:23" x14ac:dyDescent="0.55000000000000004">
      <c r="W65416"/>
    </row>
    <row r="65417" spans="23:23" x14ac:dyDescent="0.55000000000000004">
      <c r="W65417"/>
    </row>
    <row r="65418" spans="23:23" x14ac:dyDescent="0.55000000000000004">
      <c r="W65418"/>
    </row>
    <row r="65419" spans="23:23" x14ac:dyDescent="0.55000000000000004">
      <c r="W65419"/>
    </row>
    <row r="65420" spans="23:23" x14ac:dyDescent="0.55000000000000004">
      <c r="W65420"/>
    </row>
    <row r="65421" spans="23:23" x14ac:dyDescent="0.55000000000000004">
      <c r="W65421"/>
    </row>
    <row r="65422" spans="23:23" x14ac:dyDescent="0.55000000000000004">
      <c r="W65422"/>
    </row>
    <row r="65423" spans="23:23" x14ac:dyDescent="0.55000000000000004">
      <c r="W65423"/>
    </row>
    <row r="65424" spans="23:23" x14ac:dyDescent="0.55000000000000004">
      <c r="W65424"/>
    </row>
    <row r="65425" spans="23:23" x14ac:dyDescent="0.55000000000000004">
      <c r="W65425"/>
    </row>
    <row r="65426" spans="23:23" x14ac:dyDescent="0.55000000000000004">
      <c r="W65426"/>
    </row>
    <row r="65427" spans="23:23" x14ac:dyDescent="0.55000000000000004">
      <c r="W65427"/>
    </row>
    <row r="65428" spans="23:23" x14ac:dyDescent="0.55000000000000004">
      <c r="W65428"/>
    </row>
    <row r="65429" spans="23:23" x14ac:dyDescent="0.55000000000000004">
      <c r="W65429"/>
    </row>
    <row r="65430" spans="23:23" x14ac:dyDescent="0.55000000000000004">
      <c r="W65430"/>
    </row>
    <row r="65431" spans="23:23" x14ac:dyDescent="0.55000000000000004">
      <c r="W65431"/>
    </row>
    <row r="65432" spans="23:23" x14ac:dyDescent="0.55000000000000004">
      <c r="W65432"/>
    </row>
    <row r="65433" spans="23:23" x14ac:dyDescent="0.55000000000000004">
      <c r="W65433"/>
    </row>
    <row r="65434" spans="23:23" x14ac:dyDescent="0.55000000000000004">
      <c r="W65434"/>
    </row>
    <row r="65435" spans="23:23" x14ac:dyDescent="0.55000000000000004">
      <c r="W65435"/>
    </row>
    <row r="65436" spans="23:23" x14ac:dyDescent="0.55000000000000004">
      <c r="W65436"/>
    </row>
    <row r="65437" spans="23:23" x14ac:dyDescent="0.55000000000000004">
      <c r="W65437"/>
    </row>
    <row r="65438" spans="23:23" x14ac:dyDescent="0.55000000000000004">
      <c r="W65438"/>
    </row>
    <row r="65439" spans="23:23" x14ac:dyDescent="0.55000000000000004">
      <c r="W65439"/>
    </row>
    <row r="65440" spans="23:23" x14ac:dyDescent="0.55000000000000004">
      <c r="W65440"/>
    </row>
    <row r="65441" spans="23:23" x14ac:dyDescent="0.55000000000000004">
      <c r="W65441"/>
    </row>
    <row r="65442" spans="23:23" x14ac:dyDescent="0.55000000000000004">
      <c r="W65442"/>
    </row>
    <row r="65443" spans="23:23" x14ac:dyDescent="0.55000000000000004">
      <c r="W65443"/>
    </row>
    <row r="65444" spans="23:23" x14ac:dyDescent="0.55000000000000004">
      <c r="W65444"/>
    </row>
    <row r="65445" spans="23:23" x14ac:dyDescent="0.55000000000000004">
      <c r="W65445"/>
    </row>
    <row r="65446" spans="23:23" x14ac:dyDescent="0.55000000000000004">
      <c r="W65446"/>
    </row>
    <row r="65447" spans="23:23" x14ac:dyDescent="0.55000000000000004">
      <c r="W65447"/>
    </row>
    <row r="65448" spans="23:23" x14ac:dyDescent="0.55000000000000004">
      <c r="W65448"/>
    </row>
    <row r="65449" spans="23:23" x14ac:dyDescent="0.55000000000000004">
      <c r="W65449"/>
    </row>
    <row r="65450" spans="23:23" x14ac:dyDescent="0.55000000000000004">
      <c r="W65450"/>
    </row>
    <row r="65451" spans="23:23" x14ac:dyDescent="0.55000000000000004">
      <c r="W65451"/>
    </row>
    <row r="65452" spans="23:23" x14ac:dyDescent="0.55000000000000004">
      <c r="W65452"/>
    </row>
    <row r="65453" spans="23:23" x14ac:dyDescent="0.55000000000000004">
      <c r="W65453"/>
    </row>
    <row r="65454" spans="23:23" x14ac:dyDescent="0.55000000000000004">
      <c r="W65454"/>
    </row>
    <row r="65455" spans="23:23" x14ac:dyDescent="0.55000000000000004">
      <c r="W65455"/>
    </row>
    <row r="65456" spans="23:23" x14ac:dyDescent="0.55000000000000004">
      <c r="W65456"/>
    </row>
    <row r="65457" spans="23:23" x14ac:dyDescent="0.55000000000000004">
      <c r="W65457"/>
    </row>
    <row r="65458" spans="23:23" x14ac:dyDescent="0.55000000000000004">
      <c r="W65458"/>
    </row>
    <row r="65459" spans="23:23" x14ac:dyDescent="0.55000000000000004">
      <c r="W65459"/>
    </row>
    <row r="65460" spans="23:23" x14ac:dyDescent="0.55000000000000004">
      <c r="W65460"/>
    </row>
    <row r="65461" spans="23:23" x14ac:dyDescent="0.55000000000000004">
      <c r="W65461"/>
    </row>
    <row r="65462" spans="23:23" x14ac:dyDescent="0.55000000000000004">
      <c r="W65462"/>
    </row>
    <row r="65463" spans="23:23" x14ac:dyDescent="0.55000000000000004">
      <c r="W65463"/>
    </row>
    <row r="65464" spans="23:23" x14ac:dyDescent="0.55000000000000004">
      <c r="W65464"/>
    </row>
    <row r="65465" spans="23:23" x14ac:dyDescent="0.55000000000000004">
      <c r="W65465"/>
    </row>
    <row r="65466" spans="23:23" x14ac:dyDescent="0.55000000000000004">
      <c r="W65466"/>
    </row>
    <row r="65467" spans="23:23" x14ac:dyDescent="0.55000000000000004">
      <c r="W65467"/>
    </row>
    <row r="65468" spans="23:23" x14ac:dyDescent="0.55000000000000004">
      <c r="W65468"/>
    </row>
    <row r="65469" spans="23:23" x14ac:dyDescent="0.55000000000000004">
      <c r="W65469"/>
    </row>
    <row r="65470" spans="23:23" x14ac:dyDescent="0.55000000000000004">
      <c r="W65470"/>
    </row>
    <row r="65471" spans="23:23" x14ac:dyDescent="0.55000000000000004">
      <c r="W65471"/>
    </row>
    <row r="65472" spans="23:23" x14ac:dyDescent="0.55000000000000004">
      <c r="W65472"/>
    </row>
    <row r="65473" spans="23:23" x14ac:dyDescent="0.55000000000000004">
      <c r="W65473"/>
    </row>
    <row r="65474" spans="23:23" x14ac:dyDescent="0.55000000000000004">
      <c r="W65474"/>
    </row>
    <row r="65475" spans="23:23" x14ac:dyDescent="0.55000000000000004">
      <c r="W65475"/>
    </row>
    <row r="65476" spans="23:23" x14ac:dyDescent="0.55000000000000004">
      <c r="W65476"/>
    </row>
    <row r="65477" spans="23:23" x14ac:dyDescent="0.55000000000000004">
      <c r="W65477"/>
    </row>
    <row r="65478" spans="23:23" x14ac:dyDescent="0.55000000000000004">
      <c r="W65478"/>
    </row>
    <row r="65479" spans="23:23" x14ac:dyDescent="0.55000000000000004">
      <c r="W65479"/>
    </row>
    <row r="65480" spans="23:23" x14ac:dyDescent="0.55000000000000004">
      <c r="W65480"/>
    </row>
    <row r="65481" spans="23:23" x14ac:dyDescent="0.55000000000000004">
      <c r="W65481"/>
    </row>
    <row r="65482" spans="23:23" x14ac:dyDescent="0.55000000000000004">
      <c r="W65482"/>
    </row>
    <row r="65483" spans="23:23" x14ac:dyDescent="0.55000000000000004">
      <c r="W65483"/>
    </row>
    <row r="65484" spans="23:23" x14ac:dyDescent="0.55000000000000004">
      <c r="W65484"/>
    </row>
    <row r="65485" spans="23:23" x14ac:dyDescent="0.55000000000000004">
      <c r="W65485"/>
    </row>
    <row r="65486" spans="23:23" x14ac:dyDescent="0.55000000000000004">
      <c r="W65486"/>
    </row>
    <row r="65487" spans="23:23" x14ac:dyDescent="0.55000000000000004">
      <c r="W65487"/>
    </row>
    <row r="65488" spans="23:23" x14ac:dyDescent="0.55000000000000004">
      <c r="W65488"/>
    </row>
    <row r="65489" spans="23:23" x14ac:dyDescent="0.55000000000000004">
      <c r="W65489"/>
    </row>
    <row r="65490" spans="23:23" x14ac:dyDescent="0.55000000000000004">
      <c r="W65490"/>
    </row>
    <row r="65491" spans="23:23" x14ac:dyDescent="0.55000000000000004">
      <c r="W65491"/>
    </row>
    <row r="65492" spans="23:23" x14ac:dyDescent="0.55000000000000004">
      <c r="W65492"/>
    </row>
    <row r="65493" spans="23:23" x14ac:dyDescent="0.55000000000000004">
      <c r="W65493"/>
    </row>
    <row r="65494" spans="23:23" x14ac:dyDescent="0.55000000000000004">
      <c r="W65494"/>
    </row>
    <row r="65495" spans="23:23" x14ac:dyDescent="0.55000000000000004">
      <c r="W65495"/>
    </row>
    <row r="65496" spans="23:23" x14ac:dyDescent="0.55000000000000004">
      <c r="W65496"/>
    </row>
    <row r="65497" spans="23:23" x14ac:dyDescent="0.55000000000000004">
      <c r="W65497"/>
    </row>
    <row r="65498" spans="23:23" x14ac:dyDescent="0.55000000000000004">
      <c r="W65498"/>
    </row>
    <row r="65499" spans="23:23" x14ac:dyDescent="0.55000000000000004">
      <c r="W65499"/>
    </row>
    <row r="65500" spans="23:23" x14ac:dyDescent="0.55000000000000004">
      <c r="W65500"/>
    </row>
    <row r="65501" spans="23:23" x14ac:dyDescent="0.55000000000000004">
      <c r="W65501"/>
    </row>
    <row r="65502" spans="23:23" x14ac:dyDescent="0.55000000000000004">
      <c r="W65502"/>
    </row>
    <row r="65503" spans="23:23" x14ac:dyDescent="0.55000000000000004">
      <c r="W65503"/>
    </row>
    <row r="65504" spans="23:23" x14ac:dyDescent="0.55000000000000004">
      <c r="W65504"/>
    </row>
    <row r="65505" spans="23:23" x14ac:dyDescent="0.55000000000000004">
      <c r="W65505"/>
    </row>
    <row r="65506" spans="23:23" x14ac:dyDescent="0.55000000000000004">
      <c r="W65506"/>
    </row>
    <row r="65507" spans="23:23" x14ac:dyDescent="0.55000000000000004">
      <c r="W65507"/>
    </row>
    <row r="65508" spans="23:23" x14ac:dyDescent="0.55000000000000004">
      <c r="W65508"/>
    </row>
    <row r="65509" spans="23:23" x14ac:dyDescent="0.55000000000000004">
      <c r="W65509"/>
    </row>
    <row r="65510" spans="23:23" x14ac:dyDescent="0.55000000000000004">
      <c r="W65510"/>
    </row>
    <row r="65511" spans="23:23" x14ac:dyDescent="0.55000000000000004">
      <c r="W65511"/>
    </row>
    <row r="65512" spans="23:23" x14ac:dyDescent="0.55000000000000004">
      <c r="W65512"/>
    </row>
    <row r="65513" spans="23:23" x14ac:dyDescent="0.55000000000000004">
      <c r="W65513"/>
    </row>
    <row r="65514" spans="23:23" x14ac:dyDescent="0.55000000000000004">
      <c r="W65514"/>
    </row>
    <row r="65515" spans="23:23" x14ac:dyDescent="0.55000000000000004">
      <c r="W65515"/>
    </row>
    <row r="65516" spans="23:23" x14ac:dyDescent="0.55000000000000004">
      <c r="W65516"/>
    </row>
    <row r="65517" spans="23:23" x14ac:dyDescent="0.55000000000000004">
      <c r="W65517"/>
    </row>
    <row r="65518" spans="23:23" x14ac:dyDescent="0.55000000000000004">
      <c r="W65518"/>
    </row>
    <row r="65519" spans="23:23" x14ac:dyDescent="0.55000000000000004">
      <c r="W65519"/>
    </row>
    <row r="65520" spans="23:23" x14ac:dyDescent="0.55000000000000004">
      <c r="W65520"/>
    </row>
    <row r="65521" spans="23:23" x14ac:dyDescent="0.55000000000000004">
      <c r="W65521"/>
    </row>
    <row r="65522" spans="23:23" x14ac:dyDescent="0.55000000000000004">
      <c r="W65522"/>
    </row>
    <row r="65523" spans="23:23" x14ac:dyDescent="0.55000000000000004">
      <c r="W65523"/>
    </row>
    <row r="65524" spans="23:23" x14ac:dyDescent="0.55000000000000004">
      <c r="W65524"/>
    </row>
    <row r="65525" spans="23:23" x14ac:dyDescent="0.55000000000000004">
      <c r="W65525"/>
    </row>
    <row r="65526" spans="23:23" x14ac:dyDescent="0.55000000000000004">
      <c r="W65526"/>
    </row>
    <row r="65527" spans="23:23" x14ac:dyDescent="0.55000000000000004">
      <c r="W65527"/>
    </row>
    <row r="65528" spans="23:23" x14ac:dyDescent="0.55000000000000004">
      <c r="W65528"/>
    </row>
    <row r="65529" spans="23:23" x14ac:dyDescent="0.55000000000000004">
      <c r="W65529"/>
    </row>
    <row r="65530" spans="23:23" x14ac:dyDescent="0.55000000000000004">
      <c r="W65530"/>
    </row>
    <row r="65531" spans="23:23" x14ac:dyDescent="0.55000000000000004">
      <c r="W65531"/>
    </row>
    <row r="65532" spans="23:23" x14ac:dyDescent="0.55000000000000004">
      <c r="W65532"/>
    </row>
    <row r="65533" spans="23:23" x14ac:dyDescent="0.55000000000000004">
      <c r="W65533"/>
    </row>
    <row r="65534" spans="23:23" x14ac:dyDescent="0.55000000000000004">
      <c r="W65534"/>
    </row>
    <row r="65535" spans="23:23" x14ac:dyDescent="0.55000000000000004">
      <c r="W65535"/>
    </row>
  </sheetData>
  <mergeCells count="18">
    <mergeCell ref="Z41:AF42"/>
    <mergeCell ref="Z49:AF51"/>
    <mergeCell ref="Z59:AF61"/>
    <mergeCell ref="P12:V14"/>
    <mergeCell ref="O7:W8"/>
    <mergeCell ref="D41:J42"/>
    <mergeCell ref="D12:J14"/>
    <mergeCell ref="E1:E2"/>
    <mergeCell ref="D30:J31"/>
    <mergeCell ref="D59:J61"/>
    <mergeCell ref="D49:J51"/>
    <mergeCell ref="C7:K8"/>
    <mergeCell ref="AA1:AA2"/>
    <mergeCell ref="Y7:AG8"/>
    <mergeCell ref="Z12:AF14"/>
    <mergeCell ref="Z30:AF31"/>
    <mergeCell ref="P1:P2"/>
    <mergeCell ref="P30:V31"/>
  </mergeCells>
  <conditionalFormatting sqref="F71">
    <cfRule type="expression" dxfId="30" priority="34">
      <formula>$E$69="Yes"</formula>
    </cfRule>
    <cfRule type="expression" dxfId="29" priority="37">
      <formula>F64=0</formula>
    </cfRule>
  </conditionalFormatting>
  <conditionalFormatting sqref="G71:J71">
    <cfRule type="expression" dxfId="28" priority="32">
      <formula>$E$69="Yes"</formula>
    </cfRule>
    <cfRule type="expression" dxfId="27" priority="33">
      <formula>G64=0</formula>
    </cfRule>
  </conditionalFormatting>
  <conditionalFormatting sqref="Q46:U46">
    <cfRule type="expression" dxfId="26" priority="29">
      <formula>Q35&gt;0</formula>
    </cfRule>
  </conditionalFormatting>
  <conditionalFormatting sqref="Q71:R71">
    <cfRule type="expression" dxfId="25" priority="27">
      <formula>$E$69="Yes"</formula>
    </cfRule>
    <cfRule type="expression" dxfId="24" priority="28">
      <formula>Q64=0</formula>
    </cfRule>
  </conditionalFormatting>
  <conditionalFormatting sqref="R71:V71">
    <cfRule type="expression" dxfId="23" priority="25">
      <formula>$E$69="Yes"</formula>
    </cfRule>
    <cfRule type="expression" dxfId="22" priority="26">
      <formula>R64=0</formula>
    </cfRule>
  </conditionalFormatting>
  <conditionalFormatting sqref="Q53">
    <cfRule type="expression" dxfId="21" priority="24">
      <formula>$E$53&lt;0</formula>
    </cfRule>
  </conditionalFormatting>
  <conditionalFormatting sqref="AB46:AE46">
    <cfRule type="expression" dxfId="20" priority="22">
      <formula>AB35&gt;0</formula>
    </cfRule>
  </conditionalFormatting>
  <conditionalFormatting sqref="AB71">
    <cfRule type="expression" dxfId="19" priority="20">
      <formula>$E$69="Yes"</formula>
    </cfRule>
    <cfRule type="expression" dxfId="18" priority="21">
      <formula>AB64=0</formula>
    </cfRule>
  </conditionalFormatting>
  <conditionalFormatting sqref="AC71:AF71">
    <cfRule type="expression" dxfId="17" priority="18">
      <formula>$E$69="Yes"</formula>
    </cfRule>
    <cfRule type="expression" dxfId="16" priority="19">
      <formula>AC64=0</formula>
    </cfRule>
  </conditionalFormatting>
  <conditionalFormatting sqref="AB53">
    <cfRule type="containsText" dxfId="15" priority="13" stopIfTrue="1" operator="containsText" text="Net surplus is positive. No further adjustment is required.">
      <formula>NOT(ISERROR(SEARCH("Net surplus is positive. No further adjustment is required.",AB53)))</formula>
    </cfRule>
    <cfRule type="cellIs" dxfId="14" priority="14" stopIfTrue="1" operator="equal">
      <formula>"Net surplus is positive. No further adjustment is required"</formula>
    </cfRule>
    <cfRule type="expression" dxfId="13" priority="15">
      <formula>$E$53&lt;0</formula>
    </cfRule>
  </conditionalFormatting>
  <conditionalFormatting sqref="T51">
    <cfRule type="containsText" dxfId="12" priority="10" stopIfTrue="1" operator="containsText" text="Net surplus is positive. No further adjustment is required.">
      <formula>NOT(ISERROR(SEARCH("Net surplus is positive. No further adjustment is required.",T51)))</formula>
    </cfRule>
    <cfRule type="cellIs" dxfId="11" priority="11" stopIfTrue="1" operator="equal">
      <formula>"Net surplus is positive. No further adjustment is required"</formula>
    </cfRule>
    <cfRule type="expression" dxfId="10" priority="12">
      <formula>$E$53&lt;0</formula>
    </cfRule>
  </conditionalFormatting>
  <conditionalFormatting sqref="R53">
    <cfRule type="containsText" dxfId="9" priority="7" stopIfTrue="1" operator="containsText" text="Net surplus is positive. No further adjustment is required.">
      <formula>NOT(ISERROR(SEARCH("Net surplus is positive. No further adjustment is required.",R53)))</formula>
    </cfRule>
    <cfRule type="cellIs" dxfId="8" priority="8" stopIfTrue="1" operator="equal">
      <formula>"Net surplus is positive. No further adjustment is required"</formula>
    </cfRule>
    <cfRule type="expression" dxfId="7" priority="9">
      <formula>$E$53&lt;0</formula>
    </cfRule>
  </conditionalFormatting>
  <conditionalFormatting sqref="F53">
    <cfRule type="containsText" dxfId="6" priority="4" stopIfTrue="1" operator="containsText" text="Net surplus is positive. No further adjustment is required.">
      <formula>NOT(ISERROR(SEARCH("Net surplus is positive. No further adjustment is required.",F53)))</formula>
    </cfRule>
    <cfRule type="cellIs" dxfId="5" priority="5" stopIfTrue="1" operator="equal">
      <formula>"Net surplus is positive. No further adjustment is required"</formula>
    </cfRule>
    <cfRule type="expression" dxfId="4" priority="6">
      <formula>$E$53&lt;0</formula>
    </cfRule>
  </conditionalFormatting>
  <conditionalFormatting sqref="G46:I46">
    <cfRule type="expression" dxfId="3" priority="2">
      <formula>G35&gt;0</formula>
    </cfRule>
  </conditionalFormatting>
  <conditionalFormatting sqref="F46">
    <cfRule type="expression" dxfId="2" priority="1">
      <formula>F35&gt;0</formula>
    </cfRule>
  </conditionalFormatting>
  <dataValidations count="1">
    <dataValidation type="list" allowBlank="1" showInputMessage="1" showErrorMessage="1" sqref="E69 AA69 Q69" xr:uid="{5495B76F-06C3-4844-B3D1-DA2552BCD546}">
      <formula1>"Yes, No"</formula1>
    </dataValidation>
  </dataValidations>
  <pageMargins left="0.7" right="0.7" top="0.75" bottom="0.75" header="0.3" footer="0.3"/>
  <pageSetup paperSize="9" orientation="portrait" r:id="rId1"/>
  <drawing r:id="rId2"/>
  <legacyDrawing r:id="rId3"/>
  <controls>
    <mc:AlternateContent xmlns:mc="http://schemas.openxmlformats.org/markup-compatibility/2006">
      <mc:Choice Requires="x14">
        <control shapeId="6145" r:id="rId4" name="cbSur">
          <controlPr defaultSize="0" autoLine="0" r:id="rId5">
            <anchor moveWithCells="1">
              <from>
                <xdr:col>4</xdr:col>
                <xdr:colOff>0</xdr:colOff>
                <xdr:row>2</xdr:row>
                <xdr:rowOff>38100</xdr:rowOff>
              </from>
              <to>
                <xdr:col>5</xdr:col>
                <xdr:colOff>723900</xdr:colOff>
                <xdr:row>3</xdr:row>
                <xdr:rowOff>83820</xdr:rowOff>
              </to>
            </anchor>
          </controlPr>
        </control>
      </mc:Choice>
      <mc:Fallback>
        <control shapeId="6145" r:id="rId4" name="cbSur"/>
      </mc:Fallback>
    </mc:AlternateContent>
  </controls>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97B061-2A2A-4216-974A-472736ACE5A7}">
  <sheetPr codeName="Sheet6">
    <tabColor theme="9"/>
  </sheetPr>
  <dimension ref="A1:K177"/>
  <sheetViews>
    <sheetView showGridLines="0" workbookViewId="0">
      <pane ySplit="4" topLeftCell="A5" activePane="bottomLeft" state="frozen"/>
      <selection activeCell="D10" sqref="D10"/>
      <selection pane="bottomLeft" activeCell="F45" sqref="F45"/>
    </sheetView>
  </sheetViews>
  <sheetFormatPr defaultColWidth="8.7890625" defaultRowHeight="14.4" x14ac:dyDescent="0.55000000000000004"/>
  <cols>
    <col min="1" max="1" width="3.7890625" style="117" customWidth="1"/>
    <col min="2" max="3" width="3.7890625" customWidth="1"/>
    <col min="4" max="4" width="33.41796875" customWidth="1"/>
    <col min="5" max="5" width="19.68359375" customWidth="1"/>
    <col min="6" max="6" width="18.20703125" customWidth="1"/>
    <col min="7" max="7" width="15.5234375" customWidth="1"/>
    <col min="8" max="8" width="9.1015625" customWidth="1"/>
    <col min="9" max="9" width="9.7890625" customWidth="1"/>
    <col min="10" max="10" width="24.20703125" customWidth="1"/>
  </cols>
  <sheetData>
    <row r="1" spans="1:10" x14ac:dyDescent="0.55000000000000004">
      <c r="A1"/>
      <c r="E1" s="1807" t="s">
        <v>206</v>
      </c>
      <c r="F1" s="1807"/>
    </row>
    <row r="2" spans="1:10" x14ac:dyDescent="0.55000000000000004">
      <c r="A2"/>
      <c r="E2" s="1807"/>
      <c r="F2" s="1807"/>
      <c r="G2" s="120"/>
    </row>
    <row r="3" spans="1:10" x14ac:dyDescent="0.55000000000000004">
      <c r="A3"/>
      <c r="E3" s="120"/>
      <c r="F3" s="120"/>
      <c r="G3" s="120"/>
    </row>
    <row r="4" spans="1:10" s="116" customFormat="1" ht="14.7" thickBot="1" x14ac:dyDescent="0.6">
      <c r="E4" s="269"/>
      <c r="F4" s="269"/>
      <c r="G4" s="269"/>
    </row>
    <row r="5" spans="1:10" s="117" customFormat="1" x14ac:dyDescent="0.55000000000000004"/>
    <row r="7" spans="1:10" ht="18.3" x14ac:dyDescent="0.7">
      <c r="B7" s="161"/>
      <c r="C7" s="1803" t="s">
        <v>523</v>
      </c>
      <c r="D7" s="1803"/>
      <c r="E7" s="1803"/>
      <c r="F7" s="1803"/>
      <c r="G7" s="1803"/>
      <c r="H7" s="1803"/>
    </row>
    <row r="8" spans="1:10" ht="10.199999999999999" customHeight="1" thickBot="1" x14ac:dyDescent="0.75">
      <c r="E8" s="161"/>
      <c r="F8" s="161"/>
      <c r="G8" s="161"/>
    </row>
    <row r="9" spans="1:10" x14ac:dyDescent="0.55000000000000004">
      <c r="C9" s="121"/>
      <c r="D9" s="244"/>
      <c r="E9" s="122"/>
      <c r="F9" s="122"/>
      <c r="G9" s="122"/>
      <c r="H9" s="286"/>
    </row>
    <row r="10" spans="1:10" x14ac:dyDescent="0.55000000000000004">
      <c r="C10" s="124"/>
      <c r="D10" s="1" t="s">
        <v>54</v>
      </c>
      <c r="H10" s="287"/>
    </row>
    <row r="11" spans="1:10" ht="14.55" customHeight="1" x14ac:dyDescent="0.55000000000000004">
      <c r="C11" s="124"/>
      <c r="D11" s="1804" t="s">
        <v>496</v>
      </c>
      <c r="E11" s="1804"/>
      <c r="F11" s="1804"/>
      <c r="G11" s="1804"/>
      <c r="H11" s="287"/>
    </row>
    <row r="12" spans="1:10" x14ac:dyDescent="0.55000000000000004">
      <c r="C12" s="124"/>
      <c r="D12" s="1804"/>
      <c r="E12" s="1804"/>
      <c r="F12" s="1804"/>
      <c r="G12" s="1804"/>
      <c r="H12" s="287"/>
    </row>
    <row r="13" spans="1:10" x14ac:dyDescent="0.55000000000000004">
      <c r="C13" s="124"/>
      <c r="D13" s="1804"/>
      <c r="E13" s="1804"/>
      <c r="F13" s="1804"/>
      <c r="G13" s="1804"/>
      <c r="H13" s="287"/>
    </row>
    <row r="14" spans="1:10" x14ac:dyDescent="0.55000000000000004">
      <c r="C14" s="124"/>
      <c r="D14" s="1"/>
      <c r="E14" s="9">
        <f>IF('Main menu'!$G$8="","Base Year",'Main menu'!$G$8)</f>
        <v>2026</v>
      </c>
      <c r="F14" s="9">
        <f>IF('Main menu'!$G$10="","Year tariffs are set",'Main menu'!$G$10)</f>
        <v>2027</v>
      </c>
      <c r="G14" s="9" t="s">
        <v>209</v>
      </c>
      <c r="H14" s="287"/>
    </row>
    <row r="15" spans="1:10" x14ac:dyDescent="0.55000000000000004">
      <c r="C15" s="124"/>
      <c r="D15" t="s">
        <v>41</v>
      </c>
      <c r="E15" s="13">
        <v>17804</v>
      </c>
      <c r="F15" s="25">
        <f>E15*1.027</f>
        <v>18284.707999999999</v>
      </c>
      <c r="G15" s="29">
        <f>IFERROR((F15-E15)/E15,0)</f>
        <v>2.6999999999999927E-2</v>
      </c>
      <c r="H15" s="125"/>
      <c r="I15" s="238"/>
      <c r="J15" s="162"/>
    </row>
    <row r="16" spans="1:10" x14ac:dyDescent="0.55000000000000004">
      <c r="C16" s="124"/>
      <c r="D16" t="s">
        <v>210</v>
      </c>
      <c r="E16" s="13">
        <v>2969194</v>
      </c>
      <c r="F16" s="25">
        <f>E16*1.027</f>
        <v>3049362.2379999999</v>
      </c>
      <c r="G16" s="29">
        <f>IFERROR((F16-E16)/E16,0)</f>
        <v>2.6999999999999965E-2</v>
      </c>
      <c r="H16" s="125"/>
      <c r="J16" s="178"/>
    </row>
    <row r="17" spans="3:10" x14ac:dyDescent="0.55000000000000004">
      <c r="C17" s="124"/>
      <c r="H17" s="287"/>
      <c r="J17" s="178"/>
    </row>
    <row r="18" spans="3:10" ht="14.7" thickBot="1" x14ac:dyDescent="0.6">
      <c r="C18" s="130"/>
      <c r="D18" s="131"/>
      <c r="E18" s="131"/>
      <c r="F18" s="131"/>
      <c r="G18" s="131"/>
      <c r="H18" s="288"/>
      <c r="J18" s="178"/>
    </row>
    <row r="19" spans="3:10" ht="14.7" thickBot="1" x14ac:dyDescent="0.6">
      <c r="H19" s="178"/>
      <c r="J19" s="178"/>
    </row>
    <row r="20" spans="3:10" x14ac:dyDescent="0.55000000000000004">
      <c r="C20" s="121"/>
      <c r="D20" s="244"/>
      <c r="E20" s="122"/>
      <c r="F20" s="122"/>
      <c r="G20" s="122"/>
      <c r="H20" s="286"/>
      <c r="J20" s="178"/>
    </row>
    <row r="21" spans="3:10" x14ac:dyDescent="0.55000000000000004">
      <c r="C21" s="124"/>
      <c r="D21" s="1809" t="s">
        <v>1623</v>
      </c>
      <c r="E21" s="1809"/>
      <c r="F21" s="1809"/>
      <c r="G21" s="1809"/>
      <c r="H21" s="287"/>
      <c r="J21" s="178"/>
    </row>
    <row r="22" spans="3:10" ht="14.55" customHeight="1" x14ac:dyDescent="0.55000000000000004">
      <c r="C22" s="124"/>
      <c r="D22" s="1804" t="s">
        <v>497</v>
      </c>
      <c r="E22" s="1804"/>
      <c r="F22" s="1804"/>
      <c r="G22" s="1804"/>
      <c r="H22" s="287"/>
      <c r="J22" s="178"/>
    </row>
    <row r="23" spans="3:10" x14ac:dyDescent="0.55000000000000004">
      <c r="C23" s="124"/>
      <c r="D23" s="1804"/>
      <c r="E23" s="1804"/>
      <c r="F23" s="1804"/>
      <c r="G23" s="1804"/>
      <c r="H23" s="287"/>
      <c r="J23" s="178"/>
    </row>
    <row r="24" spans="3:10" x14ac:dyDescent="0.55000000000000004">
      <c r="C24" s="124"/>
      <c r="D24" s="1804"/>
      <c r="E24" s="1804"/>
      <c r="F24" s="1804"/>
      <c r="G24" s="1804"/>
      <c r="H24" s="287"/>
      <c r="J24" s="178"/>
    </row>
    <row r="25" spans="3:10" x14ac:dyDescent="0.55000000000000004">
      <c r="C25" s="124"/>
      <c r="D25" s="1804"/>
      <c r="E25" s="1804"/>
      <c r="F25" s="1804"/>
      <c r="G25" s="1804"/>
      <c r="H25" s="287"/>
      <c r="J25" s="178"/>
    </row>
    <row r="26" spans="3:10" x14ac:dyDescent="0.55000000000000004">
      <c r="C26" s="124"/>
      <c r="D26" s="1804"/>
      <c r="E26" s="1804"/>
      <c r="F26" s="1804"/>
      <c r="G26" s="1804"/>
      <c r="H26" s="287"/>
      <c r="J26" s="178"/>
    </row>
    <row r="27" spans="3:10" x14ac:dyDescent="0.55000000000000004">
      <c r="C27" s="124"/>
      <c r="D27" s="1804"/>
      <c r="E27" s="1804"/>
      <c r="F27" s="1804"/>
      <c r="G27" s="1804"/>
      <c r="H27" s="287"/>
      <c r="J27" s="178"/>
    </row>
    <row r="28" spans="3:10" x14ac:dyDescent="0.55000000000000004">
      <c r="C28" s="124"/>
      <c r="D28" s="1"/>
      <c r="H28" s="287"/>
      <c r="J28" s="178"/>
    </row>
    <row r="29" spans="3:10" x14ac:dyDescent="0.55000000000000004">
      <c r="C29" s="124"/>
      <c r="D29" s="1"/>
      <c r="E29" s="9">
        <f>IF('Main menu'!$G$8="","Base Year",'Main menu'!$G$8)</f>
        <v>2026</v>
      </c>
      <c r="F29" s="9">
        <f>IF('Main menu'!$G$10="","Year tariffs are set",'Main menu'!$G$10)</f>
        <v>2027</v>
      </c>
      <c r="G29" s="9" t="s">
        <v>209</v>
      </c>
      <c r="H29" s="287"/>
      <c r="J29" s="178"/>
    </row>
    <row r="30" spans="3:10" x14ac:dyDescent="0.55000000000000004">
      <c r="C30" s="124"/>
      <c r="D30" t="s">
        <v>41</v>
      </c>
      <c r="E30" s="13">
        <v>17643</v>
      </c>
      <c r="F30" s="25">
        <f>E30*1.027</f>
        <v>18119.360999999997</v>
      </c>
      <c r="G30" s="29">
        <f>IFERROR((F30-E30)/E30,0)</f>
        <v>2.6999999999999837E-2</v>
      </c>
      <c r="H30" s="125"/>
      <c r="J30" s="178"/>
    </row>
    <row r="31" spans="3:10" x14ac:dyDescent="0.55000000000000004">
      <c r="C31" s="124"/>
      <c r="D31" s="10" t="s">
        <v>271</v>
      </c>
      <c r="E31" s="13">
        <f>+E16</f>
        <v>2969194</v>
      </c>
      <c r="F31" s="25">
        <f>+F16</f>
        <v>3049362.2379999999</v>
      </c>
      <c r="G31" s="29">
        <f>IFERROR((F31-E31)/E31,0)</f>
        <v>2.6999999999999965E-2</v>
      </c>
      <c r="H31" s="125"/>
      <c r="J31" s="178"/>
    </row>
    <row r="32" spans="3:10" ht="14.55" customHeight="1" x14ac:dyDescent="0.55000000000000004">
      <c r="C32" s="124"/>
      <c r="D32" s="1808" t="s">
        <v>211</v>
      </c>
      <c r="E32" s="52">
        <v>0.7</v>
      </c>
      <c r="F32" s="61">
        <v>0.7</v>
      </c>
      <c r="G32" s="29"/>
      <c r="H32" s="289"/>
      <c r="J32" s="178"/>
    </row>
    <row r="33" spans="3:11" x14ac:dyDescent="0.55000000000000004">
      <c r="C33" s="124"/>
      <c r="D33" s="1808"/>
      <c r="E33" s="290"/>
      <c r="F33" s="178"/>
      <c r="G33" s="177"/>
      <c r="H33" s="289"/>
      <c r="J33" s="178"/>
    </row>
    <row r="34" spans="3:11" ht="28.8" x14ac:dyDescent="0.55000000000000004">
      <c r="C34" s="124"/>
      <c r="D34" s="291" t="s">
        <v>528</v>
      </c>
      <c r="E34" s="30">
        <f>E31*E32</f>
        <v>2078435.7999999998</v>
      </c>
      <c r="F34" s="30">
        <f>F31*F32</f>
        <v>2134553.5666</v>
      </c>
      <c r="G34" s="29">
        <f>IFERROR((F34-E34)/E34,0)</f>
        <v>2.70000000000001E-2</v>
      </c>
      <c r="H34" s="289"/>
      <c r="J34" s="178"/>
    </row>
    <row r="35" spans="3:11" ht="14.7" thickBot="1" x14ac:dyDescent="0.6">
      <c r="C35" s="130"/>
      <c r="D35" s="131"/>
      <c r="E35" s="131"/>
      <c r="F35" s="131"/>
      <c r="G35" s="131"/>
      <c r="H35" s="288"/>
      <c r="J35" s="178"/>
    </row>
    <row r="36" spans="3:11" ht="14.7" thickBot="1" x14ac:dyDescent="0.6">
      <c r="H36" s="178"/>
      <c r="J36" s="178"/>
    </row>
    <row r="37" spans="3:11" x14ac:dyDescent="0.55000000000000004">
      <c r="C37" s="121"/>
      <c r="D37" s="244"/>
      <c r="E37" s="122"/>
      <c r="F37" s="122"/>
      <c r="G37" s="122"/>
      <c r="H37" s="286"/>
      <c r="J37" s="178"/>
    </row>
    <row r="38" spans="3:11" ht="15.6" x14ac:dyDescent="0.6">
      <c r="C38" s="124"/>
      <c r="D38" s="1809" t="s">
        <v>1625</v>
      </c>
      <c r="E38" s="1809"/>
      <c r="F38" s="1809"/>
      <c r="H38" s="287"/>
      <c r="J38" s="178"/>
    </row>
    <row r="39" spans="3:11" ht="14.55" customHeight="1" x14ac:dyDescent="0.55000000000000004">
      <c r="C39" s="124"/>
      <c r="D39" s="1804" t="s">
        <v>1626</v>
      </c>
      <c r="E39" s="1804"/>
      <c r="F39" s="1804"/>
      <c r="G39" s="1804"/>
      <c r="H39" s="287"/>
      <c r="J39" s="178"/>
    </row>
    <row r="40" spans="3:11" x14ac:dyDescent="0.55000000000000004">
      <c r="C40" s="124"/>
      <c r="D40" s="1804"/>
      <c r="E40" s="1804"/>
      <c r="F40" s="1804"/>
      <c r="G40" s="1804"/>
      <c r="H40" s="287"/>
      <c r="J40" s="178"/>
    </row>
    <row r="41" spans="3:11" x14ac:dyDescent="0.55000000000000004">
      <c r="C41" s="124"/>
      <c r="D41" s="1804"/>
      <c r="E41" s="1804"/>
      <c r="F41" s="1804"/>
      <c r="G41" s="1804"/>
      <c r="H41" s="287"/>
      <c r="J41" s="178"/>
    </row>
    <row r="42" spans="3:11" x14ac:dyDescent="0.55000000000000004">
      <c r="C42" s="124"/>
      <c r="D42" s="1804"/>
      <c r="E42" s="1804"/>
      <c r="F42" s="1804"/>
      <c r="G42" s="1804"/>
      <c r="H42" s="287"/>
      <c r="J42" s="178"/>
    </row>
    <row r="43" spans="3:11" x14ac:dyDescent="0.55000000000000004">
      <c r="C43" s="124"/>
      <c r="D43" s="1"/>
      <c r="H43" s="287"/>
      <c r="J43" s="178"/>
    </row>
    <row r="44" spans="3:11" x14ac:dyDescent="0.55000000000000004">
      <c r="C44" s="124"/>
      <c r="D44" s="1"/>
      <c r="E44" s="9">
        <f>IF('Main menu'!$G$8="","Base Year",'Main menu'!$G$8)</f>
        <v>2026</v>
      </c>
      <c r="F44" s="9">
        <f>IF('Main menu'!$G$10="","Year tariffs are set",'Main menu'!$G$10)</f>
        <v>2027</v>
      </c>
      <c r="G44" s="9" t="s">
        <v>209</v>
      </c>
      <c r="H44" s="287"/>
      <c r="J44" s="178"/>
    </row>
    <row r="45" spans="3:11" x14ac:dyDescent="0.55000000000000004">
      <c r="C45" s="124"/>
      <c r="D45" t="s">
        <v>1619</v>
      </c>
      <c r="E45" s="13">
        <v>18377</v>
      </c>
      <c r="F45" s="25">
        <f>E45*1.027</f>
        <v>18873.179</v>
      </c>
      <c r="G45" s="29">
        <f>IFERROR((F45-E45)/E45,0)</f>
        <v>2.7000000000000003E-2</v>
      </c>
      <c r="H45" s="125"/>
      <c r="J45" s="178"/>
    </row>
    <row r="46" spans="3:11" ht="14.7" thickBot="1" x14ac:dyDescent="0.6">
      <c r="C46" s="130"/>
      <c r="D46" s="131"/>
      <c r="E46" s="131"/>
      <c r="F46" s="131"/>
      <c r="G46" s="131"/>
      <c r="H46" s="288"/>
      <c r="J46" s="178"/>
    </row>
    <row r="47" spans="3:11" ht="14.7" thickBot="1" x14ac:dyDescent="0.6">
      <c r="H47" s="1"/>
      <c r="J47" s="178"/>
    </row>
    <row r="48" spans="3:11" x14ac:dyDescent="0.55000000000000004">
      <c r="C48" s="121"/>
      <c r="D48" s="244"/>
      <c r="E48" s="122"/>
      <c r="F48" s="122"/>
      <c r="G48" s="122"/>
      <c r="H48" s="122"/>
      <c r="I48" s="286"/>
      <c r="K48" s="178"/>
    </row>
    <row r="49" spans="3:11" x14ac:dyDescent="0.55000000000000004">
      <c r="C49" s="124"/>
      <c r="D49" s="1809" t="s">
        <v>1624</v>
      </c>
      <c r="E49" s="1809"/>
      <c r="F49" s="1809"/>
      <c r="I49" s="287"/>
      <c r="K49" s="178"/>
    </row>
    <row r="50" spans="3:11" ht="14.55" customHeight="1" x14ac:dyDescent="0.55000000000000004">
      <c r="C50" s="124"/>
      <c r="D50" s="1804" t="s">
        <v>1632</v>
      </c>
      <c r="E50" s="1804"/>
      <c r="F50" s="1804"/>
      <c r="G50" s="1804"/>
      <c r="H50" s="119"/>
      <c r="I50" s="287"/>
      <c r="K50" s="178"/>
    </row>
    <row r="51" spans="3:11" x14ac:dyDescent="0.55000000000000004">
      <c r="C51" s="124"/>
      <c r="D51" s="1804"/>
      <c r="E51" s="1804"/>
      <c r="F51" s="1804"/>
      <c r="G51" s="1804"/>
      <c r="H51" s="119"/>
      <c r="I51" s="287"/>
      <c r="K51" s="178"/>
    </row>
    <row r="52" spans="3:11" x14ac:dyDescent="0.55000000000000004">
      <c r="C52" s="124"/>
      <c r="D52" s="1804"/>
      <c r="E52" s="1804"/>
      <c r="F52" s="1804"/>
      <c r="G52" s="1804"/>
      <c r="H52" s="119"/>
      <c r="I52" s="287"/>
      <c r="K52" s="178"/>
    </row>
    <row r="53" spans="3:11" x14ac:dyDescent="0.55000000000000004">
      <c r="C53" s="124"/>
      <c r="D53" s="1804"/>
      <c r="E53" s="1804"/>
      <c r="F53" s="1804"/>
      <c r="G53" s="1804"/>
      <c r="H53" s="119"/>
      <c r="I53" s="287"/>
      <c r="K53" s="178"/>
    </row>
    <row r="54" spans="3:11" x14ac:dyDescent="0.55000000000000004">
      <c r="C54" s="124"/>
      <c r="D54" s="1"/>
      <c r="E54" s="1"/>
      <c r="F54" s="9"/>
      <c r="G54" s="9"/>
      <c r="H54" s="9"/>
      <c r="I54" s="1411"/>
      <c r="K54" s="178"/>
    </row>
    <row r="55" spans="3:11" ht="31.95" customHeight="1" x14ac:dyDescent="0.55000000000000004">
      <c r="C55" s="124"/>
      <c r="E55" s="1810" t="s">
        <v>1628</v>
      </c>
      <c r="F55" s="1811"/>
      <c r="G55" s="1414">
        <f>IF('Main menu'!$G$8="","Base Year",'Main menu'!$G$8)</f>
        <v>2026</v>
      </c>
      <c r="H55" s="1414">
        <f>+F29</f>
        <v>2027</v>
      </c>
      <c r="I55" s="1413" t="s">
        <v>209</v>
      </c>
      <c r="K55" s="178"/>
    </row>
    <row r="56" spans="3:11" ht="13.95" customHeight="1" x14ac:dyDescent="0.55000000000000004">
      <c r="C56" s="124"/>
      <c r="D56" t="s">
        <v>1627</v>
      </c>
      <c r="E56" s="1415"/>
      <c r="F56" s="13"/>
      <c r="G56" s="13"/>
      <c r="H56" s="25"/>
      <c r="I56" s="1412">
        <f>IFERROR((H56-G56)/G56,0)</f>
        <v>0</v>
      </c>
      <c r="K56" s="178"/>
    </row>
    <row r="57" spans="3:11" ht="13.95" customHeight="1" x14ac:dyDescent="0.55000000000000004">
      <c r="C57" s="124"/>
      <c r="D57" t="s">
        <v>1629</v>
      </c>
      <c r="E57" s="13"/>
      <c r="F57" s="13"/>
      <c r="G57" s="13"/>
      <c r="H57" s="25"/>
      <c r="I57" s="1412">
        <f t="shared" ref="I57:I60" si="0">IFERROR((H57-G57)/G57,0)</f>
        <v>0</v>
      </c>
      <c r="K57" s="178"/>
    </row>
    <row r="58" spans="3:11" ht="13.95" customHeight="1" x14ac:dyDescent="0.55000000000000004">
      <c r="C58" s="124"/>
      <c r="D58" s="1410" t="s">
        <v>1629</v>
      </c>
      <c r="E58" s="13"/>
      <c r="F58" s="13"/>
      <c r="G58" s="13"/>
      <c r="H58" s="25"/>
      <c r="I58" s="1412">
        <f t="shared" si="0"/>
        <v>0</v>
      </c>
      <c r="K58" s="178"/>
    </row>
    <row r="59" spans="3:11" ht="13.95" customHeight="1" x14ac:dyDescent="0.55000000000000004">
      <c r="C59" s="124"/>
      <c r="D59" t="s">
        <v>1630</v>
      </c>
      <c r="E59" s="13"/>
      <c r="F59" s="13"/>
      <c r="G59" s="13"/>
      <c r="H59" s="25"/>
      <c r="I59" s="1412">
        <f t="shared" si="0"/>
        <v>0</v>
      </c>
      <c r="K59" s="178"/>
    </row>
    <row r="60" spans="3:11" ht="13.95" customHeight="1" x14ac:dyDescent="0.55000000000000004">
      <c r="C60" s="124"/>
      <c r="D60" s="1410" t="s">
        <v>1631</v>
      </c>
      <c r="E60" s="13"/>
      <c r="F60" s="1416"/>
      <c r="G60" s="13"/>
      <c r="H60" s="25"/>
      <c r="I60" s="1412">
        <f t="shared" si="0"/>
        <v>0</v>
      </c>
      <c r="K60" s="178"/>
    </row>
    <row r="61" spans="3:11" ht="14.7" thickBot="1" x14ac:dyDescent="0.6">
      <c r="C61" s="130"/>
      <c r="D61" s="131"/>
      <c r="E61" s="131" t="s">
        <v>1637</v>
      </c>
      <c r="F61" s="131"/>
      <c r="G61" s="131"/>
      <c r="H61" s="1417">
        <f>SUM(H56:H60)</f>
        <v>0</v>
      </c>
      <c r="I61" s="288"/>
      <c r="K61" s="178"/>
    </row>
    <row r="62" spans="3:11" ht="14.7" thickBot="1" x14ac:dyDescent="0.6">
      <c r="H62" s="1"/>
      <c r="J62" s="178"/>
    </row>
    <row r="63" spans="3:11" x14ac:dyDescent="0.55000000000000004">
      <c r="C63" s="121"/>
      <c r="D63" s="244"/>
      <c r="E63" s="122"/>
      <c r="F63" s="122"/>
      <c r="G63" s="122"/>
      <c r="H63" s="122"/>
      <c r="I63" s="286"/>
      <c r="K63" s="178"/>
    </row>
    <row r="64" spans="3:11" x14ac:dyDescent="0.55000000000000004">
      <c r="C64" s="124"/>
      <c r="D64" s="1809" t="s">
        <v>1633</v>
      </c>
      <c r="E64" s="1809"/>
      <c r="F64" s="1809"/>
      <c r="I64" s="287"/>
      <c r="K64" s="178"/>
    </row>
    <row r="65" spans="3:11" ht="14.55" customHeight="1" x14ac:dyDescent="0.55000000000000004">
      <c r="C65" s="124"/>
      <c r="D65" s="1804" t="s">
        <v>1634</v>
      </c>
      <c r="E65" s="1804"/>
      <c r="F65" s="1804"/>
      <c r="G65" s="1804"/>
      <c r="H65" s="119"/>
      <c r="I65" s="287"/>
      <c r="K65" s="178"/>
    </row>
    <row r="66" spans="3:11" x14ac:dyDescent="0.55000000000000004">
      <c r="C66" s="124"/>
      <c r="D66" s="1804"/>
      <c r="E66" s="1804"/>
      <c r="F66" s="1804"/>
      <c r="G66" s="1804"/>
      <c r="H66" s="119"/>
      <c r="I66" s="287"/>
      <c r="K66" s="178"/>
    </row>
    <row r="67" spans="3:11" x14ac:dyDescent="0.55000000000000004">
      <c r="C67" s="124"/>
      <c r="D67" s="1804"/>
      <c r="E67" s="1804"/>
      <c r="F67" s="1804"/>
      <c r="G67" s="1804"/>
      <c r="H67" s="119"/>
      <c r="I67" s="287"/>
      <c r="K67" s="178"/>
    </row>
    <row r="68" spans="3:11" x14ac:dyDescent="0.55000000000000004">
      <c r="C68" s="124"/>
      <c r="D68" s="1804"/>
      <c r="E68" s="1804"/>
      <c r="F68" s="1804"/>
      <c r="G68" s="1804"/>
      <c r="H68" s="119"/>
      <c r="I68" s="287"/>
      <c r="K68" s="178"/>
    </row>
    <row r="69" spans="3:11" x14ac:dyDescent="0.55000000000000004">
      <c r="C69" s="124"/>
      <c r="D69" s="1"/>
      <c r="E69" s="1"/>
      <c r="F69" s="9"/>
      <c r="G69" s="9"/>
      <c r="H69" s="9"/>
      <c r="I69" s="1411"/>
      <c r="K69" s="178"/>
    </row>
    <row r="70" spans="3:11" ht="31.95" customHeight="1" x14ac:dyDescent="0.55000000000000004">
      <c r="C70" s="124"/>
      <c r="E70" s="1810" t="s">
        <v>1635</v>
      </c>
      <c r="F70" s="1811"/>
      <c r="G70" s="1414">
        <f>IF('Main menu'!$G$8="","Base Year",'Main menu'!$G$8)</f>
        <v>2026</v>
      </c>
      <c r="H70" s="1414">
        <f>+H55</f>
        <v>2027</v>
      </c>
      <c r="I70" s="1413" t="s">
        <v>209</v>
      </c>
      <c r="K70" s="178"/>
    </row>
    <row r="71" spans="3:11" ht="13.95" customHeight="1" x14ac:dyDescent="0.55000000000000004">
      <c r="C71" s="124"/>
      <c r="D71" t="s">
        <v>1627</v>
      </c>
      <c r="E71" s="1415"/>
      <c r="F71" s="13"/>
      <c r="G71" s="13"/>
      <c r="H71" s="25"/>
      <c r="I71" s="1412">
        <f t="shared" ref="I71:I75" si="1">IFERROR((H71-G71)/G71,0)</f>
        <v>0</v>
      </c>
      <c r="K71" s="178"/>
    </row>
    <row r="72" spans="3:11" ht="13.95" customHeight="1" x14ac:dyDescent="0.55000000000000004">
      <c r="C72" s="124"/>
      <c r="D72" t="s">
        <v>1629</v>
      </c>
      <c r="E72" s="13"/>
      <c r="F72" s="13"/>
      <c r="G72" s="13"/>
      <c r="H72" s="25"/>
      <c r="I72" s="1412">
        <f t="shared" si="1"/>
        <v>0</v>
      </c>
      <c r="K72" s="178"/>
    </row>
    <row r="73" spans="3:11" ht="13.95" customHeight="1" x14ac:dyDescent="0.55000000000000004">
      <c r="C73" s="124"/>
      <c r="D73" s="1410" t="s">
        <v>1629</v>
      </c>
      <c r="E73" s="13"/>
      <c r="F73" s="13"/>
      <c r="G73" s="13"/>
      <c r="H73" s="25"/>
      <c r="I73" s="1412">
        <f t="shared" si="1"/>
        <v>0</v>
      </c>
      <c r="K73" s="178"/>
    </row>
    <row r="74" spans="3:11" ht="13.95" customHeight="1" x14ac:dyDescent="0.55000000000000004">
      <c r="C74" s="124"/>
      <c r="D74" t="s">
        <v>1630</v>
      </c>
      <c r="E74" s="13"/>
      <c r="F74" s="13"/>
      <c r="G74" s="13"/>
      <c r="H74" s="25"/>
      <c r="I74" s="1412">
        <f t="shared" si="1"/>
        <v>0</v>
      </c>
      <c r="K74" s="178"/>
    </row>
    <row r="75" spans="3:11" ht="13.95" customHeight="1" x14ac:dyDescent="0.55000000000000004">
      <c r="C75" s="124"/>
      <c r="D75" s="1410" t="s">
        <v>1631</v>
      </c>
      <c r="E75" s="13"/>
      <c r="F75" s="1416"/>
      <c r="G75" s="13"/>
      <c r="H75" s="25"/>
      <c r="I75" s="1412">
        <f t="shared" si="1"/>
        <v>0</v>
      </c>
      <c r="K75" s="178"/>
    </row>
    <row r="76" spans="3:11" ht="14.7" thickBot="1" x14ac:dyDescent="0.6">
      <c r="C76" s="130"/>
      <c r="D76" s="131"/>
      <c r="E76" s="131" t="s">
        <v>1637</v>
      </c>
      <c r="F76" s="131"/>
      <c r="G76" s="131"/>
      <c r="H76" s="1417">
        <f>SUM(H71:H75)</f>
        <v>0</v>
      </c>
      <c r="I76" s="288"/>
      <c r="K76" s="178"/>
    </row>
    <row r="77" spans="3:11" ht="14.7" thickBot="1" x14ac:dyDescent="0.6">
      <c r="C77" s="131"/>
      <c r="D77" s="131"/>
      <c r="E77" s="131"/>
      <c r="F77" s="131"/>
      <c r="G77" s="131"/>
      <c r="H77" s="241"/>
      <c r="J77" s="178"/>
    </row>
    <row r="78" spans="3:11" x14ac:dyDescent="0.55000000000000004">
      <c r="C78" s="121"/>
      <c r="D78" s="244"/>
      <c r="E78" s="122"/>
      <c r="F78" s="122"/>
      <c r="G78" s="122"/>
      <c r="H78" s="286"/>
      <c r="I78" s="1"/>
      <c r="J78" s="1"/>
    </row>
    <row r="79" spans="3:11" x14ac:dyDescent="0.55000000000000004">
      <c r="C79" s="124"/>
      <c r="D79" s="1" t="s">
        <v>102</v>
      </c>
      <c r="H79" s="287"/>
      <c r="I79" s="1"/>
      <c r="J79" s="1"/>
    </row>
    <row r="80" spans="3:11" ht="14.55" customHeight="1" x14ac:dyDescent="0.55000000000000004">
      <c r="C80" s="124"/>
      <c r="D80" s="1804" t="s">
        <v>507</v>
      </c>
      <c r="E80" s="1804"/>
      <c r="F80" s="1804"/>
      <c r="G80" s="1804"/>
      <c r="H80" s="287"/>
      <c r="I80" s="1"/>
      <c r="J80" s="1"/>
    </row>
    <row r="81" spans="3:10" x14ac:dyDescent="0.55000000000000004">
      <c r="C81" s="124"/>
      <c r="D81" s="1804"/>
      <c r="E81" s="1804"/>
      <c r="F81" s="1804"/>
      <c r="G81" s="1804"/>
      <c r="H81" s="287"/>
      <c r="I81" s="1"/>
      <c r="J81" s="1"/>
    </row>
    <row r="82" spans="3:10" x14ac:dyDescent="0.55000000000000004">
      <c r="C82" s="124"/>
      <c r="D82" s="1804"/>
      <c r="E82" s="1804"/>
      <c r="F82" s="1804"/>
      <c r="G82" s="1804"/>
      <c r="H82" s="287"/>
      <c r="I82" s="1"/>
      <c r="J82" s="1"/>
    </row>
    <row r="83" spans="3:10" ht="14.55" customHeight="1" x14ac:dyDescent="0.55000000000000004">
      <c r="C83" s="124"/>
      <c r="D83" s="1804" t="s">
        <v>508</v>
      </c>
      <c r="E83" s="1804"/>
      <c r="F83" s="1804"/>
      <c r="G83" s="1804"/>
      <c r="H83" s="287"/>
      <c r="I83" s="1"/>
      <c r="J83" s="1"/>
    </row>
    <row r="84" spans="3:10" x14ac:dyDescent="0.55000000000000004">
      <c r="C84" s="124"/>
      <c r="D84" s="1804"/>
      <c r="E84" s="1804"/>
      <c r="F84" s="1804"/>
      <c r="G84" s="1804"/>
      <c r="H84" s="287"/>
      <c r="I84" s="1"/>
      <c r="J84" s="1"/>
    </row>
    <row r="85" spans="3:10" x14ac:dyDescent="0.55000000000000004">
      <c r="C85" s="124"/>
      <c r="D85" s="1804"/>
      <c r="E85" s="1804"/>
      <c r="F85" s="1804"/>
      <c r="G85" s="1804"/>
      <c r="H85" s="287"/>
      <c r="I85" s="1"/>
      <c r="J85" s="1"/>
    </row>
    <row r="86" spans="3:10" x14ac:dyDescent="0.55000000000000004">
      <c r="C86" s="124"/>
      <c r="D86" s="1"/>
      <c r="H86" s="287"/>
      <c r="I86" s="1"/>
      <c r="J86" s="1"/>
    </row>
    <row r="87" spans="3:10" x14ac:dyDescent="0.55000000000000004">
      <c r="C87" s="124"/>
      <c r="D87" s="1"/>
      <c r="E87" s="9">
        <f>IF('Main menu'!$G$8="","Base Year",'Main menu'!$G$8)</f>
        <v>2026</v>
      </c>
      <c r="F87" s="9">
        <f>IF('Main menu'!$G$10="","Year tariffs are set",'Main menu'!$G$10)</f>
        <v>2027</v>
      </c>
      <c r="G87" s="9" t="s">
        <v>209</v>
      </c>
      <c r="H87" s="287"/>
      <c r="I87" s="1"/>
      <c r="J87" s="1"/>
    </row>
    <row r="88" spans="3:10" x14ac:dyDescent="0.55000000000000004">
      <c r="C88" s="124"/>
      <c r="D88" t="s">
        <v>41</v>
      </c>
      <c r="E88" s="13">
        <v>8833</v>
      </c>
      <c r="F88" s="25">
        <v>8833</v>
      </c>
      <c r="G88" s="29">
        <f>IFERROR((F88-E88)/E88,0)</f>
        <v>0</v>
      </c>
      <c r="H88" s="125"/>
    </row>
    <row r="89" spans="3:10" x14ac:dyDescent="0.55000000000000004">
      <c r="C89" s="124"/>
      <c r="D89" t="s">
        <v>246</v>
      </c>
      <c r="E89" s="13">
        <v>51020456</v>
      </c>
      <c r="F89" s="25">
        <f>E89*1</f>
        <v>51020456</v>
      </c>
      <c r="G89" s="29">
        <f>IFERROR((F89-E89)/E89,0)</f>
        <v>0</v>
      </c>
      <c r="H89" s="125"/>
      <c r="I89" s="1"/>
      <c r="J89" s="1"/>
    </row>
    <row r="90" spans="3:10" x14ac:dyDescent="0.55000000000000004">
      <c r="C90" s="124"/>
      <c r="D90" t="s">
        <v>498</v>
      </c>
      <c r="E90" s="13">
        <v>55035</v>
      </c>
      <c r="F90" s="25">
        <v>55035</v>
      </c>
      <c r="G90" s="29">
        <f>IFERROR((F90-E90)/E90,0)</f>
        <v>0</v>
      </c>
      <c r="H90" s="125"/>
      <c r="I90" s="178"/>
      <c r="J90" s="178"/>
    </row>
    <row r="91" spans="3:10" ht="14.7" thickBot="1" x14ac:dyDescent="0.6">
      <c r="C91" s="130"/>
      <c r="D91" s="131"/>
      <c r="E91" s="131"/>
      <c r="F91" s="131"/>
      <c r="G91" s="131"/>
      <c r="H91" s="288"/>
      <c r="I91" s="1"/>
      <c r="J91" s="1"/>
    </row>
    <row r="92" spans="3:10" ht="14.7" thickBot="1" x14ac:dyDescent="0.6">
      <c r="H92" s="178"/>
      <c r="J92" s="178"/>
    </row>
    <row r="93" spans="3:10" x14ac:dyDescent="0.55000000000000004">
      <c r="C93" s="121"/>
      <c r="D93" s="244"/>
      <c r="E93" s="122"/>
      <c r="F93" s="122"/>
      <c r="G93" s="122"/>
      <c r="H93" s="286"/>
      <c r="J93" s="178"/>
    </row>
    <row r="94" spans="3:10" x14ac:dyDescent="0.55000000000000004">
      <c r="C94" s="124"/>
      <c r="D94" s="1" t="s">
        <v>103</v>
      </c>
      <c r="H94" s="287"/>
    </row>
    <row r="95" spans="3:10" x14ac:dyDescent="0.55000000000000004">
      <c r="C95" s="124"/>
      <c r="D95" s="1804" t="s">
        <v>509</v>
      </c>
      <c r="E95" s="1804"/>
      <c r="F95" s="1804"/>
      <c r="G95" s="1804"/>
      <c r="H95" s="287"/>
    </row>
    <row r="96" spans="3:10" x14ac:dyDescent="0.55000000000000004">
      <c r="C96" s="124"/>
      <c r="D96" s="1804"/>
      <c r="E96" s="1804"/>
      <c r="F96" s="1804"/>
      <c r="G96" s="1804"/>
      <c r="H96" s="287"/>
    </row>
    <row r="97" spans="3:9" x14ac:dyDescent="0.55000000000000004">
      <c r="C97" s="124"/>
      <c r="D97" s="1"/>
      <c r="H97" s="287"/>
    </row>
    <row r="98" spans="3:9" x14ac:dyDescent="0.55000000000000004">
      <c r="C98" s="124"/>
      <c r="D98" s="1"/>
      <c r="E98" s="9">
        <f>IF('Main menu'!$G$8="","Base Year",'Main menu'!$G$8)</f>
        <v>2026</v>
      </c>
      <c r="F98" s="9">
        <f>IF('Main menu'!$G$10="","Year tariffs are set",'Main menu'!$G$10)</f>
        <v>2027</v>
      </c>
      <c r="G98" s="9" t="s">
        <v>209</v>
      </c>
      <c r="H98" s="287"/>
    </row>
    <row r="99" spans="3:9" x14ac:dyDescent="0.55000000000000004">
      <c r="C99" s="124"/>
      <c r="D99" t="s">
        <v>41</v>
      </c>
      <c r="E99" s="13">
        <v>17868</v>
      </c>
      <c r="F99" s="285">
        <f>E99*1</f>
        <v>17868</v>
      </c>
      <c r="G99" s="29">
        <f>IFERROR((F99-E99)/E99,0)</f>
        <v>0</v>
      </c>
      <c r="H99" s="287"/>
    </row>
    <row r="100" spans="3:9" ht="14.7" thickBot="1" x14ac:dyDescent="0.6">
      <c r="C100" s="130"/>
      <c r="D100" s="131"/>
      <c r="E100" s="131"/>
      <c r="F100" s="131"/>
      <c r="G100" s="131"/>
      <c r="H100" s="288"/>
    </row>
    <row r="102" spans="3:9" x14ac:dyDescent="0.55000000000000004">
      <c r="E102" s="238"/>
      <c r="F102" s="238"/>
      <c r="G102" s="238"/>
      <c r="H102" s="238"/>
      <c r="I102" s="238"/>
    </row>
    <row r="103" spans="3:9" x14ac:dyDescent="0.55000000000000004">
      <c r="H103" s="178"/>
    </row>
    <row r="104" spans="3:9" x14ac:dyDescent="0.55000000000000004">
      <c r="H104" s="178"/>
    </row>
    <row r="105" spans="3:9" x14ac:dyDescent="0.55000000000000004">
      <c r="H105" s="178"/>
    </row>
    <row r="106" spans="3:9" x14ac:dyDescent="0.55000000000000004">
      <c r="H106" s="178"/>
    </row>
    <row r="107" spans="3:9" x14ac:dyDescent="0.55000000000000004">
      <c r="H107" s="178"/>
    </row>
    <row r="108" spans="3:9" x14ac:dyDescent="0.55000000000000004">
      <c r="H108" s="178"/>
    </row>
    <row r="109" spans="3:9" x14ac:dyDescent="0.55000000000000004">
      <c r="H109" s="178"/>
    </row>
    <row r="110" spans="3:9" x14ac:dyDescent="0.55000000000000004">
      <c r="H110" s="178"/>
    </row>
    <row r="111" spans="3:9" x14ac:dyDescent="0.55000000000000004">
      <c r="H111" s="178"/>
    </row>
    <row r="112" spans="3:9" x14ac:dyDescent="0.55000000000000004">
      <c r="H112" s="178"/>
    </row>
    <row r="113" spans="5:9" x14ac:dyDescent="0.55000000000000004">
      <c r="H113" s="178"/>
    </row>
    <row r="114" spans="5:9" x14ac:dyDescent="0.55000000000000004">
      <c r="H114" s="178"/>
    </row>
    <row r="115" spans="5:9" x14ac:dyDescent="0.55000000000000004">
      <c r="H115" s="178"/>
    </row>
    <row r="123" spans="5:9" x14ac:dyDescent="0.55000000000000004">
      <c r="E123" s="1"/>
      <c r="F123" s="1"/>
      <c r="G123" s="1"/>
      <c r="H123" s="17"/>
      <c r="I123" s="17"/>
    </row>
    <row r="124" spans="5:9" x14ac:dyDescent="0.55000000000000004">
      <c r="E124" s="1"/>
      <c r="F124" s="1"/>
      <c r="G124" s="1"/>
      <c r="H124" s="17"/>
      <c r="I124" s="17"/>
    </row>
    <row r="125" spans="5:9" x14ac:dyDescent="0.55000000000000004">
      <c r="E125" s="1"/>
      <c r="F125" s="1"/>
      <c r="G125" s="1"/>
      <c r="H125" s="17"/>
      <c r="I125" s="17"/>
    </row>
    <row r="126" spans="5:9" x14ac:dyDescent="0.55000000000000004">
      <c r="E126" s="1"/>
      <c r="F126" s="1"/>
      <c r="G126" s="1"/>
      <c r="H126" s="17"/>
      <c r="I126" s="17"/>
    </row>
    <row r="127" spans="5:9" x14ac:dyDescent="0.55000000000000004">
      <c r="E127" s="1"/>
      <c r="F127" s="1"/>
      <c r="G127" s="1"/>
    </row>
    <row r="128" spans="5:9" x14ac:dyDescent="0.55000000000000004">
      <c r="E128" s="1"/>
      <c r="F128" s="1"/>
      <c r="G128" s="1"/>
    </row>
    <row r="129" spans="5:10" x14ac:dyDescent="0.55000000000000004">
      <c r="E129" s="162"/>
      <c r="F129" s="162"/>
      <c r="G129" s="162"/>
      <c r="H129" s="162"/>
      <c r="I129" s="162"/>
      <c r="J129" s="162"/>
    </row>
    <row r="130" spans="5:10" x14ac:dyDescent="0.55000000000000004">
      <c r="H130" s="178"/>
    </row>
    <row r="131" spans="5:10" x14ac:dyDescent="0.55000000000000004">
      <c r="H131" s="178"/>
    </row>
    <row r="132" spans="5:10" x14ac:dyDescent="0.55000000000000004">
      <c r="H132" s="178"/>
    </row>
    <row r="133" spans="5:10" x14ac:dyDescent="0.55000000000000004">
      <c r="H133" s="178"/>
    </row>
    <row r="134" spans="5:10" x14ac:dyDescent="0.55000000000000004">
      <c r="H134" s="178"/>
    </row>
    <row r="135" spans="5:10" x14ac:dyDescent="0.55000000000000004">
      <c r="H135" s="178"/>
    </row>
    <row r="136" spans="5:10" x14ac:dyDescent="0.55000000000000004">
      <c r="H136" s="178"/>
    </row>
    <row r="137" spans="5:10" x14ac:dyDescent="0.55000000000000004">
      <c r="H137" s="178"/>
    </row>
    <row r="150" spans="5:10" x14ac:dyDescent="0.55000000000000004">
      <c r="E150" s="1"/>
      <c r="F150" s="1"/>
      <c r="G150" s="1"/>
      <c r="H150" s="17"/>
      <c r="I150" s="17"/>
      <c r="J150" s="292"/>
    </row>
    <row r="151" spans="5:10" x14ac:dyDescent="0.55000000000000004">
      <c r="E151" s="1"/>
      <c r="F151" s="1"/>
      <c r="G151" s="1"/>
      <c r="H151" s="17"/>
      <c r="I151" s="17"/>
    </row>
    <row r="152" spans="5:10" x14ac:dyDescent="0.55000000000000004">
      <c r="E152" s="1"/>
      <c r="F152" s="1"/>
      <c r="G152" s="1"/>
      <c r="H152" s="17"/>
      <c r="I152" s="17"/>
    </row>
    <row r="153" spans="5:10" x14ac:dyDescent="0.55000000000000004">
      <c r="E153" s="1"/>
      <c r="F153" s="1"/>
      <c r="G153" s="1"/>
      <c r="H153" s="17"/>
      <c r="I153" s="17"/>
    </row>
    <row r="154" spans="5:10" x14ac:dyDescent="0.55000000000000004">
      <c r="E154" s="1"/>
      <c r="F154" s="1"/>
      <c r="G154" s="1"/>
    </row>
    <row r="158" spans="5:10" x14ac:dyDescent="0.55000000000000004">
      <c r="H158" s="178"/>
    </row>
    <row r="159" spans="5:10" x14ac:dyDescent="0.55000000000000004">
      <c r="H159" s="178"/>
    </row>
    <row r="160" spans="5:10" x14ac:dyDescent="0.55000000000000004">
      <c r="H160" s="178"/>
    </row>
    <row r="161" spans="8:8" x14ac:dyDescent="0.55000000000000004">
      <c r="H161" s="178"/>
    </row>
    <row r="162" spans="8:8" x14ac:dyDescent="0.55000000000000004">
      <c r="H162" s="178"/>
    </row>
    <row r="163" spans="8:8" x14ac:dyDescent="0.55000000000000004">
      <c r="H163" s="178"/>
    </row>
    <row r="164" spans="8:8" x14ac:dyDescent="0.55000000000000004">
      <c r="H164" s="178"/>
    </row>
    <row r="165" spans="8:8" x14ac:dyDescent="0.55000000000000004">
      <c r="H165" s="178"/>
    </row>
    <row r="166" spans="8:8" x14ac:dyDescent="0.55000000000000004">
      <c r="H166" s="178"/>
    </row>
    <row r="167" spans="8:8" x14ac:dyDescent="0.55000000000000004">
      <c r="H167" s="178"/>
    </row>
    <row r="168" spans="8:8" x14ac:dyDescent="0.55000000000000004">
      <c r="H168" s="178"/>
    </row>
    <row r="169" spans="8:8" x14ac:dyDescent="0.55000000000000004">
      <c r="H169" s="178"/>
    </row>
    <row r="170" spans="8:8" x14ac:dyDescent="0.55000000000000004">
      <c r="H170" s="178"/>
    </row>
    <row r="171" spans="8:8" x14ac:dyDescent="0.55000000000000004">
      <c r="H171" s="178"/>
    </row>
    <row r="172" spans="8:8" x14ac:dyDescent="0.55000000000000004">
      <c r="H172" s="178"/>
    </row>
    <row r="173" spans="8:8" x14ac:dyDescent="0.55000000000000004">
      <c r="H173" s="178"/>
    </row>
    <row r="174" spans="8:8" x14ac:dyDescent="0.55000000000000004">
      <c r="H174" s="178"/>
    </row>
    <row r="175" spans="8:8" x14ac:dyDescent="0.55000000000000004">
      <c r="H175" s="178"/>
    </row>
    <row r="176" spans="8:8" x14ac:dyDescent="0.55000000000000004">
      <c r="H176" s="178"/>
    </row>
    <row r="177" spans="5:8" x14ac:dyDescent="0.55000000000000004">
      <c r="E177" s="1"/>
      <c r="F177" s="1"/>
      <c r="G177" s="1"/>
      <c r="H177" s="35"/>
    </row>
  </sheetData>
  <mergeCells count="17">
    <mergeCell ref="D95:G96"/>
    <mergeCell ref="D22:G27"/>
    <mergeCell ref="D83:G85"/>
    <mergeCell ref="E1:F2"/>
    <mergeCell ref="C7:H7"/>
    <mergeCell ref="D32:D33"/>
    <mergeCell ref="D11:G13"/>
    <mergeCell ref="D80:G82"/>
    <mergeCell ref="D39:G42"/>
    <mergeCell ref="D21:G21"/>
    <mergeCell ref="D38:F38"/>
    <mergeCell ref="D49:F49"/>
    <mergeCell ref="D50:G53"/>
    <mergeCell ref="D64:F64"/>
    <mergeCell ref="D65:G68"/>
    <mergeCell ref="E55:F55"/>
    <mergeCell ref="E70:F70"/>
  </mergeCells>
  <pageMargins left="0.7" right="0.7" top="0.75" bottom="0.75" header="0.3" footer="0.3"/>
  <pageSetup paperSize="9" orientation="portrait" r:id="rId1"/>
  <drawing r:id="rId2"/>
  <legacyDrawing r:id="rId3"/>
  <controls>
    <mc:AlternateContent xmlns:mc="http://schemas.openxmlformats.org/markup-compatibility/2006">
      <mc:Choice Requires="x14">
        <control shapeId="8193" r:id="rId4" name="cb1Cus">
          <controlPr defaultSize="0" autoLine="0" r:id="rId5">
            <anchor moveWithCells="1">
              <from>
                <xdr:col>4</xdr:col>
                <xdr:colOff>289560</xdr:colOff>
                <xdr:row>2</xdr:row>
                <xdr:rowOff>30480</xdr:rowOff>
              </from>
              <to>
                <xdr:col>5</xdr:col>
                <xdr:colOff>807720</xdr:colOff>
                <xdr:row>3</xdr:row>
                <xdr:rowOff>76200</xdr:rowOff>
              </to>
            </anchor>
          </controlPr>
        </control>
      </mc:Choice>
      <mc:Fallback>
        <control shapeId="8193" r:id="rId4" name="cb1Cus"/>
      </mc:Fallback>
    </mc:AlternateContent>
  </controls>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627B12D-D8D2-42B7-86C3-3D9BF7459326}">
  <sheetPr codeName="Sheet7">
    <tabColor theme="9"/>
  </sheetPr>
  <dimension ref="A1:J75"/>
  <sheetViews>
    <sheetView showGridLines="0" zoomScaleNormal="100" workbookViewId="0">
      <pane ySplit="4" topLeftCell="A13" activePane="bottomLeft" state="frozen"/>
      <selection activeCell="D11" sqref="D11:G13"/>
      <selection pane="bottomLeft" activeCell="F30" sqref="F30"/>
    </sheetView>
  </sheetViews>
  <sheetFormatPr defaultColWidth="8.7890625" defaultRowHeight="14.4" x14ac:dyDescent="0.55000000000000004"/>
  <cols>
    <col min="1" max="1" width="3.7890625" style="117" customWidth="1"/>
    <col min="2" max="3" width="3.7890625" customWidth="1"/>
    <col min="4" max="4" width="43.20703125" customWidth="1"/>
    <col min="5" max="5" width="16.7890625" customWidth="1"/>
    <col min="6" max="6" width="17.20703125" customWidth="1"/>
    <col min="7" max="7" width="15.7890625" bestFit="1" customWidth="1"/>
    <col min="8" max="8" width="14" customWidth="1"/>
    <col min="9" max="9" width="14.41796875" customWidth="1"/>
    <col min="10" max="10" width="6.5234375" customWidth="1"/>
    <col min="11" max="11" width="14.7890625" bestFit="1" customWidth="1"/>
    <col min="12" max="12" width="13.7890625" customWidth="1"/>
    <col min="17" max="18" width="8.7890625" customWidth="1"/>
  </cols>
  <sheetData>
    <row r="1" spans="1:10" x14ac:dyDescent="0.55000000000000004">
      <c r="A1"/>
      <c r="E1" s="1807" t="s">
        <v>206</v>
      </c>
    </row>
    <row r="2" spans="1:10" x14ac:dyDescent="0.55000000000000004">
      <c r="A2"/>
      <c r="D2" s="120"/>
      <c r="E2" s="1807"/>
    </row>
    <row r="3" spans="1:10" x14ac:dyDescent="0.55000000000000004">
      <c r="A3"/>
      <c r="D3" s="120"/>
    </row>
    <row r="4" spans="1:10" s="116" customFormat="1" ht="14.7" thickBot="1" x14ac:dyDescent="0.6"/>
    <row r="5" spans="1:10" s="117" customFormat="1" x14ac:dyDescent="0.55000000000000004"/>
    <row r="7" spans="1:10" ht="18.3" x14ac:dyDescent="0.7">
      <c r="B7" s="118"/>
      <c r="C7" s="1803" t="s">
        <v>510</v>
      </c>
      <c r="D7" s="1803"/>
      <c r="E7" s="1803"/>
      <c r="F7" s="1803"/>
      <c r="G7" s="1803"/>
      <c r="H7" s="1803"/>
      <c r="I7" s="1803"/>
      <c r="J7" s="1803"/>
    </row>
    <row r="8" spans="1:10" ht="18" customHeight="1" x14ac:dyDescent="0.7">
      <c r="B8" s="118"/>
      <c r="C8" s="1803"/>
      <c r="D8" s="1803"/>
      <c r="E8" s="1803"/>
      <c r="F8" s="1803"/>
      <c r="G8" s="1803"/>
      <c r="H8" s="1803"/>
      <c r="I8" s="1803"/>
      <c r="J8" s="1803"/>
    </row>
    <row r="9" spans="1:10" ht="12" customHeight="1" thickBot="1" x14ac:dyDescent="0.75">
      <c r="D9" s="161"/>
    </row>
    <row r="10" spans="1:10" x14ac:dyDescent="0.55000000000000004">
      <c r="C10" s="121"/>
      <c r="D10" s="244"/>
      <c r="E10" s="122"/>
      <c r="F10" s="122"/>
      <c r="G10" s="122"/>
      <c r="H10" s="122"/>
      <c r="I10" s="122"/>
      <c r="J10" s="123"/>
    </row>
    <row r="11" spans="1:10" x14ac:dyDescent="0.55000000000000004">
      <c r="C11" s="124"/>
      <c r="D11" s="1" t="s">
        <v>42</v>
      </c>
      <c r="J11" s="125"/>
    </row>
    <row r="12" spans="1:10" ht="14.55" customHeight="1" x14ac:dyDescent="0.55000000000000004">
      <c r="C12" s="124"/>
      <c r="D12" s="1804" t="s">
        <v>513</v>
      </c>
      <c r="E12" s="1804"/>
      <c r="F12" s="1804"/>
      <c r="G12" s="1804"/>
      <c r="H12" s="1804"/>
      <c r="I12" s="1804"/>
      <c r="J12" s="125"/>
    </row>
    <row r="13" spans="1:10" x14ac:dyDescent="0.55000000000000004">
      <c r="C13" s="124"/>
      <c r="D13" s="1804"/>
      <c r="E13" s="1804"/>
      <c r="F13" s="1804"/>
      <c r="G13" s="1804"/>
      <c r="H13" s="1804"/>
      <c r="I13" s="1804"/>
      <c r="J13" s="125"/>
    </row>
    <row r="14" spans="1:10" x14ac:dyDescent="0.55000000000000004">
      <c r="C14" s="124"/>
      <c r="D14" s="1804"/>
      <c r="E14" s="1804"/>
      <c r="F14" s="1804"/>
      <c r="G14" s="1804"/>
      <c r="H14" s="1804"/>
      <c r="I14" s="1804"/>
      <c r="J14" s="125"/>
    </row>
    <row r="15" spans="1:10" x14ac:dyDescent="0.55000000000000004">
      <c r="C15" s="124"/>
      <c r="J15" s="125"/>
    </row>
    <row r="16" spans="1:10" ht="28.8" x14ac:dyDescent="0.55000000000000004">
      <c r="C16" s="124"/>
      <c r="D16" s="62"/>
      <c r="E16" s="283" t="s">
        <v>251</v>
      </c>
      <c r="F16" s="282" t="s">
        <v>166</v>
      </c>
      <c r="G16" s="282" t="s">
        <v>167</v>
      </c>
      <c r="H16" s="283" t="s">
        <v>252</v>
      </c>
      <c r="I16" s="283" t="s">
        <v>253</v>
      </c>
      <c r="J16" s="125"/>
    </row>
    <row r="17" spans="3:10" x14ac:dyDescent="0.55000000000000004">
      <c r="C17" s="124"/>
      <c r="D17" t="str">
        <f>Expenditure!D16</f>
        <v>Employee related costs</v>
      </c>
      <c r="E17" s="31">
        <f ca="1">Expenditure!F16</f>
        <v>12061071</v>
      </c>
      <c r="F17" s="23">
        <v>1</v>
      </c>
      <c r="G17" s="32">
        <f>1-F17</f>
        <v>0</v>
      </c>
      <c r="H17" s="21">
        <f ca="1">E17*F17</f>
        <v>12061071</v>
      </c>
      <c r="I17" s="21">
        <f ca="1">E17*G17</f>
        <v>0</v>
      </c>
      <c r="J17" s="125"/>
    </row>
    <row r="18" spans="3:10" x14ac:dyDescent="0.55000000000000004">
      <c r="C18" s="124"/>
      <c r="D18" t="str">
        <f>Expenditure!D17</f>
        <v>Remuneration of councillors</v>
      </c>
      <c r="E18" s="31">
        <f ca="1">Expenditure!F17</f>
        <v>0</v>
      </c>
      <c r="F18" s="23">
        <v>1</v>
      </c>
      <c r="G18" s="32">
        <f t="shared" ref="G18:G30" si="0">1-F18</f>
        <v>0</v>
      </c>
      <c r="H18" s="21">
        <f t="shared" ref="H18:H30" ca="1" si="1">E18*F18</f>
        <v>0</v>
      </c>
      <c r="I18" s="21">
        <f t="shared" ref="I18:I30" ca="1" si="2">E18*G18</f>
        <v>0</v>
      </c>
      <c r="J18" s="125"/>
    </row>
    <row r="19" spans="3:10" x14ac:dyDescent="0.55000000000000004">
      <c r="C19" s="124"/>
      <c r="D19" t="str">
        <f>Expenditure!D18</f>
        <v>Bulk purchases - electricity</v>
      </c>
      <c r="E19" s="31">
        <f ca="1">Expenditure!F18</f>
        <v>0</v>
      </c>
      <c r="F19" s="23"/>
      <c r="G19" s="32">
        <f t="shared" si="0"/>
        <v>1</v>
      </c>
      <c r="H19" s="21">
        <f t="shared" ca="1" si="1"/>
        <v>0</v>
      </c>
      <c r="I19" s="21">
        <f t="shared" ca="1" si="2"/>
        <v>0</v>
      </c>
      <c r="J19" s="125"/>
    </row>
    <row r="20" spans="3:10" x14ac:dyDescent="0.55000000000000004">
      <c r="C20" s="124"/>
      <c r="D20" t="str">
        <f>Expenditure!D19</f>
        <v>Inventory consumed</v>
      </c>
      <c r="E20" s="31">
        <f ca="1">Expenditure!F19</f>
        <v>34332949</v>
      </c>
      <c r="F20" s="23"/>
      <c r="G20" s="32">
        <f t="shared" si="0"/>
        <v>1</v>
      </c>
      <c r="H20" s="21">
        <f t="shared" ca="1" si="1"/>
        <v>0</v>
      </c>
      <c r="I20" s="21">
        <f t="shared" ca="1" si="2"/>
        <v>34332949</v>
      </c>
      <c r="J20" s="125"/>
    </row>
    <row r="21" spans="3:10" x14ac:dyDescent="0.55000000000000004">
      <c r="C21" s="124"/>
      <c r="D21" t="str">
        <f>Expenditure!D20</f>
        <v>Debt impairment</v>
      </c>
      <c r="E21" s="31">
        <f ca="1">Expenditure!F20</f>
        <v>18521000</v>
      </c>
      <c r="F21" s="23">
        <v>0.5</v>
      </c>
      <c r="G21" s="32">
        <f t="shared" si="0"/>
        <v>0.5</v>
      </c>
      <c r="H21" s="21">
        <f t="shared" ca="1" si="1"/>
        <v>9260500</v>
      </c>
      <c r="I21" s="21">
        <f t="shared" ca="1" si="2"/>
        <v>9260500</v>
      </c>
      <c r="J21" s="125"/>
    </row>
    <row r="22" spans="3:10" x14ac:dyDescent="0.55000000000000004">
      <c r="C22" s="124"/>
      <c r="D22" t="str">
        <f>Expenditure!D21</f>
        <v>Depreciation and amortisation</v>
      </c>
      <c r="E22" s="31">
        <f ca="1">Expenditure!F21</f>
        <v>7198765</v>
      </c>
      <c r="F22" s="23">
        <v>0.8</v>
      </c>
      <c r="G22" s="32">
        <f t="shared" si="0"/>
        <v>0.19999999999999996</v>
      </c>
      <c r="H22" s="21">
        <f t="shared" ca="1" si="1"/>
        <v>5759012</v>
      </c>
      <c r="I22" s="21">
        <f t="shared" ca="1" si="2"/>
        <v>1439752.9999999998</v>
      </c>
      <c r="J22" s="125"/>
    </row>
    <row r="23" spans="3:10" x14ac:dyDescent="0.55000000000000004">
      <c r="C23" s="124"/>
      <c r="D23" t="str">
        <f>Expenditure!D22</f>
        <v>Interest</v>
      </c>
      <c r="E23" s="31">
        <f ca="1">Expenditure!F22</f>
        <v>1543777</v>
      </c>
      <c r="F23" s="23"/>
      <c r="G23" s="32">
        <f t="shared" si="0"/>
        <v>1</v>
      </c>
      <c r="H23" s="21">
        <f t="shared" ca="1" si="1"/>
        <v>0</v>
      </c>
      <c r="I23" s="21">
        <f t="shared" ca="1" si="2"/>
        <v>1543777</v>
      </c>
      <c r="J23" s="125"/>
    </row>
    <row r="24" spans="3:10" x14ac:dyDescent="0.55000000000000004">
      <c r="C24" s="124"/>
      <c r="D24" t="str">
        <f>Expenditure!D23</f>
        <v>Contracted services</v>
      </c>
      <c r="E24" s="31">
        <f ca="1">Expenditure!F23</f>
        <v>4068585</v>
      </c>
      <c r="F24" s="23"/>
      <c r="G24" s="32">
        <f t="shared" si="0"/>
        <v>1</v>
      </c>
      <c r="H24" s="21">
        <f t="shared" ca="1" si="1"/>
        <v>0</v>
      </c>
      <c r="I24" s="21">
        <f t="shared" ca="1" si="2"/>
        <v>4068585</v>
      </c>
      <c r="J24" s="125"/>
    </row>
    <row r="25" spans="3:10" x14ac:dyDescent="0.55000000000000004">
      <c r="C25" s="124"/>
      <c r="D25" t="str">
        <f>Expenditure!D24</f>
        <v>Transfers and subsidies</v>
      </c>
      <c r="E25" s="31">
        <f ca="1">Expenditure!F24</f>
        <v>0</v>
      </c>
      <c r="F25" s="23"/>
      <c r="G25" s="32">
        <f t="shared" si="0"/>
        <v>1</v>
      </c>
      <c r="H25" s="21">
        <f t="shared" ca="1" si="1"/>
        <v>0</v>
      </c>
      <c r="I25" s="21">
        <f t="shared" ca="1" si="2"/>
        <v>0</v>
      </c>
      <c r="J25" s="125"/>
    </row>
    <row r="26" spans="3:10" x14ac:dyDescent="0.55000000000000004">
      <c r="C26" s="124"/>
      <c r="D26" t="str">
        <f>Expenditure!D25</f>
        <v>Irrecoverable debts written off</v>
      </c>
      <c r="E26" s="31">
        <f ca="1">Expenditure!F25</f>
        <v>8548000</v>
      </c>
      <c r="F26" s="23"/>
      <c r="G26" s="32">
        <f t="shared" si="0"/>
        <v>1</v>
      </c>
      <c r="H26" s="21">
        <f t="shared" ca="1" si="1"/>
        <v>0</v>
      </c>
      <c r="I26" s="21">
        <f t="shared" ca="1" si="2"/>
        <v>8548000</v>
      </c>
      <c r="J26" s="125"/>
    </row>
    <row r="27" spans="3:10" x14ac:dyDescent="0.55000000000000004">
      <c r="C27" s="124"/>
      <c r="D27" t="str">
        <f>Expenditure!D26</f>
        <v>Operational costs</v>
      </c>
      <c r="E27" s="31">
        <f ca="1">Expenditure!F26</f>
        <v>11008552</v>
      </c>
      <c r="F27" s="23"/>
      <c r="G27" s="32">
        <f t="shared" si="0"/>
        <v>1</v>
      </c>
      <c r="H27" s="21">
        <f t="shared" ca="1" si="1"/>
        <v>0</v>
      </c>
      <c r="I27" s="21">
        <f t="shared" ca="1" si="2"/>
        <v>11008552</v>
      </c>
      <c r="J27" s="125"/>
    </row>
    <row r="28" spans="3:10" x14ac:dyDescent="0.55000000000000004">
      <c r="C28" s="124"/>
      <c r="D28">
        <f>Expenditure!D30</f>
        <v>0</v>
      </c>
      <c r="E28" s="31">
        <f>Expenditure!F30</f>
        <v>0</v>
      </c>
      <c r="F28" s="23"/>
      <c r="G28" s="32">
        <f t="shared" si="0"/>
        <v>1</v>
      </c>
      <c r="H28" s="21">
        <f t="shared" si="1"/>
        <v>0</v>
      </c>
      <c r="I28" s="21">
        <f t="shared" si="2"/>
        <v>0</v>
      </c>
      <c r="J28" s="125"/>
    </row>
    <row r="29" spans="3:10" x14ac:dyDescent="0.55000000000000004">
      <c r="C29" s="124"/>
      <c r="D29">
        <f>Expenditure!D31</f>
        <v>0</v>
      </c>
      <c r="E29" s="31">
        <f>Expenditure!F31</f>
        <v>0</v>
      </c>
      <c r="F29" s="23"/>
      <c r="G29" s="32">
        <f t="shared" si="0"/>
        <v>1</v>
      </c>
      <c r="H29" s="21">
        <f t="shared" si="1"/>
        <v>0</v>
      </c>
      <c r="I29" s="21">
        <f t="shared" si="2"/>
        <v>0</v>
      </c>
      <c r="J29" s="125"/>
    </row>
    <row r="30" spans="3:10" x14ac:dyDescent="0.55000000000000004">
      <c r="C30" s="124"/>
      <c r="D30">
        <f>Expenditure!D32</f>
        <v>0</v>
      </c>
      <c r="E30" s="31">
        <f>Expenditure!F32</f>
        <v>0</v>
      </c>
      <c r="F30" s="23"/>
      <c r="G30" s="32">
        <f t="shared" si="0"/>
        <v>1</v>
      </c>
      <c r="H30" s="21">
        <f t="shared" si="1"/>
        <v>0</v>
      </c>
      <c r="I30" s="21">
        <f t="shared" si="2"/>
        <v>0</v>
      </c>
      <c r="J30" s="125"/>
    </row>
    <row r="31" spans="3:10" x14ac:dyDescent="0.55000000000000004">
      <c r="C31" s="124"/>
      <c r="E31" s="178"/>
      <c r="F31" s="177"/>
      <c r="G31" s="284"/>
      <c r="H31" s="135"/>
      <c r="I31" s="135"/>
      <c r="J31" s="125"/>
    </row>
    <row r="32" spans="3:10" x14ac:dyDescent="0.55000000000000004">
      <c r="C32" s="124"/>
      <c r="D32" t="s">
        <v>101</v>
      </c>
      <c r="E32" s="31">
        <f ca="1">Expenditure!F44</f>
        <v>37382255.399999999</v>
      </c>
      <c r="F32" s="23">
        <v>1</v>
      </c>
      <c r="G32" s="32">
        <f>1-F32</f>
        <v>0</v>
      </c>
      <c r="H32" s="21">
        <f ca="1">E32*F32</f>
        <v>37382255.399999999</v>
      </c>
      <c r="I32" s="21">
        <f ca="1">E32*G32</f>
        <v>0</v>
      </c>
      <c r="J32" s="125"/>
    </row>
    <row r="33" spans="3:10" ht="14.7" thickBot="1" x14ac:dyDescent="0.6">
      <c r="C33" s="124"/>
      <c r="D33" s="1" t="s">
        <v>39</v>
      </c>
      <c r="E33" s="33">
        <f ca="1">SUM(H33:I33)</f>
        <v>134664954.40000001</v>
      </c>
      <c r="F33" s="34">
        <f ca="1">H33/E33</f>
        <v>0.47869053004335327</v>
      </c>
      <c r="G33" s="34">
        <f ca="1">I33/E33</f>
        <v>0.52130946995664673</v>
      </c>
      <c r="H33" s="35">
        <f ca="1">SUM(H17:H30,H32)</f>
        <v>64462838.399999999</v>
      </c>
      <c r="I33" s="35">
        <f ca="1">SUM(I17:I30,I32)</f>
        <v>70202116</v>
      </c>
      <c r="J33" s="125"/>
    </row>
    <row r="34" spans="3:10" ht="15" thickTop="1" thickBot="1" x14ac:dyDescent="0.6">
      <c r="C34" s="130"/>
      <c r="D34" s="241"/>
      <c r="E34" s="131"/>
      <c r="F34" s="241"/>
      <c r="G34" s="131"/>
      <c r="H34" s="131"/>
      <c r="I34" s="131"/>
      <c r="J34" s="132"/>
    </row>
    <row r="35" spans="3:10" ht="14.7" thickBot="1" x14ac:dyDescent="0.6">
      <c r="D35" s="1"/>
      <c r="F35" s="1"/>
    </row>
    <row r="36" spans="3:10" x14ac:dyDescent="0.55000000000000004">
      <c r="C36" s="121"/>
      <c r="D36" s="122"/>
      <c r="E36" s="122"/>
      <c r="F36" s="122"/>
      <c r="G36" s="122"/>
      <c r="H36" s="122"/>
      <c r="I36" s="122"/>
      <c r="J36" s="123"/>
    </row>
    <row r="37" spans="3:10" x14ac:dyDescent="0.55000000000000004">
      <c r="C37" s="124"/>
      <c r="D37" s="1" t="s">
        <v>43</v>
      </c>
      <c r="J37" s="125"/>
    </row>
    <row r="38" spans="3:10" x14ac:dyDescent="0.55000000000000004">
      <c r="C38" s="124"/>
      <c r="D38" s="1804" t="s">
        <v>223</v>
      </c>
      <c r="E38" s="1804"/>
      <c r="F38" s="1804"/>
      <c r="G38" s="1804"/>
      <c r="H38" s="1804"/>
      <c r="I38" s="1804"/>
      <c r="J38" s="125"/>
    </row>
    <row r="39" spans="3:10" x14ac:dyDescent="0.55000000000000004">
      <c r="C39" s="124"/>
      <c r="D39" s="1804"/>
      <c r="E39" s="1804"/>
      <c r="F39" s="1804"/>
      <c r="G39" s="1804"/>
      <c r="H39" s="1804"/>
      <c r="I39" s="1804"/>
      <c r="J39" s="125"/>
    </row>
    <row r="40" spans="3:10" x14ac:dyDescent="0.55000000000000004">
      <c r="C40" s="124"/>
      <c r="J40" s="125"/>
    </row>
    <row r="41" spans="3:10" x14ac:dyDescent="0.55000000000000004">
      <c r="C41" s="124"/>
      <c r="D41" t="s">
        <v>220</v>
      </c>
      <c r="E41" s="36">
        <f ca="1">IFERROR(H33/'1 Customer data'!F15/12,0)</f>
        <v>293.79212399782375</v>
      </c>
      <c r="J41" s="125"/>
    </row>
    <row r="42" spans="3:10" x14ac:dyDescent="0.55000000000000004">
      <c r="C42" s="124"/>
      <c r="D42" t="s">
        <v>221</v>
      </c>
      <c r="E42" s="36">
        <f ca="1">IFERROR(I33/'1 Customer data'!F16,0)</f>
        <v>23.021901145481426</v>
      </c>
      <c r="J42" s="125"/>
    </row>
    <row r="43" spans="3:10" x14ac:dyDescent="0.55000000000000004">
      <c r="C43" s="124"/>
      <c r="D43" s="1" t="s">
        <v>224</v>
      </c>
      <c r="E43" s="18">
        <f ca="1">IFERROR(E33/'1 Customer data'!F16,0)</f>
        <v>44.16167837387642</v>
      </c>
      <c r="J43" s="125"/>
    </row>
    <row r="44" spans="3:10" ht="14.7" thickBot="1" x14ac:dyDescent="0.6">
      <c r="C44" s="130"/>
      <c r="D44" s="131"/>
      <c r="E44" s="131"/>
      <c r="F44" s="131"/>
      <c r="G44" s="131"/>
      <c r="H44" s="131"/>
      <c r="I44" s="131"/>
      <c r="J44" s="132"/>
    </row>
    <row r="45" spans="3:10" ht="14.7" thickBot="1" x14ac:dyDescent="0.6"/>
    <row r="46" spans="3:10" x14ac:dyDescent="0.55000000000000004">
      <c r="C46" s="121"/>
      <c r="D46" s="122"/>
      <c r="E46" s="122"/>
      <c r="F46" s="122"/>
      <c r="G46" s="122"/>
      <c r="H46" s="122"/>
      <c r="I46" s="122"/>
      <c r="J46" s="123"/>
    </row>
    <row r="47" spans="3:10" x14ac:dyDescent="0.55000000000000004">
      <c r="C47" s="124"/>
      <c r="D47" s="1" t="s">
        <v>222</v>
      </c>
      <c r="J47" s="125"/>
    </row>
    <row r="48" spans="3:10" x14ac:dyDescent="0.55000000000000004">
      <c r="C48" s="124"/>
      <c r="D48" s="1804" t="s">
        <v>226</v>
      </c>
      <c r="E48" s="1804"/>
      <c r="F48" s="1804"/>
      <c r="G48" s="1804"/>
      <c r="H48" s="1804"/>
      <c r="I48" s="1804"/>
      <c r="J48" s="125"/>
    </row>
    <row r="49" spans="3:10" x14ac:dyDescent="0.55000000000000004">
      <c r="C49" s="124"/>
      <c r="D49" s="1804"/>
      <c r="E49" s="1804"/>
      <c r="F49" s="1804"/>
      <c r="G49" s="1804"/>
      <c r="H49" s="1804"/>
      <c r="I49" s="1804"/>
      <c r="J49" s="125"/>
    </row>
    <row r="50" spans="3:10" x14ac:dyDescent="0.55000000000000004">
      <c r="C50" s="124"/>
      <c r="E50" s="220" t="s">
        <v>241</v>
      </c>
      <c r="J50" s="125"/>
    </row>
    <row r="51" spans="3:10" x14ac:dyDescent="0.55000000000000004">
      <c r="C51" s="124"/>
      <c r="D51" t="s">
        <v>36</v>
      </c>
      <c r="E51" s="26">
        <f ca="1">E33</f>
        <v>134664954.40000001</v>
      </c>
      <c r="J51" s="125"/>
    </row>
    <row r="52" spans="3:10" x14ac:dyDescent="0.55000000000000004">
      <c r="C52" s="124"/>
      <c r="D52" t="s">
        <v>213</v>
      </c>
      <c r="E52" s="26">
        <f ca="1">Surplus!F64</f>
        <v>0</v>
      </c>
      <c r="J52" s="125"/>
    </row>
    <row r="53" spans="3:10" x14ac:dyDescent="0.55000000000000004">
      <c r="C53" s="124"/>
      <c r="D53" t="s">
        <v>44</v>
      </c>
      <c r="E53" s="26">
        <f ca="1">Surplus!F65</f>
        <v>0</v>
      </c>
      <c r="J53" s="125"/>
    </row>
    <row r="54" spans="3:10" ht="14.7" thickBot="1" x14ac:dyDescent="0.6">
      <c r="C54" s="124"/>
      <c r="D54" s="1" t="s">
        <v>214</v>
      </c>
      <c r="E54" s="37">
        <f ca="1">E51-E52+E53</f>
        <v>134664954.40000001</v>
      </c>
      <c r="J54" s="125"/>
    </row>
    <row r="55" spans="3:10" ht="14.7" thickTop="1" x14ac:dyDescent="0.55000000000000004">
      <c r="C55" s="124"/>
      <c r="D55" s="1"/>
      <c r="E55" s="134"/>
      <c r="J55" s="125"/>
    </row>
    <row r="56" spans="3:10" x14ac:dyDescent="0.55000000000000004">
      <c r="C56" s="124"/>
      <c r="D56" t="s">
        <v>150</v>
      </c>
      <c r="E56" s="26">
        <f ca="1">'Revenue required'!F20</f>
        <v>16721640</v>
      </c>
      <c r="J56" s="125"/>
    </row>
    <row r="57" spans="3:10" x14ac:dyDescent="0.55000000000000004">
      <c r="C57" s="124"/>
      <c r="D57" t="s">
        <v>151</v>
      </c>
      <c r="E57" s="26">
        <f ca="1">'Revenue required'!F21</f>
        <v>0</v>
      </c>
      <c r="J57" s="125"/>
    </row>
    <row r="58" spans="3:10" x14ac:dyDescent="0.55000000000000004">
      <c r="C58" s="124"/>
      <c r="D58" t="s">
        <v>165</v>
      </c>
      <c r="E58" s="26">
        <f ca="1">'Revenue required'!F22</f>
        <v>9705193.6499999985</v>
      </c>
      <c r="J58" s="125"/>
    </row>
    <row r="59" spans="3:10" x14ac:dyDescent="0.55000000000000004">
      <c r="C59" s="124"/>
      <c r="D59" t="s">
        <v>152</v>
      </c>
      <c r="E59" s="26">
        <f>'Revenue required'!F23</f>
        <v>0</v>
      </c>
      <c r="J59" s="125"/>
    </row>
    <row r="60" spans="3:10" ht="14.7" thickBot="1" x14ac:dyDescent="0.6">
      <c r="C60" s="124"/>
      <c r="D60" s="1" t="s">
        <v>153</v>
      </c>
      <c r="E60" s="38">
        <f ca="1">SUM(E56:E59)</f>
        <v>26426833.649999999</v>
      </c>
      <c r="J60" s="125"/>
    </row>
    <row r="61" spans="3:10" ht="14.7" thickTop="1" x14ac:dyDescent="0.55000000000000004">
      <c r="C61" s="124"/>
      <c r="D61" s="1"/>
      <c r="J61" s="125"/>
    </row>
    <row r="62" spans="3:10" x14ac:dyDescent="0.55000000000000004">
      <c r="C62" s="124"/>
      <c r="D62" t="s">
        <v>45</v>
      </c>
      <c r="E62" s="21">
        <f ca="1">E54-E60</f>
        <v>108238120.75</v>
      </c>
      <c r="J62" s="125"/>
    </row>
    <row r="63" spans="3:10" ht="14.7" thickBot="1" x14ac:dyDescent="0.6">
      <c r="C63" s="124"/>
      <c r="D63" s="1" t="s">
        <v>227</v>
      </c>
      <c r="E63" s="39">
        <f ca="1">E62/'1 Customer data'!F16</f>
        <v>35.495330597715629</v>
      </c>
      <c r="J63" s="125"/>
    </row>
    <row r="64" spans="3:10" ht="15" thickTop="1" thickBot="1" x14ac:dyDescent="0.6">
      <c r="C64" s="130"/>
      <c r="D64" s="131"/>
      <c r="E64" s="131"/>
      <c r="F64" s="131"/>
      <c r="G64" s="131"/>
      <c r="H64" s="131"/>
      <c r="I64" s="131"/>
      <c r="J64" s="132"/>
    </row>
    <row r="65" spans="3:10" ht="14.7" thickBot="1" x14ac:dyDescent="0.6"/>
    <row r="66" spans="3:10" x14ac:dyDescent="0.55000000000000004">
      <c r="C66" s="121"/>
      <c r="D66" s="122"/>
      <c r="E66" s="122"/>
      <c r="F66" s="122"/>
      <c r="G66" s="122"/>
      <c r="H66" s="122"/>
      <c r="I66" s="122"/>
      <c r="J66" s="123"/>
    </row>
    <row r="67" spans="3:10" x14ac:dyDescent="0.55000000000000004">
      <c r="C67" s="124"/>
      <c r="D67" s="1" t="s">
        <v>225</v>
      </c>
      <c r="J67" s="125"/>
    </row>
    <row r="68" spans="3:10" x14ac:dyDescent="0.55000000000000004">
      <c r="C68" s="124"/>
      <c r="J68" s="125"/>
    </row>
    <row r="69" spans="3:10" x14ac:dyDescent="0.55000000000000004">
      <c r="C69" s="124"/>
      <c r="D69" t="str">
        <f>D41</f>
        <v>Fixed unit cost (R per customer per month)</v>
      </c>
      <c r="E69" s="40">
        <f ca="1">E41</f>
        <v>293.79212399782375</v>
      </c>
      <c r="J69" s="125"/>
    </row>
    <row r="70" spans="3:10" x14ac:dyDescent="0.55000000000000004">
      <c r="C70" s="124"/>
      <c r="D70" t="str">
        <f>D42</f>
        <v>Variable unit cost (R per kl sold)</v>
      </c>
      <c r="E70" s="40">
        <f ca="1">E42</f>
        <v>23.021901145481426</v>
      </c>
      <c r="J70" s="125"/>
    </row>
    <row r="71" spans="3:10" x14ac:dyDescent="0.55000000000000004">
      <c r="C71" s="124"/>
      <c r="J71" s="125"/>
    </row>
    <row r="72" spans="3:10" x14ac:dyDescent="0.55000000000000004">
      <c r="C72" s="124"/>
      <c r="D72" t="str">
        <f>D43</f>
        <v>Total unit cost (R per kl sold)</v>
      </c>
      <c r="E72" s="40">
        <f ca="1">E43</f>
        <v>44.16167837387642</v>
      </c>
      <c r="J72" s="125"/>
    </row>
    <row r="73" spans="3:10" x14ac:dyDescent="0.55000000000000004">
      <c r="C73" s="124"/>
      <c r="D73" t="str">
        <f>D63</f>
        <v>Average unit revenue required (R per kl sold)</v>
      </c>
      <c r="E73" s="40">
        <f ca="1">E63</f>
        <v>35.495330597715629</v>
      </c>
      <c r="J73" s="125"/>
    </row>
    <row r="74" spans="3:10" x14ac:dyDescent="0.55000000000000004">
      <c r="C74" s="124"/>
      <c r="D74" t="s">
        <v>228</v>
      </c>
      <c r="E74" s="41">
        <f ca="1">E73/E72</f>
        <v>0.80375864108264239</v>
      </c>
      <c r="J74" s="125"/>
    </row>
    <row r="75" spans="3:10" ht="10.95" customHeight="1" thickBot="1" x14ac:dyDescent="0.6">
      <c r="C75" s="130"/>
      <c r="D75" s="131"/>
      <c r="E75" s="131"/>
      <c r="F75" s="131"/>
      <c r="G75" s="131"/>
      <c r="H75" s="131"/>
      <c r="I75" s="131"/>
      <c r="J75" s="132"/>
    </row>
  </sheetData>
  <sheetProtection sheet="1" objects="1" scenarios="1"/>
  <mergeCells count="5">
    <mergeCell ref="D48:I49"/>
    <mergeCell ref="E1:E2"/>
    <mergeCell ref="D12:I14"/>
    <mergeCell ref="C7:J8"/>
    <mergeCell ref="D38:I39"/>
  </mergeCells>
  <pageMargins left="0.7" right="0.7" top="0.75" bottom="0.75" header="0.3" footer="0.3"/>
  <pageSetup paperSize="9" orientation="portrait" r:id="rId1"/>
  <drawing r:id="rId2"/>
  <legacyDrawing r:id="rId3"/>
  <controls>
    <mc:AlternateContent xmlns:mc="http://schemas.openxmlformats.org/markup-compatibility/2006">
      <mc:Choice Requires="x14">
        <control shapeId="9217" r:id="rId4" name="cb1W">
          <controlPr defaultSize="0" autoLine="0" r:id="rId5">
            <anchor moveWithCells="1">
              <from>
                <xdr:col>3</xdr:col>
                <xdr:colOff>2682240</xdr:colOff>
                <xdr:row>2</xdr:row>
                <xdr:rowOff>53340</xdr:rowOff>
              </from>
              <to>
                <xdr:col>5</xdr:col>
                <xdr:colOff>243840</xdr:colOff>
                <xdr:row>3</xdr:row>
                <xdr:rowOff>76200</xdr:rowOff>
              </to>
            </anchor>
          </controlPr>
        </control>
      </mc:Choice>
      <mc:Fallback>
        <control shapeId="9217" r:id="rId4" name="cb1W"/>
      </mc:Fallback>
    </mc:AlternateContent>
  </controls>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143601-1CC6-48EC-B3C0-E5E71192B2D9}">
  <sheetPr codeName="Sheet8">
    <tabColor theme="9"/>
  </sheetPr>
  <dimension ref="A1:J73"/>
  <sheetViews>
    <sheetView showGridLines="0" workbookViewId="0">
      <pane ySplit="4" topLeftCell="A11" activePane="bottomLeft" state="frozen"/>
      <selection activeCell="D11" sqref="D11:G13"/>
      <selection pane="bottomLeft" activeCell="F16" sqref="F16:F26"/>
    </sheetView>
  </sheetViews>
  <sheetFormatPr defaultColWidth="8.7890625" defaultRowHeight="14.4" x14ac:dyDescent="0.55000000000000004"/>
  <cols>
    <col min="1" max="1" width="3.7890625" style="117" customWidth="1"/>
    <col min="2" max="3" width="3.7890625" customWidth="1"/>
    <col min="4" max="4" width="48.41796875" customWidth="1"/>
    <col min="5" max="5" width="16" customWidth="1"/>
    <col min="6" max="6" width="17.20703125" customWidth="1"/>
    <col min="7" max="7" width="14.20703125" customWidth="1"/>
    <col min="8" max="8" width="15.7890625" customWidth="1"/>
    <col min="9" max="9" width="15.20703125" customWidth="1"/>
    <col min="16" max="16" width="10.41796875" customWidth="1"/>
    <col min="17" max="18" width="8.7890625" customWidth="1"/>
  </cols>
  <sheetData>
    <row r="1" spans="1:10" x14ac:dyDescent="0.55000000000000004">
      <c r="A1"/>
      <c r="E1" s="1807" t="s">
        <v>206</v>
      </c>
    </row>
    <row r="2" spans="1:10" x14ac:dyDescent="0.55000000000000004">
      <c r="A2"/>
      <c r="E2" s="1807"/>
    </row>
    <row r="3" spans="1:10" x14ac:dyDescent="0.55000000000000004">
      <c r="A3"/>
    </row>
    <row r="4" spans="1:10" s="116" customFormat="1" ht="14.7" thickBot="1" x14ac:dyDescent="0.6"/>
    <row r="5" spans="1:10" s="117" customFormat="1" x14ac:dyDescent="0.55000000000000004"/>
    <row r="7" spans="1:10" ht="12" customHeight="1" x14ac:dyDescent="0.7">
      <c r="B7" s="118"/>
      <c r="C7" s="1803" t="s">
        <v>511</v>
      </c>
      <c r="D7" s="1803"/>
      <c r="E7" s="1803"/>
      <c r="F7" s="1803"/>
      <c r="G7" s="1803"/>
      <c r="H7" s="1803"/>
      <c r="I7" s="1803"/>
      <c r="J7" s="1803"/>
    </row>
    <row r="8" spans="1:10" ht="9.6" customHeight="1" thickBot="1" x14ac:dyDescent="0.75">
      <c r="D8" s="161"/>
    </row>
    <row r="9" spans="1:10" x14ac:dyDescent="0.55000000000000004">
      <c r="C9" s="121"/>
      <c r="D9" s="244"/>
      <c r="E9" s="122"/>
      <c r="F9" s="122"/>
      <c r="G9" s="122"/>
      <c r="H9" s="122"/>
      <c r="I9" s="122"/>
      <c r="J9" s="123"/>
    </row>
    <row r="10" spans="1:10" x14ac:dyDescent="0.55000000000000004">
      <c r="C10" s="124"/>
      <c r="D10" s="1" t="s">
        <v>42</v>
      </c>
      <c r="J10" s="125"/>
    </row>
    <row r="11" spans="1:10" x14ac:dyDescent="0.55000000000000004">
      <c r="C11" s="124"/>
      <c r="D11" s="1804" t="s">
        <v>512</v>
      </c>
      <c r="E11" s="1804"/>
      <c r="F11" s="1804"/>
      <c r="G11" s="1804"/>
      <c r="H11" s="1804"/>
      <c r="I11" s="1804"/>
      <c r="J11" s="125"/>
    </row>
    <row r="12" spans="1:10" ht="14.55" customHeight="1" x14ac:dyDescent="0.55000000000000004">
      <c r="C12" s="124"/>
      <c r="D12" s="1804"/>
      <c r="E12" s="1804"/>
      <c r="F12" s="1804"/>
      <c r="G12" s="1804"/>
      <c r="H12" s="1804"/>
      <c r="I12" s="1804"/>
      <c r="J12" s="125"/>
    </row>
    <row r="13" spans="1:10" x14ac:dyDescent="0.55000000000000004">
      <c r="C13" s="124"/>
      <c r="D13" s="1804"/>
      <c r="E13" s="1804"/>
      <c r="F13" s="1804"/>
      <c r="G13" s="1804"/>
      <c r="H13" s="1804"/>
      <c r="I13" s="1804"/>
      <c r="J13" s="125"/>
    </row>
    <row r="14" spans="1:10" x14ac:dyDescent="0.55000000000000004">
      <c r="C14" s="124"/>
      <c r="J14" s="125"/>
    </row>
    <row r="15" spans="1:10" ht="28.8" x14ac:dyDescent="0.55000000000000004">
      <c r="C15" s="124"/>
      <c r="D15" s="62" t="s">
        <v>34</v>
      </c>
      <c r="E15" s="277" t="s">
        <v>251</v>
      </c>
      <c r="F15" s="282" t="s">
        <v>166</v>
      </c>
      <c r="G15" s="282" t="s">
        <v>167</v>
      </c>
      <c r="H15" s="277" t="s">
        <v>252</v>
      </c>
      <c r="I15" s="277" t="s">
        <v>253</v>
      </c>
      <c r="J15" s="125"/>
    </row>
    <row r="16" spans="1:10" x14ac:dyDescent="0.55000000000000004">
      <c r="C16" s="124"/>
      <c r="D16" t="str">
        <f>Expenditure!D16</f>
        <v>Employee related costs</v>
      </c>
      <c r="E16" s="31">
        <f ca="1">Expenditure!G16</f>
        <v>20471408</v>
      </c>
      <c r="F16" s="23">
        <v>1</v>
      </c>
      <c r="G16" s="32">
        <f>1-F16</f>
        <v>0</v>
      </c>
      <c r="H16" s="21">
        <f ca="1">E16*F16</f>
        <v>20471408</v>
      </c>
      <c r="I16" s="21">
        <f ca="1">E16*G16</f>
        <v>0</v>
      </c>
      <c r="J16" s="125"/>
    </row>
    <row r="17" spans="3:10" x14ac:dyDescent="0.55000000000000004">
      <c r="C17" s="124"/>
      <c r="D17" t="str">
        <f>Expenditure!D17</f>
        <v>Remuneration of councillors</v>
      </c>
      <c r="E17" s="31">
        <f ca="1">Expenditure!G17</f>
        <v>0</v>
      </c>
      <c r="F17" s="23"/>
      <c r="G17" s="32">
        <f t="shared" ref="G17:G29" si="0">1-F17</f>
        <v>1</v>
      </c>
      <c r="H17" s="21">
        <f t="shared" ref="H17:H29" ca="1" si="1">E17*F17</f>
        <v>0</v>
      </c>
      <c r="I17" s="21">
        <f t="shared" ref="I17:I29" ca="1" si="2">E17*G17</f>
        <v>0</v>
      </c>
      <c r="J17" s="125"/>
    </row>
    <row r="18" spans="3:10" x14ac:dyDescent="0.55000000000000004">
      <c r="C18" s="124"/>
      <c r="D18" t="str">
        <f>Expenditure!D18</f>
        <v>Bulk purchases - electricity</v>
      </c>
      <c r="E18" s="31">
        <f ca="1">Expenditure!G18</f>
        <v>0</v>
      </c>
      <c r="F18" s="23"/>
      <c r="G18" s="32">
        <f t="shared" si="0"/>
        <v>1</v>
      </c>
      <c r="H18" s="21">
        <f t="shared" ca="1" si="1"/>
        <v>0</v>
      </c>
      <c r="I18" s="21">
        <f t="shared" ca="1" si="2"/>
        <v>0</v>
      </c>
      <c r="J18" s="125"/>
    </row>
    <row r="19" spans="3:10" x14ac:dyDescent="0.55000000000000004">
      <c r="C19" s="124"/>
      <c r="D19" t="str">
        <f>Expenditure!D19</f>
        <v>Inventory consumed</v>
      </c>
      <c r="E19" s="31">
        <f ca="1">Expenditure!G19</f>
        <v>1606343</v>
      </c>
      <c r="F19" s="23">
        <v>1</v>
      </c>
      <c r="G19" s="32">
        <f t="shared" si="0"/>
        <v>0</v>
      </c>
      <c r="H19" s="21">
        <f t="shared" ca="1" si="1"/>
        <v>1606343</v>
      </c>
      <c r="I19" s="21">
        <f t="shared" ca="1" si="2"/>
        <v>0</v>
      </c>
      <c r="J19" s="125"/>
    </row>
    <row r="20" spans="3:10" x14ac:dyDescent="0.55000000000000004">
      <c r="C20" s="124"/>
      <c r="D20" t="str">
        <f>Expenditure!D20</f>
        <v>Debt impairment</v>
      </c>
      <c r="E20" s="31">
        <f ca="1">Expenditure!G20</f>
        <v>13338000</v>
      </c>
      <c r="F20" s="23">
        <v>1</v>
      </c>
      <c r="G20" s="32">
        <f t="shared" si="0"/>
        <v>0</v>
      </c>
      <c r="H20" s="21">
        <f t="shared" ca="1" si="1"/>
        <v>13338000</v>
      </c>
      <c r="I20" s="21">
        <f t="shared" ca="1" si="2"/>
        <v>0</v>
      </c>
      <c r="J20" s="125"/>
    </row>
    <row r="21" spans="3:10" x14ac:dyDescent="0.55000000000000004">
      <c r="C21" s="124"/>
      <c r="D21" t="str">
        <f>Expenditure!D21</f>
        <v>Depreciation and amortisation</v>
      </c>
      <c r="E21" s="31">
        <f ca="1">Expenditure!G21</f>
        <v>9307404</v>
      </c>
      <c r="F21" s="23"/>
      <c r="G21" s="32">
        <f t="shared" si="0"/>
        <v>1</v>
      </c>
      <c r="H21" s="21">
        <f t="shared" ca="1" si="1"/>
        <v>0</v>
      </c>
      <c r="I21" s="21">
        <f t="shared" ca="1" si="2"/>
        <v>9307404</v>
      </c>
      <c r="J21" s="125"/>
    </row>
    <row r="22" spans="3:10" x14ac:dyDescent="0.55000000000000004">
      <c r="C22" s="124"/>
      <c r="D22" t="str">
        <f>Expenditure!D22</f>
        <v>Interest</v>
      </c>
      <c r="E22" s="31">
        <f ca="1">Expenditure!G22</f>
        <v>2357463</v>
      </c>
      <c r="F22" s="23"/>
      <c r="G22" s="32">
        <f t="shared" si="0"/>
        <v>1</v>
      </c>
      <c r="H22" s="21">
        <f t="shared" ca="1" si="1"/>
        <v>0</v>
      </c>
      <c r="I22" s="21">
        <f t="shared" ca="1" si="2"/>
        <v>2357463</v>
      </c>
      <c r="J22" s="125"/>
    </row>
    <row r="23" spans="3:10" x14ac:dyDescent="0.55000000000000004">
      <c r="C23" s="124"/>
      <c r="D23" t="str">
        <f>Expenditure!D23</f>
        <v>Contracted services</v>
      </c>
      <c r="E23" s="31">
        <f ca="1">Expenditure!G23</f>
        <v>5607523</v>
      </c>
      <c r="F23" s="23">
        <v>1</v>
      </c>
      <c r="G23" s="32">
        <f t="shared" si="0"/>
        <v>0</v>
      </c>
      <c r="H23" s="21">
        <f t="shared" ca="1" si="1"/>
        <v>5607523</v>
      </c>
      <c r="I23" s="21">
        <f t="shared" ca="1" si="2"/>
        <v>0</v>
      </c>
      <c r="J23" s="125"/>
    </row>
    <row r="24" spans="3:10" x14ac:dyDescent="0.55000000000000004">
      <c r="C24" s="124"/>
      <c r="D24" t="str">
        <f>Expenditure!D24</f>
        <v>Transfers and subsidies</v>
      </c>
      <c r="E24" s="31">
        <f ca="1">Expenditure!G24</f>
        <v>0</v>
      </c>
      <c r="F24" s="23"/>
      <c r="G24" s="32">
        <f t="shared" si="0"/>
        <v>1</v>
      </c>
      <c r="H24" s="21">
        <f t="shared" ca="1" si="1"/>
        <v>0</v>
      </c>
      <c r="I24" s="21">
        <f t="shared" ca="1" si="2"/>
        <v>0</v>
      </c>
      <c r="J24" s="125"/>
    </row>
    <row r="25" spans="3:10" x14ac:dyDescent="0.55000000000000004">
      <c r="C25" s="124"/>
      <c r="D25" t="str">
        <f>Expenditure!D25</f>
        <v>Irrecoverable debts written off</v>
      </c>
      <c r="E25" s="31">
        <f ca="1">Expenditure!G25</f>
        <v>0</v>
      </c>
      <c r="F25" s="23">
        <v>1</v>
      </c>
      <c r="G25" s="32">
        <f t="shared" si="0"/>
        <v>0</v>
      </c>
      <c r="H25" s="21">
        <f t="shared" ca="1" si="1"/>
        <v>0</v>
      </c>
      <c r="I25" s="21">
        <f t="shared" ca="1" si="2"/>
        <v>0</v>
      </c>
      <c r="J25" s="125"/>
    </row>
    <row r="26" spans="3:10" x14ac:dyDescent="0.55000000000000004">
      <c r="C26" s="124"/>
      <c r="D26" t="str">
        <f>Expenditure!D26</f>
        <v>Operational costs</v>
      </c>
      <c r="E26" s="31">
        <f ca="1">Expenditure!G26</f>
        <v>12182363</v>
      </c>
      <c r="F26" s="23">
        <v>1</v>
      </c>
      <c r="G26" s="32">
        <f t="shared" si="0"/>
        <v>0</v>
      </c>
      <c r="H26" s="21">
        <f t="shared" ca="1" si="1"/>
        <v>12182363</v>
      </c>
      <c r="I26" s="21">
        <f t="shared" ca="1" si="2"/>
        <v>0</v>
      </c>
      <c r="J26" s="125"/>
    </row>
    <row r="27" spans="3:10" x14ac:dyDescent="0.55000000000000004">
      <c r="C27" s="124"/>
      <c r="D27">
        <f>Expenditure!D30</f>
        <v>0</v>
      </c>
      <c r="E27" s="31">
        <f>Expenditure!G30</f>
        <v>0</v>
      </c>
      <c r="F27" s="23"/>
      <c r="G27" s="32">
        <f t="shared" si="0"/>
        <v>1</v>
      </c>
      <c r="H27" s="21">
        <f t="shared" si="1"/>
        <v>0</v>
      </c>
      <c r="I27" s="21">
        <f t="shared" si="2"/>
        <v>0</v>
      </c>
      <c r="J27" s="125"/>
    </row>
    <row r="28" spans="3:10" x14ac:dyDescent="0.55000000000000004">
      <c r="C28" s="124"/>
      <c r="D28">
        <f>Expenditure!D31</f>
        <v>0</v>
      </c>
      <c r="E28" s="42">
        <f>Expenditure!G31</f>
        <v>0</v>
      </c>
      <c r="F28" s="23"/>
      <c r="G28" s="32">
        <f t="shared" si="0"/>
        <v>1</v>
      </c>
      <c r="H28" s="21">
        <f t="shared" si="1"/>
        <v>0</v>
      </c>
      <c r="I28" s="21">
        <f t="shared" si="2"/>
        <v>0</v>
      </c>
      <c r="J28" s="125"/>
    </row>
    <row r="29" spans="3:10" x14ac:dyDescent="0.55000000000000004">
      <c r="C29" s="124"/>
      <c r="D29">
        <f>Expenditure!D32</f>
        <v>0</v>
      </c>
      <c r="E29" s="31">
        <f>Expenditure!G32</f>
        <v>0</v>
      </c>
      <c r="F29" s="23"/>
      <c r="G29" s="32">
        <f t="shared" si="0"/>
        <v>1</v>
      </c>
      <c r="H29" s="21">
        <f t="shared" si="1"/>
        <v>0</v>
      </c>
      <c r="I29" s="21">
        <f t="shared" si="2"/>
        <v>0</v>
      </c>
      <c r="J29" s="125"/>
    </row>
    <row r="30" spans="3:10" x14ac:dyDescent="0.55000000000000004">
      <c r="C30" s="124"/>
      <c r="E30" s="178"/>
      <c r="F30" s="9"/>
      <c r="G30" s="9"/>
      <c r="J30" s="125"/>
    </row>
    <row r="31" spans="3:10" x14ac:dyDescent="0.55000000000000004">
      <c r="C31" s="124"/>
      <c r="D31" t="s">
        <v>101</v>
      </c>
      <c r="E31" s="31">
        <f ca="1">Expenditure!G44</f>
        <v>12460751.800000001</v>
      </c>
      <c r="F31" s="23">
        <v>1</v>
      </c>
      <c r="G31" s="32">
        <f>1-F31</f>
        <v>0</v>
      </c>
      <c r="H31" s="21">
        <f ca="1">E31*F31</f>
        <v>12460751.800000001</v>
      </c>
      <c r="I31" s="21">
        <f ca="1">E31*G31</f>
        <v>0</v>
      </c>
      <c r="J31" s="125"/>
    </row>
    <row r="32" spans="3:10" ht="14.7" thickBot="1" x14ac:dyDescent="0.6">
      <c r="C32" s="124"/>
      <c r="D32" s="1" t="s">
        <v>39</v>
      </c>
      <c r="E32" s="33">
        <f ca="1">SUM(H32:I32)</f>
        <v>77331255.799999997</v>
      </c>
      <c r="F32" s="43">
        <f ca="1">H32/E32</f>
        <v>0.849157150245063</v>
      </c>
      <c r="G32" s="34">
        <f ca="1">I32/E32</f>
        <v>0.150842849754937</v>
      </c>
      <c r="H32" s="35">
        <f ca="1">SUM(H16:H29,H31)</f>
        <v>65666388.799999997</v>
      </c>
      <c r="I32" s="35">
        <f ca="1">SUM(I16:I29,I31)</f>
        <v>11664867</v>
      </c>
      <c r="J32" s="125"/>
    </row>
    <row r="33" spans="3:10" ht="15" thickTop="1" thickBot="1" x14ac:dyDescent="0.6">
      <c r="C33" s="130"/>
      <c r="D33" s="241"/>
      <c r="E33" s="131"/>
      <c r="F33" s="241"/>
      <c r="G33" s="131"/>
      <c r="H33" s="131"/>
      <c r="I33" s="131"/>
      <c r="J33" s="132"/>
    </row>
    <row r="34" spans="3:10" ht="14.7" thickBot="1" x14ac:dyDescent="0.6">
      <c r="D34" s="1"/>
      <c r="F34" s="1"/>
    </row>
    <row r="35" spans="3:10" x14ac:dyDescent="0.55000000000000004">
      <c r="C35" s="121"/>
      <c r="D35" s="122"/>
      <c r="E35" s="122"/>
      <c r="F35" s="122"/>
      <c r="G35" s="122"/>
      <c r="H35" s="122"/>
      <c r="I35" s="122"/>
      <c r="J35" s="123"/>
    </row>
    <row r="36" spans="3:10" x14ac:dyDescent="0.55000000000000004">
      <c r="C36" s="124"/>
      <c r="D36" s="1" t="s">
        <v>43</v>
      </c>
      <c r="J36" s="125"/>
    </row>
    <row r="37" spans="3:10" x14ac:dyDescent="0.55000000000000004">
      <c r="C37" s="124"/>
      <c r="D37" s="120" t="s">
        <v>514</v>
      </c>
      <c r="J37" s="125"/>
    </row>
    <row r="38" spans="3:10" x14ac:dyDescent="0.55000000000000004">
      <c r="C38" s="124"/>
      <c r="J38" s="125"/>
    </row>
    <row r="39" spans="3:10" x14ac:dyDescent="0.55000000000000004">
      <c r="C39" s="124"/>
      <c r="D39" t="s">
        <v>220</v>
      </c>
      <c r="E39" s="36">
        <f ca="1">IFERROR(H32/'1 Customer data'!F30,0)</f>
        <v>3624.1006953832425</v>
      </c>
      <c r="J39" s="125"/>
    </row>
    <row r="40" spans="3:10" x14ac:dyDescent="0.55000000000000004">
      <c r="C40" s="124"/>
      <c r="D40" s="10" t="s">
        <v>247</v>
      </c>
      <c r="E40" s="44">
        <f ca="1">IFERROR(I32/('1 Customer data'!F31*'1 Customer data'!F32),0)</f>
        <v>5.4647806372834458</v>
      </c>
      <c r="J40" s="125"/>
    </row>
    <row r="41" spans="3:10" x14ac:dyDescent="0.55000000000000004">
      <c r="C41" s="124"/>
      <c r="D41" s="138" t="s">
        <v>248</v>
      </c>
      <c r="E41" s="45">
        <f ca="1">IFERROR(E32/('1 Customer data'!F31*'1 Customer data'!F32),0)</f>
        <v>36.228304133485032</v>
      </c>
      <c r="J41" s="125"/>
    </row>
    <row r="42" spans="3:10" ht="14.7" thickBot="1" x14ac:dyDescent="0.6">
      <c r="C42" s="130"/>
      <c r="D42" s="131"/>
      <c r="E42" s="131"/>
      <c r="F42" s="131"/>
      <c r="G42" s="131"/>
      <c r="H42" s="131"/>
      <c r="I42" s="131"/>
      <c r="J42" s="132"/>
    </row>
    <row r="43" spans="3:10" ht="14.7" thickBot="1" x14ac:dyDescent="0.6"/>
    <row r="44" spans="3:10" x14ac:dyDescent="0.55000000000000004">
      <c r="C44" s="121"/>
      <c r="D44" s="122"/>
      <c r="E44" s="122"/>
      <c r="F44" s="122"/>
      <c r="G44" s="122"/>
      <c r="H44" s="122"/>
      <c r="I44" s="122"/>
      <c r="J44" s="123"/>
    </row>
    <row r="45" spans="3:10" x14ac:dyDescent="0.55000000000000004">
      <c r="C45" s="124"/>
      <c r="D45" s="1" t="s">
        <v>94</v>
      </c>
      <c r="J45" s="125"/>
    </row>
    <row r="46" spans="3:10" x14ac:dyDescent="0.55000000000000004">
      <c r="C46" s="124"/>
      <c r="D46" s="1804" t="s">
        <v>226</v>
      </c>
      <c r="E46" s="1804"/>
      <c r="F46" s="1804"/>
      <c r="G46" s="1804"/>
      <c r="H46" s="1804"/>
      <c r="I46" s="1804"/>
      <c r="J46" s="125"/>
    </row>
    <row r="47" spans="3:10" x14ac:dyDescent="0.55000000000000004">
      <c r="C47" s="124"/>
      <c r="D47" s="1804"/>
      <c r="E47" s="1804"/>
      <c r="F47" s="1804"/>
      <c r="G47" s="1804"/>
      <c r="H47" s="1804"/>
      <c r="I47" s="1804"/>
      <c r="J47" s="125"/>
    </row>
    <row r="48" spans="3:10" x14ac:dyDescent="0.55000000000000004">
      <c r="C48" s="124"/>
      <c r="E48" s="220" t="s">
        <v>250</v>
      </c>
      <c r="J48" s="125"/>
    </row>
    <row r="49" spans="3:10" x14ac:dyDescent="0.55000000000000004">
      <c r="C49" s="124"/>
      <c r="D49" t="s">
        <v>36</v>
      </c>
      <c r="E49" s="26">
        <f ca="1">E32</f>
        <v>77331255.799999997</v>
      </c>
      <c r="J49" s="125"/>
    </row>
    <row r="50" spans="3:10" x14ac:dyDescent="0.55000000000000004">
      <c r="C50" s="124"/>
      <c r="D50" t="s">
        <v>215</v>
      </c>
      <c r="E50" s="26">
        <f ca="1">Surplus!G64</f>
        <v>0</v>
      </c>
      <c r="J50" s="125"/>
    </row>
    <row r="51" spans="3:10" x14ac:dyDescent="0.55000000000000004">
      <c r="C51" s="124"/>
      <c r="D51" t="s">
        <v>216</v>
      </c>
      <c r="E51" s="26">
        <f ca="1">Surplus!G65</f>
        <v>0</v>
      </c>
      <c r="J51" s="125"/>
    </row>
    <row r="52" spans="3:10" ht="14.7" thickBot="1" x14ac:dyDescent="0.6">
      <c r="C52" s="124"/>
      <c r="D52" s="1" t="s">
        <v>214</v>
      </c>
      <c r="E52" s="37">
        <f ca="1">E49-E50+E51</f>
        <v>77331255.799999997</v>
      </c>
      <c r="J52" s="125"/>
    </row>
    <row r="53" spans="3:10" ht="14.7" thickTop="1" x14ac:dyDescent="0.55000000000000004">
      <c r="C53" s="124"/>
      <c r="E53" s="134"/>
      <c r="J53" s="125"/>
    </row>
    <row r="54" spans="3:10" x14ac:dyDescent="0.55000000000000004">
      <c r="C54" s="124"/>
      <c r="D54" t="s">
        <v>150</v>
      </c>
      <c r="E54" s="26">
        <f ca="1">'Revenue required'!G20</f>
        <v>15471225</v>
      </c>
      <c r="J54" s="125"/>
    </row>
    <row r="55" spans="3:10" x14ac:dyDescent="0.55000000000000004">
      <c r="C55" s="124"/>
      <c r="D55" t="s">
        <v>151</v>
      </c>
      <c r="E55" s="26">
        <f ca="1">'Revenue required'!G21</f>
        <v>0</v>
      </c>
      <c r="J55" s="125"/>
    </row>
    <row r="56" spans="3:10" x14ac:dyDescent="0.55000000000000004">
      <c r="C56" s="124"/>
      <c r="D56" t="s">
        <v>165</v>
      </c>
      <c r="E56" s="26">
        <f ca="1">'Revenue required'!G22</f>
        <v>11389689.550000001</v>
      </c>
      <c r="J56" s="125"/>
    </row>
    <row r="57" spans="3:10" x14ac:dyDescent="0.55000000000000004">
      <c r="C57" s="124"/>
      <c r="D57" t="s">
        <v>152</v>
      </c>
      <c r="E57" s="26">
        <f>'Revenue required'!G23</f>
        <v>0</v>
      </c>
      <c r="J57" s="125"/>
    </row>
    <row r="58" spans="3:10" ht="14.7" thickBot="1" x14ac:dyDescent="0.6">
      <c r="C58" s="124"/>
      <c r="D58" s="1" t="s">
        <v>153</v>
      </c>
      <c r="E58" s="38">
        <f ca="1">SUM(E54:E57)</f>
        <v>26860914.550000001</v>
      </c>
      <c r="J58" s="125"/>
    </row>
    <row r="59" spans="3:10" ht="14.7" thickTop="1" x14ac:dyDescent="0.55000000000000004">
      <c r="C59" s="124"/>
      <c r="D59" s="1"/>
      <c r="J59" s="125"/>
    </row>
    <row r="60" spans="3:10" x14ac:dyDescent="0.55000000000000004">
      <c r="C60" s="124"/>
      <c r="D60" t="s">
        <v>45</v>
      </c>
      <c r="E60" s="26">
        <f ca="1">E52-E58</f>
        <v>50470341.25</v>
      </c>
      <c r="J60" s="125"/>
    </row>
    <row r="61" spans="3:10" ht="14.7" thickBot="1" x14ac:dyDescent="0.6">
      <c r="C61" s="124"/>
      <c r="D61" s="1" t="s">
        <v>254</v>
      </c>
      <c r="E61" s="46">
        <f ca="1">E60/('1 Customer data'!F31*'1 Customer data'!F32)</f>
        <v>23.644448206746635</v>
      </c>
      <c r="J61" s="125"/>
    </row>
    <row r="62" spans="3:10" ht="15" thickTop="1" thickBot="1" x14ac:dyDescent="0.6">
      <c r="C62" s="130"/>
      <c r="D62" s="131"/>
      <c r="E62" s="131"/>
      <c r="F62" s="131"/>
      <c r="G62" s="131"/>
      <c r="H62" s="131"/>
      <c r="I62" s="131"/>
      <c r="J62" s="132"/>
    </row>
    <row r="63" spans="3:10" ht="14.7" thickBot="1" x14ac:dyDescent="0.6"/>
    <row r="64" spans="3:10" x14ac:dyDescent="0.55000000000000004">
      <c r="C64" s="121"/>
      <c r="D64" s="122"/>
      <c r="E64" s="122"/>
      <c r="F64" s="122"/>
      <c r="G64" s="122"/>
      <c r="H64" s="122"/>
      <c r="I64" s="122"/>
      <c r="J64" s="123"/>
    </row>
    <row r="65" spans="3:10" x14ac:dyDescent="0.55000000000000004">
      <c r="C65" s="124"/>
      <c r="D65" s="1" t="s">
        <v>265</v>
      </c>
      <c r="J65" s="125"/>
    </row>
    <row r="66" spans="3:10" x14ac:dyDescent="0.55000000000000004">
      <c r="C66" s="124"/>
      <c r="J66" s="125"/>
    </row>
    <row r="67" spans="3:10" x14ac:dyDescent="0.55000000000000004">
      <c r="C67" s="124"/>
      <c r="D67" t="str">
        <f>D39</f>
        <v>Fixed unit cost (R per customer per month)</v>
      </c>
      <c r="E67" s="40">
        <f ca="1">E39</f>
        <v>3624.1006953832425</v>
      </c>
      <c r="J67" s="125"/>
    </row>
    <row r="68" spans="3:10" x14ac:dyDescent="0.55000000000000004">
      <c r="C68" s="124"/>
      <c r="D68" t="str">
        <f>D40</f>
        <v>Variable unit cost (R per kl treated)</v>
      </c>
      <c r="E68" s="40">
        <f ca="1">E40</f>
        <v>5.4647806372834458</v>
      </c>
      <c r="J68" s="125"/>
    </row>
    <row r="69" spans="3:10" x14ac:dyDescent="0.55000000000000004">
      <c r="C69" s="124"/>
      <c r="J69" s="125"/>
    </row>
    <row r="70" spans="3:10" x14ac:dyDescent="0.55000000000000004">
      <c r="C70" s="124"/>
      <c r="D70" t="str">
        <f>D41</f>
        <v>Total unit cost (R per kl treated)</v>
      </c>
      <c r="E70" s="40">
        <f ca="1">E41</f>
        <v>36.228304133485032</v>
      </c>
      <c r="J70" s="125"/>
    </row>
    <row r="71" spans="3:10" x14ac:dyDescent="0.55000000000000004">
      <c r="C71" s="124"/>
      <c r="D71" t="str">
        <f>D61</f>
        <v>Average unit revenue required (R per kl treated)</v>
      </c>
      <c r="E71" s="40">
        <f ca="1">E61</f>
        <v>23.644448206746635</v>
      </c>
      <c r="J71" s="125"/>
    </row>
    <row r="72" spans="3:10" x14ac:dyDescent="0.55000000000000004">
      <c r="C72" s="124"/>
      <c r="D72" t="s">
        <v>228</v>
      </c>
      <c r="E72" s="41">
        <f ca="1">E71/E70</f>
        <v>0.6526512563112935</v>
      </c>
      <c r="J72" s="125"/>
    </row>
    <row r="73" spans="3:10" ht="14.7" thickBot="1" x14ac:dyDescent="0.6">
      <c r="C73" s="130"/>
      <c r="D73" s="131"/>
      <c r="E73" s="131"/>
      <c r="F73" s="131"/>
      <c r="G73" s="131"/>
      <c r="H73" s="131"/>
      <c r="I73" s="131"/>
      <c r="J73" s="132"/>
    </row>
  </sheetData>
  <sheetProtection sheet="1" objects="1" scenarios="1"/>
  <mergeCells count="4">
    <mergeCell ref="E1:E2"/>
    <mergeCell ref="D11:I13"/>
    <mergeCell ref="D46:I47"/>
    <mergeCell ref="C7:J7"/>
  </mergeCells>
  <pageMargins left="0.7" right="0.7" top="0.75" bottom="0.75" header="0.3" footer="0.3"/>
  <drawing r:id="rId1"/>
  <legacyDrawing r:id="rId2"/>
  <controls>
    <mc:AlternateContent xmlns:mc="http://schemas.openxmlformats.org/markup-compatibility/2006">
      <mc:Choice Requires="x14">
        <control shapeId="10241" r:id="rId3" name="cb1S">
          <controlPr defaultSize="0" autoLine="0" r:id="rId4">
            <anchor moveWithCells="1">
              <from>
                <xdr:col>3</xdr:col>
                <xdr:colOff>2697480</xdr:colOff>
                <xdr:row>2</xdr:row>
                <xdr:rowOff>68580</xdr:rowOff>
              </from>
              <to>
                <xdr:col>5</xdr:col>
                <xdr:colOff>312420</xdr:colOff>
                <xdr:row>3</xdr:row>
                <xdr:rowOff>53340</xdr:rowOff>
              </to>
            </anchor>
          </controlPr>
        </control>
      </mc:Choice>
      <mc:Fallback>
        <control shapeId="10241" r:id="rId3" name="cb1S"/>
      </mc:Fallback>
    </mc:AlternateContent>
  </controls>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D369AA-CC89-4507-A401-C4EA83B0CDD4}">
  <sheetPr codeName="Sheet36">
    <tabColor theme="9"/>
  </sheetPr>
  <dimension ref="A1:J68"/>
  <sheetViews>
    <sheetView topLeftCell="A10" workbookViewId="0">
      <selection activeCell="F16" sqref="F16:F26"/>
    </sheetView>
  </sheetViews>
  <sheetFormatPr defaultColWidth="8.7890625" defaultRowHeight="14.4" x14ac:dyDescent="0.55000000000000004"/>
  <cols>
    <col min="1" max="1" width="3.7890625" style="117" customWidth="1"/>
    <col min="2" max="3" width="3.7890625" customWidth="1"/>
    <col min="4" max="4" width="48.41796875" customWidth="1"/>
    <col min="5" max="5" width="16" customWidth="1"/>
    <col min="6" max="6" width="17.20703125" customWidth="1"/>
    <col min="7" max="7" width="14.20703125" customWidth="1"/>
    <col min="8" max="8" width="15.7890625" customWidth="1"/>
    <col min="9" max="9" width="15.20703125" customWidth="1"/>
    <col min="16" max="16" width="10.41796875" customWidth="1"/>
  </cols>
  <sheetData>
    <row r="1" spans="1:10" x14ac:dyDescent="0.55000000000000004">
      <c r="A1"/>
      <c r="E1" s="1807" t="s">
        <v>206</v>
      </c>
    </row>
    <row r="2" spans="1:10" x14ac:dyDescent="0.55000000000000004">
      <c r="A2"/>
      <c r="E2" s="1807"/>
    </row>
    <row r="3" spans="1:10" x14ac:dyDescent="0.55000000000000004">
      <c r="A3"/>
    </row>
    <row r="4" spans="1:10" s="116" customFormat="1" ht="14.7" thickBot="1" x14ac:dyDescent="0.6"/>
    <row r="5" spans="1:10" s="117" customFormat="1" x14ac:dyDescent="0.55000000000000004"/>
    <row r="7" spans="1:10" ht="12" customHeight="1" x14ac:dyDescent="0.7">
      <c r="B7" s="118"/>
      <c r="C7" s="1803" t="s">
        <v>511</v>
      </c>
      <c r="D7" s="1803"/>
      <c r="E7" s="1803"/>
      <c r="F7" s="1803"/>
      <c r="G7" s="1803"/>
      <c r="H7" s="1803"/>
      <c r="I7" s="1803"/>
      <c r="J7" s="1803"/>
    </row>
    <row r="8" spans="1:10" ht="9.6" customHeight="1" thickBot="1" x14ac:dyDescent="0.75">
      <c r="D8" s="161"/>
    </row>
    <row r="9" spans="1:10" x14ac:dyDescent="0.55000000000000004">
      <c r="C9" s="121"/>
      <c r="D9" s="244"/>
      <c r="E9" s="122"/>
      <c r="F9" s="122"/>
      <c r="G9" s="122"/>
      <c r="H9" s="122"/>
      <c r="I9" s="122"/>
      <c r="J9" s="123"/>
    </row>
    <row r="10" spans="1:10" x14ac:dyDescent="0.55000000000000004">
      <c r="C10" s="124"/>
      <c r="D10" s="1" t="s">
        <v>42</v>
      </c>
      <c r="J10" s="125"/>
    </row>
    <row r="11" spans="1:10" x14ac:dyDescent="0.55000000000000004">
      <c r="C11" s="124"/>
      <c r="D11" s="1804" t="s">
        <v>512</v>
      </c>
      <c r="E11" s="1804"/>
      <c r="F11" s="1804"/>
      <c r="G11" s="1804"/>
      <c r="H11" s="1804"/>
      <c r="I11" s="1804"/>
      <c r="J11" s="125"/>
    </row>
    <row r="12" spans="1:10" ht="14.55" customHeight="1" x14ac:dyDescent="0.55000000000000004">
      <c r="C12" s="124"/>
      <c r="D12" s="1804"/>
      <c r="E12" s="1804"/>
      <c r="F12" s="1804"/>
      <c r="G12" s="1804"/>
      <c r="H12" s="1804"/>
      <c r="I12" s="1804"/>
      <c r="J12" s="125"/>
    </row>
    <row r="13" spans="1:10" x14ac:dyDescent="0.55000000000000004">
      <c r="C13" s="124"/>
      <c r="D13" s="1804"/>
      <c r="E13" s="1804"/>
      <c r="F13" s="1804"/>
      <c r="G13" s="1804"/>
      <c r="H13" s="1804"/>
      <c r="I13" s="1804"/>
      <c r="J13" s="125"/>
    </row>
    <row r="14" spans="1:10" x14ac:dyDescent="0.55000000000000004">
      <c r="C14" s="124"/>
      <c r="J14" s="125"/>
    </row>
    <row r="15" spans="1:10" ht="28.8" x14ac:dyDescent="0.55000000000000004">
      <c r="C15" s="124"/>
      <c r="D15" s="62" t="s">
        <v>34</v>
      </c>
      <c r="E15" s="277" t="s">
        <v>251</v>
      </c>
      <c r="F15" s="282" t="s">
        <v>166</v>
      </c>
      <c r="G15" s="282" t="s">
        <v>167</v>
      </c>
      <c r="H15" s="277" t="s">
        <v>252</v>
      </c>
      <c r="I15" s="277" t="s">
        <v>253</v>
      </c>
      <c r="J15" s="125"/>
    </row>
    <row r="16" spans="1:10" x14ac:dyDescent="0.55000000000000004">
      <c r="C16" s="124"/>
      <c r="D16" t="str">
        <f>Expenditure!D16</f>
        <v>Employee related costs</v>
      </c>
      <c r="E16" s="31">
        <f ca="1">Expenditure!G16</f>
        <v>20471408</v>
      </c>
      <c r="F16" s="23">
        <v>1</v>
      </c>
      <c r="G16" s="32">
        <f>1-F16</f>
        <v>0</v>
      </c>
      <c r="H16" s="21">
        <f ca="1">E16*F16</f>
        <v>20471408</v>
      </c>
      <c r="I16" s="21">
        <f ca="1">E16*G16</f>
        <v>0</v>
      </c>
      <c r="J16" s="125"/>
    </row>
    <row r="17" spans="3:10" x14ac:dyDescent="0.55000000000000004">
      <c r="C17" s="124"/>
      <c r="D17" t="str">
        <f>Expenditure!D17</f>
        <v>Remuneration of councillors</v>
      </c>
      <c r="E17" s="31">
        <f ca="1">Expenditure!G17</f>
        <v>0</v>
      </c>
      <c r="F17" s="23">
        <v>1</v>
      </c>
      <c r="G17" s="32">
        <f t="shared" ref="G17:G29" si="0">1-F17</f>
        <v>0</v>
      </c>
      <c r="H17" s="21">
        <f t="shared" ref="H17:H29" ca="1" si="1">E17*F17</f>
        <v>0</v>
      </c>
      <c r="I17" s="21">
        <f t="shared" ref="I17:I29" ca="1" si="2">E17*G17</f>
        <v>0</v>
      </c>
      <c r="J17" s="125"/>
    </row>
    <row r="18" spans="3:10" x14ac:dyDescent="0.55000000000000004">
      <c r="C18" s="124"/>
      <c r="D18" t="str">
        <f>Expenditure!D18</f>
        <v>Bulk purchases - electricity</v>
      </c>
      <c r="E18" s="31">
        <f ca="1">Expenditure!G18</f>
        <v>0</v>
      </c>
      <c r="F18" s="23">
        <v>1</v>
      </c>
      <c r="G18" s="32">
        <f t="shared" si="0"/>
        <v>0</v>
      </c>
      <c r="H18" s="21">
        <f t="shared" ca="1" si="1"/>
        <v>0</v>
      </c>
      <c r="I18" s="21">
        <f t="shared" ca="1" si="2"/>
        <v>0</v>
      </c>
      <c r="J18" s="125"/>
    </row>
    <row r="19" spans="3:10" x14ac:dyDescent="0.55000000000000004">
      <c r="C19" s="124"/>
      <c r="D19" t="str">
        <f>Expenditure!D19</f>
        <v>Inventory consumed</v>
      </c>
      <c r="E19" s="31">
        <f ca="1">Expenditure!G19</f>
        <v>1606343</v>
      </c>
      <c r="F19" s="23">
        <v>1</v>
      </c>
      <c r="G19" s="32">
        <f t="shared" si="0"/>
        <v>0</v>
      </c>
      <c r="H19" s="21">
        <f t="shared" ca="1" si="1"/>
        <v>1606343</v>
      </c>
      <c r="I19" s="21">
        <f t="shared" ca="1" si="2"/>
        <v>0</v>
      </c>
      <c r="J19" s="125"/>
    </row>
    <row r="20" spans="3:10" x14ac:dyDescent="0.55000000000000004">
      <c r="C20" s="124"/>
      <c r="D20" t="str">
        <f>Expenditure!D20</f>
        <v>Debt impairment</v>
      </c>
      <c r="E20" s="31">
        <f ca="1">Expenditure!G20</f>
        <v>13338000</v>
      </c>
      <c r="F20" s="23">
        <v>1</v>
      </c>
      <c r="G20" s="32">
        <f t="shared" si="0"/>
        <v>0</v>
      </c>
      <c r="H20" s="21">
        <f t="shared" ca="1" si="1"/>
        <v>13338000</v>
      </c>
      <c r="I20" s="21">
        <f t="shared" ca="1" si="2"/>
        <v>0</v>
      </c>
      <c r="J20" s="125"/>
    </row>
    <row r="21" spans="3:10" x14ac:dyDescent="0.55000000000000004">
      <c r="C21" s="124"/>
      <c r="D21" t="str">
        <f>Expenditure!D21</f>
        <v>Depreciation and amortisation</v>
      </c>
      <c r="E21" s="31">
        <f ca="1">Expenditure!G21</f>
        <v>9307404</v>
      </c>
      <c r="F21" s="23">
        <v>1</v>
      </c>
      <c r="G21" s="32">
        <f t="shared" si="0"/>
        <v>0</v>
      </c>
      <c r="H21" s="21">
        <f t="shared" ca="1" si="1"/>
        <v>9307404</v>
      </c>
      <c r="I21" s="21">
        <f t="shared" ca="1" si="2"/>
        <v>0</v>
      </c>
      <c r="J21" s="125"/>
    </row>
    <row r="22" spans="3:10" x14ac:dyDescent="0.55000000000000004">
      <c r="C22" s="124"/>
      <c r="D22" t="str">
        <f>Expenditure!D22</f>
        <v>Interest</v>
      </c>
      <c r="E22" s="31">
        <f ca="1">Expenditure!G22</f>
        <v>2357463</v>
      </c>
      <c r="F22" s="23">
        <v>1</v>
      </c>
      <c r="G22" s="32">
        <f t="shared" si="0"/>
        <v>0</v>
      </c>
      <c r="H22" s="21">
        <f t="shared" ca="1" si="1"/>
        <v>2357463</v>
      </c>
      <c r="I22" s="21">
        <f t="shared" ca="1" si="2"/>
        <v>0</v>
      </c>
      <c r="J22" s="125"/>
    </row>
    <row r="23" spans="3:10" x14ac:dyDescent="0.55000000000000004">
      <c r="C23" s="124"/>
      <c r="D23" t="str">
        <f>Expenditure!D23</f>
        <v>Contracted services</v>
      </c>
      <c r="E23" s="31">
        <f ca="1">Expenditure!G23</f>
        <v>5607523</v>
      </c>
      <c r="F23" s="23">
        <v>1</v>
      </c>
      <c r="G23" s="32">
        <f t="shared" si="0"/>
        <v>0</v>
      </c>
      <c r="H23" s="21">
        <f t="shared" ca="1" si="1"/>
        <v>5607523</v>
      </c>
      <c r="I23" s="21">
        <f t="shared" ca="1" si="2"/>
        <v>0</v>
      </c>
      <c r="J23" s="125"/>
    </row>
    <row r="24" spans="3:10" x14ac:dyDescent="0.55000000000000004">
      <c r="C24" s="124"/>
      <c r="D24" t="str">
        <f>Expenditure!D24</f>
        <v>Transfers and subsidies</v>
      </c>
      <c r="E24" s="31">
        <f ca="1">Expenditure!G24</f>
        <v>0</v>
      </c>
      <c r="F24" s="23">
        <v>1</v>
      </c>
      <c r="G24" s="32">
        <f t="shared" si="0"/>
        <v>0</v>
      </c>
      <c r="H24" s="21">
        <f t="shared" ca="1" si="1"/>
        <v>0</v>
      </c>
      <c r="I24" s="21">
        <f t="shared" ca="1" si="2"/>
        <v>0</v>
      </c>
      <c r="J24" s="125"/>
    </row>
    <row r="25" spans="3:10" x14ac:dyDescent="0.55000000000000004">
      <c r="C25" s="124"/>
      <c r="D25" t="str">
        <f>Expenditure!D25</f>
        <v>Irrecoverable debts written off</v>
      </c>
      <c r="E25" s="31">
        <f ca="1">Expenditure!G25</f>
        <v>0</v>
      </c>
      <c r="F25" s="23">
        <v>1</v>
      </c>
      <c r="G25" s="32">
        <f t="shared" si="0"/>
        <v>0</v>
      </c>
      <c r="H25" s="21">
        <f t="shared" ca="1" si="1"/>
        <v>0</v>
      </c>
      <c r="I25" s="21">
        <f t="shared" ca="1" si="2"/>
        <v>0</v>
      </c>
      <c r="J25" s="125"/>
    </row>
    <row r="26" spans="3:10" x14ac:dyDescent="0.55000000000000004">
      <c r="C26" s="124"/>
      <c r="D26" t="str">
        <f>Expenditure!D26</f>
        <v>Operational costs</v>
      </c>
      <c r="E26" s="31">
        <f ca="1">Expenditure!G26</f>
        <v>12182363</v>
      </c>
      <c r="F26" s="23">
        <v>1</v>
      </c>
      <c r="G26" s="32">
        <f t="shared" si="0"/>
        <v>0</v>
      </c>
      <c r="H26" s="21">
        <f t="shared" ca="1" si="1"/>
        <v>12182363</v>
      </c>
      <c r="I26" s="21">
        <f t="shared" ca="1" si="2"/>
        <v>0</v>
      </c>
      <c r="J26" s="125"/>
    </row>
    <row r="27" spans="3:10" x14ac:dyDescent="0.55000000000000004">
      <c r="C27" s="124"/>
      <c r="D27">
        <f>Expenditure!D30</f>
        <v>0</v>
      </c>
      <c r="E27" s="31">
        <f>Expenditure!G30</f>
        <v>0</v>
      </c>
      <c r="F27" s="23"/>
      <c r="G27" s="32">
        <f t="shared" si="0"/>
        <v>1</v>
      </c>
      <c r="H27" s="21">
        <f t="shared" si="1"/>
        <v>0</v>
      </c>
      <c r="I27" s="21">
        <f t="shared" si="2"/>
        <v>0</v>
      </c>
      <c r="J27" s="125"/>
    </row>
    <row r="28" spans="3:10" x14ac:dyDescent="0.55000000000000004">
      <c r="C28" s="124"/>
      <c r="D28">
        <f>Expenditure!D31</f>
        <v>0</v>
      </c>
      <c r="E28" s="42">
        <f>Expenditure!G31</f>
        <v>0</v>
      </c>
      <c r="F28" s="23"/>
      <c r="G28" s="32">
        <f t="shared" si="0"/>
        <v>1</v>
      </c>
      <c r="H28" s="21">
        <f t="shared" si="1"/>
        <v>0</v>
      </c>
      <c r="I28" s="21">
        <f t="shared" si="2"/>
        <v>0</v>
      </c>
      <c r="J28" s="125"/>
    </row>
    <row r="29" spans="3:10" x14ac:dyDescent="0.55000000000000004">
      <c r="C29" s="124"/>
      <c r="D29">
        <f>Expenditure!D32</f>
        <v>0</v>
      </c>
      <c r="E29" s="31">
        <f>Expenditure!G32</f>
        <v>0</v>
      </c>
      <c r="F29" s="23"/>
      <c r="G29" s="32">
        <f t="shared" si="0"/>
        <v>1</v>
      </c>
      <c r="H29" s="21">
        <f t="shared" si="1"/>
        <v>0</v>
      </c>
      <c r="I29" s="21">
        <f t="shared" si="2"/>
        <v>0</v>
      </c>
      <c r="J29" s="125"/>
    </row>
    <row r="30" spans="3:10" x14ac:dyDescent="0.55000000000000004">
      <c r="C30" s="124"/>
      <c r="E30" s="178"/>
      <c r="F30" s="9"/>
      <c r="G30" s="9"/>
      <c r="J30" s="125"/>
    </row>
    <row r="31" spans="3:10" x14ac:dyDescent="0.55000000000000004">
      <c r="C31" s="124"/>
      <c r="D31" t="s">
        <v>101</v>
      </c>
      <c r="E31" s="31">
        <f ca="1">Expenditure!G44</f>
        <v>12460751.800000001</v>
      </c>
      <c r="F31" s="23">
        <v>1</v>
      </c>
      <c r="G31" s="32">
        <f>1-F31</f>
        <v>0</v>
      </c>
      <c r="H31" s="21">
        <f ca="1">E31*F31</f>
        <v>12460751.800000001</v>
      </c>
      <c r="I31" s="21">
        <f ca="1">E31*G31</f>
        <v>0</v>
      </c>
      <c r="J31" s="125"/>
    </row>
    <row r="32" spans="3:10" ht="14.7" thickBot="1" x14ac:dyDescent="0.6">
      <c r="C32" s="124"/>
      <c r="D32" s="1" t="s">
        <v>39</v>
      </c>
      <c r="E32" s="33">
        <f ca="1">SUM(H32:I32)</f>
        <v>77331255.799999997</v>
      </c>
      <c r="F32" s="43">
        <f ca="1">H32/E32</f>
        <v>1</v>
      </c>
      <c r="G32" s="34">
        <f ca="1">I32/E32</f>
        <v>0</v>
      </c>
      <c r="H32" s="35">
        <f ca="1">SUM(H16:H29,H31)</f>
        <v>77331255.799999997</v>
      </c>
      <c r="I32" s="35">
        <f ca="1">SUM(I16:I29,I31)</f>
        <v>0</v>
      </c>
      <c r="J32" s="125"/>
    </row>
    <row r="33" spans="3:10" ht="15" thickTop="1" thickBot="1" x14ac:dyDescent="0.6">
      <c r="C33" s="130"/>
      <c r="D33" s="241"/>
      <c r="E33" s="131"/>
      <c r="F33" s="241"/>
      <c r="G33" s="131"/>
      <c r="H33" s="131"/>
      <c r="I33" s="131"/>
      <c r="J33" s="132"/>
    </row>
    <row r="34" spans="3:10" ht="14.7" thickBot="1" x14ac:dyDescent="0.6">
      <c r="D34" s="1"/>
      <c r="F34" s="1"/>
    </row>
    <row r="35" spans="3:10" x14ac:dyDescent="0.55000000000000004">
      <c r="C35" s="121"/>
      <c r="D35" s="122"/>
      <c r="E35" s="122"/>
      <c r="F35" s="122"/>
      <c r="G35" s="122"/>
      <c r="H35" s="122"/>
      <c r="I35" s="122"/>
      <c r="J35" s="123"/>
    </row>
    <row r="36" spans="3:10" x14ac:dyDescent="0.55000000000000004">
      <c r="C36" s="124"/>
      <c r="D36" s="1" t="s">
        <v>43</v>
      </c>
      <c r="J36" s="125"/>
    </row>
    <row r="37" spans="3:10" x14ac:dyDescent="0.55000000000000004">
      <c r="C37" s="124"/>
      <c r="D37" s="120" t="s">
        <v>514</v>
      </c>
      <c r="J37" s="125"/>
    </row>
    <row r="38" spans="3:10" x14ac:dyDescent="0.55000000000000004">
      <c r="C38" s="124"/>
      <c r="J38" s="125"/>
    </row>
    <row r="39" spans="3:10" x14ac:dyDescent="0.55000000000000004">
      <c r="C39" s="124"/>
      <c r="D39" t="s">
        <v>1620</v>
      </c>
      <c r="E39" s="1396">
        <f ca="1">IFERROR(H32/'1 Customer data'!F45,0)/12</f>
        <v>341.45129003792454</v>
      </c>
      <c r="J39" s="125"/>
    </row>
    <row r="40" spans="3:10" ht="14.7" thickBot="1" x14ac:dyDescent="0.6">
      <c r="C40" s="130"/>
      <c r="D40" s="131"/>
      <c r="E40" s="131"/>
      <c r="F40" s="131"/>
      <c r="G40" s="131"/>
      <c r="H40" s="131"/>
      <c r="I40" s="131"/>
      <c r="J40" s="132"/>
    </row>
    <row r="41" spans="3:10" ht="14.7" thickBot="1" x14ac:dyDescent="0.6"/>
    <row r="42" spans="3:10" x14ac:dyDescent="0.55000000000000004">
      <c r="C42" s="121"/>
      <c r="D42" s="122"/>
      <c r="E42" s="122"/>
      <c r="F42" s="122"/>
      <c r="G42" s="122"/>
      <c r="H42" s="122"/>
      <c r="I42" s="122"/>
      <c r="J42" s="123"/>
    </row>
    <row r="43" spans="3:10" x14ac:dyDescent="0.55000000000000004">
      <c r="C43" s="124"/>
      <c r="D43" s="1" t="s">
        <v>94</v>
      </c>
      <c r="J43" s="125"/>
    </row>
    <row r="44" spans="3:10" x14ac:dyDescent="0.55000000000000004">
      <c r="C44" s="124"/>
      <c r="D44" s="1804" t="s">
        <v>226</v>
      </c>
      <c r="E44" s="1804"/>
      <c r="F44" s="1804"/>
      <c r="G44" s="1804"/>
      <c r="H44" s="1804"/>
      <c r="I44" s="1804"/>
      <c r="J44" s="125"/>
    </row>
    <row r="45" spans="3:10" x14ac:dyDescent="0.55000000000000004">
      <c r="C45" s="124"/>
      <c r="D45" s="1804"/>
      <c r="E45" s="1804"/>
      <c r="F45" s="1804"/>
      <c r="G45" s="1804"/>
      <c r="H45" s="1804"/>
      <c r="I45" s="1804"/>
      <c r="J45" s="125"/>
    </row>
    <row r="46" spans="3:10" x14ac:dyDescent="0.55000000000000004">
      <c r="C46" s="124"/>
      <c r="E46" s="220" t="s">
        <v>250</v>
      </c>
      <c r="J46" s="125"/>
    </row>
    <row r="47" spans="3:10" x14ac:dyDescent="0.55000000000000004">
      <c r="C47" s="124"/>
      <c r="D47" t="s">
        <v>36</v>
      </c>
      <c r="E47" s="26">
        <f ca="1">E32</f>
        <v>77331255.799999997</v>
      </c>
      <c r="J47" s="125"/>
    </row>
    <row r="48" spans="3:10" x14ac:dyDescent="0.55000000000000004">
      <c r="C48" s="124"/>
      <c r="D48" t="s">
        <v>215</v>
      </c>
      <c r="E48" s="26">
        <f ca="1">Surplus!G64</f>
        <v>0</v>
      </c>
      <c r="J48" s="125"/>
    </row>
    <row r="49" spans="3:10" x14ac:dyDescent="0.55000000000000004">
      <c r="C49" s="124"/>
      <c r="D49" t="s">
        <v>216</v>
      </c>
      <c r="E49" s="26">
        <f ca="1">Surplus!G65</f>
        <v>0</v>
      </c>
      <c r="J49" s="125"/>
    </row>
    <row r="50" spans="3:10" ht="14.7" thickBot="1" x14ac:dyDescent="0.6">
      <c r="C50" s="124"/>
      <c r="D50" s="1" t="s">
        <v>214</v>
      </c>
      <c r="E50" s="1394">
        <f ca="1">E47-E48+E49</f>
        <v>77331255.799999997</v>
      </c>
      <c r="J50" s="125"/>
    </row>
    <row r="51" spans="3:10" ht="14.7" thickTop="1" x14ac:dyDescent="0.55000000000000004">
      <c r="C51" s="124"/>
      <c r="E51" s="134"/>
      <c r="J51" s="125"/>
    </row>
    <row r="52" spans="3:10" x14ac:dyDescent="0.55000000000000004">
      <c r="C52" s="124"/>
      <c r="D52" t="s">
        <v>150</v>
      </c>
      <c r="E52" s="26">
        <f ca="1">'Revenue required'!G20</f>
        <v>15471225</v>
      </c>
      <c r="J52" s="125"/>
    </row>
    <row r="53" spans="3:10" x14ac:dyDescent="0.55000000000000004">
      <c r="C53" s="124"/>
      <c r="D53" t="s">
        <v>151</v>
      </c>
      <c r="E53" s="26">
        <f ca="1">'Revenue required'!G21</f>
        <v>0</v>
      </c>
      <c r="J53" s="125"/>
    </row>
    <row r="54" spans="3:10" x14ac:dyDescent="0.55000000000000004">
      <c r="C54" s="124"/>
      <c r="D54" t="s">
        <v>165</v>
      </c>
      <c r="E54" s="26">
        <f ca="1">'Revenue required'!G22</f>
        <v>11389689.550000001</v>
      </c>
      <c r="J54" s="125"/>
    </row>
    <row r="55" spans="3:10" x14ac:dyDescent="0.55000000000000004">
      <c r="C55" s="124"/>
      <c r="D55" t="s">
        <v>152</v>
      </c>
      <c r="E55" s="26">
        <f>'Revenue required'!G23</f>
        <v>0</v>
      </c>
      <c r="J55" s="125"/>
    </row>
    <row r="56" spans="3:10" ht="14.7" thickBot="1" x14ac:dyDescent="0.6">
      <c r="C56" s="124"/>
      <c r="D56" s="1" t="s">
        <v>153</v>
      </c>
      <c r="E56" s="1395">
        <f ca="1">SUM(E52:E55)</f>
        <v>26860914.550000001</v>
      </c>
      <c r="J56" s="125"/>
    </row>
    <row r="57" spans="3:10" ht="14.7" thickTop="1" x14ac:dyDescent="0.55000000000000004">
      <c r="C57" s="124"/>
      <c r="D57" s="1"/>
      <c r="J57" s="125"/>
    </row>
    <row r="58" spans="3:10" x14ac:dyDescent="0.55000000000000004">
      <c r="C58" s="124"/>
      <c r="D58" t="s">
        <v>45</v>
      </c>
      <c r="E58" s="26">
        <f ca="1">E50-E56</f>
        <v>50470341.25</v>
      </c>
      <c r="J58" s="125"/>
    </row>
    <row r="59" spans="3:10" ht="14.7" thickBot="1" x14ac:dyDescent="0.6">
      <c r="C59" s="124"/>
      <c r="D59" s="1" t="s">
        <v>1621</v>
      </c>
      <c r="E59" s="1393">
        <f ca="1">(E58/('1 Customer data'!F45))/12</f>
        <v>222.84861341236331</v>
      </c>
      <c r="J59" s="125"/>
    </row>
    <row r="60" spans="3:10" ht="15" thickTop="1" thickBot="1" x14ac:dyDescent="0.6">
      <c r="C60" s="130"/>
      <c r="D60" s="131"/>
      <c r="E60" s="131"/>
      <c r="F60" s="131"/>
      <c r="G60" s="131"/>
      <c r="H60" s="131"/>
      <c r="I60" s="131"/>
      <c r="J60" s="132"/>
    </row>
    <row r="61" spans="3:10" ht="14.7" thickBot="1" x14ac:dyDescent="0.6"/>
    <row r="62" spans="3:10" x14ac:dyDescent="0.55000000000000004">
      <c r="C62" s="121"/>
      <c r="D62" s="122"/>
      <c r="E62" s="122"/>
      <c r="F62" s="122"/>
      <c r="G62" s="122"/>
      <c r="H62" s="122"/>
      <c r="I62" s="122"/>
      <c r="J62" s="123"/>
    </row>
    <row r="63" spans="3:10" x14ac:dyDescent="0.55000000000000004">
      <c r="C63" s="124"/>
      <c r="D63" s="1" t="s">
        <v>265</v>
      </c>
      <c r="J63" s="125"/>
    </row>
    <row r="64" spans="3:10" x14ac:dyDescent="0.55000000000000004">
      <c r="C64" s="124"/>
      <c r="J64" s="125"/>
    </row>
    <row r="65" spans="3:10" x14ac:dyDescent="0.55000000000000004">
      <c r="C65" s="124"/>
      <c r="D65" t="str">
        <f>D39</f>
        <v>Fixed unit cost (R per customer/unit per month)</v>
      </c>
      <c r="E65" s="1392">
        <f ca="1">E39</f>
        <v>341.45129003792454</v>
      </c>
      <c r="J65" s="125"/>
    </row>
    <row r="66" spans="3:10" x14ac:dyDescent="0.55000000000000004">
      <c r="C66" s="124"/>
      <c r="D66" t="str">
        <f>D59</f>
        <v>Average unit revenue required (R per unit per month)</v>
      </c>
      <c r="E66" s="1392">
        <f ca="1">E59</f>
        <v>222.84861341236331</v>
      </c>
      <c r="J66" s="125"/>
    </row>
    <row r="67" spans="3:10" x14ac:dyDescent="0.55000000000000004">
      <c r="C67" s="124"/>
      <c r="E67" s="41"/>
      <c r="J67" s="125"/>
    </row>
    <row r="68" spans="3:10" ht="14.7" thickBot="1" x14ac:dyDescent="0.6">
      <c r="C68" s="130"/>
      <c r="D68" s="131"/>
      <c r="E68" s="131"/>
      <c r="F68" s="131"/>
      <c r="G68" s="131"/>
      <c r="H68" s="131"/>
      <c r="I68" s="131"/>
      <c r="J68" s="132"/>
    </row>
  </sheetData>
  <mergeCells count="4">
    <mergeCell ref="E1:E2"/>
    <mergeCell ref="C7:J7"/>
    <mergeCell ref="D11:I13"/>
    <mergeCell ref="D44:I45"/>
  </mergeCells>
  <pageMargins left="0.7" right="0.7" top="0.75" bottom="0.75" header="0.3" footer="0.3"/>
  <drawing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E301EF0-3368-48EE-93D3-8C770A9A0791}">
  <sheetPr codeName="Sheet46">
    <tabColor theme="9"/>
  </sheetPr>
  <dimension ref="A1:L51"/>
  <sheetViews>
    <sheetView topLeftCell="C10" workbookViewId="0">
      <selection activeCell="F16" sqref="F16:F26"/>
    </sheetView>
  </sheetViews>
  <sheetFormatPr defaultColWidth="8.7890625" defaultRowHeight="14.4" x14ac:dyDescent="0.55000000000000004"/>
  <cols>
    <col min="1" max="1" width="3.7890625" style="117" customWidth="1"/>
    <col min="2" max="3" width="3.7890625" customWidth="1"/>
    <col min="4" max="4" width="48.41796875" customWidth="1"/>
    <col min="5" max="5" width="20.1015625" customWidth="1"/>
    <col min="6" max="6" width="17.20703125" customWidth="1"/>
    <col min="7" max="7" width="14.20703125" customWidth="1"/>
    <col min="8" max="8" width="18.5234375" customWidth="1"/>
    <col min="9" max="9" width="15.20703125" customWidth="1"/>
    <col min="10" max="10" width="15.1015625" customWidth="1"/>
    <col min="11" max="11" width="15.20703125" customWidth="1"/>
    <col min="12" max="12" width="11" bestFit="1" customWidth="1"/>
    <col min="16" max="16" width="10.41796875" customWidth="1"/>
  </cols>
  <sheetData>
    <row r="1" spans="1:10" x14ac:dyDescent="0.55000000000000004">
      <c r="A1"/>
      <c r="E1" s="1807" t="s">
        <v>206</v>
      </c>
    </row>
    <row r="2" spans="1:10" x14ac:dyDescent="0.55000000000000004">
      <c r="A2"/>
      <c r="E2" s="1807"/>
    </row>
    <row r="3" spans="1:10" x14ac:dyDescent="0.55000000000000004">
      <c r="A3"/>
    </row>
    <row r="4" spans="1:10" s="116" customFormat="1" ht="14.7" thickBot="1" x14ac:dyDescent="0.6"/>
    <row r="5" spans="1:10" s="117" customFormat="1" x14ac:dyDescent="0.55000000000000004"/>
    <row r="7" spans="1:10" ht="12" customHeight="1" x14ac:dyDescent="0.7">
      <c r="B7" s="118"/>
      <c r="C7" s="1803" t="s">
        <v>511</v>
      </c>
      <c r="D7" s="1803"/>
      <c r="E7" s="1803"/>
      <c r="F7" s="1803"/>
      <c r="G7" s="1803"/>
      <c r="H7" s="1803"/>
      <c r="I7" s="1803"/>
      <c r="J7" s="1803"/>
    </row>
    <row r="8" spans="1:10" ht="9.6" customHeight="1" thickBot="1" x14ac:dyDescent="0.75">
      <c r="D8" s="161"/>
    </row>
    <row r="9" spans="1:10" x14ac:dyDescent="0.55000000000000004">
      <c r="C9" s="121"/>
      <c r="D9" s="244"/>
      <c r="E9" s="122"/>
      <c r="F9" s="122"/>
      <c r="G9" s="122"/>
      <c r="H9" s="122"/>
      <c r="I9" s="122"/>
      <c r="J9" s="123"/>
    </row>
    <row r="10" spans="1:10" x14ac:dyDescent="0.55000000000000004">
      <c r="C10" s="124"/>
      <c r="D10" s="1" t="s">
        <v>42</v>
      </c>
      <c r="J10" s="125"/>
    </row>
    <row r="11" spans="1:10" x14ac:dyDescent="0.55000000000000004">
      <c r="C11" s="124"/>
      <c r="D11" s="1804" t="s">
        <v>512</v>
      </c>
      <c r="E11" s="1804"/>
      <c r="F11" s="1804"/>
      <c r="G11" s="1804"/>
      <c r="H11" s="1804"/>
      <c r="I11" s="1804"/>
      <c r="J11" s="125"/>
    </row>
    <row r="12" spans="1:10" ht="14.55" customHeight="1" x14ac:dyDescent="0.55000000000000004">
      <c r="C12" s="124"/>
      <c r="D12" s="1804"/>
      <c r="E12" s="1804"/>
      <c r="F12" s="1804"/>
      <c r="G12" s="1804"/>
      <c r="H12" s="1804"/>
      <c r="I12" s="1804"/>
      <c r="J12" s="125"/>
    </row>
    <row r="13" spans="1:10" x14ac:dyDescent="0.55000000000000004">
      <c r="C13" s="124"/>
      <c r="D13" s="1804"/>
      <c r="E13" s="1804"/>
      <c r="F13" s="1804"/>
      <c r="G13" s="1804"/>
      <c r="H13" s="1804"/>
      <c r="I13" s="1804"/>
      <c r="J13" s="125"/>
    </row>
    <row r="14" spans="1:10" x14ac:dyDescent="0.55000000000000004">
      <c r="C14" s="124"/>
      <c r="J14" s="125"/>
    </row>
    <row r="15" spans="1:10" ht="28.8" x14ac:dyDescent="0.55000000000000004">
      <c r="C15" s="124"/>
      <c r="D15" s="62" t="s">
        <v>34</v>
      </c>
      <c r="E15" s="277" t="s">
        <v>251</v>
      </c>
      <c r="F15" s="282" t="s">
        <v>166</v>
      </c>
      <c r="G15" s="282" t="s">
        <v>167</v>
      </c>
      <c r="H15" s="277" t="s">
        <v>252</v>
      </c>
      <c r="I15" s="277" t="s">
        <v>253</v>
      </c>
      <c r="J15" s="125"/>
    </row>
    <row r="16" spans="1:10" x14ac:dyDescent="0.55000000000000004">
      <c r="C16" s="124"/>
      <c r="D16" t="str">
        <f>Expenditure!D16</f>
        <v>Employee related costs</v>
      </c>
      <c r="E16" s="31">
        <f ca="1">Expenditure!G16</f>
        <v>20471408</v>
      </c>
      <c r="F16" s="23">
        <v>1</v>
      </c>
      <c r="G16" s="32">
        <f>1-F16</f>
        <v>0</v>
      </c>
      <c r="H16" s="21">
        <f ca="1">E16*F16</f>
        <v>20471408</v>
      </c>
      <c r="I16" s="21">
        <f ca="1">E16*G16</f>
        <v>0</v>
      </c>
      <c r="J16" s="125"/>
    </row>
    <row r="17" spans="3:10" x14ac:dyDescent="0.55000000000000004">
      <c r="C17" s="124"/>
      <c r="D17" t="str">
        <f>Expenditure!D17</f>
        <v>Remuneration of councillors</v>
      </c>
      <c r="E17" s="31">
        <f ca="1">Expenditure!G17</f>
        <v>0</v>
      </c>
      <c r="F17" s="23"/>
      <c r="G17" s="32">
        <f t="shared" ref="G17:G29" si="0">1-F17</f>
        <v>1</v>
      </c>
      <c r="H17" s="21">
        <f t="shared" ref="H17:H29" ca="1" si="1">E17*F17</f>
        <v>0</v>
      </c>
      <c r="I17" s="21">
        <f t="shared" ref="I17:I29" ca="1" si="2">E17*G17</f>
        <v>0</v>
      </c>
      <c r="J17" s="125"/>
    </row>
    <row r="18" spans="3:10" x14ac:dyDescent="0.55000000000000004">
      <c r="C18" s="124"/>
      <c r="D18" t="str">
        <f>Expenditure!D18</f>
        <v>Bulk purchases - electricity</v>
      </c>
      <c r="E18" s="31">
        <f ca="1">Expenditure!G18</f>
        <v>0</v>
      </c>
      <c r="F18" s="23"/>
      <c r="G18" s="32">
        <f t="shared" si="0"/>
        <v>1</v>
      </c>
      <c r="H18" s="21">
        <f t="shared" ca="1" si="1"/>
        <v>0</v>
      </c>
      <c r="I18" s="21">
        <f t="shared" ca="1" si="2"/>
        <v>0</v>
      </c>
      <c r="J18" s="125"/>
    </row>
    <row r="19" spans="3:10" x14ac:dyDescent="0.55000000000000004">
      <c r="C19" s="124"/>
      <c r="D19" t="str">
        <f>Expenditure!D19</f>
        <v>Inventory consumed</v>
      </c>
      <c r="E19" s="31">
        <f ca="1">Expenditure!G19</f>
        <v>1606343</v>
      </c>
      <c r="F19" s="23">
        <v>1</v>
      </c>
      <c r="G19" s="32">
        <f t="shared" si="0"/>
        <v>0</v>
      </c>
      <c r="H19" s="21">
        <f t="shared" ca="1" si="1"/>
        <v>1606343</v>
      </c>
      <c r="I19" s="21">
        <f t="shared" ca="1" si="2"/>
        <v>0</v>
      </c>
      <c r="J19" s="125"/>
    </row>
    <row r="20" spans="3:10" x14ac:dyDescent="0.55000000000000004">
      <c r="C20" s="124"/>
      <c r="D20" t="str">
        <f>Expenditure!D20</f>
        <v>Debt impairment</v>
      </c>
      <c r="E20" s="31">
        <f ca="1">Expenditure!G20</f>
        <v>13338000</v>
      </c>
      <c r="F20" s="23">
        <v>1</v>
      </c>
      <c r="G20" s="32">
        <f t="shared" si="0"/>
        <v>0</v>
      </c>
      <c r="H20" s="21">
        <f t="shared" ca="1" si="1"/>
        <v>13338000</v>
      </c>
      <c r="I20" s="21">
        <f t="shared" ca="1" si="2"/>
        <v>0</v>
      </c>
      <c r="J20" s="125"/>
    </row>
    <row r="21" spans="3:10" x14ac:dyDescent="0.55000000000000004">
      <c r="C21" s="124"/>
      <c r="D21" t="str">
        <f>Expenditure!D21</f>
        <v>Depreciation and amortisation</v>
      </c>
      <c r="E21" s="31">
        <f ca="1">Expenditure!G21</f>
        <v>9307404</v>
      </c>
      <c r="F21" s="23"/>
      <c r="G21" s="32">
        <f t="shared" si="0"/>
        <v>1</v>
      </c>
      <c r="H21" s="21">
        <f t="shared" ca="1" si="1"/>
        <v>0</v>
      </c>
      <c r="I21" s="21">
        <f t="shared" ca="1" si="2"/>
        <v>9307404</v>
      </c>
      <c r="J21" s="125"/>
    </row>
    <row r="22" spans="3:10" x14ac:dyDescent="0.55000000000000004">
      <c r="C22" s="124"/>
      <c r="D22" t="str">
        <f>Expenditure!D22</f>
        <v>Interest</v>
      </c>
      <c r="E22" s="31">
        <f ca="1">Expenditure!G22</f>
        <v>2357463</v>
      </c>
      <c r="F22" s="23"/>
      <c r="G22" s="32">
        <f t="shared" si="0"/>
        <v>1</v>
      </c>
      <c r="H22" s="21">
        <f t="shared" ca="1" si="1"/>
        <v>0</v>
      </c>
      <c r="I22" s="21">
        <f t="shared" ca="1" si="2"/>
        <v>2357463</v>
      </c>
      <c r="J22" s="125"/>
    </row>
    <row r="23" spans="3:10" x14ac:dyDescent="0.55000000000000004">
      <c r="C23" s="124"/>
      <c r="D23" t="str">
        <f>Expenditure!D23</f>
        <v>Contracted services</v>
      </c>
      <c r="E23" s="31">
        <f ca="1">Expenditure!G23</f>
        <v>5607523</v>
      </c>
      <c r="F23" s="23">
        <v>1</v>
      </c>
      <c r="G23" s="32">
        <f t="shared" si="0"/>
        <v>0</v>
      </c>
      <c r="H23" s="21">
        <f t="shared" ca="1" si="1"/>
        <v>5607523</v>
      </c>
      <c r="I23" s="21">
        <f t="shared" ca="1" si="2"/>
        <v>0</v>
      </c>
      <c r="J23" s="125"/>
    </row>
    <row r="24" spans="3:10" x14ac:dyDescent="0.55000000000000004">
      <c r="C24" s="124"/>
      <c r="D24" t="str">
        <f>Expenditure!D24</f>
        <v>Transfers and subsidies</v>
      </c>
      <c r="E24" s="31">
        <f ca="1">Expenditure!G24</f>
        <v>0</v>
      </c>
      <c r="F24" s="23"/>
      <c r="G24" s="32">
        <f t="shared" si="0"/>
        <v>1</v>
      </c>
      <c r="H24" s="21">
        <f t="shared" ca="1" si="1"/>
        <v>0</v>
      </c>
      <c r="I24" s="21">
        <f t="shared" ca="1" si="2"/>
        <v>0</v>
      </c>
      <c r="J24" s="125"/>
    </row>
    <row r="25" spans="3:10" x14ac:dyDescent="0.55000000000000004">
      <c r="C25" s="124"/>
      <c r="D25" t="str">
        <f>Expenditure!D25</f>
        <v>Irrecoverable debts written off</v>
      </c>
      <c r="E25" s="31">
        <f ca="1">Expenditure!G25</f>
        <v>0</v>
      </c>
      <c r="F25" s="23">
        <v>1</v>
      </c>
      <c r="G25" s="32">
        <f t="shared" si="0"/>
        <v>0</v>
      </c>
      <c r="H25" s="21">
        <f t="shared" ca="1" si="1"/>
        <v>0</v>
      </c>
      <c r="I25" s="21">
        <f t="shared" ca="1" si="2"/>
        <v>0</v>
      </c>
      <c r="J25" s="125"/>
    </row>
    <row r="26" spans="3:10" x14ac:dyDescent="0.55000000000000004">
      <c r="C26" s="124"/>
      <c r="D26" t="str">
        <f>Expenditure!D26</f>
        <v>Operational costs</v>
      </c>
      <c r="E26" s="31">
        <f ca="1">Expenditure!G26</f>
        <v>12182363</v>
      </c>
      <c r="F26" s="23">
        <v>1</v>
      </c>
      <c r="G26" s="32">
        <f t="shared" si="0"/>
        <v>0</v>
      </c>
      <c r="H26" s="21">
        <f t="shared" ca="1" si="1"/>
        <v>12182363</v>
      </c>
      <c r="I26" s="21">
        <f t="shared" ca="1" si="2"/>
        <v>0</v>
      </c>
      <c r="J26" s="125"/>
    </row>
    <row r="27" spans="3:10" x14ac:dyDescent="0.55000000000000004">
      <c r="C27" s="124"/>
      <c r="D27">
        <f>Expenditure!D30</f>
        <v>0</v>
      </c>
      <c r="E27" s="31">
        <f>Expenditure!G30</f>
        <v>0</v>
      </c>
      <c r="F27" s="23"/>
      <c r="G27" s="32">
        <f t="shared" si="0"/>
        <v>1</v>
      </c>
      <c r="H27" s="21">
        <f t="shared" si="1"/>
        <v>0</v>
      </c>
      <c r="I27" s="21">
        <f t="shared" si="2"/>
        <v>0</v>
      </c>
      <c r="J27" s="125"/>
    </row>
    <row r="28" spans="3:10" x14ac:dyDescent="0.55000000000000004">
      <c r="C28" s="124"/>
      <c r="D28">
        <f>Expenditure!D31</f>
        <v>0</v>
      </c>
      <c r="E28" s="42">
        <f>Expenditure!G31</f>
        <v>0</v>
      </c>
      <c r="F28" s="23"/>
      <c r="G28" s="32">
        <f t="shared" si="0"/>
        <v>1</v>
      </c>
      <c r="H28" s="21">
        <f t="shared" si="1"/>
        <v>0</v>
      </c>
      <c r="I28" s="21">
        <f t="shared" si="2"/>
        <v>0</v>
      </c>
      <c r="J28" s="125"/>
    </row>
    <row r="29" spans="3:10" x14ac:dyDescent="0.55000000000000004">
      <c r="C29" s="124"/>
      <c r="D29">
        <f>Expenditure!D32</f>
        <v>0</v>
      </c>
      <c r="E29" s="31">
        <f>Expenditure!G32</f>
        <v>0</v>
      </c>
      <c r="F29" s="23"/>
      <c r="G29" s="32">
        <f t="shared" si="0"/>
        <v>1</v>
      </c>
      <c r="H29" s="21">
        <f t="shared" si="1"/>
        <v>0</v>
      </c>
      <c r="I29" s="21">
        <f t="shared" si="2"/>
        <v>0</v>
      </c>
      <c r="J29" s="125"/>
    </row>
    <row r="30" spans="3:10" x14ac:dyDescent="0.55000000000000004">
      <c r="C30" s="124"/>
      <c r="E30" s="178"/>
      <c r="F30" s="9"/>
      <c r="G30" s="9"/>
      <c r="J30" s="125"/>
    </row>
    <row r="31" spans="3:10" x14ac:dyDescent="0.55000000000000004">
      <c r="C31" s="124"/>
      <c r="D31" t="s">
        <v>101</v>
      </c>
      <c r="E31" s="31">
        <f ca="1">Expenditure!G44</f>
        <v>12460751.800000001</v>
      </c>
      <c r="F31" s="23">
        <v>1</v>
      </c>
      <c r="G31" s="32">
        <f>1-F31</f>
        <v>0</v>
      </c>
      <c r="H31" s="21">
        <f ca="1">E31*F31</f>
        <v>12460751.800000001</v>
      </c>
      <c r="I31" s="21">
        <f ca="1">E31*G31</f>
        <v>0</v>
      </c>
      <c r="J31" s="125"/>
    </row>
    <row r="32" spans="3:10" ht="14.7" thickBot="1" x14ac:dyDescent="0.6">
      <c r="C32" s="124"/>
      <c r="D32" s="1" t="s">
        <v>39</v>
      </c>
      <c r="E32" s="33">
        <f ca="1">SUM(H32:I32)</f>
        <v>77331255.799999997</v>
      </c>
      <c r="F32" s="43">
        <f ca="1">H32/E32</f>
        <v>0.849157150245063</v>
      </c>
      <c r="G32" s="34">
        <f ca="1">I32/E32</f>
        <v>0.150842849754937</v>
      </c>
      <c r="H32" s="35">
        <f ca="1">SUM(H16:H29,H31)</f>
        <v>65666388.799999997</v>
      </c>
      <c r="I32" s="35">
        <f ca="1">SUM(I16:I29,I31)</f>
        <v>11664867</v>
      </c>
      <c r="J32" s="125"/>
    </row>
    <row r="33" spans="3:12" ht="15" thickTop="1" thickBot="1" x14ac:dyDescent="0.6">
      <c r="C33" s="130"/>
      <c r="D33" s="241"/>
      <c r="E33" s="131"/>
      <c r="F33" s="241"/>
      <c r="G33" s="131"/>
      <c r="H33" s="131"/>
      <c r="I33" s="131"/>
      <c r="J33" s="132"/>
    </row>
    <row r="34" spans="3:12" ht="14.7" thickBot="1" x14ac:dyDescent="0.6">
      <c r="D34" s="1"/>
      <c r="F34" s="1"/>
    </row>
    <row r="35" spans="3:12" x14ac:dyDescent="0.55000000000000004">
      <c r="C35" s="121"/>
      <c r="D35" s="122"/>
      <c r="E35" s="122"/>
      <c r="F35" s="122"/>
      <c r="G35" s="122"/>
      <c r="H35" s="122"/>
      <c r="I35" s="122"/>
      <c r="J35" s="122"/>
      <c r="K35" s="123"/>
    </row>
    <row r="36" spans="3:12" x14ac:dyDescent="0.55000000000000004">
      <c r="C36" s="124"/>
      <c r="D36" s="1430" t="s">
        <v>1645</v>
      </c>
      <c r="E36" s="1431"/>
      <c r="F36" s="1431"/>
      <c r="K36" s="125"/>
    </row>
    <row r="37" spans="3:12" x14ac:dyDescent="0.55000000000000004">
      <c r="C37" s="124"/>
      <c r="D37" s="120" t="s">
        <v>514</v>
      </c>
      <c r="K37" s="125"/>
    </row>
    <row r="38" spans="3:12" x14ac:dyDescent="0.55000000000000004">
      <c r="C38" s="124"/>
      <c r="J38" s="219"/>
      <c r="K38" s="125"/>
    </row>
    <row r="39" spans="3:12" ht="54.6" customHeight="1" x14ac:dyDescent="0.55000000000000004">
      <c r="C39" s="124"/>
      <c r="D39" t="s">
        <v>220</v>
      </c>
      <c r="E39" s="1812" t="s">
        <v>1628</v>
      </c>
      <c r="F39" s="1813"/>
      <c r="G39" s="1418" t="s">
        <v>1641</v>
      </c>
      <c r="H39" s="1419" t="s">
        <v>1639</v>
      </c>
      <c r="I39" s="1422" t="s">
        <v>1640</v>
      </c>
      <c r="J39" s="1424" t="s">
        <v>1643</v>
      </c>
      <c r="K39" s="1421" t="s">
        <v>1642</v>
      </c>
    </row>
    <row r="40" spans="3:12" x14ac:dyDescent="0.55000000000000004">
      <c r="C40" s="124"/>
      <c r="E40" s="1415">
        <f>+'1 Customer data'!E56</f>
        <v>0</v>
      </c>
      <c r="F40" s="13">
        <f>+'1 Customer data'!F56</f>
        <v>0</v>
      </c>
      <c r="G40" s="1420">
        <f>+'1 Customer data'!H56</f>
        <v>0</v>
      </c>
      <c r="H40" s="36" t="e">
        <f ca="1">+$E$32*(G40/$G$45)</f>
        <v>#DIV/0!</v>
      </c>
      <c r="I40" s="1423" t="e">
        <f ca="1">+H40/(G40*12)</f>
        <v>#DIV/0!</v>
      </c>
      <c r="J40" s="1415"/>
      <c r="K40" s="1425">
        <f>+G40*12*J40</f>
        <v>0</v>
      </c>
      <c r="L40" s="135"/>
    </row>
    <row r="41" spans="3:12" x14ac:dyDescent="0.55000000000000004">
      <c r="C41" s="124"/>
      <c r="E41" s="1415">
        <f>+'1 Customer data'!E57</f>
        <v>0</v>
      </c>
      <c r="F41" s="13">
        <f>+'1 Customer data'!F57</f>
        <v>0</v>
      </c>
      <c r="G41" s="1420">
        <f>+'1 Customer data'!H57</f>
        <v>0</v>
      </c>
      <c r="H41" s="36" t="e">
        <f t="shared" ref="H41:H44" ca="1" si="3">+$E$32*(G41/$G$45)</f>
        <v>#DIV/0!</v>
      </c>
      <c r="I41" s="1423" t="e">
        <f t="shared" ref="I41:I44" ca="1" si="4">+H41/(G41*12)</f>
        <v>#DIV/0!</v>
      </c>
      <c r="J41" s="1415"/>
      <c r="K41" s="1425">
        <f t="shared" ref="K41:K44" si="5">+G41*12*J41</f>
        <v>0</v>
      </c>
      <c r="L41" s="135"/>
    </row>
    <row r="42" spans="3:12" x14ac:dyDescent="0.55000000000000004">
      <c r="C42" s="124"/>
      <c r="E42" s="1415">
        <f>+'1 Customer data'!E58</f>
        <v>0</v>
      </c>
      <c r="F42" s="13">
        <f>+'1 Customer data'!F58</f>
        <v>0</v>
      </c>
      <c r="G42" s="1420">
        <f>+'1 Customer data'!H58</f>
        <v>0</v>
      </c>
      <c r="H42" s="36" t="e">
        <f t="shared" ca="1" si="3"/>
        <v>#DIV/0!</v>
      </c>
      <c r="I42" s="1423" t="e">
        <f t="shared" ca="1" si="4"/>
        <v>#DIV/0!</v>
      </c>
      <c r="J42" s="1415"/>
      <c r="K42" s="1425">
        <f t="shared" si="5"/>
        <v>0</v>
      </c>
      <c r="L42" s="135"/>
    </row>
    <row r="43" spans="3:12" x14ac:dyDescent="0.55000000000000004">
      <c r="C43" s="124"/>
      <c r="E43" s="1415">
        <f>+'1 Customer data'!E59</f>
        <v>0</v>
      </c>
      <c r="F43" s="13">
        <f>+'1 Customer data'!F59</f>
        <v>0</v>
      </c>
      <c r="G43" s="1420">
        <f>+'1 Customer data'!H59</f>
        <v>0</v>
      </c>
      <c r="H43" s="36" t="e">
        <f t="shared" ca="1" si="3"/>
        <v>#DIV/0!</v>
      </c>
      <c r="I43" s="1423" t="e">
        <f t="shared" ca="1" si="4"/>
        <v>#DIV/0!</v>
      </c>
      <c r="J43" s="1415"/>
      <c r="K43" s="1425">
        <f t="shared" si="5"/>
        <v>0</v>
      </c>
      <c r="L43" s="135"/>
    </row>
    <row r="44" spans="3:12" x14ac:dyDescent="0.55000000000000004">
      <c r="C44" s="124"/>
      <c r="E44" s="1415">
        <f>+'1 Customer data'!E60</f>
        <v>0</v>
      </c>
      <c r="F44" s="1416">
        <f>+'1 Customer data'!F60</f>
        <v>0</v>
      </c>
      <c r="G44" s="1420">
        <f>+'1 Customer data'!H60</f>
        <v>0</v>
      </c>
      <c r="H44" s="36" t="e">
        <f t="shared" ca="1" si="3"/>
        <v>#DIV/0!</v>
      </c>
      <c r="I44" s="1423" t="e">
        <f t="shared" ca="1" si="4"/>
        <v>#DIV/0!</v>
      </c>
      <c r="J44" s="1415"/>
      <c r="K44" s="1425">
        <f t="shared" si="5"/>
        <v>0</v>
      </c>
      <c r="L44" s="135"/>
    </row>
    <row r="45" spans="3:12" x14ac:dyDescent="0.55000000000000004">
      <c r="C45" s="124"/>
      <c r="E45" t="s">
        <v>1636</v>
      </c>
      <c r="F45" s="135"/>
      <c r="G45" s="135">
        <f>SUM(G40:G44)</f>
        <v>0</v>
      </c>
      <c r="H45" s="36"/>
      <c r="J45" s="63"/>
      <c r="K45" s="1429">
        <f>SUM(K40:K44)</f>
        <v>0</v>
      </c>
    </row>
    <row r="46" spans="3:12" x14ac:dyDescent="0.55000000000000004">
      <c r="C46" s="124"/>
      <c r="D46" t="s">
        <v>736</v>
      </c>
      <c r="F46" s="135"/>
      <c r="G46" s="135"/>
      <c r="H46" s="36"/>
      <c r="J46" s="1426"/>
      <c r="K46" s="1427">
        <f ca="1">+E32</f>
        <v>77331255.799999997</v>
      </c>
    </row>
    <row r="47" spans="3:12" x14ac:dyDescent="0.55000000000000004">
      <c r="C47" s="124"/>
      <c r="D47" t="s">
        <v>1647</v>
      </c>
      <c r="F47" s="135"/>
      <c r="G47" s="135"/>
      <c r="H47" s="36"/>
      <c r="J47" s="1426"/>
      <c r="K47" s="1427">
        <f ca="1">+'PART C- Municipal Details'!H21</f>
        <v>0</v>
      </c>
    </row>
    <row r="48" spans="3:12" x14ac:dyDescent="0.55000000000000004">
      <c r="C48" s="124"/>
      <c r="D48" t="s">
        <v>1646</v>
      </c>
      <c r="F48" s="135"/>
      <c r="G48" s="135"/>
      <c r="H48" s="36"/>
      <c r="J48" s="1426"/>
      <c r="K48" s="1427">
        <f ca="1">SUM(K46:K47)</f>
        <v>77331255.799999997</v>
      </c>
    </row>
    <row r="49" spans="3:11" x14ac:dyDescent="0.55000000000000004">
      <c r="C49" s="124"/>
      <c r="D49" s="10" t="s">
        <v>1638</v>
      </c>
      <c r="H49" s="44">
        <f ca="1">IFERROR(I32/('1 Customer data'!F31*'1 Customer data'!F32),0)</f>
        <v>5.4647806372834458</v>
      </c>
      <c r="J49" s="1426"/>
      <c r="K49" s="1427"/>
    </row>
    <row r="50" spans="3:11" ht="43.2" x14ac:dyDescent="0.55000000000000004">
      <c r="C50" s="124"/>
      <c r="D50" s="138" t="s">
        <v>363</v>
      </c>
      <c r="H50" s="45">
        <f ca="1">IFERROR(E32/('1 Customer data'!F31*'1 Customer data'!F32),0)</f>
        <v>36.228304133485032</v>
      </c>
      <c r="I50" s="135"/>
      <c r="J50" s="190" t="s">
        <v>1644</v>
      </c>
      <c r="K50" s="1428">
        <f ca="1">+K45-K48</f>
        <v>-77331255.799999997</v>
      </c>
    </row>
    <row r="51" spans="3:11" ht="14.7" thickBot="1" x14ac:dyDescent="0.6">
      <c r="C51" s="130"/>
      <c r="D51" s="131"/>
      <c r="E51" s="131"/>
      <c r="F51" s="131"/>
      <c r="G51" s="131"/>
      <c r="H51" s="131"/>
      <c r="I51" s="131"/>
      <c r="J51" s="131"/>
      <c r="K51" s="132"/>
    </row>
  </sheetData>
  <mergeCells count="4">
    <mergeCell ref="E1:E2"/>
    <mergeCell ref="C7:J7"/>
    <mergeCell ref="D11:I13"/>
    <mergeCell ref="E39:F39"/>
  </mergeCells>
  <pageMargins left="0.7" right="0.7" top="0.75" bottom="0.75" header="0.3" footer="0.3"/>
  <drawing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8F9FCF8-97A8-493B-9FE4-F1A8AE3F47FC}">
  <sheetPr codeName="Sheet47">
    <tabColor theme="9"/>
  </sheetPr>
  <dimension ref="A1:L51"/>
  <sheetViews>
    <sheetView topLeftCell="D6" workbookViewId="0">
      <selection activeCell="F16" sqref="F16:F26"/>
    </sheetView>
  </sheetViews>
  <sheetFormatPr defaultColWidth="8.7890625" defaultRowHeight="14.4" x14ac:dyDescent="0.55000000000000004"/>
  <cols>
    <col min="1" max="1" width="3.7890625" style="117" customWidth="1"/>
    <col min="2" max="3" width="3.7890625" customWidth="1"/>
    <col min="4" max="4" width="48.41796875" customWidth="1"/>
    <col min="5" max="5" width="20.1015625" customWidth="1"/>
    <col min="6" max="6" width="17.20703125" customWidth="1"/>
    <col min="7" max="7" width="14.20703125" customWidth="1"/>
    <col min="8" max="8" width="18.5234375" customWidth="1"/>
    <col min="9" max="9" width="15.20703125" customWidth="1"/>
    <col min="10" max="10" width="15.1015625" customWidth="1"/>
    <col min="11" max="11" width="15.20703125" customWidth="1"/>
    <col min="12" max="12" width="11" bestFit="1" customWidth="1"/>
    <col min="16" max="16" width="10.41796875" customWidth="1"/>
  </cols>
  <sheetData>
    <row r="1" spans="1:10" x14ac:dyDescent="0.55000000000000004">
      <c r="A1"/>
      <c r="E1" s="1807" t="s">
        <v>206</v>
      </c>
    </row>
    <row r="2" spans="1:10" x14ac:dyDescent="0.55000000000000004">
      <c r="A2"/>
      <c r="E2" s="1807"/>
    </row>
    <row r="3" spans="1:10" x14ac:dyDescent="0.55000000000000004">
      <c r="A3"/>
    </row>
    <row r="4" spans="1:10" s="116" customFormat="1" ht="14.7" thickBot="1" x14ac:dyDescent="0.6"/>
    <row r="5" spans="1:10" s="117" customFormat="1" x14ac:dyDescent="0.55000000000000004"/>
    <row r="7" spans="1:10" ht="12" customHeight="1" x14ac:dyDescent="0.7">
      <c r="B7" s="118"/>
      <c r="C7" s="1803" t="s">
        <v>511</v>
      </c>
      <c r="D7" s="1803"/>
      <c r="E7" s="1803"/>
      <c r="F7" s="1803"/>
      <c r="G7" s="1803"/>
      <c r="H7" s="1803"/>
      <c r="I7" s="1803"/>
      <c r="J7" s="1803"/>
    </row>
    <row r="8" spans="1:10" ht="9.6" customHeight="1" thickBot="1" x14ac:dyDescent="0.75">
      <c r="D8" s="161"/>
    </row>
    <row r="9" spans="1:10" x14ac:dyDescent="0.55000000000000004">
      <c r="C9" s="121"/>
      <c r="D9" s="244"/>
      <c r="E9" s="122"/>
      <c r="F9" s="122"/>
      <c r="G9" s="122"/>
      <c r="H9" s="122"/>
      <c r="I9" s="122"/>
      <c r="J9" s="123"/>
    </row>
    <row r="10" spans="1:10" x14ac:dyDescent="0.55000000000000004">
      <c r="C10" s="124"/>
      <c r="D10" s="1" t="s">
        <v>42</v>
      </c>
      <c r="J10" s="125"/>
    </row>
    <row r="11" spans="1:10" x14ac:dyDescent="0.55000000000000004">
      <c r="C11" s="124"/>
      <c r="D11" s="1804" t="s">
        <v>512</v>
      </c>
      <c r="E11" s="1804"/>
      <c r="F11" s="1804"/>
      <c r="G11" s="1804"/>
      <c r="H11" s="1804"/>
      <c r="I11" s="1804"/>
      <c r="J11" s="125"/>
    </row>
    <row r="12" spans="1:10" ht="14.55" customHeight="1" x14ac:dyDescent="0.55000000000000004">
      <c r="C12" s="124"/>
      <c r="D12" s="1804"/>
      <c r="E12" s="1804"/>
      <c r="F12" s="1804"/>
      <c r="G12" s="1804"/>
      <c r="H12" s="1804"/>
      <c r="I12" s="1804"/>
      <c r="J12" s="125"/>
    </row>
    <row r="13" spans="1:10" x14ac:dyDescent="0.55000000000000004">
      <c r="C13" s="124"/>
      <c r="D13" s="1804"/>
      <c r="E13" s="1804"/>
      <c r="F13" s="1804"/>
      <c r="G13" s="1804"/>
      <c r="H13" s="1804"/>
      <c r="I13" s="1804"/>
      <c r="J13" s="125"/>
    </row>
    <row r="14" spans="1:10" x14ac:dyDescent="0.55000000000000004">
      <c r="C14" s="124"/>
      <c r="J14" s="125"/>
    </row>
    <row r="15" spans="1:10" ht="28.8" x14ac:dyDescent="0.55000000000000004">
      <c r="C15" s="124"/>
      <c r="D15" s="62" t="s">
        <v>34</v>
      </c>
      <c r="E15" s="277" t="s">
        <v>251</v>
      </c>
      <c r="F15" s="282" t="s">
        <v>166</v>
      </c>
      <c r="G15" s="282" t="s">
        <v>167</v>
      </c>
      <c r="H15" s="277" t="s">
        <v>252</v>
      </c>
      <c r="I15" s="277" t="s">
        <v>253</v>
      </c>
      <c r="J15" s="125"/>
    </row>
    <row r="16" spans="1:10" x14ac:dyDescent="0.55000000000000004">
      <c r="C16" s="124"/>
      <c r="D16" t="str">
        <f>Expenditure!D16</f>
        <v>Employee related costs</v>
      </c>
      <c r="E16" s="31">
        <f ca="1">Expenditure!G16</f>
        <v>20471408</v>
      </c>
      <c r="F16" s="23">
        <v>1</v>
      </c>
      <c r="G16" s="32">
        <f>1-F16</f>
        <v>0</v>
      </c>
      <c r="H16" s="21">
        <f ca="1">E16*F16</f>
        <v>20471408</v>
      </c>
      <c r="I16" s="21">
        <f ca="1">E16*G16</f>
        <v>0</v>
      </c>
      <c r="J16" s="125"/>
    </row>
    <row r="17" spans="3:10" x14ac:dyDescent="0.55000000000000004">
      <c r="C17" s="124"/>
      <c r="D17" t="str">
        <f>Expenditure!D17</f>
        <v>Remuneration of councillors</v>
      </c>
      <c r="E17" s="31">
        <f ca="1">Expenditure!G17</f>
        <v>0</v>
      </c>
      <c r="F17" s="23"/>
      <c r="G17" s="32">
        <f t="shared" ref="G17:G29" si="0">1-F17</f>
        <v>1</v>
      </c>
      <c r="H17" s="21">
        <f t="shared" ref="H17:H29" ca="1" si="1">E17*F17</f>
        <v>0</v>
      </c>
      <c r="I17" s="21">
        <f t="shared" ref="I17:I29" ca="1" si="2">E17*G17</f>
        <v>0</v>
      </c>
      <c r="J17" s="125"/>
    </row>
    <row r="18" spans="3:10" x14ac:dyDescent="0.55000000000000004">
      <c r="C18" s="124"/>
      <c r="D18" t="str">
        <f>Expenditure!D18</f>
        <v>Bulk purchases - electricity</v>
      </c>
      <c r="E18" s="31">
        <f ca="1">Expenditure!G18</f>
        <v>0</v>
      </c>
      <c r="F18" s="23"/>
      <c r="G18" s="32">
        <f t="shared" si="0"/>
        <v>1</v>
      </c>
      <c r="H18" s="21">
        <f t="shared" ca="1" si="1"/>
        <v>0</v>
      </c>
      <c r="I18" s="21">
        <f t="shared" ca="1" si="2"/>
        <v>0</v>
      </c>
      <c r="J18" s="125"/>
    </row>
    <row r="19" spans="3:10" x14ac:dyDescent="0.55000000000000004">
      <c r="C19" s="124"/>
      <c r="D19" t="str">
        <f>Expenditure!D19</f>
        <v>Inventory consumed</v>
      </c>
      <c r="E19" s="31">
        <f ca="1">Expenditure!G19</f>
        <v>1606343</v>
      </c>
      <c r="F19" s="23">
        <v>1</v>
      </c>
      <c r="G19" s="32">
        <f t="shared" si="0"/>
        <v>0</v>
      </c>
      <c r="H19" s="21">
        <f t="shared" ca="1" si="1"/>
        <v>1606343</v>
      </c>
      <c r="I19" s="21">
        <f t="shared" ca="1" si="2"/>
        <v>0</v>
      </c>
      <c r="J19" s="125"/>
    </row>
    <row r="20" spans="3:10" x14ac:dyDescent="0.55000000000000004">
      <c r="C20" s="124"/>
      <c r="D20" t="str">
        <f>Expenditure!D20</f>
        <v>Debt impairment</v>
      </c>
      <c r="E20" s="31">
        <f ca="1">Expenditure!G20</f>
        <v>13338000</v>
      </c>
      <c r="F20" s="23">
        <v>1</v>
      </c>
      <c r="G20" s="32">
        <f t="shared" si="0"/>
        <v>0</v>
      </c>
      <c r="H20" s="21">
        <f t="shared" ca="1" si="1"/>
        <v>13338000</v>
      </c>
      <c r="I20" s="21">
        <f t="shared" ca="1" si="2"/>
        <v>0</v>
      </c>
      <c r="J20" s="125"/>
    </row>
    <row r="21" spans="3:10" x14ac:dyDescent="0.55000000000000004">
      <c r="C21" s="124"/>
      <c r="D21" t="str">
        <f>Expenditure!D21</f>
        <v>Depreciation and amortisation</v>
      </c>
      <c r="E21" s="31">
        <f ca="1">Expenditure!G21</f>
        <v>9307404</v>
      </c>
      <c r="F21" s="23">
        <v>1</v>
      </c>
      <c r="G21" s="32">
        <f t="shared" si="0"/>
        <v>0</v>
      </c>
      <c r="H21" s="21">
        <f t="shared" ca="1" si="1"/>
        <v>9307404</v>
      </c>
      <c r="I21" s="21">
        <f t="shared" ca="1" si="2"/>
        <v>0</v>
      </c>
      <c r="J21" s="125"/>
    </row>
    <row r="22" spans="3:10" x14ac:dyDescent="0.55000000000000004">
      <c r="C22" s="124"/>
      <c r="D22" t="str">
        <f>Expenditure!D22</f>
        <v>Interest</v>
      </c>
      <c r="E22" s="31">
        <f ca="1">Expenditure!G22</f>
        <v>2357463</v>
      </c>
      <c r="F22" s="23"/>
      <c r="G22" s="32">
        <f t="shared" si="0"/>
        <v>1</v>
      </c>
      <c r="H22" s="21">
        <f t="shared" ca="1" si="1"/>
        <v>0</v>
      </c>
      <c r="I22" s="21">
        <f t="shared" ca="1" si="2"/>
        <v>2357463</v>
      </c>
      <c r="J22" s="125"/>
    </row>
    <row r="23" spans="3:10" x14ac:dyDescent="0.55000000000000004">
      <c r="C23" s="124"/>
      <c r="D23" t="str">
        <f>Expenditure!D23</f>
        <v>Contracted services</v>
      </c>
      <c r="E23" s="31">
        <f ca="1">Expenditure!G23</f>
        <v>5607523</v>
      </c>
      <c r="F23" s="23">
        <v>1</v>
      </c>
      <c r="G23" s="32">
        <f t="shared" si="0"/>
        <v>0</v>
      </c>
      <c r="H23" s="21">
        <f t="shared" ca="1" si="1"/>
        <v>5607523</v>
      </c>
      <c r="I23" s="21">
        <f t="shared" ca="1" si="2"/>
        <v>0</v>
      </c>
      <c r="J23" s="125"/>
    </row>
    <row r="24" spans="3:10" x14ac:dyDescent="0.55000000000000004">
      <c r="C24" s="124"/>
      <c r="D24" t="str">
        <f>Expenditure!D24</f>
        <v>Transfers and subsidies</v>
      </c>
      <c r="E24" s="31">
        <f ca="1">Expenditure!G24</f>
        <v>0</v>
      </c>
      <c r="F24" s="23"/>
      <c r="G24" s="32">
        <f t="shared" si="0"/>
        <v>1</v>
      </c>
      <c r="H24" s="21">
        <f t="shared" ca="1" si="1"/>
        <v>0</v>
      </c>
      <c r="I24" s="21">
        <f t="shared" ca="1" si="2"/>
        <v>0</v>
      </c>
      <c r="J24" s="125"/>
    </row>
    <row r="25" spans="3:10" x14ac:dyDescent="0.55000000000000004">
      <c r="C25" s="124"/>
      <c r="D25" t="str">
        <f>Expenditure!D25</f>
        <v>Irrecoverable debts written off</v>
      </c>
      <c r="E25" s="31">
        <f ca="1">Expenditure!G25</f>
        <v>0</v>
      </c>
      <c r="F25" s="23">
        <v>1</v>
      </c>
      <c r="G25" s="32">
        <f t="shared" si="0"/>
        <v>0</v>
      </c>
      <c r="H25" s="21">
        <f t="shared" ca="1" si="1"/>
        <v>0</v>
      </c>
      <c r="I25" s="21">
        <f t="shared" ca="1" si="2"/>
        <v>0</v>
      </c>
      <c r="J25" s="125"/>
    </row>
    <row r="26" spans="3:10" x14ac:dyDescent="0.55000000000000004">
      <c r="C26" s="124"/>
      <c r="D26" t="str">
        <f>Expenditure!D26</f>
        <v>Operational costs</v>
      </c>
      <c r="E26" s="31">
        <f ca="1">Expenditure!G26</f>
        <v>12182363</v>
      </c>
      <c r="F26" s="23">
        <v>1</v>
      </c>
      <c r="G26" s="32">
        <f t="shared" si="0"/>
        <v>0</v>
      </c>
      <c r="H26" s="21">
        <f t="shared" ca="1" si="1"/>
        <v>12182363</v>
      </c>
      <c r="I26" s="21">
        <f t="shared" ca="1" si="2"/>
        <v>0</v>
      </c>
      <c r="J26" s="125"/>
    </row>
    <row r="27" spans="3:10" x14ac:dyDescent="0.55000000000000004">
      <c r="C27" s="124"/>
      <c r="D27">
        <f>Expenditure!D30</f>
        <v>0</v>
      </c>
      <c r="E27" s="31">
        <f>Expenditure!G30</f>
        <v>0</v>
      </c>
      <c r="F27" s="23"/>
      <c r="G27" s="32">
        <f t="shared" si="0"/>
        <v>1</v>
      </c>
      <c r="H27" s="21">
        <f t="shared" si="1"/>
        <v>0</v>
      </c>
      <c r="I27" s="21">
        <f t="shared" si="2"/>
        <v>0</v>
      </c>
      <c r="J27" s="125"/>
    </row>
    <row r="28" spans="3:10" x14ac:dyDescent="0.55000000000000004">
      <c r="C28" s="124"/>
      <c r="D28">
        <f>Expenditure!D31</f>
        <v>0</v>
      </c>
      <c r="E28" s="42">
        <f>Expenditure!G31</f>
        <v>0</v>
      </c>
      <c r="F28" s="23"/>
      <c r="G28" s="32">
        <f t="shared" si="0"/>
        <v>1</v>
      </c>
      <c r="H28" s="21">
        <f t="shared" si="1"/>
        <v>0</v>
      </c>
      <c r="I28" s="21">
        <f t="shared" si="2"/>
        <v>0</v>
      </c>
      <c r="J28" s="125"/>
    </row>
    <row r="29" spans="3:10" x14ac:dyDescent="0.55000000000000004">
      <c r="C29" s="124"/>
      <c r="D29">
        <f>Expenditure!D32</f>
        <v>0</v>
      </c>
      <c r="E29" s="31">
        <f>Expenditure!G32</f>
        <v>0</v>
      </c>
      <c r="F29" s="23"/>
      <c r="G29" s="32">
        <f t="shared" si="0"/>
        <v>1</v>
      </c>
      <c r="H29" s="21">
        <f t="shared" si="1"/>
        <v>0</v>
      </c>
      <c r="I29" s="21">
        <f t="shared" si="2"/>
        <v>0</v>
      </c>
      <c r="J29" s="125"/>
    </row>
    <row r="30" spans="3:10" x14ac:dyDescent="0.55000000000000004">
      <c r="C30" s="124"/>
      <c r="E30" s="178"/>
      <c r="F30" s="9"/>
      <c r="G30" s="9"/>
      <c r="J30" s="125"/>
    </row>
    <row r="31" spans="3:10" x14ac:dyDescent="0.55000000000000004">
      <c r="C31" s="124"/>
      <c r="D31" t="s">
        <v>101</v>
      </c>
      <c r="E31" s="31">
        <f ca="1">Expenditure!G44</f>
        <v>12460751.800000001</v>
      </c>
      <c r="F31" s="23">
        <v>1</v>
      </c>
      <c r="G31" s="32">
        <f>1-F31</f>
        <v>0</v>
      </c>
      <c r="H31" s="21">
        <f ca="1">E31*F31</f>
        <v>12460751.800000001</v>
      </c>
      <c r="I31" s="21">
        <f ca="1">E31*G31</f>
        <v>0</v>
      </c>
      <c r="J31" s="125"/>
    </row>
    <row r="32" spans="3:10" ht="14.7" thickBot="1" x14ac:dyDescent="0.6">
      <c r="C32" s="124"/>
      <c r="D32" s="1" t="s">
        <v>39</v>
      </c>
      <c r="E32" s="33">
        <f ca="1">SUM(H32:I32)</f>
        <v>77331255.799999997</v>
      </c>
      <c r="F32" s="43">
        <f ca="1">H32/E32</f>
        <v>0.96951474567932727</v>
      </c>
      <c r="G32" s="34">
        <f ca="1">I32/E32</f>
        <v>3.0485254320672756E-2</v>
      </c>
      <c r="H32" s="35">
        <f ca="1">SUM(H16:H29,H31)</f>
        <v>74973792.799999997</v>
      </c>
      <c r="I32" s="35">
        <f ca="1">SUM(I16:I29,I31)</f>
        <v>2357463</v>
      </c>
      <c r="J32" s="125"/>
    </row>
    <row r="33" spans="3:12" ht="15" thickTop="1" thickBot="1" x14ac:dyDescent="0.6">
      <c r="C33" s="130"/>
      <c r="D33" s="241"/>
      <c r="E33" s="131"/>
      <c r="F33" s="241"/>
      <c r="G33" s="131"/>
      <c r="H33" s="131"/>
      <c r="I33" s="131"/>
      <c r="J33" s="132"/>
    </row>
    <row r="34" spans="3:12" ht="14.7" thickBot="1" x14ac:dyDescent="0.6">
      <c r="D34" s="1"/>
      <c r="F34" s="1"/>
    </row>
    <row r="35" spans="3:12" x14ac:dyDescent="0.55000000000000004">
      <c r="C35" s="121"/>
      <c r="D35" s="122"/>
      <c r="E35" s="122"/>
      <c r="F35" s="122"/>
      <c r="G35" s="122"/>
      <c r="H35" s="122"/>
      <c r="I35" s="122"/>
      <c r="J35" s="122"/>
      <c r="K35" s="123"/>
    </row>
    <row r="36" spans="3:12" x14ac:dyDescent="0.55000000000000004">
      <c r="C36" s="124"/>
      <c r="D36" s="1432" t="s">
        <v>1648</v>
      </c>
      <c r="E36" s="1433"/>
      <c r="F36" s="1433"/>
      <c r="K36" s="125"/>
    </row>
    <row r="37" spans="3:12" x14ac:dyDescent="0.55000000000000004">
      <c r="C37" s="124"/>
      <c r="D37" s="120" t="s">
        <v>514</v>
      </c>
      <c r="K37" s="125"/>
    </row>
    <row r="38" spans="3:12" x14ac:dyDescent="0.55000000000000004">
      <c r="C38" s="124"/>
      <c r="J38" s="219"/>
      <c r="K38" s="125"/>
    </row>
    <row r="39" spans="3:12" ht="43.5" customHeight="1" x14ac:dyDescent="0.55000000000000004">
      <c r="C39" s="124"/>
      <c r="D39" t="s">
        <v>220</v>
      </c>
      <c r="E39" s="1812" t="s">
        <v>1649</v>
      </c>
      <c r="F39" s="1813"/>
      <c r="G39" s="1418" t="s">
        <v>1641</v>
      </c>
      <c r="H39" s="1419" t="s">
        <v>1639</v>
      </c>
      <c r="I39" s="1422" t="s">
        <v>1640</v>
      </c>
      <c r="J39" s="1424" t="s">
        <v>1643</v>
      </c>
      <c r="K39" s="1421" t="s">
        <v>1642</v>
      </c>
    </row>
    <row r="40" spans="3:12" x14ac:dyDescent="0.55000000000000004">
      <c r="C40" s="124"/>
      <c r="E40" s="1415"/>
      <c r="F40" s="13"/>
      <c r="G40" s="1420">
        <f>+'1 Customer data'!H56</f>
        <v>0</v>
      </c>
      <c r="H40" s="36" t="e">
        <f ca="1">+$E$32*(G40/$G$45)</f>
        <v>#DIV/0!</v>
      </c>
      <c r="I40" s="1423" t="e">
        <f ca="1">+H40/(G40*12)</f>
        <v>#DIV/0!</v>
      </c>
      <c r="J40" s="1415"/>
      <c r="K40" s="1425">
        <f>+G40*12*J40</f>
        <v>0</v>
      </c>
      <c r="L40" s="135"/>
    </row>
    <row r="41" spans="3:12" x14ac:dyDescent="0.55000000000000004">
      <c r="C41" s="124"/>
      <c r="E41" s="13"/>
      <c r="F41" s="13"/>
      <c r="G41" s="1420">
        <f>+'1 Customer data'!H57</f>
        <v>0</v>
      </c>
      <c r="H41" s="36" t="e">
        <f t="shared" ref="H41:H44" ca="1" si="3">+$E$32*(G41/$G$45)</f>
        <v>#DIV/0!</v>
      </c>
      <c r="I41" s="1423" t="e">
        <f t="shared" ref="I41:I44" ca="1" si="4">+H41/(G41*12)</f>
        <v>#DIV/0!</v>
      </c>
      <c r="J41" s="1415"/>
      <c r="K41" s="1425">
        <f t="shared" ref="K41:K44" si="5">+G41*12*J41</f>
        <v>0</v>
      </c>
      <c r="L41" s="135"/>
    </row>
    <row r="42" spans="3:12" x14ac:dyDescent="0.55000000000000004">
      <c r="C42" s="124"/>
      <c r="E42" s="13"/>
      <c r="F42" s="13"/>
      <c r="G42" s="1420">
        <f>+'1 Customer data'!H58</f>
        <v>0</v>
      </c>
      <c r="H42" s="36" t="e">
        <f t="shared" ca="1" si="3"/>
        <v>#DIV/0!</v>
      </c>
      <c r="I42" s="1423" t="e">
        <f t="shared" ca="1" si="4"/>
        <v>#DIV/0!</v>
      </c>
      <c r="J42" s="1415"/>
      <c r="K42" s="1425">
        <f t="shared" si="5"/>
        <v>0</v>
      </c>
      <c r="L42" s="135"/>
    </row>
    <row r="43" spans="3:12" x14ac:dyDescent="0.55000000000000004">
      <c r="C43" s="124"/>
      <c r="E43" s="13"/>
      <c r="F43" s="13"/>
      <c r="G43" s="1420">
        <f>+'1 Customer data'!H59</f>
        <v>0</v>
      </c>
      <c r="H43" s="36" t="e">
        <f t="shared" ca="1" si="3"/>
        <v>#DIV/0!</v>
      </c>
      <c r="I43" s="1423" t="e">
        <f t="shared" ca="1" si="4"/>
        <v>#DIV/0!</v>
      </c>
      <c r="J43" s="1415"/>
      <c r="K43" s="1425">
        <f t="shared" si="5"/>
        <v>0</v>
      </c>
      <c r="L43" s="135"/>
    </row>
    <row r="44" spans="3:12" x14ac:dyDescent="0.55000000000000004">
      <c r="C44" s="124"/>
      <c r="E44" s="13"/>
      <c r="F44" s="1416"/>
      <c r="G44" s="1420">
        <f>+'1 Customer data'!H60</f>
        <v>0</v>
      </c>
      <c r="H44" s="36" t="e">
        <f t="shared" ca="1" si="3"/>
        <v>#DIV/0!</v>
      </c>
      <c r="I44" s="1423" t="e">
        <f t="shared" ca="1" si="4"/>
        <v>#DIV/0!</v>
      </c>
      <c r="J44" s="1415"/>
      <c r="K44" s="1425">
        <f t="shared" si="5"/>
        <v>0</v>
      </c>
      <c r="L44" s="135"/>
    </row>
    <row r="45" spans="3:12" x14ac:dyDescent="0.55000000000000004">
      <c r="C45" s="124"/>
      <c r="E45" t="s">
        <v>1636</v>
      </c>
      <c r="F45" s="135"/>
      <c r="G45" s="135">
        <f>SUM(G40:G44)</f>
        <v>0</v>
      </c>
      <c r="H45" s="36"/>
      <c r="J45" s="63"/>
      <c r="K45" s="1429">
        <f>SUM(K40:K44)</f>
        <v>0</v>
      </c>
    </row>
    <row r="46" spans="3:12" x14ac:dyDescent="0.55000000000000004">
      <c r="C46" s="124"/>
      <c r="D46" t="s">
        <v>736</v>
      </c>
      <c r="F46" s="135"/>
      <c r="G46" s="135"/>
      <c r="H46" s="36"/>
      <c r="J46" s="1426"/>
      <c r="K46" s="1427">
        <f ca="1">+E32</f>
        <v>77331255.799999997</v>
      </c>
    </row>
    <row r="47" spans="3:12" x14ac:dyDescent="0.55000000000000004">
      <c r="C47" s="124"/>
      <c r="D47" t="s">
        <v>1647</v>
      </c>
      <c r="F47" s="135"/>
      <c r="G47" s="135"/>
      <c r="H47" s="36"/>
      <c r="J47" s="1426"/>
      <c r="K47" s="1427">
        <f ca="1">+'PART C- Municipal Details'!H21</f>
        <v>0</v>
      </c>
    </row>
    <row r="48" spans="3:12" x14ac:dyDescent="0.55000000000000004">
      <c r="C48" s="124"/>
      <c r="D48" t="s">
        <v>1646</v>
      </c>
      <c r="F48" s="135"/>
      <c r="G48" s="135"/>
      <c r="H48" s="36"/>
      <c r="J48" s="1426"/>
      <c r="K48" s="1427">
        <f ca="1">SUM(K46:K47)</f>
        <v>77331255.799999997</v>
      </c>
    </row>
    <row r="49" spans="3:11" x14ac:dyDescent="0.55000000000000004">
      <c r="C49" s="124"/>
      <c r="D49" s="10" t="s">
        <v>1638</v>
      </c>
      <c r="H49" s="44">
        <f ca="1">IFERROR(I32/('1 Customer data'!F31*'1 Customer data'!F32),0)</f>
        <v>1.1044290651159712</v>
      </c>
      <c r="J49" s="1426"/>
      <c r="K49" s="1427"/>
    </row>
    <row r="50" spans="3:11" ht="43.2" x14ac:dyDescent="0.55000000000000004">
      <c r="C50" s="124"/>
      <c r="D50" s="138" t="s">
        <v>363</v>
      </c>
      <c r="H50" s="45">
        <f ca="1">IFERROR(E32/('1 Customer data'!F31*'1 Customer data'!F32),0)</f>
        <v>36.228304133485032</v>
      </c>
      <c r="I50" s="135"/>
      <c r="J50" s="190" t="s">
        <v>1644</v>
      </c>
      <c r="K50" s="1428">
        <f ca="1">+K45-K48</f>
        <v>-77331255.799999997</v>
      </c>
    </row>
    <row r="51" spans="3:11" ht="14.7" thickBot="1" x14ac:dyDescent="0.6">
      <c r="C51" s="130"/>
      <c r="D51" s="131"/>
      <c r="E51" s="131"/>
      <c r="F51" s="131"/>
      <c r="G51" s="131"/>
      <c r="H51" s="131"/>
      <c r="I51" s="131"/>
      <c r="J51" s="131"/>
      <c r="K51" s="132"/>
    </row>
  </sheetData>
  <mergeCells count="4">
    <mergeCell ref="E1:E2"/>
    <mergeCell ref="C7:J7"/>
    <mergeCell ref="D11:I13"/>
    <mergeCell ref="E39:F39"/>
  </mergeCells>
  <pageMargins left="0.7" right="0.7" top="0.75" bottom="0.75" header="0.3" footer="0.3"/>
  <drawing r:id="rId1"/>
</worksheet>
</file>

<file path=xl/worksheets/sheet2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3416C95-4B42-4331-A703-D0EA2F914161}">
  <sheetPr codeName="Sheet9">
    <tabColor theme="9"/>
  </sheetPr>
  <dimension ref="A1:L78"/>
  <sheetViews>
    <sheetView showGridLines="0" workbookViewId="0">
      <pane ySplit="4" topLeftCell="A16" activePane="bottomLeft" state="frozen"/>
      <selection activeCell="D11" sqref="D11:G13"/>
      <selection pane="bottomLeft" activeCell="G34" sqref="G34"/>
    </sheetView>
  </sheetViews>
  <sheetFormatPr defaultColWidth="8.7890625" defaultRowHeight="14.4" x14ac:dyDescent="0.55000000000000004"/>
  <cols>
    <col min="1" max="1" width="3.7890625" style="117" customWidth="1"/>
    <col min="2" max="3" width="3.7890625" customWidth="1"/>
    <col min="4" max="4" width="42.41796875" customWidth="1"/>
    <col min="5" max="8" width="17.20703125" customWidth="1"/>
    <col min="9" max="9" width="17.5234375" customWidth="1"/>
    <col min="10" max="10" width="16.7890625" customWidth="1"/>
    <col min="11" max="11" width="15.20703125" customWidth="1"/>
    <col min="12" max="12" width="13.5234375" bestFit="1" customWidth="1"/>
  </cols>
  <sheetData>
    <row r="1" spans="1:12" x14ac:dyDescent="0.55000000000000004">
      <c r="A1"/>
      <c r="E1" s="1807" t="s">
        <v>206</v>
      </c>
    </row>
    <row r="2" spans="1:12" ht="14.55" customHeight="1" x14ac:dyDescent="0.55000000000000004">
      <c r="A2"/>
      <c r="E2" s="1807"/>
    </row>
    <row r="3" spans="1:12" x14ac:dyDescent="0.55000000000000004">
      <c r="A3"/>
    </row>
    <row r="4" spans="1:12" s="116" customFormat="1" ht="14.7" thickBot="1" x14ac:dyDescent="0.6"/>
    <row r="5" spans="1:12" s="117" customFormat="1" x14ac:dyDescent="0.55000000000000004"/>
    <row r="7" spans="1:12" ht="18.3" x14ac:dyDescent="0.7">
      <c r="B7" s="118"/>
      <c r="C7" s="1803" t="s">
        <v>515</v>
      </c>
      <c r="D7" s="1803"/>
      <c r="E7" s="1803"/>
      <c r="F7" s="1803"/>
      <c r="G7" s="1803"/>
      <c r="H7" s="1803"/>
      <c r="I7" s="1803"/>
      <c r="J7" s="1803"/>
      <c r="K7" s="1803"/>
      <c r="L7" s="1803"/>
    </row>
    <row r="8" spans="1:12" ht="15" customHeight="1" x14ac:dyDescent="0.7">
      <c r="B8" s="118"/>
      <c r="C8" s="1803"/>
      <c r="D8" s="1803"/>
      <c r="E8" s="1803"/>
      <c r="F8" s="1803"/>
      <c r="G8" s="1803"/>
      <c r="H8" s="1803"/>
      <c r="I8" s="1803"/>
      <c r="J8" s="1803"/>
      <c r="K8" s="1803"/>
      <c r="L8" s="1803"/>
    </row>
    <row r="9" spans="1:12" ht="9" customHeight="1" thickBot="1" x14ac:dyDescent="0.6">
      <c r="C9" s="276"/>
      <c r="D9" s="276"/>
      <c r="E9" s="276"/>
      <c r="F9" s="276"/>
      <c r="G9" s="276"/>
      <c r="H9" s="276"/>
      <c r="I9" s="276"/>
      <c r="J9" s="276"/>
    </row>
    <row r="10" spans="1:12" x14ac:dyDescent="0.55000000000000004">
      <c r="C10" s="121"/>
      <c r="D10" s="244"/>
      <c r="E10" s="122"/>
      <c r="F10" s="122"/>
      <c r="G10" s="122"/>
      <c r="H10" s="122"/>
      <c r="I10" s="122"/>
      <c r="J10" s="122"/>
      <c r="K10" s="122"/>
      <c r="L10" s="123"/>
    </row>
    <row r="11" spans="1:12" x14ac:dyDescent="0.55000000000000004">
      <c r="C11" s="124"/>
      <c r="D11" s="1" t="s">
        <v>50</v>
      </c>
      <c r="L11" s="125"/>
    </row>
    <row r="12" spans="1:12" ht="14.55" customHeight="1" x14ac:dyDescent="0.55000000000000004">
      <c r="C12" s="124"/>
      <c r="D12" s="1803" t="s">
        <v>516</v>
      </c>
      <c r="E12" s="1803"/>
      <c r="F12" s="1803"/>
      <c r="G12" s="1803"/>
      <c r="H12" s="1803"/>
      <c r="I12" s="1803"/>
      <c r="J12" s="1803"/>
      <c r="K12" s="1803"/>
      <c r="L12" s="125"/>
    </row>
    <row r="13" spans="1:12" ht="18.600000000000001" customHeight="1" x14ac:dyDescent="0.55000000000000004">
      <c r="C13" s="124"/>
      <c r="D13" s="1803"/>
      <c r="E13" s="1803"/>
      <c r="F13" s="1803"/>
      <c r="G13" s="1803"/>
      <c r="H13" s="1803"/>
      <c r="I13" s="1803"/>
      <c r="J13" s="1803"/>
      <c r="K13" s="1803"/>
      <c r="L13" s="125"/>
    </row>
    <row r="14" spans="1:12" x14ac:dyDescent="0.55000000000000004">
      <c r="C14" s="124"/>
      <c r="D14" s="1803"/>
      <c r="E14" s="1803"/>
      <c r="F14" s="1803"/>
      <c r="G14" s="1803"/>
      <c r="H14" s="1803"/>
      <c r="I14" s="1803"/>
      <c r="J14" s="1803"/>
      <c r="K14" s="1803"/>
      <c r="L14" s="125"/>
    </row>
    <row r="15" spans="1:12" x14ac:dyDescent="0.55000000000000004">
      <c r="C15" s="124"/>
      <c r="D15" s="1803"/>
      <c r="E15" s="1803"/>
      <c r="F15" s="1803"/>
      <c r="G15" s="1803"/>
      <c r="H15" s="1803"/>
      <c r="I15" s="1803"/>
      <c r="J15" s="1803"/>
      <c r="K15" s="1803"/>
      <c r="L15" s="125"/>
    </row>
    <row r="16" spans="1:12" ht="15.6" customHeight="1" x14ac:dyDescent="0.55000000000000004">
      <c r="C16" s="124"/>
      <c r="D16" s="1803"/>
      <c r="E16" s="1803"/>
      <c r="F16" s="1803"/>
      <c r="G16" s="1803"/>
      <c r="H16" s="1803"/>
      <c r="I16" s="1803"/>
      <c r="J16" s="1803"/>
      <c r="K16" s="1803"/>
      <c r="L16" s="125"/>
    </row>
    <row r="17" spans="3:12" x14ac:dyDescent="0.55000000000000004">
      <c r="C17" s="124"/>
      <c r="L17" s="125"/>
    </row>
    <row r="18" spans="3:12" ht="28.8" x14ac:dyDescent="0.55000000000000004">
      <c r="C18" s="124"/>
      <c r="D18" s="62" t="s">
        <v>51</v>
      </c>
      <c r="E18" s="277" t="s">
        <v>261</v>
      </c>
      <c r="F18" s="277" t="s">
        <v>517</v>
      </c>
      <c r="G18" s="277" t="s">
        <v>518</v>
      </c>
      <c r="H18" s="277" t="s">
        <v>519</v>
      </c>
      <c r="I18" s="277" t="s">
        <v>262</v>
      </c>
      <c r="J18" s="277" t="s">
        <v>263</v>
      </c>
      <c r="K18" s="277" t="s">
        <v>264</v>
      </c>
      <c r="L18" s="125"/>
    </row>
    <row r="19" spans="3:12" x14ac:dyDescent="0.55000000000000004">
      <c r="C19" s="124"/>
      <c r="D19" t="str">
        <f>Expenditure!D16</f>
        <v>Employee related costs</v>
      </c>
      <c r="E19" s="31">
        <f ca="1">Expenditure!H16</f>
        <v>10857592</v>
      </c>
      <c r="F19" s="23">
        <v>1</v>
      </c>
      <c r="G19" s="47"/>
      <c r="H19" s="48">
        <f>1-SUM(F19:G19)</f>
        <v>0</v>
      </c>
      <c r="I19" s="21">
        <f ca="1">$E19*F19</f>
        <v>10857592</v>
      </c>
      <c r="J19" s="21">
        <f ca="1">$E19*G19</f>
        <v>0</v>
      </c>
      <c r="K19" s="21">
        <f ca="1">$E19*MAX(H19,0)</f>
        <v>0</v>
      </c>
      <c r="L19" s="125"/>
    </row>
    <row r="20" spans="3:12" x14ac:dyDescent="0.55000000000000004">
      <c r="C20" s="124"/>
      <c r="D20" t="str">
        <f>Expenditure!D17</f>
        <v>Remuneration of councillors</v>
      </c>
      <c r="E20" s="31">
        <f ca="1">Expenditure!H17</f>
        <v>0</v>
      </c>
      <c r="F20" s="23">
        <v>1</v>
      </c>
      <c r="G20" s="47"/>
      <c r="H20" s="48">
        <f t="shared" ref="H20:H34" si="0">1-SUM(F20:G20)</f>
        <v>0</v>
      </c>
      <c r="I20" s="21">
        <f t="shared" ref="I20:I32" ca="1" si="1">$E20*F20</f>
        <v>0</v>
      </c>
      <c r="J20" s="21">
        <f t="shared" ref="J20:J32" ca="1" si="2">$E20*G20</f>
        <v>0</v>
      </c>
      <c r="K20" s="21">
        <f t="shared" ref="K20:K34" ca="1" si="3">$E20*MAX(H20,0)</f>
        <v>0</v>
      </c>
      <c r="L20" s="125"/>
    </row>
    <row r="21" spans="3:12" x14ac:dyDescent="0.55000000000000004">
      <c r="C21" s="124"/>
      <c r="D21" t="str">
        <f>Expenditure!D18</f>
        <v>Bulk purchases - electricity</v>
      </c>
      <c r="E21" s="31">
        <f ca="1">Expenditure!H18</f>
        <v>152140082</v>
      </c>
      <c r="F21" s="23"/>
      <c r="G21" s="47">
        <v>1</v>
      </c>
      <c r="H21" s="48">
        <f t="shared" si="0"/>
        <v>0</v>
      </c>
      <c r="I21" s="21">
        <f t="shared" ca="1" si="1"/>
        <v>0</v>
      </c>
      <c r="J21" s="21">
        <f t="shared" ca="1" si="2"/>
        <v>152140082</v>
      </c>
      <c r="K21" s="21">
        <f t="shared" ca="1" si="3"/>
        <v>0</v>
      </c>
      <c r="L21" s="125"/>
    </row>
    <row r="22" spans="3:12" x14ac:dyDescent="0.55000000000000004">
      <c r="C22" s="124"/>
      <c r="D22" t="str">
        <f>Expenditure!D19</f>
        <v>Inventory consumed</v>
      </c>
      <c r="E22" s="31">
        <f ca="1">Expenditure!H19</f>
        <v>1423290</v>
      </c>
      <c r="F22" s="23">
        <v>1</v>
      </c>
      <c r="G22" s="47"/>
      <c r="H22" s="48">
        <f t="shared" si="0"/>
        <v>0</v>
      </c>
      <c r="I22" s="21">
        <f t="shared" ca="1" si="1"/>
        <v>1423290</v>
      </c>
      <c r="J22" s="21">
        <f t="shared" ca="1" si="2"/>
        <v>0</v>
      </c>
      <c r="K22" s="21">
        <f t="shared" ca="1" si="3"/>
        <v>0</v>
      </c>
      <c r="L22" s="125"/>
    </row>
    <row r="23" spans="3:12" x14ac:dyDescent="0.55000000000000004">
      <c r="C23" s="124"/>
      <c r="D23" t="str">
        <f>Expenditure!D20</f>
        <v>Debt impairment</v>
      </c>
      <c r="E23" s="31">
        <f ca="1">Expenditure!H20</f>
        <v>1808000</v>
      </c>
      <c r="F23" s="23">
        <v>1</v>
      </c>
      <c r="G23" s="47"/>
      <c r="H23" s="48">
        <f t="shared" si="0"/>
        <v>0</v>
      </c>
      <c r="I23" s="21">
        <f t="shared" ca="1" si="1"/>
        <v>1808000</v>
      </c>
      <c r="J23" s="21">
        <f t="shared" ca="1" si="2"/>
        <v>0</v>
      </c>
      <c r="K23" s="21">
        <f t="shared" ca="1" si="3"/>
        <v>0</v>
      </c>
      <c r="L23" s="125"/>
    </row>
    <row r="24" spans="3:12" x14ac:dyDescent="0.55000000000000004">
      <c r="C24" s="124"/>
      <c r="D24" t="str">
        <f>Expenditure!D21</f>
        <v>Depreciation and amortisation</v>
      </c>
      <c r="E24" s="31">
        <f ca="1">Expenditure!H21</f>
        <v>3703046</v>
      </c>
      <c r="F24" s="23">
        <v>1</v>
      </c>
      <c r="G24" s="47"/>
      <c r="H24" s="48">
        <f t="shared" si="0"/>
        <v>0</v>
      </c>
      <c r="I24" s="21">
        <f t="shared" ca="1" si="1"/>
        <v>3703046</v>
      </c>
      <c r="J24" s="21">
        <f t="shared" ca="1" si="2"/>
        <v>0</v>
      </c>
      <c r="K24" s="21">
        <f t="shared" ca="1" si="3"/>
        <v>0</v>
      </c>
      <c r="L24" s="125"/>
    </row>
    <row r="25" spans="3:12" x14ac:dyDescent="0.55000000000000004">
      <c r="C25" s="124"/>
      <c r="D25" t="str">
        <f>Expenditure!D22</f>
        <v>Interest</v>
      </c>
      <c r="E25" s="31">
        <f ca="1">Expenditure!H22</f>
        <v>15519187</v>
      </c>
      <c r="F25" s="23">
        <v>1</v>
      </c>
      <c r="G25" s="47"/>
      <c r="H25" s="48">
        <f t="shared" si="0"/>
        <v>0</v>
      </c>
      <c r="I25" s="21">
        <f t="shared" ca="1" si="1"/>
        <v>15519187</v>
      </c>
      <c r="J25" s="21">
        <f t="shared" ca="1" si="2"/>
        <v>0</v>
      </c>
      <c r="K25" s="21">
        <f t="shared" ca="1" si="3"/>
        <v>0</v>
      </c>
      <c r="L25" s="125"/>
    </row>
    <row r="26" spans="3:12" x14ac:dyDescent="0.55000000000000004">
      <c r="C26" s="124"/>
      <c r="D26" t="str">
        <f>Expenditure!D23</f>
        <v>Contracted services</v>
      </c>
      <c r="E26" s="31">
        <f ca="1">Expenditure!H23</f>
        <v>3170548</v>
      </c>
      <c r="F26" s="23">
        <v>1</v>
      </c>
      <c r="G26" s="47"/>
      <c r="H26" s="48">
        <f t="shared" si="0"/>
        <v>0</v>
      </c>
      <c r="I26" s="21">
        <f t="shared" ca="1" si="1"/>
        <v>3170548</v>
      </c>
      <c r="J26" s="21">
        <f t="shared" ca="1" si="2"/>
        <v>0</v>
      </c>
      <c r="K26" s="21">
        <f t="shared" ca="1" si="3"/>
        <v>0</v>
      </c>
      <c r="L26" s="125"/>
    </row>
    <row r="27" spans="3:12" x14ac:dyDescent="0.55000000000000004">
      <c r="C27" s="124"/>
      <c r="D27" t="str">
        <f>Expenditure!D24</f>
        <v>Transfers and subsidies</v>
      </c>
      <c r="E27" s="31">
        <f ca="1">Expenditure!H24</f>
        <v>0</v>
      </c>
      <c r="F27" s="23">
        <v>1</v>
      </c>
      <c r="G27" s="47"/>
      <c r="H27" s="48">
        <f t="shared" si="0"/>
        <v>0</v>
      </c>
      <c r="I27" s="21">
        <f t="shared" ca="1" si="1"/>
        <v>0</v>
      </c>
      <c r="J27" s="21">
        <f t="shared" ca="1" si="2"/>
        <v>0</v>
      </c>
      <c r="K27" s="21">
        <f t="shared" ca="1" si="3"/>
        <v>0</v>
      </c>
      <c r="L27" s="125"/>
    </row>
    <row r="28" spans="3:12" x14ac:dyDescent="0.55000000000000004">
      <c r="C28" s="124"/>
      <c r="D28" t="str">
        <f>Expenditure!D25</f>
        <v>Irrecoverable debts written off</v>
      </c>
      <c r="E28" s="31">
        <f ca="1">Expenditure!H25</f>
        <v>14000</v>
      </c>
      <c r="F28" s="23">
        <v>1</v>
      </c>
      <c r="G28" s="47"/>
      <c r="H28" s="48">
        <f t="shared" si="0"/>
        <v>0</v>
      </c>
      <c r="I28" s="21">
        <f t="shared" ca="1" si="1"/>
        <v>14000</v>
      </c>
      <c r="J28" s="21">
        <f t="shared" ca="1" si="2"/>
        <v>0</v>
      </c>
      <c r="K28" s="21">
        <f t="shared" ca="1" si="3"/>
        <v>0</v>
      </c>
      <c r="L28" s="125"/>
    </row>
    <row r="29" spans="3:12" x14ac:dyDescent="0.55000000000000004">
      <c r="C29" s="124"/>
      <c r="D29" t="str">
        <f>Expenditure!D26</f>
        <v>Operational costs</v>
      </c>
      <c r="E29" s="31">
        <f ca="1">Expenditure!H26</f>
        <v>10119097</v>
      </c>
      <c r="F29" s="23">
        <v>1</v>
      </c>
      <c r="G29" s="47"/>
      <c r="H29" s="48">
        <f t="shared" si="0"/>
        <v>0</v>
      </c>
      <c r="I29" s="21">
        <f t="shared" ca="1" si="1"/>
        <v>10119097</v>
      </c>
      <c r="J29" s="21">
        <f t="shared" ca="1" si="2"/>
        <v>0</v>
      </c>
      <c r="K29" s="21">
        <f t="shared" ca="1" si="3"/>
        <v>0</v>
      </c>
      <c r="L29" s="125"/>
    </row>
    <row r="30" spans="3:12" x14ac:dyDescent="0.55000000000000004">
      <c r="C30" s="124"/>
      <c r="D30">
        <f>Expenditure!D30</f>
        <v>0</v>
      </c>
      <c r="E30" s="31">
        <f>Expenditure!H30</f>
        <v>0</v>
      </c>
      <c r="F30" s="23"/>
      <c r="G30" s="47"/>
      <c r="H30" s="48">
        <f t="shared" si="0"/>
        <v>1</v>
      </c>
      <c r="I30" s="21">
        <f t="shared" si="1"/>
        <v>0</v>
      </c>
      <c r="J30" s="21">
        <f t="shared" si="2"/>
        <v>0</v>
      </c>
      <c r="K30" s="21">
        <f t="shared" si="3"/>
        <v>0</v>
      </c>
      <c r="L30" s="125"/>
    </row>
    <row r="31" spans="3:12" x14ac:dyDescent="0.55000000000000004">
      <c r="C31" s="124"/>
      <c r="D31">
        <f>Expenditure!D31</f>
        <v>0</v>
      </c>
      <c r="E31" s="31">
        <f>Expenditure!H31</f>
        <v>0</v>
      </c>
      <c r="F31" s="23"/>
      <c r="G31" s="47"/>
      <c r="H31" s="48">
        <f t="shared" si="0"/>
        <v>1</v>
      </c>
      <c r="I31" s="21">
        <f t="shared" si="1"/>
        <v>0</v>
      </c>
      <c r="J31" s="21">
        <f t="shared" si="2"/>
        <v>0</v>
      </c>
      <c r="K31" s="21">
        <f t="shared" si="3"/>
        <v>0</v>
      </c>
      <c r="L31" s="125"/>
    </row>
    <row r="32" spans="3:12" x14ac:dyDescent="0.55000000000000004">
      <c r="C32" s="124"/>
      <c r="D32">
        <f>Expenditure!D32</f>
        <v>0</v>
      </c>
      <c r="E32" s="31">
        <f>Expenditure!H32</f>
        <v>0</v>
      </c>
      <c r="F32" s="23"/>
      <c r="G32" s="47"/>
      <c r="H32" s="48">
        <f t="shared" si="0"/>
        <v>1</v>
      </c>
      <c r="I32" s="21">
        <f t="shared" si="1"/>
        <v>0</v>
      </c>
      <c r="J32" s="21">
        <f t="shared" si="2"/>
        <v>0</v>
      </c>
      <c r="K32" s="21">
        <f t="shared" si="3"/>
        <v>0</v>
      </c>
      <c r="L32" s="125"/>
    </row>
    <row r="33" spans="3:12" x14ac:dyDescent="0.55000000000000004">
      <c r="C33" s="124"/>
      <c r="E33" s="178"/>
      <c r="F33" s="278"/>
      <c r="G33" s="279"/>
      <c r="H33" s="278"/>
      <c r="I33" s="135"/>
      <c r="J33" s="135"/>
      <c r="K33" s="135"/>
      <c r="L33" s="125"/>
    </row>
    <row r="34" spans="3:12" x14ac:dyDescent="0.55000000000000004">
      <c r="C34" s="124"/>
      <c r="D34" t="s">
        <v>35</v>
      </c>
      <c r="E34" s="31">
        <f ca="1">Expenditure!H44</f>
        <v>12460751.800000001</v>
      </c>
      <c r="F34" s="23">
        <v>1</v>
      </c>
      <c r="G34" s="47"/>
      <c r="H34" s="48">
        <f t="shared" si="0"/>
        <v>0</v>
      </c>
      <c r="I34" s="21">
        <f ca="1">$E34*F34</f>
        <v>12460751.800000001</v>
      </c>
      <c r="J34" s="21">
        <f ca="1">$E34*G34</f>
        <v>0</v>
      </c>
      <c r="K34" s="21">
        <f t="shared" ca="1" si="3"/>
        <v>0</v>
      </c>
      <c r="L34" s="125"/>
    </row>
    <row r="35" spans="3:12" ht="14.7" thickBot="1" x14ac:dyDescent="0.6">
      <c r="C35" s="124"/>
      <c r="D35" s="1" t="s">
        <v>140</v>
      </c>
      <c r="E35" s="38">
        <f ca="1">SUM(I35:K35)</f>
        <v>211215593.80000001</v>
      </c>
      <c r="F35" s="43">
        <f ca="1">I35/$E$35</f>
        <v>0.27969294661045996</v>
      </c>
      <c r="G35" s="43">
        <f ca="1">J35/$E$35</f>
        <v>0.72030705338954004</v>
      </c>
      <c r="H35" s="43">
        <f ca="1">K35/$E$35</f>
        <v>0</v>
      </c>
      <c r="I35" s="17">
        <f ca="1">SUM(I19:I32,I34)</f>
        <v>59075511.799999997</v>
      </c>
      <c r="J35" s="17">
        <f ca="1">SUM(J19:J32,J34)</f>
        <v>152140082</v>
      </c>
      <c r="K35" s="17">
        <f ca="1">SUM(K19:K32,K34)</f>
        <v>0</v>
      </c>
      <c r="L35" s="125"/>
    </row>
    <row r="36" spans="3:12" ht="15" thickTop="1" thickBot="1" x14ac:dyDescent="0.6">
      <c r="C36" s="130"/>
      <c r="D36" s="241"/>
      <c r="E36" s="131"/>
      <c r="F36" s="241"/>
      <c r="G36" s="241"/>
      <c r="H36" s="241"/>
      <c r="I36" s="131"/>
      <c r="J36" s="131"/>
      <c r="K36" s="131"/>
      <c r="L36" s="132"/>
    </row>
    <row r="37" spans="3:12" ht="14.7" thickBot="1" x14ac:dyDescent="0.6">
      <c r="D37" s="1"/>
      <c r="F37" s="1"/>
      <c r="G37" s="1"/>
      <c r="H37" s="1"/>
    </row>
    <row r="38" spans="3:12" x14ac:dyDescent="0.55000000000000004">
      <c r="C38" s="121"/>
      <c r="D38" s="244"/>
      <c r="E38" s="122"/>
      <c r="F38" s="244"/>
      <c r="G38" s="244"/>
      <c r="H38" s="244"/>
      <c r="I38" s="122"/>
      <c r="J38" s="122"/>
      <c r="K38" s="122"/>
      <c r="L38" s="123"/>
    </row>
    <row r="39" spans="3:12" x14ac:dyDescent="0.55000000000000004">
      <c r="C39" s="124"/>
      <c r="D39" s="1" t="s">
        <v>43</v>
      </c>
      <c r="F39" s="1"/>
      <c r="G39" s="1"/>
      <c r="H39" s="1"/>
      <c r="L39" s="125"/>
    </row>
    <row r="40" spans="3:12" x14ac:dyDescent="0.55000000000000004">
      <c r="C40" s="124"/>
      <c r="D40" s="120" t="s">
        <v>260</v>
      </c>
      <c r="F40" s="1"/>
      <c r="G40" s="1"/>
      <c r="H40" s="1"/>
      <c r="L40" s="125"/>
    </row>
    <row r="41" spans="3:12" x14ac:dyDescent="0.55000000000000004">
      <c r="C41" s="124"/>
      <c r="D41" s="120"/>
      <c r="F41" s="1"/>
      <c r="G41" s="1"/>
      <c r="H41" s="1"/>
      <c r="L41" s="125"/>
    </row>
    <row r="42" spans="3:12" x14ac:dyDescent="0.55000000000000004">
      <c r="C42" s="124"/>
      <c r="D42" t="s">
        <v>257</v>
      </c>
      <c r="E42" s="36">
        <f ca="1">IFERROR(I35/'1 Customer data'!F88/12,"")</f>
        <v>557.33718064832635</v>
      </c>
      <c r="F42" s="1"/>
      <c r="G42" s="1"/>
      <c r="H42" s="1"/>
      <c r="L42" s="125"/>
    </row>
    <row r="43" spans="3:12" x14ac:dyDescent="0.55000000000000004">
      <c r="C43" s="124"/>
      <c r="D43" s="280" t="s">
        <v>255</v>
      </c>
      <c r="E43" s="36">
        <f ca="1">IFERROR(J35/'1 Customer data'!F89,"")</f>
        <v>2.9819428113304203</v>
      </c>
      <c r="F43" s="1"/>
      <c r="G43" s="1"/>
      <c r="H43" s="1"/>
      <c r="L43" s="125"/>
    </row>
    <row r="44" spans="3:12" x14ac:dyDescent="0.55000000000000004">
      <c r="C44" s="124"/>
      <c r="D44" s="280" t="s">
        <v>258</v>
      </c>
      <c r="E44" s="36">
        <f ca="1">IFERROR(K35/'1 Customer data'!F90,"")</f>
        <v>0</v>
      </c>
      <c r="F44" s="1"/>
      <c r="G44" s="1"/>
      <c r="H44" s="1"/>
      <c r="L44" s="125"/>
    </row>
    <row r="45" spans="3:12" ht="14.7" thickBot="1" x14ac:dyDescent="0.6">
      <c r="C45" s="124"/>
      <c r="D45" s="281" t="s">
        <v>256</v>
      </c>
      <c r="E45" s="49">
        <f ca="1">IFERROR(SUM(I35,J35,K35)/'1 Customer data'!F89,"")</f>
        <v>4.139821756983121</v>
      </c>
      <c r="F45" s="1"/>
      <c r="G45" s="1"/>
      <c r="H45" s="1"/>
      <c r="L45" s="125"/>
    </row>
    <row r="46" spans="3:12" ht="15" thickTop="1" thickBot="1" x14ac:dyDescent="0.6">
      <c r="C46" s="130"/>
      <c r="D46" s="241"/>
      <c r="E46" s="131"/>
      <c r="F46" s="241"/>
      <c r="G46" s="241"/>
      <c r="H46" s="241"/>
      <c r="I46" s="131"/>
      <c r="J46" s="131"/>
      <c r="K46" s="131"/>
      <c r="L46" s="132"/>
    </row>
    <row r="47" spans="3:12" ht="14.7" thickBot="1" x14ac:dyDescent="0.6">
      <c r="D47" s="1"/>
      <c r="F47" s="1"/>
      <c r="G47" s="1"/>
      <c r="H47" s="1"/>
    </row>
    <row r="48" spans="3:12" x14ac:dyDescent="0.55000000000000004">
      <c r="C48" s="121"/>
      <c r="D48" s="122"/>
      <c r="E48" s="122"/>
      <c r="F48" s="122"/>
      <c r="G48" s="122"/>
      <c r="H48" s="122"/>
      <c r="I48" s="122"/>
      <c r="J48" s="122"/>
      <c r="K48" s="122"/>
      <c r="L48" s="123"/>
    </row>
    <row r="49" spans="3:12" x14ac:dyDescent="0.55000000000000004">
      <c r="C49" s="124"/>
      <c r="D49" s="1" t="s">
        <v>53</v>
      </c>
      <c r="L49" s="125"/>
    </row>
    <row r="50" spans="3:12" x14ac:dyDescent="0.55000000000000004">
      <c r="C50" s="124"/>
      <c r="D50" s="1804" t="s">
        <v>226</v>
      </c>
      <c r="E50" s="1804"/>
      <c r="F50" s="1804"/>
      <c r="G50" s="1804"/>
      <c r="H50" s="1804"/>
      <c r="I50" s="1804"/>
      <c r="L50" s="125"/>
    </row>
    <row r="51" spans="3:12" x14ac:dyDescent="0.55000000000000004">
      <c r="C51" s="124"/>
      <c r="D51" s="1804"/>
      <c r="E51" s="1804"/>
      <c r="F51" s="1804"/>
      <c r="G51" s="1804"/>
      <c r="H51" s="1804"/>
      <c r="I51" s="1804"/>
      <c r="L51" s="125"/>
    </row>
    <row r="52" spans="3:12" x14ac:dyDescent="0.55000000000000004">
      <c r="C52" s="124"/>
      <c r="E52" s="220" t="s">
        <v>241</v>
      </c>
      <c r="L52" s="125"/>
    </row>
    <row r="53" spans="3:12" x14ac:dyDescent="0.55000000000000004">
      <c r="C53" s="124"/>
      <c r="D53" t="s">
        <v>36</v>
      </c>
      <c r="E53" s="26">
        <f ca="1">I35+J35+K35</f>
        <v>211215593.80000001</v>
      </c>
      <c r="G53" s="134"/>
      <c r="H53" s="134"/>
      <c r="L53" s="125"/>
    </row>
    <row r="54" spans="3:12" x14ac:dyDescent="0.55000000000000004">
      <c r="C54" s="124"/>
      <c r="D54" t="s">
        <v>217</v>
      </c>
      <c r="E54" s="26">
        <f ca="1">Surplus!H64</f>
        <v>0</v>
      </c>
      <c r="G54" s="134"/>
      <c r="H54" s="134"/>
      <c r="L54" s="125"/>
    </row>
    <row r="55" spans="3:12" x14ac:dyDescent="0.55000000000000004">
      <c r="C55" s="124"/>
      <c r="D55" t="s">
        <v>160</v>
      </c>
      <c r="E55" s="26">
        <f ca="1">Surplus!H65</f>
        <v>0</v>
      </c>
      <c r="G55" s="134"/>
      <c r="H55" s="134"/>
      <c r="L55" s="125"/>
    </row>
    <row r="56" spans="3:12" ht="14.7" thickBot="1" x14ac:dyDescent="0.6">
      <c r="C56" s="124"/>
      <c r="D56" s="1" t="s">
        <v>214</v>
      </c>
      <c r="E56" s="37">
        <f ca="1">E53-E54+E55</f>
        <v>211215593.80000001</v>
      </c>
      <c r="G56" s="134"/>
      <c r="H56" s="134"/>
      <c r="L56" s="125"/>
    </row>
    <row r="57" spans="3:12" ht="14.7" thickTop="1" x14ac:dyDescent="0.55000000000000004">
      <c r="C57" s="124"/>
      <c r="D57" s="1"/>
      <c r="E57" s="134"/>
      <c r="G57" s="134"/>
      <c r="H57" s="134"/>
      <c r="L57" s="125"/>
    </row>
    <row r="58" spans="3:12" x14ac:dyDescent="0.55000000000000004">
      <c r="C58" s="124"/>
      <c r="D58" t="s">
        <v>150</v>
      </c>
      <c r="E58" s="26">
        <f ca="1">'Revenue required'!H20</f>
        <v>14719848</v>
      </c>
      <c r="G58" s="134"/>
      <c r="H58" s="134"/>
      <c r="L58" s="125"/>
    </row>
    <row r="59" spans="3:12" x14ac:dyDescent="0.55000000000000004">
      <c r="C59" s="124"/>
      <c r="D59" t="s">
        <v>151</v>
      </c>
      <c r="E59" s="26">
        <f ca="1">'Revenue required'!H21</f>
        <v>0</v>
      </c>
      <c r="G59" s="187"/>
      <c r="H59" s="187"/>
      <c r="L59" s="125"/>
    </row>
    <row r="60" spans="3:12" x14ac:dyDescent="0.55000000000000004">
      <c r="C60" s="124"/>
      <c r="D60" t="s">
        <v>165</v>
      </c>
      <c r="E60" s="26">
        <f ca="1">'Revenue required'!H22</f>
        <v>19790304.550000001</v>
      </c>
      <c r="G60" s="134"/>
      <c r="H60" s="134"/>
      <c r="L60" s="125"/>
    </row>
    <row r="61" spans="3:12" x14ac:dyDescent="0.55000000000000004">
      <c r="C61" s="124"/>
      <c r="D61" t="s">
        <v>152</v>
      </c>
      <c r="E61" s="26">
        <f>'Revenue required'!H23</f>
        <v>0</v>
      </c>
      <c r="G61" s="134"/>
      <c r="H61" s="134"/>
      <c r="L61" s="125"/>
    </row>
    <row r="62" spans="3:12" ht="14.7" thickBot="1" x14ac:dyDescent="0.6">
      <c r="C62" s="124"/>
      <c r="D62" s="1" t="s">
        <v>153</v>
      </c>
      <c r="E62" s="38">
        <f ca="1">SUM(E58:E61)</f>
        <v>34510152.549999997</v>
      </c>
      <c r="G62" s="17"/>
      <c r="H62" s="17"/>
      <c r="L62" s="125"/>
    </row>
    <row r="63" spans="3:12" ht="14.7" thickTop="1" x14ac:dyDescent="0.55000000000000004">
      <c r="C63" s="124"/>
      <c r="D63" s="1"/>
      <c r="L63" s="125"/>
    </row>
    <row r="64" spans="3:12" x14ac:dyDescent="0.55000000000000004">
      <c r="C64" s="124"/>
      <c r="D64" t="s">
        <v>45</v>
      </c>
      <c r="E64" s="21">
        <f ca="1">E56-E62</f>
        <v>176705441.25</v>
      </c>
      <c r="G64" s="135"/>
      <c r="H64" s="135"/>
      <c r="L64" s="125"/>
    </row>
    <row r="65" spans="3:12" ht="14.7" thickBot="1" x14ac:dyDescent="0.6">
      <c r="C65" s="124"/>
      <c r="D65" s="1" t="s">
        <v>259</v>
      </c>
      <c r="E65" s="39">
        <f ca="1">E64/'1 Customer data'!F89</f>
        <v>3.4634234011942189</v>
      </c>
      <c r="G65" s="19"/>
      <c r="H65" s="19"/>
      <c r="L65" s="125"/>
    </row>
    <row r="66" spans="3:12" ht="15" thickTop="1" thickBot="1" x14ac:dyDescent="0.6">
      <c r="C66" s="130"/>
      <c r="D66" s="131"/>
      <c r="E66" s="131"/>
      <c r="F66" s="131"/>
      <c r="G66" s="131"/>
      <c r="H66" s="131"/>
      <c r="I66" s="131"/>
      <c r="J66" s="131"/>
      <c r="K66" s="131"/>
      <c r="L66" s="132"/>
    </row>
    <row r="67" spans="3:12" ht="14.7" thickBot="1" x14ac:dyDescent="0.6"/>
    <row r="68" spans="3:12" x14ac:dyDescent="0.55000000000000004">
      <c r="C68" s="121"/>
      <c r="D68" s="122"/>
      <c r="E68" s="122"/>
      <c r="F68" s="122"/>
      <c r="G68" s="122"/>
      <c r="H68" s="122"/>
      <c r="I68" s="122"/>
      <c r="J68" s="122"/>
      <c r="K68" s="122"/>
      <c r="L68" s="123"/>
    </row>
    <row r="69" spans="3:12" x14ac:dyDescent="0.55000000000000004">
      <c r="C69" s="124"/>
      <c r="D69" s="1" t="s">
        <v>266</v>
      </c>
      <c r="L69" s="125"/>
    </row>
    <row r="70" spans="3:12" x14ac:dyDescent="0.55000000000000004">
      <c r="C70" s="124"/>
      <c r="L70" s="125"/>
    </row>
    <row r="71" spans="3:12" x14ac:dyDescent="0.55000000000000004">
      <c r="C71" s="124"/>
      <c r="D71" t="str">
        <f t="shared" ref="D71:E73" si="4">D42</f>
        <v>Customer cost (R per customer per month)</v>
      </c>
      <c r="E71" s="40">
        <f t="shared" ca="1" si="4"/>
        <v>557.33718064832635</v>
      </c>
      <c r="L71" s="125"/>
    </row>
    <row r="72" spans="3:12" x14ac:dyDescent="0.55000000000000004">
      <c r="C72" s="124"/>
      <c r="D72" t="str">
        <f t="shared" si="4"/>
        <v>Energy costs (R per kWh sold)</v>
      </c>
      <c r="E72" s="40">
        <f t="shared" ca="1" si="4"/>
        <v>2.9819428113304203</v>
      </c>
      <c r="L72" s="125"/>
    </row>
    <row r="73" spans="3:12" x14ac:dyDescent="0.55000000000000004">
      <c r="C73" s="124"/>
      <c r="D73" t="str">
        <f t="shared" si="4"/>
        <v>Demand cost (R per kVA)</v>
      </c>
      <c r="E73" s="40">
        <f t="shared" ca="1" si="4"/>
        <v>0</v>
      </c>
      <c r="L73" s="125"/>
    </row>
    <row r="74" spans="3:12" x14ac:dyDescent="0.55000000000000004">
      <c r="C74" s="124"/>
      <c r="L74" s="125"/>
    </row>
    <row r="75" spans="3:12" x14ac:dyDescent="0.55000000000000004">
      <c r="C75" s="124"/>
      <c r="D75" t="str">
        <f>D45</f>
        <v>Total cost (R per kWh sold)</v>
      </c>
      <c r="E75" s="40">
        <f ca="1">E45</f>
        <v>4.139821756983121</v>
      </c>
      <c r="L75" s="125"/>
    </row>
    <row r="76" spans="3:12" x14ac:dyDescent="0.55000000000000004">
      <c r="C76" s="124"/>
      <c r="D76" t="str">
        <f>D65</f>
        <v>Average unit revenue required (R per kWh sold)</v>
      </c>
      <c r="E76" s="40">
        <f ca="1">E65</f>
        <v>3.4634234011942189</v>
      </c>
      <c r="L76" s="125"/>
    </row>
    <row r="77" spans="3:12" x14ac:dyDescent="0.55000000000000004">
      <c r="C77" s="124"/>
      <c r="D77" t="s">
        <v>228</v>
      </c>
      <c r="E77" s="41">
        <f ca="1">E76/E75</f>
        <v>0.8366117201427955</v>
      </c>
      <c r="L77" s="125"/>
    </row>
    <row r="78" spans="3:12" ht="14.7" thickBot="1" x14ac:dyDescent="0.6">
      <c r="C78" s="130"/>
      <c r="D78" s="131"/>
      <c r="E78" s="131"/>
      <c r="F78" s="131"/>
      <c r="G78" s="131"/>
      <c r="H78" s="131"/>
      <c r="I78" s="131"/>
      <c r="J78" s="131"/>
      <c r="K78" s="131"/>
      <c r="L78" s="132"/>
    </row>
  </sheetData>
  <sheetProtection sheet="1" objects="1" scenarios="1"/>
  <mergeCells count="4">
    <mergeCell ref="C7:L8"/>
    <mergeCell ref="E1:E2"/>
    <mergeCell ref="D12:K16"/>
    <mergeCell ref="D50:I51"/>
  </mergeCells>
  <conditionalFormatting sqref="H19:H32 H34">
    <cfRule type="cellIs" dxfId="1" priority="1" operator="lessThan">
      <formula>0</formula>
    </cfRule>
  </conditionalFormatting>
  <pageMargins left="0.7" right="0.7" top="0.75" bottom="0.75" header="0.3" footer="0.3"/>
  <pageSetup paperSize="9" orientation="portrait" r:id="rId1"/>
  <drawing r:id="rId2"/>
  <legacyDrawing r:id="rId3"/>
  <controls>
    <mc:AlternateContent xmlns:mc="http://schemas.openxmlformats.org/markup-compatibility/2006">
      <mc:Choice Requires="x14">
        <control shapeId="11265" r:id="rId4" name="cb1E">
          <controlPr defaultSize="0" autoLine="0" r:id="rId5">
            <anchor moveWithCells="1">
              <from>
                <xdr:col>3</xdr:col>
                <xdr:colOff>2346960</xdr:colOff>
                <xdr:row>2</xdr:row>
                <xdr:rowOff>22860</xdr:rowOff>
              </from>
              <to>
                <xdr:col>5</xdr:col>
                <xdr:colOff>190500</xdr:colOff>
                <xdr:row>3</xdr:row>
                <xdr:rowOff>95250</xdr:rowOff>
              </to>
            </anchor>
          </controlPr>
        </control>
      </mc:Choice>
      <mc:Fallback>
        <control shapeId="11265" r:id="rId4" name="cb1E"/>
      </mc:Fallback>
    </mc:AlternateContent>
  </controls>
</worksheet>
</file>

<file path=xl/worksheets/sheet2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0ABDF99-3961-4940-B0F0-D161C90C45E8}">
  <sheetPr codeName="Sheet10">
    <tabColor theme="9"/>
  </sheetPr>
  <dimension ref="A1:J42"/>
  <sheetViews>
    <sheetView showGridLines="0" workbookViewId="0">
      <pane ySplit="4" topLeftCell="A25" activePane="bottomLeft" state="frozen"/>
      <selection activeCell="D11" sqref="D11:G13"/>
      <selection pane="bottomLeft" activeCell="E32" sqref="E32"/>
    </sheetView>
  </sheetViews>
  <sheetFormatPr defaultColWidth="8.7890625" defaultRowHeight="14.4" x14ac:dyDescent="0.55000000000000004"/>
  <cols>
    <col min="1" max="1" width="3.7890625" style="117" customWidth="1"/>
    <col min="2" max="3" width="3.7890625" customWidth="1"/>
    <col min="4" max="4" width="52.20703125" customWidth="1"/>
    <col min="5" max="5" width="16" customWidth="1"/>
    <col min="6" max="6" width="17.20703125" customWidth="1"/>
    <col min="7" max="7" width="14.20703125" customWidth="1"/>
    <col min="8" max="8" width="15.7890625" customWidth="1"/>
    <col min="9" max="9" width="16.7890625" customWidth="1"/>
    <col min="10" max="10" width="2.7890625" customWidth="1"/>
    <col min="16" max="16" width="10.20703125" customWidth="1"/>
    <col min="17" max="18" width="8.7890625" customWidth="1"/>
  </cols>
  <sheetData>
    <row r="1" spans="1:10" x14ac:dyDescent="0.55000000000000004">
      <c r="A1"/>
      <c r="E1" s="1814" t="s">
        <v>206</v>
      </c>
    </row>
    <row r="2" spans="1:10" x14ac:dyDescent="0.55000000000000004">
      <c r="A2"/>
      <c r="E2" s="1814"/>
    </row>
    <row r="3" spans="1:10" x14ac:dyDescent="0.55000000000000004">
      <c r="A3"/>
    </row>
    <row r="4" spans="1:10" s="116" customFormat="1" ht="14.7" thickBot="1" x14ac:dyDescent="0.6"/>
    <row r="5" spans="1:10" s="117" customFormat="1" x14ac:dyDescent="0.55000000000000004"/>
    <row r="6" spans="1:10" ht="18.3" x14ac:dyDescent="0.7">
      <c r="B6" s="118"/>
      <c r="C6" s="161"/>
    </row>
    <row r="7" spans="1:10" ht="14.55" customHeight="1" x14ac:dyDescent="0.7">
      <c r="B7" s="118"/>
      <c r="C7" s="1803" t="s">
        <v>520</v>
      </c>
      <c r="D7" s="1803"/>
      <c r="E7" s="1803"/>
      <c r="F7" s="1803"/>
      <c r="G7" s="1803"/>
      <c r="H7" s="1803"/>
      <c r="I7" s="1803"/>
      <c r="J7" s="1803"/>
    </row>
    <row r="8" spans="1:10" ht="14.7" thickBot="1" x14ac:dyDescent="0.6">
      <c r="D8" s="1"/>
      <c r="F8" s="1"/>
    </row>
    <row r="9" spans="1:10" x14ac:dyDescent="0.55000000000000004">
      <c r="C9" s="121"/>
      <c r="D9" s="122"/>
      <c r="E9" s="122"/>
      <c r="F9" s="122"/>
      <c r="G9" s="122"/>
      <c r="H9" s="122"/>
      <c r="I9" s="122"/>
      <c r="J9" s="123"/>
    </row>
    <row r="10" spans="1:10" x14ac:dyDescent="0.55000000000000004">
      <c r="C10" s="124"/>
      <c r="D10" s="1" t="s">
        <v>43</v>
      </c>
      <c r="J10" s="125"/>
    </row>
    <row r="11" spans="1:10" x14ac:dyDescent="0.55000000000000004">
      <c r="C11" s="124"/>
      <c r="D11" s="120" t="s">
        <v>521</v>
      </c>
      <c r="J11" s="125"/>
    </row>
    <row r="12" spans="1:10" x14ac:dyDescent="0.55000000000000004">
      <c r="C12" s="124"/>
      <c r="J12" s="125"/>
    </row>
    <row r="13" spans="1:10" x14ac:dyDescent="0.55000000000000004">
      <c r="C13" s="124"/>
      <c r="D13" t="s">
        <v>363</v>
      </c>
      <c r="E13" s="36">
        <f ca="1">IFERROR(Expenditure!I54/'1 Customer data'!F99/12,0)</f>
        <v>442.83277274084026</v>
      </c>
      <c r="J13" s="125"/>
    </row>
    <row r="14" spans="1:10" ht="14.7" thickBot="1" x14ac:dyDescent="0.6">
      <c r="C14" s="130"/>
      <c r="D14" s="131"/>
      <c r="E14" s="131"/>
      <c r="F14" s="131"/>
      <c r="G14" s="131"/>
      <c r="H14" s="131"/>
      <c r="I14" s="131"/>
      <c r="J14" s="132"/>
    </row>
    <row r="15" spans="1:10" ht="14.7" thickBot="1" x14ac:dyDescent="0.6"/>
    <row r="16" spans="1:10" x14ac:dyDescent="0.55000000000000004">
      <c r="C16" s="121"/>
      <c r="D16" s="122"/>
      <c r="E16" s="122"/>
      <c r="F16" s="122"/>
      <c r="G16" s="122"/>
      <c r="H16" s="122"/>
      <c r="I16" s="122"/>
      <c r="J16" s="123"/>
    </row>
    <row r="17" spans="3:10" x14ac:dyDescent="0.55000000000000004">
      <c r="C17" s="124"/>
      <c r="D17" s="1" t="s">
        <v>49</v>
      </c>
      <c r="J17" s="125"/>
    </row>
    <row r="18" spans="3:10" x14ac:dyDescent="0.55000000000000004">
      <c r="C18" s="124"/>
      <c r="D18" s="1804" t="s">
        <v>226</v>
      </c>
      <c r="E18" s="1804"/>
      <c r="F18" s="1804"/>
      <c r="G18" s="1804"/>
      <c r="H18" s="1804"/>
      <c r="I18" s="1804"/>
      <c r="J18" s="125"/>
    </row>
    <row r="19" spans="3:10" x14ac:dyDescent="0.55000000000000004">
      <c r="C19" s="124"/>
      <c r="D19" s="1804"/>
      <c r="E19" s="1804"/>
      <c r="F19" s="1804"/>
      <c r="G19" s="1804"/>
      <c r="H19" s="1804"/>
      <c r="I19" s="1804"/>
      <c r="J19" s="125"/>
    </row>
    <row r="20" spans="3:10" x14ac:dyDescent="0.55000000000000004">
      <c r="C20" s="124"/>
      <c r="D20" s="119"/>
      <c r="E20" s="275" t="s">
        <v>241</v>
      </c>
      <c r="F20" s="119"/>
      <c r="G20" s="119"/>
      <c r="H20" s="119"/>
      <c r="I20" s="119"/>
      <c r="J20" s="125"/>
    </row>
    <row r="21" spans="3:10" x14ac:dyDescent="0.55000000000000004">
      <c r="C21" s="124"/>
      <c r="D21" t="s">
        <v>36</v>
      </c>
      <c r="E21" s="26">
        <f ca="1">Expenditure!I54</f>
        <v>94950431.799999997</v>
      </c>
      <c r="J21" s="125"/>
    </row>
    <row r="22" spans="3:10" x14ac:dyDescent="0.55000000000000004">
      <c r="C22" s="124"/>
      <c r="D22" t="s">
        <v>218</v>
      </c>
      <c r="E22" s="26">
        <f ca="1">Surplus!I64</f>
        <v>0</v>
      </c>
      <c r="J22" s="125"/>
    </row>
    <row r="23" spans="3:10" x14ac:dyDescent="0.55000000000000004">
      <c r="C23" s="124"/>
      <c r="D23" t="s">
        <v>219</v>
      </c>
      <c r="E23" s="26">
        <f ca="1">Surplus!I65</f>
        <v>0</v>
      </c>
      <c r="J23" s="125"/>
    </row>
    <row r="24" spans="3:10" ht="14.7" thickBot="1" x14ac:dyDescent="0.6">
      <c r="C24" s="124"/>
      <c r="D24" s="1" t="s">
        <v>214</v>
      </c>
      <c r="E24" s="37">
        <f ca="1">E21-E22+E23</f>
        <v>94950431.799999997</v>
      </c>
      <c r="J24" s="125"/>
    </row>
    <row r="25" spans="3:10" ht="14.7" thickTop="1" x14ac:dyDescent="0.55000000000000004">
      <c r="C25" s="124"/>
      <c r="D25" s="1"/>
      <c r="E25" s="134"/>
      <c r="J25" s="125"/>
    </row>
    <row r="26" spans="3:10" x14ac:dyDescent="0.55000000000000004">
      <c r="C26" s="124"/>
      <c r="D26" t="s">
        <v>150</v>
      </c>
      <c r="E26" s="26">
        <f ca="1">'Revenue required'!I20</f>
        <v>18598866</v>
      </c>
      <c r="J26" s="125"/>
    </row>
    <row r="27" spans="3:10" x14ac:dyDescent="0.55000000000000004">
      <c r="C27" s="124"/>
      <c r="D27" t="s">
        <v>151</v>
      </c>
      <c r="E27" s="26">
        <f ca="1">'Revenue required'!I21</f>
        <v>0</v>
      </c>
      <c r="J27" s="125"/>
    </row>
    <row r="28" spans="3:10" x14ac:dyDescent="0.55000000000000004">
      <c r="C28" s="124"/>
      <c r="D28" t="s">
        <v>165</v>
      </c>
      <c r="E28" s="26">
        <f ca="1">'Revenue required'!I22</f>
        <v>3338846.5500000003</v>
      </c>
      <c r="J28" s="125"/>
    </row>
    <row r="29" spans="3:10" x14ac:dyDescent="0.55000000000000004">
      <c r="C29" s="124"/>
      <c r="D29" t="s">
        <v>152</v>
      </c>
      <c r="E29" s="26">
        <f>'Revenue required'!I23</f>
        <v>0</v>
      </c>
      <c r="J29" s="125"/>
    </row>
    <row r="30" spans="3:10" ht="14.7" thickBot="1" x14ac:dyDescent="0.6">
      <c r="C30" s="124"/>
      <c r="D30" s="1" t="s">
        <v>153</v>
      </c>
      <c r="E30" s="38">
        <f ca="1">SUM(E26:E29)</f>
        <v>21937712.550000001</v>
      </c>
      <c r="J30" s="125"/>
    </row>
    <row r="31" spans="3:10" ht="14.7" thickTop="1" x14ac:dyDescent="0.55000000000000004">
      <c r="C31" s="124"/>
      <c r="D31" s="1"/>
      <c r="J31" s="125"/>
    </row>
    <row r="32" spans="3:10" x14ac:dyDescent="0.55000000000000004">
      <c r="C32" s="124"/>
      <c r="D32" t="s">
        <v>45</v>
      </c>
      <c r="E32" s="21">
        <f ca="1">E24-E30</f>
        <v>73012719.25</v>
      </c>
      <c r="J32" s="125"/>
    </row>
    <row r="33" spans="3:10" ht="14.7" thickBot="1" x14ac:dyDescent="0.6">
      <c r="C33" s="124"/>
      <c r="D33" s="1" t="s">
        <v>522</v>
      </c>
      <c r="E33" s="39">
        <f ca="1">E32/'1 Customer data'!F99/12</f>
        <v>340.51898762219236</v>
      </c>
      <c r="J33" s="125"/>
    </row>
    <row r="34" spans="3:10" ht="15" thickTop="1" thickBot="1" x14ac:dyDescent="0.6">
      <c r="C34" s="130"/>
      <c r="D34" s="131"/>
      <c r="E34" s="131"/>
      <c r="F34" s="131"/>
      <c r="G34" s="131"/>
      <c r="H34" s="131"/>
      <c r="I34" s="131"/>
      <c r="J34" s="132"/>
    </row>
    <row r="35" spans="3:10" ht="14.7" thickBot="1" x14ac:dyDescent="0.6"/>
    <row r="36" spans="3:10" x14ac:dyDescent="0.55000000000000004">
      <c r="C36" s="121"/>
      <c r="D36" s="122"/>
      <c r="E36" s="122"/>
      <c r="F36" s="122"/>
      <c r="G36" s="122"/>
      <c r="H36" s="122"/>
      <c r="I36" s="122"/>
      <c r="J36" s="123"/>
    </row>
    <row r="37" spans="3:10" x14ac:dyDescent="0.55000000000000004">
      <c r="C37" s="124"/>
      <c r="D37" s="1" t="s">
        <v>267</v>
      </c>
      <c r="J37" s="125"/>
    </row>
    <row r="38" spans="3:10" x14ac:dyDescent="0.55000000000000004">
      <c r="C38" s="124"/>
      <c r="J38" s="125"/>
    </row>
    <row r="39" spans="3:10" x14ac:dyDescent="0.55000000000000004">
      <c r="C39" s="124"/>
      <c r="D39" t="str">
        <f>D13</f>
        <v>Total unit cost (R per customer per month)</v>
      </c>
      <c r="E39" s="40">
        <f ca="1">E13</f>
        <v>442.83277274084026</v>
      </c>
      <c r="J39" s="125"/>
    </row>
    <row r="40" spans="3:10" x14ac:dyDescent="0.55000000000000004">
      <c r="C40" s="124"/>
      <c r="D40" t="str">
        <f>D33</f>
        <v>Average unit revenue required (R per customer per month)</v>
      </c>
      <c r="E40" s="40">
        <f ca="1">E33</f>
        <v>340.51898762219236</v>
      </c>
      <c r="J40" s="125"/>
    </row>
    <row r="41" spans="3:10" x14ac:dyDescent="0.55000000000000004">
      <c r="C41" s="124"/>
      <c r="D41" t="s">
        <v>228</v>
      </c>
      <c r="E41" s="41">
        <f ca="1">E40/E39</f>
        <v>0.76895615813302698</v>
      </c>
      <c r="J41" s="125"/>
    </row>
    <row r="42" spans="3:10" ht="14.7" thickBot="1" x14ac:dyDescent="0.6">
      <c r="C42" s="130"/>
      <c r="D42" s="131"/>
      <c r="E42" s="131"/>
      <c r="F42" s="131"/>
      <c r="G42" s="131"/>
      <c r="H42" s="131"/>
      <c r="I42" s="131"/>
      <c r="J42" s="132"/>
    </row>
  </sheetData>
  <sheetProtection sheet="1" objects="1" scenarios="1"/>
  <mergeCells count="3">
    <mergeCell ref="C7:J7"/>
    <mergeCell ref="E1:E2"/>
    <mergeCell ref="D18:I19"/>
  </mergeCells>
  <pageMargins left="0.7" right="0.7" top="0.75" bottom="0.75" header="0.3" footer="0.3"/>
  <drawing r:id="rId1"/>
  <legacyDrawing r:id="rId2"/>
  <controls>
    <mc:AlternateContent xmlns:mc="http://schemas.openxmlformats.org/markup-compatibility/2006">
      <mc:Choice Requires="x14">
        <control shapeId="12289" r:id="rId3" name="cb1SW">
          <controlPr defaultSize="0" autoLine="0" r:id="rId4">
            <anchor moveWithCells="1">
              <from>
                <xdr:col>3</xdr:col>
                <xdr:colOff>2956560</xdr:colOff>
                <xdr:row>2</xdr:row>
                <xdr:rowOff>60960</xdr:rowOff>
              </from>
              <to>
                <xdr:col>4</xdr:col>
                <xdr:colOff>1135380</xdr:colOff>
                <xdr:row>3</xdr:row>
                <xdr:rowOff>83820</xdr:rowOff>
              </to>
            </anchor>
          </controlPr>
        </control>
      </mc:Choice>
      <mc:Fallback>
        <control shapeId="12289" r:id="rId3" name="cb1SW"/>
      </mc:Fallback>
    </mc:AlternateContent>
  </controls>
</worksheet>
</file>

<file path=xl/worksheets/sheet2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64F64BE-61DA-4153-BD1E-D7A87A006321}">
  <sheetPr codeName="Sheet11">
    <tabColor rgb="FF002060"/>
  </sheetPr>
  <dimension ref="A1:Y151"/>
  <sheetViews>
    <sheetView showGridLines="0" topLeftCell="D1" workbookViewId="0">
      <pane ySplit="4" topLeftCell="A61" activePane="bottomLeft" state="frozen"/>
      <selection pane="bottomLeft" activeCell="H129" sqref="H129:H134"/>
    </sheetView>
  </sheetViews>
  <sheetFormatPr defaultColWidth="8.7890625" defaultRowHeight="14.4" x14ac:dyDescent="0.55000000000000004"/>
  <cols>
    <col min="1" max="1" width="3.7890625" style="117" customWidth="1"/>
    <col min="2" max="2" width="3.20703125" customWidth="1"/>
    <col min="3" max="3" width="3.41796875" customWidth="1"/>
    <col min="4" max="4" width="37.5234375" bestFit="1" customWidth="1"/>
    <col min="5" max="5" width="14.7890625" customWidth="1"/>
    <col min="6" max="6" width="14" customWidth="1"/>
    <col min="7" max="7" width="12.7890625" customWidth="1"/>
    <col min="8" max="8" width="14.20703125" customWidth="1"/>
    <col min="9" max="9" width="16" customWidth="1"/>
    <col min="10" max="11" width="15.20703125" customWidth="1"/>
    <col min="12" max="12" width="17.7890625" customWidth="1"/>
    <col min="13" max="13" width="16.20703125" customWidth="1"/>
    <col min="14" max="14" width="16.5234375" customWidth="1"/>
    <col min="15" max="15" width="3.20703125" customWidth="1"/>
  </cols>
  <sheetData>
    <row r="1" spans="1:15" x14ac:dyDescent="0.55000000000000004">
      <c r="A1"/>
      <c r="E1" s="1807" t="s">
        <v>206</v>
      </c>
    </row>
    <row r="2" spans="1:15" x14ac:dyDescent="0.55000000000000004">
      <c r="A2"/>
      <c r="D2" s="120"/>
      <c r="E2" s="1807"/>
    </row>
    <row r="3" spans="1:15" x14ac:dyDescent="0.55000000000000004">
      <c r="A3"/>
      <c r="D3" s="120"/>
    </row>
    <row r="4" spans="1:15" s="116" customFormat="1" ht="14.7" thickBot="1" x14ac:dyDescent="0.6">
      <c r="D4" s="269"/>
    </row>
    <row r="5" spans="1:15" s="117" customFormat="1" x14ac:dyDescent="0.55000000000000004"/>
    <row r="6" spans="1:15" ht="9" customHeight="1" x14ac:dyDescent="0.55000000000000004"/>
    <row r="7" spans="1:15" ht="18" customHeight="1" x14ac:dyDescent="0.7">
      <c r="B7" s="161"/>
      <c r="C7" s="1803" t="s">
        <v>524</v>
      </c>
      <c r="D7" s="1803"/>
      <c r="E7" s="1803"/>
      <c r="F7" s="1803"/>
      <c r="G7" s="1803"/>
      <c r="H7" s="1803"/>
      <c r="I7" s="1803"/>
      <c r="J7" s="1803"/>
      <c r="K7" s="1803"/>
      <c r="L7" s="1803"/>
      <c r="M7" s="1803"/>
      <c r="N7" s="1803"/>
      <c r="O7" s="1803"/>
    </row>
    <row r="8" spans="1:15" ht="8.5500000000000007" customHeight="1" thickBot="1" x14ac:dyDescent="0.75">
      <c r="D8" s="161"/>
    </row>
    <row r="9" spans="1:15" ht="15" customHeight="1" x14ac:dyDescent="0.7">
      <c r="C9" s="121"/>
      <c r="D9" s="270"/>
      <c r="E9" s="122"/>
      <c r="F9" s="122"/>
      <c r="G9" s="122"/>
      <c r="H9" s="122"/>
      <c r="I9" s="122"/>
      <c r="J9" s="122"/>
      <c r="K9" s="122"/>
      <c r="L9" s="122"/>
      <c r="M9" s="122"/>
      <c r="N9" s="122"/>
      <c r="O9" s="123"/>
    </row>
    <row r="10" spans="1:15" x14ac:dyDescent="0.55000000000000004">
      <c r="C10" s="124"/>
      <c r="D10" s="1" t="s">
        <v>54</v>
      </c>
      <c r="O10" s="125"/>
    </row>
    <row r="11" spans="1:15" ht="7.95" customHeight="1" x14ac:dyDescent="0.55000000000000004">
      <c r="C11" s="124"/>
      <c r="D11" s="1"/>
      <c r="O11" s="125"/>
    </row>
    <row r="12" spans="1:15" x14ac:dyDescent="0.55000000000000004">
      <c r="C12" s="124"/>
      <c r="D12" s="1804" t="s">
        <v>525</v>
      </c>
      <c r="E12" s="1804"/>
      <c r="F12" s="1804"/>
      <c r="G12" s="1804"/>
      <c r="H12" s="1804"/>
      <c r="I12" s="1804"/>
      <c r="J12" s="1804"/>
      <c r="K12" s="1804"/>
      <c r="L12" s="1804"/>
      <c r="O12" s="125"/>
    </row>
    <row r="13" spans="1:15" x14ac:dyDescent="0.55000000000000004">
      <c r="C13" s="124"/>
      <c r="D13" s="1804"/>
      <c r="E13" s="1804"/>
      <c r="F13" s="1804"/>
      <c r="G13" s="1804"/>
      <c r="H13" s="1804"/>
      <c r="I13" s="1804"/>
      <c r="J13" s="1804"/>
      <c r="K13" s="1804"/>
      <c r="L13" s="1804"/>
      <c r="O13" s="125"/>
    </row>
    <row r="14" spans="1:15" x14ac:dyDescent="0.55000000000000004">
      <c r="C14" s="124"/>
      <c r="D14" s="1804"/>
      <c r="E14" s="1804"/>
      <c r="F14" s="1804"/>
      <c r="G14" s="1804"/>
      <c r="H14" s="1804"/>
      <c r="I14" s="1804"/>
      <c r="J14" s="1804"/>
      <c r="K14" s="1804"/>
      <c r="L14" s="1804"/>
      <c r="O14" s="125"/>
    </row>
    <row r="15" spans="1:15" x14ac:dyDescent="0.55000000000000004">
      <c r="C15" s="124"/>
      <c r="D15" s="1804"/>
      <c r="E15" s="1804"/>
      <c r="F15" s="1804"/>
      <c r="G15" s="1804"/>
      <c r="H15" s="1804"/>
      <c r="I15" s="1804"/>
      <c r="J15" s="1804"/>
      <c r="K15" s="1804"/>
      <c r="L15" s="1804"/>
      <c r="O15" s="125"/>
    </row>
    <row r="16" spans="1:15" ht="6.6" customHeight="1" x14ac:dyDescent="0.55000000000000004">
      <c r="C16" s="124"/>
      <c r="D16" s="119"/>
      <c r="E16" s="119"/>
      <c r="F16" s="119"/>
      <c r="G16" s="119"/>
      <c r="H16" s="119"/>
      <c r="I16" s="119"/>
      <c r="J16" s="119"/>
      <c r="K16" s="119"/>
      <c r="L16" s="119"/>
      <c r="O16" s="125"/>
    </row>
    <row r="17" spans="3:25" x14ac:dyDescent="0.55000000000000004">
      <c r="C17" s="124"/>
      <c r="D17" s="1804" t="s">
        <v>526</v>
      </c>
      <c r="E17" s="1804"/>
      <c r="F17" s="1804"/>
      <c r="G17" s="1804"/>
      <c r="H17" s="1804"/>
      <c r="I17" s="1804"/>
      <c r="J17" s="1804"/>
      <c r="K17" s="1804"/>
      <c r="L17" s="1804"/>
      <c r="O17" s="125"/>
    </row>
    <row r="18" spans="3:25" x14ac:dyDescent="0.55000000000000004">
      <c r="C18" s="124"/>
      <c r="D18" s="1804"/>
      <c r="E18" s="1804"/>
      <c r="F18" s="1804"/>
      <c r="G18" s="1804"/>
      <c r="H18" s="1804"/>
      <c r="I18" s="1804"/>
      <c r="J18" s="1804"/>
      <c r="K18" s="1804"/>
      <c r="L18" s="1804"/>
      <c r="O18" s="125"/>
    </row>
    <row r="19" spans="3:25" x14ac:dyDescent="0.55000000000000004">
      <c r="C19" s="124"/>
      <c r="D19" s="1"/>
      <c r="O19" s="125"/>
    </row>
    <row r="20" spans="3:25" ht="43.2" x14ac:dyDescent="0.55000000000000004">
      <c r="C20" s="124"/>
      <c r="D20" s="271" t="s">
        <v>283</v>
      </c>
      <c r="E20" s="272" t="s">
        <v>284</v>
      </c>
      <c r="F20" s="56" t="str">
        <f>"Number of customers "&amp;'1 Customer data'!$E$14</f>
        <v>Number of customers 2026</v>
      </c>
      <c r="G20" s="56" t="str">
        <f>"Volume sold (kl pa) "&amp;'1 Customer data'!$E$14</f>
        <v>Volume sold (kl pa) 2026</v>
      </c>
      <c r="H20" s="56" t="str">
        <f>"Default number of customers "&amp;'1 Customer data'!$F$14</f>
        <v>Default number of customers 2027</v>
      </c>
      <c r="I20" s="56" t="str">
        <f>"Customised number of customers "&amp;'1 Customer data'!$F$14</f>
        <v>Customised number of customers 2027</v>
      </c>
      <c r="J20" s="56" t="str">
        <f>"Default volume sold (kl pa) "&amp;'1 Customer data'!$F$14</f>
        <v>Default volume sold (kl pa) 2027</v>
      </c>
      <c r="K20" s="56" t="str">
        <f>"Customised volume sold (kl pa) "&amp;'1 Customer data'!$F$14</f>
        <v>Customised volume sold (kl pa) 2027</v>
      </c>
      <c r="L20" s="56" t="s">
        <v>229</v>
      </c>
      <c r="O20" s="125"/>
      <c r="Y20" t="s">
        <v>268</v>
      </c>
    </row>
    <row r="21" spans="3:25" x14ac:dyDescent="0.55000000000000004">
      <c r="C21" s="124"/>
      <c r="D21" s="14" t="s">
        <v>1650</v>
      </c>
      <c r="E21" s="50" t="s">
        <v>30</v>
      </c>
      <c r="F21" s="13">
        <v>15201</v>
      </c>
      <c r="G21" s="13">
        <v>1853639</v>
      </c>
      <c r="H21" s="21">
        <f>F21*(1+'1 Customer data'!$G$15)</f>
        <v>15611.426999999998</v>
      </c>
      <c r="I21" s="1434"/>
      <c r="J21" s="21">
        <f>G21*(1+'1 Customer data'!$G$16)</f>
        <v>1903687.2529999998</v>
      </c>
      <c r="K21" s="1434"/>
      <c r="L21" s="53">
        <f>IFERROR(IF(K21="",J21,K21)/IF(I21="",H21,I21)/12,0)</f>
        <v>10.161825976361206</v>
      </c>
      <c r="O21" s="125"/>
      <c r="Y21" t="s">
        <v>30</v>
      </c>
    </row>
    <row r="22" spans="3:25" x14ac:dyDescent="0.55000000000000004">
      <c r="C22" s="124"/>
      <c r="D22" s="14" t="s">
        <v>1651</v>
      </c>
      <c r="E22" s="50" t="s">
        <v>30</v>
      </c>
      <c r="F22" s="13">
        <v>1824</v>
      </c>
      <c r="G22" s="13">
        <f>1824*8*12</f>
        <v>175104</v>
      </c>
      <c r="H22" s="21">
        <f>F22*(1+'1 Customer data'!$G$15)</f>
        <v>1873.2479999999998</v>
      </c>
      <c r="I22" s="51"/>
      <c r="J22" s="21">
        <f>G22*(1+'1 Customer data'!$G$16)</f>
        <v>179831.80799999999</v>
      </c>
      <c r="K22" s="51"/>
      <c r="L22" s="53">
        <f t="shared" ref="L22:L40" si="0">IFERROR(IF(K22="",J22,K22)/IF(I22="",H22,I22)/12,0)</f>
        <v>8</v>
      </c>
      <c r="O22" s="125"/>
      <c r="Y22" t="s">
        <v>269</v>
      </c>
    </row>
    <row r="23" spans="3:25" x14ac:dyDescent="0.55000000000000004">
      <c r="C23" s="124"/>
      <c r="D23" s="14" t="s">
        <v>1652</v>
      </c>
      <c r="E23" s="50" t="s">
        <v>270</v>
      </c>
      <c r="F23" s="13">
        <v>9</v>
      </c>
      <c r="G23" s="13">
        <v>1854</v>
      </c>
      <c r="H23" s="21">
        <f>F23*(1+'1 Customer data'!$G$15)</f>
        <v>9.2429999999999986</v>
      </c>
      <c r="I23" s="51"/>
      <c r="J23" s="21">
        <f>G23*(1+'1 Customer data'!$G$16)</f>
        <v>1904.0579999999998</v>
      </c>
      <c r="K23" s="51"/>
      <c r="L23" s="53">
        <f t="shared" si="0"/>
        <v>17.166666666666668</v>
      </c>
      <c r="O23" s="125"/>
      <c r="Y23" t="s">
        <v>32</v>
      </c>
    </row>
    <row r="24" spans="3:25" x14ac:dyDescent="0.55000000000000004">
      <c r="C24" s="124"/>
      <c r="D24" s="14" t="s">
        <v>1653</v>
      </c>
      <c r="E24" s="50" t="s">
        <v>270</v>
      </c>
      <c r="F24" s="13">
        <v>35</v>
      </c>
      <c r="G24" s="13">
        <v>85440</v>
      </c>
      <c r="H24" s="21">
        <f>F24*(1+'1 Customer data'!$G$15)</f>
        <v>35.945</v>
      </c>
      <c r="I24" s="51"/>
      <c r="J24" s="21">
        <f>G24*(1+'1 Customer data'!$G$16)</f>
        <v>87746.87999999999</v>
      </c>
      <c r="K24" s="51"/>
      <c r="L24" s="53">
        <f t="shared" si="0"/>
        <v>203.42857142857142</v>
      </c>
      <c r="O24" s="125"/>
      <c r="Y24" t="s">
        <v>270</v>
      </c>
    </row>
    <row r="25" spans="3:25" x14ac:dyDescent="0.55000000000000004">
      <c r="C25" s="124"/>
      <c r="D25" s="14" t="s">
        <v>32</v>
      </c>
      <c r="E25" s="50" t="s">
        <v>32</v>
      </c>
      <c r="F25" s="13">
        <v>2</v>
      </c>
      <c r="G25" s="13">
        <v>437757</v>
      </c>
      <c r="H25" s="21">
        <f>F25*(1+'1 Customer data'!$G$15)</f>
        <v>2.0539999999999998</v>
      </c>
      <c r="I25" s="51"/>
      <c r="J25" s="21">
        <f>G25*(1+'1 Customer data'!$G$16)</f>
        <v>449576.43899999995</v>
      </c>
      <c r="K25" s="51"/>
      <c r="L25" s="53">
        <f t="shared" si="0"/>
        <v>18239.875</v>
      </c>
      <c r="O25" s="125"/>
    </row>
    <row r="26" spans="3:25" x14ac:dyDescent="0.55000000000000004">
      <c r="C26" s="124"/>
      <c r="D26" s="14" t="s">
        <v>269</v>
      </c>
      <c r="E26" s="50" t="s">
        <v>269</v>
      </c>
      <c r="F26" s="13">
        <v>721</v>
      </c>
      <c r="G26" s="13">
        <v>389542</v>
      </c>
      <c r="H26" s="21">
        <f>F26*(1+'1 Customer data'!$G$15)</f>
        <v>740.46699999999998</v>
      </c>
      <c r="I26" s="51"/>
      <c r="J26" s="21">
        <f>G26*(1+'1 Customer data'!$G$16)</f>
        <v>400059.63399999996</v>
      </c>
      <c r="K26" s="51"/>
      <c r="L26" s="53">
        <f t="shared" si="0"/>
        <v>45.023347202958853</v>
      </c>
      <c r="O26" s="125"/>
    </row>
    <row r="27" spans="3:25" x14ac:dyDescent="0.55000000000000004">
      <c r="C27" s="124"/>
      <c r="D27" s="14" t="s">
        <v>1654</v>
      </c>
      <c r="E27" s="50" t="s">
        <v>30</v>
      </c>
      <c r="F27" s="13">
        <v>8</v>
      </c>
      <c r="G27" s="13">
        <v>15644</v>
      </c>
      <c r="H27" s="21">
        <f>F27*(1+'1 Customer data'!$G$15)</f>
        <v>8.2159999999999993</v>
      </c>
      <c r="I27" s="51"/>
      <c r="J27" s="21">
        <f>G27*(1+'1 Customer data'!$G$16)</f>
        <v>16066.387999999999</v>
      </c>
      <c r="K27" s="51"/>
      <c r="L27" s="53">
        <f t="shared" si="0"/>
        <v>162.95833333333334</v>
      </c>
      <c r="O27" s="125"/>
    </row>
    <row r="28" spans="3:25" x14ac:dyDescent="0.55000000000000004">
      <c r="C28" s="124"/>
      <c r="D28" s="14" t="s">
        <v>1655</v>
      </c>
      <c r="E28" s="50" t="s">
        <v>30</v>
      </c>
      <c r="F28" s="13">
        <v>3</v>
      </c>
      <c r="G28" s="13">
        <v>3674</v>
      </c>
      <c r="H28" s="21">
        <f>F28*(1+'1 Customer data'!$G$15)</f>
        <v>3.0809999999999995</v>
      </c>
      <c r="I28" s="51"/>
      <c r="J28" s="21">
        <f>G28*(1+'1 Customer data'!$G$16)</f>
        <v>3773.1979999999999</v>
      </c>
      <c r="K28" s="51"/>
      <c r="L28" s="53">
        <f t="shared" si="0"/>
        <v>102.05555555555556</v>
      </c>
      <c r="O28" s="125"/>
    </row>
    <row r="29" spans="3:25" x14ac:dyDescent="0.55000000000000004">
      <c r="C29" s="124"/>
      <c r="D29" s="14" t="s">
        <v>1656</v>
      </c>
      <c r="E29" s="50" t="s">
        <v>270</v>
      </c>
      <c r="F29" s="13">
        <v>1</v>
      </c>
      <c r="G29" s="13">
        <v>6540</v>
      </c>
      <c r="H29" s="21">
        <f>F29*(1+'1 Customer data'!$G$15)</f>
        <v>1.0269999999999999</v>
      </c>
      <c r="I29" s="51"/>
      <c r="J29" s="21">
        <f>G29*(1+'1 Customer data'!$G$16)</f>
        <v>6716.579999999999</v>
      </c>
      <c r="K29" s="51"/>
      <c r="L29" s="53">
        <f t="shared" si="0"/>
        <v>545</v>
      </c>
      <c r="O29" s="125"/>
    </row>
    <row r="30" spans="3:25" x14ac:dyDescent="0.55000000000000004">
      <c r="C30" s="124"/>
      <c r="D30" s="14"/>
      <c r="E30" s="50"/>
      <c r="F30" s="13"/>
      <c r="G30" s="13"/>
      <c r="H30" s="21">
        <f>F30*(1+'1 Customer data'!$G$15)</f>
        <v>0</v>
      </c>
      <c r="I30" s="51"/>
      <c r="J30" s="21">
        <f>G30*(1+'1 Customer data'!$G$16)</f>
        <v>0</v>
      </c>
      <c r="K30" s="51"/>
      <c r="L30" s="53">
        <f t="shared" si="0"/>
        <v>0</v>
      </c>
      <c r="O30" s="125"/>
    </row>
    <row r="31" spans="3:25" x14ac:dyDescent="0.55000000000000004">
      <c r="C31" s="124"/>
      <c r="D31" s="14"/>
      <c r="E31" s="50"/>
      <c r="F31" s="13"/>
      <c r="G31" s="13"/>
      <c r="H31" s="21">
        <f>F31*(1+'1 Customer data'!$G$15)</f>
        <v>0</v>
      </c>
      <c r="I31" s="51"/>
      <c r="J31" s="21">
        <f>G31*(1+'1 Customer data'!$G$16)</f>
        <v>0</v>
      </c>
      <c r="K31" s="51"/>
      <c r="L31" s="53">
        <f t="shared" si="0"/>
        <v>0</v>
      </c>
      <c r="O31" s="125"/>
    </row>
    <row r="32" spans="3:25" x14ac:dyDescent="0.55000000000000004">
      <c r="C32" s="124"/>
      <c r="D32" s="14"/>
      <c r="E32" s="50"/>
      <c r="F32" s="13"/>
      <c r="G32" s="13"/>
      <c r="H32" s="21">
        <f>F32*(1+'1 Customer data'!$G$15)</f>
        <v>0</v>
      </c>
      <c r="I32" s="51"/>
      <c r="J32" s="21">
        <f>G32*(1+'1 Customer data'!$G$16)</f>
        <v>0</v>
      </c>
      <c r="K32" s="51"/>
      <c r="L32" s="53">
        <f t="shared" si="0"/>
        <v>0</v>
      </c>
      <c r="O32" s="125"/>
    </row>
    <row r="33" spans="3:15" x14ac:dyDescent="0.55000000000000004">
      <c r="C33" s="124"/>
      <c r="D33" s="14"/>
      <c r="E33" s="50"/>
      <c r="F33" s="13"/>
      <c r="G33" s="13"/>
      <c r="H33" s="21">
        <f>F33*(1+'1 Customer data'!$G$15)</f>
        <v>0</v>
      </c>
      <c r="I33" s="51"/>
      <c r="J33" s="21">
        <f>G33*(1+'1 Customer data'!$G$16)</f>
        <v>0</v>
      </c>
      <c r="K33" s="51"/>
      <c r="L33" s="53">
        <f t="shared" si="0"/>
        <v>0</v>
      </c>
      <c r="O33" s="125"/>
    </row>
    <row r="34" spans="3:15" x14ac:dyDescent="0.55000000000000004">
      <c r="C34" s="124"/>
      <c r="D34" s="14"/>
      <c r="E34" s="50"/>
      <c r="F34" s="13"/>
      <c r="G34" s="13"/>
      <c r="H34" s="21">
        <f>F34*(1+'1 Customer data'!$G$15)</f>
        <v>0</v>
      </c>
      <c r="I34" s="51"/>
      <c r="J34" s="21">
        <f>G34*(1+'1 Customer data'!$G$16)</f>
        <v>0</v>
      </c>
      <c r="K34" s="51"/>
      <c r="L34" s="53">
        <f t="shared" si="0"/>
        <v>0</v>
      </c>
      <c r="O34" s="125"/>
    </row>
    <row r="35" spans="3:15" x14ac:dyDescent="0.55000000000000004">
      <c r="C35" s="124"/>
      <c r="D35" s="14"/>
      <c r="E35" s="50"/>
      <c r="F35" s="13"/>
      <c r="G35" s="13"/>
      <c r="H35" s="21">
        <f>F35*(1+'1 Customer data'!$G$15)</f>
        <v>0</v>
      </c>
      <c r="I35" s="51"/>
      <c r="J35" s="21">
        <f>G35*(1+'1 Customer data'!$G$16)</f>
        <v>0</v>
      </c>
      <c r="K35" s="51"/>
      <c r="L35" s="53">
        <f t="shared" si="0"/>
        <v>0</v>
      </c>
      <c r="O35" s="125"/>
    </row>
    <row r="36" spans="3:15" x14ac:dyDescent="0.55000000000000004">
      <c r="C36" s="124"/>
      <c r="D36" s="14"/>
      <c r="E36" s="50"/>
      <c r="F36" s="13"/>
      <c r="G36" s="13"/>
      <c r="H36" s="21">
        <f>F36*(1+'1 Customer data'!$G$15)</f>
        <v>0</v>
      </c>
      <c r="I36" s="51"/>
      <c r="J36" s="21">
        <f>G36*(1+'1 Customer data'!$G$16)</f>
        <v>0</v>
      </c>
      <c r="K36" s="51"/>
      <c r="L36" s="53">
        <f t="shared" si="0"/>
        <v>0</v>
      </c>
      <c r="O36" s="125"/>
    </row>
    <row r="37" spans="3:15" x14ac:dyDescent="0.55000000000000004">
      <c r="C37" s="124"/>
      <c r="D37" s="14"/>
      <c r="E37" s="50"/>
      <c r="F37" s="13"/>
      <c r="G37" s="13"/>
      <c r="H37" s="21">
        <f>F37*(1+'1 Customer data'!$G$15)</f>
        <v>0</v>
      </c>
      <c r="I37" s="51"/>
      <c r="J37" s="21">
        <f>G37*(1+'1 Customer data'!$G$16)</f>
        <v>0</v>
      </c>
      <c r="K37" s="51"/>
      <c r="L37" s="53">
        <f t="shared" si="0"/>
        <v>0</v>
      </c>
      <c r="O37" s="125"/>
    </row>
    <row r="38" spans="3:15" x14ac:dyDescent="0.55000000000000004">
      <c r="C38" s="124"/>
      <c r="D38" s="14"/>
      <c r="E38" s="50"/>
      <c r="F38" s="13"/>
      <c r="G38" s="13"/>
      <c r="H38" s="21">
        <f>F38*(1+'1 Customer data'!$G$15)</f>
        <v>0</v>
      </c>
      <c r="I38" s="51"/>
      <c r="J38" s="21">
        <f>G38*(1+'1 Customer data'!$G$16)</f>
        <v>0</v>
      </c>
      <c r="K38" s="51"/>
      <c r="L38" s="53">
        <f t="shared" si="0"/>
        <v>0</v>
      </c>
      <c r="O38" s="125"/>
    </row>
    <row r="39" spans="3:15" x14ac:dyDescent="0.55000000000000004">
      <c r="C39" s="124"/>
      <c r="D39" s="14"/>
      <c r="E39" s="50"/>
      <c r="F39" s="13"/>
      <c r="G39" s="13"/>
      <c r="H39" s="21">
        <f>F39*(1+'1 Customer data'!$G$15)</f>
        <v>0</v>
      </c>
      <c r="I39" s="51"/>
      <c r="J39" s="21">
        <f>G39*(1+'1 Customer data'!$G$16)</f>
        <v>0</v>
      </c>
      <c r="K39" s="51"/>
      <c r="L39" s="53">
        <f t="shared" si="0"/>
        <v>0</v>
      </c>
      <c r="O39" s="125"/>
    </row>
    <row r="40" spans="3:15" x14ac:dyDescent="0.55000000000000004">
      <c r="C40" s="124"/>
      <c r="D40" s="14"/>
      <c r="E40" s="50"/>
      <c r="F40" s="13"/>
      <c r="G40" s="13"/>
      <c r="H40" s="21">
        <f>F40*(1+'1 Customer data'!$G$15)</f>
        <v>0</v>
      </c>
      <c r="I40" s="51"/>
      <c r="J40" s="21">
        <f>G40*(1+'1 Customer data'!$G$16)</f>
        <v>0</v>
      </c>
      <c r="K40" s="51"/>
      <c r="L40" s="53">
        <f t="shared" si="0"/>
        <v>0</v>
      </c>
      <c r="O40" s="125"/>
    </row>
    <row r="41" spans="3:15" x14ac:dyDescent="0.55000000000000004">
      <c r="C41" s="124"/>
      <c r="D41" s="1" t="s">
        <v>33</v>
      </c>
      <c r="F41" s="17">
        <f t="shared" ref="F41:K41" si="1">SUM(F21:F40)</f>
        <v>17804</v>
      </c>
      <c r="G41" s="17">
        <f t="shared" si="1"/>
        <v>2969194</v>
      </c>
      <c r="H41" s="17">
        <f t="shared" si="1"/>
        <v>18284.707999999995</v>
      </c>
      <c r="I41" s="17">
        <f t="shared" si="1"/>
        <v>0</v>
      </c>
      <c r="J41" s="17">
        <f t="shared" si="1"/>
        <v>3049362.2379999994</v>
      </c>
      <c r="K41" s="17">
        <f t="shared" si="1"/>
        <v>0</v>
      </c>
      <c r="O41" s="125"/>
    </row>
    <row r="42" spans="3:15" x14ac:dyDescent="0.55000000000000004">
      <c r="C42" s="124"/>
      <c r="D42" s="55" t="s">
        <v>108</v>
      </c>
      <c r="E42" s="1"/>
      <c r="F42" s="54">
        <f>F41-'1 Customer data'!E15</f>
        <v>0</v>
      </c>
      <c r="G42" s="54">
        <f>G41-'1 Customer data'!E16</f>
        <v>0</v>
      </c>
      <c r="H42" s="54">
        <f>H41-'1 Customer data'!F15</f>
        <v>0</v>
      </c>
      <c r="I42" s="55" t="str">
        <f>IF(I41=0,"",I41-'1 Customer data'!F15)</f>
        <v/>
      </c>
      <c r="J42" s="54">
        <f>J41-'1 Customer data'!F16</f>
        <v>0</v>
      </c>
      <c r="K42" s="55" t="str">
        <f>IF(K41=0,"",K41-'1 Customer data'!F16)</f>
        <v/>
      </c>
      <c r="L42" s="1"/>
      <c r="O42" s="125"/>
    </row>
    <row r="43" spans="3:15" ht="14.7" thickBot="1" x14ac:dyDescent="0.6">
      <c r="C43" s="130"/>
      <c r="D43" s="241"/>
      <c r="E43" s="131"/>
      <c r="F43" s="131"/>
      <c r="G43" s="131"/>
      <c r="H43" s="131"/>
      <c r="I43" s="131"/>
      <c r="J43" s="131"/>
      <c r="K43" s="131"/>
      <c r="L43" s="131"/>
      <c r="M43" s="131"/>
      <c r="N43" s="131"/>
      <c r="O43" s="132"/>
    </row>
    <row r="44" spans="3:15" ht="14.7" thickBot="1" x14ac:dyDescent="0.6">
      <c r="D44" s="1"/>
    </row>
    <row r="45" spans="3:15" x14ac:dyDescent="0.55000000000000004">
      <c r="C45" s="121"/>
      <c r="D45" s="244"/>
      <c r="E45" s="122"/>
      <c r="F45" s="122"/>
      <c r="G45" s="122"/>
      <c r="H45" s="122"/>
      <c r="I45" s="122"/>
      <c r="J45" s="122"/>
      <c r="K45" s="122"/>
      <c r="L45" s="122"/>
      <c r="M45" s="122"/>
      <c r="N45" s="122"/>
      <c r="O45" s="123"/>
    </row>
    <row r="46" spans="3:15" x14ac:dyDescent="0.55000000000000004">
      <c r="C46" s="124"/>
      <c r="D46" s="1" t="s">
        <v>57</v>
      </c>
      <c r="O46" s="125"/>
    </row>
    <row r="47" spans="3:15" ht="7.95" customHeight="1" x14ac:dyDescent="0.55000000000000004">
      <c r="C47" s="124"/>
      <c r="D47" s="1"/>
      <c r="O47" s="125"/>
    </row>
    <row r="48" spans="3:15" x14ac:dyDescent="0.55000000000000004">
      <c r="C48" s="124"/>
      <c r="D48" s="1804" t="s">
        <v>527</v>
      </c>
      <c r="E48" s="1804"/>
      <c r="F48" s="1804"/>
      <c r="G48" s="1804"/>
      <c r="H48" s="1804"/>
      <c r="I48" s="1804"/>
      <c r="J48" s="1804"/>
      <c r="K48" s="1804"/>
      <c r="L48" s="1804"/>
      <c r="M48" s="1804"/>
      <c r="O48" s="125"/>
    </row>
    <row r="49" spans="3:15" x14ac:dyDescent="0.55000000000000004">
      <c r="C49" s="124"/>
      <c r="D49" s="1804"/>
      <c r="E49" s="1804"/>
      <c r="F49" s="1804"/>
      <c r="G49" s="1804"/>
      <c r="H49" s="1804"/>
      <c r="I49" s="1804"/>
      <c r="J49" s="1804"/>
      <c r="K49" s="1804"/>
      <c r="L49" s="1804"/>
      <c r="M49" s="1804"/>
      <c r="O49" s="125"/>
    </row>
    <row r="50" spans="3:15" x14ac:dyDescent="0.55000000000000004">
      <c r="C50" s="124"/>
      <c r="D50" s="1804"/>
      <c r="E50" s="1804"/>
      <c r="F50" s="1804"/>
      <c r="G50" s="1804"/>
      <c r="H50" s="1804"/>
      <c r="I50" s="1804"/>
      <c r="J50" s="1804"/>
      <c r="K50" s="1804"/>
      <c r="L50" s="1804"/>
      <c r="M50" s="1804"/>
      <c r="O50" s="125"/>
    </row>
    <row r="51" spans="3:15" x14ac:dyDescent="0.55000000000000004">
      <c r="C51" s="124"/>
      <c r="D51" s="1804"/>
      <c r="E51" s="1804"/>
      <c r="F51" s="1804"/>
      <c r="G51" s="1804"/>
      <c r="H51" s="1804"/>
      <c r="I51" s="1804"/>
      <c r="J51" s="1804"/>
      <c r="K51" s="1804"/>
      <c r="L51" s="1804"/>
      <c r="M51" s="1804"/>
      <c r="O51" s="125"/>
    </row>
    <row r="52" spans="3:15" ht="4.95" customHeight="1" x14ac:dyDescent="0.55000000000000004">
      <c r="C52" s="124"/>
      <c r="D52" s="120"/>
      <c r="O52" s="125"/>
    </row>
    <row r="53" spans="3:15" x14ac:dyDescent="0.55000000000000004">
      <c r="C53" s="124"/>
      <c r="D53" s="1804" t="s">
        <v>526</v>
      </c>
      <c r="E53" s="1804"/>
      <c r="F53" s="1804"/>
      <c r="G53" s="1804"/>
      <c r="H53" s="1804"/>
      <c r="I53" s="1804"/>
      <c r="J53" s="1804"/>
      <c r="K53" s="1804"/>
      <c r="L53" s="1804"/>
      <c r="M53" s="1804"/>
      <c r="O53" s="125"/>
    </row>
    <row r="54" spans="3:15" x14ac:dyDescent="0.55000000000000004">
      <c r="C54" s="124"/>
      <c r="D54" s="1804"/>
      <c r="E54" s="1804"/>
      <c r="F54" s="1804"/>
      <c r="G54" s="1804"/>
      <c r="H54" s="1804"/>
      <c r="I54" s="1804"/>
      <c r="J54" s="1804"/>
      <c r="K54" s="1804"/>
      <c r="L54" s="1804"/>
      <c r="M54" s="1804"/>
      <c r="O54" s="125"/>
    </row>
    <row r="55" spans="3:15" x14ac:dyDescent="0.55000000000000004">
      <c r="C55" s="124"/>
      <c r="D55" s="1"/>
      <c r="O55" s="125"/>
    </row>
    <row r="56" spans="3:15" ht="43.2" x14ac:dyDescent="0.55000000000000004">
      <c r="C56" s="124"/>
      <c r="D56" s="273" t="s">
        <v>27</v>
      </c>
      <c r="E56" s="56" t="s">
        <v>95</v>
      </c>
      <c r="F56" s="56" t="str">
        <f>"Number of customers "&amp;'1 Customer data'!$E$14</f>
        <v>Number of customers 2026</v>
      </c>
      <c r="G56" s="56" t="str">
        <f>"Volume of water sold (kl pa) "&amp;'1 Customer data'!$E$14</f>
        <v>Volume of water sold (kl pa) 2026</v>
      </c>
      <c r="H56" s="56" t="str">
        <f>"Default number of customers "&amp;'1 Customer data'!$F$14</f>
        <v>Default number of customers 2027</v>
      </c>
      <c r="I56" s="56" t="str">
        <f>"Customised number of customers "&amp;'1 Customer data'!$F$14</f>
        <v>Customised number of customers 2027</v>
      </c>
      <c r="J56" s="56" t="str">
        <f>"Default volume of water sold (kl pa) "&amp;'1 Customer data'!$F$14</f>
        <v>Default volume of water sold (kl pa) 2027</v>
      </c>
      <c r="K56" s="56" t="str">
        <f>"Customised volume of water sold (kl pa) "&amp;'1 Customer data'!$F$14</f>
        <v>Customised volume of water sold (kl pa) 2027</v>
      </c>
      <c r="L56" s="56" t="s">
        <v>285</v>
      </c>
      <c r="M56" s="56" t="str">
        <f>"Volume of wastewater treated (kl pa) "&amp;'1 Customer data'!$F$14</f>
        <v>Volume of wastewater treated (kl pa) 2027</v>
      </c>
      <c r="O56" s="125"/>
    </row>
    <row r="57" spans="3:15" x14ac:dyDescent="0.55000000000000004">
      <c r="C57" s="124"/>
      <c r="D57" s="14" t="s">
        <v>30</v>
      </c>
      <c r="E57" s="50" t="s">
        <v>30</v>
      </c>
      <c r="F57" s="13">
        <v>16707</v>
      </c>
      <c r="G57" s="13">
        <f>G21+G22</f>
        <v>2028743</v>
      </c>
      <c r="H57" s="21">
        <f>F57*(1+'1 Customer data'!$G$30)</f>
        <v>17158.089</v>
      </c>
      <c r="I57" s="1434"/>
      <c r="J57" s="21">
        <f>G57*(1+'1 Customer data'!$G$31)</f>
        <v>2083519.0609999998</v>
      </c>
      <c r="K57" s="1434"/>
      <c r="L57" s="52">
        <f>'1 Customer data'!$F$32</f>
        <v>0.7</v>
      </c>
      <c r="M57" s="21">
        <f>IF(K57="",J57,K57)*L57</f>
        <v>1458463.3426999997</v>
      </c>
      <c r="O57" s="125"/>
    </row>
    <row r="58" spans="3:15" x14ac:dyDescent="0.55000000000000004">
      <c r="C58" s="124"/>
      <c r="D58" s="14" t="s">
        <v>269</v>
      </c>
      <c r="E58" s="50" t="s">
        <v>269</v>
      </c>
      <c r="F58" s="13">
        <v>718</v>
      </c>
      <c r="G58" s="13">
        <f>G26+G25</f>
        <v>827299</v>
      </c>
      <c r="H58" s="21">
        <f>F58*(1+'1 Customer data'!$G$30)</f>
        <v>737.38599999999997</v>
      </c>
      <c r="I58" s="51"/>
      <c r="J58" s="21">
        <f>G58*(1+'1 Customer data'!$G$31)</f>
        <v>849636.07299999997</v>
      </c>
      <c r="K58" s="51"/>
      <c r="L58" s="52">
        <f>'1 Customer data'!$F$32</f>
        <v>0.7</v>
      </c>
      <c r="M58" s="21">
        <f t="shared" ref="M58:M76" si="2">IF(K58="",J58,K58)*L58</f>
        <v>594745.25109999999</v>
      </c>
      <c r="O58" s="125"/>
    </row>
    <row r="59" spans="3:15" x14ac:dyDescent="0.55000000000000004">
      <c r="C59" s="124"/>
      <c r="D59" s="14" t="s">
        <v>1654</v>
      </c>
      <c r="E59" s="50" t="s">
        <v>30</v>
      </c>
      <c r="F59" s="13">
        <v>17</v>
      </c>
      <c r="G59" s="13">
        <f>G27</f>
        <v>15644</v>
      </c>
      <c r="H59" s="21">
        <f>F59*(1+'1 Customer data'!$G$30)</f>
        <v>17.459</v>
      </c>
      <c r="I59" s="51"/>
      <c r="J59" s="21">
        <f>G59*(1+'1 Customer data'!$G$31)</f>
        <v>16066.387999999999</v>
      </c>
      <c r="K59" s="51"/>
      <c r="L59" s="52">
        <f>'1 Customer data'!$F$32</f>
        <v>0.7</v>
      </c>
      <c r="M59" s="21">
        <f t="shared" si="2"/>
        <v>11246.471599999999</v>
      </c>
      <c r="O59" s="125"/>
    </row>
    <row r="60" spans="3:15" x14ac:dyDescent="0.55000000000000004">
      <c r="C60" s="124"/>
      <c r="D60" s="14" t="s">
        <v>1655</v>
      </c>
      <c r="E60" s="50" t="s">
        <v>30</v>
      </c>
      <c r="F60" s="13">
        <v>3</v>
      </c>
      <c r="G60" s="13">
        <f>G28</f>
        <v>3674</v>
      </c>
      <c r="H60" s="21">
        <f>F60*(1+'1 Customer data'!$G$30)</f>
        <v>3.0809999999999995</v>
      </c>
      <c r="I60" s="51"/>
      <c r="J60" s="21">
        <f>G60*(1+'1 Customer data'!$G$31)</f>
        <v>3773.1979999999999</v>
      </c>
      <c r="K60" s="51"/>
      <c r="L60" s="52">
        <f>'1 Customer data'!$F$32</f>
        <v>0.7</v>
      </c>
      <c r="M60" s="21">
        <f t="shared" si="2"/>
        <v>2641.2385999999997</v>
      </c>
      <c r="O60" s="125"/>
    </row>
    <row r="61" spans="3:15" x14ac:dyDescent="0.55000000000000004">
      <c r="C61" s="124"/>
      <c r="D61" s="14" t="s">
        <v>1653</v>
      </c>
      <c r="E61" s="50" t="s">
        <v>270</v>
      </c>
      <c r="F61" s="13">
        <v>59</v>
      </c>
      <c r="G61" s="88">
        <f>G24</f>
        <v>85440</v>
      </c>
      <c r="H61" s="21">
        <f>F61*(1+'1 Customer data'!$G$30)</f>
        <v>60.592999999999996</v>
      </c>
      <c r="I61" s="51"/>
      <c r="J61" s="21">
        <f>G61*(1+'1 Customer data'!$G$31)</f>
        <v>87746.87999999999</v>
      </c>
      <c r="K61" s="51"/>
      <c r="L61" s="52">
        <f>'1 Customer data'!$F$32</f>
        <v>0.7</v>
      </c>
      <c r="M61" s="21">
        <f t="shared" si="2"/>
        <v>61422.815999999992</v>
      </c>
      <c r="O61" s="125"/>
    </row>
    <row r="62" spans="3:15" x14ac:dyDescent="0.55000000000000004">
      <c r="C62" s="124"/>
      <c r="D62" s="14" t="s">
        <v>1657</v>
      </c>
      <c r="E62" s="50" t="s">
        <v>270</v>
      </c>
      <c r="F62" s="13">
        <v>18</v>
      </c>
      <c r="G62" s="14"/>
      <c r="H62" s="21">
        <f>F62*(1+'1 Customer data'!$G$30)</f>
        <v>18.485999999999997</v>
      </c>
      <c r="I62" s="51"/>
      <c r="J62" s="21">
        <f>G62*(1+'1 Customer data'!$G$31)</f>
        <v>0</v>
      </c>
      <c r="K62" s="51"/>
      <c r="L62" s="52">
        <f>'1 Customer data'!$F$32</f>
        <v>0.7</v>
      </c>
      <c r="M62" s="21">
        <f t="shared" si="2"/>
        <v>0</v>
      </c>
      <c r="O62" s="125"/>
    </row>
    <row r="63" spans="3:15" x14ac:dyDescent="0.55000000000000004">
      <c r="C63" s="124"/>
      <c r="D63" s="14" t="s">
        <v>1652</v>
      </c>
      <c r="E63" s="50" t="s">
        <v>270</v>
      </c>
      <c r="F63" s="13">
        <v>9</v>
      </c>
      <c r="G63" s="88">
        <f>G23</f>
        <v>1854</v>
      </c>
      <c r="H63" s="21">
        <f>F63*(1+'1 Customer data'!$G$30)</f>
        <v>9.2429999999999986</v>
      </c>
      <c r="I63" s="51"/>
      <c r="J63" s="21">
        <f>G63*(1+'1 Customer data'!$G$31)</f>
        <v>1904.0579999999998</v>
      </c>
      <c r="K63" s="51"/>
      <c r="L63" s="52">
        <f>'1 Customer data'!$F$32</f>
        <v>0.7</v>
      </c>
      <c r="M63" s="21">
        <f t="shared" si="2"/>
        <v>1332.8405999999998</v>
      </c>
      <c r="O63" s="125"/>
    </row>
    <row r="64" spans="3:15" x14ac:dyDescent="0.55000000000000004">
      <c r="C64" s="124"/>
      <c r="D64" s="14" t="s">
        <v>1658</v>
      </c>
      <c r="E64" s="50" t="s">
        <v>270</v>
      </c>
      <c r="F64" s="13">
        <v>81</v>
      </c>
      <c r="G64" s="14"/>
      <c r="H64" s="21">
        <f>F64*(1+'1 Customer data'!$G$30)</f>
        <v>83.186999999999998</v>
      </c>
      <c r="I64" s="51"/>
      <c r="J64" s="21">
        <f>G64*(1+'1 Customer data'!$G$31)</f>
        <v>0</v>
      </c>
      <c r="K64" s="51"/>
      <c r="L64" s="52">
        <f>'1 Customer data'!$F$32</f>
        <v>0.7</v>
      </c>
      <c r="M64" s="21">
        <f t="shared" si="2"/>
        <v>0</v>
      </c>
      <c r="O64" s="125"/>
    </row>
    <row r="65" spans="3:15" x14ac:dyDescent="0.55000000000000004">
      <c r="C65" s="124"/>
      <c r="D65" s="14" t="s">
        <v>1659</v>
      </c>
      <c r="E65" s="50" t="s">
        <v>269</v>
      </c>
      <c r="F65" s="13">
        <v>31</v>
      </c>
      <c r="G65" s="88">
        <f>G29</f>
        <v>6540</v>
      </c>
      <c r="H65" s="21">
        <f>F65*(1+'1 Customer data'!$G$30)</f>
        <v>31.836999999999996</v>
      </c>
      <c r="I65" s="51"/>
      <c r="J65" s="21">
        <f>G65*(1+'1 Customer data'!$G$31)</f>
        <v>6716.579999999999</v>
      </c>
      <c r="K65" s="51"/>
      <c r="L65" s="52">
        <f>'1 Customer data'!$F$32</f>
        <v>0.7</v>
      </c>
      <c r="M65" s="21">
        <f t="shared" si="2"/>
        <v>4701.6059999999989</v>
      </c>
      <c r="O65" s="125"/>
    </row>
    <row r="66" spans="3:15" x14ac:dyDescent="0.55000000000000004">
      <c r="C66" s="124"/>
      <c r="D66" s="14"/>
      <c r="E66" s="50"/>
      <c r="F66" s="13"/>
      <c r="G66" s="14"/>
      <c r="H66" s="21">
        <f>F66*(1+'1 Customer data'!$G$30)</f>
        <v>0</v>
      </c>
      <c r="I66" s="51"/>
      <c r="J66" s="21">
        <f>G66*(1+'1 Customer data'!$G$31)</f>
        <v>0</v>
      </c>
      <c r="K66" s="51"/>
      <c r="L66" s="52"/>
      <c r="M66" s="21">
        <f t="shared" si="2"/>
        <v>0</v>
      </c>
      <c r="O66" s="125"/>
    </row>
    <row r="67" spans="3:15" x14ac:dyDescent="0.55000000000000004">
      <c r="C67" s="124"/>
      <c r="D67" s="14"/>
      <c r="E67" s="50"/>
      <c r="F67" s="13"/>
      <c r="G67" s="14"/>
      <c r="H67" s="21">
        <f>F67*(1+'1 Customer data'!$G$30)</f>
        <v>0</v>
      </c>
      <c r="I67" s="51"/>
      <c r="J67" s="21">
        <f>G67*(1+'1 Customer data'!$G$31)</f>
        <v>0</v>
      </c>
      <c r="K67" s="51"/>
      <c r="L67" s="52"/>
      <c r="M67" s="21">
        <f t="shared" si="2"/>
        <v>0</v>
      </c>
      <c r="O67" s="125"/>
    </row>
    <row r="68" spans="3:15" x14ac:dyDescent="0.55000000000000004">
      <c r="C68" s="124"/>
      <c r="D68" s="14"/>
      <c r="E68" s="50"/>
      <c r="F68" s="13"/>
      <c r="G68" s="14"/>
      <c r="H68" s="21">
        <f>F68*(1+'1 Customer data'!$G$30)</f>
        <v>0</v>
      </c>
      <c r="I68" s="51"/>
      <c r="J68" s="21">
        <f>G68*(1+'1 Customer data'!$G$31)</f>
        <v>0</v>
      </c>
      <c r="K68" s="51"/>
      <c r="L68" s="52"/>
      <c r="M68" s="21">
        <f t="shared" si="2"/>
        <v>0</v>
      </c>
      <c r="O68" s="125"/>
    </row>
    <row r="69" spans="3:15" x14ac:dyDescent="0.55000000000000004">
      <c r="C69" s="124"/>
      <c r="D69" s="14"/>
      <c r="E69" s="50"/>
      <c r="F69" s="13"/>
      <c r="G69" s="14"/>
      <c r="H69" s="21">
        <f>F69*(1+'1 Customer data'!$G$30)</f>
        <v>0</v>
      </c>
      <c r="I69" s="51"/>
      <c r="J69" s="21">
        <f>G69*(1+'1 Customer data'!$G$31)</f>
        <v>0</v>
      </c>
      <c r="K69" s="51"/>
      <c r="L69" s="52"/>
      <c r="M69" s="21">
        <f t="shared" si="2"/>
        <v>0</v>
      </c>
      <c r="O69" s="125"/>
    </row>
    <row r="70" spans="3:15" x14ac:dyDescent="0.55000000000000004">
      <c r="C70" s="124"/>
      <c r="D70" s="14"/>
      <c r="E70" s="50"/>
      <c r="F70" s="14"/>
      <c r="G70" s="14"/>
      <c r="H70" s="21">
        <f>F70*(1+'1 Customer data'!$G$30)</f>
        <v>0</v>
      </c>
      <c r="I70" s="51"/>
      <c r="J70" s="21">
        <f>G70*(1+'1 Customer data'!$G$31)</f>
        <v>0</v>
      </c>
      <c r="K70" s="51"/>
      <c r="L70" s="52"/>
      <c r="M70" s="21">
        <f t="shared" si="2"/>
        <v>0</v>
      </c>
      <c r="O70" s="125"/>
    </row>
    <row r="71" spans="3:15" x14ac:dyDescent="0.55000000000000004">
      <c r="C71" s="124"/>
      <c r="D71" s="14"/>
      <c r="E71" s="50"/>
      <c r="F71" s="14"/>
      <c r="G71" s="14"/>
      <c r="H71" s="21">
        <f>F71*(1+'1 Customer data'!$G$30)</f>
        <v>0</v>
      </c>
      <c r="I71" s="51"/>
      <c r="J71" s="21">
        <f>G71*(1+'1 Customer data'!$G$31)</f>
        <v>0</v>
      </c>
      <c r="K71" s="51"/>
      <c r="L71" s="52"/>
      <c r="M71" s="21">
        <f t="shared" si="2"/>
        <v>0</v>
      </c>
      <c r="O71" s="125"/>
    </row>
    <row r="72" spans="3:15" x14ac:dyDescent="0.55000000000000004">
      <c r="C72" s="124"/>
      <c r="D72" s="14"/>
      <c r="E72" s="50"/>
      <c r="F72" s="14"/>
      <c r="G72" s="14"/>
      <c r="H72" s="21">
        <f>F72*(1+'1 Customer data'!$G$30)</f>
        <v>0</v>
      </c>
      <c r="I72" s="51"/>
      <c r="J72" s="21">
        <f>G72*(1+'1 Customer data'!$G$31)</f>
        <v>0</v>
      </c>
      <c r="K72" s="51"/>
      <c r="L72" s="52"/>
      <c r="M72" s="21">
        <f t="shared" si="2"/>
        <v>0</v>
      </c>
      <c r="O72" s="125"/>
    </row>
    <row r="73" spans="3:15" x14ac:dyDescent="0.55000000000000004">
      <c r="C73" s="124"/>
      <c r="D73" s="14"/>
      <c r="E73" s="50"/>
      <c r="F73" s="14"/>
      <c r="G73" s="14"/>
      <c r="H73" s="21">
        <f>F73*(1+'1 Customer data'!$G$30)</f>
        <v>0</v>
      </c>
      <c r="I73" s="51"/>
      <c r="J73" s="21">
        <f>G73*(1+'1 Customer data'!$G$31)</f>
        <v>0</v>
      </c>
      <c r="K73" s="51"/>
      <c r="L73" s="52"/>
      <c r="M73" s="21">
        <f t="shared" si="2"/>
        <v>0</v>
      </c>
      <c r="O73" s="125"/>
    </row>
    <row r="74" spans="3:15" x14ac:dyDescent="0.55000000000000004">
      <c r="C74" s="124"/>
      <c r="D74" s="14"/>
      <c r="E74" s="50"/>
      <c r="F74" s="14"/>
      <c r="G74" s="14"/>
      <c r="H74" s="21">
        <f>F74*(1+'1 Customer data'!$G$30)</f>
        <v>0</v>
      </c>
      <c r="I74" s="51"/>
      <c r="J74" s="21">
        <f>G74*(1+'1 Customer data'!$G$31)</f>
        <v>0</v>
      </c>
      <c r="K74" s="51"/>
      <c r="L74" s="52"/>
      <c r="M74" s="21">
        <f t="shared" si="2"/>
        <v>0</v>
      </c>
      <c r="O74" s="125"/>
    </row>
    <row r="75" spans="3:15" x14ac:dyDescent="0.55000000000000004">
      <c r="C75" s="124"/>
      <c r="D75" s="14"/>
      <c r="E75" s="50"/>
      <c r="F75" s="14"/>
      <c r="G75" s="14"/>
      <c r="H75" s="21">
        <f>F75*(1+'1 Customer data'!$G$30)</f>
        <v>0</v>
      </c>
      <c r="I75" s="51"/>
      <c r="J75" s="21">
        <f>G75*(1+'1 Customer data'!$G$31)</f>
        <v>0</v>
      </c>
      <c r="K75" s="51"/>
      <c r="L75" s="52"/>
      <c r="M75" s="21">
        <f t="shared" si="2"/>
        <v>0</v>
      </c>
      <c r="O75" s="125"/>
    </row>
    <row r="76" spans="3:15" x14ac:dyDescent="0.55000000000000004">
      <c r="C76" s="124"/>
      <c r="D76" s="14"/>
      <c r="E76" s="50"/>
      <c r="F76" s="14"/>
      <c r="G76" s="14"/>
      <c r="H76" s="21">
        <f>F76*(1+'1 Customer data'!$G$30)</f>
        <v>0</v>
      </c>
      <c r="I76" s="51"/>
      <c r="J76" s="21">
        <f>G76*(1+'1 Customer data'!$G$31)</f>
        <v>0</v>
      </c>
      <c r="K76" s="51"/>
      <c r="L76" s="52"/>
      <c r="M76" s="21">
        <f t="shared" si="2"/>
        <v>0</v>
      </c>
      <c r="O76" s="125"/>
    </row>
    <row r="77" spans="3:15" x14ac:dyDescent="0.55000000000000004">
      <c r="C77" s="124"/>
      <c r="D77" s="1" t="s">
        <v>33</v>
      </c>
      <c r="F77" s="17">
        <f t="shared" ref="F77:K77" si="3">SUM(F57:F76)</f>
        <v>17643</v>
      </c>
      <c r="G77" s="17">
        <f t="shared" si="3"/>
        <v>2969194</v>
      </c>
      <c r="H77" s="17">
        <f t="shared" si="3"/>
        <v>18119.360999999997</v>
      </c>
      <c r="I77" s="17">
        <f t="shared" si="3"/>
        <v>0</v>
      </c>
      <c r="J77" s="17">
        <f t="shared" si="3"/>
        <v>3049362.2379999994</v>
      </c>
      <c r="K77" s="17">
        <f t="shared" si="3"/>
        <v>0</v>
      </c>
      <c r="L77" s="17"/>
      <c r="M77" s="17">
        <f>SUM(M57:M76)</f>
        <v>2134553.5666</v>
      </c>
      <c r="O77" s="125"/>
    </row>
    <row r="78" spans="3:15" x14ac:dyDescent="0.55000000000000004">
      <c r="C78" s="124"/>
      <c r="D78" s="55" t="s">
        <v>108</v>
      </c>
      <c r="E78" s="1"/>
      <c r="F78" s="54">
        <f>F77-'1 Customer data'!E30</f>
        <v>0</v>
      </c>
      <c r="G78" s="54">
        <f>G77-'1 Customer data'!E31</f>
        <v>0</v>
      </c>
      <c r="H78" s="54">
        <f>H77-'1 Customer data'!F30</f>
        <v>0</v>
      </c>
      <c r="I78" s="55" t="str">
        <f>IF(I77=0,"",I77-'1 Customer data'!$F30)</f>
        <v/>
      </c>
      <c r="J78" s="54">
        <f>J77-'1 Customer data'!F31</f>
        <v>0</v>
      </c>
      <c r="K78" s="55" t="str">
        <f>IF(K77=0,"",K77-'1 Customer data'!$F31)</f>
        <v/>
      </c>
      <c r="L78" s="1"/>
      <c r="M78" s="54">
        <f>M77-'1 Customer data'!F34</f>
        <v>0</v>
      </c>
      <c r="O78" s="125"/>
    </row>
    <row r="79" spans="3:15" ht="14.7" thickBot="1" x14ac:dyDescent="0.6">
      <c r="C79" s="130"/>
      <c r="D79" s="241"/>
      <c r="E79" s="262"/>
      <c r="F79" s="262"/>
      <c r="G79" s="262"/>
      <c r="H79" s="131"/>
      <c r="I79" s="131"/>
      <c r="J79" s="131"/>
      <c r="K79" s="131"/>
      <c r="L79" s="131"/>
      <c r="M79" s="131"/>
      <c r="N79" s="131"/>
      <c r="O79" s="132"/>
    </row>
    <row r="80" spans="3:15" ht="14.7" thickBot="1" x14ac:dyDescent="0.6">
      <c r="D80" s="1"/>
      <c r="E80" s="17"/>
      <c r="F80" s="17"/>
      <c r="G80" s="17"/>
    </row>
    <row r="81" spans="3:15" x14ac:dyDescent="0.55000000000000004">
      <c r="C81" s="121"/>
      <c r="D81" s="244"/>
      <c r="E81" s="274"/>
      <c r="F81" s="274"/>
      <c r="G81" s="274"/>
      <c r="H81" s="122"/>
      <c r="I81" s="122"/>
      <c r="J81" s="122"/>
      <c r="K81" s="122"/>
      <c r="L81" s="122"/>
      <c r="M81" s="122"/>
      <c r="N81" s="122"/>
      <c r="O81" s="123"/>
    </row>
    <row r="82" spans="3:15" x14ac:dyDescent="0.55000000000000004">
      <c r="C82" s="124"/>
      <c r="D82" s="1" t="s">
        <v>56</v>
      </c>
      <c r="O82" s="125"/>
    </row>
    <row r="83" spans="3:15" ht="8.5500000000000007" customHeight="1" x14ac:dyDescent="0.55000000000000004">
      <c r="C83" s="124"/>
      <c r="D83" s="1"/>
      <c r="O83" s="125"/>
    </row>
    <row r="84" spans="3:15" x14ac:dyDescent="0.55000000000000004">
      <c r="C84" s="124"/>
      <c r="D84" s="1804" t="s">
        <v>529</v>
      </c>
      <c r="E84" s="1804"/>
      <c r="F84" s="1804"/>
      <c r="G84" s="1804"/>
      <c r="H84" s="1804"/>
      <c r="I84" s="1804"/>
      <c r="J84" s="1804"/>
      <c r="K84" s="1804"/>
      <c r="L84" s="1804"/>
      <c r="M84" s="1804"/>
      <c r="N84" s="1804"/>
      <c r="O84" s="125"/>
    </row>
    <row r="85" spans="3:15" x14ac:dyDescent="0.55000000000000004">
      <c r="C85" s="124"/>
      <c r="D85" s="1804"/>
      <c r="E85" s="1804"/>
      <c r="F85" s="1804"/>
      <c r="G85" s="1804"/>
      <c r="H85" s="1804"/>
      <c r="I85" s="1804"/>
      <c r="J85" s="1804"/>
      <c r="K85" s="1804"/>
      <c r="L85" s="1804"/>
      <c r="M85" s="1804"/>
      <c r="N85" s="1804"/>
      <c r="O85" s="125"/>
    </row>
    <row r="86" spans="3:15" x14ac:dyDescent="0.55000000000000004">
      <c r="C86" s="124"/>
      <c r="D86" s="1804"/>
      <c r="E86" s="1804"/>
      <c r="F86" s="1804"/>
      <c r="G86" s="1804"/>
      <c r="H86" s="1804"/>
      <c r="I86" s="1804"/>
      <c r="J86" s="1804"/>
      <c r="K86" s="1804"/>
      <c r="L86" s="1804"/>
      <c r="M86" s="1804"/>
      <c r="N86" s="1804"/>
      <c r="O86" s="125"/>
    </row>
    <row r="87" spans="3:15" x14ac:dyDescent="0.55000000000000004">
      <c r="C87" s="124"/>
      <c r="D87" s="1804"/>
      <c r="E87" s="1804"/>
      <c r="F87" s="1804"/>
      <c r="G87" s="1804"/>
      <c r="H87" s="1804"/>
      <c r="I87" s="1804"/>
      <c r="J87" s="1804"/>
      <c r="K87" s="1804"/>
      <c r="L87" s="1804"/>
      <c r="M87" s="1804"/>
      <c r="N87" s="1804"/>
      <c r="O87" s="125"/>
    </row>
    <row r="88" spans="3:15" ht="6" customHeight="1" x14ac:dyDescent="0.55000000000000004">
      <c r="C88" s="124"/>
      <c r="D88" s="1"/>
      <c r="O88" s="125"/>
    </row>
    <row r="89" spans="3:15" x14ac:dyDescent="0.55000000000000004">
      <c r="C89" s="124"/>
      <c r="D89" s="1804" t="s">
        <v>526</v>
      </c>
      <c r="E89" s="1804"/>
      <c r="F89" s="1804"/>
      <c r="G89" s="1804"/>
      <c r="H89" s="1804"/>
      <c r="I89" s="1804"/>
      <c r="J89" s="1804"/>
      <c r="K89" s="1804"/>
      <c r="L89" s="1804"/>
      <c r="M89" s="1804"/>
      <c r="N89" s="1804"/>
      <c r="O89" s="125"/>
    </row>
    <row r="90" spans="3:15" x14ac:dyDescent="0.55000000000000004">
      <c r="C90" s="124"/>
      <c r="D90" s="1804"/>
      <c r="E90" s="1804"/>
      <c r="F90" s="1804"/>
      <c r="G90" s="1804"/>
      <c r="H90" s="1804"/>
      <c r="I90" s="1804"/>
      <c r="J90" s="1804"/>
      <c r="K90" s="1804"/>
      <c r="L90" s="1804"/>
      <c r="M90" s="1804"/>
      <c r="N90" s="1804"/>
      <c r="O90" s="125"/>
    </row>
    <row r="91" spans="3:15" x14ac:dyDescent="0.55000000000000004">
      <c r="C91" s="124"/>
      <c r="D91" s="1"/>
      <c r="O91" s="125"/>
    </row>
    <row r="92" spans="3:15" ht="43.2" x14ac:dyDescent="0.55000000000000004">
      <c r="C92" s="124"/>
      <c r="D92" s="272" t="s">
        <v>27</v>
      </c>
      <c r="E92" s="272" t="s">
        <v>95</v>
      </c>
      <c r="F92" s="56" t="str">
        <f>"Number of customers "&amp;'1 Customer data'!$E$14</f>
        <v>Number of customers 2026</v>
      </c>
      <c r="G92" s="56" t="str">
        <f>"Volume sold (kl pa) "&amp;'1 Customer data'!$E$14</f>
        <v>Volume sold (kl pa) 2026</v>
      </c>
      <c r="H92" s="56" t="str">
        <f>"Maximum demand (kVA) "&amp;'1 Customer data'!$E$14</f>
        <v>Maximum demand (kVA) 2026</v>
      </c>
      <c r="I92" s="56" t="str">
        <f>"Default number of customers "&amp;'1 Customer data'!$F$14</f>
        <v>Default number of customers 2027</v>
      </c>
      <c r="J92" s="56" t="str">
        <f>"Customised number of customers "&amp;'1 Customer data'!$F$14</f>
        <v>Customised number of customers 2027</v>
      </c>
      <c r="K92" s="56" t="str">
        <f>"Default volume sold (kWh pa) "&amp;'1 Customer data'!$F$14</f>
        <v>Default volume sold (kWh pa) 2027</v>
      </c>
      <c r="L92" s="56" t="str">
        <f>"Customised volume sold (kWh pa) "&amp;'1 Customer data'!$F$14</f>
        <v>Customised volume sold (kWh pa) 2027</v>
      </c>
      <c r="M92" s="56" t="str">
        <f>"Default maximum demand (kVA) "&amp;'1 Customer data'!$F$14</f>
        <v>Default maximum demand (kVA) 2027</v>
      </c>
      <c r="N92" s="56" t="str">
        <f>"Customised maximum demand (kVA) "&amp;'1 Customer data'!$F$14</f>
        <v>Customised maximum demand (kVA) 2027</v>
      </c>
      <c r="O92" s="125"/>
    </row>
    <row r="93" spans="3:15" x14ac:dyDescent="0.55000000000000004">
      <c r="C93" s="124"/>
      <c r="D93" s="14" t="s">
        <v>1660</v>
      </c>
      <c r="E93" s="50" t="s">
        <v>32</v>
      </c>
      <c r="F93" s="13">
        <v>45</v>
      </c>
      <c r="G93" s="13">
        <v>13629539</v>
      </c>
      <c r="H93" s="14">
        <v>42718</v>
      </c>
      <c r="I93" s="31">
        <f>F93*(1+'1 Customer data'!$G$88)</f>
        <v>45</v>
      </c>
      <c r="J93" s="1434"/>
      <c r="K93" s="31">
        <f>G93*(1+'1 Customer data'!$G$89)</f>
        <v>13629539</v>
      </c>
      <c r="L93" s="1434"/>
      <c r="M93" s="36">
        <f>H93*(1+'1 Customer data'!$G$90)</f>
        <v>42718</v>
      </c>
      <c r="N93" s="1435"/>
      <c r="O93" s="125"/>
    </row>
    <row r="94" spans="3:15" x14ac:dyDescent="0.55000000000000004">
      <c r="C94" s="124"/>
      <c r="D94" s="14" t="s">
        <v>1661</v>
      </c>
      <c r="E94" s="50" t="s">
        <v>32</v>
      </c>
      <c r="F94" s="13">
        <v>5</v>
      </c>
      <c r="G94" s="13">
        <v>3575779</v>
      </c>
      <c r="H94" s="14">
        <v>12317</v>
      </c>
      <c r="I94" s="31">
        <f>F94*(1+'1 Customer data'!$G$88)</f>
        <v>5</v>
      </c>
      <c r="J94" s="51"/>
      <c r="K94" s="31">
        <f>G94*(1+'1 Customer data'!$G$89)</f>
        <v>3575779</v>
      </c>
      <c r="L94" s="51"/>
      <c r="M94" s="36">
        <f>H94*(1+'1 Customer data'!$G$90)</f>
        <v>12317</v>
      </c>
      <c r="N94" s="51"/>
      <c r="O94" s="125"/>
    </row>
    <row r="95" spans="3:15" x14ac:dyDescent="0.55000000000000004">
      <c r="C95" s="124"/>
      <c r="D95" s="14" t="s">
        <v>1662</v>
      </c>
      <c r="E95" s="50" t="s">
        <v>269</v>
      </c>
      <c r="F95" s="13">
        <v>489</v>
      </c>
      <c r="G95" s="13">
        <v>5308634</v>
      </c>
      <c r="H95" s="14"/>
      <c r="I95" s="31">
        <f>F95*(1+'1 Customer data'!$G$88)</f>
        <v>489</v>
      </c>
      <c r="J95" s="51"/>
      <c r="K95" s="31">
        <f>G95*(1+'1 Customer data'!$G$89)</f>
        <v>5308634</v>
      </c>
      <c r="L95" s="51"/>
      <c r="M95" s="36">
        <f>H95*(1+'1 Customer data'!$G$90)</f>
        <v>0</v>
      </c>
      <c r="N95" s="51"/>
      <c r="O95" s="125"/>
    </row>
    <row r="96" spans="3:15" x14ac:dyDescent="0.55000000000000004">
      <c r="C96" s="124"/>
      <c r="D96" s="14" t="s">
        <v>1663</v>
      </c>
      <c r="E96" s="50" t="s">
        <v>269</v>
      </c>
      <c r="F96" s="13">
        <v>2</v>
      </c>
      <c r="G96" s="13">
        <v>11663</v>
      </c>
      <c r="H96" s="14"/>
      <c r="I96" s="31">
        <f>F96*(1+'1 Customer data'!$G$88)</f>
        <v>2</v>
      </c>
      <c r="J96" s="51"/>
      <c r="K96" s="31">
        <f>G96*(1+'1 Customer data'!$G$89)</f>
        <v>11663</v>
      </c>
      <c r="L96" s="51"/>
      <c r="M96" s="36">
        <f>H96*(1+'1 Customer data'!$G$90)</f>
        <v>0</v>
      </c>
      <c r="N96" s="51"/>
      <c r="O96" s="125"/>
    </row>
    <row r="97" spans="3:15" x14ac:dyDescent="0.55000000000000004">
      <c r="C97" s="124"/>
      <c r="D97" s="14" t="s">
        <v>30</v>
      </c>
      <c r="E97" s="50" t="s">
        <v>30</v>
      </c>
      <c r="F97" s="13">
        <v>316</v>
      </c>
      <c r="G97" s="13">
        <v>215721</v>
      </c>
      <c r="H97" s="14"/>
      <c r="I97" s="31">
        <f>F97*(1+'1 Customer data'!$G$88)</f>
        <v>316</v>
      </c>
      <c r="J97" s="51"/>
      <c r="K97" s="31">
        <f>G97*(1+'1 Customer data'!$G$89)</f>
        <v>215721</v>
      </c>
      <c r="L97" s="51"/>
      <c r="M97" s="36">
        <f>H97*(1+'1 Customer data'!$G$90)</f>
        <v>0</v>
      </c>
      <c r="N97" s="51"/>
      <c r="O97" s="125"/>
    </row>
    <row r="98" spans="3:15" x14ac:dyDescent="0.55000000000000004">
      <c r="C98" s="124"/>
      <c r="D98" s="14" t="s">
        <v>1664</v>
      </c>
      <c r="E98" s="50" t="s">
        <v>30</v>
      </c>
      <c r="F98" s="13">
        <v>1578</v>
      </c>
      <c r="G98" s="13">
        <v>10509085.399999999</v>
      </c>
      <c r="H98" s="14"/>
      <c r="I98" s="31">
        <f>F98*(1+'1 Customer data'!$G$88)</f>
        <v>1578</v>
      </c>
      <c r="J98" s="51"/>
      <c r="K98" s="31">
        <f>G98*(1+'1 Customer data'!$G$89)</f>
        <v>10509085.399999999</v>
      </c>
      <c r="L98" s="51"/>
      <c r="M98" s="36">
        <f>H98*(1+'1 Customer data'!$G$90)</f>
        <v>0</v>
      </c>
      <c r="N98" s="51"/>
      <c r="O98" s="125"/>
    </row>
    <row r="99" spans="3:15" x14ac:dyDescent="0.55000000000000004">
      <c r="C99" s="124"/>
      <c r="D99" s="14" t="s">
        <v>1665</v>
      </c>
      <c r="E99" s="50" t="s">
        <v>30</v>
      </c>
      <c r="F99" s="13">
        <v>3320</v>
      </c>
      <c r="G99" s="13">
        <v>8759661.5999999996</v>
      </c>
      <c r="H99" s="14"/>
      <c r="I99" s="31">
        <f>F99*(1+'1 Customer data'!$G$88)</f>
        <v>3320</v>
      </c>
      <c r="J99" s="51"/>
      <c r="K99" s="31">
        <f>G99*(1+'1 Customer data'!$G$89)</f>
        <v>8759661.5999999996</v>
      </c>
      <c r="L99" s="51"/>
      <c r="M99" s="36">
        <f>H99*(1+'1 Customer data'!$G$90)</f>
        <v>0</v>
      </c>
      <c r="N99" s="51"/>
      <c r="O99" s="125"/>
    </row>
    <row r="100" spans="3:15" x14ac:dyDescent="0.55000000000000004">
      <c r="C100" s="124"/>
      <c r="D100" s="14" t="s">
        <v>1666</v>
      </c>
      <c r="E100" s="50" t="s">
        <v>268</v>
      </c>
      <c r="F100" s="13">
        <v>2621</v>
      </c>
      <c r="G100" s="13">
        <v>4005986.6999999997</v>
      </c>
      <c r="H100" s="14"/>
      <c r="I100" s="31">
        <f>F100*(1+'1 Customer data'!$G$88)</f>
        <v>2621</v>
      </c>
      <c r="J100" s="51"/>
      <c r="K100" s="31">
        <f>G100*(1+'1 Customer data'!$G$89)</f>
        <v>4005986.6999999997</v>
      </c>
      <c r="L100" s="51"/>
      <c r="M100" s="36">
        <f>H100*(1+'1 Customer data'!$G$90)</f>
        <v>0</v>
      </c>
      <c r="N100" s="51"/>
      <c r="O100" s="125"/>
    </row>
    <row r="101" spans="3:15" x14ac:dyDescent="0.55000000000000004">
      <c r="C101" s="124"/>
      <c r="D101" s="14" t="s">
        <v>1667</v>
      </c>
      <c r="E101" s="50" t="s">
        <v>269</v>
      </c>
      <c r="F101" s="14">
        <v>457</v>
      </c>
      <c r="G101" s="14">
        <v>5004386.3000000007</v>
      </c>
      <c r="H101" s="14"/>
      <c r="I101" s="31">
        <f>F101*(1+'1 Customer data'!$G$88)</f>
        <v>457</v>
      </c>
      <c r="J101" s="51"/>
      <c r="K101" s="31">
        <f>G101*(1+'1 Customer data'!$G$89)</f>
        <v>5004386.3000000007</v>
      </c>
      <c r="L101" s="51"/>
      <c r="M101" s="36">
        <f>H101*(1+'1 Customer data'!$G$90)</f>
        <v>0</v>
      </c>
      <c r="N101" s="51"/>
      <c r="O101" s="125"/>
    </row>
    <row r="102" spans="3:15" x14ac:dyDescent="0.55000000000000004">
      <c r="C102" s="124"/>
      <c r="D102" s="14"/>
      <c r="E102" s="50"/>
      <c r="F102" s="14"/>
      <c r="G102" s="14"/>
      <c r="H102" s="14"/>
      <c r="I102" s="31">
        <f>F102*(1+'1 Customer data'!$G$88)</f>
        <v>0</v>
      </c>
      <c r="J102" s="51"/>
      <c r="K102" s="31">
        <f>G102*(1+'1 Customer data'!$G$89)</f>
        <v>0</v>
      </c>
      <c r="L102" s="51"/>
      <c r="M102" s="36">
        <f>H102*(1+'1 Customer data'!$G$90)</f>
        <v>0</v>
      </c>
      <c r="N102" s="51"/>
      <c r="O102" s="125"/>
    </row>
    <row r="103" spans="3:15" x14ac:dyDescent="0.55000000000000004">
      <c r="C103" s="124"/>
      <c r="D103" s="14"/>
      <c r="E103" s="50"/>
      <c r="F103" s="14"/>
      <c r="G103" s="14"/>
      <c r="H103" s="14"/>
      <c r="I103" s="31">
        <f>F103*(1+'1 Customer data'!$G$88)</f>
        <v>0</v>
      </c>
      <c r="J103" s="51"/>
      <c r="K103" s="31">
        <f>G103*(1+'1 Customer data'!$G$89)</f>
        <v>0</v>
      </c>
      <c r="L103" s="51"/>
      <c r="M103" s="36">
        <f>H103*(1+'1 Customer data'!$G$90)</f>
        <v>0</v>
      </c>
      <c r="N103" s="51"/>
      <c r="O103" s="125"/>
    </row>
    <row r="104" spans="3:15" x14ac:dyDescent="0.55000000000000004">
      <c r="C104" s="124"/>
      <c r="D104" s="14"/>
      <c r="E104" s="50"/>
      <c r="F104" s="14"/>
      <c r="G104" s="14"/>
      <c r="H104" s="14"/>
      <c r="I104" s="31">
        <f>F104*(1+'1 Customer data'!$G$88)</f>
        <v>0</v>
      </c>
      <c r="J104" s="51"/>
      <c r="K104" s="31">
        <f>G104*(1+'1 Customer data'!$G$89)</f>
        <v>0</v>
      </c>
      <c r="L104" s="51"/>
      <c r="M104" s="36">
        <f>H104*(1+'1 Customer data'!$G$90)</f>
        <v>0</v>
      </c>
      <c r="N104" s="51"/>
      <c r="O104" s="125"/>
    </row>
    <row r="105" spans="3:15" x14ac:dyDescent="0.55000000000000004">
      <c r="C105" s="124"/>
      <c r="D105" s="14"/>
      <c r="E105" s="50"/>
      <c r="F105" s="14"/>
      <c r="G105" s="14"/>
      <c r="H105" s="14"/>
      <c r="I105" s="31">
        <f>F105*(1+'1 Customer data'!$G$88)</f>
        <v>0</v>
      </c>
      <c r="J105" s="51"/>
      <c r="K105" s="31">
        <f>G105*(1+'1 Customer data'!$G$89)</f>
        <v>0</v>
      </c>
      <c r="L105" s="51"/>
      <c r="M105" s="36">
        <f>H105*(1+'1 Customer data'!$G$90)</f>
        <v>0</v>
      </c>
      <c r="N105" s="51"/>
      <c r="O105" s="125"/>
    </row>
    <row r="106" spans="3:15" x14ac:dyDescent="0.55000000000000004">
      <c r="C106" s="124"/>
      <c r="D106" s="14"/>
      <c r="E106" s="50"/>
      <c r="F106" s="14"/>
      <c r="G106" s="14"/>
      <c r="H106" s="14"/>
      <c r="I106" s="31">
        <f>F106*(1+'1 Customer data'!$G$88)</f>
        <v>0</v>
      </c>
      <c r="J106" s="51"/>
      <c r="K106" s="31">
        <f>G106*(1+'1 Customer data'!$G$89)</f>
        <v>0</v>
      </c>
      <c r="L106" s="51"/>
      <c r="M106" s="36">
        <f>H106*(1+'1 Customer data'!$G$90)</f>
        <v>0</v>
      </c>
      <c r="N106" s="51"/>
      <c r="O106" s="125"/>
    </row>
    <row r="107" spans="3:15" x14ac:dyDescent="0.55000000000000004">
      <c r="C107" s="124"/>
      <c r="D107" s="14"/>
      <c r="E107" s="50"/>
      <c r="F107" s="14"/>
      <c r="G107" s="14"/>
      <c r="H107" s="14"/>
      <c r="I107" s="31">
        <f>F107*(1+'1 Customer data'!$G$88)</f>
        <v>0</v>
      </c>
      <c r="J107" s="51"/>
      <c r="K107" s="31">
        <f>G107*(1+'1 Customer data'!$G$89)</f>
        <v>0</v>
      </c>
      <c r="L107" s="51"/>
      <c r="M107" s="36">
        <f>H107*(1+'1 Customer data'!$G$90)</f>
        <v>0</v>
      </c>
      <c r="N107" s="51"/>
      <c r="O107" s="125"/>
    </row>
    <row r="108" spans="3:15" x14ac:dyDescent="0.55000000000000004">
      <c r="C108" s="124"/>
      <c r="D108" s="14"/>
      <c r="E108" s="50"/>
      <c r="F108" s="14"/>
      <c r="G108" s="14"/>
      <c r="H108" s="14"/>
      <c r="I108" s="31">
        <f>F108*(1+'1 Customer data'!$G$88)</f>
        <v>0</v>
      </c>
      <c r="J108" s="51"/>
      <c r="K108" s="31">
        <f>G108*(1+'1 Customer data'!$G$89)</f>
        <v>0</v>
      </c>
      <c r="L108" s="51"/>
      <c r="M108" s="36">
        <f>H108*(1+'1 Customer data'!$G$90)</f>
        <v>0</v>
      </c>
      <c r="N108" s="51"/>
      <c r="O108" s="125"/>
    </row>
    <row r="109" spans="3:15" x14ac:dyDescent="0.55000000000000004">
      <c r="C109" s="124"/>
      <c r="D109" s="14"/>
      <c r="E109" s="50"/>
      <c r="F109" s="14"/>
      <c r="G109" s="14"/>
      <c r="H109" s="14"/>
      <c r="I109" s="31">
        <f>F109*(1+'1 Customer data'!$G$88)</f>
        <v>0</v>
      </c>
      <c r="J109" s="51"/>
      <c r="K109" s="31">
        <f>G109*(1+'1 Customer data'!$G$89)</f>
        <v>0</v>
      </c>
      <c r="L109" s="51"/>
      <c r="M109" s="36">
        <f>H109*(1+'1 Customer data'!$G$90)</f>
        <v>0</v>
      </c>
      <c r="N109" s="51"/>
      <c r="O109" s="125"/>
    </row>
    <row r="110" spans="3:15" x14ac:dyDescent="0.55000000000000004">
      <c r="C110" s="124"/>
      <c r="D110" s="14"/>
      <c r="E110" s="50"/>
      <c r="F110" s="14"/>
      <c r="G110" s="14"/>
      <c r="H110" s="14"/>
      <c r="I110" s="31">
        <f>F110*(1+'1 Customer data'!$G$88)</f>
        <v>0</v>
      </c>
      <c r="J110" s="51"/>
      <c r="K110" s="31">
        <f>G110*(1+'1 Customer data'!$G$89)</f>
        <v>0</v>
      </c>
      <c r="L110" s="51"/>
      <c r="M110" s="36">
        <f>H110*(1+'1 Customer data'!$G$90)</f>
        <v>0</v>
      </c>
      <c r="N110" s="51"/>
      <c r="O110" s="125"/>
    </row>
    <row r="111" spans="3:15" x14ac:dyDescent="0.55000000000000004">
      <c r="C111" s="124"/>
      <c r="D111" s="14"/>
      <c r="E111" s="50"/>
      <c r="F111" s="14"/>
      <c r="G111" s="14"/>
      <c r="H111" s="14"/>
      <c r="I111" s="31">
        <f>F111*(1+'1 Customer data'!$G$88)</f>
        <v>0</v>
      </c>
      <c r="J111" s="51"/>
      <c r="K111" s="31">
        <f>G111*(1+'1 Customer data'!$G$89)</f>
        <v>0</v>
      </c>
      <c r="L111" s="51"/>
      <c r="M111" s="36">
        <f>H111*(1+'1 Customer data'!$G$90)</f>
        <v>0</v>
      </c>
      <c r="N111" s="51"/>
      <c r="O111" s="125"/>
    </row>
    <row r="112" spans="3:15" x14ac:dyDescent="0.55000000000000004">
      <c r="C112" s="124"/>
      <c r="D112" s="14"/>
      <c r="E112" s="50"/>
      <c r="F112" s="14"/>
      <c r="G112" s="14"/>
      <c r="H112" s="14"/>
      <c r="I112" s="31">
        <f>F112*(1+'1 Customer data'!$G$88)</f>
        <v>0</v>
      </c>
      <c r="J112" s="51"/>
      <c r="K112" s="31">
        <f>G112*(1+'1 Customer data'!$G$89)</f>
        <v>0</v>
      </c>
      <c r="L112" s="51"/>
      <c r="M112" s="36">
        <f>H112*(1+'1 Customer data'!$G$90)</f>
        <v>0</v>
      </c>
      <c r="N112" s="51"/>
      <c r="O112" s="125"/>
    </row>
    <row r="113" spans="3:15" x14ac:dyDescent="0.55000000000000004">
      <c r="C113" s="124"/>
      <c r="D113" s="1" t="s">
        <v>33</v>
      </c>
      <c r="F113" s="17">
        <f t="shared" ref="F113:N113" si="4">SUM(F93:F112)</f>
        <v>8833</v>
      </c>
      <c r="G113" s="17">
        <f t="shared" si="4"/>
        <v>51020456</v>
      </c>
      <c r="H113" s="19">
        <f t="shared" si="4"/>
        <v>55035</v>
      </c>
      <c r="I113" s="17">
        <f t="shared" si="4"/>
        <v>8833</v>
      </c>
      <c r="J113" s="17">
        <f t="shared" si="4"/>
        <v>0</v>
      </c>
      <c r="K113" s="17">
        <f t="shared" si="4"/>
        <v>51020456</v>
      </c>
      <c r="L113" s="17">
        <f t="shared" si="4"/>
        <v>0</v>
      </c>
      <c r="M113" s="19">
        <f t="shared" si="4"/>
        <v>55035</v>
      </c>
      <c r="N113" s="19">
        <f t="shared" si="4"/>
        <v>0</v>
      </c>
      <c r="O113" s="125"/>
    </row>
    <row r="114" spans="3:15" x14ac:dyDescent="0.55000000000000004">
      <c r="C114" s="124"/>
      <c r="D114" s="133" t="s">
        <v>108</v>
      </c>
      <c r="F114" s="16">
        <f>F113-'1 Customer data'!E88</f>
        <v>0</v>
      </c>
      <c r="G114" s="16">
        <f>G113-'1 Customer data'!E89</f>
        <v>0</v>
      </c>
      <c r="H114" s="57">
        <f>H113-'1 Customer data'!E90</f>
        <v>0</v>
      </c>
      <c r="I114" s="16">
        <f>I113-'1 Customer data'!F88</f>
        <v>0</v>
      </c>
      <c r="J114" s="55" t="str">
        <f>IF(J113=0,"",J113-'1 Customer data'!$F88)</f>
        <v/>
      </c>
      <c r="K114" s="16">
        <f>K113-'1 Customer data'!F89</f>
        <v>0</v>
      </c>
      <c r="L114" s="55" t="str">
        <f>IF(L113=0,"",L113-'1 Customer data'!$F89)</f>
        <v/>
      </c>
      <c r="M114" s="57">
        <f>M113-'1 Customer data'!F90</f>
        <v>0</v>
      </c>
      <c r="N114" s="55" t="str">
        <f>IF(N113=0,"",N113-'1 Customer data'!$F90)</f>
        <v/>
      </c>
      <c r="O114" s="125"/>
    </row>
    <row r="115" spans="3:15" ht="14.7" thickBot="1" x14ac:dyDescent="0.6">
      <c r="C115" s="130"/>
      <c r="D115" s="241"/>
      <c r="E115" s="262"/>
      <c r="F115" s="262"/>
      <c r="G115" s="262"/>
      <c r="H115" s="131"/>
      <c r="I115" s="131"/>
      <c r="J115" s="131"/>
      <c r="K115" s="131"/>
      <c r="L115" s="131"/>
      <c r="M115" s="131"/>
      <c r="N115" s="131"/>
      <c r="O115" s="132"/>
    </row>
    <row r="116" spans="3:15" ht="14.7" thickBot="1" x14ac:dyDescent="0.6">
      <c r="D116" s="1"/>
      <c r="E116" s="17"/>
      <c r="F116" s="17"/>
      <c r="G116" s="17"/>
    </row>
    <row r="117" spans="3:15" x14ac:dyDescent="0.55000000000000004">
      <c r="C117" s="121"/>
      <c r="D117" s="244"/>
      <c r="E117" s="274"/>
      <c r="F117" s="274"/>
      <c r="G117" s="122"/>
      <c r="H117" s="122"/>
      <c r="I117" s="122"/>
      <c r="J117" s="122"/>
      <c r="K117" s="122"/>
      <c r="L117" s="122"/>
      <c r="M117" s="122"/>
      <c r="N117" s="122"/>
      <c r="O117" s="123"/>
    </row>
    <row r="118" spans="3:15" x14ac:dyDescent="0.55000000000000004">
      <c r="C118" s="124"/>
      <c r="D118" s="1" t="s">
        <v>55</v>
      </c>
      <c r="O118" s="125"/>
    </row>
    <row r="119" spans="3:15" ht="7.95" customHeight="1" x14ac:dyDescent="0.55000000000000004">
      <c r="C119" s="124"/>
      <c r="D119" s="1"/>
      <c r="O119" s="125"/>
    </row>
    <row r="120" spans="3:15" ht="14.55" customHeight="1" x14ac:dyDescent="0.55000000000000004">
      <c r="C120" s="124"/>
      <c r="D120" s="1804" t="s">
        <v>530</v>
      </c>
      <c r="E120" s="1804"/>
      <c r="F120" s="1804"/>
      <c r="G120" s="1804"/>
      <c r="H120" s="1804"/>
      <c r="I120" s="1804"/>
      <c r="J120" s="1804"/>
      <c r="K120" s="1804"/>
      <c r="O120" s="125"/>
    </row>
    <row r="121" spans="3:15" x14ac:dyDescent="0.55000000000000004">
      <c r="C121" s="124"/>
      <c r="D121" s="1804"/>
      <c r="E121" s="1804"/>
      <c r="F121" s="1804"/>
      <c r="G121" s="1804"/>
      <c r="H121" s="1804"/>
      <c r="I121" s="1804"/>
      <c r="J121" s="1804"/>
      <c r="K121" s="1804"/>
      <c r="O121" s="125"/>
    </row>
    <row r="122" spans="3:15" x14ac:dyDescent="0.55000000000000004">
      <c r="C122" s="124"/>
      <c r="D122" s="1804"/>
      <c r="E122" s="1804"/>
      <c r="F122" s="1804"/>
      <c r="G122" s="1804"/>
      <c r="H122" s="1804"/>
      <c r="I122" s="1804"/>
      <c r="J122" s="1804"/>
      <c r="K122" s="1804"/>
      <c r="O122" s="125"/>
    </row>
    <row r="123" spans="3:15" x14ac:dyDescent="0.55000000000000004">
      <c r="C123" s="124"/>
      <c r="D123" s="1804"/>
      <c r="E123" s="1804"/>
      <c r="F123" s="1804"/>
      <c r="G123" s="1804"/>
      <c r="H123" s="1804"/>
      <c r="I123" s="1804"/>
      <c r="J123" s="1804"/>
      <c r="K123" s="1804"/>
      <c r="O123" s="125"/>
    </row>
    <row r="124" spans="3:15" ht="8.5500000000000007" customHeight="1" x14ac:dyDescent="0.55000000000000004">
      <c r="C124" s="124"/>
      <c r="D124" s="119"/>
      <c r="E124" s="119"/>
      <c r="F124" s="119"/>
      <c r="G124" s="119"/>
      <c r="H124" s="119"/>
      <c r="I124" s="119"/>
      <c r="J124" s="119"/>
      <c r="K124" s="119"/>
      <c r="O124" s="125"/>
    </row>
    <row r="125" spans="3:15" x14ac:dyDescent="0.55000000000000004">
      <c r="C125" s="124"/>
      <c r="D125" s="1804" t="s">
        <v>526</v>
      </c>
      <c r="E125" s="1804"/>
      <c r="F125" s="1804"/>
      <c r="G125" s="1804"/>
      <c r="H125" s="1804"/>
      <c r="I125" s="1804"/>
      <c r="J125" s="1804"/>
      <c r="K125" s="1804"/>
      <c r="O125" s="125"/>
    </row>
    <row r="126" spans="3:15" x14ac:dyDescent="0.55000000000000004">
      <c r="C126" s="124"/>
      <c r="D126" s="1804"/>
      <c r="E126" s="1804"/>
      <c r="F126" s="1804"/>
      <c r="G126" s="1804"/>
      <c r="H126" s="1804"/>
      <c r="I126" s="1804"/>
      <c r="J126" s="1804"/>
      <c r="K126" s="1804"/>
      <c r="O126" s="125"/>
    </row>
    <row r="127" spans="3:15" x14ac:dyDescent="0.55000000000000004">
      <c r="C127" s="124"/>
      <c r="D127" s="1"/>
      <c r="O127" s="125"/>
    </row>
    <row r="128" spans="3:15" ht="57.6" x14ac:dyDescent="0.55000000000000004">
      <c r="C128" s="124"/>
      <c r="D128" s="273" t="s">
        <v>27</v>
      </c>
      <c r="E128" s="56" t="s">
        <v>95</v>
      </c>
      <c r="F128" s="56" t="str">
        <f>"Number of customers "&amp;'1 Customer data'!$E$14</f>
        <v>Number of customers 2026</v>
      </c>
      <c r="G128" s="56" t="str">
        <f>"Default number of customers "&amp;'1 Customer data'!$F$14</f>
        <v>Default number of customers 2027</v>
      </c>
      <c r="H128" s="56" t="str">
        <f>"Customised number of customers "&amp;'1 Customer data'!$F$14</f>
        <v>Customised number of customers 2027</v>
      </c>
      <c r="O128" s="125"/>
    </row>
    <row r="129" spans="3:15" x14ac:dyDescent="0.55000000000000004">
      <c r="C129" s="124"/>
      <c r="D129" s="14" t="s">
        <v>1668</v>
      </c>
      <c r="E129" s="50" t="s">
        <v>30</v>
      </c>
      <c r="F129" s="13">
        <v>17074</v>
      </c>
      <c r="G129" s="26">
        <f>F129*(1+'1 Customer data'!$G$99)</f>
        <v>17074</v>
      </c>
      <c r="H129" s="1434"/>
      <c r="O129" s="125"/>
    </row>
    <row r="130" spans="3:15" x14ac:dyDescent="0.55000000000000004">
      <c r="C130" s="124"/>
      <c r="D130" s="14" t="s">
        <v>269</v>
      </c>
      <c r="E130" s="50" t="s">
        <v>269</v>
      </c>
      <c r="F130" s="13">
        <v>774</v>
      </c>
      <c r="G130" s="26">
        <f>F130*(1+'1 Customer data'!$G$99)</f>
        <v>774</v>
      </c>
      <c r="H130" s="51"/>
      <c r="I130" s="5"/>
      <c r="O130" s="125"/>
    </row>
    <row r="131" spans="3:15" x14ac:dyDescent="0.55000000000000004">
      <c r="C131" s="124"/>
      <c r="D131" s="14" t="s">
        <v>1652</v>
      </c>
      <c r="E131" s="50" t="s">
        <v>270</v>
      </c>
      <c r="F131" s="13">
        <v>9</v>
      </c>
      <c r="G131" s="26">
        <f>F131*(1+'1 Customer data'!$G$99)</f>
        <v>9</v>
      </c>
      <c r="H131" s="51"/>
      <c r="O131" s="125"/>
    </row>
    <row r="132" spans="3:15" x14ac:dyDescent="0.55000000000000004">
      <c r="C132" s="124"/>
      <c r="D132" s="14" t="s">
        <v>1654</v>
      </c>
      <c r="E132" s="50" t="s">
        <v>30</v>
      </c>
      <c r="F132" s="13">
        <v>8</v>
      </c>
      <c r="G132" s="26">
        <f>F132*(1+'1 Customer data'!$G$99)</f>
        <v>8</v>
      </c>
      <c r="H132" s="51"/>
      <c r="O132" s="125"/>
    </row>
    <row r="133" spans="3:15" x14ac:dyDescent="0.55000000000000004">
      <c r="C133" s="124"/>
      <c r="D133" s="14" t="s">
        <v>1655</v>
      </c>
      <c r="E133" s="50" t="s">
        <v>30</v>
      </c>
      <c r="F133" s="13">
        <v>3</v>
      </c>
      <c r="G133" s="26">
        <f>F133*(1+'1 Customer data'!$G$99)</f>
        <v>3</v>
      </c>
      <c r="H133" s="51"/>
      <c r="O133" s="125"/>
    </row>
    <row r="134" spans="3:15" x14ac:dyDescent="0.55000000000000004">
      <c r="C134" s="124"/>
      <c r="D134" s="14"/>
      <c r="E134" s="50"/>
      <c r="F134" s="13"/>
      <c r="G134" s="26">
        <f>F134*(1+'1 Customer data'!$G$99)</f>
        <v>0</v>
      </c>
      <c r="H134" s="51"/>
      <c r="O134" s="125"/>
    </row>
    <row r="135" spans="3:15" x14ac:dyDescent="0.55000000000000004">
      <c r="C135" s="124"/>
      <c r="D135" s="14"/>
      <c r="E135" s="50"/>
      <c r="F135" s="13"/>
      <c r="G135" s="26">
        <f>F135*(1+'1 Customer data'!$G$99)</f>
        <v>0</v>
      </c>
      <c r="H135" s="51"/>
      <c r="O135" s="125"/>
    </row>
    <row r="136" spans="3:15" x14ac:dyDescent="0.55000000000000004">
      <c r="C136" s="124"/>
      <c r="D136" s="14"/>
      <c r="E136" s="50"/>
      <c r="F136" s="13"/>
      <c r="G136" s="26">
        <f>F136*(1+'1 Customer data'!$G$99)</f>
        <v>0</v>
      </c>
      <c r="H136" s="51"/>
      <c r="O136" s="125"/>
    </row>
    <row r="137" spans="3:15" x14ac:dyDescent="0.55000000000000004">
      <c r="C137" s="124"/>
      <c r="D137" s="14"/>
      <c r="E137" s="50"/>
      <c r="F137" s="13"/>
      <c r="G137" s="26">
        <f>F137*(1+'1 Customer data'!$G$99)</f>
        <v>0</v>
      </c>
      <c r="H137" s="51"/>
      <c r="O137" s="125"/>
    </row>
    <row r="138" spans="3:15" x14ac:dyDescent="0.55000000000000004">
      <c r="C138" s="124"/>
      <c r="D138" s="14"/>
      <c r="E138" s="50"/>
      <c r="F138" s="13"/>
      <c r="G138" s="26">
        <f>F138*(1+'1 Customer data'!$G$99)</f>
        <v>0</v>
      </c>
      <c r="H138" s="51"/>
      <c r="O138" s="125"/>
    </row>
    <row r="139" spans="3:15" x14ac:dyDescent="0.55000000000000004">
      <c r="C139" s="124"/>
      <c r="D139" s="14"/>
      <c r="E139" s="50"/>
      <c r="F139" s="13"/>
      <c r="G139" s="26">
        <f>F139*(1+'1 Customer data'!$G$99)</f>
        <v>0</v>
      </c>
      <c r="H139" s="51"/>
      <c r="O139" s="125"/>
    </row>
    <row r="140" spans="3:15" x14ac:dyDescent="0.55000000000000004">
      <c r="C140" s="124"/>
      <c r="D140" s="14"/>
      <c r="E140" s="50"/>
      <c r="F140" s="13"/>
      <c r="G140" s="26">
        <f>F140*(1+'1 Customer data'!$G$99)</f>
        <v>0</v>
      </c>
      <c r="H140" s="51"/>
      <c r="O140" s="125"/>
    </row>
    <row r="141" spans="3:15" x14ac:dyDescent="0.55000000000000004">
      <c r="C141" s="124"/>
      <c r="D141" s="14"/>
      <c r="E141" s="50"/>
      <c r="F141" s="13"/>
      <c r="G141" s="26">
        <f>F141*(1+'1 Customer data'!$G$99)</f>
        <v>0</v>
      </c>
      <c r="H141" s="51"/>
      <c r="O141" s="125"/>
    </row>
    <row r="142" spans="3:15" x14ac:dyDescent="0.55000000000000004">
      <c r="C142" s="124"/>
      <c r="D142" s="14"/>
      <c r="E142" s="50"/>
      <c r="F142" s="13"/>
      <c r="G142" s="26">
        <f>F142*(1+'1 Customer data'!$G$99)</f>
        <v>0</v>
      </c>
      <c r="H142" s="51"/>
      <c r="O142" s="125"/>
    </row>
    <row r="143" spans="3:15" x14ac:dyDescent="0.55000000000000004">
      <c r="C143" s="124"/>
      <c r="D143" s="14"/>
      <c r="E143" s="50"/>
      <c r="F143" s="13"/>
      <c r="G143" s="26">
        <f>F143*(1+'1 Customer data'!$G$99)</f>
        <v>0</v>
      </c>
      <c r="H143" s="51"/>
      <c r="O143" s="125"/>
    </row>
    <row r="144" spans="3:15" x14ac:dyDescent="0.55000000000000004">
      <c r="C144" s="124"/>
      <c r="D144" s="14"/>
      <c r="E144" s="50"/>
      <c r="F144" s="13"/>
      <c r="G144" s="26">
        <f>F144*(1+'1 Customer data'!$G$99)</f>
        <v>0</v>
      </c>
      <c r="H144" s="51"/>
      <c r="O144" s="125"/>
    </row>
    <row r="145" spans="3:15" x14ac:dyDescent="0.55000000000000004">
      <c r="C145" s="124"/>
      <c r="D145" s="14"/>
      <c r="E145" s="50"/>
      <c r="F145" s="13"/>
      <c r="G145" s="26">
        <f>F145*(1+'1 Customer data'!$G$99)</f>
        <v>0</v>
      </c>
      <c r="H145" s="51"/>
      <c r="O145" s="125"/>
    </row>
    <row r="146" spans="3:15" x14ac:dyDescent="0.55000000000000004">
      <c r="C146" s="124"/>
      <c r="D146" s="14"/>
      <c r="E146" s="50"/>
      <c r="F146" s="13"/>
      <c r="G146" s="26">
        <f>F146*(1+'1 Customer data'!$G$99)</f>
        <v>0</v>
      </c>
      <c r="H146" s="51"/>
      <c r="O146" s="125"/>
    </row>
    <row r="147" spans="3:15" x14ac:dyDescent="0.55000000000000004">
      <c r="C147" s="124"/>
      <c r="D147" s="14"/>
      <c r="E147" s="50"/>
      <c r="F147" s="13"/>
      <c r="G147" s="26">
        <f>F147*(1+'1 Customer data'!$G$99)</f>
        <v>0</v>
      </c>
      <c r="H147" s="51"/>
      <c r="O147" s="125"/>
    </row>
    <row r="148" spans="3:15" x14ac:dyDescent="0.55000000000000004">
      <c r="C148" s="124"/>
      <c r="D148" s="14"/>
      <c r="E148" s="50"/>
      <c r="F148" s="13"/>
      <c r="G148" s="26">
        <f>F148*(1+'1 Customer data'!$G$99)</f>
        <v>0</v>
      </c>
      <c r="H148" s="51"/>
      <c r="O148" s="125"/>
    </row>
    <row r="149" spans="3:15" x14ac:dyDescent="0.55000000000000004">
      <c r="C149" s="124"/>
      <c r="D149" s="1" t="s">
        <v>33</v>
      </c>
      <c r="F149" s="15">
        <f>SUM(F129:F148)</f>
        <v>17868</v>
      </c>
      <c r="G149" s="15">
        <f>SUM(G129:G148)</f>
        <v>17868</v>
      </c>
      <c r="H149" s="15">
        <f>SUM(H129:H148)</f>
        <v>0</v>
      </c>
      <c r="O149" s="125"/>
    </row>
    <row r="150" spans="3:15" x14ac:dyDescent="0.55000000000000004">
      <c r="C150" s="124"/>
      <c r="D150" s="133" t="s">
        <v>108</v>
      </c>
      <c r="F150" s="58">
        <f>F149-'1 Customer data'!E99</f>
        <v>0</v>
      </c>
      <c r="G150" s="58">
        <f>G149-'1 Customer data'!F99</f>
        <v>0</v>
      </c>
      <c r="H150" s="55" t="str">
        <f>IF(H149=0,"",H149-'1 Customer data'!$F99)</f>
        <v/>
      </c>
      <c r="O150" s="125"/>
    </row>
    <row r="151" spans="3:15" ht="14.7" thickBot="1" x14ac:dyDescent="0.6">
      <c r="C151" s="130"/>
      <c r="D151" s="131"/>
      <c r="E151" s="131"/>
      <c r="F151" s="131"/>
      <c r="G151" s="131"/>
      <c r="H151" s="131"/>
      <c r="I151" s="131"/>
      <c r="J151" s="131"/>
      <c r="K151" s="131"/>
      <c r="L151" s="131"/>
      <c r="M151" s="131"/>
      <c r="N151" s="131"/>
      <c r="O151" s="132"/>
    </row>
  </sheetData>
  <sheetProtection sheet="1" objects="1" scenarios="1"/>
  <mergeCells count="10">
    <mergeCell ref="D125:K126"/>
    <mergeCell ref="C7:O7"/>
    <mergeCell ref="E1:E2"/>
    <mergeCell ref="D12:L15"/>
    <mergeCell ref="D17:L18"/>
    <mergeCell ref="D48:M51"/>
    <mergeCell ref="D53:M54"/>
    <mergeCell ref="D84:N87"/>
    <mergeCell ref="D89:N90"/>
    <mergeCell ref="D120:K123"/>
  </mergeCells>
  <dataValidations count="1">
    <dataValidation type="list" allowBlank="1" showInputMessage="1" showErrorMessage="1" sqref="E21:E40 E57:E76 E93:E112 E129:E148" xr:uid="{B1032A0F-0648-4469-B024-832BCFDA724F}">
      <formula1>$Y$20:$Y$24</formula1>
    </dataValidation>
  </dataValidations>
  <pageMargins left="0.7" right="0.7" top="0.75" bottom="0.75" header="0.3" footer="0.3"/>
  <pageSetup paperSize="9" orientation="portrait" r:id="rId1"/>
  <drawing r:id="rId2"/>
  <legacyDrawing r:id="rId3"/>
  <controls>
    <mc:AlternateContent xmlns:mc="http://schemas.openxmlformats.org/markup-compatibility/2006">
      <mc:Choice Requires="x14">
        <control shapeId="13313" r:id="rId4" name="cb2Cus">
          <controlPr defaultSize="0" autoLine="0" r:id="rId5">
            <anchor moveWithCells="1">
              <from>
                <xdr:col>4</xdr:col>
                <xdr:colOff>0</xdr:colOff>
                <xdr:row>2</xdr:row>
                <xdr:rowOff>38100</xdr:rowOff>
              </from>
              <to>
                <xdr:col>5</xdr:col>
                <xdr:colOff>735330</xdr:colOff>
                <xdr:row>3</xdr:row>
                <xdr:rowOff>53340</xdr:rowOff>
              </to>
            </anchor>
          </controlPr>
        </control>
      </mc:Choice>
      <mc:Fallback>
        <control shapeId="13313" r:id="rId4" name="cb2Cus"/>
      </mc:Fallback>
    </mc:AlternateContent>
  </controls>
</worksheet>
</file>

<file path=xl/worksheets/sheet2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CCFCFA-46D4-4DCB-94AD-2F3D71965D20}">
  <sheetPr codeName="Sheet12">
    <tabColor rgb="FF002060"/>
  </sheetPr>
  <dimension ref="A1:P179"/>
  <sheetViews>
    <sheetView showGridLines="0" zoomScaleNormal="100" workbookViewId="0">
      <pane ySplit="4" topLeftCell="A52" activePane="bottomLeft" state="frozen"/>
      <selection pane="bottomLeft" activeCell="H101" sqref="H101"/>
    </sheetView>
  </sheetViews>
  <sheetFormatPr defaultColWidth="8.7890625" defaultRowHeight="14.4" x14ac:dyDescent="0.55000000000000004"/>
  <cols>
    <col min="1" max="1" width="4.20703125" style="117" customWidth="1"/>
    <col min="2" max="2" width="3.7890625" customWidth="1"/>
    <col min="3" max="3" width="4.20703125" customWidth="1"/>
    <col min="4" max="4" width="27.20703125" customWidth="1"/>
    <col min="5" max="5" width="20.7890625" customWidth="1"/>
    <col min="6" max="6" width="17.20703125" customWidth="1"/>
    <col min="7" max="7" width="17" customWidth="1"/>
    <col min="8" max="8" width="17.20703125" customWidth="1"/>
    <col min="9" max="9" width="17.7890625" customWidth="1"/>
    <col min="10" max="10" width="17.20703125" customWidth="1"/>
    <col min="11" max="11" width="17.5234375" customWidth="1"/>
    <col min="12" max="12" width="17.20703125" customWidth="1"/>
    <col min="13" max="13" width="16" customWidth="1"/>
    <col min="14" max="14" width="5.41796875" customWidth="1"/>
  </cols>
  <sheetData>
    <row r="1" spans="1:16" x14ac:dyDescent="0.55000000000000004">
      <c r="A1"/>
      <c r="E1" s="1815" t="s">
        <v>206</v>
      </c>
    </row>
    <row r="2" spans="1:16" x14ac:dyDescent="0.55000000000000004">
      <c r="A2"/>
      <c r="E2" s="1815"/>
      <c r="I2" s="5"/>
    </row>
    <row r="3" spans="1:16" x14ac:dyDescent="0.55000000000000004">
      <c r="A3"/>
    </row>
    <row r="4" spans="1:16" s="116" customFormat="1" ht="14.7" thickBot="1" x14ac:dyDescent="0.6"/>
    <row r="5" spans="1:16" s="117" customFormat="1" x14ac:dyDescent="0.55000000000000004"/>
    <row r="6" spans="1:16" ht="12.6" customHeight="1" x14ac:dyDescent="0.55000000000000004"/>
    <row r="7" spans="1:16" ht="18.3" x14ac:dyDescent="0.7">
      <c r="B7" s="118"/>
      <c r="C7" s="1819" t="s">
        <v>170</v>
      </c>
      <c r="D7" s="1819"/>
      <c r="E7" s="1819"/>
      <c r="F7" s="1819"/>
      <c r="G7" s="1819"/>
      <c r="H7" s="1819"/>
      <c r="I7" s="1819"/>
      <c r="J7" s="1819"/>
      <c r="K7" s="1819"/>
      <c r="L7" s="1819"/>
    </row>
    <row r="8" spans="1:16" ht="10.95" customHeight="1" thickBot="1" x14ac:dyDescent="0.6"/>
    <row r="9" spans="1:16" x14ac:dyDescent="0.55000000000000004">
      <c r="C9" s="121"/>
      <c r="D9" s="122"/>
      <c r="E9" s="122"/>
      <c r="F9" s="122"/>
      <c r="G9" s="122"/>
      <c r="H9" s="122"/>
      <c r="I9" s="122"/>
      <c r="J9" s="122"/>
      <c r="K9" s="122"/>
      <c r="L9" s="122"/>
      <c r="M9" s="122"/>
      <c r="N9" s="123"/>
    </row>
    <row r="10" spans="1:16" x14ac:dyDescent="0.55000000000000004">
      <c r="C10" s="124"/>
      <c r="D10" s="1" t="s">
        <v>169</v>
      </c>
      <c r="N10" s="125"/>
    </row>
    <row r="11" spans="1:16" ht="6" customHeight="1" x14ac:dyDescent="0.55000000000000004">
      <c r="C11" s="124"/>
      <c r="D11" s="1"/>
      <c r="N11" s="125"/>
    </row>
    <row r="12" spans="1:16" x14ac:dyDescent="0.55000000000000004">
      <c r="C12" s="124"/>
      <c r="D12" s="1804" t="s">
        <v>531</v>
      </c>
      <c r="E12" s="1804"/>
      <c r="F12" s="1804"/>
      <c r="G12" s="1804"/>
      <c r="H12" s="1804"/>
      <c r="I12" s="1804"/>
      <c r="J12" s="1804"/>
      <c r="K12" s="1804"/>
      <c r="L12" s="1804"/>
      <c r="M12" s="1804"/>
      <c r="N12" s="125"/>
    </row>
    <row r="13" spans="1:16" x14ac:dyDescent="0.55000000000000004">
      <c r="C13" s="124"/>
      <c r="D13" s="1804"/>
      <c r="E13" s="1804"/>
      <c r="F13" s="1804"/>
      <c r="G13" s="1804"/>
      <c r="H13" s="1804"/>
      <c r="I13" s="1804"/>
      <c r="J13" s="1804"/>
      <c r="K13" s="1804"/>
      <c r="L13" s="1804"/>
      <c r="M13" s="1804"/>
      <c r="N13" s="125"/>
    </row>
    <row r="14" spans="1:16" x14ac:dyDescent="0.55000000000000004">
      <c r="C14" s="124"/>
      <c r="D14" s="1"/>
      <c r="N14" s="125"/>
    </row>
    <row r="15" spans="1:16" x14ac:dyDescent="0.55000000000000004">
      <c r="C15" s="124"/>
      <c r="D15" t="s">
        <v>37</v>
      </c>
      <c r="E15" s="51" t="s">
        <v>40</v>
      </c>
      <c r="N15" s="125"/>
      <c r="P15" s="126" t="s">
        <v>40</v>
      </c>
    </row>
    <row r="16" spans="1:16" x14ac:dyDescent="0.55000000000000004">
      <c r="C16" s="124"/>
      <c r="D16" t="s">
        <v>38</v>
      </c>
      <c r="E16" s="63" t="s">
        <v>272</v>
      </c>
      <c r="N16" s="125"/>
      <c r="P16" s="126" t="s">
        <v>359</v>
      </c>
    </row>
    <row r="17" spans="3:14" x14ac:dyDescent="0.55000000000000004">
      <c r="C17" s="124"/>
      <c r="D17" s="1"/>
      <c r="N17" s="125"/>
    </row>
    <row r="18" spans="3:14" ht="43.2" x14ac:dyDescent="0.55000000000000004">
      <c r="C18" s="124"/>
      <c r="D18" s="62" t="s">
        <v>283</v>
      </c>
      <c r="E18" s="56" t="s">
        <v>312</v>
      </c>
      <c r="F18" s="56" t="s">
        <v>532</v>
      </c>
      <c r="G18" s="56" t="s">
        <v>533</v>
      </c>
      <c r="H18" s="56" t="s">
        <v>292</v>
      </c>
      <c r="I18" s="56" t="s">
        <v>293</v>
      </c>
      <c r="J18" s="56" t="s">
        <v>230</v>
      </c>
      <c r="K18" s="56" t="s">
        <v>294</v>
      </c>
      <c r="L18" s="56" t="s">
        <v>295</v>
      </c>
      <c r="M18" s="56" t="s">
        <v>296</v>
      </c>
      <c r="N18" s="125"/>
    </row>
    <row r="19" spans="3:14" x14ac:dyDescent="0.55000000000000004">
      <c r="C19" s="124"/>
      <c r="D19" s="62" t="str">
        <f>'2 Customer data'!D21</f>
        <v>Domestic: Conventional</v>
      </c>
      <c r="E19" s="63" t="str">
        <f>'2 Customer data'!E21</f>
        <v>Domestic</v>
      </c>
      <c r="F19" s="22">
        <f>IFERROR(IF($E$15=$P$15,IF('2 Customer data'!I21="",'2 Customer data'!H21,'2 Customer data'!I21)/IF('2 Customer data'!$I$41=0,'2 Customer data'!$H$41,'2 Customer data'!$I$41),IF($E$15=$P$16,IF('2 Customer data'!K21="",'2 Customer data'!J21,'2 Customer data'!K21)/IF('2 Customer data'!$K$41=0,'2 Customer data'!$J$41,'2 Customer data'!$K$41))),0)</f>
        <v>0.85379689957312976</v>
      </c>
      <c r="G19" s="22">
        <f>IFERROR(IF('2 Customer data'!K21="",'2 Customer data'!J21,'2 Customer data'!K21)/IF('2 Customer data'!$K$41=0,'2 Customer data'!$J$41,'2 Customer data'!$K$41),0)</f>
        <v>0.62429029561557792</v>
      </c>
      <c r="H19" s="26">
        <f ca="1">'1 Water'!$H$33*'2 Water'!$F19</f>
        <v>55038171.563603692</v>
      </c>
      <c r="I19" s="26">
        <f ca="1">'1 Water'!$I$33*'2 Water'!G19</f>
        <v>43826499.750479095</v>
      </c>
      <c r="J19" s="26">
        <f ca="1">SUM(H19:I19)</f>
        <v>98864671.314082786</v>
      </c>
      <c r="K19" s="64">
        <f ca="1">IFERROR(H19/IF('2 Customer data'!I21="",'2 Customer data'!H21,'2 Customer data'!I21)/12,0)</f>
        <v>293.79212399782381</v>
      </c>
      <c r="L19" s="64">
        <f ca="1">IFERROR(I19/IF('2 Customer data'!K21="",'2 Customer data'!J21,'2 Customer data'!K21),0)</f>
        <v>23.021901145481433</v>
      </c>
      <c r="M19" s="64">
        <f ca="1">IFERROR(J19/IF('2 Customer data'!K21="",'2 Customer data'!J21,'2 Customer data'!K21),0)</f>
        <v>51.933252774731272</v>
      </c>
      <c r="N19" s="125"/>
    </row>
    <row r="20" spans="3:14" x14ac:dyDescent="0.55000000000000004">
      <c r="C20" s="124"/>
      <c r="D20" s="62" t="str">
        <f>'2 Customer data'!D22</f>
        <v>Domestic: Prepaid</v>
      </c>
      <c r="E20" s="63" t="str">
        <f>'2 Customer data'!E22</f>
        <v>Domestic</v>
      </c>
      <c r="F20" s="22">
        <f>IFERROR(IF($E$15=$P$15,IF('2 Customer data'!I22="",'2 Customer data'!H22,'2 Customer data'!I22)/IF('2 Customer data'!$I$41=0,'2 Customer data'!$H$41,'2 Customer data'!$I$41),IF($E$15=$P$16,IF('2 Customer data'!K22="",'2 Customer data'!J22,'2 Customer data'!K22)/IF('2 Customer data'!$K$41=0,'2 Customer data'!$J$41,'2 Customer data'!$K$41))),0)</f>
        <v>0.10244888789036173</v>
      </c>
      <c r="G20" s="22">
        <f>IFERROR(IF('2 Customer data'!K22="",'2 Customer data'!J22,'2 Customer data'!K22)/IF('2 Customer data'!$K$41=0,'2 Customer data'!$J$41,'2 Customer data'!$K$41),0)</f>
        <v>5.8973580035524803E-2</v>
      </c>
      <c r="H20" s="26">
        <f ca="1">'1 Water'!$H$33*'2 Water'!$F20</f>
        <v>6604146.1043361053</v>
      </c>
      <c r="I20" s="26">
        <f ca="1">'1 Water'!$I$33*'2 Water'!G20</f>
        <v>4140070.1065891962</v>
      </c>
      <c r="J20" s="26">
        <f t="shared" ref="J20:J38" ca="1" si="0">SUM(H20:I20)</f>
        <v>10744216.210925302</v>
      </c>
      <c r="K20" s="64">
        <f ca="1">IFERROR(H20/IF('2 Customer data'!I22="",'2 Customer data'!H22,'2 Customer data'!I22)/12,0)</f>
        <v>293.79212399782381</v>
      </c>
      <c r="L20" s="64">
        <f ca="1">IFERROR(I20/IF('2 Customer data'!K22="",'2 Customer data'!J22,'2 Customer data'!K22),0)</f>
        <v>23.021901145481429</v>
      </c>
      <c r="M20" s="64">
        <f ca="1">IFERROR(J20/IF('2 Customer data'!K22="",'2 Customer data'!J22,'2 Customer data'!K22),0)</f>
        <v>59.745916645209405</v>
      </c>
      <c r="N20" s="125"/>
    </row>
    <row r="21" spans="3:14" x14ac:dyDescent="0.55000000000000004">
      <c r="C21" s="124"/>
      <c r="D21" s="62" t="str">
        <f>'2 Customer data'!D23</f>
        <v>Sport Clubs</v>
      </c>
      <c r="E21" s="63" t="str">
        <f>'2 Customer data'!E23</f>
        <v xml:space="preserve">Institutional </v>
      </c>
      <c r="F21" s="22">
        <f>IFERROR(IF($E$15=$P$15,IF('2 Customer data'!I23="",'2 Customer data'!H23,'2 Customer data'!I23)/IF('2 Customer data'!$I$41=0,'2 Customer data'!$H$41,'2 Customer data'!$I$41),IF($E$15=$P$16,IF('2 Customer data'!K23="",'2 Customer data'!J23,'2 Customer data'!K23)/IF('2 Customer data'!$K$41=0,'2 Customer data'!$J$41,'2 Customer data'!$K$41))),0)</f>
        <v>5.0550438103796902E-4</v>
      </c>
      <c r="G21" s="22">
        <f>IFERROR(IF('2 Customer data'!K23="",'2 Customer data'!J23,'2 Customer data'!K23)/IF('2 Customer data'!$K$41=0,'2 Customer data'!$J$41,'2 Customer data'!$K$41),0)</f>
        <v>6.2441187743205741E-4</v>
      </c>
      <c r="H21" s="26">
        <f ca="1">'1 Water'!$H$33*'2 Water'!$F21</f>
        <v>32586.24722534262</v>
      </c>
      <c r="I21" s="26">
        <f ca="1">'1 Water'!$I$33*'2 Water'!G21</f>
        <v>43835.035051263076</v>
      </c>
      <c r="J21" s="26">
        <f t="shared" ca="1" si="0"/>
        <v>76421.282276605692</v>
      </c>
      <c r="K21" s="64">
        <f ca="1">IFERROR(H21/IF('2 Customer data'!I23="",'2 Customer data'!H23,'2 Customer data'!I23)/12,0)</f>
        <v>293.79212399782381</v>
      </c>
      <c r="L21" s="64">
        <f ca="1">IFERROR(I21/IF('2 Customer data'!K23="",'2 Customer data'!J23,'2 Customer data'!K23),0)</f>
        <v>23.021901145481429</v>
      </c>
      <c r="M21" s="64">
        <f ca="1">IFERROR(J21/IF('2 Customer data'!K23="",'2 Customer data'!J23,'2 Customer data'!K23),0)</f>
        <v>40.136005456034269</v>
      </c>
      <c r="N21" s="125"/>
    </row>
    <row r="22" spans="3:14" x14ac:dyDescent="0.55000000000000004">
      <c r="C22" s="124"/>
      <c r="D22" s="62" t="str">
        <f>'2 Customer data'!D24</f>
        <v>Schools</v>
      </c>
      <c r="E22" s="63" t="str">
        <f>'2 Customer data'!E24</f>
        <v xml:space="preserve">Institutional </v>
      </c>
      <c r="F22" s="22">
        <f>IFERROR(IF($E$15=$P$15,IF('2 Customer data'!I24="",'2 Customer data'!H24,'2 Customer data'!I24)/IF('2 Customer data'!$I$41=0,'2 Customer data'!$H$41,'2 Customer data'!$I$41),IF($E$15=$P$16,IF('2 Customer data'!K24="",'2 Customer data'!J24,'2 Customer data'!K24)/IF('2 Customer data'!$K$41=0,'2 Customer data'!$J$41,'2 Customer data'!$K$41))),0)</f>
        <v>1.9658503707032132E-3</v>
      </c>
      <c r="G22" s="22">
        <f>IFERROR(IF('2 Customer data'!K24="",'2 Customer data'!J24,'2 Customer data'!K24)/IF('2 Customer data'!$K$41=0,'2 Customer data'!$J$41,'2 Customer data'!$K$41),0)</f>
        <v>2.8775485872597078E-2</v>
      </c>
      <c r="H22" s="26">
        <f ca="1">'1 Water'!$H$33*'2 Water'!$F22</f>
        <v>126724.29476522133</v>
      </c>
      <c r="I22" s="26">
        <f ca="1">'1 Water'!$I$33*'2 Water'!G22</f>
        <v>2020099.9971844212</v>
      </c>
      <c r="J22" s="26">
        <f t="shared" ca="1" si="0"/>
        <v>2146824.2919496424</v>
      </c>
      <c r="K22" s="64">
        <f ca="1">IFERROR(H22/IF('2 Customer data'!I24="",'2 Customer data'!H24,'2 Customer data'!I24)/12,0)</f>
        <v>293.79212399782381</v>
      </c>
      <c r="L22" s="64">
        <f ca="1">IFERROR(I22/IF('2 Customer data'!K24="",'2 Customer data'!J24,'2 Customer data'!K24),0)</f>
        <v>23.021901145481429</v>
      </c>
      <c r="M22" s="64">
        <f ca="1">IFERROR(J22/IF('2 Customer data'!K24="",'2 Customer data'!J24,'2 Customer data'!K24),0)</f>
        <v>24.466104002212301</v>
      </c>
      <c r="N22" s="125"/>
    </row>
    <row r="23" spans="3:14" x14ac:dyDescent="0.55000000000000004">
      <c r="C23" s="124"/>
      <c r="D23" s="62" t="str">
        <f>'2 Customer data'!D25</f>
        <v>Industrial</v>
      </c>
      <c r="E23" s="63" t="str">
        <f>'2 Customer data'!E25</f>
        <v>Industrial</v>
      </c>
      <c r="F23" s="22">
        <f>IFERROR(IF($E$15=$P$15,IF('2 Customer data'!I25="",'2 Customer data'!H25,'2 Customer data'!I25)/IF('2 Customer data'!$I$41=0,'2 Customer data'!$H$41,'2 Customer data'!$I$41),IF($E$15=$P$16,IF('2 Customer data'!K25="",'2 Customer data'!J25,'2 Customer data'!K25)/IF('2 Customer data'!$K$41=0,'2 Customer data'!$J$41,'2 Customer data'!$K$41))),0)</f>
        <v>1.1233430689732647E-4</v>
      </c>
      <c r="G23" s="22">
        <f>IFERROR(IF('2 Customer data'!K25="",'2 Customer data'!J25,'2 Customer data'!K25)/IF('2 Customer data'!$K$41=0,'2 Customer data'!$J$41,'2 Customer data'!$K$41),0)</f>
        <v>0.1474329397136058</v>
      </c>
      <c r="H23" s="26">
        <f ca="1">'1 Water'!$H$33*'2 Water'!$F23</f>
        <v>7241.3882722983608</v>
      </c>
      <c r="I23" s="26">
        <f ca="1">'1 Water'!$I$33*'2 Water'!G23</f>
        <v>10350104.335995561</v>
      </c>
      <c r="J23" s="26">
        <f t="shared" ca="1" si="0"/>
        <v>10357345.724267859</v>
      </c>
      <c r="K23" s="64">
        <f ca="1">IFERROR(H23/IF('2 Customer data'!I25="",'2 Customer data'!H25,'2 Customer data'!I25)/12,0)</f>
        <v>293.79212399782381</v>
      </c>
      <c r="L23" s="64">
        <f ca="1">IFERROR(I23/IF('2 Customer data'!K25="",'2 Customer data'!J25,'2 Customer data'!K25),0)</f>
        <v>23.021901145481429</v>
      </c>
      <c r="M23" s="64">
        <f ca="1">IFERROR(J23/IF('2 Customer data'!K25="",'2 Customer data'!J25,'2 Customer data'!K25),0)</f>
        <v>23.038008280206739</v>
      </c>
      <c r="N23" s="125"/>
    </row>
    <row r="24" spans="3:14" x14ac:dyDescent="0.55000000000000004">
      <c r="C24" s="124"/>
      <c r="D24" s="62" t="str">
        <f>'2 Customer data'!D26</f>
        <v>Commercial</v>
      </c>
      <c r="E24" s="63" t="str">
        <f>'2 Customer data'!E26</f>
        <v>Commercial</v>
      </c>
      <c r="F24" s="22">
        <f>IFERROR(IF($E$15=$P$15,IF('2 Customer data'!I26="",'2 Customer data'!H26,'2 Customer data'!I26)/IF('2 Customer data'!$I$41=0,'2 Customer data'!$H$41,'2 Customer data'!$I$41),IF($E$15=$P$16,IF('2 Customer data'!K26="",'2 Customer data'!J26,'2 Customer data'!K26)/IF('2 Customer data'!$K$41=0,'2 Customer data'!$J$41,'2 Customer data'!$K$41))),0)</f>
        <v>4.0496517636486193E-2</v>
      </c>
      <c r="G24" s="22">
        <f>IFERROR(IF('2 Customer data'!K26="",'2 Customer data'!J26,'2 Customer data'!K26)/IF('2 Customer data'!$K$41=0,'2 Customer data'!$J$41,'2 Customer data'!$K$41),0)</f>
        <v>0.13119452619128291</v>
      </c>
      <c r="H24" s="26">
        <f ca="1">'1 Water'!$H$33*'2 Water'!$F24</f>
        <v>2610520.4721635594</v>
      </c>
      <c r="I24" s="26">
        <f ca="1">'1 Water'!$I$33*'2 Water'!G24</f>
        <v>9210133.3462454807</v>
      </c>
      <c r="J24" s="26">
        <f t="shared" ca="1" si="0"/>
        <v>11820653.818409041</v>
      </c>
      <c r="K24" s="64">
        <f ca="1">IFERROR(H24/IF('2 Customer data'!I26="",'2 Customer data'!H26,'2 Customer data'!I26)/12,0)</f>
        <v>293.79212399782381</v>
      </c>
      <c r="L24" s="64">
        <f ca="1">IFERROR(I24/IF('2 Customer data'!K26="",'2 Customer data'!J26,'2 Customer data'!K26),0)</f>
        <v>23.021901145481429</v>
      </c>
      <c r="M24" s="64">
        <f ca="1">IFERROR(J24/IF('2 Customer data'!K26="",'2 Customer data'!J26,'2 Customer data'!K26),0)</f>
        <v>29.547229497312998</v>
      </c>
      <c r="N24" s="125"/>
    </row>
    <row r="25" spans="3:14" x14ac:dyDescent="0.55000000000000004">
      <c r="C25" s="124"/>
      <c r="D25" s="62" t="str">
        <f>'2 Customer data'!D27</f>
        <v>Old Age Homes</v>
      </c>
      <c r="E25" s="63" t="str">
        <f>'2 Customer data'!E27</f>
        <v>Domestic</v>
      </c>
      <c r="F25" s="22">
        <f>IFERROR(IF($E$15=$P$15,IF('2 Customer data'!I27="",'2 Customer data'!H27,'2 Customer data'!I27)/IF('2 Customer data'!$I$41=0,'2 Customer data'!$H$41,'2 Customer data'!$I$41),IF($E$15=$P$16,IF('2 Customer data'!K27="",'2 Customer data'!J27,'2 Customer data'!K27)/IF('2 Customer data'!$K$41=0,'2 Customer data'!$J$41,'2 Customer data'!$K$41))),0)</f>
        <v>4.4933722758930587E-4</v>
      </c>
      <c r="G25" s="22">
        <f>IFERROR(IF('2 Customer data'!K27="",'2 Customer data'!J27,'2 Customer data'!K27)/IF('2 Customer data'!$K$41=0,'2 Customer data'!$J$41,'2 Customer data'!$K$41),0)</f>
        <v>5.2687699086014592E-3</v>
      </c>
      <c r="H25" s="26">
        <f ca="1">'1 Water'!$H$33*'2 Water'!$F25</f>
        <v>28965.553089193443</v>
      </c>
      <c r="I25" s="26">
        <f ca="1">'1 Water'!$I$33*'2 Water'!G25</f>
        <v>369878.79630094906</v>
      </c>
      <c r="J25" s="26">
        <f t="shared" ca="1" si="0"/>
        <v>398844.34939014248</v>
      </c>
      <c r="K25" s="64">
        <f ca="1">IFERROR(H25/IF('2 Customer data'!I27="",'2 Customer data'!H27,'2 Customer data'!I27)/12,0)</f>
        <v>293.79212399782381</v>
      </c>
      <c r="L25" s="64">
        <f ca="1">IFERROR(I25/IF('2 Customer data'!K27="",'2 Customer data'!J27,'2 Customer data'!K27),0)</f>
        <v>23.021901145481429</v>
      </c>
      <c r="M25" s="64">
        <f ca="1">IFERROR(J25/IF('2 Customer data'!K27="",'2 Customer data'!J27,'2 Customer data'!K27),0)</f>
        <v>24.824767669630692</v>
      </c>
      <c r="N25" s="125"/>
    </row>
    <row r="26" spans="3:14" x14ac:dyDescent="0.55000000000000004">
      <c r="C26" s="124"/>
      <c r="D26" s="62" t="str">
        <f>'2 Customer data'!D28</f>
        <v>Safe Houses</v>
      </c>
      <c r="E26" s="63" t="str">
        <f>'2 Customer data'!E28</f>
        <v>Domestic</v>
      </c>
      <c r="F26" s="22">
        <f>IFERROR(IF($E$15=$P$15,IF('2 Customer data'!I28="",'2 Customer data'!H28,'2 Customer data'!I28)/IF('2 Customer data'!$I$41=0,'2 Customer data'!$H$41,'2 Customer data'!$I$41),IF($E$15=$P$16,IF('2 Customer data'!K28="",'2 Customer data'!J28,'2 Customer data'!K28)/IF('2 Customer data'!$K$41=0,'2 Customer data'!$J$41,'2 Customer data'!$K$41))),0)</f>
        <v>1.6850146034598967E-4</v>
      </c>
      <c r="G26" s="22">
        <f>IFERROR(IF('2 Customer data'!K28="",'2 Customer data'!J28,'2 Customer data'!K28)/IF('2 Customer data'!$K$41=0,'2 Customer data'!$J$41,'2 Customer data'!$K$41),0)</f>
        <v>1.2373728358605065E-3</v>
      </c>
      <c r="H26" s="26">
        <f ca="1">'1 Water'!$H$33*'2 Water'!$F26</f>
        <v>10862.082408447541</v>
      </c>
      <c r="I26" s="26">
        <f ca="1">'1 Water'!$I$33*'2 Water'!G26</f>
        <v>86866.191358328244</v>
      </c>
      <c r="J26" s="26">
        <f t="shared" ca="1" si="0"/>
        <v>97728.27376677579</v>
      </c>
      <c r="K26" s="64">
        <f ca="1">IFERROR(H26/IF('2 Customer data'!I28="",'2 Customer data'!H28,'2 Customer data'!I28)/12,0)</f>
        <v>293.79212399782381</v>
      </c>
      <c r="L26" s="64">
        <f ca="1">IFERROR(I26/IF('2 Customer data'!K28="",'2 Customer data'!J28,'2 Customer data'!K28),0)</f>
        <v>23.021901145481433</v>
      </c>
      <c r="M26" s="64">
        <f ca="1">IFERROR(J26/IF('2 Customer data'!K28="",'2 Customer data'!J28,'2 Customer data'!K28),0)</f>
        <v>25.900648141649548</v>
      </c>
      <c r="N26" s="125"/>
    </row>
    <row r="27" spans="3:14" x14ac:dyDescent="0.55000000000000004">
      <c r="C27" s="124"/>
      <c r="D27" s="62" t="str">
        <f>'2 Customer data'!D29</f>
        <v>Proefplaas</v>
      </c>
      <c r="E27" s="63" t="str">
        <f>'2 Customer data'!E29</f>
        <v xml:space="preserve">Institutional </v>
      </c>
      <c r="F27" s="22">
        <f>IFERROR(IF($E$15=$P$15,IF('2 Customer data'!I29="",'2 Customer data'!H29,'2 Customer data'!I29)/IF('2 Customer data'!$I$41=0,'2 Customer data'!$H$41,'2 Customer data'!$I$41),IF($E$15=$P$16,IF('2 Customer data'!K29="",'2 Customer data'!J29,'2 Customer data'!K29)/IF('2 Customer data'!$K$41=0,'2 Customer data'!$J$41,'2 Customer data'!$K$41))),0)</f>
        <v>5.6167153448663233E-5</v>
      </c>
      <c r="G27" s="22">
        <f>IFERROR(IF('2 Customer data'!K29="",'2 Customer data'!J29,'2 Customer data'!K29)/IF('2 Customer data'!$K$41=0,'2 Customer data'!$J$41,'2 Customer data'!$K$41),0)</f>
        <v>2.2026179495176134E-3</v>
      </c>
      <c r="H27" s="26">
        <f ca="1">'1 Water'!$H$33*'2 Water'!$F27</f>
        <v>3620.6941361491804</v>
      </c>
      <c r="I27" s="26">
        <f ca="1">'1 Water'!$I$33*'2 Water'!G27</f>
        <v>154628.44079571764</v>
      </c>
      <c r="J27" s="26">
        <f t="shared" ca="1" si="0"/>
        <v>158249.13493186684</v>
      </c>
      <c r="K27" s="64">
        <f ca="1">IFERROR(H27/IF('2 Customer data'!I29="",'2 Customer data'!H29,'2 Customer data'!I29)/12,0)</f>
        <v>293.79212399782381</v>
      </c>
      <c r="L27" s="64">
        <f ca="1">IFERROR(I27/IF('2 Customer data'!K29="",'2 Customer data'!J29,'2 Customer data'!K29),0)</f>
        <v>23.021901145481429</v>
      </c>
      <c r="M27" s="64">
        <f ca="1">IFERROR(J27/IF('2 Customer data'!K29="",'2 Customer data'!J29,'2 Customer data'!K29),0)</f>
        <v>23.560969262908632</v>
      </c>
      <c r="N27" s="125"/>
    </row>
    <row r="28" spans="3:14" x14ac:dyDescent="0.55000000000000004">
      <c r="C28" s="124"/>
      <c r="D28" s="62">
        <f>'2 Customer data'!D30</f>
        <v>0</v>
      </c>
      <c r="E28" s="63">
        <f>'2 Customer data'!E30</f>
        <v>0</v>
      </c>
      <c r="F28" s="22">
        <f>IFERROR(IF($E$15=$P$15,IF('2 Customer data'!I30="",'2 Customer data'!H30,'2 Customer data'!I30)/IF('2 Customer data'!$I$41=0,'2 Customer data'!$H$41,'2 Customer data'!$I$41),IF($E$15=$P$16,IF('2 Customer data'!K30="",'2 Customer data'!J30,'2 Customer data'!K30)/IF('2 Customer data'!$K$41=0,'2 Customer data'!$J$41,'2 Customer data'!$K$41))),0)</f>
        <v>0</v>
      </c>
      <c r="G28" s="22">
        <f>IFERROR(IF('2 Customer data'!K30="",'2 Customer data'!J30,'2 Customer data'!K30)/IF('2 Customer data'!$K$41=0,'2 Customer data'!$J$41,'2 Customer data'!$K$41),0)</f>
        <v>0</v>
      </c>
      <c r="H28" s="26">
        <f ca="1">'1 Water'!$H$33*'2 Water'!$F28</f>
        <v>0</v>
      </c>
      <c r="I28" s="26">
        <f ca="1">'1 Water'!$I$33*'2 Water'!G28</f>
        <v>0</v>
      </c>
      <c r="J28" s="26">
        <f t="shared" ca="1" si="0"/>
        <v>0</v>
      </c>
      <c r="K28" s="64">
        <f ca="1">IFERROR(H28/IF('2 Customer data'!I30="",'2 Customer data'!H30,'2 Customer data'!I30)/12,0)</f>
        <v>0</v>
      </c>
      <c r="L28" s="64">
        <f ca="1">IFERROR(I28/IF('2 Customer data'!K30="",'2 Customer data'!J30,'2 Customer data'!K30),0)</f>
        <v>0</v>
      </c>
      <c r="M28" s="64">
        <f ca="1">IFERROR(J28/IF('2 Customer data'!K30="",'2 Customer data'!J30,'2 Customer data'!K30),0)</f>
        <v>0</v>
      </c>
      <c r="N28" s="125"/>
    </row>
    <row r="29" spans="3:14" x14ac:dyDescent="0.55000000000000004">
      <c r="C29" s="124"/>
      <c r="D29" s="62">
        <f>'2 Customer data'!D31</f>
        <v>0</v>
      </c>
      <c r="E29" s="63">
        <f>'2 Customer data'!E31</f>
        <v>0</v>
      </c>
      <c r="F29" s="22">
        <f>IFERROR(IF($E$15=$P$15,IF('2 Customer data'!I31="",'2 Customer data'!H31,'2 Customer data'!I31)/IF('2 Customer data'!$I$41=0,'2 Customer data'!$H$41,'2 Customer data'!$I$41),IF($E$15=$P$16,IF('2 Customer data'!K31="",'2 Customer data'!J31,'2 Customer data'!K31)/IF('2 Customer data'!$K$41=0,'2 Customer data'!$J$41,'2 Customer data'!$K$41))),0)</f>
        <v>0</v>
      </c>
      <c r="G29" s="22">
        <f>IFERROR(IF('2 Customer data'!K31="",'2 Customer data'!J31,'2 Customer data'!K31)/IF('2 Customer data'!$K$41=0,'2 Customer data'!$J$41,'2 Customer data'!$K$41),0)</f>
        <v>0</v>
      </c>
      <c r="H29" s="26">
        <f ca="1">'1 Water'!$H$33*'2 Water'!$F29</f>
        <v>0</v>
      </c>
      <c r="I29" s="26">
        <f ca="1">'1 Water'!$I$33*'2 Water'!G29</f>
        <v>0</v>
      </c>
      <c r="J29" s="26">
        <f t="shared" ca="1" si="0"/>
        <v>0</v>
      </c>
      <c r="K29" s="64">
        <f ca="1">IFERROR(H29/IF('2 Customer data'!I31="",'2 Customer data'!H31,'2 Customer data'!I31)/12,0)</f>
        <v>0</v>
      </c>
      <c r="L29" s="64">
        <f ca="1">IFERROR(I29/IF('2 Customer data'!K31="",'2 Customer data'!J31,'2 Customer data'!K31),0)</f>
        <v>0</v>
      </c>
      <c r="M29" s="64">
        <f ca="1">IFERROR(J29/IF('2 Customer data'!K31="",'2 Customer data'!J31,'2 Customer data'!K31),0)</f>
        <v>0</v>
      </c>
      <c r="N29" s="125"/>
    </row>
    <row r="30" spans="3:14" x14ac:dyDescent="0.55000000000000004">
      <c r="C30" s="124"/>
      <c r="D30" s="62">
        <f>'2 Customer data'!D32</f>
        <v>0</v>
      </c>
      <c r="E30" s="63">
        <f>'2 Customer data'!E32</f>
        <v>0</v>
      </c>
      <c r="F30" s="22">
        <f>IFERROR(IF($E$15=$P$15,IF('2 Customer data'!I32="",'2 Customer data'!H32,'2 Customer data'!I32)/IF('2 Customer data'!$I$41=0,'2 Customer data'!$H$41,'2 Customer data'!$I$41),IF($E$15=$P$16,IF('2 Customer data'!K32="",'2 Customer data'!J32,'2 Customer data'!K32)/IF('2 Customer data'!$K$41=0,'2 Customer data'!$J$41,'2 Customer data'!$K$41))),0)</f>
        <v>0</v>
      </c>
      <c r="G30" s="22">
        <f>IFERROR(IF('2 Customer data'!K32="",'2 Customer data'!J32,'2 Customer data'!K32)/IF('2 Customer data'!$K$41=0,'2 Customer data'!$J$41,'2 Customer data'!$K$41),0)</f>
        <v>0</v>
      </c>
      <c r="H30" s="26">
        <f ca="1">'1 Water'!$H$33*'2 Water'!$F30</f>
        <v>0</v>
      </c>
      <c r="I30" s="26">
        <f ca="1">'1 Water'!$I$33*'2 Water'!G30</f>
        <v>0</v>
      </c>
      <c r="J30" s="26">
        <f t="shared" ca="1" si="0"/>
        <v>0</v>
      </c>
      <c r="K30" s="64">
        <f ca="1">IFERROR(H30/IF('2 Customer data'!I32="",'2 Customer data'!H32,'2 Customer data'!I32)/12,0)</f>
        <v>0</v>
      </c>
      <c r="L30" s="64">
        <f ca="1">IFERROR(I30/IF('2 Customer data'!K32="",'2 Customer data'!J32,'2 Customer data'!K32),0)</f>
        <v>0</v>
      </c>
      <c r="M30" s="64">
        <f ca="1">IFERROR(J30/IF('2 Customer data'!K32="",'2 Customer data'!J32,'2 Customer data'!K32),0)</f>
        <v>0</v>
      </c>
      <c r="N30" s="125"/>
    </row>
    <row r="31" spans="3:14" x14ac:dyDescent="0.55000000000000004">
      <c r="C31" s="124"/>
      <c r="D31" s="62">
        <f>'2 Customer data'!D33</f>
        <v>0</v>
      </c>
      <c r="E31" s="63">
        <f>'2 Customer data'!E33</f>
        <v>0</v>
      </c>
      <c r="F31" s="22">
        <f>IFERROR(IF($E$15=$P$15,IF('2 Customer data'!I33="",'2 Customer data'!H33,'2 Customer data'!I33)/IF('2 Customer data'!$I$41=0,'2 Customer data'!$H$41,'2 Customer data'!$I$41),IF($E$15=$P$16,IF('2 Customer data'!K33="",'2 Customer data'!J33,'2 Customer data'!K33)/IF('2 Customer data'!$K$41=0,'2 Customer data'!$J$41,'2 Customer data'!$K$41))),0)</f>
        <v>0</v>
      </c>
      <c r="G31" s="22">
        <f>IFERROR(IF('2 Customer data'!K33="",'2 Customer data'!J33,'2 Customer data'!K33)/IF('2 Customer data'!$K$41=0,'2 Customer data'!$J$41,'2 Customer data'!$K$41),0)</f>
        <v>0</v>
      </c>
      <c r="H31" s="26">
        <f ca="1">'1 Water'!$H$33*'2 Water'!$F31</f>
        <v>0</v>
      </c>
      <c r="I31" s="26">
        <f ca="1">'1 Water'!$I$33*'2 Water'!G31</f>
        <v>0</v>
      </c>
      <c r="J31" s="26">
        <f t="shared" ca="1" si="0"/>
        <v>0</v>
      </c>
      <c r="K31" s="64">
        <f ca="1">IFERROR(H31/IF('2 Customer data'!I33="",'2 Customer data'!H33,'2 Customer data'!I33)/12,0)</f>
        <v>0</v>
      </c>
      <c r="L31" s="64">
        <f ca="1">IFERROR(I31/IF('2 Customer data'!K33="",'2 Customer data'!J33,'2 Customer data'!K33),0)</f>
        <v>0</v>
      </c>
      <c r="M31" s="64">
        <f ca="1">IFERROR(J31/IF('2 Customer data'!K33="",'2 Customer data'!J33,'2 Customer data'!K33),0)</f>
        <v>0</v>
      </c>
      <c r="N31" s="125"/>
    </row>
    <row r="32" spans="3:14" x14ac:dyDescent="0.55000000000000004">
      <c r="C32" s="124"/>
      <c r="D32" s="62">
        <f>'2 Customer data'!D34</f>
        <v>0</v>
      </c>
      <c r="E32" s="63">
        <f>'2 Customer data'!E34</f>
        <v>0</v>
      </c>
      <c r="F32" s="22">
        <f>IFERROR(IF($E$15=$P$15,IF('2 Customer data'!I34="",'2 Customer data'!H34,'2 Customer data'!I34)/IF('2 Customer data'!$I$41=0,'2 Customer data'!$H$41,'2 Customer data'!$I$41),IF($E$15=$P$16,IF('2 Customer data'!K34="",'2 Customer data'!J34,'2 Customer data'!K34)/IF('2 Customer data'!$K$41=0,'2 Customer data'!$J$41,'2 Customer data'!$K$41))),0)</f>
        <v>0</v>
      </c>
      <c r="G32" s="22">
        <f>IFERROR(IF('2 Customer data'!K34="",'2 Customer data'!J34,'2 Customer data'!K34)/IF('2 Customer data'!$K$41=0,'2 Customer data'!$J$41,'2 Customer data'!$K$41),0)</f>
        <v>0</v>
      </c>
      <c r="H32" s="26">
        <f ca="1">'1 Water'!$H$33*'2 Water'!$F32</f>
        <v>0</v>
      </c>
      <c r="I32" s="26">
        <f ca="1">'1 Water'!$I$33*'2 Water'!G32</f>
        <v>0</v>
      </c>
      <c r="J32" s="26">
        <f t="shared" ca="1" si="0"/>
        <v>0</v>
      </c>
      <c r="K32" s="64">
        <f ca="1">IFERROR(H32/IF('2 Customer data'!I34="",'2 Customer data'!H34,'2 Customer data'!I34)/12,0)</f>
        <v>0</v>
      </c>
      <c r="L32" s="64">
        <f ca="1">IFERROR(I32/IF('2 Customer data'!K34="",'2 Customer data'!J34,'2 Customer data'!K34),0)</f>
        <v>0</v>
      </c>
      <c r="M32" s="64">
        <f ca="1">IFERROR(J32/IF('2 Customer data'!K34="",'2 Customer data'!J34,'2 Customer data'!K34),0)</f>
        <v>0</v>
      </c>
      <c r="N32" s="125"/>
    </row>
    <row r="33" spans="3:14" x14ac:dyDescent="0.55000000000000004">
      <c r="C33" s="124"/>
      <c r="D33" s="62">
        <f>'2 Customer data'!D35</f>
        <v>0</v>
      </c>
      <c r="E33" s="63">
        <f>'2 Customer data'!E35</f>
        <v>0</v>
      </c>
      <c r="F33" s="22">
        <f>IFERROR(IF($E$15=$P$15,IF('2 Customer data'!I35="",'2 Customer data'!H35,'2 Customer data'!I35)/IF('2 Customer data'!$I$41=0,'2 Customer data'!$H$41,'2 Customer data'!$I$41),IF($E$15=$P$16,IF('2 Customer data'!K35="",'2 Customer data'!J35,'2 Customer data'!K35)/IF('2 Customer data'!$K$41=0,'2 Customer data'!$J$41,'2 Customer data'!$K$41))),0)</f>
        <v>0</v>
      </c>
      <c r="G33" s="22">
        <f>IFERROR(IF('2 Customer data'!K35="",'2 Customer data'!J35,'2 Customer data'!K35)/IF('2 Customer data'!$K$41=0,'2 Customer data'!$J$41,'2 Customer data'!$K$41),0)</f>
        <v>0</v>
      </c>
      <c r="H33" s="26">
        <f ca="1">'1 Water'!$H$33*'2 Water'!$F33</f>
        <v>0</v>
      </c>
      <c r="I33" s="26">
        <f ca="1">'1 Water'!$I$33*'2 Water'!G33</f>
        <v>0</v>
      </c>
      <c r="J33" s="26">
        <f t="shared" ca="1" si="0"/>
        <v>0</v>
      </c>
      <c r="K33" s="64">
        <f ca="1">IFERROR(H33/IF('2 Customer data'!I35="",'2 Customer data'!H35,'2 Customer data'!I35)/12,0)</f>
        <v>0</v>
      </c>
      <c r="L33" s="64">
        <f ca="1">IFERROR(I33/IF('2 Customer data'!K35="",'2 Customer data'!J35,'2 Customer data'!K35),0)</f>
        <v>0</v>
      </c>
      <c r="M33" s="64">
        <f ca="1">IFERROR(J33/IF('2 Customer data'!K35="",'2 Customer data'!J35,'2 Customer data'!K35),0)</f>
        <v>0</v>
      </c>
      <c r="N33" s="125"/>
    </row>
    <row r="34" spans="3:14" x14ac:dyDescent="0.55000000000000004">
      <c r="C34" s="124"/>
      <c r="D34" s="62">
        <f>'2 Customer data'!D36</f>
        <v>0</v>
      </c>
      <c r="E34" s="63">
        <f>'2 Customer data'!E36</f>
        <v>0</v>
      </c>
      <c r="F34" s="22">
        <f>IFERROR(IF($E$15=$P$15,IF('2 Customer data'!I36="",'2 Customer data'!H36,'2 Customer data'!I36)/IF('2 Customer data'!$I$41=0,'2 Customer data'!$H$41,'2 Customer data'!$I$41),IF($E$15=$P$16,IF('2 Customer data'!K36="",'2 Customer data'!J36,'2 Customer data'!K36)/IF('2 Customer data'!$K$41=0,'2 Customer data'!$J$41,'2 Customer data'!$K$41))),0)</f>
        <v>0</v>
      </c>
      <c r="G34" s="22">
        <f>IFERROR(IF('2 Customer data'!K36="",'2 Customer data'!J36,'2 Customer data'!K36)/IF('2 Customer data'!$K$41=0,'2 Customer data'!$J$41,'2 Customer data'!$K$41),0)</f>
        <v>0</v>
      </c>
      <c r="H34" s="26">
        <f ca="1">'1 Water'!$H$33*'2 Water'!$F34</f>
        <v>0</v>
      </c>
      <c r="I34" s="26">
        <f ca="1">'1 Water'!$I$33*'2 Water'!G34</f>
        <v>0</v>
      </c>
      <c r="J34" s="26">
        <f t="shared" ca="1" si="0"/>
        <v>0</v>
      </c>
      <c r="K34" s="64">
        <f ca="1">IFERROR(H34/IF('2 Customer data'!I36="",'2 Customer data'!H36,'2 Customer data'!I36)/12,0)</f>
        <v>0</v>
      </c>
      <c r="L34" s="64">
        <f ca="1">IFERROR(I34/IF('2 Customer data'!K36="",'2 Customer data'!J36,'2 Customer data'!K36),0)</f>
        <v>0</v>
      </c>
      <c r="M34" s="64">
        <f ca="1">IFERROR(J34/IF('2 Customer data'!K36="",'2 Customer data'!J36,'2 Customer data'!K36),0)</f>
        <v>0</v>
      </c>
      <c r="N34" s="125"/>
    </row>
    <row r="35" spans="3:14" x14ac:dyDescent="0.55000000000000004">
      <c r="C35" s="124"/>
      <c r="D35" s="62">
        <f>'2 Customer data'!D37</f>
        <v>0</v>
      </c>
      <c r="E35" s="63">
        <f>'2 Customer data'!E37</f>
        <v>0</v>
      </c>
      <c r="F35" s="22">
        <f>IFERROR(IF($E$15=$P$15,IF('2 Customer data'!I37="",'2 Customer data'!H37,'2 Customer data'!I37)/IF('2 Customer data'!$I$41=0,'2 Customer data'!$H$41,'2 Customer data'!$I$41),IF($E$15=$P$16,IF('2 Customer data'!K37="",'2 Customer data'!J37,'2 Customer data'!K37)/IF('2 Customer data'!$K$41=0,'2 Customer data'!$J$41,'2 Customer data'!$K$41))),0)</f>
        <v>0</v>
      </c>
      <c r="G35" s="22">
        <f>IFERROR(IF('2 Customer data'!K37="",'2 Customer data'!J37,'2 Customer data'!K37)/IF('2 Customer data'!$K$41=0,'2 Customer data'!$J$41,'2 Customer data'!$K$41),0)</f>
        <v>0</v>
      </c>
      <c r="H35" s="26">
        <f ca="1">'1 Water'!$H$33*'2 Water'!$F35</f>
        <v>0</v>
      </c>
      <c r="I35" s="26">
        <f ca="1">'1 Water'!$I$33*'2 Water'!G35</f>
        <v>0</v>
      </c>
      <c r="J35" s="26">
        <f t="shared" ca="1" si="0"/>
        <v>0</v>
      </c>
      <c r="K35" s="64">
        <f ca="1">IFERROR(H35/IF('2 Customer data'!I37="",'2 Customer data'!H37,'2 Customer data'!I37)/12,0)</f>
        <v>0</v>
      </c>
      <c r="L35" s="64">
        <f ca="1">IFERROR(I35/IF('2 Customer data'!K37="",'2 Customer data'!J37,'2 Customer data'!K37),0)</f>
        <v>0</v>
      </c>
      <c r="M35" s="64">
        <f ca="1">IFERROR(J35/IF('2 Customer data'!K37="",'2 Customer data'!J37,'2 Customer data'!K37),0)</f>
        <v>0</v>
      </c>
      <c r="N35" s="125"/>
    </row>
    <row r="36" spans="3:14" x14ac:dyDescent="0.55000000000000004">
      <c r="C36" s="124"/>
      <c r="D36" s="62">
        <f>'2 Customer data'!D38</f>
        <v>0</v>
      </c>
      <c r="E36" s="63">
        <f>'2 Customer data'!E38</f>
        <v>0</v>
      </c>
      <c r="F36" s="22">
        <f>IFERROR(IF($E$15=$P$15,IF('2 Customer data'!I38="",'2 Customer data'!H38,'2 Customer data'!I38)/IF('2 Customer data'!$I$41=0,'2 Customer data'!$H$41,'2 Customer data'!$I$41),IF($E$15=$P$16,IF('2 Customer data'!K38="",'2 Customer data'!J38,'2 Customer data'!K38)/IF('2 Customer data'!$K$41=0,'2 Customer data'!$J$41,'2 Customer data'!$K$41))),0)</f>
        <v>0</v>
      </c>
      <c r="G36" s="22">
        <f>IFERROR(IF('2 Customer data'!K38="",'2 Customer data'!J38,'2 Customer data'!K38)/IF('2 Customer data'!$K$41=0,'2 Customer data'!$J$41,'2 Customer data'!$K$41),0)</f>
        <v>0</v>
      </c>
      <c r="H36" s="26">
        <f ca="1">'1 Water'!$H$33*'2 Water'!$F36</f>
        <v>0</v>
      </c>
      <c r="I36" s="26">
        <f ca="1">'1 Water'!$I$33*'2 Water'!G36</f>
        <v>0</v>
      </c>
      <c r="J36" s="26">
        <f t="shared" ca="1" si="0"/>
        <v>0</v>
      </c>
      <c r="K36" s="64">
        <f ca="1">IFERROR(H36/IF('2 Customer data'!I38="",'2 Customer data'!H38,'2 Customer data'!I38)/12,0)</f>
        <v>0</v>
      </c>
      <c r="L36" s="64">
        <f ca="1">IFERROR(I36/IF('2 Customer data'!K38="",'2 Customer data'!J38,'2 Customer data'!K38),0)</f>
        <v>0</v>
      </c>
      <c r="M36" s="64">
        <f ca="1">IFERROR(J36/IF('2 Customer data'!K38="",'2 Customer data'!J38,'2 Customer data'!K38),0)</f>
        <v>0</v>
      </c>
      <c r="N36" s="125"/>
    </row>
    <row r="37" spans="3:14" x14ac:dyDescent="0.55000000000000004">
      <c r="C37" s="124"/>
      <c r="D37" s="62">
        <f>'2 Customer data'!D39</f>
        <v>0</v>
      </c>
      <c r="E37" s="63">
        <f>'2 Customer data'!E39</f>
        <v>0</v>
      </c>
      <c r="F37" s="22">
        <f>IFERROR(IF($E$15=$P$15,IF('2 Customer data'!I39="",'2 Customer data'!H39,'2 Customer data'!I39)/IF('2 Customer data'!$I$41=0,'2 Customer data'!$H$41,'2 Customer data'!$I$41),IF($E$15=$P$16,IF('2 Customer data'!K39="",'2 Customer data'!J39,'2 Customer data'!K39)/IF('2 Customer data'!$K$41=0,'2 Customer data'!$J$41,'2 Customer data'!$K$41))),0)</f>
        <v>0</v>
      </c>
      <c r="G37" s="22">
        <f>IFERROR(IF('2 Customer data'!K39="",'2 Customer data'!J39,'2 Customer data'!K39)/IF('2 Customer data'!$K$41=0,'2 Customer data'!$J$41,'2 Customer data'!$K$41),0)</f>
        <v>0</v>
      </c>
      <c r="H37" s="26">
        <f ca="1">'1 Water'!$H$33*'2 Water'!$F37</f>
        <v>0</v>
      </c>
      <c r="I37" s="26">
        <f ca="1">'1 Water'!$I$33*'2 Water'!G37</f>
        <v>0</v>
      </c>
      <c r="J37" s="26">
        <f t="shared" ca="1" si="0"/>
        <v>0</v>
      </c>
      <c r="K37" s="64">
        <f ca="1">IFERROR(H37/IF('2 Customer data'!I39="",'2 Customer data'!H39,'2 Customer data'!I39)/12,0)</f>
        <v>0</v>
      </c>
      <c r="L37" s="64">
        <f ca="1">IFERROR(I37/IF('2 Customer data'!K39="",'2 Customer data'!J39,'2 Customer data'!K39),0)</f>
        <v>0</v>
      </c>
      <c r="M37" s="64">
        <f ca="1">IFERROR(J37/IF('2 Customer data'!K39="",'2 Customer data'!J39,'2 Customer data'!K39),0)</f>
        <v>0</v>
      </c>
      <c r="N37" s="125"/>
    </row>
    <row r="38" spans="3:14" x14ac:dyDescent="0.55000000000000004">
      <c r="C38" s="124"/>
      <c r="D38" s="62">
        <f>'2 Customer data'!D40</f>
        <v>0</v>
      </c>
      <c r="E38" s="63">
        <f>'2 Customer data'!E40</f>
        <v>0</v>
      </c>
      <c r="F38" s="22">
        <f>IFERROR(IF($E$15=$P$15,IF('2 Customer data'!I40="",'2 Customer data'!H40,'2 Customer data'!I40)/IF('2 Customer data'!$I$41=0,'2 Customer data'!$H$41,'2 Customer data'!$I$41),IF($E$15=$P$16,IF('2 Customer data'!K40="",'2 Customer data'!J40,'2 Customer data'!K40)/IF('2 Customer data'!$K$41=0,'2 Customer data'!$J$41,'2 Customer data'!$K$41))),0)</f>
        <v>0</v>
      </c>
      <c r="G38" s="22">
        <f>IFERROR(IF('2 Customer data'!K40="",'2 Customer data'!J40,'2 Customer data'!K40)/IF('2 Customer data'!$K$41=0,'2 Customer data'!$J$41,'2 Customer data'!$K$41),0)</f>
        <v>0</v>
      </c>
      <c r="H38" s="26">
        <f ca="1">'1 Water'!$H$33*'2 Water'!$F38</f>
        <v>0</v>
      </c>
      <c r="I38" s="26">
        <f ca="1">'1 Water'!$I$33*'2 Water'!G38</f>
        <v>0</v>
      </c>
      <c r="J38" s="26">
        <f t="shared" ca="1" si="0"/>
        <v>0</v>
      </c>
      <c r="K38" s="64">
        <f ca="1">IFERROR(H38/IF('2 Customer data'!I40="",'2 Customer data'!H40,'2 Customer data'!I40)/12,0)</f>
        <v>0</v>
      </c>
      <c r="L38" s="64">
        <f ca="1">IFERROR(I38/IF('2 Customer data'!K40="",'2 Customer data'!J40,'2 Customer data'!K40),0)</f>
        <v>0</v>
      </c>
      <c r="M38" s="64">
        <f ca="1">IFERROR(J38/IF('2 Customer data'!K40="",'2 Customer data'!J40,'2 Customer data'!K40),0)</f>
        <v>0</v>
      </c>
      <c r="N38" s="125"/>
    </row>
    <row r="39" spans="3:14" x14ac:dyDescent="0.55000000000000004">
      <c r="C39" s="124"/>
      <c r="D39" s="1" t="s">
        <v>33</v>
      </c>
      <c r="F39" s="65">
        <f>SUM(F19:F38)</f>
        <v>1.0000000000000002</v>
      </c>
      <c r="G39" s="65">
        <f>SUM(G19:G38)</f>
        <v>1.0000000000000002</v>
      </c>
      <c r="H39" s="15">
        <f ca="1">SUM(H19:H38)</f>
        <v>64462838.400000013</v>
      </c>
      <c r="I39" s="15">
        <f ca="1">SUM(I19:I38)</f>
        <v>70202116.000000015</v>
      </c>
      <c r="J39" s="15">
        <f ca="1">SUM(J19:J38)</f>
        <v>134664954.40000001</v>
      </c>
      <c r="K39" s="19">
        <f ca="1">IFERROR(H39/IF('2 Customer data'!I41=0,'2 Customer data'!H41,'2 Customer data'!I41)/12,0)</f>
        <v>293.79212399782392</v>
      </c>
      <c r="L39" s="19">
        <f ca="1">IFERROR(I39/IF('2 Customer data'!K41=0,'2 Customer data'!J41,'2 Customer data'!K41),0)</f>
        <v>23.021901145481433</v>
      </c>
      <c r="M39" s="19">
        <f ca="1">IFERROR(J39/IF('2 Customer data'!K41=0,'2 Customer data'!J41,'2 Customer data'!K41),0)</f>
        <v>44.161678373876427</v>
      </c>
      <c r="N39" s="125"/>
    </row>
    <row r="40" spans="3:14" ht="14.7" thickBot="1" x14ac:dyDescent="0.6">
      <c r="C40" s="130"/>
      <c r="D40" s="241"/>
      <c r="E40" s="242"/>
      <c r="F40" s="242"/>
      <c r="G40" s="243"/>
      <c r="H40" s="243"/>
      <c r="I40" s="243"/>
      <c r="J40" s="242"/>
      <c r="K40" s="242"/>
      <c r="L40" s="242"/>
      <c r="M40" s="131"/>
      <c r="N40" s="132"/>
    </row>
    <row r="41" spans="3:14" ht="14.7" thickBot="1" x14ac:dyDescent="0.6"/>
    <row r="42" spans="3:14" x14ac:dyDescent="0.55000000000000004">
      <c r="C42" s="121"/>
      <c r="D42" s="122"/>
      <c r="E42" s="122"/>
      <c r="F42" s="122"/>
      <c r="G42" s="122"/>
      <c r="H42" s="122"/>
      <c r="I42" s="122"/>
      <c r="J42" s="122"/>
      <c r="K42" s="122"/>
      <c r="L42" s="122"/>
      <c r="M42" s="122"/>
      <c r="N42" s="123"/>
    </row>
    <row r="43" spans="3:14" x14ac:dyDescent="0.55000000000000004">
      <c r="C43" s="124"/>
      <c r="D43" s="1" t="s">
        <v>168</v>
      </c>
      <c r="N43" s="125"/>
    </row>
    <row r="44" spans="3:14" ht="6.6" customHeight="1" x14ac:dyDescent="0.55000000000000004">
      <c r="C44" s="124"/>
      <c r="D44" s="1"/>
      <c r="N44" s="125"/>
    </row>
    <row r="45" spans="3:14" ht="14.55" customHeight="1" x14ac:dyDescent="0.55000000000000004">
      <c r="C45" s="124"/>
      <c r="D45" s="1804" t="s">
        <v>534</v>
      </c>
      <c r="E45" s="1804"/>
      <c r="F45" s="1804"/>
      <c r="G45" s="1804"/>
      <c r="H45" s="1804"/>
      <c r="I45" s="1804"/>
      <c r="J45" s="1804"/>
      <c r="K45" s="1804"/>
      <c r="L45" s="1804"/>
      <c r="M45" s="1804"/>
      <c r="N45" s="125"/>
    </row>
    <row r="46" spans="3:14" x14ac:dyDescent="0.55000000000000004">
      <c r="C46" s="124"/>
      <c r="D46" s="1804"/>
      <c r="E46" s="1804"/>
      <c r="F46" s="1804"/>
      <c r="G46" s="1804"/>
      <c r="H46" s="1804"/>
      <c r="I46" s="1804"/>
      <c r="J46" s="1804"/>
      <c r="K46" s="1804"/>
      <c r="L46" s="1804"/>
      <c r="M46" s="1804"/>
      <c r="N46" s="125"/>
    </row>
    <row r="47" spans="3:14" x14ac:dyDescent="0.55000000000000004">
      <c r="C47" s="124"/>
      <c r="D47" s="1804"/>
      <c r="E47" s="1804"/>
      <c r="F47" s="1804"/>
      <c r="G47" s="1804"/>
      <c r="H47" s="1804"/>
      <c r="I47" s="1804"/>
      <c r="J47" s="1804"/>
      <c r="K47" s="1804"/>
      <c r="L47" s="1804"/>
      <c r="M47" s="1804"/>
      <c r="N47" s="125"/>
    </row>
    <row r="48" spans="3:14" ht="9" customHeight="1" x14ac:dyDescent="0.55000000000000004">
      <c r="C48" s="124"/>
      <c r="D48" s="119"/>
      <c r="E48" s="119"/>
      <c r="F48" s="119"/>
      <c r="G48" s="119"/>
      <c r="H48" s="119"/>
      <c r="I48" s="119"/>
      <c r="J48" s="119"/>
      <c r="K48" s="119"/>
      <c r="L48" s="119"/>
      <c r="M48" s="119"/>
      <c r="N48" s="125"/>
    </row>
    <row r="49" spans="3:14" x14ac:dyDescent="0.55000000000000004">
      <c r="C49" s="124"/>
      <c r="D49" s="1804" t="s">
        <v>536</v>
      </c>
      <c r="E49" s="1804"/>
      <c r="F49" s="1804"/>
      <c r="G49" s="1804"/>
      <c r="H49" s="1804"/>
      <c r="I49" s="1804"/>
      <c r="J49" s="1804"/>
      <c r="K49" s="1804"/>
      <c r="L49" s="1804"/>
      <c r="M49" s="1804"/>
      <c r="N49" s="125"/>
    </row>
    <row r="50" spans="3:14" x14ac:dyDescent="0.55000000000000004">
      <c r="C50" s="124"/>
      <c r="D50" s="1804"/>
      <c r="E50" s="1804"/>
      <c r="F50" s="1804"/>
      <c r="G50" s="1804"/>
      <c r="H50" s="1804"/>
      <c r="I50" s="1804"/>
      <c r="J50" s="1804"/>
      <c r="K50" s="1804"/>
      <c r="L50" s="1804"/>
      <c r="M50" s="1804"/>
      <c r="N50" s="125"/>
    </row>
    <row r="51" spans="3:14" x14ac:dyDescent="0.55000000000000004">
      <c r="C51" s="124"/>
      <c r="N51" s="125"/>
    </row>
    <row r="52" spans="3:14" ht="72" x14ac:dyDescent="0.55000000000000004">
      <c r="C52" s="124"/>
      <c r="D52" s="62" t="s">
        <v>283</v>
      </c>
      <c r="E52" s="56" t="s">
        <v>312</v>
      </c>
      <c r="F52" s="190" t="s">
        <v>304</v>
      </c>
      <c r="G52" s="190" t="s">
        <v>297</v>
      </c>
      <c r="H52" s="190" t="s">
        <v>298</v>
      </c>
      <c r="I52" s="190" t="s">
        <v>299</v>
      </c>
      <c r="J52" s="190" t="s">
        <v>300</v>
      </c>
      <c r="K52" s="190" t="s">
        <v>301</v>
      </c>
      <c r="L52" s="190" t="s">
        <v>302</v>
      </c>
      <c r="M52" s="190" t="s">
        <v>303</v>
      </c>
      <c r="N52" s="125"/>
    </row>
    <row r="53" spans="3:14" x14ac:dyDescent="0.55000000000000004">
      <c r="C53" s="124"/>
      <c r="E53" s="63"/>
      <c r="F53" s="20">
        <f ca="1">J39</f>
        <v>134664954.40000001</v>
      </c>
      <c r="G53" s="66">
        <f ca="1">'Revenue required'!F21</f>
        <v>0</v>
      </c>
      <c r="H53" s="20" t="str">
        <f>IF(SUM(H54:H73)=0,"",SUM(H54:H73))</f>
        <v/>
      </c>
      <c r="I53" s="67">
        <f ca="1">'Revenue required'!F22</f>
        <v>9705193.6499999985</v>
      </c>
      <c r="J53" s="20" t="str">
        <f>IF(SUM(J54:J73)=0,"",SUM(J54:J73))</f>
        <v/>
      </c>
      <c r="K53" s="66">
        <f>'Revenue required'!F23</f>
        <v>0</v>
      </c>
      <c r="L53" s="20" t="str">
        <f>IF(SUM(L54:L73)=0,"",SUM(L54:L73))</f>
        <v/>
      </c>
      <c r="M53" s="20">
        <f ca="1">SUM(M54:M73)</f>
        <v>124959760.75000003</v>
      </c>
      <c r="N53" s="125"/>
    </row>
    <row r="54" spans="3:14" x14ac:dyDescent="0.55000000000000004">
      <c r="C54" s="124"/>
      <c r="D54" t="str">
        <f t="shared" ref="D54:E73" si="1">D19</f>
        <v>Domestic: Conventional</v>
      </c>
      <c r="E54" s="63" t="str">
        <f t="shared" si="1"/>
        <v>Domestic</v>
      </c>
      <c r="F54" s="21">
        <f t="shared" ref="F54:F73" ca="1" si="2">J19</f>
        <v>98864671.314082786</v>
      </c>
      <c r="G54" s="64">
        <f t="shared" ref="G54:G73" ca="1" si="3">IFERROR(F54/$F$53*$G$53,0)</f>
        <v>0</v>
      </c>
      <c r="H54" s="51"/>
      <c r="I54" s="26">
        <f t="shared" ref="I54:I73" ca="1" si="4">IFERROR(F54/$F$53*$I$53,0)</f>
        <v>7125096.3884540787</v>
      </c>
      <c r="J54" s="1436"/>
      <c r="K54" s="64">
        <f t="shared" ref="K54:K73" ca="1" si="5">IFERROR(F54/$F$53*$K$53,0)</f>
        <v>0</v>
      </c>
      <c r="L54" s="51"/>
      <c r="M54" s="68">
        <f ca="1">F54-IF(H54="",G54,H54)-IF(J54="",I54,J54)-IF(L54="",K54,L54)</f>
        <v>91739574.925628707</v>
      </c>
      <c r="N54" s="125"/>
    </row>
    <row r="55" spans="3:14" x14ac:dyDescent="0.55000000000000004">
      <c r="C55" s="124"/>
      <c r="D55" t="str">
        <f t="shared" si="1"/>
        <v>Domestic: Prepaid</v>
      </c>
      <c r="E55" s="63" t="str">
        <f t="shared" si="1"/>
        <v>Domestic</v>
      </c>
      <c r="F55" s="21">
        <f t="shared" ca="1" si="2"/>
        <v>10744216.210925302</v>
      </c>
      <c r="G55" s="64">
        <f t="shared" ca="1" si="3"/>
        <v>0</v>
      </c>
      <c r="H55" s="51"/>
      <c r="I55" s="26">
        <f t="shared" ca="1" si="4"/>
        <v>774326.91682179249</v>
      </c>
      <c r="J55" s="1436"/>
      <c r="K55" s="64">
        <f t="shared" ca="1" si="5"/>
        <v>0</v>
      </c>
      <c r="L55" s="51"/>
      <c r="M55" s="68">
        <f t="shared" ref="M55:M73" ca="1" si="6">F55-IF(H55="",G55,H55)-IF(J55="",I55,J55)-IF(L55="",K55,L55)</f>
        <v>9969889.2941035088</v>
      </c>
      <c r="N55" s="125"/>
    </row>
    <row r="56" spans="3:14" x14ac:dyDescent="0.55000000000000004">
      <c r="C56" s="124"/>
      <c r="D56" t="str">
        <f t="shared" si="1"/>
        <v>Sport Clubs</v>
      </c>
      <c r="E56" s="63" t="str">
        <f t="shared" si="1"/>
        <v xml:space="preserve">Institutional </v>
      </c>
      <c r="F56" s="21">
        <f t="shared" ca="1" si="2"/>
        <v>76421.282276605692</v>
      </c>
      <c r="G56" s="64">
        <f t="shared" ca="1" si="3"/>
        <v>0</v>
      </c>
      <c r="H56" s="51"/>
      <c r="I56" s="26">
        <f t="shared" ca="1" si="4"/>
        <v>5507.6196088309889</v>
      </c>
      <c r="J56" s="1436"/>
      <c r="K56" s="64">
        <f t="shared" ca="1" si="5"/>
        <v>0</v>
      </c>
      <c r="L56" s="51"/>
      <c r="M56" s="68">
        <f t="shared" ca="1" si="6"/>
        <v>70913.662667774697</v>
      </c>
      <c r="N56" s="125"/>
    </row>
    <row r="57" spans="3:14" x14ac:dyDescent="0.55000000000000004">
      <c r="C57" s="124"/>
      <c r="D57" t="str">
        <f t="shared" si="1"/>
        <v>Schools</v>
      </c>
      <c r="E57" s="63" t="str">
        <f t="shared" si="1"/>
        <v xml:space="preserve">Institutional </v>
      </c>
      <c r="F57" s="21">
        <f t="shared" ca="1" si="2"/>
        <v>2146824.2919496424</v>
      </c>
      <c r="G57" s="64">
        <f t="shared" ca="1" si="3"/>
        <v>0</v>
      </c>
      <c r="H57" s="51"/>
      <c r="I57" s="26">
        <f t="shared" ca="1" si="4"/>
        <v>154719.87926426245</v>
      </c>
      <c r="J57" s="1436"/>
      <c r="K57" s="64">
        <f t="shared" ca="1" si="5"/>
        <v>0</v>
      </c>
      <c r="L57" s="51"/>
      <c r="M57" s="68">
        <f t="shared" ca="1" si="6"/>
        <v>1992104.4126853799</v>
      </c>
      <c r="N57" s="125"/>
    </row>
    <row r="58" spans="3:14" x14ac:dyDescent="0.55000000000000004">
      <c r="C58" s="124"/>
      <c r="D58" t="str">
        <f t="shared" si="1"/>
        <v>Industrial</v>
      </c>
      <c r="E58" s="63" t="str">
        <f t="shared" si="1"/>
        <v>Industrial</v>
      </c>
      <c r="F58" s="21">
        <f t="shared" ca="1" si="2"/>
        <v>10357345.724267859</v>
      </c>
      <c r="G58" s="64">
        <f t="shared" ca="1" si="3"/>
        <v>0</v>
      </c>
      <c r="H58" s="51"/>
      <c r="I58" s="26">
        <f t="shared" ca="1" si="4"/>
        <v>746445.47575043817</v>
      </c>
      <c r="J58" s="1436"/>
      <c r="K58" s="64">
        <f t="shared" ca="1" si="5"/>
        <v>0</v>
      </c>
      <c r="L58" s="51"/>
      <c r="M58" s="68">
        <f t="shared" ca="1" si="6"/>
        <v>9610900.2485174201</v>
      </c>
      <c r="N58" s="125"/>
    </row>
    <row r="59" spans="3:14" x14ac:dyDescent="0.55000000000000004">
      <c r="C59" s="124"/>
      <c r="D59" t="str">
        <f t="shared" si="1"/>
        <v>Commercial</v>
      </c>
      <c r="E59" s="63" t="str">
        <f t="shared" si="1"/>
        <v>Commercial</v>
      </c>
      <c r="F59" s="21">
        <f t="shared" ca="1" si="2"/>
        <v>11820653.818409041</v>
      </c>
      <c r="G59" s="64">
        <f t="shared" ca="1" si="3"/>
        <v>0</v>
      </c>
      <c r="H59" s="51"/>
      <c r="I59" s="26">
        <f t="shared" ca="1" si="4"/>
        <v>851904.89900222805</v>
      </c>
      <c r="J59" s="1436"/>
      <c r="K59" s="64">
        <f t="shared" ca="1" si="5"/>
        <v>0</v>
      </c>
      <c r="L59" s="51"/>
      <c r="M59" s="68">
        <f t="shared" ca="1" si="6"/>
        <v>10968748.919406813</v>
      </c>
      <c r="N59" s="125"/>
    </row>
    <row r="60" spans="3:14" x14ac:dyDescent="0.55000000000000004">
      <c r="C60" s="124"/>
      <c r="D60" t="str">
        <f t="shared" si="1"/>
        <v>Old Age Homes</v>
      </c>
      <c r="E60" s="63" t="str">
        <f t="shared" si="1"/>
        <v>Domestic</v>
      </c>
      <c r="F60" s="21">
        <f t="shared" ca="1" si="2"/>
        <v>398844.34939014248</v>
      </c>
      <c r="G60" s="64">
        <f t="shared" ca="1" si="3"/>
        <v>0</v>
      </c>
      <c r="H60" s="51"/>
      <c r="I60" s="26">
        <f t="shared" ca="1" si="4"/>
        <v>28744.387612101633</v>
      </c>
      <c r="J60" s="1436"/>
      <c r="K60" s="64">
        <f t="shared" ca="1" si="5"/>
        <v>0</v>
      </c>
      <c r="L60" s="51"/>
      <c r="M60" s="68">
        <f t="shared" ca="1" si="6"/>
        <v>370099.96177804086</v>
      </c>
      <c r="N60" s="125"/>
    </row>
    <row r="61" spans="3:14" x14ac:dyDescent="0.55000000000000004">
      <c r="C61" s="124"/>
      <c r="D61" t="str">
        <f t="shared" si="1"/>
        <v>Safe Houses</v>
      </c>
      <c r="E61" s="63" t="str">
        <f t="shared" si="1"/>
        <v>Domestic</v>
      </c>
      <c r="F61" s="21">
        <f t="shared" ca="1" si="2"/>
        <v>97728.27376677579</v>
      </c>
      <c r="G61" s="64">
        <f t="shared" ca="1" si="3"/>
        <v>0</v>
      </c>
      <c r="H61" s="51"/>
      <c r="I61" s="26">
        <f t="shared" ca="1" si="4"/>
        <v>7043.1971422163406</v>
      </c>
      <c r="J61" s="1436"/>
      <c r="K61" s="64">
        <f t="shared" ca="1" si="5"/>
        <v>0</v>
      </c>
      <c r="L61" s="51"/>
      <c r="M61" s="68">
        <f t="shared" ca="1" si="6"/>
        <v>90685.076624559442</v>
      </c>
      <c r="N61" s="125"/>
    </row>
    <row r="62" spans="3:14" x14ac:dyDescent="0.55000000000000004">
      <c r="C62" s="124"/>
      <c r="D62" t="str">
        <f t="shared" si="1"/>
        <v>Proefplaas</v>
      </c>
      <c r="E62" s="63" t="str">
        <f t="shared" si="1"/>
        <v xml:space="preserve">Institutional </v>
      </c>
      <c r="F62" s="21">
        <f t="shared" ca="1" si="2"/>
        <v>158249.13493186684</v>
      </c>
      <c r="G62" s="64">
        <f t="shared" ca="1" si="3"/>
        <v>0</v>
      </c>
      <c r="H62" s="51"/>
      <c r="I62" s="26">
        <f t="shared" ca="1" si="4"/>
        <v>11404.886344050528</v>
      </c>
      <c r="J62" s="1436"/>
      <c r="K62" s="64">
        <f t="shared" ca="1" si="5"/>
        <v>0</v>
      </c>
      <c r="L62" s="51"/>
      <c r="M62" s="68">
        <f t="shared" ca="1" si="6"/>
        <v>146844.24858781631</v>
      </c>
      <c r="N62" s="125"/>
    </row>
    <row r="63" spans="3:14" x14ac:dyDescent="0.55000000000000004">
      <c r="C63" s="124"/>
      <c r="D63">
        <f t="shared" si="1"/>
        <v>0</v>
      </c>
      <c r="E63" s="63">
        <f t="shared" si="1"/>
        <v>0</v>
      </c>
      <c r="F63" s="21">
        <f t="shared" ca="1" si="2"/>
        <v>0</v>
      </c>
      <c r="G63" s="64">
        <f t="shared" ca="1" si="3"/>
        <v>0</v>
      </c>
      <c r="H63" s="51"/>
      <c r="I63" s="26">
        <f t="shared" ca="1" si="4"/>
        <v>0</v>
      </c>
      <c r="J63" s="51"/>
      <c r="K63" s="64">
        <f t="shared" ca="1" si="5"/>
        <v>0</v>
      </c>
      <c r="L63" s="51"/>
      <c r="M63" s="68">
        <f t="shared" ca="1" si="6"/>
        <v>0</v>
      </c>
      <c r="N63" s="125"/>
    </row>
    <row r="64" spans="3:14" x14ac:dyDescent="0.55000000000000004">
      <c r="C64" s="124"/>
      <c r="D64">
        <f t="shared" si="1"/>
        <v>0</v>
      </c>
      <c r="E64" s="63">
        <f t="shared" si="1"/>
        <v>0</v>
      </c>
      <c r="F64" s="21">
        <f t="shared" ca="1" si="2"/>
        <v>0</v>
      </c>
      <c r="G64" s="64">
        <f t="shared" ca="1" si="3"/>
        <v>0</v>
      </c>
      <c r="H64" s="51"/>
      <c r="I64" s="26">
        <f t="shared" ca="1" si="4"/>
        <v>0</v>
      </c>
      <c r="J64" s="51"/>
      <c r="K64" s="64">
        <f t="shared" ca="1" si="5"/>
        <v>0</v>
      </c>
      <c r="L64" s="51"/>
      <c r="M64" s="68">
        <f t="shared" ca="1" si="6"/>
        <v>0</v>
      </c>
      <c r="N64" s="125"/>
    </row>
    <row r="65" spans="3:14" x14ac:dyDescent="0.55000000000000004">
      <c r="C65" s="124"/>
      <c r="D65">
        <f t="shared" si="1"/>
        <v>0</v>
      </c>
      <c r="E65" s="63">
        <f t="shared" si="1"/>
        <v>0</v>
      </c>
      <c r="F65" s="21">
        <f t="shared" ca="1" si="2"/>
        <v>0</v>
      </c>
      <c r="G65" s="64">
        <f t="shared" ca="1" si="3"/>
        <v>0</v>
      </c>
      <c r="H65" s="51"/>
      <c r="I65" s="26">
        <f t="shared" ca="1" si="4"/>
        <v>0</v>
      </c>
      <c r="J65" s="51"/>
      <c r="K65" s="64">
        <f t="shared" ca="1" si="5"/>
        <v>0</v>
      </c>
      <c r="L65" s="51"/>
      <c r="M65" s="68">
        <f t="shared" ca="1" si="6"/>
        <v>0</v>
      </c>
      <c r="N65" s="125"/>
    </row>
    <row r="66" spans="3:14" x14ac:dyDescent="0.55000000000000004">
      <c r="C66" s="124"/>
      <c r="D66">
        <f t="shared" si="1"/>
        <v>0</v>
      </c>
      <c r="E66" s="63">
        <f t="shared" si="1"/>
        <v>0</v>
      </c>
      <c r="F66" s="21">
        <f t="shared" ca="1" si="2"/>
        <v>0</v>
      </c>
      <c r="G66" s="64">
        <f t="shared" ca="1" si="3"/>
        <v>0</v>
      </c>
      <c r="H66" s="51"/>
      <c r="I66" s="26">
        <f t="shared" ca="1" si="4"/>
        <v>0</v>
      </c>
      <c r="J66" s="51"/>
      <c r="K66" s="64">
        <f t="shared" ca="1" si="5"/>
        <v>0</v>
      </c>
      <c r="L66" s="51"/>
      <c r="M66" s="68">
        <f t="shared" ca="1" si="6"/>
        <v>0</v>
      </c>
      <c r="N66" s="125"/>
    </row>
    <row r="67" spans="3:14" x14ac:dyDescent="0.55000000000000004">
      <c r="C67" s="124"/>
      <c r="D67">
        <f t="shared" si="1"/>
        <v>0</v>
      </c>
      <c r="E67" s="63">
        <f t="shared" si="1"/>
        <v>0</v>
      </c>
      <c r="F67" s="21">
        <f t="shared" ca="1" si="2"/>
        <v>0</v>
      </c>
      <c r="G67" s="64">
        <f t="shared" ca="1" si="3"/>
        <v>0</v>
      </c>
      <c r="H67" s="51"/>
      <c r="I67" s="26">
        <f t="shared" ca="1" si="4"/>
        <v>0</v>
      </c>
      <c r="J67" s="51"/>
      <c r="K67" s="64">
        <f t="shared" ca="1" si="5"/>
        <v>0</v>
      </c>
      <c r="L67" s="51"/>
      <c r="M67" s="68">
        <f t="shared" ca="1" si="6"/>
        <v>0</v>
      </c>
      <c r="N67" s="125"/>
    </row>
    <row r="68" spans="3:14" x14ac:dyDescent="0.55000000000000004">
      <c r="C68" s="124"/>
      <c r="D68">
        <f t="shared" si="1"/>
        <v>0</v>
      </c>
      <c r="E68" s="63">
        <f t="shared" si="1"/>
        <v>0</v>
      </c>
      <c r="F68" s="21">
        <f t="shared" ca="1" si="2"/>
        <v>0</v>
      </c>
      <c r="G68" s="64">
        <f t="shared" ca="1" si="3"/>
        <v>0</v>
      </c>
      <c r="H68" s="51"/>
      <c r="I68" s="26">
        <f t="shared" ca="1" si="4"/>
        <v>0</v>
      </c>
      <c r="J68" s="51"/>
      <c r="K68" s="64">
        <f t="shared" ca="1" si="5"/>
        <v>0</v>
      </c>
      <c r="L68" s="51"/>
      <c r="M68" s="68">
        <f t="shared" ca="1" si="6"/>
        <v>0</v>
      </c>
      <c r="N68" s="125"/>
    </row>
    <row r="69" spans="3:14" x14ac:dyDescent="0.55000000000000004">
      <c r="C69" s="124"/>
      <c r="D69">
        <f t="shared" si="1"/>
        <v>0</v>
      </c>
      <c r="E69" s="63">
        <f t="shared" si="1"/>
        <v>0</v>
      </c>
      <c r="F69" s="21">
        <f t="shared" ca="1" si="2"/>
        <v>0</v>
      </c>
      <c r="G69" s="64">
        <f t="shared" ca="1" si="3"/>
        <v>0</v>
      </c>
      <c r="H69" s="51"/>
      <c r="I69" s="26">
        <f t="shared" ca="1" si="4"/>
        <v>0</v>
      </c>
      <c r="J69" s="51"/>
      <c r="K69" s="64">
        <f t="shared" ca="1" si="5"/>
        <v>0</v>
      </c>
      <c r="L69" s="51"/>
      <c r="M69" s="68">
        <f t="shared" ca="1" si="6"/>
        <v>0</v>
      </c>
      <c r="N69" s="125"/>
    </row>
    <row r="70" spans="3:14" x14ac:dyDescent="0.55000000000000004">
      <c r="C70" s="124"/>
      <c r="D70">
        <f t="shared" si="1"/>
        <v>0</v>
      </c>
      <c r="E70" s="63">
        <f t="shared" si="1"/>
        <v>0</v>
      </c>
      <c r="F70" s="21">
        <f t="shared" ca="1" si="2"/>
        <v>0</v>
      </c>
      <c r="G70" s="64">
        <f t="shared" ca="1" si="3"/>
        <v>0</v>
      </c>
      <c r="H70" s="51"/>
      <c r="I70" s="26">
        <f t="shared" ca="1" si="4"/>
        <v>0</v>
      </c>
      <c r="J70" s="51"/>
      <c r="K70" s="64">
        <f t="shared" ca="1" si="5"/>
        <v>0</v>
      </c>
      <c r="L70" s="51"/>
      <c r="M70" s="68">
        <f t="shared" ca="1" si="6"/>
        <v>0</v>
      </c>
      <c r="N70" s="125"/>
    </row>
    <row r="71" spans="3:14" x14ac:dyDescent="0.55000000000000004">
      <c r="C71" s="124"/>
      <c r="D71">
        <f t="shared" si="1"/>
        <v>0</v>
      </c>
      <c r="E71" s="63">
        <f t="shared" si="1"/>
        <v>0</v>
      </c>
      <c r="F71" s="21">
        <f t="shared" ca="1" si="2"/>
        <v>0</v>
      </c>
      <c r="G71" s="64">
        <f t="shared" ca="1" si="3"/>
        <v>0</v>
      </c>
      <c r="H71" s="51"/>
      <c r="I71" s="26">
        <f t="shared" ca="1" si="4"/>
        <v>0</v>
      </c>
      <c r="J71" s="51"/>
      <c r="K71" s="64">
        <f t="shared" ca="1" si="5"/>
        <v>0</v>
      </c>
      <c r="L71" s="51"/>
      <c r="M71" s="68">
        <f t="shared" ca="1" si="6"/>
        <v>0</v>
      </c>
      <c r="N71" s="125"/>
    </row>
    <row r="72" spans="3:14" x14ac:dyDescent="0.55000000000000004">
      <c r="C72" s="124"/>
      <c r="D72">
        <f t="shared" si="1"/>
        <v>0</v>
      </c>
      <c r="E72" s="63">
        <f t="shared" si="1"/>
        <v>0</v>
      </c>
      <c r="F72" s="21">
        <f t="shared" ca="1" si="2"/>
        <v>0</v>
      </c>
      <c r="G72" s="64">
        <f t="shared" ca="1" si="3"/>
        <v>0</v>
      </c>
      <c r="H72" s="51"/>
      <c r="I72" s="26">
        <f t="shared" ca="1" si="4"/>
        <v>0</v>
      </c>
      <c r="J72" s="51"/>
      <c r="K72" s="64">
        <f t="shared" ca="1" si="5"/>
        <v>0</v>
      </c>
      <c r="L72" s="51"/>
      <c r="M72" s="68">
        <f t="shared" ca="1" si="6"/>
        <v>0</v>
      </c>
      <c r="N72" s="125"/>
    </row>
    <row r="73" spans="3:14" x14ac:dyDescent="0.55000000000000004">
      <c r="C73" s="124"/>
      <c r="D73">
        <f t="shared" si="1"/>
        <v>0</v>
      </c>
      <c r="E73" s="63">
        <f t="shared" si="1"/>
        <v>0</v>
      </c>
      <c r="F73" s="21">
        <f t="shared" ca="1" si="2"/>
        <v>0</v>
      </c>
      <c r="G73" s="64">
        <f t="shared" ca="1" si="3"/>
        <v>0</v>
      </c>
      <c r="H73" s="51"/>
      <c r="I73" s="26">
        <f t="shared" ca="1" si="4"/>
        <v>0</v>
      </c>
      <c r="J73" s="51"/>
      <c r="K73" s="64">
        <f t="shared" ca="1" si="5"/>
        <v>0</v>
      </c>
      <c r="L73" s="51"/>
      <c r="M73" s="68">
        <f t="shared" ca="1" si="6"/>
        <v>0</v>
      </c>
      <c r="N73" s="125"/>
    </row>
    <row r="74" spans="3:14" x14ac:dyDescent="0.55000000000000004">
      <c r="C74" s="124"/>
      <c r="D74" s="55" t="s">
        <v>535</v>
      </c>
      <c r="F74" s="17"/>
      <c r="G74" s="54">
        <f ca="1">SUM(G54:G73)-G53</f>
        <v>0</v>
      </c>
      <c r="H74" s="69" t="str">
        <f>IF(SUM(H54:H73)=0,"",H53-G53)</f>
        <v/>
      </c>
      <c r="I74" s="54">
        <f ca="1">SUM(I54:I73)-I53</f>
        <v>0</v>
      </c>
      <c r="J74" s="69" t="str">
        <f>IF(SUM(J54:J73)=0,"",J53-I53)</f>
        <v/>
      </c>
      <c r="K74" s="54">
        <f ca="1">SUM(K54:K73)-K53</f>
        <v>0</v>
      </c>
      <c r="L74" s="69" t="str">
        <f>IF(SUM(L54:L73)=0,"",L53-K53)</f>
        <v/>
      </c>
      <c r="M74" s="17"/>
      <c r="N74" s="125"/>
    </row>
    <row r="75" spans="3:14" ht="14.7" thickBot="1" x14ac:dyDescent="0.6">
      <c r="C75" s="130"/>
      <c r="D75" s="131"/>
      <c r="E75" s="262"/>
      <c r="F75" s="262"/>
      <c r="G75" s="262"/>
      <c r="H75" s="262"/>
      <c r="I75" s="262"/>
      <c r="J75" s="263"/>
      <c r="K75" s="131"/>
      <c r="L75" s="262"/>
      <c r="M75" s="131"/>
      <c r="N75" s="132"/>
    </row>
    <row r="76" spans="3:14" ht="14.7" thickBot="1" x14ac:dyDescent="0.6"/>
    <row r="77" spans="3:14" x14ac:dyDescent="0.55000000000000004">
      <c r="C77" s="121"/>
      <c r="D77" s="122"/>
      <c r="E77" s="122"/>
      <c r="F77" s="122"/>
      <c r="G77" s="122"/>
      <c r="H77" s="122"/>
      <c r="I77" s="122"/>
      <c r="J77" s="122"/>
      <c r="K77" s="122"/>
      <c r="L77" s="122"/>
      <c r="M77" s="122"/>
      <c r="N77" s="123"/>
    </row>
    <row r="78" spans="3:14" x14ac:dyDescent="0.55000000000000004">
      <c r="C78" s="124"/>
      <c r="D78" s="1" t="s">
        <v>275</v>
      </c>
      <c r="N78" s="125"/>
    </row>
    <row r="79" spans="3:14" ht="6.6" customHeight="1" x14ac:dyDescent="0.55000000000000004">
      <c r="C79" s="124"/>
      <c r="D79" s="1"/>
      <c r="N79" s="125"/>
    </row>
    <row r="80" spans="3:14" ht="14.55" customHeight="1" x14ac:dyDescent="0.55000000000000004">
      <c r="C80" s="124"/>
      <c r="D80" s="1803" t="s">
        <v>539</v>
      </c>
      <c r="E80" s="1803"/>
      <c r="F80" s="1803"/>
      <c r="G80" s="1803"/>
      <c r="H80" s="1803"/>
      <c r="I80" s="1803"/>
      <c r="J80" s="1803"/>
      <c r="K80" s="1803"/>
      <c r="L80" s="1803"/>
      <c r="N80" s="125"/>
    </row>
    <row r="81" spans="3:14" x14ac:dyDescent="0.55000000000000004">
      <c r="C81" s="124"/>
      <c r="D81" s="1803"/>
      <c r="E81" s="1803"/>
      <c r="F81" s="1803"/>
      <c r="G81" s="1803"/>
      <c r="H81" s="1803"/>
      <c r="I81" s="1803"/>
      <c r="J81" s="1803"/>
      <c r="K81" s="1803"/>
      <c r="L81" s="1803"/>
      <c r="N81" s="125"/>
    </row>
    <row r="82" spans="3:14" x14ac:dyDescent="0.55000000000000004">
      <c r="C82" s="124"/>
      <c r="D82" s="1803"/>
      <c r="E82" s="1803"/>
      <c r="F82" s="1803"/>
      <c r="G82" s="1803"/>
      <c r="H82" s="1803"/>
      <c r="I82" s="1803"/>
      <c r="J82" s="1803"/>
      <c r="K82" s="1803"/>
      <c r="L82" s="1803"/>
      <c r="N82" s="125"/>
    </row>
    <row r="83" spans="3:14" x14ac:dyDescent="0.55000000000000004">
      <c r="C83" s="124"/>
      <c r="D83" s="1803"/>
      <c r="E83" s="1803"/>
      <c r="F83" s="1803"/>
      <c r="G83" s="1803"/>
      <c r="H83" s="1803"/>
      <c r="I83" s="1803"/>
      <c r="J83" s="1803"/>
      <c r="K83" s="1803"/>
      <c r="L83" s="1803"/>
      <c r="N83" s="125"/>
    </row>
    <row r="84" spans="3:14" ht="6" customHeight="1" x14ac:dyDescent="0.55000000000000004">
      <c r="C84" s="124"/>
      <c r="D84" s="264"/>
      <c r="E84" s="264"/>
      <c r="F84" s="264"/>
      <c r="G84" s="264"/>
      <c r="H84" s="264"/>
      <c r="I84" s="264"/>
      <c r="J84" s="264"/>
      <c r="K84" s="264"/>
      <c r="L84" s="264"/>
      <c r="N84" s="125"/>
    </row>
    <row r="85" spans="3:14" x14ac:dyDescent="0.55000000000000004">
      <c r="C85" s="124"/>
      <c r="D85" s="1803" t="s">
        <v>537</v>
      </c>
      <c r="E85" s="1803"/>
      <c r="F85" s="1803"/>
      <c r="G85" s="1803"/>
      <c r="H85" s="1803"/>
      <c r="I85" s="1803"/>
      <c r="J85" s="1803"/>
      <c r="K85" s="1803"/>
      <c r="L85" s="1803"/>
      <c r="N85" s="125"/>
    </row>
    <row r="86" spans="3:14" x14ac:dyDescent="0.55000000000000004">
      <c r="C86" s="124"/>
      <c r="D86" s="1803"/>
      <c r="E86" s="1803"/>
      <c r="F86" s="1803"/>
      <c r="G86" s="1803"/>
      <c r="H86" s="1803"/>
      <c r="I86" s="1803"/>
      <c r="J86" s="1803"/>
      <c r="K86" s="1803"/>
      <c r="L86" s="1803"/>
      <c r="N86" s="125"/>
    </row>
    <row r="87" spans="3:14" ht="12" customHeight="1" x14ac:dyDescent="0.55000000000000004">
      <c r="C87" s="124"/>
      <c r="D87" s="255"/>
      <c r="N87" s="125"/>
    </row>
    <row r="88" spans="3:14" ht="72" x14ac:dyDescent="0.55000000000000004">
      <c r="C88" s="124"/>
      <c r="D88" s="62" t="s">
        <v>283</v>
      </c>
      <c r="E88" s="56" t="s">
        <v>312</v>
      </c>
      <c r="F88" s="190" t="s">
        <v>303</v>
      </c>
      <c r="G88" s="198" t="s">
        <v>305</v>
      </c>
      <c r="H88" s="190" t="s">
        <v>306</v>
      </c>
      <c r="I88" s="190" t="s">
        <v>280</v>
      </c>
      <c r="N88" s="125"/>
    </row>
    <row r="89" spans="3:14" x14ac:dyDescent="0.55000000000000004">
      <c r="C89" s="124"/>
      <c r="E89" s="63"/>
      <c r="F89" s="20">
        <f t="shared" ref="F89:F109" ca="1" si="7">M53</f>
        <v>124959760.75000003</v>
      </c>
      <c r="G89" s="20">
        <f ca="1">'Revenue required'!F20</f>
        <v>16721640</v>
      </c>
      <c r="H89" s="20" t="str">
        <f>IF(SUM(H90:H109)=0,"",SUM(H90:H109))</f>
        <v/>
      </c>
      <c r="I89" s="20">
        <f ca="1">SUM(I90:I109)</f>
        <v>108238120.75000004</v>
      </c>
      <c r="N89" s="125"/>
    </row>
    <row r="90" spans="3:14" x14ac:dyDescent="0.55000000000000004">
      <c r="C90" s="124"/>
      <c r="D90" t="str">
        <f t="shared" ref="D90:E109" si="8">D19</f>
        <v>Domestic: Conventional</v>
      </c>
      <c r="E90" s="63" t="str">
        <f t="shared" si="8"/>
        <v>Domestic</v>
      </c>
      <c r="F90" s="21">
        <f t="shared" ca="1" si="7"/>
        <v>91739574.925628707</v>
      </c>
      <c r="G90" s="26">
        <f ca="1">IF(AND(E90="Indigent",F90&gt;=$G$89),$G$89,IF(AND(E90="Indigent",F90&lt;=$G$89),F90,IF(AND(E90&lt;&gt;"Indigent",E90&lt;&gt;"Domestic"),0,IF(E90="Domestic",($G$89-IFERROR(INDEX($F$90:$F$109,MATCH("Indigent",$E$90:$E$109,0)),0))*(F90/SUMIF($E$90:$E$109,"Domestic",$F$90:$F$109))))))</f>
        <v>15014509.182449212</v>
      </c>
      <c r="H90" s="1434"/>
      <c r="I90" s="70">
        <f ca="1">F90-IF(H90="",G90,H90)</f>
        <v>76725065.7431795</v>
      </c>
      <c r="N90" s="125"/>
    </row>
    <row r="91" spans="3:14" x14ac:dyDescent="0.55000000000000004">
      <c r="C91" s="124"/>
      <c r="D91" t="str">
        <f t="shared" si="8"/>
        <v>Domestic: Prepaid</v>
      </c>
      <c r="E91" s="63" t="str">
        <f t="shared" si="8"/>
        <v>Domestic</v>
      </c>
      <c r="F91" s="21">
        <f t="shared" ca="1" si="7"/>
        <v>9969889.2941035088</v>
      </c>
      <c r="G91" s="26">
        <f t="shared" ref="G91:G109" ca="1" si="9">IF(AND(E91="Indigent",F91&gt;=$G$89),$G$89,IF(AND(E91="Indigent",F91&lt;=$G$89),F91,IF(AND(E91&lt;&gt;"Indigent",E91&lt;&gt;"Domestic"),0,IF(E91="Domestic",($G$89-IFERROR(INDEX($F$90:$F$109,MATCH("Indigent",$E$90:$E$109,0)),0))*(F91/SUMIF($E$90:$E$109,"Domestic",$F$90:$F$109))))))</f>
        <v>1631716.6770793532</v>
      </c>
      <c r="H91" s="1434"/>
      <c r="I91" s="70">
        <f t="shared" ref="I91:I109" ca="1" si="10">F91-IF(H91="",G91,H91)</f>
        <v>8338172.6170241553</v>
      </c>
      <c r="J91" s="135"/>
      <c r="N91" s="125"/>
    </row>
    <row r="92" spans="3:14" x14ac:dyDescent="0.55000000000000004">
      <c r="C92" s="124"/>
      <c r="D92" t="str">
        <f t="shared" si="8"/>
        <v>Sport Clubs</v>
      </c>
      <c r="E92" s="63" t="str">
        <f t="shared" si="8"/>
        <v xml:space="preserve">Institutional </v>
      </c>
      <c r="F92" s="21">
        <f t="shared" ca="1" si="7"/>
        <v>70913.662667774697</v>
      </c>
      <c r="G92" s="26">
        <f t="shared" ca="1" si="9"/>
        <v>0</v>
      </c>
      <c r="H92" s="1434"/>
      <c r="I92" s="70">
        <f t="shared" ca="1" si="10"/>
        <v>70913.662667774697</v>
      </c>
      <c r="N92" s="125"/>
    </row>
    <row r="93" spans="3:14" x14ac:dyDescent="0.55000000000000004">
      <c r="C93" s="124"/>
      <c r="D93" t="str">
        <f t="shared" si="8"/>
        <v>Schools</v>
      </c>
      <c r="E93" s="63" t="str">
        <f t="shared" si="8"/>
        <v xml:space="preserve">Institutional </v>
      </c>
      <c r="F93" s="21">
        <f t="shared" ca="1" si="7"/>
        <v>1992104.4126853799</v>
      </c>
      <c r="G93" s="26">
        <f t="shared" ca="1" si="9"/>
        <v>0</v>
      </c>
      <c r="H93" s="1434"/>
      <c r="I93" s="70">
        <f t="shared" ca="1" si="10"/>
        <v>1992104.4126853799</v>
      </c>
      <c r="N93" s="125"/>
    </row>
    <row r="94" spans="3:14" x14ac:dyDescent="0.55000000000000004">
      <c r="C94" s="124"/>
      <c r="D94" t="str">
        <f t="shared" si="8"/>
        <v>Industrial</v>
      </c>
      <c r="E94" s="63" t="str">
        <f t="shared" si="8"/>
        <v>Industrial</v>
      </c>
      <c r="F94" s="21">
        <f t="shared" ca="1" si="7"/>
        <v>9610900.2485174201</v>
      </c>
      <c r="G94" s="26">
        <f t="shared" ca="1" si="9"/>
        <v>0</v>
      </c>
      <c r="H94" s="1434"/>
      <c r="I94" s="70">
        <f t="shared" ca="1" si="10"/>
        <v>9610900.2485174201</v>
      </c>
      <c r="N94" s="125"/>
    </row>
    <row r="95" spans="3:14" x14ac:dyDescent="0.55000000000000004">
      <c r="C95" s="124"/>
      <c r="D95" t="str">
        <f t="shared" si="8"/>
        <v>Commercial</v>
      </c>
      <c r="E95" s="63" t="str">
        <f t="shared" si="8"/>
        <v>Commercial</v>
      </c>
      <c r="F95" s="21">
        <f t="shared" ca="1" si="7"/>
        <v>10968748.919406813</v>
      </c>
      <c r="G95" s="26">
        <f t="shared" ca="1" si="9"/>
        <v>0</v>
      </c>
      <c r="H95" s="1434"/>
      <c r="I95" s="70">
        <f t="shared" ca="1" si="10"/>
        <v>10968748.919406813</v>
      </c>
      <c r="N95" s="125"/>
    </row>
    <row r="96" spans="3:14" x14ac:dyDescent="0.55000000000000004">
      <c r="C96" s="124"/>
      <c r="D96" t="str">
        <f t="shared" si="8"/>
        <v>Old Age Homes</v>
      </c>
      <c r="E96" s="63" t="str">
        <f t="shared" si="8"/>
        <v>Domestic</v>
      </c>
      <c r="F96" s="21">
        <f t="shared" ca="1" si="7"/>
        <v>370099.96177804086</v>
      </c>
      <c r="G96" s="26">
        <f t="shared" ca="1" si="9"/>
        <v>60572.21519769774</v>
      </c>
      <c r="H96" s="1434"/>
      <c r="I96" s="70">
        <f t="shared" ca="1" si="10"/>
        <v>309527.74658034311</v>
      </c>
      <c r="N96" s="125"/>
    </row>
    <row r="97" spans="3:14" x14ac:dyDescent="0.55000000000000004">
      <c r="C97" s="124"/>
      <c r="D97" t="str">
        <f t="shared" si="8"/>
        <v>Safe Houses</v>
      </c>
      <c r="E97" s="63" t="str">
        <f t="shared" si="8"/>
        <v>Domestic</v>
      </c>
      <c r="F97" s="21">
        <f t="shared" ca="1" si="7"/>
        <v>90685.076624559442</v>
      </c>
      <c r="G97" s="26">
        <f t="shared" ca="1" si="9"/>
        <v>14841.925273736786</v>
      </c>
      <c r="H97" s="1434"/>
      <c r="I97" s="70">
        <f t="shared" ca="1" si="10"/>
        <v>75843.151350822649</v>
      </c>
      <c r="N97" s="125"/>
    </row>
    <row r="98" spans="3:14" x14ac:dyDescent="0.55000000000000004">
      <c r="C98" s="124"/>
      <c r="D98" t="str">
        <f t="shared" si="8"/>
        <v>Proefplaas</v>
      </c>
      <c r="E98" s="63" t="str">
        <f t="shared" si="8"/>
        <v xml:space="preserve">Institutional </v>
      </c>
      <c r="F98" s="21">
        <f t="shared" ca="1" si="7"/>
        <v>146844.24858781631</v>
      </c>
      <c r="G98" s="26">
        <f t="shared" ca="1" si="9"/>
        <v>0</v>
      </c>
      <c r="H98" s="1434"/>
      <c r="I98" s="70">
        <f t="shared" ca="1" si="10"/>
        <v>146844.24858781631</v>
      </c>
      <c r="N98" s="125"/>
    </row>
    <row r="99" spans="3:14" x14ac:dyDescent="0.55000000000000004">
      <c r="C99" s="124"/>
      <c r="D99">
        <f t="shared" si="8"/>
        <v>0</v>
      </c>
      <c r="E99" s="63">
        <f t="shared" si="8"/>
        <v>0</v>
      </c>
      <c r="F99" s="21">
        <f t="shared" ca="1" si="7"/>
        <v>0</v>
      </c>
      <c r="G99" s="26">
        <f t="shared" ca="1" si="9"/>
        <v>0</v>
      </c>
      <c r="H99" s="51"/>
      <c r="I99" s="70">
        <f t="shared" ca="1" si="10"/>
        <v>0</v>
      </c>
      <c r="N99" s="125"/>
    </row>
    <row r="100" spans="3:14" x14ac:dyDescent="0.55000000000000004">
      <c r="C100" s="124"/>
      <c r="D100">
        <f t="shared" si="8"/>
        <v>0</v>
      </c>
      <c r="E100" s="63">
        <f t="shared" si="8"/>
        <v>0</v>
      </c>
      <c r="F100" s="21">
        <f t="shared" ca="1" si="7"/>
        <v>0</v>
      </c>
      <c r="G100" s="26">
        <f t="shared" ca="1" si="9"/>
        <v>0</v>
      </c>
      <c r="H100" s="51"/>
      <c r="I100" s="70">
        <f t="shared" ca="1" si="10"/>
        <v>0</v>
      </c>
      <c r="N100" s="125"/>
    </row>
    <row r="101" spans="3:14" x14ac:dyDescent="0.55000000000000004">
      <c r="C101" s="124"/>
      <c r="D101">
        <f t="shared" si="8"/>
        <v>0</v>
      </c>
      <c r="E101" s="63">
        <f t="shared" si="8"/>
        <v>0</v>
      </c>
      <c r="F101" s="21">
        <f t="shared" ca="1" si="7"/>
        <v>0</v>
      </c>
      <c r="G101" s="26">
        <f t="shared" ca="1" si="9"/>
        <v>0</v>
      </c>
      <c r="H101" s="51"/>
      <c r="I101" s="70">
        <f t="shared" ca="1" si="10"/>
        <v>0</v>
      </c>
      <c r="N101" s="125"/>
    </row>
    <row r="102" spans="3:14" x14ac:dyDescent="0.55000000000000004">
      <c r="C102" s="124"/>
      <c r="D102">
        <f t="shared" si="8"/>
        <v>0</v>
      </c>
      <c r="E102" s="63">
        <f t="shared" si="8"/>
        <v>0</v>
      </c>
      <c r="F102" s="21">
        <f t="shared" ca="1" si="7"/>
        <v>0</v>
      </c>
      <c r="G102" s="26">
        <f t="shared" ca="1" si="9"/>
        <v>0</v>
      </c>
      <c r="H102" s="51"/>
      <c r="I102" s="70">
        <f t="shared" ca="1" si="10"/>
        <v>0</v>
      </c>
      <c r="N102" s="125"/>
    </row>
    <row r="103" spans="3:14" x14ac:dyDescent="0.55000000000000004">
      <c r="C103" s="124"/>
      <c r="D103">
        <f t="shared" si="8"/>
        <v>0</v>
      </c>
      <c r="E103" s="63">
        <f t="shared" si="8"/>
        <v>0</v>
      </c>
      <c r="F103" s="21">
        <f t="shared" ca="1" si="7"/>
        <v>0</v>
      </c>
      <c r="G103" s="26">
        <f t="shared" ca="1" si="9"/>
        <v>0</v>
      </c>
      <c r="H103" s="51"/>
      <c r="I103" s="70">
        <f t="shared" ca="1" si="10"/>
        <v>0</v>
      </c>
      <c r="N103" s="125"/>
    </row>
    <row r="104" spans="3:14" x14ac:dyDescent="0.55000000000000004">
      <c r="C104" s="124"/>
      <c r="D104">
        <f t="shared" si="8"/>
        <v>0</v>
      </c>
      <c r="E104" s="63">
        <f t="shared" si="8"/>
        <v>0</v>
      </c>
      <c r="F104" s="21">
        <f t="shared" ca="1" si="7"/>
        <v>0</v>
      </c>
      <c r="G104" s="26">
        <f t="shared" ca="1" si="9"/>
        <v>0</v>
      </c>
      <c r="H104" s="51"/>
      <c r="I104" s="70">
        <f t="shared" ca="1" si="10"/>
        <v>0</v>
      </c>
      <c r="N104" s="125"/>
    </row>
    <row r="105" spans="3:14" x14ac:dyDescent="0.55000000000000004">
      <c r="C105" s="124"/>
      <c r="D105">
        <f t="shared" si="8"/>
        <v>0</v>
      </c>
      <c r="E105" s="63">
        <f t="shared" si="8"/>
        <v>0</v>
      </c>
      <c r="F105" s="21">
        <f t="shared" ca="1" si="7"/>
        <v>0</v>
      </c>
      <c r="G105" s="26">
        <f t="shared" ca="1" si="9"/>
        <v>0</v>
      </c>
      <c r="H105" s="51"/>
      <c r="I105" s="70">
        <f t="shared" ca="1" si="10"/>
        <v>0</v>
      </c>
      <c r="N105" s="125"/>
    </row>
    <row r="106" spans="3:14" x14ac:dyDescent="0.55000000000000004">
      <c r="C106" s="124"/>
      <c r="D106">
        <f t="shared" si="8"/>
        <v>0</v>
      </c>
      <c r="E106" s="63">
        <f t="shared" si="8"/>
        <v>0</v>
      </c>
      <c r="F106" s="21">
        <f t="shared" ca="1" si="7"/>
        <v>0</v>
      </c>
      <c r="G106" s="26">
        <f t="shared" ca="1" si="9"/>
        <v>0</v>
      </c>
      <c r="H106" s="51"/>
      <c r="I106" s="70">
        <f t="shared" ca="1" si="10"/>
        <v>0</v>
      </c>
      <c r="N106" s="125"/>
    </row>
    <row r="107" spans="3:14" x14ac:dyDescent="0.55000000000000004">
      <c r="C107" s="124"/>
      <c r="D107">
        <f t="shared" si="8"/>
        <v>0</v>
      </c>
      <c r="E107" s="63">
        <f t="shared" si="8"/>
        <v>0</v>
      </c>
      <c r="F107" s="21">
        <f t="shared" ca="1" si="7"/>
        <v>0</v>
      </c>
      <c r="G107" s="26">
        <f t="shared" ca="1" si="9"/>
        <v>0</v>
      </c>
      <c r="H107" s="51"/>
      <c r="I107" s="70">
        <f t="shared" ca="1" si="10"/>
        <v>0</v>
      </c>
      <c r="N107" s="125"/>
    </row>
    <row r="108" spans="3:14" x14ac:dyDescent="0.55000000000000004">
      <c r="C108" s="124"/>
      <c r="D108">
        <f t="shared" si="8"/>
        <v>0</v>
      </c>
      <c r="E108" s="63">
        <f t="shared" si="8"/>
        <v>0</v>
      </c>
      <c r="F108" s="21">
        <f t="shared" ca="1" si="7"/>
        <v>0</v>
      </c>
      <c r="G108" s="31">
        <f t="shared" ca="1" si="9"/>
        <v>0</v>
      </c>
      <c r="H108" s="51"/>
      <c r="I108" s="70">
        <f t="shared" ca="1" si="10"/>
        <v>0</v>
      </c>
      <c r="N108" s="125"/>
    </row>
    <row r="109" spans="3:14" x14ac:dyDescent="0.55000000000000004">
      <c r="C109" s="124"/>
      <c r="D109">
        <f t="shared" si="8"/>
        <v>0</v>
      </c>
      <c r="E109" s="63">
        <f t="shared" si="8"/>
        <v>0</v>
      </c>
      <c r="F109" s="21">
        <f t="shared" ca="1" si="7"/>
        <v>0</v>
      </c>
      <c r="G109" s="26">
        <f t="shared" ca="1" si="9"/>
        <v>0</v>
      </c>
      <c r="H109" s="51"/>
      <c r="I109" s="70">
        <f t="shared" ca="1" si="10"/>
        <v>0</v>
      </c>
      <c r="N109" s="125"/>
    </row>
    <row r="110" spans="3:14" x14ac:dyDescent="0.55000000000000004">
      <c r="C110" s="124"/>
      <c r="D110" s="55" t="s">
        <v>535</v>
      </c>
      <c r="F110" s="54">
        <f ca="1">SUM(F90:F109)-F89</f>
        <v>0</v>
      </c>
      <c r="G110" s="54">
        <f ca="1">SUM(G90:G109)-G89</f>
        <v>0</v>
      </c>
      <c r="H110" s="69" t="str">
        <f>IF(SUM(H90:H109)=0,"",H89-G89)</f>
        <v/>
      </c>
      <c r="I110" s="54">
        <f ca="1">SUM(I90:I109)-I89</f>
        <v>0</v>
      </c>
      <c r="N110" s="125"/>
    </row>
    <row r="111" spans="3:14" ht="14.7" thickBot="1" x14ac:dyDescent="0.6">
      <c r="C111" s="130"/>
      <c r="D111" s="131"/>
      <c r="E111" s="131"/>
      <c r="F111" s="131"/>
      <c r="G111" s="131"/>
      <c r="H111" s="131"/>
      <c r="I111" s="131"/>
      <c r="J111" s="131"/>
      <c r="K111" s="131"/>
      <c r="L111" s="131"/>
      <c r="M111" s="131"/>
      <c r="N111" s="132"/>
    </row>
    <row r="112" spans="3:14" ht="14.7" thickBot="1" x14ac:dyDescent="0.6"/>
    <row r="113" spans="3:14" x14ac:dyDescent="0.55000000000000004">
      <c r="C113" s="121"/>
      <c r="D113" s="122"/>
      <c r="E113" s="122"/>
      <c r="F113" s="122"/>
      <c r="G113" s="122"/>
      <c r="H113" s="122"/>
      <c r="I113" s="122"/>
      <c r="J113" s="122"/>
      <c r="K113" s="122"/>
      <c r="L113" s="122"/>
      <c r="M113" s="122"/>
      <c r="N113" s="123"/>
    </row>
    <row r="114" spans="3:14" x14ac:dyDescent="0.55000000000000004">
      <c r="C114" s="124"/>
      <c r="D114" s="248" t="s">
        <v>276</v>
      </c>
      <c r="N114" s="125"/>
    </row>
    <row r="115" spans="3:14" ht="6" customHeight="1" x14ac:dyDescent="0.55000000000000004">
      <c r="C115" s="124"/>
      <c r="D115" s="248"/>
      <c r="N115" s="125"/>
    </row>
    <row r="116" spans="3:14" ht="14.55" customHeight="1" x14ac:dyDescent="0.55000000000000004">
      <c r="C116" s="124"/>
      <c r="D116" s="1816" t="s">
        <v>543</v>
      </c>
      <c r="E116" s="1816"/>
      <c r="F116" s="1816"/>
      <c r="G116" s="1816"/>
      <c r="H116" s="1816"/>
      <c r="I116" s="1816"/>
      <c r="J116" s="1816"/>
      <c r="K116" s="1816"/>
      <c r="L116" s="1816"/>
      <c r="N116" s="125"/>
    </row>
    <row r="117" spans="3:14" x14ac:dyDescent="0.55000000000000004">
      <c r="C117" s="124"/>
      <c r="D117" s="1816"/>
      <c r="E117" s="1816"/>
      <c r="F117" s="1816"/>
      <c r="G117" s="1816"/>
      <c r="H117" s="1816"/>
      <c r="I117" s="1816"/>
      <c r="J117" s="1816"/>
      <c r="K117" s="1816"/>
      <c r="L117" s="1816"/>
      <c r="N117" s="125"/>
    </row>
    <row r="118" spans="3:14" x14ac:dyDescent="0.55000000000000004">
      <c r="C118" s="124"/>
      <c r="D118" s="1816"/>
      <c r="E118" s="1816"/>
      <c r="F118" s="1816"/>
      <c r="G118" s="1816"/>
      <c r="H118" s="1816"/>
      <c r="I118" s="1816"/>
      <c r="J118" s="1816"/>
      <c r="K118" s="1816"/>
      <c r="L118" s="1816"/>
      <c r="N118" s="125"/>
    </row>
    <row r="119" spans="3:14" x14ac:dyDescent="0.55000000000000004">
      <c r="C119" s="124"/>
      <c r="D119" s="1816"/>
      <c r="E119" s="1816"/>
      <c r="F119" s="1816"/>
      <c r="G119" s="1816"/>
      <c r="H119" s="1816"/>
      <c r="I119" s="1816"/>
      <c r="J119" s="1816"/>
      <c r="K119" s="1816"/>
      <c r="L119" s="1816"/>
      <c r="N119" s="125"/>
    </row>
    <row r="120" spans="3:14" ht="5.55" customHeight="1" x14ac:dyDescent="0.55000000000000004">
      <c r="C120" s="124"/>
      <c r="D120" s="268"/>
      <c r="E120" s="268"/>
      <c r="F120" s="268"/>
      <c r="G120" s="268"/>
      <c r="H120" s="268"/>
      <c r="I120" s="268"/>
      <c r="J120" s="268"/>
      <c r="K120" s="268"/>
      <c r="L120" s="268"/>
      <c r="N120" s="125"/>
    </row>
    <row r="121" spans="3:14" x14ac:dyDescent="0.55000000000000004">
      <c r="C121" s="124"/>
      <c r="D121" s="1816" t="s">
        <v>537</v>
      </c>
      <c r="E121" s="1816"/>
      <c r="F121" s="1816"/>
      <c r="G121" s="1816"/>
      <c r="H121" s="1816"/>
      <c r="I121" s="1816"/>
      <c r="J121" s="1816"/>
      <c r="K121" s="1816"/>
      <c r="L121" s="1816"/>
      <c r="N121" s="125"/>
    </row>
    <row r="122" spans="3:14" x14ac:dyDescent="0.55000000000000004">
      <c r="C122" s="124"/>
      <c r="D122" s="1816"/>
      <c r="E122" s="1816"/>
      <c r="F122" s="1816"/>
      <c r="G122" s="1816"/>
      <c r="H122" s="1816"/>
      <c r="I122" s="1816"/>
      <c r="J122" s="1816"/>
      <c r="K122" s="1816"/>
      <c r="L122" s="1816"/>
      <c r="N122" s="125"/>
    </row>
    <row r="123" spans="3:14" x14ac:dyDescent="0.55000000000000004">
      <c r="C123" s="124"/>
      <c r="N123" s="125"/>
    </row>
    <row r="124" spans="3:14" ht="72" x14ac:dyDescent="0.55000000000000004">
      <c r="C124" s="124"/>
      <c r="D124" s="62" t="s">
        <v>283</v>
      </c>
      <c r="E124" s="56" t="s">
        <v>312</v>
      </c>
      <c r="F124" s="190" t="s">
        <v>280</v>
      </c>
      <c r="G124" s="198" t="s">
        <v>281</v>
      </c>
      <c r="H124" s="252" t="s">
        <v>282</v>
      </c>
      <c r="I124" s="198" t="s">
        <v>307</v>
      </c>
      <c r="J124" s="252" t="s">
        <v>308</v>
      </c>
      <c r="K124" s="190" t="s">
        <v>309</v>
      </c>
      <c r="N124" s="125"/>
    </row>
    <row r="125" spans="3:14" x14ac:dyDescent="0.55000000000000004">
      <c r="C125" s="124"/>
      <c r="E125" s="129"/>
      <c r="F125" s="71">
        <f ca="1">SUM(F126:F145)</f>
        <v>108238120.75000004</v>
      </c>
      <c r="G125" s="72">
        <f ca="1">Surplus!F64</f>
        <v>0</v>
      </c>
      <c r="H125" s="72">
        <f>SUM(H126:H145)</f>
        <v>0</v>
      </c>
      <c r="I125" s="73">
        <f ca="1">Surplus!F65</f>
        <v>0</v>
      </c>
      <c r="J125" s="71">
        <f>SUM(J126:J145)</f>
        <v>0</v>
      </c>
      <c r="K125" s="71">
        <f ca="1">SUM(K126:K145)</f>
        <v>108238120.75000004</v>
      </c>
      <c r="N125" s="125"/>
    </row>
    <row r="126" spans="3:14" x14ac:dyDescent="0.55000000000000004">
      <c r="C126" s="124"/>
      <c r="D126" t="str">
        <f t="shared" ref="D126:E145" si="11">D19</f>
        <v>Domestic: Conventional</v>
      </c>
      <c r="E126" s="63" t="str">
        <f t="shared" si="11"/>
        <v>Domestic</v>
      </c>
      <c r="F126" s="70">
        <f t="shared" ref="F126:F145" ca="1" si="12">I90</f>
        <v>76725065.7431795</v>
      </c>
      <c r="G126" s="26">
        <f ca="1">IF(AND(E126="Indigent",F126&gt;=$G$125),$G$125,IF(AND(E126="Indigent",F126&lt;=$G$125),F126,IF(AND(E126&lt;&gt;"Indigent",E126&lt;&gt;"Domestic"),0,IF(E126="Domestic",($G$125-IFERROR(INDEX($F$126:$F$145,MATCH("Indigent",$E$126:$E$145,0)),0))*(F126/SUMIF($E$126:$E$145,"Domestic",$F$126:$F$145))))))</f>
        <v>0</v>
      </c>
      <c r="H126" s="51"/>
      <c r="I126" s="21">
        <f t="shared" ref="I126:I145" ca="1" si="13">IF(E126&lt;&gt;"Indigent",$I$125*(F126/SUMIF($E$126:$E$145,"&lt;&gt;Indigent",$F$126:$F$145)),0)</f>
        <v>0</v>
      </c>
      <c r="J126" s="59"/>
      <c r="K126" s="21">
        <f ca="1">F126-IF(H126="",G126,H126)+IF(J126="",I126,J126)</f>
        <v>76725065.7431795</v>
      </c>
      <c r="N126" s="125"/>
    </row>
    <row r="127" spans="3:14" x14ac:dyDescent="0.55000000000000004">
      <c r="C127" s="124"/>
      <c r="D127" t="str">
        <f t="shared" si="11"/>
        <v>Domestic: Prepaid</v>
      </c>
      <c r="E127" s="63" t="str">
        <f t="shared" si="11"/>
        <v>Domestic</v>
      </c>
      <c r="F127" s="21">
        <f t="shared" ca="1" si="12"/>
        <v>8338172.6170241553</v>
      </c>
      <c r="G127" s="26">
        <f t="shared" ref="G127:G145" ca="1" si="14">IF(AND(E127="Indigent",F127&gt;=$G$125),$G$125,IF(AND(E127="Indigent",F127&lt;=$G$125),F127,IF(AND(E127&lt;&gt;"Indigent",E127&lt;&gt;"Domestic"),0,IF(E127="Domestic",($G$125-IFERROR(INDEX($F$126:$F$145,MATCH("Indigent",$E$126:$E$145,0)),0))*(F127/SUMIF($E$126:$E$145,"Domestic",$F$126:$F$145))))))</f>
        <v>0</v>
      </c>
      <c r="H127" s="51"/>
      <c r="I127" s="21">
        <f t="shared" ca="1" si="13"/>
        <v>0</v>
      </c>
      <c r="J127" s="59"/>
      <c r="K127" s="21">
        <f t="shared" ref="K127:K145" ca="1" si="15">F127-IF(H127="",G127,H127)+IF(J127="",I127,J127)</f>
        <v>8338172.6170241553</v>
      </c>
      <c r="N127" s="125"/>
    </row>
    <row r="128" spans="3:14" x14ac:dyDescent="0.55000000000000004">
      <c r="C128" s="124"/>
      <c r="D128" t="str">
        <f t="shared" si="11"/>
        <v>Sport Clubs</v>
      </c>
      <c r="E128" s="63" t="str">
        <f t="shared" si="11"/>
        <v xml:space="preserve">Institutional </v>
      </c>
      <c r="F128" s="21">
        <f t="shared" ca="1" si="12"/>
        <v>70913.662667774697</v>
      </c>
      <c r="G128" s="26">
        <f t="shared" ca="1" si="14"/>
        <v>0</v>
      </c>
      <c r="H128" s="51"/>
      <c r="I128" s="21">
        <f t="shared" ca="1" si="13"/>
        <v>0</v>
      </c>
      <c r="J128" s="59"/>
      <c r="K128" s="21">
        <f t="shared" ca="1" si="15"/>
        <v>70913.662667774697</v>
      </c>
      <c r="N128" s="125"/>
    </row>
    <row r="129" spans="3:14" x14ac:dyDescent="0.55000000000000004">
      <c r="C129" s="124"/>
      <c r="D129" t="str">
        <f t="shared" si="11"/>
        <v>Schools</v>
      </c>
      <c r="E129" s="63" t="str">
        <f t="shared" si="11"/>
        <v xml:space="preserve">Institutional </v>
      </c>
      <c r="F129" s="21">
        <f t="shared" ca="1" si="12"/>
        <v>1992104.4126853799</v>
      </c>
      <c r="G129" s="26">
        <f t="shared" ca="1" si="14"/>
        <v>0</v>
      </c>
      <c r="H129" s="51"/>
      <c r="I129" s="21">
        <f t="shared" ca="1" si="13"/>
        <v>0</v>
      </c>
      <c r="J129" s="59"/>
      <c r="K129" s="21">
        <f t="shared" ca="1" si="15"/>
        <v>1992104.4126853799</v>
      </c>
      <c r="N129" s="125"/>
    </row>
    <row r="130" spans="3:14" x14ac:dyDescent="0.55000000000000004">
      <c r="C130" s="124"/>
      <c r="D130" t="str">
        <f t="shared" si="11"/>
        <v>Industrial</v>
      </c>
      <c r="E130" s="63" t="str">
        <f t="shared" si="11"/>
        <v>Industrial</v>
      </c>
      <c r="F130" s="21">
        <f t="shared" ca="1" si="12"/>
        <v>9610900.2485174201</v>
      </c>
      <c r="G130" s="26">
        <f t="shared" ca="1" si="14"/>
        <v>0</v>
      </c>
      <c r="H130" s="51"/>
      <c r="I130" s="21">
        <f t="shared" ca="1" si="13"/>
        <v>0</v>
      </c>
      <c r="J130" s="59"/>
      <c r="K130" s="21">
        <f t="shared" ca="1" si="15"/>
        <v>9610900.2485174201</v>
      </c>
      <c r="N130" s="125"/>
    </row>
    <row r="131" spans="3:14" x14ac:dyDescent="0.55000000000000004">
      <c r="C131" s="124"/>
      <c r="D131" t="str">
        <f t="shared" si="11"/>
        <v>Commercial</v>
      </c>
      <c r="E131" s="63" t="str">
        <f t="shared" si="11"/>
        <v>Commercial</v>
      </c>
      <c r="F131" s="21">
        <f t="shared" ca="1" si="12"/>
        <v>10968748.919406813</v>
      </c>
      <c r="G131" s="26">
        <f t="shared" ca="1" si="14"/>
        <v>0</v>
      </c>
      <c r="H131" s="51"/>
      <c r="I131" s="21">
        <f t="shared" ca="1" si="13"/>
        <v>0</v>
      </c>
      <c r="J131" s="59"/>
      <c r="K131" s="21">
        <f t="shared" ca="1" si="15"/>
        <v>10968748.919406813</v>
      </c>
      <c r="N131" s="125"/>
    </row>
    <row r="132" spans="3:14" x14ac:dyDescent="0.55000000000000004">
      <c r="C132" s="124"/>
      <c r="D132" t="str">
        <f t="shared" si="11"/>
        <v>Old Age Homes</v>
      </c>
      <c r="E132" s="63" t="str">
        <f t="shared" si="11"/>
        <v>Domestic</v>
      </c>
      <c r="F132" s="21">
        <f t="shared" ca="1" si="12"/>
        <v>309527.74658034311</v>
      </c>
      <c r="G132" s="26">
        <f t="shared" ca="1" si="14"/>
        <v>0</v>
      </c>
      <c r="H132" s="51"/>
      <c r="I132" s="21">
        <f t="shared" ca="1" si="13"/>
        <v>0</v>
      </c>
      <c r="J132" s="59"/>
      <c r="K132" s="21">
        <f t="shared" ca="1" si="15"/>
        <v>309527.74658034311</v>
      </c>
      <c r="N132" s="125"/>
    </row>
    <row r="133" spans="3:14" x14ac:dyDescent="0.55000000000000004">
      <c r="C133" s="124"/>
      <c r="D133" t="str">
        <f t="shared" si="11"/>
        <v>Safe Houses</v>
      </c>
      <c r="E133" s="63" t="str">
        <f t="shared" si="11"/>
        <v>Domestic</v>
      </c>
      <c r="F133" s="21">
        <f t="shared" ca="1" si="12"/>
        <v>75843.151350822649</v>
      </c>
      <c r="G133" s="26">
        <f t="shared" ca="1" si="14"/>
        <v>0</v>
      </c>
      <c r="H133" s="51"/>
      <c r="I133" s="21">
        <f t="shared" ca="1" si="13"/>
        <v>0</v>
      </c>
      <c r="J133" s="59"/>
      <c r="K133" s="21">
        <f t="shared" ca="1" si="15"/>
        <v>75843.151350822649</v>
      </c>
      <c r="N133" s="125"/>
    </row>
    <row r="134" spans="3:14" x14ac:dyDescent="0.55000000000000004">
      <c r="C134" s="124"/>
      <c r="D134" t="str">
        <f t="shared" si="11"/>
        <v>Proefplaas</v>
      </c>
      <c r="E134" s="63" t="str">
        <f t="shared" si="11"/>
        <v xml:space="preserve">Institutional </v>
      </c>
      <c r="F134" s="21">
        <f t="shared" ca="1" si="12"/>
        <v>146844.24858781631</v>
      </c>
      <c r="G134" s="26">
        <f t="shared" ca="1" si="14"/>
        <v>0</v>
      </c>
      <c r="H134" s="51"/>
      <c r="I134" s="21">
        <f t="shared" ca="1" si="13"/>
        <v>0</v>
      </c>
      <c r="J134" s="60"/>
      <c r="K134" s="21">
        <f t="shared" ca="1" si="15"/>
        <v>146844.24858781631</v>
      </c>
      <c r="N134" s="125"/>
    </row>
    <row r="135" spans="3:14" x14ac:dyDescent="0.55000000000000004">
      <c r="C135" s="124"/>
      <c r="D135">
        <f t="shared" si="11"/>
        <v>0</v>
      </c>
      <c r="E135" s="63">
        <f t="shared" si="11"/>
        <v>0</v>
      </c>
      <c r="F135" s="21">
        <f t="shared" ca="1" si="12"/>
        <v>0</v>
      </c>
      <c r="G135" s="26">
        <f t="shared" ca="1" si="14"/>
        <v>0</v>
      </c>
      <c r="H135" s="51"/>
      <c r="I135" s="21">
        <f t="shared" ca="1" si="13"/>
        <v>0</v>
      </c>
      <c r="J135" s="60"/>
      <c r="K135" s="21">
        <f t="shared" ca="1" si="15"/>
        <v>0</v>
      </c>
      <c r="N135" s="125"/>
    </row>
    <row r="136" spans="3:14" x14ac:dyDescent="0.55000000000000004">
      <c r="C136" s="124"/>
      <c r="D136">
        <f t="shared" si="11"/>
        <v>0</v>
      </c>
      <c r="E136" s="63">
        <f t="shared" si="11"/>
        <v>0</v>
      </c>
      <c r="F136" s="21">
        <f t="shared" ca="1" si="12"/>
        <v>0</v>
      </c>
      <c r="G136" s="26">
        <f t="shared" ca="1" si="14"/>
        <v>0</v>
      </c>
      <c r="H136" s="51"/>
      <c r="I136" s="21">
        <f t="shared" ca="1" si="13"/>
        <v>0</v>
      </c>
      <c r="J136" s="60"/>
      <c r="K136" s="21">
        <f t="shared" ca="1" si="15"/>
        <v>0</v>
      </c>
      <c r="N136" s="125"/>
    </row>
    <row r="137" spans="3:14" x14ac:dyDescent="0.55000000000000004">
      <c r="C137" s="124"/>
      <c r="D137">
        <f t="shared" si="11"/>
        <v>0</v>
      </c>
      <c r="E137" s="63">
        <f t="shared" si="11"/>
        <v>0</v>
      </c>
      <c r="F137" s="21">
        <f t="shared" ca="1" si="12"/>
        <v>0</v>
      </c>
      <c r="G137" s="26">
        <f t="shared" ca="1" si="14"/>
        <v>0</v>
      </c>
      <c r="H137" s="51"/>
      <c r="I137" s="21">
        <f t="shared" ca="1" si="13"/>
        <v>0</v>
      </c>
      <c r="J137" s="60"/>
      <c r="K137" s="21">
        <f t="shared" ca="1" si="15"/>
        <v>0</v>
      </c>
      <c r="N137" s="125"/>
    </row>
    <row r="138" spans="3:14" x14ac:dyDescent="0.55000000000000004">
      <c r="C138" s="124"/>
      <c r="D138">
        <f t="shared" si="11"/>
        <v>0</v>
      </c>
      <c r="E138" s="63">
        <f t="shared" si="11"/>
        <v>0</v>
      </c>
      <c r="F138" s="21">
        <f t="shared" ca="1" si="12"/>
        <v>0</v>
      </c>
      <c r="G138" s="26">
        <f t="shared" ca="1" si="14"/>
        <v>0</v>
      </c>
      <c r="H138" s="51"/>
      <c r="I138" s="21">
        <f t="shared" ca="1" si="13"/>
        <v>0</v>
      </c>
      <c r="J138" s="60"/>
      <c r="K138" s="21">
        <f t="shared" ca="1" si="15"/>
        <v>0</v>
      </c>
      <c r="N138" s="125"/>
    </row>
    <row r="139" spans="3:14" x14ac:dyDescent="0.55000000000000004">
      <c r="C139" s="124"/>
      <c r="D139">
        <f t="shared" si="11"/>
        <v>0</v>
      </c>
      <c r="E139" s="63">
        <f t="shared" si="11"/>
        <v>0</v>
      </c>
      <c r="F139" s="21">
        <f t="shared" ca="1" si="12"/>
        <v>0</v>
      </c>
      <c r="G139" s="26">
        <f t="shared" ca="1" si="14"/>
        <v>0</v>
      </c>
      <c r="H139" s="51"/>
      <c r="I139" s="21">
        <f t="shared" ca="1" si="13"/>
        <v>0</v>
      </c>
      <c r="J139" s="60"/>
      <c r="K139" s="21">
        <f t="shared" ca="1" si="15"/>
        <v>0</v>
      </c>
      <c r="N139" s="125"/>
    </row>
    <row r="140" spans="3:14" x14ac:dyDescent="0.55000000000000004">
      <c r="C140" s="124"/>
      <c r="D140">
        <f t="shared" si="11"/>
        <v>0</v>
      </c>
      <c r="E140" s="63">
        <f t="shared" si="11"/>
        <v>0</v>
      </c>
      <c r="F140" s="21">
        <f t="shared" ca="1" si="12"/>
        <v>0</v>
      </c>
      <c r="G140" s="26">
        <f t="shared" ca="1" si="14"/>
        <v>0</v>
      </c>
      <c r="H140" s="51"/>
      <c r="I140" s="21">
        <f t="shared" ca="1" si="13"/>
        <v>0</v>
      </c>
      <c r="J140" s="60"/>
      <c r="K140" s="21">
        <f t="shared" ca="1" si="15"/>
        <v>0</v>
      </c>
      <c r="N140" s="125"/>
    </row>
    <row r="141" spans="3:14" x14ac:dyDescent="0.55000000000000004">
      <c r="C141" s="124"/>
      <c r="D141">
        <f t="shared" si="11"/>
        <v>0</v>
      </c>
      <c r="E141" s="63">
        <f t="shared" si="11"/>
        <v>0</v>
      </c>
      <c r="F141" s="21">
        <f t="shared" ca="1" si="12"/>
        <v>0</v>
      </c>
      <c r="G141" s="26">
        <f t="shared" ca="1" si="14"/>
        <v>0</v>
      </c>
      <c r="H141" s="51"/>
      <c r="I141" s="21">
        <f t="shared" ca="1" si="13"/>
        <v>0</v>
      </c>
      <c r="J141" s="60"/>
      <c r="K141" s="21">
        <f t="shared" ca="1" si="15"/>
        <v>0</v>
      </c>
      <c r="N141" s="125"/>
    </row>
    <row r="142" spans="3:14" x14ac:dyDescent="0.55000000000000004">
      <c r="C142" s="124"/>
      <c r="D142">
        <f t="shared" si="11"/>
        <v>0</v>
      </c>
      <c r="E142" s="63">
        <f t="shared" si="11"/>
        <v>0</v>
      </c>
      <c r="F142" s="21">
        <f t="shared" ca="1" si="12"/>
        <v>0</v>
      </c>
      <c r="G142" s="26">
        <f t="shared" ca="1" si="14"/>
        <v>0</v>
      </c>
      <c r="H142" s="51"/>
      <c r="I142" s="21">
        <f t="shared" ca="1" si="13"/>
        <v>0</v>
      </c>
      <c r="J142" s="60"/>
      <c r="K142" s="21">
        <f t="shared" ca="1" si="15"/>
        <v>0</v>
      </c>
      <c r="N142" s="125"/>
    </row>
    <row r="143" spans="3:14" x14ac:dyDescent="0.55000000000000004">
      <c r="C143" s="124"/>
      <c r="D143">
        <f t="shared" si="11"/>
        <v>0</v>
      </c>
      <c r="E143" s="63">
        <f t="shared" si="11"/>
        <v>0</v>
      </c>
      <c r="F143" s="21">
        <f t="shared" ca="1" si="12"/>
        <v>0</v>
      </c>
      <c r="G143" s="26">
        <f t="shared" ca="1" si="14"/>
        <v>0</v>
      </c>
      <c r="H143" s="51"/>
      <c r="I143" s="21">
        <f t="shared" ca="1" si="13"/>
        <v>0</v>
      </c>
      <c r="J143" s="60"/>
      <c r="K143" s="21">
        <f t="shared" ca="1" si="15"/>
        <v>0</v>
      </c>
      <c r="N143" s="125"/>
    </row>
    <row r="144" spans="3:14" x14ac:dyDescent="0.55000000000000004">
      <c r="C144" s="124"/>
      <c r="D144">
        <f t="shared" si="11"/>
        <v>0</v>
      </c>
      <c r="E144" s="63">
        <f t="shared" si="11"/>
        <v>0</v>
      </c>
      <c r="F144" s="21">
        <f t="shared" ca="1" si="12"/>
        <v>0</v>
      </c>
      <c r="G144" s="26">
        <f t="shared" ca="1" si="14"/>
        <v>0</v>
      </c>
      <c r="H144" s="51"/>
      <c r="I144" s="21">
        <f t="shared" ca="1" si="13"/>
        <v>0</v>
      </c>
      <c r="J144" s="60"/>
      <c r="K144" s="21">
        <f t="shared" ca="1" si="15"/>
        <v>0</v>
      </c>
      <c r="N144" s="125"/>
    </row>
    <row r="145" spans="3:14" x14ac:dyDescent="0.55000000000000004">
      <c r="C145" s="124"/>
      <c r="D145">
        <f t="shared" si="11"/>
        <v>0</v>
      </c>
      <c r="E145" s="63">
        <f t="shared" si="11"/>
        <v>0</v>
      </c>
      <c r="F145" s="21">
        <f t="shared" ca="1" si="12"/>
        <v>0</v>
      </c>
      <c r="G145" s="26">
        <f t="shared" ca="1" si="14"/>
        <v>0</v>
      </c>
      <c r="H145" s="51"/>
      <c r="I145" s="21">
        <f t="shared" ca="1" si="13"/>
        <v>0</v>
      </c>
      <c r="J145" s="60"/>
      <c r="K145" s="21">
        <f t="shared" ca="1" si="15"/>
        <v>0</v>
      </c>
      <c r="N145" s="125"/>
    </row>
    <row r="146" spans="3:14" x14ac:dyDescent="0.55000000000000004">
      <c r="C146" s="124"/>
      <c r="D146" s="55" t="s">
        <v>535</v>
      </c>
      <c r="E146" s="133"/>
      <c r="F146" s="54">
        <f ca="1">SUM(F126:F145)-F125</f>
        <v>0</v>
      </c>
      <c r="G146" s="54">
        <f ca="1">SUM(G126:G145)-G125</f>
        <v>0</v>
      </c>
      <c r="H146" s="69" t="str">
        <f>IF(SUM(H126:H145)=0,"",H125-G125)</f>
        <v/>
      </c>
      <c r="I146" s="54">
        <f ca="1">SUM(I126:I145)-I125</f>
        <v>0</v>
      </c>
      <c r="J146" s="69" t="str">
        <f>IF(SUM(J126:J145)=0,"",J125-I125)</f>
        <v/>
      </c>
      <c r="K146" s="54">
        <f ca="1">SUM(K126:K145)-K125</f>
        <v>0</v>
      </c>
      <c r="N146" s="125"/>
    </row>
    <row r="147" spans="3:14" ht="14.7" thickBot="1" x14ac:dyDescent="0.6">
      <c r="C147" s="130"/>
      <c r="D147" s="131"/>
      <c r="E147" s="131"/>
      <c r="F147" s="131"/>
      <c r="G147" s="131"/>
      <c r="H147" s="131"/>
      <c r="I147" s="131"/>
      <c r="J147" s="131"/>
      <c r="K147" s="131"/>
      <c r="L147" s="131"/>
      <c r="M147" s="131"/>
      <c r="N147" s="132"/>
    </row>
    <row r="148" spans="3:14" ht="14.7" thickBot="1" x14ac:dyDescent="0.6"/>
    <row r="149" spans="3:14" x14ac:dyDescent="0.55000000000000004">
      <c r="C149" s="121"/>
      <c r="D149" s="122"/>
      <c r="E149" s="122"/>
      <c r="F149" s="122"/>
      <c r="G149" s="122"/>
      <c r="H149" s="122"/>
      <c r="I149" s="122"/>
      <c r="J149" s="122"/>
      <c r="K149" s="122"/>
      <c r="L149" s="122"/>
      <c r="M149" s="122"/>
      <c r="N149" s="123"/>
    </row>
    <row r="150" spans="3:14" x14ac:dyDescent="0.55000000000000004">
      <c r="C150" s="124"/>
      <c r="D150" s="248" t="s">
        <v>105</v>
      </c>
      <c r="N150" s="125"/>
    </row>
    <row r="151" spans="3:14" ht="4.95" customHeight="1" x14ac:dyDescent="0.55000000000000004">
      <c r="C151" s="124"/>
      <c r="D151" s="248"/>
      <c r="N151" s="125"/>
    </row>
    <row r="152" spans="3:14" ht="14.55" customHeight="1" x14ac:dyDescent="0.55000000000000004">
      <c r="C152" s="124"/>
      <c r="D152" s="1803" t="s">
        <v>545</v>
      </c>
      <c r="E152" s="1803"/>
      <c r="F152" s="1803"/>
      <c r="G152" s="1803"/>
      <c r="H152" s="1803"/>
      <c r="I152" s="1803"/>
      <c r="J152" s="1803"/>
      <c r="K152" s="1803"/>
      <c r="L152" s="1803"/>
      <c r="M152" s="1803"/>
      <c r="N152" s="125"/>
    </row>
    <row r="153" spans="3:14" x14ac:dyDescent="0.55000000000000004">
      <c r="C153" s="124"/>
      <c r="D153" s="1803"/>
      <c r="E153" s="1803"/>
      <c r="F153" s="1803"/>
      <c r="G153" s="1803"/>
      <c r="H153" s="1803"/>
      <c r="I153" s="1803"/>
      <c r="J153" s="1803"/>
      <c r="K153" s="1803"/>
      <c r="L153" s="1803"/>
      <c r="M153" s="1803"/>
      <c r="N153" s="125"/>
    </row>
    <row r="154" spans="3:14" x14ac:dyDescent="0.55000000000000004">
      <c r="C154" s="124"/>
      <c r="D154" s="1803"/>
      <c r="E154" s="1803"/>
      <c r="F154" s="1803"/>
      <c r="G154" s="1803"/>
      <c r="H154" s="1803"/>
      <c r="I154" s="1803"/>
      <c r="J154" s="1803"/>
      <c r="K154" s="1803"/>
      <c r="L154" s="1803"/>
      <c r="M154" s="1803"/>
      <c r="N154" s="125"/>
    </row>
    <row r="155" spans="3:14" x14ac:dyDescent="0.55000000000000004">
      <c r="C155" s="124"/>
      <c r="D155" s="238"/>
      <c r="N155" s="125"/>
    </row>
    <row r="156" spans="3:14" ht="79.2" customHeight="1" x14ac:dyDescent="0.55000000000000004">
      <c r="C156" s="124"/>
      <c r="D156" s="62" t="s">
        <v>283</v>
      </c>
      <c r="E156" s="56" t="s">
        <v>312</v>
      </c>
      <c r="F156" s="56" t="s">
        <v>309</v>
      </c>
      <c r="G156" s="1817" t="s">
        <v>48</v>
      </c>
      <c r="H156" s="1818"/>
      <c r="I156" s="1817" t="s">
        <v>327</v>
      </c>
      <c r="J156" s="1818"/>
      <c r="K156" s="56" t="s">
        <v>310</v>
      </c>
      <c r="L156" s="1318" t="s">
        <v>311</v>
      </c>
      <c r="M156" s="1318" t="s">
        <v>296</v>
      </c>
      <c r="N156" s="125"/>
    </row>
    <row r="157" spans="3:14" x14ac:dyDescent="0.55000000000000004">
      <c r="C157" s="124"/>
      <c r="D157" s="1" t="s">
        <v>33</v>
      </c>
      <c r="E157" s="63"/>
      <c r="F157" s="20">
        <f ca="1">SUM(F158:F177)</f>
        <v>108238120.75000004</v>
      </c>
      <c r="G157" s="20"/>
      <c r="H157" s="20">
        <f>SUM(H158:H177)</f>
        <v>0</v>
      </c>
      <c r="I157" s="74">
        <f>SUM(I158:I177)</f>
        <v>0</v>
      </c>
      <c r="J157" s="20">
        <f>SUM(J158:J177)</f>
        <v>0</v>
      </c>
      <c r="K157" s="20">
        <f ca="1">SUM(K158:K177)</f>
        <v>108238120.75000004</v>
      </c>
      <c r="L157" s="72">
        <f ca="1">IFERROR(K157/IF('2 Customer data'!K41=0,'2 Customer data'!J41,'2 Customer data'!K41),0)</f>
        <v>35.49533059771565</v>
      </c>
      <c r="M157" s="66">
        <f ca="1">M39</f>
        <v>44.161678373876427</v>
      </c>
      <c r="N157" s="125"/>
    </row>
    <row r="158" spans="3:14" x14ac:dyDescent="0.55000000000000004">
      <c r="C158" s="124"/>
      <c r="D158" t="str">
        <f t="shared" ref="D158:E177" si="16">D19</f>
        <v>Domestic: Conventional</v>
      </c>
      <c r="E158" s="63" t="str">
        <f t="shared" si="16"/>
        <v>Domestic</v>
      </c>
      <c r="F158" s="21">
        <f t="shared" ref="F158:F177" ca="1" si="17">K126</f>
        <v>76725065.7431795</v>
      </c>
      <c r="G158" s="50"/>
      <c r="H158" s="26">
        <f>IF(G158="",0,F158*G158)</f>
        <v>0</v>
      </c>
      <c r="I158" s="23"/>
      <c r="J158" s="26">
        <f t="shared" ref="J158:J177" si="18">$H$157*I158</f>
        <v>0</v>
      </c>
      <c r="K158" s="21">
        <f ca="1">F158+H158-J158</f>
        <v>76725065.7431795</v>
      </c>
      <c r="L158" s="64">
        <f ca="1">IFERROR(K158/IF('2 Customer data'!K21="",'2 Customer data'!J21,'2 Customer data'!K21),0)</f>
        <v>40.303398377159546</v>
      </c>
      <c r="M158" s="40">
        <f t="shared" ref="M158:M177" ca="1" si="19">M19</f>
        <v>51.933252774731272</v>
      </c>
      <c r="N158" s="125"/>
    </row>
    <row r="159" spans="3:14" x14ac:dyDescent="0.55000000000000004">
      <c r="C159" s="124"/>
      <c r="D159" t="str">
        <f t="shared" si="16"/>
        <v>Domestic: Prepaid</v>
      </c>
      <c r="E159" s="63" t="str">
        <f t="shared" si="16"/>
        <v>Domestic</v>
      </c>
      <c r="F159" s="21">
        <f t="shared" ca="1" si="17"/>
        <v>8338172.6170241553</v>
      </c>
      <c r="G159" s="23"/>
      <c r="H159" s="26">
        <f t="shared" ref="H159:H177" si="20">IF(G159="",0,F159*G159)</f>
        <v>0</v>
      </c>
      <c r="I159" s="23"/>
      <c r="J159" s="26">
        <f t="shared" si="18"/>
        <v>0</v>
      </c>
      <c r="K159" s="21">
        <f t="shared" ref="K159:K177" ca="1" si="21">F159+H159-J159</f>
        <v>8338172.6170241553</v>
      </c>
      <c r="L159" s="64">
        <f ca="1">IFERROR(K159/IF('2 Customer data'!K22="",'2 Customer data'!J22,'2 Customer data'!K22),0)</f>
        <v>46.366506068960589</v>
      </c>
      <c r="M159" s="40">
        <f t="shared" ca="1" si="19"/>
        <v>59.745916645209405</v>
      </c>
      <c r="N159" s="125"/>
    </row>
    <row r="160" spans="3:14" x14ac:dyDescent="0.55000000000000004">
      <c r="C160" s="124"/>
      <c r="D160" t="str">
        <f t="shared" si="16"/>
        <v>Sport Clubs</v>
      </c>
      <c r="E160" s="63" t="str">
        <f t="shared" si="16"/>
        <v xml:space="preserve">Institutional </v>
      </c>
      <c r="F160" s="21">
        <f t="shared" ca="1" si="17"/>
        <v>70913.662667774697</v>
      </c>
      <c r="G160" s="23"/>
      <c r="H160" s="26">
        <f t="shared" si="20"/>
        <v>0</v>
      </c>
      <c r="I160" s="23"/>
      <c r="J160" s="26">
        <f t="shared" si="18"/>
        <v>0</v>
      </c>
      <c r="K160" s="21">
        <f t="shared" ca="1" si="21"/>
        <v>70913.662667774697</v>
      </c>
      <c r="L160" s="64">
        <f ca="1">IFERROR(K160/IF('2 Customer data'!K23="",'2 Customer data'!J23,'2 Customer data'!K23),0)</f>
        <v>37.243436212434027</v>
      </c>
      <c r="M160" s="40">
        <f t="shared" ca="1" si="19"/>
        <v>40.136005456034269</v>
      </c>
      <c r="N160" s="125"/>
    </row>
    <row r="161" spans="3:14" x14ac:dyDescent="0.55000000000000004">
      <c r="C161" s="124"/>
      <c r="D161" t="str">
        <f t="shared" si="16"/>
        <v>Schools</v>
      </c>
      <c r="E161" s="63" t="str">
        <f t="shared" si="16"/>
        <v xml:space="preserve">Institutional </v>
      </c>
      <c r="F161" s="21">
        <f t="shared" ca="1" si="17"/>
        <v>1992104.4126853799</v>
      </c>
      <c r="G161" s="50"/>
      <c r="H161" s="26">
        <f t="shared" si="20"/>
        <v>0</v>
      </c>
      <c r="I161" s="23"/>
      <c r="J161" s="26">
        <f t="shared" si="18"/>
        <v>0</v>
      </c>
      <c r="K161" s="21">
        <f t="shared" ca="1" si="21"/>
        <v>1992104.4126853799</v>
      </c>
      <c r="L161" s="64">
        <f ca="1">IFERROR(K161/IF('2 Customer data'!K24="",'2 Customer data'!J24,'2 Customer data'!K24),0)</f>
        <v>22.702851801515678</v>
      </c>
      <c r="M161" s="40">
        <f t="shared" ca="1" si="19"/>
        <v>24.466104002212301</v>
      </c>
      <c r="N161" s="125"/>
    </row>
    <row r="162" spans="3:14" x14ac:dyDescent="0.55000000000000004">
      <c r="C162" s="124"/>
      <c r="D162" t="str">
        <f t="shared" si="16"/>
        <v>Industrial</v>
      </c>
      <c r="E162" s="63" t="str">
        <f t="shared" si="16"/>
        <v>Industrial</v>
      </c>
      <c r="F162" s="21">
        <f t="shared" ca="1" si="17"/>
        <v>9610900.2485174201</v>
      </c>
      <c r="G162" s="50"/>
      <c r="H162" s="26">
        <f t="shared" si="20"/>
        <v>0</v>
      </c>
      <c r="I162" s="23"/>
      <c r="J162" s="26">
        <f t="shared" si="18"/>
        <v>0</v>
      </c>
      <c r="K162" s="21">
        <f t="shared" ca="1" si="21"/>
        <v>9610900.2485174201</v>
      </c>
      <c r="L162" s="64">
        <f ca="1">IFERROR(K162/IF('2 Customer data'!K25="",'2 Customer data'!J25,'2 Customer data'!K25),0)</f>
        <v>21.377677775764003</v>
      </c>
      <c r="M162" s="40">
        <f t="shared" ca="1" si="19"/>
        <v>23.038008280206739</v>
      </c>
      <c r="N162" s="125"/>
    </row>
    <row r="163" spans="3:14" x14ac:dyDescent="0.55000000000000004">
      <c r="C163" s="124"/>
      <c r="D163" t="str">
        <f t="shared" si="16"/>
        <v>Commercial</v>
      </c>
      <c r="E163" s="63" t="str">
        <f t="shared" si="16"/>
        <v>Commercial</v>
      </c>
      <c r="F163" s="21">
        <f t="shared" ca="1" si="17"/>
        <v>10968748.919406813</v>
      </c>
      <c r="G163" s="61"/>
      <c r="H163" s="26">
        <f t="shared" si="20"/>
        <v>0</v>
      </c>
      <c r="I163" s="23"/>
      <c r="J163" s="26">
        <f t="shared" si="18"/>
        <v>0</v>
      </c>
      <c r="K163" s="21">
        <f t="shared" ca="1" si="21"/>
        <v>10968748.919406813</v>
      </c>
      <c r="L163" s="64">
        <f ca="1">IFERROR(K163/IF('2 Customer data'!K26="",'2 Customer data'!J26,'2 Customer data'!K26),0)</f>
        <v>27.417784718082338</v>
      </c>
      <c r="M163" s="40">
        <f t="shared" ca="1" si="19"/>
        <v>29.547229497312998</v>
      </c>
      <c r="N163" s="125"/>
    </row>
    <row r="164" spans="3:14" x14ac:dyDescent="0.55000000000000004">
      <c r="C164" s="124"/>
      <c r="D164" t="str">
        <f t="shared" si="16"/>
        <v>Old Age Homes</v>
      </c>
      <c r="E164" s="63" t="str">
        <f t="shared" si="16"/>
        <v>Domestic</v>
      </c>
      <c r="F164" s="21">
        <f t="shared" ca="1" si="17"/>
        <v>309527.74658034311</v>
      </c>
      <c r="G164" s="61"/>
      <c r="H164" s="26">
        <f t="shared" si="20"/>
        <v>0</v>
      </c>
      <c r="I164" s="23"/>
      <c r="J164" s="26">
        <f t="shared" si="18"/>
        <v>0</v>
      </c>
      <c r="K164" s="21">
        <f t="shared" ca="1" si="21"/>
        <v>309527.74658034311</v>
      </c>
      <c r="L164" s="64">
        <f ca="1">IFERROR(K164/IF('2 Customer data'!K27="",'2 Customer data'!J27,'2 Customer data'!K27),0)</f>
        <v>19.26554659207428</v>
      </c>
      <c r="M164" s="40">
        <f t="shared" ca="1" si="19"/>
        <v>24.824767669630692</v>
      </c>
      <c r="N164" s="125"/>
    </row>
    <row r="165" spans="3:14" x14ac:dyDescent="0.55000000000000004">
      <c r="C165" s="124"/>
      <c r="D165" t="str">
        <f t="shared" si="16"/>
        <v>Safe Houses</v>
      </c>
      <c r="E165" s="63" t="str">
        <f t="shared" si="16"/>
        <v>Domestic</v>
      </c>
      <c r="F165" s="21">
        <f t="shared" ca="1" si="17"/>
        <v>75843.151350822649</v>
      </c>
      <c r="G165" s="50"/>
      <c r="H165" s="26">
        <f t="shared" si="20"/>
        <v>0</v>
      </c>
      <c r="I165" s="50"/>
      <c r="J165" s="26">
        <f t="shared" si="18"/>
        <v>0</v>
      </c>
      <c r="K165" s="21">
        <f t="shared" ca="1" si="21"/>
        <v>75843.151350822649</v>
      </c>
      <c r="L165" s="64">
        <f ca="1">IFERROR(K165/IF('2 Customer data'!K28="",'2 Customer data'!J28,'2 Customer data'!K28),0)</f>
        <v>20.100496011824095</v>
      </c>
      <c r="M165" s="40">
        <f t="shared" ca="1" si="19"/>
        <v>25.900648141649548</v>
      </c>
      <c r="N165" s="125"/>
    </row>
    <row r="166" spans="3:14" x14ac:dyDescent="0.55000000000000004">
      <c r="C166" s="124"/>
      <c r="D166" t="str">
        <f t="shared" si="16"/>
        <v>Proefplaas</v>
      </c>
      <c r="E166" s="63" t="str">
        <f t="shared" si="16"/>
        <v xml:space="preserve">Institutional </v>
      </c>
      <c r="F166" s="21">
        <f t="shared" ca="1" si="17"/>
        <v>146844.24858781631</v>
      </c>
      <c r="G166" s="50"/>
      <c r="H166" s="26">
        <f t="shared" si="20"/>
        <v>0</v>
      </c>
      <c r="I166" s="50"/>
      <c r="J166" s="26">
        <f t="shared" si="18"/>
        <v>0</v>
      </c>
      <c r="K166" s="21">
        <f t="shared" ca="1" si="21"/>
        <v>146844.24858781631</v>
      </c>
      <c r="L166" s="64">
        <f ca="1">IFERROR(K166/IF('2 Customer data'!K29="",'2 Customer data'!J29,'2 Customer data'!K29),0)</f>
        <v>21.862949386118579</v>
      </c>
      <c r="M166" s="40">
        <f t="shared" ca="1" si="19"/>
        <v>23.560969262908632</v>
      </c>
      <c r="N166" s="125"/>
    </row>
    <row r="167" spans="3:14" x14ac:dyDescent="0.55000000000000004">
      <c r="C167" s="124"/>
      <c r="D167">
        <f t="shared" si="16"/>
        <v>0</v>
      </c>
      <c r="E167" s="63">
        <f t="shared" si="16"/>
        <v>0</v>
      </c>
      <c r="F167" s="21">
        <f t="shared" ca="1" si="17"/>
        <v>0</v>
      </c>
      <c r="G167" s="50"/>
      <c r="H167" s="26">
        <f t="shared" si="20"/>
        <v>0</v>
      </c>
      <c r="I167" s="50"/>
      <c r="J167" s="26">
        <f t="shared" si="18"/>
        <v>0</v>
      </c>
      <c r="K167" s="21">
        <f t="shared" ca="1" si="21"/>
        <v>0</v>
      </c>
      <c r="L167" s="64">
        <f ca="1">IFERROR(K167/IF('2 Customer data'!K30="",'2 Customer data'!J30,'2 Customer data'!K30),0)</f>
        <v>0</v>
      </c>
      <c r="M167" s="40">
        <f t="shared" ca="1" si="19"/>
        <v>0</v>
      </c>
      <c r="N167" s="125"/>
    </row>
    <row r="168" spans="3:14" x14ac:dyDescent="0.55000000000000004">
      <c r="C168" s="124"/>
      <c r="D168">
        <f t="shared" si="16"/>
        <v>0</v>
      </c>
      <c r="E168" s="63">
        <f t="shared" si="16"/>
        <v>0</v>
      </c>
      <c r="F168" s="21">
        <f t="shared" ca="1" si="17"/>
        <v>0</v>
      </c>
      <c r="G168" s="50"/>
      <c r="H168" s="26">
        <f t="shared" si="20"/>
        <v>0</v>
      </c>
      <c r="I168" s="50"/>
      <c r="J168" s="26">
        <f t="shared" si="18"/>
        <v>0</v>
      </c>
      <c r="K168" s="21">
        <f t="shared" ca="1" si="21"/>
        <v>0</v>
      </c>
      <c r="L168" s="64">
        <f ca="1">IFERROR(K168/IF('2 Customer data'!K31="",'2 Customer data'!J31,'2 Customer data'!K31),0)</f>
        <v>0</v>
      </c>
      <c r="M168" s="40">
        <f t="shared" ca="1" si="19"/>
        <v>0</v>
      </c>
      <c r="N168" s="125"/>
    </row>
    <row r="169" spans="3:14" x14ac:dyDescent="0.55000000000000004">
      <c r="C169" s="124"/>
      <c r="D169">
        <f t="shared" si="16"/>
        <v>0</v>
      </c>
      <c r="E169" s="63">
        <f t="shared" si="16"/>
        <v>0</v>
      </c>
      <c r="F169" s="21">
        <f t="shared" ca="1" si="17"/>
        <v>0</v>
      </c>
      <c r="G169" s="50"/>
      <c r="H169" s="26">
        <f t="shared" si="20"/>
        <v>0</v>
      </c>
      <c r="I169" s="50"/>
      <c r="J169" s="26">
        <f t="shared" si="18"/>
        <v>0</v>
      </c>
      <c r="K169" s="21">
        <f t="shared" ca="1" si="21"/>
        <v>0</v>
      </c>
      <c r="L169" s="64">
        <f ca="1">IFERROR(K169/IF('2 Customer data'!K32="",'2 Customer data'!J32,'2 Customer data'!K32),0)</f>
        <v>0</v>
      </c>
      <c r="M169" s="40">
        <f t="shared" ca="1" si="19"/>
        <v>0</v>
      </c>
      <c r="N169" s="125"/>
    </row>
    <row r="170" spans="3:14" x14ac:dyDescent="0.55000000000000004">
      <c r="C170" s="124"/>
      <c r="D170">
        <f t="shared" si="16"/>
        <v>0</v>
      </c>
      <c r="E170" s="63">
        <f t="shared" si="16"/>
        <v>0</v>
      </c>
      <c r="F170" s="21">
        <f t="shared" ca="1" si="17"/>
        <v>0</v>
      </c>
      <c r="G170" s="50"/>
      <c r="H170" s="26">
        <f t="shared" si="20"/>
        <v>0</v>
      </c>
      <c r="I170" s="50"/>
      <c r="J170" s="26">
        <f t="shared" si="18"/>
        <v>0</v>
      </c>
      <c r="K170" s="21">
        <f t="shared" ca="1" si="21"/>
        <v>0</v>
      </c>
      <c r="L170" s="64">
        <f ca="1">IFERROR(K170/IF('2 Customer data'!K33="",'2 Customer data'!J33,'2 Customer data'!K33),0)</f>
        <v>0</v>
      </c>
      <c r="M170" s="40">
        <f t="shared" ca="1" si="19"/>
        <v>0</v>
      </c>
      <c r="N170" s="125"/>
    </row>
    <row r="171" spans="3:14" x14ac:dyDescent="0.55000000000000004">
      <c r="C171" s="124"/>
      <c r="D171">
        <f t="shared" si="16"/>
        <v>0</v>
      </c>
      <c r="E171" s="63">
        <f t="shared" si="16"/>
        <v>0</v>
      </c>
      <c r="F171" s="21">
        <f t="shared" ca="1" si="17"/>
        <v>0</v>
      </c>
      <c r="G171" s="50"/>
      <c r="H171" s="26">
        <f t="shared" si="20"/>
        <v>0</v>
      </c>
      <c r="I171" s="50"/>
      <c r="J171" s="26">
        <f t="shared" si="18"/>
        <v>0</v>
      </c>
      <c r="K171" s="21">
        <f t="shared" ca="1" si="21"/>
        <v>0</v>
      </c>
      <c r="L171" s="64">
        <f ca="1">IFERROR(K171/IF('2 Customer data'!K34="",'2 Customer data'!J34,'2 Customer data'!K34),0)</f>
        <v>0</v>
      </c>
      <c r="M171" s="40">
        <f t="shared" ca="1" si="19"/>
        <v>0</v>
      </c>
      <c r="N171" s="125"/>
    </row>
    <row r="172" spans="3:14" x14ac:dyDescent="0.55000000000000004">
      <c r="C172" s="124"/>
      <c r="D172">
        <f t="shared" si="16"/>
        <v>0</v>
      </c>
      <c r="E172" s="63">
        <f t="shared" si="16"/>
        <v>0</v>
      </c>
      <c r="F172" s="21">
        <f t="shared" ca="1" si="17"/>
        <v>0</v>
      </c>
      <c r="G172" s="50"/>
      <c r="H172" s="26">
        <f t="shared" si="20"/>
        <v>0</v>
      </c>
      <c r="I172" s="50"/>
      <c r="J172" s="26">
        <f t="shared" si="18"/>
        <v>0</v>
      </c>
      <c r="K172" s="21">
        <f t="shared" ca="1" si="21"/>
        <v>0</v>
      </c>
      <c r="L172" s="64">
        <f ca="1">IFERROR(K172/IF('2 Customer data'!K35="",'2 Customer data'!J35,'2 Customer data'!K35),0)</f>
        <v>0</v>
      </c>
      <c r="M172" s="40">
        <f t="shared" ca="1" si="19"/>
        <v>0</v>
      </c>
      <c r="N172" s="125"/>
    </row>
    <row r="173" spans="3:14" x14ac:dyDescent="0.55000000000000004">
      <c r="C173" s="124"/>
      <c r="D173">
        <f t="shared" si="16"/>
        <v>0</v>
      </c>
      <c r="E173" s="63">
        <f t="shared" si="16"/>
        <v>0</v>
      </c>
      <c r="F173" s="21">
        <f t="shared" ca="1" si="17"/>
        <v>0</v>
      </c>
      <c r="G173" s="50"/>
      <c r="H173" s="26">
        <f t="shared" si="20"/>
        <v>0</v>
      </c>
      <c r="I173" s="50"/>
      <c r="J173" s="26">
        <f t="shared" si="18"/>
        <v>0</v>
      </c>
      <c r="K173" s="21">
        <f t="shared" ca="1" si="21"/>
        <v>0</v>
      </c>
      <c r="L173" s="64">
        <f ca="1">IFERROR(K173/IF('2 Customer data'!K36="",'2 Customer data'!J36,'2 Customer data'!K36),0)</f>
        <v>0</v>
      </c>
      <c r="M173" s="40">
        <f t="shared" ca="1" si="19"/>
        <v>0</v>
      </c>
      <c r="N173" s="125"/>
    </row>
    <row r="174" spans="3:14" x14ac:dyDescent="0.55000000000000004">
      <c r="C174" s="124"/>
      <c r="D174">
        <f t="shared" si="16"/>
        <v>0</v>
      </c>
      <c r="E174" s="63">
        <f t="shared" si="16"/>
        <v>0</v>
      </c>
      <c r="F174" s="21">
        <f t="shared" ca="1" si="17"/>
        <v>0</v>
      </c>
      <c r="G174" s="50"/>
      <c r="H174" s="26">
        <f t="shared" si="20"/>
        <v>0</v>
      </c>
      <c r="I174" s="50"/>
      <c r="J174" s="26">
        <f t="shared" si="18"/>
        <v>0</v>
      </c>
      <c r="K174" s="21">
        <f t="shared" ca="1" si="21"/>
        <v>0</v>
      </c>
      <c r="L174" s="64">
        <f ca="1">IFERROR(K174/IF('2 Customer data'!K37="",'2 Customer data'!J37,'2 Customer data'!K37),0)</f>
        <v>0</v>
      </c>
      <c r="M174" s="40">
        <f t="shared" ca="1" si="19"/>
        <v>0</v>
      </c>
      <c r="N174" s="125"/>
    </row>
    <row r="175" spans="3:14" x14ac:dyDescent="0.55000000000000004">
      <c r="C175" s="124"/>
      <c r="D175">
        <f t="shared" si="16"/>
        <v>0</v>
      </c>
      <c r="E175" s="63">
        <f t="shared" si="16"/>
        <v>0</v>
      </c>
      <c r="F175" s="21">
        <f t="shared" ca="1" si="17"/>
        <v>0</v>
      </c>
      <c r="G175" s="50"/>
      <c r="H175" s="26">
        <f t="shared" si="20"/>
        <v>0</v>
      </c>
      <c r="I175" s="50"/>
      <c r="J175" s="26">
        <f t="shared" si="18"/>
        <v>0</v>
      </c>
      <c r="K175" s="21">
        <f t="shared" ca="1" si="21"/>
        <v>0</v>
      </c>
      <c r="L175" s="64">
        <f ca="1">IFERROR(K175/IF('2 Customer data'!K38="",'2 Customer data'!J38,'2 Customer data'!K38),0)</f>
        <v>0</v>
      </c>
      <c r="M175" s="40">
        <f t="shared" ca="1" si="19"/>
        <v>0</v>
      </c>
      <c r="N175" s="125"/>
    </row>
    <row r="176" spans="3:14" x14ac:dyDescent="0.55000000000000004">
      <c r="C176" s="124"/>
      <c r="D176">
        <f t="shared" si="16"/>
        <v>0</v>
      </c>
      <c r="E176" s="63">
        <f t="shared" si="16"/>
        <v>0</v>
      </c>
      <c r="F176" s="21">
        <f t="shared" ca="1" si="17"/>
        <v>0</v>
      </c>
      <c r="G176" s="50"/>
      <c r="H176" s="26">
        <f t="shared" si="20"/>
        <v>0</v>
      </c>
      <c r="I176" s="50"/>
      <c r="J176" s="26">
        <f t="shared" si="18"/>
        <v>0</v>
      </c>
      <c r="K176" s="21">
        <f t="shared" ca="1" si="21"/>
        <v>0</v>
      </c>
      <c r="L176" s="64">
        <f ca="1">IFERROR(K176/IF('2 Customer data'!K39="",'2 Customer data'!J39,'2 Customer data'!K39),0)</f>
        <v>0</v>
      </c>
      <c r="M176" s="40">
        <f t="shared" ca="1" si="19"/>
        <v>0</v>
      </c>
      <c r="N176" s="125"/>
    </row>
    <row r="177" spans="3:14" x14ac:dyDescent="0.55000000000000004">
      <c r="C177" s="124"/>
      <c r="D177">
        <f t="shared" si="16"/>
        <v>0</v>
      </c>
      <c r="E177" s="63">
        <f t="shared" si="16"/>
        <v>0</v>
      </c>
      <c r="F177" s="21">
        <f t="shared" ca="1" si="17"/>
        <v>0</v>
      </c>
      <c r="G177" s="50"/>
      <c r="H177" s="26">
        <f t="shared" si="20"/>
        <v>0</v>
      </c>
      <c r="I177" s="50"/>
      <c r="J177" s="26">
        <f t="shared" si="18"/>
        <v>0</v>
      </c>
      <c r="K177" s="21">
        <f t="shared" ca="1" si="21"/>
        <v>0</v>
      </c>
      <c r="L177" s="64">
        <f ca="1">IFERROR(K177/IF('2 Customer data'!K40="",'2 Customer data'!J40,'2 Customer data'!K40),0)</f>
        <v>0</v>
      </c>
      <c r="M177" s="40">
        <f t="shared" ca="1" si="19"/>
        <v>0</v>
      </c>
      <c r="N177" s="125"/>
    </row>
    <row r="178" spans="3:14" x14ac:dyDescent="0.55000000000000004">
      <c r="C178" s="124"/>
      <c r="D178" s="257" t="s">
        <v>108</v>
      </c>
      <c r="F178" s="17"/>
      <c r="G178" s="17"/>
      <c r="H178" s="17"/>
      <c r="I178" s="75">
        <f>1-I157</f>
        <v>1</v>
      </c>
      <c r="J178" s="17"/>
      <c r="K178" s="17"/>
      <c r="L178" s="19"/>
      <c r="M178" s="258"/>
      <c r="N178" s="125"/>
    </row>
    <row r="179" spans="3:14" ht="14.7" thickBot="1" x14ac:dyDescent="0.6">
      <c r="C179" s="130"/>
      <c r="D179" s="131"/>
      <c r="E179" s="131"/>
      <c r="F179" s="131"/>
      <c r="G179" s="131"/>
      <c r="H179" s="131"/>
      <c r="I179" s="131"/>
      <c r="J179" s="131"/>
      <c r="K179" s="131"/>
      <c r="L179" s="131"/>
      <c r="M179" s="131"/>
      <c r="N179" s="132"/>
    </row>
  </sheetData>
  <mergeCells count="12">
    <mergeCell ref="D121:L122"/>
    <mergeCell ref="D152:M154"/>
    <mergeCell ref="G156:H156"/>
    <mergeCell ref="I156:J156"/>
    <mergeCell ref="C7:L7"/>
    <mergeCell ref="D116:L119"/>
    <mergeCell ref="E1:E2"/>
    <mergeCell ref="D12:M13"/>
    <mergeCell ref="D45:M47"/>
    <mergeCell ref="D49:M50"/>
    <mergeCell ref="D85:L86"/>
    <mergeCell ref="D80:L83"/>
  </mergeCells>
  <dataValidations count="1">
    <dataValidation type="list" allowBlank="1" showInputMessage="1" showErrorMessage="1" sqref="E15" xr:uid="{67CD7E82-776F-492A-8657-A9A416B769AB}">
      <formula1>$P$15:$P$16</formula1>
    </dataValidation>
  </dataValidations>
  <pageMargins left="0.7" right="0.7" top="0.75" bottom="0.75" header="0.3" footer="0.3"/>
  <drawing r:id="rId1"/>
  <legacyDrawing r:id="rId2"/>
  <controls>
    <mc:AlternateContent xmlns:mc="http://schemas.openxmlformats.org/markup-compatibility/2006">
      <mc:Choice Requires="x14">
        <control shapeId="14337" r:id="rId3" name="cb2W">
          <controlPr defaultSize="0" autoLine="0" r:id="rId4">
            <anchor moveWithCells="1">
              <from>
                <xdr:col>4</xdr:col>
                <xdr:colOff>152400</xdr:colOff>
                <xdr:row>2</xdr:row>
                <xdr:rowOff>60960</xdr:rowOff>
              </from>
              <to>
                <xdr:col>5</xdr:col>
                <xdr:colOff>521970</xdr:colOff>
                <xdr:row>3</xdr:row>
                <xdr:rowOff>99060</xdr:rowOff>
              </to>
            </anchor>
          </controlPr>
        </control>
      </mc:Choice>
      <mc:Fallback>
        <control shapeId="14337" r:id="rId3" name="cb2W"/>
      </mc:Fallback>
    </mc:AlternateContent>
  </controls>
</worksheet>
</file>

<file path=xl/worksheets/sheet2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C2EE388-55DC-4E17-9FC9-3B1E01306724}">
  <sheetPr codeName="Sheet13">
    <tabColor rgb="FF002060"/>
  </sheetPr>
  <dimension ref="A1:P174"/>
  <sheetViews>
    <sheetView showGridLines="0" topLeftCell="D1" workbookViewId="0">
      <pane ySplit="4" topLeftCell="A18" activePane="bottomLeft" state="frozen"/>
      <selection pane="bottomLeft" activeCell="H88" sqref="H88:H96"/>
    </sheetView>
  </sheetViews>
  <sheetFormatPr defaultColWidth="8.7890625" defaultRowHeight="14.4" x14ac:dyDescent="0.55000000000000004"/>
  <cols>
    <col min="1" max="1" width="4.20703125" style="117" customWidth="1"/>
    <col min="2" max="2" width="3.20703125" customWidth="1"/>
    <col min="3" max="3" width="4.20703125" customWidth="1"/>
    <col min="4" max="4" width="38.20703125" customWidth="1"/>
    <col min="5" max="5" width="22.7890625" bestFit="1" customWidth="1"/>
    <col min="6" max="6" width="16.41796875" customWidth="1"/>
    <col min="7" max="7" width="16.20703125" customWidth="1"/>
    <col min="8" max="8" width="16.41796875" customWidth="1"/>
    <col min="9" max="9" width="16.5234375" customWidth="1"/>
    <col min="10" max="10" width="15.5234375" customWidth="1"/>
    <col min="11" max="12" width="15.20703125" customWidth="1"/>
    <col min="13" max="13" width="14.7890625" customWidth="1"/>
    <col min="14" max="14" width="3.7890625" customWidth="1"/>
  </cols>
  <sheetData>
    <row r="1" spans="1:16" x14ac:dyDescent="0.55000000000000004">
      <c r="A1"/>
      <c r="E1" s="1807" t="s">
        <v>206</v>
      </c>
    </row>
    <row r="2" spans="1:16" x14ac:dyDescent="0.55000000000000004">
      <c r="A2"/>
      <c r="E2" s="1807"/>
    </row>
    <row r="3" spans="1:16" x14ac:dyDescent="0.55000000000000004">
      <c r="A3"/>
    </row>
    <row r="4" spans="1:16" s="116" customFormat="1" ht="14.7" thickBot="1" x14ac:dyDescent="0.6"/>
    <row r="5" spans="1:16" s="117" customFormat="1" x14ac:dyDescent="0.55000000000000004"/>
    <row r="7" spans="1:16" ht="18.3" x14ac:dyDescent="0.7">
      <c r="B7" s="118"/>
      <c r="C7" s="1820" t="s">
        <v>171</v>
      </c>
      <c r="D7" s="1820"/>
      <c r="E7" s="1820"/>
      <c r="F7" s="1820"/>
      <c r="G7" s="1820"/>
      <c r="H7" s="1820"/>
      <c r="I7" s="1820"/>
      <c r="J7" s="1820"/>
      <c r="K7" s="1820"/>
      <c r="L7" s="1820"/>
    </row>
    <row r="8" spans="1:16" ht="14.7" thickBot="1" x14ac:dyDescent="0.6"/>
    <row r="9" spans="1:16" x14ac:dyDescent="0.55000000000000004">
      <c r="C9" s="121"/>
      <c r="D9" s="122"/>
      <c r="E9" s="122"/>
      <c r="F9" s="122"/>
      <c r="G9" s="122"/>
      <c r="H9" s="122"/>
      <c r="I9" s="122"/>
      <c r="J9" s="122"/>
      <c r="K9" s="122"/>
      <c r="L9" s="122"/>
      <c r="M9" s="122"/>
      <c r="N9" s="123"/>
    </row>
    <row r="10" spans="1:16" x14ac:dyDescent="0.55000000000000004">
      <c r="C10" s="124"/>
      <c r="D10" s="1" t="s">
        <v>169</v>
      </c>
      <c r="N10" s="125"/>
    </row>
    <row r="11" spans="1:16" x14ac:dyDescent="0.55000000000000004">
      <c r="C11" s="124"/>
      <c r="D11" s="1"/>
      <c r="N11" s="125"/>
    </row>
    <row r="12" spans="1:16" x14ac:dyDescent="0.55000000000000004">
      <c r="C12" s="124"/>
      <c r="D12" s="1804" t="s">
        <v>540</v>
      </c>
      <c r="E12" s="1804"/>
      <c r="F12" s="1804"/>
      <c r="G12" s="1804"/>
      <c r="H12" s="1804"/>
      <c r="I12" s="1804"/>
      <c r="J12" s="1804"/>
      <c r="K12" s="1804"/>
      <c r="L12" s="1804"/>
      <c r="M12" s="1804"/>
      <c r="N12" s="125"/>
    </row>
    <row r="13" spans="1:16" x14ac:dyDescent="0.55000000000000004">
      <c r="C13" s="124"/>
      <c r="D13" s="1804"/>
      <c r="E13" s="1804"/>
      <c r="F13" s="1804"/>
      <c r="G13" s="1804"/>
      <c r="H13" s="1804"/>
      <c r="I13" s="1804"/>
      <c r="J13" s="1804"/>
      <c r="K13" s="1804"/>
      <c r="L13" s="1804"/>
      <c r="M13" s="1804"/>
      <c r="N13" s="125"/>
    </row>
    <row r="14" spans="1:16" x14ac:dyDescent="0.55000000000000004">
      <c r="C14" s="124"/>
      <c r="D14" s="1"/>
      <c r="N14" s="125"/>
    </row>
    <row r="15" spans="1:16" x14ac:dyDescent="0.55000000000000004">
      <c r="C15" s="124"/>
      <c r="D15" t="s">
        <v>37</v>
      </c>
      <c r="E15" s="51" t="s">
        <v>40</v>
      </c>
      <c r="N15" s="125"/>
      <c r="P15" s="126" t="s">
        <v>40</v>
      </c>
    </row>
    <row r="16" spans="1:16" x14ac:dyDescent="0.55000000000000004">
      <c r="C16" s="124"/>
      <c r="D16" t="s">
        <v>38</v>
      </c>
      <c r="E16" s="63" t="s">
        <v>332</v>
      </c>
      <c r="N16" s="125"/>
      <c r="P16" s="126" t="s">
        <v>332</v>
      </c>
    </row>
    <row r="17" spans="3:14" x14ac:dyDescent="0.55000000000000004">
      <c r="C17" s="124"/>
      <c r="D17" s="1"/>
      <c r="N17" s="125"/>
    </row>
    <row r="18" spans="3:14" ht="28.8" x14ac:dyDescent="0.55000000000000004">
      <c r="C18" s="124"/>
      <c r="D18" s="62" t="s">
        <v>283</v>
      </c>
      <c r="E18" s="56" t="s">
        <v>312</v>
      </c>
      <c r="F18" s="56" t="s">
        <v>273</v>
      </c>
      <c r="G18" s="56" t="s">
        <v>274</v>
      </c>
      <c r="H18" s="56" t="s">
        <v>292</v>
      </c>
      <c r="I18" s="56" t="s">
        <v>293</v>
      </c>
      <c r="J18" s="56" t="s">
        <v>230</v>
      </c>
      <c r="K18" s="56" t="s">
        <v>313</v>
      </c>
      <c r="L18" s="56" t="s">
        <v>314</v>
      </c>
      <c r="M18" s="56" t="s">
        <v>315</v>
      </c>
      <c r="N18" s="125"/>
    </row>
    <row r="19" spans="3:14" x14ac:dyDescent="0.55000000000000004">
      <c r="C19" s="124"/>
      <c r="D19" t="str">
        <f>'2 Customer data'!D57</f>
        <v>Domestic</v>
      </c>
      <c r="E19" s="63" t="str">
        <f>'2 Customer data'!E57</f>
        <v>Domestic</v>
      </c>
      <c r="F19" s="22">
        <f>IFERROR(IF($E$15=$P$15,IF('2 Customer data'!I57="",'2 Customer data'!H57,'2 Customer data'!I57)/IF('2 Customer data'!$I$77=0,'2 Customer data'!$H$77,'2 Customer data'!$I$77),IF($E$15=$P$16,IF('2 Customer data'!K57="",'2 Customer data'!J57,'2 Customer data'!K57)/IF('2 Customer data'!$K$77=0,'2 Customer data'!$J$77,'2 Customer data'!$K$77))),0)</f>
        <v>0.94694779799353868</v>
      </c>
      <c r="G19" s="22">
        <f>IFERROR('2 Customer data'!M57/'2 Customer data'!$M$77,0)</f>
        <v>0.68326387565110247</v>
      </c>
      <c r="H19" s="26">
        <f ca="1">'1 Sanitation per Volume'!$H$32*'2 Sanitation'!$F19</f>
        <v>62182642.27634757</v>
      </c>
      <c r="I19" s="26">
        <f ca="1">'1 Sanitation per Volume'!$I$32*'2 Sanitation'!G19</f>
        <v>7970182.2353746491</v>
      </c>
      <c r="J19" s="26">
        <f ca="1">SUM(H19:I19)</f>
        <v>70152824.511722222</v>
      </c>
      <c r="K19" s="64">
        <f ca="1">IFERROR(H19/IF('2 Customer data'!I57="",'2 Customer data'!H57,'2 Customer data'!I57),0)</f>
        <v>3624.100695383243</v>
      </c>
      <c r="L19" s="64">
        <f ca="1">IFERROR(I19/'2 Customer data'!M57,0)</f>
        <v>5.4647806372834458</v>
      </c>
      <c r="M19" s="64">
        <f ca="1">IFERROR(J19/'2 Customer data'!M57,0)</f>
        <v>48.100505825433274</v>
      </c>
      <c r="N19" s="125"/>
    </row>
    <row r="20" spans="3:14" x14ac:dyDescent="0.55000000000000004">
      <c r="C20" s="124"/>
      <c r="D20" t="str">
        <f>'2 Customer data'!D58</f>
        <v>Commercial</v>
      </c>
      <c r="E20" s="63" t="str">
        <f>'2 Customer data'!E58</f>
        <v>Commercial</v>
      </c>
      <c r="F20" s="22">
        <f>IFERROR(IF($E$15=$P$15,IF('2 Customer data'!I58="",'2 Customer data'!H58,'2 Customer data'!I58)/IF('2 Customer data'!$I$77=0,'2 Customer data'!$H$77,'2 Customer data'!$I$77),IF($E$15=$P$16,IF('2 Customer data'!K58="",'2 Customer data'!J58,'2 Customer data'!K58)/IF('2 Customer data'!$K$77=0,'2 Customer data'!$J$77,'2 Customer data'!$K$77))),0)</f>
        <v>4.0696026752819817E-2</v>
      </c>
      <c r="G20" s="22">
        <f>IFERROR('2 Customer data'!M58/'2 Customer data'!$M$77,0)</f>
        <v>0.27862746590488868</v>
      </c>
      <c r="H20" s="26">
        <f ca="1">'1 Sanitation per Volume'!$H$32*'2 Sanitation'!$F20</f>
        <v>2672361.1153658675</v>
      </c>
      <c r="I20" s="26">
        <f ca="1">'1 Sanitation per Volume'!$I$32*'2 Sanitation'!G20</f>
        <v>3250152.332327561</v>
      </c>
      <c r="J20" s="26">
        <f t="shared" ref="J20:J38" ca="1" si="0">SUM(H20:I20)</f>
        <v>5922513.447693428</v>
      </c>
      <c r="K20" s="64">
        <f ca="1">IFERROR(H20/IF('2 Customer data'!I58="",'2 Customer data'!H58,'2 Customer data'!I58),0)</f>
        <v>3624.1006953832425</v>
      </c>
      <c r="L20" s="64">
        <f ca="1">IFERROR(I20/'2 Customer data'!M58,0)</f>
        <v>5.4647806372834458</v>
      </c>
      <c r="M20" s="64">
        <f ca="1">IFERROR(J20/'2 Customer data'!M58,0)</f>
        <v>9.9580676545790894</v>
      </c>
      <c r="N20" s="125"/>
    </row>
    <row r="21" spans="3:14" x14ac:dyDescent="0.55000000000000004">
      <c r="C21" s="124"/>
      <c r="D21" t="str">
        <f>'2 Customer data'!D59</f>
        <v>Old Age Homes</v>
      </c>
      <c r="E21" s="63" t="str">
        <f>'2 Customer data'!E59</f>
        <v>Domestic</v>
      </c>
      <c r="F21" s="22">
        <f>IFERROR(IF($E$15=$P$15,IF('2 Customer data'!I59="",'2 Customer data'!H59,'2 Customer data'!I59)/IF('2 Customer data'!$I$77=0,'2 Customer data'!$H$77,'2 Customer data'!$I$77),IF($E$15=$P$16,IF('2 Customer data'!K59="",'2 Customer data'!J59,'2 Customer data'!K59)/IF('2 Customer data'!$K$77=0,'2 Customer data'!$J$77,'2 Customer data'!$K$77))),0)</f>
        <v>9.63554950972057E-4</v>
      </c>
      <c r="G21" s="22">
        <f>IFERROR('2 Customer data'!M59/'2 Customer data'!$M$77,0)</f>
        <v>5.2687699086014584E-3</v>
      </c>
      <c r="H21" s="26">
        <f ca="1">'1 Sanitation per Volume'!$H$32*'2 Sanitation'!$F21</f>
        <v>63273.174040696031</v>
      </c>
      <c r="I21" s="26">
        <f ca="1">'1 Sanitation per Volume'!$I$32*'2 Sanitation'!G21</f>
        <v>61459.500237438166</v>
      </c>
      <c r="J21" s="26">
        <f t="shared" ca="1" si="0"/>
        <v>124732.67427813419</v>
      </c>
      <c r="K21" s="64">
        <f ca="1">IFERROR(H21/IF('2 Customer data'!I59="",'2 Customer data'!H59,'2 Customer data'!I59),0)</f>
        <v>3624.1006953832425</v>
      </c>
      <c r="L21" s="64">
        <f ca="1">IFERROR(I21/'2 Customer data'!M59,0)</f>
        <v>5.4647806372834458</v>
      </c>
      <c r="M21" s="64">
        <f ca="1">IFERROR(J21/'2 Customer data'!M59,0)</f>
        <v>11.090827302505632</v>
      </c>
      <c r="N21" s="125"/>
    </row>
    <row r="22" spans="3:14" x14ac:dyDescent="0.55000000000000004">
      <c r="C22" s="124"/>
      <c r="D22" t="str">
        <f>'2 Customer data'!D60</f>
        <v>Safe Houses</v>
      </c>
      <c r="E22" s="63" t="str">
        <f>'2 Customer data'!E60</f>
        <v>Domestic</v>
      </c>
      <c r="F22" s="22">
        <f>IFERROR(IF($E$15=$P$15,IF('2 Customer data'!I60="",'2 Customer data'!H60,'2 Customer data'!I60)/IF('2 Customer data'!$I$77=0,'2 Customer data'!$H$77,'2 Customer data'!$I$77),IF($E$15=$P$16,IF('2 Customer data'!K60="",'2 Customer data'!J60,'2 Customer data'!K60)/IF('2 Customer data'!$K$77=0,'2 Customer data'!$J$77,'2 Customer data'!$K$77))),0)</f>
        <v>1.7003910899506886E-4</v>
      </c>
      <c r="G22" s="22">
        <f>IFERROR('2 Customer data'!M60/'2 Customer data'!$M$77,0)</f>
        <v>1.2373728358605061E-3</v>
      </c>
      <c r="H22" s="26">
        <f ca="1">'1 Sanitation per Volume'!$H$32*'2 Sanitation'!$F22</f>
        <v>11165.854242475769</v>
      </c>
      <c r="I22" s="26">
        <f ca="1">'1 Sanitation per Volume'!$I$32*'2 Sanitation'!G22</f>
        <v>14433.789559725634</v>
      </c>
      <c r="J22" s="26">
        <f t="shared" ca="1" si="0"/>
        <v>25599.643802201404</v>
      </c>
      <c r="K22" s="64">
        <f ca="1">IFERROR(H22/IF('2 Customer data'!I60="",'2 Customer data'!H60,'2 Customer data'!I60),0)</f>
        <v>3624.1006953832425</v>
      </c>
      <c r="L22" s="64">
        <f ca="1">IFERROR(I22/'2 Customer data'!M60,0)</f>
        <v>5.4647806372834458</v>
      </c>
      <c r="M22" s="64">
        <f ca="1">IFERROR(J22/'2 Customer data'!M60,0)</f>
        <v>9.6922874753539521</v>
      </c>
      <c r="N22" s="125"/>
    </row>
    <row r="23" spans="3:14" x14ac:dyDescent="0.55000000000000004">
      <c r="C23" s="124"/>
      <c r="D23" t="str">
        <f>'2 Customer data'!D61</f>
        <v>Schools</v>
      </c>
      <c r="E23" s="63" t="str">
        <f>'2 Customer data'!E61</f>
        <v xml:space="preserve">Institutional </v>
      </c>
      <c r="F23" s="22">
        <f>IFERROR(IF($E$15=$P$15,IF('2 Customer data'!I61="",'2 Customer data'!H61,'2 Customer data'!I61)/IF('2 Customer data'!$I$77=0,'2 Customer data'!$H$77,'2 Customer data'!$I$77),IF($E$15=$P$16,IF('2 Customer data'!K61="",'2 Customer data'!J61,'2 Customer data'!K61)/IF('2 Customer data'!$K$77=0,'2 Customer data'!$J$77,'2 Customer data'!$K$77))),0)</f>
        <v>3.3441024769030213E-3</v>
      </c>
      <c r="G23" s="22">
        <f>IFERROR('2 Customer data'!M61/'2 Customer data'!$M$77,0)</f>
        <v>2.8775485872597071E-2</v>
      </c>
      <c r="H23" s="26">
        <f ca="1">'1 Sanitation per Volume'!$H$32*'2 Sanitation'!$F23</f>
        <v>219595.13343535681</v>
      </c>
      <c r="I23" s="26">
        <f ca="1">'1 Sanitation per Volume'!$I$32*'2 Sanitation'!G23</f>
        <v>335662.21556422376</v>
      </c>
      <c r="J23" s="26">
        <f t="shared" ca="1" si="0"/>
        <v>555257.3489995806</v>
      </c>
      <c r="K23" s="64">
        <f ca="1">IFERROR(H23/IF('2 Customer data'!I61="",'2 Customer data'!H61,'2 Customer data'!I61),0)</f>
        <v>3624.1006953832425</v>
      </c>
      <c r="L23" s="64">
        <f ca="1">IFERROR(I23/'2 Customer data'!M61,0)</f>
        <v>5.4647806372834458</v>
      </c>
      <c r="M23" s="64">
        <f ca="1">IFERROR(J23/'2 Customer data'!M61,0)</f>
        <v>9.0399201006932124</v>
      </c>
      <c r="N23" s="125"/>
    </row>
    <row r="24" spans="3:14" x14ac:dyDescent="0.55000000000000004">
      <c r="C24" s="124"/>
      <c r="D24" t="str">
        <f>'2 Customer data'!D62</f>
        <v>Government</v>
      </c>
      <c r="E24" s="63" t="str">
        <f>'2 Customer data'!E62</f>
        <v xml:space="preserve">Institutional </v>
      </c>
      <c r="F24" s="22">
        <f>IFERROR(IF($E$15=$P$15,IF('2 Customer data'!I62="",'2 Customer data'!H62,'2 Customer data'!I62)/IF('2 Customer data'!$I$77=0,'2 Customer data'!$H$77,'2 Customer data'!$I$77),IF($E$15=$P$16,IF('2 Customer data'!K62="",'2 Customer data'!J62,'2 Customer data'!K62)/IF('2 Customer data'!$K$77=0,'2 Customer data'!$J$77,'2 Customer data'!$K$77))),0)</f>
        <v>1.0202346539704133E-3</v>
      </c>
      <c r="G24" s="22">
        <f>IFERROR('2 Customer data'!M62/'2 Customer data'!$M$77,0)</f>
        <v>0</v>
      </c>
      <c r="H24" s="26">
        <f ca="1">'1 Sanitation per Volume'!$H$32*'2 Sanitation'!$F24</f>
        <v>66995.125454854613</v>
      </c>
      <c r="I24" s="26">
        <f ca="1">'1 Sanitation per Volume'!$I$32*'2 Sanitation'!G24</f>
        <v>0</v>
      </c>
      <c r="J24" s="26">
        <f t="shared" ca="1" si="0"/>
        <v>66995.125454854613</v>
      </c>
      <c r="K24" s="64">
        <f ca="1">IFERROR(H24/IF('2 Customer data'!I62="",'2 Customer data'!H62,'2 Customer data'!I62),0)</f>
        <v>3624.1006953832425</v>
      </c>
      <c r="L24" s="64">
        <f ca="1">IFERROR(I24/'2 Customer data'!M62,0)</f>
        <v>0</v>
      </c>
      <c r="M24" s="64">
        <f ca="1">IFERROR(J24/'2 Customer data'!M62,0)</f>
        <v>0</v>
      </c>
      <c r="N24" s="125"/>
    </row>
    <row r="25" spans="3:14" x14ac:dyDescent="0.55000000000000004">
      <c r="C25" s="124"/>
      <c r="D25" t="str">
        <f>'2 Customer data'!D63</f>
        <v>Sport Clubs</v>
      </c>
      <c r="E25" s="63" t="str">
        <f>'2 Customer data'!E63</f>
        <v xml:space="preserve">Institutional </v>
      </c>
      <c r="F25" s="22">
        <f>IFERROR(IF($E$15=$P$15,IF('2 Customer data'!I63="",'2 Customer data'!H63,'2 Customer data'!I63)/IF('2 Customer data'!$I$77=0,'2 Customer data'!$H$77,'2 Customer data'!$I$77),IF($E$15=$P$16,IF('2 Customer data'!K63="",'2 Customer data'!J63,'2 Customer data'!K63)/IF('2 Customer data'!$K$77=0,'2 Customer data'!$J$77,'2 Customer data'!$K$77))),0)</f>
        <v>5.1011732698520663E-4</v>
      </c>
      <c r="G25" s="22">
        <f>IFERROR('2 Customer data'!M63/'2 Customer data'!$M$77,0)</f>
        <v>6.244118774320572E-4</v>
      </c>
      <c r="H25" s="26">
        <f ca="1">'1 Sanitation per Volume'!$H$32*'2 Sanitation'!$F25</f>
        <v>33497.562727427307</v>
      </c>
      <c r="I25" s="26">
        <f ca="1">'1 Sanitation per Volume'!$I$32*'2 Sanitation'!G25</f>
        <v>7283.6815034652491</v>
      </c>
      <c r="J25" s="26">
        <f t="shared" ca="1" si="0"/>
        <v>40781.244230892553</v>
      </c>
      <c r="K25" s="64">
        <f ca="1">IFERROR(H25/IF('2 Customer data'!I63="",'2 Customer data'!H63,'2 Customer data'!I63),0)</f>
        <v>3624.1006953832425</v>
      </c>
      <c r="L25" s="64">
        <f ca="1">IFERROR(I25/'2 Customer data'!M63,0)</f>
        <v>5.4647806372834458</v>
      </c>
      <c r="M25" s="64">
        <f ca="1">IFERROR(J25/'2 Customer data'!M63,0)</f>
        <v>30.597240383353089</v>
      </c>
      <c r="N25" s="125"/>
    </row>
    <row r="26" spans="3:14" x14ac:dyDescent="0.55000000000000004">
      <c r="C26" s="124"/>
      <c r="D26" t="str">
        <f>'2 Customer data'!D64</f>
        <v>Churches</v>
      </c>
      <c r="E26" s="63" t="str">
        <f>'2 Customer data'!E64</f>
        <v xml:space="preserve">Institutional </v>
      </c>
      <c r="F26" s="22">
        <f>IFERROR(IF($E$15=$P$15,IF('2 Customer data'!I64="",'2 Customer data'!H64,'2 Customer data'!I64)/IF('2 Customer data'!$I$77=0,'2 Customer data'!$H$77,'2 Customer data'!$I$77),IF($E$15=$P$16,IF('2 Customer data'!K64="",'2 Customer data'!J64,'2 Customer data'!K64)/IF('2 Customer data'!$K$77=0,'2 Customer data'!$J$77,'2 Customer data'!$K$77))),0)</f>
        <v>4.5910559428668602E-3</v>
      </c>
      <c r="G26" s="22">
        <f>IFERROR('2 Customer data'!M64/'2 Customer data'!$M$77,0)</f>
        <v>0</v>
      </c>
      <c r="H26" s="26">
        <f ca="1">'1 Sanitation per Volume'!$H$32*'2 Sanitation'!$F26</f>
        <v>301478.0645468458</v>
      </c>
      <c r="I26" s="26">
        <f ca="1">'1 Sanitation per Volume'!$I$32*'2 Sanitation'!G26</f>
        <v>0</v>
      </c>
      <c r="J26" s="26">
        <f t="shared" ca="1" si="0"/>
        <v>301478.0645468458</v>
      </c>
      <c r="K26" s="64">
        <f ca="1">IFERROR(H26/IF('2 Customer data'!I64="",'2 Customer data'!H64,'2 Customer data'!I64),0)</f>
        <v>3624.1006953832425</v>
      </c>
      <c r="L26" s="64">
        <f ca="1">IFERROR(I26/'2 Customer data'!M64,0)</f>
        <v>0</v>
      </c>
      <c r="M26" s="64">
        <f ca="1">IFERROR(J26/'2 Customer data'!M64,0)</f>
        <v>0</v>
      </c>
      <c r="N26" s="125"/>
    </row>
    <row r="27" spans="3:14" x14ac:dyDescent="0.55000000000000004">
      <c r="C27" s="124"/>
      <c r="D27" t="str">
        <f>'2 Customer data'!D65</f>
        <v>Agricultural</v>
      </c>
      <c r="E27" s="63" t="str">
        <f>'2 Customer data'!E65</f>
        <v>Commercial</v>
      </c>
      <c r="F27" s="22">
        <f>IFERROR(IF($E$15=$P$15,IF('2 Customer data'!I65="",'2 Customer data'!H65,'2 Customer data'!I65)/IF('2 Customer data'!$I$77=0,'2 Customer data'!$H$77,'2 Customer data'!$I$77),IF($E$15=$P$16,IF('2 Customer data'!K65="",'2 Customer data'!J65,'2 Customer data'!K65)/IF('2 Customer data'!$K$77=0,'2 Customer data'!$J$77,'2 Customer data'!$K$77))),0)</f>
        <v>1.7570707929490451E-3</v>
      </c>
      <c r="G27" s="22">
        <f>IFERROR('2 Customer data'!M65/'2 Customer data'!$M$77,0)</f>
        <v>2.2026179495176126E-3</v>
      </c>
      <c r="H27" s="26">
        <f ca="1">'1 Sanitation per Volume'!$H$32*'2 Sanitation'!$F27</f>
        <v>115380.49383891629</v>
      </c>
      <c r="I27" s="26">
        <f ca="1">'1 Sanitation per Volume'!$I$32*'2 Sanitation'!G27</f>
        <v>25693.245432935666</v>
      </c>
      <c r="J27" s="26">
        <f t="shared" ca="1" si="0"/>
        <v>141073.73927185195</v>
      </c>
      <c r="K27" s="64">
        <f ca="1">IFERROR(H27/IF('2 Customer data'!I65="",'2 Customer data'!H65,'2 Customer data'!I65),0)</f>
        <v>3624.100695383243</v>
      </c>
      <c r="L27" s="64">
        <f ca="1">IFERROR(I27/'2 Customer data'!M65,0)</f>
        <v>5.4647806372834458</v>
      </c>
      <c r="M27" s="64">
        <f ca="1">IFERROR(J27/'2 Customer data'!M65,0)</f>
        <v>30.005436285356957</v>
      </c>
      <c r="N27" s="125"/>
    </row>
    <row r="28" spans="3:14" x14ac:dyDescent="0.55000000000000004">
      <c r="C28" s="124"/>
      <c r="D28">
        <f>'2 Customer data'!D66</f>
        <v>0</v>
      </c>
      <c r="E28" s="63">
        <f>'2 Customer data'!E66</f>
        <v>0</v>
      </c>
      <c r="F28" s="22">
        <f>IFERROR(IF($E$15=$P$15,IF('2 Customer data'!I66="",'2 Customer data'!H66,'2 Customer data'!I66)/IF('2 Customer data'!$I$77=0,'2 Customer data'!$H$77,'2 Customer data'!$I$77),IF($E$15=$P$16,IF('2 Customer data'!K66="",'2 Customer data'!J66,'2 Customer data'!K66)/IF('2 Customer data'!$K$77=0,'2 Customer data'!$J$77,'2 Customer data'!$K$77))),0)</f>
        <v>0</v>
      </c>
      <c r="G28" s="22">
        <f>IFERROR('2 Customer data'!M66/'2 Customer data'!$M$77,0)</f>
        <v>0</v>
      </c>
      <c r="H28" s="26">
        <f ca="1">'1 Sanitation per Volume'!$H$32*'2 Sanitation'!$F28</f>
        <v>0</v>
      </c>
      <c r="I28" s="26">
        <f ca="1">'1 Sanitation per Volume'!$I$32*'2 Sanitation'!G28</f>
        <v>0</v>
      </c>
      <c r="J28" s="26">
        <f t="shared" ca="1" si="0"/>
        <v>0</v>
      </c>
      <c r="K28" s="64">
        <f ca="1">IFERROR(H28/IF('2 Customer data'!I66="",'2 Customer data'!H66,'2 Customer data'!I66),0)</f>
        <v>0</v>
      </c>
      <c r="L28" s="64">
        <f ca="1">IFERROR(I28/'2 Customer data'!M66,0)</f>
        <v>0</v>
      </c>
      <c r="M28" s="64">
        <f ca="1">IFERROR(J28/'2 Customer data'!M66,0)</f>
        <v>0</v>
      </c>
      <c r="N28" s="125"/>
    </row>
    <row r="29" spans="3:14" x14ac:dyDescent="0.55000000000000004">
      <c r="C29" s="124"/>
      <c r="D29">
        <f>'2 Customer data'!D67</f>
        <v>0</v>
      </c>
      <c r="E29" s="63">
        <f>'2 Customer data'!E67</f>
        <v>0</v>
      </c>
      <c r="F29" s="22">
        <f>IFERROR(IF($E$15=$P$15,IF('2 Customer data'!I67="",'2 Customer data'!H67,'2 Customer data'!I67)/IF('2 Customer data'!$I$77=0,'2 Customer data'!$H$77,'2 Customer data'!$I$77),IF($E$15=$P$16,IF('2 Customer data'!K67="",'2 Customer data'!J67,'2 Customer data'!K67)/IF('2 Customer data'!$K$77=0,'2 Customer data'!$J$77,'2 Customer data'!$K$77))),0)</f>
        <v>0</v>
      </c>
      <c r="G29" s="22">
        <f>IFERROR('2 Customer data'!M67/'2 Customer data'!$M$77,0)</f>
        <v>0</v>
      </c>
      <c r="H29" s="26">
        <f ca="1">'1 Sanitation per Volume'!$H$32*'2 Sanitation'!$F29</f>
        <v>0</v>
      </c>
      <c r="I29" s="26">
        <f ca="1">'1 Sanitation per Volume'!$I$32*'2 Sanitation'!G29</f>
        <v>0</v>
      </c>
      <c r="J29" s="26">
        <f t="shared" ca="1" si="0"/>
        <v>0</v>
      </c>
      <c r="K29" s="64">
        <f ca="1">IFERROR(H29/IF('2 Customer data'!I67="",'2 Customer data'!H67,'2 Customer data'!I67),0)</f>
        <v>0</v>
      </c>
      <c r="L29" s="64">
        <f ca="1">IFERROR(I29/'2 Customer data'!M67,0)</f>
        <v>0</v>
      </c>
      <c r="M29" s="64">
        <f ca="1">IFERROR(J29/'2 Customer data'!M67,0)</f>
        <v>0</v>
      </c>
      <c r="N29" s="125"/>
    </row>
    <row r="30" spans="3:14" x14ac:dyDescent="0.55000000000000004">
      <c r="C30" s="124"/>
      <c r="D30">
        <f>'2 Customer data'!D68</f>
        <v>0</v>
      </c>
      <c r="E30" s="63">
        <f>'2 Customer data'!E68</f>
        <v>0</v>
      </c>
      <c r="F30" s="22">
        <f>IFERROR(IF($E$15=$P$15,IF('2 Customer data'!I68="",'2 Customer data'!H68,'2 Customer data'!I68)/IF('2 Customer data'!$I$77=0,'2 Customer data'!$H$77,'2 Customer data'!$I$77),IF($E$15=$P$16,IF('2 Customer data'!K68="",'2 Customer data'!J68,'2 Customer data'!K68)/IF('2 Customer data'!$K$77=0,'2 Customer data'!$J$77,'2 Customer data'!$K$77))),0)</f>
        <v>0</v>
      </c>
      <c r="G30" s="22">
        <f>IFERROR('2 Customer data'!M68/'2 Customer data'!$M$77,0)</f>
        <v>0</v>
      </c>
      <c r="H30" s="26">
        <f ca="1">'1 Sanitation per Volume'!$H$32*'2 Sanitation'!$F30</f>
        <v>0</v>
      </c>
      <c r="I30" s="26">
        <f ca="1">'1 Sanitation per Volume'!$I$32*'2 Sanitation'!G30</f>
        <v>0</v>
      </c>
      <c r="J30" s="26">
        <f t="shared" ca="1" si="0"/>
        <v>0</v>
      </c>
      <c r="K30" s="64">
        <f ca="1">IFERROR(H30/IF('2 Customer data'!I68="",'2 Customer data'!H68,'2 Customer data'!I68),0)</f>
        <v>0</v>
      </c>
      <c r="L30" s="64">
        <f ca="1">IFERROR(I30/'2 Customer data'!M68,0)</f>
        <v>0</v>
      </c>
      <c r="M30" s="64">
        <f ca="1">IFERROR(J30/'2 Customer data'!M68,0)</f>
        <v>0</v>
      </c>
      <c r="N30" s="125"/>
    </row>
    <row r="31" spans="3:14" x14ac:dyDescent="0.55000000000000004">
      <c r="C31" s="124"/>
      <c r="D31">
        <f>'2 Customer data'!D69</f>
        <v>0</v>
      </c>
      <c r="E31" s="63">
        <f>'2 Customer data'!E69</f>
        <v>0</v>
      </c>
      <c r="F31" s="22">
        <f>IFERROR(IF($E$15=$P$15,IF('2 Customer data'!I69="",'2 Customer data'!H69,'2 Customer data'!I69)/IF('2 Customer data'!$I$77=0,'2 Customer data'!$H$77,'2 Customer data'!$I$77),IF($E$15=$P$16,IF('2 Customer data'!K69="",'2 Customer data'!J69,'2 Customer data'!K69)/IF('2 Customer data'!$K$77=0,'2 Customer data'!$J$77,'2 Customer data'!$K$77))),0)</f>
        <v>0</v>
      </c>
      <c r="G31" s="22">
        <f>IFERROR('2 Customer data'!M69/'2 Customer data'!$M$77,0)</f>
        <v>0</v>
      </c>
      <c r="H31" s="26">
        <f ca="1">'1 Sanitation per Volume'!$H$32*'2 Sanitation'!$F31</f>
        <v>0</v>
      </c>
      <c r="I31" s="26">
        <f ca="1">'1 Sanitation per Volume'!$I$32*'2 Sanitation'!G31</f>
        <v>0</v>
      </c>
      <c r="J31" s="26">
        <f t="shared" ca="1" si="0"/>
        <v>0</v>
      </c>
      <c r="K31" s="64">
        <f ca="1">IFERROR(H31/IF('2 Customer data'!I69="",'2 Customer data'!H69,'2 Customer data'!I69),0)</f>
        <v>0</v>
      </c>
      <c r="L31" s="64">
        <f ca="1">IFERROR(I31/'2 Customer data'!M69,0)</f>
        <v>0</v>
      </c>
      <c r="M31" s="64">
        <f ca="1">IFERROR(J31/'2 Customer data'!M69,0)</f>
        <v>0</v>
      </c>
      <c r="N31" s="125"/>
    </row>
    <row r="32" spans="3:14" x14ac:dyDescent="0.55000000000000004">
      <c r="C32" s="124"/>
      <c r="D32">
        <f>'2 Customer data'!D70</f>
        <v>0</v>
      </c>
      <c r="E32" s="63">
        <f>'2 Customer data'!E70</f>
        <v>0</v>
      </c>
      <c r="F32" s="22">
        <f>IFERROR(IF($E$15=$P$15,IF('2 Customer data'!I70="",'2 Customer data'!H70,'2 Customer data'!I70)/IF('2 Customer data'!$I$77=0,'2 Customer data'!$H$77,'2 Customer data'!$I$77),IF($E$15=$P$16,IF('2 Customer data'!K70="",'2 Customer data'!J70,'2 Customer data'!K70)/IF('2 Customer data'!$K$77=0,'2 Customer data'!$J$77,'2 Customer data'!$K$77))),0)</f>
        <v>0</v>
      </c>
      <c r="G32" s="22">
        <f>IFERROR('2 Customer data'!M70/'2 Customer data'!$M$77,0)</f>
        <v>0</v>
      </c>
      <c r="H32" s="26">
        <f ca="1">'1 Sanitation per Volume'!$H$32*'2 Sanitation'!$F32</f>
        <v>0</v>
      </c>
      <c r="I32" s="26">
        <f ca="1">'1 Sanitation per Volume'!$I$32*'2 Sanitation'!G32</f>
        <v>0</v>
      </c>
      <c r="J32" s="26">
        <f t="shared" ca="1" si="0"/>
        <v>0</v>
      </c>
      <c r="K32" s="64">
        <f ca="1">IFERROR(H32/IF('2 Customer data'!I70="",'2 Customer data'!H70,'2 Customer data'!I70),0)</f>
        <v>0</v>
      </c>
      <c r="L32" s="64">
        <f ca="1">IFERROR(I32/'2 Customer data'!M70,0)</f>
        <v>0</v>
      </c>
      <c r="M32" s="64">
        <f ca="1">IFERROR(J32/'2 Customer data'!M70,0)</f>
        <v>0</v>
      </c>
      <c r="N32" s="125"/>
    </row>
    <row r="33" spans="3:14" x14ac:dyDescent="0.55000000000000004">
      <c r="C33" s="124"/>
      <c r="D33">
        <f>'2 Customer data'!D71</f>
        <v>0</v>
      </c>
      <c r="E33" s="63">
        <f>'2 Customer data'!E71</f>
        <v>0</v>
      </c>
      <c r="F33" s="22">
        <f>IFERROR(IF($E$15=$P$15,IF('2 Customer data'!I71="",'2 Customer data'!H71,'2 Customer data'!I71)/IF('2 Customer data'!$I$77=0,'2 Customer data'!$H$77,'2 Customer data'!$I$77),IF($E$15=$P$16,IF('2 Customer data'!K71="",'2 Customer data'!J71,'2 Customer data'!K71)/IF('2 Customer data'!$K$77=0,'2 Customer data'!$J$77,'2 Customer data'!$K$77))),0)</f>
        <v>0</v>
      </c>
      <c r="G33" s="22">
        <f>IFERROR('2 Customer data'!M71/'2 Customer data'!$M$77,0)</f>
        <v>0</v>
      </c>
      <c r="H33" s="26">
        <f ca="1">'1 Sanitation per Volume'!$H$32*'2 Sanitation'!$F33</f>
        <v>0</v>
      </c>
      <c r="I33" s="26">
        <f ca="1">'1 Sanitation per Volume'!$I$32*'2 Sanitation'!G33</f>
        <v>0</v>
      </c>
      <c r="J33" s="26">
        <f t="shared" ca="1" si="0"/>
        <v>0</v>
      </c>
      <c r="K33" s="64">
        <f ca="1">IFERROR(H33/IF('2 Customer data'!I71="",'2 Customer data'!H71,'2 Customer data'!I71),0)</f>
        <v>0</v>
      </c>
      <c r="L33" s="64">
        <f ca="1">IFERROR(I33/'2 Customer data'!M71,0)</f>
        <v>0</v>
      </c>
      <c r="M33" s="64">
        <f ca="1">IFERROR(J33/'2 Customer data'!M71,0)</f>
        <v>0</v>
      </c>
      <c r="N33" s="125"/>
    </row>
    <row r="34" spans="3:14" x14ac:dyDescent="0.55000000000000004">
      <c r="C34" s="124"/>
      <c r="D34">
        <f>'2 Customer data'!D72</f>
        <v>0</v>
      </c>
      <c r="E34" s="63">
        <f>'2 Customer data'!E72</f>
        <v>0</v>
      </c>
      <c r="F34" s="22">
        <f>IFERROR(IF($E$15=$P$15,IF('2 Customer data'!I72="",'2 Customer data'!H72,'2 Customer data'!I72)/IF('2 Customer data'!$I$77=0,'2 Customer data'!$H$77,'2 Customer data'!$I$77),IF($E$15=$P$16,IF('2 Customer data'!K72="",'2 Customer data'!J72,'2 Customer data'!K72)/IF('2 Customer data'!$K$77=0,'2 Customer data'!$J$77,'2 Customer data'!$K$77))),0)</f>
        <v>0</v>
      </c>
      <c r="G34" s="22">
        <f>IFERROR('2 Customer data'!M72/'2 Customer data'!$M$77,0)</f>
        <v>0</v>
      </c>
      <c r="H34" s="26">
        <f ca="1">'1 Sanitation per Volume'!$H$32*'2 Sanitation'!$F34</f>
        <v>0</v>
      </c>
      <c r="I34" s="26">
        <f ca="1">'1 Sanitation per Volume'!$I$32*'2 Sanitation'!G34</f>
        <v>0</v>
      </c>
      <c r="J34" s="26">
        <f t="shared" ca="1" si="0"/>
        <v>0</v>
      </c>
      <c r="K34" s="64">
        <f ca="1">IFERROR(H34/IF('2 Customer data'!I72="",'2 Customer data'!H72,'2 Customer data'!I72),0)</f>
        <v>0</v>
      </c>
      <c r="L34" s="64">
        <f ca="1">IFERROR(I34/'2 Customer data'!M72,0)</f>
        <v>0</v>
      </c>
      <c r="M34" s="64">
        <f ca="1">IFERROR(J34/'2 Customer data'!M72,0)</f>
        <v>0</v>
      </c>
      <c r="N34" s="125"/>
    </row>
    <row r="35" spans="3:14" x14ac:dyDescent="0.55000000000000004">
      <c r="C35" s="124"/>
      <c r="D35">
        <f>'2 Customer data'!D73</f>
        <v>0</v>
      </c>
      <c r="E35" s="63">
        <f>'2 Customer data'!E73</f>
        <v>0</v>
      </c>
      <c r="F35" s="22">
        <f>IFERROR(IF($E$15=$P$15,IF('2 Customer data'!I73="",'2 Customer data'!H73,'2 Customer data'!I73)/IF('2 Customer data'!$I$77=0,'2 Customer data'!$H$77,'2 Customer data'!$I$77),IF($E$15=$P$16,IF('2 Customer data'!K73="",'2 Customer data'!J73,'2 Customer data'!K73)/IF('2 Customer data'!$K$77=0,'2 Customer data'!$J$77,'2 Customer data'!$K$77))),0)</f>
        <v>0</v>
      </c>
      <c r="G35" s="22">
        <f>IFERROR('2 Customer data'!M73/'2 Customer data'!$M$77,0)</f>
        <v>0</v>
      </c>
      <c r="H35" s="26">
        <f ca="1">'1 Sanitation per Volume'!$H$32*'2 Sanitation'!$F35</f>
        <v>0</v>
      </c>
      <c r="I35" s="26">
        <f ca="1">'1 Sanitation per Volume'!$I$32*'2 Sanitation'!G35</f>
        <v>0</v>
      </c>
      <c r="J35" s="26">
        <f t="shared" ca="1" si="0"/>
        <v>0</v>
      </c>
      <c r="K35" s="64">
        <f ca="1">IFERROR(H35/IF('2 Customer data'!I73="",'2 Customer data'!H73,'2 Customer data'!I73),0)</f>
        <v>0</v>
      </c>
      <c r="L35" s="64">
        <f ca="1">IFERROR(I35/'2 Customer data'!M73,0)</f>
        <v>0</v>
      </c>
      <c r="M35" s="64">
        <f ca="1">IFERROR(J35/'2 Customer data'!M73,0)</f>
        <v>0</v>
      </c>
      <c r="N35" s="125"/>
    </row>
    <row r="36" spans="3:14" x14ac:dyDescent="0.55000000000000004">
      <c r="C36" s="124"/>
      <c r="D36">
        <f>'2 Customer data'!D74</f>
        <v>0</v>
      </c>
      <c r="E36" s="63">
        <f>'2 Customer data'!E74</f>
        <v>0</v>
      </c>
      <c r="F36" s="22">
        <f>IFERROR(IF($E$15=$P$15,IF('2 Customer data'!I74="",'2 Customer data'!H74,'2 Customer data'!I74)/IF('2 Customer data'!$I$77=0,'2 Customer data'!$H$77,'2 Customer data'!$I$77),IF($E$15=$P$16,IF('2 Customer data'!K74="",'2 Customer data'!J74,'2 Customer data'!K74)/IF('2 Customer data'!$K$77=0,'2 Customer data'!$J$77,'2 Customer data'!$K$77))),0)</f>
        <v>0</v>
      </c>
      <c r="G36" s="22">
        <f>IFERROR('2 Customer data'!M74/'2 Customer data'!$M$77,0)</f>
        <v>0</v>
      </c>
      <c r="H36" s="26">
        <f ca="1">'1 Sanitation per Volume'!$H$32*'2 Sanitation'!$F36</f>
        <v>0</v>
      </c>
      <c r="I36" s="26">
        <f ca="1">'1 Sanitation per Volume'!$I$32*'2 Sanitation'!G36</f>
        <v>0</v>
      </c>
      <c r="J36" s="26">
        <f t="shared" ca="1" si="0"/>
        <v>0</v>
      </c>
      <c r="K36" s="64">
        <f ca="1">IFERROR(H36/IF('2 Customer data'!I74="",'2 Customer data'!H74,'2 Customer data'!I74),0)</f>
        <v>0</v>
      </c>
      <c r="L36" s="64">
        <f ca="1">IFERROR(I36/'2 Customer data'!M74,0)</f>
        <v>0</v>
      </c>
      <c r="M36" s="64">
        <f ca="1">IFERROR(J36/'2 Customer data'!M74,0)</f>
        <v>0</v>
      </c>
      <c r="N36" s="125"/>
    </row>
    <row r="37" spans="3:14" x14ac:dyDescent="0.55000000000000004">
      <c r="C37" s="124"/>
      <c r="D37">
        <f>'2 Customer data'!D75</f>
        <v>0</v>
      </c>
      <c r="E37" s="63">
        <f>'2 Customer data'!E75</f>
        <v>0</v>
      </c>
      <c r="F37" s="22">
        <f>IFERROR(IF($E$15=$P$15,IF('2 Customer data'!I75="",'2 Customer data'!H75,'2 Customer data'!I75)/IF('2 Customer data'!$I$77=0,'2 Customer data'!$H$77,'2 Customer data'!$I$77),IF($E$15=$P$16,IF('2 Customer data'!K75="",'2 Customer data'!J75,'2 Customer data'!K75)/IF('2 Customer data'!$K$77=0,'2 Customer data'!$J$77,'2 Customer data'!$K$77))),0)</f>
        <v>0</v>
      </c>
      <c r="G37" s="22">
        <f>IFERROR('2 Customer data'!M75/'2 Customer data'!$M$77,0)</f>
        <v>0</v>
      </c>
      <c r="H37" s="26">
        <f ca="1">'1 Sanitation per Volume'!$H$32*'2 Sanitation'!$F37</f>
        <v>0</v>
      </c>
      <c r="I37" s="26">
        <f ca="1">'1 Sanitation per Volume'!$I$32*'2 Sanitation'!G37</f>
        <v>0</v>
      </c>
      <c r="J37" s="26">
        <f t="shared" ca="1" si="0"/>
        <v>0</v>
      </c>
      <c r="K37" s="64">
        <f ca="1">IFERROR(H37/IF('2 Customer data'!I75="",'2 Customer data'!H75,'2 Customer data'!I75),0)</f>
        <v>0</v>
      </c>
      <c r="L37" s="64">
        <f ca="1">IFERROR(I37/'2 Customer data'!M75,0)</f>
        <v>0</v>
      </c>
      <c r="M37" s="64">
        <f ca="1">IFERROR(J37/'2 Customer data'!M75,0)</f>
        <v>0</v>
      </c>
      <c r="N37" s="125"/>
    </row>
    <row r="38" spans="3:14" x14ac:dyDescent="0.55000000000000004">
      <c r="C38" s="124"/>
      <c r="D38">
        <f>'2 Customer data'!D76</f>
        <v>0</v>
      </c>
      <c r="E38" s="63">
        <f>'2 Customer data'!E76</f>
        <v>0</v>
      </c>
      <c r="F38" s="22">
        <f>IFERROR(IF($E$15=$P$15,IF('2 Customer data'!I76="",'2 Customer data'!H76,'2 Customer data'!I76)/IF('2 Customer data'!$I$77=0,'2 Customer data'!$H$77,'2 Customer data'!$I$77),IF($E$15=$P$16,IF('2 Customer data'!K76="",'2 Customer data'!J76,'2 Customer data'!K76)/IF('2 Customer data'!$K$77=0,'2 Customer data'!$J$77,'2 Customer data'!$K$77))),0)</f>
        <v>0</v>
      </c>
      <c r="G38" s="22">
        <f>IFERROR('2 Customer data'!M76/'2 Customer data'!$M$77,0)</f>
        <v>0</v>
      </c>
      <c r="H38" s="26">
        <f ca="1">'1 Sanitation per Volume'!$H$32*'2 Sanitation'!$F38</f>
        <v>0</v>
      </c>
      <c r="I38" s="26">
        <f ca="1">'1 Sanitation per Volume'!$I$32*'2 Sanitation'!G38</f>
        <v>0</v>
      </c>
      <c r="J38" s="26">
        <f t="shared" ca="1" si="0"/>
        <v>0</v>
      </c>
      <c r="K38" s="64">
        <f ca="1">IFERROR(H38/IF('2 Customer data'!I76="",'2 Customer data'!H76,'2 Customer data'!I76),0)</f>
        <v>0</v>
      </c>
      <c r="L38" s="64">
        <f ca="1">IFERROR(I38/'2 Customer data'!M76,0)</f>
        <v>0</v>
      </c>
      <c r="M38" s="64">
        <f ca="1">IFERROR(J38/'2 Customer data'!M76,0)</f>
        <v>0</v>
      </c>
      <c r="N38" s="125"/>
    </row>
    <row r="39" spans="3:14" x14ac:dyDescent="0.55000000000000004">
      <c r="C39" s="124"/>
      <c r="D39" s="1" t="s">
        <v>33</v>
      </c>
      <c r="F39" s="65">
        <f>SUM(F19:F38)</f>
        <v>1.0000000000000002</v>
      </c>
      <c r="G39" s="65">
        <f>SUM(G19:G38)</f>
        <v>0.99999999999999967</v>
      </c>
      <c r="H39" s="15">
        <f ca="1">SUM(H19:H38)</f>
        <v>65666388.800000012</v>
      </c>
      <c r="I39" s="15">
        <f ca="1">SUM(I19:I38)</f>
        <v>11664866.999999998</v>
      </c>
      <c r="J39" s="15">
        <f ca="1">SUM(J19:J38)</f>
        <v>77331255.799999997</v>
      </c>
      <c r="K39" s="19">
        <f ca="1">IFERROR(H39/IF('2 Customer data'!I77=0,'2 Customer data'!H77,'2 Customer data'!I77),0)</f>
        <v>3624.1006953832434</v>
      </c>
      <c r="L39" s="19">
        <f ca="1">IFERROR(I39/'2 Customer data'!M77,0)</f>
        <v>5.4647806372834449</v>
      </c>
      <c r="M39" s="19">
        <f ca="1">IFERROR(J39/'2 Customer data'!M77,0)</f>
        <v>36.228304133485032</v>
      </c>
      <c r="N39" s="125"/>
    </row>
    <row r="40" spans="3:14" ht="14.7" thickBot="1" x14ac:dyDescent="0.6">
      <c r="C40" s="130"/>
      <c r="D40" s="241"/>
      <c r="E40" s="242"/>
      <c r="F40" s="242"/>
      <c r="G40" s="242"/>
      <c r="H40" s="243"/>
      <c r="I40" s="243"/>
      <c r="J40" s="242"/>
      <c r="K40" s="242"/>
      <c r="L40" s="242"/>
      <c r="M40" s="131"/>
      <c r="N40" s="132"/>
    </row>
    <row r="41" spans="3:14" ht="14.7" thickBot="1" x14ac:dyDescent="0.6"/>
    <row r="42" spans="3:14" x14ac:dyDescent="0.55000000000000004">
      <c r="C42" s="121"/>
      <c r="D42" s="122"/>
      <c r="E42" s="122"/>
      <c r="F42" s="122"/>
      <c r="G42" s="122"/>
      <c r="H42" s="122"/>
      <c r="I42" s="122"/>
      <c r="J42" s="122"/>
      <c r="K42" s="122"/>
      <c r="L42" s="122"/>
      <c r="M42" s="122"/>
      <c r="N42" s="123"/>
    </row>
    <row r="43" spans="3:14" x14ac:dyDescent="0.55000000000000004">
      <c r="C43" s="124"/>
      <c r="D43" s="1" t="s">
        <v>168</v>
      </c>
      <c r="N43" s="125"/>
    </row>
    <row r="44" spans="3:14" ht="14.55" customHeight="1" x14ac:dyDescent="0.55000000000000004">
      <c r="C44" s="124"/>
      <c r="D44" s="1804" t="s">
        <v>541</v>
      </c>
      <c r="E44" s="1804"/>
      <c r="F44" s="1804"/>
      <c r="G44" s="1804"/>
      <c r="H44" s="1804"/>
      <c r="I44" s="1804"/>
      <c r="J44" s="1804"/>
      <c r="K44" s="1804"/>
      <c r="L44" s="1804"/>
      <c r="M44" s="1804"/>
      <c r="N44" s="125"/>
    </row>
    <row r="45" spans="3:14" x14ac:dyDescent="0.55000000000000004">
      <c r="C45" s="124"/>
      <c r="D45" s="1804"/>
      <c r="E45" s="1804"/>
      <c r="F45" s="1804"/>
      <c r="G45" s="1804"/>
      <c r="H45" s="1804"/>
      <c r="I45" s="1804"/>
      <c r="J45" s="1804"/>
      <c r="K45" s="1804"/>
      <c r="L45" s="1804"/>
      <c r="M45" s="1804"/>
      <c r="N45" s="125"/>
    </row>
    <row r="46" spans="3:14" x14ac:dyDescent="0.55000000000000004">
      <c r="C46" s="124"/>
      <c r="D46" s="1804"/>
      <c r="E46" s="1804"/>
      <c r="F46" s="1804"/>
      <c r="G46" s="1804"/>
      <c r="H46" s="1804"/>
      <c r="I46" s="1804"/>
      <c r="J46" s="1804"/>
      <c r="K46" s="1804"/>
      <c r="L46" s="1804"/>
      <c r="M46" s="1804"/>
      <c r="N46" s="125"/>
    </row>
    <row r="47" spans="3:14" ht="4.95" customHeight="1" x14ac:dyDescent="0.55000000000000004">
      <c r="C47" s="124"/>
      <c r="D47" s="119"/>
      <c r="E47" s="119"/>
      <c r="F47" s="119"/>
      <c r="G47" s="119"/>
      <c r="H47" s="119"/>
      <c r="I47" s="119"/>
      <c r="J47" s="119"/>
      <c r="K47" s="119"/>
      <c r="L47" s="119"/>
      <c r="M47" s="119"/>
      <c r="N47" s="125"/>
    </row>
    <row r="48" spans="3:14" x14ac:dyDescent="0.55000000000000004">
      <c r="C48" s="124"/>
      <c r="D48" s="1804" t="s">
        <v>536</v>
      </c>
      <c r="E48" s="1804"/>
      <c r="F48" s="1804"/>
      <c r="G48" s="1804"/>
      <c r="H48" s="1804"/>
      <c r="I48" s="1804"/>
      <c r="J48" s="1804"/>
      <c r="K48" s="1804"/>
      <c r="L48" s="1804"/>
      <c r="M48" s="1804"/>
      <c r="N48" s="125"/>
    </row>
    <row r="49" spans="3:14" x14ac:dyDescent="0.55000000000000004">
      <c r="C49" s="124"/>
      <c r="D49" s="1804"/>
      <c r="E49" s="1804"/>
      <c r="F49" s="1804"/>
      <c r="G49" s="1804"/>
      <c r="H49" s="1804"/>
      <c r="I49" s="1804"/>
      <c r="J49" s="1804"/>
      <c r="K49" s="1804"/>
      <c r="L49" s="1804"/>
      <c r="M49" s="1804"/>
      <c r="N49" s="125"/>
    </row>
    <row r="50" spans="3:14" x14ac:dyDescent="0.55000000000000004">
      <c r="C50" s="124"/>
      <c r="N50" s="125"/>
    </row>
    <row r="51" spans="3:14" ht="86.55" customHeight="1" x14ac:dyDescent="0.55000000000000004">
      <c r="C51" s="124"/>
      <c r="D51" s="62" t="s">
        <v>283</v>
      </c>
      <c r="E51" s="56" t="s">
        <v>312</v>
      </c>
      <c r="F51" s="190" t="s">
        <v>304</v>
      </c>
      <c r="G51" s="190" t="s">
        <v>297</v>
      </c>
      <c r="H51" s="190" t="s">
        <v>298</v>
      </c>
      <c r="I51" s="190" t="s">
        <v>299</v>
      </c>
      <c r="J51" s="190" t="s">
        <v>300</v>
      </c>
      <c r="K51" s="190" t="s">
        <v>301</v>
      </c>
      <c r="L51" s="190" t="s">
        <v>302</v>
      </c>
      <c r="M51" s="190" t="s">
        <v>303</v>
      </c>
      <c r="N51" s="125"/>
    </row>
    <row r="52" spans="3:14" x14ac:dyDescent="0.55000000000000004">
      <c r="C52" s="124"/>
      <c r="E52" s="63"/>
      <c r="F52" s="20">
        <f ca="1">J39</f>
        <v>77331255.799999997</v>
      </c>
      <c r="G52" s="66">
        <f ca="1">'Revenue required'!G21</f>
        <v>0</v>
      </c>
      <c r="H52" s="67">
        <f>SUM(H53:H72)</f>
        <v>0</v>
      </c>
      <c r="I52" s="67">
        <f ca="1">'Revenue required'!G22</f>
        <v>11389689.550000001</v>
      </c>
      <c r="J52" s="67">
        <f>SUM(J53:J72)</f>
        <v>0</v>
      </c>
      <c r="K52" s="66">
        <f>'Revenue required'!G23</f>
        <v>0</v>
      </c>
      <c r="L52" s="67">
        <f>SUM(L53:L72)</f>
        <v>0</v>
      </c>
      <c r="M52" s="67">
        <f ca="1">SUM(M53:M72)</f>
        <v>65941566.250000007</v>
      </c>
      <c r="N52" s="125"/>
    </row>
    <row r="53" spans="3:14" x14ac:dyDescent="0.55000000000000004">
      <c r="C53" s="124"/>
      <c r="D53" t="str">
        <f t="shared" ref="D53:E72" si="1">D19</f>
        <v>Domestic</v>
      </c>
      <c r="E53" s="63" t="str">
        <f t="shared" si="1"/>
        <v>Domestic</v>
      </c>
      <c r="F53" s="21">
        <f t="shared" ref="F53:F72" ca="1" si="2">J19</f>
        <v>70152824.511722222</v>
      </c>
      <c r="G53" s="64">
        <f t="shared" ref="G53:G72" ca="1" si="3">IFERROR($G$52*F53/$F$52,0)</f>
        <v>0</v>
      </c>
      <c r="H53" s="51"/>
      <c r="I53" s="26">
        <f t="shared" ref="I53:I72" ca="1" si="4">IFERROR($I$52*F53/$F$52,0)</f>
        <v>10332418.424842734</v>
      </c>
      <c r="J53" s="1434"/>
      <c r="K53" s="64">
        <f t="shared" ref="K53:K72" ca="1" si="5">IFERROR($K$52*F53/$F$52,0)</f>
        <v>0</v>
      </c>
      <c r="L53" s="51"/>
      <c r="M53" s="21">
        <f ca="1">F53-IF(H53="",G53,H53)-IF(J53="",I53,J53)-IF(L53="",K53,L53)</f>
        <v>59820406.086879492</v>
      </c>
      <c r="N53" s="125"/>
    </row>
    <row r="54" spans="3:14" x14ac:dyDescent="0.55000000000000004">
      <c r="C54" s="124"/>
      <c r="D54" t="str">
        <f t="shared" si="1"/>
        <v>Commercial</v>
      </c>
      <c r="E54" s="63" t="str">
        <f t="shared" si="1"/>
        <v>Commercial</v>
      </c>
      <c r="F54" s="21">
        <f t="shared" ca="1" si="2"/>
        <v>5922513.447693428</v>
      </c>
      <c r="G54" s="64">
        <f t="shared" ca="1" si="3"/>
        <v>0</v>
      </c>
      <c r="H54" s="51"/>
      <c r="I54" s="26">
        <f t="shared" ca="1" si="4"/>
        <v>872293.988078858</v>
      </c>
      <c r="J54" s="51"/>
      <c r="K54" s="64">
        <f t="shared" ca="1" si="5"/>
        <v>0</v>
      </c>
      <c r="L54" s="51"/>
      <c r="M54" s="21">
        <f t="shared" ref="M54:M72" ca="1" si="6">F54-IF(H54="",G54,H54)-IF(J54="",I54,J54)-IF(L54="",K54,L54)</f>
        <v>5050219.4596145703</v>
      </c>
      <c r="N54" s="125"/>
    </row>
    <row r="55" spans="3:14" x14ac:dyDescent="0.55000000000000004">
      <c r="C55" s="124"/>
      <c r="D55" t="str">
        <f t="shared" si="1"/>
        <v>Old Age Homes</v>
      </c>
      <c r="E55" s="63" t="str">
        <f t="shared" si="1"/>
        <v>Domestic</v>
      </c>
      <c r="F55" s="21">
        <f t="shared" ca="1" si="2"/>
        <v>124732.67427813419</v>
      </c>
      <c r="G55" s="64">
        <f t="shared" ca="1" si="3"/>
        <v>0</v>
      </c>
      <c r="H55" s="51"/>
      <c r="I55" s="26">
        <f t="shared" ca="1" si="4"/>
        <v>18371.18021778225</v>
      </c>
      <c r="J55" s="51"/>
      <c r="K55" s="64">
        <f t="shared" ca="1" si="5"/>
        <v>0</v>
      </c>
      <c r="L55" s="51"/>
      <c r="M55" s="21">
        <f t="shared" ca="1" si="6"/>
        <v>106361.49406035194</v>
      </c>
      <c r="N55" s="125"/>
    </row>
    <row r="56" spans="3:14" x14ac:dyDescent="0.55000000000000004">
      <c r="C56" s="124"/>
      <c r="D56" t="str">
        <f t="shared" si="1"/>
        <v>Safe Houses</v>
      </c>
      <c r="E56" s="63" t="str">
        <f t="shared" si="1"/>
        <v>Domestic</v>
      </c>
      <c r="F56" s="21">
        <f t="shared" ca="1" si="2"/>
        <v>25599.643802201404</v>
      </c>
      <c r="G56" s="64">
        <f t="shared" ca="1" si="3"/>
        <v>0</v>
      </c>
      <c r="H56" s="51"/>
      <c r="I56" s="26">
        <f t="shared" ca="1" si="4"/>
        <v>3770.4288192570079</v>
      </c>
      <c r="J56" s="51"/>
      <c r="K56" s="64">
        <f t="shared" ca="1" si="5"/>
        <v>0</v>
      </c>
      <c r="L56" s="51"/>
      <c r="M56" s="21">
        <f t="shared" ca="1" si="6"/>
        <v>21829.214982944395</v>
      </c>
      <c r="N56" s="125"/>
    </row>
    <row r="57" spans="3:14" x14ac:dyDescent="0.55000000000000004">
      <c r="C57" s="124"/>
      <c r="D57" t="str">
        <f t="shared" si="1"/>
        <v>Schools</v>
      </c>
      <c r="E57" s="63" t="str">
        <f t="shared" si="1"/>
        <v xml:space="preserve">Institutional </v>
      </c>
      <c r="F57" s="21">
        <f t="shared" ca="1" si="2"/>
        <v>555257.3489995806</v>
      </c>
      <c r="G57" s="64">
        <f t="shared" ca="1" si="3"/>
        <v>0</v>
      </c>
      <c r="H57" s="51"/>
      <c r="I57" s="26">
        <f t="shared" ca="1" si="4"/>
        <v>81780.75941010681</v>
      </c>
      <c r="J57" s="51"/>
      <c r="K57" s="64">
        <f t="shared" ca="1" si="5"/>
        <v>0</v>
      </c>
      <c r="L57" s="51"/>
      <c r="M57" s="21">
        <f t="shared" ca="1" si="6"/>
        <v>473476.58958947379</v>
      </c>
      <c r="N57" s="125"/>
    </row>
    <row r="58" spans="3:14" x14ac:dyDescent="0.55000000000000004">
      <c r="C58" s="124"/>
      <c r="D58" t="str">
        <f t="shared" si="1"/>
        <v>Government</v>
      </c>
      <c r="E58" s="63" t="str">
        <f t="shared" si="1"/>
        <v xml:space="preserve">Institutional </v>
      </c>
      <c r="F58" s="21">
        <f t="shared" ca="1" si="2"/>
        <v>66995.125454854613</v>
      </c>
      <c r="G58" s="64">
        <f t="shared" ca="1" si="3"/>
        <v>0</v>
      </c>
      <c r="H58" s="51"/>
      <c r="I58" s="26">
        <f t="shared" ca="1" si="4"/>
        <v>9867.338534726041</v>
      </c>
      <c r="J58" s="51"/>
      <c r="K58" s="64">
        <f t="shared" ca="1" si="5"/>
        <v>0</v>
      </c>
      <c r="L58" s="51"/>
      <c r="M58" s="21">
        <f t="shared" ca="1" si="6"/>
        <v>57127.786920128572</v>
      </c>
      <c r="N58" s="125"/>
    </row>
    <row r="59" spans="3:14" x14ac:dyDescent="0.55000000000000004">
      <c r="C59" s="124"/>
      <c r="D59" t="str">
        <f t="shared" si="1"/>
        <v>Sport Clubs</v>
      </c>
      <c r="E59" s="63" t="str">
        <f t="shared" si="1"/>
        <v xml:space="preserve">Institutional </v>
      </c>
      <c r="F59" s="21">
        <f t="shared" ca="1" si="2"/>
        <v>40781.244230892553</v>
      </c>
      <c r="G59" s="64">
        <f t="shared" ca="1" si="3"/>
        <v>0</v>
      </c>
      <c r="H59" s="51"/>
      <c r="I59" s="26">
        <f t="shared" ca="1" si="4"/>
        <v>6006.4421099520632</v>
      </c>
      <c r="J59" s="51"/>
      <c r="K59" s="64">
        <f t="shared" ca="1" si="5"/>
        <v>0</v>
      </c>
      <c r="L59" s="51"/>
      <c r="M59" s="21">
        <f t="shared" ca="1" si="6"/>
        <v>34774.802120940491</v>
      </c>
      <c r="N59" s="125"/>
    </row>
    <row r="60" spans="3:14" x14ac:dyDescent="0.55000000000000004">
      <c r="C60" s="124"/>
      <c r="D60" t="str">
        <f t="shared" si="1"/>
        <v>Churches</v>
      </c>
      <c r="E60" s="63" t="str">
        <f t="shared" si="1"/>
        <v xml:space="preserve">Institutional </v>
      </c>
      <c r="F60" s="21">
        <f t="shared" ca="1" si="2"/>
        <v>301478.0645468458</v>
      </c>
      <c r="G60" s="64">
        <f t="shared" ca="1" si="3"/>
        <v>0</v>
      </c>
      <c r="H60" s="51"/>
      <c r="I60" s="26">
        <f t="shared" ca="1" si="4"/>
        <v>44403.023406267188</v>
      </c>
      <c r="J60" s="51"/>
      <c r="K60" s="64">
        <f t="shared" ca="1" si="5"/>
        <v>0</v>
      </c>
      <c r="L60" s="51"/>
      <c r="M60" s="21">
        <f t="shared" ca="1" si="6"/>
        <v>257075.0411405786</v>
      </c>
      <c r="N60" s="125"/>
    </row>
    <row r="61" spans="3:14" x14ac:dyDescent="0.55000000000000004">
      <c r="C61" s="124"/>
      <c r="D61" t="str">
        <f t="shared" si="1"/>
        <v>Agricultural</v>
      </c>
      <c r="E61" s="63" t="str">
        <f t="shared" si="1"/>
        <v>Commercial</v>
      </c>
      <c r="F61" s="21">
        <f t="shared" ca="1" si="2"/>
        <v>141073.73927185195</v>
      </c>
      <c r="G61" s="64">
        <f t="shared" ca="1" si="3"/>
        <v>0</v>
      </c>
      <c r="H61" s="51"/>
      <c r="I61" s="26">
        <f t="shared" ca="1" si="4"/>
        <v>20777.964580319629</v>
      </c>
      <c r="J61" s="51"/>
      <c r="K61" s="64">
        <f t="shared" ca="1" si="5"/>
        <v>0</v>
      </c>
      <c r="L61" s="51"/>
      <c r="M61" s="21">
        <f t="shared" ca="1" si="6"/>
        <v>120295.77469153232</v>
      </c>
      <c r="N61" s="125"/>
    </row>
    <row r="62" spans="3:14" x14ac:dyDescent="0.55000000000000004">
      <c r="C62" s="124"/>
      <c r="D62">
        <f t="shared" si="1"/>
        <v>0</v>
      </c>
      <c r="E62" s="63">
        <f t="shared" si="1"/>
        <v>0</v>
      </c>
      <c r="F62" s="21">
        <f t="shared" ca="1" si="2"/>
        <v>0</v>
      </c>
      <c r="G62" s="64">
        <f t="shared" ca="1" si="3"/>
        <v>0</v>
      </c>
      <c r="H62" s="51"/>
      <c r="I62" s="26">
        <f t="shared" ca="1" si="4"/>
        <v>0</v>
      </c>
      <c r="J62" s="51"/>
      <c r="K62" s="64">
        <f t="shared" ca="1" si="5"/>
        <v>0</v>
      </c>
      <c r="L62" s="51"/>
      <c r="M62" s="21">
        <f t="shared" ca="1" si="6"/>
        <v>0</v>
      </c>
      <c r="N62" s="125"/>
    </row>
    <row r="63" spans="3:14" x14ac:dyDescent="0.55000000000000004">
      <c r="C63" s="124"/>
      <c r="D63">
        <f t="shared" si="1"/>
        <v>0</v>
      </c>
      <c r="E63" s="63">
        <f t="shared" si="1"/>
        <v>0</v>
      </c>
      <c r="F63" s="21">
        <f t="shared" ca="1" si="2"/>
        <v>0</v>
      </c>
      <c r="G63" s="64">
        <f t="shared" ca="1" si="3"/>
        <v>0</v>
      </c>
      <c r="H63" s="51"/>
      <c r="I63" s="26">
        <f t="shared" ca="1" si="4"/>
        <v>0</v>
      </c>
      <c r="J63" s="51"/>
      <c r="K63" s="64">
        <f t="shared" ca="1" si="5"/>
        <v>0</v>
      </c>
      <c r="L63" s="51"/>
      <c r="M63" s="21">
        <f t="shared" ca="1" si="6"/>
        <v>0</v>
      </c>
      <c r="N63" s="125"/>
    </row>
    <row r="64" spans="3:14" x14ac:dyDescent="0.55000000000000004">
      <c r="C64" s="124"/>
      <c r="D64">
        <f t="shared" si="1"/>
        <v>0</v>
      </c>
      <c r="E64" s="63">
        <f t="shared" si="1"/>
        <v>0</v>
      </c>
      <c r="F64" s="21">
        <f t="shared" ca="1" si="2"/>
        <v>0</v>
      </c>
      <c r="G64" s="64">
        <f t="shared" ca="1" si="3"/>
        <v>0</v>
      </c>
      <c r="H64" s="51"/>
      <c r="I64" s="26">
        <f t="shared" ca="1" si="4"/>
        <v>0</v>
      </c>
      <c r="J64" s="51"/>
      <c r="K64" s="64">
        <f t="shared" ca="1" si="5"/>
        <v>0</v>
      </c>
      <c r="L64" s="51"/>
      <c r="M64" s="21">
        <f t="shared" ca="1" si="6"/>
        <v>0</v>
      </c>
      <c r="N64" s="125"/>
    </row>
    <row r="65" spans="3:14" x14ac:dyDescent="0.55000000000000004">
      <c r="C65" s="124"/>
      <c r="D65">
        <f t="shared" si="1"/>
        <v>0</v>
      </c>
      <c r="E65" s="63">
        <f t="shared" si="1"/>
        <v>0</v>
      </c>
      <c r="F65" s="21">
        <f t="shared" ca="1" si="2"/>
        <v>0</v>
      </c>
      <c r="G65" s="64">
        <f t="shared" ca="1" si="3"/>
        <v>0</v>
      </c>
      <c r="H65" s="51"/>
      <c r="I65" s="26">
        <f t="shared" ca="1" si="4"/>
        <v>0</v>
      </c>
      <c r="J65" s="51"/>
      <c r="K65" s="64">
        <f t="shared" ca="1" si="5"/>
        <v>0</v>
      </c>
      <c r="L65" s="51"/>
      <c r="M65" s="21">
        <f t="shared" ca="1" si="6"/>
        <v>0</v>
      </c>
      <c r="N65" s="125"/>
    </row>
    <row r="66" spans="3:14" x14ac:dyDescent="0.55000000000000004">
      <c r="C66" s="124"/>
      <c r="D66">
        <f t="shared" si="1"/>
        <v>0</v>
      </c>
      <c r="E66" s="63">
        <f t="shared" si="1"/>
        <v>0</v>
      </c>
      <c r="F66" s="21">
        <f t="shared" ca="1" si="2"/>
        <v>0</v>
      </c>
      <c r="G66" s="64">
        <f t="shared" ca="1" si="3"/>
        <v>0</v>
      </c>
      <c r="H66" s="51"/>
      <c r="I66" s="26">
        <f t="shared" ca="1" si="4"/>
        <v>0</v>
      </c>
      <c r="J66" s="51"/>
      <c r="K66" s="64">
        <f t="shared" ca="1" si="5"/>
        <v>0</v>
      </c>
      <c r="L66" s="51"/>
      <c r="M66" s="21">
        <f t="shared" ca="1" si="6"/>
        <v>0</v>
      </c>
      <c r="N66" s="125"/>
    </row>
    <row r="67" spans="3:14" x14ac:dyDescent="0.55000000000000004">
      <c r="C67" s="124"/>
      <c r="D67">
        <f t="shared" si="1"/>
        <v>0</v>
      </c>
      <c r="E67" s="63">
        <f t="shared" si="1"/>
        <v>0</v>
      </c>
      <c r="F67" s="21">
        <f t="shared" ca="1" si="2"/>
        <v>0</v>
      </c>
      <c r="G67" s="64">
        <f t="shared" ca="1" si="3"/>
        <v>0</v>
      </c>
      <c r="H67" s="51"/>
      <c r="I67" s="26">
        <f t="shared" ca="1" si="4"/>
        <v>0</v>
      </c>
      <c r="J67" s="51"/>
      <c r="K67" s="64">
        <f t="shared" ca="1" si="5"/>
        <v>0</v>
      </c>
      <c r="L67" s="51"/>
      <c r="M67" s="21">
        <f t="shared" ca="1" si="6"/>
        <v>0</v>
      </c>
      <c r="N67" s="125"/>
    </row>
    <row r="68" spans="3:14" x14ac:dyDescent="0.55000000000000004">
      <c r="C68" s="124"/>
      <c r="D68">
        <f t="shared" si="1"/>
        <v>0</v>
      </c>
      <c r="E68" s="63">
        <f t="shared" si="1"/>
        <v>0</v>
      </c>
      <c r="F68" s="21">
        <f t="shared" ca="1" si="2"/>
        <v>0</v>
      </c>
      <c r="G68" s="64">
        <f t="shared" ca="1" si="3"/>
        <v>0</v>
      </c>
      <c r="H68" s="51"/>
      <c r="I68" s="26">
        <f t="shared" ca="1" si="4"/>
        <v>0</v>
      </c>
      <c r="J68" s="51"/>
      <c r="K68" s="64">
        <f t="shared" ca="1" si="5"/>
        <v>0</v>
      </c>
      <c r="L68" s="51"/>
      <c r="M68" s="21">
        <f t="shared" ca="1" si="6"/>
        <v>0</v>
      </c>
      <c r="N68" s="125"/>
    </row>
    <row r="69" spans="3:14" x14ac:dyDescent="0.55000000000000004">
      <c r="C69" s="124"/>
      <c r="D69">
        <f t="shared" si="1"/>
        <v>0</v>
      </c>
      <c r="E69" s="63">
        <f t="shared" si="1"/>
        <v>0</v>
      </c>
      <c r="F69" s="21">
        <f t="shared" ca="1" si="2"/>
        <v>0</v>
      </c>
      <c r="G69" s="64">
        <f t="shared" ca="1" si="3"/>
        <v>0</v>
      </c>
      <c r="H69" s="51"/>
      <c r="I69" s="26">
        <f t="shared" ca="1" si="4"/>
        <v>0</v>
      </c>
      <c r="J69" s="51"/>
      <c r="K69" s="64">
        <f t="shared" ca="1" si="5"/>
        <v>0</v>
      </c>
      <c r="L69" s="51"/>
      <c r="M69" s="21">
        <f t="shared" ca="1" si="6"/>
        <v>0</v>
      </c>
      <c r="N69" s="125"/>
    </row>
    <row r="70" spans="3:14" x14ac:dyDescent="0.55000000000000004">
      <c r="C70" s="124"/>
      <c r="D70">
        <f t="shared" si="1"/>
        <v>0</v>
      </c>
      <c r="E70" s="63">
        <f t="shared" si="1"/>
        <v>0</v>
      </c>
      <c r="F70" s="21">
        <f t="shared" ca="1" si="2"/>
        <v>0</v>
      </c>
      <c r="G70" s="64">
        <f t="shared" ca="1" si="3"/>
        <v>0</v>
      </c>
      <c r="H70" s="51"/>
      <c r="I70" s="26">
        <f t="shared" ca="1" si="4"/>
        <v>0</v>
      </c>
      <c r="J70" s="51"/>
      <c r="K70" s="64">
        <f t="shared" ca="1" si="5"/>
        <v>0</v>
      </c>
      <c r="L70" s="51"/>
      <c r="M70" s="21">
        <f t="shared" ca="1" si="6"/>
        <v>0</v>
      </c>
      <c r="N70" s="125"/>
    </row>
    <row r="71" spans="3:14" x14ac:dyDescent="0.55000000000000004">
      <c r="C71" s="124"/>
      <c r="D71">
        <f t="shared" si="1"/>
        <v>0</v>
      </c>
      <c r="E71" s="63">
        <f t="shared" si="1"/>
        <v>0</v>
      </c>
      <c r="F71" s="21">
        <f t="shared" ca="1" si="2"/>
        <v>0</v>
      </c>
      <c r="G71" s="64">
        <f t="shared" ca="1" si="3"/>
        <v>0</v>
      </c>
      <c r="H71" s="51"/>
      <c r="I71" s="26">
        <f t="shared" ca="1" si="4"/>
        <v>0</v>
      </c>
      <c r="J71" s="51"/>
      <c r="K71" s="64">
        <f t="shared" ca="1" si="5"/>
        <v>0</v>
      </c>
      <c r="L71" s="51"/>
      <c r="M71" s="21">
        <f t="shared" ca="1" si="6"/>
        <v>0</v>
      </c>
      <c r="N71" s="125"/>
    </row>
    <row r="72" spans="3:14" x14ac:dyDescent="0.55000000000000004">
      <c r="C72" s="124"/>
      <c r="D72">
        <f t="shared" si="1"/>
        <v>0</v>
      </c>
      <c r="E72" s="63">
        <f t="shared" si="1"/>
        <v>0</v>
      </c>
      <c r="F72" s="21">
        <f t="shared" ca="1" si="2"/>
        <v>0</v>
      </c>
      <c r="G72" s="64">
        <f t="shared" ca="1" si="3"/>
        <v>0</v>
      </c>
      <c r="H72" s="51"/>
      <c r="I72" s="26">
        <f t="shared" ca="1" si="4"/>
        <v>0</v>
      </c>
      <c r="J72" s="51"/>
      <c r="K72" s="64">
        <f t="shared" ca="1" si="5"/>
        <v>0</v>
      </c>
      <c r="L72" s="51"/>
      <c r="M72" s="21">
        <f t="shared" ca="1" si="6"/>
        <v>0</v>
      </c>
      <c r="N72" s="125"/>
    </row>
    <row r="73" spans="3:14" x14ac:dyDescent="0.55000000000000004">
      <c r="C73" s="124"/>
      <c r="D73" s="55" t="s">
        <v>535</v>
      </c>
      <c r="G73" s="54">
        <f ca="1">SUM(G53:G72)-G52</f>
        <v>0</v>
      </c>
      <c r="H73" s="69" t="str">
        <f>IF(SUM(H53:H72)=0,"",H52-G52)</f>
        <v/>
      </c>
      <c r="I73" s="54">
        <f ca="1">SUM(I53:I72)-I52</f>
        <v>0</v>
      </c>
      <c r="J73" s="69" t="str">
        <f>IF(SUM(J53:J72)=0,"",J52-I52)</f>
        <v/>
      </c>
      <c r="K73" s="54">
        <f ca="1">SUM(K53:K72)-K52</f>
        <v>0</v>
      </c>
      <c r="M73" s="17"/>
      <c r="N73" s="125"/>
    </row>
    <row r="74" spans="3:14" ht="14.7" thickBot="1" x14ac:dyDescent="0.6">
      <c r="C74" s="130"/>
      <c r="D74" s="241"/>
      <c r="E74" s="131"/>
      <c r="F74" s="131"/>
      <c r="G74" s="262"/>
      <c r="H74" s="262"/>
      <c r="I74" s="262"/>
      <c r="J74" s="262"/>
      <c r="K74" s="263"/>
      <c r="L74" s="131"/>
      <c r="M74" s="262"/>
      <c r="N74" s="132"/>
    </row>
    <row r="75" spans="3:14" ht="14.7" thickBot="1" x14ac:dyDescent="0.6"/>
    <row r="76" spans="3:14" x14ac:dyDescent="0.55000000000000004">
      <c r="C76" s="121"/>
      <c r="D76" s="122"/>
      <c r="E76" s="122"/>
      <c r="F76" s="122"/>
      <c r="G76" s="122"/>
      <c r="H76" s="122"/>
      <c r="I76" s="122"/>
      <c r="J76" s="122"/>
      <c r="K76" s="122"/>
      <c r="L76" s="122"/>
      <c r="M76" s="122"/>
      <c r="N76" s="123"/>
    </row>
    <row r="77" spans="3:14" x14ac:dyDescent="0.55000000000000004">
      <c r="C77" s="124"/>
      <c r="D77" s="1" t="s">
        <v>275</v>
      </c>
      <c r="N77" s="125"/>
    </row>
    <row r="78" spans="3:14" ht="6" customHeight="1" x14ac:dyDescent="0.55000000000000004">
      <c r="C78" s="124"/>
      <c r="D78" s="1"/>
      <c r="N78" s="125"/>
    </row>
    <row r="79" spans="3:14" ht="14.55" customHeight="1" x14ac:dyDescent="0.55000000000000004">
      <c r="C79" s="124"/>
      <c r="D79" s="1803" t="s">
        <v>542</v>
      </c>
      <c r="E79" s="1803"/>
      <c r="F79" s="1803"/>
      <c r="G79" s="1803"/>
      <c r="H79" s="1803"/>
      <c r="I79" s="1803"/>
      <c r="J79" s="1803"/>
      <c r="K79" s="1803"/>
      <c r="L79" s="1803"/>
      <c r="M79" s="1803"/>
      <c r="N79" s="247"/>
    </row>
    <row r="80" spans="3:14" x14ac:dyDescent="0.55000000000000004">
      <c r="C80" s="124"/>
      <c r="D80" s="1803"/>
      <c r="E80" s="1803"/>
      <c r="F80" s="1803"/>
      <c r="G80" s="1803"/>
      <c r="H80" s="1803"/>
      <c r="I80" s="1803"/>
      <c r="J80" s="1803"/>
      <c r="K80" s="1803"/>
      <c r="L80" s="1803"/>
      <c r="M80" s="1803"/>
      <c r="N80" s="247"/>
    </row>
    <row r="81" spans="3:14" x14ac:dyDescent="0.55000000000000004">
      <c r="C81" s="124"/>
      <c r="D81" s="1803"/>
      <c r="E81" s="1803"/>
      <c r="F81" s="1803"/>
      <c r="G81" s="1803"/>
      <c r="H81" s="1803"/>
      <c r="I81" s="1803"/>
      <c r="J81" s="1803"/>
      <c r="K81" s="1803"/>
      <c r="L81" s="1803"/>
      <c r="M81" s="1803"/>
      <c r="N81" s="247"/>
    </row>
    <row r="82" spans="3:14" ht="6" customHeight="1" x14ac:dyDescent="0.55000000000000004">
      <c r="C82" s="124"/>
      <c r="D82" s="264"/>
      <c r="E82" s="264"/>
      <c r="F82" s="264"/>
      <c r="G82" s="264"/>
      <c r="H82" s="264"/>
      <c r="I82" s="264"/>
      <c r="J82" s="264"/>
      <c r="K82" s="264"/>
      <c r="L82" s="264"/>
      <c r="M82" s="264"/>
      <c r="N82" s="247"/>
    </row>
    <row r="83" spans="3:14" x14ac:dyDescent="0.55000000000000004">
      <c r="C83" s="124"/>
      <c r="D83" s="1803" t="s">
        <v>537</v>
      </c>
      <c r="E83" s="1803"/>
      <c r="F83" s="1803"/>
      <c r="G83" s="1803"/>
      <c r="H83" s="1803"/>
      <c r="I83" s="1803"/>
      <c r="J83" s="1803"/>
      <c r="K83" s="1803"/>
      <c r="L83" s="1803"/>
      <c r="M83" s="1803"/>
      <c r="N83" s="247"/>
    </row>
    <row r="84" spans="3:14" x14ac:dyDescent="0.55000000000000004">
      <c r="C84" s="124"/>
      <c r="D84" s="1803"/>
      <c r="E84" s="1803"/>
      <c r="F84" s="1803"/>
      <c r="G84" s="1803"/>
      <c r="H84" s="1803"/>
      <c r="I84" s="1803"/>
      <c r="J84" s="1803"/>
      <c r="K84" s="1803"/>
      <c r="L84" s="1803"/>
      <c r="M84" s="1803"/>
      <c r="N84" s="247"/>
    </row>
    <row r="85" spans="3:14" x14ac:dyDescent="0.55000000000000004">
      <c r="C85" s="124"/>
      <c r="D85" s="255"/>
      <c r="N85" s="125"/>
    </row>
    <row r="86" spans="3:14" ht="72" x14ac:dyDescent="0.55000000000000004">
      <c r="C86" s="124"/>
      <c r="D86" s="62" t="s">
        <v>283</v>
      </c>
      <c r="E86" s="56" t="s">
        <v>312</v>
      </c>
      <c r="F86" s="190" t="s">
        <v>303</v>
      </c>
      <c r="G86" s="198" t="s">
        <v>305</v>
      </c>
      <c r="H86" s="190" t="s">
        <v>306</v>
      </c>
      <c r="I86" s="190" t="s">
        <v>280</v>
      </c>
      <c r="J86" s="162"/>
      <c r="K86" s="162"/>
      <c r="L86" s="162"/>
      <c r="M86" s="162"/>
      <c r="N86" s="167"/>
    </row>
    <row r="87" spans="3:14" x14ac:dyDescent="0.55000000000000004">
      <c r="C87" s="124"/>
      <c r="E87" s="63"/>
      <c r="F87" s="20">
        <f t="shared" ref="F87:F107" ca="1" si="7">M52</f>
        <v>65941566.250000007</v>
      </c>
      <c r="G87" s="20">
        <f ca="1">'Revenue required'!G20</f>
        <v>15471225</v>
      </c>
      <c r="H87" s="20">
        <f>SUM(H88:H107)</f>
        <v>0</v>
      </c>
      <c r="I87" s="20">
        <f ca="1">SUM(I88:I107)</f>
        <v>50470341.250000015</v>
      </c>
      <c r="N87" s="125"/>
    </row>
    <row r="88" spans="3:14" x14ac:dyDescent="0.55000000000000004">
      <c r="C88" s="124"/>
      <c r="D88" t="str">
        <f t="shared" ref="D88:E107" si="8">D19</f>
        <v>Domestic</v>
      </c>
      <c r="E88" s="63" t="str">
        <f t="shared" si="8"/>
        <v>Domestic</v>
      </c>
      <c r="F88" s="21">
        <f t="shared" ca="1" si="7"/>
        <v>59820406.086879492</v>
      </c>
      <c r="G88" s="26">
        <f ca="1">IF(AND(E88="Indigent",F88&gt;=$G$87),$G$87,IF(AND(E88="Indigent",F88&lt;=$G$87),F88,IF(AND(E88&lt;&gt;"Indigent",E88&lt;&gt;"Domestic"),0,IF(E88="Domestic",($G$87-IFERROR(INDEX($F$88:$F$107,MATCH("Indigent",$E$88:$E$107,0)),0))*(F88/SUMIF($E$88:$E$107,"Domestic",$F$88:$F$107))))))</f>
        <v>15438142.202261301</v>
      </c>
      <c r="H88" s="1434"/>
      <c r="I88" s="70">
        <f ca="1">F88-IF(H88="",G88,H88)</f>
        <v>44382263.884618193</v>
      </c>
      <c r="N88" s="125"/>
    </row>
    <row r="89" spans="3:14" x14ac:dyDescent="0.55000000000000004">
      <c r="C89" s="124"/>
      <c r="D89" t="str">
        <f t="shared" si="8"/>
        <v>Commercial</v>
      </c>
      <c r="E89" s="63" t="str">
        <f t="shared" si="8"/>
        <v>Commercial</v>
      </c>
      <c r="F89" s="21">
        <f t="shared" ca="1" si="7"/>
        <v>5050219.4596145703</v>
      </c>
      <c r="G89" s="26">
        <f t="shared" ref="G89:G107" ca="1" si="9">IF(AND(E89="Indigent",F89&gt;=$G$87),$G$87,IF(AND(E89="Indigent",F89&lt;=$G$87),F89,IF(AND(E89&lt;&gt;"Indigent",E89&lt;&gt;"Domestic"),0,IF(E89="Domestic",($G$87-IFERROR(INDEX($F$88:$F$107,MATCH("Indigent",$E$88:$E$107,0)),0))*(F89/SUMIF($E$88:$E$107,"Domestic",$F$88:$F$107))))))</f>
        <v>0</v>
      </c>
      <c r="H89" s="51"/>
      <c r="I89" s="70">
        <f t="shared" ref="I89:I107" ca="1" si="10">F89-IF(H89="",G89,H89)</f>
        <v>5050219.4596145703</v>
      </c>
      <c r="N89" s="125"/>
    </row>
    <row r="90" spans="3:14" x14ac:dyDescent="0.55000000000000004">
      <c r="C90" s="124"/>
      <c r="D90" t="str">
        <f t="shared" si="8"/>
        <v>Old Age Homes</v>
      </c>
      <c r="E90" s="63" t="str">
        <f t="shared" si="8"/>
        <v>Domestic</v>
      </c>
      <c r="F90" s="21">
        <f t="shared" ca="1" si="7"/>
        <v>106361.49406035194</v>
      </c>
      <c r="G90" s="26">
        <f t="shared" ca="1" si="9"/>
        <v>27449.226402173015</v>
      </c>
      <c r="H90" s="51"/>
      <c r="I90" s="70">
        <f t="shared" ca="1" si="10"/>
        <v>78912.267658178927</v>
      </c>
      <c r="N90" s="125"/>
    </row>
    <row r="91" spans="3:14" x14ac:dyDescent="0.55000000000000004">
      <c r="C91" s="124"/>
      <c r="D91" t="str">
        <f t="shared" si="8"/>
        <v>Safe Houses</v>
      </c>
      <c r="E91" s="63" t="str">
        <f t="shared" si="8"/>
        <v>Domestic</v>
      </c>
      <c r="F91" s="21">
        <f t="shared" ca="1" si="7"/>
        <v>21829.214982944395</v>
      </c>
      <c r="G91" s="26">
        <f t="shared" ca="1" si="9"/>
        <v>5633.5713365266483</v>
      </c>
      <c r="H91" s="51"/>
      <c r="I91" s="70">
        <f t="shared" ca="1" si="10"/>
        <v>16195.643646417746</v>
      </c>
      <c r="N91" s="125"/>
    </row>
    <row r="92" spans="3:14" x14ac:dyDescent="0.55000000000000004">
      <c r="C92" s="124"/>
      <c r="D92" t="str">
        <f t="shared" si="8"/>
        <v>Schools</v>
      </c>
      <c r="E92" s="63" t="str">
        <f t="shared" si="8"/>
        <v xml:space="preserve">Institutional </v>
      </c>
      <c r="F92" s="21">
        <f t="shared" ca="1" si="7"/>
        <v>473476.58958947379</v>
      </c>
      <c r="G92" s="26">
        <f t="shared" ca="1" si="9"/>
        <v>0</v>
      </c>
      <c r="H92" s="51"/>
      <c r="I92" s="70">
        <f t="shared" ca="1" si="10"/>
        <v>473476.58958947379</v>
      </c>
      <c r="N92" s="125"/>
    </row>
    <row r="93" spans="3:14" x14ac:dyDescent="0.55000000000000004">
      <c r="C93" s="124"/>
      <c r="D93" t="str">
        <f t="shared" si="8"/>
        <v>Government</v>
      </c>
      <c r="E93" s="63" t="str">
        <f t="shared" si="8"/>
        <v xml:space="preserve">Institutional </v>
      </c>
      <c r="F93" s="21">
        <f t="shared" ca="1" si="7"/>
        <v>57127.786920128572</v>
      </c>
      <c r="G93" s="26">
        <f t="shared" ca="1" si="9"/>
        <v>0</v>
      </c>
      <c r="H93" s="51"/>
      <c r="I93" s="70">
        <f t="shared" ca="1" si="10"/>
        <v>57127.786920128572</v>
      </c>
      <c r="N93" s="125"/>
    </row>
    <row r="94" spans="3:14" x14ac:dyDescent="0.55000000000000004">
      <c r="C94" s="124"/>
      <c r="D94" t="str">
        <f t="shared" si="8"/>
        <v>Sport Clubs</v>
      </c>
      <c r="E94" s="63" t="str">
        <f t="shared" si="8"/>
        <v xml:space="preserve">Institutional </v>
      </c>
      <c r="F94" s="21">
        <f t="shared" ca="1" si="7"/>
        <v>34774.802120940491</v>
      </c>
      <c r="G94" s="26">
        <f t="shared" ca="1" si="9"/>
        <v>0</v>
      </c>
      <c r="H94" s="51"/>
      <c r="I94" s="70">
        <f t="shared" ca="1" si="10"/>
        <v>34774.802120940491</v>
      </c>
      <c r="N94" s="125"/>
    </row>
    <row r="95" spans="3:14" x14ac:dyDescent="0.55000000000000004">
      <c r="C95" s="124"/>
      <c r="D95" t="str">
        <f t="shared" si="8"/>
        <v>Churches</v>
      </c>
      <c r="E95" s="63" t="str">
        <f t="shared" si="8"/>
        <v xml:space="preserve">Institutional </v>
      </c>
      <c r="F95" s="21">
        <f t="shared" ca="1" si="7"/>
        <v>257075.0411405786</v>
      </c>
      <c r="G95" s="26">
        <f t="shared" ca="1" si="9"/>
        <v>0</v>
      </c>
      <c r="H95" s="51"/>
      <c r="I95" s="70">
        <f t="shared" ca="1" si="10"/>
        <v>257075.0411405786</v>
      </c>
      <c r="N95" s="125"/>
    </row>
    <row r="96" spans="3:14" x14ac:dyDescent="0.55000000000000004">
      <c r="C96" s="124"/>
      <c r="D96" t="str">
        <f t="shared" si="8"/>
        <v>Agricultural</v>
      </c>
      <c r="E96" s="63" t="str">
        <f t="shared" si="8"/>
        <v>Commercial</v>
      </c>
      <c r="F96" s="21">
        <f t="shared" ca="1" si="7"/>
        <v>120295.77469153232</v>
      </c>
      <c r="G96" s="26">
        <f t="shared" ca="1" si="9"/>
        <v>0</v>
      </c>
      <c r="H96" s="51"/>
      <c r="I96" s="70">
        <f t="shared" ca="1" si="10"/>
        <v>120295.77469153232</v>
      </c>
      <c r="N96" s="125"/>
    </row>
    <row r="97" spans="3:14" x14ac:dyDescent="0.55000000000000004">
      <c r="C97" s="124"/>
      <c r="D97">
        <f t="shared" si="8"/>
        <v>0</v>
      </c>
      <c r="E97" s="63">
        <f t="shared" si="8"/>
        <v>0</v>
      </c>
      <c r="F97" s="21">
        <f t="shared" ca="1" si="7"/>
        <v>0</v>
      </c>
      <c r="G97" s="26">
        <f t="shared" ca="1" si="9"/>
        <v>0</v>
      </c>
      <c r="H97" s="51"/>
      <c r="I97" s="70">
        <f t="shared" ca="1" si="10"/>
        <v>0</v>
      </c>
      <c r="N97" s="125"/>
    </row>
    <row r="98" spans="3:14" x14ac:dyDescent="0.55000000000000004">
      <c r="C98" s="124"/>
      <c r="D98">
        <f t="shared" si="8"/>
        <v>0</v>
      </c>
      <c r="E98" s="63">
        <f t="shared" si="8"/>
        <v>0</v>
      </c>
      <c r="F98" s="21">
        <f t="shared" ca="1" si="7"/>
        <v>0</v>
      </c>
      <c r="G98" s="26">
        <f t="shared" ca="1" si="9"/>
        <v>0</v>
      </c>
      <c r="H98" s="51"/>
      <c r="I98" s="70">
        <f t="shared" ca="1" si="10"/>
        <v>0</v>
      </c>
      <c r="N98" s="125"/>
    </row>
    <row r="99" spans="3:14" x14ac:dyDescent="0.55000000000000004">
      <c r="C99" s="124"/>
      <c r="D99">
        <f t="shared" si="8"/>
        <v>0</v>
      </c>
      <c r="E99" s="63">
        <f t="shared" si="8"/>
        <v>0</v>
      </c>
      <c r="F99" s="21">
        <f t="shared" ca="1" si="7"/>
        <v>0</v>
      </c>
      <c r="G99" s="26">
        <f t="shared" ca="1" si="9"/>
        <v>0</v>
      </c>
      <c r="H99" s="51"/>
      <c r="I99" s="70">
        <f t="shared" ca="1" si="10"/>
        <v>0</v>
      </c>
      <c r="N99" s="125"/>
    </row>
    <row r="100" spans="3:14" x14ac:dyDescent="0.55000000000000004">
      <c r="C100" s="124"/>
      <c r="D100">
        <f t="shared" si="8"/>
        <v>0</v>
      </c>
      <c r="E100" s="63">
        <f t="shared" si="8"/>
        <v>0</v>
      </c>
      <c r="F100" s="21">
        <f t="shared" ca="1" si="7"/>
        <v>0</v>
      </c>
      <c r="G100" s="26">
        <f t="shared" ca="1" si="9"/>
        <v>0</v>
      </c>
      <c r="H100" s="51"/>
      <c r="I100" s="70">
        <f t="shared" ca="1" si="10"/>
        <v>0</v>
      </c>
      <c r="N100" s="125"/>
    </row>
    <row r="101" spans="3:14" x14ac:dyDescent="0.55000000000000004">
      <c r="C101" s="124"/>
      <c r="D101">
        <f t="shared" si="8"/>
        <v>0</v>
      </c>
      <c r="E101" s="63">
        <f t="shared" si="8"/>
        <v>0</v>
      </c>
      <c r="F101" s="21">
        <f t="shared" ca="1" si="7"/>
        <v>0</v>
      </c>
      <c r="G101" s="26">
        <f t="shared" ca="1" si="9"/>
        <v>0</v>
      </c>
      <c r="H101" s="51"/>
      <c r="I101" s="70">
        <f t="shared" ca="1" si="10"/>
        <v>0</v>
      </c>
      <c r="N101" s="125"/>
    </row>
    <row r="102" spans="3:14" x14ac:dyDescent="0.55000000000000004">
      <c r="C102" s="124"/>
      <c r="D102">
        <f t="shared" si="8"/>
        <v>0</v>
      </c>
      <c r="E102" s="63">
        <f t="shared" si="8"/>
        <v>0</v>
      </c>
      <c r="F102" s="21">
        <f t="shared" ca="1" si="7"/>
        <v>0</v>
      </c>
      <c r="G102" s="26">
        <f t="shared" ca="1" si="9"/>
        <v>0</v>
      </c>
      <c r="H102" s="51"/>
      <c r="I102" s="70">
        <f t="shared" ca="1" si="10"/>
        <v>0</v>
      </c>
      <c r="N102" s="125"/>
    </row>
    <row r="103" spans="3:14" x14ac:dyDescent="0.55000000000000004">
      <c r="C103" s="124"/>
      <c r="D103">
        <f t="shared" si="8"/>
        <v>0</v>
      </c>
      <c r="E103" s="63">
        <f t="shared" si="8"/>
        <v>0</v>
      </c>
      <c r="F103" s="21">
        <f t="shared" ca="1" si="7"/>
        <v>0</v>
      </c>
      <c r="G103" s="26">
        <f t="shared" ca="1" si="9"/>
        <v>0</v>
      </c>
      <c r="H103" s="51"/>
      <c r="I103" s="70">
        <f t="shared" ca="1" si="10"/>
        <v>0</v>
      </c>
      <c r="N103" s="125"/>
    </row>
    <row r="104" spans="3:14" x14ac:dyDescent="0.55000000000000004">
      <c r="C104" s="124"/>
      <c r="D104">
        <f t="shared" si="8"/>
        <v>0</v>
      </c>
      <c r="E104" s="63">
        <f t="shared" si="8"/>
        <v>0</v>
      </c>
      <c r="F104" s="21">
        <f t="shared" ca="1" si="7"/>
        <v>0</v>
      </c>
      <c r="G104" s="26">
        <f t="shared" ca="1" si="9"/>
        <v>0</v>
      </c>
      <c r="H104" s="51"/>
      <c r="I104" s="70">
        <f t="shared" ca="1" si="10"/>
        <v>0</v>
      </c>
      <c r="N104" s="125"/>
    </row>
    <row r="105" spans="3:14" x14ac:dyDescent="0.55000000000000004">
      <c r="C105" s="124"/>
      <c r="D105">
        <f t="shared" si="8"/>
        <v>0</v>
      </c>
      <c r="E105" s="63">
        <f t="shared" si="8"/>
        <v>0</v>
      </c>
      <c r="F105" s="21">
        <f t="shared" ca="1" si="7"/>
        <v>0</v>
      </c>
      <c r="G105" s="26">
        <f t="shared" ca="1" si="9"/>
        <v>0</v>
      </c>
      <c r="H105" s="51"/>
      <c r="I105" s="70">
        <f t="shared" ca="1" si="10"/>
        <v>0</v>
      </c>
      <c r="N105" s="125"/>
    </row>
    <row r="106" spans="3:14" x14ac:dyDescent="0.55000000000000004">
      <c r="C106" s="124"/>
      <c r="D106">
        <f t="shared" si="8"/>
        <v>0</v>
      </c>
      <c r="E106" s="63">
        <f t="shared" si="8"/>
        <v>0</v>
      </c>
      <c r="F106" s="21">
        <f t="shared" ca="1" si="7"/>
        <v>0</v>
      </c>
      <c r="G106" s="26">
        <f t="shared" ca="1" si="9"/>
        <v>0</v>
      </c>
      <c r="H106" s="51"/>
      <c r="I106" s="70">
        <f t="shared" ca="1" si="10"/>
        <v>0</v>
      </c>
      <c r="N106" s="125"/>
    </row>
    <row r="107" spans="3:14" x14ac:dyDescent="0.55000000000000004">
      <c r="C107" s="124"/>
      <c r="D107">
        <f t="shared" si="8"/>
        <v>0</v>
      </c>
      <c r="E107" s="63">
        <f t="shared" si="8"/>
        <v>0</v>
      </c>
      <c r="F107" s="21">
        <f t="shared" ca="1" si="7"/>
        <v>0</v>
      </c>
      <c r="G107" s="26">
        <f t="shared" ca="1" si="9"/>
        <v>0</v>
      </c>
      <c r="H107" s="51"/>
      <c r="I107" s="70">
        <f t="shared" ca="1" si="10"/>
        <v>0</v>
      </c>
      <c r="N107" s="125"/>
    </row>
    <row r="108" spans="3:14" x14ac:dyDescent="0.55000000000000004">
      <c r="C108" s="124"/>
      <c r="D108" s="55" t="s">
        <v>535</v>
      </c>
      <c r="F108" s="54">
        <f ca="1">SUM(F88:F107)-F87</f>
        <v>0</v>
      </c>
      <c r="G108" s="54">
        <f ca="1">SUM(G88:G107)-G87</f>
        <v>0</v>
      </c>
      <c r="H108" s="69" t="str">
        <f>IF(SUM(H88:H107)=0,"",H87-G87)</f>
        <v/>
      </c>
      <c r="I108" s="54">
        <f ca="1">SUM(I88:I107)-I87</f>
        <v>0</v>
      </c>
      <c r="N108" s="125"/>
    </row>
    <row r="109" spans="3:14" ht="14.7" thickBot="1" x14ac:dyDescent="0.6">
      <c r="C109" s="130"/>
      <c r="D109" s="131"/>
      <c r="E109" s="131"/>
      <c r="F109" s="131"/>
      <c r="G109" s="131"/>
      <c r="H109" s="131"/>
      <c r="I109" s="131"/>
      <c r="J109" s="131"/>
      <c r="K109" s="131"/>
      <c r="L109" s="131"/>
      <c r="M109" s="131"/>
      <c r="N109" s="132"/>
    </row>
    <row r="110" spans="3:14" ht="14.7" thickBot="1" x14ac:dyDescent="0.6"/>
    <row r="111" spans="3:14" x14ac:dyDescent="0.55000000000000004">
      <c r="C111" s="121"/>
      <c r="D111" s="122"/>
      <c r="E111" s="122"/>
      <c r="F111" s="122"/>
      <c r="G111" s="122"/>
      <c r="H111" s="122"/>
      <c r="I111" s="122"/>
      <c r="J111" s="122"/>
      <c r="K111" s="122"/>
      <c r="L111" s="122"/>
      <c r="M111" s="122"/>
      <c r="N111" s="123"/>
    </row>
    <row r="112" spans="3:14" x14ac:dyDescent="0.55000000000000004">
      <c r="C112" s="124"/>
      <c r="D112" s="248" t="s">
        <v>276</v>
      </c>
      <c r="N112" s="125"/>
    </row>
    <row r="113" spans="3:14" ht="5.55" customHeight="1" x14ac:dyDescent="0.55000000000000004">
      <c r="C113" s="124"/>
      <c r="D113" s="248"/>
      <c r="N113" s="125"/>
    </row>
    <row r="114" spans="3:14" ht="14.55" customHeight="1" x14ac:dyDescent="0.55000000000000004">
      <c r="C114" s="124"/>
      <c r="D114" s="1816" t="s">
        <v>543</v>
      </c>
      <c r="E114" s="1816"/>
      <c r="F114" s="1816"/>
      <c r="G114" s="1816"/>
      <c r="H114" s="1816"/>
      <c r="I114" s="1816"/>
      <c r="J114" s="1816"/>
      <c r="K114" s="1816"/>
      <c r="L114" s="1816"/>
      <c r="M114" s="203"/>
      <c r="N114" s="265"/>
    </row>
    <row r="115" spans="3:14" ht="30.6" customHeight="1" x14ac:dyDescent="0.55000000000000004">
      <c r="C115" s="124"/>
      <c r="D115" s="1816"/>
      <c r="E115" s="1816"/>
      <c r="F115" s="1816"/>
      <c r="G115" s="1816"/>
      <c r="H115" s="1816"/>
      <c r="I115" s="1816"/>
      <c r="J115" s="1816"/>
      <c r="K115" s="1816"/>
      <c r="L115" s="1816"/>
      <c r="M115" s="203"/>
      <c r="N115" s="265"/>
    </row>
    <row r="116" spans="3:14" ht="4.95" customHeight="1" x14ac:dyDescent="0.55000000000000004">
      <c r="C116" s="124"/>
      <c r="N116" s="125"/>
    </row>
    <row r="117" spans="3:14" x14ac:dyDescent="0.55000000000000004">
      <c r="C117" s="124"/>
      <c r="D117" s="1804" t="s">
        <v>537</v>
      </c>
      <c r="E117" s="1804"/>
      <c r="F117" s="1804"/>
      <c r="G117" s="1804"/>
      <c r="H117" s="1804"/>
      <c r="I117" s="1804"/>
      <c r="J117" s="1804"/>
      <c r="K117" s="1804"/>
      <c r="L117" s="1804"/>
      <c r="N117" s="125"/>
    </row>
    <row r="118" spans="3:14" x14ac:dyDescent="0.55000000000000004">
      <c r="C118" s="124"/>
      <c r="D118" s="1804"/>
      <c r="E118" s="1804"/>
      <c r="F118" s="1804"/>
      <c r="G118" s="1804"/>
      <c r="H118" s="1804"/>
      <c r="I118" s="1804"/>
      <c r="J118" s="1804"/>
      <c r="K118" s="1804"/>
      <c r="L118" s="1804"/>
      <c r="N118" s="125"/>
    </row>
    <row r="119" spans="3:14" x14ac:dyDescent="0.55000000000000004">
      <c r="C119" s="124"/>
      <c r="N119" s="125"/>
    </row>
    <row r="120" spans="3:14" ht="103.2" customHeight="1" x14ac:dyDescent="0.55000000000000004">
      <c r="C120" s="124"/>
      <c r="D120" s="62" t="s">
        <v>283</v>
      </c>
      <c r="E120" s="56" t="s">
        <v>312</v>
      </c>
      <c r="F120" s="56" t="s">
        <v>280</v>
      </c>
      <c r="G120" s="166" t="s">
        <v>316</v>
      </c>
      <c r="H120" s="165" t="s">
        <v>317</v>
      </c>
      <c r="I120" s="166" t="s">
        <v>318</v>
      </c>
      <c r="J120" s="165" t="s">
        <v>319</v>
      </c>
      <c r="K120" s="56" t="s">
        <v>309</v>
      </c>
      <c r="N120" s="125"/>
    </row>
    <row r="121" spans="3:14" x14ac:dyDescent="0.55000000000000004">
      <c r="C121" s="124"/>
      <c r="D121" s="238"/>
      <c r="E121" s="63"/>
      <c r="F121" s="17">
        <f ca="1">SUM(F122:F141)</f>
        <v>50470341.250000015</v>
      </c>
      <c r="G121" s="72">
        <f ca="1">Surplus!G64</f>
        <v>0</v>
      </c>
      <c r="H121" s="17">
        <f>SUM(H122:H141)</f>
        <v>0</v>
      </c>
      <c r="I121" s="73">
        <f ca="1">Surplus!G65</f>
        <v>0</v>
      </c>
      <c r="J121" s="20">
        <f>SUM(J122:J141)</f>
        <v>0</v>
      </c>
      <c r="K121" s="20">
        <f ca="1">SUM(K122:K141)</f>
        <v>50470341.250000015</v>
      </c>
      <c r="N121" s="125"/>
    </row>
    <row r="122" spans="3:14" x14ac:dyDescent="0.55000000000000004">
      <c r="C122" s="124"/>
      <c r="D122" t="str">
        <f t="shared" ref="D122:E141" si="11">D19</f>
        <v>Domestic</v>
      </c>
      <c r="E122" s="63" t="str">
        <f t="shared" si="11"/>
        <v>Domestic</v>
      </c>
      <c r="F122" s="21">
        <f t="shared" ref="F122:F141" ca="1" si="12">I88</f>
        <v>44382263.884618193</v>
      </c>
      <c r="G122" s="26">
        <f ca="1">IF(AND(E122="Indigent",F122&gt;=$G$121),$G$121,IF(AND(E122="Indigent",F122&lt;=$G$121),F122,IF(AND(E122&lt;&gt;"Indigent",E122&lt;&gt;"Domestic"),0,IF(E122="Domestic",($G$121-IFERROR(INDEX($F$122:$F$141,MATCH("Indigent",$E$122:$E$141,0)),0))*(F122/SUMIF($E$122:$E$141,"Domestic",$F$122:$F$141))))))</f>
        <v>0</v>
      </c>
      <c r="H122" s="76"/>
      <c r="I122" s="21">
        <f ca="1">IF(E122&lt;&gt;"Indigent",$I$121*(F122/SUMIF($E$122:$E$141,"&lt;&gt;Indigent",$F$122:$F$141)),0)</f>
        <v>0</v>
      </c>
      <c r="J122" s="76"/>
      <c r="K122" s="21">
        <f t="shared" ref="K122:K141" ca="1" si="13">F122-IF(H122="",G122,H122)+IF(J122="",I122,J122)</f>
        <v>44382263.884618193</v>
      </c>
      <c r="N122" s="125"/>
    </row>
    <row r="123" spans="3:14" x14ac:dyDescent="0.55000000000000004">
      <c r="C123" s="124"/>
      <c r="D123" t="str">
        <f t="shared" si="11"/>
        <v>Commercial</v>
      </c>
      <c r="E123" s="63" t="str">
        <f t="shared" si="11"/>
        <v>Commercial</v>
      </c>
      <c r="F123" s="21">
        <f t="shared" ca="1" si="12"/>
        <v>5050219.4596145703</v>
      </c>
      <c r="G123" s="26">
        <f t="shared" ref="G123:G141" ca="1" si="14">IF(AND(E123="Indigent",F123&gt;=$G$121),$G$121,IF(AND(E123="Indigent",F123&lt;=$G$121),F123,IF(AND(E123&lt;&gt;"Indigent",E123&lt;&gt;"Domestic"),0,IF(E123="Domestic",($G$121-IFERROR(INDEX($F$122:$F$141,MATCH("Indigent",$E$122:$E$141,0)),0))*(F123/SUMIF($E$122:$E$141,"Domestic",$F$122:$F$141))))))</f>
        <v>0</v>
      </c>
      <c r="H123" s="76"/>
      <c r="I123" s="21">
        <f t="shared" ref="I123:I141" ca="1" si="15">IF(E123&lt;&gt;"Indigent",$I$121*(F123/SUMIF($E$122:$E$141,"&lt;&gt;Indigent",$F$122:$F$141)),0)</f>
        <v>0</v>
      </c>
      <c r="J123" s="76"/>
      <c r="K123" s="21">
        <f t="shared" ca="1" si="13"/>
        <v>5050219.4596145703</v>
      </c>
      <c r="N123" s="125"/>
    </row>
    <row r="124" spans="3:14" x14ac:dyDescent="0.55000000000000004">
      <c r="C124" s="124"/>
      <c r="D124" t="str">
        <f t="shared" si="11"/>
        <v>Old Age Homes</v>
      </c>
      <c r="E124" s="63" t="str">
        <f t="shared" si="11"/>
        <v>Domestic</v>
      </c>
      <c r="F124" s="21">
        <f t="shared" ca="1" si="12"/>
        <v>78912.267658178927</v>
      </c>
      <c r="G124" s="26">
        <f t="shared" ca="1" si="14"/>
        <v>0</v>
      </c>
      <c r="H124" s="76"/>
      <c r="I124" s="21">
        <f t="shared" ca="1" si="15"/>
        <v>0</v>
      </c>
      <c r="J124" s="76"/>
      <c r="K124" s="21">
        <f t="shared" ca="1" si="13"/>
        <v>78912.267658178927</v>
      </c>
      <c r="N124" s="125"/>
    </row>
    <row r="125" spans="3:14" x14ac:dyDescent="0.55000000000000004">
      <c r="C125" s="124"/>
      <c r="D125" t="str">
        <f t="shared" si="11"/>
        <v>Safe Houses</v>
      </c>
      <c r="E125" s="63" t="str">
        <f t="shared" si="11"/>
        <v>Domestic</v>
      </c>
      <c r="F125" s="21">
        <f t="shared" ca="1" si="12"/>
        <v>16195.643646417746</v>
      </c>
      <c r="G125" s="26">
        <f t="shared" ca="1" si="14"/>
        <v>0</v>
      </c>
      <c r="H125" s="76"/>
      <c r="I125" s="21">
        <f t="shared" ca="1" si="15"/>
        <v>0</v>
      </c>
      <c r="J125" s="76"/>
      <c r="K125" s="21">
        <f t="shared" ca="1" si="13"/>
        <v>16195.643646417746</v>
      </c>
      <c r="N125" s="125"/>
    </row>
    <row r="126" spans="3:14" x14ac:dyDescent="0.55000000000000004">
      <c r="C126" s="124"/>
      <c r="D126" t="str">
        <f t="shared" si="11"/>
        <v>Schools</v>
      </c>
      <c r="E126" s="63" t="str">
        <f t="shared" si="11"/>
        <v xml:space="preserve">Institutional </v>
      </c>
      <c r="F126" s="21">
        <f t="shared" ca="1" si="12"/>
        <v>473476.58958947379</v>
      </c>
      <c r="G126" s="26">
        <f t="shared" ca="1" si="14"/>
        <v>0</v>
      </c>
      <c r="H126" s="76"/>
      <c r="I126" s="21">
        <f t="shared" ca="1" si="15"/>
        <v>0</v>
      </c>
      <c r="J126" s="76"/>
      <c r="K126" s="21">
        <f t="shared" ca="1" si="13"/>
        <v>473476.58958947379</v>
      </c>
      <c r="N126" s="125"/>
    </row>
    <row r="127" spans="3:14" x14ac:dyDescent="0.55000000000000004">
      <c r="C127" s="124"/>
      <c r="D127" t="str">
        <f t="shared" si="11"/>
        <v>Government</v>
      </c>
      <c r="E127" s="63" t="str">
        <f t="shared" si="11"/>
        <v xml:space="preserve">Institutional </v>
      </c>
      <c r="F127" s="21">
        <f t="shared" ca="1" si="12"/>
        <v>57127.786920128572</v>
      </c>
      <c r="G127" s="26">
        <f t="shared" ca="1" si="14"/>
        <v>0</v>
      </c>
      <c r="H127" s="76"/>
      <c r="I127" s="21">
        <f t="shared" ca="1" si="15"/>
        <v>0</v>
      </c>
      <c r="J127" s="76"/>
      <c r="K127" s="21">
        <f t="shared" ca="1" si="13"/>
        <v>57127.786920128572</v>
      </c>
      <c r="N127" s="125"/>
    </row>
    <row r="128" spans="3:14" x14ac:dyDescent="0.55000000000000004">
      <c r="C128" s="124"/>
      <c r="D128" t="str">
        <f t="shared" si="11"/>
        <v>Sport Clubs</v>
      </c>
      <c r="E128" s="63" t="str">
        <f t="shared" si="11"/>
        <v xml:space="preserve">Institutional </v>
      </c>
      <c r="F128" s="21">
        <f t="shared" ca="1" si="12"/>
        <v>34774.802120940491</v>
      </c>
      <c r="G128" s="26">
        <f t="shared" ca="1" si="14"/>
        <v>0</v>
      </c>
      <c r="H128" s="76"/>
      <c r="I128" s="21">
        <f t="shared" ca="1" si="15"/>
        <v>0</v>
      </c>
      <c r="J128" s="76"/>
      <c r="K128" s="21">
        <f t="shared" ca="1" si="13"/>
        <v>34774.802120940491</v>
      </c>
      <c r="N128" s="125"/>
    </row>
    <row r="129" spans="3:14" x14ac:dyDescent="0.55000000000000004">
      <c r="C129" s="124"/>
      <c r="D129" t="str">
        <f t="shared" si="11"/>
        <v>Churches</v>
      </c>
      <c r="E129" s="63" t="str">
        <f t="shared" si="11"/>
        <v xml:space="preserve">Institutional </v>
      </c>
      <c r="F129" s="21">
        <f t="shared" ca="1" si="12"/>
        <v>257075.0411405786</v>
      </c>
      <c r="G129" s="26">
        <f t="shared" ca="1" si="14"/>
        <v>0</v>
      </c>
      <c r="H129" s="76"/>
      <c r="I129" s="21">
        <f t="shared" ca="1" si="15"/>
        <v>0</v>
      </c>
      <c r="J129" s="76"/>
      <c r="K129" s="21">
        <f t="shared" ca="1" si="13"/>
        <v>257075.0411405786</v>
      </c>
      <c r="N129" s="125"/>
    </row>
    <row r="130" spans="3:14" x14ac:dyDescent="0.55000000000000004">
      <c r="C130" s="124"/>
      <c r="D130" t="str">
        <f t="shared" si="11"/>
        <v>Agricultural</v>
      </c>
      <c r="E130" s="63" t="str">
        <f t="shared" si="11"/>
        <v>Commercial</v>
      </c>
      <c r="F130" s="21">
        <f t="shared" ca="1" si="12"/>
        <v>120295.77469153232</v>
      </c>
      <c r="G130" s="26">
        <f t="shared" ca="1" si="14"/>
        <v>0</v>
      </c>
      <c r="H130" s="76"/>
      <c r="I130" s="21">
        <f t="shared" ca="1" si="15"/>
        <v>0</v>
      </c>
      <c r="J130" s="76"/>
      <c r="K130" s="21">
        <f t="shared" ca="1" si="13"/>
        <v>120295.77469153232</v>
      </c>
      <c r="N130" s="125"/>
    </row>
    <row r="131" spans="3:14" x14ac:dyDescent="0.55000000000000004">
      <c r="C131" s="124"/>
      <c r="D131">
        <f t="shared" si="11"/>
        <v>0</v>
      </c>
      <c r="E131" s="63">
        <f t="shared" si="11"/>
        <v>0</v>
      </c>
      <c r="F131" s="21">
        <f t="shared" ca="1" si="12"/>
        <v>0</v>
      </c>
      <c r="G131" s="26">
        <f t="shared" ca="1" si="14"/>
        <v>0</v>
      </c>
      <c r="H131" s="76"/>
      <c r="I131" s="21">
        <f t="shared" ca="1" si="15"/>
        <v>0</v>
      </c>
      <c r="J131" s="76"/>
      <c r="K131" s="21">
        <f t="shared" ca="1" si="13"/>
        <v>0</v>
      </c>
      <c r="N131" s="125"/>
    </row>
    <row r="132" spans="3:14" x14ac:dyDescent="0.55000000000000004">
      <c r="C132" s="124"/>
      <c r="D132">
        <f t="shared" si="11"/>
        <v>0</v>
      </c>
      <c r="E132" s="63">
        <f t="shared" si="11"/>
        <v>0</v>
      </c>
      <c r="F132" s="21">
        <f t="shared" ca="1" si="12"/>
        <v>0</v>
      </c>
      <c r="G132" s="26">
        <f t="shared" ca="1" si="14"/>
        <v>0</v>
      </c>
      <c r="H132" s="76"/>
      <c r="I132" s="21">
        <f t="shared" ca="1" si="15"/>
        <v>0</v>
      </c>
      <c r="J132" s="76"/>
      <c r="K132" s="21">
        <f t="shared" ca="1" si="13"/>
        <v>0</v>
      </c>
      <c r="N132" s="125"/>
    </row>
    <row r="133" spans="3:14" x14ac:dyDescent="0.55000000000000004">
      <c r="C133" s="124"/>
      <c r="D133">
        <f t="shared" si="11"/>
        <v>0</v>
      </c>
      <c r="E133" s="63">
        <f t="shared" si="11"/>
        <v>0</v>
      </c>
      <c r="F133" s="21">
        <f t="shared" ca="1" si="12"/>
        <v>0</v>
      </c>
      <c r="G133" s="26">
        <f t="shared" ca="1" si="14"/>
        <v>0</v>
      </c>
      <c r="H133" s="76"/>
      <c r="I133" s="21">
        <f t="shared" ca="1" si="15"/>
        <v>0</v>
      </c>
      <c r="J133" s="76"/>
      <c r="K133" s="21">
        <f t="shared" ca="1" si="13"/>
        <v>0</v>
      </c>
      <c r="N133" s="125"/>
    </row>
    <row r="134" spans="3:14" x14ac:dyDescent="0.55000000000000004">
      <c r="C134" s="124"/>
      <c r="D134">
        <f t="shared" si="11"/>
        <v>0</v>
      </c>
      <c r="E134" s="63">
        <f t="shared" si="11"/>
        <v>0</v>
      </c>
      <c r="F134" s="21">
        <f t="shared" ca="1" si="12"/>
        <v>0</v>
      </c>
      <c r="G134" s="26">
        <f t="shared" ca="1" si="14"/>
        <v>0</v>
      </c>
      <c r="H134" s="76"/>
      <c r="I134" s="21">
        <f t="shared" ca="1" si="15"/>
        <v>0</v>
      </c>
      <c r="J134" s="76"/>
      <c r="K134" s="21">
        <f t="shared" ca="1" si="13"/>
        <v>0</v>
      </c>
      <c r="N134" s="125"/>
    </row>
    <row r="135" spans="3:14" x14ac:dyDescent="0.55000000000000004">
      <c r="C135" s="124"/>
      <c r="D135">
        <f t="shared" si="11"/>
        <v>0</v>
      </c>
      <c r="E135" s="63">
        <f t="shared" si="11"/>
        <v>0</v>
      </c>
      <c r="F135" s="21">
        <f t="shared" ca="1" si="12"/>
        <v>0</v>
      </c>
      <c r="G135" s="26">
        <f t="shared" ca="1" si="14"/>
        <v>0</v>
      </c>
      <c r="H135" s="76"/>
      <c r="I135" s="21">
        <f t="shared" ca="1" si="15"/>
        <v>0</v>
      </c>
      <c r="J135" s="76"/>
      <c r="K135" s="21">
        <f t="shared" ca="1" si="13"/>
        <v>0</v>
      </c>
      <c r="N135" s="125"/>
    </row>
    <row r="136" spans="3:14" x14ac:dyDescent="0.55000000000000004">
      <c r="C136" s="124"/>
      <c r="D136">
        <f t="shared" si="11"/>
        <v>0</v>
      </c>
      <c r="E136" s="63">
        <f t="shared" si="11"/>
        <v>0</v>
      </c>
      <c r="F136" s="21">
        <f t="shared" ca="1" si="12"/>
        <v>0</v>
      </c>
      <c r="G136" s="26">
        <f t="shared" ca="1" si="14"/>
        <v>0</v>
      </c>
      <c r="H136" s="76"/>
      <c r="I136" s="21">
        <f t="shared" ca="1" si="15"/>
        <v>0</v>
      </c>
      <c r="J136" s="76"/>
      <c r="K136" s="21">
        <f t="shared" ca="1" si="13"/>
        <v>0</v>
      </c>
      <c r="N136" s="125"/>
    </row>
    <row r="137" spans="3:14" x14ac:dyDescent="0.55000000000000004">
      <c r="C137" s="124"/>
      <c r="D137">
        <f t="shared" si="11"/>
        <v>0</v>
      </c>
      <c r="E137" s="63">
        <f t="shared" si="11"/>
        <v>0</v>
      </c>
      <c r="F137" s="21">
        <f t="shared" ca="1" si="12"/>
        <v>0</v>
      </c>
      <c r="G137" s="26">
        <f t="shared" ca="1" si="14"/>
        <v>0</v>
      </c>
      <c r="H137" s="76"/>
      <c r="I137" s="21">
        <f t="shared" ca="1" si="15"/>
        <v>0</v>
      </c>
      <c r="J137" s="76"/>
      <c r="K137" s="21">
        <f t="shared" ca="1" si="13"/>
        <v>0</v>
      </c>
      <c r="N137" s="125"/>
    </row>
    <row r="138" spans="3:14" x14ac:dyDescent="0.55000000000000004">
      <c r="C138" s="124"/>
      <c r="D138">
        <f t="shared" si="11"/>
        <v>0</v>
      </c>
      <c r="E138" s="63">
        <f t="shared" si="11"/>
        <v>0</v>
      </c>
      <c r="F138" s="21">
        <f t="shared" ca="1" si="12"/>
        <v>0</v>
      </c>
      <c r="G138" s="26">
        <f t="shared" ca="1" si="14"/>
        <v>0</v>
      </c>
      <c r="H138" s="76"/>
      <c r="I138" s="21">
        <f t="shared" ca="1" si="15"/>
        <v>0</v>
      </c>
      <c r="J138" s="76"/>
      <c r="K138" s="21">
        <f t="shared" ca="1" si="13"/>
        <v>0</v>
      </c>
      <c r="N138" s="125"/>
    </row>
    <row r="139" spans="3:14" x14ac:dyDescent="0.55000000000000004">
      <c r="C139" s="124"/>
      <c r="D139">
        <f t="shared" si="11"/>
        <v>0</v>
      </c>
      <c r="E139" s="63">
        <f t="shared" si="11"/>
        <v>0</v>
      </c>
      <c r="F139" s="21">
        <f t="shared" ca="1" si="12"/>
        <v>0</v>
      </c>
      <c r="G139" s="26">
        <f t="shared" ca="1" si="14"/>
        <v>0</v>
      </c>
      <c r="H139" s="76"/>
      <c r="I139" s="21">
        <f t="shared" ca="1" si="15"/>
        <v>0</v>
      </c>
      <c r="J139" s="76"/>
      <c r="K139" s="21">
        <f t="shared" ca="1" si="13"/>
        <v>0</v>
      </c>
      <c r="N139" s="125"/>
    </row>
    <row r="140" spans="3:14" x14ac:dyDescent="0.55000000000000004">
      <c r="C140" s="124"/>
      <c r="D140">
        <f t="shared" si="11"/>
        <v>0</v>
      </c>
      <c r="E140" s="63">
        <f t="shared" si="11"/>
        <v>0</v>
      </c>
      <c r="F140" s="21">
        <f t="shared" ca="1" si="12"/>
        <v>0</v>
      </c>
      <c r="G140" s="26">
        <f t="shared" ca="1" si="14"/>
        <v>0</v>
      </c>
      <c r="H140" s="76"/>
      <c r="I140" s="21">
        <f t="shared" ca="1" si="15"/>
        <v>0</v>
      </c>
      <c r="J140" s="76"/>
      <c r="K140" s="21">
        <f t="shared" ca="1" si="13"/>
        <v>0</v>
      </c>
      <c r="N140" s="125"/>
    </row>
    <row r="141" spans="3:14" x14ac:dyDescent="0.55000000000000004">
      <c r="C141" s="124"/>
      <c r="D141">
        <f t="shared" si="11"/>
        <v>0</v>
      </c>
      <c r="E141" s="63">
        <f t="shared" si="11"/>
        <v>0</v>
      </c>
      <c r="F141" s="21">
        <f t="shared" ca="1" si="12"/>
        <v>0</v>
      </c>
      <c r="G141" s="26">
        <f t="shared" ca="1" si="14"/>
        <v>0</v>
      </c>
      <c r="H141" s="76"/>
      <c r="I141" s="21">
        <f t="shared" ca="1" si="15"/>
        <v>0</v>
      </c>
      <c r="J141" s="76"/>
      <c r="K141" s="21">
        <f t="shared" ca="1" si="13"/>
        <v>0</v>
      </c>
      <c r="N141" s="125"/>
    </row>
    <row r="142" spans="3:14" x14ac:dyDescent="0.55000000000000004">
      <c r="C142" s="124"/>
      <c r="D142" s="55" t="s">
        <v>535</v>
      </c>
      <c r="E142" s="133"/>
      <c r="F142" s="54">
        <f ca="1">SUM(F122:F141)-F121</f>
        <v>0</v>
      </c>
      <c r="G142" s="54">
        <f ca="1">SUM(G122:G141)-G121</f>
        <v>0</v>
      </c>
      <c r="H142" s="69" t="str">
        <f>IF(SUM(H122:H141)=0,"",H121-G121)</f>
        <v/>
      </c>
      <c r="I142" s="54">
        <f ca="1">SUM(I122:I141)-I121</f>
        <v>0</v>
      </c>
      <c r="J142" s="69" t="str">
        <f>IF(SUM(J122:J141)=0,"",J121-I121)</f>
        <v/>
      </c>
      <c r="K142" s="54">
        <f ca="1">SUM(K122:K141)-K121</f>
        <v>0</v>
      </c>
      <c r="N142" s="125"/>
    </row>
    <row r="143" spans="3:14" ht="14.7" thickBot="1" x14ac:dyDescent="0.6">
      <c r="C143" s="130"/>
      <c r="D143" s="131"/>
      <c r="E143" s="131"/>
      <c r="F143" s="131"/>
      <c r="G143" s="131"/>
      <c r="H143" s="131"/>
      <c r="I143" s="131"/>
      <c r="J143" s="131"/>
      <c r="K143" s="131"/>
      <c r="L143" s="131"/>
      <c r="M143" s="131"/>
      <c r="N143" s="132"/>
    </row>
    <row r="144" spans="3:14" ht="14.7" thickBot="1" x14ac:dyDescent="0.6"/>
    <row r="145" spans="3:14" x14ac:dyDescent="0.55000000000000004">
      <c r="C145" s="121"/>
      <c r="D145" s="122"/>
      <c r="E145" s="122"/>
      <c r="F145" s="122"/>
      <c r="G145" s="122"/>
      <c r="H145" s="122"/>
      <c r="I145" s="122"/>
      <c r="J145" s="122"/>
      <c r="K145" s="122"/>
      <c r="L145" s="122"/>
      <c r="M145" s="122"/>
      <c r="N145" s="123"/>
    </row>
    <row r="146" spans="3:14" x14ac:dyDescent="0.55000000000000004">
      <c r="C146" s="124"/>
      <c r="D146" s="248" t="s">
        <v>104</v>
      </c>
      <c r="N146" s="125"/>
    </row>
    <row r="147" spans="3:14" ht="3.6" customHeight="1" x14ac:dyDescent="0.55000000000000004">
      <c r="C147" s="124"/>
      <c r="D147" s="248"/>
      <c r="N147" s="125"/>
    </row>
    <row r="148" spans="3:14" ht="22.2" customHeight="1" x14ac:dyDescent="0.55000000000000004">
      <c r="C148" s="124"/>
      <c r="D148" s="1803" t="s">
        <v>544</v>
      </c>
      <c r="E148" s="1803"/>
      <c r="F148" s="1803"/>
      <c r="G148" s="1803"/>
      <c r="H148" s="1803"/>
      <c r="I148" s="1803"/>
      <c r="J148" s="1803"/>
      <c r="K148" s="1803"/>
      <c r="L148" s="1803"/>
      <c r="M148" s="1803"/>
      <c r="N148" s="266"/>
    </row>
    <row r="149" spans="3:14" ht="19.2" customHeight="1" x14ac:dyDescent="0.55000000000000004">
      <c r="C149" s="124"/>
      <c r="D149" s="1803"/>
      <c r="E149" s="1803"/>
      <c r="F149" s="1803"/>
      <c r="G149" s="1803"/>
      <c r="H149" s="1803"/>
      <c r="I149" s="1803"/>
      <c r="J149" s="1803"/>
      <c r="K149" s="1803"/>
      <c r="L149" s="1803"/>
      <c r="M149" s="1803"/>
      <c r="N149" s="266"/>
    </row>
    <row r="150" spans="3:14" x14ac:dyDescent="0.55000000000000004">
      <c r="C150" s="124"/>
      <c r="D150" s="264"/>
      <c r="E150" s="264"/>
      <c r="F150" s="264"/>
      <c r="G150" s="264"/>
      <c r="H150" s="264"/>
      <c r="I150" s="264"/>
      <c r="J150" s="264"/>
      <c r="K150" s="264"/>
      <c r="L150" s="264"/>
      <c r="M150" s="264"/>
      <c r="N150" s="267"/>
    </row>
    <row r="151" spans="3:14" ht="57.6" x14ac:dyDescent="0.55000000000000004">
      <c r="C151" s="124"/>
      <c r="D151" s="62" t="s">
        <v>283</v>
      </c>
      <c r="E151" s="56" t="s">
        <v>312</v>
      </c>
      <c r="F151" s="190" t="s">
        <v>309</v>
      </c>
      <c r="G151" s="1817" t="s">
        <v>48</v>
      </c>
      <c r="H151" s="1818"/>
      <c r="I151" s="1817" t="s">
        <v>327</v>
      </c>
      <c r="J151" s="1818"/>
      <c r="K151" s="56" t="s">
        <v>310</v>
      </c>
      <c r="L151" s="56" t="s">
        <v>320</v>
      </c>
      <c r="M151" s="56" t="s">
        <v>315</v>
      </c>
      <c r="N151" s="125"/>
    </row>
    <row r="152" spans="3:14" x14ac:dyDescent="0.55000000000000004">
      <c r="C152" s="124"/>
      <c r="D152" s="1" t="s">
        <v>33</v>
      </c>
      <c r="E152" s="63"/>
      <c r="F152" s="20">
        <f ca="1">SUM(F153:F172)</f>
        <v>50470341.250000015</v>
      </c>
      <c r="G152" s="20"/>
      <c r="H152" s="20">
        <f>SUM(H153:H172)</f>
        <v>0</v>
      </c>
      <c r="I152" s="74">
        <f>SUM(I153:I172)</f>
        <v>0</v>
      </c>
      <c r="J152" s="20">
        <f>SUM(J153:J172)</f>
        <v>0</v>
      </c>
      <c r="K152" s="20">
        <f ca="1">SUM(K153:K172)</f>
        <v>50470341.250000015</v>
      </c>
      <c r="L152" s="72">
        <f ca="1">IFERROR(K152/'2 Customer data'!M77,0)</f>
        <v>23.644448206746638</v>
      </c>
      <c r="M152" s="66">
        <f ca="1">M39</f>
        <v>36.228304133485032</v>
      </c>
      <c r="N152" s="125"/>
    </row>
    <row r="153" spans="3:14" x14ac:dyDescent="0.55000000000000004">
      <c r="C153" s="124"/>
      <c r="D153" t="str">
        <f t="shared" ref="D153:E172" si="16">D19</f>
        <v>Domestic</v>
      </c>
      <c r="E153" s="63" t="str">
        <f t="shared" si="16"/>
        <v>Domestic</v>
      </c>
      <c r="F153" s="21">
        <f t="shared" ref="F153:F172" ca="1" si="17">K122</f>
        <v>44382263.884618193</v>
      </c>
      <c r="G153" s="77"/>
      <c r="H153" s="26">
        <f>IF(G153="",0,F153*G153)</f>
        <v>0</v>
      </c>
      <c r="I153" s="77"/>
      <c r="J153" s="26">
        <f t="shared" ref="J153:J172" si="18">$H$152*I153</f>
        <v>0</v>
      </c>
      <c r="K153" s="21">
        <f ca="1">F153+H153-J153</f>
        <v>44382263.884618193</v>
      </c>
      <c r="L153" s="64">
        <f ca="1">IFERROR(K153/'2 Customer data'!M57,0)</f>
        <v>30.430839490593527</v>
      </c>
      <c r="M153" s="40">
        <f ca="1">M19</f>
        <v>48.100505825433274</v>
      </c>
      <c r="N153" s="125"/>
    </row>
    <row r="154" spans="3:14" x14ac:dyDescent="0.55000000000000004">
      <c r="C154" s="124"/>
      <c r="D154" t="str">
        <f t="shared" si="16"/>
        <v>Commercial</v>
      </c>
      <c r="E154" s="63" t="str">
        <f t="shared" si="16"/>
        <v>Commercial</v>
      </c>
      <c r="F154" s="21">
        <f t="shared" ca="1" si="17"/>
        <v>5050219.4596145703</v>
      </c>
      <c r="G154" s="77"/>
      <c r="H154" s="26">
        <f t="shared" ref="H154:H172" si="19">IF(G154="",0,F154*G154)</f>
        <v>0</v>
      </c>
      <c r="I154" s="77"/>
      <c r="J154" s="26">
        <f t="shared" si="18"/>
        <v>0</v>
      </c>
      <c r="K154" s="21">
        <f t="shared" ref="K154:K172" ca="1" si="20">F154+H154-J154</f>
        <v>5050219.4596145703</v>
      </c>
      <c r="L154" s="64">
        <f ca="1">IFERROR(K154/'2 Customer data'!M58,0)</f>
        <v>8.4913993853234313</v>
      </c>
      <c r="M154" s="40">
        <f t="shared" ref="M154:M172" ca="1" si="21">M20</f>
        <v>9.9580676545790894</v>
      </c>
      <c r="N154" s="125"/>
    </row>
    <row r="155" spans="3:14" x14ac:dyDescent="0.55000000000000004">
      <c r="C155" s="124"/>
      <c r="D155" t="str">
        <f t="shared" si="16"/>
        <v>Old Age Homes</v>
      </c>
      <c r="E155" s="63" t="str">
        <f t="shared" si="16"/>
        <v>Domestic</v>
      </c>
      <c r="F155" s="21">
        <f t="shared" ca="1" si="17"/>
        <v>78912.267658178927</v>
      </c>
      <c r="G155" s="77"/>
      <c r="H155" s="26">
        <f t="shared" si="19"/>
        <v>0</v>
      </c>
      <c r="I155" s="77"/>
      <c r="J155" s="26">
        <f t="shared" si="18"/>
        <v>0</v>
      </c>
      <c r="K155" s="21">
        <f t="shared" ca="1" si="20"/>
        <v>78912.267658178927</v>
      </c>
      <c r="L155" s="64">
        <f ca="1">IFERROR(K155/'2 Customer data'!M59,0)</f>
        <v>7.0166244547471166</v>
      </c>
      <c r="M155" s="40">
        <f t="shared" ca="1" si="21"/>
        <v>11.090827302505632</v>
      </c>
      <c r="N155" s="125"/>
    </row>
    <row r="156" spans="3:14" x14ac:dyDescent="0.55000000000000004">
      <c r="C156" s="124"/>
      <c r="D156" t="str">
        <f t="shared" si="16"/>
        <v>Safe Houses</v>
      </c>
      <c r="E156" s="63" t="str">
        <f t="shared" si="16"/>
        <v>Domestic</v>
      </c>
      <c r="F156" s="21">
        <f t="shared" ca="1" si="17"/>
        <v>16195.643646417746</v>
      </c>
      <c r="G156" s="78"/>
      <c r="H156" s="26">
        <f t="shared" si="19"/>
        <v>0</v>
      </c>
      <c r="I156" s="77"/>
      <c r="J156" s="26">
        <f t="shared" si="18"/>
        <v>0</v>
      </c>
      <c r="K156" s="21">
        <f t="shared" ca="1" si="20"/>
        <v>16195.643646417746</v>
      </c>
      <c r="L156" s="64">
        <f ca="1">IFERROR(K156/'2 Customer data'!M60,0)</f>
        <v>6.1318366490697764</v>
      </c>
      <c r="M156" s="40">
        <f t="shared" ca="1" si="21"/>
        <v>9.6922874753539521</v>
      </c>
      <c r="N156" s="125"/>
    </row>
    <row r="157" spans="3:14" x14ac:dyDescent="0.55000000000000004">
      <c r="C157" s="124"/>
      <c r="D157" t="str">
        <f t="shared" si="16"/>
        <v>Schools</v>
      </c>
      <c r="E157" s="63" t="str">
        <f t="shared" si="16"/>
        <v xml:space="preserve">Institutional </v>
      </c>
      <c r="F157" s="21">
        <f t="shared" ca="1" si="17"/>
        <v>473476.58958947379</v>
      </c>
      <c r="G157" s="78"/>
      <c r="H157" s="26">
        <f t="shared" si="19"/>
        <v>0</v>
      </c>
      <c r="I157" s="77"/>
      <c r="J157" s="26">
        <f t="shared" si="18"/>
        <v>0</v>
      </c>
      <c r="K157" s="21">
        <f t="shared" ca="1" si="20"/>
        <v>473476.58958947379</v>
      </c>
      <c r="L157" s="64">
        <f ca="1">IFERROR(K157/'2 Customer data'!M61,0)</f>
        <v>7.7084806660357916</v>
      </c>
      <c r="M157" s="40">
        <f t="shared" ca="1" si="21"/>
        <v>9.0399201006932124</v>
      </c>
      <c r="N157" s="125"/>
    </row>
    <row r="158" spans="3:14" x14ac:dyDescent="0.55000000000000004">
      <c r="C158" s="124"/>
      <c r="D158" t="str">
        <f t="shared" si="16"/>
        <v>Government</v>
      </c>
      <c r="E158" s="63" t="str">
        <f t="shared" si="16"/>
        <v xml:space="preserve">Institutional </v>
      </c>
      <c r="F158" s="21">
        <f t="shared" ca="1" si="17"/>
        <v>57127.786920128572</v>
      </c>
      <c r="G158" s="78"/>
      <c r="H158" s="26">
        <f t="shared" si="19"/>
        <v>0</v>
      </c>
      <c r="I158" s="77"/>
      <c r="J158" s="26">
        <f t="shared" si="18"/>
        <v>0</v>
      </c>
      <c r="K158" s="21">
        <f t="shared" ca="1" si="20"/>
        <v>57127.786920128572</v>
      </c>
      <c r="L158" s="64">
        <f ca="1">IFERROR(K158/'2 Customer data'!M62,0)</f>
        <v>0</v>
      </c>
      <c r="M158" s="40">
        <f t="shared" ca="1" si="21"/>
        <v>0</v>
      </c>
      <c r="N158" s="125"/>
    </row>
    <row r="159" spans="3:14" x14ac:dyDescent="0.55000000000000004">
      <c r="C159" s="124"/>
      <c r="D159" t="str">
        <f t="shared" si="16"/>
        <v>Sport Clubs</v>
      </c>
      <c r="E159" s="63" t="str">
        <f t="shared" si="16"/>
        <v xml:space="preserve">Institutional </v>
      </c>
      <c r="F159" s="21">
        <f t="shared" ca="1" si="17"/>
        <v>34774.802120940491</v>
      </c>
      <c r="G159" s="78"/>
      <c r="H159" s="26">
        <f t="shared" si="19"/>
        <v>0</v>
      </c>
      <c r="I159" s="77"/>
      <c r="J159" s="26">
        <f t="shared" si="18"/>
        <v>0</v>
      </c>
      <c r="K159" s="21">
        <f t="shared" ca="1" si="20"/>
        <v>34774.802120940491</v>
      </c>
      <c r="L159" s="64">
        <f ca="1">IFERROR(K159/'2 Customer data'!M63,0)</f>
        <v>26.090743424938058</v>
      </c>
      <c r="M159" s="40">
        <f t="shared" ca="1" si="21"/>
        <v>30.597240383353089</v>
      </c>
      <c r="N159" s="125"/>
    </row>
    <row r="160" spans="3:14" x14ac:dyDescent="0.55000000000000004">
      <c r="C160" s="124"/>
      <c r="D160" t="str">
        <f t="shared" si="16"/>
        <v>Churches</v>
      </c>
      <c r="E160" s="63" t="str">
        <f t="shared" si="16"/>
        <v xml:space="preserve">Institutional </v>
      </c>
      <c r="F160" s="21">
        <f t="shared" ca="1" si="17"/>
        <v>257075.0411405786</v>
      </c>
      <c r="G160" s="78"/>
      <c r="H160" s="26">
        <f t="shared" si="19"/>
        <v>0</v>
      </c>
      <c r="I160" s="51"/>
      <c r="J160" s="26">
        <f t="shared" si="18"/>
        <v>0</v>
      </c>
      <c r="K160" s="21">
        <f t="shared" ca="1" si="20"/>
        <v>257075.0411405786</v>
      </c>
      <c r="L160" s="64">
        <f ca="1">IFERROR(K160/'2 Customer data'!M64,0)</f>
        <v>0</v>
      </c>
      <c r="M160" s="40">
        <f t="shared" ca="1" si="21"/>
        <v>0</v>
      </c>
      <c r="N160" s="125"/>
    </row>
    <row r="161" spans="3:14" x14ac:dyDescent="0.55000000000000004">
      <c r="C161" s="124"/>
      <c r="D161" t="str">
        <f t="shared" si="16"/>
        <v>Agricultural</v>
      </c>
      <c r="E161" s="63" t="str">
        <f t="shared" si="16"/>
        <v>Commercial</v>
      </c>
      <c r="F161" s="21">
        <f t="shared" ca="1" si="17"/>
        <v>120295.77469153232</v>
      </c>
      <c r="G161" s="78"/>
      <c r="H161" s="26">
        <f t="shared" si="19"/>
        <v>0</v>
      </c>
      <c r="I161" s="51"/>
      <c r="J161" s="26">
        <f t="shared" si="18"/>
        <v>0</v>
      </c>
      <c r="K161" s="21">
        <f t="shared" ca="1" si="20"/>
        <v>120295.77469153232</v>
      </c>
      <c r="L161" s="64">
        <f ca="1">IFERROR(K161/'2 Customer data'!M65,0)</f>
        <v>25.58610285326596</v>
      </c>
      <c r="M161" s="40">
        <f t="shared" ca="1" si="21"/>
        <v>30.005436285356957</v>
      </c>
      <c r="N161" s="125"/>
    </row>
    <row r="162" spans="3:14" x14ac:dyDescent="0.55000000000000004">
      <c r="C162" s="124"/>
      <c r="D162">
        <f t="shared" si="16"/>
        <v>0</v>
      </c>
      <c r="E162" s="63">
        <f t="shared" si="16"/>
        <v>0</v>
      </c>
      <c r="F162" s="21">
        <f t="shared" ca="1" si="17"/>
        <v>0</v>
      </c>
      <c r="G162" s="78"/>
      <c r="H162" s="26">
        <f t="shared" si="19"/>
        <v>0</v>
      </c>
      <c r="I162" s="51"/>
      <c r="J162" s="26">
        <f t="shared" si="18"/>
        <v>0</v>
      </c>
      <c r="K162" s="21">
        <f t="shared" ca="1" si="20"/>
        <v>0</v>
      </c>
      <c r="L162" s="64">
        <f ca="1">IFERROR(K162/'2 Customer data'!M66,0)</f>
        <v>0</v>
      </c>
      <c r="M162" s="40">
        <f t="shared" ca="1" si="21"/>
        <v>0</v>
      </c>
      <c r="N162" s="125"/>
    </row>
    <row r="163" spans="3:14" x14ac:dyDescent="0.55000000000000004">
      <c r="C163" s="124"/>
      <c r="D163">
        <f t="shared" si="16"/>
        <v>0</v>
      </c>
      <c r="E163" s="63">
        <f t="shared" si="16"/>
        <v>0</v>
      </c>
      <c r="F163" s="21">
        <f t="shared" ca="1" si="17"/>
        <v>0</v>
      </c>
      <c r="G163" s="78"/>
      <c r="H163" s="26">
        <f t="shared" si="19"/>
        <v>0</v>
      </c>
      <c r="I163" s="51"/>
      <c r="J163" s="26">
        <f t="shared" si="18"/>
        <v>0</v>
      </c>
      <c r="K163" s="21">
        <f t="shared" ca="1" si="20"/>
        <v>0</v>
      </c>
      <c r="L163" s="64">
        <f ca="1">IFERROR(K163/'2 Customer data'!M67,0)</f>
        <v>0</v>
      </c>
      <c r="M163" s="40">
        <f t="shared" ca="1" si="21"/>
        <v>0</v>
      </c>
      <c r="N163" s="125"/>
    </row>
    <row r="164" spans="3:14" x14ac:dyDescent="0.55000000000000004">
      <c r="C164" s="124"/>
      <c r="D164">
        <f t="shared" si="16"/>
        <v>0</v>
      </c>
      <c r="E164" s="63">
        <f t="shared" si="16"/>
        <v>0</v>
      </c>
      <c r="F164" s="21">
        <f t="shared" ca="1" si="17"/>
        <v>0</v>
      </c>
      <c r="G164" s="78"/>
      <c r="H164" s="26">
        <f t="shared" si="19"/>
        <v>0</v>
      </c>
      <c r="I164" s="51"/>
      <c r="J164" s="26">
        <f t="shared" si="18"/>
        <v>0</v>
      </c>
      <c r="K164" s="21">
        <f t="shared" ca="1" si="20"/>
        <v>0</v>
      </c>
      <c r="L164" s="64">
        <f ca="1">IFERROR(K164/'2 Customer data'!M68,0)</f>
        <v>0</v>
      </c>
      <c r="M164" s="40">
        <f t="shared" ca="1" si="21"/>
        <v>0</v>
      </c>
      <c r="N164" s="125"/>
    </row>
    <row r="165" spans="3:14" x14ac:dyDescent="0.55000000000000004">
      <c r="C165" s="124"/>
      <c r="D165">
        <f t="shared" si="16"/>
        <v>0</v>
      </c>
      <c r="E165" s="63">
        <f t="shared" si="16"/>
        <v>0</v>
      </c>
      <c r="F165" s="21">
        <f t="shared" ca="1" si="17"/>
        <v>0</v>
      </c>
      <c r="G165" s="78"/>
      <c r="H165" s="26">
        <f t="shared" si="19"/>
        <v>0</v>
      </c>
      <c r="I165" s="51"/>
      <c r="J165" s="26">
        <f t="shared" si="18"/>
        <v>0</v>
      </c>
      <c r="K165" s="21">
        <f t="shared" ca="1" si="20"/>
        <v>0</v>
      </c>
      <c r="L165" s="64">
        <f ca="1">IFERROR(K165/'2 Customer data'!M69,0)</f>
        <v>0</v>
      </c>
      <c r="M165" s="40">
        <f t="shared" ca="1" si="21"/>
        <v>0</v>
      </c>
      <c r="N165" s="125"/>
    </row>
    <row r="166" spans="3:14" x14ac:dyDescent="0.55000000000000004">
      <c r="C166" s="124"/>
      <c r="D166">
        <f t="shared" si="16"/>
        <v>0</v>
      </c>
      <c r="E166" s="63">
        <f t="shared" si="16"/>
        <v>0</v>
      </c>
      <c r="F166" s="21">
        <f t="shared" ca="1" si="17"/>
        <v>0</v>
      </c>
      <c r="G166" s="78"/>
      <c r="H166" s="26">
        <f t="shared" si="19"/>
        <v>0</v>
      </c>
      <c r="I166" s="51"/>
      <c r="J166" s="26">
        <f t="shared" si="18"/>
        <v>0</v>
      </c>
      <c r="K166" s="21">
        <f t="shared" ca="1" si="20"/>
        <v>0</v>
      </c>
      <c r="L166" s="64">
        <f ca="1">IFERROR(K166/'2 Customer data'!M70,0)</f>
        <v>0</v>
      </c>
      <c r="M166" s="40">
        <f t="shared" ca="1" si="21"/>
        <v>0</v>
      </c>
      <c r="N166" s="125"/>
    </row>
    <row r="167" spans="3:14" x14ac:dyDescent="0.55000000000000004">
      <c r="C167" s="124"/>
      <c r="D167">
        <f t="shared" si="16"/>
        <v>0</v>
      </c>
      <c r="E167" s="63">
        <f t="shared" si="16"/>
        <v>0</v>
      </c>
      <c r="F167" s="21">
        <f t="shared" ca="1" si="17"/>
        <v>0</v>
      </c>
      <c r="G167" s="78"/>
      <c r="H167" s="26">
        <f t="shared" si="19"/>
        <v>0</v>
      </c>
      <c r="I167" s="51"/>
      <c r="J167" s="26">
        <f t="shared" si="18"/>
        <v>0</v>
      </c>
      <c r="K167" s="21">
        <f t="shared" ca="1" si="20"/>
        <v>0</v>
      </c>
      <c r="L167" s="64">
        <f ca="1">IFERROR(K167/'2 Customer data'!M71,0)</f>
        <v>0</v>
      </c>
      <c r="M167" s="40">
        <f t="shared" ca="1" si="21"/>
        <v>0</v>
      </c>
      <c r="N167" s="125"/>
    </row>
    <row r="168" spans="3:14" x14ac:dyDescent="0.55000000000000004">
      <c r="C168" s="124"/>
      <c r="D168">
        <f t="shared" si="16"/>
        <v>0</v>
      </c>
      <c r="E168" s="63">
        <f t="shared" si="16"/>
        <v>0</v>
      </c>
      <c r="F168" s="21">
        <f t="shared" ca="1" si="17"/>
        <v>0</v>
      </c>
      <c r="G168" s="78"/>
      <c r="H168" s="26">
        <f t="shared" si="19"/>
        <v>0</v>
      </c>
      <c r="I168" s="51"/>
      <c r="J168" s="26">
        <f t="shared" si="18"/>
        <v>0</v>
      </c>
      <c r="K168" s="21">
        <f t="shared" ca="1" si="20"/>
        <v>0</v>
      </c>
      <c r="L168" s="64">
        <f ca="1">IFERROR(K168/'2 Customer data'!M72,0)</f>
        <v>0</v>
      </c>
      <c r="M168" s="40">
        <f t="shared" ca="1" si="21"/>
        <v>0</v>
      </c>
      <c r="N168" s="125"/>
    </row>
    <row r="169" spans="3:14" x14ac:dyDescent="0.55000000000000004">
      <c r="C169" s="124"/>
      <c r="D169">
        <f t="shared" si="16"/>
        <v>0</v>
      </c>
      <c r="E169" s="63">
        <f t="shared" si="16"/>
        <v>0</v>
      </c>
      <c r="F169" s="21">
        <f t="shared" ca="1" si="17"/>
        <v>0</v>
      </c>
      <c r="G169" s="78"/>
      <c r="H169" s="26">
        <f t="shared" si="19"/>
        <v>0</v>
      </c>
      <c r="I169" s="51"/>
      <c r="J169" s="26">
        <f t="shared" si="18"/>
        <v>0</v>
      </c>
      <c r="K169" s="21">
        <f t="shared" ca="1" si="20"/>
        <v>0</v>
      </c>
      <c r="L169" s="64">
        <f ca="1">IFERROR(K169/'2 Customer data'!M73,0)</f>
        <v>0</v>
      </c>
      <c r="M169" s="40">
        <f t="shared" ca="1" si="21"/>
        <v>0</v>
      </c>
      <c r="N169" s="125"/>
    </row>
    <row r="170" spans="3:14" x14ac:dyDescent="0.55000000000000004">
      <c r="C170" s="124"/>
      <c r="D170">
        <f t="shared" si="16"/>
        <v>0</v>
      </c>
      <c r="E170" s="63">
        <f t="shared" si="16"/>
        <v>0</v>
      </c>
      <c r="F170" s="21">
        <f t="shared" ca="1" si="17"/>
        <v>0</v>
      </c>
      <c r="G170" s="78"/>
      <c r="H170" s="26">
        <f t="shared" si="19"/>
        <v>0</v>
      </c>
      <c r="I170" s="51"/>
      <c r="J170" s="26">
        <f t="shared" si="18"/>
        <v>0</v>
      </c>
      <c r="K170" s="21">
        <f t="shared" ca="1" si="20"/>
        <v>0</v>
      </c>
      <c r="L170" s="64">
        <f ca="1">IFERROR(K170/'2 Customer data'!M74,0)</f>
        <v>0</v>
      </c>
      <c r="M170" s="40">
        <f t="shared" ca="1" si="21"/>
        <v>0</v>
      </c>
      <c r="N170" s="125"/>
    </row>
    <row r="171" spans="3:14" x14ac:dyDescent="0.55000000000000004">
      <c r="C171" s="124"/>
      <c r="D171">
        <f t="shared" si="16"/>
        <v>0</v>
      </c>
      <c r="E171" s="63">
        <f t="shared" si="16"/>
        <v>0</v>
      </c>
      <c r="F171" s="21">
        <f t="shared" ca="1" si="17"/>
        <v>0</v>
      </c>
      <c r="G171" s="78"/>
      <c r="H171" s="26">
        <f t="shared" si="19"/>
        <v>0</v>
      </c>
      <c r="I171" s="51"/>
      <c r="J171" s="26">
        <f t="shared" si="18"/>
        <v>0</v>
      </c>
      <c r="K171" s="21">
        <f t="shared" ca="1" si="20"/>
        <v>0</v>
      </c>
      <c r="L171" s="64">
        <f ca="1">IFERROR(K171/'2 Customer data'!M75,0)</f>
        <v>0</v>
      </c>
      <c r="M171" s="40">
        <f t="shared" ca="1" si="21"/>
        <v>0</v>
      </c>
      <c r="N171" s="125"/>
    </row>
    <row r="172" spans="3:14" x14ac:dyDescent="0.55000000000000004">
      <c r="C172" s="124"/>
      <c r="D172">
        <f t="shared" si="16"/>
        <v>0</v>
      </c>
      <c r="E172" s="63">
        <f t="shared" si="16"/>
        <v>0</v>
      </c>
      <c r="F172" s="21">
        <f t="shared" ca="1" si="17"/>
        <v>0</v>
      </c>
      <c r="G172" s="78"/>
      <c r="H172" s="26">
        <f t="shared" si="19"/>
        <v>0</v>
      </c>
      <c r="I172" s="51"/>
      <c r="J172" s="26">
        <f t="shared" si="18"/>
        <v>0</v>
      </c>
      <c r="K172" s="21">
        <f t="shared" ca="1" si="20"/>
        <v>0</v>
      </c>
      <c r="L172" s="64">
        <f ca="1">IFERROR(K172/'2 Customer data'!M76,0)</f>
        <v>0</v>
      </c>
      <c r="M172" s="40">
        <f t="shared" ca="1" si="21"/>
        <v>0</v>
      </c>
      <c r="N172" s="125"/>
    </row>
    <row r="173" spans="3:14" x14ac:dyDescent="0.55000000000000004">
      <c r="C173" s="124"/>
      <c r="D173" s="257" t="s">
        <v>108</v>
      </c>
      <c r="F173" s="17"/>
      <c r="G173" s="17"/>
      <c r="H173" s="17"/>
      <c r="I173" s="75">
        <f>1-I152</f>
        <v>1</v>
      </c>
      <c r="J173" s="17"/>
      <c r="K173" s="17"/>
      <c r="L173" s="19"/>
      <c r="M173" s="258"/>
      <c r="N173" s="125"/>
    </row>
    <row r="174" spans="3:14" ht="14.7" thickBot="1" x14ac:dyDescent="0.6">
      <c r="C174" s="130"/>
      <c r="D174" s="131"/>
      <c r="E174" s="131"/>
      <c r="F174" s="131"/>
      <c r="G174" s="131"/>
      <c r="H174" s="131"/>
      <c r="I174" s="131"/>
      <c r="J174" s="131"/>
      <c r="K174" s="131"/>
      <c r="L174" s="131"/>
      <c r="M174" s="131"/>
      <c r="N174" s="132"/>
    </row>
  </sheetData>
  <sheetProtection sheet="1" objects="1" scenarios="1"/>
  <mergeCells count="12">
    <mergeCell ref="D117:L118"/>
    <mergeCell ref="D148:M149"/>
    <mergeCell ref="G151:H151"/>
    <mergeCell ref="I151:J151"/>
    <mergeCell ref="C7:L7"/>
    <mergeCell ref="E1:E2"/>
    <mergeCell ref="D114:L115"/>
    <mergeCell ref="D12:M13"/>
    <mergeCell ref="D44:M46"/>
    <mergeCell ref="D48:M49"/>
    <mergeCell ref="D79:M81"/>
    <mergeCell ref="D83:M84"/>
  </mergeCells>
  <dataValidations count="1">
    <dataValidation type="list" allowBlank="1" showInputMessage="1" showErrorMessage="1" sqref="E15" xr:uid="{5A5547B5-F9AA-462A-8A7D-10F044E64BE3}">
      <formula1>$P$15:$P$16</formula1>
    </dataValidation>
  </dataValidations>
  <pageMargins left="0.7" right="0.7" top="0.75" bottom="0.75" header="0.3" footer="0.3"/>
  <pageSetup paperSize="9" orientation="portrait" r:id="rId1"/>
  <drawing r:id="rId2"/>
  <legacyDrawing r:id="rId3"/>
  <controls>
    <mc:AlternateContent xmlns:mc="http://schemas.openxmlformats.org/markup-compatibility/2006">
      <mc:Choice Requires="x14">
        <control shapeId="15361" r:id="rId4" name="cb2S">
          <controlPr defaultSize="0" autoLine="0" r:id="rId5">
            <anchor moveWithCells="1">
              <from>
                <xdr:col>3</xdr:col>
                <xdr:colOff>2468880</xdr:colOff>
                <xdr:row>2</xdr:row>
                <xdr:rowOff>60960</xdr:rowOff>
              </from>
              <to>
                <xdr:col>5</xdr:col>
                <xdr:colOff>11430</xdr:colOff>
                <xdr:row>3</xdr:row>
                <xdr:rowOff>60960</xdr:rowOff>
              </to>
            </anchor>
          </controlPr>
        </control>
      </mc:Choice>
      <mc:Fallback>
        <control shapeId="15361" r:id="rId4" name="cb2S"/>
      </mc:Fallback>
    </mc:AlternateContent>
  </controls>
</worksheet>
</file>

<file path=xl/worksheets/sheet2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C056FDF-3369-4D40-AECB-E98388E5CCB5}">
  <sheetPr codeName="Sheet14">
    <tabColor rgb="FF002060"/>
  </sheetPr>
  <dimension ref="A1:S178"/>
  <sheetViews>
    <sheetView showGridLines="0" topLeftCell="D1" zoomScaleNormal="100" workbookViewId="0">
      <pane ySplit="4" topLeftCell="A5" activePane="bottomLeft" state="frozen"/>
      <selection pane="bottomLeft" activeCell="J56" sqref="J56:J64"/>
    </sheetView>
  </sheetViews>
  <sheetFormatPr defaultColWidth="8.7890625" defaultRowHeight="14.4" x14ac:dyDescent="0.55000000000000004"/>
  <cols>
    <col min="1" max="1" width="3.7890625" style="117" customWidth="1"/>
    <col min="2" max="3" width="3.7890625" customWidth="1"/>
    <col min="4" max="4" width="35.20703125" customWidth="1"/>
    <col min="5" max="5" width="18.20703125" bestFit="1" customWidth="1"/>
    <col min="6" max="6" width="16.20703125" customWidth="1"/>
    <col min="7" max="7" width="17.7890625" customWidth="1"/>
    <col min="8" max="8" width="20.7890625" customWidth="1"/>
    <col min="9" max="9" width="19.7890625" customWidth="1"/>
    <col min="10" max="10" width="19" customWidth="1"/>
    <col min="11" max="11" width="16" customWidth="1"/>
    <col min="12" max="12" width="18.20703125" customWidth="1"/>
    <col min="13" max="14" width="16.5234375" customWidth="1"/>
    <col min="15" max="15" width="16.7890625" customWidth="1"/>
    <col min="16" max="16" width="18.20703125" customWidth="1"/>
  </cols>
  <sheetData>
    <row r="1" spans="1:19" x14ac:dyDescent="0.55000000000000004">
      <c r="A1"/>
      <c r="E1" s="1821" t="s">
        <v>206</v>
      </c>
      <c r="F1" s="1821"/>
    </row>
    <row r="2" spans="1:19" x14ac:dyDescent="0.55000000000000004">
      <c r="A2"/>
      <c r="E2" s="1821"/>
      <c r="F2" s="1821"/>
    </row>
    <row r="3" spans="1:19" x14ac:dyDescent="0.55000000000000004">
      <c r="A3"/>
    </row>
    <row r="4" spans="1:19" s="116" customFormat="1" ht="14.7" thickBot="1" x14ac:dyDescent="0.6"/>
    <row r="5" spans="1:19" s="117" customFormat="1" x14ac:dyDescent="0.55000000000000004"/>
    <row r="7" spans="1:19" ht="18" customHeight="1" x14ac:dyDescent="0.7">
      <c r="B7" s="118"/>
      <c r="C7" s="1804" t="s">
        <v>172</v>
      </c>
      <c r="D7" s="1804"/>
      <c r="E7" s="1804"/>
      <c r="F7" s="1804"/>
      <c r="G7" s="1804"/>
      <c r="H7" s="1804"/>
      <c r="I7" s="1804"/>
      <c r="J7" s="1804"/>
      <c r="K7" s="1804"/>
      <c r="L7" s="1804"/>
      <c r="M7" s="120"/>
    </row>
    <row r="8" spans="1:19" ht="14.7" thickBot="1" x14ac:dyDescent="0.6"/>
    <row r="9" spans="1:19" x14ac:dyDescent="0.55000000000000004">
      <c r="C9" s="121"/>
      <c r="D9" s="122"/>
      <c r="E9" s="122"/>
      <c r="F9" s="122"/>
      <c r="G9" s="122"/>
      <c r="H9" s="122"/>
      <c r="I9" s="122"/>
      <c r="J9" s="122"/>
      <c r="K9" s="122"/>
      <c r="L9" s="122"/>
      <c r="M9" s="122"/>
      <c r="N9" s="122"/>
      <c r="O9" s="122"/>
      <c r="P9" s="122"/>
      <c r="Q9" s="123"/>
    </row>
    <row r="10" spans="1:19" x14ac:dyDescent="0.55000000000000004">
      <c r="C10" s="124"/>
      <c r="D10" s="1" t="s">
        <v>169</v>
      </c>
      <c r="Q10" s="125"/>
    </row>
    <row r="11" spans="1:19" x14ac:dyDescent="0.55000000000000004">
      <c r="C11" s="124"/>
      <c r="D11" s="120"/>
      <c r="Q11" s="125"/>
    </row>
    <row r="12" spans="1:19" x14ac:dyDescent="0.55000000000000004">
      <c r="C12" s="124"/>
      <c r="D12" s="1804" t="s">
        <v>546</v>
      </c>
      <c r="E12" s="1804"/>
      <c r="F12" s="1804"/>
      <c r="G12" s="1804"/>
      <c r="H12" s="1804"/>
      <c r="I12" s="1804"/>
      <c r="J12" s="1804"/>
      <c r="K12" s="1804"/>
      <c r="L12" s="1804"/>
      <c r="M12" s="1804"/>
      <c r="Q12" s="125"/>
    </row>
    <row r="13" spans="1:19" x14ac:dyDescent="0.55000000000000004">
      <c r="C13" s="124"/>
      <c r="D13" s="1804"/>
      <c r="E13" s="1804"/>
      <c r="F13" s="1804"/>
      <c r="G13" s="1804"/>
      <c r="H13" s="1804"/>
      <c r="I13" s="1804"/>
      <c r="J13" s="1804"/>
      <c r="K13" s="1804"/>
      <c r="L13" s="1804"/>
      <c r="M13" s="1804"/>
      <c r="Q13" s="125"/>
    </row>
    <row r="14" spans="1:19" x14ac:dyDescent="0.55000000000000004">
      <c r="C14" s="124"/>
      <c r="D14" s="1804"/>
      <c r="E14" s="1804"/>
      <c r="F14" s="1804"/>
      <c r="G14" s="1804"/>
      <c r="H14" s="1804"/>
      <c r="I14" s="1804"/>
      <c r="J14" s="1804"/>
      <c r="K14" s="1804"/>
      <c r="L14" s="1804"/>
      <c r="M14" s="1804"/>
      <c r="Q14" s="125"/>
    </row>
    <row r="15" spans="1:19" x14ac:dyDescent="0.55000000000000004">
      <c r="C15" s="124"/>
      <c r="D15" s="1"/>
      <c r="Q15" s="125"/>
    </row>
    <row r="16" spans="1:19" x14ac:dyDescent="0.55000000000000004">
      <c r="C16" s="124"/>
      <c r="D16" t="s">
        <v>58</v>
      </c>
      <c r="E16" s="63" t="s">
        <v>40</v>
      </c>
      <c r="Q16" s="125"/>
      <c r="S16" s="126" t="s">
        <v>361</v>
      </c>
    </row>
    <row r="17" spans="3:19" x14ac:dyDescent="0.55000000000000004">
      <c r="C17" s="124"/>
      <c r="D17" t="s">
        <v>547</v>
      </c>
      <c r="E17" s="63" t="s">
        <v>362</v>
      </c>
      <c r="Q17" s="125"/>
      <c r="S17" s="126" t="s">
        <v>360</v>
      </c>
    </row>
    <row r="18" spans="3:19" x14ac:dyDescent="0.55000000000000004">
      <c r="C18" s="124"/>
      <c r="D18" t="s">
        <v>548</v>
      </c>
      <c r="E18" s="51" t="s">
        <v>362</v>
      </c>
      <c r="Q18" s="125"/>
      <c r="S18" s="126" t="s">
        <v>362</v>
      </c>
    </row>
    <row r="19" spans="3:19" x14ac:dyDescent="0.55000000000000004">
      <c r="C19" s="124"/>
      <c r="D19" s="1"/>
      <c r="Q19" s="125"/>
    </row>
    <row r="20" spans="3:19" ht="43.2" x14ac:dyDescent="0.55000000000000004">
      <c r="C20" s="124"/>
      <c r="D20" s="62" t="s">
        <v>283</v>
      </c>
      <c r="E20" s="56" t="s">
        <v>312</v>
      </c>
      <c r="F20" s="56" t="s">
        <v>321</v>
      </c>
      <c r="G20" s="56" t="s">
        <v>322</v>
      </c>
      <c r="H20" s="56" t="s">
        <v>323</v>
      </c>
      <c r="I20" s="56" t="s">
        <v>60</v>
      </c>
      <c r="J20" s="56" t="s">
        <v>249</v>
      </c>
      <c r="K20" s="129" t="s">
        <v>52</v>
      </c>
      <c r="L20" s="129" t="s">
        <v>33</v>
      </c>
      <c r="M20" s="56" t="s">
        <v>257</v>
      </c>
      <c r="N20" s="56" t="s">
        <v>324</v>
      </c>
      <c r="O20" s="56" t="s">
        <v>325</v>
      </c>
      <c r="P20" s="56" t="s">
        <v>326</v>
      </c>
      <c r="Q20" s="125"/>
    </row>
    <row r="21" spans="3:19" x14ac:dyDescent="0.55000000000000004">
      <c r="C21" s="124"/>
      <c r="D21" t="str">
        <f>'2 Customer data'!D93</f>
        <v>Bulk Customers LV: TOU</v>
      </c>
      <c r="E21" s="63" t="str">
        <f>'2 Customer data'!E93</f>
        <v>Industrial</v>
      </c>
      <c r="F21" s="22">
        <f>IFERROR(IF('2 Customer data'!J93="",'2 Customer data'!I93,'2 Customer data'!J93)/IF('2 Customer data'!$J$113=0,'2 Customer data'!$I$113,'2 Customer data'!$J$113),0)</f>
        <v>5.0945318691271368E-3</v>
      </c>
      <c r="G21" s="22">
        <f>IFERROR(IF('2 Customer data'!L93="",'2 Customer data'!K93,'2 Customer data'!L93)/IF('2 Customer data'!$L$113=0,'2 Customer data'!$K$113,'2 Customer data'!$L$113),0)</f>
        <v>0.26713871393074184</v>
      </c>
      <c r="H21" s="22">
        <f>IFERROR(IF($E$18=$S$16,IF('2 Customer data'!N93="",'2 Customer data'!M93,'2 Customer data'!N93)/IF('2 Customer data'!$N$113=0,'2 Customer data'!$M$113=0,'2 Customer data'!$N$113),IF($E$18=$S$17,IF('2 Customer data'!J93="",'2 Customer data'!I93,'2 Customer data'!J93)/IF('2 Customer data'!$J$113=0,'2 Customer data'!$I$113,'2 Customer data'!$J$113),IF($E$18=$S$18,IF('2 Customer data'!L93="",'2 Customer data'!K93,'2 Customer data'!L93)/IF('2 Customer data'!$L$113=0,'2 Customer data'!$K$113,'2 Customer data'!$L$113)))),0)</f>
        <v>0.26713871393074184</v>
      </c>
      <c r="I21" s="26">
        <f ca="1">'1 Electricity'!$I$35*'2 Electricity'!F21</f>
        <v>300962.0775500962</v>
      </c>
      <c r="J21" s="26">
        <f ca="1">'1 Electricity'!$J$35*'2 Electricity'!G21</f>
        <v>40642505.842797607</v>
      </c>
      <c r="K21" s="26">
        <f ca="1">'1 Electricity'!$K$35*'2 Electricity'!H21</f>
        <v>0</v>
      </c>
      <c r="L21" s="26">
        <f ca="1">SUM(I21:K21)</f>
        <v>40943467.920347705</v>
      </c>
      <c r="M21" s="64">
        <f ca="1">IFERROR(I21/IF('2 Customer data'!J93="",'2 Customer data'!I93,'2 Customer data'!J93)/12,0)</f>
        <v>557.33718064832635</v>
      </c>
      <c r="N21" s="64">
        <f ca="1">IFERROR(J21/IF('2 Customer data'!L93="",'2 Customer data'!K93,'2 Customer data'!L93),0)</f>
        <v>2.9819428113304203</v>
      </c>
      <c r="O21" s="64">
        <f ca="1">IFERROR(K21/IF('2 Customer data'!N93="",'2 Customer data'!M93,'2 Customer data'!N93),0)</f>
        <v>0</v>
      </c>
      <c r="P21" s="64">
        <f ca="1">IFERROR(L21/IF('2 Customer data'!L93="",'2 Customer data'!K93,'2 Customer data'!L93),0)</f>
        <v>3.0040244149378572</v>
      </c>
      <c r="Q21" s="125"/>
    </row>
    <row r="22" spans="3:19" x14ac:dyDescent="0.55000000000000004">
      <c r="C22" s="124"/>
      <c r="D22" t="str">
        <f>'2 Customer data'!D94</f>
        <v>Bulk Customers MV: TOU</v>
      </c>
      <c r="E22" s="63" t="str">
        <f>'2 Customer data'!E94</f>
        <v>Industrial</v>
      </c>
      <c r="F22" s="22">
        <f>IFERROR(IF('2 Customer data'!J94="",'2 Customer data'!I94,'2 Customer data'!J94)/IF('2 Customer data'!$J$113=0,'2 Customer data'!$I$113,'2 Customer data'!$J$113),0)</f>
        <v>5.6605909656968188E-4</v>
      </c>
      <c r="G22" s="22">
        <f>IFERROR(IF('2 Customer data'!L94="",'2 Customer data'!K94,'2 Customer data'!L94)/IF('2 Customer data'!$L$113=0,'2 Customer data'!$K$113,'2 Customer data'!$L$113),0)</f>
        <v>7.0085202688113954E-2</v>
      </c>
      <c r="H22" s="22">
        <f>IFERROR(IF($E$18=$S$16,IF('2 Customer data'!N94="",'2 Customer data'!M94,'2 Customer data'!N94)/IF('2 Customer data'!$N$113=0,'2 Customer data'!$M$113=0,'2 Customer data'!$N$113),IF($E$18=$S$17,IF('2 Customer data'!J94="",'2 Customer data'!I94,'2 Customer data'!J94)/IF('2 Customer data'!$J$113=0,'2 Customer data'!$I$113,'2 Customer data'!$J$113),IF($E$18=$S$18,IF('2 Customer data'!L94="",'2 Customer data'!K94,'2 Customer data'!L94)/IF('2 Customer data'!$L$113=0,'2 Customer data'!$K$113,'2 Customer data'!$L$113)))),0)</f>
        <v>7.0085202688113954E-2</v>
      </c>
      <c r="I22" s="26">
        <f ca="1">'1 Electricity'!$I$35*'2 Electricity'!F22</f>
        <v>33440.230838899581</v>
      </c>
      <c r="J22" s="26">
        <f ca="1">'1 Electricity'!$J$35*'2 Electricity'!G22</f>
        <v>10662768.483956277</v>
      </c>
      <c r="K22" s="26">
        <f ca="1">'1 Electricity'!$K$35*'2 Electricity'!H22</f>
        <v>0</v>
      </c>
      <c r="L22" s="26">
        <f t="shared" ref="L22:L40" ca="1" si="0">SUM(I22:K22)</f>
        <v>10696208.714795178</v>
      </c>
      <c r="M22" s="64">
        <f ca="1">IFERROR(I22/IF('2 Customer data'!J94="",'2 Customer data'!I94,'2 Customer data'!J94)/12,0)</f>
        <v>557.33718064832635</v>
      </c>
      <c r="N22" s="64">
        <f ca="1">IFERROR(J22/IF('2 Customer data'!L94="",'2 Customer data'!K94,'2 Customer data'!L94),0)</f>
        <v>2.9819428113304198</v>
      </c>
      <c r="O22" s="64">
        <f ca="1">IFERROR(K22/IF('2 Customer data'!N94="",'2 Customer data'!M94,'2 Customer data'!N94),0)</f>
        <v>0</v>
      </c>
      <c r="P22" s="64">
        <f ca="1">IFERROR(L22/IF('2 Customer data'!L94="",'2 Customer data'!K94,'2 Customer data'!L94),0)</f>
        <v>2.9912946842618569</v>
      </c>
      <c r="Q22" s="125"/>
    </row>
    <row r="23" spans="3:19" x14ac:dyDescent="0.55000000000000004">
      <c r="C23" s="124"/>
      <c r="D23" t="str">
        <f>'2 Customer data'!D95</f>
        <v>Small Customers: Commercial</v>
      </c>
      <c r="E23" s="63" t="str">
        <f>'2 Customer data'!E95</f>
        <v>Commercial</v>
      </c>
      <c r="F23" s="22">
        <f>IFERROR(IF('2 Customer data'!J95="",'2 Customer data'!I95,'2 Customer data'!J95)/IF('2 Customer data'!$J$113=0,'2 Customer data'!$I$113,'2 Customer data'!$J$113),0)</f>
        <v>5.5360579644514886E-2</v>
      </c>
      <c r="G23" s="22">
        <f>IFERROR(IF('2 Customer data'!L95="",'2 Customer data'!K95,'2 Customer data'!L95)/IF('2 Customer data'!$L$113=0,'2 Customer data'!$K$113,'2 Customer data'!$L$113),0)</f>
        <v>0.1040491288435368</v>
      </c>
      <c r="H23" s="22">
        <f>IFERROR(IF($E$18=$S$16,IF('2 Customer data'!N95="",'2 Customer data'!M95,'2 Customer data'!N95)/IF('2 Customer data'!$N$113=0,'2 Customer data'!$M$113=0,'2 Customer data'!$N$113),IF($E$18=$S$17,IF('2 Customer data'!J95="",'2 Customer data'!I95,'2 Customer data'!J95)/IF('2 Customer data'!$J$113=0,'2 Customer data'!$I$113,'2 Customer data'!$J$113),IF($E$18=$S$18,IF('2 Customer data'!L95="",'2 Customer data'!K95,'2 Customer data'!L95)/IF('2 Customer data'!$L$113=0,'2 Customer data'!$K$113,'2 Customer data'!$L$113)))),0)</f>
        <v>0.1040491288435368</v>
      </c>
      <c r="I23" s="26">
        <f ca="1">'1 Electricity'!$I$35*'2 Electricity'!F23</f>
        <v>3270454.5760443788</v>
      </c>
      <c r="J23" s="26">
        <f ca="1">'1 Electricity'!$J$35*'2 Electricity'!G23</f>
        <v>15830042.994284254</v>
      </c>
      <c r="K23" s="26">
        <f ca="1">'1 Electricity'!$K$35*'2 Electricity'!H23</f>
        <v>0</v>
      </c>
      <c r="L23" s="26">
        <f t="shared" ca="1" si="0"/>
        <v>19100497.570328631</v>
      </c>
      <c r="M23" s="64">
        <f ca="1">IFERROR(I23/IF('2 Customer data'!J95="",'2 Customer data'!I95,'2 Customer data'!J95)/12,0)</f>
        <v>557.33718064832635</v>
      </c>
      <c r="N23" s="64">
        <f ca="1">IFERROR(J23/IF('2 Customer data'!L95="",'2 Customer data'!K95,'2 Customer data'!L95),0)</f>
        <v>2.9819428113304203</v>
      </c>
      <c r="O23" s="64">
        <f ca="1">IFERROR(K23/IF('2 Customer data'!N95="",'2 Customer data'!M95,'2 Customer data'!N95),0)</f>
        <v>0</v>
      </c>
      <c r="P23" s="64">
        <f ca="1">IFERROR(L23/IF('2 Customer data'!L95="",'2 Customer data'!K95,'2 Customer data'!L95),0)</f>
        <v>3.5980061104850383</v>
      </c>
      <c r="Q23" s="125"/>
    </row>
    <row r="24" spans="3:19" x14ac:dyDescent="0.55000000000000004">
      <c r="C24" s="124"/>
      <c r="D24" t="str">
        <f>'2 Customer data'!D96</f>
        <v>Small Customers: TOU</v>
      </c>
      <c r="E24" s="63" t="str">
        <f>'2 Customer data'!E96</f>
        <v>Commercial</v>
      </c>
      <c r="F24" s="22">
        <f>IFERROR(IF('2 Customer data'!J96="",'2 Customer data'!I96,'2 Customer data'!J96)/IF('2 Customer data'!$J$113=0,'2 Customer data'!$I$113,'2 Customer data'!$J$113),0)</f>
        <v>2.2642363862787276E-4</v>
      </c>
      <c r="G24" s="22">
        <f>IFERROR(IF('2 Customer data'!L96="",'2 Customer data'!K96,'2 Customer data'!L96)/IF('2 Customer data'!$L$113=0,'2 Customer data'!$K$113,'2 Customer data'!$L$113),0)</f>
        <v>2.2859458566971649E-4</v>
      </c>
      <c r="H24" s="22">
        <f>IFERROR(IF($E$18=$S$16,IF('2 Customer data'!N96="",'2 Customer data'!M96,'2 Customer data'!N96)/IF('2 Customer data'!$N$113=0,'2 Customer data'!$M$113=0,'2 Customer data'!$N$113),IF($E$18=$S$17,IF('2 Customer data'!J96="",'2 Customer data'!I96,'2 Customer data'!J96)/IF('2 Customer data'!$J$113=0,'2 Customer data'!$I$113,'2 Customer data'!$J$113),IF($E$18=$S$18,IF('2 Customer data'!L96="",'2 Customer data'!K96,'2 Customer data'!L96)/IF('2 Customer data'!$L$113=0,'2 Customer data'!$K$113,'2 Customer data'!$L$113)))),0)</f>
        <v>2.2859458566971649E-4</v>
      </c>
      <c r="I24" s="26">
        <f ca="1">'1 Electricity'!$I$35*'2 Electricity'!F24</f>
        <v>13376.092335559833</v>
      </c>
      <c r="J24" s="26">
        <f ca="1">'1 Electricity'!$J$35*'2 Electricity'!G24</f>
        <v>34778.399008546694</v>
      </c>
      <c r="K24" s="26">
        <f ca="1">'1 Electricity'!$K$35*'2 Electricity'!H24</f>
        <v>0</v>
      </c>
      <c r="L24" s="26">
        <f t="shared" ca="1" si="0"/>
        <v>48154.491344106529</v>
      </c>
      <c r="M24" s="64">
        <f ca="1">IFERROR(I24/IF('2 Customer data'!J96="",'2 Customer data'!I96,'2 Customer data'!J96)/12,0)</f>
        <v>557.33718064832635</v>
      </c>
      <c r="N24" s="64">
        <f ca="1">IFERROR(J24/IF('2 Customer data'!L96="",'2 Customer data'!K96,'2 Customer data'!L96),0)</f>
        <v>2.9819428113304203</v>
      </c>
      <c r="O24" s="64">
        <f ca="1">IFERROR(K24/IF('2 Customer data'!N96="",'2 Customer data'!M96,'2 Customer data'!N96),0)</f>
        <v>0</v>
      </c>
      <c r="P24" s="64">
        <f ca="1">IFERROR(L24/IF('2 Customer data'!L96="",'2 Customer data'!K96,'2 Customer data'!L96),0)</f>
        <v>4.1288254603538137</v>
      </c>
      <c r="Q24" s="125"/>
    </row>
    <row r="25" spans="3:19" x14ac:dyDescent="0.55000000000000004">
      <c r="C25" s="124"/>
      <c r="D25" t="str">
        <f>'2 Customer data'!D97</f>
        <v>Domestic</v>
      </c>
      <c r="E25" s="63" t="str">
        <f>'2 Customer data'!E97</f>
        <v>Domestic</v>
      </c>
      <c r="F25" s="22">
        <f>IFERROR(IF('2 Customer data'!J97="",'2 Customer data'!I97,'2 Customer data'!J97)/IF('2 Customer data'!$J$113=0,'2 Customer data'!$I$113,'2 Customer data'!$J$113),0)</f>
        <v>3.5774934903203895E-2</v>
      </c>
      <c r="G25" s="22">
        <f>IFERROR(IF('2 Customer data'!L97="",'2 Customer data'!K97,'2 Customer data'!L97)/IF('2 Customer data'!$L$113=0,'2 Customer data'!$K$113,'2 Customer data'!$L$113),0)</f>
        <v>4.2281276357075291E-3</v>
      </c>
      <c r="H25" s="22">
        <f>IFERROR(IF($E$18=$S$16,IF('2 Customer data'!N97="",'2 Customer data'!M97,'2 Customer data'!N97)/IF('2 Customer data'!$N$113=0,'2 Customer data'!$M$113=0,'2 Customer data'!$N$113),IF($E$18=$S$17,IF('2 Customer data'!J97="",'2 Customer data'!I97,'2 Customer data'!J97)/IF('2 Customer data'!$J$113=0,'2 Customer data'!$I$113,'2 Customer data'!$J$113),IF($E$18=$S$18,IF('2 Customer data'!L97="",'2 Customer data'!K97,'2 Customer data'!L97)/IF('2 Customer data'!$L$113=0,'2 Customer data'!$K$113,'2 Customer data'!$L$113)))),0)</f>
        <v>4.2281276357075291E-3</v>
      </c>
      <c r="I25" s="26">
        <f ca="1">'1 Electricity'!$I$35*'2 Electricity'!F25</f>
        <v>2113422.5890184534</v>
      </c>
      <c r="J25" s="26">
        <f ca="1">'1 Electricity'!$J$35*'2 Electricity'!G25</f>
        <v>643267.68520300963</v>
      </c>
      <c r="K25" s="26">
        <f ca="1">'1 Electricity'!$K$35*'2 Electricity'!H25</f>
        <v>0</v>
      </c>
      <c r="L25" s="26">
        <f t="shared" ca="1" si="0"/>
        <v>2756690.2742214631</v>
      </c>
      <c r="M25" s="64">
        <f ca="1">IFERROR(I25/IF('2 Customer data'!J97="",'2 Customer data'!I97,'2 Customer data'!J97)/12,0)</f>
        <v>557.33718064832635</v>
      </c>
      <c r="N25" s="64">
        <f ca="1">IFERROR(J25/IF('2 Customer data'!L97="",'2 Customer data'!K97,'2 Customer data'!L97),0)</f>
        <v>2.9819428113304203</v>
      </c>
      <c r="O25" s="64">
        <f ca="1">IFERROR(K25/IF('2 Customer data'!N97="",'2 Customer data'!M97,'2 Customer data'!N97),0)</f>
        <v>0</v>
      </c>
      <c r="P25" s="64">
        <f ca="1">IFERROR(L25/IF('2 Customer data'!L97="",'2 Customer data'!K97,'2 Customer data'!L97),0)</f>
        <v>12.77896113137554</v>
      </c>
      <c r="Q25" s="125"/>
    </row>
    <row r="26" spans="3:19" x14ac:dyDescent="0.55000000000000004">
      <c r="C26" s="124"/>
      <c r="D26" t="str">
        <f>'2 Customer data'!D98</f>
        <v>Prepaid: Domestic</v>
      </c>
      <c r="E26" s="63" t="str">
        <f>'2 Customer data'!E98</f>
        <v>Domestic</v>
      </c>
      <c r="F26" s="22">
        <f>IFERROR(IF('2 Customer data'!J98="",'2 Customer data'!I98,'2 Customer data'!J98)/IF('2 Customer data'!$J$113=0,'2 Customer data'!$I$113,'2 Customer data'!$J$113),0)</f>
        <v>0.17864825087739161</v>
      </c>
      <c r="G26" s="22">
        <f>IFERROR(IF('2 Customer data'!L98="",'2 Customer data'!K98,'2 Customer data'!L98)/IF('2 Customer data'!$L$113=0,'2 Customer data'!$K$113,'2 Customer data'!$L$113),0)</f>
        <v>0.20597788071513901</v>
      </c>
      <c r="H26" s="22">
        <f>IFERROR(IF($E$18=$S$16,IF('2 Customer data'!N98="",'2 Customer data'!M98,'2 Customer data'!N98)/IF('2 Customer data'!$N$113=0,'2 Customer data'!$M$113=0,'2 Customer data'!$N$113),IF($E$18=$S$17,IF('2 Customer data'!J98="",'2 Customer data'!I98,'2 Customer data'!J98)/IF('2 Customer data'!$J$113=0,'2 Customer data'!$I$113,'2 Customer data'!$J$113),IF($E$18=$S$18,IF('2 Customer data'!L98="",'2 Customer data'!K98,'2 Customer data'!L98)/IF('2 Customer data'!$L$113=0,'2 Customer data'!$K$113,'2 Customer data'!$L$113)))),0)</f>
        <v>0.20597788071513901</v>
      </c>
      <c r="I26" s="26">
        <f ca="1">'1 Electricity'!$I$35*'2 Electricity'!F26</f>
        <v>10553736.852756709</v>
      </c>
      <c r="J26" s="26">
        <f ca="1">'1 Electricity'!$J$35*'2 Electricity'!G26</f>
        <v>31337491.662187468</v>
      </c>
      <c r="K26" s="26">
        <f ca="1">'1 Electricity'!$K$35*'2 Electricity'!H26</f>
        <v>0</v>
      </c>
      <c r="L26" s="26">
        <f t="shared" ca="1" si="0"/>
        <v>41891228.514944181</v>
      </c>
      <c r="M26" s="64">
        <f ca="1">IFERROR(I26/IF('2 Customer data'!J98="",'2 Customer data'!I98,'2 Customer data'!J98)/12,0)</f>
        <v>557.33718064832635</v>
      </c>
      <c r="N26" s="64">
        <f ca="1">IFERROR(J26/IF('2 Customer data'!L98="",'2 Customer data'!K98,'2 Customer data'!L98),0)</f>
        <v>2.9819428113304203</v>
      </c>
      <c r="O26" s="64">
        <f ca="1">IFERROR(K26/IF('2 Customer data'!N98="",'2 Customer data'!M98,'2 Customer data'!N98),0)</f>
        <v>0</v>
      </c>
      <c r="P26" s="64">
        <f ca="1">IFERROR(L26/IF('2 Customer data'!L98="",'2 Customer data'!K98,'2 Customer data'!L98),0)</f>
        <v>3.9861916542179956</v>
      </c>
      <c r="Q26" s="125"/>
    </row>
    <row r="27" spans="3:19" x14ac:dyDescent="0.55000000000000004">
      <c r="C27" s="124"/>
      <c r="D27" t="str">
        <f>'2 Customer data'!D99</f>
        <v>Prepaid:  Domestic Lifeline</v>
      </c>
      <c r="E27" s="63" t="str">
        <f>'2 Customer data'!E99</f>
        <v>Domestic</v>
      </c>
      <c r="F27" s="22">
        <f>IFERROR(IF('2 Customer data'!J99="",'2 Customer data'!I99,'2 Customer data'!J99)/IF('2 Customer data'!$J$113=0,'2 Customer data'!$I$113,'2 Customer data'!$J$113),0)</f>
        <v>0.37586324012226874</v>
      </c>
      <c r="G27" s="22">
        <f>IFERROR(IF('2 Customer data'!L99="",'2 Customer data'!K99,'2 Customer data'!L99)/IF('2 Customer data'!$L$113=0,'2 Customer data'!$K$113,'2 Customer data'!$L$113),0)</f>
        <v>0.1716892063842001</v>
      </c>
      <c r="H27" s="22">
        <f>IFERROR(IF($E$18=$S$16,IF('2 Customer data'!N99="",'2 Customer data'!M99,'2 Customer data'!N99)/IF('2 Customer data'!$N$113=0,'2 Customer data'!$M$113=0,'2 Customer data'!$N$113),IF($E$18=$S$17,IF('2 Customer data'!J99="",'2 Customer data'!I99,'2 Customer data'!J99)/IF('2 Customer data'!$J$113=0,'2 Customer data'!$I$113,'2 Customer data'!$J$113),IF($E$18=$S$18,IF('2 Customer data'!L99="",'2 Customer data'!K99,'2 Customer data'!L99)/IF('2 Customer data'!$L$113=0,'2 Customer data'!$K$113,'2 Customer data'!$L$113)))),0)</f>
        <v>0.1716892063842001</v>
      </c>
      <c r="I27" s="26">
        <f ca="1">'1 Electricity'!$I$35*'2 Electricity'!F27</f>
        <v>22204313.277029321</v>
      </c>
      <c r="J27" s="26">
        <f ca="1">'1 Electricity'!$J$35*'2 Electricity'!G27</f>
        <v>26120809.937807128</v>
      </c>
      <c r="K27" s="26">
        <f ca="1">'1 Electricity'!$K$35*'2 Electricity'!H27</f>
        <v>0</v>
      </c>
      <c r="L27" s="26">
        <f t="shared" ca="1" si="0"/>
        <v>48325123.214836448</v>
      </c>
      <c r="M27" s="64">
        <f ca="1">IFERROR(I27/IF('2 Customer data'!J99="",'2 Customer data'!I99,'2 Customer data'!J99)/12,0)</f>
        <v>557.33718064832635</v>
      </c>
      <c r="N27" s="64">
        <f ca="1">IFERROR(J27/IF('2 Customer data'!L99="",'2 Customer data'!K99,'2 Customer data'!L99),0)</f>
        <v>2.9819428113304203</v>
      </c>
      <c r="O27" s="64">
        <f ca="1">IFERROR(K27/IF('2 Customer data'!N99="",'2 Customer data'!M99,'2 Customer data'!N99),0)</f>
        <v>0</v>
      </c>
      <c r="P27" s="64">
        <f ca="1">IFERROR(L27/IF('2 Customer data'!L99="",'2 Customer data'!K99,'2 Customer data'!L99),0)</f>
        <v>5.5167796909913109</v>
      </c>
      <c r="Q27" s="125"/>
    </row>
    <row r="28" spans="3:19" x14ac:dyDescent="0.55000000000000004">
      <c r="C28" s="124"/>
      <c r="D28" t="str">
        <f>'2 Customer data'!D100</f>
        <v>Prepaid: Indigent</v>
      </c>
      <c r="E28" s="63" t="str">
        <f>'2 Customer data'!E100</f>
        <v>Indigent</v>
      </c>
      <c r="F28" s="22">
        <f>IFERROR(IF('2 Customer data'!J100="",'2 Customer data'!I100,'2 Customer data'!J100)/IF('2 Customer data'!$J$113=0,'2 Customer data'!$I$113,'2 Customer data'!$J$113),0)</f>
        <v>0.29672817842182725</v>
      </c>
      <c r="G28" s="22">
        <f>IFERROR(IF('2 Customer data'!L100="",'2 Customer data'!K100,'2 Customer data'!L100)/IF('2 Customer data'!$L$113=0,'2 Customer data'!$K$113,'2 Customer data'!$L$113),0)</f>
        <v>7.8517265702211667E-2</v>
      </c>
      <c r="H28" s="22">
        <f>IFERROR(IF($E$18=$S$16,IF('2 Customer data'!N100="",'2 Customer data'!M100,'2 Customer data'!N100)/IF('2 Customer data'!$N$113=0,'2 Customer data'!$M$113=0,'2 Customer data'!$N$113),IF($E$18=$S$17,IF('2 Customer data'!J100="",'2 Customer data'!I100,'2 Customer data'!J100)/IF('2 Customer data'!$J$113=0,'2 Customer data'!$I$113,'2 Customer data'!$J$113),IF($E$18=$S$18,IF('2 Customer data'!L100="",'2 Customer data'!K100,'2 Customer data'!L100)/IF('2 Customer data'!$L$113=0,'2 Customer data'!$K$113,'2 Customer data'!$L$113)))),0)</f>
        <v>7.8517265702211667E-2</v>
      </c>
      <c r="I28" s="26">
        <f ca="1">'1 Electricity'!$I$35*'2 Electricity'!F28</f>
        <v>17529369.005751159</v>
      </c>
      <c r="J28" s="26">
        <f ca="1">'1 Electricity'!$J$35*'2 Electricity'!G28</f>
        <v>11945623.242350271</v>
      </c>
      <c r="K28" s="26">
        <f ca="1">'1 Electricity'!$K$35*'2 Electricity'!H28</f>
        <v>0</v>
      </c>
      <c r="L28" s="26">
        <f t="shared" ca="1" si="0"/>
        <v>29474992.248101428</v>
      </c>
      <c r="M28" s="64">
        <f ca="1">IFERROR(I28/IF('2 Customer data'!J100="",'2 Customer data'!I100,'2 Customer data'!J100)/12,0)</f>
        <v>557.33718064832635</v>
      </c>
      <c r="N28" s="64">
        <f ca="1">IFERROR(J28/IF('2 Customer data'!L100="",'2 Customer data'!K100,'2 Customer data'!L100),0)</f>
        <v>2.9819428113304198</v>
      </c>
      <c r="O28" s="64">
        <f ca="1">IFERROR(K28/IF('2 Customer data'!N100="",'2 Customer data'!M100,'2 Customer data'!N100),0)</f>
        <v>0</v>
      </c>
      <c r="P28" s="64">
        <f ca="1">IFERROR(L28/IF('2 Customer data'!L100="",'2 Customer data'!K100,'2 Customer data'!L100),0)</f>
        <v>7.3577359226133803</v>
      </c>
      <c r="Q28" s="125"/>
    </row>
    <row r="29" spans="3:19" x14ac:dyDescent="0.55000000000000004">
      <c r="C29" s="124"/>
      <c r="D29" t="str">
        <f>'2 Customer data'!D101</f>
        <v>Prepaid: Commercial</v>
      </c>
      <c r="E29" s="63" t="str">
        <f>'2 Customer data'!E101</f>
        <v>Commercial</v>
      </c>
      <c r="F29" s="22">
        <f>IFERROR(IF('2 Customer data'!J101="",'2 Customer data'!I101,'2 Customer data'!J101)/IF('2 Customer data'!$J$113=0,'2 Customer data'!$I$113,'2 Customer data'!$J$113),0)</f>
        <v>5.1737801426468923E-2</v>
      </c>
      <c r="G29" s="22">
        <f>IFERROR(IF('2 Customer data'!L101="",'2 Customer data'!K101,'2 Customer data'!L101)/IF('2 Customer data'!$L$113=0,'2 Customer data'!$K$113,'2 Customer data'!$L$113),0)</f>
        <v>9.8085879514679383E-2</v>
      </c>
      <c r="H29" s="22">
        <f>IFERROR(IF($E$18=$S$16,IF('2 Customer data'!N101="",'2 Customer data'!M101,'2 Customer data'!N101)/IF('2 Customer data'!$N$113=0,'2 Customer data'!$M$113=0,'2 Customer data'!$N$113),IF($E$18=$S$17,IF('2 Customer data'!J101="",'2 Customer data'!I101,'2 Customer data'!J101)/IF('2 Customer data'!$J$113=0,'2 Customer data'!$I$113,'2 Customer data'!$J$113),IF($E$18=$S$18,IF('2 Customer data'!L101="",'2 Customer data'!K101,'2 Customer data'!L101)/IF('2 Customer data'!$L$113=0,'2 Customer data'!$K$113,'2 Customer data'!$L$113)))),0)</f>
        <v>9.8085879514679383E-2</v>
      </c>
      <c r="I29" s="26">
        <f ca="1">'1 Electricity'!$I$35*'2 Electricity'!F29</f>
        <v>3056437.0986754214</v>
      </c>
      <c r="J29" s="26">
        <f ca="1">'1 Electricity'!$J$35*'2 Electricity'!G29</f>
        <v>14922793.752405442</v>
      </c>
      <c r="K29" s="26">
        <f ca="1">'1 Electricity'!$K$35*'2 Electricity'!H29</f>
        <v>0</v>
      </c>
      <c r="L29" s="26">
        <f t="shared" ca="1" si="0"/>
        <v>17979230.851080865</v>
      </c>
      <c r="M29" s="64">
        <f ca="1">IFERROR(I29/IF('2 Customer data'!J101="",'2 Customer data'!I101,'2 Customer data'!J101)/12,0)</f>
        <v>557.33718064832635</v>
      </c>
      <c r="N29" s="64">
        <f ca="1">IFERROR(J29/IF('2 Customer data'!L101="",'2 Customer data'!K101,'2 Customer data'!L101),0)</f>
        <v>2.9819428113304203</v>
      </c>
      <c r="O29" s="64">
        <f ca="1">IFERROR(K29/IF('2 Customer data'!N101="",'2 Customer data'!M101,'2 Customer data'!N101),0)</f>
        <v>0</v>
      </c>
      <c r="P29" s="64">
        <f ca="1">IFERROR(L29/IF('2 Customer data'!L101="",'2 Customer data'!K101,'2 Customer data'!L101),0)</f>
        <v>3.592694443089028</v>
      </c>
      <c r="Q29" s="125"/>
    </row>
    <row r="30" spans="3:19" x14ac:dyDescent="0.55000000000000004">
      <c r="C30" s="124"/>
      <c r="D30">
        <f>'2 Customer data'!D102</f>
        <v>0</v>
      </c>
      <c r="E30" s="63">
        <f>'2 Customer data'!E102</f>
        <v>0</v>
      </c>
      <c r="F30" s="22">
        <f>IFERROR(IF('2 Customer data'!J102="",'2 Customer data'!I102,'2 Customer data'!J102)/IF('2 Customer data'!$J$113=0,'2 Customer data'!$I$113,'2 Customer data'!$J$113),0)</f>
        <v>0</v>
      </c>
      <c r="G30" s="22">
        <f>IFERROR(IF('2 Customer data'!L102="",'2 Customer data'!K102,'2 Customer data'!L102)/IF('2 Customer data'!$L$113=0,'2 Customer data'!$K$113,'2 Customer data'!$L$113),0)</f>
        <v>0</v>
      </c>
      <c r="H30" s="22">
        <f>IFERROR(IF($E$18=$S$16,IF('2 Customer data'!N102="",'2 Customer data'!M102,'2 Customer data'!N102)/IF('2 Customer data'!$N$113=0,'2 Customer data'!$M$113=0,'2 Customer data'!$N$113),IF($E$18=$S$17,IF('2 Customer data'!J102="",'2 Customer data'!I102,'2 Customer data'!J102)/IF('2 Customer data'!$J$113=0,'2 Customer data'!$I$113,'2 Customer data'!$J$113),IF($E$18=$S$18,IF('2 Customer data'!L102="",'2 Customer data'!K102,'2 Customer data'!L102)/IF('2 Customer data'!$L$113=0,'2 Customer data'!$K$113,'2 Customer data'!$L$113)))),0)</f>
        <v>0</v>
      </c>
      <c r="I30" s="26">
        <f ca="1">'1 Electricity'!$I$35*'2 Electricity'!F30</f>
        <v>0</v>
      </c>
      <c r="J30" s="26">
        <f ca="1">'1 Electricity'!$J$35*'2 Electricity'!G30</f>
        <v>0</v>
      </c>
      <c r="K30" s="26">
        <f ca="1">'1 Electricity'!$K$35*'2 Electricity'!H30</f>
        <v>0</v>
      </c>
      <c r="L30" s="26">
        <f t="shared" ca="1" si="0"/>
        <v>0</v>
      </c>
      <c r="M30" s="64">
        <f ca="1">IFERROR(I30/IF('2 Customer data'!J102="",'2 Customer data'!I102,'2 Customer data'!J102)/12,0)</f>
        <v>0</v>
      </c>
      <c r="N30" s="64">
        <f ca="1">IFERROR(J30/IF('2 Customer data'!L102="",'2 Customer data'!K102,'2 Customer data'!L102),0)</f>
        <v>0</v>
      </c>
      <c r="O30" s="64">
        <f ca="1">IFERROR(K30/IF('2 Customer data'!N102="",'2 Customer data'!M102,'2 Customer data'!N102),0)</f>
        <v>0</v>
      </c>
      <c r="P30" s="64">
        <f ca="1">IFERROR(L30/IF('2 Customer data'!L102="",'2 Customer data'!K102,'2 Customer data'!L102),0)</f>
        <v>0</v>
      </c>
      <c r="Q30" s="125"/>
    </row>
    <row r="31" spans="3:19" x14ac:dyDescent="0.55000000000000004">
      <c r="C31" s="124"/>
      <c r="D31">
        <f>'2 Customer data'!D103</f>
        <v>0</v>
      </c>
      <c r="E31" s="63">
        <f>'2 Customer data'!E103</f>
        <v>0</v>
      </c>
      <c r="F31" s="22">
        <f>IFERROR(IF('2 Customer data'!J103="",'2 Customer data'!I103,'2 Customer data'!J103)/IF('2 Customer data'!$J$113=0,'2 Customer data'!$I$113,'2 Customer data'!$J$113),0)</f>
        <v>0</v>
      </c>
      <c r="G31" s="22">
        <f>IFERROR(IF('2 Customer data'!L103="",'2 Customer data'!K103,'2 Customer data'!L103)/IF('2 Customer data'!$L$113=0,'2 Customer data'!$K$113,'2 Customer data'!$L$113),0)</f>
        <v>0</v>
      </c>
      <c r="H31" s="22">
        <f>IFERROR(IF($E$18=$S$16,IF('2 Customer data'!N103="",'2 Customer data'!M103,'2 Customer data'!N103)/IF('2 Customer data'!$N$113=0,'2 Customer data'!$M$113=0,'2 Customer data'!$N$113),IF($E$18=$S$17,IF('2 Customer data'!J103="",'2 Customer data'!I103,'2 Customer data'!J103)/IF('2 Customer data'!$J$113=0,'2 Customer data'!$I$113,'2 Customer data'!$J$113),IF($E$18=$S$18,IF('2 Customer data'!L103="",'2 Customer data'!K103,'2 Customer data'!L103)/IF('2 Customer data'!$L$113=0,'2 Customer data'!$K$113,'2 Customer data'!$L$113)))),0)</f>
        <v>0</v>
      </c>
      <c r="I31" s="26">
        <f ca="1">'1 Electricity'!$I$35*'2 Electricity'!F31</f>
        <v>0</v>
      </c>
      <c r="J31" s="26">
        <f ca="1">'1 Electricity'!$J$35*'2 Electricity'!G31</f>
        <v>0</v>
      </c>
      <c r="K31" s="26">
        <f ca="1">'1 Electricity'!$K$35*'2 Electricity'!H31</f>
        <v>0</v>
      </c>
      <c r="L31" s="26">
        <f t="shared" ca="1" si="0"/>
        <v>0</v>
      </c>
      <c r="M31" s="64">
        <f ca="1">IFERROR(I31/IF('2 Customer data'!J103="",'2 Customer data'!I103,'2 Customer data'!J103)/12,0)</f>
        <v>0</v>
      </c>
      <c r="N31" s="64">
        <f ca="1">IFERROR(J31/IF('2 Customer data'!L103="",'2 Customer data'!K103,'2 Customer data'!L103),0)</f>
        <v>0</v>
      </c>
      <c r="O31" s="64">
        <f ca="1">IFERROR(K31/IF('2 Customer data'!N103="",'2 Customer data'!M103,'2 Customer data'!N103),0)</f>
        <v>0</v>
      </c>
      <c r="P31" s="64">
        <f ca="1">IFERROR(L31/IF('2 Customer data'!L103="",'2 Customer data'!K103,'2 Customer data'!L103),0)</f>
        <v>0</v>
      </c>
      <c r="Q31" s="125"/>
    </row>
    <row r="32" spans="3:19" x14ac:dyDescent="0.55000000000000004">
      <c r="C32" s="124"/>
      <c r="D32">
        <f>'2 Customer data'!D104</f>
        <v>0</v>
      </c>
      <c r="E32" s="63">
        <f>'2 Customer data'!E104</f>
        <v>0</v>
      </c>
      <c r="F32" s="22">
        <f>IFERROR(IF('2 Customer data'!J104="",'2 Customer data'!I104,'2 Customer data'!J104)/IF('2 Customer data'!$J$113=0,'2 Customer data'!$I$113,'2 Customer data'!$J$113),0)</f>
        <v>0</v>
      </c>
      <c r="G32" s="22">
        <f>IFERROR(IF('2 Customer data'!L104="",'2 Customer data'!K104,'2 Customer data'!L104)/IF('2 Customer data'!$L$113=0,'2 Customer data'!$K$113,'2 Customer data'!$L$113),0)</f>
        <v>0</v>
      </c>
      <c r="H32" s="22">
        <f>IFERROR(IF($E$18=$S$16,IF('2 Customer data'!N104="",'2 Customer data'!M104,'2 Customer data'!N104)/IF('2 Customer data'!$N$113=0,'2 Customer data'!$M$113=0,'2 Customer data'!$N$113),IF($E$18=$S$17,IF('2 Customer data'!J104="",'2 Customer data'!I104,'2 Customer data'!J104)/IF('2 Customer data'!$J$113=0,'2 Customer data'!$I$113,'2 Customer data'!$J$113),IF($E$18=$S$18,IF('2 Customer data'!L104="",'2 Customer data'!K104,'2 Customer data'!L104)/IF('2 Customer data'!$L$113=0,'2 Customer data'!$K$113,'2 Customer data'!$L$113)))),0)</f>
        <v>0</v>
      </c>
      <c r="I32" s="26">
        <f ca="1">'1 Electricity'!$I$35*'2 Electricity'!F32</f>
        <v>0</v>
      </c>
      <c r="J32" s="26">
        <f ca="1">'1 Electricity'!$J$35*'2 Electricity'!G32</f>
        <v>0</v>
      </c>
      <c r="K32" s="26">
        <f ca="1">'1 Electricity'!$K$35*'2 Electricity'!H32</f>
        <v>0</v>
      </c>
      <c r="L32" s="26">
        <f t="shared" ca="1" si="0"/>
        <v>0</v>
      </c>
      <c r="M32" s="64">
        <f ca="1">IFERROR(I32/IF('2 Customer data'!J104="",'2 Customer data'!I104,'2 Customer data'!J104)/12,0)</f>
        <v>0</v>
      </c>
      <c r="N32" s="64">
        <f ca="1">IFERROR(J32/IF('2 Customer data'!L104="",'2 Customer data'!K104,'2 Customer data'!L104),0)</f>
        <v>0</v>
      </c>
      <c r="O32" s="64">
        <f ca="1">IFERROR(K32/IF('2 Customer data'!N104="",'2 Customer data'!M104,'2 Customer data'!N104),0)</f>
        <v>0</v>
      </c>
      <c r="P32" s="64">
        <f ca="1">IFERROR(L32/IF('2 Customer data'!L104="",'2 Customer data'!K104,'2 Customer data'!L104),0)</f>
        <v>0</v>
      </c>
      <c r="Q32" s="125"/>
    </row>
    <row r="33" spans="3:17" x14ac:dyDescent="0.55000000000000004">
      <c r="C33" s="124"/>
      <c r="D33">
        <f>'2 Customer data'!D105</f>
        <v>0</v>
      </c>
      <c r="E33" s="63">
        <f>'2 Customer data'!E105</f>
        <v>0</v>
      </c>
      <c r="F33" s="22">
        <f>IFERROR(IF('2 Customer data'!J105="",'2 Customer data'!I105,'2 Customer data'!J105)/IF('2 Customer data'!$J$113=0,'2 Customer data'!$I$113,'2 Customer data'!$J$113),0)</f>
        <v>0</v>
      </c>
      <c r="G33" s="22">
        <f>IFERROR(IF('2 Customer data'!L105="",'2 Customer data'!K105,'2 Customer data'!L105)/IF('2 Customer data'!$L$113=0,'2 Customer data'!$K$113,'2 Customer data'!$L$113),0)</f>
        <v>0</v>
      </c>
      <c r="H33" s="22">
        <f>IFERROR(IF($E$18=$S$16,IF('2 Customer data'!N105="",'2 Customer data'!M105,'2 Customer data'!N105)/IF('2 Customer data'!$N$113=0,'2 Customer data'!$M$113=0,'2 Customer data'!$N$113),IF($E$18=$S$17,IF('2 Customer data'!J105="",'2 Customer data'!I105,'2 Customer data'!J105)/IF('2 Customer data'!$J$113=0,'2 Customer data'!$I$113,'2 Customer data'!$J$113),IF($E$18=$S$18,IF('2 Customer data'!L105="",'2 Customer data'!K105,'2 Customer data'!L105)/IF('2 Customer data'!$L$113=0,'2 Customer data'!$K$113,'2 Customer data'!$L$113)))),0)</f>
        <v>0</v>
      </c>
      <c r="I33" s="26">
        <f ca="1">'1 Electricity'!$I$35*'2 Electricity'!F33</f>
        <v>0</v>
      </c>
      <c r="J33" s="26">
        <f ca="1">'1 Electricity'!$J$35*'2 Electricity'!G33</f>
        <v>0</v>
      </c>
      <c r="K33" s="26">
        <f ca="1">'1 Electricity'!$K$35*'2 Electricity'!H33</f>
        <v>0</v>
      </c>
      <c r="L33" s="26">
        <f t="shared" ca="1" si="0"/>
        <v>0</v>
      </c>
      <c r="M33" s="64">
        <f ca="1">IFERROR(I33/IF('2 Customer data'!J105="",'2 Customer data'!I105,'2 Customer data'!J105)/12,0)</f>
        <v>0</v>
      </c>
      <c r="N33" s="64">
        <f ca="1">IFERROR(J33/IF('2 Customer data'!L105="",'2 Customer data'!K105,'2 Customer data'!L105),0)</f>
        <v>0</v>
      </c>
      <c r="O33" s="64">
        <f ca="1">IFERROR(K33/IF('2 Customer data'!N105="",'2 Customer data'!M105,'2 Customer data'!N105),0)</f>
        <v>0</v>
      </c>
      <c r="P33" s="64">
        <f ca="1">IFERROR(L33/IF('2 Customer data'!L105="",'2 Customer data'!K105,'2 Customer data'!L105),0)</f>
        <v>0</v>
      </c>
      <c r="Q33" s="125"/>
    </row>
    <row r="34" spans="3:17" x14ac:dyDescent="0.55000000000000004">
      <c r="C34" s="124"/>
      <c r="D34">
        <f>'2 Customer data'!D106</f>
        <v>0</v>
      </c>
      <c r="E34" s="63">
        <f>'2 Customer data'!E106</f>
        <v>0</v>
      </c>
      <c r="F34" s="22">
        <f>IFERROR(IF('2 Customer data'!J106="",'2 Customer data'!I106,'2 Customer data'!J106)/IF('2 Customer data'!$J$113=0,'2 Customer data'!$I$113,'2 Customer data'!$J$113),0)</f>
        <v>0</v>
      </c>
      <c r="G34" s="22">
        <f>IFERROR(IF('2 Customer data'!L106="",'2 Customer data'!K106,'2 Customer data'!L106)/IF('2 Customer data'!$L$113=0,'2 Customer data'!$K$113,'2 Customer data'!$L$113),0)</f>
        <v>0</v>
      </c>
      <c r="H34" s="22">
        <f>IFERROR(IF($E$18=$S$16,IF('2 Customer data'!N106="",'2 Customer data'!M106,'2 Customer data'!N106)/IF('2 Customer data'!$N$113=0,'2 Customer data'!$M$113=0,'2 Customer data'!$N$113),IF($E$18=$S$17,IF('2 Customer data'!J106="",'2 Customer data'!I106,'2 Customer data'!J106)/IF('2 Customer data'!$J$113=0,'2 Customer data'!$I$113,'2 Customer data'!$J$113),IF($E$18=$S$18,IF('2 Customer data'!L106="",'2 Customer data'!K106,'2 Customer data'!L106)/IF('2 Customer data'!$L$113=0,'2 Customer data'!$K$113,'2 Customer data'!$L$113)))),0)</f>
        <v>0</v>
      </c>
      <c r="I34" s="26">
        <f ca="1">'1 Electricity'!$I$35*'2 Electricity'!F34</f>
        <v>0</v>
      </c>
      <c r="J34" s="26">
        <f ca="1">'1 Electricity'!$J$35*'2 Electricity'!G34</f>
        <v>0</v>
      </c>
      <c r="K34" s="26">
        <f ca="1">'1 Electricity'!$K$35*'2 Electricity'!H34</f>
        <v>0</v>
      </c>
      <c r="L34" s="26">
        <f t="shared" ca="1" si="0"/>
        <v>0</v>
      </c>
      <c r="M34" s="64">
        <f ca="1">IFERROR(I34/IF('2 Customer data'!J106="",'2 Customer data'!I106,'2 Customer data'!J106)/12,0)</f>
        <v>0</v>
      </c>
      <c r="N34" s="64">
        <f ca="1">IFERROR(J34/IF('2 Customer data'!L106="",'2 Customer data'!K106,'2 Customer data'!L106),0)</f>
        <v>0</v>
      </c>
      <c r="O34" s="64">
        <f ca="1">IFERROR(K34/IF('2 Customer data'!N106="",'2 Customer data'!M106,'2 Customer data'!N106),0)</f>
        <v>0</v>
      </c>
      <c r="P34" s="64">
        <f ca="1">IFERROR(L34/IF('2 Customer data'!L106="",'2 Customer data'!K106,'2 Customer data'!L106),0)</f>
        <v>0</v>
      </c>
      <c r="Q34" s="125"/>
    </row>
    <row r="35" spans="3:17" x14ac:dyDescent="0.55000000000000004">
      <c r="C35" s="124"/>
      <c r="D35">
        <f>'2 Customer data'!D107</f>
        <v>0</v>
      </c>
      <c r="E35" s="63">
        <f>'2 Customer data'!E107</f>
        <v>0</v>
      </c>
      <c r="F35" s="22">
        <f>IFERROR(IF('2 Customer data'!J107="",'2 Customer data'!I107,'2 Customer data'!J107)/IF('2 Customer data'!$J$113=0,'2 Customer data'!$I$113,'2 Customer data'!$J$113),0)</f>
        <v>0</v>
      </c>
      <c r="G35" s="22">
        <f>IFERROR(IF('2 Customer data'!L107="",'2 Customer data'!K107,'2 Customer data'!L107)/IF('2 Customer data'!$L$113=0,'2 Customer data'!$K$113,'2 Customer data'!$L$113),0)</f>
        <v>0</v>
      </c>
      <c r="H35" s="22">
        <f>IFERROR(IF($E$18=$S$16,IF('2 Customer data'!N107="",'2 Customer data'!M107,'2 Customer data'!N107)/IF('2 Customer data'!$N$113=0,'2 Customer data'!$M$113=0,'2 Customer data'!$N$113),IF($E$18=$S$17,IF('2 Customer data'!J107="",'2 Customer data'!I107,'2 Customer data'!J107)/IF('2 Customer data'!$J$113=0,'2 Customer data'!$I$113,'2 Customer data'!$J$113),IF($E$18=$S$18,IF('2 Customer data'!L107="",'2 Customer data'!K107,'2 Customer data'!L107)/IF('2 Customer data'!$L$113=0,'2 Customer data'!$K$113,'2 Customer data'!$L$113)))),0)</f>
        <v>0</v>
      </c>
      <c r="I35" s="26">
        <f ca="1">'1 Electricity'!$I$35*'2 Electricity'!F35</f>
        <v>0</v>
      </c>
      <c r="J35" s="26">
        <f ca="1">'1 Electricity'!$J$35*'2 Electricity'!G35</f>
        <v>0</v>
      </c>
      <c r="K35" s="26">
        <f ca="1">'1 Electricity'!$K$35*'2 Electricity'!H35</f>
        <v>0</v>
      </c>
      <c r="L35" s="26">
        <f t="shared" ca="1" si="0"/>
        <v>0</v>
      </c>
      <c r="M35" s="64">
        <f ca="1">IFERROR(I35/IF('2 Customer data'!J107="",'2 Customer data'!I107,'2 Customer data'!J107)/12,0)</f>
        <v>0</v>
      </c>
      <c r="N35" s="64">
        <f ca="1">IFERROR(J35/IF('2 Customer data'!L107="",'2 Customer data'!K107,'2 Customer data'!L107),0)</f>
        <v>0</v>
      </c>
      <c r="O35" s="64">
        <f ca="1">IFERROR(K35/IF('2 Customer data'!N107="",'2 Customer data'!M107,'2 Customer data'!N107),0)</f>
        <v>0</v>
      </c>
      <c r="P35" s="64">
        <f ca="1">IFERROR(L35/IF('2 Customer data'!L107="",'2 Customer data'!K107,'2 Customer data'!L107),0)</f>
        <v>0</v>
      </c>
      <c r="Q35" s="125"/>
    </row>
    <row r="36" spans="3:17" x14ac:dyDescent="0.55000000000000004">
      <c r="C36" s="124"/>
      <c r="D36">
        <f>'2 Customer data'!D108</f>
        <v>0</v>
      </c>
      <c r="E36" s="63">
        <f>'2 Customer data'!E108</f>
        <v>0</v>
      </c>
      <c r="F36" s="22">
        <f>IFERROR(IF('2 Customer data'!J108="",'2 Customer data'!I108,'2 Customer data'!J108)/IF('2 Customer data'!$J$113=0,'2 Customer data'!$I$113,'2 Customer data'!$J$113),0)</f>
        <v>0</v>
      </c>
      <c r="G36" s="22">
        <f>IFERROR(IF('2 Customer data'!L108="",'2 Customer data'!K108,'2 Customer data'!L108)/IF('2 Customer data'!$L$113=0,'2 Customer data'!$K$113,'2 Customer data'!$L$113),0)</f>
        <v>0</v>
      </c>
      <c r="H36" s="22">
        <f>IFERROR(IF($E$18=$S$16,IF('2 Customer data'!N108="",'2 Customer data'!M108,'2 Customer data'!N108)/IF('2 Customer data'!$N$113=0,'2 Customer data'!$M$113=0,'2 Customer data'!$N$113),IF($E$18=$S$17,IF('2 Customer data'!J108="",'2 Customer data'!I108,'2 Customer data'!J108)/IF('2 Customer data'!$J$113=0,'2 Customer data'!$I$113,'2 Customer data'!$J$113),IF($E$18=$S$18,IF('2 Customer data'!L108="",'2 Customer data'!K108,'2 Customer data'!L108)/IF('2 Customer data'!$L$113=0,'2 Customer data'!$K$113,'2 Customer data'!$L$113)))),0)</f>
        <v>0</v>
      </c>
      <c r="I36" s="26">
        <f ca="1">'1 Electricity'!$I$35*'2 Electricity'!F36</f>
        <v>0</v>
      </c>
      <c r="J36" s="26">
        <f ca="1">'1 Electricity'!$J$35*'2 Electricity'!G36</f>
        <v>0</v>
      </c>
      <c r="K36" s="26">
        <f ca="1">'1 Electricity'!$K$35*'2 Electricity'!H36</f>
        <v>0</v>
      </c>
      <c r="L36" s="26">
        <f t="shared" ca="1" si="0"/>
        <v>0</v>
      </c>
      <c r="M36" s="64">
        <f ca="1">IFERROR(I36/IF('2 Customer data'!J108="",'2 Customer data'!I108,'2 Customer data'!J108)/12,0)</f>
        <v>0</v>
      </c>
      <c r="N36" s="64">
        <f ca="1">IFERROR(J36/IF('2 Customer data'!L108="",'2 Customer data'!K108,'2 Customer data'!L108),0)</f>
        <v>0</v>
      </c>
      <c r="O36" s="64">
        <f ca="1">IFERROR(K36/IF('2 Customer data'!N108="",'2 Customer data'!M108,'2 Customer data'!N108),0)</f>
        <v>0</v>
      </c>
      <c r="P36" s="64">
        <f ca="1">IFERROR(L36/IF('2 Customer data'!L108="",'2 Customer data'!K108,'2 Customer data'!L108),0)</f>
        <v>0</v>
      </c>
      <c r="Q36" s="125"/>
    </row>
    <row r="37" spans="3:17" x14ac:dyDescent="0.55000000000000004">
      <c r="C37" s="124"/>
      <c r="D37">
        <f>'2 Customer data'!D109</f>
        <v>0</v>
      </c>
      <c r="E37" s="63">
        <f>'2 Customer data'!E109</f>
        <v>0</v>
      </c>
      <c r="F37" s="22">
        <f>IFERROR(IF('2 Customer data'!J109="",'2 Customer data'!I109,'2 Customer data'!J109)/IF('2 Customer data'!$J$113=0,'2 Customer data'!$I$113,'2 Customer data'!$J$113),0)</f>
        <v>0</v>
      </c>
      <c r="G37" s="22">
        <f>IFERROR(IF('2 Customer data'!L109="",'2 Customer data'!K109,'2 Customer data'!L109)/IF('2 Customer data'!$L$113=0,'2 Customer data'!$K$113,'2 Customer data'!$L$113),0)</f>
        <v>0</v>
      </c>
      <c r="H37" s="22">
        <f>IFERROR(IF($E$18=$S$16,IF('2 Customer data'!N109="",'2 Customer data'!M109,'2 Customer data'!N109)/IF('2 Customer data'!$N$113=0,'2 Customer data'!$M$113=0,'2 Customer data'!$N$113),IF($E$18=$S$17,IF('2 Customer data'!J109="",'2 Customer data'!I109,'2 Customer data'!J109)/IF('2 Customer data'!$J$113=0,'2 Customer data'!$I$113,'2 Customer data'!$J$113),IF($E$18=$S$18,IF('2 Customer data'!L109="",'2 Customer data'!K109,'2 Customer data'!L109)/IF('2 Customer data'!$L$113=0,'2 Customer data'!$K$113,'2 Customer data'!$L$113)))),0)</f>
        <v>0</v>
      </c>
      <c r="I37" s="26">
        <f ca="1">'1 Electricity'!$I$35*'2 Electricity'!F37</f>
        <v>0</v>
      </c>
      <c r="J37" s="26">
        <f ca="1">'1 Electricity'!$J$35*'2 Electricity'!G37</f>
        <v>0</v>
      </c>
      <c r="K37" s="26">
        <f ca="1">'1 Electricity'!$K$35*'2 Electricity'!H37</f>
        <v>0</v>
      </c>
      <c r="L37" s="26">
        <f t="shared" ca="1" si="0"/>
        <v>0</v>
      </c>
      <c r="M37" s="64">
        <f ca="1">IFERROR(I37/IF('2 Customer data'!J109="",'2 Customer data'!I109,'2 Customer data'!J109)/12,0)</f>
        <v>0</v>
      </c>
      <c r="N37" s="64">
        <f ca="1">IFERROR(J37/IF('2 Customer data'!L109="",'2 Customer data'!K109,'2 Customer data'!L109),0)</f>
        <v>0</v>
      </c>
      <c r="O37" s="64">
        <f ca="1">IFERROR(K37/IF('2 Customer data'!N109="",'2 Customer data'!M109,'2 Customer data'!N109),0)</f>
        <v>0</v>
      </c>
      <c r="P37" s="64">
        <f ca="1">IFERROR(L37/IF('2 Customer data'!L109="",'2 Customer data'!K109,'2 Customer data'!L109),0)</f>
        <v>0</v>
      </c>
      <c r="Q37" s="125"/>
    </row>
    <row r="38" spans="3:17" x14ac:dyDescent="0.55000000000000004">
      <c r="C38" s="124"/>
      <c r="D38">
        <f>'2 Customer data'!D110</f>
        <v>0</v>
      </c>
      <c r="E38" s="63">
        <f>'2 Customer data'!E110</f>
        <v>0</v>
      </c>
      <c r="F38" s="22">
        <f>IFERROR(IF('2 Customer data'!J110="",'2 Customer data'!I110,'2 Customer data'!J110)/IF('2 Customer data'!$J$113=0,'2 Customer data'!$I$113,'2 Customer data'!$J$113),0)</f>
        <v>0</v>
      </c>
      <c r="G38" s="22">
        <f>IFERROR(IF('2 Customer data'!L110="",'2 Customer data'!K110,'2 Customer data'!L110)/IF('2 Customer data'!$L$113=0,'2 Customer data'!$K$113,'2 Customer data'!$L$113),0)</f>
        <v>0</v>
      </c>
      <c r="H38" s="22">
        <f>IFERROR(IF($E$18=$S$16,IF('2 Customer data'!N110="",'2 Customer data'!M110,'2 Customer data'!N110)/IF('2 Customer data'!$N$113=0,'2 Customer data'!$M$113=0,'2 Customer data'!$N$113),IF($E$18=$S$17,IF('2 Customer data'!J110="",'2 Customer data'!I110,'2 Customer data'!J110)/IF('2 Customer data'!$J$113=0,'2 Customer data'!$I$113,'2 Customer data'!$J$113),IF($E$18=$S$18,IF('2 Customer data'!L110="",'2 Customer data'!K110,'2 Customer data'!L110)/IF('2 Customer data'!$L$113=0,'2 Customer data'!$K$113,'2 Customer data'!$L$113)))),0)</f>
        <v>0</v>
      </c>
      <c r="I38" s="26">
        <f ca="1">'1 Electricity'!$I$35*'2 Electricity'!F38</f>
        <v>0</v>
      </c>
      <c r="J38" s="26">
        <f ca="1">'1 Electricity'!$J$35*'2 Electricity'!G38</f>
        <v>0</v>
      </c>
      <c r="K38" s="26">
        <f ca="1">'1 Electricity'!$K$35*'2 Electricity'!H38</f>
        <v>0</v>
      </c>
      <c r="L38" s="26">
        <f t="shared" ca="1" si="0"/>
        <v>0</v>
      </c>
      <c r="M38" s="64">
        <f ca="1">IFERROR(I38/IF('2 Customer data'!J110="",'2 Customer data'!I110,'2 Customer data'!J110)/12,0)</f>
        <v>0</v>
      </c>
      <c r="N38" s="64">
        <f ca="1">IFERROR(J38/IF('2 Customer data'!L110="",'2 Customer data'!K110,'2 Customer data'!L110),0)</f>
        <v>0</v>
      </c>
      <c r="O38" s="64">
        <f ca="1">IFERROR(K38/IF('2 Customer data'!N110="",'2 Customer data'!M110,'2 Customer data'!N110),0)</f>
        <v>0</v>
      </c>
      <c r="P38" s="64">
        <f ca="1">IFERROR(L38/IF('2 Customer data'!L110="",'2 Customer data'!K110,'2 Customer data'!L110),0)</f>
        <v>0</v>
      </c>
      <c r="Q38" s="125"/>
    </row>
    <row r="39" spans="3:17" x14ac:dyDescent="0.55000000000000004">
      <c r="C39" s="124"/>
      <c r="D39">
        <f>'2 Customer data'!D111</f>
        <v>0</v>
      </c>
      <c r="E39" s="63">
        <f>'2 Customer data'!E111</f>
        <v>0</v>
      </c>
      <c r="F39" s="22">
        <f>IFERROR(IF('2 Customer data'!J111="",'2 Customer data'!I111,'2 Customer data'!J111)/IF('2 Customer data'!$J$113=0,'2 Customer data'!$I$113,'2 Customer data'!$J$113),0)</f>
        <v>0</v>
      </c>
      <c r="G39" s="22">
        <f>IFERROR(IF('2 Customer data'!L111="",'2 Customer data'!K111,'2 Customer data'!L111)/IF('2 Customer data'!$L$113=0,'2 Customer data'!$K$113,'2 Customer data'!$L$113),0)</f>
        <v>0</v>
      </c>
      <c r="H39" s="22">
        <f>IFERROR(IF($E$18=$S$16,IF('2 Customer data'!N111="",'2 Customer data'!M111,'2 Customer data'!N111)/IF('2 Customer data'!$N$113=0,'2 Customer data'!$M$113=0,'2 Customer data'!$N$113),IF($E$18=$S$17,IF('2 Customer data'!J111="",'2 Customer data'!I111,'2 Customer data'!J111)/IF('2 Customer data'!$J$113=0,'2 Customer data'!$I$113,'2 Customer data'!$J$113),IF($E$18=$S$18,IF('2 Customer data'!L111="",'2 Customer data'!K111,'2 Customer data'!L111)/IF('2 Customer data'!$L$113=0,'2 Customer data'!$K$113,'2 Customer data'!$L$113)))),0)</f>
        <v>0</v>
      </c>
      <c r="I39" s="26">
        <f ca="1">'1 Electricity'!$I$35*'2 Electricity'!F39</f>
        <v>0</v>
      </c>
      <c r="J39" s="26">
        <f ca="1">'1 Electricity'!$J$35*'2 Electricity'!G39</f>
        <v>0</v>
      </c>
      <c r="K39" s="26">
        <f ca="1">'1 Electricity'!$K$35*'2 Electricity'!H39</f>
        <v>0</v>
      </c>
      <c r="L39" s="26">
        <f t="shared" ca="1" si="0"/>
        <v>0</v>
      </c>
      <c r="M39" s="64">
        <f ca="1">IFERROR(I39/IF('2 Customer data'!J111="",'2 Customer data'!I111,'2 Customer data'!J111)/12,0)</f>
        <v>0</v>
      </c>
      <c r="N39" s="64">
        <f ca="1">IFERROR(J39/IF('2 Customer data'!L111="",'2 Customer data'!K111,'2 Customer data'!L111),0)</f>
        <v>0</v>
      </c>
      <c r="O39" s="64">
        <f ca="1">IFERROR(K39/IF('2 Customer data'!N111="",'2 Customer data'!M111,'2 Customer data'!N111),0)</f>
        <v>0</v>
      </c>
      <c r="P39" s="64">
        <f ca="1">IFERROR(L39/IF('2 Customer data'!L111="",'2 Customer data'!K111,'2 Customer data'!L111),0)</f>
        <v>0</v>
      </c>
      <c r="Q39" s="125"/>
    </row>
    <row r="40" spans="3:17" x14ac:dyDescent="0.55000000000000004">
      <c r="C40" s="124"/>
      <c r="D40">
        <f>'2 Customer data'!D112</f>
        <v>0</v>
      </c>
      <c r="E40" s="63">
        <f>'2 Customer data'!E112</f>
        <v>0</v>
      </c>
      <c r="F40" s="22">
        <f>IFERROR(IF('2 Customer data'!J112="",'2 Customer data'!I112,'2 Customer data'!J112)/IF('2 Customer data'!$J$113=0,'2 Customer data'!$I$113,'2 Customer data'!$J$113),0)</f>
        <v>0</v>
      </c>
      <c r="G40" s="22">
        <f>IFERROR(IF('2 Customer data'!L112="",'2 Customer data'!K112,'2 Customer data'!L112)/IF('2 Customer data'!$L$113=0,'2 Customer data'!$K$113,'2 Customer data'!$L$113),0)</f>
        <v>0</v>
      </c>
      <c r="H40" s="22">
        <f>IFERROR(IF($E$18=$S$16,IF('2 Customer data'!N112="",'2 Customer data'!M112,'2 Customer data'!N112)/IF('2 Customer data'!$N$113=0,'2 Customer data'!$M$113=0,'2 Customer data'!$N$113),IF($E$18=$S$17,IF('2 Customer data'!J112="",'2 Customer data'!I112,'2 Customer data'!J112)/IF('2 Customer data'!$J$113=0,'2 Customer data'!$I$113,'2 Customer data'!$J$113),IF($E$18=$S$18,IF('2 Customer data'!L112="",'2 Customer data'!K112,'2 Customer data'!L112)/IF('2 Customer data'!$L$113=0,'2 Customer data'!$K$113,'2 Customer data'!$L$113)))),0)</f>
        <v>0</v>
      </c>
      <c r="I40" s="26">
        <f ca="1">'1 Electricity'!$I$35*'2 Electricity'!F40</f>
        <v>0</v>
      </c>
      <c r="J40" s="26">
        <f ca="1">'1 Electricity'!$J$35*'2 Electricity'!G40</f>
        <v>0</v>
      </c>
      <c r="K40" s="26">
        <f ca="1">'1 Electricity'!$K$35*'2 Electricity'!H40</f>
        <v>0</v>
      </c>
      <c r="L40" s="26">
        <f t="shared" ca="1" si="0"/>
        <v>0</v>
      </c>
      <c r="M40" s="64">
        <f ca="1">IFERROR(I40/IF('2 Customer data'!J112="",'2 Customer data'!I112,'2 Customer data'!J112)/12,0)</f>
        <v>0</v>
      </c>
      <c r="N40" s="64">
        <f ca="1">IFERROR(J40/IF('2 Customer data'!L112="",'2 Customer data'!K112,'2 Customer data'!L112),0)</f>
        <v>0</v>
      </c>
      <c r="O40" s="64">
        <f ca="1">IFERROR(K40/IF('2 Customer data'!N112="",'2 Customer data'!M112,'2 Customer data'!N112),0)</f>
        <v>0</v>
      </c>
      <c r="P40" s="64">
        <f ca="1">IFERROR(L40/IF('2 Customer data'!L112="",'2 Customer data'!K112,'2 Customer data'!L112),0)</f>
        <v>0</v>
      </c>
      <c r="Q40" s="125"/>
    </row>
    <row r="41" spans="3:17" x14ac:dyDescent="0.55000000000000004">
      <c r="C41" s="124"/>
      <c r="D41" s="1" t="s">
        <v>33</v>
      </c>
      <c r="F41" s="65">
        <f>SUM(F21:F40)</f>
        <v>1</v>
      </c>
      <c r="G41" s="65">
        <f t="shared" ref="G41:L41" si="1">SUM(G21:G40)</f>
        <v>1</v>
      </c>
      <c r="H41" s="65">
        <f t="shared" si="1"/>
        <v>1</v>
      </c>
      <c r="I41" s="15">
        <f ca="1">SUM(I21:I40)</f>
        <v>59075511.800000004</v>
      </c>
      <c r="J41" s="15">
        <f t="shared" ca="1" si="1"/>
        <v>152140082</v>
      </c>
      <c r="K41" s="15">
        <f t="shared" ca="1" si="1"/>
        <v>0</v>
      </c>
      <c r="L41" s="15">
        <f t="shared" ca="1" si="1"/>
        <v>211215593.79999998</v>
      </c>
      <c r="M41" s="19">
        <f ca="1">IFERROR(I41/IF('2 Customer data'!$J$113=0,'2 Customer data'!$I$113,'2 Customer data'!$J$113)/12,0)</f>
        <v>557.33718064832635</v>
      </c>
      <c r="N41" s="19">
        <f ca="1">IFERROR(J41/IF('2 Customer data'!L113=0,'2 Customer data'!K113,'2 Customer data'!L113),0)</f>
        <v>2.9819428113304203</v>
      </c>
      <c r="O41" s="19">
        <f ca="1">IFERROR(K41/IF('2 Customer data'!N113=0,'2 Customer data'!M113,'2 Customer data'!N113),0)</f>
        <v>0</v>
      </c>
      <c r="P41" s="19">
        <f ca="1">IFERROR(L41/IF('2 Customer data'!L113=0,'2 Customer data'!K113,'2 Customer data'!L113),0)</f>
        <v>4.1398217569831202</v>
      </c>
      <c r="Q41" s="125"/>
    </row>
    <row r="42" spans="3:17" ht="14.7" thickBot="1" x14ac:dyDescent="0.6">
      <c r="C42" s="130"/>
      <c r="D42" s="241"/>
      <c r="E42" s="242"/>
      <c r="F42" s="242"/>
      <c r="G42" s="242"/>
      <c r="H42" s="242"/>
      <c r="I42" s="243"/>
      <c r="J42" s="243"/>
      <c r="K42" s="243"/>
      <c r="L42" s="242"/>
      <c r="M42" s="242"/>
      <c r="N42" s="242"/>
      <c r="O42" s="242"/>
      <c r="P42" s="131"/>
      <c r="Q42" s="132"/>
    </row>
    <row r="43" spans="3:17" ht="14.7" thickBot="1" x14ac:dyDescent="0.6">
      <c r="D43" s="1"/>
      <c r="E43" s="19"/>
      <c r="F43" s="19"/>
      <c r="G43" s="19"/>
      <c r="H43" s="19"/>
      <c r="I43" s="15"/>
      <c r="J43" s="15"/>
      <c r="K43" s="15"/>
      <c r="L43" s="19"/>
      <c r="M43" s="19"/>
      <c r="N43" s="19"/>
      <c r="O43" s="19"/>
    </row>
    <row r="44" spans="3:17" x14ac:dyDescent="0.55000000000000004">
      <c r="C44" s="121"/>
      <c r="D44" s="244"/>
      <c r="E44" s="245"/>
      <c r="F44" s="245"/>
      <c r="G44" s="245"/>
      <c r="H44" s="245"/>
      <c r="I44" s="246"/>
      <c r="J44" s="246"/>
      <c r="K44" s="246"/>
      <c r="L44" s="245"/>
      <c r="M44" s="245"/>
      <c r="N44" s="245"/>
      <c r="O44" s="245"/>
      <c r="P44" s="122"/>
      <c r="Q44" s="123"/>
    </row>
    <row r="45" spans="3:17" x14ac:dyDescent="0.55000000000000004">
      <c r="C45" s="124"/>
      <c r="D45" s="1" t="s">
        <v>168</v>
      </c>
      <c r="M45" s="19"/>
      <c r="N45" s="19"/>
      <c r="O45" s="19"/>
      <c r="Q45" s="125"/>
    </row>
    <row r="46" spans="3:17" ht="3" customHeight="1" x14ac:dyDescent="0.55000000000000004">
      <c r="C46" s="124"/>
      <c r="D46" s="1"/>
      <c r="M46" s="19"/>
      <c r="N46" s="19"/>
      <c r="O46" s="19"/>
      <c r="Q46" s="125"/>
    </row>
    <row r="47" spans="3:17" ht="14.55" customHeight="1" x14ac:dyDescent="0.55000000000000004">
      <c r="C47" s="124"/>
      <c r="D47" s="1804" t="s">
        <v>549</v>
      </c>
      <c r="E47" s="1804"/>
      <c r="F47" s="1804"/>
      <c r="G47" s="1804"/>
      <c r="H47" s="1804"/>
      <c r="I47" s="1804"/>
      <c r="J47" s="1804"/>
      <c r="K47" s="1804"/>
      <c r="L47" s="1804"/>
      <c r="M47" s="1804"/>
      <c r="N47" s="19"/>
      <c r="O47" s="19"/>
      <c r="Q47" s="125"/>
    </row>
    <row r="48" spans="3:17" x14ac:dyDescent="0.55000000000000004">
      <c r="C48" s="124"/>
      <c r="D48" s="1804"/>
      <c r="E48" s="1804"/>
      <c r="F48" s="1804"/>
      <c r="G48" s="1804"/>
      <c r="H48" s="1804"/>
      <c r="I48" s="1804"/>
      <c r="J48" s="1804"/>
      <c r="K48" s="1804"/>
      <c r="L48" s="1804"/>
      <c r="M48" s="1804"/>
      <c r="N48" s="19"/>
      <c r="O48" s="19"/>
      <c r="Q48" s="125"/>
    </row>
    <row r="49" spans="3:17" x14ac:dyDescent="0.55000000000000004">
      <c r="C49" s="124"/>
      <c r="D49" s="1804"/>
      <c r="E49" s="1804"/>
      <c r="F49" s="1804"/>
      <c r="G49" s="1804"/>
      <c r="H49" s="1804"/>
      <c r="I49" s="1804"/>
      <c r="J49" s="1804"/>
      <c r="K49" s="1804"/>
      <c r="L49" s="1804"/>
      <c r="M49" s="1804"/>
      <c r="N49" s="19"/>
      <c r="O49" s="19"/>
      <c r="Q49" s="125"/>
    </row>
    <row r="50" spans="3:17" ht="6.6" customHeight="1" x14ac:dyDescent="0.55000000000000004">
      <c r="C50" s="124"/>
      <c r="D50" s="1"/>
      <c r="E50" s="19"/>
      <c r="F50" s="19"/>
      <c r="G50" s="19"/>
      <c r="H50" s="19"/>
      <c r="I50" s="15"/>
      <c r="J50" s="15"/>
      <c r="K50" s="15"/>
      <c r="L50" s="19"/>
      <c r="M50" s="19"/>
      <c r="N50" s="19"/>
      <c r="O50" s="19"/>
      <c r="Q50" s="125"/>
    </row>
    <row r="51" spans="3:17" x14ac:dyDescent="0.55000000000000004">
      <c r="C51" s="124"/>
      <c r="D51" s="1804" t="s">
        <v>536</v>
      </c>
      <c r="E51" s="1804"/>
      <c r="F51" s="1804"/>
      <c r="G51" s="1804"/>
      <c r="H51" s="1804"/>
      <c r="I51" s="1804"/>
      <c r="J51" s="1804"/>
      <c r="K51" s="1804"/>
      <c r="L51" s="1804"/>
      <c r="M51" s="1804"/>
      <c r="N51" s="19"/>
      <c r="O51" s="19"/>
      <c r="Q51" s="125"/>
    </row>
    <row r="52" spans="3:17" x14ac:dyDescent="0.55000000000000004">
      <c r="C52" s="124"/>
      <c r="D52" s="1804"/>
      <c r="E52" s="1804"/>
      <c r="F52" s="1804"/>
      <c r="G52" s="1804"/>
      <c r="H52" s="1804"/>
      <c r="I52" s="1804"/>
      <c r="J52" s="1804"/>
      <c r="K52" s="1804"/>
      <c r="L52" s="1804"/>
      <c r="M52" s="1804"/>
      <c r="N52" s="19"/>
      <c r="O52" s="19"/>
      <c r="Q52" s="125"/>
    </row>
    <row r="53" spans="3:17" x14ac:dyDescent="0.55000000000000004">
      <c r="C53" s="124"/>
      <c r="D53" s="1"/>
      <c r="E53" s="19"/>
      <c r="F53" s="19"/>
      <c r="G53" s="19"/>
      <c r="H53" s="19"/>
      <c r="I53" s="15"/>
      <c r="J53" s="15"/>
      <c r="K53" s="15"/>
      <c r="L53" s="19"/>
      <c r="M53" s="19"/>
      <c r="N53" s="19"/>
      <c r="O53" s="19"/>
      <c r="Q53" s="125"/>
    </row>
    <row r="54" spans="3:17" ht="57.6" x14ac:dyDescent="0.55000000000000004">
      <c r="C54" s="124"/>
      <c r="D54" s="62" t="s">
        <v>283</v>
      </c>
      <c r="E54" s="56" t="s">
        <v>312</v>
      </c>
      <c r="F54" s="190" t="s">
        <v>304</v>
      </c>
      <c r="G54" s="190" t="s">
        <v>297</v>
      </c>
      <c r="H54" s="190" t="s">
        <v>298</v>
      </c>
      <c r="I54" s="190" t="s">
        <v>299</v>
      </c>
      <c r="J54" s="190" t="s">
        <v>300</v>
      </c>
      <c r="K54" s="190" t="s">
        <v>301</v>
      </c>
      <c r="L54" s="190" t="s">
        <v>302</v>
      </c>
      <c r="M54" s="190" t="s">
        <v>303</v>
      </c>
      <c r="N54" s="19"/>
      <c r="O54" s="19"/>
      <c r="Q54" s="125"/>
    </row>
    <row r="55" spans="3:17" x14ac:dyDescent="0.55000000000000004">
      <c r="C55" s="124"/>
      <c r="D55" s="1"/>
      <c r="E55" s="72"/>
      <c r="F55" s="67">
        <f ca="1">L41</f>
        <v>211215593.79999998</v>
      </c>
      <c r="G55" s="21">
        <f ca="1">'Revenue required'!H21</f>
        <v>0</v>
      </c>
      <c r="H55" s="17">
        <f>SUM(H56:H75)</f>
        <v>0</v>
      </c>
      <c r="I55" s="67">
        <f ca="1">'Revenue required'!H22</f>
        <v>19790304.550000001</v>
      </c>
      <c r="J55" s="17">
        <f>SUM(J56:J75)</f>
        <v>0</v>
      </c>
      <c r="K55" s="66">
        <f>'Revenue required'!H23</f>
        <v>0</v>
      </c>
      <c r="L55" s="17">
        <f>SUM(L56:L75)</f>
        <v>0</v>
      </c>
      <c r="M55" s="81">
        <f ca="1">SUM(M56:M75)</f>
        <v>191425289.25</v>
      </c>
      <c r="N55" s="19"/>
      <c r="O55" s="19"/>
      <c r="Q55" s="125"/>
    </row>
    <row r="56" spans="3:17" x14ac:dyDescent="0.55000000000000004">
      <c r="C56" s="124"/>
      <c r="D56" t="str">
        <f t="shared" ref="D56:E75" si="2">D21</f>
        <v>Bulk Customers LV: TOU</v>
      </c>
      <c r="E56" s="63" t="str">
        <f t="shared" si="2"/>
        <v>Industrial</v>
      </c>
      <c r="F56" s="26">
        <f t="shared" ref="F56:F75" ca="1" si="3">L21</f>
        <v>40943467.920347705</v>
      </c>
      <c r="G56" s="26">
        <f ca="1">IFERROR($G$55*(F56/$F$55),0)</f>
        <v>0</v>
      </c>
      <c r="H56" s="51"/>
      <c r="I56" s="26">
        <f ca="1">IFERROR($I$55*(F56/$F$55),0)</f>
        <v>3836287.2972536949</v>
      </c>
      <c r="J56" s="1434"/>
      <c r="K56" s="64">
        <f ca="1">IFERROR($K$55*(F56/$F$55),0)</f>
        <v>0</v>
      </c>
      <c r="L56" s="60"/>
      <c r="M56" s="21">
        <f ca="1">F56-IF(H56="",G56,H56)-IF(J56="",I56,J56)-IF(L56="",K56,L56)</f>
        <v>37107180.623094007</v>
      </c>
      <c r="N56" s="19"/>
      <c r="O56" s="19"/>
      <c r="Q56" s="125"/>
    </row>
    <row r="57" spans="3:17" x14ac:dyDescent="0.55000000000000004">
      <c r="C57" s="124"/>
      <c r="D57" t="str">
        <f t="shared" si="2"/>
        <v>Bulk Customers MV: TOU</v>
      </c>
      <c r="E57" s="63" t="str">
        <f t="shared" si="2"/>
        <v>Industrial</v>
      </c>
      <c r="F57" s="26">
        <f t="shared" ca="1" si="3"/>
        <v>10696208.714795178</v>
      </c>
      <c r="G57" s="26">
        <f t="shared" ref="G57:G75" ca="1" si="4">IFERROR($G$55*(F57/$F$55),0)</f>
        <v>0</v>
      </c>
      <c r="H57" s="51"/>
      <c r="I57" s="26">
        <f t="shared" ref="I57:I75" ca="1" si="5">IFERROR($I$55*(F57/$F$55),0)</f>
        <v>1002204.5445972213</v>
      </c>
      <c r="J57" s="51"/>
      <c r="K57" s="64">
        <f t="shared" ref="K57:K75" ca="1" si="6">IFERROR($K$55*(F57/$F$55),0)</f>
        <v>0</v>
      </c>
      <c r="L57" s="51"/>
      <c r="M57" s="21">
        <f t="shared" ref="M57:M75" ca="1" si="7">F57-IF(H57="",G57,H57)-IF(J57="",I57,J57)-IF(L57="",K57,L57)</f>
        <v>9694004.1701979563</v>
      </c>
      <c r="N57" s="19"/>
      <c r="O57" s="19"/>
      <c r="Q57" s="125"/>
    </row>
    <row r="58" spans="3:17" x14ac:dyDescent="0.55000000000000004">
      <c r="C58" s="124"/>
      <c r="D58" t="str">
        <f t="shared" si="2"/>
        <v>Small Customers: Commercial</v>
      </c>
      <c r="E58" s="63" t="str">
        <f t="shared" si="2"/>
        <v>Commercial</v>
      </c>
      <c r="F58" s="26">
        <f t="shared" ca="1" si="3"/>
        <v>19100497.570328631</v>
      </c>
      <c r="G58" s="26">
        <f t="shared" ca="1" si="4"/>
        <v>0</v>
      </c>
      <c r="H58" s="51"/>
      <c r="I58" s="26">
        <f t="shared" ca="1" si="5"/>
        <v>1789662.6720244491</v>
      </c>
      <c r="J58" s="51"/>
      <c r="K58" s="64">
        <f t="shared" ca="1" si="6"/>
        <v>0</v>
      </c>
      <c r="L58" s="51"/>
      <c r="M58" s="21">
        <f t="shared" ca="1" si="7"/>
        <v>17310834.898304183</v>
      </c>
      <c r="N58" s="19"/>
      <c r="O58" s="19"/>
      <c r="Q58" s="125"/>
    </row>
    <row r="59" spans="3:17" x14ac:dyDescent="0.55000000000000004">
      <c r="C59" s="124"/>
      <c r="D59" t="str">
        <f t="shared" si="2"/>
        <v>Small Customers: TOU</v>
      </c>
      <c r="E59" s="63" t="str">
        <f t="shared" si="2"/>
        <v>Commercial</v>
      </c>
      <c r="F59" s="26">
        <f t="shared" ca="1" si="3"/>
        <v>48154.491344106529</v>
      </c>
      <c r="G59" s="26">
        <f t="shared" ca="1" si="4"/>
        <v>0</v>
      </c>
      <c r="H59" s="51"/>
      <c r="I59" s="26">
        <f t="shared" ca="1" si="5"/>
        <v>4511.9398241618237</v>
      </c>
      <c r="J59" s="51"/>
      <c r="K59" s="64">
        <f t="shared" ca="1" si="6"/>
        <v>0</v>
      </c>
      <c r="L59" s="51"/>
      <c r="M59" s="21">
        <f t="shared" ca="1" si="7"/>
        <v>43642.551519944704</v>
      </c>
      <c r="N59" s="19"/>
      <c r="O59" s="19"/>
      <c r="Q59" s="125"/>
    </row>
    <row r="60" spans="3:17" x14ac:dyDescent="0.55000000000000004">
      <c r="C60" s="124"/>
      <c r="D60" t="str">
        <f t="shared" si="2"/>
        <v>Domestic</v>
      </c>
      <c r="E60" s="63" t="str">
        <f t="shared" si="2"/>
        <v>Domestic</v>
      </c>
      <c r="F60" s="26">
        <f t="shared" ca="1" si="3"/>
        <v>2756690.2742214631</v>
      </c>
      <c r="G60" s="26">
        <f t="shared" ca="1" si="4"/>
        <v>0</v>
      </c>
      <c r="H60" s="51"/>
      <c r="I60" s="26">
        <f t="shared" ca="1" si="5"/>
        <v>258294.09228432536</v>
      </c>
      <c r="J60" s="51"/>
      <c r="K60" s="64">
        <f t="shared" ca="1" si="6"/>
        <v>0</v>
      </c>
      <c r="L60" s="51"/>
      <c r="M60" s="21">
        <f t="shared" ca="1" si="7"/>
        <v>2498396.1819371376</v>
      </c>
      <c r="N60" s="19"/>
      <c r="O60" s="19"/>
      <c r="Q60" s="125"/>
    </row>
    <row r="61" spans="3:17" x14ac:dyDescent="0.55000000000000004">
      <c r="C61" s="124"/>
      <c r="D61" t="str">
        <f t="shared" si="2"/>
        <v>Prepaid: Domestic</v>
      </c>
      <c r="E61" s="63" t="str">
        <f t="shared" si="2"/>
        <v>Domestic</v>
      </c>
      <c r="F61" s="26">
        <f t="shared" ca="1" si="3"/>
        <v>41891228.514944181</v>
      </c>
      <c r="G61" s="26">
        <f t="shared" ca="1" si="4"/>
        <v>0</v>
      </c>
      <c r="H61" s="51"/>
      <c r="I61" s="26">
        <f t="shared" ca="1" si="5"/>
        <v>3925089.7879699524</v>
      </c>
      <c r="J61" s="51"/>
      <c r="K61" s="64">
        <f t="shared" ca="1" si="6"/>
        <v>0</v>
      </c>
      <c r="L61" s="51"/>
      <c r="M61" s="21">
        <f t="shared" ca="1" si="7"/>
        <v>37966138.726974227</v>
      </c>
      <c r="N61" s="19"/>
      <c r="O61" s="19"/>
      <c r="Q61" s="125"/>
    </row>
    <row r="62" spans="3:17" x14ac:dyDescent="0.55000000000000004">
      <c r="C62" s="124"/>
      <c r="D62" t="str">
        <f t="shared" si="2"/>
        <v>Prepaid:  Domestic Lifeline</v>
      </c>
      <c r="E62" s="63" t="str">
        <f t="shared" si="2"/>
        <v>Domestic</v>
      </c>
      <c r="F62" s="26">
        <f t="shared" ca="1" si="3"/>
        <v>48325123.214836448</v>
      </c>
      <c r="G62" s="26">
        <f t="shared" ca="1" si="4"/>
        <v>0</v>
      </c>
      <c r="H62" s="51"/>
      <c r="I62" s="26">
        <f t="shared" ca="1" si="5"/>
        <v>4527927.5484909229</v>
      </c>
      <c r="J62" s="51"/>
      <c r="K62" s="64">
        <f t="shared" ca="1" si="6"/>
        <v>0</v>
      </c>
      <c r="L62" s="51"/>
      <c r="M62" s="21">
        <f t="shared" ca="1" si="7"/>
        <v>43797195.666345522</v>
      </c>
      <c r="N62" s="19"/>
      <c r="O62" s="19"/>
      <c r="Q62" s="125"/>
    </row>
    <row r="63" spans="3:17" x14ac:dyDescent="0.55000000000000004">
      <c r="C63" s="124"/>
      <c r="D63" t="str">
        <f t="shared" si="2"/>
        <v>Prepaid: Indigent</v>
      </c>
      <c r="E63" s="63" t="str">
        <f t="shared" si="2"/>
        <v>Indigent</v>
      </c>
      <c r="F63" s="26">
        <f t="shared" ca="1" si="3"/>
        <v>29474992.248101428</v>
      </c>
      <c r="G63" s="26">
        <f t="shared" ca="1" si="4"/>
        <v>0</v>
      </c>
      <c r="H63" s="51"/>
      <c r="I63" s="26">
        <f t="shared" ca="1" si="5"/>
        <v>2761723.5200501396</v>
      </c>
      <c r="J63" s="51"/>
      <c r="K63" s="64">
        <f t="shared" ca="1" si="6"/>
        <v>0</v>
      </c>
      <c r="L63" s="51"/>
      <c r="M63" s="21">
        <f t="shared" ca="1" si="7"/>
        <v>26713268.72805129</v>
      </c>
      <c r="N63" s="19"/>
      <c r="O63" s="19"/>
      <c r="Q63" s="125"/>
    </row>
    <row r="64" spans="3:17" x14ac:dyDescent="0.55000000000000004">
      <c r="C64" s="124"/>
      <c r="D64" t="str">
        <f t="shared" si="2"/>
        <v>Prepaid: Commercial</v>
      </c>
      <c r="E64" s="63" t="str">
        <f t="shared" si="2"/>
        <v>Commercial</v>
      </c>
      <c r="F64" s="26">
        <f t="shared" ca="1" si="3"/>
        <v>17979230.851080865</v>
      </c>
      <c r="G64" s="26">
        <f t="shared" ca="1" si="4"/>
        <v>0</v>
      </c>
      <c r="H64" s="51"/>
      <c r="I64" s="26">
        <f t="shared" ca="1" si="5"/>
        <v>1684603.147505135</v>
      </c>
      <c r="J64" s="51"/>
      <c r="K64" s="64">
        <f t="shared" ca="1" si="6"/>
        <v>0</v>
      </c>
      <c r="L64" s="51"/>
      <c r="M64" s="21">
        <f t="shared" ca="1" si="7"/>
        <v>16294627.70357573</v>
      </c>
      <c r="N64" s="19"/>
      <c r="O64" s="19"/>
      <c r="Q64" s="125"/>
    </row>
    <row r="65" spans="3:17" x14ac:dyDescent="0.55000000000000004">
      <c r="C65" s="124"/>
      <c r="D65">
        <f t="shared" si="2"/>
        <v>0</v>
      </c>
      <c r="E65" s="63">
        <f t="shared" si="2"/>
        <v>0</v>
      </c>
      <c r="F65" s="26">
        <f t="shared" ca="1" si="3"/>
        <v>0</v>
      </c>
      <c r="G65" s="26">
        <f t="shared" ca="1" si="4"/>
        <v>0</v>
      </c>
      <c r="H65" s="51"/>
      <c r="I65" s="26">
        <f t="shared" ca="1" si="5"/>
        <v>0</v>
      </c>
      <c r="J65" s="51"/>
      <c r="K65" s="64">
        <f t="shared" ca="1" si="6"/>
        <v>0</v>
      </c>
      <c r="L65" s="51"/>
      <c r="M65" s="21">
        <f t="shared" ca="1" si="7"/>
        <v>0</v>
      </c>
      <c r="N65" s="19"/>
      <c r="O65" s="19"/>
      <c r="Q65" s="125"/>
    </row>
    <row r="66" spans="3:17" x14ac:dyDescent="0.55000000000000004">
      <c r="C66" s="124"/>
      <c r="D66">
        <f t="shared" si="2"/>
        <v>0</v>
      </c>
      <c r="E66" s="63">
        <f t="shared" si="2"/>
        <v>0</v>
      </c>
      <c r="F66" s="26">
        <f t="shared" ca="1" si="3"/>
        <v>0</v>
      </c>
      <c r="G66" s="26">
        <f t="shared" ca="1" si="4"/>
        <v>0</v>
      </c>
      <c r="H66" s="51"/>
      <c r="I66" s="26">
        <f t="shared" ca="1" si="5"/>
        <v>0</v>
      </c>
      <c r="J66" s="51"/>
      <c r="K66" s="64">
        <f t="shared" ca="1" si="6"/>
        <v>0</v>
      </c>
      <c r="L66" s="51"/>
      <c r="M66" s="21">
        <f t="shared" ca="1" si="7"/>
        <v>0</v>
      </c>
      <c r="N66" s="19"/>
      <c r="O66" s="19"/>
      <c r="Q66" s="125"/>
    </row>
    <row r="67" spans="3:17" x14ac:dyDescent="0.55000000000000004">
      <c r="C67" s="124"/>
      <c r="D67">
        <f t="shared" si="2"/>
        <v>0</v>
      </c>
      <c r="E67" s="63">
        <f t="shared" si="2"/>
        <v>0</v>
      </c>
      <c r="F67" s="26">
        <f t="shared" ca="1" si="3"/>
        <v>0</v>
      </c>
      <c r="G67" s="26">
        <f t="shared" ca="1" si="4"/>
        <v>0</v>
      </c>
      <c r="H67" s="51"/>
      <c r="I67" s="26">
        <f t="shared" ca="1" si="5"/>
        <v>0</v>
      </c>
      <c r="J67" s="51"/>
      <c r="K67" s="64">
        <f t="shared" ca="1" si="6"/>
        <v>0</v>
      </c>
      <c r="L67" s="51"/>
      <c r="M67" s="21">
        <f t="shared" ca="1" si="7"/>
        <v>0</v>
      </c>
      <c r="N67" s="19"/>
      <c r="O67" s="19"/>
      <c r="Q67" s="125"/>
    </row>
    <row r="68" spans="3:17" x14ac:dyDescent="0.55000000000000004">
      <c r="C68" s="124"/>
      <c r="D68">
        <f t="shared" si="2"/>
        <v>0</v>
      </c>
      <c r="E68" s="63">
        <f t="shared" si="2"/>
        <v>0</v>
      </c>
      <c r="F68" s="26">
        <f t="shared" ca="1" si="3"/>
        <v>0</v>
      </c>
      <c r="G68" s="26">
        <f t="shared" ca="1" si="4"/>
        <v>0</v>
      </c>
      <c r="H68" s="51"/>
      <c r="I68" s="26">
        <f t="shared" ca="1" si="5"/>
        <v>0</v>
      </c>
      <c r="J68" s="51"/>
      <c r="K68" s="64">
        <f t="shared" ca="1" si="6"/>
        <v>0</v>
      </c>
      <c r="L68" s="51"/>
      <c r="M68" s="21">
        <f t="shared" ca="1" si="7"/>
        <v>0</v>
      </c>
      <c r="N68" s="19"/>
      <c r="O68" s="19"/>
      <c r="Q68" s="125"/>
    </row>
    <row r="69" spans="3:17" x14ac:dyDescent="0.55000000000000004">
      <c r="C69" s="124"/>
      <c r="D69">
        <f t="shared" si="2"/>
        <v>0</v>
      </c>
      <c r="E69" s="63">
        <f t="shared" si="2"/>
        <v>0</v>
      </c>
      <c r="F69" s="26">
        <f t="shared" ca="1" si="3"/>
        <v>0</v>
      </c>
      <c r="G69" s="26">
        <f t="shared" ca="1" si="4"/>
        <v>0</v>
      </c>
      <c r="H69" s="51"/>
      <c r="I69" s="26">
        <f t="shared" ca="1" si="5"/>
        <v>0</v>
      </c>
      <c r="J69" s="51"/>
      <c r="K69" s="64">
        <f t="shared" ca="1" si="6"/>
        <v>0</v>
      </c>
      <c r="L69" s="51"/>
      <c r="M69" s="21">
        <f t="shared" ca="1" si="7"/>
        <v>0</v>
      </c>
      <c r="N69" s="19"/>
      <c r="O69" s="19"/>
      <c r="Q69" s="125"/>
    </row>
    <row r="70" spans="3:17" x14ac:dyDescent="0.55000000000000004">
      <c r="C70" s="124"/>
      <c r="D70">
        <f t="shared" si="2"/>
        <v>0</v>
      </c>
      <c r="E70" s="63">
        <f t="shared" si="2"/>
        <v>0</v>
      </c>
      <c r="F70" s="26">
        <f t="shared" ca="1" si="3"/>
        <v>0</v>
      </c>
      <c r="G70" s="26">
        <f t="shared" ca="1" si="4"/>
        <v>0</v>
      </c>
      <c r="H70" s="51"/>
      <c r="I70" s="26">
        <f t="shared" ca="1" si="5"/>
        <v>0</v>
      </c>
      <c r="J70" s="51"/>
      <c r="K70" s="64">
        <f t="shared" ca="1" si="6"/>
        <v>0</v>
      </c>
      <c r="L70" s="51"/>
      <c r="M70" s="21">
        <f t="shared" ca="1" si="7"/>
        <v>0</v>
      </c>
      <c r="N70" s="19"/>
      <c r="O70" s="19"/>
      <c r="Q70" s="125"/>
    </row>
    <row r="71" spans="3:17" x14ac:dyDescent="0.55000000000000004">
      <c r="C71" s="124"/>
      <c r="D71">
        <f t="shared" si="2"/>
        <v>0</v>
      </c>
      <c r="E71" s="63">
        <f t="shared" si="2"/>
        <v>0</v>
      </c>
      <c r="F71" s="26">
        <f t="shared" ca="1" si="3"/>
        <v>0</v>
      </c>
      <c r="G71" s="26">
        <f t="shared" ca="1" si="4"/>
        <v>0</v>
      </c>
      <c r="H71" s="51"/>
      <c r="I71" s="26">
        <f t="shared" ca="1" si="5"/>
        <v>0</v>
      </c>
      <c r="J71" s="51"/>
      <c r="K71" s="64">
        <f t="shared" ca="1" si="6"/>
        <v>0</v>
      </c>
      <c r="L71" s="51"/>
      <c r="M71" s="21">
        <f t="shared" ca="1" si="7"/>
        <v>0</v>
      </c>
      <c r="N71" s="19"/>
      <c r="O71" s="19"/>
      <c r="Q71" s="125"/>
    </row>
    <row r="72" spans="3:17" x14ac:dyDescent="0.55000000000000004">
      <c r="C72" s="124"/>
      <c r="D72">
        <f t="shared" si="2"/>
        <v>0</v>
      </c>
      <c r="E72" s="63">
        <f t="shared" si="2"/>
        <v>0</v>
      </c>
      <c r="F72" s="26">
        <f t="shared" ca="1" si="3"/>
        <v>0</v>
      </c>
      <c r="G72" s="26">
        <f t="shared" ca="1" si="4"/>
        <v>0</v>
      </c>
      <c r="H72" s="51"/>
      <c r="I72" s="26">
        <f t="shared" ca="1" si="5"/>
        <v>0</v>
      </c>
      <c r="J72" s="51"/>
      <c r="K72" s="64">
        <f t="shared" ca="1" si="6"/>
        <v>0</v>
      </c>
      <c r="L72" s="51"/>
      <c r="M72" s="21">
        <f t="shared" ca="1" si="7"/>
        <v>0</v>
      </c>
      <c r="N72" s="19"/>
      <c r="O72" s="19"/>
      <c r="Q72" s="125"/>
    </row>
    <row r="73" spans="3:17" x14ac:dyDescent="0.55000000000000004">
      <c r="C73" s="124"/>
      <c r="D73">
        <f t="shared" si="2"/>
        <v>0</v>
      </c>
      <c r="E73" s="63">
        <f t="shared" si="2"/>
        <v>0</v>
      </c>
      <c r="F73" s="26">
        <f t="shared" ca="1" si="3"/>
        <v>0</v>
      </c>
      <c r="G73" s="26">
        <f t="shared" ca="1" si="4"/>
        <v>0</v>
      </c>
      <c r="H73" s="51"/>
      <c r="I73" s="26">
        <f t="shared" ca="1" si="5"/>
        <v>0</v>
      </c>
      <c r="J73" s="51"/>
      <c r="K73" s="64">
        <f t="shared" ca="1" si="6"/>
        <v>0</v>
      </c>
      <c r="L73" s="51"/>
      <c r="M73" s="21">
        <f t="shared" ca="1" si="7"/>
        <v>0</v>
      </c>
      <c r="N73" s="19"/>
      <c r="O73" s="19"/>
      <c r="Q73" s="125"/>
    </row>
    <row r="74" spans="3:17" x14ac:dyDescent="0.55000000000000004">
      <c r="C74" s="124"/>
      <c r="D74">
        <f t="shared" si="2"/>
        <v>0</v>
      </c>
      <c r="E74" s="63">
        <f t="shared" si="2"/>
        <v>0</v>
      </c>
      <c r="F74" s="26">
        <f t="shared" ca="1" si="3"/>
        <v>0</v>
      </c>
      <c r="G74" s="26">
        <f t="shared" ca="1" si="4"/>
        <v>0</v>
      </c>
      <c r="H74" s="51"/>
      <c r="I74" s="26">
        <f t="shared" ca="1" si="5"/>
        <v>0</v>
      </c>
      <c r="J74" s="51"/>
      <c r="K74" s="64">
        <f t="shared" ca="1" si="6"/>
        <v>0</v>
      </c>
      <c r="L74" s="51"/>
      <c r="M74" s="21">
        <f t="shared" ca="1" si="7"/>
        <v>0</v>
      </c>
      <c r="N74" s="19"/>
      <c r="O74" s="19"/>
      <c r="Q74" s="125"/>
    </row>
    <row r="75" spans="3:17" x14ac:dyDescent="0.55000000000000004">
      <c r="C75" s="124"/>
      <c r="D75">
        <f t="shared" si="2"/>
        <v>0</v>
      </c>
      <c r="E75" s="63">
        <f t="shared" si="2"/>
        <v>0</v>
      </c>
      <c r="F75" s="26">
        <f t="shared" ca="1" si="3"/>
        <v>0</v>
      </c>
      <c r="G75" s="26">
        <f t="shared" ca="1" si="4"/>
        <v>0</v>
      </c>
      <c r="H75" s="51"/>
      <c r="I75" s="26">
        <f t="shared" ca="1" si="5"/>
        <v>0</v>
      </c>
      <c r="J75" s="51"/>
      <c r="K75" s="64">
        <f t="shared" ca="1" si="6"/>
        <v>0</v>
      </c>
      <c r="L75" s="51"/>
      <c r="M75" s="21">
        <f t="shared" ca="1" si="7"/>
        <v>0</v>
      </c>
      <c r="N75" s="19"/>
      <c r="O75" s="19"/>
      <c r="Q75" s="125"/>
    </row>
    <row r="76" spans="3:17" x14ac:dyDescent="0.55000000000000004">
      <c r="C76" s="124"/>
      <c r="D76" s="55" t="s">
        <v>535</v>
      </c>
      <c r="F76" s="17"/>
      <c r="G76" s="54">
        <f ca="1">SUM(G56:G75)-G55</f>
        <v>0</v>
      </c>
      <c r="H76" s="69" t="str">
        <f>IF(SUM(H56:H75)=0,"",H55-G55)</f>
        <v/>
      </c>
      <c r="I76" s="54">
        <f ca="1">SUM(I56:I75)-I55</f>
        <v>0</v>
      </c>
      <c r="J76" s="69" t="str">
        <f>IF(SUM(J56:J75)=0,"",J55-I55)</f>
        <v/>
      </c>
      <c r="K76" s="54">
        <f ca="1">SUM(K56:K75)-K55</f>
        <v>0</v>
      </c>
      <c r="L76" s="69" t="str">
        <f>IF(SUM(L56:L75)=0,"",L55-K55)</f>
        <v/>
      </c>
      <c r="M76" s="17"/>
      <c r="N76" s="19"/>
      <c r="O76" s="19"/>
      <c r="Q76" s="125"/>
    </row>
    <row r="77" spans="3:17" ht="14.7" thickBot="1" x14ac:dyDescent="0.6">
      <c r="C77" s="130"/>
      <c r="D77" s="241"/>
      <c r="E77" s="242"/>
      <c r="F77" s="242"/>
      <c r="G77" s="242"/>
      <c r="H77" s="242"/>
      <c r="I77" s="243"/>
      <c r="J77" s="243"/>
      <c r="K77" s="243"/>
      <c r="L77" s="242"/>
      <c r="M77" s="242"/>
      <c r="N77" s="242"/>
      <c r="O77" s="242"/>
      <c r="P77" s="131"/>
      <c r="Q77" s="132"/>
    </row>
    <row r="78" spans="3:17" ht="14.7" thickBot="1" x14ac:dyDescent="0.6"/>
    <row r="79" spans="3:17" x14ac:dyDescent="0.55000000000000004">
      <c r="C79" s="121"/>
      <c r="D79" s="122"/>
      <c r="E79" s="122"/>
      <c r="F79" s="122"/>
      <c r="G79" s="122"/>
      <c r="H79" s="122"/>
      <c r="I79" s="122"/>
      <c r="J79" s="122"/>
      <c r="K79" s="122"/>
      <c r="L79" s="122"/>
      <c r="M79" s="122"/>
      <c r="N79" s="122"/>
      <c r="O79" s="122"/>
      <c r="P79" s="122"/>
      <c r="Q79" s="123"/>
    </row>
    <row r="80" spans="3:17" x14ac:dyDescent="0.55000000000000004">
      <c r="C80" s="124"/>
      <c r="D80" s="1" t="s">
        <v>275</v>
      </c>
      <c r="Q80" s="125"/>
    </row>
    <row r="81" spans="3:17" ht="5.55" customHeight="1" x14ac:dyDescent="0.55000000000000004">
      <c r="C81" s="124"/>
      <c r="D81" s="1"/>
      <c r="Q81" s="125"/>
    </row>
    <row r="82" spans="3:17" x14ac:dyDescent="0.55000000000000004">
      <c r="C82" s="124"/>
      <c r="D82" s="1803" t="s">
        <v>550</v>
      </c>
      <c r="E82" s="1803"/>
      <c r="F82" s="1803"/>
      <c r="G82" s="1803"/>
      <c r="H82" s="1803"/>
      <c r="I82" s="1803"/>
      <c r="J82" s="1803"/>
      <c r="K82" s="1803"/>
      <c r="L82" s="1803"/>
      <c r="M82" s="120"/>
      <c r="N82" s="120"/>
      <c r="Q82" s="125"/>
    </row>
    <row r="83" spans="3:17" x14ac:dyDescent="0.55000000000000004">
      <c r="C83" s="124"/>
      <c r="D83" s="1803"/>
      <c r="E83" s="1803"/>
      <c r="F83" s="1803"/>
      <c r="G83" s="1803"/>
      <c r="H83" s="1803"/>
      <c r="I83" s="1803"/>
      <c r="J83" s="1803"/>
      <c r="K83" s="1803"/>
      <c r="L83" s="1803"/>
      <c r="M83" s="120"/>
      <c r="N83" s="120"/>
      <c r="Q83" s="125"/>
    </row>
    <row r="84" spans="3:17" x14ac:dyDescent="0.55000000000000004">
      <c r="C84" s="124"/>
      <c r="D84" s="1803"/>
      <c r="E84" s="1803"/>
      <c r="F84" s="1803"/>
      <c r="G84" s="1803"/>
      <c r="H84" s="1803"/>
      <c r="I84" s="1803"/>
      <c r="J84" s="1803"/>
      <c r="K84" s="1803"/>
      <c r="L84" s="1803"/>
      <c r="M84" s="120"/>
      <c r="N84" s="120"/>
      <c r="Q84" s="125"/>
    </row>
    <row r="85" spans="3:17" x14ac:dyDescent="0.55000000000000004">
      <c r="C85" s="124"/>
      <c r="D85" s="1803"/>
      <c r="E85" s="1803"/>
      <c r="F85" s="1803"/>
      <c r="G85" s="1803"/>
      <c r="H85" s="1803"/>
      <c r="I85" s="1803"/>
      <c r="J85" s="1803"/>
      <c r="K85" s="1803"/>
      <c r="L85" s="1803"/>
      <c r="M85" s="120"/>
      <c r="N85" s="120"/>
      <c r="Q85" s="125"/>
    </row>
    <row r="86" spans="3:17" ht="3.6" customHeight="1" x14ac:dyDescent="0.55000000000000004">
      <c r="C86" s="124"/>
      <c r="D86" s="255"/>
      <c r="Q86" s="125"/>
    </row>
    <row r="87" spans="3:17" x14ac:dyDescent="0.55000000000000004">
      <c r="C87" s="124"/>
      <c r="D87" s="1804" t="s">
        <v>537</v>
      </c>
      <c r="E87" s="1804"/>
      <c r="F87" s="1804"/>
      <c r="G87" s="1804"/>
      <c r="H87" s="1804"/>
      <c r="I87" s="1804"/>
      <c r="J87" s="1804"/>
      <c r="K87" s="1804"/>
      <c r="L87" s="1804"/>
      <c r="Q87" s="125"/>
    </row>
    <row r="88" spans="3:17" x14ac:dyDescent="0.55000000000000004">
      <c r="C88" s="124"/>
      <c r="D88" s="1804"/>
      <c r="E88" s="1804"/>
      <c r="F88" s="1804"/>
      <c r="G88" s="1804"/>
      <c r="H88" s="1804"/>
      <c r="I88" s="1804"/>
      <c r="J88" s="1804"/>
      <c r="K88" s="1804"/>
      <c r="L88" s="1804"/>
      <c r="Q88" s="125"/>
    </row>
    <row r="89" spans="3:17" x14ac:dyDescent="0.55000000000000004">
      <c r="C89" s="124"/>
      <c r="D89" s="255"/>
      <c r="Q89" s="125"/>
    </row>
    <row r="90" spans="3:17" ht="79.2" customHeight="1" x14ac:dyDescent="0.55000000000000004">
      <c r="C90" s="124"/>
      <c r="D90" s="62" t="s">
        <v>283</v>
      </c>
      <c r="E90" s="56" t="s">
        <v>312</v>
      </c>
      <c r="F90" s="190" t="s">
        <v>303</v>
      </c>
      <c r="G90" s="198" t="s">
        <v>305</v>
      </c>
      <c r="H90" s="190" t="s">
        <v>306</v>
      </c>
      <c r="I90" s="190" t="s">
        <v>280</v>
      </c>
      <c r="Q90" s="125"/>
    </row>
    <row r="91" spans="3:17" x14ac:dyDescent="0.55000000000000004">
      <c r="C91" s="124"/>
      <c r="E91" s="63"/>
      <c r="F91" s="20">
        <f t="shared" ref="F91:F111" ca="1" si="8">M55</f>
        <v>191425289.25</v>
      </c>
      <c r="G91" s="20">
        <f ca="1">'Revenue required'!H20</f>
        <v>14719848</v>
      </c>
      <c r="H91" s="20">
        <f>SUM(H92:H111)</f>
        <v>0</v>
      </c>
      <c r="I91" s="20">
        <f ca="1">SUM(I92:I111)</f>
        <v>188698861.9780513</v>
      </c>
      <c r="Q91" s="125"/>
    </row>
    <row r="92" spans="3:17" x14ac:dyDescent="0.55000000000000004">
      <c r="C92" s="124"/>
      <c r="D92" t="str">
        <f t="shared" ref="D92:E111" si="9">D21</f>
        <v>Bulk Customers LV: TOU</v>
      </c>
      <c r="E92" s="63" t="str">
        <f t="shared" si="9"/>
        <v>Industrial</v>
      </c>
      <c r="F92" s="21">
        <f t="shared" ca="1" si="8"/>
        <v>37107180.623094007</v>
      </c>
      <c r="G92" s="26">
        <f ca="1">IF(AND(E92="Indigent",F92&gt;=$G$91),$G$91,IF(AND(E92="Indigent",F92&lt;=$G$91),F92,IF(AND(E92&lt;&gt;"Indigent",E92&lt;&gt;"Domestic"),0,IF(E92="Domestic",($G$91-IFERROR(INDEX($F$92:$F$111,MATCH("Indigent",$E$92:$E$111,0)),0))*(F92/SUMIF($E$92:$E$111,"Domestic",$F$92:$F$111))))))</f>
        <v>0</v>
      </c>
      <c r="H92" s="76"/>
      <c r="I92" s="21">
        <f ca="1">F92-IF(H92="",G92,H92)</f>
        <v>37107180.623094007</v>
      </c>
      <c r="Q92" s="125"/>
    </row>
    <row r="93" spans="3:17" x14ac:dyDescent="0.55000000000000004">
      <c r="C93" s="124"/>
      <c r="D93" t="str">
        <f t="shared" si="9"/>
        <v>Bulk Customers MV: TOU</v>
      </c>
      <c r="E93" s="63" t="str">
        <f t="shared" si="9"/>
        <v>Industrial</v>
      </c>
      <c r="F93" s="21">
        <f t="shared" ca="1" si="8"/>
        <v>9694004.1701979563</v>
      </c>
      <c r="G93" s="26">
        <f ca="1">IF(AND(E93="Indigent",F93&gt;=$G$91),$G$91,IF(AND(E93="Indigent",F93&lt;=$G$91),F93,IF(AND(E93&lt;&gt;"Indigent",E93&lt;&gt;"Domestic"),0,IF(E93="Domestic",($G$91-IFERROR(INDEX($F$92:$F$111,MATCH("Indigent",$E$92:$E$111,0)),0))*(F93/SUMIF($E$92:$E$111,"Domestic",$F$92:$F$111))))))</f>
        <v>0</v>
      </c>
      <c r="H93" s="76"/>
      <c r="I93" s="21">
        <f t="shared" ref="I93:I111" ca="1" si="10">F93-IF(H93="",G93,H93)</f>
        <v>9694004.1701979563</v>
      </c>
      <c r="Q93" s="125"/>
    </row>
    <row r="94" spans="3:17" x14ac:dyDescent="0.55000000000000004">
      <c r="C94" s="124"/>
      <c r="D94" t="str">
        <f t="shared" si="9"/>
        <v>Small Customers: Commercial</v>
      </c>
      <c r="E94" s="63" t="str">
        <f t="shared" si="9"/>
        <v>Commercial</v>
      </c>
      <c r="F94" s="21">
        <f t="shared" ca="1" si="8"/>
        <v>17310834.898304183</v>
      </c>
      <c r="G94" s="26">
        <f t="shared" ref="G94:G111" ca="1" si="11">IF(AND(E94="Indigent",F94&gt;=$G$91),$G$91,IF(AND(E94="Indigent",F94&lt;=$G$91),F94,IF(AND(E94&lt;&gt;"Indigent",E94&lt;&gt;"Domestic"),0,IF(E94="Domestic",($G$91-IFERROR(INDEX($F$92:$F$111,MATCH("Indigent",$E$92:$E$111,0)),0))*(F94/SUMIF($E$92:$E$111,"Domestic",$F$92:$F$111))))))</f>
        <v>0</v>
      </c>
      <c r="H94" s="79"/>
      <c r="I94" s="21">
        <f t="shared" ca="1" si="10"/>
        <v>17310834.898304183</v>
      </c>
      <c r="Q94" s="125"/>
    </row>
    <row r="95" spans="3:17" x14ac:dyDescent="0.55000000000000004">
      <c r="C95" s="124"/>
      <c r="D95" t="str">
        <f t="shared" si="9"/>
        <v>Small Customers: TOU</v>
      </c>
      <c r="E95" s="63" t="str">
        <f t="shared" si="9"/>
        <v>Commercial</v>
      </c>
      <c r="F95" s="21">
        <f t="shared" ca="1" si="8"/>
        <v>43642.551519944704</v>
      </c>
      <c r="G95" s="26">
        <f t="shared" ca="1" si="11"/>
        <v>0</v>
      </c>
      <c r="H95" s="79"/>
      <c r="I95" s="21">
        <f t="shared" ca="1" si="10"/>
        <v>43642.551519944704</v>
      </c>
      <c r="Q95" s="125"/>
    </row>
    <row r="96" spans="3:17" x14ac:dyDescent="0.55000000000000004">
      <c r="C96" s="124"/>
      <c r="D96" t="str">
        <f t="shared" si="9"/>
        <v>Domestic</v>
      </c>
      <c r="E96" s="63" t="str">
        <f t="shared" si="9"/>
        <v>Domestic</v>
      </c>
      <c r="F96" s="21">
        <f t="shared" ca="1" si="8"/>
        <v>2498396.1819371376</v>
      </c>
      <c r="G96" s="26">
        <f t="shared" ca="1" si="11"/>
        <v>-355610.03020899225</v>
      </c>
      <c r="H96" s="79"/>
      <c r="I96" s="21">
        <f t="shared" ca="1" si="10"/>
        <v>2854006.2121461299</v>
      </c>
      <c r="Q96" s="125"/>
    </row>
    <row r="97" spans="3:17" x14ac:dyDescent="0.55000000000000004">
      <c r="C97" s="124"/>
      <c r="D97" t="str">
        <f t="shared" si="9"/>
        <v>Prepaid: Domestic</v>
      </c>
      <c r="E97" s="63" t="str">
        <f t="shared" si="9"/>
        <v>Domestic</v>
      </c>
      <c r="F97" s="21">
        <f t="shared" ca="1" si="8"/>
        <v>37966138.726974227</v>
      </c>
      <c r="G97" s="26">
        <f t="shared" ca="1" si="11"/>
        <v>-5403922.6593557922</v>
      </c>
      <c r="H97" s="79"/>
      <c r="I97" s="21">
        <f t="shared" ca="1" si="10"/>
        <v>43370061.386330016</v>
      </c>
      <c r="Q97" s="125"/>
    </row>
    <row r="98" spans="3:17" x14ac:dyDescent="0.55000000000000004">
      <c r="C98" s="124"/>
      <c r="D98" t="str">
        <f t="shared" si="9"/>
        <v>Prepaid:  Domestic Lifeline</v>
      </c>
      <c r="E98" s="63" t="str">
        <f t="shared" si="9"/>
        <v>Domestic</v>
      </c>
      <c r="F98" s="21">
        <f t="shared" ca="1" si="8"/>
        <v>43797195.666345522</v>
      </c>
      <c r="G98" s="26">
        <f t="shared" ca="1" si="11"/>
        <v>-6233888.0384865049</v>
      </c>
      <c r="H98" s="79"/>
      <c r="I98" s="21">
        <f t="shared" ca="1" si="10"/>
        <v>50031083.704832025</v>
      </c>
      <c r="Q98" s="125"/>
    </row>
    <row r="99" spans="3:17" x14ac:dyDescent="0.55000000000000004">
      <c r="C99" s="124"/>
      <c r="D99" t="str">
        <f t="shared" si="9"/>
        <v>Prepaid: Indigent</v>
      </c>
      <c r="E99" s="63" t="str">
        <f t="shared" si="9"/>
        <v>Indigent</v>
      </c>
      <c r="F99" s="21">
        <f t="shared" ca="1" si="8"/>
        <v>26713268.72805129</v>
      </c>
      <c r="G99" s="26">
        <f t="shared" ca="1" si="11"/>
        <v>14719848</v>
      </c>
      <c r="H99" s="79"/>
      <c r="I99" s="21">
        <f t="shared" ca="1" si="10"/>
        <v>11993420.72805129</v>
      </c>
      <c r="Q99" s="125"/>
    </row>
    <row r="100" spans="3:17" x14ac:dyDescent="0.55000000000000004">
      <c r="C100" s="124"/>
      <c r="D100" t="str">
        <f t="shared" si="9"/>
        <v>Prepaid: Commercial</v>
      </c>
      <c r="E100" s="63" t="str">
        <f t="shared" si="9"/>
        <v>Commercial</v>
      </c>
      <c r="F100" s="21">
        <f t="shared" ca="1" si="8"/>
        <v>16294627.70357573</v>
      </c>
      <c r="G100" s="26">
        <f t="shared" ca="1" si="11"/>
        <v>0</v>
      </c>
      <c r="H100" s="79"/>
      <c r="I100" s="21">
        <f t="shared" ca="1" si="10"/>
        <v>16294627.70357573</v>
      </c>
      <c r="Q100" s="125"/>
    </row>
    <row r="101" spans="3:17" x14ac:dyDescent="0.55000000000000004">
      <c r="C101" s="124"/>
      <c r="D101">
        <f t="shared" si="9"/>
        <v>0</v>
      </c>
      <c r="E101" s="63">
        <f t="shared" si="9"/>
        <v>0</v>
      </c>
      <c r="F101" s="21">
        <f t="shared" ca="1" si="8"/>
        <v>0</v>
      </c>
      <c r="G101" s="26">
        <f t="shared" ca="1" si="11"/>
        <v>0</v>
      </c>
      <c r="H101" s="79"/>
      <c r="I101" s="21">
        <f t="shared" ca="1" si="10"/>
        <v>0</v>
      </c>
      <c r="Q101" s="125"/>
    </row>
    <row r="102" spans="3:17" x14ac:dyDescent="0.55000000000000004">
      <c r="C102" s="124"/>
      <c r="D102">
        <f t="shared" si="9"/>
        <v>0</v>
      </c>
      <c r="E102" s="63">
        <f t="shared" si="9"/>
        <v>0</v>
      </c>
      <c r="F102" s="21">
        <f t="shared" ca="1" si="8"/>
        <v>0</v>
      </c>
      <c r="G102" s="26">
        <f t="shared" ca="1" si="11"/>
        <v>0</v>
      </c>
      <c r="H102" s="79"/>
      <c r="I102" s="21">
        <f t="shared" ca="1" si="10"/>
        <v>0</v>
      </c>
      <c r="Q102" s="125"/>
    </row>
    <row r="103" spans="3:17" x14ac:dyDescent="0.55000000000000004">
      <c r="C103" s="124"/>
      <c r="D103">
        <f t="shared" si="9"/>
        <v>0</v>
      </c>
      <c r="E103" s="63">
        <f t="shared" si="9"/>
        <v>0</v>
      </c>
      <c r="F103" s="21">
        <f t="shared" ca="1" si="8"/>
        <v>0</v>
      </c>
      <c r="G103" s="26">
        <f t="shared" ca="1" si="11"/>
        <v>0</v>
      </c>
      <c r="H103" s="79"/>
      <c r="I103" s="21">
        <f t="shared" ca="1" si="10"/>
        <v>0</v>
      </c>
      <c r="Q103" s="125"/>
    </row>
    <row r="104" spans="3:17" x14ac:dyDescent="0.55000000000000004">
      <c r="C104" s="124"/>
      <c r="D104">
        <f t="shared" si="9"/>
        <v>0</v>
      </c>
      <c r="E104" s="63">
        <f t="shared" si="9"/>
        <v>0</v>
      </c>
      <c r="F104" s="21">
        <f t="shared" ca="1" si="8"/>
        <v>0</v>
      </c>
      <c r="G104" s="26">
        <f t="shared" ca="1" si="11"/>
        <v>0</v>
      </c>
      <c r="H104" s="79"/>
      <c r="I104" s="21">
        <f t="shared" ca="1" si="10"/>
        <v>0</v>
      </c>
      <c r="Q104" s="125"/>
    </row>
    <row r="105" spans="3:17" x14ac:dyDescent="0.55000000000000004">
      <c r="C105" s="124"/>
      <c r="D105">
        <f t="shared" si="9"/>
        <v>0</v>
      </c>
      <c r="E105" s="63">
        <f t="shared" si="9"/>
        <v>0</v>
      </c>
      <c r="F105" s="21">
        <f t="shared" ca="1" si="8"/>
        <v>0</v>
      </c>
      <c r="G105" s="26">
        <f t="shared" ca="1" si="11"/>
        <v>0</v>
      </c>
      <c r="H105" s="79"/>
      <c r="I105" s="21">
        <f t="shared" ca="1" si="10"/>
        <v>0</v>
      </c>
      <c r="Q105" s="125"/>
    </row>
    <row r="106" spans="3:17" x14ac:dyDescent="0.55000000000000004">
      <c r="C106" s="124"/>
      <c r="D106">
        <f t="shared" si="9"/>
        <v>0</v>
      </c>
      <c r="E106" s="63">
        <f t="shared" si="9"/>
        <v>0</v>
      </c>
      <c r="F106" s="21">
        <f t="shared" ca="1" si="8"/>
        <v>0</v>
      </c>
      <c r="G106" s="26">
        <f t="shared" ca="1" si="11"/>
        <v>0</v>
      </c>
      <c r="H106" s="79"/>
      <c r="I106" s="21">
        <f t="shared" ca="1" si="10"/>
        <v>0</v>
      </c>
      <c r="Q106" s="125"/>
    </row>
    <row r="107" spans="3:17" x14ac:dyDescent="0.55000000000000004">
      <c r="C107" s="124"/>
      <c r="D107">
        <f t="shared" si="9"/>
        <v>0</v>
      </c>
      <c r="E107" s="63">
        <f t="shared" si="9"/>
        <v>0</v>
      </c>
      <c r="F107" s="21">
        <f t="shared" ca="1" si="8"/>
        <v>0</v>
      </c>
      <c r="G107" s="26">
        <f t="shared" ca="1" si="11"/>
        <v>0</v>
      </c>
      <c r="H107" s="79"/>
      <c r="I107" s="21">
        <f t="shared" ca="1" si="10"/>
        <v>0</v>
      </c>
      <c r="Q107" s="125"/>
    </row>
    <row r="108" spans="3:17" x14ac:dyDescent="0.55000000000000004">
      <c r="C108" s="124"/>
      <c r="D108">
        <f t="shared" si="9"/>
        <v>0</v>
      </c>
      <c r="E108" s="63">
        <f t="shared" si="9"/>
        <v>0</v>
      </c>
      <c r="F108" s="21">
        <f t="shared" ca="1" si="8"/>
        <v>0</v>
      </c>
      <c r="G108" s="26">
        <f t="shared" ca="1" si="11"/>
        <v>0</v>
      </c>
      <c r="H108" s="79"/>
      <c r="I108" s="21">
        <f t="shared" ca="1" si="10"/>
        <v>0</v>
      </c>
      <c r="Q108" s="125"/>
    </row>
    <row r="109" spans="3:17" x14ac:dyDescent="0.55000000000000004">
      <c r="C109" s="124"/>
      <c r="D109">
        <f t="shared" si="9"/>
        <v>0</v>
      </c>
      <c r="E109" s="63">
        <f t="shared" si="9"/>
        <v>0</v>
      </c>
      <c r="F109" s="21">
        <f t="shared" ca="1" si="8"/>
        <v>0</v>
      </c>
      <c r="G109" s="26">
        <f t="shared" ca="1" si="11"/>
        <v>0</v>
      </c>
      <c r="H109" s="79"/>
      <c r="I109" s="21">
        <f t="shared" ca="1" si="10"/>
        <v>0</v>
      </c>
      <c r="Q109" s="125"/>
    </row>
    <row r="110" spans="3:17" x14ac:dyDescent="0.55000000000000004">
      <c r="C110" s="124"/>
      <c r="D110">
        <f t="shared" si="9"/>
        <v>0</v>
      </c>
      <c r="E110" s="63">
        <f t="shared" si="9"/>
        <v>0</v>
      </c>
      <c r="F110" s="21">
        <f t="shared" ca="1" si="8"/>
        <v>0</v>
      </c>
      <c r="G110" s="26">
        <f t="shared" ca="1" si="11"/>
        <v>0</v>
      </c>
      <c r="H110" s="79"/>
      <c r="I110" s="21">
        <f t="shared" ca="1" si="10"/>
        <v>0</v>
      </c>
      <c r="Q110" s="125"/>
    </row>
    <row r="111" spans="3:17" x14ac:dyDescent="0.55000000000000004">
      <c r="C111" s="124"/>
      <c r="D111">
        <f t="shared" si="9"/>
        <v>0</v>
      </c>
      <c r="E111" s="63">
        <f t="shared" si="9"/>
        <v>0</v>
      </c>
      <c r="F111" s="21">
        <f t="shared" ca="1" si="8"/>
        <v>0</v>
      </c>
      <c r="G111" s="26">
        <f t="shared" ca="1" si="11"/>
        <v>0</v>
      </c>
      <c r="H111" s="51"/>
      <c r="I111" s="21">
        <f t="shared" ca="1" si="10"/>
        <v>0</v>
      </c>
      <c r="Q111" s="125"/>
    </row>
    <row r="112" spans="3:17" x14ac:dyDescent="0.55000000000000004">
      <c r="C112" s="124"/>
      <c r="D112" s="55" t="s">
        <v>535</v>
      </c>
      <c r="F112" s="54">
        <f ca="1">SUM(F92:F111)-F91</f>
        <v>0</v>
      </c>
      <c r="G112" s="54">
        <f ca="1">SUM(G92:G111)-G91</f>
        <v>-11993420.72805129</v>
      </c>
      <c r="H112" s="69" t="str">
        <f>IF(SUM(H92:H111)=0,"",H91-G91)</f>
        <v/>
      </c>
      <c r="I112" s="54">
        <f ca="1">SUM(I92:I111)-I91</f>
        <v>0</v>
      </c>
      <c r="Q112" s="125"/>
    </row>
    <row r="113" spans="3:17" ht="14.7" thickBot="1" x14ac:dyDescent="0.6">
      <c r="C113" s="130"/>
      <c r="D113" s="131"/>
      <c r="E113" s="131"/>
      <c r="F113" s="131"/>
      <c r="G113" s="131"/>
      <c r="H113" s="131"/>
      <c r="I113" s="131"/>
      <c r="J113" s="131"/>
      <c r="K113" s="131"/>
      <c r="L113" s="131"/>
      <c r="M113" s="131"/>
      <c r="N113" s="131"/>
      <c r="O113" s="131"/>
      <c r="P113" s="131"/>
      <c r="Q113" s="132"/>
    </row>
    <row r="114" spans="3:17" ht="14.7" thickBot="1" x14ac:dyDescent="0.6"/>
    <row r="115" spans="3:17" x14ac:dyDescent="0.55000000000000004">
      <c r="C115" s="121"/>
      <c r="D115" s="122"/>
      <c r="E115" s="122"/>
      <c r="F115" s="122"/>
      <c r="G115" s="122"/>
      <c r="H115" s="122"/>
      <c r="I115" s="122"/>
      <c r="J115" s="122"/>
      <c r="K115" s="122"/>
      <c r="L115" s="122"/>
      <c r="M115" s="122"/>
      <c r="N115" s="122"/>
      <c r="O115" s="122"/>
      <c r="P115" s="122"/>
      <c r="Q115" s="123"/>
    </row>
    <row r="116" spans="3:17" x14ac:dyDescent="0.55000000000000004">
      <c r="C116" s="124"/>
      <c r="D116" s="248" t="s">
        <v>276</v>
      </c>
      <c r="Q116" s="125"/>
    </row>
    <row r="117" spans="3:17" ht="4.95" customHeight="1" x14ac:dyDescent="0.55000000000000004">
      <c r="C117" s="124"/>
      <c r="D117" s="248"/>
      <c r="Q117" s="125"/>
    </row>
    <row r="118" spans="3:17" ht="19.95" customHeight="1" x14ac:dyDescent="0.55000000000000004">
      <c r="C118" s="124"/>
      <c r="D118" s="1816" t="s">
        <v>543</v>
      </c>
      <c r="E118" s="1816"/>
      <c r="F118" s="1816"/>
      <c r="G118" s="1816"/>
      <c r="H118" s="1816"/>
      <c r="I118" s="1816"/>
      <c r="J118" s="1816"/>
      <c r="K118" s="1816"/>
      <c r="L118" s="1816"/>
      <c r="M118" s="203"/>
      <c r="N118" s="203"/>
      <c r="Q118" s="125"/>
    </row>
    <row r="119" spans="3:17" ht="23.55" customHeight="1" x14ac:dyDescent="0.55000000000000004">
      <c r="C119" s="124"/>
      <c r="D119" s="1816"/>
      <c r="E119" s="1816"/>
      <c r="F119" s="1816"/>
      <c r="G119" s="1816"/>
      <c r="H119" s="1816"/>
      <c r="I119" s="1816"/>
      <c r="J119" s="1816"/>
      <c r="K119" s="1816"/>
      <c r="L119" s="1816"/>
      <c r="M119" s="203"/>
      <c r="N119" s="203"/>
      <c r="Q119" s="125"/>
    </row>
    <row r="120" spans="3:17" ht="6.6" customHeight="1" x14ac:dyDescent="0.55000000000000004">
      <c r="C120" s="124"/>
      <c r="Q120" s="125"/>
    </row>
    <row r="121" spans="3:17" x14ac:dyDescent="0.55000000000000004">
      <c r="C121" s="124"/>
      <c r="D121" s="1804" t="s">
        <v>537</v>
      </c>
      <c r="E121" s="1804"/>
      <c r="F121" s="1804"/>
      <c r="G121" s="1804"/>
      <c r="H121" s="1804"/>
      <c r="I121" s="1804"/>
      <c r="J121" s="1804"/>
      <c r="K121" s="1804"/>
      <c r="L121" s="1804"/>
      <c r="Q121" s="125"/>
    </row>
    <row r="122" spans="3:17" x14ac:dyDescent="0.55000000000000004">
      <c r="C122" s="124"/>
      <c r="D122" s="1804"/>
      <c r="E122" s="1804"/>
      <c r="F122" s="1804"/>
      <c r="G122" s="1804"/>
      <c r="H122" s="1804"/>
      <c r="I122" s="1804"/>
      <c r="J122" s="1804"/>
      <c r="K122" s="1804"/>
      <c r="L122" s="1804"/>
      <c r="Q122" s="125"/>
    </row>
    <row r="123" spans="3:17" x14ac:dyDescent="0.55000000000000004">
      <c r="C123" s="124"/>
      <c r="Q123" s="125"/>
    </row>
    <row r="124" spans="3:17" ht="88.95" customHeight="1" x14ac:dyDescent="0.55000000000000004">
      <c r="C124" s="124"/>
      <c r="D124" s="62" t="s">
        <v>283</v>
      </c>
      <c r="E124" s="56" t="s">
        <v>312</v>
      </c>
      <c r="F124" s="190" t="s">
        <v>280</v>
      </c>
      <c r="G124" s="198" t="s">
        <v>316</v>
      </c>
      <c r="H124" s="252" t="s">
        <v>317</v>
      </c>
      <c r="I124" s="198" t="s">
        <v>318</v>
      </c>
      <c r="J124" s="252" t="s">
        <v>319</v>
      </c>
      <c r="K124" s="190" t="s">
        <v>309</v>
      </c>
      <c r="Q124" s="125"/>
    </row>
    <row r="125" spans="3:17" x14ac:dyDescent="0.55000000000000004">
      <c r="C125" s="124"/>
      <c r="D125" s="238"/>
      <c r="E125" s="63"/>
      <c r="F125" s="17">
        <f ca="1">SUM(F126:F145)</f>
        <v>188698861.9780513</v>
      </c>
      <c r="G125" s="72">
        <f ca="1">Surplus!H64</f>
        <v>0</v>
      </c>
      <c r="H125" s="17">
        <f>SUM(H126:H145)</f>
        <v>0</v>
      </c>
      <c r="I125" s="73">
        <f ca="1">Surplus!H65</f>
        <v>0</v>
      </c>
      <c r="J125" s="20">
        <f>SUM(J126:J145)</f>
        <v>0</v>
      </c>
      <c r="K125" s="20">
        <f ca="1">SUM(K126:K145)</f>
        <v>200692282.70610255</v>
      </c>
      <c r="Q125" s="125"/>
    </row>
    <row r="126" spans="3:17" x14ac:dyDescent="0.55000000000000004">
      <c r="C126" s="124"/>
      <c r="D126" t="str">
        <f t="shared" ref="D126:E145" si="12">D21</f>
        <v>Bulk Customers LV: TOU</v>
      </c>
      <c r="E126" s="63" t="str">
        <f t="shared" si="12"/>
        <v>Industrial</v>
      </c>
      <c r="F126" s="21">
        <f t="shared" ref="F126:F145" ca="1" si="13">I92</f>
        <v>37107180.623094007</v>
      </c>
      <c r="G126" s="26">
        <f ca="1">IF(AND(E126="Indigent",F126&gt;=$G$125),$G$125,IF(AND(E126="Indigent",F126&lt;=$G$125),F126,IF(AND(E126&lt;&gt;"Indigent",E126&lt;&gt;"Domestic"),0,IF(E126="Domestic",($G$125-IFERROR(INDEX($F$126:$F$145,MATCH("Indigent",$E$126:$E$145,0)),0))*(F126/SUMIF($E$126:$E$145,"Domestic",$F$126:$F$145))))))</f>
        <v>0</v>
      </c>
      <c r="H126" s="76"/>
      <c r="I126" s="21">
        <f ca="1">IF(E126&lt;&gt;"Indigent",$I$125*(F126/SUMIF($E$126:$E$145,"&lt;&gt;Indigent",$F$126:$F$145)),0)</f>
        <v>0</v>
      </c>
      <c r="J126" s="76"/>
      <c r="K126" s="21">
        <f ca="1">F126-IF(H126="",G126,H126)+IF(J126="",I126,J126)</f>
        <v>37107180.623094007</v>
      </c>
      <c r="Q126" s="125"/>
    </row>
    <row r="127" spans="3:17" x14ac:dyDescent="0.55000000000000004">
      <c r="C127" s="124"/>
      <c r="D127" t="str">
        <f t="shared" si="12"/>
        <v>Bulk Customers MV: TOU</v>
      </c>
      <c r="E127" s="63" t="str">
        <f t="shared" si="12"/>
        <v>Industrial</v>
      </c>
      <c r="F127" s="21">
        <f t="shared" ca="1" si="13"/>
        <v>9694004.1701979563</v>
      </c>
      <c r="G127" s="26">
        <f t="shared" ref="G127:G145" ca="1" si="14">IF(AND(E127="Indigent",F127&gt;=$G$125),$G$125,IF(AND(E127="Indigent",F127&lt;=$G$125),F127,IF(AND(E127&lt;&gt;"Indigent",E127&lt;&gt;"Domestic"),0,IF(E127="Domestic",($G$125-IFERROR(INDEX($F$126:$F$145,MATCH("Indigent",$E$126:$E$145,0)),0))*(F127/SUMIF($E$126:$E$145,"Domestic",$F$126:$F$145))))))</f>
        <v>0</v>
      </c>
      <c r="H127" s="76"/>
      <c r="I127" s="21">
        <f t="shared" ref="I127:I145" ca="1" si="15">IF(E127&lt;&gt;"Indigent",$I$125*(F127/SUMIF($E$126:$E$145,"&lt;&gt;Indigent",$F$126:$F$145)),0)</f>
        <v>0</v>
      </c>
      <c r="J127" s="76"/>
      <c r="K127" s="21">
        <f t="shared" ref="K127:K145" ca="1" si="16">F127-IF(H127="",G127,H127)+IF(J127="",I127,J127)</f>
        <v>9694004.1701979563</v>
      </c>
      <c r="Q127" s="125"/>
    </row>
    <row r="128" spans="3:17" x14ac:dyDescent="0.55000000000000004">
      <c r="C128" s="124"/>
      <c r="D128" t="str">
        <f t="shared" si="12"/>
        <v>Small Customers: Commercial</v>
      </c>
      <c r="E128" s="63" t="str">
        <f t="shared" si="12"/>
        <v>Commercial</v>
      </c>
      <c r="F128" s="21">
        <f t="shared" ca="1" si="13"/>
        <v>17310834.898304183</v>
      </c>
      <c r="G128" s="26">
        <f t="shared" ca="1" si="14"/>
        <v>0</v>
      </c>
      <c r="H128" s="76"/>
      <c r="I128" s="21">
        <f t="shared" ca="1" si="15"/>
        <v>0</v>
      </c>
      <c r="J128" s="76"/>
      <c r="K128" s="21">
        <f t="shared" ca="1" si="16"/>
        <v>17310834.898304183</v>
      </c>
      <c r="Q128" s="125"/>
    </row>
    <row r="129" spans="3:17" x14ac:dyDescent="0.55000000000000004">
      <c r="C129" s="124"/>
      <c r="D129" t="str">
        <f t="shared" si="12"/>
        <v>Small Customers: TOU</v>
      </c>
      <c r="E129" s="63" t="str">
        <f t="shared" si="12"/>
        <v>Commercial</v>
      </c>
      <c r="F129" s="21">
        <f t="shared" ca="1" si="13"/>
        <v>43642.551519944704</v>
      </c>
      <c r="G129" s="26">
        <f t="shared" ca="1" si="14"/>
        <v>0</v>
      </c>
      <c r="H129" s="76"/>
      <c r="I129" s="21">
        <f t="shared" ca="1" si="15"/>
        <v>0</v>
      </c>
      <c r="J129" s="76"/>
      <c r="K129" s="21">
        <f t="shared" ca="1" si="16"/>
        <v>43642.551519944704</v>
      </c>
      <c r="Q129" s="125"/>
    </row>
    <row r="130" spans="3:17" x14ac:dyDescent="0.55000000000000004">
      <c r="C130" s="124"/>
      <c r="D130" t="str">
        <f t="shared" si="12"/>
        <v>Domestic</v>
      </c>
      <c r="E130" s="63" t="str">
        <f t="shared" si="12"/>
        <v>Domestic</v>
      </c>
      <c r="F130" s="21">
        <f t="shared" ca="1" si="13"/>
        <v>2854006.2121461299</v>
      </c>
      <c r="G130" s="26">
        <f t="shared" ca="1" si="14"/>
        <v>-355610.03020899225</v>
      </c>
      <c r="H130" s="76"/>
      <c r="I130" s="21">
        <f t="shared" ca="1" si="15"/>
        <v>0</v>
      </c>
      <c r="J130" s="76"/>
      <c r="K130" s="21">
        <f t="shared" ca="1" si="16"/>
        <v>3209616.2423551222</v>
      </c>
      <c r="Q130" s="125"/>
    </row>
    <row r="131" spans="3:17" x14ac:dyDescent="0.55000000000000004">
      <c r="C131" s="124"/>
      <c r="D131" t="str">
        <f t="shared" si="12"/>
        <v>Prepaid: Domestic</v>
      </c>
      <c r="E131" s="63" t="str">
        <f t="shared" si="12"/>
        <v>Domestic</v>
      </c>
      <c r="F131" s="21">
        <f t="shared" ca="1" si="13"/>
        <v>43370061.386330016</v>
      </c>
      <c r="G131" s="26">
        <f t="shared" ca="1" si="14"/>
        <v>-5403922.6593557922</v>
      </c>
      <c r="H131" s="76"/>
      <c r="I131" s="21">
        <f t="shared" ca="1" si="15"/>
        <v>0</v>
      </c>
      <c r="J131" s="76"/>
      <c r="K131" s="21">
        <f t="shared" ca="1" si="16"/>
        <v>48773984.045685805</v>
      </c>
      <c r="Q131" s="125"/>
    </row>
    <row r="132" spans="3:17" x14ac:dyDescent="0.55000000000000004">
      <c r="C132" s="124"/>
      <c r="D132" t="str">
        <f t="shared" si="12"/>
        <v>Prepaid:  Domestic Lifeline</v>
      </c>
      <c r="E132" s="63" t="str">
        <f t="shared" si="12"/>
        <v>Domestic</v>
      </c>
      <c r="F132" s="21">
        <f t="shared" ca="1" si="13"/>
        <v>50031083.704832025</v>
      </c>
      <c r="G132" s="26">
        <f t="shared" ca="1" si="14"/>
        <v>-6233888.0384865049</v>
      </c>
      <c r="H132" s="76"/>
      <c r="I132" s="21">
        <f t="shared" ca="1" si="15"/>
        <v>0</v>
      </c>
      <c r="J132" s="76"/>
      <c r="K132" s="21">
        <f t="shared" ca="1" si="16"/>
        <v>56264971.743318528</v>
      </c>
      <c r="Q132" s="125"/>
    </row>
    <row r="133" spans="3:17" x14ac:dyDescent="0.55000000000000004">
      <c r="C133" s="124"/>
      <c r="D133" t="str">
        <f t="shared" si="12"/>
        <v>Prepaid: Indigent</v>
      </c>
      <c r="E133" s="63" t="str">
        <f t="shared" si="12"/>
        <v>Indigent</v>
      </c>
      <c r="F133" s="21">
        <f t="shared" ca="1" si="13"/>
        <v>11993420.72805129</v>
      </c>
      <c r="G133" s="26">
        <f t="shared" ca="1" si="14"/>
        <v>0</v>
      </c>
      <c r="H133" s="76"/>
      <c r="I133" s="21">
        <f t="shared" si="15"/>
        <v>0</v>
      </c>
      <c r="J133" s="76"/>
      <c r="K133" s="21">
        <f t="shared" ca="1" si="16"/>
        <v>11993420.72805129</v>
      </c>
      <c r="Q133" s="125"/>
    </row>
    <row r="134" spans="3:17" x14ac:dyDescent="0.55000000000000004">
      <c r="C134" s="124"/>
      <c r="D134" t="str">
        <f t="shared" si="12"/>
        <v>Prepaid: Commercial</v>
      </c>
      <c r="E134" s="63" t="str">
        <f t="shared" si="12"/>
        <v>Commercial</v>
      </c>
      <c r="F134" s="21">
        <f t="shared" ca="1" si="13"/>
        <v>16294627.70357573</v>
      </c>
      <c r="G134" s="26">
        <f t="shared" ca="1" si="14"/>
        <v>0</v>
      </c>
      <c r="H134" s="76"/>
      <c r="I134" s="21">
        <f t="shared" ca="1" si="15"/>
        <v>0</v>
      </c>
      <c r="J134" s="76"/>
      <c r="K134" s="21">
        <f t="shared" ca="1" si="16"/>
        <v>16294627.70357573</v>
      </c>
      <c r="Q134" s="125"/>
    </row>
    <row r="135" spans="3:17" x14ac:dyDescent="0.55000000000000004">
      <c r="C135" s="124"/>
      <c r="D135">
        <f t="shared" si="12"/>
        <v>0</v>
      </c>
      <c r="E135" s="63">
        <f t="shared" si="12"/>
        <v>0</v>
      </c>
      <c r="F135" s="21">
        <f t="shared" ca="1" si="13"/>
        <v>0</v>
      </c>
      <c r="G135" s="26">
        <f t="shared" ca="1" si="14"/>
        <v>0</v>
      </c>
      <c r="H135" s="76"/>
      <c r="I135" s="21">
        <f t="shared" ca="1" si="15"/>
        <v>0</v>
      </c>
      <c r="J135" s="76"/>
      <c r="K135" s="21">
        <f t="shared" ca="1" si="16"/>
        <v>0</v>
      </c>
      <c r="Q135" s="125"/>
    </row>
    <row r="136" spans="3:17" x14ac:dyDescent="0.55000000000000004">
      <c r="C136" s="124"/>
      <c r="D136">
        <f t="shared" si="12"/>
        <v>0</v>
      </c>
      <c r="E136" s="63">
        <f t="shared" si="12"/>
        <v>0</v>
      </c>
      <c r="F136" s="21">
        <f t="shared" ca="1" si="13"/>
        <v>0</v>
      </c>
      <c r="G136" s="26">
        <f t="shared" ca="1" si="14"/>
        <v>0</v>
      </c>
      <c r="H136" s="76"/>
      <c r="I136" s="21">
        <f t="shared" ca="1" si="15"/>
        <v>0</v>
      </c>
      <c r="J136" s="76"/>
      <c r="K136" s="21">
        <f t="shared" ca="1" si="16"/>
        <v>0</v>
      </c>
      <c r="Q136" s="125"/>
    </row>
    <row r="137" spans="3:17" x14ac:dyDescent="0.55000000000000004">
      <c r="C137" s="124"/>
      <c r="D137">
        <f t="shared" si="12"/>
        <v>0</v>
      </c>
      <c r="E137" s="63">
        <f t="shared" si="12"/>
        <v>0</v>
      </c>
      <c r="F137" s="21">
        <f t="shared" ca="1" si="13"/>
        <v>0</v>
      </c>
      <c r="G137" s="26">
        <f t="shared" ca="1" si="14"/>
        <v>0</v>
      </c>
      <c r="H137" s="76"/>
      <c r="I137" s="21">
        <f t="shared" ca="1" si="15"/>
        <v>0</v>
      </c>
      <c r="J137" s="76"/>
      <c r="K137" s="21">
        <f t="shared" ca="1" si="16"/>
        <v>0</v>
      </c>
      <c r="Q137" s="125"/>
    </row>
    <row r="138" spans="3:17" x14ac:dyDescent="0.55000000000000004">
      <c r="C138" s="124"/>
      <c r="D138">
        <f t="shared" si="12"/>
        <v>0</v>
      </c>
      <c r="E138" s="63">
        <f t="shared" si="12"/>
        <v>0</v>
      </c>
      <c r="F138" s="21">
        <f t="shared" ca="1" si="13"/>
        <v>0</v>
      </c>
      <c r="G138" s="26">
        <f t="shared" ca="1" si="14"/>
        <v>0</v>
      </c>
      <c r="H138" s="76"/>
      <c r="I138" s="21">
        <f t="shared" ca="1" si="15"/>
        <v>0</v>
      </c>
      <c r="J138" s="76"/>
      <c r="K138" s="21">
        <f t="shared" ca="1" si="16"/>
        <v>0</v>
      </c>
      <c r="Q138" s="125"/>
    </row>
    <row r="139" spans="3:17" x14ac:dyDescent="0.55000000000000004">
      <c r="C139" s="124"/>
      <c r="D139">
        <f t="shared" si="12"/>
        <v>0</v>
      </c>
      <c r="E139" s="63">
        <f t="shared" si="12"/>
        <v>0</v>
      </c>
      <c r="F139" s="21">
        <f t="shared" ca="1" si="13"/>
        <v>0</v>
      </c>
      <c r="G139" s="26">
        <f t="shared" ca="1" si="14"/>
        <v>0</v>
      </c>
      <c r="H139" s="76"/>
      <c r="I139" s="21">
        <f t="shared" ca="1" si="15"/>
        <v>0</v>
      </c>
      <c r="J139" s="76"/>
      <c r="K139" s="21">
        <f t="shared" ca="1" si="16"/>
        <v>0</v>
      </c>
      <c r="Q139" s="125"/>
    </row>
    <row r="140" spans="3:17" x14ac:dyDescent="0.55000000000000004">
      <c r="C140" s="124"/>
      <c r="D140">
        <f t="shared" si="12"/>
        <v>0</v>
      </c>
      <c r="E140" s="63">
        <f t="shared" si="12"/>
        <v>0</v>
      </c>
      <c r="F140" s="21">
        <f t="shared" ca="1" si="13"/>
        <v>0</v>
      </c>
      <c r="G140" s="26">
        <f t="shared" ca="1" si="14"/>
        <v>0</v>
      </c>
      <c r="H140" s="76"/>
      <c r="I140" s="21">
        <f t="shared" ca="1" si="15"/>
        <v>0</v>
      </c>
      <c r="J140" s="76"/>
      <c r="K140" s="21">
        <f t="shared" ca="1" si="16"/>
        <v>0</v>
      </c>
      <c r="Q140" s="125"/>
    </row>
    <row r="141" spans="3:17" x14ac:dyDescent="0.55000000000000004">
      <c r="C141" s="124"/>
      <c r="D141">
        <f t="shared" si="12"/>
        <v>0</v>
      </c>
      <c r="E141" s="63">
        <f t="shared" si="12"/>
        <v>0</v>
      </c>
      <c r="F141" s="21">
        <f t="shared" ca="1" si="13"/>
        <v>0</v>
      </c>
      <c r="G141" s="26">
        <f t="shared" ca="1" si="14"/>
        <v>0</v>
      </c>
      <c r="H141" s="76"/>
      <c r="I141" s="21">
        <f t="shared" ca="1" si="15"/>
        <v>0</v>
      </c>
      <c r="J141" s="76"/>
      <c r="K141" s="21">
        <f t="shared" ca="1" si="16"/>
        <v>0</v>
      </c>
      <c r="Q141" s="125"/>
    </row>
    <row r="142" spans="3:17" x14ac:dyDescent="0.55000000000000004">
      <c r="C142" s="124"/>
      <c r="D142">
        <f t="shared" si="12"/>
        <v>0</v>
      </c>
      <c r="E142" s="63">
        <f t="shared" si="12"/>
        <v>0</v>
      </c>
      <c r="F142" s="21">
        <f t="shared" ca="1" si="13"/>
        <v>0</v>
      </c>
      <c r="G142" s="26">
        <f t="shared" ca="1" si="14"/>
        <v>0</v>
      </c>
      <c r="H142" s="76"/>
      <c r="I142" s="21">
        <f t="shared" ca="1" si="15"/>
        <v>0</v>
      </c>
      <c r="J142" s="76"/>
      <c r="K142" s="21">
        <f t="shared" ca="1" si="16"/>
        <v>0</v>
      </c>
      <c r="Q142" s="125"/>
    </row>
    <row r="143" spans="3:17" x14ac:dyDescent="0.55000000000000004">
      <c r="C143" s="124"/>
      <c r="D143">
        <f t="shared" si="12"/>
        <v>0</v>
      </c>
      <c r="E143" s="63">
        <f t="shared" si="12"/>
        <v>0</v>
      </c>
      <c r="F143" s="21">
        <f t="shared" ca="1" si="13"/>
        <v>0</v>
      </c>
      <c r="G143" s="26">
        <f t="shared" ca="1" si="14"/>
        <v>0</v>
      </c>
      <c r="H143" s="76"/>
      <c r="I143" s="21">
        <f t="shared" ca="1" si="15"/>
        <v>0</v>
      </c>
      <c r="J143" s="76"/>
      <c r="K143" s="21">
        <f t="shared" ca="1" si="16"/>
        <v>0</v>
      </c>
      <c r="Q143" s="125"/>
    </row>
    <row r="144" spans="3:17" x14ac:dyDescent="0.55000000000000004">
      <c r="C144" s="124"/>
      <c r="D144">
        <f t="shared" si="12"/>
        <v>0</v>
      </c>
      <c r="E144" s="63">
        <f t="shared" si="12"/>
        <v>0</v>
      </c>
      <c r="F144" s="21">
        <f t="shared" ca="1" si="13"/>
        <v>0</v>
      </c>
      <c r="G144" s="26">
        <f t="shared" ca="1" si="14"/>
        <v>0</v>
      </c>
      <c r="H144" s="76"/>
      <c r="I144" s="21">
        <f t="shared" ca="1" si="15"/>
        <v>0</v>
      </c>
      <c r="J144" s="76"/>
      <c r="K144" s="21">
        <f t="shared" ca="1" si="16"/>
        <v>0</v>
      </c>
      <c r="Q144" s="125"/>
    </row>
    <row r="145" spans="3:17" x14ac:dyDescent="0.55000000000000004">
      <c r="C145" s="124"/>
      <c r="D145">
        <f t="shared" si="12"/>
        <v>0</v>
      </c>
      <c r="E145" s="63">
        <f t="shared" si="12"/>
        <v>0</v>
      </c>
      <c r="F145" s="21">
        <f t="shared" ca="1" si="13"/>
        <v>0</v>
      </c>
      <c r="G145" s="26">
        <f t="shared" ca="1" si="14"/>
        <v>0</v>
      </c>
      <c r="H145" s="76"/>
      <c r="I145" s="21">
        <f t="shared" ca="1" si="15"/>
        <v>0</v>
      </c>
      <c r="J145" s="76"/>
      <c r="K145" s="21">
        <f t="shared" ca="1" si="16"/>
        <v>0</v>
      </c>
      <c r="Q145" s="125"/>
    </row>
    <row r="146" spans="3:17" x14ac:dyDescent="0.55000000000000004">
      <c r="C146" s="124"/>
      <c r="D146" s="55" t="s">
        <v>535</v>
      </c>
      <c r="E146" s="133"/>
      <c r="F146" s="54">
        <f ca="1">SUM(F126:F145)-F125</f>
        <v>0</v>
      </c>
      <c r="G146" s="54">
        <f ca="1">SUM(G126:G145)-G125</f>
        <v>-11993420.72805129</v>
      </c>
      <c r="H146" s="69" t="str">
        <f>IF(SUM(H126:H145)=0,"",H125-G125)</f>
        <v/>
      </c>
      <c r="I146" s="54">
        <f ca="1">SUM(I126:I145)-I125</f>
        <v>0</v>
      </c>
      <c r="J146" s="69" t="str">
        <f>IF(SUM(J126:J145)=0,"",J125-I125)</f>
        <v/>
      </c>
      <c r="K146" s="54">
        <f ca="1">SUM(K126:K145)-K125</f>
        <v>0</v>
      </c>
      <c r="L146" s="135"/>
      <c r="Q146" s="125"/>
    </row>
    <row r="147" spans="3:17" ht="14.7" thickBot="1" x14ac:dyDescent="0.6">
      <c r="C147" s="130"/>
      <c r="D147" s="131"/>
      <c r="E147" s="131"/>
      <c r="F147" s="131"/>
      <c r="G147" s="131"/>
      <c r="H147" s="131"/>
      <c r="I147" s="131"/>
      <c r="J147" s="131"/>
      <c r="K147" s="131"/>
      <c r="L147" s="131"/>
      <c r="M147" s="131"/>
      <c r="N147" s="131"/>
      <c r="O147" s="131"/>
      <c r="P147" s="131"/>
      <c r="Q147" s="132"/>
    </row>
    <row r="148" spans="3:17" ht="14.7" thickBot="1" x14ac:dyDescent="0.6"/>
    <row r="149" spans="3:17" x14ac:dyDescent="0.55000000000000004">
      <c r="C149" s="121"/>
      <c r="D149" s="122"/>
      <c r="E149" s="122"/>
      <c r="F149" s="122"/>
      <c r="G149" s="122"/>
      <c r="H149" s="122"/>
      <c r="I149" s="122"/>
      <c r="J149" s="122"/>
      <c r="K149" s="122"/>
      <c r="L149" s="122"/>
      <c r="M149" s="122"/>
      <c r="N149" s="122"/>
      <c r="O149" s="122"/>
      <c r="P149" s="122"/>
      <c r="Q149" s="123"/>
    </row>
    <row r="150" spans="3:17" x14ac:dyDescent="0.55000000000000004">
      <c r="C150" s="124"/>
      <c r="D150" s="248" t="s">
        <v>104</v>
      </c>
      <c r="Q150" s="125"/>
    </row>
    <row r="151" spans="3:17" ht="7.95" customHeight="1" x14ac:dyDescent="0.55000000000000004">
      <c r="C151" s="124"/>
      <c r="D151" s="248"/>
      <c r="Q151" s="125"/>
    </row>
    <row r="152" spans="3:17" ht="14.55" customHeight="1" x14ac:dyDescent="0.55000000000000004">
      <c r="C152" s="124"/>
      <c r="D152" s="1803" t="s">
        <v>551</v>
      </c>
      <c r="E152" s="1803"/>
      <c r="F152" s="1803"/>
      <c r="G152" s="1803"/>
      <c r="H152" s="1803"/>
      <c r="I152" s="1803"/>
      <c r="J152" s="1803"/>
      <c r="K152" s="1803"/>
      <c r="L152" s="1803"/>
      <c r="M152" s="1803"/>
      <c r="N152" s="261"/>
      <c r="Q152" s="125"/>
    </row>
    <row r="153" spans="3:17" ht="27" customHeight="1" x14ac:dyDescent="0.55000000000000004">
      <c r="C153" s="124"/>
      <c r="D153" s="1803"/>
      <c r="E153" s="1803"/>
      <c r="F153" s="1803"/>
      <c r="G153" s="1803"/>
      <c r="H153" s="1803"/>
      <c r="I153" s="1803"/>
      <c r="J153" s="1803"/>
      <c r="K153" s="1803"/>
      <c r="L153" s="1803"/>
      <c r="M153" s="1803"/>
      <c r="N153" s="261"/>
      <c r="Q153" s="125"/>
    </row>
    <row r="154" spans="3:17" x14ac:dyDescent="0.55000000000000004">
      <c r="C154" s="124"/>
      <c r="D154" s="238"/>
      <c r="Q154" s="125"/>
    </row>
    <row r="155" spans="3:17" ht="57.6" x14ac:dyDescent="0.55000000000000004">
      <c r="C155" s="124"/>
      <c r="D155" s="62" t="s">
        <v>283</v>
      </c>
      <c r="E155" s="56" t="s">
        <v>312</v>
      </c>
      <c r="F155" s="190" t="s">
        <v>309</v>
      </c>
      <c r="G155" s="1817" t="s">
        <v>48</v>
      </c>
      <c r="H155" s="1818"/>
      <c r="I155" s="1817" t="s">
        <v>327</v>
      </c>
      <c r="J155" s="1818"/>
      <c r="K155" s="56" t="s">
        <v>328</v>
      </c>
      <c r="L155" s="56" t="s">
        <v>329</v>
      </c>
      <c r="M155" s="56" t="s">
        <v>330</v>
      </c>
      <c r="Q155" s="125"/>
    </row>
    <row r="156" spans="3:17" x14ac:dyDescent="0.55000000000000004">
      <c r="C156" s="124"/>
      <c r="D156" s="1" t="s">
        <v>33</v>
      </c>
      <c r="E156" s="63"/>
      <c r="F156" s="20">
        <f ca="1">SUM(F157:F176)</f>
        <v>200692282.70610255</v>
      </c>
      <c r="G156" s="74"/>
      <c r="H156" s="20">
        <f>SUM(H157:H176)</f>
        <v>0</v>
      </c>
      <c r="I156" s="74">
        <f>SUM(I157:I176)</f>
        <v>0</v>
      </c>
      <c r="J156" s="20">
        <f>SUM(J157:J176)</f>
        <v>0</v>
      </c>
      <c r="K156" s="20">
        <f ca="1">SUM(K157:K176)</f>
        <v>200692282.70610255</v>
      </c>
      <c r="L156" s="72">
        <f ca="1">IFERROR(K156/IF('2 Customer data'!L113=0,'2 Customer data'!K113,'2 Customer data'!L113),0)</f>
        <v>3.9335650529290165</v>
      </c>
      <c r="M156" s="66">
        <f ca="1">P41</f>
        <v>4.1398217569831202</v>
      </c>
      <c r="Q156" s="125"/>
    </row>
    <row r="157" spans="3:17" x14ac:dyDescent="0.55000000000000004">
      <c r="C157" s="124"/>
      <c r="D157" t="str">
        <f t="shared" ref="D157:E176" si="17">D21</f>
        <v>Bulk Customers LV: TOU</v>
      </c>
      <c r="E157" s="63" t="str">
        <f t="shared" si="17"/>
        <v>Industrial</v>
      </c>
      <c r="F157" s="21">
        <f t="shared" ref="F157:F176" ca="1" si="18">K126</f>
        <v>37107180.623094007</v>
      </c>
      <c r="G157" s="23"/>
      <c r="H157" s="26">
        <f t="shared" ref="H157:H176" si="19">IF(G157="",0,F157*G157)</f>
        <v>0</v>
      </c>
      <c r="I157" s="23"/>
      <c r="J157" s="26">
        <f t="shared" ref="J157:J173" si="20">$H$156*I157</f>
        <v>0</v>
      </c>
      <c r="K157" s="21">
        <f t="shared" ref="K157:K176" ca="1" si="21">F157+H157-J157</f>
        <v>37107180.623094007</v>
      </c>
      <c r="L157" s="64">
        <f ca="1">IFERROR(K157/IF('2 Customer data'!L93=0,'2 Customer data'!K93,'2 Customer data'!L93),0)</f>
        <v>2.7225558122761164</v>
      </c>
      <c r="M157" s="40">
        <f t="shared" ref="M157:M173" ca="1" si="22">P21</f>
        <v>3.0040244149378572</v>
      </c>
      <c r="Q157" s="125"/>
    </row>
    <row r="158" spans="3:17" x14ac:dyDescent="0.55000000000000004">
      <c r="C158" s="124"/>
      <c r="D158" t="str">
        <f t="shared" si="17"/>
        <v>Bulk Customers MV: TOU</v>
      </c>
      <c r="E158" s="63" t="str">
        <f t="shared" si="17"/>
        <v>Industrial</v>
      </c>
      <c r="F158" s="21">
        <f t="shared" ca="1" si="18"/>
        <v>9694004.1701979563</v>
      </c>
      <c r="G158" s="23"/>
      <c r="H158" s="26">
        <f t="shared" si="19"/>
        <v>0</v>
      </c>
      <c r="I158" s="23"/>
      <c r="J158" s="26">
        <f t="shared" si="20"/>
        <v>0</v>
      </c>
      <c r="K158" s="21">
        <f t="shared" ca="1" si="21"/>
        <v>9694004.1701979563</v>
      </c>
      <c r="L158" s="64">
        <f ca="1">IFERROR(K158/IF('2 Customer data'!L94=0,'2 Customer data'!K94,'2 Customer data'!L94),0)</f>
        <v>2.7110188214086932</v>
      </c>
      <c r="M158" s="40">
        <f t="shared" ca="1" si="22"/>
        <v>2.9912946842618569</v>
      </c>
      <c r="Q158" s="125"/>
    </row>
    <row r="159" spans="3:17" x14ac:dyDescent="0.55000000000000004">
      <c r="C159" s="124"/>
      <c r="D159" t="str">
        <f t="shared" si="17"/>
        <v>Small Customers: Commercial</v>
      </c>
      <c r="E159" s="63" t="str">
        <f t="shared" si="17"/>
        <v>Commercial</v>
      </c>
      <c r="F159" s="21">
        <f t="shared" ca="1" si="18"/>
        <v>17310834.898304183</v>
      </c>
      <c r="G159" s="23"/>
      <c r="H159" s="26">
        <f t="shared" si="19"/>
        <v>0</v>
      </c>
      <c r="I159" s="23"/>
      <c r="J159" s="26">
        <f t="shared" si="20"/>
        <v>0</v>
      </c>
      <c r="K159" s="21">
        <f t="shared" ca="1" si="21"/>
        <v>17310834.898304183</v>
      </c>
      <c r="L159" s="64">
        <f ca="1">IFERROR(K159/IF('2 Customer data'!L95=0,'2 Customer data'!K95,'2 Customer data'!L95),0)</f>
        <v>3.2608831006816787</v>
      </c>
      <c r="M159" s="40">
        <f t="shared" ca="1" si="22"/>
        <v>3.5980061104850383</v>
      </c>
      <c r="Q159" s="125"/>
    </row>
    <row r="160" spans="3:17" x14ac:dyDescent="0.55000000000000004">
      <c r="C160" s="124"/>
      <c r="D160" t="str">
        <f t="shared" si="17"/>
        <v>Small Customers: TOU</v>
      </c>
      <c r="E160" s="63" t="str">
        <f t="shared" si="17"/>
        <v>Commercial</v>
      </c>
      <c r="F160" s="21">
        <f t="shared" ca="1" si="18"/>
        <v>43642.551519944704</v>
      </c>
      <c r="G160" s="23"/>
      <c r="H160" s="26">
        <f t="shared" si="19"/>
        <v>0</v>
      </c>
      <c r="I160" s="23"/>
      <c r="J160" s="26">
        <f t="shared" si="20"/>
        <v>0</v>
      </c>
      <c r="K160" s="21">
        <f t="shared" ca="1" si="21"/>
        <v>43642.551519944704</v>
      </c>
      <c r="L160" s="64">
        <f ca="1">IFERROR(K160/IF('2 Customer data'!L96=0,'2 Customer data'!K96,'2 Customer data'!L96),0)</f>
        <v>3.7419661767936812</v>
      </c>
      <c r="M160" s="40">
        <f t="shared" ca="1" si="22"/>
        <v>4.1288254603538137</v>
      </c>
      <c r="Q160" s="125"/>
    </row>
    <row r="161" spans="3:17" x14ac:dyDescent="0.55000000000000004">
      <c r="C161" s="124"/>
      <c r="D161" t="str">
        <f t="shared" si="17"/>
        <v>Domestic</v>
      </c>
      <c r="E161" s="63" t="str">
        <f t="shared" si="17"/>
        <v>Domestic</v>
      </c>
      <c r="F161" s="21">
        <f t="shared" ca="1" si="18"/>
        <v>3209616.2423551222</v>
      </c>
      <c r="G161" s="23"/>
      <c r="H161" s="26">
        <f t="shared" si="19"/>
        <v>0</v>
      </c>
      <c r="I161" s="23"/>
      <c r="J161" s="26">
        <f t="shared" si="20"/>
        <v>0</v>
      </c>
      <c r="K161" s="21">
        <f t="shared" ca="1" si="21"/>
        <v>3209616.2423551222</v>
      </c>
      <c r="L161" s="64">
        <f ca="1">IFERROR(K161/IF('2 Customer data'!L97=0,'2 Customer data'!K97,'2 Customer data'!L97),0)</f>
        <v>14.878552585771075</v>
      </c>
      <c r="M161" s="40">
        <f t="shared" ca="1" si="22"/>
        <v>12.77896113137554</v>
      </c>
      <c r="Q161" s="125"/>
    </row>
    <row r="162" spans="3:17" x14ac:dyDescent="0.55000000000000004">
      <c r="C162" s="124"/>
      <c r="D162" t="str">
        <f t="shared" si="17"/>
        <v>Prepaid: Domestic</v>
      </c>
      <c r="E162" s="63" t="str">
        <f t="shared" si="17"/>
        <v>Domestic</v>
      </c>
      <c r="F162" s="21">
        <f t="shared" ca="1" si="18"/>
        <v>48773984.045685805</v>
      </c>
      <c r="G162" s="80"/>
      <c r="H162" s="26">
        <f t="shared" si="19"/>
        <v>0</v>
      </c>
      <c r="I162" s="23"/>
      <c r="J162" s="26">
        <f t="shared" si="20"/>
        <v>0</v>
      </c>
      <c r="K162" s="21">
        <f t="shared" ca="1" si="21"/>
        <v>48773984.045685805</v>
      </c>
      <c r="L162" s="64">
        <f ca="1">IFERROR(K162/IF('2 Customer data'!L98=0,'2 Customer data'!K98,'2 Customer data'!L98),0)</f>
        <v>4.6411254823075101</v>
      </c>
      <c r="M162" s="40">
        <f t="shared" ca="1" si="22"/>
        <v>3.9861916542179956</v>
      </c>
      <c r="Q162" s="125"/>
    </row>
    <row r="163" spans="3:17" x14ac:dyDescent="0.55000000000000004">
      <c r="C163" s="124"/>
      <c r="D163" t="str">
        <f t="shared" si="17"/>
        <v>Prepaid:  Domestic Lifeline</v>
      </c>
      <c r="E163" s="63" t="str">
        <f t="shared" si="17"/>
        <v>Domestic</v>
      </c>
      <c r="F163" s="21">
        <f t="shared" ca="1" si="18"/>
        <v>56264971.743318528</v>
      </c>
      <c r="G163" s="80"/>
      <c r="H163" s="26">
        <f t="shared" si="19"/>
        <v>0</v>
      </c>
      <c r="I163" s="23"/>
      <c r="J163" s="26">
        <f t="shared" si="20"/>
        <v>0</v>
      </c>
      <c r="K163" s="21">
        <f t="shared" ca="1" si="21"/>
        <v>56264971.743318528</v>
      </c>
      <c r="L163" s="64">
        <f ca="1">IFERROR(K163/IF('2 Customer data'!L99=0,'2 Customer data'!K99,'2 Customer data'!L99),0)</f>
        <v>6.4231901085446648</v>
      </c>
      <c r="M163" s="40">
        <f t="shared" ca="1" si="22"/>
        <v>5.5167796909913109</v>
      </c>
      <c r="Q163" s="125"/>
    </row>
    <row r="164" spans="3:17" x14ac:dyDescent="0.55000000000000004">
      <c r="C164" s="124"/>
      <c r="D164" t="str">
        <f t="shared" si="17"/>
        <v>Prepaid: Indigent</v>
      </c>
      <c r="E164" s="63" t="str">
        <f t="shared" si="17"/>
        <v>Indigent</v>
      </c>
      <c r="F164" s="21">
        <f t="shared" ca="1" si="18"/>
        <v>11993420.72805129</v>
      </c>
      <c r="G164" s="80"/>
      <c r="H164" s="26">
        <f t="shared" si="19"/>
        <v>0</v>
      </c>
      <c r="I164" s="23"/>
      <c r="J164" s="26">
        <f t="shared" si="20"/>
        <v>0</v>
      </c>
      <c r="K164" s="21">
        <f t="shared" ca="1" si="21"/>
        <v>11993420.72805129</v>
      </c>
      <c r="L164" s="64">
        <f ca="1">IFERROR(K164/IF('2 Customer data'!L100=0,'2 Customer data'!K100,'2 Customer data'!L100),0)</f>
        <v>2.993874325157218</v>
      </c>
      <c r="M164" s="40">
        <f t="shared" ca="1" si="22"/>
        <v>7.3577359226133803</v>
      </c>
      <c r="Q164" s="125"/>
    </row>
    <row r="165" spans="3:17" x14ac:dyDescent="0.55000000000000004">
      <c r="C165" s="124"/>
      <c r="D165" t="str">
        <f t="shared" si="17"/>
        <v>Prepaid: Commercial</v>
      </c>
      <c r="E165" s="63" t="str">
        <f t="shared" si="17"/>
        <v>Commercial</v>
      </c>
      <c r="F165" s="21">
        <f t="shared" ca="1" si="18"/>
        <v>16294627.70357573</v>
      </c>
      <c r="G165" s="80"/>
      <c r="H165" s="26">
        <f t="shared" si="19"/>
        <v>0</v>
      </c>
      <c r="I165" s="50"/>
      <c r="J165" s="26">
        <f t="shared" si="20"/>
        <v>0</v>
      </c>
      <c r="K165" s="21">
        <f t="shared" ca="1" si="21"/>
        <v>16294627.70357573</v>
      </c>
      <c r="L165" s="64">
        <f ca="1">IFERROR(K165/IF('2 Customer data'!L101=0,'2 Customer data'!K101,'2 Customer data'!L101),0)</f>
        <v>3.2560691215176032</v>
      </c>
      <c r="M165" s="40">
        <f t="shared" ca="1" si="22"/>
        <v>3.592694443089028</v>
      </c>
      <c r="Q165" s="125"/>
    </row>
    <row r="166" spans="3:17" x14ac:dyDescent="0.55000000000000004">
      <c r="C166" s="124"/>
      <c r="D166">
        <f t="shared" si="17"/>
        <v>0</v>
      </c>
      <c r="E166" s="63">
        <f t="shared" si="17"/>
        <v>0</v>
      </c>
      <c r="F166" s="21">
        <f t="shared" ca="1" si="18"/>
        <v>0</v>
      </c>
      <c r="G166" s="80"/>
      <c r="H166" s="26">
        <f t="shared" si="19"/>
        <v>0</v>
      </c>
      <c r="I166" s="50"/>
      <c r="J166" s="26">
        <f t="shared" si="20"/>
        <v>0</v>
      </c>
      <c r="K166" s="21">
        <f t="shared" ca="1" si="21"/>
        <v>0</v>
      </c>
      <c r="L166" s="64">
        <f ca="1">IFERROR(K166/IF('2 Customer data'!L102=0,'2 Customer data'!K102,'2 Customer data'!L102),0)</f>
        <v>0</v>
      </c>
      <c r="M166" s="40">
        <f t="shared" ca="1" si="22"/>
        <v>0</v>
      </c>
      <c r="Q166" s="125"/>
    </row>
    <row r="167" spans="3:17" x14ac:dyDescent="0.55000000000000004">
      <c r="C167" s="124"/>
      <c r="D167">
        <f t="shared" si="17"/>
        <v>0</v>
      </c>
      <c r="E167" s="63">
        <f t="shared" si="17"/>
        <v>0</v>
      </c>
      <c r="F167" s="21">
        <f t="shared" ca="1" si="18"/>
        <v>0</v>
      </c>
      <c r="G167" s="80"/>
      <c r="H167" s="26">
        <f t="shared" si="19"/>
        <v>0</v>
      </c>
      <c r="I167" s="50"/>
      <c r="J167" s="26">
        <f t="shared" si="20"/>
        <v>0</v>
      </c>
      <c r="K167" s="21">
        <f t="shared" ca="1" si="21"/>
        <v>0</v>
      </c>
      <c r="L167" s="64">
        <f ca="1">IFERROR(K167/IF('2 Customer data'!L103=0,'2 Customer data'!K103,'2 Customer data'!L103),0)</f>
        <v>0</v>
      </c>
      <c r="M167" s="40">
        <f t="shared" ca="1" si="22"/>
        <v>0</v>
      </c>
      <c r="Q167" s="125"/>
    </row>
    <row r="168" spans="3:17" x14ac:dyDescent="0.55000000000000004">
      <c r="C168" s="124"/>
      <c r="D168">
        <f t="shared" si="17"/>
        <v>0</v>
      </c>
      <c r="E168" s="63">
        <f t="shared" si="17"/>
        <v>0</v>
      </c>
      <c r="F168" s="21">
        <f t="shared" ca="1" si="18"/>
        <v>0</v>
      </c>
      <c r="G168" s="80"/>
      <c r="H168" s="26">
        <f t="shared" si="19"/>
        <v>0</v>
      </c>
      <c r="I168" s="50"/>
      <c r="J168" s="26">
        <f t="shared" si="20"/>
        <v>0</v>
      </c>
      <c r="K168" s="21">
        <f t="shared" ca="1" si="21"/>
        <v>0</v>
      </c>
      <c r="L168" s="64">
        <f ca="1">IFERROR(K168/IF('2 Customer data'!L104=0,'2 Customer data'!K104,'2 Customer data'!L104),0)</f>
        <v>0</v>
      </c>
      <c r="M168" s="40">
        <f t="shared" ca="1" si="22"/>
        <v>0</v>
      </c>
      <c r="Q168" s="125"/>
    </row>
    <row r="169" spans="3:17" x14ac:dyDescent="0.55000000000000004">
      <c r="C169" s="124"/>
      <c r="D169">
        <f t="shared" si="17"/>
        <v>0</v>
      </c>
      <c r="E169" s="63">
        <f t="shared" si="17"/>
        <v>0</v>
      </c>
      <c r="F169" s="21">
        <f t="shared" ca="1" si="18"/>
        <v>0</v>
      </c>
      <c r="G169" s="80"/>
      <c r="H169" s="26">
        <f t="shared" si="19"/>
        <v>0</v>
      </c>
      <c r="I169" s="50"/>
      <c r="J169" s="26">
        <f t="shared" si="20"/>
        <v>0</v>
      </c>
      <c r="K169" s="21">
        <f t="shared" ca="1" si="21"/>
        <v>0</v>
      </c>
      <c r="L169" s="64">
        <f ca="1">IFERROR(K169/IF('2 Customer data'!L105=0,'2 Customer data'!K105,'2 Customer data'!L105),0)</f>
        <v>0</v>
      </c>
      <c r="M169" s="40">
        <f t="shared" ca="1" si="22"/>
        <v>0</v>
      </c>
      <c r="Q169" s="125"/>
    </row>
    <row r="170" spans="3:17" x14ac:dyDescent="0.55000000000000004">
      <c r="C170" s="124"/>
      <c r="D170">
        <f t="shared" si="17"/>
        <v>0</v>
      </c>
      <c r="E170" s="63">
        <f t="shared" si="17"/>
        <v>0</v>
      </c>
      <c r="F170" s="21">
        <f t="shared" ca="1" si="18"/>
        <v>0</v>
      </c>
      <c r="G170" s="80"/>
      <c r="H170" s="26">
        <f t="shared" si="19"/>
        <v>0</v>
      </c>
      <c r="I170" s="50"/>
      <c r="J170" s="26">
        <f t="shared" si="20"/>
        <v>0</v>
      </c>
      <c r="K170" s="21">
        <f t="shared" ca="1" si="21"/>
        <v>0</v>
      </c>
      <c r="L170" s="64">
        <f ca="1">IFERROR(K170/IF('2 Customer data'!L106=0,'2 Customer data'!K106,'2 Customer data'!L106),0)</f>
        <v>0</v>
      </c>
      <c r="M170" s="40">
        <f t="shared" ca="1" si="22"/>
        <v>0</v>
      </c>
      <c r="Q170" s="125"/>
    </row>
    <row r="171" spans="3:17" x14ac:dyDescent="0.55000000000000004">
      <c r="C171" s="124"/>
      <c r="D171">
        <f t="shared" si="17"/>
        <v>0</v>
      </c>
      <c r="E171" s="63">
        <f t="shared" si="17"/>
        <v>0</v>
      </c>
      <c r="F171" s="21">
        <f t="shared" ca="1" si="18"/>
        <v>0</v>
      </c>
      <c r="G171" s="80"/>
      <c r="H171" s="26">
        <f t="shared" si="19"/>
        <v>0</v>
      </c>
      <c r="I171" s="50"/>
      <c r="J171" s="26">
        <f t="shared" si="20"/>
        <v>0</v>
      </c>
      <c r="K171" s="21">
        <f t="shared" ca="1" si="21"/>
        <v>0</v>
      </c>
      <c r="L171" s="64">
        <f ca="1">IFERROR(K171/IF('2 Customer data'!L107=0,'2 Customer data'!K107,'2 Customer data'!L107),0)</f>
        <v>0</v>
      </c>
      <c r="M171" s="40">
        <f t="shared" ca="1" si="22"/>
        <v>0</v>
      </c>
      <c r="Q171" s="125"/>
    </row>
    <row r="172" spans="3:17" x14ac:dyDescent="0.55000000000000004">
      <c r="C172" s="124"/>
      <c r="D172">
        <f t="shared" si="17"/>
        <v>0</v>
      </c>
      <c r="E172" s="63">
        <f t="shared" si="17"/>
        <v>0</v>
      </c>
      <c r="F172" s="21">
        <f t="shared" ca="1" si="18"/>
        <v>0</v>
      </c>
      <c r="G172" s="80"/>
      <c r="H172" s="26">
        <f t="shared" si="19"/>
        <v>0</v>
      </c>
      <c r="I172" s="50"/>
      <c r="J172" s="26">
        <f t="shared" si="20"/>
        <v>0</v>
      </c>
      <c r="K172" s="21">
        <f t="shared" ca="1" si="21"/>
        <v>0</v>
      </c>
      <c r="L172" s="64">
        <f ca="1">IFERROR(K172/IF('2 Customer data'!L108=0,'2 Customer data'!K108,'2 Customer data'!L108),0)</f>
        <v>0</v>
      </c>
      <c r="M172" s="40">
        <f t="shared" ca="1" si="22"/>
        <v>0</v>
      </c>
      <c r="Q172" s="125"/>
    </row>
    <row r="173" spans="3:17" x14ac:dyDescent="0.55000000000000004">
      <c r="C173" s="124"/>
      <c r="D173">
        <f t="shared" si="17"/>
        <v>0</v>
      </c>
      <c r="E173" s="63">
        <f t="shared" si="17"/>
        <v>0</v>
      </c>
      <c r="F173" s="21">
        <f t="shared" ca="1" si="18"/>
        <v>0</v>
      </c>
      <c r="G173" s="80"/>
      <c r="H173" s="26">
        <f t="shared" si="19"/>
        <v>0</v>
      </c>
      <c r="I173" s="50"/>
      <c r="J173" s="26">
        <f t="shared" si="20"/>
        <v>0</v>
      </c>
      <c r="K173" s="21">
        <f t="shared" ca="1" si="21"/>
        <v>0</v>
      </c>
      <c r="L173" s="64">
        <f ca="1">IFERROR(K173/IF('2 Customer data'!L109=0,'2 Customer data'!K109,'2 Customer data'!L109),0)</f>
        <v>0</v>
      </c>
      <c r="M173" s="40">
        <f t="shared" ca="1" si="22"/>
        <v>0</v>
      </c>
      <c r="Q173" s="125"/>
    </row>
    <row r="174" spans="3:17" x14ac:dyDescent="0.55000000000000004">
      <c r="C174" s="124"/>
      <c r="D174">
        <f t="shared" si="17"/>
        <v>0</v>
      </c>
      <c r="E174" s="63">
        <f t="shared" si="17"/>
        <v>0</v>
      </c>
      <c r="F174" s="21">
        <f t="shared" ca="1" si="18"/>
        <v>0</v>
      </c>
      <c r="G174" s="80"/>
      <c r="H174" s="26">
        <f t="shared" si="19"/>
        <v>0</v>
      </c>
      <c r="I174" s="50"/>
      <c r="J174" s="26">
        <f>$H$156*I174</f>
        <v>0</v>
      </c>
      <c r="K174" s="21">
        <f t="shared" ca="1" si="21"/>
        <v>0</v>
      </c>
      <c r="L174" s="64">
        <f ca="1">IFERROR(K174/IF('2 Customer data'!L110=0,'2 Customer data'!K110,'2 Customer data'!L110),0)</f>
        <v>0</v>
      </c>
      <c r="M174" s="40">
        <f ca="1">P38</f>
        <v>0</v>
      </c>
      <c r="Q174" s="125"/>
    </row>
    <row r="175" spans="3:17" x14ac:dyDescent="0.55000000000000004">
      <c r="C175" s="124"/>
      <c r="D175">
        <f t="shared" si="17"/>
        <v>0</v>
      </c>
      <c r="E175" s="63">
        <f t="shared" si="17"/>
        <v>0</v>
      </c>
      <c r="F175" s="21">
        <f t="shared" ca="1" si="18"/>
        <v>0</v>
      </c>
      <c r="G175" s="80"/>
      <c r="H175" s="26">
        <f t="shared" si="19"/>
        <v>0</v>
      </c>
      <c r="I175" s="50"/>
      <c r="J175" s="26">
        <f>$H$156*I175</f>
        <v>0</v>
      </c>
      <c r="K175" s="21">
        <f t="shared" ca="1" si="21"/>
        <v>0</v>
      </c>
      <c r="L175" s="64">
        <f ca="1">IFERROR(K175/IF('2 Customer data'!L111=0,'2 Customer data'!K111,'2 Customer data'!L111),0)</f>
        <v>0</v>
      </c>
      <c r="M175" s="40">
        <f ca="1">P39</f>
        <v>0</v>
      </c>
      <c r="Q175" s="125"/>
    </row>
    <row r="176" spans="3:17" x14ac:dyDescent="0.55000000000000004">
      <c r="C176" s="124"/>
      <c r="D176">
        <f t="shared" si="17"/>
        <v>0</v>
      </c>
      <c r="E176" s="63">
        <f t="shared" si="17"/>
        <v>0</v>
      </c>
      <c r="F176" s="21">
        <f t="shared" ca="1" si="18"/>
        <v>0</v>
      </c>
      <c r="G176" s="80"/>
      <c r="H176" s="26">
        <f t="shared" si="19"/>
        <v>0</v>
      </c>
      <c r="I176" s="50"/>
      <c r="J176" s="26">
        <f>$H$156*I176</f>
        <v>0</v>
      </c>
      <c r="K176" s="21">
        <f t="shared" ca="1" si="21"/>
        <v>0</v>
      </c>
      <c r="L176" s="64">
        <f ca="1">IFERROR(K176/IF('2 Customer data'!L112=0,'2 Customer data'!K112,'2 Customer data'!L112),0)</f>
        <v>0</v>
      </c>
      <c r="M176" s="40">
        <f ca="1">P40</f>
        <v>0</v>
      </c>
      <c r="Q176" s="125"/>
    </row>
    <row r="177" spans="3:17" x14ac:dyDescent="0.55000000000000004">
      <c r="C177" s="124"/>
      <c r="D177" s="257" t="s">
        <v>108</v>
      </c>
      <c r="E177" s="17"/>
      <c r="F177" s="17"/>
      <c r="G177" s="17"/>
      <c r="I177" s="82">
        <f>1-I156</f>
        <v>1</v>
      </c>
      <c r="J177" s="17"/>
      <c r="K177" s="19"/>
      <c r="L177" s="258"/>
      <c r="Q177" s="125"/>
    </row>
    <row r="178" spans="3:17" ht="14.7" thickBot="1" x14ac:dyDescent="0.6">
      <c r="C178" s="130"/>
      <c r="D178" s="131"/>
      <c r="E178" s="131"/>
      <c r="F178" s="131"/>
      <c r="G178" s="131"/>
      <c r="H178" s="131"/>
      <c r="I178" s="131"/>
      <c r="J178" s="131"/>
      <c r="K178" s="131"/>
      <c r="L178" s="131"/>
      <c r="M178" s="131"/>
      <c r="N178" s="131"/>
      <c r="O178" s="131"/>
      <c r="P178" s="131"/>
      <c r="Q178" s="132"/>
    </row>
  </sheetData>
  <sheetProtection sheet="1" objects="1" scenarios="1"/>
  <mergeCells count="12">
    <mergeCell ref="D121:L122"/>
    <mergeCell ref="D152:M153"/>
    <mergeCell ref="G155:H155"/>
    <mergeCell ref="I155:J155"/>
    <mergeCell ref="E1:F2"/>
    <mergeCell ref="C7:L7"/>
    <mergeCell ref="D118:L119"/>
    <mergeCell ref="D12:M14"/>
    <mergeCell ref="D47:M49"/>
    <mergeCell ref="D51:M52"/>
    <mergeCell ref="D82:L85"/>
    <mergeCell ref="D87:L88"/>
  </mergeCells>
  <dataValidations count="1">
    <dataValidation type="list" allowBlank="1" showInputMessage="1" showErrorMessage="1" sqref="E18" xr:uid="{68B573D0-D780-47C2-9719-6AE724ADD366}">
      <formula1>$S$16:$S$18</formula1>
    </dataValidation>
  </dataValidations>
  <pageMargins left="0.7" right="0.7" top="0.75" bottom="0.75" header="0.3" footer="0.3"/>
  <pageSetup paperSize="9" orientation="portrait" r:id="rId1"/>
  <ignoredErrors>
    <ignoredError sqref="O21:O41" formula="1"/>
  </ignoredErrors>
  <drawing r:id="rId2"/>
  <legacyDrawing r:id="rId3"/>
  <controls>
    <mc:AlternateContent xmlns:mc="http://schemas.openxmlformats.org/markup-compatibility/2006">
      <mc:Choice Requires="x14">
        <control shapeId="16385" r:id="rId4" name="cb2E">
          <controlPr defaultSize="0" autoLine="0" r:id="rId5">
            <anchor moveWithCells="1">
              <from>
                <xdr:col>4</xdr:col>
                <xdr:colOff>220980</xdr:colOff>
                <xdr:row>2</xdr:row>
                <xdr:rowOff>38100</xdr:rowOff>
              </from>
              <to>
                <xdr:col>5</xdr:col>
                <xdr:colOff>914400</xdr:colOff>
                <xdr:row>3</xdr:row>
                <xdr:rowOff>91440</xdr:rowOff>
              </to>
            </anchor>
          </controlPr>
        </control>
      </mc:Choice>
      <mc:Fallback>
        <control shapeId="16385" r:id="rId4" name="cb2E"/>
      </mc:Fallback>
    </mc:AlternateContent>
  </controls>
</worksheet>
</file>

<file path=xl/worksheets/sheet2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D0E2E11-BDB5-4B4E-AEE1-42B441B786A2}">
  <sheetPr codeName="Sheet15">
    <tabColor rgb="FF002060"/>
  </sheetPr>
  <dimension ref="A1:N176"/>
  <sheetViews>
    <sheetView showGridLines="0" workbookViewId="0">
      <pane ySplit="4" topLeftCell="A5" activePane="bottomLeft" state="frozen"/>
      <selection pane="bottomLeft" activeCell="F15" sqref="F15"/>
    </sheetView>
  </sheetViews>
  <sheetFormatPr defaultColWidth="8.7890625" defaultRowHeight="14.4" x14ac:dyDescent="0.55000000000000004"/>
  <cols>
    <col min="1" max="1" width="3.7890625" style="117" customWidth="1"/>
    <col min="2" max="2" width="3.7890625" customWidth="1"/>
    <col min="3" max="3" width="3.41796875" customWidth="1"/>
    <col min="4" max="4" width="33.20703125" customWidth="1"/>
    <col min="5" max="5" width="17.20703125" customWidth="1"/>
    <col min="6" max="6" width="15.5234375" customWidth="1"/>
    <col min="7" max="7" width="14.7890625" customWidth="1"/>
    <col min="8" max="9" width="16.7890625" customWidth="1"/>
    <col min="10" max="10" width="16.20703125" customWidth="1"/>
    <col min="11" max="11" width="16.5234375" customWidth="1"/>
    <col min="12" max="13" width="16.7890625" customWidth="1"/>
    <col min="14" max="14" width="6" customWidth="1"/>
  </cols>
  <sheetData>
    <row r="1" spans="1:14" x14ac:dyDescent="0.55000000000000004">
      <c r="A1"/>
      <c r="E1" s="1807" t="s">
        <v>206</v>
      </c>
      <c r="F1" s="1807"/>
    </row>
    <row r="2" spans="1:14" x14ac:dyDescent="0.55000000000000004">
      <c r="A2"/>
      <c r="E2" s="1807"/>
      <c r="F2" s="1807"/>
    </row>
    <row r="3" spans="1:14" x14ac:dyDescent="0.55000000000000004">
      <c r="A3"/>
    </row>
    <row r="4" spans="1:14" s="116" customFormat="1" ht="14.7" thickBot="1" x14ac:dyDescent="0.6"/>
    <row r="5" spans="1:14" s="117" customFormat="1" x14ac:dyDescent="0.55000000000000004"/>
    <row r="7" spans="1:14" ht="18.3" x14ac:dyDescent="0.7">
      <c r="B7" s="118"/>
      <c r="C7" s="1804" t="s">
        <v>173</v>
      </c>
      <c r="D7" s="1804"/>
      <c r="E7" s="1804"/>
      <c r="F7" s="1804"/>
      <c r="G7" s="1804"/>
      <c r="H7" s="1804"/>
      <c r="I7" s="1804"/>
      <c r="J7" s="1804"/>
      <c r="K7" s="1804"/>
      <c r="L7" s="1804"/>
    </row>
    <row r="8" spans="1:14" ht="10.95" customHeight="1" thickBot="1" x14ac:dyDescent="0.6"/>
    <row r="9" spans="1:14" x14ac:dyDescent="0.55000000000000004">
      <c r="C9" s="121"/>
      <c r="D9" s="122"/>
      <c r="E9" s="122"/>
      <c r="F9" s="122"/>
      <c r="G9" s="122"/>
      <c r="H9" s="122"/>
      <c r="I9" s="122"/>
      <c r="J9" s="122"/>
      <c r="K9" s="122"/>
      <c r="L9" s="122"/>
      <c r="M9" s="122"/>
      <c r="N9" s="123"/>
    </row>
    <row r="10" spans="1:14" x14ac:dyDescent="0.55000000000000004">
      <c r="C10" s="124"/>
      <c r="D10" s="1" t="s">
        <v>169</v>
      </c>
      <c r="N10" s="125"/>
    </row>
    <row r="11" spans="1:14" x14ac:dyDescent="0.55000000000000004">
      <c r="C11" s="124"/>
      <c r="D11" s="1804" t="s">
        <v>552</v>
      </c>
      <c r="E11" s="1804"/>
      <c r="F11" s="1804"/>
      <c r="G11" s="1804"/>
      <c r="H11" s="1804"/>
      <c r="I11" s="1804"/>
      <c r="J11" s="1804"/>
      <c r="K11" s="1804"/>
      <c r="L11" s="1804"/>
      <c r="M11" s="1804"/>
      <c r="N11" s="125"/>
    </row>
    <row r="12" spans="1:14" x14ac:dyDescent="0.55000000000000004">
      <c r="C12" s="124"/>
      <c r="D12" s="1"/>
      <c r="N12" s="125"/>
    </row>
    <row r="13" spans="1:14" x14ac:dyDescent="0.55000000000000004">
      <c r="C13" s="124"/>
      <c r="D13" t="s">
        <v>37</v>
      </c>
      <c r="E13" s="240" t="s">
        <v>40</v>
      </c>
      <c r="N13" s="125"/>
    </row>
    <row r="14" spans="1:14" x14ac:dyDescent="0.55000000000000004">
      <c r="C14" s="124"/>
      <c r="D14" s="1"/>
      <c r="N14" s="125"/>
    </row>
    <row r="15" spans="1:14" ht="43.2" x14ac:dyDescent="0.55000000000000004">
      <c r="C15" s="124"/>
      <c r="D15" s="62" t="s">
        <v>283</v>
      </c>
      <c r="E15" s="56" t="s">
        <v>312</v>
      </c>
      <c r="F15" s="56" t="s">
        <v>532</v>
      </c>
      <c r="G15" s="56" t="s">
        <v>365</v>
      </c>
      <c r="H15" s="56" t="s">
        <v>364</v>
      </c>
      <c r="I15" s="56" t="s">
        <v>499</v>
      </c>
      <c r="J15" s="162"/>
      <c r="L15" s="162"/>
      <c r="N15" s="125"/>
    </row>
    <row r="16" spans="1:14" x14ac:dyDescent="0.55000000000000004">
      <c r="C16" s="124"/>
      <c r="D16" t="str">
        <f>'2 Customer data'!D129</f>
        <v>Residential</v>
      </c>
      <c r="E16" s="63" t="str">
        <f>'2 Customer data'!E129</f>
        <v>Domestic</v>
      </c>
      <c r="F16" s="22">
        <f>IFERROR(IF('2 Customer data'!H129="",'2 Customer data'!G129,'2 Customer data'!H129)/IF('2 Customer data'!$H$149=0,'2 Customer data'!$G$149,'2 Customer data'!$H$149),0)</f>
        <v>0.95556301768524732</v>
      </c>
      <c r="G16" s="26">
        <f ca="1">Expenditure!$I$54*'2 Solid waste'!F16</f>
        <v>90731121.141325265</v>
      </c>
      <c r="H16" s="21">
        <f ca="1">G16</f>
        <v>90731121.141325265</v>
      </c>
      <c r="I16" s="64">
        <f ca="1">IFERROR(G16/IF('2 Customer data'!H129="",'2 Customer data'!G129,'2 Customer data'!H129)/12,0)</f>
        <v>442.8327727408402</v>
      </c>
      <c r="J16" s="134"/>
      <c r="L16" s="187"/>
      <c r="N16" s="125"/>
    </row>
    <row r="17" spans="3:14" x14ac:dyDescent="0.55000000000000004">
      <c r="C17" s="124"/>
      <c r="D17" t="str">
        <f>'2 Customer data'!D130</f>
        <v>Commercial</v>
      </c>
      <c r="E17" s="63" t="str">
        <f>'2 Customer data'!E130</f>
        <v>Commercial</v>
      </c>
      <c r="F17" s="22">
        <f>IFERROR(IF('2 Customer data'!H130="",'2 Customer data'!G130,'2 Customer data'!H130)/IF('2 Customer data'!$H$149=0,'2 Customer data'!$G$149,'2 Customer data'!$H$149),0)</f>
        <v>4.3317662860980523E-2</v>
      </c>
      <c r="G17" s="26">
        <f ca="1">Expenditure!$I$54*'2 Solid waste'!F17</f>
        <v>4113030.7932169237</v>
      </c>
      <c r="H17" s="21">
        <f t="shared" ref="H17:H35" ca="1" si="0">G17</f>
        <v>4113030.7932169237</v>
      </c>
      <c r="I17" s="64">
        <f ca="1">IFERROR(G17/IF('2 Customer data'!H130="",'2 Customer data'!G130,'2 Customer data'!H130)/12,0)</f>
        <v>442.8327727408402</v>
      </c>
      <c r="J17" s="134"/>
      <c r="L17" s="187"/>
      <c r="N17" s="125"/>
    </row>
    <row r="18" spans="3:14" x14ac:dyDescent="0.55000000000000004">
      <c r="C18" s="124"/>
      <c r="D18" t="str">
        <f>'2 Customer data'!D131</f>
        <v>Sport Clubs</v>
      </c>
      <c r="E18" s="63" t="str">
        <f>'2 Customer data'!E131</f>
        <v xml:space="preserve">Institutional </v>
      </c>
      <c r="F18" s="22">
        <f>IFERROR(IF('2 Customer data'!H131="",'2 Customer data'!G131,'2 Customer data'!H131)/IF('2 Customer data'!$H$149=0,'2 Customer data'!$G$149,'2 Customer data'!$H$149),0)</f>
        <v>5.0369375419744792E-4</v>
      </c>
      <c r="G18" s="26">
        <f ca="1">Expenditure!$I$54*'2 Solid waste'!F18</f>
        <v>47825.939456010739</v>
      </c>
      <c r="H18" s="21">
        <f t="shared" ca="1" si="0"/>
        <v>47825.939456010739</v>
      </c>
      <c r="I18" s="64">
        <f ca="1">IFERROR(G18/IF('2 Customer data'!H131="",'2 Customer data'!G131,'2 Customer data'!H131)/12,0)</f>
        <v>442.8327727408402</v>
      </c>
      <c r="J18" s="134"/>
      <c r="L18" s="187"/>
      <c r="N18" s="125"/>
    </row>
    <row r="19" spans="3:14" x14ac:dyDescent="0.55000000000000004">
      <c r="C19" s="124"/>
      <c r="D19" t="str">
        <f>'2 Customer data'!D132</f>
        <v>Old Age Homes</v>
      </c>
      <c r="E19" s="63" t="str">
        <f>'2 Customer data'!E132</f>
        <v>Domestic</v>
      </c>
      <c r="F19" s="22">
        <f>IFERROR(IF('2 Customer data'!H132="",'2 Customer data'!G132,'2 Customer data'!H132)/IF('2 Customer data'!$H$149=0,'2 Customer data'!$G$149,'2 Customer data'!$H$149),0)</f>
        <v>4.4772778150884264E-4</v>
      </c>
      <c r="G19" s="26">
        <f ca="1">Expenditure!$I$54*'2 Solid waste'!F19</f>
        <v>42511.946183120665</v>
      </c>
      <c r="H19" s="21">
        <f t="shared" ca="1" si="0"/>
        <v>42511.946183120665</v>
      </c>
      <c r="I19" s="64">
        <f ca="1">IFERROR(G19/IF('2 Customer data'!H132="",'2 Customer data'!G132,'2 Customer data'!H132)/12,0)</f>
        <v>442.83277274084026</v>
      </c>
      <c r="J19" s="134"/>
      <c r="L19" s="187"/>
      <c r="N19" s="125"/>
    </row>
    <row r="20" spans="3:14" x14ac:dyDescent="0.55000000000000004">
      <c r="C20" s="124"/>
      <c r="D20" t="str">
        <f>'2 Customer data'!D133</f>
        <v>Safe Houses</v>
      </c>
      <c r="E20" s="63" t="str">
        <f>'2 Customer data'!E133</f>
        <v>Domestic</v>
      </c>
      <c r="F20" s="22">
        <f>IFERROR(IF('2 Customer data'!H133="",'2 Customer data'!G133,'2 Customer data'!H133)/IF('2 Customer data'!$H$149=0,'2 Customer data'!$G$149,'2 Customer data'!$H$149),0)</f>
        <v>1.6789791806581599E-4</v>
      </c>
      <c r="G20" s="26">
        <f ca="1">Expenditure!$I$54*'2 Solid waste'!F20</f>
        <v>15941.979818670248</v>
      </c>
      <c r="H20" s="21">
        <f t="shared" ca="1" si="0"/>
        <v>15941.979818670248</v>
      </c>
      <c r="I20" s="64">
        <f ca="1">IFERROR(G20/IF('2 Customer data'!H133="",'2 Customer data'!G133,'2 Customer data'!H133)/12,0)</f>
        <v>442.83277274084026</v>
      </c>
      <c r="J20" s="134"/>
      <c r="L20" s="187"/>
      <c r="N20" s="125"/>
    </row>
    <row r="21" spans="3:14" x14ac:dyDescent="0.55000000000000004">
      <c r="C21" s="124"/>
      <c r="D21">
        <f>'2 Customer data'!D134</f>
        <v>0</v>
      </c>
      <c r="E21" s="63">
        <f>'2 Customer data'!E134</f>
        <v>0</v>
      </c>
      <c r="F21" s="22">
        <f>IFERROR(IF('2 Customer data'!H134="",'2 Customer data'!G134,'2 Customer data'!H134)/IF('2 Customer data'!$H$149=0,'2 Customer data'!$G$149,'2 Customer data'!$H$149),0)</f>
        <v>0</v>
      </c>
      <c r="G21" s="26">
        <f ca="1">Expenditure!$I$54*'2 Solid waste'!F21</f>
        <v>0</v>
      </c>
      <c r="H21" s="21">
        <f t="shared" ca="1" si="0"/>
        <v>0</v>
      </c>
      <c r="I21" s="64">
        <f ca="1">IFERROR(G21/IF('2 Customer data'!H134="",'2 Customer data'!G134,'2 Customer data'!H134)/12,0)</f>
        <v>0</v>
      </c>
      <c r="J21" s="134"/>
      <c r="L21" s="187"/>
      <c r="N21" s="125"/>
    </row>
    <row r="22" spans="3:14" x14ac:dyDescent="0.55000000000000004">
      <c r="C22" s="124"/>
      <c r="D22">
        <f>'2 Customer data'!D135</f>
        <v>0</v>
      </c>
      <c r="E22" s="63">
        <f>'2 Customer data'!E135</f>
        <v>0</v>
      </c>
      <c r="F22" s="22">
        <f>IFERROR(IF('2 Customer data'!H135="",'2 Customer data'!G135,'2 Customer data'!H135)/IF('2 Customer data'!$H$149=0,'2 Customer data'!$G$149,'2 Customer data'!$H$149),0)</f>
        <v>0</v>
      </c>
      <c r="G22" s="26">
        <f ca="1">Expenditure!$I$54*'2 Solid waste'!F22</f>
        <v>0</v>
      </c>
      <c r="H22" s="21">
        <f t="shared" ca="1" si="0"/>
        <v>0</v>
      </c>
      <c r="I22" s="64">
        <f ca="1">IFERROR(G22/IF('2 Customer data'!H135="",'2 Customer data'!G135,'2 Customer data'!H135)/12,0)</f>
        <v>0</v>
      </c>
      <c r="J22" s="134"/>
      <c r="L22" s="187"/>
      <c r="N22" s="125"/>
    </row>
    <row r="23" spans="3:14" x14ac:dyDescent="0.55000000000000004">
      <c r="C23" s="124"/>
      <c r="D23">
        <f>'2 Customer data'!D136</f>
        <v>0</v>
      </c>
      <c r="E23" s="63">
        <f>'2 Customer data'!E136</f>
        <v>0</v>
      </c>
      <c r="F23" s="22">
        <f>IFERROR(IF('2 Customer data'!H136="",'2 Customer data'!G136,'2 Customer data'!H136)/IF('2 Customer data'!$H$149=0,'2 Customer data'!$G$149,'2 Customer data'!$H$149),0)</f>
        <v>0</v>
      </c>
      <c r="G23" s="26">
        <f ca="1">Expenditure!$I$54*'2 Solid waste'!F23</f>
        <v>0</v>
      </c>
      <c r="H23" s="21">
        <f t="shared" ca="1" si="0"/>
        <v>0</v>
      </c>
      <c r="I23" s="64">
        <f ca="1">IFERROR(G23/IF('2 Customer data'!H136="",'2 Customer data'!G136,'2 Customer data'!H136)/12,0)</f>
        <v>0</v>
      </c>
      <c r="J23" s="134"/>
      <c r="L23" s="187"/>
      <c r="N23" s="125"/>
    </row>
    <row r="24" spans="3:14" x14ac:dyDescent="0.55000000000000004">
      <c r="C24" s="124"/>
      <c r="D24">
        <f>'2 Customer data'!D137</f>
        <v>0</v>
      </c>
      <c r="E24" s="63">
        <f>'2 Customer data'!E137</f>
        <v>0</v>
      </c>
      <c r="F24" s="22">
        <f>IFERROR(IF('2 Customer data'!H137="",'2 Customer data'!G137,'2 Customer data'!H137)/IF('2 Customer data'!$H$149=0,'2 Customer data'!$G$149,'2 Customer data'!$H$149),0)</f>
        <v>0</v>
      </c>
      <c r="G24" s="26">
        <f ca="1">Expenditure!$I$54*'2 Solid waste'!F24</f>
        <v>0</v>
      </c>
      <c r="H24" s="21">
        <f t="shared" ca="1" si="0"/>
        <v>0</v>
      </c>
      <c r="I24" s="64">
        <f ca="1">IFERROR(G24/IF('2 Customer data'!H137="",'2 Customer data'!G137,'2 Customer data'!H137)/12,0)</f>
        <v>0</v>
      </c>
      <c r="J24" s="134"/>
      <c r="L24" s="187"/>
      <c r="N24" s="125"/>
    </row>
    <row r="25" spans="3:14" x14ac:dyDescent="0.55000000000000004">
      <c r="C25" s="124"/>
      <c r="D25">
        <f>'2 Customer data'!D138</f>
        <v>0</v>
      </c>
      <c r="E25" s="63">
        <f>'2 Customer data'!E138</f>
        <v>0</v>
      </c>
      <c r="F25" s="22">
        <f>IFERROR(IF('2 Customer data'!H138="",'2 Customer data'!G138,'2 Customer data'!H138)/IF('2 Customer data'!$H$149=0,'2 Customer data'!$G$149,'2 Customer data'!$H$149),0)</f>
        <v>0</v>
      </c>
      <c r="G25" s="26">
        <f ca="1">Expenditure!$I$54*'2 Solid waste'!F25</f>
        <v>0</v>
      </c>
      <c r="H25" s="21">
        <f t="shared" ca="1" si="0"/>
        <v>0</v>
      </c>
      <c r="I25" s="64">
        <f ca="1">IFERROR(G25/IF('2 Customer data'!H138="",'2 Customer data'!G138,'2 Customer data'!H138)/12,0)</f>
        <v>0</v>
      </c>
      <c r="J25" s="134"/>
      <c r="L25" s="187"/>
      <c r="N25" s="125"/>
    </row>
    <row r="26" spans="3:14" x14ac:dyDescent="0.55000000000000004">
      <c r="C26" s="124"/>
      <c r="D26">
        <f>'2 Customer data'!D139</f>
        <v>0</v>
      </c>
      <c r="E26" s="63">
        <f>'2 Customer data'!E139</f>
        <v>0</v>
      </c>
      <c r="F26" s="22">
        <f>IFERROR(IF('2 Customer data'!H139="",'2 Customer data'!G139,'2 Customer data'!H139)/IF('2 Customer data'!$H$149=0,'2 Customer data'!$G$149,'2 Customer data'!$H$149),0)</f>
        <v>0</v>
      </c>
      <c r="G26" s="26">
        <f ca="1">Expenditure!$I$54*'2 Solid waste'!F26</f>
        <v>0</v>
      </c>
      <c r="H26" s="21">
        <f t="shared" ca="1" si="0"/>
        <v>0</v>
      </c>
      <c r="I26" s="64">
        <f ca="1">IFERROR(G26/IF('2 Customer data'!H139="",'2 Customer data'!G139,'2 Customer data'!H139)/12,0)</f>
        <v>0</v>
      </c>
      <c r="J26" s="134"/>
      <c r="L26" s="187"/>
      <c r="N26" s="125"/>
    </row>
    <row r="27" spans="3:14" x14ac:dyDescent="0.55000000000000004">
      <c r="C27" s="124"/>
      <c r="D27">
        <f>'2 Customer data'!D140</f>
        <v>0</v>
      </c>
      <c r="E27" s="63">
        <f>'2 Customer data'!E140</f>
        <v>0</v>
      </c>
      <c r="F27" s="22">
        <f>IFERROR(IF('2 Customer data'!H140="",'2 Customer data'!G140,'2 Customer data'!H140)/IF('2 Customer data'!$H$149=0,'2 Customer data'!$G$149,'2 Customer data'!$H$149),0)</f>
        <v>0</v>
      </c>
      <c r="G27" s="26">
        <f ca="1">Expenditure!$I$54*'2 Solid waste'!F27</f>
        <v>0</v>
      </c>
      <c r="H27" s="21">
        <f t="shared" ca="1" si="0"/>
        <v>0</v>
      </c>
      <c r="I27" s="64">
        <f ca="1">IFERROR(G27/IF('2 Customer data'!H140="",'2 Customer data'!G140,'2 Customer data'!H140)/12,0)</f>
        <v>0</v>
      </c>
      <c r="J27" s="134"/>
      <c r="L27" s="187"/>
      <c r="N27" s="125"/>
    </row>
    <row r="28" spans="3:14" x14ac:dyDescent="0.55000000000000004">
      <c r="C28" s="124"/>
      <c r="D28">
        <f>'2 Customer data'!D141</f>
        <v>0</v>
      </c>
      <c r="E28" s="63">
        <f>'2 Customer data'!E141</f>
        <v>0</v>
      </c>
      <c r="F28" s="22">
        <f>IFERROR(IF('2 Customer data'!H141="",'2 Customer data'!G141,'2 Customer data'!H141)/IF('2 Customer data'!$H$149=0,'2 Customer data'!$G$149,'2 Customer data'!$H$149),0)</f>
        <v>0</v>
      </c>
      <c r="G28" s="26">
        <f ca="1">Expenditure!$I$54*'2 Solid waste'!F28</f>
        <v>0</v>
      </c>
      <c r="H28" s="21">
        <f t="shared" ca="1" si="0"/>
        <v>0</v>
      </c>
      <c r="I28" s="64">
        <f ca="1">IFERROR(G28/IF('2 Customer data'!H141="",'2 Customer data'!G141,'2 Customer data'!H141)/12,0)</f>
        <v>0</v>
      </c>
      <c r="J28" s="134"/>
      <c r="L28" s="187"/>
      <c r="N28" s="125"/>
    </row>
    <row r="29" spans="3:14" x14ac:dyDescent="0.55000000000000004">
      <c r="C29" s="124"/>
      <c r="D29">
        <f>'2 Customer data'!D142</f>
        <v>0</v>
      </c>
      <c r="E29" s="63">
        <f>'2 Customer data'!E142</f>
        <v>0</v>
      </c>
      <c r="F29" s="22">
        <f>IFERROR(IF('2 Customer data'!H142="",'2 Customer data'!G142,'2 Customer data'!H142)/IF('2 Customer data'!$H$149=0,'2 Customer data'!$G$149,'2 Customer data'!$H$149),0)</f>
        <v>0</v>
      </c>
      <c r="G29" s="26">
        <f ca="1">Expenditure!$I$54*'2 Solid waste'!F29</f>
        <v>0</v>
      </c>
      <c r="H29" s="21">
        <f t="shared" ca="1" si="0"/>
        <v>0</v>
      </c>
      <c r="I29" s="64">
        <f ca="1">IFERROR(G29/IF('2 Customer data'!H142="",'2 Customer data'!G142,'2 Customer data'!H142)/12,0)</f>
        <v>0</v>
      </c>
      <c r="J29" s="134"/>
      <c r="L29" s="187"/>
      <c r="N29" s="125"/>
    </row>
    <row r="30" spans="3:14" x14ac:dyDescent="0.55000000000000004">
      <c r="C30" s="124"/>
      <c r="D30">
        <f>'2 Customer data'!D143</f>
        <v>0</v>
      </c>
      <c r="E30" s="63">
        <f>'2 Customer data'!E143</f>
        <v>0</v>
      </c>
      <c r="F30" s="22">
        <f>IFERROR(IF('2 Customer data'!H143="",'2 Customer data'!G143,'2 Customer data'!H143)/IF('2 Customer data'!$H$149=0,'2 Customer data'!$G$149,'2 Customer data'!$H$149),0)</f>
        <v>0</v>
      </c>
      <c r="G30" s="26">
        <f ca="1">Expenditure!$I$54*'2 Solid waste'!F30</f>
        <v>0</v>
      </c>
      <c r="H30" s="21">
        <f t="shared" ca="1" si="0"/>
        <v>0</v>
      </c>
      <c r="I30" s="64">
        <f ca="1">IFERROR(G30/IF('2 Customer data'!H143="",'2 Customer data'!G143,'2 Customer data'!H143)/12,0)</f>
        <v>0</v>
      </c>
      <c r="J30" s="134"/>
      <c r="L30" s="187"/>
      <c r="N30" s="125"/>
    </row>
    <row r="31" spans="3:14" x14ac:dyDescent="0.55000000000000004">
      <c r="C31" s="124"/>
      <c r="D31">
        <f>'2 Customer data'!D144</f>
        <v>0</v>
      </c>
      <c r="E31" s="63">
        <f>'2 Customer data'!E144</f>
        <v>0</v>
      </c>
      <c r="F31" s="22">
        <f>IFERROR(IF('2 Customer data'!H144="",'2 Customer data'!G144,'2 Customer data'!H144)/IF('2 Customer data'!$H$149=0,'2 Customer data'!$G$149,'2 Customer data'!$H$149),0)</f>
        <v>0</v>
      </c>
      <c r="G31" s="26">
        <f ca="1">Expenditure!$I$54*'2 Solid waste'!F31</f>
        <v>0</v>
      </c>
      <c r="H31" s="21">
        <f t="shared" ca="1" si="0"/>
        <v>0</v>
      </c>
      <c r="I31" s="64">
        <f ca="1">IFERROR(G31/IF('2 Customer data'!H144="",'2 Customer data'!G144,'2 Customer data'!H144)/12,0)</f>
        <v>0</v>
      </c>
      <c r="J31" s="134"/>
      <c r="L31" s="187"/>
      <c r="N31" s="125"/>
    </row>
    <row r="32" spans="3:14" x14ac:dyDescent="0.55000000000000004">
      <c r="C32" s="124"/>
      <c r="D32">
        <f>'2 Customer data'!D145</f>
        <v>0</v>
      </c>
      <c r="E32" s="63">
        <f>'2 Customer data'!E145</f>
        <v>0</v>
      </c>
      <c r="F32" s="22">
        <f>IFERROR(IF('2 Customer data'!H145="",'2 Customer data'!G145,'2 Customer data'!H145)/IF('2 Customer data'!$H$149=0,'2 Customer data'!$G$149,'2 Customer data'!$H$149),0)</f>
        <v>0</v>
      </c>
      <c r="G32" s="26">
        <f ca="1">Expenditure!$I$54*'2 Solid waste'!F32</f>
        <v>0</v>
      </c>
      <c r="H32" s="21">
        <f t="shared" ca="1" si="0"/>
        <v>0</v>
      </c>
      <c r="I32" s="64">
        <f ca="1">IFERROR(G32/IF('2 Customer data'!H145="",'2 Customer data'!G145,'2 Customer data'!H145)/12,0)</f>
        <v>0</v>
      </c>
      <c r="J32" s="134"/>
      <c r="L32" s="187"/>
      <c r="N32" s="125"/>
    </row>
    <row r="33" spans="3:14" x14ac:dyDescent="0.55000000000000004">
      <c r="C33" s="124"/>
      <c r="D33">
        <f>'2 Customer data'!D146</f>
        <v>0</v>
      </c>
      <c r="E33" s="63">
        <f>'2 Customer data'!E146</f>
        <v>0</v>
      </c>
      <c r="F33" s="22">
        <f>IFERROR(IF('2 Customer data'!H146="",'2 Customer data'!G146,'2 Customer data'!H146)/IF('2 Customer data'!$H$149=0,'2 Customer data'!$G$149,'2 Customer data'!$H$149),0)</f>
        <v>0</v>
      </c>
      <c r="G33" s="26">
        <f ca="1">Expenditure!$I$54*'2 Solid waste'!F33</f>
        <v>0</v>
      </c>
      <c r="H33" s="21">
        <f t="shared" ca="1" si="0"/>
        <v>0</v>
      </c>
      <c r="I33" s="64">
        <f ca="1">IFERROR(G33/IF('2 Customer data'!H146="",'2 Customer data'!G146,'2 Customer data'!H146)/12,0)</f>
        <v>0</v>
      </c>
      <c r="J33" s="134"/>
      <c r="L33" s="187"/>
      <c r="N33" s="125"/>
    </row>
    <row r="34" spans="3:14" x14ac:dyDescent="0.55000000000000004">
      <c r="C34" s="124"/>
      <c r="D34">
        <f>'2 Customer data'!D147</f>
        <v>0</v>
      </c>
      <c r="E34" s="63">
        <f>'2 Customer data'!E147</f>
        <v>0</v>
      </c>
      <c r="F34" s="22">
        <f>IFERROR(IF('2 Customer data'!H147="",'2 Customer data'!G147,'2 Customer data'!H147)/IF('2 Customer data'!$H$149=0,'2 Customer data'!$G$149,'2 Customer data'!$H$149),0)</f>
        <v>0</v>
      </c>
      <c r="G34" s="26">
        <f ca="1">Expenditure!$I$54*'2 Solid waste'!F34</f>
        <v>0</v>
      </c>
      <c r="H34" s="21">
        <f t="shared" ca="1" si="0"/>
        <v>0</v>
      </c>
      <c r="I34" s="64">
        <f ca="1">IFERROR(G34/IF('2 Customer data'!H147="",'2 Customer data'!G147,'2 Customer data'!H147)/12,0)</f>
        <v>0</v>
      </c>
      <c r="J34" s="134"/>
      <c r="L34" s="187"/>
      <c r="N34" s="125"/>
    </row>
    <row r="35" spans="3:14" x14ac:dyDescent="0.55000000000000004">
      <c r="C35" s="124"/>
      <c r="D35">
        <f>'2 Customer data'!D148</f>
        <v>0</v>
      </c>
      <c r="E35" s="63">
        <f>'2 Customer data'!E148</f>
        <v>0</v>
      </c>
      <c r="F35" s="22">
        <f>IFERROR(IF('2 Customer data'!H148="",'2 Customer data'!G148,'2 Customer data'!H148)/IF('2 Customer data'!$H$149=0,'2 Customer data'!$G$149,'2 Customer data'!$H$149),0)</f>
        <v>0</v>
      </c>
      <c r="G35" s="26">
        <f ca="1">Expenditure!$I$54*'2 Solid waste'!F35</f>
        <v>0</v>
      </c>
      <c r="H35" s="21">
        <f t="shared" ca="1" si="0"/>
        <v>0</v>
      </c>
      <c r="I35" s="64">
        <f ca="1">IFERROR(G35/IF('2 Customer data'!H148="",'2 Customer data'!G148,'2 Customer data'!H148)/12,0)</f>
        <v>0</v>
      </c>
      <c r="J35" s="134"/>
      <c r="L35" s="187"/>
      <c r="N35" s="125"/>
    </row>
    <row r="36" spans="3:14" x14ac:dyDescent="0.55000000000000004">
      <c r="C36" s="124"/>
      <c r="D36" s="1" t="s">
        <v>33</v>
      </c>
      <c r="F36" s="65">
        <f>SUM(F16:F35)</f>
        <v>0.99999999999999989</v>
      </c>
      <c r="G36" s="15">
        <f ca="1">SUM(G16:G35)</f>
        <v>94950431.799999997</v>
      </c>
      <c r="H36" s="15">
        <f ca="1">SUM(H16:H35)</f>
        <v>94950431.799999997</v>
      </c>
      <c r="I36" s="19">
        <f ca="1">IFERROR(G36/IF('2 Customer data'!H149=0,'2 Customer data'!G149,'2 Customer data'!H149)/12,0)</f>
        <v>442.83277274084026</v>
      </c>
      <c r="J36" s="15"/>
      <c r="L36" s="19"/>
      <c r="N36" s="125"/>
    </row>
    <row r="37" spans="3:14" ht="14.7" thickBot="1" x14ac:dyDescent="0.6">
      <c r="C37" s="130"/>
      <c r="D37" s="241"/>
      <c r="E37" s="242"/>
      <c r="F37" s="242"/>
      <c r="G37" s="242"/>
      <c r="H37" s="243"/>
      <c r="I37" s="243"/>
      <c r="J37" s="242"/>
      <c r="K37" s="242"/>
      <c r="L37" s="242"/>
      <c r="M37" s="131"/>
      <c r="N37" s="132"/>
    </row>
    <row r="38" spans="3:14" ht="14.7" thickBot="1" x14ac:dyDescent="0.6">
      <c r="D38" s="1"/>
      <c r="E38" s="19"/>
      <c r="F38" s="19"/>
      <c r="G38" s="19"/>
      <c r="H38" s="15"/>
      <c r="I38" s="15"/>
      <c r="J38" s="19"/>
      <c r="K38" s="19"/>
      <c r="L38" s="19"/>
    </row>
    <row r="39" spans="3:14" x14ac:dyDescent="0.55000000000000004">
      <c r="C39" s="121"/>
      <c r="D39" s="244"/>
      <c r="E39" s="245"/>
      <c r="F39" s="245"/>
      <c r="G39" s="245"/>
      <c r="H39" s="246"/>
      <c r="I39" s="246"/>
      <c r="J39" s="245"/>
      <c r="K39" s="245"/>
      <c r="L39" s="245"/>
      <c r="M39" s="122"/>
      <c r="N39" s="123"/>
    </row>
    <row r="40" spans="3:14" x14ac:dyDescent="0.55000000000000004">
      <c r="C40" s="124"/>
      <c r="D40" s="1" t="s">
        <v>168</v>
      </c>
      <c r="N40" s="125"/>
    </row>
    <row r="41" spans="3:14" ht="5.55" customHeight="1" x14ac:dyDescent="0.55000000000000004">
      <c r="C41" s="124"/>
      <c r="D41" s="1"/>
      <c r="N41" s="125"/>
    </row>
    <row r="42" spans="3:14" ht="14.55" customHeight="1" x14ac:dyDescent="0.55000000000000004">
      <c r="C42" s="124"/>
      <c r="D42" s="1804" t="s">
        <v>553</v>
      </c>
      <c r="E42" s="1804"/>
      <c r="F42" s="1804"/>
      <c r="G42" s="1804"/>
      <c r="H42" s="1804"/>
      <c r="I42" s="1804"/>
      <c r="J42" s="1804"/>
      <c r="K42" s="1804"/>
      <c r="L42" s="1804"/>
      <c r="M42" s="1804"/>
      <c r="N42" s="125"/>
    </row>
    <row r="43" spans="3:14" x14ac:dyDescent="0.55000000000000004">
      <c r="C43" s="124"/>
      <c r="D43" s="1804"/>
      <c r="E43" s="1804"/>
      <c r="F43" s="1804"/>
      <c r="G43" s="1804"/>
      <c r="H43" s="1804"/>
      <c r="I43" s="1804"/>
      <c r="J43" s="1804"/>
      <c r="K43" s="1804"/>
      <c r="L43" s="1804"/>
      <c r="M43" s="1804"/>
      <c r="N43" s="125"/>
    </row>
    <row r="44" spans="3:14" x14ac:dyDescent="0.55000000000000004">
      <c r="C44" s="124"/>
      <c r="D44" s="1804"/>
      <c r="E44" s="1804"/>
      <c r="F44" s="1804"/>
      <c r="G44" s="1804"/>
      <c r="H44" s="1804"/>
      <c r="I44" s="1804"/>
      <c r="J44" s="1804"/>
      <c r="K44" s="1804"/>
      <c r="L44" s="1804"/>
      <c r="M44" s="1804"/>
      <c r="N44" s="125"/>
    </row>
    <row r="45" spans="3:14" ht="6" customHeight="1" x14ac:dyDescent="0.55000000000000004">
      <c r="C45" s="124"/>
      <c r="D45" s="119"/>
      <c r="E45" s="119"/>
      <c r="F45" s="119"/>
      <c r="G45" s="119"/>
      <c r="H45" s="119"/>
      <c r="I45" s="119"/>
      <c r="J45" s="119"/>
      <c r="K45" s="119"/>
      <c r="L45" s="119"/>
      <c r="M45" s="119"/>
      <c r="N45" s="125"/>
    </row>
    <row r="46" spans="3:14" x14ac:dyDescent="0.55000000000000004">
      <c r="C46" s="124"/>
      <c r="D46" s="1804" t="s">
        <v>536</v>
      </c>
      <c r="E46" s="1804"/>
      <c r="F46" s="1804"/>
      <c r="G46" s="1804"/>
      <c r="H46" s="1804"/>
      <c r="I46" s="1804"/>
      <c r="J46" s="1804"/>
      <c r="K46" s="1804"/>
      <c r="L46" s="1804"/>
      <c r="M46" s="1804"/>
      <c r="N46" s="125"/>
    </row>
    <row r="47" spans="3:14" x14ac:dyDescent="0.55000000000000004">
      <c r="C47" s="124"/>
      <c r="D47" s="1804"/>
      <c r="E47" s="1804"/>
      <c r="F47" s="1804"/>
      <c r="G47" s="1804"/>
      <c r="H47" s="1804"/>
      <c r="I47" s="1804"/>
      <c r="J47" s="1804"/>
      <c r="K47" s="1804"/>
      <c r="L47" s="1804"/>
      <c r="M47" s="1804"/>
      <c r="N47" s="125"/>
    </row>
    <row r="48" spans="3:14" x14ac:dyDescent="0.55000000000000004">
      <c r="C48" s="124"/>
      <c r="D48" s="1"/>
      <c r="E48" s="19"/>
      <c r="F48" s="19"/>
      <c r="G48" s="19"/>
      <c r="H48" s="15"/>
      <c r="I48" s="15"/>
      <c r="J48" s="19"/>
      <c r="K48" s="19"/>
      <c r="L48" s="19"/>
      <c r="N48" s="125"/>
    </row>
    <row r="49" spans="3:14" ht="72" x14ac:dyDescent="0.55000000000000004">
      <c r="C49" s="124"/>
      <c r="D49" s="62" t="s">
        <v>283</v>
      </c>
      <c r="E49" s="56" t="s">
        <v>312</v>
      </c>
      <c r="F49" s="190" t="s">
        <v>304</v>
      </c>
      <c r="G49" s="190" t="s">
        <v>297</v>
      </c>
      <c r="H49" s="190" t="s">
        <v>298</v>
      </c>
      <c r="I49" s="190" t="s">
        <v>299</v>
      </c>
      <c r="J49" s="190" t="s">
        <v>300</v>
      </c>
      <c r="K49" s="190" t="s">
        <v>301</v>
      </c>
      <c r="L49" s="190" t="s">
        <v>302</v>
      </c>
      <c r="M49" s="190" t="s">
        <v>303</v>
      </c>
      <c r="N49" s="125"/>
    </row>
    <row r="50" spans="3:14" x14ac:dyDescent="0.55000000000000004">
      <c r="C50" s="124"/>
      <c r="E50" s="72"/>
      <c r="F50" s="67">
        <f ca="1">H36</f>
        <v>94950431.799999997</v>
      </c>
      <c r="G50" s="66">
        <f ca="1">'Revenue required'!I21</f>
        <v>0</v>
      </c>
      <c r="H50" s="17">
        <f>SUM(H51:H70)</f>
        <v>0</v>
      </c>
      <c r="I50" s="67">
        <f ca="1">'Revenue required'!I22</f>
        <v>3338846.5500000003</v>
      </c>
      <c r="J50" s="17">
        <f>SUM(J51:J70)</f>
        <v>0</v>
      </c>
      <c r="K50" s="66">
        <f>'Revenue required'!I23</f>
        <v>0</v>
      </c>
      <c r="L50" s="17">
        <f>SUM(L51:L70)</f>
        <v>0</v>
      </c>
      <c r="M50" s="20">
        <f ca="1">SUM(M51:M70)</f>
        <v>91611585.25</v>
      </c>
      <c r="N50" s="125"/>
    </row>
    <row r="51" spans="3:14" x14ac:dyDescent="0.55000000000000004">
      <c r="C51" s="124"/>
      <c r="D51" t="str">
        <f t="shared" ref="D51:E70" si="1">D16</f>
        <v>Residential</v>
      </c>
      <c r="E51" s="63" t="str">
        <f t="shared" si="1"/>
        <v>Domestic</v>
      </c>
      <c r="F51" s="26">
        <f t="shared" ref="F51:F70" ca="1" si="2">H16</f>
        <v>90731121.141325265</v>
      </c>
      <c r="G51" s="64">
        <f ca="1">IFERROR($G$50*F51/$F$50,0)</f>
        <v>0</v>
      </c>
      <c r="H51" s="76"/>
      <c r="I51" s="26">
        <f ca="1">IFERROR($I$50*F51/$F$50,0)</f>
        <v>3190478.2849059771</v>
      </c>
      <c r="J51" s="76"/>
      <c r="K51" s="64">
        <f ca="1">IFERROR($K$50*F51/$F$50,0)</f>
        <v>0</v>
      </c>
      <c r="L51" s="76"/>
      <c r="M51" s="21">
        <f ca="1">F51-IF(H51="",G51,H51)-IF(J51="",I51,J51)-IF(L51="",K51,L51)</f>
        <v>87540642.856419295</v>
      </c>
      <c r="N51" s="125"/>
    </row>
    <row r="52" spans="3:14" x14ac:dyDescent="0.55000000000000004">
      <c r="C52" s="124"/>
      <c r="D52" t="str">
        <f t="shared" si="1"/>
        <v>Commercial</v>
      </c>
      <c r="E52" s="63" t="str">
        <f t="shared" si="1"/>
        <v>Commercial</v>
      </c>
      <c r="F52" s="26">
        <f t="shared" ca="1" si="2"/>
        <v>4113030.7932169237</v>
      </c>
      <c r="G52" s="64">
        <f t="shared" ref="G52:G70" ca="1" si="3">IFERROR($G$50*F52/$F$50,0)</f>
        <v>0</v>
      </c>
      <c r="H52" s="76"/>
      <c r="I52" s="26">
        <f t="shared" ref="I52:I70" ca="1" si="4">IFERROR($I$50*F52/$F$50,0)</f>
        <v>144631.02919744796</v>
      </c>
      <c r="J52" s="76"/>
      <c r="K52" s="64">
        <f t="shared" ref="K52:K70" ca="1" si="5">IFERROR($K$50*F52/$F$50,0)</f>
        <v>0</v>
      </c>
      <c r="L52" s="76"/>
      <c r="M52" s="21">
        <f t="shared" ref="M52:M70" ca="1" si="6">F52-IF(H52="",G52,H52)-IF(J52="",I52,J52)-IF(L52="",K52,L52)</f>
        <v>3968399.7640194758</v>
      </c>
      <c r="N52" s="125"/>
    </row>
    <row r="53" spans="3:14" x14ac:dyDescent="0.55000000000000004">
      <c r="C53" s="124"/>
      <c r="D53" t="str">
        <f t="shared" si="1"/>
        <v>Sport Clubs</v>
      </c>
      <c r="E53" s="63" t="str">
        <f t="shared" si="1"/>
        <v xml:space="preserve">Institutional </v>
      </c>
      <c r="F53" s="26">
        <f t="shared" ca="1" si="2"/>
        <v>47825.939456010739</v>
      </c>
      <c r="G53" s="64">
        <f t="shared" ca="1" si="3"/>
        <v>0</v>
      </c>
      <c r="H53" s="76"/>
      <c r="I53" s="26">
        <f t="shared" ca="1" si="4"/>
        <v>1681.7561534586971</v>
      </c>
      <c r="J53" s="76"/>
      <c r="K53" s="64">
        <f t="shared" ca="1" si="5"/>
        <v>0</v>
      </c>
      <c r="L53" s="76"/>
      <c r="M53" s="21">
        <f t="shared" ca="1" si="6"/>
        <v>46144.183302552039</v>
      </c>
      <c r="N53" s="125"/>
    </row>
    <row r="54" spans="3:14" x14ac:dyDescent="0.55000000000000004">
      <c r="C54" s="124"/>
      <c r="D54" t="str">
        <f t="shared" si="1"/>
        <v>Old Age Homes</v>
      </c>
      <c r="E54" s="63" t="str">
        <f t="shared" si="1"/>
        <v>Domestic</v>
      </c>
      <c r="F54" s="26">
        <f t="shared" ca="1" si="2"/>
        <v>42511.946183120665</v>
      </c>
      <c r="G54" s="64">
        <f t="shared" ca="1" si="3"/>
        <v>0</v>
      </c>
      <c r="H54" s="76"/>
      <c r="I54" s="26">
        <f t="shared" ca="1" si="4"/>
        <v>1494.8943586299531</v>
      </c>
      <c r="J54" s="76"/>
      <c r="K54" s="64">
        <f t="shared" ca="1" si="5"/>
        <v>0</v>
      </c>
      <c r="L54" s="76"/>
      <c r="M54" s="21">
        <f t="shared" ca="1" si="6"/>
        <v>41017.051824490714</v>
      </c>
      <c r="N54" s="125"/>
    </row>
    <row r="55" spans="3:14" x14ac:dyDescent="0.55000000000000004">
      <c r="C55" s="124"/>
      <c r="D55" t="str">
        <f t="shared" si="1"/>
        <v>Safe Houses</v>
      </c>
      <c r="E55" s="63" t="str">
        <f t="shared" si="1"/>
        <v>Domestic</v>
      </c>
      <c r="F55" s="26">
        <f t="shared" ca="1" si="2"/>
        <v>15941.979818670248</v>
      </c>
      <c r="G55" s="64">
        <f t="shared" ca="1" si="3"/>
        <v>0</v>
      </c>
      <c r="H55" s="76"/>
      <c r="I55" s="26">
        <f t="shared" ca="1" si="4"/>
        <v>560.58538448623244</v>
      </c>
      <c r="J55" s="76"/>
      <c r="K55" s="64">
        <f t="shared" ca="1" si="5"/>
        <v>0</v>
      </c>
      <c r="L55" s="76"/>
      <c r="M55" s="21">
        <f t="shared" ca="1" si="6"/>
        <v>15381.394434184016</v>
      </c>
      <c r="N55" s="125"/>
    </row>
    <row r="56" spans="3:14" x14ac:dyDescent="0.55000000000000004">
      <c r="C56" s="124"/>
      <c r="D56">
        <f t="shared" si="1"/>
        <v>0</v>
      </c>
      <c r="E56" s="63">
        <f t="shared" si="1"/>
        <v>0</v>
      </c>
      <c r="F56" s="26">
        <f t="shared" ca="1" si="2"/>
        <v>0</v>
      </c>
      <c r="G56" s="64">
        <f t="shared" ca="1" si="3"/>
        <v>0</v>
      </c>
      <c r="H56" s="76"/>
      <c r="I56" s="26">
        <f t="shared" ca="1" si="4"/>
        <v>0</v>
      </c>
      <c r="J56" s="76"/>
      <c r="K56" s="64">
        <f t="shared" ca="1" si="5"/>
        <v>0</v>
      </c>
      <c r="L56" s="76"/>
      <c r="M56" s="21">
        <f t="shared" ca="1" si="6"/>
        <v>0</v>
      </c>
      <c r="N56" s="125"/>
    </row>
    <row r="57" spans="3:14" x14ac:dyDescent="0.55000000000000004">
      <c r="C57" s="124"/>
      <c r="D57">
        <f t="shared" si="1"/>
        <v>0</v>
      </c>
      <c r="E57" s="63">
        <f t="shared" si="1"/>
        <v>0</v>
      </c>
      <c r="F57" s="26">
        <f t="shared" ca="1" si="2"/>
        <v>0</v>
      </c>
      <c r="G57" s="64">
        <f t="shared" ca="1" si="3"/>
        <v>0</v>
      </c>
      <c r="H57" s="76"/>
      <c r="I57" s="26">
        <f t="shared" ca="1" si="4"/>
        <v>0</v>
      </c>
      <c r="J57" s="76"/>
      <c r="K57" s="64">
        <f t="shared" ca="1" si="5"/>
        <v>0</v>
      </c>
      <c r="L57" s="76"/>
      <c r="M57" s="21">
        <f t="shared" ca="1" si="6"/>
        <v>0</v>
      </c>
      <c r="N57" s="125"/>
    </row>
    <row r="58" spans="3:14" x14ac:dyDescent="0.55000000000000004">
      <c r="C58" s="124"/>
      <c r="D58">
        <f t="shared" si="1"/>
        <v>0</v>
      </c>
      <c r="E58" s="63">
        <f t="shared" si="1"/>
        <v>0</v>
      </c>
      <c r="F58" s="26">
        <f t="shared" ca="1" si="2"/>
        <v>0</v>
      </c>
      <c r="G58" s="64">
        <f t="shared" ca="1" si="3"/>
        <v>0</v>
      </c>
      <c r="H58" s="76"/>
      <c r="I58" s="26">
        <f t="shared" ca="1" si="4"/>
        <v>0</v>
      </c>
      <c r="J58" s="76"/>
      <c r="K58" s="64">
        <f t="shared" ca="1" si="5"/>
        <v>0</v>
      </c>
      <c r="L58" s="76"/>
      <c r="M58" s="21">
        <f t="shared" ca="1" si="6"/>
        <v>0</v>
      </c>
      <c r="N58" s="125"/>
    </row>
    <row r="59" spans="3:14" x14ac:dyDescent="0.55000000000000004">
      <c r="C59" s="124"/>
      <c r="D59">
        <f t="shared" si="1"/>
        <v>0</v>
      </c>
      <c r="E59" s="63">
        <f t="shared" si="1"/>
        <v>0</v>
      </c>
      <c r="F59" s="26">
        <f t="shared" ca="1" si="2"/>
        <v>0</v>
      </c>
      <c r="G59" s="64">
        <f t="shared" ca="1" si="3"/>
        <v>0</v>
      </c>
      <c r="H59" s="76"/>
      <c r="I59" s="26">
        <f t="shared" ca="1" si="4"/>
        <v>0</v>
      </c>
      <c r="J59" s="76"/>
      <c r="K59" s="64">
        <f t="shared" ca="1" si="5"/>
        <v>0</v>
      </c>
      <c r="L59" s="76"/>
      <c r="M59" s="21">
        <f t="shared" ca="1" si="6"/>
        <v>0</v>
      </c>
      <c r="N59" s="125"/>
    </row>
    <row r="60" spans="3:14" x14ac:dyDescent="0.55000000000000004">
      <c r="C60" s="124"/>
      <c r="D60">
        <f t="shared" si="1"/>
        <v>0</v>
      </c>
      <c r="E60" s="63">
        <f t="shared" si="1"/>
        <v>0</v>
      </c>
      <c r="F60" s="26">
        <f t="shared" ca="1" si="2"/>
        <v>0</v>
      </c>
      <c r="G60" s="64">
        <f t="shared" ca="1" si="3"/>
        <v>0</v>
      </c>
      <c r="H60" s="76"/>
      <c r="I60" s="26">
        <f t="shared" ca="1" si="4"/>
        <v>0</v>
      </c>
      <c r="J60" s="76"/>
      <c r="K60" s="64">
        <f t="shared" ca="1" si="5"/>
        <v>0</v>
      </c>
      <c r="L60" s="76"/>
      <c r="M60" s="21">
        <f t="shared" ca="1" si="6"/>
        <v>0</v>
      </c>
      <c r="N60" s="125"/>
    </row>
    <row r="61" spans="3:14" x14ac:dyDescent="0.55000000000000004">
      <c r="C61" s="124"/>
      <c r="D61">
        <f t="shared" si="1"/>
        <v>0</v>
      </c>
      <c r="E61" s="63">
        <f t="shared" si="1"/>
        <v>0</v>
      </c>
      <c r="F61" s="26">
        <f t="shared" ca="1" si="2"/>
        <v>0</v>
      </c>
      <c r="G61" s="64">
        <f t="shared" ca="1" si="3"/>
        <v>0</v>
      </c>
      <c r="H61" s="76"/>
      <c r="I61" s="26">
        <f t="shared" ca="1" si="4"/>
        <v>0</v>
      </c>
      <c r="J61" s="76"/>
      <c r="K61" s="64">
        <f t="shared" ca="1" si="5"/>
        <v>0</v>
      </c>
      <c r="L61" s="76"/>
      <c r="M61" s="21">
        <f t="shared" ca="1" si="6"/>
        <v>0</v>
      </c>
      <c r="N61" s="125"/>
    </row>
    <row r="62" spans="3:14" x14ac:dyDescent="0.55000000000000004">
      <c r="C62" s="124"/>
      <c r="D62">
        <f t="shared" si="1"/>
        <v>0</v>
      </c>
      <c r="E62" s="63">
        <f t="shared" si="1"/>
        <v>0</v>
      </c>
      <c r="F62" s="26">
        <f t="shared" ca="1" si="2"/>
        <v>0</v>
      </c>
      <c r="G62" s="64">
        <f t="shared" ca="1" si="3"/>
        <v>0</v>
      </c>
      <c r="H62" s="76"/>
      <c r="I62" s="26">
        <f t="shared" ca="1" si="4"/>
        <v>0</v>
      </c>
      <c r="J62" s="76"/>
      <c r="K62" s="64">
        <f t="shared" ca="1" si="5"/>
        <v>0</v>
      </c>
      <c r="L62" s="76"/>
      <c r="M62" s="21">
        <f t="shared" ca="1" si="6"/>
        <v>0</v>
      </c>
      <c r="N62" s="125"/>
    </row>
    <row r="63" spans="3:14" x14ac:dyDescent="0.55000000000000004">
      <c r="C63" s="124"/>
      <c r="D63">
        <f t="shared" si="1"/>
        <v>0</v>
      </c>
      <c r="E63" s="63">
        <f t="shared" si="1"/>
        <v>0</v>
      </c>
      <c r="F63" s="26">
        <f t="shared" ca="1" si="2"/>
        <v>0</v>
      </c>
      <c r="G63" s="64">
        <f t="shared" ca="1" si="3"/>
        <v>0</v>
      </c>
      <c r="H63" s="76"/>
      <c r="I63" s="26">
        <f t="shared" ca="1" si="4"/>
        <v>0</v>
      </c>
      <c r="J63" s="76"/>
      <c r="K63" s="64">
        <f t="shared" ca="1" si="5"/>
        <v>0</v>
      </c>
      <c r="L63" s="76"/>
      <c r="M63" s="21">
        <f t="shared" ca="1" si="6"/>
        <v>0</v>
      </c>
      <c r="N63" s="125"/>
    </row>
    <row r="64" spans="3:14" x14ac:dyDescent="0.55000000000000004">
      <c r="C64" s="124"/>
      <c r="D64">
        <f t="shared" si="1"/>
        <v>0</v>
      </c>
      <c r="E64" s="63">
        <f t="shared" si="1"/>
        <v>0</v>
      </c>
      <c r="F64" s="26">
        <f t="shared" ca="1" si="2"/>
        <v>0</v>
      </c>
      <c r="G64" s="64">
        <f t="shared" ca="1" si="3"/>
        <v>0</v>
      </c>
      <c r="H64" s="76"/>
      <c r="I64" s="26">
        <f ca="1">IFERROR($I$50*F64/$F$50,0)</f>
        <v>0</v>
      </c>
      <c r="J64" s="76"/>
      <c r="K64" s="64">
        <f t="shared" ca="1" si="5"/>
        <v>0</v>
      </c>
      <c r="L64" s="76"/>
      <c r="M64" s="21">
        <f t="shared" ca="1" si="6"/>
        <v>0</v>
      </c>
      <c r="N64" s="125"/>
    </row>
    <row r="65" spans="3:14" x14ac:dyDescent="0.55000000000000004">
      <c r="C65" s="124"/>
      <c r="D65">
        <f t="shared" si="1"/>
        <v>0</v>
      </c>
      <c r="E65" s="63">
        <f t="shared" si="1"/>
        <v>0</v>
      </c>
      <c r="F65" s="26">
        <f t="shared" ca="1" si="2"/>
        <v>0</v>
      </c>
      <c r="G65" s="64">
        <f t="shared" ca="1" si="3"/>
        <v>0</v>
      </c>
      <c r="H65" s="76"/>
      <c r="I65" s="26">
        <f t="shared" ca="1" si="4"/>
        <v>0</v>
      </c>
      <c r="J65" s="76"/>
      <c r="K65" s="64">
        <f t="shared" ca="1" si="5"/>
        <v>0</v>
      </c>
      <c r="L65" s="76"/>
      <c r="M65" s="21">
        <f t="shared" ca="1" si="6"/>
        <v>0</v>
      </c>
      <c r="N65" s="125"/>
    </row>
    <row r="66" spans="3:14" x14ac:dyDescent="0.55000000000000004">
      <c r="C66" s="124"/>
      <c r="D66">
        <f t="shared" si="1"/>
        <v>0</v>
      </c>
      <c r="E66" s="63">
        <f t="shared" si="1"/>
        <v>0</v>
      </c>
      <c r="F66" s="26">
        <f t="shared" ca="1" si="2"/>
        <v>0</v>
      </c>
      <c r="G66" s="64">
        <f t="shared" ca="1" si="3"/>
        <v>0</v>
      </c>
      <c r="H66" s="76"/>
      <c r="I66" s="26">
        <f t="shared" ca="1" si="4"/>
        <v>0</v>
      </c>
      <c r="J66" s="76"/>
      <c r="K66" s="64">
        <f t="shared" ca="1" si="5"/>
        <v>0</v>
      </c>
      <c r="L66" s="76"/>
      <c r="M66" s="21">
        <f t="shared" ca="1" si="6"/>
        <v>0</v>
      </c>
      <c r="N66" s="125"/>
    </row>
    <row r="67" spans="3:14" x14ac:dyDescent="0.55000000000000004">
      <c r="C67" s="124"/>
      <c r="D67">
        <f t="shared" si="1"/>
        <v>0</v>
      </c>
      <c r="E67" s="63">
        <f t="shared" si="1"/>
        <v>0</v>
      </c>
      <c r="F67" s="26">
        <f t="shared" ca="1" si="2"/>
        <v>0</v>
      </c>
      <c r="G67" s="64">
        <f t="shared" ca="1" si="3"/>
        <v>0</v>
      </c>
      <c r="H67" s="76"/>
      <c r="I67" s="26">
        <f t="shared" ca="1" si="4"/>
        <v>0</v>
      </c>
      <c r="J67" s="76"/>
      <c r="K67" s="64">
        <f t="shared" ca="1" si="5"/>
        <v>0</v>
      </c>
      <c r="L67" s="76"/>
      <c r="M67" s="21">
        <f t="shared" ca="1" si="6"/>
        <v>0</v>
      </c>
      <c r="N67" s="125"/>
    </row>
    <row r="68" spans="3:14" x14ac:dyDescent="0.55000000000000004">
      <c r="C68" s="124"/>
      <c r="D68">
        <f t="shared" si="1"/>
        <v>0</v>
      </c>
      <c r="E68" s="63">
        <f t="shared" si="1"/>
        <v>0</v>
      </c>
      <c r="F68" s="26">
        <f t="shared" ca="1" si="2"/>
        <v>0</v>
      </c>
      <c r="G68" s="64">
        <f t="shared" ca="1" si="3"/>
        <v>0</v>
      </c>
      <c r="H68" s="76"/>
      <c r="I68" s="26">
        <f t="shared" ca="1" si="4"/>
        <v>0</v>
      </c>
      <c r="J68" s="76"/>
      <c r="K68" s="64">
        <f t="shared" ca="1" si="5"/>
        <v>0</v>
      </c>
      <c r="L68" s="76"/>
      <c r="M68" s="21">
        <f t="shared" ca="1" si="6"/>
        <v>0</v>
      </c>
      <c r="N68" s="125"/>
    </row>
    <row r="69" spans="3:14" x14ac:dyDescent="0.55000000000000004">
      <c r="C69" s="124"/>
      <c r="D69">
        <f t="shared" si="1"/>
        <v>0</v>
      </c>
      <c r="E69" s="63">
        <f t="shared" si="1"/>
        <v>0</v>
      </c>
      <c r="F69" s="26">
        <f t="shared" ca="1" si="2"/>
        <v>0</v>
      </c>
      <c r="G69" s="64">
        <f t="shared" ca="1" si="3"/>
        <v>0</v>
      </c>
      <c r="H69" s="76"/>
      <c r="I69" s="26">
        <f t="shared" ca="1" si="4"/>
        <v>0</v>
      </c>
      <c r="J69" s="76"/>
      <c r="K69" s="64">
        <f t="shared" ca="1" si="5"/>
        <v>0</v>
      </c>
      <c r="L69" s="76"/>
      <c r="M69" s="21">
        <f t="shared" ca="1" si="6"/>
        <v>0</v>
      </c>
      <c r="N69" s="125"/>
    </row>
    <row r="70" spans="3:14" x14ac:dyDescent="0.55000000000000004">
      <c r="C70" s="124"/>
      <c r="D70">
        <f t="shared" si="1"/>
        <v>0</v>
      </c>
      <c r="E70" s="63">
        <f t="shared" si="1"/>
        <v>0</v>
      </c>
      <c r="F70" s="26">
        <f t="shared" ca="1" si="2"/>
        <v>0</v>
      </c>
      <c r="G70" s="64">
        <f t="shared" ca="1" si="3"/>
        <v>0</v>
      </c>
      <c r="H70" s="76"/>
      <c r="I70" s="26">
        <f t="shared" ca="1" si="4"/>
        <v>0</v>
      </c>
      <c r="J70" s="76"/>
      <c r="K70" s="64">
        <f t="shared" ca="1" si="5"/>
        <v>0</v>
      </c>
      <c r="L70" s="76"/>
      <c r="M70" s="21">
        <f t="shared" ca="1" si="6"/>
        <v>0</v>
      </c>
      <c r="N70" s="125"/>
    </row>
    <row r="71" spans="3:14" x14ac:dyDescent="0.55000000000000004">
      <c r="C71" s="124"/>
      <c r="D71" s="55" t="s">
        <v>535</v>
      </c>
      <c r="F71" s="17"/>
      <c r="G71" s="54">
        <f ca="1">SUM(G51:G70)-G50</f>
        <v>0</v>
      </c>
      <c r="H71" s="69" t="str">
        <f>IF(SUM(H51:H70)=0,"",H50-G50)</f>
        <v/>
      </c>
      <c r="I71" s="54">
        <f ca="1">SUM(I51:I70)-I50</f>
        <v>0</v>
      </c>
      <c r="J71" s="69" t="str">
        <f>IF(SUM(J51:J70)=0,"",J50-I50)</f>
        <v/>
      </c>
      <c r="K71" s="54">
        <f ca="1">SUM(K51:K70)-K50</f>
        <v>0</v>
      </c>
      <c r="L71" s="69" t="str">
        <f>IF(SUM(L51:L70)=0,"",L50-K50)</f>
        <v/>
      </c>
      <c r="M71" s="17"/>
      <c r="N71" s="125"/>
    </row>
    <row r="72" spans="3:14" ht="14.7" thickBot="1" x14ac:dyDescent="0.6">
      <c r="C72" s="130"/>
      <c r="D72" s="241"/>
      <c r="E72" s="242"/>
      <c r="F72" s="242"/>
      <c r="G72" s="242"/>
      <c r="H72" s="243"/>
      <c r="I72" s="243"/>
      <c r="J72" s="242"/>
      <c r="K72" s="242"/>
      <c r="L72" s="242"/>
      <c r="M72" s="131"/>
      <c r="N72" s="132"/>
    </row>
    <row r="73" spans="3:14" ht="14.7" thickBot="1" x14ac:dyDescent="0.6"/>
    <row r="74" spans="3:14" x14ac:dyDescent="0.55000000000000004">
      <c r="C74" s="121"/>
      <c r="D74" s="122"/>
      <c r="E74" s="122"/>
      <c r="F74" s="122"/>
      <c r="G74" s="122"/>
      <c r="H74" s="122"/>
      <c r="I74" s="122"/>
      <c r="J74" s="122"/>
      <c r="K74" s="122"/>
      <c r="L74" s="122"/>
      <c r="M74" s="122"/>
      <c r="N74" s="123"/>
    </row>
    <row r="75" spans="3:14" x14ac:dyDescent="0.55000000000000004">
      <c r="C75" s="124"/>
      <c r="D75" s="1" t="s">
        <v>275</v>
      </c>
      <c r="N75" s="125"/>
    </row>
    <row r="76" spans="3:14" ht="4.95" customHeight="1" x14ac:dyDescent="0.55000000000000004">
      <c r="C76" s="124"/>
      <c r="D76" s="1"/>
      <c r="N76" s="125"/>
    </row>
    <row r="77" spans="3:14" ht="14.55" customHeight="1" x14ac:dyDescent="0.55000000000000004">
      <c r="C77" s="124"/>
      <c r="D77" s="1803" t="s">
        <v>538</v>
      </c>
      <c r="E77" s="1803"/>
      <c r="F77" s="1803"/>
      <c r="G77" s="1803"/>
      <c r="H77" s="1803"/>
      <c r="I77" s="1803"/>
      <c r="J77" s="1803"/>
      <c r="K77" s="1803"/>
      <c r="L77" s="1803"/>
      <c r="M77" s="1803"/>
      <c r="N77" s="247"/>
    </row>
    <row r="78" spans="3:14" x14ac:dyDescent="0.55000000000000004">
      <c r="C78" s="124"/>
      <c r="D78" s="1803"/>
      <c r="E78" s="1803"/>
      <c r="F78" s="1803"/>
      <c r="G78" s="1803"/>
      <c r="H78" s="1803"/>
      <c r="I78" s="1803"/>
      <c r="J78" s="1803"/>
      <c r="K78" s="1803"/>
      <c r="L78" s="1803"/>
      <c r="M78" s="1803"/>
      <c r="N78" s="247"/>
    </row>
    <row r="79" spans="3:14" x14ac:dyDescent="0.55000000000000004">
      <c r="C79" s="124"/>
      <c r="D79" s="1803"/>
      <c r="E79" s="1803"/>
      <c r="F79" s="1803"/>
      <c r="G79" s="1803"/>
      <c r="H79" s="1803"/>
      <c r="I79" s="1803"/>
      <c r="J79" s="1803"/>
      <c r="K79" s="1803"/>
      <c r="L79" s="1803"/>
      <c r="M79" s="1803"/>
      <c r="N79" s="247"/>
    </row>
    <row r="80" spans="3:14" x14ac:dyDescent="0.55000000000000004">
      <c r="C80" s="124"/>
      <c r="D80" s="1803"/>
      <c r="E80" s="1803"/>
      <c r="F80" s="1803"/>
      <c r="G80" s="1803"/>
      <c r="H80" s="1803"/>
      <c r="I80" s="1803"/>
      <c r="J80" s="1803"/>
      <c r="K80" s="1803"/>
      <c r="L80" s="1803"/>
      <c r="M80" s="1803"/>
      <c r="N80" s="247"/>
    </row>
    <row r="81" spans="3:14" ht="3" customHeight="1" x14ac:dyDescent="0.55000000000000004">
      <c r="C81" s="124"/>
      <c r="D81" s="119"/>
      <c r="E81" s="119"/>
      <c r="F81" s="119"/>
      <c r="G81" s="119"/>
      <c r="H81" s="119"/>
      <c r="I81" s="119"/>
      <c r="J81" s="119"/>
      <c r="K81" s="119"/>
      <c r="L81" s="119"/>
      <c r="M81" s="119"/>
      <c r="N81" s="191"/>
    </row>
    <row r="82" spans="3:14" x14ac:dyDescent="0.55000000000000004">
      <c r="C82" s="124"/>
      <c r="D82" s="1804" t="s">
        <v>537</v>
      </c>
      <c r="E82" s="1804"/>
      <c r="F82" s="1804"/>
      <c r="G82" s="1804"/>
      <c r="H82" s="1804"/>
      <c r="I82" s="1804"/>
      <c r="J82" s="1804"/>
      <c r="K82" s="1804"/>
      <c r="L82" s="1804"/>
      <c r="M82" s="1804"/>
      <c r="N82" s="191"/>
    </row>
    <row r="83" spans="3:14" x14ac:dyDescent="0.55000000000000004">
      <c r="C83" s="124"/>
      <c r="D83" s="1804"/>
      <c r="E83" s="1804"/>
      <c r="F83" s="1804"/>
      <c r="G83" s="1804"/>
      <c r="H83" s="1804"/>
      <c r="I83" s="1804"/>
      <c r="J83" s="1804"/>
      <c r="K83" s="1804"/>
      <c r="L83" s="1804"/>
      <c r="M83" s="1804"/>
      <c r="N83" s="191"/>
    </row>
    <row r="84" spans="3:14" x14ac:dyDescent="0.55000000000000004">
      <c r="C84" s="124"/>
      <c r="D84" s="119"/>
      <c r="E84" s="119"/>
      <c r="F84" s="119"/>
      <c r="G84" s="119"/>
      <c r="H84" s="119"/>
      <c r="I84" s="119"/>
      <c r="J84" s="119"/>
      <c r="K84" s="119"/>
      <c r="L84" s="119"/>
      <c r="M84" s="119"/>
      <c r="N84" s="191"/>
    </row>
    <row r="85" spans="3:14" ht="72" x14ac:dyDescent="0.55000000000000004">
      <c r="C85" s="124"/>
      <c r="D85" s="62" t="s">
        <v>283</v>
      </c>
      <c r="E85" s="56" t="s">
        <v>312</v>
      </c>
      <c r="F85" s="190" t="s">
        <v>303</v>
      </c>
      <c r="G85" s="198" t="s">
        <v>305</v>
      </c>
      <c r="H85" s="190" t="s">
        <v>306</v>
      </c>
      <c r="I85" s="190" t="s">
        <v>280</v>
      </c>
      <c r="J85" s="162"/>
      <c r="K85" s="162"/>
      <c r="L85" s="162"/>
      <c r="M85" s="162"/>
      <c r="N85" s="167"/>
    </row>
    <row r="86" spans="3:14" x14ac:dyDescent="0.55000000000000004">
      <c r="C86" s="124"/>
      <c r="D86" s="1" t="s">
        <v>15</v>
      </c>
      <c r="E86" s="63"/>
      <c r="F86" s="20">
        <f t="shared" ref="F86:F106" ca="1" si="7">M50</f>
        <v>91611585.25</v>
      </c>
      <c r="G86" s="20">
        <f ca="1">'Revenue required'!I20</f>
        <v>18598866</v>
      </c>
      <c r="H86" s="20">
        <f>SUM(H87:H106)</f>
        <v>0</v>
      </c>
      <c r="I86" s="20">
        <f ca="1">SUM(I87:I106)</f>
        <v>73012719.25</v>
      </c>
      <c r="N86" s="125"/>
    </row>
    <row r="87" spans="3:14" x14ac:dyDescent="0.55000000000000004">
      <c r="C87" s="124"/>
      <c r="D87" t="str">
        <f t="shared" ref="D87:E106" si="8">D16</f>
        <v>Residential</v>
      </c>
      <c r="E87" s="63" t="str">
        <f t="shared" si="8"/>
        <v>Domestic</v>
      </c>
      <c r="F87" s="21">
        <f t="shared" ca="1" si="7"/>
        <v>87540642.856419295</v>
      </c>
      <c r="G87" s="26">
        <f ca="1">IF(AND(E87="Indigent",F87&gt;=$G$86),$G$86,IF(AND(E87="Indigent",F87&lt;=$G$86),F87,IF(AND(E87&lt;&gt;"Indigent",E87&lt;&gt;"Domestic"),0,IF(E87="Domestic",($G$86-IFERROR(INDEX($F$87:$F$106,MATCH("Indigent",$E$87:$E$106,0)),0))*(F87/SUMIF($E$87:$E$106,"Domestic",$F$87:$F$106))))))</f>
        <v>18586891.313081648</v>
      </c>
      <c r="H87" s="76"/>
      <c r="I87" s="21">
        <f ca="1">F87-IF(H87="",G87,H87)</f>
        <v>68953751.543337643</v>
      </c>
      <c r="N87" s="125"/>
    </row>
    <row r="88" spans="3:14" x14ac:dyDescent="0.55000000000000004">
      <c r="C88" s="124"/>
      <c r="D88" t="str">
        <f t="shared" si="8"/>
        <v>Commercial</v>
      </c>
      <c r="E88" s="63" t="str">
        <f t="shared" si="8"/>
        <v>Commercial</v>
      </c>
      <c r="F88" s="21">
        <f t="shared" ca="1" si="7"/>
        <v>3968399.7640194758</v>
      </c>
      <c r="G88" s="26">
        <f t="shared" ref="G88:G106" ca="1" si="9">IF(AND(E88="Indigent",F88&gt;=$G$86),$G$86,IF(AND(E88="Indigent",F88&lt;=$G$86),F88,IF(AND(E88&lt;&gt;"Indigent",E88&lt;&gt;"Domestic"),0,IF(E88="Domestic",($G$86-IFERROR(INDEX($F$87:$F$106,MATCH("Indigent",$E$87:$E$106,0)),0))*(F88/SUMIF($E$87:$E$106,"Domestic",$F$87:$F$106))))))</f>
        <v>0</v>
      </c>
      <c r="H88" s="76"/>
      <c r="I88" s="21">
        <f t="shared" ref="I88:I106" ca="1" si="10">F88-IF(H88="",G88,H88)</f>
        <v>3968399.7640194758</v>
      </c>
      <c r="N88" s="125"/>
    </row>
    <row r="89" spans="3:14" x14ac:dyDescent="0.55000000000000004">
      <c r="C89" s="124"/>
      <c r="D89" t="str">
        <f t="shared" si="8"/>
        <v>Sport Clubs</v>
      </c>
      <c r="E89" s="63" t="str">
        <f t="shared" si="8"/>
        <v xml:space="preserve">Institutional </v>
      </c>
      <c r="F89" s="21">
        <f t="shared" ca="1" si="7"/>
        <v>46144.183302552039</v>
      </c>
      <c r="G89" s="26">
        <f t="shared" ca="1" si="9"/>
        <v>0</v>
      </c>
      <c r="H89" s="76"/>
      <c r="I89" s="21">
        <f t="shared" ca="1" si="10"/>
        <v>46144.183302552039</v>
      </c>
      <c r="N89" s="125"/>
    </row>
    <row r="90" spans="3:14" x14ac:dyDescent="0.55000000000000004">
      <c r="C90" s="124"/>
      <c r="D90" t="str">
        <f t="shared" si="8"/>
        <v>Old Age Homes</v>
      </c>
      <c r="E90" s="63" t="str">
        <f t="shared" si="8"/>
        <v>Domestic</v>
      </c>
      <c r="F90" s="21">
        <f t="shared" ca="1" si="7"/>
        <v>41017.051824490714</v>
      </c>
      <c r="G90" s="26">
        <f t="shared" ca="1" si="9"/>
        <v>8708.863213345041</v>
      </c>
      <c r="H90" s="76"/>
      <c r="I90" s="21">
        <f t="shared" ca="1" si="10"/>
        <v>32308.188611145673</v>
      </c>
      <c r="N90" s="125"/>
    </row>
    <row r="91" spans="3:14" x14ac:dyDescent="0.55000000000000004">
      <c r="C91" s="124"/>
      <c r="D91" t="str">
        <f t="shared" si="8"/>
        <v>Safe Houses</v>
      </c>
      <c r="E91" s="63" t="str">
        <f t="shared" si="8"/>
        <v>Domestic</v>
      </c>
      <c r="F91" s="21">
        <f t="shared" ca="1" si="7"/>
        <v>15381.394434184016</v>
      </c>
      <c r="G91" s="26">
        <f t="shared" ca="1" si="9"/>
        <v>3265.8237050043895</v>
      </c>
      <c r="H91" s="76"/>
      <c r="I91" s="21">
        <f t="shared" ca="1" si="10"/>
        <v>12115.570729179626</v>
      </c>
      <c r="N91" s="125"/>
    </row>
    <row r="92" spans="3:14" x14ac:dyDescent="0.55000000000000004">
      <c r="C92" s="124"/>
      <c r="D92">
        <f t="shared" si="8"/>
        <v>0</v>
      </c>
      <c r="E92" s="63">
        <f t="shared" si="8"/>
        <v>0</v>
      </c>
      <c r="F92" s="21">
        <f t="shared" ca="1" si="7"/>
        <v>0</v>
      </c>
      <c r="G92" s="26">
        <f t="shared" ca="1" si="9"/>
        <v>0</v>
      </c>
      <c r="H92" s="76"/>
      <c r="I92" s="21">
        <f t="shared" ca="1" si="10"/>
        <v>0</v>
      </c>
      <c r="N92" s="125"/>
    </row>
    <row r="93" spans="3:14" x14ac:dyDescent="0.55000000000000004">
      <c r="C93" s="124"/>
      <c r="D93">
        <f t="shared" si="8"/>
        <v>0</v>
      </c>
      <c r="E93" s="63">
        <f t="shared" si="8"/>
        <v>0</v>
      </c>
      <c r="F93" s="21">
        <f t="shared" ca="1" si="7"/>
        <v>0</v>
      </c>
      <c r="G93" s="26">
        <f t="shared" ca="1" si="9"/>
        <v>0</v>
      </c>
      <c r="H93" s="76"/>
      <c r="I93" s="21">
        <f t="shared" ca="1" si="10"/>
        <v>0</v>
      </c>
      <c r="N93" s="125"/>
    </row>
    <row r="94" spans="3:14" x14ac:dyDescent="0.55000000000000004">
      <c r="C94" s="124"/>
      <c r="D94">
        <f t="shared" si="8"/>
        <v>0</v>
      </c>
      <c r="E94" s="63">
        <f t="shared" si="8"/>
        <v>0</v>
      </c>
      <c r="F94" s="21">
        <f t="shared" ca="1" si="7"/>
        <v>0</v>
      </c>
      <c r="G94" s="26">
        <f t="shared" ca="1" si="9"/>
        <v>0</v>
      </c>
      <c r="H94" s="76"/>
      <c r="I94" s="21">
        <f t="shared" ca="1" si="10"/>
        <v>0</v>
      </c>
      <c r="N94" s="125"/>
    </row>
    <row r="95" spans="3:14" x14ac:dyDescent="0.55000000000000004">
      <c r="C95" s="124"/>
      <c r="D95">
        <f t="shared" si="8"/>
        <v>0</v>
      </c>
      <c r="E95" s="63">
        <f t="shared" si="8"/>
        <v>0</v>
      </c>
      <c r="F95" s="21">
        <f t="shared" ca="1" si="7"/>
        <v>0</v>
      </c>
      <c r="G95" s="26">
        <f t="shared" ca="1" si="9"/>
        <v>0</v>
      </c>
      <c r="H95" s="76"/>
      <c r="I95" s="21">
        <f t="shared" ca="1" si="10"/>
        <v>0</v>
      </c>
      <c r="N95" s="125"/>
    </row>
    <row r="96" spans="3:14" x14ac:dyDescent="0.55000000000000004">
      <c r="C96" s="124"/>
      <c r="D96">
        <f t="shared" si="8"/>
        <v>0</v>
      </c>
      <c r="E96" s="63">
        <f t="shared" si="8"/>
        <v>0</v>
      </c>
      <c r="F96" s="21">
        <f t="shared" ca="1" si="7"/>
        <v>0</v>
      </c>
      <c r="G96" s="26">
        <f t="shared" ca="1" si="9"/>
        <v>0</v>
      </c>
      <c r="H96" s="76"/>
      <c r="I96" s="21">
        <f t="shared" ca="1" si="10"/>
        <v>0</v>
      </c>
      <c r="N96" s="125"/>
    </row>
    <row r="97" spans="3:14" x14ac:dyDescent="0.55000000000000004">
      <c r="C97" s="124"/>
      <c r="D97">
        <f t="shared" si="8"/>
        <v>0</v>
      </c>
      <c r="E97" s="63">
        <f t="shared" si="8"/>
        <v>0</v>
      </c>
      <c r="F97" s="21">
        <f t="shared" ca="1" si="7"/>
        <v>0</v>
      </c>
      <c r="G97" s="26">
        <f t="shared" ca="1" si="9"/>
        <v>0</v>
      </c>
      <c r="H97" s="76"/>
      <c r="I97" s="21">
        <f t="shared" ca="1" si="10"/>
        <v>0</v>
      </c>
      <c r="N97" s="125"/>
    </row>
    <row r="98" spans="3:14" x14ac:dyDescent="0.55000000000000004">
      <c r="C98" s="124"/>
      <c r="D98">
        <f t="shared" si="8"/>
        <v>0</v>
      </c>
      <c r="E98" s="63">
        <f t="shared" si="8"/>
        <v>0</v>
      </c>
      <c r="F98" s="21">
        <f t="shared" ca="1" si="7"/>
        <v>0</v>
      </c>
      <c r="G98" s="26">
        <f t="shared" ca="1" si="9"/>
        <v>0</v>
      </c>
      <c r="H98" s="76"/>
      <c r="I98" s="21">
        <f t="shared" ca="1" si="10"/>
        <v>0</v>
      </c>
      <c r="N98" s="125"/>
    </row>
    <row r="99" spans="3:14" x14ac:dyDescent="0.55000000000000004">
      <c r="C99" s="124"/>
      <c r="D99">
        <f t="shared" si="8"/>
        <v>0</v>
      </c>
      <c r="E99" s="63">
        <f t="shared" si="8"/>
        <v>0</v>
      </c>
      <c r="F99" s="21">
        <f t="shared" ca="1" si="7"/>
        <v>0</v>
      </c>
      <c r="G99" s="26">
        <f t="shared" ca="1" si="9"/>
        <v>0</v>
      </c>
      <c r="H99" s="76"/>
      <c r="I99" s="21">
        <f t="shared" ca="1" si="10"/>
        <v>0</v>
      </c>
      <c r="N99" s="125"/>
    </row>
    <row r="100" spans="3:14" x14ac:dyDescent="0.55000000000000004">
      <c r="C100" s="124"/>
      <c r="D100">
        <f t="shared" si="8"/>
        <v>0</v>
      </c>
      <c r="E100" s="63">
        <f t="shared" si="8"/>
        <v>0</v>
      </c>
      <c r="F100" s="21">
        <f t="shared" ca="1" si="7"/>
        <v>0</v>
      </c>
      <c r="G100" s="26">
        <f t="shared" ca="1" si="9"/>
        <v>0</v>
      </c>
      <c r="H100" s="76"/>
      <c r="I100" s="21">
        <f t="shared" ca="1" si="10"/>
        <v>0</v>
      </c>
      <c r="N100" s="125"/>
    </row>
    <row r="101" spans="3:14" x14ac:dyDescent="0.55000000000000004">
      <c r="C101" s="124"/>
      <c r="D101">
        <f t="shared" si="8"/>
        <v>0</v>
      </c>
      <c r="E101" s="63">
        <f t="shared" si="8"/>
        <v>0</v>
      </c>
      <c r="F101" s="21">
        <f t="shared" ca="1" si="7"/>
        <v>0</v>
      </c>
      <c r="G101" s="26">
        <f t="shared" ca="1" si="9"/>
        <v>0</v>
      </c>
      <c r="H101" s="76"/>
      <c r="I101" s="21">
        <f t="shared" ca="1" si="10"/>
        <v>0</v>
      </c>
      <c r="N101" s="125"/>
    </row>
    <row r="102" spans="3:14" x14ac:dyDescent="0.55000000000000004">
      <c r="C102" s="124"/>
      <c r="D102">
        <f t="shared" si="8"/>
        <v>0</v>
      </c>
      <c r="E102" s="63">
        <f t="shared" si="8"/>
        <v>0</v>
      </c>
      <c r="F102" s="21">
        <f t="shared" ca="1" si="7"/>
        <v>0</v>
      </c>
      <c r="G102" s="26">
        <f t="shared" ca="1" si="9"/>
        <v>0</v>
      </c>
      <c r="H102" s="76"/>
      <c r="I102" s="21">
        <f t="shared" ca="1" si="10"/>
        <v>0</v>
      </c>
      <c r="N102" s="125"/>
    </row>
    <row r="103" spans="3:14" x14ac:dyDescent="0.55000000000000004">
      <c r="C103" s="124"/>
      <c r="D103">
        <f t="shared" si="8"/>
        <v>0</v>
      </c>
      <c r="E103" s="63">
        <f t="shared" si="8"/>
        <v>0</v>
      </c>
      <c r="F103" s="21">
        <f t="shared" ca="1" si="7"/>
        <v>0</v>
      </c>
      <c r="G103" s="26">
        <f t="shared" ca="1" si="9"/>
        <v>0</v>
      </c>
      <c r="H103" s="76"/>
      <c r="I103" s="21">
        <f t="shared" ca="1" si="10"/>
        <v>0</v>
      </c>
      <c r="N103" s="125"/>
    </row>
    <row r="104" spans="3:14" x14ac:dyDescent="0.55000000000000004">
      <c r="C104" s="124"/>
      <c r="D104">
        <f t="shared" si="8"/>
        <v>0</v>
      </c>
      <c r="E104" s="63">
        <f t="shared" si="8"/>
        <v>0</v>
      </c>
      <c r="F104" s="21">
        <f t="shared" ca="1" si="7"/>
        <v>0</v>
      </c>
      <c r="G104" s="26">
        <f t="shared" ca="1" si="9"/>
        <v>0</v>
      </c>
      <c r="H104" s="76"/>
      <c r="I104" s="21">
        <f t="shared" ca="1" si="10"/>
        <v>0</v>
      </c>
      <c r="N104" s="125"/>
    </row>
    <row r="105" spans="3:14" x14ac:dyDescent="0.55000000000000004">
      <c r="C105" s="124"/>
      <c r="D105">
        <f t="shared" si="8"/>
        <v>0</v>
      </c>
      <c r="E105" s="63">
        <f t="shared" si="8"/>
        <v>0</v>
      </c>
      <c r="F105" s="21">
        <f t="shared" ca="1" si="7"/>
        <v>0</v>
      </c>
      <c r="G105" s="26">
        <f t="shared" ca="1" si="9"/>
        <v>0</v>
      </c>
      <c r="H105" s="76"/>
      <c r="I105" s="21">
        <f t="shared" ca="1" si="10"/>
        <v>0</v>
      </c>
      <c r="N105" s="125"/>
    </row>
    <row r="106" spans="3:14" x14ac:dyDescent="0.55000000000000004">
      <c r="C106" s="124"/>
      <c r="D106">
        <f t="shared" si="8"/>
        <v>0</v>
      </c>
      <c r="E106" s="63">
        <f t="shared" si="8"/>
        <v>0</v>
      </c>
      <c r="F106" s="21">
        <f t="shared" ca="1" si="7"/>
        <v>0</v>
      </c>
      <c r="G106" s="26">
        <f t="shared" ca="1" si="9"/>
        <v>0</v>
      </c>
      <c r="H106" s="76"/>
      <c r="I106" s="21">
        <f t="shared" ca="1" si="10"/>
        <v>0</v>
      </c>
      <c r="N106" s="125"/>
    </row>
    <row r="107" spans="3:14" x14ac:dyDescent="0.55000000000000004">
      <c r="C107" s="124"/>
      <c r="D107" s="55" t="s">
        <v>535</v>
      </c>
      <c r="F107" s="54">
        <f ca="1">SUM(F87:F106)-F86</f>
        <v>0</v>
      </c>
      <c r="G107" s="54">
        <f ca="1">SUM(G87:G106)-G86</f>
        <v>0</v>
      </c>
      <c r="H107" s="69" t="str">
        <f>IF(SUM(H87:H106)=0,"",H86-G86)</f>
        <v/>
      </c>
      <c r="I107" s="54">
        <f ca="1">SUM(I87:I106)-I86</f>
        <v>0</v>
      </c>
      <c r="N107" s="125"/>
    </row>
    <row r="108" spans="3:14" ht="14.7" thickBot="1" x14ac:dyDescent="0.6">
      <c r="C108" s="130"/>
      <c r="D108" s="131"/>
      <c r="E108" s="131"/>
      <c r="F108" s="131"/>
      <c r="G108" s="131"/>
      <c r="H108" s="131"/>
      <c r="I108" s="131"/>
      <c r="J108" s="131"/>
      <c r="K108" s="131"/>
      <c r="L108" s="131"/>
      <c r="M108" s="131"/>
      <c r="N108" s="132"/>
    </row>
    <row r="109" spans="3:14" ht="14.7" thickBot="1" x14ac:dyDescent="0.6"/>
    <row r="110" spans="3:14" x14ac:dyDescent="0.55000000000000004">
      <c r="C110" s="121"/>
      <c r="D110" s="122"/>
      <c r="E110" s="122"/>
      <c r="F110" s="122"/>
      <c r="G110" s="122"/>
      <c r="H110" s="122"/>
      <c r="I110" s="122"/>
      <c r="J110" s="122"/>
      <c r="K110" s="122"/>
      <c r="L110" s="122"/>
      <c r="M110" s="122"/>
      <c r="N110" s="123"/>
    </row>
    <row r="111" spans="3:14" x14ac:dyDescent="0.55000000000000004">
      <c r="C111" s="124"/>
      <c r="D111" s="248" t="s">
        <v>276</v>
      </c>
      <c r="M111" s="164"/>
      <c r="N111" s="249"/>
    </row>
    <row r="112" spans="3:14" ht="6" customHeight="1" x14ac:dyDescent="0.55000000000000004">
      <c r="C112" s="124"/>
      <c r="D112" s="248"/>
      <c r="M112" s="164"/>
      <c r="N112" s="249"/>
    </row>
    <row r="113" spans="3:14" ht="18.600000000000001" customHeight="1" x14ac:dyDescent="0.55000000000000004">
      <c r="C113" s="124"/>
      <c r="D113" s="1803" t="s">
        <v>543</v>
      </c>
      <c r="E113" s="1803"/>
      <c r="F113" s="1803"/>
      <c r="G113" s="1803"/>
      <c r="H113" s="1803"/>
      <c r="I113" s="1803"/>
      <c r="J113" s="1803"/>
      <c r="K113" s="1803"/>
      <c r="L113" s="1803"/>
      <c r="M113" s="250"/>
      <c r="N113" s="251"/>
    </row>
    <row r="114" spans="3:14" ht="25.95" customHeight="1" x14ac:dyDescent="0.55000000000000004">
      <c r="C114" s="124"/>
      <c r="D114" s="1803"/>
      <c r="E114" s="1803"/>
      <c r="F114" s="1803"/>
      <c r="G114" s="1803"/>
      <c r="H114" s="1803"/>
      <c r="I114" s="1803"/>
      <c r="J114" s="1803"/>
      <c r="K114" s="1803"/>
      <c r="L114" s="1803"/>
      <c r="M114" s="250"/>
      <c r="N114" s="251"/>
    </row>
    <row r="115" spans="3:14" x14ac:dyDescent="0.55000000000000004">
      <c r="C115" s="124"/>
      <c r="D115" s="1803"/>
      <c r="E115" s="1803"/>
      <c r="F115" s="1803"/>
      <c r="G115" s="1803"/>
      <c r="H115" s="1803"/>
      <c r="I115" s="1803"/>
      <c r="J115" s="1803"/>
      <c r="K115" s="1803"/>
      <c r="L115" s="1803"/>
      <c r="N115" s="125"/>
    </row>
    <row r="116" spans="3:14" ht="6" customHeight="1" x14ac:dyDescent="0.55000000000000004">
      <c r="C116" s="124"/>
      <c r="N116" s="125"/>
    </row>
    <row r="117" spans="3:14" x14ac:dyDescent="0.55000000000000004">
      <c r="C117" s="124"/>
      <c r="D117" s="1804" t="s">
        <v>537</v>
      </c>
      <c r="E117" s="1804"/>
      <c r="F117" s="1804"/>
      <c r="G117" s="1804"/>
      <c r="H117" s="1804"/>
      <c r="I117" s="1804"/>
      <c r="J117" s="1804"/>
      <c r="K117" s="1804"/>
      <c r="L117" s="1804"/>
      <c r="N117" s="125"/>
    </row>
    <row r="118" spans="3:14" x14ac:dyDescent="0.55000000000000004">
      <c r="C118" s="124"/>
      <c r="D118" s="1804"/>
      <c r="E118" s="1804"/>
      <c r="F118" s="1804"/>
      <c r="G118" s="1804"/>
      <c r="H118" s="1804"/>
      <c r="I118" s="1804"/>
      <c r="J118" s="1804"/>
      <c r="K118" s="1804"/>
      <c r="L118" s="1804"/>
      <c r="N118" s="125"/>
    </row>
    <row r="119" spans="3:14" x14ac:dyDescent="0.55000000000000004">
      <c r="C119" s="124"/>
      <c r="N119" s="125"/>
    </row>
    <row r="120" spans="3:14" ht="86.4" x14ac:dyDescent="0.55000000000000004">
      <c r="C120" s="124"/>
      <c r="D120" s="62" t="s">
        <v>283</v>
      </c>
      <c r="E120" s="56" t="s">
        <v>312</v>
      </c>
      <c r="F120" s="190" t="s">
        <v>280</v>
      </c>
      <c r="G120" s="198" t="s">
        <v>501</v>
      </c>
      <c r="H120" s="252" t="s">
        <v>502</v>
      </c>
      <c r="I120" s="198" t="s">
        <v>503</v>
      </c>
      <c r="J120" s="252" t="s">
        <v>504</v>
      </c>
      <c r="K120" s="190" t="s">
        <v>309</v>
      </c>
      <c r="N120" s="125"/>
    </row>
    <row r="121" spans="3:14" x14ac:dyDescent="0.55000000000000004">
      <c r="C121" s="124"/>
      <c r="D121" s="253" t="s">
        <v>33</v>
      </c>
      <c r="E121" s="63"/>
      <c r="F121" s="71">
        <f ca="1">SUM(F122:F141)</f>
        <v>73012719.25</v>
      </c>
      <c r="G121" s="67">
        <f ca="1">Surplus!I64</f>
        <v>0</v>
      </c>
      <c r="H121" s="71">
        <f>SUM(H122:H141)</f>
        <v>0</v>
      </c>
      <c r="I121" s="73">
        <f ca="1">Surplus!I65</f>
        <v>0</v>
      </c>
      <c r="J121" s="71">
        <f>SUM(J122:J141)</f>
        <v>0</v>
      </c>
      <c r="K121" s="71">
        <f ca="1">SUM(K122:K141)</f>
        <v>73012719.25</v>
      </c>
      <c r="N121" s="125"/>
    </row>
    <row r="122" spans="3:14" x14ac:dyDescent="0.55000000000000004">
      <c r="C122" s="124"/>
      <c r="D122" t="str">
        <f t="shared" ref="D122:E141" si="11">D16</f>
        <v>Residential</v>
      </c>
      <c r="E122" s="63" t="str">
        <f t="shared" si="11"/>
        <v>Domestic</v>
      </c>
      <c r="F122" s="21">
        <f t="shared" ref="F122:F141" ca="1" si="12">I87</f>
        <v>68953751.543337643</v>
      </c>
      <c r="G122" s="26">
        <f ca="1">IF(AND(E122="Indigent",F122&gt;=$G$121),$G$121,IF(AND(E122="Indigent",F122&lt;=$G$121),F122,IF(AND(E122&lt;&gt;"Indigent",E122&lt;&gt;"Domestic"),0,IF(E122="Domestic",($G$121-IFERROR(INDEX($F$122:$F$141,MATCH("Indigent",$E$122:$E$141,0)),0))*(F122/SUMIF($E$122:$E$141,"Domestic",$F$122:$F$141))))))</f>
        <v>0</v>
      </c>
      <c r="H122" s="76"/>
      <c r="I122" s="21">
        <f ca="1">IF(E122&lt;&gt;"Indigent",$I$121*(F122/SUMIF($E$122:$E$141,"&lt;&gt;Indigent",$F$122:$F$141)),0)</f>
        <v>0</v>
      </c>
      <c r="J122" s="76"/>
      <c r="K122" s="21">
        <f ca="1">F122-IF(H122="",G122,H122)+IF(J122="",I122,J122)</f>
        <v>68953751.543337643</v>
      </c>
      <c r="N122" s="125"/>
    </row>
    <row r="123" spans="3:14" x14ac:dyDescent="0.55000000000000004">
      <c r="C123" s="124"/>
      <c r="D123" t="str">
        <f t="shared" si="11"/>
        <v>Commercial</v>
      </c>
      <c r="E123" s="63" t="str">
        <f t="shared" si="11"/>
        <v>Commercial</v>
      </c>
      <c r="F123" s="21">
        <f t="shared" ca="1" si="12"/>
        <v>3968399.7640194758</v>
      </c>
      <c r="G123" s="26">
        <f t="shared" ref="G123:G141" ca="1" si="13">IF(AND(E123="Indigent",F123&gt;=$G$121),$G$121,IF(AND(E123="Indigent",F123&lt;=$G$121),F123,IF(AND(E123&lt;&gt;"Indigent",E123&lt;&gt;"Domestic"),0,IF(E123="Domestic",($G$121-IFERROR(INDEX($F$122:$F$141,MATCH("Indigent",$E$122:$E$141,0)),0))*(F123/SUMIF($E$122:$E$141,"Domestic",$F$122:$F$141))))))</f>
        <v>0</v>
      </c>
      <c r="H123" s="76"/>
      <c r="I123" s="21">
        <f t="shared" ref="I123:I141" ca="1" si="14">IF(E123&lt;&gt;"Indigent",$I$121*(F123/SUMIF($E$122:$E$141,"&lt;&gt;Indigent",$F$122:$F$141)),0)</f>
        <v>0</v>
      </c>
      <c r="J123" s="76"/>
      <c r="K123" s="21">
        <f t="shared" ref="K123:K141" ca="1" si="15">F123-IF(H123="",G123,H123)+IF(J123="",I123,J123)</f>
        <v>3968399.7640194758</v>
      </c>
      <c r="N123" s="125"/>
    </row>
    <row r="124" spans="3:14" x14ac:dyDescent="0.55000000000000004">
      <c r="C124" s="124"/>
      <c r="D124" t="str">
        <f t="shared" si="11"/>
        <v>Sport Clubs</v>
      </c>
      <c r="E124" s="63" t="str">
        <f t="shared" si="11"/>
        <v xml:space="preserve">Institutional </v>
      </c>
      <c r="F124" s="21">
        <f t="shared" ca="1" si="12"/>
        <v>46144.183302552039</v>
      </c>
      <c r="G124" s="26">
        <f t="shared" ca="1" si="13"/>
        <v>0</v>
      </c>
      <c r="H124" s="76"/>
      <c r="I124" s="21">
        <f t="shared" ca="1" si="14"/>
        <v>0</v>
      </c>
      <c r="J124" s="76"/>
      <c r="K124" s="21">
        <f t="shared" ca="1" si="15"/>
        <v>46144.183302552039</v>
      </c>
      <c r="N124" s="125"/>
    </row>
    <row r="125" spans="3:14" x14ac:dyDescent="0.55000000000000004">
      <c r="C125" s="124"/>
      <c r="D125" t="str">
        <f t="shared" si="11"/>
        <v>Old Age Homes</v>
      </c>
      <c r="E125" s="63" t="str">
        <f t="shared" si="11"/>
        <v>Domestic</v>
      </c>
      <c r="F125" s="21">
        <f t="shared" ca="1" si="12"/>
        <v>32308.188611145673</v>
      </c>
      <c r="G125" s="26">
        <f t="shared" ca="1" si="13"/>
        <v>0</v>
      </c>
      <c r="H125" s="76"/>
      <c r="I125" s="21">
        <f t="shared" ca="1" si="14"/>
        <v>0</v>
      </c>
      <c r="J125" s="76"/>
      <c r="K125" s="21">
        <f t="shared" ca="1" si="15"/>
        <v>32308.188611145673</v>
      </c>
      <c r="N125" s="125"/>
    </row>
    <row r="126" spans="3:14" x14ac:dyDescent="0.55000000000000004">
      <c r="C126" s="124"/>
      <c r="D126" t="str">
        <f t="shared" si="11"/>
        <v>Safe Houses</v>
      </c>
      <c r="E126" s="63" t="str">
        <f t="shared" si="11"/>
        <v>Domestic</v>
      </c>
      <c r="F126" s="21">
        <f t="shared" ca="1" si="12"/>
        <v>12115.570729179626</v>
      </c>
      <c r="G126" s="26">
        <f t="shared" ca="1" si="13"/>
        <v>0</v>
      </c>
      <c r="H126" s="76"/>
      <c r="I126" s="21">
        <f t="shared" ca="1" si="14"/>
        <v>0</v>
      </c>
      <c r="J126" s="76"/>
      <c r="K126" s="21">
        <f t="shared" ca="1" si="15"/>
        <v>12115.570729179626</v>
      </c>
      <c r="N126" s="125"/>
    </row>
    <row r="127" spans="3:14" x14ac:dyDescent="0.55000000000000004">
      <c r="C127" s="124"/>
      <c r="D127">
        <f t="shared" si="11"/>
        <v>0</v>
      </c>
      <c r="E127" s="63">
        <f t="shared" si="11"/>
        <v>0</v>
      </c>
      <c r="F127" s="21">
        <f t="shared" ca="1" si="12"/>
        <v>0</v>
      </c>
      <c r="G127" s="26">
        <f t="shared" ca="1" si="13"/>
        <v>0</v>
      </c>
      <c r="H127" s="76"/>
      <c r="I127" s="21">
        <f t="shared" ca="1" si="14"/>
        <v>0</v>
      </c>
      <c r="J127" s="76"/>
      <c r="K127" s="21">
        <f t="shared" ca="1" si="15"/>
        <v>0</v>
      </c>
      <c r="N127" s="125"/>
    </row>
    <row r="128" spans="3:14" x14ac:dyDescent="0.55000000000000004">
      <c r="C128" s="124"/>
      <c r="D128">
        <f t="shared" si="11"/>
        <v>0</v>
      </c>
      <c r="E128" s="63">
        <f t="shared" si="11"/>
        <v>0</v>
      </c>
      <c r="F128" s="21">
        <f t="shared" ca="1" si="12"/>
        <v>0</v>
      </c>
      <c r="G128" s="26">
        <f t="shared" ca="1" si="13"/>
        <v>0</v>
      </c>
      <c r="H128" s="76"/>
      <c r="I128" s="21">
        <f t="shared" ca="1" si="14"/>
        <v>0</v>
      </c>
      <c r="J128" s="76"/>
      <c r="K128" s="21">
        <f t="shared" ca="1" si="15"/>
        <v>0</v>
      </c>
      <c r="N128" s="125"/>
    </row>
    <row r="129" spans="3:14" x14ac:dyDescent="0.55000000000000004">
      <c r="C129" s="124"/>
      <c r="D129">
        <f t="shared" si="11"/>
        <v>0</v>
      </c>
      <c r="E129" s="63">
        <f t="shared" si="11"/>
        <v>0</v>
      </c>
      <c r="F129" s="21">
        <f t="shared" ca="1" si="12"/>
        <v>0</v>
      </c>
      <c r="G129" s="26">
        <f t="shared" ca="1" si="13"/>
        <v>0</v>
      </c>
      <c r="H129" s="76"/>
      <c r="I129" s="21">
        <f t="shared" ca="1" si="14"/>
        <v>0</v>
      </c>
      <c r="J129" s="76"/>
      <c r="K129" s="21">
        <f t="shared" ca="1" si="15"/>
        <v>0</v>
      </c>
      <c r="N129" s="125"/>
    </row>
    <row r="130" spans="3:14" x14ac:dyDescent="0.55000000000000004">
      <c r="C130" s="124"/>
      <c r="D130">
        <f t="shared" si="11"/>
        <v>0</v>
      </c>
      <c r="E130" s="63">
        <f t="shared" si="11"/>
        <v>0</v>
      </c>
      <c r="F130" s="21">
        <f t="shared" ca="1" si="12"/>
        <v>0</v>
      </c>
      <c r="G130" s="26">
        <f t="shared" ca="1" si="13"/>
        <v>0</v>
      </c>
      <c r="H130" s="76"/>
      <c r="I130" s="21">
        <f t="shared" ca="1" si="14"/>
        <v>0</v>
      </c>
      <c r="J130" s="76"/>
      <c r="K130" s="21">
        <f t="shared" ca="1" si="15"/>
        <v>0</v>
      </c>
      <c r="N130" s="125"/>
    </row>
    <row r="131" spans="3:14" x14ac:dyDescent="0.55000000000000004">
      <c r="C131" s="124"/>
      <c r="D131">
        <f t="shared" si="11"/>
        <v>0</v>
      </c>
      <c r="E131" s="63">
        <f t="shared" si="11"/>
        <v>0</v>
      </c>
      <c r="F131" s="21">
        <f t="shared" ca="1" si="12"/>
        <v>0</v>
      </c>
      <c r="G131" s="26">
        <f t="shared" ca="1" si="13"/>
        <v>0</v>
      </c>
      <c r="H131" s="76"/>
      <c r="I131" s="21">
        <f t="shared" ca="1" si="14"/>
        <v>0</v>
      </c>
      <c r="J131" s="76"/>
      <c r="K131" s="21">
        <f t="shared" ca="1" si="15"/>
        <v>0</v>
      </c>
      <c r="N131" s="125"/>
    </row>
    <row r="132" spans="3:14" x14ac:dyDescent="0.55000000000000004">
      <c r="C132" s="124"/>
      <c r="D132">
        <f t="shared" si="11"/>
        <v>0</v>
      </c>
      <c r="E132" s="63">
        <f t="shared" si="11"/>
        <v>0</v>
      </c>
      <c r="F132" s="21">
        <f t="shared" ca="1" si="12"/>
        <v>0</v>
      </c>
      <c r="G132" s="26">
        <f t="shared" ca="1" si="13"/>
        <v>0</v>
      </c>
      <c r="H132" s="76"/>
      <c r="I132" s="21">
        <f t="shared" ca="1" si="14"/>
        <v>0</v>
      </c>
      <c r="J132" s="76"/>
      <c r="K132" s="21">
        <f t="shared" ca="1" si="15"/>
        <v>0</v>
      </c>
      <c r="N132" s="125"/>
    </row>
    <row r="133" spans="3:14" x14ac:dyDescent="0.55000000000000004">
      <c r="C133" s="124"/>
      <c r="D133">
        <f t="shared" si="11"/>
        <v>0</v>
      </c>
      <c r="E133" s="63">
        <f t="shared" si="11"/>
        <v>0</v>
      </c>
      <c r="F133" s="21">
        <f t="shared" ca="1" si="12"/>
        <v>0</v>
      </c>
      <c r="G133" s="26">
        <f t="shared" ca="1" si="13"/>
        <v>0</v>
      </c>
      <c r="H133" s="76"/>
      <c r="I133" s="21">
        <f t="shared" ca="1" si="14"/>
        <v>0</v>
      </c>
      <c r="J133" s="76"/>
      <c r="K133" s="21">
        <f t="shared" ca="1" si="15"/>
        <v>0</v>
      </c>
      <c r="N133" s="125"/>
    </row>
    <row r="134" spans="3:14" x14ac:dyDescent="0.55000000000000004">
      <c r="C134" s="124"/>
      <c r="D134">
        <f t="shared" si="11"/>
        <v>0</v>
      </c>
      <c r="E134" s="63">
        <f t="shared" si="11"/>
        <v>0</v>
      </c>
      <c r="F134" s="21">
        <f t="shared" ca="1" si="12"/>
        <v>0</v>
      </c>
      <c r="G134" s="26">
        <f t="shared" ca="1" si="13"/>
        <v>0</v>
      </c>
      <c r="H134" s="76"/>
      <c r="I134" s="21">
        <f t="shared" ca="1" si="14"/>
        <v>0</v>
      </c>
      <c r="J134" s="76"/>
      <c r="K134" s="21">
        <f t="shared" ca="1" si="15"/>
        <v>0</v>
      </c>
      <c r="N134" s="125"/>
    </row>
    <row r="135" spans="3:14" x14ac:dyDescent="0.55000000000000004">
      <c r="C135" s="124"/>
      <c r="D135">
        <f t="shared" si="11"/>
        <v>0</v>
      </c>
      <c r="E135" s="63">
        <f t="shared" si="11"/>
        <v>0</v>
      </c>
      <c r="F135" s="21">
        <f t="shared" ca="1" si="12"/>
        <v>0</v>
      </c>
      <c r="G135" s="26">
        <f t="shared" ca="1" si="13"/>
        <v>0</v>
      </c>
      <c r="H135" s="76"/>
      <c r="I135" s="21">
        <f t="shared" ca="1" si="14"/>
        <v>0</v>
      </c>
      <c r="J135" s="76"/>
      <c r="K135" s="21">
        <f t="shared" ca="1" si="15"/>
        <v>0</v>
      </c>
      <c r="N135" s="125"/>
    </row>
    <row r="136" spans="3:14" x14ac:dyDescent="0.55000000000000004">
      <c r="C136" s="124"/>
      <c r="D136">
        <f t="shared" si="11"/>
        <v>0</v>
      </c>
      <c r="E136" s="63">
        <f t="shared" si="11"/>
        <v>0</v>
      </c>
      <c r="F136" s="21">
        <f t="shared" ca="1" si="12"/>
        <v>0</v>
      </c>
      <c r="G136" s="26">
        <f t="shared" ca="1" si="13"/>
        <v>0</v>
      </c>
      <c r="H136" s="76"/>
      <c r="I136" s="21">
        <f t="shared" ca="1" si="14"/>
        <v>0</v>
      </c>
      <c r="J136" s="76"/>
      <c r="K136" s="21">
        <f t="shared" ca="1" si="15"/>
        <v>0</v>
      </c>
      <c r="N136" s="125"/>
    </row>
    <row r="137" spans="3:14" x14ac:dyDescent="0.55000000000000004">
      <c r="C137" s="124"/>
      <c r="D137">
        <f t="shared" si="11"/>
        <v>0</v>
      </c>
      <c r="E137" s="63">
        <f t="shared" si="11"/>
        <v>0</v>
      </c>
      <c r="F137" s="21">
        <f t="shared" ca="1" si="12"/>
        <v>0</v>
      </c>
      <c r="G137" s="26">
        <f t="shared" ca="1" si="13"/>
        <v>0</v>
      </c>
      <c r="H137" s="76"/>
      <c r="I137" s="21">
        <f t="shared" ca="1" si="14"/>
        <v>0</v>
      </c>
      <c r="J137" s="76"/>
      <c r="K137" s="21">
        <f t="shared" ca="1" si="15"/>
        <v>0</v>
      </c>
      <c r="N137" s="125"/>
    </row>
    <row r="138" spans="3:14" x14ac:dyDescent="0.55000000000000004">
      <c r="C138" s="124"/>
      <c r="D138">
        <f t="shared" si="11"/>
        <v>0</v>
      </c>
      <c r="E138" s="63">
        <f t="shared" si="11"/>
        <v>0</v>
      </c>
      <c r="F138" s="21">
        <f t="shared" ca="1" si="12"/>
        <v>0</v>
      </c>
      <c r="G138" s="26">
        <f t="shared" ca="1" si="13"/>
        <v>0</v>
      </c>
      <c r="H138" s="76"/>
      <c r="I138" s="21">
        <f t="shared" ca="1" si="14"/>
        <v>0</v>
      </c>
      <c r="J138" s="76"/>
      <c r="K138" s="21">
        <f t="shared" ca="1" si="15"/>
        <v>0</v>
      </c>
      <c r="N138" s="125"/>
    </row>
    <row r="139" spans="3:14" x14ac:dyDescent="0.55000000000000004">
      <c r="C139" s="124"/>
      <c r="D139">
        <f t="shared" si="11"/>
        <v>0</v>
      </c>
      <c r="E139" s="63">
        <f t="shared" si="11"/>
        <v>0</v>
      </c>
      <c r="F139" s="21">
        <f t="shared" ca="1" si="12"/>
        <v>0</v>
      </c>
      <c r="G139" s="26">
        <f t="shared" ca="1" si="13"/>
        <v>0</v>
      </c>
      <c r="H139" s="76"/>
      <c r="I139" s="21">
        <f t="shared" ca="1" si="14"/>
        <v>0</v>
      </c>
      <c r="J139" s="76"/>
      <c r="K139" s="21">
        <f t="shared" ca="1" si="15"/>
        <v>0</v>
      </c>
      <c r="N139" s="125"/>
    </row>
    <row r="140" spans="3:14" x14ac:dyDescent="0.55000000000000004">
      <c r="C140" s="124"/>
      <c r="D140">
        <f t="shared" si="11"/>
        <v>0</v>
      </c>
      <c r="E140" s="63">
        <f t="shared" si="11"/>
        <v>0</v>
      </c>
      <c r="F140" s="21">
        <f t="shared" ca="1" si="12"/>
        <v>0</v>
      </c>
      <c r="G140" s="26">
        <f t="shared" ca="1" si="13"/>
        <v>0</v>
      </c>
      <c r="H140" s="76"/>
      <c r="I140" s="21">
        <f t="shared" ca="1" si="14"/>
        <v>0</v>
      </c>
      <c r="J140" s="76"/>
      <c r="K140" s="21">
        <f t="shared" ca="1" si="15"/>
        <v>0</v>
      </c>
      <c r="N140" s="125"/>
    </row>
    <row r="141" spans="3:14" x14ac:dyDescent="0.55000000000000004">
      <c r="C141" s="124"/>
      <c r="D141">
        <f t="shared" si="11"/>
        <v>0</v>
      </c>
      <c r="E141" s="63">
        <f t="shared" si="11"/>
        <v>0</v>
      </c>
      <c r="F141" s="21">
        <f t="shared" ca="1" si="12"/>
        <v>0</v>
      </c>
      <c r="G141" s="26">
        <f t="shared" ca="1" si="13"/>
        <v>0</v>
      </c>
      <c r="H141" s="76"/>
      <c r="I141" s="21">
        <f t="shared" ca="1" si="14"/>
        <v>0</v>
      </c>
      <c r="J141" s="76"/>
      <c r="K141" s="21">
        <f t="shared" ca="1" si="15"/>
        <v>0</v>
      </c>
      <c r="N141" s="125"/>
    </row>
    <row r="142" spans="3:14" x14ac:dyDescent="0.55000000000000004">
      <c r="C142" s="124"/>
      <c r="D142" s="55" t="s">
        <v>535</v>
      </c>
      <c r="E142" s="133"/>
      <c r="F142" s="54">
        <f ca="1">SUM(F122:F141)-F121</f>
        <v>0</v>
      </c>
      <c r="G142" s="54">
        <f ca="1">SUM(G122:G141)-G121</f>
        <v>0</v>
      </c>
      <c r="H142" s="69" t="str">
        <f>IF(SUM(H122:H141)=0,"",H121-G121)</f>
        <v/>
      </c>
      <c r="I142" s="54">
        <f ca="1">SUM(I122:I141)-I121</f>
        <v>0</v>
      </c>
      <c r="J142" s="69" t="str">
        <f>IF(SUM(J122:J141)=0,"",J121-I121)</f>
        <v/>
      </c>
      <c r="K142" s="54">
        <f ca="1">SUM(K122:K141)-K121</f>
        <v>0</v>
      </c>
      <c r="N142" s="125"/>
    </row>
    <row r="143" spans="3:14" ht="14.7" thickBot="1" x14ac:dyDescent="0.6">
      <c r="C143" s="130"/>
      <c r="D143" s="131"/>
      <c r="E143" s="131"/>
      <c r="F143" s="131"/>
      <c r="G143" s="131"/>
      <c r="H143" s="131"/>
      <c r="I143" s="131"/>
      <c r="J143" s="131"/>
      <c r="K143" s="131"/>
      <c r="L143" s="131"/>
      <c r="M143" s="131"/>
      <c r="N143" s="132"/>
    </row>
    <row r="144" spans="3:14" ht="14.7" thickBot="1" x14ac:dyDescent="0.6"/>
    <row r="145" spans="3:14" x14ac:dyDescent="0.55000000000000004">
      <c r="C145" s="121"/>
      <c r="D145" s="122"/>
      <c r="E145" s="122"/>
      <c r="F145" s="122"/>
      <c r="G145" s="122"/>
      <c r="H145" s="122"/>
      <c r="I145" s="122"/>
      <c r="J145" s="122"/>
      <c r="K145" s="122"/>
      <c r="L145" s="122"/>
      <c r="M145" s="122"/>
      <c r="N145" s="123"/>
    </row>
    <row r="146" spans="3:14" ht="16.95" customHeight="1" x14ac:dyDescent="0.55000000000000004">
      <c r="C146" s="124"/>
      <c r="D146" s="248" t="s">
        <v>104</v>
      </c>
      <c r="N146" s="125"/>
    </row>
    <row r="147" spans="3:14" ht="14.55" customHeight="1" x14ac:dyDescent="0.55000000000000004">
      <c r="C147" s="124"/>
      <c r="D147" s="1803" t="s">
        <v>545</v>
      </c>
      <c r="E147" s="1803"/>
      <c r="F147" s="1803"/>
      <c r="G147" s="1803"/>
      <c r="H147" s="1803"/>
      <c r="I147" s="1803"/>
      <c r="J147" s="1803"/>
      <c r="K147" s="1803"/>
      <c r="L147" s="1803"/>
      <c r="M147" s="1803"/>
      <c r="N147" s="254"/>
    </row>
    <row r="148" spans="3:14" x14ac:dyDescent="0.55000000000000004">
      <c r="C148" s="124"/>
      <c r="D148" s="1803"/>
      <c r="E148" s="1803"/>
      <c r="F148" s="1803"/>
      <c r="G148" s="1803"/>
      <c r="H148" s="1803"/>
      <c r="I148" s="1803"/>
      <c r="J148" s="1803"/>
      <c r="K148" s="1803"/>
      <c r="L148" s="1803"/>
      <c r="M148" s="1803"/>
      <c r="N148" s="254"/>
    </row>
    <row r="149" spans="3:14" x14ac:dyDescent="0.55000000000000004">
      <c r="C149" s="124"/>
      <c r="D149" s="1803"/>
      <c r="E149" s="1803"/>
      <c r="F149" s="1803"/>
      <c r="G149" s="1803"/>
      <c r="H149" s="1803"/>
      <c r="I149" s="1803"/>
      <c r="J149" s="1803"/>
      <c r="K149" s="1803"/>
      <c r="L149" s="1803"/>
      <c r="M149" s="1803"/>
      <c r="N149" s="254"/>
    </row>
    <row r="150" spans="3:14" x14ac:dyDescent="0.55000000000000004">
      <c r="C150" s="124"/>
      <c r="D150" s="255"/>
      <c r="N150" s="125"/>
    </row>
    <row r="151" spans="3:14" ht="72" x14ac:dyDescent="0.55000000000000004">
      <c r="C151" s="124"/>
      <c r="D151" s="62" t="s">
        <v>283</v>
      </c>
      <c r="E151" s="56" t="s">
        <v>312</v>
      </c>
      <c r="F151" s="190" t="s">
        <v>309</v>
      </c>
      <c r="G151" s="1817" t="s">
        <v>505</v>
      </c>
      <c r="H151" s="1818"/>
      <c r="I151" s="1817" t="s">
        <v>506</v>
      </c>
      <c r="J151" s="1818"/>
      <c r="K151" s="56" t="s">
        <v>25</v>
      </c>
      <c r="L151" s="56" t="s">
        <v>500</v>
      </c>
      <c r="M151" s="56" t="str">
        <f>I15</f>
        <v>Total cost (R per customer/month)</v>
      </c>
      <c r="N151" s="125"/>
    </row>
    <row r="152" spans="3:14" x14ac:dyDescent="0.55000000000000004">
      <c r="C152" s="124"/>
      <c r="D152" s="1" t="s">
        <v>33</v>
      </c>
      <c r="E152" s="63"/>
      <c r="F152" s="20">
        <f ca="1">SUM(F153:F172)</f>
        <v>73012719.25</v>
      </c>
      <c r="G152" s="256"/>
      <c r="H152" s="20">
        <f>SUM(H153:H172)</f>
        <v>0</v>
      </c>
      <c r="I152" s="74">
        <f>SUM(I153:I172)</f>
        <v>0</v>
      </c>
      <c r="J152" s="20">
        <f>SUM(J153:J172)</f>
        <v>0</v>
      </c>
      <c r="K152" s="20">
        <f ca="1">SUM(K153:K172)</f>
        <v>73012719.25</v>
      </c>
      <c r="L152" s="72">
        <f ca="1">IFERROR(K152/IF('2 Customer data'!H149=0,'2 Customer data'!G149,'2 Customer data'!H149),0)/12</f>
        <v>340.51898762219236</v>
      </c>
      <c r="M152" s="66">
        <f ca="1">I36</f>
        <v>442.83277274084026</v>
      </c>
      <c r="N152" s="125"/>
    </row>
    <row r="153" spans="3:14" x14ac:dyDescent="0.55000000000000004">
      <c r="C153" s="124"/>
      <c r="D153" t="str">
        <f t="shared" ref="D153:E172" si="16">D16</f>
        <v>Residential</v>
      </c>
      <c r="E153" s="63" t="str">
        <f t="shared" si="16"/>
        <v>Domestic</v>
      </c>
      <c r="F153" s="21">
        <f t="shared" ref="F153:F163" ca="1" si="17">K122</f>
        <v>68953751.543337643</v>
      </c>
      <c r="G153" s="23"/>
      <c r="H153" s="26">
        <f>IF(G153="",0,F153*G153)</f>
        <v>0</v>
      </c>
      <c r="I153" s="23"/>
      <c r="J153" s="26">
        <f t="shared" ref="J153:J163" si="18">$H$152*I153</f>
        <v>0</v>
      </c>
      <c r="K153" s="21">
        <f ca="1">F153+H153-J153</f>
        <v>68953751.543337643</v>
      </c>
      <c r="L153" s="64">
        <f ca="1">IFERROR(K153/IF('2 Customer data'!H129="",'2 Customer data'!G129,'2 Customer data'!H129),0)/12</f>
        <v>336.54363136610073</v>
      </c>
      <c r="M153" s="40">
        <f t="shared" ref="M153:M172" ca="1" si="19">I16</f>
        <v>442.8327727408402</v>
      </c>
      <c r="N153" s="125"/>
    </row>
    <row r="154" spans="3:14" x14ac:dyDescent="0.55000000000000004">
      <c r="C154" s="124"/>
      <c r="D154" t="str">
        <f t="shared" si="16"/>
        <v>Commercial</v>
      </c>
      <c r="E154" s="63" t="str">
        <f t="shared" si="16"/>
        <v>Commercial</v>
      </c>
      <c r="F154" s="21">
        <f t="shared" ca="1" si="17"/>
        <v>3968399.7640194758</v>
      </c>
      <c r="G154" s="23"/>
      <c r="H154" s="26">
        <f t="shared" ref="H154:H172" si="20">IF(G154="",0,F154*G154)</f>
        <v>0</v>
      </c>
      <c r="I154" s="23"/>
      <c r="J154" s="26">
        <f t="shared" si="18"/>
        <v>0</v>
      </c>
      <c r="K154" s="21">
        <f t="shared" ref="K154:K172" ca="1" si="21">F154+H154-J154</f>
        <v>3968399.7640194758</v>
      </c>
      <c r="L154" s="64">
        <f ca="1">IFERROR(K154/IF('2 Customer data'!H130="",'2 Customer data'!G130,'2 Customer data'!H130),0)/12</f>
        <v>427.26095650511155</v>
      </c>
      <c r="M154" s="40">
        <f t="shared" ca="1" si="19"/>
        <v>442.8327727408402</v>
      </c>
      <c r="N154" s="125"/>
    </row>
    <row r="155" spans="3:14" x14ac:dyDescent="0.55000000000000004">
      <c r="C155" s="124"/>
      <c r="D155" t="str">
        <f t="shared" si="16"/>
        <v>Sport Clubs</v>
      </c>
      <c r="E155" s="63" t="str">
        <f t="shared" si="16"/>
        <v xml:space="preserve">Institutional </v>
      </c>
      <c r="F155" s="21">
        <f t="shared" ca="1" si="17"/>
        <v>46144.183302552039</v>
      </c>
      <c r="G155" s="23"/>
      <c r="H155" s="26">
        <f t="shared" si="20"/>
        <v>0</v>
      </c>
      <c r="I155" s="23"/>
      <c r="J155" s="26">
        <f t="shared" si="18"/>
        <v>0</v>
      </c>
      <c r="K155" s="21">
        <f t="shared" ca="1" si="21"/>
        <v>46144.183302552039</v>
      </c>
      <c r="L155" s="64">
        <f ca="1">IFERROR(K155/IF('2 Customer data'!H131="",'2 Customer data'!G131,'2 Customer data'!H131),0)/12</f>
        <v>427.26095650511144</v>
      </c>
      <c r="M155" s="40">
        <f t="shared" ca="1" si="19"/>
        <v>442.8327727408402</v>
      </c>
      <c r="N155" s="125"/>
    </row>
    <row r="156" spans="3:14" x14ac:dyDescent="0.55000000000000004">
      <c r="C156" s="124"/>
      <c r="D156" t="str">
        <f t="shared" si="16"/>
        <v>Old Age Homes</v>
      </c>
      <c r="E156" s="63" t="str">
        <f t="shared" si="16"/>
        <v>Domestic</v>
      </c>
      <c r="F156" s="21">
        <f t="shared" ca="1" si="17"/>
        <v>32308.188611145673</v>
      </c>
      <c r="G156" s="23"/>
      <c r="H156" s="26">
        <f t="shared" si="20"/>
        <v>0</v>
      </c>
      <c r="I156" s="23"/>
      <c r="J156" s="26">
        <f t="shared" si="18"/>
        <v>0</v>
      </c>
      <c r="K156" s="21">
        <f t="shared" ca="1" si="21"/>
        <v>32308.188611145673</v>
      </c>
      <c r="L156" s="64">
        <f ca="1">IFERROR(K156/IF('2 Customer data'!H132="",'2 Customer data'!G132,'2 Customer data'!H132),0)/12</f>
        <v>336.54363136610078</v>
      </c>
      <c r="M156" s="40">
        <f t="shared" ca="1" si="19"/>
        <v>442.83277274084026</v>
      </c>
      <c r="N156" s="125"/>
    </row>
    <row r="157" spans="3:14" x14ac:dyDescent="0.55000000000000004">
      <c r="C157" s="124"/>
      <c r="D157" t="str">
        <f t="shared" si="16"/>
        <v>Safe Houses</v>
      </c>
      <c r="E157" s="63" t="str">
        <f t="shared" si="16"/>
        <v>Domestic</v>
      </c>
      <c r="F157" s="21">
        <f t="shared" ca="1" si="17"/>
        <v>12115.570729179626</v>
      </c>
      <c r="G157" s="23"/>
      <c r="H157" s="26">
        <f t="shared" si="20"/>
        <v>0</v>
      </c>
      <c r="I157" s="23"/>
      <c r="J157" s="26">
        <f t="shared" si="18"/>
        <v>0</v>
      </c>
      <c r="K157" s="21">
        <f t="shared" ca="1" si="21"/>
        <v>12115.570729179626</v>
      </c>
      <c r="L157" s="64">
        <f ca="1">IFERROR(K157/IF('2 Customer data'!H133="",'2 Customer data'!G133,'2 Customer data'!H133),0)/12</f>
        <v>336.54363136610073</v>
      </c>
      <c r="M157" s="40">
        <f t="shared" ca="1" si="19"/>
        <v>442.83277274084026</v>
      </c>
      <c r="N157" s="125"/>
    </row>
    <row r="158" spans="3:14" x14ac:dyDescent="0.55000000000000004">
      <c r="C158" s="124"/>
      <c r="D158">
        <f t="shared" si="16"/>
        <v>0</v>
      </c>
      <c r="E158" s="63">
        <f t="shared" si="16"/>
        <v>0</v>
      </c>
      <c r="F158" s="21">
        <f t="shared" ca="1" si="17"/>
        <v>0</v>
      </c>
      <c r="G158" s="23"/>
      <c r="H158" s="26">
        <f t="shared" si="20"/>
        <v>0</v>
      </c>
      <c r="I158" s="23"/>
      <c r="J158" s="26">
        <f t="shared" si="18"/>
        <v>0</v>
      </c>
      <c r="K158" s="21">
        <f t="shared" ca="1" si="21"/>
        <v>0</v>
      </c>
      <c r="L158" s="64">
        <f ca="1">IFERROR(K158/IF('2 Customer data'!H134="",'2 Customer data'!G134,'2 Customer data'!H134),0)/12</f>
        <v>0</v>
      </c>
      <c r="M158" s="40">
        <f t="shared" ca="1" si="19"/>
        <v>0</v>
      </c>
      <c r="N158" s="125"/>
    </row>
    <row r="159" spans="3:14" x14ac:dyDescent="0.55000000000000004">
      <c r="C159" s="124"/>
      <c r="D159">
        <f t="shared" si="16"/>
        <v>0</v>
      </c>
      <c r="E159" s="63">
        <f t="shared" si="16"/>
        <v>0</v>
      </c>
      <c r="F159" s="21">
        <f t="shared" ca="1" si="17"/>
        <v>0</v>
      </c>
      <c r="G159" s="23"/>
      <c r="H159" s="26">
        <f t="shared" si="20"/>
        <v>0</v>
      </c>
      <c r="I159" s="23"/>
      <c r="J159" s="26">
        <f t="shared" si="18"/>
        <v>0</v>
      </c>
      <c r="K159" s="21">
        <f t="shared" ca="1" si="21"/>
        <v>0</v>
      </c>
      <c r="L159" s="64">
        <f ca="1">IFERROR(K159/IF('2 Customer data'!H135="",'2 Customer data'!G135,'2 Customer data'!H135),0)/12</f>
        <v>0</v>
      </c>
      <c r="M159" s="40">
        <f t="shared" ca="1" si="19"/>
        <v>0</v>
      </c>
      <c r="N159" s="125"/>
    </row>
    <row r="160" spans="3:14" x14ac:dyDescent="0.55000000000000004">
      <c r="C160" s="124"/>
      <c r="D160">
        <f t="shared" si="16"/>
        <v>0</v>
      </c>
      <c r="E160" s="63">
        <f t="shared" si="16"/>
        <v>0</v>
      </c>
      <c r="F160" s="21">
        <f t="shared" ca="1" si="17"/>
        <v>0</v>
      </c>
      <c r="G160" s="23"/>
      <c r="H160" s="26">
        <f t="shared" si="20"/>
        <v>0</v>
      </c>
      <c r="I160" s="50"/>
      <c r="J160" s="26">
        <f t="shared" si="18"/>
        <v>0</v>
      </c>
      <c r="K160" s="21">
        <f t="shared" ca="1" si="21"/>
        <v>0</v>
      </c>
      <c r="L160" s="64">
        <f ca="1">IFERROR(K160/IF('2 Customer data'!H136="",'2 Customer data'!G136,'2 Customer data'!H136),0)/12</f>
        <v>0</v>
      </c>
      <c r="M160" s="40">
        <f t="shared" ca="1" si="19"/>
        <v>0</v>
      </c>
      <c r="N160" s="125"/>
    </row>
    <row r="161" spans="3:14" x14ac:dyDescent="0.55000000000000004">
      <c r="C161" s="124"/>
      <c r="D161">
        <f t="shared" si="16"/>
        <v>0</v>
      </c>
      <c r="E161" s="63">
        <f t="shared" si="16"/>
        <v>0</v>
      </c>
      <c r="F161" s="21">
        <f t="shared" ca="1" si="17"/>
        <v>0</v>
      </c>
      <c r="G161" s="23"/>
      <c r="H161" s="26">
        <f t="shared" si="20"/>
        <v>0</v>
      </c>
      <c r="I161" s="50"/>
      <c r="J161" s="26">
        <f t="shared" si="18"/>
        <v>0</v>
      </c>
      <c r="K161" s="21">
        <f t="shared" ca="1" si="21"/>
        <v>0</v>
      </c>
      <c r="L161" s="64">
        <f ca="1">IFERROR(K161/IF('2 Customer data'!H137="",'2 Customer data'!G137,'2 Customer data'!H137),0)/12</f>
        <v>0</v>
      </c>
      <c r="M161" s="40">
        <f t="shared" ca="1" si="19"/>
        <v>0</v>
      </c>
      <c r="N161" s="125"/>
    </row>
    <row r="162" spans="3:14" x14ac:dyDescent="0.55000000000000004">
      <c r="C162" s="124"/>
      <c r="D162">
        <f t="shared" si="16"/>
        <v>0</v>
      </c>
      <c r="E162" s="63">
        <f t="shared" si="16"/>
        <v>0</v>
      </c>
      <c r="F162" s="21">
        <f t="shared" ca="1" si="17"/>
        <v>0</v>
      </c>
      <c r="G162" s="23"/>
      <c r="H162" s="26">
        <f t="shared" si="20"/>
        <v>0</v>
      </c>
      <c r="I162" s="50"/>
      <c r="J162" s="26">
        <f t="shared" si="18"/>
        <v>0</v>
      </c>
      <c r="K162" s="21">
        <f t="shared" ca="1" si="21"/>
        <v>0</v>
      </c>
      <c r="L162" s="64">
        <f ca="1">IFERROR(K162/IF('2 Customer data'!H138="",'2 Customer data'!G138,'2 Customer data'!H138),0)/12</f>
        <v>0</v>
      </c>
      <c r="M162" s="40">
        <f t="shared" ca="1" si="19"/>
        <v>0</v>
      </c>
      <c r="N162" s="125"/>
    </row>
    <row r="163" spans="3:14" x14ac:dyDescent="0.55000000000000004">
      <c r="C163" s="124"/>
      <c r="D163">
        <f t="shared" si="16"/>
        <v>0</v>
      </c>
      <c r="E163" s="63">
        <f t="shared" si="16"/>
        <v>0</v>
      </c>
      <c r="F163" s="21">
        <f t="shared" ca="1" si="17"/>
        <v>0</v>
      </c>
      <c r="G163" s="23"/>
      <c r="H163" s="26">
        <f t="shared" si="20"/>
        <v>0</v>
      </c>
      <c r="I163" s="50"/>
      <c r="J163" s="26">
        <f t="shared" si="18"/>
        <v>0</v>
      </c>
      <c r="K163" s="21">
        <f t="shared" ca="1" si="21"/>
        <v>0</v>
      </c>
      <c r="L163" s="64">
        <f ca="1">IFERROR(K163/IF('2 Customer data'!H139="",'2 Customer data'!G139,'2 Customer data'!H139),0)/12</f>
        <v>0</v>
      </c>
      <c r="M163" s="40">
        <f t="shared" ca="1" si="19"/>
        <v>0</v>
      </c>
      <c r="N163" s="125"/>
    </row>
    <row r="164" spans="3:14" x14ac:dyDescent="0.55000000000000004">
      <c r="C164" s="124"/>
      <c r="D164">
        <f t="shared" si="16"/>
        <v>0</v>
      </c>
      <c r="E164" s="63">
        <f t="shared" si="16"/>
        <v>0</v>
      </c>
      <c r="F164" s="21"/>
      <c r="G164" s="23"/>
      <c r="H164" s="26"/>
      <c r="I164" s="50"/>
      <c r="J164" s="26"/>
      <c r="K164" s="21"/>
      <c r="L164" s="64">
        <f>IFERROR(K164/IF('2 Customer data'!H140="",'2 Customer data'!G140,'2 Customer data'!H140),0)/12</f>
        <v>0</v>
      </c>
      <c r="M164" s="40">
        <f t="shared" ca="1" si="19"/>
        <v>0</v>
      </c>
      <c r="N164" s="125"/>
    </row>
    <row r="165" spans="3:14" x14ac:dyDescent="0.55000000000000004">
      <c r="C165" s="124"/>
      <c r="D165">
        <f t="shared" si="16"/>
        <v>0</v>
      </c>
      <c r="E165" s="63">
        <f t="shared" si="16"/>
        <v>0</v>
      </c>
      <c r="F165" s="21"/>
      <c r="G165" s="23"/>
      <c r="H165" s="26"/>
      <c r="I165" s="50"/>
      <c r="J165" s="26"/>
      <c r="K165" s="21"/>
      <c r="L165" s="64">
        <f>IFERROR(K165/IF('2 Customer data'!H141="",'2 Customer data'!G141,'2 Customer data'!H141),0)/12</f>
        <v>0</v>
      </c>
      <c r="M165" s="40">
        <f t="shared" ca="1" si="19"/>
        <v>0</v>
      </c>
      <c r="N165" s="125"/>
    </row>
    <row r="166" spans="3:14" x14ac:dyDescent="0.55000000000000004">
      <c r="C166" s="124"/>
      <c r="D166">
        <f t="shared" si="16"/>
        <v>0</v>
      </c>
      <c r="E166" s="63">
        <f t="shared" si="16"/>
        <v>0</v>
      </c>
      <c r="F166" s="21"/>
      <c r="G166" s="23"/>
      <c r="H166" s="26"/>
      <c r="I166" s="50"/>
      <c r="J166" s="26"/>
      <c r="K166" s="21"/>
      <c r="L166" s="64">
        <f>IFERROR(K166/IF('2 Customer data'!H142="",'2 Customer data'!G142,'2 Customer data'!H142),0)/12</f>
        <v>0</v>
      </c>
      <c r="M166" s="40">
        <f t="shared" ca="1" si="19"/>
        <v>0</v>
      </c>
      <c r="N166" s="125"/>
    </row>
    <row r="167" spans="3:14" x14ac:dyDescent="0.55000000000000004">
      <c r="C167" s="124"/>
      <c r="D167">
        <f t="shared" si="16"/>
        <v>0</v>
      </c>
      <c r="E167" s="63">
        <f t="shared" si="16"/>
        <v>0</v>
      </c>
      <c r="F167" s="21"/>
      <c r="G167" s="23"/>
      <c r="H167" s="26"/>
      <c r="I167" s="50"/>
      <c r="J167" s="26"/>
      <c r="K167" s="21"/>
      <c r="L167" s="64">
        <f>IFERROR(K167/IF('2 Customer data'!H143="",'2 Customer data'!G143,'2 Customer data'!H143),0)/12</f>
        <v>0</v>
      </c>
      <c r="M167" s="40">
        <f t="shared" ca="1" si="19"/>
        <v>0</v>
      </c>
      <c r="N167" s="125"/>
    </row>
    <row r="168" spans="3:14" x14ac:dyDescent="0.55000000000000004">
      <c r="C168" s="124"/>
      <c r="D168">
        <f t="shared" si="16"/>
        <v>0</v>
      </c>
      <c r="E168" s="63">
        <f t="shared" si="16"/>
        <v>0</v>
      </c>
      <c r="F168" s="21"/>
      <c r="G168" s="23"/>
      <c r="H168" s="26"/>
      <c r="I168" s="50"/>
      <c r="J168" s="26"/>
      <c r="K168" s="21"/>
      <c r="L168" s="64">
        <f>IFERROR(K168/IF('2 Customer data'!H144="",'2 Customer data'!G144,'2 Customer data'!H144),0)/12</f>
        <v>0</v>
      </c>
      <c r="M168" s="40">
        <f t="shared" ca="1" si="19"/>
        <v>0</v>
      </c>
      <c r="N168" s="125"/>
    </row>
    <row r="169" spans="3:14" x14ac:dyDescent="0.55000000000000004">
      <c r="C169" s="124"/>
      <c r="D169">
        <f t="shared" si="16"/>
        <v>0</v>
      </c>
      <c r="E169" s="63">
        <f t="shared" si="16"/>
        <v>0</v>
      </c>
      <c r="F169" s="21"/>
      <c r="G169" s="23"/>
      <c r="H169" s="26"/>
      <c r="I169" s="50"/>
      <c r="J169" s="26"/>
      <c r="K169" s="21"/>
      <c r="L169" s="64">
        <f>IFERROR(K169/IF('2 Customer data'!H145="",'2 Customer data'!G145,'2 Customer data'!H145),0)/12</f>
        <v>0</v>
      </c>
      <c r="M169" s="40">
        <f t="shared" ca="1" si="19"/>
        <v>0</v>
      </c>
      <c r="N169" s="125"/>
    </row>
    <row r="170" spans="3:14" x14ac:dyDescent="0.55000000000000004">
      <c r="C170" s="124"/>
      <c r="D170">
        <f t="shared" si="16"/>
        <v>0</v>
      </c>
      <c r="E170" s="63">
        <f t="shared" si="16"/>
        <v>0</v>
      </c>
      <c r="F170" s="21">
        <f ca="1">K139</f>
        <v>0</v>
      </c>
      <c r="G170" s="23"/>
      <c r="H170" s="26">
        <f t="shared" si="20"/>
        <v>0</v>
      </c>
      <c r="I170" s="50"/>
      <c r="J170" s="26">
        <f>$H$152*I170</f>
        <v>0</v>
      </c>
      <c r="K170" s="21">
        <f t="shared" ca="1" si="21"/>
        <v>0</v>
      </c>
      <c r="L170" s="64">
        <f ca="1">IFERROR(K170/IF('2 Customer data'!H146="",'2 Customer data'!G146,'2 Customer data'!H146),0)/12</f>
        <v>0</v>
      </c>
      <c r="M170" s="40">
        <f t="shared" ca="1" si="19"/>
        <v>0</v>
      </c>
      <c r="N170" s="125"/>
    </row>
    <row r="171" spans="3:14" x14ac:dyDescent="0.55000000000000004">
      <c r="C171" s="124"/>
      <c r="D171">
        <f t="shared" si="16"/>
        <v>0</v>
      </c>
      <c r="E171" s="63">
        <f t="shared" si="16"/>
        <v>0</v>
      </c>
      <c r="F171" s="21">
        <f ca="1">K140</f>
        <v>0</v>
      </c>
      <c r="G171" s="23"/>
      <c r="H171" s="26">
        <f t="shared" si="20"/>
        <v>0</v>
      </c>
      <c r="I171" s="50"/>
      <c r="J171" s="26">
        <f>$H$152*I171</f>
        <v>0</v>
      </c>
      <c r="K171" s="21">
        <f t="shared" ca="1" si="21"/>
        <v>0</v>
      </c>
      <c r="L171" s="64">
        <f ca="1">IFERROR(K171/IF('2 Customer data'!H147="",'2 Customer data'!G147,'2 Customer data'!H147),0)/12</f>
        <v>0</v>
      </c>
      <c r="M171" s="40">
        <f t="shared" ca="1" si="19"/>
        <v>0</v>
      </c>
      <c r="N171" s="125"/>
    </row>
    <row r="172" spans="3:14" x14ac:dyDescent="0.55000000000000004">
      <c r="C172" s="124"/>
      <c r="D172">
        <f t="shared" si="16"/>
        <v>0</v>
      </c>
      <c r="E172" s="63">
        <f t="shared" si="16"/>
        <v>0</v>
      </c>
      <c r="F172" s="21">
        <f ca="1">K141</f>
        <v>0</v>
      </c>
      <c r="G172" s="23"/>
      <c r="H172" s="26">
        <f t="shared" si="20"/>
        <v>0</v>
      </c>
      <c r="I172" s="50"/>
      <c r="J172" s="26">
        <f>$H$152*I172</f>
        <v>0</v>
      </c>
      <c r="K172" s="21">
        <f t="shared" ca="1" si="21"/>
        <v>0</v>
      </c>
      <c r="L172" s="64">
        <f ca="1">IFERROR(K172/IF('2 Customer data'!H148="",'2 Customer data'!G148,'2 Customer data'!H148),0)/12</f>
        <v>0</v>
      </c>
      <c r="M172" s="40">
        <f t="shared" ca="1" si="19"/>
        <v>0</v>
      </c>
      <c r="N172" s="125"/>
    </row>
    <row r="173" spans="3:14" x14ac:dyDescent="0.55000000000000004">
      <c r="C173" s="124"/>
      <c r="D173" s="257" t="s">
        <v>108</v>
      </c>
      <c r="F173" s="17"/>
      <c r="G173" s="17"/>
      <c r="H173" s="17"/>
      <c r="I173" s="83">
        <f>1-I152</f>
        <v>1</v>
      </c>
      <c r="J173" s="17"/>
      <c r="K173" s="17"/>
      <c r="L173" s="19"/>
      <c r="M173" s="258"/>
      <c r="N173" s="125"/>
    </row>
    <row r="174" spans="3:14" ht="14.7" thickBot="1" x14ac:dyDescent="0.6">
      <c r="C174" s="130"/>
      <c r="D174" s="131"/>
      <c r="E174" s="131"/>
      <c r="F174" s="259"/>
      <c r="G174" s="131"/>
      <c r="H174" s="131"/>
      <c r="I174" s="131"/>
      <c r="J174" s="131"/>
      <c r="K174" s="131"/>
      <c r="L174" s="131"/>
      <c r="M174" s="131"/>
      <c r="N174" s="132"/>
    </row>
    <row r="175" spans="3:14" x14ac:dyDescent="0.55000000000000004">
      <c r="F175" s="260"/>
    </row>
    <row r="176" spans="3:14" x14ac:dyDescent="0.55000000000000004">
      <c r="F176" s="260"/>
    </row>
  </sheetData>
  <sheetProtection sheet="1" objects="1" scenarios="1"/>
  <mergeCells count="12">
    <mergeCell ref="D117:L118"/>
    <mergeCell ref="D147:M149"/>
    <mergeCell ref="G151:H151"/>
    <mergeCell ref="I151:J151"/>
    <mergeCell ref="C7:L7"/>
    <mergeCell ref="D82:M83"/>
    <mergeCell ref="D113:L115"/>
    <mergeCell ref="E1:F2"/>
    <mergeCell ref="D11:M11"/>
    <mergeCell ref="D42:M44"/>
    <mergeCell ref="D77:M80"/>
    <mergeCell ref="D46:M47"/>
  </mergeCells>
  <pageMargins left="0.7" right="0.7" top="0.75" bottom="0.75" header="0.3" footer="0.3"/>
  <pageSetup paperSize="9" orientation="portrait" r:id="rId1"/>
  <drawing r:id="rId2"/>
  <legacyDrawing r:id="rId3"/>
  <controls>
    <mc:AlternateContent xmlns:mc="http://schemas.openxmlformats.org/markup-compatibility/2006">
      <mc:Choice Requires="x14">
        <control shapeId="17409" r:id="rId4" name="cb2SW">
          <controlPr defaultSize="0" autoLine="0" r:id="rId5">
            <anchor moveWithCells="1">
              <from>
                <xdr:col>4</xdr:col>
                <xdr:colOff>251460</xdr:colOff>
                <xdr:row>1</xdr:row>
                <xdr:rowOff>175260</xdr:rowOff>
              </from>
              <to>
                <xdr:col>5</xdr:col>
                <xdr:colOff>880110</xdr:colOff>
                <xdr:row>3</xdr:row>
                <xdr:rowOff>64770</xdr:rowOff>
              </to>
            </anchor>
          </controlPr>
        </control>
      </mc:Choice>
      <mc:Fallback>
        <control shapeId="17409" r:id="rId4" name="cb2SW"/>
      </mc:Fallback>
    </mc:AlternateContent>
  </controls>
</worksheet>
</file>

<file path=xl/worksheets/sheet3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DB5EA7D-1D27-4141-B22E-63169B81D48F}">
  <sheetPr codeName="Sheet18">
    <tabColor theme="9" tint="0.39997558519241921"/>
  </sheetPr>
  <dimension ref="A1:Z829"/>
  <sheetViews>
    <sheetView showGridLines="0" workbookViewId="0">
      <pane ySplit="4" topLeftCell="A239" activePane="bottomLeft" state="frozen"/>
      <selection pane="bottomLeft" activeCell="I346" sqref="I346"/>
    </sheetView>
  </sheetViews>
  <sheetFormatPr defaultColWidth="8.7890625" defaultRowHeight="14.4" x14ac:dyDescent="0.55000000000000004"/>
  <cols>
    <col min="1" max="1" width="3.7890625" style="117" customWidth="1"/>
    <col min="2" max="2" width="4.20703125" customWidth="1"/>
    <col min="3" max="3" width="3.7890625" customWidth="1"/>
    <col min="4" max="4" width="2.7890625" customWidth="1"/>
    <col min="5" max="5" width="32.7890625" customWidth="1"/>
    <col min="6" max="6" width="18.20703125" customWidth="1"/>
    <col min="7" max="7" width="19.5234375" customWidth="1"/>
    <col min="8" max="8" width="18.7890625" customWidth="1"/>
    <col min="9" max="9" width="18.20703125" customWidth="1"/>
    <col min="10" max="10" width="18.7890625" bestFit="1" customWidth="1"/>
    <col min="11" max="11" width="17.20703125" customWidth="1"/>
    <col min="12" max="12" width="10.20703125" bestFit="1" customWidth="1"/>
    <col min="13" max="13" width="4.20703125" customWidth="1"/>
    <col min="14" max="14" width="8.7890625" style="10"/>
    <col min="15" max="15" width="8.7890625" style="10" customWidth="1"/>
    <col min="16" max="17" width="10.20703125" style="10" bestFit="1" customWidth="1"/>
    <col min="18" max="18" width="8.7890625" style="10"/>
    <col min="19" max="19" width="11.20703125" style="10" bestFit="1" customWidth="1"/>
    <col min="20" max="20" width="10.20703125" style="10" bestFit="1" customWidth="1"/>
    <col min="21" max="21" width="12.7890625" style="10" bestFit="1" customWidth="1"/>
    <col min="22" max="22" width="8.7890625" style="10" customWidth="1"/>
    <col min="23" max="23" width="8.7890625" style="10"/>
    <col min="24" max="24" width="15" style="10" customWidth="1"/>
    <col min="25" max="25" width="8.7890625" style="10" customWidth="1"/>
    <col min="26" max="26" width="8.7890625" style="10"/>
    <col min="27" max="16384" width="8.7890625" style="126"/>
  </cols>
  <sheetData>
    <row r="1" spans="1:16" customFormat="1" ht="14.55" customHeight="1" x14ac:dyDescent="0.55000000000000004">
      <c r="G1" s="1823" t="s">
        <v>212</v>
      </c>
      <c r="I1" s="1814" t="s">
        <v>206</v>
      </c>
    </row>
    <row r="2" spans="1:16" customFormat="1" x14ac:dyDescent="0.55000000000000004">
      <c r="F2" s="115"/>
      <c r="G2" s="1823"/>
      <c r="I2" s="1814"/>
    </row>
    <row r="3" spans="1:16" customFormat="1" ht="16.95" customHeight="1" x14ac:dyDescent="0.55000000000000004"/>
    <row r="4" spans="1:16" s="116" customFormat="1" ht="14.7" thickBot="1" x14ac:dyDescent="0.6"/>
    <row r="5" spans="1:16" s="117" customFormat="1" x14ac:dyDescent="0.55000000000000004"/>
    <row r="6" spans="1:16" customFormat="1" x14ac:dyDescent="0.55000000000000004">
      <c r="A6" s="117"/>
    </row>
    <row r="7" spans="1:16" customFormat="1" ht="13.2" customHeight="1" x14ac:dyDescent="0.7">
      <c r="A7" s="117"/>
      <c r="B7" s="118"/>
      <c r="C7" s="1804" t="s">
        <v>554</v>
      </c>
      <c r="D7" s="1804"/>
      <c r="E7" s="1804"/>
      <c r="F7" s="1804"/>
      <c r="G7" s="1804"/>
      <c r="H7" s="1804"/>
      <c r="I7" s="1804"/>
      <c r="J7" s="1804"/>
      <c r="K7" s="1804"/>
      <c r="L7" s="1804"/>
      <c r="M7" s="1804"/>
      <c r="N7" s="120"/>
      <c r="O7" s="120"/>
      <c r="P7" s="120"/>
    </row>
    <row r="8" spans="1:16" customFormat="1" ht="12.6" customHeight="1" x14ac:dyDescent="0.7">
      <c r="A8" s="117"/>
      <c r="B8" s="118"/>
      <c r="C8" s="1804"/>
      <c r="D8" s="1804"/>
      <c r="E8" s="1804"/>
      <c r="F8" s="1804"/>
      <c r="G8" s="1804"/>
      <c r="H8" s="1804"/>
      <c r="I8" s="1804"/>
      <c r="J8" s="1804"/>
      <c r="K8" s="1804"/>
      <c r="L8" s="1804"/>
      <c r="M8" s="1804"/>
      <c r="N8" s="120"/>
      <c r="O8" s="120"/>
      <c r="P8" s="120"/>
    </row>
    <row r="9" spans="1:16" customFormat="1" ht="14.55" customHeight="1" x14ac:dyDescent="0.7">
      <c r="A9" s="117"/>
      <c r="B9" s="118"/>
      <c r="C9" s="1804"/>
      <c r="D9" s="1804"/>
      <c r="E9" s="1804"/>
      <c r="F9" s="1804"/>
      <c r="G9" s="1804"/>
      <c r="H9" s="1804"/>
      <c r="I9" s="1804"/>
      <c r="J9" s="1804"/>
      <c r="K9" s="1804"/>
      <c r="L9" s="1804"/>
      <c r="M9" s="1804"/>
      <c r="N9" s="120"/>
      <c r="O9" s="120"/>
      <c r="P9" s="120"/>
    </row>
    <row r="10" spans="1:16" customFormat="1" ht="14.7" thickBot="1" x14ac:dyDescent="0.6">
      <c r="A10" s="117"/>
    </row>
    <row r="11" spans="1:16" customFormat="1" x14ac:dyDescent="0.55000000000000004">
      <c r="A11" s="117"/>
      <c r="C11" s="121"/>
      <c r="D11" s="122"/>
      <c r="E11" s="122"/>
      <c r="F11" s="122"/>
      <c r="G11" s="122"/>
      <c r="H11" s="122"/>
      <c r="I11" s="122"/>
      <c r="J11" s="122"/>
      <c r="K11" s="122"/>
      <c r="L11" s="122"/>
      <c r="M11" s="123"/>
    </row>
    <row r="12" spans="1:16" s="126" customFormat="1" ht="18.3" x14ac:dyDescent="0.7">
      <c r="A12" s="117"/>
      <c r="B12"/>
      <c r="C12" s="124"/>
      <c r="D12" s="1822" t="str">
        <f>'2 Customer data'!D21</f>
        <v>Domestic: Conventional</v>
      </c>
      <c r="E12" s="1822"/>
      <c r="F12" s="1822"/>
      <c r="G12" s="1822"/>
      <c r="H12" s="1822"/>
      <c r="I12" s="1822"/>
      <c r="J12" s="1822"/>
      <c r="K12" s="1822"/>
      <c r="L12" s="1822"/>
      <c r="M12" s="125"/>
    </row>
    <row r="13" spans="1:16" s="126" customFormat="1" ht="14.7" thickBot="1" x14ac:dyDescent="0.6">
      <c r="A13" s="117"/>
      <c r="B13"/>
      <c r="C13" s="124"/>
      <c r="D13"/>
      <c r="E13" s="1"/>
      <c r="F13"/>
      <c r="G13"/>
      <c r="H13"/>
      <c r="I13"/>
      <c r="J13"/>
      <c r="K13"/>
      <c r="L13"/>
      <c r="M13" s="125"/>
    </row>
    <row r="14" spans="1:16" s="126" customFormat="1" x14ac:dyDescent="0.55000000000000004">
      <c r="A14" s="117"/>
      <c r="B14"/>
      <c r="C14" s="124"/>
      <c r="D14" s="121"/>
      <c r="E14" s="122"/>
      <c r="F14" s="122"/>
      <c r="G14" s="122"/>
      <c r="H14" s="122"/>
      <c r="I14" s="122"/>
      <c r="J14" s="122"/>
      <c r="K14" s="122"/>
      <c r="L14" s="123"/>
      <c r="M14" s="125"/>
    </row>
    <row r="15" spans="1:16" s="126" customFormat="1" x14ac:dyDescent="0.55000000000000004">
      <c r="A15" s="117"/>
      <c r="B15"/>
      <c r="C15" s="124"/>
      <c r="D15" s="124"/>
      <c r="E15" s="1" t="str">
        <f>'2 Customer data'!D21&amp;" "&amp;"information"</f>
        <v>Domestic: Conventional information</v>
      </c>
      <c r="F15"/>
      <c r="G15"/>
      <c r="H15"/>
      <c r="I15"/>
      <c r="J15"/>
      <c r="K15"/>
      <c r="L15" s="125"/>
      <c r="M15" s="125"/>
    </row>
    <row r="16" spans="1:16" s="126" customFormat="1" x14ac:dyDescent="0.55000000000000004">
      <c r="A16" s="117"/>
      <c r="B16"/>
      <c r="C16" s="124"/>
      <c r="D16" s="124"/>
      <c r="E16" s="127"/>
      <c r="F16"/>
      <c r="G16"/>
      <c r="H16"/>
      <c r="I16"/>
      <c r="J16"/>
      <c r="K16"/>
      <c r="L16" s="125"/>
      <c r="M16" s="125"/>
    </row>
    <row r="17" spans="1:16" s="126" customFormat="1" ht="28.8" x14ac:dyDescent="0.55000000000000004">
      <c r="A17" s="117"/>
      <c r="B17"/>
      <c r="C17" s="124"/>
      <c r="D17" s="124"/>
      <c r="E17" s="128"/>
      <c r="F17" s="56" t="s">
        <v>28</v>
      </c>
      <c r="G17" s="129" t="s">
        <v>278</v>
      </c>
      <c r="H17" s="129" t="s">
        <v>69</v>
      </c>
      <c r="I17" s="129" t="s">
        <v>70</v>
      </c>
      <c r="J17" s="56" t="s">
        <v>71</v>
      </c>
      <c r="K17"/>
      <c r="L17" s="125"/>
      <c r="M17" s="125"/>
    </row>
    <row r="18" spans="1:16" s="126" customFormat="1" x14ac:dyDescent="0.55000000000000004">
      <c r="A18" s="117"/>
      <c r="B18"/>
      <c r="C18" s="124"/>
      <c r="D18" s="124"/>
      <c r="E18" t="str">
        <f>'2 Customer data'!D21</f>
        <v>Domestic: Conventional</v>
      </c>
      <c r="F18" s="26">
        <f>IFERROR(IF(VLOOKUP(E18,'2 Customer data'!$D$21:$L$40,6,FALSE)="",VLOOKUP(E18,'2 Customer data'!$D$21:$L$40,5,FALSE),VLOOKUP(E18,'2 Customer data'!$D$21:$L$40,6,FALSE)),0)</f>
        <v>15611.426999999998</v>
      </c>
      <c r="G18" s="26">
        <f>IFERROR(IF(VLOOKUP(E18,'2 Customer data'!$D$21:$K$40,8,FALSE)="",VLOOKUP(E18,'2 Customer data'!$D$21:$K$40,7,FALSE),VLOOKUP(E18,'2 Customer data'!$D$21:$K$40,8,FALSE)),0)</f>
        <v>1903687.2529999998</v>
      </c>
      <c r="H18" s="26">
        <f ca="1">VLOOKUP(E18,'2 Water'!$D$19:$J$38,5,FALSE)</f>
        <v>55038171.563603692</v>
      </c>
      <c r="I18" s="26">
        <f ca="1">VLOOKUP(E18,'2 Water'!$D$19:$J$38,6,FALSE)</f>
        <v>43826499.750479095</v>
      </c>
      <c r="J18" s="113">
        <f ca="1">IFERROR(VLOOKUP(E18,'2 Water'!$D$158:$K$177,8,FALSE),0)</f>
        <v>76725065.7431795</v>
      </c>
      <c r="K18"/>
      <c r="L18" s="125"/>
      <c r="M18" s="125"/>
    </row>
    <row r="19" spans="1:16" s="126" customFormat="1" ht="14.7" thickBot="1" x14ac:dyDescent="0.6">
      <c r="A19" s="117"/>
      <c r="B19"/>
      <c r="C19" s="124"/>
      <c r="D19" s="130"/>
      <c r="E19" s="131"/>
      <c r="F19" s="131"/>
      <c r="G19" s="131"/>
      <c r="H19" s="131"/>
      <c r="I19" s="131"/>
      <c r="J19" s="131"/>
      <c r="K19" s="131"/>
      <c r="L19" s="132"/>
      <c r="M19" s="125"/>
    </row>
    <row r="20" spans="1:16" s="126" customFormat="1" ht="14.7" thickBot="1" x14ac:dyDescent="0.6">
      <c r="A20" s="117"/>
      <c r="B20"/>
      <c r="C20" s="124"/>
      <c r="D20"/>
      <c r="E20"/>
      <c r="F20"/>
      <c r="G20"/>
      <c r="H20"/>
      <c r="I20"/>
      <c r="J20"/>
      <c r="K20"/>
      <c r="L20"/>
      <c r="M20" s="125"/>
    </row>
    <row r="21" spans="1:16" s="126" customFormat="1" x14ac:dyDescent="0.55000000000000004">
      <c r="A21" s="117"/>
      <c r="B21"/>
      <c r="C21" s="124"/>
      <c r="D21" s="121"/>
      <c r="E21" s="122"/>
      <c r="F21" s="122"/>
      <c r="G21" s="122"/>
      <c r="H21" s="122"/>
      <c r="I21" s="122"/>
      <c r="J21" s="122"/>
      <c r="K21" s="122"/>
      <c r="L21" s="123"/>
      <c r="M21" s="125"/>
    </row>
    <row r="22" spans="1:16" s="126" customFormat="1" x14ac:dyDescent="0.55000000000000004">
      <c r="A22" s="117"/>
      <c r="B22"/>
      <c r="C22" s="124"/>
      <c r="D22" s="124"/>
      <c r="E22" s="1" t="s">
        <v>72</v>
      </c>
      <c r="F22"/>
      <c r="G22"/>
      <c r="H22"/>
      <c r="I22"/>
      <c r="J22"/>
      <c r="K22"/>
      <c r="L22" s="125"/>
      <c r="M22" s="125"/>
    </row>
    <row r="23" spans="1:16" s="126" customFormat="1" x14ac:dyDescent="0.55000000000000004">
      <c r="A23" s="117"/>
      <c r="B23"/>
      <c r="C23" s="124"/>
      <c r="D23" s="124"/>
      <c r="E23" s="120" t="s">
        <v>555</v>
      </c>
      <c r="F23"/>
      <c r="G23"/>
      <c r="H23"/>
      <c r="I23"/>
      <c r="J23"/>
      <c r="K23"/>
      <c r="L23" s="125"/>
      <c r="M23" s="125"/>
    </row>
    <row r="24" spans="1:16" s="126" customFormat="1" x14ac:dyDescent="0.55000000000000004">
      <c r="A24" s="117"/>
      <c r="B24"/>
      <c r="C24" s="124"/>
      <c r="D24" s="124"/>
      <c r="E24" s="127"/>
      <c r="F24"/>
      <c r="G24"/>
      <c r="H24"/>
      <c r="I24"/>
      <c r="J24"/>
      <c r="K24"/>
      <c r="L24" s="125"/>
      <c r="M24" s="125"/>
    </row>
    <row r="25" spans="1:16" s="126" customFormat="1" ht="42.6" customHeight="1" x14ac:dyDescent="0.55000000000000004">
      <c r="A25" s="117"/>
      <c r="B25"/>
      <c r="C25" s="124"/>
      <c r="D25" s="124"/>
      <c r="E25"/>
      <c r="F25" s="56" t="s">
        <v>86</v>
      </c>
      <c r="G25" s="56" t="s">
        <v>73</v>
      </c>
      <c r="H25" s="56" t="s">
        <v>74</v>
      </c>
      <c r="I25" s="56" t="s">
        <v>75</v>
      </c>
      <c r="J25" s="56" t="s">
        <v>76</v>
      </c>
      <c r="K25"/>
      <c r="L25" s="125"/>
      <c r="M25" s="125"/>
    </row>
    <row r="26" spans="1:16" s="126" customFormat="1" x14ac:dyDescent="0.55000000000000004">
      <c r="A26" s="117"/>
      <c r="B26"/>
      <c r="C26" s="124"/>
      <c r="D26" s="124"/>
      <c r="E26" t="str">
        <f>E18</f>
        <v>Domestic: Conventional</v>
      </c>
      <c r="F26" s="26">
        <f ca="1">H18</f>
        <v>55038171.563603692</v>
      </c>
      <c r="G26" s="64">
        <f ca="1">IFERROR(F26/F18/12,0)</f>
        <v>293.79212399782381</v>
      </c>
      <c r="H26" s="84">
        <f ca="1">G26</f>
        <v>293.79212399782381</v>
      </c>
      <c r="I26" s="26">
        <f ca="1">H26*F18*12</f>
        <v>55038171.563603684</v>
      </c>
      <c r="J26" s="21">
        <f ca="1">I26/12</f>
        <v>4586514.2969669737</v>
      </c>
      <c r="K26"/>
      <c r="L26" s="125"/>
      <c r="M26" s="125"/>
    </row>
    <row r="27" spans="1:16" s="126" customFormat="1" x14ac:dyDescent="0.55000000000000004">
      <c r="A27" s="117"/>
      <c r="B27"/>
      <c r="C27" s="124"/>
      <c r="D27" s="124"/>
      <c r="E27" s="133"/>
      <c r="F27" s="58" t="str">
        <f ca="1">IF(I26&gt;J18,"Error: revenue from fixed charges exceeds total revenue required from tariff. Reduce fixed charge.","")</f>
        <v/>
      </c>
      <c r="G27" s="134"/>
      <c r="H27" s="134"/>
      <c r="I27" s="134"/>
      <c r="J27" s="135"/>
      <c r="K27"/>
      <c r="L27" s="125"/>
      <c r="M27" s="125"/>
    </row>
    <row r="28" spans="1:16" s="126" customFormat="1" ht="14.7" thickBot="1" x14ac:dyDescent="0.6">
      <c r="A28" s="117"/>
      <c r="B28"/>
      <c r="C28" s="124"/>
      <c r="D28" s="130"/>
      <c r="E28" s="131"/>
      <c r="F28" s="131"/>
      <c r="G28" s="131"/>
      <c r="H28" s="131"/>
      <c r="I28" s="131"/>
      <c r="J28" s="131"/>
      <c r="K28" s="131"/>
      <c r="L28" s="132"/>
      <c r="M28" s="125"/>
    </row>
    <row r="29" spans="1:16" s="126" customFormat="1" ht="14.7" thickBot="1" x14ac:dyDescent="0.6">
      <c r="A29" s="117"/>
      <c r="B29"/>
      <c r="C29" s="124"/>
      <c r="D29"/>
      <c r="E29"/>
      <c r="F29"/>
      <c r="G29"/>
      <c r="H29"/>
      <c r="I29"/>
      <c r="J29"/>
      <c r="K29"/>
      <c r="L29"/>
      <c r="M29" s="125"/>
    </row>
    <row r="30" spans="1:16" s="126" customFormat="1" x14ac:dyDescent="0.55000000000000004">
      <c r="A30" s="117"/>
      <c r="B30"/>
      <c r="C30" s="124"/>
      <c r="D30" s="121"/>
      <c r="E30" s="122"/>
      <c r="F30" s="122"/>
      <c r="G30" s="122"/>
      <c r="H30" s="122"/>
      <c r="I30" s="122"/>
      <c r="J30" s="122"/>
      <c r="K30" s="122"/>
      <c r="L30" s="123"/>
      <c r="M30" s="125"/>
    </row>
    <row r="31" spans="1:16" s="126" customFormat="1" x14ac:dyDescent="0.55000000000000004">
      <c r="A31" s="117"/>
      <c r="B31"/>
      <c r="C31" s="124"/>
      <c r="D31" s="124"/>
      <c r="E31" s="1" t="s">
        <v>96</v>
      </c>
      <c r="F31"/>
      <c r="G31"/>
      <c r="H31"/>
      <c r="I31"/>
      <c r="J31"/>
      <c r="K31"/>
      <c r="L31" s="125"/>
      <c r="M31" s="125"/>
    </row>
    <row r="32" spans="1:16" s="126" customFormat="1" ht="14.55" customHeight="1" x14ac:dyDescent="0.55000000000000004">
      <c r="A32" s="117"/>
      <c r="B32"/>
      <c r="C32" s="124"/>
      <c r="D32" s="124"/>
      <c r="E32" s="1804" t="s">
        <v>556</v>
      </c>
      <c r="F32" s="1804"/>
      <c r="G32" s="1804"/>
      <c r="H32" s="1804"/>
      <c r="I32" s="1804"/>
      <c r="J32" s="1804"/>
      <c r="K32" s="1804"/>
      <c r="L32" s="136"/>
      <c r="M32" s="136"/>
      <c r="N32" s="137"/>
      <c r="O32" s="137"/>
      <c r="P32" s="137"/>
    </row>
    <row r="33" spans="1:21" s="126" customFormat="1" x14ac:dyDescent="0.55000000000000004">
      <c r="A33" s="117"/>
      <c r="B33"/>
      <c r="C33" s="124"/>
      <c r="D33" s="124"/>
      <c r="E33" s="1804"/>
      <c r="F33" s="1804"/>
      <c r="G33" s="1804"/>
      <c r="H33" s="1804"/>
      <c r="I33" s="1804"/>
      <c r="J33" s="1804"/>
      <c r="K33" s="1804"/>
      <c r="L33" s="136"/>
      <c r="M33" s="136"/>
      <c r="N33" s="137"/>
      <c r="O33" s="137"/>
      <c r="P33" s="137"/>
    </row>
    <row r="34" spans="1:21" s="126" customFormat="1" x14ac:dyDescent="0.55000000000000004">
      <c r="A34" s="117"/>
      <c r="B34"/>
      <c r="C34" s="124"/>
      <c r="D34" s="124"/>
      <c r="E34"/>
      <c r="F34"/>
      <c r="G34"/>
      <c r="H34"/>
      <c r="I34"/>
      <c r="J34"/>
      <c r="K34"/>
      <c r="L34" s="125"/>
      <c r="M34" s="125"/>
    </row>
    <row r="35" spans="1:21" s="126" customFormat="1" x14ac:dyDescent="0.55000000000000004">
      <c r="A35" s="117"/>
      <c r="B35"/>
      <c r="C35" s="124"/>
      <c r="D35" s="124"/>
      <c r="E35" t="s">
        <v>77</v>
      </c>
      <c r="G35" s="50">
        <v>5</v>
      </c>
      <c r="H35"/>
      <c r="I35"/>
      <c r="J35"/>
      <c r="K35"/>
      <c r="L35" s="125"/>
      <c r="M35" s="125"/>
    </row>
    <row r="36" spans="1:21" s="126" customFormat="1" x14ac:dyDescent="0.55000000000000004">
      <c r="A36" s="117"/>
      <c r="B36"/>
      <c r="C36" s="124"/>
      <c r="D36" s="124"/>
      <c r="E36" s="10" t="s">
        <v>612</v>
      </c>
      <c r="F36" s="133"/>
      <c r="G36" s="159" t="s">
        <v>578</v>
      </c>
      <c r="H36"/>
      <c r="I36"/>
      <c r="J36"/>
      <c r="K36"/>
      <c r="L36" s="125"/>
      <c r="M36" s="125"/>
    </row>
    <row r="37" spans="1:21" s="126" customFormat="1" x14ac:dyDescent="0.55000000000000004">
      <c r="A37" s="117"/>
      <c r="B37"/>
      <c r="C37" s="124"/>
      <c r="D37" s="124"/>
      <c r="E37"/>
      <c r="F37"/>
      <c r="G37"/>
      <c r="H37"/>
      <c r="I37"/>
      <c r="J37"/>
      <c r="K37" s="135"/>
      <c r="L37" s="125"/>
      <c r="M37" s="125"/>
      <c r="Q37" s="10"/>
      <c r="R37" s="138"/>
    </row>
    <row r="38" spans="1:21" s="126" customFormat="1" ht="28.8" x14ac:dyDescent="0.55000000000000004">
      <c r="A38" s="117"/>
      <c r="B38"/>
      <c r="C38" s="124"/>
      <c r="D38" s="124"/>
      <c r="E38" s="129" t="s">
        <v>78</v>
      </c>
      <c r="F38" s="129" t="s">
        <v>79</v>
      </c>
      <c r="G38" s="139" t="s">
        <v>80</v>
      </c>
      <c r="H38" s="129" t="s">
        <v>333</v>
      </c>
      <c r="I38" s="56" t="s">
        <v>82</v>
      </c>
      <c r="J38" s="129" t="s">
        <v>81</v>
      </c>
      <c r="K38" s="56" t="s">
        <v>83</v>
      </c>
      <c r="L38" s="125"/>
      <c r="M38" s="125"/>
      <c r="O38" s="126" t="s">
        <v>614</v>
      </c>
      <c r="P38" s="126" t="s">
        <v>615</v>
      </c>
      <c r="R38" s="140"/>
      <c r="S38" s="141"/>
      <c r="T38" s="142"/>
      <c r="U38" s="141"/>
    </row>
    <row r="39" spans="1:21" s="126" customFormat="1" x14ac:dyDescent="0.55000000000000004">
      <c r="A39" s="117"/>
      <c r="B39"/>
      <c r="C39" s="124"/>
      <c r="D39" s="124"/>
      <c r="E39" s="89">
        <f>IF($G$35=Q39,Q39,1)</f>
        <v>1</v>
      </c>
      <c r="F39" s="91">
        <v>0</v>
      </c>
      <c r="G39" s="85">
        <v>6</v>
      </c>
      <c r="H39" s="63"/>
      <c r="I39" s="31">
        <f>G18-SUMIF(E40:E48,"&lt;="&amp;G35,I40:I48)</f>
        <v>822890.05563794612</v>
      </c>
      <c r="J39" s="114">
        <f ca="1">IFERROR(IF(E39&lt;=G35,IF(G36="No",IF(I26=0,J18/SUMPRODUCT(O39:O48,I39:I48),(J18-I26)/SUMPRODUCT(O39:O48,I39:I48)),0),0),0)</f>
        <v>7.1277396182581754</v>
      </c>
      <c r="K39" s="26">
        <f t="shared" ref="K39:K48" ca="1" si="0">IFERROR(J39*I39,"")</f>
        <v>5865346.0510412632</v>
      </c>
      <c r="L39" s="125"/>
      <c r="M39" s="125"/>
      <c r="O39" s="92">
        <f>IF(E39&lt;=$G$35,1,0)</f>
        <v>1</v>
      </c>
      <c r="Q39" s="126">
        <v>1</v>
      </c>
      <c r="R39" s="143"/>
      <c r="S39" s="144"/>
      <c r="T39" s="145"/>
      <c r="U39" s="144"/>
    </row>
    <row r="40" spans="1:21" s="126" customFormat="1" x14ac:dyDescent="0.55000000000000004">
      <c r="A40" s="117"/>
      <c r="B40"/>
      <c r="C40" s="124"/>
      <c r="D40" s="124"/>
      <c r="E40" s="89">
        <f t="shared" ref="E40:E48" si="1">IF($G$35&gt;=Q40,Q40,"")</f>
        <v>2</v>
      </c>
      <c r="F40" s="91">
        <f t="shared" ref="F40:F48" si="2">IF($G$35&gt;=E40,G39+0.01,"")</f>
        <v>6.01</v>
      </c>
      <c r="G40" s="85">
        <v>15</v>
      </c>
      <c r="H40" s="61">
        <v>0.18975650713685976</v>
      </c>
      <c r="I40" s="13">
        <v>581808.77367761463</v>
      </c>
      <c r="J40" s="114">
        <f ca="1">IFERROR(IF(E40&lt;=G35,IF(G36="No",J39*(1+H40),IF(I26=0,J18/SUMPRODUCT(P40:P48,I40:I48),(J18-I26)/SUMPRODUCT(P40:P48,I40:I48))),0),0)</f>
        <v>8.4802745919998603</v>
      </c>
      <c r="K40" s="26">
        <f t="shared" ca="1" si="0"/>
        <v>4933898.1608208725</v>
      </c>
      <c r="L40" s="125"/>
      <c r="M40" s="125"/>
      <c r="O40" s="92">
        <f>IF(E40&lt;=$G$35,(1+H40),0)</f>
        <v>1.1897565071368597</v>
      </c>
      <c r="P40" s="92">
        <f>IF(E40&lt;=G35,1,0)</f>
        <v>1</v>
      </c>
      <c r="Q40" s="126">
        <v>2</v>
      </c>
      <c r="R40" s="143"/>
      <c r="S40" s="144"/>
      <c r="T40" s="146"/>
      <c r="U40" s="144"/>
    </row>
    <row r="41" spans="1:21" s="126" customFormat="1" x14ac:dyDescent="0.55000000000000004">
      <c r="A41" s="117"/>
      <c r="B41"/>
      <c r="C41" s="124"/>
      <c r="D41" s="124"/>
      <c r="E41" s="89">
        <f t="shared" si="1"/>
        <v>3</v>
      </c>
      <c r="F41" s="91">
        <f t="shared" si="2"/>
        <v>15.01</v>
      </c>
      <c r="G41" s="85">
        <v>30</v>
      </c>
      <c r="H41" s="61">
        <v>1.0677487649964714</v>
      </c>
      <c r="I41" s="13">
        <v>274310.63654411671</v>
      </c>
      <c r="J41" s="114">
        <f ca="1">IF(E41&lt;=G35,J40*(1+H41),0)</f>
        <v>17.535077314438666</v>
      </c>
      <c r="K41" s="26">
        <f t="shared" ca="1" si="0"/>
        <v>4810058.2199739711</v>
      </c>
      <c r="L41" s="125"/>
      <c r="M41" s="125"/>
      <c r="O41" s="92">
        <f t="shared" ref="O41:O48" si="3">IF(E41&lt;=$G$35,O40*(1+H41),0)</f>
        <v>2.4601175482787569</v>
      </c>
      <c r="P41" s="92">
        <f>IF(E41&lt;=G35,P40*(1+H41),0)</f>
        <v>2.0677487649964714</v>
      </c>
      <c r="Q41" s="126">
        <v>3</v>
      </c>
      <c r="R41" s="143"/>
      <c r="S41" s="144"/>
      <c r="T41" s="146"/>
      <c r="U41" s="144"/>
    </row>
    <row r="42" spans="1:21" s="126" customFormat="1" x14ac:dyDescent="0.55000000000000004">
      <c r="A42" s="117"/>
      <c r="B42"/>
      <c r="C42" s="124"/>
      <c r="D42" s="124"/>
      <c r="E42" s="89">
        <f t="shared" si="1"/>
        <v>4</v>
      </c>
      <c r="F42" s="91">
        <f t="shared" si="2"/>
        <v>30.01</v>
      </c>
      <c r="G42" s="85">
        <v>40</v>
      </c>
      <c r="H42" s="61">
        <v>0.24948805460750847</v>
      </c>
      <c r="I42" s="13">
        <v>60298.242986363584</v>
      </c>
      <c r="J42" s="114">
        <f ca="1">IF(E42&lt;=G35,J41*(1+H42),0)</f>
        <v>21.909869641010221</v>
      </c>
      <c r="K42" s="26">
        <f t="shared" ca="1" si="0"/>
        <v>1321126.6434131849</v>
      </c>
      <c r="L42" s="125"/>
      <c r="M42" s="125"/>
      <c r="O42" s="92">
        <f t="shared" si="3"/>
        <v>3.0738874895046173</v>
      </c>
      <c r="P42" s="92">
        <f>IF(E42&lt;=G35,P41*(1+H42),0)</f>
        <v>2.5836273817925193</v>
      </c>
      <c r="Q42" s="126">
        <v>4</v>
      </c>
      <c r="R42" s="143"/>
      <c r="S42" s="144"/>
      <c r="T42" s="146"/>
      <c r="U42" s="144"/>
    </row>
    <row r="43" spans="1:21" s="126" customFormat="1" x14ac:dyDescent="0.55000000000000004">
      <c r="A43" s="117"/>
      <c r="B43"/>
      <c r="C43" s="124"/>
      <c r="D43" s="124"/>
      <c r="E43" s="89">
        <v>5</v>
      </c>
      <c r="F43" s="91">
        <f>IF($G$35&gt;=E43,G42+0.01,"")</f>
        <v>40.01</v>
      </c>
      <c r="G43" s="85" t="s">
        <v>1669</v>
      </c>
      <c r="H43" s="61">
        <v>0.32067741054356741</v>
      </c>
      <c r="I43" s="13">
        <v>164379.54415395879</v>
      </c>
      <c r="J43" s="114">
        <f ca="1">IF(E43&lt;=G35,J42*(1+H43),0)</f>
        <v>28.935869902836501</v>
      </c>
      <c r="K43" s="26">
        <f t="shared" ca="1" si="0"/>
        <v>4756465.1043265201</v>
      </c>
      <c r="L43" s="125"/>
      <c r="M43" s="125"/>
      <c r="O43" s="92">
        <f t="shared" si="3"/>
        <v>4.0596137699412251</v>
      </c>
      <c r="P43" s="92">
        <f>IF(E43&lt;=G35,P42*(1+H43),0)</f>
        <v>3.4121383203952012</v>
      </c>
      <c r="Q43" s="126">
        <v>5</v>
      </c>
      <c r="R43" s="143"/>
      <c r="S43" s="144"/>
      <c r="T43" s="146"/>
      <c r="U43" s="144"/>
    </row>
    <row r="44" spans="1:21" s="126" customFormat="1" x14ac:dyDescent="0.55000000000000004">
      <c r="A44" s="117"/>
      <c r="B44"/>
      <c r="C44" s="124"/>
      <c r="D44" s="124"/>
      <c r="E44" s="89" t="str">
        <f t="shared" si="1"/>
        <v/>
      </c>
      <c r="F44" s="91" t="str">
        <f t="shared" si="2"/>
        <v/>
      </c>
      <c r="G44" s="86"/>
      <c r="H44" s="61"/>
      <c r="I44" s="13"/>
      <c r="J44" s="114">
        <f>IF(E44&lt;=G35,J43*(1+H44),0)</f>
        <v>0</v>
      </c>
      <c r="K44" s="26">
        <f t="shared" si="0"/>
        <v>0</v>
      </c>
      <c r="L44" s="125"/>
      <c r="M44" s="125"/>
      <c r="O44" s="92">
        <f t="shared" si="3"/>
        <v>0</v>
      </c>
      <c r="P44" s="92">
        <f>IF(E44&lt;=G35,P43*(1+H44),0)</f>
        <v>0</v>
      </c>
      <c r="Q44" s="126">
        <v>6</v>
      </c>
      <c r="R44" s="143"/>
      <c r="S44" s="144"/>
      <c r="T44" s="146"/>
      <c r="U44" s="144"/>
    </row>
    <row r="45" spans="1:21" s="126" customFormat="1" x14ac:dyDescent="0.55000000000000004">
      <c r="A45" s="117"/>
      <c r="B45"/>
      <c r="C45" s="124"/>
      <c r="D45" s="124"/>
      <c r="E45" s="89" t="str">
        <f t="shared" si="1"/>
        <v/>
      </c>
      <c r="F45" s="91" t="str">
        <f t="shared" si="2"/>
        <v/>
      </c>
      <c r="G45" s="87"/>
      <c r="H45" s="61"/>
      <c r="I45" s="13"/>
      <c r="J45" s="114">
        <f>IF(E45&lt;=G35,J44*(1+H45),0)</f>
        <v>0</v>
      </c>
      <c r="K45" s="26">
        <f t="shared" si="0"/>
        <v>0</v>
      </c>
      <c r="L45" s="125"/>
      <c r="M45" s="125"/>
      <c r="O45" s="92">
        <f t="shared" si="3"/>
        <v>0</v>
      </c>
      <c r="P45" s="92">
        <f>IF(E45&lt;=G35,P44*(1+H45),0)</f>
        <v>0</v>
      </c>
      <c r="Q45" s="126">
        <v>7</v>
      </c>
      <c r="R45" s="10"/>
      <c r="S45" s="147"/>
      <c r="T45" s="147"/>
      <c r="U45" s="147"/>
    </row>
    <row r="46" spans="1:21" s="126" customFormat="1" x14ac:dyDescent="0.55000000000000004">
      <c r="A46" s="117"/>
      <c r="B46"/>
      <c r="C46" s="124"/>
      <c r="D46" s="124"/>
      <c r="E46" s="89" t="str">
        <f t="shared" si="1"/>
        <v/>
      </c>
      <c r="F46" s="91" t="str">
        <f t="shared" si="2"/>
        <v/>
      </c>
      <c r="G46" s="87"/>
      <c r="H46" s="61"/>
      <c r="I46" s="13"/>
      <c r="J46" s="114">
        <f>IF(E46&lt;=G35,J45*(1+H46),0)</f>
        <v>0</v>
      </c>
      <c r="K46" s="26">
        <f t="shared" si="0"/>
        <v>0</v>
      </c>
      <c r="L46" s="125"/>
      <c r="M46" s="125"/>
      <c r="O46" s="92">
        <f t="shared" si="3"/>
        <v>0</v>
      </c>
      <c r="P46" s="92">
        <f>IF(E46&lt;=G35,P45*(1+H46),0)</f>
        <v>0</v>
      </c>
      <c r="Q46" s="126">
        <v>8</v>
      </c>
      <c r="R46" s="10"/>
    </row>
    <row r="47" spans="1:21" s="126" customFormat="1" x14ac:dyDescent="0.55000000000000004">
      <c r="A47" s="117"/>
      <c r="B47"/>
      <c r="C47" s="124"/>
      <c r="D47" s="124"/>
      <c r="E47" s="89" t="str">
        <f t="shared" si="1"/>
        <v/>
      </c>
      <c r="F47" s="91" t="str">
        <f t="shared" si="2"/>
        <v/>
      </c>
      <c r="G47" s="87"/>
      <c r="H47" s="61"/>
      <c r="I47" s="13"/>
      <c r="J47" s="114">
        <f>IF(E47&lt;=G35,J46*(1+H47),0)</f>
        <v>0</v>
      </c>
      <c r="K47" s="26">
        <f t="shared" si="0"/>
        <v>0</v>
      </c>
      <c r="L47" s="125"/>
      <c r="M47" s="125"/>
      <c r="O47" s="92">
        <f t="shared" si="3"/>
        <v>0</v>
      </c>
      <c r="P47" s="92">
        <f>IF(E47&lt;=G35,P46*(1+H47),0)</f>
        <v>0</v>
      </c>
      <c r="Q47" s="126">
        <v>9</v>
      </c>
      <c r="R47" s="10"/>
    </row>
    <row r="48" spans="1:21" s="126" customFormat="1" x14ac:dyDescent="0.55000000000000004">
      <c r="A48" s="117"/>
      <c r="B48"/>
      <c r="C48" s="124"/>
      <c r="D48" s="124"/>
      <c r="E48" s="89" t="str">
        <f t="shared" si="1"/>
        <v/>
      </c>
      <c r="F48" s="91" t="str">
        <f t="shared" si="2"/>
        <v/>
      </c>
      <c r="G48" s="148" t="s">
        <v>84</v>
      </c>
      <c r="H48" s="50"/>
      <c r="I48" s="88"/>
      <c r="J48" s="114">
        <f>IF(E48&lt;=G35,J47*(1+H48),0)</f>
        <v>0</v>
      </c>
      <c r="K48" s="26">
        <f t="shared" si="0"/>
        <v>0</v>
      </c>
      <c r="L48" s="125"/>
      <c r="M48" s="125"/>
      <c r="O48" s="92">
        <f t="shared" si="3"/>
        <v>0</v>
      </c>
      <c r="P48" s="92">
        <f>IF(E48&lt;=G35,P47*(1+H48),0)</f>
        <v>0</v>
      </c>
      <c r="Q48" s="126">
        <v>10</v>
      </c>
      <c r="R48" s="10"/>
    </row>
    <row r="49" spans="3:26" ht="14.7" thickBot="1" x14ac:dyDescent="0.6">
      <c r="C49" s="124"/>
      <c r="D49" s="130"/>
      <c r="E49" s="149"/>
      <c r="F49" s="150"/>
      <c r="G49" s="149"/>
      <c r="H49" s="151"/>
      <c r="I49" s="152"/>
      <c r="J49" s="153"/>
      <c r="K49" s="131"/>
      <c r="L49" s="154"/>
      <c r="M49" s="125"/>
      <c r="N49" s="126"/>
      <c r="O49" s="126"/>
      <c r="P49" s="126"/>
      <c r="Q49" s="126"/>
      <c r="S49" s="126"/>
      <c r="T49" s="126"/>
      <c r="U49" s="126"/>
      <c r="V49" s="126"/>
      <c r="W49" s="126"/>
      <c r="X49" s="126"/>
      <c r="Y49" s="126"/>
      <c r="Z49" s="126"/>
    </row>
    <row r="50" spans="3:26" ht="14.7" thickBot="1" x14ac:dyDescent="0.6">
      <c r="C50" s="130"/>
      <c r="D50" s="131"/>
      <c r="E50" s="131"/>
      <c r="F50" s="131"/>
      <c r="G50" s="131"/>
      <c r="H50" s="131"/>
      <c r="I50" s="131"/>
      <c r="J50" s="131"/>
      <c r="K50" s="131"/>
      <c r="L50" s="131"/>
      <c r="M50" s="132"/>
      <c r="N50" s="126"/>
      <c r="O50" s="126"/>
      <c r="P50" s="126"/>
      <c r="Q50" s="126"/>
      <c r="S50" s="126"/>
      <c r="T50" s="126"/>
      <c r="U50" s="126"/>
      <c r="V50" s="126"/>
      <c r="W50" s="126"/>
      <c r="X50" s="126"/>
      <c r="Y50" s="126"/>
      <c r="Z50" s="126"/>
    </row>
    <row r="51" spans="3:26" ht="14.7" thickBot="1" x14ac:dyDescent="0.6">
      <c r="N51" s="126"/>
      <c r="O51" s="126"/>
      <c r="P51" s="126"/>
      <c r="Q51" s="126"/>
      <c r="R51" s="126"/>
      <c r="S51" s="126"/>
      <c r="T51" s="126"/>
      <c r="U51" s="126"/>
      <c r="V51" s="126"/>
      <c r="W51" s="126"/>
      <c r="X51" s="126"/>
      <c r="Y51" s="126"/>
      <c r="Z51" s="126"/>
    </row>
    <row r="52" spans="3:26" x14ac:dyDescent="0.55000000000000004">
      <c r="C52" s="121"/>
      <c r="D52" s="122"/>
      <c r="E52" s="122"/>
      <c r="F52" s="122"/>
      <c r="G52" s="122"/>
      <c r="H52" s="122"/>
      <c r="I52" s="122"/>
      <c r="J52" s="122"/>
      <c r="K52" s="122"/>
      <c r="L52" s="122"/>
      <c r="M52" s="123"/>
      <c r="O52" s="126"/>
      <c r="P52" s="126"/>
      <c r="Q52" s="126"/>
    </row>
    <row r="53" spans="3:26" ht="18.3" x14ac:dyDescent="0.7">
      <c r="C53" s="124"/>
      <c r="D53" s="1822" t="str">
        <f>'2 Customer data'!D22</f>
        <v>Domestic: Prepaid</v>
      </c>
      <c r="E53" s="1822"/>
      <c r="F53" s="1822"/>
      <c r="G53" s="1822"/>
      <c r="H53" s="1822"/>
      <c r="I53" s="1822"/>
      <c r="J53" s="1822"/>
      <c r="K53" s="1822"/>
      <c r="L53" s="1822"/>
      <c r="M53" s="125"/>
      <c r="O53" s="126"/>
      <c r="P53" s="126"/>
      <c r="Q53" s="126"/>
    </row>
    <row r="54" spans="3:26" ht="14.7" thickBot="1" x14ac:dyDescent="0.6">
      <c r="C54" s="124"/>
      <c r="E54" s="1"/>
      <c r="M54" s="125"/>
      <c r="O54" s="126"/>
      <c r="P54" s="126"/>
      <c r="Q54" s="126"/>
    </row>
    <row r="55" spans="3:26" x14ac:dyDescent="0.55000000000000004">
      <c r="C55" s="124"/>
      <c r="D55" s="121"/>
      <c r="E55" s="122"/>
      <c r="F55" s="122"/>
      <c r="G55" s="122"/>
      <c r="H55" s="122"/>
      <c r="I55" s="122"/>
      <c r="J55" s="122"/>
      <c r="K55" s="122"/>
      <c r="L55" s="123"/>
      <c r="M55" s="125"/>
      <c r="O55" s="126"/>
      <c r="P55" s="126"/>
      <c r="Q55" s="126"/>
    </row>
    <row r="56" spans="3:26" x14ac:dyDescent="0.55000000000000004">
      <c r="C56" s="124"/>
      <c r="D56" s="124"/>
      <c r="E56" s="1" t="str">
        <f>'2 Customer data'!D22&amp;" "&amp;"information"</f>
        <v>Domestic: Prepaid information</v>
      </c>
      <c r="L56" s="125"/>
      <c r="M56" s="125"/>
      <c r="O56" s="126"/>
      <c r="P56" s="126"/>
      <c r="Q56" s="126"/>
    </row>
    <row r="57" spans="3:26" x14ac:dyDescent="0.55000000000000004">
      <c r="C57" s="124"/>
      <c r="D57" s="124"/>
      <c r="E57" s="127"/>
      <c r="L57" s="125"/>
      <c r="M57" s="125"/>
      <c r="O57" s="126"/>
      <c r="P57" s="126"/>
      <c r="Q57" s="126"/>
    </row>
    <row r="58" spans="3:26" ht="28.8" x14ac:dyDescent="0.55000000000000004">
      <c r="C58" s="124"/>
      <c r="D58" s="124"/>
      <c r="E58" s="128"/>
      <c r="F58" s="56" t="s">
        <v>28</v>
      </c>
      <c r="G58" s="129" t="s">
        <v>278</v>
      </c>
      <c r="H58" s="129" t="s">
        <v>69</v>
      </c>
      <c r="I58" s="129" t="s">
        <v>70</v>
      </c>
      <c r="J58" s="56" t="s">
        <v>71</v>
      </c>
      <c r="L58" s="125"/>
      <c r="M58" s="125"/>
      <c r="O58" s="126"/>
      <c r="P58" s="126"/>
      <c r="Q58" s="126"/>
    </row>
    <row r="59" spans="3:26" x14ac:dyDescent="0.55000000000000004">
      <c r="C59" s="124"/>
      <c r="D59" s="124"/>
      <c r="E59" t="str">
        <f>'2 Customer data'!D22</f>
        <v>Domestic: Prepaid</v>
      </c>
      <c r="F59" s="26">
        <f>IFERROR(IF(VLOOKUP(E59,'2 Customer data'!$D$21:$L$40,6,FALSE)="",VLOOKUP(E59,'2 Customer data'!$D$21:$L$40,5,FALSE),VLOOKUP(E59,'2 Customer data'!$D$21:$L$40,6,FALSE)),0)</f>
        <v>1873.2479999999998</v>
      </c>
      <c r="G59" s="26">
        <f>IFERROR(IF(VLOOKUP(E59,'2 Customer data'!$D$21:$K$40,8,FALSE)="",VLOOKUP(E59,'2 Customer data'!$D$21:$K$40,7,FALSE),VLOOKUP(E59,'2 Customer data'!$D$21:$K$40,8,FALSE)),0)</f>
        <v>179831.80799999999</v>
      </c>
      <c r="H59" s="26">
        <f ca="1">VLOOKUP(E59,'2 Water'!$D$19:$J$38,5,FALSE)</f>
        <v>6604146.1043361053</v>
      </c>
      <c r="I59" s="26">
        <f ca="1">VLOOKUP(E59,'2 Water'!$D$19:$J$38,6,FALSE)</f>
        <v>4140070.1065891962</v>
      </c>
      <c r="J59" s="26">
        <f ca="1">IFERROR(VLOOKUP(E59,'2 Water'!$D$158:$K$177,8,FALSE),0)</f>
        <v>8338172.6170241553</v>
      </c>
      <c r="L59" s="125"/>
      <c r="M59" s="125"/>
      <c r="O59" s="126"/>
      <c r="P59" s="126"/>
      <c r="Q59" s="126"/>
    </row>
    <row r="60" spans="3:26" ht="14.7" thickBot="1" x14ac:dyDescent="0.6">
      <c r="C60" s="124"/>
      <c r="D60" s="130"/>
      <c r="E60" s="131"/>
      <c r="F60" s="131"/>
      <c r="G60" s="131"/>
      <c r="H60" s="131"/>
      <c r="I60" s="131"/>
      <c r="J60" s="131"/>
      <c r="K60" s="131"/>
      <c r="L60" s="132"/>
      <c r="M60" s="125"/>
      <c r="O60" s="126"/>
      <c r="P60" s="126"/>
      <c r="Q60" s="126"/>
    </row>
    <row r="61" spans="3:26" ht="14.7" thickBot="1" x14ac:dyDescent="0.6">
      <c r="C61" s="124"/>
      <c r="M61" s="125"/>
      <c r="O61" s="126"/>
      <c r="P61" s="126"/>
      <c r="Q61" s="126"/>
    </row>
    <row r="62" spans="3:26" x14ac:dyDescent="0.55000000000000004">
      <c r="C62" s="124"/>
      <c r="D62" s="121"/>
      <c r="E62" s="122"/>
      <c r="F62" s="122"/>
      <c r="G62" s="122"/>
      <c r="H62" s="122"/>
      <c r="I62" s="122"/>
      <c r="J62" s="122"/>
      <c r="K62" s="122"/>
      <c r="L62" s="123"/>
      <c r="M62" s="125"/>
      <c r="O62" s="126"/>
      <c r="P62" s="126"/>
      <c r="Q62" s="126"/>
    </row>
    <row r="63" spans="3:26" x14ac:dyDescent="0.55000000000000004">
      <c r="C63" s="124"/>
      <c r="D63" s="124"/>
      <c r="E63" s="1" t="s">
        <v>72</v>
      </c>
      <c r="L63" s="125"/>
      <c r="M63" s="125"/>
      <c r="O63" s="126"/>
      <c r="P63" s="126"/>
      <c r="Q63" s="126"/>
    </row>
    <row r="64" spans="3:26" x14ac:dyDescent="0.55000000000000004">
      <c r="C64" s="124"/>
      <c r="D64" s="124"/>
      <c r="E64" s="120" t="s">
        <v>555</v>
      </c>
      <c r="L64" s="125"/>
      <c r="M64" s="125"/>
      <c r="O64" s="126"/>
      <c r="P64" s="126"/>
      <c r="Q64" s="126"/>
    </row>
    <row r="65" spans="3:17" x14ac:dyDescent="0.55000000000000004">
      <c r="C65" s="124"/>
      <c r="D65" s="124"/>
      <c r="E65" s="127"/>
      <c r="L65" s="125"/>
      <c r="M65" s="125"/>
      <c r="O65" s="126"/>
      <c r="P65" s="126"/>
      <c r="Q65" s="126"/>
    </row>
    <row r="66" spans="3:17" ht="28.8" x14ac:dyDescent="0.55000000000000004">
      <c r="C66" s="124"/>
      <c r="D66" s="124"/>
      <c r="F66" s="56" t="s">
        <v>86</v>
      </c>
      <c r="G66" s="56" t="s">
        <v>331</v>
      </c>
      <c r="H66" s="56" t="s">
        <v>74</v>
      </c>
      <c r="I66" s="56" t="s">
        <v>75</v>
      </c>
      <c r="J66" s="56" t="s">
        <v>76</v>
      </c>
      <c r="L66" s="125"/>
      <c r="M66" s="125"/>
      <c r="O66" s="126"/>
      <c r="P66" s="126"/>
      <c r="Q66" s="126"/>
    </row>
    <row r="67" spans="3:17" x14ac:dyDescent="0.55000000000000004">
      <c r="C67" s="124"/>
      <c r="D67" s="124"/>
      <c r="E67" t="str">
        <f>E59</f>
        <v>Domestic: Prepaid</v>
      </c>
      <c r="F67" s="26">
        <f ca="1">H59</f>
        <v>6604146.1043361053</v>
      </c>
      <c r="G67" s="64">
        <f ca="1">IFERROR(F67/F59/12,0)</f>
        <v>293.79212399782381</v>
      </c>
      <c r="H67" s="84">
        <f ca="1">G67</f>
        <v>293.79212399782381</v>
      </c>
      <c r="I67" s="26">
        <f ca="1">H67*F59*12</f>
        <v>6604146.1043361053</v>
      </c>
      <c r="J67" s="21">
        <f ca="1">IFERROR(I67/12,0)</f>
        <v>550345.5086946754</v>
      </c>
      <c r="L67" s="125"/>
      <c r="M67" s="125"/>
      <c r="O67" s="126"/>
      <c r="P67" s="126"/>
      <c r="Q67" s="126"/>
    </row>
    <row r="68" spans="3:17" x14ac:dyDescent="0.55000000000000004">
      <c r="C68" s="124"/>
      <c r="D68" s="124"/>
      <c r="E68" s="133"/>
      <c r="F68" s="58" t="str">
        <f ca="1">IF(I67&gt;J59,"Error: revenue from fixed charges exceeds total revenue required from tariff. Reduce fixed charge.","")</f>
        <v/>
      </c>
      <c r="G68" s="134"/>
      <c r="H68" s="134"/>
      <c r="I68" s="134"/>
      <c r="J68" s="135"/>
      <c r="L68" s="125"/>
      <c r="M68" s="125"/>
      <c r="O68" s="126"/>
      <c r="P68" s="126"/>
      <c r="Q68" s="126"/>
    </row>
    <row r="69" spans="3:17" ht="14.7" thickBot="1" x14ac:dyDescent="0.6">
      <c r="C69" s="124"/>
      <c r="D69" s="130"/>
      <c r="E69" s="131"/>
      <c r="F69" s="131"/>
      <c r="G69" s="131"/>
      <c r="H69" s="131"/>
      <c r="I69" s="131"/>
      <c r="J69" s="131"/>
      <c r="K69" s="131"/>
      <c r="L69" s="132"/>
      <c r="M69" s="125"/>
      <c r="O69" s="126"/>
      <c r="P69" s="126"/>
      <c r="Q69" s="126"/>
    </row>
    <row r="70" spans="3:17" ht="14.7" thickBot="1" x14ac:dyDescent="0.6">
      <c r="C70" s="124"/>
      <c r="M70" s="125"/>
      <c r="O70" s="126"/>
      <c r="P70" s="126"/>
      <c r="Q70" s="126"/>
    </row>
    <row r="71" spans="3:17" x14ac:dyDescent="0.55000000000000004">
      <c r="C71" s="124"/>
      <c r="D71" s="121"/>
      <c r="E71" s="122"/>
      <c r="F71" s="122"/>
      <c r="G71" s="122"/>
      <c r="H71" s="122"/>
      <c r="I71" s="122"/>
      <c r="J71" s="122"/>
      <c r="K71" s="122"/>
      <c r="L71" s="123"/>
      <c r="M71" s="125"/>
      <c r="O71" s="126"/>
      <c r="P71" s="126"/>
      <c r="Q71" s="126"/>
    </row>
    <row r="72" spans="3:17" x14ac:dyDescent="0.55000000000000004">
      <c r="C72" s="124"/>
      <c r="D72" s="124"/>
      <c r="E72" s="1" t="s">
        <v>96</v>
      </c>
      <c r="L72" s="125"/>
      <c r="M72" s="125"/>
      <c r="O72" s="126"/>
      <c r="P72" s="126"/>
      <c r="Q72" s="126"/>
    </row>
    <row r="73" spans="3:17" ht="14.55" customHeight="1" x14ac:dyDescent="0.55000000000000004">
      <c r="C73" s="124"/>
      <c r="D73" s="124"/>
      <c r="E73" s="1804" t="s">
        <v>451</v>
      </c>
      <c r="F73" s="1804"/>
      <c r="G73" s="1804"/>
      <c r="H73" s="1804"/>
      <c r="I73" s="1804"/>
      <c r="J73" s="1804"/>
      <c r="K73" s="1804"/>
      <c r="L73" s="136"/>
      <c r="M73" s="136"/>
      <c r="O73" s="126"/>
      <c r="P73" s="126"/>
      <c r="Q73" s="126"/>
    </row>
    <row r="74" spans="3:17" x14ac:dyDescent="0.55000000000000004">
      <c r="C74" s="124"/>
      <c r="D74" s="124"/>
      <c r="E74" s="1804"/>
      <c r="F74" s="1804"/>
      <c r="G74" s="1804"/>
      <c r="H74" s="1804"/>
      <c r="I74" s="1804"/>
      <c r="J74" s="1804"/>
      <c r="K74" s="1804"/>
      <c r="L74" s="136"/>
      <c r="M74" s="136"/>
      <c r="O74" s="126"/>
      <c r="P74" s="126"/>
      <c r="Q74" s="126"/>
    </row>
    <row r="75" spans="3:17" x14ac:dyDescent="0.55000000000000004">
      <c r="C75" s="124"/>
      <c r="D75" s="124"/>
      <c r="L75" s="125"/>
      <c r="M75" s="125"/>
      <c r="O75" s="126"/>
      <c r="P75" s="126"/>
      <c r="Q75" s="126"/>
    </row>
    <row r="76" spans="3:17" x14ac:dyDescent="0.55000000000000004">
      <c r="C76" s="124"/>
      <c r="D76" s="124"/>
      <c r="E76" t="s">
        <v>77</v>
      </c>
      <c r="G76" s="50">
        <v>1</v>
      </c>
      <c r="L76" s="125"/>
      <c r="M76" s="125"/>
      <c r="O76" s="126"/>
      <c r="P76" s="126"/>
      <c r="Q76" s="126"/>
    </row>
    <row r="77" spans="3:17" x14ac:dyDescent="0.55000000000000004">
      <c r="C77" s="124"/>
      <c r="D77" s="124"/>
      <c r="E77" s="10" t="s">
        <v>612</v>
      </c>
      <c r="G77" s="159" t="s">
        <v>578</v>
      </c>
      <c r="L77" s="125"/>
      <c r="M77" s="125"/>
      <c r="O77" s="126"/>
      <c r="P77" s="126"/>
      <c r="Q77" s="126"/>
    </row>
    <row r="78" spans="3:17" x14ac:dyDescent="0.55000000000000004">
      <c r="C78" s="124"/>
      <c r="D78" s="124"/>
      <c r="L78" s="125"/>
      <c r="M78" s="125"/>
      <c r="O78" s="126"/>
      <c r="P78" s="126"/>
      <c r="Q78" s="126"/>
    </row>
    <row r="79" spans="3:17" ht="28.8" x14ac:dyDescent="0.55000000000000004">
      <c r="C79" s="124"/>
      <c r="D79" s="124"/>
      <c r="E79" s="129" t="s">
        <v>78</v>
      </c>
      <c r="F79" s="129" t="s">
        <v>79</v>
      </c>
      <c r="G79" s="139" t="s">
        <v>80</v>
      </c>
      <c r="H79" s="129" t="s">
        <v>333</v>
      </c>
      <c r="I79" s="56" t="s">
        <v>82</v>
      </c>
      <c r="J79" s="129" t="s">
        <v>81</v>
      </c>
      <c r="K79" s="56" t="s">
        <v>83</v>
      </c>
      <c r="L79" s="125"/>
      <c r="M79" s="125"/>
      <c r="O79" s="126" t="s">
        <v>614</v>
      </c>
      <c r="P79" s="126" t="s">
        <v>615</v>
      </c>
      <c r="Q79" s="126"/>
    </row>
    <row r="80" spans="3:17" x14ac:dyDescent="0.55000000000000004">
      <c r="C80" s="124"/>
      <c r="D80" s="124"/>
      <c r="E80" s="89">
        <f>IF($G$76=Q80,Q80,1)</f>
        <v>1</v>
      </c>
      <c r="F80" s="91">
        <v>0</v>
      </c>
      <c r="G80" s="85"/>
      <c r="H80" s="63"/>
      <c r="I80" s="31">
        <f>G59-SUMIF(E81:E89,"&lt;="&amp;$G$76,I81:I89)</f>
        <v>179831.80799999999</v>
      </c>
      <c r="J80" s="114">
        <f ca="1">IFERROR(IF(E80&lt;=G76,IF(G77="No",IF(I67=0,J59/SUMPRODUCT(O80:O89,I80:I89),(J59-I67)/SUMPRODUCT(O80:O89,I80:I89)),0),0),0)</f>
        <v>9.6424905692326135</v>
      </c>
      <c r="K80" s="26">
        <f t="shared" ref="K80:K89" ca="1" si="4">IFERROR(J80*I80,"")</f>
        <v>1734026.51268805</v>
      </c>
      <c r="L80" s="125"/>
      <c r="M80" s="125"/>
      <c r="O80" s="92">
        <f>IF(E80&lt;=$G$76,1,0)</f>
        <v>1</v>
      </c>
      <c r="P80" s="126"/>
      <c r="Q80" s="126">
        <v>1</v>
      </c>
    </row>
    <row r="81" spans="3:17" x14ac:dyDescent="0.55000000000000004">
      <c r="C81" s="124"/>
      <c r="D81" s="124"/>
      <c r="E81" s="89" t="str">
        <f t="shared" ref="E81:E89" si="5">IF($G$76&gt;=Q81,Q81,"")</f>
        <v/>
      </c>
      <c r="F81" s="91" t="str">
        <f t="shared" ref="F81:F89" si="6">IF($G$76&gt;=E81,G80+0.01,"")</f>
        <v/>
      </c>
      <c r="G81" s="85"/>
      <c r="H81" s="61"/>
      <c r="I81" s="13"/>
      <c r="J81" s="114">
        <f>IFERROR(IF(E81&lt;=G76,IF(G77="No",J80*(1+H81),IF(I67=0,J59/SUMPRODUCT(P81:P89,I81:I89),(J59-I67)/SUMPRODUCT(P81:P89,I81:I89))),0),0)</f>
        <v>0</v>
      </c>
      <c r="K81" s="26">
        <f t="shared" si="4"/>
        <v>0</v>
      </c>
      <c r="L81" s="125"/>
      <c r="M81" s="125"/>
      <c r="O81" s="92">
        <f>IF(E81&lt;=$G$76,(1+H81),0)</f>
        <v>0</v>
      </c>
      <c r="P81" s="92">
        <f>IF(E81&lt;=G76,1,0)</f>
        <v>0</v>
      </c>
      <c r="Q81" s="126">
        <v>2</v>
      </c>
    </row>
    <row r="82" spans="3:17" x14ac:dyDescent="0.55000000000000004">
      <c r="C82" s="124"/>
      <c r="D82" s="124"/>
      <c r="E82" s="89" t="str">
        <f t="shared" si="5"/>
        <v/>
      </c>
      <c r="F82" s="91" t="str">
        <f t="shared" si="6"/>
        <v/>
      </c>
      <c r="G82" s="85"/>
      <c r="H82" s="61"/>
      <c r="I82" s="13"/>
      <c r="J82" s="90">
        <f t="shared" ref="J82:J89" si="7">IF(E82&lt;=$G$76,J81*(1+H82),0)</f>
        <v>0</v>
      </c>
      <c r="K82" s="26">
        <f t="shared" si="4"/>
        <v>0</v>
      </c>
      <c r="L82" s="125"/>
      <c r="M82" s="125"/>
      <c r="O82" s="92">
        <f t="shared" ref="O82:O89" si="8">IF(E82&lt;=$G$76,O81*(1+H82),0)</f>
        <v>0</v>
      </c>
      <c r="P82" s="92">
        <f>IF(E82&lt;=G76,P81*(1+H82),0)</f>
        <v>0</v>
      </c>
      <c r="Q82" s="126">
        <v>3</v>
      </c>
    </row>
    <row r="83" spans="3:17" x14ac:dyDescent="0.55000000000000004">
      <c r="C83" s="124"/>
      <c r="D83" s="124"/>
      <c r="E83" s="89" t="str">
        <f t="shared" si="5"/>
        <v/>
      </c>
      <c r="F83" s="91" t="str">
        <f t="shared" si="6"/>
        <v/>
      </c>
      <c r="G83" s="85"/>
      <c r="H83" s="61"/>
      <c r="I83" s="13"/>
      <c r="J83" s="90">
        <f t="shared" si="7"/>
        <v>0</v>
      </c>
      <c r="K83" s="26">
        <f t="shared" si="4"/>
        <v>0</v>
      </c>
      <c r="L83" s="125"/>
      <c r="M83" s="125"/>
      <c r="O83" s="92">
        <f t="shared" si="8"/>
        <v>0</v>
      </c>
      <c r="P83" s="92">
        <f>IF(E83&lt;=G76,P82*(1+H83),0)</f>
        <v>0</v>
      </c>
      <c r="Q83" s="126">
        <v>4</v>
      </c>
    </row>
    <row r="84" spans="3:17" x14ac:dyDescent="0.55000000000000004">
      <c r="C84" s="124"/>
      <c r="D84" s="124"/>
      <c r="E84" s="89" t="str">
        <f t="shared" si="5"/>
        <v/>
      </c>
      <c r="F84" s="91" t="str">
        <f t="shared" si="6"/>
        <v/>
      </c>
      <c r="G84" s="85"/>
      <c r="H84" s="61"/>
      <c r="I84" s="13"/>
      <c r="J84" s="90">
        <f t="shared" si="7"/>
        <v>0</v>
      </c>
      <c r="K84" s="26">
        <f t="shared" si="4"/>
        <v>0</v>
      </c>
      <c r="L84" s="125"/>
      <c r="M84" s="125"/>
      <c r="O84" s="92">
        <f t="shared" si="8"/>
        <v>0</v>
      </c>
      <c r="P84" s="92">
        <f>IF(E84&lt;=G76,P83*(1+H84),0)</f>
        <v>0</v>
      </c>
      <c r="Q84" s="126">
        <v>5</v>
      </c>
    </row>
    <row r="85" spans="3:17" x14ac:dyDescent="0.55000000000000004">
      <c r="C85" s="124"/>
      <c r="D85" s="124"/>
      <c r="E85" s="89"/>
      <c r="F85" s="91"/>
      <c r="G85" s="86"/>
      <c r="H85" s="61"/>
      <c r="I85" s="13"/>
      <c r="J85" s="90">
        <f t="shared" si="7"/>
        <v>0</v>
      </c>
      <c r="K85" s="26">
        <f t="shared" si="4"/>
        <v>0</v>
      </c>
      <c r="L85" s="125"/>
      <c r="M85" s="125"/>
      <c r="O85" s="92">
        <f t="shared" si="8"/>
        <v>0</v>
      </c>
      <c r="P85" s="92">
        <f>IF(E85&lt;=G76,P84*(1+H85),0)</f>
        <v>0</v>
      </c>
      <c r="Q85" s="126">
        <v>6</v>
      </c>
    </row>
    <row r="86" spans="3:17" x14ac:dyDescent="0.55000000000000004">
      <c r="C86" s="124"/>
      <c r="D86" s="124"/>
      <c r="E86" s="89" t="str">
        <f t="shared" si="5"/>
        <v/>
      </c>
      <c r="F86" s="91" t="str">
        <f t="shared" si="6"/>
        <v/>
      </c>
      <c r="G86" s="87"/>
      <c r="H86" s="61"/>
      <c r="I86" s="13"/>
      <c r="J86" s="90">
        <f t="shared" si="7"/>
        <v>0</v>
      </c>
      <c r="K86" s="26">
        <f t="shared" si="4"/>
        <v>0</v>
      </c>
      <c r="L86" s="125"/>
      <c r="M86" s="125"/>
      <c r="O86" s="92">
        <f t="shared" si="8"/>
        <v>0</v>
      </c>
      <c r="P86" s="92">
        <f>IF(E86&lt;=G76,P85*(1+H86),0)</f>
        <v>0</v>
      </c>
      <c r="Q86" s="126">
        <v>7</v>
      </c>
    </row>
    <row r="87" spans="3:17" x14ac:dyDescent="0.55000000000000004">
      <c r="C87" s="124"/>
      <c r="D87" s="124"/>
      <c r="E87" s="89" t="str">
        <f t="shared" si="5"/>
        <v/>
      </c>
      <c r="F87" s="91" t="str">
        <f t="shared" si="6"/>
        <v/>
      </c>
      <c r="G87" s="87"/>
      <c r="H87" s="61"/>
      <c r="I87" s="13"/>
      <c r="J87" s="90">
        <f t="shared" si="7"/>
        <v>0</v>
      </c>
      <c r="K87" s="26">
        <f t="shared" si="4"/>
        <v>0</v>
      </c>
      <c r="L87" s="125"/>
      <c r="M87" s="125"/>
      <c r="O87" s="92">
        <f t="shared" si="8"/>
        <v>0</v>
      </c>
      <c r="P87" s="92">
        <f>IF(E87&lt;=G76,P86*(1+H87),0)</f>
        <v>0</v>
      </c>
      <c r="Q87" s="126">
        <v>8</v>
      </c>
    </row>
    <row r="88" spans="3:17" x14ac:dyDescent="0.55000000000000004">
      <c r="C88" s="124"/>
      <c r="D88" s="124"/>
      <c r="E88" s="89" t="str">
        <f t="shared" si="5"/>
        <v/>
      </c>
      <c r="F88" s="91" t="str">
        <f t="shared" si="6"/>
        <v/>
      </c>
      <c r="G88" s="87"/>
      <c r="H88" s="61"/>
      <c r="I88" s="13"/>
      <c r="J88" s="90">
        <f t="shared" si="7"/>
        <v>0</v>
      </c>
      <c r="K88" s="26">
        <f t="shared" si="4"/>
        <v>0</v>
      </c>
      <c r="L88" s="125"/>
      <c r="M88" s="125"/>
      <c r="O88" s="92">
        <f t="shared" si="8"/>
        <v>0</v>
      </c>
      <c r="P88" s="92">
        <f>IF(E88&lt;=G76,P87*(1+H88),0)</f>
        <v>0</v>
      </c>
      <c r="Q88" s="126">
        <v>9</v>
      </c>
    </row>
    <row r="89" spans="3:17" x14ac:dyDescent="0.55000000000000004">
      <c r="C89" s="124"/>
      <c r="D89" s="124"/>
      <c r="E89" s="89" t="str">
        <f t="shared" si="5"/>
        <v/>
      </c>
      <c r="F89" s="91" t="str">
        <f t="shared" si="6"/>
        <v/>
      </c>
      <c r="G89" s="148" t="s">
        <v>84</v>
      </c>
      <c r="H89" s="50"/>
      <c r="I89" s="88"/>
      <c r="J89" s="90">
        <f t="shared" si="7"/>
        <v>0</v>
      </c>
      <c r="K89" s="26">
        <f t="shared" si="4"/>
        <v>0</v>
      </c>
      <c r="L89" s="125"/>
      <c r="M89" s="125"/>
      <c r="O89" s="92">
        <f t="shared" si="8"/>
        <v>0</v>
      </c>
      <c r="P89" s="92">
        <f>IF(E89&lt;=G76,P88*(1+H89),0)</f>
        <v>0</v>
      </c>
      <c r="Q89" s="126">
        <v>10</v>
      </c>
    </row>
    <row r="90" spans="3:17" ht="14.7" thickBot="1" x14ac:dyDescent="0.6">
      <c r="C90" s="124"/>
      <c r="D90" s="130"/>
      <c r="E90" s="149"/>
      <c r="F90" s="150"/>
      <c r="G90" s="149"/>
      <c r="H90" s="151"/>
      <c r="I90" s="152"/>
      <c r="J90" s="153"/>
      <c r="K90" s="131"/>
      <c r="L90" s="154"/>
      <c r="M90" s="125"/>
      <c r="O90" s="126"/>
      <c r="P90" s="126"/>
      <c r="Q90" s="126"/>
    </row>
    <row r="91" spans="3:17" ht="14.7" thickBot="1" x14ac:dyDescent="0.6">
      <c r="C91" s="130"/>
      <c r="D91" s="131"/>
      <c r="E91" s="131"/>
      <c r="F91" s="131"/>
      <c r="G91" s="131"/>
      <c r="H91" s="131"/>
      <c r="I91" s="131"/>
      <c r="J91" s="131"/>
      <c r="K91" s="131"/>
      <c r="L91" s="131"/>
      <c r="M91" s="132"/>
      <c r="O91" s="126"/>
      <c r="P91" s="126"/>
      <c r="Q91" s="126"/>
    </row>
    <row r="92" spans="3:17" ht="14.7" thickBot="1" x14ac:dyDescent="0.6">
      <c r="O92" s="126"/>
      <c r="P92" s="126"/>
      <c r="Q92" s="126"/>
    </row>
    <row r="93" spans="3:17" x14ac:dyDescent="0.55000000000000004">
      <c r="C93" s="121"/>
      <c r="D93" s="122"/>
      <c r="E93" s="122"/>
      <c r="F93" s="122"/>
      <c r="G93" s="122"/>
      <c r="H93" s="122"/>
      <c r="I93" s="122"/>
      <c r="J93" s="122"/>
      <c r="K93" s="122"/>
      <c r="L93" s="122"/>
      <c r="M93" s="123"/>
      <c r="O93" s="126"/>
      <c r="P93" s="126"/>
      <c r="Q93" s="126"/>
    </row>
    <row r="94" spans="3:17" ht="18.3" x14ac:dyDescent="0.7">
      <c r="C94" s="124"/>
      <c r="D94" s="1822" t="str">
        <f>'2 Customer data'!D23</f>
        <v>Sport Clubs</v>
      </c>
      <c r="E94" s="1822"/>
      <c r="F94" s="1822"/>
      <c r="G94" s="1822"/>
      <c r="H94" s="1822"/>
      <c r="I94" s="1822"/>
      <c r="J94" s="1822"/>
      <c r="K94" s="1822"/>
      <c r="L94" s="1822"/>
      <c r="M94" s="125"/>
      <c r="O94" s="126"/>
      <c r="P94" s="126"/>
      <c r="Q94" s="126"/>
    </row>
    <row r="95" spans="3:17" ht="14.7" thickBot="1" x14ac:dyDescent="0.6">
      <c r="C95" s="124"/>
      <c r="E95" s="1"/>
      <c r="M95" s="125"/>
      <c r="O95" s="126"/>
      <c r="P95" s="126"/>
      <c r="Q95" s="126"/>
    </row>
    <row r="96" spans="3:17" x14ac:dyDescent="0.55000000000000004">
      <c r="C96" s="124"/>
      <c r="D96" s="121"/>
      <c r="E96" s="122"/>
      <c r="F96" s="122"/>
      <c r="G96" s="122"/>
      <c r="H96" s="122"/>
      <c r="I96" s="122"/>
      <c r="J96" s="122"/>
      <c r="K96" s="122"/>
      <c r="L96" s="123"/>
      <c r="M96" s="125"/>
      <c r="O96" s="126"/>
      <c r="P96" s="126"/>
      <c r="Q96" s="126"/>
    </row>
    <row r="97" spans="3:17" x14ac:dyDescent="0.55000000000000004">
      <c r="C97" s="124"/>
      <c r="D97" s="124"/>
      <c r="E97" s="1" t="str">
        <f>'2 Customer data'!D23&amp;" "&amp;"information"</f>
        <v>Sport Clubs information</v>
      </c>
      <c r="L97" s="125"/>
      <c r="M97" s="125"/>
      <c r="O97" s="126"/>
      <c r="P97" s="126"/>
      <c r="Q97" s="126"/>
    </row>
    <row r="98" spans="3:17" x14ac:dyDescent="0.55000000000000004">
      <c r="C98" s="124"/>
      <c r="D98" s="124"/>
      <c r="E98" s="127"/>
      <c r="L98" s="125"/>
      <c r="M98" s="125"/>
      <c r="O98" s="126"/>
      <c r="P98" s="126"/>
      <c r="Q98" s="126"/>
    </row>
    <row r="99" spans="3:17" ht="28.8" x14ac:dyDescent="0.55000000000000004">
      <c r="C99" s="124"/>
      <c r="D99" s="124"/>
      <c r="E99" s="128"/>
      <c r="F99" s="56" t="s">
        <v>28</v>
      </c>
      <c r="G99" s="129" t="s">
        <v>278</v>
      </c>
      <c r="H99" s="129" t="s">
        <v>69</v>
      </c>
      <c r="I99" s="129" t="s">
        <v>70</v>
      </c>
      <c r="J99" s="56" t="s">
        <v>71</v>
      </c>
      <c r="L99" s="125"/>
      <c r="M99" s="125"/>
      <c r="O99" s="126"/>
      <c r="P99" s="126"/>
      <c r="Q99" s="126"/>
    </row>
    <row r="100" spans="3:17" x14ac:dyDescent="0.55000000000000004">
      <c r="C100" s="124"/>
      <c r="D100" s="124"/>
      <c r="E100" t="str">
        <f>'2 Customer data'!D23</f>
        <v>Sport Clubs</v>
      </c>
      <c r="F100" s="26">
        <f>IFERROR(IF(VLOOKUP(E100,'2 Customer data'!$D$21:$L$40,6,FALSE)="",VLOOKUP(E100,'2 Customer data'!$D$21:$L$40,5,FALSE),VLOOKUP(E100,'2 Customer data'!$D$21:$L$40,6,FALSE)),0)</f>
        <v>9.2429999999999986</v>
      </c>
      <c r="G100" s="26">
        <f>IFERROR(IF(VLOOKUP(E100,'2 Customer data'!$D$21:$K$40,8,FALSE)="",VLOOKUP(E100,'2 Customer data'!$D$21:$K$40,7,FALSE),VLOOKUP(E100,'2 Customer data'!$D$21:$K$40,8,FALSE)),0)</f>
        <v>1904.0579999999998</v>
      </c>
      <c r="H100" s="26">
        <f ca="1">VLOOKUP(E100,'2 Water'!$D$19:$J$38,5,FALSE)</f>
        <v>32586.24722534262</v>
      </c>
      <c r="I100" s="26">
        <f ca="1">VLOOKUP(E100,'2 Water'!$D$19:$J$38,6,FALSE)</f>
        <v>43835.035051263076</v>
      </c>
      <c r="J100" s="26">
        <f ca="1">IFERROR(VLOOKUP(E100,'2 Water'!$D$158:$K$177,8,FALSE),0)</f>
        <v>70913.662667774697</v>
      </c>
      <c r="L100" s="125"/>
      <c r="M100" s="125"/>
      <c r="O100" s="126"/>
      <c r="P100" s="126"/>
      <c r="Q100" s="126"/>
    </row>
    <row r="101" spans="3:17" ht="14.7" thickBot="1" x14ac:dyDescent="0.6">
      <c r="C101" s="124"/>
      <c r="D101" s="130"/>
      <c r="E101" s="131"/>
      <c r="F101" s="131"/>
      <c r="G101" s="131"/>
      <c r="H101" s="131"/>
      <c r="I101" s="131"/>
      <c r="J101" s="131"/>
      <c r="K101" s="131"/>
      <c r="L101" s="132"/>
      <c r="M101" s="125"/>
      <c r="O101" s="126"/>
      <c r="P101" s="126"/>
      <c r="Q101" s="126"/>
    </row>
    <row r="102" spans="3:17" ht="14.7" thickBot="1" x14ac:dyDescent="0.6">
      <c r="C102" s="124"/>
      <c r="M102" s="125"/>
      <c r="O102" s="126"/>
      <c r="P102" s="126"/>
      <c r="Q102" s="126"/>
    </row>
    <row r="103" spans="3:17" x14ac:dyDescent="0.55000000000000004">
      <c r="C103" s="124"/>
      <c r="D103" s="121"/>
      <c r="E103" s="122"/>
      <c r="F103" s="122"/>
      <c r="G103" s="122"/>
      <c r="H103" s="122"/>
      <c r="I103" s="122"/>
      <c r="J103" s="122"/>
      <c r="K103" s="122"/>
      <c r="L103" s="123"/>
      <c r="M103" s="125"/>
      <c r="O103" s="126"/>
      <c r="P103" s="126"/>
      <c r="Q103" s="126"/>
    </row>
    <row r="104" spans="3:17" x14ac:dyDescent="0.55000000000000004">
      <c r="C104" s="124"/>
      <c r="D104" s="124"/>
      <c r="E104" s="1" t="s">
        <v>72</v>
      </c>
      <c r="L104" s="125"/>
      <c r="M104" s="125"/>
      <c r="O104" s="126"/>
      <c r="P104" s="126"/>
      <c r="Q104" s="126"/>
    </row>
    <row r="105" spans="3:17" x14ac:dyDescent="0.55000000000000004">
      <c r="C105" s="124"/>
      <c r="D105" s="124"/>
      <c r="E105" s="120" t="s">
        <v>555</v>
      </c>
      <c r="L105" s="125"/>
      <c r="M105" s="125"/>
      <c r="O105" s="126"/>
      <c r="P105" s="126"/>
      <c r="Q105" s="126"/>
    </row>
    <row r="106" spans="3:17" x14ac:dyDescent="0.55000000000000004">
      <c r="C106" s="124"/>
      <c r="D106" s="124"/>
      <c r="E106" s="127"/>
      <c r="L106" s="125"/>
      <c r="M106" s="125"/>
      <c r="O106" s="126"/>
      <c r="P106" s="126"/>
      <c r="Q106" s="126"/>
    </row>
    <row r="107" spans="3:17" ht="28.8" x14ac:dyDescent="0.55000000000000004">
      <c r="C107" s="124"/>
      <c r="D107" s="124"/>
      <c r="F107" s="56" t="s">
        <v>86</v>
      </c>
      <c r="G107" s="56" t="s">
        <v>73</v>
      </c>
      <c r="H107" s="56" t="s">
        <v>74</v>
      </c>
      <c r="I107" s="56" t="s">
        <v>75</v>
      </c>
      <c r="J107" s="56" t="s">
        <v>76</v>
      </c>
      <c r="L107" s="125"/>
      <c r="M107" s="125"/>
      <c r="O107" s="126"/>
      <c r="P107" s="126"/>
      <c r="Q107" s="126"/>
    </row>
    <row r="108" spans="3:17" x14ac:dyDescent="0.55000000000000004">
      <c r="C108" s="124"/>
      <c r="D108" s="124"/>
      <c r="E108" t="str">
        <f>E100</f>
        <v>Sport Clubs</v>
      </c>
      <c r="F108" s="26">
        <f ca="1">H100</f>
        <v>32586.24722534262</v>
      </c>
      <c r="G108" s="64">
        <f ca="1">IFERROR(F108/F100/12,0)</f>
        <v>293.79212399782381</v>
      </c>
      <c r="H108" s="84">
        <f ca="1">G108</f>
        <v>293.79212399782381</v>
      </c>
      <c r="I108" s="26">
        <f ca="1">H108*F100*12</f>
        <v>32586.247225342624</v>
      </c>
      <c r="J108" s="21">
        <f ca="1">IFERROR(I108/12,0)</f>
        <v>2715.5206021118852</v>
      </c>
      <c r="L108" s="125"/>
      <c r="M108" s="125"/>
      <c r="O108" s="126"/>
      <c r="P108" s="126"/>
      <c r="Q108" s="126"/>
    </row>
    <row r="109" spans="3:17" x14ac:dyDescent="0.55000000000000004">
      <c r="C109" s="124"/>
      <c r="D109" s="124"/>
      <c r="E109" s="133"/>
      <c r="F109" s="58" t="str">
        <f ca="1">IF(I108&gt;J100,"Error: revenue from fixed charges exceeds total revenue required from tariff. Reduce fixed charge.","")</f>
        <v/>
      </c>
      <c r="G109" s="134"/>
      <c r="H109" s="134"/>
      <c r="I109" s="134"/>
      <c r="J109" s="135"/>
      <c r="L109" s="125"/>
      <c r="M109" s="125"/>
      <c r="O109" s="126"/>
      <c r="P109" s="126"/>
      <c r="Q109" s="126"/>
    </row>
    <row r="110" spans="3:17" ht="14.7" thickBot="1" x14ac:dyDescent="0.6">
      <c r="C110" s="124"/>
      <c r="D110" s="130"/>
      <c r="E110" s="131"/>
      <c r="F110" s="131"/>
      <c r="G110" s="131"/>
      <c r="H110" s="131"/>
      <c r="I110" s="131"/>
      <c r="J110" s="131"/>
      <c r="K110" s="131"/>
      <c r="L110" s="132"/>
      <c r="M110" s="125"/>
      <c r="O110" s="126"/>
      <c r="P110" s="126"/>
      <c r="Q110" s="126"/>
    </row>
    <row r="111" spans="3:17" ht="14.7" thickBot="1" x14ac:dyDescent="0.6">
      <c r="C111" s="124"/>
      <c r="M111" s="125"/>
      <c r="O111" s="126"/>
      <c r="P111" s="126"/>
      <c r="Q111" s="126"/>
    </row>
    <row r="112" spans="3:17" x14ac:dyDescent="0.55000000000000004">
      <c r="C112" s="124"/>
      <c r="D112" s="121"/>
      <c r="E112" s="122"/>
      <c r="F112" s="122"/>
      <c r="G112" s="122"/>
      <c r="H112" s="122"/>
      <c r="I112" s="122"/>
      <c r="J112" s="122"/>
      <c r="K112" s="122"/>
      <c r="L112" s="123"/>
      <c r="M112" s="125"/>
      <c r="O112" s="126"/>
      <c r="P112" s="126"/>
      <c r="Q112" s="126"/>
    </row>
    <row r="113" spans="3:17" x14ac:dyDescent="0.55000000000000004">
      <c r="C113" s="124"/>
      <c r="D113" s="124"/>
      <c r="E113" s="1" t="s">
        <v>96</v>
      </c>
      <c r="L113" s="125"/>
      <c r="M113" s="125"/>
      <c r="O113" s="126"/>
      <c r="P113" s="126"/>
      <c r="Q113" s="126"/>
    </row>
    <row r="114" spans="3:17" ht="14.55" customHeight="1" x14ac:dyDescent="0.55000000000000004">
      <c r="C114" s="124"/>
      <c r="D114" s="124"/>
      <c r="E114" s="1804" t="s">
        <v>579</v>
      </c>
      <c r="F114" s="1804"/>
      <c r="G114" s="1804"/>
      <c r="H114" s="1804"/>
      <c r="I114" s="1804"/>
      <c r="J114" s="1804"/>
      <c r="K114" s="1804"/>
      <c r="L114" s="136"/>
      <c r="M114" s="136"/>
      <c r="O114" s="126"/>
      <c r="P114" s="126"/>
      <c r="Q114" s="126"/>
    </row>
    <row r="115" spans="3:17" x14ac:dyDescent="0.55000000000000004">
      <c r="C115" s="124"/>
      <c r="D115" s="124"/>
      <c r="E115" s="1804"/>
      <c r="F115" s="1804"/>
      <c r="G115" s="1804"/>
      <c r="H115" s="1804"/>
      <c r="I115" s="1804"/>
      <c r="J115" s="1804"/>
      <c r="K115" s="1804"/>
      <c r="L115" s="136"/>
      <c r="M115" s="136"/>
      <c r="O115" s="126"/>
      <c r="P115" s="126"/>
      <c r="Q115" s="126"/>
    </row>
    <row r="116" spans="3:17" x14ac:dyDescent="0.55000000000000004">
      <c r="C116" s="124"/>
      <c r="D116" s="124"/>
      <c r="L116" s="125"/>
      <c r="M116" s="125"/>
      <c r="O116" s="126"/>
      <c r="P116" s="126"/>
      <c r="Q116" s="126"/>
    </row>
    <row r="117" spans="3:17" x14ac:dyDescent="0.55000000000000004">
      <c r="C117" s="124"/>
      <c r="D117" s="124"/>
      <c r="E117" t="s">
        <v>77</v>
      </c>
      <c r="F117" s="126"/>
      <c r="G117" s="50">
        <v>2</v>
      </c>
      <c r="L117" s="125"/>
      <c r="M117" s="125"/>
      <c r="O117" s="126"/>
      <c r="P117" s="126"/>
      <c r="Q117" s="126"/>
    </row>
    <row r="118" spans="3:17" x14ac:dyDescent="0.55000000000000004">
      <c r="C118" s="124"/>
      <c r="D118" s="124"/>
      <c r="E118" s="10" t="s">
        <v>612</v>
      </c>
      <c r="F118" s="133"/>
      <c r="G118" s="159" t="s">
        <v>578</v>
      </c>
      <c r="L118" s="125"/>
      <c r="M118" s="125"/>
      <c r="O118" s="126"/>
      <c r="P118" s="126"/>
      <c r="Q118" s="126"/>
    </row>
    <row r="119" spans="3:17" x14ac:dyDescent="0.55000000000000004">
      <c r="C119" s="124"/>
      <c r="D119" s="124"/>
      <c r="L119" s="125"/>
      <c r="M119" s="125"/>
      <c r="O119" s="126"/>
      <c r="P119" s="126"/>
      <c r="Q119" s="126"/>
    </row>
    <row r="120" spans="3:17" ht="28.8" x14ac:dyDescent="0.55000000000000004">
      <c r="C120" s="124"/>
      <c r="D120" s="124"/>
      <c r="E120" s="129" t="s">
        <v>78</v>
      </c>
      <c r="F120" s="129" t="s">
        <v>79</v>
      </c>
      <c r="G120" s="139" t="s">
        <v>80</v>
      </c>
      <c r="H120" s="129" t="s">
        <v>333</v>
      </c>
      <c r="I120" s="56" t="s">
        <v>82</v>
      </c>
      <c r="J120" s="129" t="s">
        <v>81</v>
      </c>
      <c r="K120" s="56" t="s">
        <v>83</v>
      </c>
      <c r="L120" s="125"/>
      <c r="M120" s="125"/>
      <c r="O120" s="126" t="s">
        <v>614</v>
      </c>
      <c r="P120" s="126" t="s">
        <v>615</v>
      </c>
      <c r="Q120" s="126"/>
    </row>
    <row r="121" spans="3:17" x14ac:dyDescent="0.55000000000000004">
      <c r="C121" s="124"/>
      <c r="D121" s="124"/>
      <c r="E121" s="89">
        <f>IF($G$117=Q121,Q121,1)</f>
        <v>1</v>
      </c>
      <c r="F121" s="91">
        <v>0</v>
      </c>
      <c r="G121" s="85">
        <v>500</v>
      </c>
      <c r="H121" s="63"/>
      <c r="I121" s="31">
        <f>G100-SUMIF(E122:E130,"&lt;="&amp;$G$117,I122:I130)</f>
        <v>1904.0579999999998</v>
      </c>
      <c r="J121" s="114">
        <f ca="1">IFERROR(IF(E121&lt;=G117,IF(G118="No",IF(I108=0,J100/SUMPRODUCT(O121:O130,I121:I130),(J100-I108)/SUMPRODUCT(O121:O130,I121:I130)),0),0),0)</f>
        <v>20.12933190188118</v>
      </c>
      <c r="K121" s="26">
        <f ca="1">IFERROR(J121*I121,"")</f>
        <v>38327.415442432073</v>
      </c>
      <c r="L121" s="125"/>
      <c r="M121" s="125"/>
      <c r="O121" s="92">
        <f>IF(E121&lt;=$G$117,1,0)</f>
        <v>1</v>
      </c>
      <c r="P121" s="126"/>
      <c r="Q121" s="126">
        <v>1</v>
      </c>
    </row>
    <row r="122" spans="3:17" x14ac:dyDescent="0.55000000000000004">
      <c r="C122" s="124"/>
      <c r="D122" s="124"/>
      <c r="E122" s="89">
        <f t="shared" ref="E122:E130" si="9">IF($G$117&gt;=Q122,Q122,"")</f>
        <v>2</v>
      </c>
      <c r="F122" s="91">
        <f t="shared" ref="F122:F130" si="10">IF($G$117&gt;=E122,G121+0.01,"")</f>
        <v>500.01</v>
      </c>
      <c r="G122" s="85" t="s">
        <v>1669</v>
      </c>
      <c r="H122" s="61">
        <v>0.1077875193398659</v>
      </c>
      <c r="I122" s="13">
        <v>0</v>
      </c>
      <c r="J122" s="114">
        <f ca="1">IFERROR(IF(E122&lt;=G117,IF(G118="No",J121*(1+H122),IF(I108=0,J100/SUMPRODUCT(P122:P130,I122:I130),(J100-I108)/SUMPRODUCT(P122:P130,I122:I130))),0),0)</f>
        <v>22.299022653553777</v>
      </c>
      <c r="K122" s="26">
        <f t="shared" ref="K122:K130" ca="1" si="11">IFERROR(J122*I122,"")</f>
        <v>0</v>
      </c>
      <c r="L122" s="125"/>
      <c r="M122" s="125"/>
      <c r="O122" s="92">
        <f>IF(E122&lt;=$G$117,(1+H122),0)</f>
        <v>1.1077875193398659</v>
      </c>
      <c r="P122" s="92">
        <f>IF(E122&lt;=G116,1,0)</f>
        <v>0</v>
      </c>
      <c r="Q122" s="126">
        <v>2</v>
      </c>
    </row>
    <row r="123" spans="3:17" x14ac:dyDescent="0.55000000000000004">
      <c r="C123" s="124"/>
      <c r="D123" s="124"/>
      <c r="E123" s="89" t="str">
        <f t="shared" si="9"/>
        <v/>
      </c>
      <c r="F123" s="91" t="str">
        <f t="shared" si="10"/>
        <v/>
      </c>
      <c r="G123" s="85"/>
      <c r="H123" s="61"/>
      <c r="I123" s="13"/>
      <c r="J123" s="90">
        <f t="shared" ref="J123:J130" si="12">IF(E123&lt;=$G$117,J122*(1+H123),0)</f>
        <v>0</v>
      </c>
      <c r="K123" s="26">
        <f t="shared" si="11"/>
        <v>0</v>
      </c>
      <c r="L123" s="125"/>
      <c r="M123" s="125"/>
      <c r="O123" s="92">
        <f t="shared" ref="O123:O130" si="13">IF(E123&lt;=$G$117,O122*(1+H123),0)</f>
        <v>0</v>
      </c>
      <c r="P123" s="92">
        <f>IF(E123&lt;=G116,P122*(1+H123),0)</f>
        <v>0</v>
      </c>
      <c r="Q123" s="126">
        <v>3</v>
      </c>
    </row>
    <row r="124" spans="3:17" x14ac:dyDescent="0.55000000000000004">
      <c r="C124" s="124"/>
      <c r="D124" s="124"/>
      <c r="E124" s="89" t="str">
        <f t="shared" si="9"/>
        <v/>
      </c>
      <c r="F124" s="91" t="str">
        <f t="shared" si="10"/>
        <v/>
      </c>
      <c r="G124" s="85"/>
      <c r="H124" s="61"/>
      <c r="I124" s="13"/>
      <c r="J124" s="90">
        <f t="shared" si="12"/>
        <v>0</v>
      </c>
      <c r="K124" s="26">
        <f t="shared" si="11"/>
        <v>0</v>
      </c>
      <c r="L124" s="125"/>
      <c r="M124" s="125"/>
      <c r="O124" s="92">
        <f t="shared" si="13"/>
        <v>0</v>
      </c>
      <c r="P124" s="92">
        <f>IF(E124&lt;=G116,P123*(1+H124),0)</f>
        <v>0</v>
      </c>
      <c r="Q124" s="126">
        <v>4</v>
      </c>
    </row>
    <row r="125" spans="3:17" x14ac:dyDescent="0.55000000000000004">
      <c r="C125" s="124"/>
      <c r="D125" s="124"/>
      <c r="E125" s="89" t="str">
        <f t="shared" si="9"/>
        <v/>
      </c>
      <c r="F125" s="91" t="str">
        <f t="shared" si="10"/>
        <v/>
      </c>
      <c r="G125" s="85"/>
      <c r="H125" s="61"/>
      <c r="I125" s="13"/>
      <c r="J125" s="90">
        <f t="shared" si="12"/>
        <v>0</v>
      </c>
      <c r="K125" s="26">
        <f t="shared" si="11"/>
        <v>0</v>
      </c>
      <c r="L125" s="125"/>
      <c r="M125" s="125"/>
      <c r="O125" s="92">
        <f t="shared" si="13"/>
        <v>0</v>
      </c>
      <c r="P125" s="92">
        <f>IF(E125&lt;=G116,P124*(1+H125),0)</f>
        <v>0</v>
      </c>
      <c r="Q125" s="126">
        <v>5</v>
      </c>
    </row>
    <row r="126" spans="3:17" x14ac:dyDescent="0.55000000000000004">
      <c r="C126" s="124"/>
      <c r="D126" s="124"/>
      <c r="E126" s="89" t="str">
        <f t="shared" si="9"/>
        <v/>
      </c>
      <c r="F126" s="91" t="str">
        <f t="shared" si="10"/>
        <v/>
      </c>
      <c r="G126" s="86"/>
      <c r="H126" s="61"/>
      <c r="I126" s="13"/>
      <c r="J126" s="90">
        <f t="shared" si="12"/>
        <v>0</v>
      </c>
      <c r="K126" s="26">
        <f t="shared" si="11"/>
        <v>0</v>
      </c>
      <c r="L126" s="125"/>
      <c r="M126" s="125"/>
      <c r="O126" s="92">
        <f t="shared" si="13"/>
        <v>0</v>
      </c>
      <c r="P126" s="92">
        <f>IF(E126&lt;=G116,P125*(1+H126),0)</f>
        <v>0</v>
      </c>
      <c r="Q126" s="126">
        <v>6</v>
      </c>
    </row>
    <row r="127" spans="3:17" x14ac:dyDescent="0.55000000000000004">
      <c r="C127" s="124"/>
      <c r="D127" s="124"/>
      <c r="E127" s="89" t="str">
        <f t="shared" si="9"/>
        <v/>
      </c>
      <c r="F127" s="91" t="str">
        <f t="shared" si="10"/>
        <v/>
      </c>
      <c r="G127" s="87"/>
      <c r="H127" s="61"/>
      <c r="I127" s="13"/>
      <c r="J127" s="90">
        <f t="shared" si="12"/>
        <v>0</v>
      </c>
      <c r="K127" s="26">
        <f t="shared" si="11"/>
        <v>0</v>
      </c>
      <c r="L127" s="125"/>
      <c r="M127" s="125"/>
      <c r="O127" s="92">
        <f t="shared" si="13"/>
        <v>0</v>
      </c>
      <c r="P127" s="92">
        <f>IF(E127&lt;=G116,P126*(1+H127),0)</f>
        <v>0</v>
      </c>
      <c r="Q127" s="126">
        <v>7</v>
      </c>
    </row>
    <row r="128" spans="3:17" x14ac:dyDescent="0.55000000000000004">
      <c r="C128" s="124"/>
      <c r="D128" s="124"/>
      <c r="E128" s="89" t="str">
        <f t="shared" si="9"/>
        <v/>
      </c>
      <c r="F128" s="91" t="str">
        <f t="shared" si="10"/>
        <v/>
      </c>
      <c r="G128" s="87"/>
      <c r="H128" s="61"/>
      <c r="I128" s="13"/>
      <c r="J128" s="90">
        <f t="shared" si="12"/>
        <v>0</v>
      </c>
      <c r="K128" s="26">
        <f t="shared" si="11"/>
        <v>0</v>
      </c>
      <c r="L128" s="125"/>
      <c r="M128" s="125"/>
      <c r="O128" s="92">
        <f t="shared" si="13"/>
        <v>0</v>
      </c>
      <c r="P128" s="92">
        <f>IF(E128&lt;=G116,P127*(1+H128),0)</f>
        <v>0</v>
      </c>
      <c r="Q128" s="126">
        <v>8</v>
      </c>
    </row>
    <row r="129" spans="3:17" x14ac:dyDescent="0.55000000000000004">
      <c r="C129" s="124"/>
      <c r="D129" s="124"/>
      <c r="E129" s="89" t="str">
        <f t="shared" si="9"/>
        <v/>
      </c>
      <c r="F129" s="91" t="str">
        <f t="shared" si="10"/>
        <v/>
      </c>
      <c r="G129" s="87"/>
      <c r="H129" s="61"/>
      <c r="I129" s="13"/>
      <c r="J129" s="90">
        <f t="shared" si="12"/>
        <v>0</v>
      </c>
      <c r="K129" s="26">
        <f t="shared" si="11"/>
        <v>0</v>
      </c>
      <c r="L129" s="125"/>
      <c r="M129" s="125"/>
      <c r="O129" s="92">
        <f t="shared" si="13"/>
        <v>0</v>
      </c>
      <c r="P129" s="92">
        <f>IF(E129&lt;=G116,P128*(1+H129),0)</f>
        <v>0</v>
      </c>
      <c r="Q129" s="126">
        <v>9</v>
      </c>
    </row>
    <row r="130" spans="3:17" x14ac:dyDescent="0.55000000000000004">
      <c r="C130" s="124"/>
      <c r="D130" s="124"/>
      <c r="E130" s="89" t="str">
        <f t="shared" si="9"/>
        <v/>
      </c>
      <c r="F130" s="91" t="str">
        <f t="shared" si="10"/>
        <v/>
      </c>
      <c r="G130" s="148" t="s">
        <v>84</v>
      </c>
      <c r="H130" s="50"/>
      <c r="I130" s="88"/>
      <c r="J130" s="90">
        <f t="shared" si="12"/>
        <v>0</v>
      </c>
      <c r="K130" s="26">
        <f t="shared" si="11"/>
        <v>0</v>
      </c>
      <c r="L130" s="125"/>
      <c r="M130" s="125"/>
      <c r="O130" s="92">
        <f t="shared" si="13"/>
        <v>0</v>
      </c>
      <c r="P130" s="92">
        <f>IF(E130&lt;=G116,P129*(1+H130),0)</f>
        <v>0</v>
      </c>
      <c r="Q130" s="126">
        <v>10</v>
      </c>
    </row>
    <row r="131" spans="3:17" ht="14.7" thickBot="1" x14ac:dyDescent="0.6">
      <c r="C131" s="124"/>
      <c r="D131" s="130"/>
      <c r="E131" s="149"/>
      <c r="F131" s="150"/>
      <c r="G131" s="149"/>
      <c r="H131" s="151"/>
      <c r="I131" s="152"/>
      <c r="J131" s="153"/>
      <c r="K131" s="131"/>
      <c r="L131" s="154"/>
      <c r="M131" s="125"/>
      <c r="O131" s="126"/>
      <c r="P131" s="126"/>
      <c r="Q131" s="126"/>
    </row>
    <row r="132" spans="3:17" ht="14.7" thickBot="1" x14ac:dyDescent="0.6">
      <c r="C132" s="130"/>
      <c r="D132" s="131"/>
      <c r="E132" s="131"/>
      <c r="F132" s="131"/>
      <c r="G132" s="131"/>
      <c r="H132" s="131"/>
      <c r="I132" s="131"/>
      <c r="J132" s="131"/>
      <c r="K132" s="131"/>
      <c r="L132" s="131"/>
      <c r="M132" s="132"/>
      <c r="O132" s="126"/>
      <c r="P132" s="126"/>
      <c r="Q132" s="126"/>
    </row>
    <row r="133" spans="3:17" ht="14.7" thickBot="1" x14ac:dyDescent="0.6">
      <c r="O133" s="126"/>
      <c r="P133" s="126"/>
      <c r="Q133" s="126"/>
    </row>
    <row r="134" spans="3:17" x14ac:dyDescent="0.55000000000000004">
      <c r="C134" s="121"/>
      <c r="D134" s="122"/>
      <c r="E134" s="122"/>
      <c r="F134" s="122"/>
      <c r="G134" s="122"/>
      <c r="H134" s="122"/>
      <c r="I134" s="122"/>
      <c r="J134" s="122"/>
      <c r="K134" s="122"/>
      <c r="L134" s="122"/>
      <c r="M134" s="123"/>
      <c r="O134" s="126"/>
      <c r="P134" s="126"/>
      <c r="Q134" s="126"/>
    </row>
    <row r="135" spans="3:17" ht="18.3" x14ac:dyDescent="0.7">
      <c r="C135" s="124"/>
      <c r="D135" s="1822" t="str">
        <f>'2 Customer data'!D24</f>
        <v>Schools</v>
      </c>
      <c r="E135" s="1822"/>
      <c r="F135" s="1822"/>
      <c r="G135" s="1822"/>
      <c r="H135" s="1822"/>
      <c r="I135" s="1822"/>
      <c r="J135" s="1822"/>
      <c r="K135" s="1822"/>
      <c r="L135" s="1822"/>
      <c r="M135" s="125"/>
      <c r="O135" s="126"/>
      <c r="P135" s="126"/>
      <c r="Q135" s="126"/>
    </row>
    <row r="136" spans="3:17" ht="14.7" thickBot="1" x14ac:dyDescent="0.6">
      <c r="C136" s="124"/>
      <c r="E136" s="1"/>
      <c r="M136" s="125"/>
      <c r="O136" s="126"/>
      <c r="P136" s="126"/>
      <c r="Q136" s="126"/>
    </row>
    <row r="137" spans="3:17" x14ac:dyDescent="0.55000000000000004">
      <c r="C137" s="124"/>
      <c r="D137" s="121"/>
      <c r="E137" s="122"/>
      <c r="F137" s="122"/>
      <c r="G137" s="122"/>
      <c r="H137" s="122"/>
      <c r="I137" s="122"/>
      <c r="J137" s="122"/>
      <c r="K137" s="122"/>
      <c r="L137" s="123"/>
      <c r="M137" s="125"/>
      <c r="O137" s="126"/>
      <c r="P137" s="126"/>
      <c r="Q137" s="126"/>
    </row>
    <row r="138" spans="3:17" x14ac:dyDescent="0.55000000000000004">
      <c r="C138" s="124"/>
      <c r="D138" s="124"/>
      <c r="E138" s="1" t="str">
        <f>'2 Customer data'!D24&amp;" "&amp;"information"</f>
        <v>Schools information</v>
      </c>
      <c r="L138" s="125"/>
      <c r="M138" s="125"/>
      <c r="O138" s="126"/>
      <c r="P138" s="126"/>
      <c r="Q138" s="126"/>
    </row>
    <row r="139" spans="3:17" x14ac:dyDescent="0.55000000000000004">
      <c r="C139" s="124"/>
      <c r="D139" s="124"/>
      <c r="E139" s="127"/>
      <c r="L139" s="125"/>
      <c r="M139" s="125"/>
      <c r="O139" s="126"/>
      <c r="P139" s="126"/>
      <c r="Q139" s="126"/>
    </row>
    <row r="140" spans="3:17" ht="28.8" x14ac:dyDescent="0.55000000000000004">
      <c r="C140" s="124"/>
      <c r="D140" s="124"/>
      <c r="E140" s="128"/>
      <c r="F140" s="56" t="s">
        <v>28</v>
      </c>
      <c r="G140" s="129" t="s">
        <v>278</v>
      </c>
      <c r="H140" s="129" t="s">
        <v>69</v>
      </c>
      <c r="I140" s="129" t="s">
        <v>70</v>
      </c>
      <c r="J140" s="56" t="s">
        <v>71</v>
      </c>
      <c r="L140" s="125"/>
      <c r="M140" s="125"/>
      <c r="O140" s="126"/>
      <c r="P140" s="126"/>
      <c r="Q140" s="126"/>
    </row>
    <row r="141" spans="3:17" x14ac:dyDescent="0.55000000000000004">
      <c r="C141" s="124"/>
      <c r="D141" s="124"/>
      <c r="E141" t="str">
        <f>'2 Customer data'!D24</f>
        <v>Schools</v>
      </c>
      <c r="F141" s="26">
        <f>IFERROR(IF(VLOOKUP(E141,'2 Customer data'!$D$21:$L$40,6,FALSE)="",VLOOKUP(E141,'2 Customer data'!$D$21:$L$40,5,FALSE),VLOOKUP(E141,'2 Customer data'!$D$21:$L$40,6,FALSE)),0)</f>
        <v>35.945</v>
      </c>
      <c r="G141" s="26">
        <f>IFERROR(IF(VLOOKUP(E141,'2 Customer data'!$D$21:$K$40,8,FALSE)="",VLOOKUP(E141,'2 Customer data'!$D$21:$K$40,7,FALSE),VLOOKUP(E141,'2 Customer data'!$D$21:$K$40,8,FALSE)),0)</f>
        <v>87746.87999999999</v>
      </c>
      <c r="H141" s="26">
        <f ca="1">VLOOKUP(E141,'2 Water'!$D$19:$J$38,5,FALSE)</f>
        <v>126724.29476522133</v>
      </c>
      <c r="I141" s="26">
        <f ca="1">VLOOKUP(E141,'2 Water'!$D$19:$J$38,6,FALSE)</f>
        <v>2020099.9971844212</v>
      </c>
      <c r="J141" s="26">
        <f ca="1">IFERROR(VLOOKUP(E141,'2 Water'!$D$158:$K$177,8,FALSE),0)</f>
        <v>1992104.4126853799</v>
      </c>
      <c r="L141" s="125"/>
      <c r="M141" s="125"/>
      <c r="O141" s="126"/>
      <c r="P141" s="126"/>
      <c r="Q141" s="126"/>
    </row>
    <row r="142" spans="3:17" ht="14.7" thickBot="1" x14ac:dyDescent="0.6">
      <c r="C142" s="124"/>
      <c r="D142" s="130"/>
      <c r="E142" s="131"/>
      <c r="F142" s="131"/>
      <c r="G142" s="131"/>
      <c r="H142" s="131"/>
      <c r="I142" s="131"/>
      <c r="J142" s="131"/>
      <c r="K142" s="131"/>
      <c r="L142" s="132"/>
      <c r="M142" s="125"/>
      <c r="O142" s="126"/>
      <c r="P142" s="126"/>
      <c r="Q142" s="126"/>
    </row>
    <row r="143" spans="3:17" ht="14.7" thickBot="1" x14ac:dyDescent="0.6">
      <c r="C143" s="124"/>
      <c r="M143" s="125"/>
      <c r="O143" s="126"/>
      <c r="P143" s="126"/>
      <c r="Q143" s="126"/>
    </row>
    <row r="144" spans="3:17" x14ac:dyDescent="0.55000000000000004">
      <c r="C144" s="124"/>
      <c r="D144" s="121"/>
      <c r="E144" s="122"/>
      <c r="F144" s="122"/>
      <c r="G144" s="122"/>
      <c r="H144" s="122"/>
      <c r="I144" s="122"/>
      <c r="J144" s="122"/>
      <c r="K144" s="122"/>
      <c r="L144" s="123"/>
      <c r="M144" s="125"/>
      <c r="O144" s="126"/>
      <c r="P144" s="126"/>
      <c r="Q144" s="126"/>
    </row>
    <row r="145" spans="3:17" x14ac:dyDescent="0.55000000000000004">
      <c r="C145" s="124"/>
      <c r="D145" s="124"/>
      <c r="E145" s="1" t="s">
        <v>72</v>
      </c>
      <c r="L145" s="125"/>
      <c r="M145" s="125"/>
      <c r="O145" s="126"/>
      <c r="P145" s="126"/>
      <c r="Q145" s="126"/>
    </row>
    <row r="146" spans="3:17" x14ac:dyDescent="0.55000000000000004">
      <c r="C146" s="124"/>
      <c r="D146" s="124"/>
      <c r="E146" s="120" t="s">
        <v>555</v>
      </c>
      <c r="L146" s="125"/>
      <c r="M146" s="125"/>
      <c r="O146" s="126"/>
      <c r="P146" s="126"/>
      <c r="Q146" s="126"/>
    </row>
    <row r="147" spans="3:17" x14ac:dyDescent="0.55000000000000004">
      <c r="C147" s="124"/>
      <c r="D147" s="124"/>
      <c r="E147" s="127"/>
      <c r="L147" s="125"/>
      <c r="M147" s="125"/>
      <c r="O147" s="126"/>
      <c r="P147" s="126"/>
      <c r="Q147" s="126"/>
    </row>
    <row r="148" spans="3:17" ht="28.8" x14ac:dyDescent="0.55000000000000004">
      <c r="C148" s="124"/>
      <c r="D148" s="124"/>
      <c r="F148" s="56" t="s">
        <v>86</v>
      </c>
      <c r="G148" s="56" t="s">
        <v>73</v>
      </c>
      <c r="H148" s="56" t="s">
        <v>74</v>
      </c>
      <c r="I148" s="56" t="s">
        <v>75</v>
      </c>
      <c r="J148" s="56" t="s">
        <v>76</v>
      </c>
      <c r="L148" s="125"/>
      <c r="M148" s="125"/>
      <c r="O148" s="126"/>
      <c r="P148" s="126"/>
      <c r="Q148" s="126"/>
    </row>
    <row r="149" spans="3:17" x14ac:dyDescent="0.55000000000000004">
      <c r="C149" s="124"/>
      <c r="D149" s="124"/>
      <c r="E149" t="str">
        <f>E141</f>
        <v>Schools</v>
      </c>
      <c r="F149" s="26">
        <f ca="1">H141</f>
        <v>126724.29476522133</v>
      </c>
      <c r="G149" s="64">
        <f ca="1">IFERROR(F149/F141/12,0)</f>
        <v>293.79212399782381</v>
      </c>
      <c r="H149" s="84">
        <f ca="1">G149</f>
        <v>293.79212399782381</v>
      </c>
      <c r="I149" s="26">
        <f ca="1">H149*F141*12</f>
        <v>126724.2947652213</v>
      </c>
      <c r="J149" s="21">
        <f ca="1">IFERROR(I149/12,0)</f>
        <v>10560.357897101776</v>
      </c>
      <c r="L149" s="125"/>
      <c r="M149" s="125"/>
      <c r="O149" s="126"/>
      <c r="P149" s="126"/>
      <c r="Q149" s="126"/>
    </row>
    <row r="150" spans="3:17" x14ac:dyDescent="0.55000000000000004">
      <c r="C150" s="124"/>
      <c r="D150" s="124"/>
      <c r="E150" s="133"/>
      <c r="F150" s="58" t="str">
        <f ca="1">IF(I149&gt;J141,"Error: revenue from fixed charges exceeds total revenue required from tariff. Reduce fixed charge.","")</f>
        <v/>
      </c>
      <c r="G150" s="134"/>
      <c r="H150" s="134"/>
      <c r="I150" s="134"/>
      <c r="J150" s="135"/>
      <c r="L150" s="125"/>
      <c r="M150" s="125"/>
      <c r="O150" s="126"/>
      <c r="P150" s="126"/>
      <c r="Q150" s="126"/>
    </row>
    <row r="151" spans="3:17" ht="14.7" thickBot="1" x14ac:dyDescent="0.6">
      <c r="C151" s="124"/>
      <c r="D151" s="130"/>
      <c r="E151" s="131"/>
      <c r="F151" s="131"/>
      <c r="G151" s="131"/>
      <c r="H151" s="131"/>
      <c r="I151" s="131"/>
      <c r="J151" s="131"/>
      <c r="K151" s="131"/>
      <c r="L151" s="132"/>
      <c r="M151" s="125"/>
      <c r="O151" s="126"/>
      <c r="P151" s="126"/>
      <c r="Q151" s="126"/>
    </row>
    <row r="152" spans="3:17" ht="14.7" thickBot="1" x14ac:dyDescent="0.6">
      <c r="C152" s="124"/>
      <c r="M152" s="125"/>
      <c r="O152" s="126"/>
      <c r="P152" s="126"/>
      <c r="Q152" s="126"/>
    </row>
    <row r="153" spans="3:17" x14ac:dyDescent="0.55000000000000004">
      <c r="C153" s="124"/>
      <c r="D153" s="121"/>
      <c r="E153" s="122"/>
      <c r="F153" s="122"/>
      <c r="G153" s="122"/>
      <c r="H153" s="122"/>
      <c r="I153" s="122"/>
      <c r="J153" s="122"/>
      <c r="K153" s="122"/>
      <c r="L153" s="123"/>
      <c r="M153" s="125"/>
      <c r="O153" s="126"/>
      <c r="P153" s="126"/>
      <c r="Q153" s="126"/>
    </row>
    <row r="154" spans="3:17" x14ac:dyDescent="0.55000000000000004">
      <c r="C154" s="124"/>
      <c r="D154" s="124"/>
      <c r="E154" s="1" t="s">
        <v>96</v>
      </c>
      <c r="L154" s="125"/>
      <c r="M154" s="125"/>
      <c r="O154" s="126"/>
      <c r="P154" s="126"/>
      <c r="Q154" s="126"/>
    </row>
    <row r="155" spans="3:17" ht="14.55" customHeight="1" x14ac:dyDescent="0.55000000000000004">
      <c r="C155" s="124"/>
      <c r="D155" s="124"/>
      <c r="E155" s="1804" t="s">
        <v>451</v>
      </c>
      <c r="F155" s="1804"/>
      <c r="G155" s="1804"/>
      <c r="H155" s="1804"/>
      <c r="I155" s="1804"/>
      <c r="J155" s="1804"/>
      <c r="K155" s="1804"/>
      <c r="L155" s="136"/>
      <c r="M155" s="136"/>
      <c r="O155" s="126"/>
      <c r="P155" s="126"/>
      <c r="Q155" s="126"/>
    </row>
    <row r="156" spans="3:17" x14ac:dyDescent="0.55000000000000004">
      <c r="C156" s="124"/>
      <c r="D156" s="124"/>
      <c r="E156" s="1804"/>
      <c r="F156" s="1804"/>
      <c r="G156" s="1804"/>
      <c r="H156" s="1804"/>
      <c r="I156" s="1804"/>
      <c r="J156" s="1804"/>
      <c r="K156" s="1804"/>
      <c r="L156" s="136"/>
      <c r="M156" s="136"/>
      <c r="O156" s="126"/>
      <c r="P156" s="126"/>
      <c r="Q156" s="126"/>
    </row>
    <row r="157" spans="3:17" x14ac:dyDescent="0.55000000000000004">
      <c r="C157" s="124"/>
      <c r="D157" s="124"/>
      <c r="L157" s="125"/>
      <c r="M157" s="125"/>
      <c r="O157" s="126"/>
      <c r="P157" s="126"/>
      <c r="Q157" s="126"/>
    </row>
    <row r="158" spans="3:17" x14ac:dyDescent="0.55000000000000004">
      <c r="C158" s="124"/>
      <c r="D158" s="124"/>
      <c r="E158" t="s">
        <v>77</v>
      </c>
      <c r="G158" s="50">
        <v>2</v>
      </c>
      <c r="L158" s="125"/>
      <c r="M158" s="125"/>
      <c r="O158" s="126"/>
      <c r="P158" s="126"/>
      <c r="Q158" s="126"/>
    </row>
    <row r="159" spans="3:17" x14ac:dyDescent="0.55000000000000004">
      <c r="C159" s="124"/>
      <c r="D159" s="124"/>
      <c r="E159" s="10" t="s">
        <v>612</v>
      </c>
      <c r="F159" s="133"/>
      <c r="G159" s="159" t="s">
        <v>578</v>
      </c>
      <c r="L159" s="125"/>
      <c r="M159" s="125"/>
      <c r="O159" s="126"/>
      <c r="P159" s="126"/>
      <c r="Q159" s="126"/>
    </row>
    <row r="160" spans="3:17" x14ac:dyDescent="0.55000000000000004">
      <c r="C160" s="124"/>
      <c r="D160" s="124"/>
      <c r="L160" s="125"/>
      <c r="M160" s="125"/>
      <c r="O160" s="126"/>
      <c r="P160" s="126"/>
      <c r="Q160" s="126"/>
    </row>
    <row r="161" spans="3:17" ht="28.8" x14ac:dyDescent="0.55000000000000004">
      <c r="C161" s="124"/>
      <c r="D161" s="124"/>
      <c r="E161" s="129" t="s">
        <v>78</v>
      </c>
      <c r="F161" s="129" t="s">
        <v>79</v>
      </c>
      <c r="G161" s="139" t="s">
        <v>80</v>
      </c>
      <c r="H161" s="129" t="s">
        <v>333</v>
      </c>
      <c r="I161" s="56" t="s">
        <v>82</v>
      </c>
      <c r="J161" s="129" t="s">
        <v>81</v>
      </c>
      <c r="K161" s="56" t="s">
        <v>83</v>
      </c>
      <c r="L161" s="125"/>
      <c r="M161" s="125"/>
      <c r="O161" s="126" t="s">
        <v>614</v>
      </c>
      <c r="P161" s="126" t="s">
        <v>615</v>
      </c>
      <c r="Q161" s="126"/>
    </row>
    <row r="162" spans="3:17" x14ac:dyDescent="0.55000000000000004">
      <c r="C162" s="124"/>
      <c r="D162" s="124"/>
      <c r="E162" s="89">
        <f>IF($G$158=Q162,Q162,1)</f>
        <v>1</v>
      </c>
      <c r="F162" s="91">
        <v>0</v>
      </c>
      <c r="G162" s="85">
        <v>500</v>
      </c>
      <c r="H162" s="63"/>
      <c r="I162" s="31">
        <f>G141-SUMIF(E163:E171,"&lt;="&amp;$G$158,I163:I171)</f>
        <v>63501.707153558047</v>
      </c>
      <c r="J162" s="114">
        <f ca="1">IFERROR(IF(E162&lt;=G158,IF(G159="No",IF(I149=0,J141/SUMPRODUCT(O162:O171,I162:I171),(J141-I149)/SUMPRODUCT(O162:O171,I162:I171)),0),0),0)</f>
        <v>20.643822973475459</v>
      </c>
      <c r="K162" s="26">
        <f ca="1">IFERROR(J162*I162,"")</f>
        <v>1310918.0009915326</v>
      </c>
      <c r="L162" s="125"/>
      <c r="M162" s="125"/>
      <c r="O162" s="92">
        <f>IF(E162&lt;=$G$158,1,0)</f>
        <v>1</v>
      </c>
      <c r="P162" s="126"/>
      <c r="Q162" s="126">
        <v>1</v>
      </c>
    </row>
    <row r="163" spans="3:17" x14ac:dyDescent="0.55000000000000004">
      <c r="C163" s="124"/>
      <c r="D163" s="124"/>
      <c r="E163" s="89">
        <f t="shared" ref="E163:E171" si="14">IF($G$158&gt;=Q163,Q163,"")</f>
        <v>2</v>
      </c>
      <c r="F163" s="91">
        <f t="shared" ref="F163:F171" si="15">IF($G$158&gt;=E163,G162+0.01,"")</f>
        <v>500.01</v>
      </c>
      <c r="G163" s="85" t="s">
        <v>1669</v>
      </c>
      <c r="H163" s="61">
        <v>0.1077875193398659</v>
      </c>
      <c r="I163" s="13">
        <v>24245.172846441947</v>
      </c>
      <c r="J163" s="114">
        <f ca="1">IFERROR(IF(E163&lt;=G158,IF(G159="No",J162*(1+H163),IF(I149=0,J141/SUMPRODUCT(P163:P171,I163:I171),(J141-I149)/SUMPRODUCT(P163:P171,I163:I171))),0),0)</f>
        <v>22.868969441477713</v>
      </c>
      <c r="K163" s="26">
        <f t="shared" ref="K163:K171" ca="1" si="16">IFERROR(J163*I163,"")</f>
        <v>554462.11692862608</v>
      </c>
      <c r="L163" s="125"/>
      <c r="M163" s="125"/>
      <c r="O163" s="92">
        <f>IF(E163&lt;=$G$158,(1+H163),0)</f>
        <v>1.1077875193398659</v>
      </c>
      <c r="P163" s="92">
        <f>IF(E163&lt;=G157,1,0)</f>
        <v>0</v>
      </c>
      <c r="Q163" s="126">
        <v>2</v>
      </c>
    </row>
    <row r="164" spans="3:17" x14ac:dyDescent="0.55000000000000004">
      <c r="C164" s="124"/>
      <c r="D164" s="124"/>
      <c r="E164" s="89" t="str">
        <f t="shared" si="14"/>
        <v/>
      </c>
      <c r="F164" s="91" t="str">
        <f t="shared" si="15"/>
        <v/>
      </c>
      <c r="G164" s="85"/>
      <c r="H164" s="61"/>
      <c r="I164" s="13"/>
      <c r="J164" s="90">
        <f t="shared" ref="J164:J171" si="17">IF(E164&lt;=$G$158,J163*(1+H164),0)</f>
        <v>0</v>
      </c>
      <c r="K164" s="26">
        <f t="shared" si="16"/>
        <v>0</v>
      </c>
      <c r="L164" s="125"/>
      <c r="M164" s="125"/>
      <c r="O164" s="92">
        <f t="shared" ref="O164:O171" si="18">IF(E164&lt;=$G$158,O163*(1+H164),0)</f>
        <v>0</v>
      </c>
      <c r="P164" s="92">
        <f>IF(E164&lt;=G157,P163*(1+H164),0)</f>
        <v>0</v>
      </c>
      <c r="Q164" s="126">
        <v>3</v>
      </c>
    </row>
    <row r="165" spans="3:17" x14ac:dyDescent="0.55000000000000004">
      <c r="C165" s="124"/>
      <c r="D165" s="124"/>
      <c r="E165" s="89" t="str">
        <f t="shared" si="14"/>
        <v/>
      </c>
      <c r="F165" s="91" t="str">
        <f t="shared" si="15"/>
        <v/>
      </c>
      <c r="G165" s="85"/>
      <c r="H165" s="61"/>
      <c r="I165" s="13"/>
      <c r="J165" s="90">
        <f t="shared" si="17"/>
        <v>0</v>
      </c>
      <c r="K165" s="26">
        <f t="shared" si="16"/>
        <v>0</v>
      </c>
      <c r="L165" s="125"/>
      <c r="M165" s="125"/>
      <c r="O165" s="92">
        <f t="shared" si="18"/>
        <v>0</v>
      </c>
      <c r="P165" s="92">
        <f>IF(E165&lt;=G157,P164*(1+H165),0)</f>
        <v>0</v>
      </c>
      <c r="Q165" s="126">
        <v>4</v>
      </c>
    </row>
    <row r="166" spans="3:17" x14ac:dyDescent="0.55000000000000004">
      <c r="C166" s="124"/>
      <c r="D166" s="124"/>
      <c r="E166" s="209" t="str">
        <f t="shared" si="14"/>
        <v/>
      </c>
      <c r="F166" s="91" t="str">
        <f t="shared" si="15"/>
        <v/>
      </c>
      <c r="G166" s="85"/>
      <c r="H166" s="61"/>
      <c r="I166" s="13"/>
      <c r="J166" s="90">
        <f t="shared" si="17"/>
        <v>0</v>
      </c>
      <c r="K166" s="26">
        <f t="shared" si="16"/>
        <v>0</v>
      </c>
      <c r="L166" s="125"/>
      <c r="M166" s="125"/>
      <c r="O166" s="92">
        <f t="shared" si="18"/>
        <v>0</v>
      </c>
      <c r="P166" s="92">
        <f>IF(E166&lt;=G157,P165*(1+H166),0)</f>
        <v>0</v>
      </c>
      <c r="Q166" s="126">
        <v>5</v>
      </c>
    </row>
    <row r="167" spans="3:17" x14ac:dyDescent="0.55000000000000004">
      <c r="C167" s="124"/>
      <c r="D167" s="124"/>
      <c r="E167" s="89" t="str">
        <f t="shared" si="14"/>
        <v/>
      </c>
      <c r="F167" s="91" t="str">
        <f t="shared" si="15"/>
        <v/>
      </c>
      <c r="G167" s="86"/>
      <c r="H167" s="61"/>
      <c r="I167" s="13"/>
      <c r="J167" s="90">
        <f t="shared" si="17"/>
        <v>0</v>
      </c>
      <c r="K167" s="26">
        <f t="shared" si="16"/>
        <v>0</v>
      </c>
      <c r="L167" s="125"/>
      <c r="M167" s="125"/>
      <c r="O167" s="92">
        <f t="shared" si="18"/>
        <v>0</v>
      </c>
      <c r="P167" s="92">
        <f>IF(E167&lt;=G157,P166*(1+H167),0)</f>
        <v>0</v>
      </c>
      <c r="Q167" s="126">
        <v>6</v>
      </c>
    </row>
    <row r="168" spans="3:17" x14ac:dyDescent="0.55000000000000004">
      <c r="C168" s="124"/>
      <c r="D168" s="124"/>
      <c r="E168" s="89" t="str">
        <f t="shared" si="14"/>
        <v/>
      </c>
      <c r="F168" s="91" t="str">
        <f t="shared" si="15"/>
        <v/>
      </c>
      <c r="G168" s="87"/>
      <c r="H168" s="61"/>
      <c r="I168" s="13"/>
      <c r="J168" s="90">
        <f t="shared" si="17"/>
        <v>0</v>
      </c>
      <c r="K168" s="26">
        <f t="shared" si="16"/>
        <v>0</v>
      </c>
      <c r="L168" s="125"/>
      <c r="M168" s="125"/>
      <c r="O168" s="92">
        <f t="shared" si="18"/>
        <v>0</v>
      </c>
      <c r="P168" s="92">
        <f>IF(E168&lt;=G157,P167*(1+H168),0)</f>
        <v>0</v>
      </c>
      <c r="Q168" s="126">
        <v>7</v>
      </c>
    </row>
    <row r="169" spans="3:17" x14ac:dyDescent="0.55000000000000004">
      <c r="C169" s="124"/>
      <c r="D169" s="124"/>
      <c r="E169" s="89" t="str">
        <f t="shared" si="14"/>
        <v/>
      </c>
      <c r="F169" s="91" t="str">
        <f t="shared" si="15"/>
        <v/>
      </c>
      <c r="G169" s="87"/>
      <c r="H169" s="61"/>
      <c r="I169" s="13"/>
      <c r="J169" s="90">
        <f t="shared" si="17"/>
        <v>0</v>
      </c>
      <c r="K169" s="26">
        <f t="shared" si="16"/>
        <v>0</v>
      </c>
      <c r="L169" s="125"/>
      <c r="M169" s="125"/>
      <c r="O169" s="92">
        <f t="shared" si="18"/>
        <v>0</v>
      </c>
      <c r="P169" s="92">
        <f>IF(E169&lt;=G157,P168*(1+H169),0)</f>
        <v>0</v>
      </c>
      <c r="Q169" s="126">
        <v>8</v>
      </c>
    </row>
    <row r="170" spans="3:17" x14ac:dyDescent="0.55000000000000004">
      <c r="C170" s="124"/>
      <c r="D170" s="124"/>
      <c r="E170" s="89" t="str">
        <f t="shared" si="14"/>
        <v/>
      </c>
      <c r="F170" s="91" t="str">
        <f t="shared" si="15"/>
        <v/>
      </c>
      <c r="G170" s="87"/>
      <c r="H170" s="61"/>
      <c r="I170" s="13"/>
      <c r="J170" s="90">
        <f t="shared" si="17"/>
        <v>0</v>
      </c>
      <c r="K170" s="26">
        <f t="shared" si="16"/>
        <v>0</v>
      </c>
      <c r="L170" s="125"/>
      <c r="M170" s="125"/>
      <c r="O170" s="92">
        <f t="shared" si="18"/>
        <v>0</v>
      </c>
      <c r="P170" s="92">
        <f>IF(E170&lt;=G157,P169*(1+H170),0)</f>
        <v>0</v>
      </c>
      <c r="Q170" s="126">
        <v>9</v>
      </c>
    </row>
    <row r="171" spans="3:17" x14ac:dyDescent="0.55000000000000004">
      <c r="C171" s="124"/>
      <c r="D171" s="124"/>
      <c r="E171" s="89" t="str">
        <f t="shared" si="14"/>
        <v/>
      </c>
      <c r="F171" s="91" t="str">
        <f t="shared" si="15"/>
        <v/>
      </c>
      <c r="G171" s="148" t="s">
        <v>84</v>
      </c>
      <c r="H171" s="50"/>
      <c r="I171" s="88"/>
      <c r="J171" s="90">
        <f t="shared" si="17"/>
        <v>0</v>
      </c>
      <c r="K171" s="26">
        <f t="shared" si="16"/>
        <v>0</v>
      </c>
      <c r="L171" s="125"/>
      <c r="M171" s="125"/>
      <c r="O171" s="92">
        <f t="shared" si="18"/>
        <v>0</v>
      </c>
      <c r="P171" s="92">
        <f>IF(E171&lt;=G157,P170*(1+H171),0)</f>
        <v>0</v>
      </c>
      <c r="Q171" s="126">
        <v>10</v>
      </c>
    </row>
    <row r="172" spans="3:17" ht="14.7" thickBot="1" x14ac:dyDescent="0.6">
      <c r="C172" s="124"/>
      <c r="D172" s="130"/>
      <c r="E172" s="149"/>
      <c r="F172" s="150"/>
      <c r="G172" s="149"/>
      <c r="H172" s="151"/>
      <c r="I172" s="152"/>
      <c r="J172" s="153"/>
      <c r="K172" s="131"/>
      <c r="L172" s="154"/>
      <c r="M172" s="125"/>
      <c r="O172" s="126"/>
      <c r="P172" s="126"/>
      <c r="Q172" s="126"/>
    </row>
    <row r="173" spans="3:17" ht="14.7" thickBot="1" x14ac:dyDescent="0.6">
      <c r="C173" s="130"/>
      <c r="D173" s="131"/>
      <c r="E173" s="131"/>
      <c r="F173" s="131"/>
      <c r="G173" s="131"/>
      <c r="H173" s="131"/>
      <c r="I173" s="131"/>
      <c r="J173" s="131"/>
      <c r="K173" s="131"/>
      <c r="L173" s="131"/>
      <c r="M173" s="132"/>
      <c r="O173" s="126"/>
      <c r="P173" s="126"/>
      <c r="Q173" s="126"/>
    </row>
    <row r="174" spans="3:17" ht="14.7" thickBot="1" x14ac:dyDescent="0.6">
      <c r="O174" s="126"/>
      <c r="P174" s="126"/>
      <c r="Q174" s="126"/>
    </row>
    <row r="175" spans="3:17" x14ac:dyDescent="0.55000000000000004">
      <c r="C175" s="121"/>
      <c r="D175" s="122"/>
      <c r="E175" s="122"/>
      <c r="F175" s="122"/>
      <c r="G175" s="122"/>
      <c r="H175" s="122"/>
      <c r="I175" s="122"/>
      <c r="J175" s="122"/>
      <c r="K175" s="122"/>
      <c r="L175" s="122"/>
      <c r="M175" s="123"/>
      <c r="O175" s="126"/>
      <c r="P175" s="126"/>
      <c r="Q175" s="126"/>
    </row>
    <row r="176" spans="3:17" ht="18.3" x14ac:dyDescent="0.7">
      <c r="C176" s="124"/>
      <c r="D176" s="1822" t="str">
        <f>'2 Customer data'!D25</f>
        <v>Industrial</v>
      </c>
      <c r="E176" s="1822"/>
      <c r="F176" s="1822"/>
      <c r="G176" s="1822"/>
      <c r="H176" s="1822"/>
      <c r="I176" s="1822"/>
      <c r="J176" s="1822"/>
      <c r="K176" s="1822"/>
      <c r="L176" s="1822"/>
      <c r="M176" s="125"/>
      <c r="O176" s="126"/>
      <c r="P176" s="126"/>
      <c r="Q176" s="126"/>
    </row>
    <row r="177" spans="3:17" ht="14.7" thickBot="1" x14ac:dyDescent="0.6">
      <c r="C177" s="124"/>
      <c r="E177" s="1"/>
      <c r="M177" s="125"/>
      <c r="O177" s="126"/>
      <c r="P177" s="126"/>
      <c r="Q177" s="126"/>
    </row>
    <row r="178" spans="3:17" x14ac:dyDescent="0.55000000000000004">
      <c r="C178" s="124"/>
      <c r="D178" s="121"/>
      <c r="E178" s="122"/>
      <c r="F178" s="122"/>
      <c r="G178" s="122"/>
      <c r="H178" s="122"/>
      <c r="I178" s="122"/>
      <c r="J178" s="122"/>
      <c r="K178" s="122"/>
      <c r="L178" s="123"/>
      <c r="M178" s="125"/>
      <c r="O178" s="126"/>
      <c r="P178" s="126"/>
      <c r="Q178" s="126"/>
    </row>
    <row r="179" spans="3:17" x14ac:dyDescent="0.55000000000000004">
      <c r="C179" s="124"/>
      <c r="D179" s="124"/>
      <c r="E179" s="1" t="str">
        <f>'2 Customer data'!D25&amp;" "&amp;"information"</f>
        <v>Industrial information</v>
      </c>
      <c r="L179" s="125"/>
      <c r="M179" s="125"/>
      <c r="O179" s="126"/>
      <c r="P179" s="126"/>
      <c r="Q179" s="126"/>
    </row>
    <row r="180" spans="3:17" x14ac:dyDescent="0.55000000000000004">
      <c r="C180" s="124"/>
      <c r="D180" s="124"/>
      <c r="E180" s="127"/>
      <c r="L180" s="125"/>
      <c r="M180" s="125"/>
      <c r="O180" s="126"/>
      <c r="P180" s="126"/>
      <c r="Q180" s="126"/>
    </row>
    <row r="181" spans="3:17" ht="28.8" x14ac:dyDescent="0.55000000000000004">
      <c r="C181" s="124"/>
      <c r="D181" s="124"/>
      <c r="E181" s="128"/>
      <c r="F181" s="56" t="s">
        <v>28</v>
      </c>
      <c r="G181" s="129" t="s">
        <v>278</v>
      </c>
      <c r="H181" s="129" t="s">
        <v>69</v>
      </c>
      <c r="I181" s="129" t="s">
        <v>70</v>
      </c>
      <c r="J181" s="56" t="s">
        <v>71</v>
      </c>
      <c r="L181" s="125"/>
      <c r="M181" s="125"/>
      <c r="O181" s="126"/>
      <c r="P181" s="126"/>
      <c r="Q181" s="126"/>
    </row>
    <row r="182" spans="3:17" x14ac:dyDescent="0.55000000000000004">
      <c r="C182" s="124"/>
      <c r="D182" s="124"/>
      <c r="E182" t="str">
        <f>'2 Customer data'!D25</f>
        <v>Industrial</v>
      </c>
      <c r="F182" s="26">
        <f>IFERROR(IF(VLOOKUP(E182,'2 Customer data'!$D$21:$L$40,6,FALSE)="",VLOOKUP(E182,'2 Customer data'!$D$21:$L$40,5,FALSE),VLOOKUP(E182,'2 Customer data'!$D$21:$L$40,6,FALSE)),0)</f>
        <v>2.0539999999999998</v>
      </c>
      <c r="G182" s="26">
        <f>IFERROR(IF(VLOOKUP(E182,'2 Customer data'!$D$21:$K$40,8,FALSE)="",VLOOKUP(E182,'2 Customer data'!$D$21:$K$40,7,FALSE),VLOOKUP(E182,'2 Customer data'!$D$21:$K$40,8,FALSE)),0)</f>
        <v>449576.43899999995</v>
      </c>
      <c r="H182" s="26">
        <f ca="1">VLOOKUP(E182,'2 Water'!$D$19:$J$38,5,FALSE)</f>
        <v>7241.3882722983608</v>
      </c>
      <c r="I182" s="26">
        <f ca="1">VLOOKUP(E182,'2 Water'!$D$19:$J$38,6,FALSE)</f>
        <v>10350104.335995561</v>
      </c>
      <c r="J182" s="26">
        <f ca="1">IFERROR(VLOOKUP(E182,'2 Water'!$D$158:$K$177,8,FALSE),0)</f>
        <v>9610900.2485174201</v>
      </c>
      <c r="L182" s="125"/>
      <c r="M182" s="125"/>
      <c r="O182" s="126"/>
      <c r="P182" s="126"/>
      <c r="Q182" s="126"/>
    </row>
    <row r="183" spans="3:17" ht="14.7" thickBot="1" x14ac:dyDescent="0.6">
      <c r="C183" s="124"/>
      <c r="D183" s="130"/>
      <c r="E183" s="131"/>
      <c r="F183" s="131"/>
      <c r="G183" s="131"/>
      <c r="H183" s="131"/>
      <c r="I183" s="131"/>
      <c r="J183" s="131"/>
      <c r="K183" s="131"/>
      <c r="L183" s="132"/>
      <c r="M183" s="125"/>
      <c r="O183" s="126"/>
      <c r="P183" s="126"/>
      <c r="Q183" s="126"/>
    </row>
    <row r="184" spans="3:17" ht="14.7" thickBot="1" x14ac:dyDescent="0.6">
      <c r="C184" s="124"/>
      <c r="M184" s="125"/>
      <c r="O184" s="126"/>
      <c r="P184" s="126"/>
      <c r="Q184" s="126"/>
    </row>
    <row r="185" spans="3:17" x14ac:dyDescent="0.55000000000000004">
      <c r="C185" s="124"/>
      <c r="D185" s="121"/>
      <c r="E185" s="122"/>
      <c r="F185" s="122"/>
      <c r="G185" s="122"/>
      <c r="H185" s="122"/>
      <c r="I185" s="122"/>
      <c r="J185" s="122"/>
      <c r="K185" s="122"/>
      <c r="L185" s="123"/>
      <c r="M185" s="125"/>
      <c r="O185" s="126"/>
      <c r="P185" s="126"/>
      <c r="Q185" s="126"/>
    </row>
    <row r="186" spans="3:17" x14ac:dyDescent="0.55000000000000004">
      <c r="C186" s="124"/>
      <c r="D186" s="124"/>
      <c r="E186" s="1" t="s">
        <v>72</v>
      </c>
      <c r="L186" s="125"/>
      <c r="M186" s="125"/>
      <c r="O186" s="126"/>
      <c r="P186" s="126"/>
      <c r="Q186" s="126"/>
    </row>
    <row r="187" spans="3:17" x14ac:dyDescent="0.55000000000000004">
      <c r="C187" s="124"/>
      <c r="D187" s="124"/>
      <c r="E187" s="120" t="s">
        <v>555</v>
      </c>
      <c r="L187" s="125"/>
      <c r="M187" s="125"/>
      <c r="O187" s="126"/>
      <c r="P187" s="126"/>
      <c r="Q187" s="126"/>
    </row>
    <row r="188" spans="3:17" x14ac:dyDescent="0.55000000000000004">
      <c r="C188" s="124"/>
      <c r="D188" s="124"/>
      <c r="E188" s="127"/>
      <c r="L188" s="125"/>
      <c r="M188" s="125"/>
      <c r="O188" s="126"/>
      <c r="P188" s="126"/>
      <c r="Q188" s="126"/>
    </row>
    <row r="189" spans="3:17" ht="28.8" x14ac:dyDescent="0.55000000000000004">
      <c r="C189" s="124"/>
      <c r="D189" s="124"/>
      <c r="F189" s="56" t="s">
        <v>86</v>
      </c>
      <c r="G189" s="56" t="s">
        <v>73</v>
      </c>
      <c r="H189" s="56" t="s">
        <v>74</v>
      </c>
      <c r="I189" s="56" t="s">
        <v>75</v>
      </c>
      <c r="J189" s="56" t="s">
        <v>76</v>
      </c>
      <c r="L189" s="125"/>
      <c r="M189" s="125"/>
      <c r="O189" s="126"/>
      <c r="P189" s="126"/>
      <c r="Q189" s="126"/>
    </row>
    <row r="190" spans="3:17" x14ac:dyDescent="0.55000000000000004">
      <c r="C190" s="124"/>
      <c r="D190" s="124"/>
      <c r="E190" t="str">
        <f>E182</f>
        <v>Industrial</v>
      </c>
      <c r="F190" s="26">
        <f ca="1">H182</f>
        <v>7241.3882722983608</v>
      </c>
      <c r="G190" s="64">
        <f ca="1">IFERROR(F190/F182/12,0)</f>
        <v>293.79212399782381</v>
      </c>
      <c r="H190" s="84">
        <f ca="1">G190</f>
        <v>293.79212399782381</v>
      </c>
      <c r="I190" s="26">
        <f ca="1">H190*F182*12</f>
        <v>7241.3882722983617</v>
      </c>
      <c r="J190" s="21">
        <f ca="1">IFERROR(I190/12,0)</f>
        <v>603.4490226915301</v>
      </c>
      <c r="L190" s="125"/>
      <c r="M190" s="125"/>
      <c r="O190" s="126"/>
      <c r="P190" s="126"/>
      <c r="Q190" s="126"/>
    </row>
    <row r="191" spans="3:17" x14ac:dyDescent="0.55000000000000004">
      <c r="C191" s="124"/>
      <c r="D191" s="124"/>
      <c r="E191" s="133"/>
      <c r="F191" s="58" t="str">
        <f ca="1">IF(I190&gt;J182,"Error: revenue from fixed charges exceeds total revenue required from tariff. Reduce fixed charge.","")</f>
        <v/>
      </c>
      <c r="G191" s="134"/>
      <c r="H191" s="134"/>
      <c r="I191" s="134"/>
      <c r="J191" s="135"/>
      <c r="L191" s="125"/>
      <c r="M191" s="125"/>
      <c r="O191" s="126"/>
      <c r="P191" s="126"/>
      <c r="Q191" s="126"/>
    </row>
    <row r="192" spans="3:17" ht="14.7" thickBot="1" x14ac:dyDescent="0.6">
      <c r="C192" s="124"/>
      <c r="D192" s="130"/>
      <c r="E192" s="131"/>
      <c r="F192" s="131"/>
      <c r="G192" s="131"/>
      <c r="H192" s="131"/>
      <c r="I192" s="131"/>
      <c r="J192" s="131"/>
      <c r="K192" s="131"/>
      <c r="L192" s="132"/>
      <c r="M192" s="125"/>
      <c r="O192" s="126"/>
      <c r="P192" s="126"/>
      <c r="Q192" s="126"/>
    </row>
    <row r="193" spans="3:17" ht="14.7" thickBot="1" x14ac:dyDescent="0.6">
      <c r="C193" s="124"/>
      <c r="M193" s="125"/>
      <c r="O193" s="126"/>
      <c r="P193" s="126"/>
      <c r="Q193" s="126"/>
    </row>
    <row r="194" spans="3:17" x14ac:dyDescent="0.55000000000000004">
      <c r="C194" s="124"/>
      <c r="D194" s="121"/>
      <c r="E194" s="122"/>
      <c r="F194" s="122"/>
      <c r="G194" s="122"/>
      <c r="H194" s="122"/>
      <c r="I194" s="122"/>
      <c r="J194" s="122"/>
      <c r="K194" s="122"/>
      <c r="L194" s="123"/>
      <c r="M194" s="125"/>
      <c r="O194" s="126"/>
      <c r="P194" s="126"/>
      <c r="Q194" s="126"/>
    </row>
    <row r="195" spans="3:17" x14ac:dyDescent="0.55000000000000004">
      <c r="C195" s="124"/>
      <c r="D195" s="124"/>
      <c r="E195" s="1" t="s">
        <v>96</v>
      </c>
      <c r="L195" s="125"/>
      <c r="M195" s="125"/>
      <c r="O195" s="126"/>
      <c r="P195" s="126"/>
      <c r="Q195" s="126"/>
    </row>
    <row r="196" spans="3:17" ht="14.55" customHeight="1" x14ac:dyDescent="0.55000000000000004">
      <c r="C196" s="124"/>
      <c r="D196" s="124"/>
      <c r="E196" s="1804" t="s">
        <v>451</v>
      </c>
      <c r="F196" s="1804"/>
      <c r="G196" s="1804"/>
      <c r="H196" s="1804"/>
      <c r="I196" s="1804"/>
      <c r="J196" s="1804"/>
      <c r="K196" s="1804"/>
      <c r="L196" s="136"/>
      <c r="M196" s="136"/>
      <c r="O196" s="126"/>
      <c r="P196" s="126"/>
      <c r="Q196" s="126"/>
    </row>
    <row r="197" spans="3:17" x14ac:dyDescent="0.55000000000000004">
      <c r="C197" s="124"/>
      <c r="D197" s="124"/>
      <c r="E197" s="1804"/>
      <c r="F197" s="1804"/>
      <c r="G197" s="1804"/>
      <c r="H197" s="1804"/>
      <c r="I197" s="1804"/>
      <c r="J197" s="1804"/>
      <c r="K197" s="1804"/>
      <c r="L197" s="136"/>
      <c r="M197" s="136"/>
      <c r="O197" s="126"/>
      <c r="P197" s="126"/>
      <c r="Q197" s="126"/>
    </row>
    <row r="198" spans="3:17" x14ac:dyDescent="0.55000000000000004">
      <c r="C198" s="124"/>
      <c r="D198" s="124"/>
      <c r="L198" s="125"/>
      <c r="M198" s="125"/>
      <c r="O198" s="126"/>
      <c r="P198" s="126"/>
      <c r="Q198" s="126"/>
    </row>
    <row r="199" spans="3:17" x14ac:dyDescent="0.55000000000000004">
      <c r="C199" s="124"/>
      <c r="D199" s="124"/>
      <c r="E199" t="s">
        <v>77</v>
      </c>
      <c r="F199" s="126"/>
      <c r="G199" s="50">
        <v>3</v>
      </c>
      <c r="L199" s="125"/>
      <c r="M199" s="125"/>
      <c r="O199" s="126"/>
      <c r="P199" s="126"/>
      <c r="Q199" s="126"/>
    </row>
    <row r="200" spans="3:17" x14ac:dyDescent="0.55000000000000004">
      <c r="C200" s="124"/>
      <c r="D200" s="124"/>
      <c r="E200" s="10" t="s">
        <v>612</v>
      </c>
      <c r="F200" s="133"/>
      <c r="G200" s="159" t="s">
        <v>578</v>
      </c>
      <c r="L200" s="125"/>
      <c r="M200" s="125"/>
      <c r="O200" s="126"/>
      <c r="P200" s="126"/>
      <c r="Q200" s="126"/>
    </row>
    <row r="201" spans="3:17" x14ac:dyDescent="0.55000000000000004">
      <c r="C201" s="124"/>
      <c r="D201" s="124"/>
      <c r="L201" s="125"/>
      <c r="M201" s="125"/>
      <c r="O201" s="126"/>
      <c r="P201" s="126"/>
      <c r="Q201" s="126"/>
    </row>
    <row r="202" spans="3:17" ht="28.8" x14ac:dyDescent="0.55000000000000004">
      <c r="C202" s="124"/>
      <c r="D202" s="124"/>
      <c r="E202" s="129" t="s">
        <v>78</v>
      </c>
      <c r="F202" s="129" t="s">
        <v>79</v>
      </c>
      <c r="G202" s="139" t="s">
        <v>80</v>
      </c>
      <c r="H202" s="129" t="s">
        <v>333</v>
      </c>
      <c r="I202" s="56" t="s">
        <v>82</v>
      </c>
      <c r="J202" s="129" t="s">
        <v>81</v>
      </c>
      <c r="K202" s="56" t="s">
        <v>83</v>
      </c>
      <c r="L202" s="125"/>
      <c r="M202" s="125"/>
      <c r="O202" s="126" t="s">
        <v>614</v>
      </c>
      <c r="P202" s="126" t="s">
        <v>615</v>
      </c>
      <c r="Q202" s="126"/>
    </row>
    <row r="203" spans="3:17" x14ac:dyDescent="0.55000000000000004">
      <c r="C203" s="124"/>
      <c r="D203" s="124"/>
      <c r="E203" s="89">
        <f>IF($G$199=Q203,Q203,1)</f>
        <v>1</v>
      </c>
      <c r="F203" s="91">
        <v>0</v>
      </c>
      <c r="G203" s="85">
        <v>30</v>
      </c>
      <c r="H203" s="63"/>
      <c r="I203" s="31">
        <f>G182-SUMIF(E204:E212,"&lt;="&amp;$G$199,I204:I212)</f>
        <v>647.448368211044</v>
      </c>
      <c r="J203" s="114">
        <f ca="1">IFERROR(IF(E203&lt;=G199,IF(G200="No",IF(I190=0,J182/SUMPRODUCT(O203:O212,I203:I212),(J182-I190)/SUMPRODUCT(O203:O212,I203:I212)),0),0),0)</f>
        <v>10.775169552364734</v>
      </c>
      <c r="K203" s="26">
        <f t="shared" ref="K203:K211" ca="1" si="19">IFERROR(J203*I203,0)</f>
        <v>6976.3659438758723</v>
      </c>
      <c r="L203" s="125"/>
      <c r="M203" s="125"/>
      <c r="O203" s="92">
        <f>IF(E203&lt;=$G$199,1,0)</f>
        <v>1</v>
      </c>
      <c r="P203" s="126"/>
      <c r="Q203" s="126">
        <v>1</v>
      </c>
    </row>
    <row r="204" spans="3:17" x14ac:dyDescent="0.55000000000000004">
      <c r="C204" s="124"/>
      <c r="D204" s="124"/>
      <c r="E204" s="89">
        <f t="shared" ref="E204:E212" si="20">IF($G$199&gt;=Q204,Q204,"")</f>
        <v>2</v>
      </c>
      <c r="F204" s="91">
        <f t="shared" ref="F204:F212" si="21">IF($G$199&gt;=E204,G203+0.01,"")</f>
        <v>30.01</v>
      </c>
      <c r="G204" s="85">
        <v>40</v>
      </c>
      <c r="H204" s="61">
        <v>0.34998203377650028</v>
      </c>
      <c r="I204" s="13">
        <v>206.42679842926555</v>
      </c>
      <c r="J204" s="114">
        <f ca="1">IFERROR(IF(E204&lt;=G199,IF(G200="No",J203*(1+H204),IF(I190=0,J182/SUMPRODUCT(P204:P212,I204:I212),(J182-I190)/SUMPRODUCT(P204:P212,I204:I212))),0),0)</f>
        <v>14.546285306587965</v>
      </c>
      <c r="K204" s="26">
        <f t="shared" ca="1" si="19"/>
        <v>3002.7431048776211</v>
      </c>
      <c r="L204" s="125"/>
      <c r="M204" s="125"/>
      <c r="O204" s="92">
        <f>IF(E204&lt;=$G$199,(1+H204),0)</f>
        <v>1.3499820337765003</v>
      </c>
      <c r="P204" s="92">
        <f>IF(E204&lt;=G198,1,0)</f>
        <v>0</v>
      </c>
      <c r="Q204" s="126">
        <v>2</v>
      </c>
    </row>
    <row r="205" spans="3:17" x14ac:dyDescent="0.55000000000000004">
      <c r="C205" s="124"/>
      <c r="D205" s="124"/>
      <c r="E205" s="89">
        <f t="shared" si="20"/>
        <v>3</v>
      </c>
      <c r="F205" s="91">
        <f t="shared" si="21"/>
        <v>40.01</v>
      </c>
      <c r="G205" s="85" t="s">
        <v>1669</v>
      </c>
      <c r="H205" s="61">
        <v>0.4697897258450891</v>
      </c>
      <c r="I205" s="13">
        <v>448722.56383335963</v>
      </c>
      <c r="J205" s="90">
        <f t="shared" ref="J205:J212" ca="1" si="22">IF(E205&lt;=$G$199,J204*(1+H205),0)</f>
        <v>21.379980692834373</v>
      </c>
      <c r="K205" s="26">
        <f t="shared" ca="1" si="19"/>
        <v>9593679.7511963677</v>
      </c>
      <c r="L205" s="125"/>
      <c r="M205" s="125"/>
      <c r="O205" s="92">
        <f t="shared" ref="O205:O212" si="23">IF(E205&lt;=$G$199,O204*(1+H205),0)</f>
        <v>1.9841897233201582</v>
      </c>
      <c r="P205" s="92">
        <f>IF(E205&lt;=G198,P204*(1+H205),0)</f>
        <v>0</v>
      </c>
      <c r="Q205" s="126">
        <v>3</v>
      </c>
    </row>
    <row r="206" spans="3:17" x14ac:dyDescent="0.55000000000000004">
      <c r="C206" s="124"/>
      <c r="D206" s="124"/>
      <c r="E206" s="209" t="str">
        <f t="shared" si="20"/>
        <v/>
      </c>
      <c r="F206" s="91" t="str">
        <f t="shared" si="21"/>
        <v/>
      </c>
      <c r="G206" s="85"/>
      <c r="H206" s="61"/>
      <c r="I206" s="13"/>
      <c r="J206" s="90">
        <f t="shared" si="22"/>
        <v>0</v>
      </c>
      <c r="K206" s="26">
        <f t="shared" si="19"/>
        <v>0</v>
      </c>
      <c r="L206" s="125"/>
      <c r="M206" s="125"/>
      <c r="O206" s="92">
        <f t="shared" si="23"/>
        <v>0</v>
      </c>
      <c r="P206" s="92">
        <f>IF(E206&lt;=G198,P205*(1+H206),0)</f>
        <v>0</v>
      </c>
      <c r="Q206" s="126">
        <v>4</v>
      </c>
    </row>
    <row r="207" spans="3:17" x14ac:dyDescent="0.55000000000000004">
      <c r="C207" s="124"/>
      <c r="D207" s="124"/>
      <c r="E207" s="89" t="str">
        <f t="shared" si="20"/>
        <v/>
      </c>
      <c r="F207" s="91" t="str">
        <f t="shared" si="21"/>
        <v/>
      </c>
      <c r="G207" s="85"/>
      <c r="H207" s="61"/>
      <c r="I207" s="13"/>
      <c r="J207" s="90">
        <f t="shared" si="22"/>
        <v>0</v>
      </c>
      <c r="K207" s="26">
        <f t="shared" si="19"/>
        <v>0</v>
      </c>
      <c r="L207" s="125"/>
      <c r="M207" s="125"/>
      <c r="O207" s="92">
        <f t="shared" si="23"/>
        <v>0</v>
      </c>
      <c r="P207" s="92">
        <f>IF(E207&lt;=G198,P206*(1+H207),0)</f>
        <v>0</v>
      </c>
      <c r="Q207" s="126">
        <v>5</v>
      </c>
    </row>
    <row r="208" spans="3:17" x14ac:dyDescent="0.55000000000000004">
      <c r="C208" s="124"/>
      <c r="D208" s="124"/>
      <c r="E208" s="89" t="str">
        <f t="shared" si="20"/>
        <v/>
      </c>
      <c r="F208" s="91" t="str">
        <f t="shared" si="21"/>
        <v/>
      </c>
      <c r="G208" s="86"/>
      <c r="H208" s="61"/>
      <c r="I208" s="13"/>
      <c r="J208" s="90">
        <f t="shared" si="22"/>
        <v>0</v>
      </c>
      <c r="K208" s="26">
        <f t="shared" si="19"/>
        <v>0</v>
      </c>
      <c r="L208" s="125"/>
      <c r="M208" s="125"/>
      <c r="O208" s="92">
        <f t="shared" si="23"/>
        <v>0</v>
      </c>
      <c r="P208" s="92">
        <f>IF(E208&lt;=G198,P207*(1+H208),0)</f>
        <v>0</v>
      </c>
      <c r="Q208" s="126">
        <v>6</v>
      </c>
    </row>
    <row r="209" spans="3:17" x14ac:dyDescent="0.55000000000000004">
      <c r="C209" s="124"/>
      <c r="D209" s="124"/>
      <c r="E209" s="89" t="str">
        <f t="shared" si="20"/>
        <v/>
      </c>
      <c r="F209" s="91" t="str">
        <f t="shared" si="21"/>
        <v/>
      </c>
      <c r="G209" s="87"/>
      <c r="H209" s="61"/>
      <c r="I209" s="13"/>
      <c r="J209" s="90">
        <f t="shared" si="22"/>
        <v>0</v>
      </c>
      <c r="K209" s="26">
        <f t="shared" si="19"/>
        <v>0</v>
      </c>
      <c r="L209" s="125"/>
      <c r="M209" s="125"/>
      <c r="O209" s="92">
        <f t="shared" si="23"/>
        <v>0</v>
      </c>
      <c r="P209" s="92">
        <f>IF(E209&lt;=G198,P208*(1+H209),0)</f>
        <v>0</v>
      </c>
      <c r="Q209" s="126">
        <v>7</v>
      </c>
    </row>
    <row r="210" spans="3:17" x14ac:dyDescent="0.55000000000000004">
      <c r="C210" s="124"/>
      <c r="D210" s="124"/>
      <c r="E210" s="89" t="str">
        <f t="shared" si="20"/>
        <v/>
      </c>
      <c r="F210" s="91" t="str">
        <f t="shared" si="21"/>
        <v/>
      </c>
      <c r="G210" s="87"/>
      <c r="H210" s="61"/>
      <c r="I210" s="13"/>
      <c r="J210" s="90">
        <f t="shared" si="22"/>
        <v>0</v>
      </c>
      <c r="K210" s="26">
        <f t="shared" si="19"/>
        <v>0</v>
      </c>
      <c r="L210" s="125"/>
      <c r="M210" s="125"/>
      <c r="O210" s="92">
        <f t="shared" si="23"/>
        <v>0</v>
      </c>
      <c r="P210" s="92">
        <f>IF(E210&lt;=G198,P209*(1+H210),0)</f>
        <v>0</v>
      </c>
      <c r="Q210" s="126">
        <v>8</v>
      </c>
    </row>
    <row r="211" spans="3:17" x14ac:dyDescent="0.55000000000000004">
      <c r="C211" s="124"/>
      <c r="D211" s="124"/>
      <c r="E211" s="89" t="str">
        <f t="shared" si="20"/>
        <v/>
      </c>
      <c r="F211" s="91" t="str">
        <f t="shared" si="21"/>
        <v/>
      </c>
      <c r="G211" s="87"/>
      <c r="H211" s="61"/>
      <c r="I211" s="13"/>
      <c r="J211" s="90">
        <f t="shared" si="22"/>
        <v>0</v>
      </c>
      <c r="K211" s="26">
        <f t="shared" si="19"/>
        <v>0</v>
      </c>
      <c r="L211" s="125"/>
      <c r="M211" s="125"/>
      <c r="O211" s="92">
        <f t="shared" si="23"/>
        <v>0</v>
      </c>
      <c r="P211" s="92">
        <f>IF(E211&lt;=G198,P210*(1+H211),0)</f>
        <v>0</v>
      </c>
      <c r="Q211" s="126">
        <v>9</v>
      </c>
    </row>
    <row r="212" spans="3:17" x14ac:dyDescent="0.55000000000000004">
      <c r="C212" s="124"/>
      <c r="D212" s="124"/>
      <c r="E212" s="89" t="str">
        <f t="shared" si="20"/>
        <v/>
      </c>
      <c r="F212" s="91" t="str">
        <f t="shared" si="21"/>
        <v/>
      </c>
      <c r="G212" s="148" t="s">
        <v>84</v>
      </c>
      <c r="H212" s="50"/>
      <c r="I212" s="88"/>
      <c r="J212" s="90">
        <f t="shared" si="22"/>
        <v>0</v>
      </c>
      <c r="K212" s="26"/>
      <c r="L212" s="125"/>
      <c r="M212" s="125"/>
      <c r="O212" s="92">
        <f t="shared" si="23"/>
        <v>0</v>
      </c>
      <c r="P212" s="92">
        <f>IF(E212&lt;=G198,P211*(1+H212),0)</f>
        <v>0</v>
      </c>
      <c r="Q212" s="126">
        <v>10</v>
      </c>
    </row>
    <row r="213" spans="3:17" ht="14.7" thickBot="1" x14ac:dyDescent="0.6">
      <c r="C213" s="124"/>
      <c r="D213" s="130"/>
      <c r="E213" s="149"/>
      <c r="F213" s="150"/>
      <c r="G213" s="149"/>
      <c r="H213" s="151"/>
      <c r="I213" s="152"/>
      <c r="J213" s="153"/>
      <c r="K213" s="131"/>
      <c r="L213" s="154"/>
      <c r="M213" s="125"/>
      <c r="O213" s="126"/>
      <c r="P213" s="126"/>
      <c r="Q213" s="126"/>
    </row>
    <row r="214" spans="3:17" ht="14.7" thickBot="1" x14ac:dyDescent="0.6">
      <c r="C214" s="130"/>
      <c r="D214" s="131"/>
      <c r="E214" s="131"/>
      <c r="F214" s="131"/>
      <c r="G214" s="131"/>
      <c r="H214" s="131"/>
      <c r="I214" s="131"/>
      <c r="J214" s="131"/>
      <c r="K214" s="131"/>
      <c r="L214" s="131"/>
      <c r="M214" s="132"/>
      <c r="O214" s="126"/>
      <c r="P214" s="126"/>
      <c r="Q214" s="126"/>
    </row>
    <row r="215" spans="3:17" ht="14.7" thickBot="1" x14ac:dyDescent="0.6">
      <c r="O215" s="126"/>
      <c r="P215" s="126"/>
      <c r="Q215" s="126"/>
    </row>
    <row r="216" spans="3:17" x14ac:dyDescent="0.55000000000000004">
      <c r="C216" s="121"/>
      <c r="D216" s="122"/>
      <c r="E216" s="122"/>
      <c r="F216" s="122"/>
      <c r="G216" s="122"/>
      <c r="H216" s="122"/>
      <c r="I216" s="122"/>
      <c r="J216" s="122"/>
      <c r="K216" s="122"/>
      <c r="L216" s="122"/>
      <c r="M216" s="123"/>
      <c r="O216" s="126"/>
      <c r="P216" s="126"/>
      <c r="Q216" s="126"/>
    </row>
    <row r="217" spans="3:17" ht="18.3" x14ac:dyDescent="0.7">
      <c r="C217" s="124"/>
      <c r="D217" s="1822" t="str">
        <f>'2 Customer data'!D26</f>
        <v>Commercial</v>
      </c>
      <c r="E217" s="1822"/>
      <c r="F217" s="1822"/>
      <c r="G217" s="1822"/>
      <c r="H217" s="1822"/>
      <c r="I217" s="1822"/>
      <c r="J217" s="1822"/>
      <c r="K217" s="1822"/>
      <c r="L217" s="1822"/>
      <c r="M217" s="125"/>
      <c r="O217" s="126"/>
      <c r="P217" s="126"/>
      <c r="Q217" s="126"/>
    </row>
    <row r="218" spans="3:17" ht="14.7" thickBot="1" x14ac:dyDescent="0.6">
      <c r="C218" s="124"/>
      <c r="E218" s="1"/>
      <c r="M218" s="125"/>
      <c r="O218" s="126"/>
      <c r="P218" s="126"/>
      <c r="Q218" s="126"/>
    </row>
    <row r="219" spans="3:17" x14ac:dyDescent="0.55000000000000004">
      <c r="C219" s="124"/>
      <c r="D219" s="121"/>
      <c r="E219" s="122"/>
      <c r="F219" s="122"/>
      <c r="G219" s="122"/>
      <c r="H219" s="122"/>
      <c r="I219" s="122"/>
      <c r="J219" s="122"/>
      <c r="K219" s="122"/>
      <c r="L219" s="123"/>
      <c r="M219" s="125"/>
      <c r="O219" s="126"/>
      <c r="P219" s="126"/>
      <c r="Q219" s="126"/>
    </row>
    <row r="220" spans="3:17" x14ac:dyDescent="0.55000000000000004">
      <c r="C220" s="124"/>
      <c r="D220" s="124"/>
      <c r="E220" s="1" t="str">
        <f>'2 Customer data'!D26&amp;" "&amp;"information"</f>
        <v>Commercial information</v>
      </c>
      <c r="L220" s="125"/>
      <c r="M220" s="125"/>
      <c r="O220" s="126"/>
      <c r="P220" s="126"/>
      <c r="Q220" s="126"/>
    </row>
    <row r="221" spans="3:17" x14ac:dyDescent="0.55000000000000004">
      <c r="C221" s="124"/>
      <c r="D221" s="124"/>
      <c r="E221" s="127"/>
      <c r="L221" s="125"/>
      <c r="M221" s="125"/>
      <c r="O221" s="126"/>
      <c r="P221" s="126"/>
      <c r="Q221" s="126"/>
    </row>
    <row r="222" spans="3:17" ht="28.8" x14ac:dyDescent="0.55000000000000004">
      <c r="C222" s="124"/>
      <c r="D222" s="124"/>
      <c r="E222" s="128"/>
      <c r="F222" s="56" t="s">
        <v>28</v>
      </c>
      <c r="G222" s="129" t="s">
        <v>278</v>
      </c>
      <c r="H222" s="129" t="s">
        <v>69</v>
      </c>
      <c r="I222" s="129" t="s">
        <v>70</v>
      </c>
      <c r="J222" s="56" t="s">
        <v>71</v>
      </c>
      <c r="L222" s="125"/>
      <c r="M222" s="125"/>
      <c r="O222" s="126"/>
      <c r="P222" s="126"/>
      <c r="Q222" s="126"/>
    </row>
    <row r="223" spans="3:17" x14ac:dyDescent="0.55000000000000004">
      <c r="C223" s="124"/>
      <c r="D223" s="124"/>
      <c r="E223" t="str">
        <f>'2 Customer data'!D26</f>
        <v>Commercial</v>
      </c>
      <c r="F223" s="26">
        <f>IFERROR(IF(VLOOKUP(E223,'2 Customer data'!$D$21:$L$40,6,FALSE)="",VLOOKUP(E223,'2 Customer data'!$D$21:$L$40,5,FALSE),VLOOKUP(E223,'2 Customer data'!$D$21:$L$40,6,FALSE)),0)</f>
        <v>740.46699999999998</v>
      </c>
      <c r="G223" s="26">
        <f>IFERROR(IF(VLOOKUP(E223,'2 Customer data'!$D$21:$K$40,8,FALSE)="",VLOOKUP(E223,'2 Customer data'!$D$21:$K$40,7,FALSE),VLOOKUP(E223,'2 Customer data'!$D$21:$K$40,8,FALSE)),0)</f>
        <v>400059.63399999996</v>
      </c>
      <c r="H223" s="26">
        <f ca="1">VLOOKUP(E223,'2 Water'!$D$19:$J$38,5,FALSE)</f>
        <v>2610520.4721635594</v>
      </c>
      <c r="I223" s="26">
        <f ca="1">VLOOKUP(E223,'2 Water'!$D$19:$J$38,6,FALSE)</f>
        <v>9210133.3462454807</v>
      </c>
      <c r="J223" s="26">
        <f ca="1">IFERROR(VLOOKUP(E223,'2 Water'!$D$158:$K$177,8,FALSE),0)</f>
        <v>10968748.919406813</v>
      </c>
      <c r="K223" s="5"/>
      <c r="L223" s="125"/>
      <c r="M223" s="125"/>
      <c r="O223" s="126"/>
      <c r="P223" s="126"/>
      <c r="Q223" s="126"/>
    </row>
    <row r="224" spans="3:17" ht="14.7" thickBot="1" x14ac:dyDescent="0.6">
      <c r="C224" s="124"/>
      <c r="D224" s="130"/>
      <c r="E224" s="131"/>
      <c r="F224" s="131"/>
      <c r="G224" s="131"/>
      <c r="H224" s="131"/>
      <c r="I224" s="131"/>
      <c r="J224" s="131"/>
      <c r="K224" s="131"/>
      <c r="L224" s="132"/>
      <c r="M224" s="125"/>
      <c r="O224" s="126"/>
      <c r="P224" s="126"/>
      <c r="Q224" s="126"/>
    </row>
    <row r="225" spans="3:17" ht="14.7" thickBot="1" x14ac:dyDescent="0.6">
      <c r="C225" s="124"/>
      <c r="M225" s="125"/>
      <c r="O225" s="126"/>
      <c r="P225" s="126"/>
      <c r="Q225" s="126"/>
    </row>
    <row r="226" spans="3:17" x14ac:dyDescent="0.55000000000000004">
      <c r="C226" s="124"/>
      <c r="D226" s="121"/>
      <c r="E226" s="122"/>
      <c r="F226" s="122"/>
      <c r="G226" s="122"/>
      <c r="H226" s="122"/>
      <c r="I226" s="122"/>
      <c r="J226" s="122"/>
      <c r="K226" s="122"/>
      <c r="L226" s="123"/>
      <c r="M226" s="125"/>
      <c r="O226" s="126"/>
      <c r="P226" s="126"/>
      <c r="Q226" s="126"/>
    </row>
    <row r="227" spans="3:17" x14ac:dyDescent="0.55000000000000004">
      <c r="C227" s="124"/>
      <c r="D227" s="124"/>
      <c r="E227" s="1" t="s">
        <v>72</v>
      </c>
      <c r="L227" s="125"/>
      <c r="M227" s="125"/>
      <c r="O227" s="126"/>
      <c r="P227" s="126"/>
      <c r="Q227" s="126"/>
    </row>
    <row r="228" spans="3:17" x14ac:dyDescent="0.55000000000000004">
      <c r="C228" s="124"/>
      <c r="D228" s="124"/>
      <c r="E228" s="120" t="s">
        <v>555</v>
      </c>
      <c r="L228" s="125"/>
      <c r="M228" s="125"/>
      <c r="O228" s="126"/>
      <c r="P228" s="126"/>
      <c r="Q228" s="126"/>
    </row>
    <row r="229" spans="3:17" x14ac:dyDescent="0.55000000000000004">
      <c r="C229" s="124"/>
      <c r="D229" s="124"/>
      <c r="E229" s="127"/>
      <c r="L229" s="125"/>
      <c r="M229" s="125"/>
      <c r="O229" s="126"/>
      <c r="P229" s="126"/>
      <c r="Q229" s="126"/>
    </row>
    <row r="230" spans="3:17" ht="28.8" x14ac:dyDescent="0.55000000000000004">
      <c r="C230" s="124"/>
      <c r="D230" s="124"/>
      <c r="F230" s="56" t="s">
        <v>86</v>
      </c>
      <c r="G230" s="56" t="s">
        <v>73</v>
      </c>
      <c r="H230" s="56" t="s">
        <v>74</v>
      </c>
      <c r="I230" s="56" t="s">
        <v>75</v>
      </c>
      <c r="J230" s="56" t="s">
        <v>76</v>
      </c>
      <c r="L230" s="125"/>
      <c r="M230" s="125"/>
      <c r="O230" s="126"/>
      <c r="P230" s="126"/>
      <c r="Q230" s="126"/>
    </row>
    <row r="231" spans="3:17" x14ac:dyDescent="0.55000000000000004">
      <c r="C231" s="124"/>
      <c r="D231" s="124"/>
      <c r="E231" t="str">
        <f>E223</f>
        <v>Commercial</v>
      </c>
      <c r="F231" s="26">
        <f ca="1">H223</f>
        <v>2610520.4721635594</v>
      </c>
      <c r="G231" s="64">
        <f ca="1">IFERROR(F231/F223/12,0)</f>
        <v>293.79212399782381</v>
      </c>
      <c r="H231" s="84">
        <f ca="1">G231</f>
        <v>293.79212399782381</v>
      </c>
      <c r="I231" s="26">
        <f ca="1">H231*F223*12</f>
        <v>2610520.4721635589</v>
      </c>
      <c r="J231" s="21">
        <f ca="1">IFERROR(I231/12,0)</f>
        <v>217543.37268029657</v>
      </c>
      <c r="L231" s="125"/>
      <c r="M231" s="125"/>
      <c r="O231" s="126"/>
      <c r="P231" s="126"/>
      <c r="Q231" s="126"/>
    </row>
    <row r="232" spans="3:17" x14ac:dyDescent="0.55000000000000004">
      <c r="C232" s="124"/>
      <c r="D232" s="124"/>
      <c r="E232" s="133"/>
      <c r="F232" s="58" t="str">
        <f ca="1">IF(I231&gt;J223,"Error: revenue from fixed charges exceeds total revenue required from tariff. Reduce fixed charge.","")</f>
        <v/>
      </c>
      <c r="G232" s="134"/>
      <c r="H232" s="134"/>
      <c r="I232" s="134"/>
      <c r="J232" s="135"/>
      <c r="L232" s="125"/>
      <c r="M232" s="125"/>
      <c r="O232" s="126"/>
      <c r="P232" s="126"/>
      <c r="Q232" s="126"/>
    </row>
    <row r="233" spans="3:17" ht="14.7" thickBot="1" x14ac:dyDescent="0.6">
      <c r="C233" s="124"/>
      <c r="D233" s="130"/>
      <c r="E233" s="131"/>
      <c r="F233" s="131"/>
      <c r="G233" s="131"/>
      <c r="H233" s="131"/>
      <c r="I233" s="131"/>
      <c r="J233" s="131"/>
      <c r="K233" s="131"/>
      <c r="L233" s="132"/>
      <c r="M233" s="125"/>
      <c r="O233" s="126"/>
      <c r="P233" s="126"/>
      <c r="Q233" s="126"/>
    </row>
    <row r="234" spans="3:17" ht="14.7" thickBot="1" x14ac:dyDescent="0.6">
      <c r="C234" s="124"/>
      <c r="M234" s="125"/>
      <c r="O234" s="126"/>
      <c r="P234" s="126"/>
      <c r="Q234" s="126"/>
    </row>
    <row r="235" spans="3:17" x14ac:dyDescent="0.55000000000000004">
      <c r="C235" s="124"/>
      <c r="D235" s="121"/>
      <c r="E235" s="122"/>
      <c r="F235" s="122"/>
      <c r="G235" s="122"/>
      <c r="H235" s="122"/>
      <c r="I235" s="122"/>
      <c r="J235" s="122"/>
      <c r="K235" s="122"/>
      <c r="L235" s="123"/>
      <c r="M235" s="125"/>
      <c r="O235" s="126"/>
      <c r="P235" s="126"/>
      <c r="Q235" s="126"/>
    </row>
    <row r="236" spans="3:17" x14ac:dyDescent="0.55000000000000004">
      <c r="C236" s="124"/>
      <c r="D236" s="124"/>
      <c r="E236" s="1" t="s">
        <v>96</v>
      </c>
      <c r="L236" s="125"/>
      <c r="M236" s="125"/>
      <c r="O236" s="126"/>
      <c r="P236" s="126"/>
      <c r="Q236" s="126"/>
    </row>
    <row r="237" spans="3:17" ht="14.55" customHeight="1" x14ac:dyDescent="0.55000000000000004">
      <c r="C237" s="124"/>
      <c r="D237" s="124"/>
      <c r="E237" s="1804" t="s">
        <v>451</v>
      </c>
      <c r="F237" s="1804"/>
      <c r="G237" s="1804"/>
      <c r="H237" s="1804"/>
      <c r="I237" s="1804"/>
      <c r="J237" s="1804"/>
      <c r="K237" s="1804"/>
      <c r="L237" s="136"/>
      <c r="M237" s="136"/>
      <c r="O237" s="126"/>
      <c r="P237" s="126"/>
      <c r="Q237" s="126"/>
    </row>
    <row r="238" spans="3:17" x14ac:dyDescent="0.55000000000000004">
      <c r="C238" s="124"/>
      <c r="D238" s="124"/>
      <c r="E238" s="1804"/>
      <c r="F238" s="1804"/>
      <c r="G238" s="1804"/>
      <c r="H238" s="1804"/>
      <c r="I238" s="1804"/>
      <c r="J238" s="1804"/>
      <c r="K238" s="1804"/>
      <c r="L238" s="136"/>
      <c r="M238" s="136"/>
      <c r="O238" s="126"/>
      <c r="P238" s="126"/>
      <c r="Q238" s="126"/>
    </row>
    <row r="239" spans="3:17" x14ac:dyDescent="0.55000000000000004">
      <c r="C239" s="124"/>
      <c r="D239" s="124"/>
      <c r="L239" s="125"/>
      <c r="M239" s="125"/>
      <c r="O239" s="126"/>
      <c r="P239" s="126"/>
      <c r="Q239" s="126"/>
    </row>
    <row r="240" spans="3:17" x14ac:dyDescent="0.55000000000000004">
      <c r="C240" s="124"/>
      <c r="D240" s="124"/>
      <c r="E240" t="s">
        <v>77</v>
      </c>
      <c r="F240" s="126"/>
      <c r="G240" s="50">
        <v>3</v>
      </c>
      <c r="L240" s="125"/>
      <c r="M240" s="125"/>
      <c r="O240" s="126"/>
      <c r="P240" s="126"/>
      <c r="Q240" s="126"/>
    </row>
    <row r="241" spans="3:17" x14ac:dyDescent="0.55000000000000004">
      <c r="C241" s="124"/>
      <c r="D241" s="124"/>
      <c r="E241" s="10" t="s">
        <v>612</v>
      </c>
      <c r="F241" s="133"/>
      <c r="G241" s="159" t="s">
        <v>578</v>
      </c>
      <c r="L241" s="125"/>
      <c r="M241" s="125"/>
      <c r="O241" s="126"/>
      <c r="P241" s="126"/>
      <c r="Q241" s="126"/>
    </row>
    <row r="242" spans="3:17" x14ac:dyDescent="0.55000000000000004">
      <c r="C242" s="124"/>
      <c r="D242" s="124"/>
      <c r="L242" s="125"/>
      <c r="M242" s="125"/>
      <c r="O242" s="126"/>
      <c r="P242" s="126"/>
      <c r="Q242" s="126"/>
    </row>
    <row r="243" spans="3:17" ht="28.8" x14ac:dyDescent="0.55000000000000004">
      <c r="C243" s="124"/>
      <c r="D243" s="124"/>
      <c r="E243" s="129" t="s">
        <v>78</v>
      </c>
      <c r="F243" s="129" t="s">
        <v>79</v>
      </c>
      <c r="G243" s="139" t="s">
        <v>80</v>
      </c>
      <c r="H243" s="129" t="s">
        <v>333</v>
      </c>
      <c r="I243" s="56" t="s">
        <v>82</v>
      </c>
      <c r="J243" s="129" t="s">
        <v>81</v>
      </c>
      <c r="K243" s="56" t="s">
        <v>83</v>
      </c>
      <c r="L243" s="125"/>
      <c r="M243" s="125"/>
      <c r="O243" s="126" t="s">
        <v>614</v>
      </c>
      <c r="P243" s="126" t="s">
        <v>615</v>
      </c>
      <c r="Q243" s="126"/>
    </row>
    <row r="244" spans="3:17" x14ac:dyDescent="0.55000000000000004">
      <c r="C244" s="124"/>
      <c r="D244" s="124"/>
      <c r="E244" s="89">
        <f>IF($G$240=Q244,Q244,1)</f>
        <v>1</v>
      </c>
      <c r="F244" s="91">
        <v>0</v>
      </c>
      <c r="G244" s="85">
        <v>30</v>
      </c>
      <c r="H244" s="63"/>
      <c r="I244" s="31">
        <f>G223-SUMIF(E245:E253,"&lt;="&amp;$G$240,I245:I253)</f>
        <v>129537.99271356617</v>
      </c>
      <c r="J244" s="114">
        <f ca="1">IFERROR(IF(E244&lt;=G240,IF(G241="No",IF(I231=0,J223/SUMPRODUCT(O244:O253,I244:I253),(J223-I231)/SUMPRODUCT(O244:O253,I244:I253)),0),0),0)</f>
        <v>12.70779674269545</v>
      </c>
      <c r="K244" s="26">
        <f ca="1">IFERROR(J244*I244,0)</f>
        <v>1646142.4818607632</v>
      </c>
      <c r="L244" s="125"/>
      <c r="M244" s="125"/>
      <c r="O244" s="92">
        <f>IF(E244&lt;=$G$240,1,0)</f>
        <v>1</v>
      </c>
      <c r="P244" s="126"/>
      <c r="Q244" s="126">
        <v>1</v>
      </c>
    </row>
    <row r="245" spans="3:17" x14ac:dyDescent="0.55000000000000004">
      <c r="C245" s="124"/>
      <c r="D245" s="124"/>
      <c r="E245" s="89">
        <f t="shared" ref="E245:E253" si="24">IF($G$240&gt;=Q245,Q245,"")</f>
        <v>2</v>
      </c>
      <c r="F245" s="91">
        <f t="shared" ref="F245:F253" si="25">IF($G$240&gt;=E245,G244+0.01,"")</f>
        <v>30.01</v>
      </c>
      <c r="G245" s="85">
        <v>40</v>
      </c>
      <c r="H245" s="61">
        <v>0.3653581267217631</v>
      </c>
      <c r="I245" s="13">
        <v>20394.133680065304</v>
      </c>
      <c r="J245" s="114">
        <f ca="1">IFERROR(IF(E245&lt;=G240,IF(G241="No",J244*(1+H245),IF(I231=0,J223/SUMPRODUCT(P245:P253,I245:I253),(J223-I231)/SUMPRODUCT(P245:P253,I245:I253))),0),0)</f>
        <v>17.350693555367585</v>
      </c>
      <c r="K245" s="26">
        <f t="shared" ref="K245:K253" ca="1" si="26">IFERROR(J245*I245,0)</f>
        <v>353852.3638100141</v>
      </c>
      <c r="L245" s="125"/>
      <c r="M245" s="125"/>
      <c r="O245" s="92">
        <f>IF(E245&lt;=$G$240,(1+H245),0)</f>
        <v>1.3653581267217632</v>
      </c>
      <c r="P245" s="92">
        <f>IF(E245&lt;=G239,1,0)</f>
        <v>0</v>
      </c>
      <c r="Q245" s="126">
        <v>2</v>
      </c>
    </row>
    <row r="246" spans="3:17" x14ac:dyDescent="0.55000000000000004">
      <c r="C246" s="124"/>
      <c r="D246" s="124"/>
      <c r="E246" s="89">
        <f t="shared" si="24"/>
        <v>3</v>
      </c>
      <c r="F246" s="91">
        <f t="shared" si="25"/>
        <v>40.01</v>
      </c>
      <c r="G246" s="85" t="s">
        <v>1669</v>
      </c>
      <c r="H246" s="61">
        <v>0.46506935687263568</v>
      </c>
      <c r="I246" s="13">
        <v>250127.50760636851</v>
      </c>
      <c r="J246" s="90">
        <f t="shared" ref="J246:J253" ca="1" si="27">IF(E246&lt;=$G$240,J245*(1+H246),0)</f>
        <v>25.41996944845657</v>
      </c>
      <c r="K246" s="26">
        <f t="shared" ca="1" si="26"/>
        <v>6358233.6015724754</v>
      </c>
      <c r="L246" s="125"/>
      <c r="M246" s="125"/>
      <c r="O246" s="92">
        <f t="shared" ref="O246:O253" si="28">IF(E246&lt;=$G$240,O245*(1+H246),0)</f>
        <v>2.0003443526170801</v>
      </c>
      <c r="P246" s="92">
        <f>IF(E246&lt;=G239,P245*(1+H246),0)</f>
        <v>0</v>
      </c>
      <c r="Q246" s="126">
        <v>3</v>
      </c>
    </row>
    <row r="247" spans="3:17" x14ac:dyDescent="0.55000000000000004">
      <c r="C247" s="124"/>
      <c r="D247" s="124"/>
      <c r="E247" s="89" t="str">
        <f t="shared" si="24"/>
        <v/>
      </c>
      <c r="F247" s="91" t="str">
        <f t="shared" si="25"/>
        <v/>
      </c>
      <c r="G247" s="85"/>
      <c r="H247" s="61"/>
      <c r="I247" s="13"/>
      <c r="J247" s="90">
        <f t="shared" si="27"/>
        <v>0</v>
      </c>
      <c r="K247" s="26">
        <f t="shared" si="26"/>
        <v>0</v>
      </c>
      <c r="L247" s="125"/>
      <c r="M247" s="125"/>
      <c r="O247" s="92">
        <f t="shared" si="28"/>
        <v>0</v>
      </c>
      <c r="P247" s="92">
        <f>IF(E247&lt;=G239,P246*(1+H247),0)</f>
        <v>0</v>
      </c>
      <c r="Q247" s="126">
        <v>4</v>
      </c>
    </row>
    <row r="248" spans="3:17" x14ac:dyDescent="0.55000000000000004">
      <c r="C248" s="124"/>
      <c r="D248" s="124"/>
      <c r="E248" s="89" t="str">
        <f t="shared" si="24"/>
        <v/>
      </c>
      <c r="F248" s="91" t="str">
        <f t="shared" si="25"/>
        <v/>
      </c>
      <c r="G248" s="85"/>
      <c r="H248" s="61"/>
      <c r="I248" s="13"/>
      <c r="J248" s="90">
        <f t="shared" si="27"/>
        <v>0</v>
      </c>
      <c r="K248" s="26">
        <f t="shared" si="26"/>
        <v>0</v>
      </c>
      <c r="L248" s="125"/>
      <c r="M248" s="125"/>
      <c r="O248" s="92">
        <f t="shared" si="28"/>
        <v>0</v>
      </c>
      <c r="P248" s="92">
        <f>IF(E248&lt;=G239,P247*(1+H248),0)</f>
        <v>0</v>
      </c>
      <c r="Q248" s="126">
        <v>5</v>
      </c>
    </row>
    <row r="249" spans="3:17" x14ac:dyDescent="0.55000000000000004">
      <c r="C249" s="124"/>
      <c r="D249" s="124"/>
      <c r="E249" s="89" t="str">
        <f t="shared" si="24"/>
        <v/>
      </c>
      <c r="F249" s="91" t="str">
        <f t="shared" si="25"/>
        <v/>
      </c>
      <c r="G249" s="86"/>
      <c r="H249" s="61"/>
      <c r="I249" s="13"/>
      <c r="J249" s="90">
        <f t="shared" si="27"/>
        <v>0</v>
      </c>
      <c r="K249" s="26">
        <f t="shared" si="26"/>
        <v>0</v>
      </c>
      <c r="L249" s="125"/>
      <c r="M249" s="125"/>
      <c r="O249" s="92">
        <f t="shared" si="28"/>
        <v>0</v>
      </c>
      <c r="P249" s="92">
        <f>IF(E249&lt;=G239,P248*(1+H249),0)</f>
        <v>0</v>
      </c>
      <c r="Q249" s="126">
        <v>6</v>
      </c>
    </row>
    <row r="250" spans="3:17" x14ac:dyDescent="0.55000000000000004">
      <c r="C250" s="124"/>
      <c r="D250" s="124"/>
      <c r="E250" s="89" t="str">
        <f t="shared" si="24"/>
        <v/>
      </c>
      <c r="F250" s="91" t="str">
        <f t="shared" si="25"/>
        <v/>
      </c>
      <c r="G250" s="87"/>
      <c r="H250" s="61"/>
      <c r="I250" s="13"/>
      <c r="J250" s="90">
        <f t="shared" si="27"/>
        <v>0</v>
      </c>
      <c r="K250" s="26">
        <f t="shared" si="26"/>
        <v>0</v>
      </c>
      <c r="L250" s="125"/>
      <c r="M250" s="125"/>
      <c r="O250" s="92">
        <f t="shared" si="28"/>
        <v>0</v>
      </c>
      <c r="P250" s="92">
        <f>IF(E250&lt;=G239,P249*(1+H250),0)</f>
        <v>0</v>
      </c>
      <c r="Q250" s="126">
        <v>7</v>
      </c>
    </row>
    <row r="251" spans="3:17" x14ac:dyDescent="0.55000000000000004">
      <c r="C251" s="124"/>
      <c r="D251" s="124"/>
      <c r="E251" s="89" t="str">
        <f t="shared" si="24"/>
        <v/>
      </c>
      <c r="F251" s="91" t="str">
        <f t="shared" si="25"/>
        <v/>
      </c>
      <c r="G251" s="87"/>
      <c r="H251" s="61"/>
      <c r="I251" s="13"/>
      <c r="J251" s="90">
        <f t="shared" si="27"/>
        <v>0</v>
      </c>
      <c r="K251" s="26">
        <f t="shared" si="26"/>
        <v>0</v>
      </c>
      <c r="L251" s="125"/>
      <c r="M251" s="125"/>
      <c r="O251" s="92">
        <f t="shared" si="28"/>
        <v>0</v>
      </c>
      <c r="P251" s="92">
        <f>IF(E251&lt;=G239,P250*(1+H251),0)</f>
        <v>0</v>
      </c>
      <c r="Q251" s="126">
        <v>8</v>
      </c>
    </row>
    <row r="252" spans="3:17" x14ac:dyDescent="0.55000000000000004">
      <c r="C252" s="124"/>
      <c r="D252" s="124"/>
      <c r="E252" s="89" t="str">
        <f t="shared" si="24"/>
        <v/>
      </c>
      <c r="F252" s="91" t="str">
        <f t="shared" si="25"/>
        <v/>
      </c>
      <c r="G252" s="87"/>
      <c r="H252" s="61"/>
      <c r="I252" s="13"/>
      <c r="J252" s="90">
        <f t="shared" si="27"/>
        <v>0</v>
      </c>
      <c r="K252" s="26">
        <f t="shared" si="26"/>
        <v>0</v>
      </c>
      <c r="L252" s="125"/>
      <c r="M252" s="125"/>
      <c r="O252" s="92">
        <f t="shared" si="28"/>
        <v>0</v>
      </c>
      <c r="P252" s="92">
        <f>IF(E252&lt;=G239,P251*(1+H252),0)</f>
        <v>0</v>
      </c>
      <c r="Q252" s="126">
        <v>9</v>
      </c>
    </row>
    <row r="253" spans="3:17" x14ac:dyDescent="0.55000000000000004">
      <c r="C253" s="124"/>
      <c r="D253" s="124"/>
      <c r="E253" s="89" t="str">
        <f t="shared" si="24"/>
        <v/>
      </c>
      <c r="F253" s="91" t="str">
        <f t="shared" si="25"/>
        <v/>
      </c>
      <c r="G253" s="148" t="s">
        <v>84</v>
      </c>
      <c r="H253" s="50"/>
      <c r="I253" s="88"/>
      <c r="J253" s="90">
        <f t="shared" si="27"/>
        <v>0</v>
      </c>
      <c r="K253" s="26">
        <f t="shared" si="26"/>
        <v>0</v>
      </c>
      <c r="L253" s="125"/>
      <c r="M253" s="125"/>
      <c r="O253" s="92">
        <f t="shared" si="28"/>
        <v>0</v>
      </c>
      <c r="P253" s="92">
        <f>IF(E253&lt;=G239,P252*(1+H253),0)</f>
        <v>0</v>
      </c>
      <c r="Q253" s="126">
        <v>10</v>
      </c>
    </row>
    <row r="254" spans="3:17" ht="14.7" thickBot="1" x14ac:dyDescent="0.6">
      <c r="C254" s="124"/>
      <c r="D254" s="130"/>
      <c r="E254" s="149"/>
      <c r="F254" s="150"/>
      <c r="G254" s="149"/>
      <c r="H254" s="151"/>
      <c r="I254" s="152"/>
      <c r="J254" s="153"/>
      <c r="K254" s="131"/>
      <c r="L254" s="154"/>
      <c r="M254" s="125"/>
      <c r="O254" s="126"/>
      <c r="P254" s="126"/>
      <c r="Q254" s="126"/>
    </row>
    <row r="255" spans="3:17" ht="14.7" thickBot="1" x14ac:dyDescent="0.6">
      <c r="C255" s="130"/>
      <c r="D255" s="131"/>
      <c r="E255" s="131"/>
      <c r="F255" s="131"/>
      <c r="G255" s="131"/>
      <c r="H255" s="131"/>
      <c r="I255" s="131"/>
      <c r="J255" s="131"/>
      <c r="K255" s="131"/>
      <c r="L255" s="131"/>
      <c r="M255" s="132"/>
      <c r="O255" s="126"/>
      <c r="P255" s="126"/>
      <c r="Q255" s="126"/>
    </row>
    <row r="256" spans="3:17" ht="14.7" thickBot="1" x14ac:dyDescent="0.6">
      <c r="O256" s="126"/>
      <c r="P256" s="126"/>
      <c r="Q256" s="126"/>
    </row>
    <row r="257" spans="3:17" x14ac:dyDescent="0.55000000000000004">
      <c r="C257" s="121"/>
      <c r="D257" s="122"/>
      <c r="E257" s="122"/>
      <c r="F257" s="122"/>
      <c r="G257" s="122"/>
      <c r="H257" s="122"/>
      <c r="I257" s="122"/>
      <c r="J257" s="122"/>
      <c r="K257" s="122"/>
      <c r="L257" s="122"/>
      <c r="M257" s="123"/>
      <c r="O257" s="126"/>
      <c r="P257" s="126"/>
      <c r="Q257" s="126"/>
    </row>
    <row r="258" spans="3:17" ht="18.3" x14ac:dyDescent="0.7">
      <c r="C258" s="124"/>
      <c r="D258" s="1822" t="str">
        <f>'2 Customer data'!D27</f>
        <v>Old Age Homes</v>
      </c>
      <c r="E258" s="1822"/>
      <c r="F258" s="1822"/>
      <c r="G258" s="1822"/>
      <c r="H258" s="1822"/>
      <c r="I258" s="1822"/>
      <c r="J258" s="1822"/>
      <c r="K258" s="1822"/>
      <c r="L258" s="1822"/>
      <c r="M258" s="125"/>
      <c r="O258" s="126"/>
      <c r="P258" s="126"/>
      <c r="Q258" s="126"/>
    </row>
    <row r="259" spans="3:17" ht="14.7" thickBot="1" x14ac:dyDescent="0.6">
      <c r="C259" s="124"/>
      <c r="E259" s="1"/>
      <c r="M259" s="125"/>
      <c r="O259" s="126"/>
      <c r="P259" s="126"/>
      <c r="Q259" s="126"/>
    </row>
    <row r="260" spans="3:17" x14ac:dyDescent="0.55000000000000004">
      <c r="C260" s="124"/>
      <c r="D260" s="121"/>
      <c r="E260" s="122"/>
      <c r="F260" s="122"/>
      <c r="G260" s="122"/>
      <c r="H260" s="122"/>
      <c r="I260" s="122"/>
      <c r="J260" s="122"/>
      <c r="K260" s="122"/>
      <c r="L260" s="123"/>
      <c r="M260" s="125"/>
      <c r="O260" s="126"/>
      <c r="P260" s="126"/>
      <c r="Q260" s="126"/>
    </row>
    <row r="261" spans="3:17" x14ac:dyDescent="0.55000000000000004">
      <c r="C261" s="124"/>
      <c r="D261" s="124"/>
      <c r="E261" s="1" t="str">
        <f>'2 Customer data'!D27&amp;" "&amp;"information"</f>
        <v>Old Age Homes information</v>
      </c>
      <c r="L261" s="125"/>
      <c r="M261" s="125"/>
      <c r="O261" s="126"/>
      <c r="P261" s="126"/>
      <c r="Q261" s="126"/>
    </row>
    <row r="262" spans="3:17" x14ac:dyDescent="0.55000000000000004">
      <c r="C262" s="124"/>
      <c r="D262" s="124"/>
      <c r="E262" s="127"/>
      <c r="L262" s="125"/>
      <c r="M262" s="125"/>
      <c r="O262" s="126"/>
      <c r="P262" s="126"/>
      <c r="Q262" s="126"/>
    </row>
    <row r="263" spans="3:17" ht="28.8" x14ac:dyDescent="0.55000000000000004">
      <c r="C263" s="124"/>
      <c r="D263" s="124"/>
      <c r="E263" s="128"/>
      <c r="F263" s="56" t="s">
        <v>28</v>
      </c>
      <c r="G263" s="129" t="s">
        <v>278</v>
      </c>
      <c r="H263" s="129" t="s">
        <v>69</v>
      </c>
      <c r="I263" s="129" t="s">
        <v>70</v>
      </c>
      <c r="J263" s="56" t="s">
        <v>71</v>
      </c>
      <c r="L263" s="125"/>
      <c r="M263" s="125"/>
      <c r="O263" s="126"/>
      <c r="P263" s="126"/>
      <c r="Q263" s="126"/>
    </row>
    <row r="264" spans="3:17" x14ac:dyDescent="0.55000000000000004">
      <c r="C264" s="124"/>
      <c r="D264" s="124"/>
      <c r="E264" t="str">
        <f>'2 Customer data'!D27</f>
        <v>Old Age Homes</v>
      </c>
      <c r="F264" s="26">
        <f>IFERROR(IF(VLOOKUP(E264,'2 Customer data'!$D$21:$L$40,6,FALSE)="",VLOOKUP(E264,'2 Customer data'!$D$21:$L$40,5,FALSE),VLOOKUP(E264,'2 Customer data'!$D$21:$L$40,6,FALSE)),0)</f>
        <v>8.2159999999999993</v>
      </c>
      <c r="G264" s="26">
        <f>IFERROR(IF(VLOOKUP(E264,'2 Customer data'!$D$21:$K$40,8,FALSE)="",VLOOKUP(E264,'2 Customer data'!$D$21:$K$40,7,FALSE),VLOOKUP(E264,'2 Customer data'!$D$21:$K$40,8,FALSE)),0)</f>
        <v>16066.387999999999</v>
      </c>
      <c r="H264" s="26">
        <f ca="1">VLOOKUP(E264,'2 Water'!$D$19:$J$38,5,FALSE)</f>
        <v>28965.553089193443</v>
      </c>
      <c r="I264" s="26">
        <f ca="1">VLOOKUP(E264,'2 Water'!$D$19:$J$38,6,FALSE)</f>
        <v>369878.79630094906</v>
      </c>
      <c r="J264" s="26">
        <f ca="1">IFERROR(VLOOKUP(E264,'2 Water'!$D$158:$K$177,8,FALSE),0)</f>
        <v>309527.74658034311</v>
      </c>
      <c r="L264" s="125"/>
      <c r="M264" s="125"/>
      <c r="O264" s="126"/>
      <c r="P264" s="126"/>
      <c r="Q264" s="126"/>
    </row>
    <row r="265" spans="3:17" ht="14.7" thickBot="1" x14ac:dyDescent="0.6">
      <c r="C265" s="124"/>
      <c r="D265" s="130"/>
      <c r="E265" s="131"/>
      <c r="F265" s="131"/>
      <c r="G265" s="131"/>
      <c r="H265" s="131"/>
      <c r="I265" s="131"/>
      <c r="J265" s="131"/>
      <c r="K265" s="131"/>
      <c r="L265" s="132"/>
      <c r="M265" s="125"/>
      <c r="O265" s="126"/>
      <c r="P265" s="126"/>
      <c r="Q265" s="126"/>
    </row>
    <row r="266" spans="3:17" ht="14.7" thickBot="1" x14ac:dyDescent="0.6">
      <c r="C266" s="124"/>
      <c r="M266" s="125"/>
      <c r="O266" s="126"/>
      <c r="P266" s="126"/>
      <c r="Q266" s="126"/>
    </row>
    <row r="267" spans="3:17" x14ac:dyDescent="0.55000000000000004">
      <c r="C267" s="124"/>
      <c r="D267" s="121"/>
      <c r="E267" s="122"/>
      <c r="F267" s="122"/>
      <c r="G267" s="122"/>
      <c r="H267" s="122"/>
      <c r="I267" s="122"/>
      <c r="J267" s="122"/>
      <c r="K267" s="122"/>
      <c r="L267" s="123"/>
      <c r="M267" s="125"/>
      <c r="O267" s="126"/>
      <c r="P267" s="126"/>
      <c r="Q267" s="126"/>
    </row>
    <row r="268" spans="3:17" x14ac:dyDescent="0.55000000000000004">
      <c r="C268" s="124"/>
      <c r="D268" s="124"/>
      <c r="E268" s="1" t="s">
        <v>72</v>
      </c>
      <c r="L268" s="125"/>
      <c r="M268" s="125"/>
      <c r="O268" s="126"/>
      <c r="P268" s="126"/>
      <c r="Q268" s="126"/>
    </row>
    <row r="269" spans="3:17" x14ac:dyDescent="0.55000000000000004">
      <c r="C269" s="124"/>
      <c r="D269" s="124"/>
      <c r="E269" s="120" t="s">
        <v>555</v>
      </c>
      <c r="L269" s="125"/>
      <c r="M269" s="125"/>
      <c r="O269" s="126"/>
      <c r="P269" s="126"/>
      <c r="Q269" s="126"/>
    </row>
    <row r="270" spans="3:17" x14ac:dyDescent="0.55000000000000004">
      <c r="C270" s="124"/>
      <c r="D270" s="124"/>
      <c r="E270" s="127"/>
      <c r="L270" s="125"/>
      <c r="M270" s="125"/>
      <c r="O270" s="126"/>
      <c r="P270" s="126"/>
      <c r="Q270" s="126"/>
    </row>
    <row r="271" spans="3:17" ht="28.8" x14ac:dyDescent="0.55000000000000004">
      <c r="C271" s="124"/>
      <c r="D271" s="124"/>
      <c r="F271" s="56" t="s">
        <v>86</v>
      </c>
      <c r="G271" s="56" t="s">
        <v>73</v>
      </c>
      <c r="H271" s="56" t="s">
        <v>74</v>
      </c>
      <c r="I271" s="56" t="s">
        <v>75</v>
      </c>
      <c r="J271" s="56" t="s">
        <v>76</v>
      </c>
      <c r="L271" s="125"/>
      <c r="M271" s="125"/>
      <c r="O271" s="126"/>
      <c r="P271" s="126"/>
      <c r="Q271" s="126"/>
    </row>
    <row r="272" spans="3:17" x14ac:dyDescent="0.55000000000000004">
      <c r="C272" s="124"/>
      <c r="D272" s="124"/>
      <c r="E272" t="str">
        <f>E264</f>
        <v>Old Age Homes</v>
      </c>
      <c r="F272" s="26">
        <f ca="1">H264</f>
        <v>28965.553089193443</v>
      </c>
      <c r="G272" s="64">
        <f ca="1">IFERROR(F272/F264/12,0)</f>
        <v>293.79212399782381</v>
      </c>
      <c r="H272" s="84">
        <f ca="1">G272</f>
        <v>293.79212399782381</v>
      </c>
      <c r="I272" s="26">
        <f ca="1">H272*F264*12</f>
        <v>28965.553089193447</v>
      </c>
      <c r="J272" s="21">
        <f ca="1">IFERROR(I272/12,0)</f>
        <v>2413.7960907661204</v>
      </c>
      <c r="L272" s="125"/>
      <c r="M272" s="125"/>
      <c r="O272" s="126"/>
      <c r="P272" s="126"/>
      <c r="Q272" s="126"/>
    </row>
    <row r="273" spans="3:17" x14ac:dyDescent="0.55000000000000004">
      <c r="C273" s="124"/>
      <c r="D273" s="124"/>
      <c r="E273" s="133"/>
      <c r="F273" s="58" t="str">
        <f ca="1">IF(I272&gt;J264,"Error: revenue from fixed charges exceeds total revenue required from tariff. Reduce fixed charge.","")</f>
        <v/>
      </c>
      <c r="G273" s="134"/>
      <c r="H273" s="134"/>
      <c r="I273" s="134"/>
      <c r="J273" s="135"/>
      <c r="L273" s="125"/>
      <c r="M273" s="125"/>
      <c r="O273" s="126"/>
      <c r="P273" s="126"/>
      <c r="Q273" s="126"/>
    </row>
    <row r="274" spans="3:17" ht="14.7" thickBot="1" x14ac:dyDescent="0.6">
      <c r="C274" s="124"/>
      <c r="D274" s="130"/>
      <c r="E274" s="131"/>
      <c r="F274" s="131"/>
      <c r="G274" s="131"/>
      <c r="H274" s="131"/>
      <c r="I274" s="131"/>
      <c r="J274" s="131"/>
      <c r="K274" s="131"/>
      <c r="L274" s="132"/>
      <c r="M274" s="125"/>
      <c r="O274" s="126"/>
      <c r="P274" s="126"/>
      <c r="Q274" s="126"/>
    </row>
    <row r="275" spans="3:17" ht="14.7" thickBot="1" x14ac:dyDescent="0.6">
      <c r="C275" s="124"/>
      <c r="M275" s="125"/>
      <c r="O275" s="126"/>
      <c r="P275" s="126"/>
      <c r="Q275" s="126"/>
    </row>
    <row r="276" spans="3:17" x14ac:dyDescent="0.55000000000000004">
      <c r="C276" s="124"/>
      <c r="D276" s="121"/>
      <c r="E276" s="122"/>
      <c r="F276" s="122"/>
      <c r="G276" s="122"/>
      <c r="H276" s="122"/>
      <c r="I276" s="122"/>
      <c r="J276" s="122"/>
      <c r="K276" s="122"/>
      <c r="L276" s="123"/>
      <c r="M276" s="125"/>
      <c r="O276" s="126"/>
      <c r="P276" s="126"/>
      <c r="Q276" s="126"/>
    </row>
    <row r="277" spans="3:17" x14ac:dyDescent="0.55000000000000004">
      <c r="C277" s="124"/>
      <c r="D277" s="124"/>
      <c r="E277" s="1" t="s">
        <v>96</v>
      </c>
      <c r="L277" s="125"/>
      <c r="M277" s="125"/>
      <c r="O277" s="126"/>
      <c r="P277" s="126"/>
      <c r="Q277" s="126"/>
    </row>
    <row r="278" spans="3:17" ht="14.55" customHeight="1" x14ac:dyDescent="0.55000000000000004">
      <c r="C278" s="124"/>
      <c r="D278" s="124"/>
      <c r="E278" s="1804" t="s">
        <v>451</v>
      </c>
      <c r="F278" s="1804"/>
      <c r="G278" s="1804"/>
      <c r="H278" s="1804"/>
      <c r="I278" s="1804"/>
      <c r="J278" s="1804"/>
      <c r="K278" s="1804"/>
      <c r="L278" s="136"/>
      <c r="M278" s="136"/>
      <c r="O278" s="126"/>
      <c r="P278" s="126"/>
      <c r="Q278" s="126"/>
    </row>
    <row r="279" spans="3:17" x14ac:dyDescent="0.55000000000000004">
      <c r="C279" s="124"/>
      <c r="D279" s="124"/>
      <c r="E279" s="1804"/>
      <c r="F279" s="1804"/>
      <c r="G279" s="1804"/>
      <c r="H279" s="1804"/>
      <c r="I279" s="1804"/>
      <c r="J279" s="1804"/>
      <c r="K279" s="1804"/>
      <c r="L279" s="136"/>
      <c r="M279" s="136"/>
      <c r="O279" s="126"/>
      <c r="P279" s="126"/>
      <c r="Q279" s="126"/>
    </row>
    <row r="280" spans="3:17" x14ac:dyDescent="0.55000000000000004">
      <c r="C280" s="124"/>
      <c r="D280" s="124"/>
      <c r="L280" s="125"/>
      <c r="M280" s="125"/>
      <c r="O280" s="126"/>
      <c r="P280" s="126"/>
      <c r="Q280" s="126"/>
    </row>
    <row r="281" spans="3:17" x14ac:dyDescent="0.55000000000000004">
      <c r="C281" s="124"/>
      <c r="D281" s="124"/>
      <c r="E281" t="s">
        <v>77</v>
      </c>
      <c r="F281" s="126"/>
      <c r="G281" s="50">
        <v>5</v>
      </c>
      <c r="L281" s="125"/>
      <c r="M281" s="125"/>
      <c r="O281" s="126"/>
      <c r="P281" s="126"/>
      <c r="Q281" s="126"/>
    </row>
    <row r="282" spans="3:17" x14ac:dyDescent="0.55000000000000004">
      <c r="C282" s="124"/>
      <c r="D282" s="124"/>
      <c r="E282" s="10" t="s">
        <v>612</v>
      </c>
      <c r="F282" s="133"/>
      <c r="G282" s="159" t="s">
        <v>578</v>
      </c>
      <c r="L282" s="125"/>
      <c r="M282" s="125"/>
      <c r="O282" s="126"/>
      <c r="P282" s="126"/>
      <c r="Q282" s="126"/>
    </row>
    <row r="283" spans="3:17" x14ac:dyDescent="0.55000000000000004">
      <c r="C283" s="124"/>
      <c r="D283" s="124"/>
      <c r="L283" s="125"/>
      <c r="M283" s="125"/>
      <c r="O283" s="126"/>
      <c r="P283" s="126"/>
      <c r="Q283" s="126"/>
    </row>
    <row r="284" spans="3:17" ht="28.8" x14ac:dyDescent="0.55000000000000004">
      <c r="C284" s="124"/>
      <c r="D284" s="124"/>
      <c r="E284" s="129" t="s">
        <v>78</v>
      </c>
      <c r="F284" s="129" t="s">
        <v>79</v>
      </c>
      <c r="G284" s="139" t="s">
        <v>80</v>
      </c>
      <c r="H284" s="129" t="s">
        <v>333</v>
      </c>
      <c r="I284" s="56" t="s">
        <v>82</v>
      </c>
      <c r="J284" s="129" t="s">
        <v>81</v>
      </c>
      <c r="K284" s="56" t="s">
        <v>83</v>
      </c>
      <c r="L284" s="125"/>
      <c r="M284" s="125"/>
      <c r="O284" s="126" t="s">
        <v>614</v>
      </c>
      <c r="P284" s="126" t="s">
        <v>615</v>
      </c>
      <c r="Q284" s="126"/>
    </row>
    <row r="285" spans="3:17" x14ac:dyDescent="0.55000000000000004">
      <c r="C285" s="124"/>
      <c r="D285" s="124"/>
      <c r="E285" s="89">
        <f>IF($G$281=Q285,Q285,1)</f>
        <v>1</v>
      </c>
      <c r="F285" s="91">
        <v>0</v>
      </c>
      <c r="G285" s="85">
        <v>6</v>
      </c>
      <c r="H285" s="63"/>
      <c r="I285" s="31">
        <f>G264-SUMIF(E286:E294,"&lt;="&amp;$G$281,I286:I294)</f>
        <v>517.98349987215443</v>
      </c>
      <c r="J285" s="114">
        <f ca="1">IFERROR(IF(E285&lt;=G281,IF(G282="No",IF(I272=0,J264/SUMPRODUCT(O285:O294,I285:I294),(J264-I272)/SUMPRODUCT(O285:O294,I285:I294)),0),0),0)</f>
        <v>541.64310940482926</v>
      </c>
      <c r="K285" s="26">
        <f ca="1">IFERROR(J285*I285,0)</f>
        <v>280562.19349114969</v>
      </c>
      <c r="L285" s="125"/>
      <c r="M285" s="125"/>
      <c r="O285" s="92">
        <f>IF(E283&lt;=$G$281,1,0)</f>
        <v>1</v>
      </c>
      <c r="P285" s="126"/>
      <c r="Q285" s="126">
        <v>1</v>
      </c>
    </row>
    <row r="286" spans="3:17" x14ac:dyDescent="0.55000000000000004">
      <c r="C286" s="124"/>
      <c r="D286" s="124"/>
      <c r="E286" s="89">
        <f t="shared" ref="E286:E294" si="29">IF($G$281&gt;=Q286,Q286,"")</f>
        <v>2</v>
      </c>
      <c r="F286" s="91">
        <f t="shared" ref="F286:F294" si="30">IF($G$281&gt;=E286,G285+0.01,"")</f>
        <v>6.01</v>
      </c>
      <c r="G286" s="85">
        <v>15</v>
      </c>
      <c r="H286" s="61">
        <v>0.18975650713685976</v>
      </c>
      <c r="I286" s="13">
        <v>776.39324980823324</v>
      </c>
      <c r="J286" s="114">
        <f ca="1">IFERROR(IF(E286&lt;=G281,IF(G282="No",J285*(1+H286),IF(I272=0,J264/SUMPRODUCT(P286:P294,I286:I294),(J264-I272)/SUMPRODUCT(P286:P294,I286:I294))),0),0)</f>
        <v>644.42341396023755</v>
      </c>
      <c r="K286" s="26">
        <f t="shared" ref="K286:K294" ca="1" si="31">IFERROR(J286*I286,0)</f>
        <v>500325.98861710523</v>
      </c>
      <c r="L286" s="125"/>
      <c r="M286" s="125"/>
      <c r="O286" s="92">
        <f>IF(E284&lt;=$G$281,(1+H284),0)</f>
        <v>0</v>
      </c>
      <c r="P286" s="92">
        <f>IF(E286&lt;=G280,1,0)</f>
        <v>0</v>
      </c>
      <c r="Q286" s="126">
        <v>2</v>
      </c>
    </row>
    <row r="287" spans="3:17" x14ac:dyDescent="0.55000000000000004">
      <c r="C287" s="124"/>
      <c r="D287" s="124"/>
      <c r="E287" s="89">
        <f t="shared" si="29"/>
        <v>3</v>
      </c>
      <c r="F287" s="91">
        <f t="shared" si="30"/>
        <v>15.01</v>
      </c>
      <c r="G287" s="85">
        <v>30</v>
      </c>
      <c r="H287" s="61">
        <v>1.0677487649964714</v>
      </c>
      <c r="I287" s="13">
        <v>1286.7999232932752</v>
      </c>
      <c r="J287" s="90">
        <f t="shared" ref="J287:J294" ca="1" si="32">IF(E287&lt;=$G$281,J286*(1+H287),0)</f>
        <v>1332.505718351091</v>
      </c>
      <c r="K287" s="26">
        <f t="shared" ca="1" si="31"/>
        <v>1714668.2561620346</v>
      </c>
      <c r="L287" s="125"/>
      <c r="M287" s="125"/>
      <c r="O287" s="92">
        <f t="shared" ref="O287:O294" si="33">IF(E285&lt;=$G$281,O286*(1+H285),0)</f>
        <v>0</v>
      </c>
      <c r="P287" s="92">
        <f>IF(E287&lt;=G280,P286*(1+H287),0)</f>
        <v>0</v>
      </c>
      <c r="Q287" s="126">
        <v>3</v>
      </c>
    </row>
    <row r="288" spans="3:17" x14ac:dyDescent="0.55000000000000004">
      <c r="C288" s="124"/>
      <c r="D288" s="124"/>
      <c r="E288" s="89">
        <f t="shared" si="29"/>
        <v>4</v>
      </c>
      <c r="F288" s="91">
        <f t="shared" si="30"/>
        <v>30.01</v>
      </c>
      <c r="G288" s="85">
        <v>40</v>
      </c>
      <c r="H288" s="61">
        <v>0.24948805460750847</v>
      </c>
      <c r="I288" s="13">
        <v>832.87688570698026</v>
      </c>
      <c r="J288" s="90">
        <f t="shared" ca="1" si="32"/>
        <v>1664.9499777758851</v>
      </c>
      <c r="K288" s="26">
        <f t="shared" ca="1" si="31"/>
        <v>1386698.3523478853</v>
      </c>
      <c r="L288" s="125"/>
      <c r="M288" s="125"/>
      <c r="O288" s="92">
        <f t="shared" si="33"/>
        <v>0</v>
      </c>
      <c r="P288" s="92">
        <f>IF(E288&lt;=G280,P287*(1+H288),0)</f>
        <v>0</v>
      </c>
      <c r="Q288" s="126">
        <v>4</v>
      </c>
    </row>
    <row r="289" spans="3:17" x14ac:dyDescent="0.55000000000000004">
      <c r="C289" s="124"/>
      <c r="D289" s="124"/>
      <c r="E289" s="89">
        <f t="shared" si="29"/>
        <v>5</v>
      </c>
      <c r="F289" s="91">
        <f t="shared" si="30"/>
        <v>40.01</v>
      </c>
      <c r="G289" s="85" t="s">
        <v>1669</v>
      </c>
      <c r="H289" s="61">
        <v>0.32067741054356741</v>
      </c>
      <c r="I289" s="13">
        <v>12652.334441319355</v>
      </c>
      <c r="J289" s="90">
        <f t="shared" ca="1" si="32"/>
        <v>2198.8618253336263</v>
      </c>
      <c r="K289" s="26">
        <f t="shared" ca="1" si="31"/>
        <v>27820735.204370983</v>
      </c>
      <c r="L289" s="125"/>
      <c r="M289" s="125"/>
      <c r="O289" s="92">
        <f t="shared" si="33"/>
        <v>0</v>
      </c>
      <c r="P289" s="92">
        <f>IF(E289&lt;=G280,P288*(1+H289),0)</f>
        <v>0</v>
      </c>
      <c r="Q289" s="126">
        <v>5</v>
      </c>
    </row>
    <row r="290" spans="3:17" x14ac:dyDescent="0.55000000000000004">
      <c r="C290" s="124"/>
      <c r="D290" s="124"/>
      <c r="E290" s="89" t="str">
        <f t="shared" si="29"/>
        <v/>
      </c>
      <c r="F290" s="91" t="str">
        <f t="shared" si="30"/>
        <v/>
      </c>
      <c r="G290" s="86"/>
      <c r="H290" s="61"/>
      <c r="I290" s="13"/>
      <c r="J290" s="90">
        <f t="shared" si="32"/>
        <v>0</v>
      </c>
      <c r="K290" s="26">
        <f t="shared" si="31"/>
        <v>0</v>
      </c>
      <c r="L290" s="125"/>
      <c r="M290" s="125"/>
      <c r="O290" s="92">
        <f t="shared" si="33"/>
        <v>0</v>
      </c>
      <c r="P290" s="92">
        <f>IF(E290&lt;=G280,P289*(1+H290),0)</f>
        <v>0</v>
      </c>
      <c r="Q290" s="126">
        <v>6</v>
      </c>
    </row>
    <row r="291" spans="3:17" x14ac:dyDescent="0.55000000000000004">
      <c r="C291" s="124"/>
      <c r="D291" s="124"/>
      <c r="E291" s="89" t="str">
        <f t="shared" si="29"/>
        <v/>
      </c>
      <c r="F291" s="91" t="str">
        <f t="shared" si="30"/>
        <v/>
      </c>
      <c r="G291" s="87"/>
      <c r="H291" s="61"/>
      <c r="I291" s="13"/>
      <c r="J291" s="90">
        <f t="shared" si="32"/>
        <v>0</v>
      </c>
      <c r="K291" s="26">
        <f t="shared" si="31"/>
        <v>0</v>
      </c>
      <c r="L291" s="125"/>
      <c r="M291" s="125"/>
      <c r="O291" s="92">
        <f t="shared" si="33"/>
        <v>0</v>
      </c>
      <c r="P291" s="92">
        <f>IF(E291&lt;=G280,P290*(1+H291),0)</f>
        <v>0</v>
      </c>
      <c r="Q291" s="126">
        <v>7</v>
      </c>
    </row>
    <row r="292" spans="3:17" x14ac:dyDescent="0.55000000000000004">
      <c r="C292" s="124"/>
      <c r="D292" s="124"/>
      <c r="E292" s="89" t="str">
        <f t="shared" si="29"/>
        <v/>
      </c>
      <c r="F292" s="91" t="str">
        <f t="shared" si="30"/>
        <v/>
      </c>
      <c r="G292" s="87"/>
      <c r="H292" s="61"/>
      <c r="I292" s="13"/>
      <c r="J292" s="90">
        <f t="shared" si="32"/>
        <v>0</v>
      </c>
      <c r="K292" s="26">
        <f t="shared" si="31"/>
        <v>0</v>
      </c>
      <c r="L292" s="125"/>
      <c r="M292" s="125"/>
      <c r="O292" s="92">
        <f t="shared" si="33"/>
        <v>0</v>
      </c>
      <c r="P292" s="92">
        <f>IF(E292&lt;=G280,P291*(1+H292),0)</f>
        <v>0</v>
      </c>
      <c r="Q292" s="126">
        <v>8</v>
      </c>
    </row>
    <row r="293" spans="3:17" x14ac:dyDescent="0.55000000000000004">
      <c r="C293" s="124"/>
      <c r="D293" s="124"/>
      <c r="E293" s="89" t="str">
        <f t="shared" si="29"/>
        <v/>
      </c>
      <c r="F293" s="91" t="str">
        <f t="shared" si="30"/>
        <v/>
      </c>
      <c r="G293" s="87"/>
      <c r="H293" s="61"/>
      <c r="I293" s="13"/>
      <c r="J293" s="90">
        <f t="shared" si="32"/>
        <v>0</v>
      </c>
      <c r="K293" s="26">
        <f t="shared" si="31"/>
        <v>0</v>
      </c>
      <c r="L293" s="125"/>
      <c r="M293" s="125"/>
      <c r="O293" s="92">
        <f t="shared" si="33"/>
        <v>0</v>
      </c>
      <c r="P293" s="92">
        <f>IF(E293&lt;=G280,P292*(1+H293),0)</f>
        <v>0</v>
      </c>
      <c r="Q293" s="126">
        <v>9</v>
      </c>
    </row>
    <row r="294" spans="3:17" x14ac:dyDescent="0.55000000000000004">
      <c r="C294" s="124"/>
      <c r="D294" s="124"/>
      <c r="E294" s="89" t="str">
        <f t="shared" si="29"/>
        <v/>
      </c>
      <c r="F294" s="91" t="str">
        <f t="shared" si="30"/>
        <v/>
      </c>
      <c r="G294" s="148" t="s">
        <v>84</v>
      </c>
      <c r="H294" s="50"/>
      <c r="I294" s="88"/>
      <c r="J294" s="90">
        <f t="shared" si="32"/>
        <v>0</v>
      </c>
      <c r="K294" s="26">
        <f t="shared" si="31"/>
        <v>0</v>
      </c>
      <c r="L294" s="125"/>
      <c r="M294" s="125"/>
      <c r="O294" s="92">
        <f t="shared" si="33"/>
        <v>0</v>
      </c>
      <c r="P294" s="92">
        <f>IF(E294&lt;=G280,P293*(1+H294),0)</f>
        <v>0</v>
      </c>
      <c r="Q294" s="126">
        <v>10</v>
      </c>
    </row>
    <row r="295" spans="3:17" ht="14.7" thickBot="1" x14ac:dyDescent="0.6">
      <c r="C295" s="124"/>
      <c r="D295" s="130"/>
      <c r="E295" s="149"/>
      <c r="F295" s="150"/>
      <c r="G295" s="149"/>
      <c r="H295" s="151"/>
      <c r="I295" s="152"/>
      <c r="J295" s="153"/>
      <c r="K295" s="131"/>
      <c r="L295" s="154"/>
      <c r="M295" s="125"/>
      <c r="O295" s="126"/>
      <c r="P295" s="126"/>
      <c r="Q295" s="126"/>
    </row>
    <row r="296" spans="3:17" ht="14.7" thickBot="1" x14ac:dyDescent="0.6">
      <c r="C296" s="130"/>
      <c r="D296" s="131"/>
      <c r="E296" s="131"/>
      <c r="F296" s="131"/>
      <c r="G296" s="131"/>
      <c r="H296" s="131"/>
      <c r="I296" s="131"/>
      <c r="J296" s="131"/>
      <c r="K296" s="131"/>
      <c r="L296" s="131"/>
      <c r="M296" s="132"/>
      <c r="O296" s="126"/>
      <c r="P296" s="126"/>
      <c r="Q296" s="126"/>
    </row>
    <row r="297" spans="3:17" ht="14.7" thickBot="1" x14ac:dyDescent="0.6">
      <c r="O297" s="126"/>
      <c r="P297" s="126"/>
      <c r="Q297" s="126"/>
    </row>
    <row r="298" spans="3:17" x14ac:dyDescent="0.55000000000000004">
      <c r="C298" s="121"/>
      <c r="D298" s="122"/>
      <c r="E298" s="122"/>
      <c r="F298" s="122"/>
      <c r="G298" s="122"/>
      <c r="H298" s="122"/>
      <c r="I298" s="122"/>
      <c r="J298" s="122"/>
      <c r="K298" s="122"/>
      <c r="L298" s="122"/>
      <c r="M298" s="123"/>
      <c r="O298" s="126"/>
      <c r="P298" s="126"/>
      <c r="Q298" s="126"/>
    </row>
    <row r="299" spans="3:17" ht="18.3" x14ac:dyDescent="0.7">
      <c r="C299" s="124"/>
      <c r="D299" s="1822" t="str">
        <f>'2 Customer data'!D28</f>
        <v>Safe Houses</v>
      </c>
      <c r="E299" s="1822"/>
      <c r="F299" s="1822"/>
      <c r="G299" s="1822"/>
      <c r="H299" s="1822"/>
      <c r="I299" s="1822"/>
      <c r="J299" s="1822"/>
      <c r="K299" s="1822"/>
      <c r="L299" s="1822"/>
      <c r="M299" s="125"/>
      <c r="O299" s="126"/>
      <c r="P299" s="126"/>
      <c r="Q299" s="126"/>
    </row>
    <row r="300" spans="3:17" ht="14.7" thickBot="1" x14ac:dyDescent="0.6">
      <c r="C300" s="124"/>
      <c r="E300" s="1"/>
      <c r="M300" s="125"/>
      <c r="O300" s="126"/>
      <c r="P300" s="126"/>
      <c r="Q300" s="126"/>
    </row>
    <row r="301" spans="3:17" x14ac:dyDescent="0.55000000000000004">
      <c r="C301" s="124"/>
      <c r="D301" s="121"/>
      <c r="E301" s="122"/>
      <c r="F301" s="122"/>
      <c r="G301" s="122"/>
      <c r="H301" s="122"/>
      <c r="I301" s="122"/>
      <c r="J301" s="122"/>
      <c r="K301" s="122"/>
      <c r="L301" s="123"/>
      <c r="M301" s="125"/>
      <c r="O301" s="126"/>
      <c r="P301" s="126"/>
      <c r="Q301" s="126"/>
    </row>
    <row r="302" spans="3:17" x14ac:dyDescent="0.55000000000000004">
      <c r="C302" s="124"/>
      <c r="D302" s="124"/>
      <c r="E302" s="1" t="str">
        <f>'2 Customer data'!D28&amp;" "&amp;"information"</f>
        <v>Safe Houses information</v>
      </c>
      <c r="L302" s="125"/>
      <c r="M302" s="125"/>
      <c r="O302" s="126"/>
      <c r="P302" s="126"/>
      <c r="Q302" s="126"/>
    </row>
    <row r="303" spans="3:17" x14ac:dyDescent="0.55000000000000004">
      <c r="C303" s="124"/>
      <c r="D303" s="124"/>
      <c r="E303" s="127"/>
      <c r="L303" s="125"/>
      <c r="M303" s="125"/>
      <c r="O303" s="126"/>
      <c r="P303" s="126"/>
      <c r="Q303" s="126"/>
    </row>
    <row r="304" spans="3:17" ht="28.8" x14ac:dyDescent="0.55000000000000004">
      <c r="C304" s="124"/>
      <c r="D304" s="124"/>
      <c r="E304" s="128"/>
      <c r="F304" s="56" t="s">
        <v>28</v>
      </c>
      <c r="G304" s="129" t="s">
        <v>278</v>
      </c>
      <c r="H304" s="129" t="s">
        <v>69</v>
      </c>
      <c r="I304" s="129" t="s">
        <v>70</v>
      </c>
      <c r="J304" s="56" t="s">
        <v>71</v>
      </c>
      <c r="L304" s="125"/>
      <c r="M304" s="125"/>
      <c r="O304" s="126"/>
      <c r="P304" s="126"/>
      <c r="Q304" s="126"/>
    </row>
    <row r="305" spans="3:17" x14ac:dyDescent="0.55000000000000004">
      <c r="C305" s="124"/>
      <c r="D305" s="124"/>
      <c r="E305" t="str">
        <f>'2 Customer data'!D28</f>
        <v>Safe Houses</v>
      </c>
      <c r="F305" s="26">
        <f>IFERROR(IF(VLOOKUP(E305,'2 Customer data'!$D$21:$L$40,6,FALSE)="",VLOOKUP(E305,'2 Customer data'!$D$21:$L$40,5,FALSE),VLOOKUP(E305,'2 Customer data'!$D$21:$L$40,6,FALSE)),0)</f>
        <v>3.0809999999999995</v>
      </c>
      <c r="G305" s="26">
        <f>IFERROR(IF(VLOOKUP(E305,'2 Customer data'!$D$21:$K$40,8,FALSE)="",VLOOKUP(E305,'2 Customer data'!$D$21:$K$40,7,FALSE),VLOOKUP(E305,'2 Customer data'!$D$21:$K$40,8,FALSE)),0)</f>
        <v>3773.1979999999999</v>
      </c>
      <c r="H305" s="26">
        <f ca="1">VLOOKUP(E305,'2 Water'!$D$19:$J$38,5,FALSE)</f>
        <v>10862.082408447541</v>
      </c>
      <c r="I305" s="26">
        <f ca="1">VLOOKUP(E305,'2 Water'!$D$19:$J$38,6,FALSE)</f>
        <v>86866.191358328244</v>
      </c>
      <c r="J305" s="26">
        <f ca="1">IFERROR(VLOOKUP(E305,'2 Water'!$D$158:$K$177,8,FALSE),0)</f>
        <v>75843.151350822649</v>
      </c>
      <c r="L305" s="125"/>
      <c r="M305" s="125"/>
      <c r="O305" s="126"/>
      <c r="P305" s="126"/>
      <c r="Q305" s="126"/>
    </row>
    <row r="306" spans="3:17" ht="14.7" thickBot="1" x14ac:dyDescent="0.6">
      <c r="C306" s="124"/>
      <c r="D306" s="130"/>
      <c r="E306" s="131"/>
      <c r="F306" s="131"/>
      <c r="G306" s="131"/>
      <c r="H306" s="131"/>
      <c r="I306" s="131"/>
      <c r="J306" s="131"/>
      <c r="K306" s="131"/>
      <c r="L306" s="132"/>
      <c r="M306" s="125"/>
      <c r="O306" s="126"/>
      <c r="P306" s="126"/>
      <c r="Q306" s="126"/>
    </row>
    <row r="307" spans="3:17" ht="14.7" thickBot="1" x14ac:dyDescent="0.6">
      <c r="C307" s="124"/>
      <c r="M307" s="125"/>
      <c r="O307" s="126"/>
      <c r="P307" s="126"/>
      <c r="Q307" s="126"/>
    </row>
    <row r="308" spans="3:17" x14ac:dyDescent="0.55000000000000004">
      <c r="C308" s="124"/>
      <c r="D308" s="121"/>
      <c r="E308" s="122"/>
      <c r="F308" s="122"/>
      <c r="G308" s="122"/>
      <c r="H308" s="122"/>
      <c r="I308" s="122"/>
      <c r="J308" s="122"/>
      <c r="K308" s="122"/>
      <c r="L308" s="123"/>
      <c r="M308" s="125"/>
      <c r="O308" s="126"/>
      <c r="P308" s="126"/>
      <c r="Q308" s="126"/>
    </row>
    <row r="309" spans="3:17" x14ac:dyDescent="0.55000000000000004">
      <c r="C309" s="124"/>
      <c r="D309" s="124"/>
      <c r="E309" s="1" t="s">
        <v>72</v>
      </c>
      <c r="L309" s="125"/>
      <c r="M309" s="125"/>
      <c r="O309" s="126"/>
      <c r="P309" s="126"/>
      <c r="Q309" s="126"/>
    </row>
    <row r="310" spans="3:17" x14ac:dyDescent="0.55000000000000004">
      <c r="C310" s="124"/>
      <c r="D310" s="124"/>
      <c r="E310" s="120" t="s">
        <v>555</v>
      </c>
      <c r="L310" s="125"/>
      <c r="M310" s="125"/>
      <c r="O310" s="126"/>
      <c r="P310" s="126"/>
      <c r="Q310" s="126"/>
    </row>
    <row r="311" spans="3:17" x14ac:dyDescent="0.55000000000000004">
      <c r="C311" s="124"/>
      <c r="D311" s="124"/>
      <c r="E311" s="127"/>
      <c r="L311" s="125"/>
      <c r="M311" s="125"/>
      <c r="O311" s="126"/>
      <c r="P311" s="126"/>
      <c r="Q311" s="126"/>
    </row>
    <row r="312" spans="3:17" ht="28.8" x14ac:dyDescent="0.55000000000000004">
      <c r="C312" s="124"/>
      <c r="D312" s="124"/>
      <c r="F312" s="56" t="s">
        <v>86</v>
      </c>
      <c r="G312" s="56" t="s">
        <v>73</v>
      </c>
      <c r="H312" s="56" t="s">
        <v>74</v>
      </c>
      <c r="I312" s="56" t="s">
        <v>75</v>
      </c>
      <c r="J312" s="56" t="s">
        <v>76</v>
      </c>
      <c r="L312" s="125"/>
      <c r="M312" s="125"/>
      <c r="O312" s="126"/>
      <c r="P312" s="126"/>
      <c r="Q312" s="126"/>
    </row>
    <row r="313" spans="3:17" x14ac:dyDescent="0.55000000000000004">
      <c r="C313" s="124"/>
      <c r="D313" s="124"/>
      <c r="E313" t="str">
        <f>E305</f>
        <v>Safe Houses</v>
      </c>
      <c r="F313" s="26">
        <f ca="1">H305</f>
        <v>10862.082408447541</v>
      </c>
      <c r="G313" s="64">
        <f ca="1">IFERROR(F313/F305/12,0)</f>
        <v>293.79212399782381</v>
      </c>
      <c r="H313" s="84">
        <f ca="1">G313</f>
        <v>293.79212399782381</v>
      </c>
      <c r="I313" s="26">
        <f ca="1">H313*F305*12</f>
        <v>10862.082408447539</v>
      </c>
      <c r="J313" s="21">
        <f ca="1">IFERROR(I313/12,0)</f>
        <v>905.17353403729487</v>
      </c>
      <c r="L313" s="125"/>
      <c r="M313" s="125"/>
      <c r="O313" s="126"/>
      <c r="P313" s="126"/>
      <c r="Q313" s="126"/>
    </row>
    <row r="314" spans="3:17" x14ac:dyDescent="0.55000000000000004">
      <c r="C314" s="124"/>
      <c r="D314" s="124"/>
      <c r="E314" s="133"/>
      <c r="F314" s="58" t="str">
        <f ca="1">IF(I313&gt;J305,"Error: revenue from fixed charges exceeds total revenue required from tariff. Reduce fixed charge.","")</f>
        <v/>
      </c>
      <c r="G314" s="134"/>
      <c r="H314" s="134"/>
      <c r="I314" s="134"/>
      <c r="J314" s="135"/>
      <c r="L314" s="125"/>
      <c r="M314" s="125"/>
      <c r="O314" s="126"/>
      <c r="P314" s="126"/>
      <c r="Q314" s="126"/>
    </row>
    <row r="315" spans="3:17" ht="14.7" thickBot="1" x14ac:dyDescent="0.6">
      <c r="C315" s="124"/>
      <c r="D315" s="130"/>
      <c r="E315" s="131"/>
      <c r="F315" s="131"/>
      <c r="G315" s="131"/>
      <c r="H315" s="131"/>
      <c r="I315" s="131"/>
      <c r="J315" s="131"/>
      <c r="K315" s="131"/>
      <c r="L315" s="132"/>
      <c r="M315" s="125"/>
      <c r="O315" s="126"/>
      <c r="P315" s="126"/>
      <c r="Q315" s="126"/>
    </row>
    <row r="316" spans="3:17" ht="14.7" thickBot="1" x14ac:dyDescent="0.6">
      <c r="C316" s="124"/>
      <c r="M316" s="125"/>
      <c r="O316" s="126"/>
      <c r="P316" s="126"/>
      <c r="Q316" s="126"/>
    </row>
    <row r="317" spans="3:17" x14ac:dyDescent="0.55000000000000004">
      <c r="C317" s="124"/>
      <c r="D317" s="121"/>
      <c r="E317" s="122"/>
      <c r="F317" s="122"/>
      <c r="G317" s="122"/>
      <c r="H317" s="122"/>
      <c r="I317" s="122"/>
      <c r="J317" s="122"/>
      <c r="K317" s="122"/>
      <c r="L317" s="123"/>
      <c r="M317" s="125"/>
      <c r="O317" s="126"/>
      <c r="P317" s="126"/>
      <c r="Q317" s="126"/>
    </row>
    <row r="318" spans="3:17" x14ac:dyDescent="0.55000000000000004">
      <c r="C318" s="124"/>
      <c r="D318" s="124"/>
      <c r="E318" s="1" t="s">
        <v>96</v>
      </c>
      <c r="L318" s="125"/>
      <c r="M318" s="125"/>
      <c r="O318" s="126"/>
      <c r="P318" s="126"/>
      <c r="Q318" s="126"/>
    </row>
    <row r="319" spans="3:17" ht="14.55" customHeight="1" x14ac:dyDescent="0.55000000000000004">
      <c r="C319" s="124"/>
      <c r="D319" s="124"/>
      <c r="E319" s="1804" t="s">
        <v>451</v>
      </c>
      <c r="F319" s="1804"/>
      <c r="G319" s="1804"/>
      <c r="H319" s="1804"/>
      <c r="I319" s="1804"/>
      <c r="J319" s="1804"/>
      <c r="K319" s="1804"/>
      <c r="L319" s="136"/>
      <c r="M319" s="136"/>
      <c r="O319" s="126"/>
      <c r="P319" s="126"/>
      <c r="Q319" s="126"/>
    </row>
    <row r="320" spans="3:17" x14ac:dyDescent="0.55000000000000004">
      <c r="C320" s="124"/>
      <c r="D320" s="124"/>
      <c r="E320" s="1804"/>
      <c r="F320" s="1804"/>
      <c r="G320" s="1804"/>
      <c r="H320" s="1804"/>
      <c r="I320" s="1804"/>
      <c r="J320" s="1804"/>
      <c r="K320" s="1804"/>
      <c r="L320" s="136"/>
      <c r="M320" s="136"/>
      <c r="O320" s="126"/>
      <c r="P320" s="126"/>
      <c r="Q320" s="126"/>
    </row>
    <row r="321" spans="3:17" x14ac:dyDescent="0.55000000000000004">
      <c r="C321" s="124"/>
      <c r="D321" s="124"/>
      <c r="L321" s="125"/>
      <c r="M321" s="125"/>
      <c r="O321" s="126"/>
      <c r="P321" s="126"/>
      <c r="Q321" s="126"/>
    </row>
    <row r="322" spans="3:17" x14ac:dyDescent="0.55000000000000004">
      <c r="C322" s="124"/>
      <c r="D322" s="124"/>
      <c r="E322" t="s">
        <v>77</v>
      </c>
      <c r="F322" s="126"/>
      <c r="G322" s="50">
        <v>5</v>
      </c>
      <c r="L322" s="125"/>
      <c r="M322" s="125"/>
      <c r="O322" s="126"/>
      <c r="P322" s="126"/>
      <c r="Q322" s="126"/>
    </row>
    <row r="323" spans="3:17" x14ac:dyDescent="0.55000000000000004">
      <c r="C323" s="124"/>
      <c r="D323" s="124"/>
      <c r="E323" s="10" t="s">
        <v>612</v>
      </c>
      <c r="F323" s="133"/>
      <c r="G323" s="159" t="s">
        <v>578</v>
      </c>
      <c r="L323" s="125"/>
      <c r="M323" s="125"/>
      <c r="O323" s="126"/>
      <c r="P323" s="126"/>
      <c r="Q323" s="126"/>
    </row>
    <row r="324" spans="3:17" x14ac:dyDescent="0.55000000000000004">
      <c r="C324" s="124"/>
      <c r="D324" s="124"/>
      <c r="L324" s="125"/>
      <c r="M324" s="125"/>
      <c r="O324" s="126"/>
      <c r="P324" s="126"/>
      <c r="Q324" s="126"/>
    </row>
    <row r="325" spans="3:17" ht="28.8" x14ac:dyDescent="0.55000000000000004">
      <c r="C325" s="124"/>
      <c r="D325" s="124"/>
      <c r="E325" s="129" t="s">
        <v>78</v>
      </c>
      <c r="F325" s="129" t="s">
        <v>79</v>
      </c>
      <c r="G325" s="139" t="s">
        <v>80</v>
      </c>
      <c r="H325" s="129" t="s">
        <v>333</v>
      </c>
      <c r="I325" s="56" t="s">
        <v>82</v>
      </c>
      <c r="J325" s="129" t="s">
        <v>81</v>
      </c>
      <c r="K325" s="56" t="s">
        <v>83</v>
      </c>
      <c r="L325" s="125"/>
      <c r="M325" s="125"/>
      <c r="O325" s="126" t="s">
        <v>614</v>
      </c>
      <c r="P325" s="126" t="s">
        <v>615</v>
      </c>
      <c r="Q325" s="126"/>
    </row>
    <row r="326" spans="3:17" x14ac:dyDescent="0.55000000000000004">
      <c r="C326" s="124"/>
      <c r="D326" s="124"/>
      <c r="E326" s="89">
        <f>IF($G$322=Q326,Q326,1)</f>
        <v>1</v>
      </c>
      <c r="F326" s="91">
        <v>0</v>
      </c>
      <c r="G326" s="85">
        <v>6</v>
      </c>
      <c r="H326" s="63"/>
      <c r="I326" s="31">
        <f>G305-SUMIF(E327:E335,"&lt;="&amp;$G$322,I327:I335)</f>
        <v>209.69500598802369</v>
      </c>
      <c r="J326" s="114">
        <f ca="1">IFERROR(IF(E326&lt;=G322,IF(G323="No",IF(I313=0,J305/SUMPRODUCT(O326:O335,I326:I335),(J305-I313)/SUMPRODUCT(O326:O335,I326:I335)),0),0),0)</f>
        <v>6.1160624154569856</v>
      </c>
      <c r="K326" s="26">
        <f ca="1">IFERROR(J326*I326,0)</f>
        <v>1282.5077448323793</v>
      </c>
      <c r="L326" s="125"/>
      <c r="M326" s="125"/>
      <c r="O326" s="92">
        <f>IF(E326&lt;=$G$322,1,0)</f>
        <v>1</v>
      </c>
      <c r="P326" s="126"/>
      <c r="Q326" s="126">
        <v>1</v>
      </c>
    </row>
    <row r="327" spans="3:17" x14ac:dyDescent="0.55000000000000004">
      <c r="C327" s="124"/>
      <c r="D327" s="124"/>
      <c r="E327" s="89">
        <f t="shared" ref="E327:E335" si="34">IF($G$322&gt;=Q327,Q327,"")</f>
        <v>2</v>
      </c>
      <c r="F327" s="91">
        <f t="shared" ref="F327:F335" si="35">IF($G$322&gt;=E327,G326+0.01,"")</f>
        <v>6.01</v>
      </c>
      <c r="G327" s="85">
        <v>15</v>
      </c>
      <c r="H327" s="61">
        <v>0.28999999999999976</v>
      </c>
      <c r="I327" s="13">
        <v>309.11077844311376</v>
      </c>
      <c r="J327" s="114">
        <f ca="1">IFERROR(IF(E327&lt;=G322,IF(G323="No",J326*(1+H327),IF(I313=0,J305/SUMPRODUCT(P327:P335,I327:I335),(J305-I313)/SUMPRODUCT(P327:P335,I327:I335))),0),0)</f>
        <v>7.8897205159395103</v>
      </c>
      <c r="K327" s="26">
        <f t="shared" ref="K327:K335" ca="1" si="36">IFERROR(J327*I327,0)</f>
        <v>2438.7976503806672</v>
      </c>
      <c r="L327" s="125"/>
      <c r="M327" s="125"/>
      <c r="O327" s="92">
        <f>IF(E327&lt;=$G$322,(1+H327),0)</f>
        <v>1.2899999999999998</v>
      </c>
      <c r="P327" s="92">
        <f>IF(E327&lt;=G321,1,0)</f>
        <v>0</v>
      </c>
      <c r="Q327" s="126">
        <v>2</v>
      </c>
    </row>
    <row r="328" spans="3:17" x14ac:dyDescent="0.55000000000000004">
      <c r="C328" s="124"/>
      <c r="D328" s="124"/>
      <c r="E328" s="209">
        <f t="shared" si="34"/>
        <v>3</v>
      </c>
      <c r="F328" s="91">
        <f t="shared" si="35"/>
        <v>15.01</v>
      </c>
      <c r="G328" s="85">
        <v>30</v>
      </c>
      <c r="H328" s="61">
        <v>0.75333333333333341</v>
      </c>
      <c r="I328" s="13">
        <v>453.91017964071852</v>
      </c>
      <c r="J328" s="90">
        <f t="shared" ref="J328:J335" ca="1" si="37">IF(E328&lt;=$G$322,J327*(1+H328),0)</f>
        <v>13.833309971280608</v>
      </c>
      <c r="K328" s="26">
        <f t="shared" ca="1" si="36"/>
        <v>6279.0802140897231</v>
      </c>
      <c r="L328" s="125"/>
      <c r="M328" s="125"/>
      <c r="O328" s="92">
        <f t="shared" ref="O328:O335" si="38">IF(E328&lt;=$G$322,O327*(1+H328),0)</f>
        <v>2.2617999999999996</v>
      </c>
      <c r="P328" s="92">
        <f>IF(E328&lt;=G321,P327*(1+H328),0)</f>
        <v>0</v>
      </c>
      <c r="Q328" s="126">
        <v>3</v>
      </c>
    </row>
    <row r="329" spans="3:17" x14ac:dyDescent="0.55000000000000004">
      <c r="C329" s="124"/>
      <c r="D329" s="124"/>
      <c r="E329" s="89">
        <f t="shared" si="34"/>
        <v>4</v>
      </c>
      <c r="F329" s="91">
        <f t="shared" si="35"/>
        <v>30.01</v>
      </c>
      <c r="G329" s="85">
        <v>40</v>
      </c>
      <c r="H329" s="61">
        <v>0.18266666666666667</v>
      </c>
      <c r="I329" s="13">
        <v>248.52095808383237</v>
      </c>
      <c r="J329" s="90">
        <f t="shared" ca="1" si="37"/>
        <v>16.360194592701202</v>
      </c>
      <c r="K329" s="26">
        <f t="shared" ca="1" si="36"/>
        <v>4065.8512346160364</v>
      </c>
      <c r="L329" s="125"/>
      <c r="M329" s="125"/>
      <c r="O329" s="92">
        <f t="shared" si="38"/>
        <v>2.6749554666666664</v>
      </c>
      <c r="P329" s="92">
        <f>IF(E329&lt;=G321,P328*(1+H329),0)</f>
        <v>0</v>
      </c>
      <c r="Q329" s="126">
        <v>4</v>
      </c>
    </row>
    <row r="330" spans="3:17" x14ac:dyDescent="0.55000000000000004">
      <c r="C330" s="124"/>
      <c r="D330" s="124"/>
      <c r="E330" s="89">
        <f t="shared" si="34"/>
        <v>5</v>
      </c>
      <c r="F330" s="91">
        <f t="shared" si="35"/>
        <v>40.01</v>
      </c>
      <c r="G330" s="85" t="s">
        <v>1669</v>
      </c>
      <c r="H330" s="61">
        <v>0.21949999999999995</v>
      </c>
      <c r="I330" s="13">
        <v>2551.9610778443116</v>
      </c>
      <c r="J330" s="90">
        <f t="shared" ca="1" si="37"/>
        <v>19.951257305799118</v>
      </c>
      <c r="K330" s="26">
        <f t="shared" ca="1" si="36"/>
        <v>50914.832098456311</v>
      </c>
      <c r="L330" s="125"/>
      <c r="M330" s="125"/>
      <c r="O330" s="92">
        <f t="shared" si="38"/>
        <v>3.2621081915999999</v>
      </c>
      <c r="P330" s="92">
        <f>IF(E330&lt;=G321,P329*(1+H330),0)</f>
        <v>0</v>
      </c>
      <c r="Q330" s="126">
        <v>5</v>
      </c>
    </row>
    <row r="331" spans="3:17" x14ac:dyDescent="0.55000000000000004">
      <c r="C331" s="124"/>
      <c r="D331" s="124"/>
      <c r="E331" s="89" t="str">
        <f t="shared" si="34"/>
        <v/>
      </c>
      <c r="F331" s="91" t="str">
        <f t="shared" si="35"/>
        <v/>
      </c>
      <c r="G331" s="86"/>
      <c r="H331" s="61"/>
      <c r="I331" s="13"/>
      <c r="J331" s="90">
        <f t="shared" si="37"/>
        <v>0</v>
      </c>
      <c r="K331" s="26">
        <f t="shared" si="36"/>
        <v>0</v>
      </c>
      <c r="L331" s="125"/>
      <c r="M331" s="125"/>
      <c r="O331" s="92">
        <f t="shared" si="38"/>
        <v>0</v>
      </c>
      <c r="P331" s="92">
        <f>IF(E331&lt;=G321,P330*(1+H331),0)</f>
        <v>0</v>
      </c>
      <c r="Q331" s="126">
        <v>6</v>
      </c>
    </row>
    <row r="332" spans="3:17" x14ac:dyDescent="0.55000000000000004">
      <c r="C332" s="124"/>
      <c r="D332" s="124"/>
      <c r="E332" s="89" t="str">
        <f t="shared" si="34"/>
        <v/>
      </c>
      <c r="F332" s="91" t="str">
        <f t="shared" si="35"/>
        <v/>
      </c>
      <c r="G332" s="87"/>
      <c r="H332" s="61"/>
      <c r="I332" s="13"/>
      <c r="J332" s="90">
        <f t="shared" si="37"/>
        <v>0</v>
      </c>
      <c r="K332" s="26">
        <f t="shared" si="36"/>
        <v>0</v>
      </c>
      <c r="L332" s="125"/>
      <c r="M332" s="125"/>
      <c r="O332" s="92">
        <f t="shared" si="38"/>
        <v>0</v>
      </c>
      <c r="P332" s="92">
        <f>IF(E332&lt;=G321,P331*(1+H332),0)</f>
        <v>0</v>
      </c>
      <c r="Q332" s="126">
        <v>7</v>
      </c>
    </row>
    <row r="333" spans="3:17" x14ac:dyDescent="0.55000000000000004">
      <c r="C333" s="124"/>
      <c r="D333" s="124"/>
      <c r="E333" s="89" t="str">
        <f t="shared" si="34"/>
        <v/>
      </c>
      <c r="F333" s="91" t="str">
        <f t="shared" si="35"/>
        <v/>
      </c>
      <c r="G333" s="87"/>
      <c r="H333" s="61"/>
      <c r="I333" s="13"/>
      <c r="J333" s="90">
        <f t="shared" si="37"/>
        <v>0</v>
      </c>
      <c r="K333" s="26">
        <f t="shared" si="36"/>
        <v>0</v>
      </c>
      <c r="L333" s="125"/>
      <c r="M333" s="125"/>
      <c r="O333" s="92">
        <f t="shared" si="38"/>
        <v>0</v>
      </c>
      <c r="P333" s="92">
        <f>IF(E333&lt;=G321,P332*(1+H333),0)</f>
        <v>0</v>
      </c>
      <c r="Q333" s="126">
        <v>8</v>
      </c>
    </row>
    <row r="334" spans="3:17" x14ac:dyDescent="0.55000000000000004">
      <c r="C334" s="124"/>
      <c r="D334" s="124"/>
      <c r="E334" s="89" t="str">
        <f t="shared" si="34"/>
        <v/>
      </c>
      <c r="F334" s="91" t="str">
        <f t="shared" si="35"/>
        <v/>
      </c>
      <c r="G334" s="87"/>
      <c r="H334" s="61"/>
      <c r="I334" s="13"/>
      <c r="J334" s="90">
        <f t="shared" si="37"/>
        <v>0</v>
      </c>
      <c r="K334" s="26">
        <f t="shared" si="36"/>
        <v>0</v>
      </c>
      <c r="L334" s="125"/>
      <c r="M334" s="125"/>
      <c r="O334" s="92">
        <f t="shared" si="38"/>
        <v>0</v>
      </c>
      <c r="P334" s="92">
        <f>IF(E334&lt;=G321,P333*(1+H334),0)</f>
        <v>0</v>
      </c>
      <c r="Q334" s="126">
        <v>9</v>
      </c>
    </row>
    <row r="335" spans="3:17" x14ac:dyDescent="0.55000000000000004">
      <c r="C335" s="124"/>
      <c r="D335" s="124"/>
      <c r="E335" s="89" t="str">
        <f t="shared" si="34"/>
        <v/>
      </c>
      <c r="F335" s="91" t="str">
        <f t="shared" si="35"/>
        <v/>
      </c>
      <c r="G335" s="148" t="s">
        <v>84</v>
      </c>
      <c r="H335" s="50"/>
      <c r="I335" s="88"/>
      <c r="J335" s="90">
        <f t="shared" si="37"/>
        <v>0</v>
      </c>
      <c r="K335" s="26">
        <f t="shared" si="36"/>
        <v>0</v>
      </c>
      <c r="L335" s="125"/>
      <c r="M335" s="125"/>
      <c r="O335" s="92">
        <f t="shared" si="38"/>
        <v>0</v>
      </c>
      <c r="P335" s="92">
        <f>IF(E335&lt;=G321,P334*(1+H335),0)</f>
        <v>0</v>
      </c>
      <c r="Q335" s="126">
        <v>10</v>
      </c>
    </row>
    <row r="336" spans="3:17" ht="14.7" thickBot="1" x14ac:dyDescent="0.6">
      <c r="C336" s="124"/>
      <c r="D336" s="130"/>
      <c r="E336" s="149"/>
      <c r="F336" s="150"/>
      <c r="G336" s="149"/>
      <c r="H336" s="151"/>
      <c r="I336" s="152"/>
      <c r="J336" s="153"/>
      <c r="K336" s="131"/>
      <c r="L336" s="154"/>
      <c r="M336" s="125"/>
      <c r="O336" s="126"/>
      <c r="P336" s="126"/>
      <c r="Q336" s="126"/>
    </row>
    <row r="337" spans="3:17" ht="14.7" thickBot="1" x14ac:dyDescent="0.6">
      <c r="C337" s="130"/>
      <c r="D337" s="131"/>
      <c r="E337" s="131"/>
      <c r="F337" s="131"/>
      <c r="G337" s="131"/>
      <c r="H337" s="131"/>
      <c r="I337" s="131"/>
      <c r="J337" s="131"/>
      <c r="K337" s="131"/>
      <c r="L337" s="131"/>
      <c r="M337" s="132"/>
      <c r="O337" s="126"/>
      <c r="P337" s="126"/>
      <c r="Q337" s="126"/>
    </row>
    <row r="338" spans="3:17" ht="14.7" thickBot="1" x14ac:dyDescent="0.6">
      <c r="O338" s="126"/>
      <c r="P338" s="126"/>
      <c r="Q338" s="126"/>
    </row>
    <row r="339" spans="3:17" x14ac:dyDescent="0.55000000000000004">
      <c r="C339" s="121"/>
      <c r="D339" s="122"/>
      <c r="E339" s="122"/>
      <c r="F339" s="122"/>
      <c r="G339" s="122"/>
      <c r="H339" s="122"/>
      <c r="I339" s="122"/>
      <c r="J339" s="122"/>
      <c r="K339" s="122"/>
      <c r="L339" s="122"/>
      <c r="M339" s="123"/>
      <c r="O339" s="126"/>
      <c r="P339" s="126"/>
      <c r="Q339" s="126"/>
    </row>
    <row r="340" spans="3:17" ht="18.3" x14ac:dyDescent="0.7">
      <c r="C340" s="124"/>
      <c r="D340" s="1822" t="str">
        <f>'2 Customer data'!D29</f>
        <v>Proefplaas</v>
      </c>
      <c r="E340" s="1822"/>
      <c r="F340" s="1822"/>
      <c r="G340" s="1822"/>
      <c r="H340" s="1822"/>
      <c r="I340" s="1822"/>
      <c r="J340" s="1822"/>
      <c r="K340" s="1822"/>
      <c r="L340" s="1822"/>
      <c r="M340" s="125"/>
      <c r="O340" s="126"/>
      <c r="P340" s="126"/>
      <c r="Q340" s="126"/>
    </row>
    <row r="341" spans="3:17" ht="14.7" thickBot="1" x14ac:dyDescent="0.6">
      <c r="C341" s="124"/>
      <c r="E341" s="1"/>
      <c r="M341" s="125"/>
      <c r="O341" s="126"/>
      <c r="P341" s="126"/>
      <c r="Q341" s="126"/>
    </row>
    <row r="342" spans="3:17" x14ac:dyDescent="0.55000000000000004">
      <c r="C342" s="124"/>
      <c r="D342" s="121"/>
      <c r="E342" s="122"/>
      <c r="F342" s="122"/>
      <c r="G342" s="122"/>
      <c r="H342" s="122"/>
      <c r="I342" s="122"/>
      <c r="J342" s="122"/>
      <c r="K342" s="122"/>
      <c r="L342" s="123"/>
      <c r="M342" s="125"/>
      <c r="O342" s="126"/>
      <c r="P342" s="126"/>
      <c r="Q342" s="126"/>
    </row>
    <row r="343" spans="3:17" x14ac:dyDescent="0.55000000000000004">
      <c r="C343" s="124"/>
      <c r="D343" s="124"/>
      <c r="E343" s="1" t="str">
        <f>'2 Customer data'!D29&amp;" "&amp;"information"</f>
        <v>Proefplaas information</v>
      </c>
      <c r="L343" s="125"/>
      <c r="M343" s="125"/>
      <c r="O343" s="126"/>
      <c r="P343" s="126"/>
      <c r="Q343" s="126"/>
    </row>
    <row r="344" spans="3:17" x14ac:dyDescent="0.55000000000000004">
      <c r="C344" s="124"/>
      <c r="D344" s="124"/>
      <c r="E344" s="127"/>
      <c r="L344" s="125"/>
      <c r="M344" s="125"/>
      <c r="O344" s="126"/>
      <c r="P344" s="126"/>
      <c r="Q344" s="126"/>
    </row>
    <row r="345" spans="3:17" ht="28.8" x14ac:dyDescent="0.55000000000000004">
      <c r="C345" s="124"/>
      <c r="D345" s="124"/>
      <c r="E345" s="128"/>
      <c r="F345" s="56" t="s">
        <v>28</v>
      </c>
      <c r="G345" s="129" t="s">
        <v>278</v>
      </c>
      <c r="H345" s="129" t="s">
        <v>69</v>
      </c>
      <c r="I345" s="129" t="s">
        <v>70</v>
      </c>
      <c r="J345" s="56" t="s">
        <v>71</v>
      </c>
      <c r="L345" s="125"/>
      <c r="M345" s="125"/>
      <c r="O345" s="126"/>
      <c r="P345" s="126"/>
      <c r="Q345" s="126"/>
    </row>
    <row r="346" spans="3:17" x14ac:dyDescent="0.55000000000000004">
      <c r="C346" s="124"/>
      <c r="D346" s="124"/>
      <c r="E346" t="str">
        <f>'2 Customer data'!D29</f>
        <v>Proefplaas</v>
      </c>
      <c r="F346" s="26">
        <f>IFERROR(IF(VLOOKUP(E346,'2 Customer data'!$D$21:$L$40,6,FALSE)="",VLOOKUP(E346,'2 Customer data'!$D$21:$L$40,5,FALSE),VLOOKUP(E346,'2 Customer data'!$D$21:$L$40,6,FALSE)),0)</f>
        <v>1.0269999999999999</v>
      </c>
      <c r="G346" s="26">
        <f>IFERROR(IF(VLOOKUP(E346,'2 Customer data'!$D$21:$K$40,8,FALSE)="",VLOOKUP(E346,'2 Customer data'!$D$21:$K$40,7,FALSE),VLOOKUP(E346,'2 Customer data'!$D$21:$K$40,8,FALSE)),0)</f>
        <v>6716.579999999999</v>
      </c>
      <c r="H346" s="26">
        <f ca="1">VLOOKUP(E346,'2 Water'!$D$19:$J$38,5,FALSE)</f>
        <v>3620.6941361491804</v>
      </c>
      <c r="I346" s="26">
        <f ca="1">VLOOKUP(E346,'2 Water'!$D$19:$J$38,6,FALSE)</f>
        <v>154628.44079571764</v>
      </c>
      <c r="J346" s="26">
        <f ca="1">IFERROR(VLOOKUP(E346,'2 Water'!$D$158:$K$177,8,FALSE),0)</f>
        <v>146844.24858781631</v>
      </c>
      <c r="L346" s="125"/>
      <c r="M346" s="125"/>
      <c r="O346" s="126"/>
      <c r="P346" s="126"/>
      <c r="Q346" s="126"/>
    </row>
    <row r="347" spans="3:17" ht="14.7" thickBot="1" x14ac:dyDescent="0.6">
      <c r="C347" s="124"/>
      <c r="D347" s="130"/>
      <c r="E347" s="131"/>
      <c r="F347" s="131"/>
      <c r="G347" s="131"/>
      <c r="H347" s="131"/>
      <c r="I347" s="131"/>
      <c r="J347" s="131"/>
      <c r="K347" s="131"/>
      <c r="L347" s="132"/>
      <c r="M347" s="125"/>
      <c r="O347" s="126"/>
      <c r="P347" s="126"/>
      <c r="Q347" s="126"/>
    </row>
    <row r="348" spans="3:17" ht="14.7" thickBot="1" x14ac:dyDescent="0.6">
      <c r="C348" s="124"/>
      <c r="M348" s="125"/>
      <c r="O348" s="126"/>
      <c r="P348" s="126"/>
      <c r="Q348" s="126"/>
    </row>
    <row r="349" spans="3:17" x14ac:dyDescent="0.55000000000000004">
      <c r="C349" s="124"/>
      <c r="D349" s="121"/>
      <c r="E349" s="122"/>
      <c r="F349" s="122"/>
      <c r="G349" s="122"/>
      <c r="H349" s="122"/>
      <c r="I349" s="122"/>
      <c r="J349" s="122"/>
      <c r="K349" s="122"/>
      <c r="L349" s="123"/>
      <c r="M349" s="125"/>
      <c r="O349" s="126"/>
      <c r="P349" s="126"/>
      <c r="Q349" s="126"/>
    </row>
    <row r="350" spans="3:17" x14ac:dyDescent="0.55000000000000004">
      <c r="C350" s="124"/>
      <c r="D350" s="124"/>
      <c r="E350" s="1" t="s">
        <v>72</v>
      </c>
      <c r="L350" s="125"/>
      <c r="M350" s="125"/>
      <c r="O350" s="126"/>
      <c r="P350" s="126"/>
      <c r="Q350" s="126"/>
    </row>
    <row r="351" spans="3:17" x14ac:dyDescent="0.55000000000000004">
      <c r="C351" s="124"/>
      <c r="D351" s="124"/>
      <c r="E351" s="120" t="s">
        <v>555</v>
      </c>
      <c r="L351" s="125"/>
      <c r="M351" s="125"/>
      <c r="O351" s="126"/>
      <c r="P351" s="126"/>
      <c r="Q351" s="126"/>
    </row>
    <row r="352" spans="3:17" x14ac:dyDescent="0.55000000000000004">
      <c r="C352" s="124"/>
      <c r="D352" s="124"/>
      <c r="E352" s="127"/>
      <c r="L352" s="125"/>
      <c r="M352" s="125"/>
      <c r="O352" s="126"/>
      <c r="P352" s="126"/>
      <c r="Q352" s="126"/>
    </row>
    <row r="353" spans="3:17" ht="28.8" x14ac:dyDescent="0.55000000000000004">
      <c r="C353" s="124"/>
      <c r="D353" s="124"/>
      <c r="F353" s="56" t="s">
        <v>86</v>
      </c>
      <c r="G353" s="56" t="s">
        <v>73</v>
      </c>
      <c r="H353" s="56" t="s">
        <v>74</v>
      </c>
      <c r="I353" s="56" t="s">
        <v>75</v>
      </c>
      <c r="J353" s="56" t="s">
        <v>76</v>
      </c>
      <c r="L353" s="125"/>
      <c r="M353" s="125"/>
      <c r="O353" s="126"/>
      <c r="P353" s="126"/>
      <c r="Q353" s="126"/>
    </row>
    <row r="354" spans="3:17" x14ac:dyDescent="0.55000000000000004">
      <c r="C354" s="124"/>
      <c r="D354" s="124"/>
      <c r="E354" t="str">
        <f>E346</f>
        <v>Proefplaas</v>
      </c>
      <c r="F354" s="26">
        <f ca="1">H346</f>
        <v>3620.6941361491804</v>
      </c>
      <c r="G354" s="64">
        <f ca="1">IFERROR(F354/F346/12,0)</f>
        <v>293.79212399782381</v>
      </c>
      <c r="H354" s="84">
        <f ca="1">G354</f>
        <v>293.79212399782381</v>
      </c>
      <c r="I354" s="26">
        <f ca="1">H354*F346*12</f>
        <v>3620.6941361491808</v>
      </c>
      <c r="J354" s="21">
        <f ca="1">IFERROR(I354/12,0)</f>
        <v>301.72451134576505</v>
      </c>
      <c r="L354" s="125"/>
      <c r="M354" s="125"/>
      <c r="O354" s="126"/>
      <c r="P354" s="126"/>
      <c r="Q354" s="126"/>
    </row>
    <row r="355" spans="3:17" x14ac:dyDescent="0.55000000000000004">
      <c r="C355" s="124"/>
      <c r="D355" s="124"/>
      <c r="E355" s="133"/>
      <c r="F355" s="58" t="str">
        <f ca="1">IF(I354&gt;J346,"Error: revenue from fixed charges exceeds total revenue required from tariff. Reduce fixed charge.","")</f>
        <v/>
      </c>
      <c r="G355" s="134"/>
      <c r="H355" s="134"/>
      <c r="I355" s="134"/>
      <c r="J355" s="135"/>
      <c r="L355" s="125"/>
      <c r="M355" s="125"/>
      <c r="O355" s="126"/>
      <c r="P355" s="126"/>
      <c r="Q355" s="126"/>
    </row>
    <row r="356" spans="3:17" ht="14.7" thickBot="1" x14ac:dyDescent="0.6">
      <c r="C356" s="124"/>
      <c r="D356" s="130"/>
      <c r="E356" s="131"/>
      <c r="F356" s="131"/>
      <c r="G356" s="131"/>
      <c r="H356" s="131"/>
      <c r="I356" s="131"/>
      <c r="J356" s="131"/>
      <c r="K356" s="131"/>
      <c r="L356" s="132"/>
      <c r="M356" s="125"/>
      <c r="O356" s="126"/>
      <c r="P356" s="126"/>
      <c r="Q356" s="126"/>
    </row>
    <row r="357" spans="3:17" ht="14.7" thickBot="1" x14ac:dyDescent="0.6">
      <c r="C357" s="124"/>
      <c r="M357" s="125"/>
      <c r="O357" s="126"/>
      <c r="P357" s="126"/>
      <c r="Q357" s="126"/>
    </row>
    <row r="358" spans="3:17" x14ac:dyDescent="0.55000000000000004">
      <c r="C358" s="124"/>
      <c r="D358" s="121"/>
      <c r="E358" s="122"/>
      <c r="F358" s="122"/>
      <c r="G358" s="122"/>
      <c r="H358" s="122"/>
      <c r="I358" s="122"/>
      <c r="J358" s="122"/>
      <c r="K358" s="122"/>
      <c r="L358" s="123"/>
      <c r="M358" s="125"/>
      <c r="O358" s="126"/>
      <c r="P358" s="126"/>
      <c r="Q358" s="126"/>
    </row>
    <row r="359" spans="3:17" x14ac:dyDescent="0.55000000000000004">
      <c r="C359" s="124"/>
      <c r="D359" s="124"/>
      <c r="E359" s="1" t="s">
        <v>96</v>
      </c>
      <c r="L359" s="125"/>
      <c r="M359" s="125"/>
      <c r="O359" s="126"/>
      <c r="P359" s="126"/>
      <c r="Q359" s="126"/>
    </row>
    <row r="360" spans="3:17" ht="14.55" customHeight="1" x14ac:dyDescent="0.55000000000000004">
      <c r="C360" s="124"/>
      <c r="D360" s="124"/>
      <c r="E360" s="1804" t="s">
        <v>451</v>
      </c>
      <c r="F360" s="1804"/>
      <c r="G360" s="1804"/>
      <c r="H360" s="1804"/>
      <c r="I360" s="1804"/>
      <c r="J360" s="1804"/>
      <c r="K360" s="1804"/>
      <c r="L360" s="136"/>
      <c r="M360" s="136"/>
      <c r="O360" s="126"/>
      <c r="P360" s="126"/>
      <c r="Q360" s="126"/>
    </row>
    <row r="361" spans="3:17" x14ac:dyDescent="0.55000000000000004">
      <c r="C361" s="124"/>
      <c r="D361" s="124"/>
      <c r="E361" s="1804"/>
      <c r="F361" s="1804"/>
      <c r="G361" s="1804"/>
      <c r="H361" s="1804"/>
      <c r="I361" s="1804"/>
      <c r="J361" s="1804"/>
      <c r="K361" s="1804"/>
      <c r="L361" s="136"/>
      <c r="M361" s="136"/>
      <c r="O361" s="126"/>
      <c r="P361" s="126"/>
      <c r="Q361" s="126"/>
    </row>
    <row r="362" spans="3:17" x14ac:dyDescent="0.55000000000000004">
      <c r="C362" s="124"/>
      <c r="D362" s="124"/>
      <c r="L362" s="125"/>
      <c r="M362" s="125"/>
      <c r="O362" s="126"/>
      <c r="P362" s="126"/>
      <c r="Q362" s="126"/>
    </row>
    <row r="363" spans="3:17" x14ac:dyDescent="0.55000000000000004">
      <c r="C363" s="124"/>
      <c r="D363" s="124"/>
      <c r="E363" t="s">
        <v>77</v>
      </c>
      <c r="F363" s="126"/>
      <c r="G363" s="50">
        <v>3</v>
      </c>
      <c r="L363" s="125"/>
      <c r="M363" s="125"/>
      <c r="O363" s="126"/>
      <c r="P363" s="126"/>
      <c r="Q363" s="126"/>
    </row>
    <row r="364" spans="3:17" x14ac:dyDescent="0.55000000000000004">
      <c r="C364" s="124"/>
      <c r="D364" s="124"/>
      <c r="E364" s="10" t="s">
        <v>612</v>
      </c>
      <c r="F364" s="133"/>
      <c r="G364" s="159" t="s">
        <v>578</v>
      </c>
      <c r="L364" s="125"/>
      <c r="M364" s="125"/>
      <c r="O364" s="126"/>
      <c r="P364" s="126"/>
      <c r="Q364" s="126"/>
    </row>
    <row r="365" spans="3:17" x14ac:dyDescent="0.55000000000000004">
      <c r="C365" s="124"/>
      <c r="D365" s="124"/>
      <c r="L365" s="125"/>
      <c r="M365" s="125"/>
      <c r="O365" s="126"/>
      <c r="P365" s="126"/>
      <c r="Q365" s="126"/>
    </row>
    <row r="366" spans="3:17" ht="28.8" x14ac:dyDescent="0.55000000000000004">
      <c r="C366" s="124"/>
      <c r="D366" s="124"/>
      <c r="E366" s="129" t="s">
        <v>78</v>
      </c>
      <c r="F366" s="129" t="s">
        <v>79</v>
      </c>
      <c r="G366" s="139" t="s">
        <v>80</v>
      </c>
      <c r="H366" s="129" t="s">
        <v>333</v>
      </c>
      <c r="I366" s="56" t="s">
        <v>82</v>
      </c>
      <c r="J366" s="129" t="s">
        <v>81</v>
      </c>
      <c r="K366" s="56" t="s">
        <v>83</v>
      </c>
      <c r="L366" s="125"/>
      <c r="M366" s="125"/>
      <c r="O366" s="126" t="s">
        <v>614</v>
      </c>
      <c r="P366" s="126" t="s">
        <v>615</v>
      </c>
      <c r="Q366" s="126"/>
    </row>
    <row r="367" spans="3:17" x14ac:dyDescent="0.55000000000000004">
      <c r="C367" s="124"/>
      <c r="D367" s="124"/>
      <c r="E367" s="89">
        <f>IF($G$363=Q367,Q367,1)</f>
        <v>1</v>
      </c>
      <c r="F367" s="91">
        <v>0</v>
      </c>
      <c r="G367" s="85">
        <v>167</v>
      </c>
      <c r="H367" s="63"/>
      <c r="I367" s="31">
        <f>G346-SUMIF(E368:E376,"&lt;="&amp;$G$363,I368:I376)</f>
        <v>2058.5102752293569</v>
      </c>
      <c r="J367" s="114">
        <f ca="1">IFERROR(IF(E367&lt;=G363,IF(G364="No",IF(I354=0,J346/SUMPRODUCT(O367:O376,I367:I376),(J346-I354)/SUMPRODUCT(O367:O376,I367:I376)),0),0),0)</f>
        <v>9.0273960603057333</v>
      </c>
      <c r="K367" s="26">
        <f ca="1">IFERROR(J367*I367,0)</f>
        <v>18582.987548704368</v>
      </c>
      <c r="L367" s="125"/>
      <c r="M367" s="125"/>
      <c r="O367" s="92">
        <f>IF(E367&lt;=$G$363,1,0)</f>
        <v>1</v>
      </c>
      <c r="P367" s="126"/>
      <c r="Q367" s="126">
        <v>1</v>
      </c>
    </row>
    <row r="368" spans="3:17" x14ac:dyDescent="0.55000000000000004">
      <c r="C368" s="124"/>
      <c r="D368" s="124"/>
      <c r="E368" s="89">
        <f t="shared" ref="E368:E376" si="39">IF($G$363&gt;=Q368,Q368,"")</f>
        <v>2</v>
      </c>
      <c r="F368" s="91">
        <f t="shared" ref="F368:F376" si="40">IF($G$363&gt;=E368,G367+0.01,"")</f>
        <v>167.01</v>
      </c>
      <c r="G368" s="85">
        <v>222</v>
      </c>
      <c r="H368" s="61">
        <v>0.20486985726280432</v>
      </c>
      <c r="I368" s="13">
        <v>677.76146788990832</v>
      </c>
      <c r="J368" s="114">
        <f ca="1">IFERROR(IF(E368&lt;=G363,IF(G364="No",J367*(1+H368),IF(I354=0,J346/SUMPRODUCT(P368:P376,I368:I376),(J346-I354)/SUMPRODUCT(P368:P376,I368:I376))),0),0)</f>
        <v>10.87683740263537</v>
      </c>
      <c r="K368" s="26">
        <f t="shared" ref="K368:K376" ca="1" si="41">IFERROR(J368*I368,0)</f>
        <v>7371.9012840100067</v>
      </c>
      <c r="L368" s="125"/>
      <c r="M368" s="125"/>
      <c r="O368" s="92">
        <f>IF(E368&lt;=$G$363,(1+H368),0)</f>
        <v>1.2048698572628043</v>
      </c>
      <c r="P368" s="92">
        <f>IF(E368&lt;=G362,1,0)</f>
        <v>0</v>
      </c>
      <c r="Q368" s="126">
        <v>2</v>
      </c>
    </row>
    <row r="369" spans="3:17" x14ac:dyDescent="0.55000000000000004">
      <c r="C369" s="124"/>
      <c r="D369" s="124"/>
      <c r="E369" s="89">
        <f t="shared" si="39"/>
        <v>3</v>
      </c>
      <c r="F369" s="91">
        <f t="shared" si="40"/>
        <v>222.01</v>
      </c>
      <c r="G369" s="85" t="s">
        <v>1669</v>
      </c>
      <c r="H369" s="61">
        <v>1.708710801393728</v>
      </c>
      <c r="I369" s="13">
        <v>3980.308256880734</v>
      </c>
      <c r="J369" s="90">
        <f t="shared" ref="J369:J376" ca="1" si="42">IF(E369&lt;=$G$363,J368*(1+H369),0)</f>
        <v>29.462206957521733</v>
      </c>
      <c r="K369" s="26">
        <f t="shared" ca="1" si="41"/>
        <v>117268.66561895276</v>
      </c>
      <c r="L369" s="125"/>
      <c r="M369" s="125"/>
      <c r="O369" s="92">
        <f t="shared" ref="O369:O376" si="43">IF(E369&lt;=$G$363,O368*(1+H369),0)</f>
        <v>3.2636439966414774</v>
      </c>
      <c r="P369" s="92">
        <f>IF(E369&lt;=G362,P368*(1+H369),0)</f>
        <v>0</v>
      </c>
      <c r="Q369" s="126">
        <v>3</v>
      </c>
    </row>
    <row r="370" spans="3:17" x14ac:dyDescent="0.55000000000000004">
      <c r="C370" s="124"/>
      <c r="D370" s="124"/>
      <c r="E370" s="89" t="str">
        <f t="shared" si="39"/>
        <v/>
      </c>
      <c r="F370" s="91" t="str">
        <f t="shared" si="40"/>
        <v/>
      </c>
      <c r="G370" s="85"/>
      <c r="H370" s="61"/>
      <c r="I370" s="13"/>
      <c r="J370" s="90">
        <f t="shared" si="42"/>
        <v>0</v>
      </c>
      <c r="K370" s="26">
        <f t="shared" si="41"/>
        <v>0</v>
      </c>
      <c r="L370" s="125"/>
      <c r="M370" s="125"/>
      <c r="O370" s="92">
        <f t="shared" si="43"/>
        <v>0</v>
      </c>
      <c r="P370" s="92">
        <f>IF(E370&lt;=G362,P369*(1+H370),0)</f>
        <v>0</v>
      </c>
      <c r="Q370" s="126">
        <v>4</v>
      </c>
    </row>
    <row r="371" spans="3:17" x14ac:dyDescent="0.55000000000000004">
      <c r="C371" s="124"/>
      <c r="D371" s="124"/>
      <c r="E371" s="89" t="str">
        <f t="shared" si="39"/>
        <v/>
      </c>
      <c r="F371" s="91" t="str">
        <f t="shared" si="40"/>
        <v/>
      </c>
      <c r="G371" s="85"/>
      <c r="H371" s="61"/>
      <c r="I371" s="13"/>
      <c r="J371" s="90">
        <f t="shared" si="42"/>
        <v>0</v>
      </c>
      <c r="K371" s="26">
        <f t="shared" si="41"/>
        <v>0</v>
      </c>
      <c r="L371" s="125"/>
      <c r="M371" s="125"/>
      <c r="O371" s="92">
        <f t="shared" si="43"/>
        <v>0</v>
      </c>
      <c r="P371" s="92">
        <f>IF(E371&lt;=G362,P370*(1+H371),0)</f>
        <v>0</v>
      </c>
      <c r="Q371" s="126">
        <v>5</v>
      </c>
    </row>
    <row r="372" spans="3:17" x14ac:dyDescent="0.55000000000000004">
      <c r="C372" s="124"/>
      <c r="D372" s="124"/>
      <c r="E372" s="89" t="str">
        <f t="shared" si="39"/>
        <v/>
      </c>
      <c r="F372" s="91" t="str">
        <f t="shared" si="40"/>
        <v/>
      </c>
      <c r="G372" s="86"/>
      <c r="H372" s="61"/>
      <c r="I372" s="13"/>
      <c r="J372" s="90">
        <f t="shared" si="42"/>
        <v>0</v>
      </c>
      <c r="K372" s="26">
        <f t="shared" si="41"/>
        <v>0</v>
      </c>
      <c r="L372" s="125"/>
      <c r="M372" s="125"/>
      <c r="O372" s="92">
        <f t="shared" si="43"/>
        <v>0</v>
      </c>
      <c r="P372" s="92">
        <f>IF(E372&lt;=G362,P371*(1+H372),0)</f>
        <v>0</v>
      </c>
      <c r="Q372" s="126">
        <v>6</v>
      </c>
    </row>
    <row r="373" spans="3:17" x14ac:dyDescent="0.55000000000000004">
      <c r="C373" s="124"/>
      <c r="D373" s="124"/>
      <c r="E373" s="89" t="str">
        <f t="shared" si="39"/>
        <v/>
      </c>
      <c r="F373" s="91" t="str">
        <f t="shared" si="40"/>
        <v/>
      </c>
      <c r="G373" s="87"/>
      <c r="H373" s="61"/>
      <c r="I373" s="13"/>
      <c r="J373" s="90">
        <f t="shared" si="42"/>
        <v>0</v>
      </c>
      <c r="K373" s="26">
        <f t="shared" si="41"/>
        <v>0</v>
      </c>
      <c r="L373" s="125"/>
      <c r="M373" s="125"/>
      <c r="O373" s="92">
        <f t="shared" si="43"/>
        <v>0</v>
      </c>
      <c r="P373" s="92">
        <f>IF(E373&lt;=G362,P372*(1+H373),0)</f>
        <v>0</v>
      </c>
      <c r="Q373" s="126">
        <v>7</v>
      </c>
    </row>
    <row r="374" spans="3:17" x14ac:dyDescent="0.55000000000000004">
      <c r="C374" s="124"/>
      <c r="D374" s="124"/>
      <c r="E374" s="89" t="str">
        <f t="shared" si="39"/>
        <v/>
      </c>
      <c r="F374" s="91" t="str">
        <f t="shared" si="40"/>
        <v/>
      </c>
      <c r="G374" s="87"/>
      <c r="H374" s="61"/>
      <c r="I374" s="13"/>
      <c r="J374" s="90">
        <f t="shared" si="42"/>
        <v>0</v>
      </c>
      <c r="K374" s="26">
        <f t="shared" si="41"/>
        <v>0</v>
      </c>
      <c r="L374" s="125"/>
      <c r="M374" s="125"/>
      <c r="O374" s="92">
        <f t="shared" si="43"/>
        <v>0</v>
      </c>
      <c r="P374" s="92">
        <f>IF(E374&lt;=G362,P373*(1+H374),0)</f>
        <v>0</v>
      </c>
      <c r="Q374" s="126">
        <v>8</v>
      </c>
    </row>
    <row r="375" spans="3:17" x14ac:dyDescent="0.55000000000000004">
      <c r="C375" s="124"/>
      <c r="D375" s="124"/>
      <c r="E375" s="89" t="str">
        <f t="shared" si="39"/>
        <v/>
      </c>
      <c r="F375" s="91" t="str">
        <f t="shared" si="40"/>
        <v/>
      </c>
      <c r="G375" s="87"/>
      <c r="H375" s="61"/>
      <c r="I375" s="13"/>
      <c r="J375" s="90">
        <f t="shared" si="42"/>
        <v>0</v>
      </c>
      <c r="K375" s="26">
        <f t="shared" si="41"/>
        <v>0</v>
      </c>
      <c r="L375" s="125"/>
      <c r="M375" s="125"/>
      <c r="O375" s="92">
        <f t="shared" si="43"/>
        <v>0</v>
      </c>
      <c r="P375" s="92">
        <f>IF(E375&lt;=G362,P374*(1+H375),0)</f>
        <v>0</v>
      </c>
      <c r="Q375" s="126">
        <v>9</v>
      </c>
    </row>
    <row r="376" spans="3:17" x14ac:dyDescent="0.55000000000000004">
      <c r="C376" s="124"/>
      <c r="D376" s="124"/>
      <c r="E376" s="89" t="str">
        <f t="shared" si="39"/>
        <v/>
      </c>
      <c r="F376" s="91" t="str">
        <f t="shared" si="40"/>
        <v/>
      </c>
      <c r="G376" s="148" t="s">
        <v>84</v>
      </c>
      <c r="H376" s="50"/>
      <c r="I376" s="88"/>
      <c r="J376" s="90">
        <f t="shared" si="42"/>
        <v>0</v>
      </c>
      <c r="K376" s="26">
        <f t="shared" si="41"/>
        <v>0</v>
      </c>
      <c r="L376" s="125"/>
      <c r="M376" s="125"/>
      <c r="O376" s="92">
        <f t="shared" si="43"/>
        <v>0</v>
      </c>
      <c r="P376" s="92">
        <f>IF(E376&lt;=G362,P375*(1+H376),0)</f>
        <v>0</v>
      </c>
      <c r="Q376" s="126">
        <v>10</v>
      </c>
    </row>
    <row r="377" spans="3:17" ht="14.7" thickBot="1" x14ac:dyDescent="0.6">
      <c r="C377" s="124"/>
      <c r="D377" s="130"/>
      <c r="E377" s="149"/>
      <c r="F377" s="150"/>
      <c r="G377" s="149"/>
      <c r="H377" s="151"/>
      <c r="I377" s="152"/>
      <c r="J377" s="153"/>
      <c r="K377" s="131"/>
      <c r="L377" s="154"/>
      <c r="M377" s="125"/>
      <c r="O377" s="126"/>
      <c r="P377" s="126"/>
      <c r="Q377" s="126"/>
    </row>
    <row r="378" spans="3:17" ht="14.7" thickBot="1" x14ac:dyDescent="0.6">
      <c r="C378" s="130"/>
      <c r="D378" s="131"/>
      <c r="E378" s="131"/>
      <c r="F378" s="131"/>
      <c r="G378" s="131"/>
      <c r="H378" s="131"/>
      <c r="I378" s="131"/>
      <c r="J378" s="131"/>
      <c r="K378" s="131"/>
      <c r="L378" s="131"/>
      <c r="M378" s="132"/>
      <c r="O378" s="126"/>
      <c r="P378" s="126"/>
      <c r="Q378" s="126"/>
    </row>
    <row r="379" spans="3:17" ht="14.7" thickBot="1" x14ac:dyDescent="0.6">
      <c r="O379" s="126"/>
      <c r="P379" s="126"/>
      <c r="Q379" s="126"/>
    </row>
    <row r="380" spans="3:17" x14ac:dyDescent="0.55000000000000004">
      <c r="C380" s="121"/>
      <c r="D380" s="122"/>
      <c r="E380" s="122"/>
      <c r="F380" s="122"/>
      <c r="G380" s="122"/>
      <c r="H380" s="122"/>
      <c r="I380" s="122"/>
      <c r="J380" s="122"/>
      <c r="K380" s="122"/>
      <c r="L380" s="122"/>
      <c r="M380" s="123"/>
      <c r="O380" s="126"/>
      <c r="P380" s="126"/>
      <c r="Q380" s="126"/>
    </row>
    <row r="381" spans="3:17" ht="18.3" x14ac:dyDescent="0.7">
      <c r="C381" s="124"/>
      <c r="D381" s="1822">
        <f>'2 Customer data'!D30</f>
        <v>0</v>
      </c>
      <c r="E381" s="1822"/>
      <c r="F381" s="1822"/>
      <c r="G381" s="1822"/>
      <c r="H381" s="1822"/>
      <c r="I381" s="1822"/>
      <c r="J381" s="1822"/>
      <c r="K381" s="1822"/>
      <c r="L381" s="1822"/>
      <c r="M381" s="125"/>
      <c r="O381" s="126"/>
      <c r="P381" s="126"/>
      <c r="Q381" s="126"/>
    </row>
    <row r="382" spans="3:17" ht="14.7" thickBot="1" x14ac:dyDescent="0.6">
      <c r="C382" s="124"/>
      <c r="E382" s="1"/>
      <c r="M382" s="125"/>
      <c r="O382" s="126"/>
      <c r="P382" s="126"/>
      <c r="Q382" s="126"/>
    </row>
    <row r="383" spans="3:17" x14ac:dyDescent="0.55000000000000004">
      <c r="C383" s="124"/>
      <c r="D383" s="121"/>
      <c r="E383" s="122"/>
      <c r="F383" s="122"/>
      <c r="G383" s="122"/>
      <c r="H383" s="122"/>
      <c r="I383" s="122"/>
      <c r="J383" s="122"/>
      <c r="K383" s="122"/>
      <c r="L383" s="123"/>
      <c r="M383" s="125"/>
      <c r="O383" s="126"/>
      <c r="P383" s="126"/>
      <c r="Q383" s="126"/>
    </row>
    <row r="384" spans="3:17" x14ac:dyDescent="0.55000000000000004">
      <c r="C384" s="124"/>
      <c r="D384" s="124"/>
      <c r="E384" s="1" t="str">
        <f>'2 Customer data'!D30&amp;" "&amp;"information"</f>
        <v xml:space="preserve"> information</v>
      </c>
      <c r="L384" s="125"/>
      <c r="M384" s="125"/>
      <c r="O384" s="126"/>
      <c r="P384" s="126"/>
      <c r="Q384" s="126"/>
    </row>
    <row r="385" spans="3:17" x14ac:dyDescent="0.55000000000000004">
      <c r="C385" s="124"/>
      <c r="D385" s="124"/>
      <c r="E385" s="127"/>
      <c r="L385" s="125"/>
      <c r="M385" s="125"/>
      <c r="O385" s="126"/>
      <c r="P385" s="126"/>
      <c r="Q385" s="126"/>
    </row>
    <row r="386" spans="3:17" ht="28.8" x14ac:dyDescent="0.55000000000000004">
      <c r="C386" s="124"/>
      <c r="D386" s="124"/>
      <c r="E386" s="128"/>
      <c r="F386" s="56" t="s">
        <v>28</v>
      </c>
      <c r="G386" s="129" t="s">
        <v>278</v>
      </c>
      <c r="H386" s="129" t="s">
        <v>69</v>
      </c>
      <c r="I386" s="129" t="s">
        <v>70</v>
      </c>
      <c r="J386" s="56" t="s">
        <v>71</v>
      </c>
      <c r="L386" s="125"/>
      <c r="M386" s="125"/>
      <c r="O386" s="126"/>
      <c r="P386" s="126"/>
      <c r="Q386" s="126"/>
    </row>
    <row r="387" spans="3:17" x14ac:dyDescent="0.55000000000000004">
      <c r="C387" s="124"/>
      <c r="D387" s="124"/>
      <c r="E387">
        <f>'2 Customer data'!D30</f>
        <v>0</v>
      </c>
      <c r="F387" s="26">
        <f>IFERROR(IF(VLOOKUP(E387,'2 Customer data'!$D$21:$L$40,6,FALSE)="",VLOOKUP(E387,'2 Customer data'!$D$21:$L$40,5,FALSE),VLOOKUP(E387,'2 Customer data'!$D$21:$L$40,6,FALSE)),0)</f>
        <v>0</v>
      </c>
      <c r="G387" s="26">
        <f>IFERROR(IF(VLOOKUP(E387,'2 Customer data'!$D$21:$K$40,8,FALSE)="",VLOOKUP(E387,'2 Customer data'!$D$21:$K$40,7,FALSE),VLOOKUP(E387,'2 Customer data'!$D$21:$K$40,8,FALSE)),0)</f>
        <v>0</v>
      </c>
      <c r="H387" s="26">
        <f ca="1">VLOOKUP(E387,'2 Water'!$D$19:$J$38,5,FALSE)</f>
        <v>0</v>
      </c>
      <c r="I387" s="26">
        <f ca="1">VLOOKUP(E387,'2 Water'!$D$19:$J$38,6,FALSE)</f>
        <v>0</v>
      </c>
      <c r="J387" s="26">
        <f ca="1">IFERROR(VLOOKUP(E387,'2 Water'!$D$158:$K$177,8,FALSE),0)</f>
        <v>0</v>
      </c>
      <c r="L387" s="125"/>
      <c r="M387" s="125"/>
      <c r="O387" s="126"/>
      <c r="P387" s="126"/>
      <c r="Q387" s="126"/>
    </row>
    <row r="388" spans="3:17" ht="14.7" thickBot="1" x14ac:dyDescent="0.6">
      <c r="C388" s="124"/>
      <c r="D388" s="130"/>
      <c r="E388" s="131"/>
      <c r="F388" s="131"/>
      <c r="G388" s="131"/>
      <c r="H388" s="131"/>
      <c r="I388" s="131"/>
      <c r="J388" s="131"/>
      <c r="K388" s="131"/>
      <c r="L388" s="132"/>
      <c r="M388" s="125"/>
      <c r="O388" s="126"/>
      <c r="P388" s="126"/>
      <c r="Q388" s="126"/>
    </row>
    <row r="389" spans="3:17" ht="14.7" thickBot="1" x14ac:dyDescent="0.6">
      <c r="C389" s="124"/>
      <c r="M389" s="125"/>
      <c r="O389" s="126"/>
      <c r="P389" s="126"/>
      <c r="Q389" s="126"/>
    </row>
    <row r="390" spans="3:17" x14ac:dyDescent="0.55000000000000004">
      <c r="C390" s="124"/>
      <c r="D390" s="121"/>
      <c r="E390" s="122"/>
      <c r="F390" s="122"/>
      <c r="G390" s="122"/>
      <c r="H390" s="122"/>
      <c r="I390" s="122"/>
      <c r="J390" s="122"/>
      <c r="K390" s="122"/>
      <c r="L390" s="123"/>
      <c r="M390" s="125"/>
      <c r="O390" s="126"/>
      <c r="P390" s="126"/>
      <c r="Q390" s="126"/>
    </row>
    <row r="391" spans="3:17" x14ac:dyDescent="0.55000000000000004">
      <c r="C391" s="124"/>
      <c r="D391" s="124"/>
      <c r="E391" s="1" t="s">
        <v>72</v>
      </c>
      <c r="L391" s="125"/>
      <c r="M391" s="125"/>
      <c r="O391" s="126"/>
      <c r="P391" s="126"/>
      <c r="Q391" s="126"/>
    </row>
    <row r="392" spans="3:17" x14ac:dyDescent="0.55000000000000004">
      <c r="C392" s="124"/>
      <c r="D392" s="124"/>
      <c r="E392" s="120" t="s">
        <v>555</v>
      </c>
      <c r="L392" s="125"/>
      <c r="M392" s="125"/>
      <c r="O392" s="126"/>
      <c r="P392" s="126"/>
      <c r="Q392" s="126"/>
    </row>
    <row r="393" spans="3:17" x14ac:dyDescent="0.55000000000000004">
      <c r="C393" s="124"/>
      <c r="D393" s="124"/>
      <c r="E393" s="127"/>
      <c r="L393" s="125"/>
      <c r="M393" s="125"/>
      <c r="O393" s="126"/>
      <c r="P393" s="126"/>
      <c r="Q393" s="126"/>
    </row>
    <row r="394" spans="3:17" ht="28.8" x14ac:dyDescent="0.55000000000000004">
      <c r="C394" s="124"/>
      <c r="D394" s="124"/>
      <c r="F394" s="56" t="s">
        <v>86</v>
      </c>
      <c r="G394" s="56" t="s">
        <v>73</v>
      </c>
      <c r="H394" s="56" t="s">
        <v>74</v>
      </c>
      <c r="I394" s="56" t="s">
        <v>75</v>
      </c>
      <c r="J394" s="56" t="s">
        <v>76</v>
      </c>
      <c r="L394" s="125"/>
      <c r="M394" s="125"/>
      <c r="O394" s="126"/>
      <c r="P394" s="126"/>
      <c r="Q394" s="126"/>
    </row>
    <row r="395" spans="3:17" x14ac:dyDescent="0.55000000000000004">
      <c r="C395" s="124"/>
      <c r="D395" s="124"/>
      <c r="E395">
        <f>E387</f>
        <v>0</v>
      </c>
      <c r="F395" s="26">
        <f ca="1">H387</f>
        <v>0</v>
      </c>
      <c r="G395" s="64">
        <f ca="1">IFERROR(F395/F387/12,0)</f>
        <v>0</v>
      </c>
      <c r="H395" s="84"/>
      <c r="I395" s="26">
        <f>H395*F387*12</f>
        <v>0</v>
      </c>
      <c r="J395" s="21">
        <f>IFERROR(I395/12,0)</f>
        <v>0</v>
      </c>
      <c r="L395" s="125"/>
      <c r="M395" s="125"/>
      <c r="O395" s="126"/>
      <c r="P395" s="126"/>
      <c r="Q395" s="126"/>
    </row>
    <row r="396" spans="3:17" x14ac:dyDescent="0.55000000000000004">
      <c r="C396" s="124"/>
      <c r="D396" s="124"/>
      <c r="E396" s="133"/>
      <c r="F396" s="58" t="str">
        <f ca="1">IF(I395&gt;J387,"Error: revenue from fixed charges exceeds total revenue required from tariff. Reduce fixed charge.","")</f>
        <v/>
      </c>
      <c r="G396" s="134"/>
      <c r="H396" s="134"/>
      <c r="I396" s="134"/>
      <c r="J396" s="135"/>
      <c r="L396" s="125"/>
      <c r="M396" s="125"/>
      <c r="O396" s="126"/>
      <c r="P396" s="126"/>
      <c r="Q396" s="126"/>
    </row>
    <row r="397" spans="3:17" ht="14.7" thickBot="1" x14ac:dyDescent="0.6">
      <c r="C397" s="124"/>
      <c r="D397" s="130"/>
      <c r="E397" s="131"/>
      <c r="F397" s="131"/>
      <c r="G397" s="131"/>
      <c r="H397" s="131"/>
      <c r="I397" s="131"/>
      <c r="J397" s="131"/>
      <c r="K397" s="131"/>
      <c r="L397" s="132"/>
      <c r="M397" s="125"/>
      <c r="O397" s="126"/>
      <c r="P397" s="126"/>
      <c r="Q397" s="126"/>
    </row>
    <row r="398" spans="3:17" ht="14.7" thickBot="1" x14ac:dyDescent="0.6">
      <c r="C398" s="124"/>
      <c r="M398" s="125"/>
      <c r="O398" s="126"/>
      <c r="P398" s="126"/>
      <c r="Q398" s="126"/>
    </row>
    <row r="399" spans="3:17" x14ac:dyDescent="0.55000000000000004">
      <c r="C399" s="124"/>
      <c r="D399" s="121"/>
      <c r="E399" s="122"/>
      <c r="F399" s="122"/>
      <c r="G399" s="122"/>
      <c r="H399" s="122"/>
      <c r="I399" s="122"/>
      <c r="J399" s="122"/>
      <c r="K399" s="122"/>
      <c r="L399" s="123"/>
      <c r="M399" s="125"/>
      <c r="O399" s="126"/>
      <c r="P399" s="126"/>
      <c r="Q399" s="126"/>
    </row>
    <row r="400" spans="3:17" x14ac:dyDescent="0.55000000000000004">
      <c r="C400" s="124"/>
      <c r="D400" s="124"/>
      <c r="E400" s="1" t="s">
        <v>96</v>
      </c>
      <c r="L400" s="125"/>
      <c r="M400" s="125"/>
      <c r="O400" s="126"/>
      <c r="P400" s="126"/>
      <c r="Q400" s="126"/>
    </row>
    <row r="401" spans="3:17" ht="14.55" customHeight="1" x14ac:dyDescent="0.55000000000000004">
      <c r="C401" s="124"/>
      <c r="D401" s="124"/>
      <c r="E401" s="1804" t="s">
        <v>451</v>
      </c>
      <c r="F401" s="1804"/>
      <c r="G401" s="1804"/>
      <c r="H401" s="1804"/>
      <c r="I401" s="1804"/>
      <c r="J401" s="1804"/>
      <c r="K401" s="1804"/>
      <c r="L401" s="136"/>
      <c r="M401" s="136"/>
      <c r="O401" s="126"/>
      <c r="P401" s="126"/>
      <c r="Q401" s="126"/>
    </row>
    <row r="402" spans="3:17" x14ac:dyDescent="0.55000000000000004">
      <c r="C402" s="124"/>
      <c r="D402" s="124"/>
      <c r="E402" s="1804"/>
      <c r="F402" s="1804"/>
      <c r="G402" s="1804"/>
      <c r="H402" s="1804"/>
      <c r="I402" s="1804"/>
      <c r="J402" s="1804"/>
      <c r="K402" s="1804"/>
      <c r="L402" s="136"/>
      <c r="M402" s="136"/>
      <c r="O402" s="126"/>
      <c r="P402" s="126"/>
      <c r="Q402" s="126"/>
    </row>
    <row r="403" spans="3:17" x14ac:dyDescent="0.55000000000000004">
      <c r="C403" s="124"/>
      <c r="D403" s="124"/>
      <c r="L403" s="125"/>
      <c r="M403" s="125"/>
      <c r="O403" s="126"/>
      <c r="P403" s="126"/>
      <c r="Q403" s="126"/>
    </row>
    <row r="404" spans="3:17" x14ac:dyDescent="0.55000000000000004">
      <c r="C404" s="124"/>
      <c r="D404" s="124"/>
      <c r="E404" t="s">
        <v>77</v>
      </c>
      <c r="F404" s="126"/>
      <c r="G404" s="50">
        <v>10</v>
      </c>
      <c r="L404" s="125"/>
      <c r="M404" s="125"/>
      <c r="O404" s="126"/>
      <c r="P404" s="126"/>
      <c r="Q404" s="126"/>
    </row>
    <row r="405" spans="3:17" x14ac:dyDescent="0.55000000000000004">
      <c r="C405" s="124"/>
      <c r="D405" s="124"/>
      <c r="E405" s="10" t="s">
        <v>612</v>
      </c>
      <c r="F405" s="133"/>
      <c r="G405" s="159" t="s">
        <v>613</v>
      </c>
      <c r="L405" s="125"/>
      <c r="M405" s="125"/>
      <c r="O405" s="126"/>
      <c r="P405" s="126"/>
      <c r="Q405" s="126"/>
    </row>
    <row r="406" spans="3:17" x14ac:dyDescent="0.55000000000000004">
      <c r="C406" s="124"/>
      <c r="D406" s="124"/>
      <c r="L406" s="125"/>
      <c r="M406" s="125"/>
      <c r="O406" s="126"/>
      <c r="P406" s="126"/>
      <c r="Q406" s="126"/>
    </row>
    <row r="407" spans="3:17" ht="28.8" x14ac:dyDescent="0.55000000000000004">
      <c r="C407" s="124"/>
      <c r="D407" s="124"/>
      <c r="E407" s="129" t="s">
        <v>78</v>
      </c>
      <c r="F407" s="129" t="s">
        <v>79</v>
      </c>
      <c r="G407" s="139" t="s">
        <v>80</v>
      </c>
      <c r="H407" s="129" t="s">
        <v>333</v>
      </c>
      <c r="I407" s="56" t="s">
        <v>82</v>
      </c>
      <c r="J407" s="129" t="s">
        <v>81</v>
      </c>
      <c r="K407" s="56" t="s">
        <v>83</v>
      </c>
      <c r="L407" s="125"/>
      <c r="M407" s="125"/>
      <c r="O407" s="126" t="s">
        <v>614</v>
      </c>
      <c r="P407" s="126" t="s">
        <v>615</v>
      </c>
      <c r="Q407" s="126"/>
    </row>
    <row r="408" spans="3:17" x14ac:dyDescent="0.55000000000000004">
      <c r="C408" s="124"/>
      <c r="D408" s="124"/>
      <c r="E408" s="89">
        <f>IF($G$404=Q408,Q408,1)</f>
        <v>1</v>
      </c>
      <c r="F408" s="91">
        <v>0</v>
      </c>
      <c r="G408" s="85"/>
      <c r="H408" s="63"/>
      <c r="I408" s="31">
        <f>G387-SUMIF(E409:E417,"&lt;="&amp;$G$404,I409:I417)</f>
        <v>0</v>
      </c>
      <c r="J408" s="114">
        <f>IFERROR(IF(E408&lt;=G404,IF(G405="No",IF(I395=0,J387/SUMPRODUCT(O408:O417,I408:I417),(J387-I395)/SUMPRODUCT(O408:O417,I408:I417)),0),0),0)</f>
        <v>0</v>
      </c>
      <c r="K408" s="26">
        <f>IFERROR(J408*I408,0)</f>
        <v>0</v>
      </c>
      <c r="L408" s="125"/>
      <c r="M408" s="125"/>
      <c r="O408" s="92">
        <f>IF(E408&lt;=$G$404,1,0)</f>
        <v>1</v>
      </c>
      <c r="P408" s="126"/>
      <c r="Q408" s="126">
        <v>1</v>
      </c>
    </row>
    <row r="409" spans="3:17" x14ac:dyDescent="0.55000000000000004">
      <c r="C409" s="124"/>
      <c r="D409" s="124"/>
      <c r="E409" s="89">
        <f t="shared" ref="E409:E417" si="44">IF($G$404&gt;=Q409,Q409,"")</f>
        <v>2</v>
      </c>
      <c r="F409" s="91">
        <f t="shared" ref="F409:F417" si="45">IF($G$404&gt;=E409,G408+0.01,"")</f>
        <v>0.01</v>
      </c>
      <c r="G409" s="85"/>
      <c r="H409" s="61"/>
      <c r="I409" s="13"/>
      <c r="J409" s="114">
        <f ca="1">IFERROR(IF(E409&lt;=G404,IF(G405="No",J408*(1+H409),IF(I395=0,J387/SUMPRODUCT(P409:P417,I409:I417),(J387-I395)/SUMPRODUCT(P409:P417,I409:I417))),0),0)</f>
        <v>0</v>
      </c>
      <c r="K409" s="26">
        <f t="shared" ref="K409:K417" ca="1" si="46">IFERROR(J409*I409,0)</f>
        <v>0</v>
      </c>
      <c r="L409" s="125"/>
      <c r="M409" s="125"/>
      <c r="O409" s="92">
        <f>IF(E409&lt;=$G$404,(1+H409),0)</f>
        <v>1</v>
      </c>
      <c r="P409" s="92">
        <f>IF(E409&lt;=G403,1,0)</f>
        <v>0</v>
      </c>
      <c r="Q409" s="126">
        <v>2</v>
      </c>
    </row>
    <row r="410" spans="3:17" x14ac:dyDescent="0.55000000000000004">
      <c r="C410" s="124"/>
      <c r="D410" s="124"/>
      <c r="E410" s="89">
        <f t="shared" si="44"/>
        <v>3</v>
      </c>
      <c r="F410" s="91">
        <f t="shared" si="45"/>
        <v>0.01</v>
      </c>
      <c r="G410" s="85"/>
      <c r="H410" s="61"/>
      <c r="I410" s="13"/>
      <c r="J410" s="90">
        <f t="shared" ref="J410:J417" ca="1" si="47">IF(E410&lt;=$G$404,J409*(1+H410),0)</f>
        <v>0</v>
      </c>
      <c r="K410" s="26">
        <f t="shared" ca="1" si="46"/>
        <v>0</v>
      </c>
      <c r="L410" s="125"/>
      <c r="M410" s="125"/>
      <c r="O410" s="92">
        <f t="shared" ref="O410:O417" si="48">IF(E410&lt;=$G$404,O409*(1+H410),0)</f>
        <v>1</v>
      </c>
      <c r="P410" s="92">
        <f>IF(E410&lt;=G403,P409*(1+H410),0)</f>
        <v>0</v>
      </c>
      <c r="Q410" s="126">
        <v>3</v>
      </c>
    </row>
    <row r="411" spans="3:17" x14ac:dyDescent="0.55000000000000004">
      <c r="C411" s="124"/>
      <c r="D411" s="124"/>
      <c r="E411" s="89">
        <f t="shared" si="44"/>
        <v>4</v>
      </c>
      <c r="F411" s="91">
        <f t="shared" si="45"/>
        <v>0.01</v>
      </c>
      <c r="G411" s="85"/>
      <c r="H411" s="61"/>
      <c r="I411" s="13"/>
      <c r="J411" s="90">
        <f t="shared" ca="1" si="47"/>
        <v>0</v>
      </c>
      <c r="K411" s="26">
        <f t="shared" ca="1" si="46"/>
        <v>0</v>
      </c>
      <c r="L411" s="125"/>
      <c r="M411" s="125"/>
      <c r="O411" s="92">
        <f t="shared" si="48"/>
        <v>1</v>
      </c>
      <c r="P411" s="92">
        <f>IF(E411&lt;=G403,P410*(1+H411),0)</f>
        <v>0</v>
      </c>
      <c r="Q411" s="126">
        <v>4</v>
      </c>
    </row>
    <row r="412" spans="3:17" x14ac:dyDescent="0.55000000000000004">
      <c r="C412" s="124"/>
      <c r="D412" s="124"/>
      <c r="E412" s="89">
        <f t="shared" si="44"/>
        <v>5</v>
      </c>
      <c r="F412" s="91">
        <f t="shared" si="45"/>
        <v>0.01</v>
      </c>
      <c r="G412" s="85"/>
      <c r="H412" s="61"/>
      <c r="I412" s="13"/>
      <c r="J412" s="90">
        <f t="shared" ca="1" si="47"/>
        <v>0</v>
      </c>
      <c r="K412" s="26">
        <f t="shared" ca="1" si="46"/>
        <v>0</v>
      </c>
      <c r="L412" s="125"/>
      <c r="M412" s="125"/>
      <c r="O412" s="92">
        <f t="shared" si="48"/>
        <v>1</v>
      </c>
      <c r="P412" s="92">
        <f>IF(E412&lt;=G403,P411*(1+H412),0)</f>
        <v>0</v>
      </c>
      <c r="Q412" s="126">
        <v>5</v>
      </c>
    </row>
    <row r="413" spans="3:17" x14ac:dyDescent="0.55000000000000004">
      <c r="C413" s="124"/>
      <c r="D413" s="124"/>
      <c r="E413" s="89">
        <f t="shared" si="44"/>
        <v>6</v>
      </c>
      <c r="F413" s="91">
        <f t="shared" si="45"/>
        <v>0.01</v>
      </c>
      <c r="G413" s="86"/>
      <c r="H413" s="61"/>
      <c r="I413" s="13"/>
      <c r="J413" s="90">
        <f t="shared" ca="1" si="47"/>
        <v>0</v>
      </c>
      <c r="K413" s="26">
        <f t="shared" ca="1" si="46"/>
        <v>0</v>
      </c>
      <c r="L413" s="125"/>
      <c r="M413" s="125"/>
      <c r="O413" s="92">
        <f t="shared" si="48"/>
        <v>1</v>
      </c>
      <c r="P413" s="92">
        <f>IF(E413&lt;=G403,P412*(1+H413),0)</f>
        <v>0</v>
      </c>
      <c r="Q413" s="126">
        <v>6</v>
      </c>
    </row>
    <row r="414" spans="3:17" x14ac:dyDescent="0.55000000000000004">
      <c r="C414" s="124"/>
      <c r="D414" s="124"/>
      <c r="E414" s="89">
        <f t="shared" si="44"/>
        <v>7</v>
      </c>
      <c r="F414" s="91">
        <f t="shared" si="45"/>
        <v>0.01</v>
      </c>
      <c r="G414" s="87"/>
      <c r="H414" s="61"/>
      <c r="I414" s="13"/>
      <c r="J414" s="90">
        <f t="shared" ca="1" si="47"/>
        <v>0</v>
      </c>
      <c r="K414" s="26">
        <f t="shared" ca="1" si="46"/>
        <v>0</v>
      </c>
      <c r="L414" s="125"/>
      <c r="M414" s="125"/>
      <c r="O414" s="92">
        <f t="shared" si="48"/>
        <v>1</v>
      </c>
      <c r="P414" s="92">
        <f>IF(E414&lt;=G403,P413*(1+H414),0)</f>
        <v>0</v>
      </c>
      <c r="Q414" s="126">
        <v>7</v>
      </c>
    </row>
    <row r="415" spans="3:17" x14ac:dyDescent="0.55000000000000004">
      <c r="C415" s="124"/>
      <c r="D415" s="124"/>
      <c r="E415" s="89">
        <f t="shared" si="44"/>
        <v>8</v>
      </c>
      <c r="F415" s="91">
        <f t="shared" si="45"/>
        <v>0.01</v>
      </c>
      <c r="G415" s="87"/>
      <c r="H415" s="61"/>
      <c r="I415" s="13"/>
      <c r="J415" s="90">
        <f t="shared" ca="1" si="47"/>
        <v>0</v>
      </c>
      <c r="K415" s="26">
        <f t="shared" ca="1" si="46"/>
        <v>0</v>
      </c>
      <c r="L415" s="125"/>
      <c r="M415" s="125"/>
      <c r="O415" s="92">
        <f t="shared" si="48"/>
        <v>1</v>
      </c>
      <c r="P415" s="92">
        <f>IF(E415&lt;=G403,P414*(1+H415),0)</f>
        <v>0</v>
      </c>
      <c r="Q415" s="126">
        <v>8</v>
      </c>
    </row>
    <row r="416" spans="3:17" x14ac:dyDescent="0.55000000000000004">
      <c r="C416" s="124"/>
      <c r="D416" s="124"/>
      <c r="E416" s="89">
        <f t="shared" si="44"/>
        <v>9</v>
      </c>
      <c r="F416" s="91">
        <f t="shared" si="45"/>
        <v>0.01</v>
      </c>
      <c r="G416" s="87"/>
      <c r="H416" s="61"/>
      <c r="I416" s="13"/>
      <c r="J416" s="90">
        <f t="shared" ca="1" si="47"/>
        <v>0</v>
      </c>
      <c r="K416" s="26">
        <f t="shared" ca="1" si="46"/>
        <v>0</v>
      </c>
      <c r="L416" s="125"/>
      <c r="M416" s="125"/>
      <c r="O416" s="92">
        <f t="shared" si="48"/>
        <v>1</v>
      </c>
      <c r="P416" s="92">
        <f>IF(E416&lt;=G403,P415*(1+H416),0)</f>
        <v>0</v>
      </c>
      <c r="Q416" s="126">
        <v>9</v>
      </c>
    </row>
    <row r="417" spans="3:17" x14ac:dyDescent="0.55000000000000004">
      <c r="C417" s="124"/>
      <c r="D417" s="124"/>
      <c r="E417" s="89">
        <f t="shared" si="44"/>
        <v>10</v>
      </c>
      <c r="F417" s="91">
        <f t="shared" si="45"/>
        <v>0.01</v>
      </c>
      <c r="G417" s="148" t="s">
        <v>84</v>
      </c>
      <c r="H417" s="50"/>
      <c r="I417" s="88"/>
      <c r="J417" s="90">
        <f t="shared" ca="1" si="47"/>
        <v>0</v>
      </c>
      <c r="K417" s="26">
        <f t="shared" ca="1" si="46"/>
        <v>0</v>
      </c>
      <c r="L417" s="125"/>
      <c r="M417" s="125"/>
      <c r="O417" s="92">
        <f t="shared" si="48"/>
        <v>1</v>
      </c>
      <c r="P417" s="92">
        <f>IF(E417&lt;=G403,P416*(1+H417),0)</f>
        <v>0</v>
      </c>
      <c r="Q417" s="126">
        <v>10</v>
      </c>
    </row>
    <row r="418" spans="3:17" ht="14.7" thickBot="1" x14ac:dyDescent="0.6">
      <c r="C418" s="124"/>
      <c r="D418" s="130"/>
      <c r="E418" s="149"/>
      <c r="F418" s="150"/>
      <c r="G418" s="149"/>
      <c r="H418" s="151"/>
      <c r="I418" s="152"/>
      <c r="J418" s="153"/>
      <c r="K418" s="131"/>
      <c r="L418" s="154"/>
      <c r="M418" s="125"/>
      <c r="O418" s="126"/>
      <c r="P418" s="126"/>
      <c r="Q418" s="126"/>
    </row>
    <row r="419" spans="3:17" ht="14.7" thickBot="1" x14ac:dyDescent="0.6">
      <c r="C419" s="130"/>
      <c r="D419" s="131"/>
      <c r="E419" s="131"/>
      <c r="F419" s="131"/>
      <c r="G419" s="131"/>
      <c r="H419" s="131"/>
      <c r="I419" s="131"/>
      <c r="J419" s="131"/>
      <c r="K419" s="131"/>
      <c r="L419" s="131"/>
      <c r="M419" s="132"/>
      <c r="O419" s="126"/>
      <c r="P419" s="126"/>
      <c r="Q419" s="126"/>
    </row>
    <row r="420" spans="3:17" ht="14.7" thickBot="1" x14ac:dyDescent="0.6">
      <c r="O420" s="126"/>
      <c r="P420" s="126"/>
      <c r="Q420" s="126"/>
    </row>
    <row r="421" spans="3:17" x14ac:dyDescent="0.55000000000000004">
      <c r="C421" s="121"/>
      <c r="D421" s="122"/>
      <c r="E421" s="122"/>
      <c r="F421" s="122"/>
      <c r="G421" s="122"/>
      <c r="H421" s="122"/>
      <c r="I421" s="122"/>
      <c r="J421" s="122"/>
      <c r="K421" s="122"/>
      <c r="L421" s="122"/>
      <c r="M421" s="123"/>
      <c r="O421" s="126"/>
      <c r="P421" s="126"/>
      <c r="Q421" s="126"/>
    </row>
    <row r="422" spans="3:17" ht="18.3" x14ac:dyDescent="0.7">
      <c r="C422" s="124"/>
      <c r="D422" s="1822">
        <f>'2 Customer data'!D31</f>
        <v>0</v>
      </c>
      <c r="E422" s="1822"/>
      <c r="F422" s="1822"/>
      <c r="G422" s="1822"/>
      <c r="H422" s="1822"/>
      <c r="I422" s="1822"/>
      <c r="J422" s="1822"/>
      <c r="K422" s="1822"/>
      <c r="L422" s="1822"/>
      <c r="M422" s="125"/>
      <c r="O422" s="126"/>
      <c r="P422" s="126"/>
      <c r="Q422" s="126"/>
    </row>
    <row r="423" spans="3:17" ht="14.7" thickBot="1" x14ac:dyDescent="0.6">
      <c r="C423" s="124"/>
      <c r="E423" s="1"/>
      <c r="M423" s="125"/>
      <c r="O423" s="126"/>
      <c r="P423" s="126"/>
      <c r="Q423" s="126"/>
    </row>
    <row r="424" spans="3:17" x14ac:dyDescent="0.55000000000000004">
      <c r="C424" s="124"/>
      <c r="D424" s="121"/>
      <c r="E424" s="122"/>
      <c r="F424" s="122"/>
      <c r="G424" s="122"/>
      <c r="H424" s="122"/>
      <c r="I424" s="122"/>
      <c r="J424" s="122"/>
      <c r="K424" s="122"/>
      <c r="L424" s="123"/>
      <c r="M424" s="125"/>
      <c r="O424" s="126"/>
      <c r="P424" s="126"/>
      <c r="Q424" s="126"/>
    </row>
    <row r="425" spans="3:17" x14ac:dyDescent="0.55000000000000004">
      <c r="C425" s="124"/>
      <c r="D425" s="124"/>
      <c r="E425" s="1" t="str">
        <f>'2 Customer data'!D31&amp;" "&amp;"information"</f>
        <v xml:space="preserve"> information</v>
      </c>
      <c r="L425" s="125"/>
      <c r="M425" s="125"/>
      <c r="O425" s="126"/>
      <c r="P425" s="126"/>
      <c r="Q425" s="126"/>
    </row>
    <row r="426" spans="3:17" x14ac:dyDescent="0.55000000000000004">
      <c r="C426" s="124"/>
      <c r="D426" s="124"/>
      <c r="E426" s="127"/>
      <c r="L426" s="125"/>
      <c r="M426" s="125"/>
      <c r="O426" s="126"/>
      <c r="P426" s="126"/>
      <c r="Q426" s="126"/>
    </row>
    <row r="427" spans="3:17" ht="28.8" x14ac:dyDescent="0.55000000000000004">
      <c r="C427" s="124"/>
      <c r="D427" s="124"/>
      <c r="E427" s="128"/>
      <c r="F427" s="56" t="s">
        <v>28</v>
      </c>
      <c r="G427" s="129" t="s">
        <v>278</v>
      </c>
      <c r="H427" s="129" t="s">
        <v>69</v>
      </c>
      <c r="I427" s="129" t="s">
        <v>70</v>
      </c>
      <c r="J427" s="56" t="s">
        <v>71</v>
      </c>
      <c r="L427" s="125"/>
      <c r="M427" s="125"/>
      <c r="O427" s="126"/>
      <c r="P427" s="126"/>
      <c r="Q427" s="126"/>
    </row>
    <row r="428" spans="3:17" x14ac:dyDescent="0.55000000000000004">
      <c r="C428" s="124"/>
      <c r="D428" s="124"/>
      <c r="E428">
        <f>'2 Customer data'!D31</f>
        <v>0</v>
      </c>
      <c r="F428" s="26">
        <f>IFERROR(IF(VLOOKUP(E428,'2 Customer data'!$D$21:$L$40,6,FALSE)="",VLOOKUP(E428,'2 Customer data'!$D$21:$L$40,5,FALSE),VLOOKUP(E428,'2 Customer data'!$D$21:$L$40,6,FALSE)),0)</f>
        <v>0</v>
      </c>
      <c r="G428" s="26">
        <f>IFERROR(IF(VLOOKUP(E428,'2 Customer data'!$D$21:$K$40,8,FALSE)="",VLOOKUP(E428,'2 Customer data'!$D$21:$K$40,7,FALSE),VLOOKUP(E428,'2 Customer data'!$D$21:$K$40,8,FALSE)),0)</f>
        <v>0</v>
      </c>
      <c r="H428" s="26">
        <f ca="1">VLOOKUP(E428,'2 Water'!$D$19:$J$38,5,FALSE)</f>
        <v>0</v>
      </c>
      <c r="I428" s="26">
        <f ca="1">VLOOKUP(E428,'2 Water'!$D$19:$J$38,6,FALSE)</f>
        <v>0</v>
      </c>
      <c r="J428" s="26">
        <f ca="1">IFERROR(VLOOKUP(E428,'2 Water'!$D$158:$K$177,8,FALSE),0)</f>
        <v>0</v>
      </c>
      <c r="L428" s="125"/>
      <c r="M428" s="125"/>
      <c r="O428" s="126"/>
      <c r="P428" s="126"/>
      <c r="Q428" s="126"/>
    </row>
    <row r="429" spans="3:17" ht="14.7" thickBot="1" x14ac:dyDescent="0.6">
      <c r="C429" s="124"/>
      <c r="D429" s="130"/>
      <c r="E429" s="131"/>
      <c r="F429" s="131"/>
      <c r="G429" s="131"/>
      <c r="H429" s="131"/>
      <c r="I429" s="131"/>
      <c r="J429" s="131"/>
      <c r="K429" s="131"/>
      <c r="L429" s="132"/>
      <c r="M429" s="125"/>
      <c r="O429" s="126"/>
      <c r="P429" s="126"/>
      <c r="Q429" s="126"/>
    </row>
    <row r="430" spans="3:17" ht="14.7" thickBot="1" x14ac:dyDescent="0.6">
      <c r="C430" s="124"/>
      <c r="M430" s="125"/>
      <c r="O430" s="126"/>
      <c r="P430" s="126"/>
      <c r="Q430" s="126"/>
    </row>
    <row r="431" spans="3:17" x14ac:dyDescent="0.55000000000000004">
      <c r="C431" s="124"/>
      <c r="D431" s="121"/>
      <c r="E431" s="122"/>
      <c r="F431" s="122"/>
      <c r="G431" s="122"/>
      <c r="H431" s="122"/>
      <c r="I431" s="122"/>
      <c r="J431" s="122"/>
      <c r="K431" s="122"/>
      <c r="L431" s="123"/>
      <c r="M431" s="125"/>
      <c r="O431" s="126"/>
      <c r="P431" s="126"/>
      <c r="Q431" s="126"/>
    </row>
    <row r="432" spans="3:17" x14ac:dyDescent="0.55000000000000004">
      <c r="C432" s="124"/>
      <c r="D432" s="124"/>
      <c r="E432" s="1" t="s">
        <v>72</v>
      </c>
      <c r="L432" s="125"/>
      <c r="M432" s="125"/>
      <c r="O432" s="126"/>
      <c r="P432" s="126"/>
      <c r="Q432" s="126"/>
    </row>
    <row r="433" spans="3:17" x14ac:dyDescent="0.55000000000000004">
      <c r="C433" s="124"/>
      <c r="D433" s="124"/>
      <c r="E433" s="120" t="s">
        <v>555</v>
      </c>
      <c r="L433" s="125"/>
      <c r="M433" s="125"/>
      <c r="O433" s="126"/>
      <c r="P433" s="126"/>
      <c r="Q433" s="126"/>
    </row>
    <row r="434" spans="3:17" x14ac:dyDescent="0.55000000000000004">
      <c r="C434" s="124"/>
      <c r="D434" s="124"/>
      <c r="E434" s="127"/>
      <c r="L434" s="125"/>
      <c r="M434" s="125"/>
      <c r="O434" s="126"/>
      <c r="P434" s="126"/>
      <c r="Q434" s="126"/>
    </row>
    <row r="435" spans="3:17" ht="28.8" x14ac:dyDescent="0.55000000000000004">
      <c r="C435" s="124"/>
      <c r="D435" s="124"/>
      <c r="F435" s="56" t="s">
        <v>86</v>
      </c>
      <c r="G435" s="56" t="s">
        <v>73</v>
      </c>
      <c r="H435" s="56" t="s">
        <v>74</v>
      </c>
      <c r="I435" s="56" t="s">
        <v>75</v>
      </c>
      <c r="J435" s="56" t="s">
        <v>76</v>
      </c>
      <c r="L435" s="125"/>
      <c r="M435" s="125"/>
      <c r="O435" s="126"/>
      <c r="P435" s="126"/>
      <c r="Q435" s="126"/>
    </row>
    <row r="436" spans="3:17" x14ac:dyDescent="0.55000000000000004">
      <c r="C436" s="124"/>
      <c r="D436" s="124"/>
      <c r="E436">
        <f>E428</f>
        <v>0</v>
      </c>
      <c r="F436" s="26">
        <f ca="1">H428</f>
        <v>0</v>
      </c>
      <c r="G436" s="64">
        <f ca="1">IFERROR(F436/F428/12,0)</f>
        <v>0</v>
      </c>
      <c r="H436" s="84"/>
      <c r="I436" s="26">
        <f>H436*F428*12</f>
        <v>0</v>
      </c>
      <c r="J436" s="21">
        <f>IFERROR(I436/12,0)</f>
        <v>0</v>
      </c>
      <c r="L436" s="125"/>
      <c r="M436" s="125"/>
      <c r="O436" s="126"/>
      <c r="P436" s="126"/>
      <c r="Q436" s="126"/>
    </row>
    <row r="437" spans="3:17" x14ac:dyDescent="0.55000000000000004">
      <c r="C437" s="124"/>
      <c r="D437" s="124"/>
      <c r="E437" s="133"/>
      <c r="F437" s="58" t="str">
        <f ca="1">IF(I436&gt;J428,"Error: revenue from fixed charges exceeds total revenue required from tariff. Reduce fixed charge.","")</f>
        <v/>
      </c>
      <c r="G437" s="134"/>
      <c r="H437" s="134"/>
      <c r="I437" s="134"/>
      <c r="J437" s="135"/>
      <c r="L437" s="125"/>
      <c r="M437" s="125"/>
      <c r="O437" s="126"/>
      <c r="P437" s="126"/>
      <c r="Q437" s="126"/>
    </row>
    <row r="438" spans="3:17" ht="14.7" thickBot="1" x14ac:dyDescent="0.6">
      <c r="C438" s="124"/>
      <c r="D438" s="130"/>
      <c r="E438" s="131"/>
      <c r="F438" s="131"/>
      <c r="G438" s="131"/>
      <c r="H438" s="131"/>
      <c r="I438" s="131"/>
      <c r="J438" s="131"/>
      <c r="K438" s="131"/>
      <c r="L438" s="132"/>
      <c r="M438" s="125"/>
      <c r="O438" s="126"/>
      <c r="P438" s="126"/>
      <c r="Q438" s="126"/>
    </row>
    <row r="439" spans="3:17" ht="14.7" thickBot="1" x14ac:dyDescent="0.6">
      <c r="C439" s="124"/>
      <c r="M439" s="125"/>
      <c r="O439" s="126"/>
      <c r="P439" s="126"/>
      <c r="Q439" s="126"/>
    </row>
    <row r="440" spans="3:17" x14ac:dyDescent="0.55000000000000004">
      <c r="C440" s="124"/>
      <c r="D440" s="121"/>
      <c r="E440" s="122"/>
      <c r="F440" s="122"/>
      <c r="G440" s="122"/>
      <c r="H440" s="122"/>
      <c r="I440" s="122"/>
      <c r="J440" s="122"/>
      <c r="K440" s="122"/>
      <c r="L440" s="123"/>
      <c r="M440" s="125"/>
      <c r="O440" s="126"/>
      <c r="P440" s="126"/>
      <c r="Q440" s="126"/>
    </row>
    <row r="441" spans="3:17" x14ac:dyDescent="0.55000000000000004">
      <c r="C441" s="124"/>
      <c r="D441" s="124"/>
      <c r="E441" s="1" t="s">
        <v>96</v>
      </c>
      <c r="L441" s="125"/>
      <c r="M441" s="125"/>
      <c r="O441" s="126"/>
      <c r="P441" s="126"/>
      <c r="Q441" s="126"/>
    </row>
    <row r="442" spans="3:17" ht="14.55" customHeight="1" x14ac:dyDescent="0.55000000000000004">
      <c r="C442" s="124"/>
      <c r="D442" s="124"/>
      <c r="E442" s="1804" t="s">
        <v>451</v>
      </c>
      <c r="F442" s="1804"/>
      <c r="G442" s="1804"/>
      <c r="H442" s="1804"/>
      <c r="I442" s="1804"/>
      <c r="J442" s="1804"/>
      <c r="K442" s="1804"/>
      <c r="L442" s="136"/>
      <c r="M442" s="136"/>
      <c r="O442" s="126"/>
      <c r="P442" s="126"/>
      <c r="Q442" s="126"/>
    </row>
    <row r="443" spans="3:17" x14ac:dyDescent="0.55000000000000004">
      <c r="C443" s="124"/>
      <c r="D443" s="124"/>
      <c r="E443" s="1804"/>
      <c r="F443" s="1804"/>
      <c r="G443" s="1804"/>
      <c r="H443" s="1804"/>
      <c r="I443" s="1804"/>
      <c r="J443" s="1804"/>
      <c r="K443" s="1804"/>
      <c r="L443" s="136"/>
      <c r="M443" s="136"/>
      <c r="O443" s="126"/>
      <c r="P443" s="126"/>
      <c r="Q443" s="126"/>
    </row>
    <row r="444" spans="3:17" x14ac:dyDescent="0.55000000000000004">
      <c r="C444" s="124"/>
      <c r="D444" s="124"/>
      <c r="L444" s="125"/>
      <c r="M444" s="125"/>
      <c r="O444" s="126"/>
      <c r="P444" s="126"/>
      <c r="Q444" s="126"/>
    </row>
    <row r="445" spans="3:17" x14ac:dyDescent="0.55000000000000004">
      <c r="C445" s="124"/>
      <c r="D445" s="124"/>
      <c r="E445" t="s">
        <v>77</v>
      </c>
      <c r="F445" s="126"/>
      <c r="G445" s="50">
        <v>10</v>
      </c>
      <c r="L445" s="125"/>
      <c r="M445" s="125"/>
      <c r="O445" s="126"/>
      <c r="P445" s="126"/>
      <c r="Q445" s="126"/>
    </row>
    <row r="446" spans="3:17" x14ac:dyDescent="0.55000000000000004">
      <c r="C446" s="124"/>
      <c r="D446" s="124"/>
      <c r="E446" s="10" t="s">
        <v>612</v>
      </c>
      <c r="F446" s="133"/>
      <c r="G446" s="159" t="s">
        <v>613</v>
      </c>
      <c r="L446" s="125"/>
      <c r="M446" s="125"/>
      <c r="O446" s="126"/>
      <c r="P446" s="126"/>
      <c r="Q446" s="126"/>
    </row>
    <row r="447" spans="3:17" x14ac:dyDescent="0.55000000000000004">
      <c r="C447" s="124"/>
      <c r="D447" s="124"/>
      <c r="L447" s="125"/>
      <c r="M447" s="125"/>
      <c r="O447" s="126"/>
      <c r="P447" s="126"/>
      <c r="Q447" s="126"/>
    </row>
    <row r="448" spans="3:17" ht="28.8" x14ac:dyDescent="0.55000000000000004">
      <c r="C448" s="124"/>
      <c r="D448" s="124"/>
      <c r="E448" s="129" t="s">
        <v>78</v>
      </c>
      <c r="F448" s="129" t="s">
        <v>79</v>
      </c>
      <c r="G448" s="139" t="s">
        <v>80</v>
      </c>
      <c r="H448" s="129" t="s">
        <v>333</v>
      </c>
      <c r="I448" s="56" t="s">
        <v>82</v>
      </c>
      <c r="J448" s="129" t="s">
        <v>81</v>
      </c>
      <c r="K448" s="56" t="s">
        <v>83</v>
      </c>
      <c r="L448" s="125"/>
      <c r="M448" s="125"/>
      <c r="O448" s="126" t="s">
        <v>614</v>
      </c>
      <c r="P448" s="126" t="s">
        <v>615</v>
      </c>
      <c r="Q448" s="126"/>
    </row>
    <row r="449" spans="3:17" x14ac:dyDescent="0.55000000000000004">
      <c r="C449" s="124"/>
      <c r="D449" s="124"/>
      <c r="E449" s="89">
        <f>IF($G$445=Q449,Q449,1)</f>
        <v>1</v>
      </c>
      <c r="F449" s="91">
        <v>0</v>
      </c>
      <c r="G449" s="85"/>
      <c r="H449" s="63"/>
      <c r="I449" s="31">
        <f>G428-SUMIF(E450:E458,"&lt;="&amp;$G$445,I450:I458)</f>
        <v>0</v>
      </c>
      <c r="J449" s="114">
        <f>IFERROR(IF(E449&lt;=G445,IF(G446="No",IF(I436=0,J428/SUMPRODUCT(O449:O458,I449:I458),(J428-I436)/SUMPRODUCT(O449:O458,I449:I458)),0),0),0)</f>
        <v>0</v>
      </c>
      <c r="K449" s="26">
        <f>IFERROR(J449*I449,0)</f>
        <v>0</v>
      </c>
      <c r="L449" s="125"/>
      <c r="M449" s="125"/>
      <c r="O449" s="92">
        <f>IF(E449&lt;=$G$445,1,0)</f>
        <v>1</v>
      </c>
      <c r="P449" s="126"/>
      <c r="Q449" s="126">
        <v>1</v>
      </c>
    </row>
    <row r="450" spans="3:17" x14ac:dyDescent="0.55000000000000004">
      <c r="C450" s="124"/>
      <c r="D450" s="124"/>
      <c r="E450" s="89">
        <f t="shared" ref="E450:E458" si="49">IF($G$445&gt;=Q450,Q450,"")</f>
        <v>2</v>
      </c>
      <c r="F450" s="91">
        <f t="shared" ref="F450:F458" si="50">IF($G$445&gt;=E450,G449+0.01,"")</f>
        <v>0.01</v>
      </c>
      <c r="G450" s="85"/>
      <c r="H450" s="61"/>
      <c r="I450" s="13"/>
      <c r="J450" s="114">
        <f ca="1">IFERROR(IF(E450&lt;=G445,IF(G446="No",J449*(1+H450),IF(I436=0,J428/SUMPRODUCT(P450:P458,I450:I458),(J428-I436)/SUMPRODUCT(P450:P458,I450:I458))),0),0)</f>
        <v>0</v>
      </c>
      <c r="K450" s="26">
        <f t="shared" ref="K450:K458" ca="1" si="51">IFERROR(J450*I450,0)</f>
        <v>0</v>
      </c>
      <c r="L450" s="125"/>
      <c r="M450" s="125"/>
      <c r="O450" s="92">
        <f>IF(E450&lt;=$G$445,(1+H450),0)</f>
        <v>1</v>
      </c>
      <c r="P450" s="92">
        <f>IF(E450&lt;=G444,1,0)</f>
        <v>0</v>
      </c>
      <c r="Q450" s="126">
        <v>2</v>
      </c>
    </row>
    <row r="451" spans="3:17" x14ac:dyDescent="0.55000000000000004">
      <c r="C451" s="124"/>
      <c r="D451" s="124"/>
      <c r="E451" s="89">
        <f t="shared" si="49"/>
        <v>3</v>
      </c>
      <c r="F451" s="91">
        <f t="shared" si="50"/>
        <v>0.01</v>
      </c>
      <c r="G451" s="85"/>
      <c r="H451" s="61"/>
      <c r="I451" s="13"/>
      <c r="J451" s="90">
        <f t="shared" ref="J451:J458" ca="1" si="52">IF(E451&lt;=$G$445,J450*(1+H451),0)</f>
        <v>0</v>
      </c>
      <c r="K451" s="26">
        <f t="shared" ca="1" si="51"/>
        <v>0</v>
      </c>
      <c r="L451" s="125"/>
      <c r="M451" s="125"/>
      <c r="O451" s="92">
        <f t="shared" ref="O451:O458" si="53">IF(E451&lt;=$G$445,O450*(1+H451),0)</f>
        <v>1</v>
      </c>
      <c r="P451" s="92">
        <f>IF(E451&lt;=G444,P450*(1+H451),0)</f>
        <v>0</v>
      </c>
      <c r="Q451" s="126">
        <v>3</v>
      </c>
    </row>
    <row r="452" spans="3:17" x14ac:dyDescent="0.55000000000000004">
      <c r="C452" s="124"/>
      <c r="D452" s="124"/>
      <c r="E452" s="89">
        <f t="shared" si="49"/>
        <v>4</v>
      </c>
      <c r="F452" s="91">
        <f t="shared" si="50"/>
        <v>0.01</v>
      </c>
      <c r="G452" s="85"/>
      <c r="H452" s="61"/>
      <c r="I452" s="13"/>
      <c r="J452" s="90">
        <f t="shared" ca="1" si="52"/>
        <v>0</v>
      </c>
      <c r="K452" s="26">
        <f t="shared" ca="1" si="51"/>
        <v>0</v>
      </c>
      <c r="L452" s="125"/>
      <c r="M452" s="125"/>
      <c r="O452" s="92">
        <f t="shared" si="53"/>
        <v>1</v>
      </c>
      <c r="P452" s="92">
        <f>IF(E452&lt;=G444,P451*(1+H452),0)</f>
        <v>0</v>
      </c>
      <c r="Q452" s="126">
        <v>4</v>
      </c>
    </row>
    <row r="453" spans="3:17" x14ac:dyDescent="0.55000000000000004">
      <c r="C453" s="124"/>
      <c r="D453" s="124"/>
      <c r="E453" s="89">
        <f t="shared" si="49"/>
        <v>5</v>
      </c>
      <c r="F453" s="91">
        <f t="shared" si="50"/>
        <v>0.01</v>
      </c>
      <c r="G453" s="85"/>
      <c r="H453" s="61"/>
      <c r="I453" s="13"/>
      <c r="J453" s="90">
        <f t="shared" ca="1" si="52"/>
        <v>0</v>
      </c>
      <c r="K453" s="26">
        <f t="shared" ca="1" si="51"/>
        <v>0</v>
      </c>
      <c r="L453" s="125"/>
      <c r="M453" s="125"/>
      <c r="O453" s="92">
        <f t="shared" si="53"/>
        <v>1</v>
      </c>
      <c r="P453" s="92">
        <f>IF(E453&lt;=G444,P452*(1+H453),0)</f>
        <v>0</v>
      </c>
      <c r="Q453" s="126">
        <v>5</v>
      </c>
    </row>
    <row r="454" spans="3:17" x14ac:dyDescent="0.55000000000000004">
      <c r="C454" s="124"/>
      <c r="D454" s="124"/>
      <c r="E454" s="89">
        <f t="shared" si="49"/>
        <v>6</v>
      </c>
      <c r="F454" s="91">
        <f t="shared" si="50"/>
        <v>0.01</v>
      </c>
      <c r="G454" s="86"/>
      <c r="H454" s="61"/>
      <c r="I454" s="13"/>
      <c r="J454" s="90">
        <f t="shared" ca="1" si="52"/>
        <v>0</v>
      </c>
      <c r="K454" s="26">
        <f t="shared" ca="1" si="51"/>
        <v>0</v>
      </c>
      <c r="L454" s="125"/>
      <c r="M454" s="125"/>
      <c r="O454" s="92">
        <f t="shared" si="53"/>
        <v>1</v>
      </c>
      <c r="P454" s="92">
        <f>IF(E454&lt;=G444,P453*(1+H454),0)</f>
        <v>0</v>
      </c>
      <c r="Q454" s="126">
        <v>6</v>
      </c>
    </row>
    <row r="455" spans="3:17" x14ac:dyDescent="0.55000000000000004">
      <c r="C455" s="124"/>
      <c r="D455" s="124"/>
      <c r="E455" s="89">
        <f t="shared" si="49"/>
        <v>7</v>
      </c>
      <c r="F455" s="91">
        <f t="shared" si="50"/>
        <v>0.01</v>
      </c>
      <c r="G455" s="87"/>
      <c r="H455" s="61"/>
      <c r="I455" s="13"/>
      <c r="J455" s="90">
        <f t="shared" ca="1" si="52"/>
        <v>0</v>
      </c>
      <c r="K455" s="26">
        <f t="shared" ca="1" si="51"/>
        <v>0</v>
      </c>
      <c r="L455" s="125"/>
      <c r="M455" s="125"/>
      <c r="O455" s="92">
        <f t="shared" si="53"/>
        <v>1</v>
      </c>
      <c r="P455" s="92">
        <f>IF(E455&lt;=G444,P454*(1+H455),0)</f>
        <v>0</v>
      </c>
      <c r="Q455" s="126">
        <v>7</v>
      </c>
    </row>
    <row r="456" spans="3:17" x14ac:dyDescent="0.55000000000000004">
      <c r="C456" s="124"/>
      <c r="D456" s="124"/>
      <c r="E456" s="89">
        <f t="shared" si="49"/>
        <v>8</v>
      </c>
      <c r="F456" s="91">
        <f t="shared" si="50"/>
        <v>0.01</v>
      </c>
      <c r="G456" s="87"/>
      <c r="H456" s="61"/>
      <c r="I456" s="13"/>
      <c r="J456" s="90">
        <f t="shared" ca="1" si="52"/>
        <v>0</v>
      </c>
      <c r="K456" s="26">
        <f t="shared" ca="1" si="51"/>
        <v>0</v>
      </c>
      <c r="L456" s="125"/>
      <c r="M456" s="125"/>
      <c r="O456" s="92">
        <f t="shared" si="53"/>
        <v>1</v>
      </c>
      <c r="P456" s="92">
        <f>IF(E456&lt;=G444,P455*(1+H456),0)</f>
        <v>0</v>
      </c>
      <c r="Q456" s="126">
        <v>8</v>
      </c>
    </row>
    <row r="457" spans="3:17" x14ac:dyDescent="0.55000000000000004">
      <c r="C457" s="124"/>
      <c r="D457" s="124"/>
      <c r="E457" s="89">
        <f t="shared" si="49"/>
        <v>9</v>
      </c>
      <c r="F457" s="91">
        <f t="shared" si="50"/>
        <v>0.01</v>
      </c>
      <c r="G457" s="87"/>
      <c r="H457" s="61"/>
      <c r="I457" s="13"/>
      <c r="J457" s="90">
        <f t="shared" ca="1" si="52"/>
        <v>0</v>
      </c>
      <c r="K457" s="26">
        <f t="shared" ca="1" si="51"/>
        <v>0</v>
      </c>
      <c r="L457" s="125"/>
      <c r="M457" s="125"/>
      <c r="O457" s="92">
        <f t="shared" si="53"/>
        <v>1</v>
      </c>
      <c r="P457" s="92">
        <f>IF(E457&lt;=G444,P456*(1+H457),0)</f>
        <v>0</v>
      </c>
      <c r="Q457" s="126">
        <v>9</v>
      </c>
    </row>
    <row r="458" spans="3:17" x14ac:dyDescent="0.55000000000000004">
      <c r="C458" s="124"/>
      <c r="D458" s="124"/>
      <c r="E458" s="89">
        <f t="shared" si="49"/>
        <v>10</v>
      </c>
      <c r="F458" s="91">
        <f t="shared" si="50"/>
        <v>0.01</v>
      </c>
      <c r="G458" s="148" t="s">
        <v>84</v>
      </c>
      <c r="H458" s="50"/>
      <c r="I458" s="88"/>
      <c r="J458" s="90">
        <f t="shared" ca="1" si="52"/>
        <v>0</v>
      </c>
      <c r="K458" s="26">
        <f t="shared" ca="1" si="51"/>
        <v>0</v>
      </c>
      <c r="L458" s="125"/>
      <c r="M458" s="125"/>
      <c r="O458" s="92">
        <f t="shared" si="53"/>
        <v>1</v>
      </c>
      <c r="P458" s="92">
        <f>IF(E458&lt;=G444,P457*(1+H458),0)</f>
        <v>0</v>
      </c>
      <c r="Q458" s="126">
        <v>10</v>
      </c>
    </row>
    <row r="459" spans="3:17" ht="14.7" thickBot="1" x14ac:dyDescent="0.6">
      <c r="C459" s="124"/>
      <c r="D459" s="130"/>
      <c r="E459" s="149"/>
      <c r="F459" s="150"/>
      <c r="G459" s="149"/>
      <c r="H459" s="151"/>
      <c r="I459" s="152"/>
      <c r="J459" s="153"/>
      <c r="K459" s="131"/>
      <c r="L459" s="154"/>
      <c r="M459" s="125"/>
      <c r="O459" s="92"/>
      <c r="P459" s="126"/>
      <c r="Q459" s="126"/>
    </row>
    <row r="460" spans="3:17" ht="14.7" thickBot="1" x14ac:dyDescent="0.6">
      <c r="C460" s="130"/>
      <c r="D460" s="131"/>
      <c r="E460" s="131"/>
      <c r="F460" s="131"/>
      <c r="G460" s="131"/>
      <c r="H460" s="131"/>
      <c r="I460" s="131"/>
      <c r="J460" s="131"/>
      <c r="K460" s="131"/>
      <c r="L460" s="131"/>
      <c r="M460" s="132"/>
      <c r="O460" s="126"/>
      <c r="P460" s="126"/>
      <c r="Q460" s="126"/>
    </row>
    <row r="461" spans="3:17" ht="14.7" thickBot="1" x14ac:dyDescent="0.6">
      <c r="O461" s="126"/>
      <c r="P461" s="126"/>
      <c r="Q461" s="126"/>
    </row>
    <row r="462" spans="3:17" x14ac:dyDescent="0.55000000000000004">
      <c r="C462" s="121"/>
      <c r="D462" s="122"/>
      <c r="E462" s="122"/>
      <c r="F462" s="122"/>
      <c r="G462" s="122"/>
      <c r="H462" s="122"/>
      <c r="I462" s="122"/>
      <c r="J462" s="122"/>
      <c r="K462" s="122"/>
      <c r="L462" s="122"/>
      <c r="M462" s="123"/>
      <c r="O462" s="126"/>
      <c r="P462" s="126"/>
      <c r="Q462" s="126"/>
    </row>
    <row r="463" spans="3:17" ht="18.3" x14ac:dyDescent="0.7">
      <c r="C463" s="124"/>
      <c r="D463" s="1822">
        <f>'2 Customer data'!D32</f>
        <v>0</v>
      </c>
      <c r="E463" s="1822"/>
      <c r="F463" s="1822"/>
      <c r="G463" s="1822"/>
      <c r="H463" s="1822"/>
      <c r="I463" s="1822"/>
      <c r="J463" s="1822"/>
      <c r="K463" s="1822"/>
      <c r="L463" s="1822"/>
      <c r="M463" s="125"/>
      <c r="O463" s="126"/>
      <c r="P463" s="126"/>
      <c r="Q463" s="126"/>
    </row>
    <row r="464" spans="3:17" ht="14.7" thickBot="1" x14ac:dyDescent="0.6">
      <c r="C464" s="124"/>
      <c r="E464" s="1"/>
      <c r="M464" s="125"/>
      <c r="O464" s="126"/>
      <c r="P464" s="126"/>
      <c r="Q464" s="126"/>
    </row>
    <row r="465" spans="3:17" x14ac:dyDescent="0.55000000000000004">
      <c r="C465" s="124"/>
      <c r="D465" s="121"/>
      <c r="E465" s="122"/>
      <c r="F465" s="122"/>
      <c r="G465" s="122"/>
      <c r="H465" s="122"/>
      <c r="I465" s="122"/>
      <c r="J465" s="122"/>
      <c r="K465" s="122"/>
      <c r="L465" s="123"/>
      <c r="M465" s="125"/>
      <c r="O465" s="126"/>
      <c r="P465" s="126"/>
      <c r="Q465" s="126"/>
    </row>
    <row r="466" spans="3:17" x14ac:dyDescent="0.55000000000000004">
      <c r="C466" s="124"/>
      <c r="D466" s="124"/>
      <c r="E466" s="1" t="str">
        <f>'2 Customer data'!D32&amp;" "&amp;"information"</f>
        <v xml:space="preserve"> information</v>
      </c>
      <c r="L466" s="125"/>
      <c r="M466" s="125"/>
      <c r="O466" s="126"/>
      <c r="P466" s="126"/>
      <c r="Q466" s="126"/>
    </row>
    <row r="467" spans="3:17" x14ac:dyDescent="0.55000000000000004">
      <c r="C467" s="124"/>
      <c r="D467" s="124"/>
      <c r="E467" s="127"/>
      <c r="L467" s="125"/>
      <c r="M467" s="125"/>
      <c r="O467" s="126"/>
      <c r="P467" s="126"/>
      <c r="Q467" s="126"/>
    </row>
    <row r="468" spans="3:17" ht="28.8" x14ac:dyDescent="0.55000000000000004">
      <c r="C468" s="124"/>
      <c r="D468" s="124"/>
      <c r="E468" s="128"/>
      <c r="F468" s="56" t="s">
        <v>28</v>
      </c>
      <c r="G468" s="129" t="s">
        <v>278</v>
      </c>
      <c r="H468" s="129" t="s">
        <v>69</v>
      </c>
      <c r="I468" s="129" t="s">
        <v>70</v>
      </c>
      <c r="J468" s="56" t="s">
        <v>71</v>
      </c>
      <c r="L468" s="125"/>
      <c r="M468" s="125"/>
      <c r="O468" s="126"/>
      <c r="P468" s="126"/>
      <c r="Q468" s="126"/>
    </row>
    <row r="469" spans="3:17" x14ac:dyDescent="0.55000000000000004">
      <c r="C469" s="124"/>
      <c r="D469" s="124"/>
      <c r="E469">
        <f>'2 Customer data'!D32</f>
        <v>0</v>
      </c>
      <c r="F469" s="26">
        <f>IFERROR(IF(VLOOKUP(E469,'2 Customer data'!$D$21:$L$40,6,FALSE)="",VLOOKUP(E469,'2 Customer data'!$D$21:$L$40,5,FALSE),VLOOKUP(E469,'2 Customer data'!$D$21:$L$40,6,FALSE)),0)</f>
        <v>0</v>
      </c>
      <c r="G469" s="26">
        <f>IFERROR(IF(VLOOKUP(E469,'2 Customer data'!$D$21:$K$40,8,FALSE)="",VLOOKUP(E469,'2 Customer data'!$D$21:$K$40,7,FALSE),VLOOKUP(E469,'2 Customer data'!$D$21:$K$40,8,FALSE)),0)</f>
        <v>0</v>
      </c>
      <c r="H469" s="26">
        <f ca="1">VLOOKUP(E469,'2 Water'!$D$19:$J$38,5,FALSE)</f>
        <v>0</v>
      </c>
      <c r="I469" s="26">
        <f ca="1">VLOOKUP(E469,'2 Water'!$D$19:$J$38,6,FALSE)</f>
        <v>0</v>
      </c>
      <c r="J469" s="26">
        <f ca="1">IFERROR(VLOOKUP(E469,'2 Water'!$D$158:$K$177,8,FALSE),0)</f>
        <v>0</v>
      </c>
      <c r="L469" s="125"/>
      <c r="M469" s="125"/>
      <c r="O469" s="126"/>
      <c r="P469" s="126"/>
      <c r="Q469" s="126"/>
    </row>
    <row r="470" spans="3:17" ht="14.7" thickBot="1" x14ac:dyDescent="0.6">
      <c r="C470" s="124"/>
      <c r="D470" s="130"/>
      <c r="E470" s="131"/>
      <c r="F470" s="131"/>
      <c r="G470" s="131"/>
      <c r="H470" s="131"/>
      <c r="I470" s="131"/>
      <c r="J470" s="131"/>
      <c r="K470" s="131"/>
      <c r="L470" s="132"/>
      <c r="M470" s="125"/>
      <c r="O470" s="126"/>
      <c r="P470" s="126"/>
      <c r="Q470" s="126"/>
    </row>
    <row r="471" spans="3:17" ht="14.7" thickBot="1" x14ac:dyDescent="0.6">
      <c r="C471" s="124"/>
      <c r="M471" s="125"/>
      <c r="O471" s="126"/>
      <c r="P471" s="126"/>
      <c r="Q471" s="126"/>
    </row>
    <row r="472" spans="3:17" x14ac:dyDescent="0.55000000000000004">
      <c r="C472" s="124"/>
      <c r="D472" s="121"/>
      <c r="E472" s="122"/>
      <c r="F472" s="122"/>
      <c r="G472" s="122"/>
      <c r="H472" s="122"/>
      <c r="I472" s="122"/>
      <c r="J472" s="122"/>
      <c r="K472" s="122"/>
      <c r="L472" s="123"/>
      <c r="M472" s="125"/>
      <c r="O472" s="126"/>
      <c r="P472" s="126"/>
      <c r="Q472" s="126"/>
    </row>
    <row r="473" spans="3:17" x14ac:dyDescent="0.55000000000000004">
      <c r="C473" s="124"/>
      <c r="D473" s="124"/>
      <c r="E473" s="1" t="s">
        <v>72</v>
      </c>
      <c r="L473" s="125"/>
      <c r="M473" s="125"/>
      <c r="O473" s="126"/>
      <c r="P473" s="126"/>
      <c r="Q473" s="126"/>
    </row>
    <row r="474" spans="3:17" x14ac:dyDescent="0.55000000000000004">
      <c r="C474" s="124"/>
      <c r="D474" s="124"/>
      <c r="E474" s="120" t="s">
        <v>555</v>
      </c>
      <c r="L474" s="125"/>
      <c r="M474" s="125"/>
      <c r="O474" s="126"/>
      <c r="P474" s="126"/>
      <c r="Q474" s="126"/>
    </row>
    <row r="475" spans="3:17" x14ac:dyDescent="0.55000000000000004">
      <c r="C475" s="124"/>
      <c r="D475" s="124"/>
      <c r="E475" s="127"/>
      <c r="L475" s="125"/>
      <c r="M475" s="125"/>
      <c r="O475" s="126"/>
      <c r="P475" s="126"/>
      <c r="Q475" s="126"/>
    </row>
    <row r="476" spans="3:17" ht="28.8" x14ac:dyDescent="0.55000000000000004">
      <c r="C476" s="124"/>
      <c r="D476" s="124"/>
      <c r="F476" s="56" t="s">
        <v>86</v>
      </c>
      <c r="G476" s="56" t="s">
        <v>73</v>
      </c>
      <c r="H476" s="56" t="s">
        <v>74</v>
      </c>
      <c r="I476" s="56" t="s">
        <v>75</v>
      </c>
      <c r="J476" s="56" t="s">
        <v>76</v>
      </c>
      <c r="L476" s="125"/>
      <c r="M476" s="125"/>
      <c r="O476" s="126"/>
      <c r="P476" s="126"/>
      <c r="Q476" s="126"/>
    </row>
    <row r="477" spans="3:17" x14ac:dyDescent="0.55000000000000004">
      <c r="C477" s="124"/>
      <c r="D477" s="124"/>
      <c r="E477">
        <f>E469</f>
        <v>0</v>
      </c>
      <c r="F477" s="26">
        <f ca="1">H469</f>
        <v>0</v>
      </c>
      <c r="G477" s="64">
        <f ca="1">IFERROR(F477/F469/12,0)</f>
        <v>0</v>
      </c>
      <c r="H477" s="84"/>
      <c r="I477" s="26">
        <f>H477*F469*12</f>
        <v>0</v>
      </c>
      <c r="J477" s="21">
        <f>IFERROR(I477/12,0)</f>
        <v>0</v>
      </c>
      <c r="L477" s="125"/>
      <c r="M477" s="125"/>
      <c r="O477" s="126"/>
      <c r="P477" s="126"/>
      <c r="Q477" s="126"/>
    </row>
    <row r="478" spans="3:17" x14ac:dyDescent="0.55000000000000004">
      <c r="C478" s="124"/>
      <c r="D478" s="124"/>
      <c r="E478" s="133"/>
      <c r="F478" s="58" t="str">
        <f ca="1">IF(I477&gt;J469,"Error: revenue from fixed charges exceeds total revenue required from tariff. Reduce fixed charge.","")</f>
        <v/>
      </c>
      <c r="G478" s="134"/>
      <c r="H478" s="134"/>
      <c r="I478" s="134"/>
      <c r="J478" s="135"/>
      <c r="L478" s="125"/>
      <c r="M478" s="125"/>
      <c r="O478" s="126"/>
      <c r="P478" s="126"/>
      <c r="Q478" s="126"/>
    </row>
    <row r="479" spans="3:17" ht="14.7" thickBot="1" x14ac:dyDescent="0.6">
      <c r="C479" s="124"/>
      <c r="D479" s="130"/>
      <c r="E479" s="131"/>
      <c r="F479" s="131"/>
      <c r="G479" s="131"/>
      <c r="H479" s="131"/>
      <c r="I479" s="131"/>
      <c r="J479" s="131"/>
      <c r="K479" s="131"/>
      <c r="L479" s="132"/>
      <c r="M479" s="125"/>
      <c r="O479" s="126"/>
      <c r="P479" s="126"/>
      <c r="Q479" s="126"/>
    </row>
    <row r="480" spans="3:17" ht="14.7" thickBot="1" x14ac:dyDescent="0.6">
      <c r="C480" s="124"/>
      <c r="M480" s="125"/>
      <c r="O480" s="126"/>
      <c r="P480" s="126"/>
      <c r="Q480" s="126"/>
    </row>
    <row r="481" spans="3:17" x14ac:dyDescent="0.55000000000000004">
      <c r="C481" s="124"/>
      <c r="D481" s="121"/>
      <c r="E481" s="122"/>
      <c r="F481" s="122"/>
      <c r="G481" s="122"/>
      <c r="H481" s="122"/>
      <c r="I481" s="122"/>
      <c r="J481" s="122"/>
      <c r="K481" s="122"/>
      <c r="L481" s="123"/>
      <c r="M481" s="125"/>
      <c r="O481" s="126"/>
      <c r="P481" s="126"/>
      <c r="Q481" s="126"/>
    </row>
    <row r="482" spans="3:17" x14ac:dyDescent="0.55000000000000004">
      <c r="C482" s="124"/>
      <c r="D482" s="124"/>
      <c r="E482" s="1" t="s">
        <v>96</v>
      </c>
      <c r="L482" s="125"/>
      <c r="M482" s="125"/>
      <c r="O482" s="126"/>
      <c r="P482" s="126"/>
      <c r="Q482" s="126"/>
    </row>
    <row r="483" spans="3:17" ht="14.55" customHeight="1" x14ac:dyDescent="0.55000000000000004">
      <c r="C483" s="124"/>
      <c r="D483" s="124"/>
      <c r="E483" s="1804" t="s">
        <v>451</v>
      </c>
      <c r="F483" s="1804"/>
      <c r="G483" s="1804"/>
      <c r="H483" s="1804"/>
      <c r="I483" s="1804"/>
      <c r="J483" s="1804"/>
      <c r="K483" s="1804"/>
      <c r="L483" s="136"/>
      <c r="M483" s="136"/>
      <c r="O483" s="126"/>
      <c r="P483" s="126"/>
      <c r="Q483" s="126"/>
    </row>
    <row r="484" spans="3:17" x14ac:dyDescent="0.55000000000000004">
      <c r="C484" s="124"/>
      <c r="D484" s="124"/>
      <c r="E484" s="1804"/>
      <c r="F484" s="1804"/>
      <c r="G484" s="1804"/>
      <c r="H484" s="1804"/>
      <c r="I484" s="1804"/>
      <c r="J484" s="1804"/>
      <c r="K484" s="1804"/>
      <c r="L484" s="136"/>
      <c r="M484" s="136"/>
      <c r="O484" s="126"/>
      <c r="P484" s="126"/>
      <c r="Q484" s="126"/>
    </row>
    <row r="485" spans="3:17" x14ac:dyDescent="0.55000000000000004">
      <c r="C485" s="124"/>
      <c r="D485" s="124"/>
      <c r="L485" s="125"/>
      <c r="M485" s="125"/>
      <c r="O485" s="126"/>
      <c r="P485" s="126"/>
      <c r="Q485" s="126"/>
    </row>
    <row r="486" spans="3:17" x14ac:dyDescent="0.55000000000000004">
      <c r="C486" s="124"/>
      <c r="D486" s="124"/>
      <c r="E486" t="s">
        <v>77</v>
      </c>
      <c r="F486" s="126"/>
      <c r="G486" s="50">
        <v>10</v>
      </c>
      <c r="L486" s="125"/>
      <c r="M486" s="125"/>
      <c r="O486" s="126"/>
      <c r="P486" s="126"/>
      <c r="Q486" s="126"/>
    </row>
    <row r="487" spans="3:17" x14ac:dyDescent="0.55000000000000004">
      <c r="C487" s="124"/>
      <c r="D487" s="124"/>
      <c r="E487" s="10" t="s">
        <v>612</v>
      </c>
      <c r="F487" s="133"/>
      <c r="G487" s="159" t="s">
        <v>613</v>
      </c>
      <c r="L487" s="125"/>
      <c r="M487" s="125"/>
      <c r="O487" s="126"/>
      <c r="P487" s="126"/>
      <c r="Q487" s="126"/>
    </row>
    <row r="488" spans="3:17" x14ac:dyDescent="0.55000000000000004">
      <c r="C488" s="124"/>
      <c r="D488" s="124"/>
      <c r="L488" s="125"/>
      <c r="M488" s="125"/>
      <c r="O488" s="126"/>
      <c r="P488" s="126"/>
      <c r="Q488" s="126"/>
    </row>
    <row r="489" spans="3:17" ht="28.8" x14ac:dyDescent="0.55000000000000004">
      <c r="C489" s="124"/>
      <c r="D489" s="124"/>
      <c r="E489" s="129" t="s">
        <v>78</v>
      </c>
      <c r="F489" s="129" t="s">
        <v>79</v>
      </c>
      <c r="G489" s="139" t="s">
        <v>80</v>
      </c>
      <c r="H489" s="129" t="s">
        <v>333</v>
      </c>
      <c r="I489" s="56" t="s">
        <v>82</v>
      </c>
      <c r="J489" s="129" t="s">
        <v>81</v>
      </c>
      <c r="K489" s="56" t="s">
        <v>83</v>
      </c>
      <c r="L489" s="125"/>
      <c r="M489" s="125"/>
      <c r="O489" s="126" t="s">
        <v>614</v>
      </c>
      <c r="P489" s="126" t="s">
        <v>615</v>
      </c>
      <c r="Q489" s="126"/>
    </row>
    <row r="490" spans="3:17" x14ac:dyDescent="0.55000000000000004">
      <c r="C490" s="124"/>
      <c r="D490" s="124"/>
      <c r="E490" s="89">
        <f>IF($G$486=Q490,Q490,1)</f>
        <v>1</v>
      </c>
      <c r="F490" s="91">
        <v>0</v>
      </c>
      <c r="G490" s="85"/>
      <c r="H490" s="63"/>
      <c r="I490" s="31">
        <f>G469-SUMIF(E491:E499,"&lt;="&amp;$G$486,I491:I499)</f>
        <v>0</v>
      </c>
      <c r="J490" s="114">
        <f>IFERROR(IF(E490&lt;=G486,IF(G487="No",IF(I477=0,J469/SUMPRODUCT(O490:O499,I490:I499),(J469-I477)/SUMPRODUCT(O490:O499,I490:I499)),0),0),0)</f>
        <v>0</v>
      </c>
      <c r="K490" s="26">
        <f>IFERROR(J490*I490,0)</f>
        <v>0</v>
      </c>
      <c r="L490" s="125"/>
      <c r="M490" s="125"/>
      <c r="O490" s="92">
        <f>IF(E490&lt;=$G$486,1,0)</f>
        <v>1</v>
      </c>
      <c r="P490" s="126"/>
      <c r="Q490" s="126">
        <v>1</v>
      </c>
    </row>
    <row r="491" spans="3:17" x14ac:dyDescent="0.55000000000000004">
      <c r="C491" s="124"/>
      <c r="D491" s="124"/>
      <c r="E491" s="89">
        <f t="shared" ref="E491:E499" si="54">IF($G$486&gt;=Q491,Q491,"")</f>
        <v>2</v>
      </c>
      <c r="F491" s="91">
        <f t="shared" ref="F491:F499" si="55">IF($G$486&gt;=E491,G490+0.01,"")</f>
        <v>0.01</v>
      </c>
      <c r="G491" s="85"/>
      <c r="H491" s="61"/>
      <c r="I491" s="13"/>
      <c r="J491" s="114">
        <f ca="1">IFERROR(IF(E491&lt;=G486,IF(G487="No",J490*(1+H491),IF(I477=0,J469/SUMPRODUCT(P491:P499,I491:I499),(J469-I477)/SUMPRODUCT(P491:P499,I491:I499))),0),0)</f>
        <v>0</v>
      </c>
      <c r="K491" s="26">
        <f t="shared" ref="K491:K499" ca="1" si="56">IFERROR(J491*I491,0)</f>
        <v>0</v>
      </c>
      <c r="L491" s="125"/>
      <c r="M491" s="125"/>
      <c r="O491" s="92">
        <f>IF(E491&lt;=$G$486,(1+H491),0)</f>
        <v>1</v>
      </c>
      <c r="P491" s="92">
        <f>IF(E491&lt;=G485,1,0)</f>
        <v>0</v>
      </c>
      <c r="Q491" s="126">
        <v>2</v>
      </c>
    </row>
    <row r="492" spans="3:17" x14ac:dyDescent="0.55000000000000004">
      <c r="C492" s="124"/>
      <c r="D492" s="124"/>
      <c r="E492" s="89">
        <f t="shared" si="54"/>
        <v>3</v>
      </c>
      <c r="F492" s="91">
        <f t="shared" si="55"/>
        <v>0.01</v>
      </c>
      <c r="G492" s="85"/>
      <c r="H492" s="61"/>
      <c r="I492" s="13"/>
      <c r="J492" s="90">
        <f t="shared" ref="J492:J499" ca="1" si="57">IF(E492&lt;=$G$486,J491*(1+H492),0)</f>
        <v>0</v>
      </c>
      <c r="K492" s="26">
        <f t="shared" ca="1" si="56"/>
        <v>0</v>
      </c>
      <c r="L492" s="125"/>
      <c r="M492" s="125"/>
      <c r="O492" s="92">
        <f t="shared" ref="O492:O499" si="58">IF(E492&lt;=$G$486,O491*(1+H492),0)</f>
        <v>1</v>
      </c>
      <c r="P492" s="92">
        <f>IF(E492&lt;=G485,P491*(1+H492),0)</f>
        <v>0</v>
      </c>
      <c r="Q492" s="126">
        <v>3</v>
      </c>
    </row>
    <row r="493" spans="3:17" x14ac:dyDescent="0.55000000000000004">
      <c r="C493" s="124"/>
      <c r="D493" s="124"/>
      <c r="E493" s="89">
        <f t="shared" si="54"/>
        <v>4</v>
      </c>
      <c r="F493" s="91">
        <f t="shared" si="55"/>
        <v>0.01</v>
      </c>
      <c r="G493" s="85"/>
      <c r="H493" s="61"/>
      <c r="I493" s="13"/>
      <c r="J493" s="90">
        <f t="shared" ca="1" si="57"/>
        <v>0</v>
      </c>
      <c r="K493" s="26">
        <f t="shared" ca="1" si="56"/>
        <v>0</v>
      </c>
      <c r="L493" s="125"/>
      <c r="M493" s="125"/>
      <c r="O493" s="92">
        <f t="shared" si="58"/>
        <v>1</v>
      </c>
      <c r="P493" s="92">
        <f>IF(E493&lt;=G485,P492*(1+H493),0)</f>
        <v>0</v>
      </c>
      <c r="Q493" s="126">
        <v>4</v>
      </c>
    </row>
    <row r="494" spans="3:17" x14ac:dyDescent="0.55000000000000004">
      <c r="C494" s="124"/>
      <c r="D494" s="124"/>
      <c r="E494" s="89">
        <f t="shared" si="54"/>
        <v>5</v>
      </c>
      <c r="F494" s="91">
        <f t="shared" si="55"/>
        <v>0.01</v>
      </c>
      <c r="G494" s="85"/>
      <c r="H494" s="61"/>
      <c r="I494" s="13"/>
      <c r="J494" s="90">
        <f t="shared" ca="1" si="57"/>
        <v>0</v>
      </c>
      <c r="K494" s="26">
        <f t="shared" ca="1" si="56"/>
        <v>0</v>
      </c>
      <c r="L494" s="125"/>
      <c r="M494" s="125"/>
      <c r="O494" s="92">
        <f t="shared" si="58"/>
        <v>1</v>
      </c>
      <c r="P494" s="92">
        <f>IF(E494&lt;=G485,P493*(1+H494),0)</f>
        <v>0</v>
      </c>
      <c r="Q494" s="126">
        <v>5</v>
      </c>
    </row>
    <row r="495" spans="3:17" x14ac:dyDescent="0.55000000000000004">
      <c r="C495" s="124"/>
      <c r="D495" s="124"/>
      <c r="E495" s="89">
        <f t="shared" si="54"/>
        <v>6</v>
      </c>
      <c r="F495" s="91">
        <f t="shared" si="55"/>
        <v>0.01</v>
      </c>
      <c r="G495" s="86"/>
      <c r="H495" s="61"/>
      <c r="I495" s="13"/>
      <c r="J495" s="90">
        <f t="shared" ca="1" si="57"/>
        <v>0</v>
      </c>
      <c r="K495" s="26">
        <f t="shared" ca="1" si="56"/>
        <v>0</v>
      </c>
      <c r="L495" s="125"/>
      <c r="M495" s="125"/>
      <c r="O495" s="92">
        <f t="shared" si="58"/>
        <v>1</v>
      </c>
      <c r="P495" s="92">
        <f>IF(E495&lt;=G485,P494*(1+H495),0)</f>
        <v>0</v>
      </c>
      <c r="Q495" s="126">
        <v>6</v>
      </c>
    </row>
    <row r="496" spans="3:17" x14ac:dyDescent="0.55000000000000004">
      <c r="C496" s="124"/>
      <c r="D496" s="124"/>
      <c r="E496" s="89">
        <f t="shared" si="54"/>
        <v>7</v>
      </c>
      <c r="F496" s="91">
        <f t="shared" si="55"/>
        <v>0.01</v>
      </c>
      <c r="G496" s="87"/>
      <c r="H496" s="61"/>
      <c r="I496" s="13"/>
      <c r="J496" s="90">
        <f t="shared" ca="1" si="57"/>
        <v>0</v>
      </c>
      <c r="K496" s="26">
        <f t="shared" ca="1" si="56"/>
        <v>0</v>
      </c>
      <c r="L496" s="125"/>
      <c r="M496" s="125"/>
      <c r="O496" s="92">
        <f t="shared" si="58"/>
        <v>1</v>
      </c>
      <c r="P496" s="92">
        <f>IF(E496&lt;=G485,P495*(1+H496),0)</f>
        <v>0</v>
      </c>
      <c r="Q496" s="126">
        <v>7</v>
      </c>
    </row>
    <row r="497" spans="3:17" x14ac:dyDescent="0.55000000000000004">
      <c r="C497" s="124"/>
      <c r="D497" s="124"/>
      <c r="E497" s="89">
        <f t="shared" si="54"/>
        <v>8</v>
      </c>
      <c r="F497" s="91">
        <f t="shared" si="55"/>
        <v>0.01</v>
      </c>
      <c r="G497" s="87"/>
      <c r="H497" s="61"/>
      <c r="I497" s="13"/>
      <c r="J497" s="90">
        <f t="shared" ca="1" si="57"/>
        <v>0</v>
      </c>
      <c r="K497" s="26">
        <f t="shared" ca="1" si="56"/>
        <v>0</v>
      </c>
      <c r="L497" s="125"/>
      <c r="M497" s="125"/>
      <c r="O497" s="92">
        <f t="shared" si="58"/>
        <v>1</v>
      </c>
      <c r="P497" s="92">
        <f>IF(E497&lt;=G485,P496*(1+H497),0)</f>
        <v>0</v>
      </c>
      <c r="Q497" s="126">
        <v>8</v>
      </c>
    </row>
    <row r="498" spans="3:17" x14ac:dyDescent="0.55000000000000004">
      <c r="C498" s="124"/>
      <c r="D498" s="124"/>
      <c r="E498" s="89">
        <f t="shared" si="54"/>
        <v>9</v>
      </c>
      <c r="F498" s="91">
        <f t="shared" si="55"/>
        <v>0.01</v>
      </c>
      <c r="G498" s="87"/>
      <c r="H498" s="61"/>
      <c r="I498" s="13"/>
      <c r="J498" s="90">
        <f t="shared" ca="1" si="57"/>
        <v>0</v>
      </c>
      <c r="K498" s="26">
        <f t="shared" ca="1" si="56"/>
        <v>0</v>
      </c>
      <c r="L498" s="125"/>
      <c r="M498" s="125"/>
      <c r="O498" s="92">
        <f t="shared" si="58"/>
        <v>1</v>
      </c>
      <c r="P498" s="92">
        <f>IF(E498&lt;=G485,P497*(1+H498),0)</f>
        <v>0</v>
      </c>
      <c r="Q498" s="126">
        <v>9</v>
      </c>
    </row>
    <row r="499" spans="3:17" x14ac:dyDescent="0.55000000000000004">
      <c r="C499" s="124"/>
      <c r="D499" s="124"/>
      <c r="E499" s="89">
        <f t="shared" si="54"/>
        <v>10</v>
      </c>
      <c r="F499" s="91">
        <f t="shared" si="55"/>
        <v>0.01</v>
      </c>
      <c r="G499" s="148" t="s">
        <v>84</v>
      </c>
      <c r="H499" s="50"/>
      <c r="I499" s="88"/>
      <c r="J499" s="90">
        <f t="shared" ca="1" si="57"/>
        <v>0</v>
      </c>
      <c r="K499" s="26">
        <f t="shared" ca="1" si="56"/>
        <v>0</v>
      </c>
      <c r="L499" s="125"/>
      <c r="M499" s="125"/>
      <c r="O499" s="92">
        <f t="shared" si="58"/>
        <v>1</v>
      </c>
      <c r="P499" s="92">
        <f>IF(E499&lt;=G485,P498*(1+H499),0)</f>
        <v>0</v>
      </c>
      <c r="Q499" s="126">
        <v>10</v>
      </c>
    </row>
    <row r="500" spans="3:17" ht="14.7" thickBot="1" x14ac:dyDescent="0.6">
      <c r="C500" s="124"/>
      <c r="D500" s="130"/>
      <c r="E500" s="149"/>
      <c r="F500" s="150"/>
      <c r="G500" s="149"/>
      <c r="H500" s="151"/>
      <c r="I500" s="152"/>
      <c r="J500" s="153"/>
      <c r="K500" s="131"/>
      <c r="L500" s="154"/>
      <c r="M500" s="125"/>
      <c r="O500" s="126"/>
      <c r="P500" s="126"/>
      <c r="Q500" s="126"/>
    </row>
    <row r="501" spans="3:17" ht="14.7" thickBot="1" x14ac:dyDescent="0.6">
      <c r="C501" s="130"/>
      <c r="D501" s="131"/>
      <c r="E501" s="131"/>
      <c r="F501" s="131"/>
      <c r="G501" s="131"/>
      <c r="H501" s="131"/>
      <c r="I501" s="131"/>
      <c r="J501" s="131"/>
      <c r="K501" s="131"/>
      <c r="L501" s="131"/>
      <c r="M501" s="132"/>
      <c r="O501" s="126"/>
      <c r="P501" s="126"/>
      <c r="Q501" s="126"/>
    </row>
    <row r="502" spans="3:17" ht="14.7" thickBot="1" x14ac:dyDescent="0.6">
      <c r="O502" s="126"/>
      <c r="P502" s="126"/>
      <c r="Q502" s="126"/>
    </row>
    <row r="503" spans="3:17" x14ac:dyDescent="0.55000000000000004">
      <c r="C503" s="121"/>
      <c r="D503" s="122"/>
      <c r="E503" s="122"/>
      <c r="F503" s="122"/>
      <c r="G503" s="122"/>
      <c r="H503" s="122"/>
      <c r="I503" s="122"/>
      <c r="J503" s="122"/>
      <c r="K503" s="122"/>
      <c r="L503" s="122"/>
      <c r="M503" s="123"/>
      <c r="O503" s="126"/>
      <c r="P503" s="126"/>
      <c r="Q503" s="126"/>
    </row>
    <row r="504" spans="3:17" ht="18.3" x14ac:dyDescent="0.7">
      <c r="C504" s="124"/>
      <c r="D504" s="1822">
        <f>'2 Customer data'!D33</f>
        <v>0</v>
      </c>
      <c r="E504" s="1822"/>
      <c r="F504" s="1822"/>
      <c r="G504" s="1822"/>
      <c r="H504" s="1822"/>
      <c r="I504" s="1822"/>
      <c r="J504" s="1822"/>
      <c r="K504" s="1822"/>
      <c r="L504" s="1822"/>
      <c r="M504" s="125"/>
      <c r="O504" s="126"/>
      <c r="P504" s="126"/>
      <c r="Q504" s="126"/>
    </row>
    <row r="505" spans="3:17" ht="14.7" thickBot="1" x14ac:dyDescent="0.6">
      <c r="C505" s="124"/>
      <c r="E505" s="1"/>
      <c r="M505" s="125"/>
      <c r="O505" s="126"/>
      <c r="P505" s="126"/>
      <c r="Q505" s="126"/>
    </row>
    <row r="506" spans="3:17" x14ac:dyDescent="0.55000000000000004">
      <c r="C506" s="124"/>
      <c r="D506" s="121"/>
      <c r="E506" s="122"/>
      <c r="F506" s="122"/>
      <c r="G506" s="122"/>
      <c r="H506" s="122"/>
      <c r="I506" s="122"/>
      <c r="J506" s="122"/>
      <c r="K506" s="122"/>
      <c r="L506" s="123"/>
      <c r="M506" s="125"/>
      <c r="O506" s="126"/>
      <c r="P506" s="126"/>
      <c r="Q506" s="126"/>
    </row>
    <row r="507" spans="3:17" x14ac:dyDescent="0.55000000000000004">
      <c r="C507" s="124"/>
      <c r="D507" s="124"/>
      <c r="E507" s="1" t="str">
        <f>'2 Customer data'!D33&amp;" "&amp;"information"</f>
        <v xml:space="preserve"> information</v>
      </c>
      <c r="L507" s="125"/>
      <c r="M507" s="125"/>
      <c r="O507" s="126"/>
      <c r="P507" s="126"/>
      <c r="Q507" s="126"/>
    </row>
    <row r="508" spans="3:17" x14ac:dyDescent="0.55000000000000004">
      <c r="C508" s="124"/>
      <c r="D508" s="124"/>
      <c r="E508" s="127"/>
      <c r="L508" s="125"/>
      <c r="M508" s="125"/>
      <c r="O508" s="126"/>
      <c r="P508" s="126"/>
      <c r="Q508" s="126"/>
    </row>
    <row r="509" spans="3:17" ht="28.8" x14ac:dyDescent="0.55000000000000004">
      <c r="C509" s="124"/>
      <c r="D509" s="124"/>
      <c r="E509" s="128"/>
      <c r="F509" s="56" t="s">
        <v>28</v>
      </c>
      <c r="G509" s="129" t="s">
        <v>278</v>
      </c>
      <c r="H509" s="129" t="s">
        <v>69</v>
      </c>
      <c r="I509" s="129" t="s">
        <v>70</v>
      </c>
      <c r="J509" s="56" t="s">
        <v>71</v>
      </c>
      <c r="L509" s="125"/>
      <c r="M509" s="125"/>
      <c r="O509" s="126"/>
      <c r="P509" s="126"/>
      <c r="Q509" s="126"/>
    </row>
    <row r="510" spans="3:17" x14ac:dyDescent="0.55000000000000004">
      <c r="C510" s="124"/>
      <c r="D510" s="124"/>
      <c r="E510">
        <f>'2 Customer data'!D33</f>
        <v>0</v>
      </c>
      <c r="F510" s="26">
        <f>IFERROR(IF(VLOOKUP(E510,'2 Customer data'!$D$21:$L$40,6,FALSE)="",VLOOKUP(E510,'2 Customer data'!$D$21:$L$40,5,FALSE),VLOOKUP(E510,'2 Customer data'!$D$21:$L$40,6,FALSE)),0)</f>
        <v>0</v>
      </c>
      <c r="G510" s="26">
        <f>IFERROR(IF(VLOOKUP(E510,'2 Customer data'!$D$21:$K$40,8,FALSE)="",VLOOKUP(E510,'2 Customer data'!$D$21:$K$40,7,FALSE),VLOOKUP(E510,'2 Customer data'!$D$21:$K$40,8,FALSE)),0)</f>
        <v>0</v>
      </c>
      <c r="H510" s="26">
        <f ca="1">VLOOKUP(E510,'2 Water'!$D$19:$J$38,5,FALSE)</f>
        <v>0</v>
      </c>
      <c r="I510" s="26">
        <f ca="1">VLOOKUP(E510,'2 Water'!$D$19:$J$38,6,FALSE)</f>
        <v>0</v>
      </c>
      <c r="J510" s="26">
        <f ca="1">IFERROR(VLOOKUP(E510,'2 Water'!$D$158:$K$177,8,FALSE),0)</f>
        <v>0</v>
      </c>
      <c r="L510" s="125"/>
      <c r="M510" s="125"/>
      <c r="O510" s="126"/>
      <c r="P510" s="126"/>
      <c r="Q510" s="126"/>
    </row>
    <row r="511" spans="3:17" ht="14.7" thickBot="1" x14ac:dyDescent="0.6">
      <c r="C511" s="124"/>
      <c r="D511" s="130"/>
      <c r="E511" s="131"/>
      <c r="F511" s="131"/>
      <c r="G511" s="131"/>
      <c r="H511" s="131"/>
      <c r="I511" s="131"/>
      <c r="J511" s="131"/>
      <c r="K511" s="131"/>
      <c r="L511" s="132"/>
      <c r="M511" s="125"/>
      <c r="O511" s="126"/>
      <c r="P511" s="126"/>
      <c r="Q511" s="126"/>
    </row>
    <row r="512" spans="3:17" ht="14.7" thickBot="1" x14ac:dyDescent="0.6">
      <c r="C512" s="124"/>
      <c r="M512" s="125"/>
      <c r="O512" s="126"/>
      <c r="P512" s="126"/>
      <c r="Q512" s="126"/>
    </row>
    <row r="513" spans="3:17" x14ac:dyDescent="0.55000000000000004">
      <c r="C513" s="124"/>
      <c r="D513" s="121"/>
      <c r="E513" s="122"/>
      <c r="F513" s="122"/>
      <c r="G513" s="122"/>
      <c r="H513" s="122"/>
      <c r="I513" s="122"/>
      <c r="J513" s="122"/>
      <c r="K513" s="122"/>
      <c r="L513" s="123"/>
      <c r="M513" s="125"/>
      <c r="O513" s="126"/>
      <c r="P513" s="126"/>
      <c r="Q513" s="126"/>
    </row>
    <row r="514" spans="3:17" x14ac:dyDescent="0.55000000000000004">
      <c r="C514" s="124"/>
      <c r="D514" s="124"/>
      <c r="E514" s="1" t="s">
        <v>72</v>
      </c>
      <c r="L514" s="125"/>
      <c r="M514" s="125"/>
      <c r="O514" s="126"/>
      <c r="P514" s="126"/>
      <c r="Q514" s="126"/>
    </row>
    <row r="515" spans="3:17" x14ac:dyDescent="0.55000000000000004">
      <c r="C515" s="124"/>
      <c r="D515" s="124"/>
      <c r="E515" s="120" t="s">
        <v>555</v>
      </c>
      <c r="L515" s="125"/>
      <c r="M515" s="125"/>
      <c r="O515" s="126"/>
      <c r="P515" s="126"/>
      <c r="Q515" s="126"/>
    </row>
    <row r="516" spans="3:17" x14ac:dyDescent="0.55000000000000004">
      <c r="C516" s="124"/>
      <c r="D516" s="124"/>
      <c r="E516" s="127"/>
      <c r="L516" s="125"/>
      <c r="M516" s="125"/>
      <c r="O516" s="126"/>
      <c r="P516" s="126"/>
      <c r="Q516" s="126"/>
    </row>
    <row r="517" spans="3:17" ht="28.8" x14ac:dyDescent="0.55000000000000004">
      <c r="C517" s="124"/>
      <c r="D517" s="124"/>
      <c r="F517" s="56" t="s">
        <v>86</v>
      </c>
      <c r="G517" s="56" t="s">
        <v>73</v>
      </c>
      <c r="H517" s="56" t="s">
        <v>74</v>
      </c>
      <c r="I517" s="56" t="s">
        <v>75</v>
      </c>
      <c r="J517" s="56" t="s">
        <v>76</v>
      </c>
      <c r="L517" s="125"/>
      <c r="M517" s="125"/>
      <c r="O517" s="126"/>
      <c r="P517" s="126"/>
      <c r="Q517" s="126"/>
    </row>
    <row r="518" spans="3:17" x14ac:dyDescent="0.55000000000000004">
      <c r="C518" s="124"/>
      <c r="D518" s="124"/>
      <c r="E518">
        <f>E510</f>
        <v>0</v>
      </c>
      <c r="F518" s="26">
        <f ca="1">H510</f>
        <v>0</v>
      </c>
      <c r="G518" s="64">
        <f ca="1">IFERROR(F518/F510/12,0)</f>
        <v>0</v>
      </c>
      <c r="H518" s="84"/>
      <c r="I518" s="26">
        <f>H518*F510*12</f>
        <v>0</v>
      </c>
      <c r="J518" s="21">
        <f>IFERROR(I518/12,0)</f>
        <v>0</v>
      </c>
      <c r="L518" s="125"/>
      <c r="M518" s="125"/>
      <c r="O518" s="126"/>
      <c r="P518" s="126"/>
      <c r="Q518" s="126"/>
    </row>
    <row r="519" spans="3:17" x14ac:dyDescent="0.55000000000000004">
      <c r="C519" s="124"/>
      <c r="D519" s="124"/>
      <c r="E519" s="133"/>
      <c r="F519" s="58" t="str">
        <f ca="1">IF(I518&gt;J510,"Error: revenue from fixed charges exceeds total revenue required from tariff. Reduce fixed charge.","")</f>
        <v/>
      </c>
      <c r="G519" s="134"/>
      <c r="H519" s="134"/>
      <c r="I519" s="134"/>
      <c r="J519" s="135"/>
      <c r="L519" s="125"/>
      <c r="M519" s="125"/>
      <c r="O519" s="126"/>
      <c r="P519" s="126"/>
      <c r="Q519" s="126"/>
    </row>
    <row r="520" spans="3:17" ht="14.7" thickBot="1" x14ac:dyDescent="0.6">
      <c r="C520" s="124"/>
      <c r="D520" s="130"/>
      <c r="E520" s="131"/>
      <c r="F520" s="131"/>
      <c r="G520" s="131"/>
      <c r="H520" s="131"/>
      <c r="I520" s="131"/>
      <c r="J520" s="131"/>
      <c r="K520" s="131"/>
      <c r="L520" s="132"/>
      <c r="M520" s="125"/>
      <c r="O520" s="126"/>
      <c r="P520" s="126"/>
      <c r="Q520" s="126"/>
    </row>
    <row r="521" spans="3:17" ht="14.7" thickBot="1" x14ac:dyDescent="0.6">
      <c r="C521" s="124"/>
      <c r="M521" s="125"/>
      <c r="O521" s="126"/>
      <c r="P521" s="126"/>
      <c r="Q521" s="126"/>
    </row>
    <row r="522" spans="3:17" x14ac:dyDescent="0.55000000000000004">
      <c r="C522" s="124"/>
      <c r="D522" s="121"/>
      <c r="E522" s="122"/>
      <c r="F522" s="122"/>
      <c r="G522" s="122"/>
      <c r="H522" s="122"/>
      <c r="I522" s="122"/>
      <c r="J522" s="122"/>
      <c r="K522" s="122"/>
      <c r="L522" s="123"/>
      <c r="M522" s="125"/>
      <c r="O522" s="126"/>
      <c r="P522" s="126"/>
      <c r="Q522" s="126"/>
    </row>
    <row r="523" spans="3:17" x14ac:dyDescent="0.55000000000000004">
      <c r="C523" s="124"/>
      <c r="D523" s="124"/>
      <c r="E523" s="1" t="s">
        <v>96</v>
      </c>
      <c r="L523" s="125"/>
      <c r="M523" s="125"/>
      <c r="O523" s="126"/>
      <c r="P523" s="126"/>
      <c r="Q523" s="126"/>
    </row>
    <row r="524" spans="3:17" ht="14.55" customHeight="1" x14ac:dyDescent="0.55000000000000004">
      <c r="C524" s="124"/>
      <c r="D524" s="124"/>
      <c r="E524" s="1804" t="s">
        <v>451</v>
      </c>
      <c r="F524" s="1804"/>
      <c r="G524" s="1804"/>
      <c r="H524" s="1804"/>
      <c r="I524" s="1804"/>
      <c r="J524" s="1804"/>
      <c r="K524" s="1804"/>
      <c r="L524" s="136"/>
      <c r="M524" s="136"/>
      <c r="O524" s="126"/>
      <c r="P524" s="126"/>
      <c r="Q524" s="126"/>
    </row>
    <row r="525" spans="3:17" x14ac:dyDescent="0.55000000000000004">
      <c r="C525" s="124"/>
      <c r="D525" s="124"/>
      <c r="E525" s="1804"/>
      <c r="F525" s="1804"/>
      <c r="G525" s="1804"/>
      <c r="H525" s="1804"/>
      <c r="I525" s="1804"/>
      <c r="J525" s="1804"/>
      <c r="K525" s="1804"/>
      <c r="L525" s="136"/>
      <c r="M525" s="136"/>
      <c r="O525" s="126"/>
      <c r="P525" s="126"/>
      <c r="Q525" s="126"/>
    </row>
    <row r="526" spans="3:17" x14ac:dyDescent="0.55000000000000004">
      <c r="C526" s="124"/>
      <c r="D526" s="124"/>
      <c r="L526" s="125"/>
      <c r="M526" s="125"/>
      <c r="O526" s="126"/>
      <c r="P526" s="126"/>
      <c r="Q526" s="126"/>
    </row>
    <row r="527" spans="3:17" x14ac:dyDescent="0.55000000000000004">
      <c r="C527" s="124"/>
      <c r="D527" s="124"/>
      <c r="E527" t="s">
        <v>77</v>
      </c>
      <c r="F527" s="126"/>
      <c r="G527" s="50">
        <v>10</v>
      </c>
      <c r="L527" s="125"/>
      <c r="M527" s="125"/>
      <c r="O527" s="126"/>
      <c r="P527" s="126"/>
      <c r="Q527" s="126"/>
    </row>
    <row r="528" spans="3:17" x14ac:dyDescent="0.55000000000000004">
      <c r="C528" s="124"/>
      <c r="D528" s="124"/>
      <c r="E528" s="10" t="s">
        <v>612</v>
      </c>
      <c r="F528" s="133"/>
      <c r="G528" s="159" t="s">
        <v>613</v>
      </c>
      <c r="L528" s="125"/>
      <c r="M528" s="125"/>
      <c r="O528" s="126"/>
      <c r="P528" s="126"/>
      <c r="Q528" s="126"/>
    </row>
    <row r="529" spans="3:17" ht="13.95" customHeight="1" x14ac:dyDescent="0.55000000000000004">
      <c r="C529" s="124"/>
      <c r="D529" s="124"/>
      <c r="L529" s="125"/>
      <c r="M529" s="125"/>
      <c r="O529" s="126"/>
      <c r="P529" s="126"/>
      <c r="Q529" s="126"/>
    </row>
    <row r="530" spans="3:17" ht="28.8" x14ac:dyDescent="0.55000000000000004">
      <c r="C530" s="124"/>
      <c r="D530" s="124"/>
      <c r="E530" s="129" t="s">
        <v>78</v>
      </c>
      <c r="F530" s="129" t="s">
        <v>79</v>
      </c>
      <c r="G530" s="139" t="s">
        <v>80</v>
      </c>
      <c r="H530" s="129" t="s">
        <v>333</v>
      </c>
      <c r="I530" s="56" t="s">
        <v>82</v>
      </c>
      <c r="J530" s="129" t="s">
        <v>81</v>
      </c>
      <c r="K530" s="56" t="s">
        <v>83</v>
      </c>
      <c r="L530" s="125"/>
      <c r="M530" s="125"/>
      <c r="O530" s="126" t="s">
        <v>614</v>
      </c>
      <c r="P530" s="126" t="s">
        <v>615</v>
      </c>
      <c r="Q530" s="126"/>
    </row>
    <row r="531" spans="3:17" x14ac:dyDescent="0.55000000000000004">
      <c r="C531" s="124"/>
      <c r="D531" s="124"/>
      <c r="E531" s="89">
        <f>IF($G$527=Q531,Q531,1)</f>
        <v>1</v>
      </c>
      <c r="F531" s="91">
        <v>0</v>
      </c>
      <c r="G531" s="85"/>
      <c r="H531" s="63"/>
      <c r="I531" s="31">
        <f>G510-SUMIF(E532:E540,"&lt;="&amp;$G$527,I532:I540)</f>
        <v>0</v>
      </c>
      <c r="J531" s="114">
        <f>IFERROR(IF(E531&lt;=G527,IF(G528="No",IF(I518=0,J510/SUMPRODUCT(O531:O540,I531:I540),(J510-I518)/SUMPRODUCT(O531:O540,I531:I540)),0),0),0)</f>
        <v>0</v>
      </c>
      <c r="K531" s="26">
        <f>IFERROR(J531*I531,0)</f>
        <v>0</v>
      </c>
      <c r="L531" s="125"/>
      <c r="M531" s="125"/>
      <c r="O531" s="92">
        <f>IF(E531&lt;=$G$527,1,0)</f>
        <v>1</v>
      </c>
      <c r="P531" s="126"/>
      <c r="Q531" s="126">
        <v>1</v>
      </c>
    </row>
    <row r="532" spans="3:17" x14ac:dyDescent="0.55000000000000004">
      <c r="C532" s="124"/>
      <c r="D532" s="124"/>
      <c r="E532" s="89">
        <f t="shared" ref="E532:E540" si="59">IF($G$527&gt;=Q532,Q532,"")</f>
        <v>2</v>
      </c>
      <c r="F532" s="91">
        <f t="shared" ref="F532:F540" si="60">IF($G$527&gt;=E532,G531+0.01,"")</f>
        <v>0.01</v>
      </c>
      <c r="G532" s="85"/>
      <c r="H532" s="61"/>
      <c r="I532" s="13"/>
      <c r="J532" s="114">
        <f ca="1">IFERROR(IF(E532&lt;=G527,IF(G528="No",J531*(1+H532),IF(I518=0,J510/SUMPRODUCT(P532:P540,I532:I540),(J510-I518)/SUMPRODUCT(P532:P540,I532:I540))),0),0)</f>
        <v>0</v>
      </c>
      <c r="K532" s="26">
        <f t="shared" ref="K532:K540" ca="1" si="61">IFERROR(J532*I532,0)</f>
        <v>0</v>
      </c>
      <c r="L532" s="125"/>
      <c r="M532" s="125"/>
      <c r="O532" s="92">
        <f>IF(E532&lt;=$G$527,(1+H532),0)</f>
        <v>1</v>
      </c>
      <c r="P532" s="92">
        <f>IF(E532&lt;=G526,1,0)</f>
        <v>0</v>
      </c>
      <c r="Q532" s="126">
        <v>2</v>
      </c>
    </row>
    <row r="533" spans="3:17" x14ac:dyDescent="0.55000000000000004">
      <c r="C533" s="124"/>
      <c r="D533" s="124"/>
      <c r="E533" s="89">
        <f t="shared" si="59"/>
        <v>3</v>
      </c>
      <c r="F533" s="91">
        <f t="shared" si="60"/>
        <v>0.01</v>
      </c>
      <c r="G533" s="85"/>
      <c r="H533" s="61"/>
      <c r="I533" s="13"/>
      <c r="J533" s="90">
        <f t="shared" ref="J533:J540" ca="1" si="62">IF(E533&lt;=$G$527,J532*(1+H533),0)</f>
        <v>0</v>
      </c>
      <c r="K533" s="26">
        <f t="shared" ca="1" si="61"/>
        <v>0</v>
      </c>
      <c r="L533" s="125"/>
      <c r="M533" s="125"/>
      <c r="O533" s="92">
        <f t="shared" ref="O533:O540" si="63">IF(E533&lt;=$G$527,O532*(1+H533),0)</f>
        <v>1</v>
      </c>
      <c r="P533" s="92">
        <f>IF(E533&lt;=G526,P532*(1+H533),0)</f>
        <v>0</v>
      </c>
      <c r="Q533" s="126">
        <v>3</v>
      </c>
    </row>
    <row r="534" spans="3:17" x14ac:dyDescent="0.55000000000000004">
      <c r="C534" s="124"/>
      <c r="D534" s="124"/>
      <c r="E534" s="89">
        <f t="shared" si="59"/>
        <v>4</v>
      </c>
      <c r="F534" s="91">
        <f t="shared" si="60"/>
        <v>0.01</v>
      </c>
      <c r="G534" s="85"/>
      <c r="H534" s="61"/>
      <c r="I534" s="13"/>
      <c r="J534" s="90">
        <f t="shared" ca="1" si="62"/>
        <v>0</v>
      </c>
      <c r="K534" s="26">
        <f t="shared" ca="1" si="61"/>
        <v>0</v>
      </c>
      <c r="L534" s="125"/>
      <c r="M534" s="125"/>
      <c r="O534" s="92">
        <f t="shared" si="63"/>
        <v>1</v>
      </c>
      <c r="P534" s="92">
        <f>IF(E534&lt;=G526,P533*(1+H534),0)</f>
        <v>0</v>
      </c>
      <c r="Q534" s="126">
        <v>4</v>
      </c>
    </row>
    <row r="535" spans="3:17" x14ac:dyDescent="0.55000000000000004">
      <c r="C535" s="124"/>
      <c r="D535" s="124"/>
      <c r="E535" s="89">
        <f t="shared" si="59"/>
        <v>5</v>
      </c>
      <c r="F535" s="91">
        <f t="shared" si="60"/>
        <v>0.01</v>
      </c>
      <c r="G535" s="85"/>
      <c r="H535" s="61"/>
      <c r="I535" s="13"/>
      <c r="J535" s="90">
        <f t="shared" ca="1" si="62"/>
        <v>0</v>
      </c>
      <c r="K535" s="26">
        <f t="shared" ca="1" si="61"/>
        <v>0</v>
      </c>
      <c r="L535" s="125"/>
      <c r="M535" s="125"/>
      <c r="O535" s="92">
        <f t="shared" si="63"/>
        <v>1</v>
      </c>
      <c r="P535" s="92">
        <f>IF(E535&lt;=G526,P534*(1+H535),0)</f>
        <v>0</v>
      </c>
      <c r="Q535" s="126">
        <v>5</v>
      </c>
    </row>
    <row r="536" spans="3:17" x14ac:dyDescent="0.55000000000000004">
      <c r="C536" s="124"/>
      <c r="D536" s="124"/>
      <c r="E536" s="89">
        <f t="shared" si="59"/>
        <v>6</v>
      </c>
      <c r="F536" s="91">
        <f t="shared" si="60"/>
        <v>0.01</v>
      </c>
      <c r="G536" s="86"/>
      <c r="H536" s="61"/>
      <c r="I536" s="13"/>
      <c r="J536" s="90">
        <f t="shared" ca="1" si="62"/>
        <v>0</v>
      </c>
      <c r="K536" s="26">
        <f t="shared" ca="1" si="61"/>
        <v>0</v>
      </c>
      <c r="L536" s="125"/>
      <c r="M536" s="125"/>
      <c r="O536" s="92">
        <f t="shared" si="63"/>
        <v>1</v>
      </c>
      <c r="P536" s="92">
        <f>IF(E536&lt;=G526,P535*(1+H536),0)</f>
        <v>0</v>
      </c>
      <c r="Q536" s="126">
        <v>6</v>
      </c>
    </row>
    <row r="537" spans="3:17" x14ac:dyDescent="0.55000000000000004">
      <c r="C537" s="124"/>
      <c r="D537" s="124"/>
      <c r="E537" s="89">
        <f t="shared" si="59"/>
        <v>7</v>
      </c>
      <c r="F537" s="91">
        <f t="shared" si="60"/>
        <v>0.01</v>
      </c>
      <c r="G537" s="87"/>
      <c r="H537" s="61"/>
      <c r="I537" s="13"/>
      <c r="J537" s="90">
        <f t="shared" ca="1" si="62"/>
        <v>0</v>
      </c>
      <c r="K537" s="26">
        <f t="shared" ca="1" si="61"/>
        <v>0</v>
      </c>
      <c r="L537" s="125"/>
      <c r="M537" s="125"/>
      <c r="O537" s="92">
        <f t="shared" si="63"/>
        <v>1</v>
      </c>
      <c r="P537" s="92">
        <f>IF(E537&lt;=G526,P536*(1+H537),0)</f>
        <v>0</v>
      </c>
      <c r="Q537" s="126">
        <v>7</v>
      </c>
    </row>
    <row r="538" spans="3:17" x14ac:dyDescent="0.55000000000000004">
      <c r="C538" s="124"/>
      <c r="D538" s="124"/>
      <c r="E538" s="89">
        <f t="shared" si="59"/>
        <v>8</v>
      </c>
      <c r="F538" s="91">
        <f t="shared" si="60"/>
        <v>0.01</v>
      </c>
      <c r="G538" s="87"/>
      <c r="H538" s="61"/>
      <c r="I538" s="13"/>
      <c r="J538" s="90">
        <f t="shared" ca="1" si="62"/>
        <v>0</v>
      </c>
      <c r="K538" s="26">
        <f t="shared" ca="1" si="61"/>
        <v>0</v>
      </c>
      <c r="L538" s="125"/>
      <c r="M538" s="125"/>
      <c r="O538" s="92">
        <f t="shared" si="63"/>
        <v>1</v>
      </c>
      <c r="P538" s="92">
        <f>IF(E538&lt;=G526,P537*(1+H538),0)</f>
        <v>0</v>
      </c>
      <c r="Q538" s="126">
        <v>8</v>
      </c>
    </row>
    <row r="539" spans="3:17" x14ac:dyDescent="0.55000000000000004">
      <c r="C539" s="124"/>
      <c r="D539" s="124"/>
      <c r="E539" s="89">
        <f t="shared" si="59"/>
        <v>9</v>
      </c>
      <c r="F539" s="91">
        <f t="shared" si="60"/>
        <v>0.01</v>
      </c>
      <c r="G539" s="87"/>
      <c r="H539" s="61"/>
      <c r="I539" s="13"/>
      <c r="J539" s="90">
        <f t="shared" ca="1" si="62"/>
        <v>0</v>
      </c>
      <c r="K539" s="26">
        <f t="shared" ca="1" si="61"/>
        <v>0</v>
      </c>
      <c r="L539" s="125"/>
      <c r="M539" s="125"/>
      <c r="O539" s="92">
        <f t="shared" si="63"/>
        <v>1</v>
      </c>
      <c r="P539" s="92">
        <f>IF(E539&lt;=G526,P538*(1+H539),0)</f>
        <v>0</v>
      </c>
      <c r="Q539" s="126">
        <v>9</v>
      </c>
    </row>
    <row r="540" spans="3:17" x14ac:dyDescent="0.55000000000000004">
      <c r="C540" s="124"/>
      <c r="D540" s="124"/>
      <c r="E540" s="89">
        <f t="shared" si="59"/>
        <v>10</v>
      </c>
      <c r="F540" s="91">
        <f t="shared" si="60"/>
        <v>0.01</v>
      </c>
      <c r="G540" s="148" t="s">
        <v>84</v>
      </c>
      <c r="H540" s="50"/>
      <c r="I540" s="88"/>
      <c r="J540" s="90">
        <f t="shared" ca="1" si="62"/>
        <v>0</v>
      </c>
      <c r="K540" s="26">
        <f t="shared" ca="1" si="61"/>
        <v>0</v>
      </c>
      <c r="L540" s="125"/>
      <c r="M540" s="125"/>
      <c r="O540" s="92">
        <f t="shared" si="63"/>
        <v>1</v>
      </c>
      <c r="P540" s="92">
        <f>IF(E540&lt;=G526,P539*(1+H540),0)</f>
        <v>0</v>
      </c>
      <c r="Q540" s="126">
        <v>10</v>
      </c>
    </row>
    <row r="541" spans="3:17" ht="14.7" thickBot="1" x14ac:dyDescent="0.6">
      <c r="C541" s="124"/>
      <c r="D541" s="130"/>
      <c r="E541" s="149"/>
      <c r="F541" s="150"/>
      <c r="G541" s="149"/>
      <c r="H541" s="151"/>
      <c r="I541" s="152"/>
      <c r="J541" s="153"/>
      <c r="K541" s="131"/>
      <c r="L541" s="154"/>
      <c r="M541" s="125"/>
      <c r="O541" s="126"/>
      <c r="P541" s="126"/>
      <c r="Q541" s="126"/>
    </row>
    <row r="542" spans="3:17" ht="14.7" thickBot="1" x14ac:dyDescent="0.6">
      <c r="C542" s="130"/>
      <c r="D542" s="131"/>
      <c r="E542" s="131"/>
      <c r="F542" s="131"/>
      <c r="G542" s="131"/>
      <c r="H542" s="131"/>
      <c r="I542" s="131"/>
      <c r="J542" s="131"/>
      <c r="K542" s="131"/>
      <c r="L542" s="131"/>
      <c r="M542" s="132"/>
      <c r="O542" s="126"/>
      <c r="P542" s="126"/>
      <c r="Q542" s="126"/>
    </row>
    <row r="543" spans="3:17" ht="14.7" thickBot="1" x14ac:dyDescent="0.6">
      <c r="O543" s="126"/>
      <c r="P543" s="126"/>
      <c r="Q543" s="126"/>
    </row>
    <row r="544" spans="3:17" x14ac:dyDescent="0.55000000000000004">
      <c r="C544" s="121"/>
      <c r="D544" s="122"/>
      <c r="E544" s="122"/>
      <c r="F544" s="122"/>
      <c r="G544" s="122"/>
      <c r="H544" s="122"/>
      <c r="I544" s="122"/>
      <c r="J544" s="122"/>
      <c r="K544" s="122"/>
      <c r="L544" s="122"/>
      <c r="M544" s="123"/>
      <c r="O544" s="126"/>
      <c r="P544" s="126"/>
      <c r="Q544" s="126"/>
    </row>
    <row r="545" spans="3:17" ht="18.3" x14ac:dyDescent="0.7">
      <c r="C545" s="124"/>
      <c r="D545" s="1822">
        <f>'2 Customer data'!D34</f>
        <v>0</v>
      </c>
      <c r="E545" s="1822"/>
      <c r="F545" s="1822"/>
      <c r="G545" s="1822"/>
      <c r="H545" s="1822"/>
      <c r="I545" s="1822"/>
      <c r="J545" s="1822"/>
      <c r="K545" s="1822"/>
      <c r="L545" s="1822"/>
      <c r="M545" s="125"/>
      <c r="O545" s="126"/>
      <c r="P545" s="126"/>
      <c r="Q545" s="126"/>
    </row>
    <row r="546" spans="3:17" ht="14.7" thickBot="1" x14ac:dyDescent="0.6">
      <c r="C546" s="124"/>
      <c r="E546" s="1"/>
      <c r="M546" s="125"/>
      <c r="O546" s="126"/>
      <c r="P546" s="126"/>
      <c r="Q546" s="126"/>
    </row>
    <row r="547" spans="3:17" x14ac:dyDescent="0.55000000000000004">
      <c r="C547" s="124"/>
      <c r="D547" s="121"/>
      <c r="E547" s="122"/>
      <c r="F547" s="122"/>
      <c r="G547" s="122"/>
      <c r="H547" s="122"/>
      <c r="I547" s="122"/>
      <c r="J547" s="122"/>
      <c r="K547" s="122"/>
      <c r="L547" s="123"/>
      <c r="M547" s="125"/>
      <c r="O547" s="126"/>
      <c r="P547" s="126"/>
      <c r="Q547" s="126"/>
    </row>
    <row r="548" spans="3:17" x14ac:dyDescent="0.55000000000000004">
      <c r="C548" s="124"/>
      <c r="D548" s="124"/>
      <c r="E548" s="1" t="str">
        <f>'2 Customer data'!D34&amp;" "&amp;"information"</f>
        <v xml:space="preserve"> information</v>
      </c>
      <c r="L548" s="125"/>
      <c r="M548" s="125"/>
      <c r="O548" s="126"/>
      <c r="P548" s="126"/>
      <c r="Q548" s="126"/>
    </row>
    <row r="549" spans="3:17" x14ac:dyDescent="0.55000000000000004">
      <c r="C549" s="124"/>
      <c r="D549" s="124"/>
      <c r="E549" s="127"/>
      <c r="L549" s="125"/>
      <c r="M549" s="125"/>
      <c r="O549" s="126"/>
      <c r="P549" s="126"/>
      <c r="Q549" s="126"/>
    </row>
    <row r="550" spans="3:17" ht="28.8" x14ac:dyDescent="0.55000000000000004">
      <c r="C550" s="124"/>
      <c r="D550" s="124"/>
      <c r="E550" s="128"/>
      <c r="F550" s="56" t="s">
        <v>28</v>
      </c>
      <c r="G550" s="129" t="s">
        <v>278</v>
      </c>
      <c r="H550" s="129" t="s">
        <v>69</v>
      </c>
      <c r="I550" s="129" t="s">
        <v>70</v>
      </c>
      <c r="J550" s="56" t="s">
        <v>71</v>
      </c>
      <c r="L550" s="125"/>
      <c r="M550" s="125"/>
      <c r="O550" s="126"/>
      <c r="P550" s="126"/>
      <c r="Q550" s="126"/>
    </row>
    <row r="551" spans="3:17" x14ac:dyDescent="0.55000000000000004">
      <c r="C551" s="124"/>
      <c r="D551" s="124"/>
      <c r="E551">
        <f>'2 Customer data'!D34</f>
        <v>0</v>
      </c>
      <c r="F551" s="26">
        <f>IFERROR(IF(VLOOKUP(E551,'2 Customer data'!$D$21:$L$40,6,FALSE)="",VLOOKUP(E551,'2 Customer data'!$D$21:$L$40,5,FALSE),VLOOKUP(E551,'2 Customer data'!$D$21:$L$40,6,FALSE)),0)</f>
        <v>0</v>
      </c>
      <c r="G551" s="26">
        <f>IFERROR(IF(VLOOKUP(E551,'2 Customer data'!$D$21:$K$40,8,FALSE)="",VLOOKUP(E551,'2 Customer data'!$D$21:$K$40,7,FALSE),VLOOKUP(E551,'2 Customer data'!$D$21:$K$40,8,FALSE)),0)</f>
        <v>0</v>
      </c>
      <c r="H551" s="26">
        <f ca="1">VLOOKUP(E551,'2 Water'!$D$19:$J$38,5,FALSE)</f>
        <v>0</v>
      </c>
      <c r="I551" s="26">
        <f ca="1">VLOOKUP(E551,'2 Water'!$D$19:$J$38,6,FALSE)</f>
        <v>0</v>
      </c>
      <c r="J551" s="26">
        <f ca="1">IFERROR(VLOOKUP(E551,'2 Water'!$D$158:$K$177,8,FALSE),0)</f>
        <v>0</v>
      </c>
      <c r="L551" s="125"/>
      <c r="M551" s="125"/>
      <c r="O551" s="126"/>
      <c r="P551" s="126"/>
      <c r="Q551" s="126"/>
    </row>
    <row r="552" spans="3:17" ht="14.7" thickBot="1" x14ac:dyDescent="0.6">
      <c r="C552" s="124"/>
      <c r="D552" s="130"/>
      <c r="E552" s="131"/>
      <c r="F552" s="131"/>
      <c r="G552" s="131"/>
      <c r="H552" s="131"/>
      <c r="I552" s="131"/>
      <c r="J552" s="131"/>
      <c r="K552" s="131"/>
      <c r="L552" s="132"/>
      <c r="M552" s="125"/>
      <c r="O552" s="126"/>
      <c r="P552" s="126"/>
      <c r="Q552" s="126"/>
    </row>
    <row r="553" spans="3:17" ht="14.7" thickBot="1" x14ac:dyDescent="0.6">
      <c r="C553" s="124"/>
      <c r="M553" s="125"/>
      <c r="O553" s="126"/>
      <c r="P553" s="126"/>
      <c r="Q553" s="126"/>
    </row>
    <row r="554" spans="3:17" x14ac:dyDescent="0.55000000000000004">
      <c r="C554" s="124"/>
      <c r="D554" s="121"/>
      <c r="E554" s="122"/>
      <c r="F554" s="122"/>
      <c r="G554" s="122"/>
      <c r="H554" s="122"/>
      <c r="I554" s="122"/>
      <c r="J554" s="122"/>
      <c r="K554" s="122"/>
      <c r="L554" s="123"/>
      <c r="M554" s="125"/>
      <c r="O554" s="126"/>
      <c r="P554" s="126"/>
      <c r="Q554" s="126"/>
    </row>
    <row r="555" spans="3:17" x14ac:dyDescent="0.55000000000000004">
      <c r="C555" s="124"/>
      <c r="D555" s="124"/>
      <c r="E555" s="1" t="s">
        <v>72</v>
      </c>
      <c r="L555" s="125"/>
      <c r="M555" s="125"/>
      <c r="O555" s="126"/>
      <c r="P555" s="126"/>
      <c r="Q555" s="126"/>
    </row>
    <row r="556" spans="3:17" x14ac:dyDescent="0.55000000000000004">
      <c r="C556" s="124"/>
      <c r="D556" s="124"/>
      <c r="E556" s="120" t="s">
        <v>555</v>
      </c>
      <c r="L556" s="125"/>
      <c r="M556" s="125"/>
      <c r="O556" s="126"/>
      <c r="P556" s="126"/>
      <c r="Q556" s="126"/>
    </row>
    <row r="557" spans="3:17" x14ac:dyDescent="0.55000000000000004">
      <c r="C557" s="124"/>
      <c r="D557" s="124"/>
      <c r="E557" s="127"/>
      <c r="L557" s="125"/>
      <c r="M557" s="125"/>
      <c r="O557" s="126"/>
      <c r="P557" s="126"/>
      <c r="Q557" s="126"/>
    </row>
    <row r="558" spans="3:17" ht="28.8" x14ac:dyDescent="0.55000000000000004">
      <c r="C558" s="124"/>
      <c r="D558" s="124"/>
      <c r="F558" s="56" t="s">
        <v>86</v>
      </c>
      <c r="G558" s="56" t="s">
        <v>73</v>
      </c>
      <c r="H558" s="56" t="s">
        <v>74</v>
      </c>
      <c r="I558" s="56" t="s">
        <v>75</v>
      </c>
      <c r="J558" s="56" t="s">
        <v>76</v>
      </c>
      <c r="L558" s="125"/>
      <c r="M558" s="125"/>
      <c r="O558" s="126"/>
      <c r="P558" s="126"/>
      <c r="Q558" s="126"/>
    </row>
    <row r="559" spans="3:17" x14ac:dyDescent="0.55000000000000004">
      <c r="C559" s="124"/>
      <c r="D559" s="124"/>
      <c r="E559">
        <f>E551</f>
        <v>0</v>
      </c>
      <c r="F559" s="26">
        <f ca="1">H551</f>
        <v>0</v>
      </c>
      <c r="G559" s="64">
        <f ca="1">IFERROR(F559/F551/12,0)</f>
        <v>0</v>
      </c>
      <c r="H559" s="84"/>
      <c r="I559" s="26">
        <f>H559*F551*12</f>
        <v>0</v>
      </c>
      <c r="J559" s="21">
        <f>IFERROR(I559/12,0)</f>
        <v>0</v>
      </c>
      <c r="L559" s="125"/>
      <c r="M559" s="125"/>
      <c r="O559" s="126"/>
      <c r="P559" s="126"/>
      <c r="Q559" s="126"/>
    </row>
    <row r="560" spans="3:17" x14ac:dyDescent="0.55000000000000004">
      <c r="C560" s="124"/>
      <c r="D560" s="124"/>
      <c r="E560" s="133"/>
      <c r="F560" s="58" t="str">
        <f ca="1">IF(I559&gt;J551,"Error: revenue from fixed charges exceeds total revenue required from tariff. Reduce fixed charge.","")</f>
        <v/>
      </c>
      <c r="G560" s="134"/>
      <c r="H560" s="134"/>
      <c r="I560" s="134"/>
      <c r="J560" s="135"/>
      <c r="L560" s="125"/>
      <c r="M560" s="125"/>
      <c r="O560" s="126"/>
      <c r="P560" s="126"/>
      <c r="Q560" s="126"/>
    </row>
    <row r="561" spans="3:17" ht="14.7" thickBot="1" x14ac:dyDescent="0.6">
      <c r="C561" s="124"/>
      <c r="D561" s="130"/>
      <c r="E561" s="131"/>
      <c r="F561" s="131"/>
      <c r="G561" s="131"/>
      <c r="H561" s="131"/>
      <c r="I561" s="131"/>
      <c r="J561" s="131"/>
      <c r="K561" s="131"/>
      <c r="L561" s="132"/>
      <c r="M561" s="125"/>
      <c r="O561" s="126"/>
      <c r="P561" s="126"/>
      <c r="Q561" s="126"/>
    </row>
    <row r="562" spans="3:17" ht="14.7" thickBot="1" x14ac:dyDescent="0.6">
      <c r="C562" s="124"/>
      <c r="M562" s="125"/>
      <c r="O562" s="126"/>
      <c r="P562" s="126"/>
      <c r="Q562" s="126"/>
    </row>
    <row r="563" spans="3:17" x14ac:dyDescent="0.55000000000000004">
      <c r="C563" s="124"/>
      <c r="D563" s="121"/>
      <c r="E563" s="122"/>
      <c r="F563" s="122"/>
      <c r="G563" s="122"/>
      <c r="H563" s="122"/>
      <c r="I563" s="122"/>
      <c r="J563" s="122"/>
      <c r="K563" s="122"/>
      <c r="L563" s="123"/>
      <c r="M563" s="125"/>
      <c r="O563" s="126"/>
      <c r="P563" s="126"/>
      <c r="Q563" s="126"/>
    </row>
    <row r="564" spans="3:17" x14ac:dyDescent="0.55000000000000004">
      <c r="C564" s="124"/>
      <c r="D564" s="124"/>
      <c r="E564" s="1" t="s">
        <v>96</v>
      </c>
      <c r="L564" s="125"/>
      <c r="M564" s="125"/>
      <c r="O564" s="126"/>
      <c r="P564" s="126"/>
      <c r="Q564" s="126"/>
    </row>
    <row r="565" spans="3:17" ht="14.55" customHeight="1" x14ac:dyDescent="0.55000000000000004">
      <c r="C565" s="124"/>
      <c r="D565" s="124"/>
      <c r="E565" s="1804" t="s">
        <v>175</v>
      </c>
      <c r="F565" s="1804"/>
      <c r="G565" s="1804"/>
      <c r="H565" s="1804"/>
      <c r="I565" s="1804"/>
      <c r="J565" s="1804"/>
      <c r="K565" s="1804"/>
      <c r="L565" s="136"/>
      <c r="M565" s="136"/>
      <c r="O565" s="126"/>
      <c r="P565" s="126"/>
      <c r="Q565" s="126"/>
    </row>
    <row r="566" spans="3:17" x14ac:dyDescent="0.55000000000000004">
      <c r="C566" s="124"/>
      <c r="D566" s="124"/>
      <c r="E566" s="1804"/>
      <c r="F566" s="1804"/>
      <c r="G566" s="1804"/>
      <c r="H566" s="1804"/>
      <c r="I566" s="1804"/>
      <c r="J566" s="1804"/>
      <c r="K566" s="1804"/>
      <c r="L566" s="136"/>
      <c r="M566" s="136"/>
      <c r="O566" s="126"/>
      <c r="P566" s="126"/>
      <c r="Q566" s="126"/>
    </row>
    <row r="567" spans="3:17" x14ac:dyDescent="0.55000000000000004">
      <c r="C567" s="124"/>
      <c r="D567" s="124"/>
      <c r="L567" s="125"/>
      <c r="M567" s="125"/>
      <c r="O567" s="126"/>
      <c r="P567" s="126"/>
      <c r="Q567" s="126"/>
    </row>
    <row r="568" spans="3:17" x14ac:dyDescent="0.55000000000000004">
      <c r="C568" s="124"/>
      <c r="D568" s="124"/>
      <c r="E568" t="s">
        <v>77</v>
      </c>
      <c r="F568" s="126"/>
      <c r="G568" s="50">
        <v>10</v>
      </c>
      <c r="L568" s="125"/>
      <c r="M568" s="125"/>
      <c r="O568" s="126"/>
      <c r="P568" s="126"/>
      <c r="Q568" s="126"/>
    </row>
    <row r="569" spans="3:17" x14ac:dyDescent="0.55000000000000004">
      <c r="C569" s="124"/>
      <c r="D569" s="124"/>
      <c r="E569" s="10" t="s">
        <v>612</v>
      </c>
      <c r="F569" s="133"/>
      <c r="G569" s="159" t="s">
        <v>613</v>
      </c>
      <c r="L569" s="125"/>
      <c r="M569" s="125"/>
      <c r="O569" s="126"/>
      <c r="P569" s="126"/>
      <c r="Q569" s="126"/>
    </row>
    <row r="570" spans="3:17" x14ac:dyDescent="0.55000000000000004">
      <c r="C570" s="124"/>
      <c r="D570" s="124"/>
      <c r="L570" s="125"/>
      <c r="M570" s="125"/>
      <c r="O570" s="126"/>
      <c r="P570" s="126"/>
      <c r="Q570" s="126"/>
    </row>
    <row r="571" spans="3:17" ht="28.8" x14ac:dyDescent="0.55000000000000004">
      <c r="C571" s="124"/>
      <c r="D571" s="124"/>
      <c r="E571" s="129" t="s">
        <v>78</v>
      </c>
      <c r="F571" s="129" t="s">
        <v>79</v>
      </c>
      <c r="G571" s="139" t="s">
        <v>80</v>
      </c>
      <c r="H571" s="129" t="s">
        <v>333</v>
      </c>
      <c r="I571" s="56" t="s">
        <v>82</v>
      </c>
      <c r="J571" s="129" t="s">
        <v>81</v>
      </c>
      <c r="K571" s="56" t="s">
        <v>83</v>
      </c>
      <c r="L571" s="125"/>
      <c r="M571" s="125"/>
      <c r="O571" s="126" t="s">
        <v>614</v>
      </c>
      <c r="P571" s="126" t="s">
        <v>615</v>
      </c>
      <c r="Q571" s="126"/>
    </row>
    <row r="572" spans="3:17" x14ac:dyDescent="0.55000000000000004">
      <c r="C572" s="124"/>
      <c r="D572" s="124"/>
      <c r="E572" s="89">
        <f>IF($G$568=Q572,Q572,1)</f>
        <v>1</v>
      </c>
      <c r="F572" s="91">
        <v>0</v>
      </c>
      <c r="G572" s="85"/>
      <c r="H572" s="63"/>
      <c r="I572" s="31">
        <f>G551-SUMIF(E573:E581,"&lt;="&amp;$G$568,I573:I581)</f>
        <v>0</v>
      </c>
      <c r="J572" s="114">
        <f>IFERROR(IF(E572&lt;=G568,IF(G569="No",IF(I559=0,J551/SUMPRODUCT(O572:O581,I572:I581),(J551-I559)/SUMPRODUCT(O572:O581,I572:I581)),0),0),0)</f>
        <v>0</v>
      </c>
      <c r="K572" s="26">
        <f>IFERROR(J572*I572,0)</f>
        <v>0</v>
      </c>
      <c r="L572" s="125"/>
      <c r="M572" s="125"/>
      <c r="O572" s="92">
        <f>IF(E572&lt;=$G$568,1,0)</f>
        <v>1</v>
      </c>
      <c r="P572" s="126"/>
      <c r="Q572" s="126">
        <v>1</v>
      </c>
    </row>
    <row r="573" spans="3:17" x14ac:dyDescent="0.55000000000000004">
      <c r="C573" s="124"/>
      <c r="D573" s="124"/>
      <c r="E573" s="89">
        <f t="shared" ref="E573:E581" si="64">IF($G$568&gt;=Q573,Q573,"")</f>
        <v>2</v>
      </c>
      <c r="F573" s="91">
        <f t="shared" ref="F573:F581" si="65">IF($G$568&gt;=E573,G572+0.01,"")</f>
        <v>0.01</v>
      </c>
      <c r="G573" s="85"/>
      <c r="H573" s="61"/>
      <c r="I573" s="13"/>
      <c r="J573" s="114">
        <f ca="1">IFERROR(IF(E573&lt;=G568,IF(G569="No",J572*(1+H573),IF(I559=0,J551/SUMPRODUCT(P573:P581,I573:I581),(J551-I559)/SUMPRODUCT(P573:P581,I573:I581))),0),0)</f>
        <v>0</v>
      </c>
      <c r="K573" s="26">
        <f t="shared" ref="K573:K581" ca="1" si="66">IFERROR(J573*I573,0)</f>
        <v>0</v>
      </c>
      <c r="L573" s="125"/>
      <c r="M573" s="125"/>
      <c r="O573" s="92">
        <f>IF(E573&lt;=$G$568,(1+H573),0)</f>
        <v>1</v>
      </c>
      <c r="P573" s="92">
        <f>IF(E573&lt;=G567,1,0)</f>
        <v>0</v>
      </c>
      <c r="Q573" s="126">
        <v>2</v>
      </c>
    </row>
    <row r="574" spans="3:17" x14ac:dyDescent="0.55000000000000004">
      <c r="C574" s="124"/>
      <c r="D574" s="124"/>
      <c r="E574" s="89">
        <f t="shared" si="64"/>
        <v>3</v>
      </c>
      <c r="F574" s="91">
        <f t="shared" si="65"/>
        <v>0.01</v>
      </c>
      <c r="G574" s="85"/>
      <c r="H574" s="61"/>
      <c r="I574" s="13"/>
      <c r="J574" s="90">
        <f t="shared" ref="J574:J581" ca="1" si="67">IF(E574&lt;=$G$568,J573*(1+H574),0)</f>
        <v>0</v>
      </c>
      <c r="K574" s="26">
        <f t="shared" ca="1" si="66"/>
        <v>0</v>
      </c>
      <c r="L574" s="125"/>
      <c r="M574" s="125"/>
      <c r="O574" s="92">
        <f t="shared" ref="O574:O581" si="68">IF(E574&lt;=$G$568,O573*(1+H574),0)</f>
        <v>1</v>
      </c>
      <c r="P574" s="92">
        <f>IF(E574&lt;=G567,P573*(1+H574),0)</f>
        <v>0</v>
      </c>
      <c r="Q574" s="126">
        <v>3</v>
      </c>
    </row>
    <row r="575" spans="3:17" x14ac:dyDescent="0.55000000000000004">
      <c r="C575" s="124"/>
      <c r="D575" s="124"/>
      <c r="E575" s="89">
        <f t="shared" si="64"/>
        <v>4</v>
      </c>
      <c r="F575" s="91">
        <f t="shared" si="65"/>
        <v>0.01</v>
      </c>
      <c r="G575" s="85"/>
      <c r="H575" s="61"/>
      <c r="I575" s="13"/>
      <c r="J575" s="90">
        <f t="shared" ca="1" si="67"/>
        <v>0</v>
      </c>
      <c r="K575" s="26">
        <f t="shared" ca="1" si="66"/>
        <v>0</v>
      </c>
      <c r="L575" s="125"/>
      <c r="M575" s="125"/>
      <c r="O575" s="92">
        <f t="shared" si="68"/>
        <v>1</v>
      </c>
      <c r="P575" s="92">
        <f>IF(E575&lt;=G567,P574*(1+H575),0)</f>
        <v>0</v>
      </c>
      <c r="Q575" s="126">
        <v>4</v>
      </c>
    </row>
    <row r="576" spans="3:17" x14ac:dyDescent="0.55000000000000004">
      <c r="C576" s="124"/>
      <c r="D576" s="124"/>
      <c r="E576" s="89">
        <f t="shared" si="64"/>
        <v>5</v>
      </c>
      <c r="F576" s="91">
        <f t="shared" si="65"/>
        <v>0.01</v>
      </c>
      <c r="G576" s="85"/>
      <c r="H576" s="61"/>
      <c r="I576" s="13"/>
      <c r="J576" s="90">
        <f t="shared" ca="1" si="67"/>
        <v>0</v>
      </c>
      <c r="K576" s="26">
        <f t="shared" ca="1" si="66"/>
        <v>0</v>
      </c>
      <c r="L576" s="125"/>
      <c r="M576" s="125"/>
      <c r="O576" s="92">
        <f t="shared" si="68"/>
        <v>1</v>
      </c>
      <c r="P576" s="92">
        <f>IF(E576&lt;=G567,P575*(1+H576),0)</f>
        <v>0</v>
      </c>
      <c r="Q576" s="126">
        <v>5</v>
      </c>
    </row>
    <row r="577" spans="3:17" x14ac:dyDescent="0.55000000000000004">
      <c r="C577" s="124"/>
      <c r="D577" s="124"/>
      <c r="E577" s="89">
        <f t="shared" si="64"/>
        <v>6</v>
      </c>
      <c r="F577" s="91">
        <f t="shared" si="65"/>
        <v>0.01</v>
      </c>
      <c r="G577" s="86"/>
      <c r="H577" s="61"/>
      <c r="I577" s="13"/>
      <c r="J577" s="90">
        <f t="shared" ca="1" si="67"/>
        <v>0</v>
      </c>
      <c r="K577" s="26">
        <f t="shared" ca="1" si="66"/>
        <v>0</v>
      </c>
      <c r="L577" s="125"/>
      <c r="M577" s="125"/>
      <c r="O577" s="92">
        <f t="shared" si="68"/>
        <v>1</v>
      </c>
      <c r="P577" s="92">
        <f>IF(E577&lt;=G567,P576*(1+H577),0)</f>
        <v>0</v>
      </c>
      <c r="Q577" s="126">
        <v>6</v>
      </c>
    </row>
    <row r="578" spans="3:17" x14ac:dyDescent="0.55000000000000004">
      <c r="C578" s="124"/>
      <c r="D578" s="124"/>
      <c r="E578" s="89">
        <f t="shared" si="64"/>
        <v>7</v>
      </c>
      <c r="F578" s="91">
        <f t="shared" si="65"/>
        <v>0.01</v>
      </c>
      <c r="G578" s="87"/>
      <c r="H578" s="61"/>
      <c r="I578" s="13"/>
      <c r="J578" s="90">
        <f t="shared" ca="1" si="67"/>
        <v>0</v>
      </c>
      <c r="K578" s="26">
        <f t="shared" ca="1" si="66"/>
        <v>0</v>
      </c>
      <c r="L578" s="125"/>
      <c r="M578" s="125"/>
      <c r="O578" s="92">
        <f t="shared" si="68"/>
        <v>1</v>
      </c>
      <c r="P578" s="92">
        <f>IF(E578&lt;=G567,P577*(1+H578),0)</f>
        <v>0</v>
      </c>
      <c r="Q578" s="126">
        <v>7</v>
      </c>
    </row>
    <row r="579" spans="3:17" x14ac:dyDescent="0.55000000000000004">
      <c r="C579" s="124"/>
      <c r="D579" s="124"/>
      <c r="E579" s="89">
        <f t="shared" si="64"/>
        <v>8</v>
      </c>
      <c r="F579" s="91">
        <f t="shared" si="65"/>
        <v>0.01</v>
      </c>
      <c r="G579" s="87"/>
      <c r="H579" s="61"/>
      <c r="I579" s="13"/>
      <c r="J579" s="90">
        <f t="shared" ca="1" si="67"/>
        <v>0</v>
      </c>
      <c r="K579" s="26">
        <f t="shared" ca="1" si="66"/>
        <v>0</v>
      </c>
      <c r="L579" s="125"/>
      <c r="M579" s="125"/>
      <c r="O579" s="92">
        <f t="shared" si="68"/>
        <v>1</v>
      </c>
      <c r="P579" s="92">
        <f>IF(E579&lt;=G567,P578*(1+H579),0)</f>
        <v>0</v>
      </c>
      <c r="Q579" s="126">
        <v>8</v>
      </c>
    </row>
    <row r="580" spans="3:17" x14ac:dyDescent="0.55000000000000004">
      <c r="C580" s="124"/>
      <c r="D580" s="124"/>
      <c r="E580" s="89">
        <f t="shared" si="64"/>
        <v>9</v>
      </c>
      <c r="F580" s="91">
        <f t="shared" si="65"/>
        <v>0.01</v>
      </c>
      <c r="G580" s="87"/>
      <c r="H580" s="61"/>
      <c r="I580" s="13"/>
      <c r="J580" s="90">
        <f t="shared" ca="1" si="67"/>
        <v>0</v>
      </c>
      <c r="K580" s="26">
        <f t="shared" ca="1" si="66"/>
        <v>0</v>
      </c>
      <c r="L580" s="125"/>
      <c r="M580" s="125"/>
      <c r="O580" s="92">
        <f t="shared" si="68"/>
        <v>1</v>
      </c>
      <c r="P580" s="92">
        <f>IF(E580&lt;=G567,P579*(1+H580),0)</f>
        <v>0</v>
      </c>
      <c r="Q580" s="126">
        <v>9</v>
      </c>
    </row>
    <row r="581" spans="3:17" x14ac:dyDescent="0.55000000000000004">
      <c r="C581" s="124"/>
      <c r="D581" s="124"/>
      <c r="E581" s="89">
        <f t="shared" si="64"/>
        <v>10</v>
      </c>
      <c r="F581" s="91">
        <f t="shared" si="65"/>
        <v>0.01</v>
      </c>
      <c r="G581" s="148" t="s">
        <v>84</v>
      </c>
      <c r="H581" s="50"/>
      <c r="I581" s="88"/>
      <c r="J581" s="90">
        <f t="shared" ca="1" si="67"/>
        <v>0</v>
      </c>
      <c r="K581" s="26">
        <f t="shared" ca="1" si="66"/>
        <v>0</v>
      </c>
      <c r="L581" s="125"/>
      <c r="M581" s="125"/>
      <c r="O581" s="92">
        <f t="shared" si="68"/>
        <v>1</v>
      </c>
      <c r="P581" s="92">
        <f>IF(E581&lt;=G567,P580*(1+H581),0)</f>
        <v>0</v>
      </c>
      <c r="Q581" s="126">
        <v>10</v>
      </c>
    </row>
    <row r="582" spans="3:17" ht="14.7" thickBot="1" x14ac:dyDescent="0.6">
      <c r="C582" s="124"/>
      <c r="D582" s="130"/>
      <c r="E582" s="149"/>
      <c r="F582" s="150"/>
      <c r="G582" s="149"/>
      <c r="H582" s="151"/>
      <c r="I582" s="152"/>
      <c r="J582" s="153"/>
      <c r="K582" s="131"/>
      <c r="L582" s="154"/>
      <c r="M582" s="125"/>
      <c r="O582" s="126"/>
      <c r="P582" s="126"/>
      <c r="Q582" s="126"/>
    </row>
    <row r="583" spans="3:17" ht="14.7" thickBot="1" x14ac:dyDescent="0.6">
      <c r="C583" s="130"/>
      <c r="D583" s="131"/>
      <c r="E583" s="131"/>
      <c r="F583" s="131"/>
      <c r="G583" s="131"/>
      <c r="H583" s="131"/>
      <c r="I583" s="131"/>
      <c r="J583" s="131"/>
      <c r="K583" s="131"/>
      <c r="L583" s="131"/>
      <c r="M583" s="132"/>
      <c r="O583" s="126"/>
      <c r="P583" s="126"/>
      <c r="Q583" s="126"/>
    </row>
    <row r="584" spans="3:17" ht="14.7" thickBot="1" x14ac:dyDescent="0.6">
      <c r="O584" s="126"/>
      <c r="P584" s="126"/>
      <c r="Q584" s="126"/>
    </row>
    <row r="585" spans="3:17" x14ac:dyDescent="0.55000000000000004">
      <c r="C585" s="121"/>
      <c r="D585" s="122"/>
      <c r="E585" s="122"/>
      <c r="F585" s="122"/>
      <c r="G585" s="122"/>
      <c r="H585" s="122"/>
      <c r="I585" s="122"/>
      <c r="J585" s="122"/>
      <c r="K585" s="122"/>
      <c r="L585" s="122"/>
      <c r="M585" s="123"/>
      <c r="O585" s="126"/>
      <c r="P585" s="126"/>
      <c r="Q585" s="126"/>
    </row>
    <row r="586" spans="3:17" ht="18.3" x14ac:dyDescent="0.7">
      <c r="C586" s="124"/>
      <c r="D586" s="1822">
        <f>'2 Customer data'!D35</f>
        <v>0</v>
      </c>
      <c r="E586" s="1822"/>
      <c r="F586" s="1822"/>
      <c r="G586" s="1822"/>
      <c r="H586" s="1822"/>
      <c r="I586" s="1822"/>
      <c r="J586" s="1822"/>
      <c r="K586" s="1822"/>
      <c r="L586" s="1822"/>
      <c r="M586" s="125"/>
      <c r="O586" s="126"/>
      <c r="P586" s="126"/>
      <c r="Q586" s="126"/>
    </row>
    <row r="587" spans="3:17" ht="14.7" thickBot="1" x14ac:dyDescent="0.6">
      <c r="C587" s="124"/>
      <c r="E587" s="1"/>
      <c r="M587" s="125"/>
      <c r="O587" s="126"/>
      <c r="P587" s="126"/>
      <c r="Q587" s="126"/>
    </row>
    <row r="588" spans="3:17" x14ac:dyDescent="0.55000000000000004">
      <c r="C588" s="124"/>
      <c r="D588" s="121"/>
      <c r="E588" s="122"/>
      <c r="F588" s="122"/>
      <c r="G588" s="122"/>
      <c r="H588" s="122"/>
      <c r="I588" s="122"/>
      <c r="J588" s="122"/>
      <c r="K588" s="122"/>
      <c r="L588" s="123"/>
      <c r="M588" s="125"/>
      <c r="O588" s="126"/>
      <c r="P588" s="126"/>
      <c r="Q588" s="126"/>
    </row>
    <row r="589" spans="3:17" x14ac:dyDescent="0.55000000000000004">
      <c r="C589" s="124"/>
      <c r="D589" s="124"/>
      <c r="E589" s="1" t="str">
        <f>'2 Customer data'!D35&amp;" "&amp;"information"</f>
        <v xml:space="preserve"> information</v>
      </c>
      <c r="L589" s="125"/>
      <c r="M589" s="125"/>
      <c r="O589" s="126"/>
      <c r="P589" s="126"/>
      <c r="Q589" s="126"/>
    </row>
    <row r="590" spans="3:17" x14ac:dyDescent="0.55000000000000004">
      <c r="C590" s="124"/>
      <c r="D590" s="124"/>
      <c r="E590" s="127"/>
      <c r="L590" s="125"/>
      <c r="M590" s="125"/>
      <c r="O590" s="126"/>
      <c r="P590" s="126"/>
      <c r="Q590" s="126"/>
    </row>
    <row r="591" spans="3:17" ht="28.8" x14ac:dyDescent="0.55000000000000004">
      <c r="C591" s="124"/>
      <c r="D591" s="124"/>
      <c r="E591" s="128"/>
      <c r="F591" s="56" t="s">
        <v>28</v>
      </c>
      <c r="G591" s="129" t="s">
        <v>278</v>
      </c>
      <c r="H591" s="129" t="s">
        <v>69</v>
      </c>
      <c r="I591" s="129" t="s">
        <v>70</v>
      </c>
      <c r="J591" s="56" t="s">
        <v>71</v>
      </c>
      <c r="L591" s="125"/>
      <c r="M591" s="125"/>
      <c r="O591" s="126"/>
      <c r="P591" s="126"/>
      <c r="Q591" s="126"/>
    </row>
    <row r="592" spans="3:17" x14ac:dyDescent="0.55000000000000004">
      <c r="C592" s="124"/>
      <c r="D592" s="124"/>
      <c r="E592">
        <f>'2 Customer data'!D35</f>
        <v>0</v>
      </c>
      <c r="F592" s="26">
        <f>IFERROR(IF(VLOOKUP(E592,'2 Customer data'!$D$21:$L$40,6,FALSE)="",VLOOKUP(E592,'2 Customer data'!$D$21:$L$40,5,FALSE),VLOOKUP(E592,'2 Customer data'!$D$21:$L$40,6,FALSE)),0)</f>
        <v>0</v>
      </c>
      <c r="G592" s="26">
        <f>IFERROR(IF(VLOOKUP(E592,'2 Customer data'!$D$21:$K$40,8,FALSE)="",VLOOKUP(E592,'2 Customer data'!$D$21:$K$40,7,FALSE),VLOOKUP(E592,'2 Customer data'!$D$21:$K$40,8,FALSE)),0)</f>
        <v>0</v>
      </c>
      <c r="H592" s="26">
        <f ca="1">VLOOKUP(E592,'2 Water'!$D$19:$J$38,5,FALSE)</f>
        <v>0</v>
      </c>
      <c r="I592" s="26">
        <f ca="1">VLOOKUP(E592,'2 Water'!$D$19:$J$38,6,FALSE)</f>
        <v>0</v>
      </c>
      <c r="J592" s="26">
        <f ca="1">IFERROR(VLOOKUP(E592,'2 Water'!$D$158:$K$177,8,FALSE),0)</f>
        <v>0</v>
      </c>
      <c r="L592" s="125"/>
      <c r="M592" s="125"/>
      <c r="O592" s="126"/>
      <c r="P592" s="126"/>
      <c r="Q592" s="126"/>
    </row>
    <row r="593" spans="3:17" ht="14.7" thickBot="1" x14ac:dyDescent="0.6">
      <c r="C593" s="124"/>
      <c r="D593" s="130"/>
      <c r="E593" s="131"/>
      <c r="F593" s="131"/>
      <c r="G593" s="131"/>
      <c r="H593" s="131"/>
      <c r="I593" s="131"/>
      <c r="J593" s="131"/>
      <c r="K593" s="131"/>
      <c r="L593" s="132"/>
      <c r="M593" s="125"/>
      <c r="O593" s="126"/>
      <c r="P593" s="126"/>
      <c r="Q593" s="126"/>
    </row>
    <row r="594" spans="3:17" ht="14.7" thickBot="1" x14ac:dyDescent="0.6">
      <c r="C594" s="124"/>
      <c r="M594" s="125"/>
      <c r="O594" s="126"/>
      <c r="P594" s="126"/>
      <c r="Q594" s="126"/>
    </row>
    <row r="595" spans="3:17" x14ac:dyDescent="0.55000000000000004">
      <c r="C595" s="124"/>
      <c r="D595" s="121"/>
      <c r="E595" s="122"/>
      <c r="F595" s="122"/>
      <c r="G595" s="122"/>
      <c r="H595" s="122"/>
      <c r="I595" s="122"/>
      <c r="J595" s="122"/>
      <c r="K595" s="122"/>
      <c r="L595" s="123"/>
      <c r="M595" s="125"/>
      <c r="O595" s="126"/>
      <c r="P595" s="126"/>
      <c r="Q595" s="126"/>
    </row>
    <row r="596" spans="3:17" x14ac:dyDescent="0.55000000000000004">
      <c r="C596" s="124"/>
      <c r="D596" s="124"/>
      <c r="E596" s="1" t="s">
        <v>72</v>
      </c>
      <c r="L596" s="125"/>
      <c r="M596" s="125"/>
      <c r="O596" s="126"/>
      <c r="P596" s="126"/>
      <c r="Q596" s="126"/>
    </row>
    <row r="597" spans="3:17" x14ac:dyDescent="0.55000000000000004">
      <c r="C597" s="124"/>
      <c r="D597" s="124"/>
      <c r="E597" s="120" t="s">
        <v>555</v>
      </c>
      <c r="L597" s="125"/>
      <c r="M597" s="125"/>
      <c r="O597" s="126"/>
      <c r="P597" s="126"/>
      <c r="Q597" s="126"/>
    </row>
    <row r="598" spans="3:17" x14ac:dyDescent="0.55000000000000004">
      <c r="C598" s="124"/>
      <c r="D598" s="124"/>
      <c r="E598" s="127"/>
      <c r="L598" s="125"/>
      <c r="M598" s="125"/>
      <c r="O598" s="126"/>
      <c r="P598" s="126"/>
      <c r="Q598" s="126"/>
    </row>
    <row r="599" spans="3:17" ht="28.8" x14ac:dyDescent="0.55000000000000004">
      <c r="C599" s="124"/>
      <c r="D599" s="124"/>
      <c r="F599" s="56" t="s">
        <v>86</v>
      </c>
      <c r="G599" s="56" t="s">
        <v>73</v>
      </c>
      <c r="H599" s="56" t="s">
        <v>74</v>
      </c>
      <c r="I599" s="56" t="s">
        <v>75</v>
      </c>
      <c r="J599" s="56" t="s">
        <v>76</v>
      </c>
      <c r="L599" s="125"/>
      <c r="M599" s="125"/>
      <c r="O599" s="126"/>
      <c r="P599" s="126"/>
      <c r="Q599" s="126"/>
    </row>
    <row r="600" spans="3:17" x14ac:dyDescent="0.55000000000000004">
      <c r="C600" s="124"/>
      <c r="D600" s="124"/>
      <c r="E600">
        <f>E592</f>
        <v>0</v>
      </c>
      <c r="F600" s="26">
        <f ca="1">H592</f>
        <v>0</v>
      </c>
      <c r="G600" s="64">
        <f ca="1">IFERROR(F600/F592/12,0)</f>
        <v>0</v>
      </c>
      <c r="H600" s="84"/>
      <c r="I600" s="26">
        <f>H600*F592*12</f>
        <v>0</v>
      </c>
      <c r="J600" s="21">
        <f>IFERROR(I600/12,0)</f>
        <v>0</v>
      </c>
      <c r="L600" s="125"/>
      <c r="M600" s="125"/>
      <c r="O600" s="126"/>
      <c r="P600" s="126"/>
      <c r="Q600" s="126"/>
    </row>
    <row r="601" spans="3:17" x14ac:dyDescent="0.55000000000000004">
      <c r="C601" s="124"/>
      <c r="D601" s="124"/>
      <c r="E601" s="133"/>
      <c r="F601" s="58" t="str">
        <f ca="1">IF(I600&gt;J592,"Error: revenue from fixed charges exceeds total revenue required from tariff. Reduce fixed charge.","")</f>
        <v/>
      </c>
      <c r="G601" s="134"/>
      <c r="H601" s="134"/>
      <c r="I601" s="134"/>
      <c r="J601" s="135"/>
      <c r="L601" s="125"/>
      <c r="M601" s="125"/>
      <c r="O601" s="126"/>
      <c r="P601" s="126"/>
      <c r="Q601" s="126"/>
    </row>
    <row r="602" spans="3:17" ht="14.7" thickBot="1" x14ac:dyDescent="0.6">
      <c r="C602" s="124"/>
      <c r="D602" s="130"/>
      <c r="E602" s="131"/>
      <c r="F602" s="131"/>
      <c r="G602" s="131"/>
      <c r="H602" s="131"/>
      <c r="I602" s="131"/>
      <c r="J602" s="131"/>
      <c r="K602" s="131"/>
      <c r="L602" s="132"/>
      <c r="M602" s="125"/>
      <c r="O602" s="126"/>
      <c r="P602" s="126"/>
      <c r="Q602" s="126"/>
    </row>
    <row r="603" spans="3:17" ht="14.7" thickBot="1" x14ac:dyDescent="0.6">
      <c r="C603" s="124"/>
      <c r="M603" s="125"/>
      <c r="O603" s="126"/>
      <c r="P603" s="126"/>
      <c r="Q603" s="126"/>
    </row>
    <row r="604" spans="3:17" x14ac:dyDescent="0.55000000000000004">
      <c r="C604" s="124"/>
      <c r="D604" s="121"/>
      <c r="E604" s="122"/>
      <c r="F604" s="122"/>
      <c r="G604" s="122"/>
      <c r="H604" s="122"/>
      <c r="I604" s="122"/>
      <c r="J604" s="122"/>
      <c r="K604" s="122"/>
      <c r="L604" s="123"/>
      <c r="M604" s="125"/>
      <c r="O604" s="126"/>
      <c r="P604" s="126"/>
      <c r="Q604" s="126"/>
    </row>
    <row r="605" spans="3:17" x14ac:dyDescent="0.55000000000000004">
      <c r="C605" s="124"/>
      <c r="D605" s="124"/>
      <c r="E605" s="1" t="s">
        <v>96</v>
      </c>
      <c r="L605" s="125"/>
      <c r="M605" s="125"/>
      <c r="O605" s="126"/>
      <c r="P605" s="126"/>
      <c r="Q605" s="126"/>
    </row>
    <row r="606" spans="3:17" ht="14.55" customHeight="1" x14ac:dyDescent="0.55000000000000004">
      <c r="C606" s="124"/>
      <c r="D606" s="124"/>
      <c r="E606" s="1804" t="s">
        <v>174</v>
      </c>
      <c r="F606" s="1804"/>
      <c r="G606" s="1804"/>
      <c r="H606" s="1804"/>
      <c r="I606" s="1804"/>
      <c r="J606" s="1804"/>
      <c r="K606" s="1804"/>
      <c r="L606" s="136"/>
      <c r="M606" s="136"/>
      <c r="O606" s="126"/>
      <c r="P606" s="126"/>
      <c r="Q606" s="126"/>
    </row>
    <row r="607" spans="3:17" x14ac:dyDescent="0.55000000000000004">
      <c r="C607" s="124"/>
      <c r="D607" s="124"/>
      <c r="E607" s="1804"/>
      <c r="F607" s="1804"/>
      <c r="G607" s="1804"/>
      <c r="H607" s="1804"/>
      <c r="I607" s="1804"/>
      <c r="J607" s="1804"/>
      <c r="K607" s="1804"/>
      <c r="L607" s="136"/>
      <c r="M607" s="136"/>
      <c r="O607" s="126"/>
      <c r="P607" s="126"/>
      <c r="Q607" s="126"/>
    </row>
    <row r="608" spans="3:17" x14ac:dyDescent="0.55000000000000004">
      <c r="C608" s="124"/>
      <c r="D608" s="124"/>
      <c r="L608" s="125"/>
      <c r="M608" s="125"/>
      <c r="O608" s="126"/>
      <c r="P608" s="126"/>
      <c r="Q608" s="126"/>
    </row>
    <row r="609" spans="3:17" x14ac:dyDescent="0.55000000000000004">
      <c r="C609" s="124"/>
      <c r="D609" s="124"/>
      <c r="E609" t="s">
        <v>77</v>
      </c>
      <c r="F609" s="126"/>
      <c r="G609" s="50">
        <v>10</v>
      </c>
      <c r="L609" s="125"/>
      <c r="M609" s="125"/>
      <c r="O609" s="126"/>
      <c r="P609" s="126"/>
      <c r="Q609" s="126"/>
    </row>
    <row r="610" spans="3:17" x14ac:dyDescent="0.55000000000000004">
      <c r="C610" s="124"/>
      <c r="D610" s="124"/>
      <c r="E610" s="10" t="s">
        <v>612</v>
      </c>
      <c r="F610" s="133"/>
      <c r="G610" s="159" t="s">
        <v>613</v>
      </c>
      <c r="L610" s="125"/>
      <c r="M610" s="125"/>
      <c r="O610" s="126"/>
      <c r="P610" s="126"/>
      <c r="Q610" s="126"/>
    </row>
    <row r="611" spans="3:17" x14ac:dyDescent="0.55000000000000004">
      <c r="C611" s="124"/>
      <c r="D611" s="124"/>
      <c r="L611" s="125"/>
      <c r="M611" s="125"/>
      <c r="O611" s="126"/>
      <c r="P611" s="126"/>
      <c r="Q611" s="126"/>
    </row>
    <row r="612" spans="3:17" ht="28.8" x14ac:dyDescent="0.55000000000000004">
      <c r="C612" s="124"/>
      <c r="D612" s="124"/>
      <c r="E612" s="129" t="s">
        <v>78</v>
      </c>
      <c r="F612" s="129" t="s">
        <v>79</v>
      </c>
      <c r="G612" s="139" t="s">
        <v>80</v>
      </c>
      <c r="H612" s="129" t="s">
        <v>333</v>
      </c>
      <c r="I612" s="56" t="s">
        <v>82</v>
      </c>
      <c r="J612" s="129" t="s">
        <v>81</v>
      </c>
      <c r="K612" s="56" t="s">
        <v>83</v>
      </c>
      <c r="L612" s="125"/>
      <c r="M612" s="125"/>
      <c r="N612" s="155"/>
      <c r="O612" s="126" t="s">
        <v>614</v>
      </c>
      <c r="P612" s="126" t="s">
        <v>615</v>
      </c>
      <c r="Q612" s="126"/>
    </row>
    <row r="613" spans="3:17" x14ac:dyDescent="0.55000000000000004">
      <c r="C613" s="124"/>
      <c r="D613" s="124"/>
      <c r="E613" s="89">
        <f>IF($G$609=Q613,Q613,1)</f>
        <v>1</v>
      </c>
      <c r="F613" s="91">
        <v>0</v>
      </c>
      <c r="G613" s="85"/>
      <c r="H613" s="63"/>
      <c r="I613" s="31">
        <f>G592-SUMIF(E614:E622,"&lt;="&amp;$G$609,I614:I622)</f>
        <v>0</v>
      </c>
      <c r="J613" s="114">
        <f>IFERROR(IF(E613&lt;=G609,IF(G610="No",IF(I600=0,J592/SUMPRODUCT(O613:O622,I613:I622),(J592-I600)/SUMPRODUCT(O613:O622,I613:I622)),0),0),0)</f>
        <v>0</v>
      </c>
      <c r="K613" s="26">
        <f>IFERROR(J613*I613,0)</f>
        <v>0</v>
      </c>
      <c r="L613" s="125"/>
      <c r="M613" s="125"/>
      <c r="N613" s="156"/>
      <c r="O613" s="92">
        <f>IF(E613&lt;=$G$609,1,0)</f>
        <v>1</v>
      </c>
      <c r="P613" s="126"/>
      <c r="Q613" s="126">
        <v>1</v>
      </c>
    </row>
    <row r="614" spans="3:17" x14ac:dyDescent="0.55000000000000004">
      <c r="C614" s="124"/>
      <c r="D614" s="124"/>
      <c r="E614" s="89">
        <f t="shared" ref="E614:E622" si="69">IF($G$609&gt;=Q614,Q614,"")</f>
        <v>2</v>
      </c>
      <c r="F614" s="91">
        <f t="shared" ref="F614:F622" si="70">IF($G$609&gt;=E614,G613+0.01,"")</f>
        <v>0.01</v>
      </c>
      <c r="G614" s="85"/>
      <c r="H614" s="61"/>
      <c r="I614" s="13"/>
      <c r="J614" s="114">
        <f ca="1">IFERROR(IF(E614&lt;=G609,IF(G610="No",J613*(1+H614),IF(I600=0,J592/SUMPRODUCT(P614:P622,I614:I622),(J592-I600)/SUMPRODUCT(P614:P622,I614:I622))),0),0)</f>
        <v>0</v>
      </c>
      <c r="K614" s="26">
        <f t="shared" ref="K614:K622" ca="1" si="71">IFERROR(J614*I614,0)</f>
        <v>0</v>
      </c>
      <c r="L614" s="125"/>
      <c r="M614" s="125"/>
      <c r="N614" s="156"/>
      <c r="O614" s="92">
        <f>IF(E614&lt;=$G$609,(1+H614),0)</f>
        <v>1</v>
      </c>
      <c r="P614" s="92">
        <f>IF(E614&lt;=G608,1,0)</f>
        <v>0</v>
      </c>
      <c r="Q614" s="126">
        <v>2</v>
      </c>
    </row>
    <row r="615" spans="3:17" x14ac:dyDescent="0.55000000000000004">
      <c r="C615" s="124"/>
      <c r="D615" s="124"/>
      <c r="E615" s="89">
        <f t="shared" si="69"/>
        <v>3</v>
      </c>
      <c r="F615" s="91">
        <f t="shared" si="70"/>
        <v>0.01</v>
      </c>
      <c r="G615" s="85"/>
      <c r="H615" s="61"/>
      <c r="I615" s="13"/>
      <c r="J615" s="90">
        <f t="shared" ref="J615:J622" ca="1" si="72">IF(E615&lt;=$G$609,J614*(1+H615),0)</f>
        <v>0</v>
      </c>
      <c r="K615" s="26">
        <f t="shared" ca="1" si="71"/>
        <v>0</v>
      </c>
      <c r="L615" s="125"/>
      <c r="M615" s="125"/>
      <c r="N615" s="156"/>
      <c r="O615" s="92">
        <f t="shared" ref="O615:O622" si="73">IF(E615&lt;=$G$609,O614*(1+H615),0)</f>
        <v>1</v>
      </c>
      <c r="P615" s="92">
        <f>IF(E615&lt;=G608,P614*(1+H615),0)</f>
        <v>0</v>
      </c>
      <c r="Q615" s="126">
        <v>3</v>
      </c>
    </row>
    <row r="616" spans="3:17" x14ac:dyDescent="0.55000000000000004">
      <c r="C616" s="124"/>
      <c r="D616" s="124"/>
      <c r="E616" s="89">
        <f t="shared" si="69"/>
        <v>4</v>
      </c>
      <c r="F616" s="91">
        <f t="shared" si="70"/>
        <v>0.01</v>
      </c>
      <c r="G616" s="85"/>
      <c r="H616" s="61"/>
      <c r="I616" s="13"/>
      <c r="J616" s="90">
        <f t="shared" ca="1" si="72"/>
        <v>0</v>
      </c>
      <c r="K616" s="26">
        <f t="shared" ca="1" si="71"/>
        <v>0</v>
      </c>
      <c r="L616" s="125"/>
      <c r="M616" s="125"/>
      <c r="N616" s="156"/>
      <c r="O616" s="92">
        <f t="shared" si="73"/>
        <v>1</v>
      </c>
      <c r="P616" s="92">
        <f>IF(E616&lt;=G608,P615*(1+H616),0)</f>
        <v>0</v>
      </c>
      <c r="Q616" s="126">
        <v>4</v>
      </c>
    </row>
    <row r="617" spans="3:17" x14ac:dyDescent="0.55000000000000004">
      <c r="C617" s="124"/>
      <c r="D617" s="124"/>
      <c r="E617" s="89">
        <f t="shared" si="69"/>
        <v>5</v>
      </c>
      <c r="F617" s="91">
        <f t="shared" si="70"/>
        <v>0.01</v>
      </c>
      <c r="G617" s="85"/>
      <c r="H617" s="61"/>
      <c r="I617" s="13"/>
      <c r="J617" s="90">
        <f t="shared" ca="1" si="72"/>
        <v>0</v>
      </c>
      <c r="K617" s="26">
        <f t="shared" ca="1" si="71"/>
        <v>0</v>
      </c>
      <c r="L617" s="125"/>
      <c r="M617" s="125"/>
      <c r="N617" s="156"/>
      <c r="O617" s="92">
        <f t="shared" si="73"/>
        <v>1</v>
      </c>
      <c r="P617" s="92">
        <f>IF(E617&lt;=G608,P616*(1+H617),0)</f>
        <v>0</v>
      </c>
      <c r="Q617" s="126">
        <v>5</v>
      </c>
    </row>
    <row r="618" spans="3:17" x14ac:dyDescent="0.55000000000000004">
      <c r="C618" s="124"/>
      <c r="D618" s="124"/>
      <c r="E618" s="89">
        <f t="shared" si="69"/>
        <v>6</v>
      </c>
      <c r="F618" s="91">
        <f t="shared" si="70"/>
        <v>0.01</v>
      </c>
      <c r="G618" s="86"/>
      <c r="H618" s="61"/>
      <c r="I618" s="13"/>
      <c r="J618" s="90">
        <f t="shared" ca="1" si="72"/>
        <v>0</v>
      </c>
      <c r="K618" s="26">
        <f t="shared" ca="1" si="71"/>
        <v>0</v>
      </c>
      <c r="L618" s="125"/>
      <c r="M618" s="125"/>
      <c r="N618" s="156"/>
      <c r="O618" s="92">
        <f t="shared" si="73"/>
        <v>1</v>
      </c>
      <c r="P618" s="92">
        <f>IF(E618&lt;=G608,P617*(1+H618),0)</f>
        <v>0</v>
      </c>
      <c r="Q618" s="126">
        <v>6</v>
      </c>
    </row>
    <row r="619" spans="3:17" x14ac:dyDescent="0.55000000000000004">
      <c r="C619" s="124"/>
      <c r="D619" s="124"/>
      <c r="E619" s="89">
        <f t="shared" si="69"/>
        <v>7</v>
      </c>
      <c r="F619" s="91">
        <f t="shared" si="70"/>
        <v>0.01</v>
      </c>
      <c r="G619" s="87"/>
      <c r="H619" s="61"/>
      <c r="I619" s="13"/>
      <c r="J619" s="90">
        <f t="shared" ca="1" si="72"/>
        <v>0</v>
      </c>
      <c r="K619" s="26">
        <f t="shared" ca="1" si="71"/>
        <v>0</v>
      </c>
      <c r="L619" s="125"/>
      <c r="M619" s="125"/>
      <c r="N619" s="156"/>
      <c r="O619" s="92">
        <f t="shared" si="73"/>
        <v>1</v>
      </c>
      <c r="P619" s="92">
        <f>IF(E619&lt;=G608,P618*(1+H619),0)</f>
        <v>0</v>
      </c>
      <c r="Q619" s="126">
        <v>7</v>
      </c>
    </row>
    <row r="620" spans="3:17" x14ac:dyDescent="0.55000000000000004">
      <c r="C620" s="124"/>
      <c r="D620" s="124"/>
      <c r="E620" s="89">
        <f t="shared" si="69"/>
        <v>8</v>
      </c>
      <c r="F620" s="91">
        <f t="shared" si="70"/>
        <v>0.01</v>
      </c>
      <c r="G620" s="87"/>
      <c r="H620" s="61"/>
      <c r="I620" s="13"/>
      <c r="J620" s="90">
        <f t="shared" ca="1" si="72"/>
        <v>0</v>
      </c>
      <c r="K620" s="26">
        <f t="shared" ca="1" si="71"/>
        <v>0</v>
      </c>
      <c r="L620" s="125"/>
      <c r="M620" s="125"/>
      <c r="N620" s="156"/>
      <c r="O620" s="92">
        <f t="shared" si="73"/>
        <v>1</v>
      </c>
      <c r="P620" s="92">
        <f>IF(E620&lt;=G608,P619*(1+H620),0)</f>
        <v>0</v>
      </c>
      <c r="Q620" s="126">
        <v>8</v>
      </c>
    </row>
    <row r="621" spans="3:17" x14ac:dyDescent="0.55000000000000004">
      <c r="C621" s="124"/>
      <c r="D621" s="124"/>
      <c r="E621" s="89">
        <f t="shared" si="69"/>
        <v>9</v>
      </c>
      <c r="F621" s="91">
        <f t="shared" si="70"/>
        <v>0.01</v>
      </c>
      <c r="G621" s="87"/>
      <c r="H621" s="61"/>
      <c r="I621" s="13"/>
      <c r="J621" s="90">
        <f t="shared" ca="1" si="72"/>
        <v>0</v>
      </c>
      <c r="K621" s="26">
        <f t="shared" ca="1" si="71"/>
        <v>0</v>
      </c>
      <c r="L621" s="125"/>
      <c r="M621" s="125"/>
      <c r="N621" s="156"/>
      <c r="O621" s="92">
        <f t="shared" si="73"/>
        <v>1</v>
      </c>
      <c r="P621" s="92">
        <f>IF(E621&lt;=G608,P620*(1+H621),0)</f>
        <v>0</v>
      </c>
      <c r="Q621" s="126">
        <v>9</v>
      </c>
    </row>
    <row r="622" spans="3:17" x14ac:dyDescent="0.55000000000000004">
      <c r="C622" s="124"/>
      <c r="D622" s="124"/>
      <c r="E622" s="89">
        <f t="shared" si="69"/>
        <v>10</v>
      </c>
      <c r="F622" s="91">
        <f t="shared" si="70"/>
        <v>0.01</v>
      </c>
      <c r="G622" s="148" t="s">
        <v>84</v>
      </c>
      <c r="H622" s="50"/>
      <c r="I622" s="88"/>
      <c r="J622" s="90">
        <f t="shared" ca="1" si="72"/>
        <v>0</v>
      </c>
      <c r="K622" s="26">
        <f t="shared" ca="1" si="71"/>
        <v>0</v>
      </c>
      <c r="L622" s="125"/>
      <c r="M622" s="125"/>
      <c r="N622" s="156"/>
      <c r="O622" s="92">
        <f t="shared" si="73"/>
        <v>1</v>
      </c>
      <c r="P622" s="92">
        <f>IF(E622&lt;=G608,P621*(1+H622),0)</f>
        <v>0</v>
      </c>
      <c r="Q622" s="126">
        <v>10</v>
      </c>
    </row>
    <row r="623" spans="3:17" ht="14.7" thickBot="1" x14ac:dyDescent="0.6">
      <c r="C623" s="124"/>
      <c r="D623" s="130"/>
      <c r="E623" s="149"/>
      <c r="F623" s="150"/>
      <c r="G623" s="149"/>
      <c r="H623" s="151"/>
      <c r="I623" s="152"/>
      <c r="J623" s="153"/>
      <c r="K623" s="131"/>
      <c r="L623" s="154"/>
      <c r="M623" s="125"/>
      <c r="O623" s="126"/>
      <c r="P623" s="126"/>
      <c r="Q623" s="126"/>
    </row>
    <row r="624" spans="3:17" ht="14.7" thickBot="1" x14ac:dyDescent="0.6">
      <c r="C624" s="130"/>
      <c r="D624" s="131"/>
      <c r="E624" s="131"/>
      <c r="F624" s="131"/>
      <c r="G624" s="131"/>
      <c r="H624" s="131"/>
      <c r="I624" s="131"/>
      <c r="J624" s="131"/>
      <c r="K624" s="131"/>
      <c r="L624" s="131"/>
      <c r="M624" s="132"/>
      <c r="O624" s="126"/>
      <c r="P624" s="126"/>
      <c r="Q624" s="126"/>
    </row>
    <row r="625" spans="3:17" ht="14.7" thickBot="1" x14ac:dyDescent="0.6">
      <c r="O625" s="126"/>
      <c r="P625" s="126"/>
      <c r="Q625" s="126"/>
    </row>
    <row r="626" spans="3:17" x14ac:dyDescent="0.55000000000000004">
      <c r="C626" s="121"/>
      <c r="D626" s="122"/>
      <c r="E626" s="122"/>
      <c r="F626" s="122"/>
      <c r="G626" s="122"/>
      <c r="H626" s="122"/>
      <c r="I626" s="122"/>
      <c r="J626" s="122"/>
      <c r="K626" s="122"/>
      <c r="L626" s="122"/>
      <c r="M626" s="123"/>
      <c r="O626" s="126"/>
      <c r="P626" s="126"/>
      <c r="Q626" s="126"/>
    </row>
    <row r="627" spans="3:17" ht="18.3" x14ac:dyDescent="0.7">
      <c r="C627" s="124"/>
      <c r="D627" s="1822">
        <f>'2 Customer data'!D36</f>
        <v>0</v>
      </c>
      <c r="E627" s="1822"/>
      <c r="F627" s="1822"/>
      <c r="G627" s="1822"/>
      <c r="H627" s="1822"/>
      <c r="I627" s="1822"/>
      <c r="J627" s="1822"/>
      <c r="K627" s="1822"/>
      <c r="L627" s="1822"/>
      <c r="M627" s="125"/>
      <c r="O627" s="126"/>
      <c r="P627" s="126"/>
      <c r="Q627" s="126"/>
    </row>
    <row r="628" spans="3:17" ht="14.7" thickBot="1" x14ac:dyDescent="0.6">
      <c r="C628" s="124"/>
      <c r="E628" s="1"/>
      <c r="M628" s="125"/>
      <c r="O628" s="126"/>
      <c r="P628" s="126"/>
      <c r="Q628" s="126"/>
    </row>
    <row r="629" spans="3:17" x14ac:dyDescent="0.55000000000000004">
      <c r="C629" s="124"/>
      <c r="D629" s="121"/>
      <c r="E629" s="122"/>
      <c r="F629" s="122"/>
      <c r="G629" s="122"/>
      <c r="H629" s="122"/>
      <c r="I629" s="122"/>
      <c r="J629" s="122"/>
      <c r="K629" s="122"/>
      <c r="L629" s="123"/>
      <c r="M629" s="125"/>
      <c r="O629" s="126"/>
      <c r="P629" s="126"/>
      <c r="Q629" s="126"/>
    </row>
    <row r="630" spans="3:17" x14ac:dyDescent="0.55000000000000004">
      <c r="C630" s="124"/>
      <c r="D630" s="124"/>
      <c r="E630" s="1" t="str">
        <f>'2 Customer data'!D36&amp;" "&amp;"information"</f>
        <v xml:space="preserve"> information</v>
      </c>
      <c r="L630" s="125"/>
      <c r="M630" s="125"/>
      <c r="O630" s="126"/>
      <c r="P630" s="126"/>
      <c r="Q630" s="126"/>
    </row>
    <row r="631" spans="3:17" x14ac:dyDescent="0.55000000000000004">
      <c r="C631" s="124"/>
      <c r="D631" s="124"/>
      <c r="E631" s="127"/>
      <c r="L631" s="125"/>
      <c r="M631" s="125"/>
      <c r="O631" s="126"/>
      <c r="P631" s="126"/>
      <c r="Q631" s="126"/>
    </row>
    <row r="632" spans="3:17" ht="28.8" x14ac:dyDescent="0.55000000000000004">
      <c r="C632" s="124"/>
      <c r="D632" s="124"/>
      <c r="E632" s="128"/>
      <c r="F632" s="56" t="s">
        <v>28</v>
      </c>
      <c r="G632" s="129" t="s">
        <v>278</v>
      </c>
      <c r="H632" s="129" t="s">
        <v>69</v>
      </c>
      <c r="I632" s="129" t="s">
        <v>70</v>
      </c>
      <c r="J632" s="56" t="s">
        <v>71</v>
      </c>
      <c r="L632" s="125"/>
      <c r="M632" s="125"/>
      <c r="O632" s="126"/>
      <c r="P632" s="126"/>
      <c r="Q632" s="126"/>
    </row>
    <row r="633" spans="3:17" x14ac:dyDescent="0.55000000000000004">
      <c r="C633" s="124"/>
      <c r="D633" s="124"/>
      <c r="E633">
        <f>'2 Customer data'!D36</f>
        <v>0</v>
      </c>
      <c r="F633" s="26">
        <f>IFERROR(IF(VLOOKUP(E633,'2 Customer data'!$D$21:$L$40,6,FALSE)="",VLOOKUP(E633,'2 Customer data'!$D$21:$L$40,5,FALSE),VLOOKUP(E633,'2 Customer data'!$D$21:$L$40,6,FALSE)),0)</f>
        <v>0</v>
      </c>
      <c r="G633" s="26">
        <f>IFERROR(IF(VLOOKUP(E633,'2 Customer data'!$D$21:$K$40,8,FALSE)="",VLOOKUP(E633,'2 Customer data'!$D$21:$K$40,7,FALSE),VLOOKUP(E633,'2 Customer data'!$D$21:$K$40,8,FALSE)),0)</f>
        <v>0</v>
      </c>
      <c r="H633" s="26">
        <f ca="1">VLOOKUP(E633,'2 Water'!$D$19:$J$38,5,FALSE)</f>
        <v>0</v>
      </c>
      <c r="I633" s="26">
        <f ca="1">VLOOKUP(E633,'2 Water'!$D$19:$J$38,6,FALSE)</f>
        <v>0</v>
      </c>
      <c r="J633" s="26">
        <f ca="1">IFERROR(VLOOKUP(E633,'2 Water'!$D$158:$K$177,8,FALSE),0)</f>
        <v>0</v>
      </c>
      <c r="L633" s="125"/>
      <c r="M633" s="125"/>
      <c r="O633" s="126"/>
      <c r="P633" s="126"/>
      <c r="Q633" s="126"/>
    </row>
    <row r="634" spans="3:17" ht="14.7" thickBot="1" x14ac:dyDescent="0.6">
      <c r="C634" s="124"/>
      <c r="D634" s="130"/>
      <c r="E634" s="131"/>
      <c r="F634" s="131"/>
      <c r="G634" s="131"/>
      <c r="H634" s="131"/>
      <c r="I634" s="131"/>
      <c r="J634" s="131"/>
      <c r="K634" s="131"/>
      <c r="L634" s="132"/>
      <c r="M634" s="125"/>
      <c r="O634" s="126"/>
      <c r="P634" s="126"/>
      <c r="Q634" s="126"/>
    </row>
    <row r="635" spans="3:17" ht="14.7" thickBot="1" x14ac:dyDescent="0.6">
      <c r="C635" s="124"/>
      <c r="M635" s="125"/>
      <c r="O635" s="126"/>
      <c r="P635" s="126"/>
      <c r="Q635" s="126"/>
    </row>
    <row r="636" spans="3:17" x14ac:dyDescent="0.55000000000000004">
      <c r="C636" s="124"/>
      <c r="D636" s="121"/>
      <c r="E636" s="122"/>
      <c r="F636" s="122"/>
      <c r="G636" s="122"/>
      <c r="H636" s="122"/>
      <c r="I636" s="122"/>
      <c r="J636" s="122"/>
      <c r="K636" s="122"/>
      <c r="L636" s="123"/>
      <c r="M636" s="125"/>
      <c r="O636" s="126"/>
      <c r="P636" s="126"/>
      <c r="Q636" s="126"/>
    </row>
    <row r="637" spans="3:17" x14ac:dyDescent="0.55000000000000004">
      <c r="C637" s="124"/>
      <c r="D637" s="124"/>
      <c r="E637" s="1" t="s">
        <v>72</v>
      </c>
      <c r="L637" s="125"/>
      <c r="M637" s="125"/>
      <c r="O637" s="126"/>
      <c r="P637" s="126"/>
      <c r="Q637" s="126"/>
    </row>
    <row r="638" spans="3:17" x14ac:dyDescent="0.55000000000000004">
      <c r="C638" s="124"/>
      <c r="D638" s="124"/>
      <c r="E638" s="120" t="s">
        <v>555</v>
      </c>
      <c r="L638" s="125"/>
      <c r="M638" s="125"/>
      <c r="O638" s="126"/>
      <c r="P638" s="126"/>
      <c r="Q638" s="126"/>
    </row>
    <row r="639" spans="3:17" x14ac:dyDescent="0.55000000000000004">
      <c r="C639" s="124"/>
      <c r="D639" s="124"/>
      <c r="E639" s="127"/>
      <c r="L639" s="125"/>
      <c r="M639" s="125"/>
      <c r="O639" s="126"/>
      <c r="P639" s="126"/>
      <c r="Q639" s="126"/>
    </row>
    <row r="640" spans="3:17" ht="28.8" x14ac:dyDescent="0.55000000000000004">
      <c r="C640" s="124"/>
      <c r="D640" s="124"/>
      <c r="F640" s="56" t="s">
        <v>86</v>
      </c>
      <c r="G640" s="56" t="s">
        <v>73</v>
      </c>
      <c r="H640" s="56" t="s">
        <v>74</v>
      </c>
      <c r="I640" s="56" t="s">
        <v>75</v>
      </c>
      <c r="J640" s="56" t="s">
        <v>76</v>
      </c>
      <c r="L640" s="125"/>
      <c r="M640" s="125"/>
      <c r="O640" s="126"/>
      <c r="P640" s="126"/>
      <c r="Q640" s="126"/>
    </row>
    <row r="641" spans="3:17" x14ac:dyDescent="0.55000000000000004">
      <c r="C641" s="124"/>
      <c r="D641" s="124"/>
      <c r="E641">
        <f>E633</f>
        <v>0</v>
      </c>
      <c r="F641" s="26">
        <f ca="1">H633</f>
        <v>0</v>
      </c>
      <c r="G641" s="64">
        <f ca="1">IFERROR(F641/F633/12,0)</f>
        <v>0</v>
      </c>
      <c r="H641" s="84"/>
      <c r="I641" s="26">
        <f>H641*F633*12</f>
        <v>0</v>
      </c>
      <c r="J641" s="21">
        <f>IFERROR(I641/12,0)</f>
        <v>0</v>
      </c>
      <c r="L641" s="125"/>
      <c r="M641" s="125"/>
      <c r="O641" s="126"/>
      <c r="P641" s="126"/>
      <c r="Q641" s="126"/>
    </row>
    <row r="642" spans="3:17" x14ac:dyDescent="0.55000000000000004">
      <c r="C642" s="124"/>
      <c r="D642" s="124"/>
      <c r="E642" s="133"/>
      <c r="F642" s="58" t="str">
        <f ca="1">IF(I641&gt;J633,"Error: revenue from fixed charges exceeds total revenue required from tariff. Reduce fixed charge.","")</f>
        <v/>
      </c>
      <c r="G642" s="134"/>
      <c r="H642" s="134"/>
      <c r="I642" s="134"/>
      <c r="J642" s="135"/>
      <c r="L642" s="125"/>
      <c r="M642" s="125"/>
      <c r="O642" s="126"/>
      <c r="P642" s="126"/>
      <c r="Q642" s="126"/>
    </row>
    <row r="643" spans="3:17" ht="14.7" thickBot="1" x14ac:dyDescent="0.6">
      <c r="C643" s="124"/>
      <c r="D643" s="130"/>
      <c r="E643" s="131"/>
      <c r="F643" s="131"/>
      <c r="G643" s="131"/>
      <c r="H643" s="131"/>
      <c r="I643" s="131"/>
      <c r="J643" s="131"/>
      <c r="K643" s="131"/>
      <c r="L643" s="132"/>
      <c r="M643" s="125"/>
      <c r="O643" s="126"/>
      <c r="P643" s="126"/>
      <c r="Q643" s="126"/>
    </row>
    <row r="644" spans="3:17" ht="14.7" thickBot="1" x14ac:dyDescent="0.6">
      <c r="C644" s="124"/>
      <c r="M644" s="125"/>
      <c r="O644" s="126"/>
      <c r="P644" s="126"/>
      <c r="Q644" s="126"/>
    </row>
    <row r="645" spans="3:17" x14ac:dyDescent="0.55000000000000004">
      <c r="C645" s="124"/>
      <c r="D645" s="121"/>
      <c r="E645" s="122"/>
      <c r="F645" s="122"/>
      <c r="G645" s="122"/>
      <c r="H645" s="122"/>
      <c r="I645" s="122"/>
      <c r="J645" s="122"/>
      <c r="K645" s="122"/>
      <c r="L645" s="123"/>
      <c r="M645" s="125"/>
      <c r="O645" s="126"/>
      <c r="P645" s="126"/>
      <c r="Q645" s="126"/>
    </row>
    <row r="646" spans="3:17" x14ac:dyDescent="0.55000000000000004">
      <c r="C646" s="124"/>
      <c r="D646" s="124"/>
      <c r="E646" s="1" t="s">
        <v>96</v>
      </c>
      <c r="L646" s="125"/>
      <c r="M646" s="125"/>
      <c r="O646" s="126"/>
      <c r="P646" s="126"/>
      <c r="Q646" s="126"/>
    </row>
    <row r="647" spans="3:17" ht="14.55" customHeight="1" x14ac:dyDescent="0.55000000000000004">
      <c r="C647" s="124"/>
      <c r="D647" s="124"/>
      <c r="E647" s="1804" t="s">
        <v>174</v>
      </c>
      <c r="F647" s="1804"/>
      <c r="G647" s="1804"/>
      <c r="H647" s="1804"/>
      <c r="I647" s="1804"/>
      <c r="J647" s="1804"/>
      <c r="K647" s="1804"/>
      <c r="L647" s="136"/>
      <c r="M647" s="136"/>
      <c r="O647" s="126"/>
      <c r="P647" s="126"/>
      <c r="Q647" s="126"/>
    </row>
    <row r="648" spans="3:17" x14ac:dyDescent="0.55000000000000004">
      <c r="C648" s="124"/>
      <c r="D648" s="124"/>
      <c r="E648" s="1804"/>
      <c r="F648" s="1804"/>
      <c r="G648" s="1804"/>
      <c r="H648" s="1804"/>
      <c r="I648" s="1804"/>
      <c r="J648" s="1804"/>
      <c r="K648" s="1804"/>
      <c r="L648" s="136"/>
      <c r="M648" s="136"/>
      <c r="O648" s="126"/>
      <c r="P648" s="126"/>
      <c r="Q648" s="126"/>
    </row>
    <row r="649" spans="3:17" x14ac:dyDescent="0.55000000000000004">
      <c r="C649" s="124"/>
      <c r="D649" s="124"/>
      <c r="L649" s="125"/>
      <c r="M649" s="125"/>
      <c r="O649" s="126"/>
      <c r="P649" s="126"/>
      <c r="Q649" s="126"/>
    </row>
    <row r="650" spans="3:17" x14ac:dyDescent="0.55000000000000004">
      <c r="C650" s="124"/>
      <c r="D650" s="124"/>
      <c r="E650" t="s">
        <v>77</v>
      </c>
      <c r="F650" s="126"/>
      <c r="G650" s="50">
        <v>10</v>
      </c>
      <c r="L650" s="125"/>
      <c r="M650" s="125"/>
      <c r="O650" s="126"/>
      <c r="P650" s="126"/>
      <c r="Q650" s="126"/>
    </row>
    <row r="651" spans="3:17" x14ac:dyDescent="0.55000000000000004">
      <c r="C651" s="124"/>
      <c r="D651" s="124"/>
      <c r="E651" s="10" t="s">
        <v>612</v>
      </c>
      <c r="F651" s="133"/>
      <c r="G651" s="159" t="s">
        <v>613</v>
      </c>
      <c r="L651" s="125"/>
      <c r="M651" s="125"/>
      <c r="O651" s="126"/>
      <c r="P651" s="126"/>
      <c r="Q651" s="126"/>
    </row>
    <row r="652" spans="3:17" x14ac:dyDescent="0.55000000000000004">
      <c r="C652" s="124"/>
      <c r="D652" s="124"/>
      <c r="L652" s="125"/>
      <c r="M652" s="125"/>
      <c r="O652" s="126"/>
      <c r="P652" s="126"/>
      <c r="Q652" s="126"/>
    </row>
    <row r="653" spans="3:17" ht="28.8" x14ac:dyDescent="0.55000000000000004">
      <c r="C653" s="124"/>
      <c r="D653" s="124"/>
      <c r="E653" s="129" t="s">
        <v>78</v>
      </c>
      <c r="F653" s="129" t="s">
        <v>79</v>
      </c>
      <c r="G653" s="139" t="s">
        <v>80</v>
      </c>
      <c r="H653" s="129" t="s">
        <v>333</v>
      </c>
      <c r="I653" s="56" t="s">
        <v>82</v>
      </c>
      <c r="J653" s="129" t="s">
        <v>81</v>
      </c>
      <c r="K653" s="56" t="s">
        <v>83</v>
      </c>
      <c r="L653" s="125"/>
      <c r="M653" s="125"/>
      <c r="N653" s="155"/>
      <c r="O653" s="126" t="s">
        <v>614</v>
      </c>
      <c r="P653" s="126" t="s">
        <v>615</v>
      </c>
      <c r="Q653" s="126"/>
    </row>
    <row r="654" spans="3:17" x14ac:dyDescent="0.55000000000000004">
      <c r="C654" s="124"/>
      <c r="D654" s="124"/>
      <c r="E654" s="89">
        <f>IF($G$650=Q654,Q654,1)</f>
        <v>1</v>
      </c>
      <c r="F654" s="91">
        <v>0</v>
      </c>
      <c r="G654" s="85"/>
      <c r="H654" s="63"/>
      <c r="I654" s="31">
        <f>G633-SUMIF(E655:E663,"&lt;="&amp;$G$650,I655:I663)</f>
        <v>0</v>
      </c>
      <c r="J654" s="114">
        <f>IFERROR(IF(E654&lt;=G650,IF(G651="No",IF(I641=0,J633/SUMPRODUCT(O654:O663,I654:I663),(J633-I641)/SUMPRODUCT(O654:O663,I654:I663)),0),0),0)</f>
        <v>0</v>
      </c>
      <c r="K654" s="26">
        <f>IFERROR(J654*I654,0)</f>
        <v>0</v>
      </c>
      <c r="L654" s="125"/>
      <c r="M654" s="125"/>
      <c r="N654" s="156"/>
      <c r="O654" s="92">
        <f>IF(E654&lt;=$G$650,1,0)</f>
        <v>1</v>
      </c>
      <c r="P654" s="126"/>
      <c r="Q654" s="126">
        <v>1</v>
      </c>
    </row>
    <row r="655" spans="3:17" x14ac:dyDescent="0.55000000000000004">
      <c r="C655" s="124"/>
      <c r="D655" s="124"/>
      <c r="E655" s="89">
        <f t="shared" ref="E655:E663" si="74">IF($G$650&gt;=Q655,Q655,"")</f>
        <v>2</v>
      </c>
      <c r="F655" s="91">
        <f t="shared" ref="F655:F663" si="75">IF($G$650&gt;=E655,G654+0.01,"")</f>
        <v>0.01</v>
      </c>
      <c r="G655" s="85"/>
      <c r="H655" s="61"/>
      <c r="I655" s="13"/>
      <c r="J655" s="114">
        <f ca="1">IFERROR(IF(E655&lt;=G650,IF(G651="No",J654*(1+H655),IF(I641=0,J633/SUMPRODUCT(P655:P663,I655:I663),(J633-I641)/SUMPRODUCT(P655:P663,I655:I663))),0),0)</f>
        <v>0</v>
      </c>
      <c r="K655" s="26">
        <f t="shared" ref="K655:K663" ca="1" si="76">IFERROR(J655*I655,0)</f>
        <v>0</v>
      </c>
      <c r="L655" s="125"/>
      <c r="M655" s="125"/>
      <c r="N655" s="156"/>
      <c r="O655" s="92">
        <f>IF(E655&lt;=$G$650,(1+H655),0)</f>
        <v>1</v>
      </c>
      <c r="P655" s="92">
        <f>IF(E655&lt;=G649,1,0)</f>
        <v>0</v>
      </c>
      <c r="Q655" s="126">
        <v>2</v>
      </c>
    </row>
    <row r="656" spans="3:17" x14ac:dyDescent="0.55000000000000004">
      <c r="C656" s="124"/>
      <c r="D656" s="124"/>
      <c r="E656" s="89">
        <f t="shared" si="74"/>
        <v>3</v>
      </c>
      <c r="F656" s="91">
        <f t="shared" si="75"/>
        <v>0.01</v>
      </c>
      <c r="G656" s="85"/>
      <c r="H656" s="61"/>
      <c r="I656" s="13"/>
      <c r="J656" s="90">
        <f t="shared" ref="J656:J663" ca="1" si="77">IF(E656&lt;=$G$650,J655*(1+H656),0)</f>
        <v>0</v>
      </c>
      <c r="K656" s="26">
        <f t="shared" ca="1" si="76"/>
        <v>0</v>
      </c>
      <c r="L656" s="125"/>
      <c r="M656" s="125"/>
      <c r="N656" s="156"/>
      <c r="O656" s="92">
        <f t="shared" ref="O656:O663" si="78">IF(E656&lt;=$G$650,O655*(1+H656),0)</f>
        <v>1</v>
      </c>
      <c r="P656" s="92">
        <f>IF(E656&lt;=G649,P655*(1+H656),0)</f>
        <v>0</v>
      </c>
      <c r="Q656" s="126">
        <v>3</v>
      </c>
    </row>
    <row r="657" spans="3:17" x14ac:dyDescent="0.55000000000000004">
      <c r="C657" s="124"/>
      <c r="D657" s="124"/>
      <c r="E657" s="89">
        <f t="shared" si="74"/>
        <v>4</v>
      </c>
      <c r="F657" s="91">
        <f t="shared" si="75"/>
        <v>0.01</v>
      </c>
      <c r="G657" s="85"/>
      <c r="H657" s="61"/>
      <c r="I657" s="13"/>
      <c r="J657" s="90">
        <f t="shared" ca="1" si="77"/>
        <v>0</v>
      </c>
      <c r="K657" s="26">
        <f t="shared" ca="1" si="76"/>
        <v>0</v>
      </c>
      <c r="L657" s="125"/>
      <c r="M657" s="125"/>
      <c r="N657" s="156"/>
      <c r="O657" s="92">
        <f t="shared" si="78"/>
        <v>1</v>
      </c>
      <c r="P657" s="92">
        <f>IF(E657&lt;=G649,P656*(1+H657),0)</f>
        <v>0</v>
      </c>
      <c r="Q657" s="126">
        <v>4</v>
      </c>
    </row>
    <row r="658" spans="3:17" x14ac:dyDescent="0.55000000000000004">
      <c r="C658" s="124"/>
      <c r="D658" s="124"/>
      <c r="E658" s="89">
        <f t="shared" si="74"/>
        <v>5</v>
      </c>
      <c r="F658" s="91">
        <f t="shared" si="75"/>
        <v>0.01</v>
      </c>
      <c r="G658" s="85"/>
      <c r="H658" s="61"/>
      <c r="I658" s="13"/>
      <c r="J658" s="90">
        <f t="shared" ca="1" si="77"/>
        <v>0</v>
      </c>
      <c r="K658" s="26">
        <f t="shared" ca="1" si="76"/>
        <v>0</v>
      </c>
      <c r="L658" s="125"/>
      <c r="M658" s="125"/>
      <c r="N658" s="156"/>
      <c r="O658" s="92">
        <f t="shared" si="78"/>
        <v>1</v>
      </c>
      <c r="P658" s="92">
        <f>IF(E658&lt;=G649,P657*(1+H658),0)</f>
        <v>0</v>
      </c>
      <c r="Q658" s="126">
        <v>5</v>
      </c>
    </row>
    <row r="659" spans="3:17" x14ac:dyDescent="0.55000000000000004">
      <c r="C659" s="124"/>
      <c r="D659" s="124"/>
      <c r="E659" s="89">
        <f t="shared" si="74"/>
        <v>6</v>
      </c>
      <c r="F659" s="91">
        <f t="shared" si="75"/>
        <v>0.01</v>
      </c>
      <c r="G659" s="86"/>
      <c r="H659" s="61"/>
      <c r="I659" s="13"/>
      <c r="J659" s="90">
        <f t="shared" ca="1" si="77"/>
        <v>0</v>
      </c>
      <c r="K659" s="26">
        <f t="shared" ca="1" si="76"/>
        <v>0</v>
      </c>
      <c r="L659" s="125"/>
      <c r="M659" s="125"/>
      <c r="N659" s="156"/>
      <c r="O659" s="92">
        <f t="shared" si="78"/>
        <v>1</v>
      </c>
      <c r="P659" s="92">
        <f>IF(E659&lt;=G649,P658*(1+H659),0)</f>
        <v>0</v>
      </c>
      <c r="Q659" s="126">
        <v>6</v>
      </c>
    </row>
    <row r="660" spans="3:17" x14ac:dyDescent="0.55000000000000004">
      <c r="C660" s="124"/>
      <c r="D660" s="124"/>
      <c r="E660" s="89">
        <f t="shared" si="74"/>
        <v>7</v>
      </c>
      <c r="F660" s="91">
        <f t="shared" si="75"/>
        <v>0.01</v>
      </c>
      <c r="G660" s="87"/>
      <c r="H660" s="61"/>
      <c r="I660" s="13"/>
      <c r="J660" s="90">
        <f t="shared" ca="1" si="77"/>
        <v>0</v>
      </c>
      <c r="K660" s="26">
        <f t="shared" ca="1" si="76"/>
        <v>0</v>
      </c>
      <c r="L660" s="125"/>
      <c r="M660" s="125"/>
      <c r="N660" s="156"/>
      <c r="O660" s="92">
        <f t="shared" si="78"/>
        <v>1</v>
      </c>
      <c r="P660" s="92">
        <f>IF(E660&lt;=G649,P659*(1+H660),0)</f>
        <v>0</v>
      </c>
      <c r="Q660" s="126">
        <v>7</v>
      </c>
    </row>
    <row r="661" spans="3:17" x14ac:dyDescent="0.55000000000000004">
      <c r="C661" s="124"/>
      <c r="D661" s="124"/>
      <c r="E661" s="89">
        <f t="shared" si="74"/>
        <v>8</v>
      </c>
      <c r="F661" s="91">
        <f t="shared" si="75"/>
        <v>0.01</v>
      </c>
      <c r="G661" s="87"/>
      <c r="H661" s="61"/>
      <c r="I661" s="13"/>
      <c r="J661" s="90">
        <f t="shared" ca="1" si="77"/>
        <v>0</v>
      </c>
      <c r="K661" s="26">
        <f t="shared" ca="1" si="76"/>
        <v>0</v>
      </c>
      <c r="L661" s="125"/>
      <c r="M661" s="125"/>
      <c r="N661" s="156"/>
      <c r="O661" s="92">
        <f t="shared" si="78"/>
        <v>1</v>
      </c>
      <c r="P661" s="92">
        <f>IF(E661&lt;=G649,P660*(1+H661),0)</f>
        <v>0</v>
      </c>
      <c r="Q661" s="126">
        <v>8</v>
      </c>
    </row>
    <row r="662" spans="3:17" x14ac:dyDescent="0.55000000000000004">
      <c r="C662" s="124"/>
      <c r="D662" s="124"/>
      <c r="E662" s="89">
        <f t="shared" si="74"/>
        <v>9</v>
      </c>
      <c r="F662" s="91">
        <f t="shared" si="75"/>
        <v>0.01</v>
      </c>
      <c r="G662" s="87"/>
      <c r="H662" s="61"/>
      <c r="I662" s="13"/>
      <c r="J662" s="90">
        <f t="shared" ca="1" si="77"/>
        <v>0</v>
      </c>
      <c r="K662" s="26">
        <f t="shared" ca="1" si="76"/>
        <v>0</v>
      </c>
      <c r="L662" s="125"/>
      <c r="M662" s="125"/>
      <c r="N662" s="156"/>
      <c r="O662" s="92">
        <f t="shared" si="78"/>
        <v>1</v>
      </c>
      <c r="P662" s="92">
        <f>IF(E662&lt;=G649,P661*(1+H662),0)</f>
        <v>0</v>
      </c>
      <c r="Q662" s="126">
        <v>9</v>
      </c>
    </row>
    <row r="663" spans="3:17" x14ac:dyDescent="0.55000000000000004">
      <c r="C663" s="124"/>
      <c r="D663" s="124"/>
      <c r="E663" s="89">
        <f t="shared" si="74"/>
        <v>10</v>
      </c>
      <c r="F663" s="91">
        <f t="shared" si="75"/>
        <v>0.01</v>
      </c>
      <c r="G663" s="148" t="s">
        <v>84</v>
      </c>
      <c r="H663" s="50"/>
      <c r="I663" s="88"/>
      <c r="J663" s="90">
        <f t="shared" ca="1" si="77"/>
        <v>0</v>
      </c>
      <c r="K663" s="26">
        <f t="shared" ca="1" si="76"/>
        <v>0</v>
      </c>
      <c r="L663" s="125"/>
      <c r="M663" s="125"/>
      <c r="N663" s="156"/>
      <c r="O663" s="92">
        <f t="shared" si="78"/>
        <v>1</v>
      </c>
      <c r="P663" s="92">
        <f>IF(E663&lt;=G649,P662*(1+H663),0)</f>
        <v>0</v>
      </c>
      <c r="Q663" s="126">
        <v>10</v>
      </c>
    </row>
    <row r="664" spans="3:17" ht="14.7" thickBot="1" x14ac:dyDescent="0.6">
      <c r="C664" s="124"/>
      <c r="D664" s="130"/>
      <c r="E664" s="149"/>
      <c r="F664" s="150"/>
      <c r="G664" s="149"/>
      <c r="H664" s="151"/>
      <c r="I664" s="152"/>
      <c r="J664" s="153"/>
      <c r="K664" s="131"/>
      <c r="L664" s="154"/>
      <c r="M664" s="125"/>
      <c r="O664" s="126"/>
      <c r="P664" s="126"/>
      <c r="Q664" s="126"/>
    </row>
    <row r="665" spans="3:17" ht="14.7" thickBot="1" x14ac:dyDescent="0.6">
      <c r="C665" s="130"/>
      <c r="D665" s="131"/>
      <c r="E665" s="131"/>
      <c r="F665" s="131"/>
      <c r="G665" s="131"/>
      <c r="H665" s="131"/>
      <c r="I665" s="131"/>
      <c r="J665" s="131"/>
      <c r="K665" s="131"/>
      <c r="L665" s="131"/>
      <c r="M665" s="132"/>
      <c r="O665" s="126"/>
      <c r="P665" s="126"/>
      <c r="Q665" s="126"/>
    </row>
    <row r="666" spans="3:17" ht="14.7" thickBot="1" x14ac:dyDescent="0.6">
      <c r="O666" s="126"/>
      <c r="P666" s="126"/>
      <c r="Q666" s="126"/>
    </row>
    <row r="667" spans="3:17" x14ac:dyDescent="0.55000000000000004">
      <c r="C667" s="121"/>
      <c r="D667" s="122"/>
      <c r="E667" s="122"/>
      <c r="F667" s="122"/>
      <c r="G667" s="122"/>
      <c r="H667" s="122"/>
      <c r="I667" s="122"/>
      <c r="J667" s="122"/>
      <c r="K667" s="122"/>
      <c r="L667" s="122"/>
      <c r="M667" s="123"/>
      <c r="O667" s="126"/>
      <c r="P667" s="126"/>
      <c r="Q667" s="126"/>
    </row>
    <row r="668" spans="3:17" ht="18.3" x14ac:dyDescent="0.7">
      <c r="C668" s="124"/>
      <c r="D668" s="1822">
        <f>'2 Customer data'!D37</f>
        <v>0</v>
      </c>
      <c r="E668" s="1822"/>
      <c r="F668" s="1822"/>
      <c r="G668" s="1822"/>
      <c r="H668" s="1822"/>
      <c r="I668" s="1822"/>
      <c r="J668" s="1822"/>
      <c r="K668" s="1822"/>
      <c r="L668" s="1822"/>
      <c r="M668" s="125"/>
      <c r="O668" s="126"/>
      <c r="P668" s="126"/>
      <c r="Q668" s="126"/>
    </row>
    <row r="669" spans="3:17" ht="14.7" thickBot="1" x14ac:dyDescent="0.6">
      <c r="C669" s="124"/>
      <c r="E669" s="1"/>
      <c r="M669" s="125"/>
      <c r="O669" s="126"/>
      <c r="P669" s="126"/>
      <c r="Q669" s="126"/>
    </row>
    <row r="670" spans="3:17" x14ac:dyDescent="0.55000000000000004">
      <c r="C670" s="124"/>
      <c r="D670" s="121"/>
      <c r="E670" s="122"/>
      <c r="F670" s="122"/>
      <c r="G670" s="122"/>
      <c r="H670" s="122"/>
      <c r="I670" s="122"/>
      <c r="J670" s="122"/>
      <c r="K670" s="122"/>
      <c r="L670" s="123"/>
      <c r="M670" s="125"/>
      <c r="O670" s="126"/>
      <c r="P670" s="126"/>
      <c r="Q670" s="126"/>
    </row>
    <row r="671" spans="3:17" x14ac:dyDescent="0.55000000000000004">
      <c r="C671" s="124"/>
      <c r="D671" s="124"/>
      <c r="E671" s="1" t="str">
        <f>'2 Customer data'!D37&amp;" "&amp;"information"</f>
        <v xml:space="preserve"> information</v>
      </c>
      <c r="L671" s="125"/>
      <c r="M671" s="125"/>
      <c r="O671" s="126"/>
      <c r="P671" s="126"/>
      <c r="Q671" s="126"/>
    </row>
    <row r="672" spans="3:17" x14ac:dyDescent="0.55000000000000004">
      <c r="C672" s="124"/>
      <c r="D672" s="124"/>
      <c r="E672" s="127"/>
      <c r="L672" s="125"/>
      <c r="M672" s="125"/>
      <c r="O672" s="126"/>
      <c r="P672" s="126"/>
      <c r="Q672" s="126"/>
    </row>
    <row r="673" spans="3:17" ht="28.8" x14ac:dyDescent="0.55000000000000004">
      <c r="C673" s="124"/>
      <c r="D673" s="124"/>
      <c r="E673" s="128"/>
      <c r="F673" s="56" t="s">
        <v>28</v>
      </c>
      <c r="G673" s="129" t="s">
        <v>278</v>
      </c>
      <c r="H673" s="129" t="s">
        <v>69</v>
      </c>
      <c r="I673" s="129" t="s">
        <v>70</v>
      </c>
      <c r="J673" s="56" t="s">
        <v>71</v>
      </c>
      <c r="L673" s="125"/>
      <c r="M673" s="125"/>
      <c r="O673" s="126"/>
      <c r="P673" s="126"/>
      <c r="Q673" s="126"/>
    </row>
    <row r="674" spans="3:17" x14ac:dyDescent="0.55000000000000004">
      <c r="C674" s="124"/>
      <c r="D674" s="124"/>
      <c r="E674">
        <f>'2 Customer data'!D37</f>
        <v>0</v>
      </c>
      <c r="F674" s="26">
        <f>IFERROR(IF(VLOOKUP(E674,'2 Customer data'!$D$21:$L$40,6,FALSE)="",VLOOKUP(E674,'2 Customer data'!$D$21:$L$40,5,FALSE),VLOOKUP(E674,'2 Customer data'!$D$21:$L$40,6,FALSE)),0)</f>
        <v>0</v>
      </c>
      <c r="G674" s="26">
        <f>IFERROR(IF(VLOOKUP(E674,'2 Customer data'!$D$21:$K$40,8,FALSE)="",VLOOKUP(E674,'2 Customer data'!$D$21:$K$40,7,FALSE),VLOOKUP(E674,'2 Customer data'!$D$21:$K$40,8,FALSE)),0)</f>
        <v>0</v>
      </c>
      <c r="H674" s="26">
        <f ca="1">VLOOKUP(E674,'2 Water'!$D$19:$J$38,5,FALSE)</f>
        <v>0</v>
      </c>
      <c r="I674" s="26">
        <f ca="1">VLOOKUP(E674,'2 Water'!$D$19:$J$38,6,FALSE)</f>
        <v>0</v>
      </c>
      <c r="J674" s="26">
        <f ca="1">IFERROR(VLOOKUP(E674,'2 Water'!$D$158:$K$177,8,FALSE),0)</f>
        <v>0</v>
      </c>
      <c r="L674" s="125"/>
      <c r="M674" s="125"/>
      <c r="O674" s="126"/>
      <c r="P674" s="126"/>
      <c r="Q674" s="126"/>
    </row>
    <row r="675" spans="3:17" ht="14.7" thickBot="1" x14ac:dyDescent="0.6">
      <c r="C675" s="124"/>
      <c r="D675" s="130"/>
      <c r="E675" s="131"/>
      <c r="F675" s="131"/>
      <c r="G675" s="131"/>
      <c r="H675" s="131"/>
      <c r="I675" s="131"/>
      <c r="J675" s="131"/>
      <c r="K675" s="131"/>
      <c r="L675" s="132"/>
      <c r="M675" s="125"/>
      <c r="O675" s="126"/>
      <c r="P675" s="126"/>
      <c r="Q675" s="126"/>
    </row>
    <row r="676" spans="3:17" ht="14.7" thickBot="1" x14ac:dyDescent="0.6">
      <c r="C676" s="124"/>
      <c r="M676" s="125"/>
      <c r="O676" s="126"/>
      <c r="P676" s="126"/>
      <c r="Q676" s="126"/>
    </row>
    <row r="677" spans="3:17" x14ac:dyDescent="0.55000000000000004">
      <c r="C677" s="124"/>
      <c r="D677" s="121"/>
      <c r="E677" s="122"/>
      <c r="F677" s="122"/>
      <c r="G677" s="122"/>
      <c r="H677" s="122"/>
      <c r="I677" s="122"/>
      <c r="J677" s="122"/>
      <c r="K677" s="122"/>
      <c r="L677" s="123"/>
      <c r="M677" s="125"/>
      <c r="O677" s="126"/>
      <c r="P677" s="126"/>
      <c r="Q677" s="126"/>
    </row>
    <row r="678" spans="3:17" x14ac:dyDescent="0.55000000000000004">
      <c r="C678" s="124"/>
      <c r="D678" s="124"/>
      <c r="E678" s="1" t="s">
        <v>72</v>
      </c>
      <c r="L678" s="125"/>
      <c r="M678" s="125"/>
      <c r="O678" s="126"/>
      <c r="P678" s="126"/>
      <c r="Q678" s="126"/>
    </row>
    <row r="679" spans="3:17" x14ac:dyDescent="0.55000000000000004">
      <c r="C679" s="124"/>
      <c r="D679" s="124"/>
      <c r="E679" s="120" t="s">
        <v>555</v>
      </c>
      <c r="L679" s="125"/>
      <c r="M679" s="125"/>
      <c r="O679" s="126"/>
      <c r="P679" s="126"/>
      <c r="Q679" s="126"/>
    </row>
    <row r="680" spans="3:17" x14ac:dyDescent="0.55000000000000004">
      <c r="C680" s="124"/>
      <c r="D680" s="124"/>
      <c r="E680" s="127"/>
      <c r="L680" s="125"/>
      <c r="M680" s="125"/>
      <c r="O680" s="126"/>
      <c r="P680" s="126"/>
      <c r="Q680" s="126"/>
    </row>
    <row r="681" spans="3:17" ht="28.8" x14ac:dyDescent="0.55000000000000004">
      <c r="C681" s="124"/>
      <c r="D681" s="124"/>
      <c r="F681" s="56" t="s">
        <v>86</v>
      </c>
      <c r="G681" s="56" t="s">
        <v>73</v>
      </c>
      <c r="H681" s="56" t="s">
        <v>74</v>
      </c>
      <c r="I681" s="56" t="s">
        <v>75</v>
      </c>
      <c r="J681" s="56" t="s">
        <v>76</v>
      </c>
      <c r="L681" s="125"/>
      <c r="M681" s="125"/>
      <c r="O681" s="126"/>
      <c r="P681" s="126"/>
      <c r="Q681" s="126"/>
    </row>
    <row r="682" spans="3:17" x14ac:dyDescent="0.55000000000000004">
      <c r="C682" s="124"/>
      <c r="D682" s="124"/>
      <c r="E682">
        <f>E674</f>
        <v>0</v>
      </c>
      <c r="F682" s="26">
        <f ca="1">H674</f>
        <v>0</v>
      </c>
      <c r="G682" s="64">
        <f ca="1">IFERROR(F682/F674/12,0)</f>
        <v>0</v>
      </c>
      <c r="H682" s="84"/>
      <c r="I682" s="26">
        <f>H682*F674*12</f>
        <v>0</v>
      </c>
      <c r="J682" s="21">
        <f>IFERROR(I682/12,0)</f>
        <v>0</v>
      </c>
      <c r="L682" s="125"/>
      <c r="M682" s="125"/>
      <c r="O682" s="126"/>
      <c r="P682" s="126"/>
      <c r="Q682" s="126"/>
    </row>
    <row r="683" spans="3:17" x14ac:dyDescent="0.55000000000000004">
      <c r="C683" s="124"/>
      <c r="D683" s="124"/>
      <c r="E683" s="133"/>
      <c r="F683" s="58" t="str">
        <f ca="1">IF(I682&gt;J674,"Error: revenue from fixed charges exceeds total revenue required from tariff. Reduce fixed charge.","")</f>
        <v/>
      </c>
      <c r="G683" s="134"/>
      <c r="H683" s="134"/>
      <c r="I683" s="134"/>
      <c r="J683" s="135"/>
      <c r="L683" s="125"/>
      <c r="M683" s="125"/>
      <c r="O683" s="126"/>
      <c r="P683" s="126"/>
      <c r="Q683" s="126"/>
    </row>
    <row r="684" spans="3:17" ht="14.7" thickBot="1" x14ac:dyDescent="0.6">
      <c r="C684" s="124"/>
      <c r="D684" s="130"/>
      <c r="E684" s="131"/>
      <c r="F684" s="131"/>
      <c r="G684" s="131"/>
      <c r="H684" s="131"/>
      <c r="I684" s="131"/>
      <c r="J684" s="131"/>
      <c r="K684" s="131"/>
      <c r="L684" s="132"/>
      <c r="M684" s="125"/>
      <c r="O684" s="126"/>
      <c r="P684" s="126"/>
      <c r="Q684" s="126"/>
    </row>
    <row r="685" spans="3:17" ht="14.7" thickBot="1" x14ac:dyDescent="0.6">
      <c r="C685" s="124"/>
      <c r="M685" s="125"/>
      <c r="O685" s="126"/>
      <c r="P685" s="126"/>
      <c r="Q685" s="126"/>
    </row>
    <row r="686" spans="3:17" x14ac:dyDescent="0.55000000000000004">
      <c r="C686" s="124"/>
      <c r="D686" s="121"/>
      <c r="E686" s="122"/>
      <c r="F686" s="122"/>
      <c r="G686" s="122"/>
      <c r="H686" s="122"/>
      <c r="I686" s="122"/>
      <c r="J686" s="122"/>
      <c r="K686" s="122"/>
      <c r="L686" s="123"/>
      <c r="M686" s="125"/>
      <c r="O686" s="126"/>
      <c r="P686" s="126"/>
      <c r="Q686" s="126"/>
    </row>
    <row r="687" spans="3:17" x14ac:dyDescent="0.55000000000000004">
      <c r="C687" s="124"/>
      <c r="D687" s="124"/>
      <c r="E687" s="1" t="s">
        <v>96</v>
      </c>
      <c r="L687" s="125"/>
      <c r="M687" s="125"/>
      <c r="O687" s="126"/>
      <c r="P687" s="126"/>
      <c r="Q687" s="126"/>
    </row>
    <row r="688" spans="3:17" ht="14.55" customHeight="1" x14ac:dyDescent="0.55000000000000004">
      <c r="C688" s="124"/>
      <c r="D688" s="124"/>
      <c r="E688" s="1804" t="s">
        <v>174</v>
      </c>
      <c r="F688" s="1804"/>
      <c r="G688" s="1804"/>
      <c r="H688" s="1804"/>
      <c r="I688" s="1804"/>
      <c r="J688" s="1804"/>
      <c r="K688" s="1804"/>
      <c r="L688" s="136"/>
      <c r="M688" s="136"/>
      <c r="O688" s="126"/>
      <c r="P688" s="126"/>
      <c r="Q688" s="126"/>
    </row>
    <row r="689" spans="3:17" x14ac:dyDescent="0.55000000000000004">
      <c r="C689" s="124"/>
      <c r="D689" s="124"/>
      <c r="E689" s="1804"/>
      <c r="F689" s="1804"/>
      <c r="G689" s="1804"/>
      <c r="H689" s="1804"/>
      <c r="I689" s="1804"/>
      <c r="J689" s="1804"/>
      <c r="K689" s="1804"/>
      <c r="L689" s="136"/>
      <c r="M689" s="136"/>
      <c r="O689" s="126"/>
      <c r="P689" s="126"/>
      <c r="Q689" s="126"/>
    </row>
    <row r="690" spans="3:17" x14ac:dyDescent="0.55000000000000004">
      <c r="C690" s="124"/>
      <c r="D690" s="124"/>
      <c r="L690" s="125"/>
      <c r="M690" s="125"/>
      <c r="O690" s="126"/>
      <c r="P690" s="126"/>
      <c r="Q690" s="126"/>
    </row>
    <row r="691" spans="3:17" x14ac:dyDescent="0.55000000000000004">
      <c r="C691" s="124"/>
      <c r="D691" s="124"/>
      <c r="E691" t="s">
        <v>77</v>
      </c>
      <c r="F691" s="126"/>
      <c r="G691" s="50">
        <v>10</v>
      </c>
      <c r="L691" s="125"/>
      <c r="M691" s="125"/>
      <c r="O691" s="126"/>
      <c r="P691" s="126"/>
      <c r="Q691" s="126"/>
    </row>
    <row r="692" spans="3:17" x14ac:dyDescent="0.55000000000000004">
      <c r="C692" s="124"/>
      <c r="D692" s="124"/>
      <c r="E692" s="10" t="s">
        <v>612</v>
      </c>
      <c r="F692" s="133"/>
      <c r="G692" s="159" t="s">
        <v>613</v>
      </c>
      <c r="L692" s="125"/>
      <c r="M692" s="125"/>
      <c r="O692" s="126"/>
      <c r="P692" s="126"/>
      <c r="Q692" s="126"/>
    </row>
    <row r="693" spans="3:17" x14ac:dyDescent="0.55000000000000004">
      <c r="C693" s="124"/>
      <c r="D693" s="124"/>
      <c r="L693" s="125"/>
      <c r="M693" s="125"/>
      <c r="O693" s="126"/>
      <c r="P693" s="126"/>
      <c r="Q693" s="126"/>
    </row>
    <row r="694" spans="3:17" ht="28.8" x14ac:dyDescent="0.55000000000000004">
      <c r="C694" s="124"/>
      <c r="D694" s="124"/>
      <c r="E694" s="129" t="s">
        <v>78</v>
      </c>
      <c r="F694" s="129" t="s">
        <v>79</v>
      </c>
      <c r="G694" s="139" t="s">
        <v>80</v>
      </c>
      <c r="H694" s="129" t="s">
        <v>333</v>
      </c>
      <c r="I694" s="56" t="s">
        <v>82</v>
      </c>
      <c r="J694" s="129" t="s">
        <v>81</v>
      </c>
      <c r="K694" s="56" t="s">
        <v>83</v>
      </c>
      <c r="L694" s="125"/>
      <c r="M694" s="125"/>
      <c r="O694" s="126" t="s">
        <v>614</v>
      </c>
      <c r="P694" s="126" t="s">
        <v>615</v>
      </c>
      <c r="Q694" s="126"/>
    </row>
    <row r="695" spans="3:17" x14ac:dyDescent="0.55000000000000004">
      <c r="C695" s="124"/>
      <c r="D695" s="124"/>
      <c r="E695" s="209">
        <f>IF($G$691=Q695,Q695,1)</f>
        <v>1</v>
      </c>
      <c r="F695" s="91">
        <v>0</v>
      </c>
      <c r="G695" s="85"/>
      <c r="H695" s="63"/>
      <c r="I695" s="31">
        <f>G674-SUMIF(E696:E704,"&lt;="&amp;$G$691,I696:I704)</f>
        <v>0</v>
      </c>
      <c r="J695" s="114">
        <f>IFERROR(IF(E695&lt;=G691,IF(G692="No",IF(I682=0,J674/SUMPRODUCT(O695:O704,I695:I704),(J674-I682)/SUMPRODUCT(O695:O704,I695:I704)),0),0),0)</f>
        <v>0</v>
      </c>
      <c r="K695" s="26">
        <f>IFERROR(J695*I695,0)</f>
        <v>0</v>
      </c>
      <c r="L695" s="125"/>
      <c r="M695" s="125"/>
      <c r="O695" s="92">
        <f>IF(E695&lt;=$G$691,1,0)</f>
        <v>1</v>
      </c>
      <c r="P695" s="126"/>
      <c r="Q695" s="126">
        <v>1</v>
      </c>
    </row>
    <row r="696" spans="3:17" x14ac:dyDescent="0.55000000000000004">
      <c r="C696" s="124"/>
      <c r="D696" s="124"/>
      <c r="E696" s="89">
        <f t="shared" ref="E696:E704" si="79">IF($G$691&gt;=Q696,Q696,"")</f>
        <v>2</v>
      </c>
      <c r="F696" s="91">
        <f t="shared" ref="F696:F704" si="80">IF($G$691&gt;=E696,G695+0.01,"")</f>
        <v>0.01</v>
      </c>
      <c r="G696" s="85"/>
      <c r="H696" s="61"/>
      <c r="I696" s="13"/>
      <c r="J696" s="114">
        <f ca="1">IFERROR(IF(E696&lt;=G691,IF(G692="No",J695*(1+H696),IF(I682=0,J674/SUMPRODUCT(P696:P704,I696:I704),(J674-I682)/SUMPRODUCT(P696:P704,I696:I704))),0),0)</f>
        <v>0</v>
      </c>
      <c r="K696" s="26">
        <f t="shared" ref="K696:K704" ca="1" si="81">IFERROR(J696*I696,0)</f>
        <v>0</v>
      </c>
      <c r="L696" s="125"/>
      <c r="M696" s="125"/>
      <c r="O696" s="92">
        <f>IF(E696&lt;=$G$691,(1+H696),0)</f>
        <v>1</v>
      </c>
      <c r="P696" s="92">
        <f>IF(E696&lt;=G690,1,0)</f>
        <v>0</v>
      </c>
      <c r="Q696" s="126">
        <v>2</v>
      </c>
    </row>
    <row r="697" spans="3:17" x14ac:dyDescent="0.55000000000000004">
      <c r="C697" s="124"/>
      <c r="D697" s="124"/>
      <c r="E697" s="89">
        <f t="shared" si="79"/>
        <v>3</v>
      </c>
      <c r="F697" s="91">
        <f t="shared" si="80"/>
        <v>0.01</v>
      </c>
      <c r="G697" s="85"/>
      <c r="H697" s="61"/>
      <c r="I697" s="13"/>
      <c r="J697" s="90">
        <f t="shared" ref="J697:J704" ca="1" si="82">IF(E697&lt;=$G$691,J696*(1+H697),0)</f>
        <v>0</v>
      </c>
      <c r="K697" s="26">
        <f t="shared" ca="1" si="81"/>
        <v>0</v>
      </c>
      <c r="L697" s="125"/>
      <c r="M697" s="125"/>
      <c r="O697" s="92">
        <f t="shared" ref="O697:O704" si="83">IF(E697&lt;=$G$691,O696*(1+H697),0)</f>
        <v>1</v>
      </c>
      <c r="P697" s="92">
        <f>IF(E697&lt;=G690,P696*(1+H697),0)</f>
        <v>0</v>
      </c>
      <c r="Q697" s="126">
        <v>3</v>
      </c>
    </row>
    <row r="698" spans="3:17" x14ac:dyDescent="0.55000000000000004">
      <c r="C698" s="124"/>
      <c r="D698" s="124"/>
      <c r="E698" s="89">
        <f t="shared" si="79"/>
        <v>4</v>
      </c>
      <c r="F698" s="91">
        <f t="shared" si="80"/>
        <v>0.01</v>
      </c>
      <c r="G698" s="85"/>
      <c r="H698" s="61"/>
      <c r="I698" s="13"/>
      <c r="J698" s="90">
        <f t="shared" ca="1" si="82"/>
        <v>0</v>
      </c>
      <c r="K698" s="26">
        <f t="shared" ca="1" si="81"/>
        <v>0</v>
      </c>
      <c r="L698" s="125"/>
      <c r="M698" s="125"/>
      <c r="O698" s="92">
        <f t="shared" si="83"/>
        <v>1</v>
      </c>
      <c r="P698" s="92">
        <f>IF(E698&lt;=G690,P697*(1+H698),0)</f>
        <v>0</v>
      </c>
      <c r="Q698" s="126">
        <v>4</v>
      </c>
    </row>
    <row r="699" spans="3:17" x14ac:dyDescent="0.55000000000000004">
      <c r="C699" s="124"/>
      <c r="D699" s="124"/>
      <c r="E699" s="89">
        <f t="shared" si="79"/>
        <v>5</v>
      </c>
      <c r="F699" s="91">
        <f t="shared" si="80"/>
        <v>0.01</v>
      </c>
      <c r="G699" s="85"/>
      <c r="H699" s="61"/>
      <c r="I699" s="13"/>
      <c r="J699" s="90">
        <f t="shared" ca="1" si="82"/>
        <v>0</v>
      </c>
      <c r="K699" s="26">
        <f t="shared" ca="1" si="81"/>
        <v>0</v>
      </c>
      <c r="L699" s="125"/>
      <c r="M699" s="125"/>
      <c r="O699" s="92">
        <f t="shared" si="83"/>
        <v>1</v>
      </c>
      <c r="P699" s="92">
        <f>IF(E699&lt;=G690,P698*(1+H699),0)</f>
        <v>0</v>
      </c>
      <c r="Q699" s="126">
        <v>5</v>
      </c>
    </row>
    <row r="700" spans="3:17" x14ac:dyDescent="0.55000000000000004">
      <c r="C700" s="124"/>
      <c r="D700" s="124"/>
      <c r="E700" s="89">
        <f t="shared" si="79"/>
        <v>6</v>
      </c>
      <c r="F700" s="91">
        <f t="shared" si="80"/>
        <v>0.01</v>
      </c>
      <c r="G700" s="86"/>
      <c r="H700" s="61"/>
      <c r="I700" s="13"/>
      <c r="J700" s="90">
        <f t="shared" ca="1" si="82"/>
        <v>0</v>
      </c>
      <c r="K700" s="26">
        <f t="shared" ca="1" si="81"/>
        <v>0</v>
      </c>
      <c r="L700" s="125"/>
      <c r="M700" s="125"/>
      <c r="O700" s="92">
        <f t="shared" si="83"/>
        <v>1</v>
      </c>
      <c r="P700" s="92">
        <f>IF(E700&lt;=G690,P699*(1+H700),0)</f>
        <v>0</v>
      </c>
      <c r="Q700" s="126">
        <v>6</v>
      </c>
    </row>
    <row r="701" spans="3:17" x14ac:dyDescent="0.55000000000000004">
      <c r="C701" s="124"/>
      <c r="D701" s="124"/>
      <c r="E701" s="89">
        <f t="shared" si="79"/>
        <v>7</v>
      </c>
      <c r="F701" s="91">
        <f t="shared" si="80"/>
        <v>0.01</v>
      </c>
      <c r="G701" s="87"/>
      <c r="H701" s="61"/>
      <c r="I701" s="13"/>
      <c r="J701" s="90">
        <f t="shared" ca="1" si="82"/>
        <v>0</v>
      </c>
      <c r="K701" s="26">
        <f t="shared" ca="1" si="81"/>
        <v>0</v>
      </c>
      <c r="L701" s="125"/>
      <c r="M701" s="125"/>
      <c r="O701" s="92">
        <f t="shared" si="83"/>
        <v>1</v>
      </c>
      <c r="P701" s="92">
        <f>IF(E701&lt;=G690,P700*(1+H701),0)</f>
        <v>0</v>
      </c>
      <c r="Q701" s="126">
        <v>7</v>
      </c>
    </row>
    <row r="702" spans="3:17" x14ac:dyDescent="0.55000000000000004">
      <c r="C702" s="124"/>
      <c r="D702" s="124"/>
      <c r="E702" s="89">
        <f t="shared" si="79"/>
        <v>8</v>
      </c>
      <c r="F702" s="91">
        <f t="shared" si="80"/>
        <v>0.01</v>
      </c>
      <c r="G702" s="87"/>
      <c r="H702" s="61"/>
      <c r="I702" s="13"/>
      <c r="J702" s="90">
        <f t="shared" ca="1" si="82"/>
        <v>0</v>
      </c>
      <c r="K702" s="26">
        <f t="shared" ca="1" si="81"/>
        <v>0</v>
      </c>
      <c r="L702" s="125"/>
      <c r="M702" s="125"/>
      <c r="O702" s="92">
        <f t="shared" si="83"/>
        <v>1</v>
      </c>
      <c r="P702" s="92">
        <f>IF(E702&lt;=G690,P701*(1+H702),0)</f>
        <v>0</v>
      </c>
      <c r="Q702" s="126">
        <v>8</v>
      </c>
    </row>
    <row r="703" spans="3:17" x14ac:dyDescent="0.55000000000000004">
      <c r="C703" s="124"/>
      <c r="D703" s="124"/>
      <c r="E703" s="89">
        <f t="shared" si="79"/>
        <v>9</v>
      </c>
      <c r="F703" s="91">
        <f t="shared" si="80"/>
        <v>0.01</v>
      </c>
      <c r="G703" s="87"/>
      <c r="H703" s="61"/>
      <c r="I703" s="13"/>
      <c r="J703" s="90">
        <f t="shared" ca="1" si="82"/>
        <v>0</v>
      </c>
      <c r="K703" s="26">
        <f t="shared" ca="1" si="81"/>
        <v>0</v>
      </c>
      <c r="L703" s="125"/>
      <c r="M703" s="125"/>
      <c r="O703" s="92">
        <f t="shared" si="83"/>
        <v>1</v>
      </c>
      <c r="P703" s="92">
        <f>IF(E703&lt;=G690,P702*(1+H703),0)</f>
        <v>0</v>
      </c>
      <c r="Q703" s="126">
        <v>9</v>
      </c>
    </row>
    <row r="704" spans="3:17" x14ac:dyDescent="0.55000000000000004">
      <c r="C704" s="124"/>
      <c r="D704" s="124"/>
      <c r="E704" s="89">
        <f t="shared" si="79"/>
        <v>10</v>
      </c>
      <c r="F704" s="91">
        <f t="shared" si="80"/>
        <v>0.01</v>
      </c>
      <c r="G704" s="148" t="s">
        <v>84</v>
      </c>
      <c r="H704" s="50"/>
      <c r="I704" s="88"/>
      <c r="J704" s="90">
        <f t="shared" ca="1" si="82"/>
        <v>0</v>
      </c>
      <c r="K704" s="26">
        <f t="shared" ca="1" si="81"/>
        <v>0</v>
      </c>
      <c r="L704" s="125"/>
      <c r="M704" s="125"/>
      <c r="O704" s="92">
        <f t="shared" si="83"/>
        <v>1</v>
      </c>
      <c r="P704" s="92">
        <f>IF(E704&lt;=G690,P703*(1+H704),0)</f>
        <v>0</v>
      </c>
      <c r="Q704" s="126">
        <v>10</v>
      </c>
    </row>
    <row r="705" spans="3:17" ht="14.7" thickBot="1" x14ac:dyDescent="0.6">
      <c r="C705" s="124"/>
      <c r="D705" s="130"/>
      <c r="E705" s="149"/>
      <c r="F705" s="150"/>
      <c r="G705" s="149"/>
      <c r="H705" s="151"/>
      <c r="I705" s="152"/>
      <c r="J705" s="153"/>
      <c r="K705" s="131"/>
      <c r="L705" s="154"/>
      <c r="M705" s="125"/>
      <c r="O705" s="126"/>
      <c r="P705" s="126"/>
      <c r="Q705" s="126"/>
    </row>
    <row r="706" spans="3:17" ht="14.7" thickBot="1" x14ac:dyDescent="0.6">
      <c r="C706" s="130"/>
      <c r="D706" s="131"/>
      <c r="E706" s="131"/>
      <c r="F706" s="131"/>
      <c r="G706" s="131"/>
      <c r="H706" s="131"/>
      <c r="I706" s="131"/>
      <c r="J706" s="131"/>
      <c r="K706" s="131"/>
      <c r="L706" s="131"/>
      <c r="M706" s="132"/>
      <c r="O706" s="126"/>
      <c r="P706" s="126"/>
      <c r="Q706" s="126"/>
    </row>
    <row r="707" spans="3:17" ht="14.7" thickBot="1" x14ac:dyDescent="0.6">
      <c r="O707" s="126"/>
      <c r="P707" s="126"/>
      <c r="Q707" s="126"/>
    </row>
    <row r="708" spans="3:17" x14ac:dyDescent="0.55000000000000004">
      <c r="C708" s="121"/>
      <c r="D708" s="122"/>
      <c r="E708" s="122"/>
      <c r="F708" s="122"/>
      <c r="G708" s="122"/>
      <c r="H708" s="122"/>
      <c r="I708" s="122"/>
      <c r="J708" s="122"/>
      <c r="K708" s="122"/>
      <c r="L708" s="122"/>
      <c r="M708" s="123"/>
      <c r="O708" s="126"/>
      <c r="P708" s="126"/>
      <c r="Q708" s="126"/>
    </row>
    <row r="709" spans="3:17" ht="18.3" x14ac:dyDescent="0.7">
      <c r="C709" s="124"/>
      <c r="D709" s="1822">
        <f>'2 Customer data'!D38</f>
        <v>0</v>
      </c>
      <c r="E709" s="1822"/>
      <c r="F709" s="1822"/>
      <c r="G709" s="1822"/>
      <c r="H709" s="1822"/>
      <c r="I709" s="1822"/>
      <c r="J709" s="1822"/>
      <c r="K709" s="1822"/>
      <c r="L709" s="1822"/>
      <c r="M709" s="125"/>
      <c r="O709" s="126"/>
      <c r="P709" s="126"/>
      <c r="Q709" s="126"/>
    </row>
    <row r="710" spans="3:17" ht="14.7" thickBot="1" x14ac:dyDescent="0.6">
      <c r="C710" s="124"/>
      <c r="E710" s="1"/>
      <c r="M710" s="125"/>
      <c r="O710" s="126"/>
      <c r="P710" s="126"/>
      <c r="Q710" s="126"/>
    </row>
    <row r="711" spans="3:17" x14ac:dyDescent="0.55000000000000004">
      <c r="C711" s="124"/>
      <c r="D711" s="121"/>
      <c r="E711" s="122"/>
      <c r="F711" s="122"/>
      <c r="G711" s="122"/>
      <c r="H711" s="122"/>
      <c r="I711" s="122"/>
      <c r="J711" s="122"/>
      <c r="K711" s="122"/>
      <c r="L711" s="123"/>
      <c r="M711" s="125"/>
      <c r="O711" s="126"/>
      <c r="P711" s="126"/>
      <c r="Q711" s="126"/>
    </row>
    <row r="712" spans="3:17" x14ac:dyDescent="0.55000000000000004">
      <c r="C712" s="124"/>
      <c r="D712" s="124"/>
      <c r="E712" s="1" t="str">
        <f>'2 Customer data'!D38&amp;" "&amp;"information"</f>
        <v xml:space="preserve"> information</v>
      </c>
      <c r="L712" s="125"/>
      <c r="M712" s="125"/>
      <c r="O712" s="126"/>
      <c r="P712" s="126"/>
      <c r="Q712" s="126"/>
    </row>
    <row r="713" spans="3:17" x14ac:dyDescent="0.55000000000000004">
      <c r="C713" s="124"/>
      <c r="D713" s="124"/>
      <c r="E713" s="127"/>
      <c r="L713" s="125"/>
      <c r="M713" s="125"/>
      <c r="O713" s="126"/>
      <c r="P713" s="126"/>
      <c r="Q713" s="126"/>
    </row>
    <row r="714" spans="3:17" ht="28.8" x14ac:dyDescent="0.55000000000000004">
      <c r="C714" s="124"/>
      <c r="D714" s="124"/>
      <c r="E714" s="128"/>
      <c r="F714" s="56" t="s">
        <v>28</v>
      </c>
      <c r="G714" s="129" t="s">
        <v>278</v>
      </c>
      <c r="H714" s="129" t="s">
        <v>69</v>
      </c>
      <c r="I714" s="129" t="s">
        <v>70</v>
      </c>
      <c r="J714" s="56" t="s">
        <v>71</v>
      </c>
      <c r="L714" s="125"/>
      <c r="M714" s="125"/>
      <c r="O714" s="126"/>
      <c r="P714" s="126"/>
      <c r="Q714" s="126"/>
    </row>
    <row r="715" spans="3:17" x14ac:dyDescent="0.55000000000000004">
      <c r="C715" s="124"/>
      <c r="D715" s="124"/>
      <c r="E715">
        <f>'2 Customer data'!D38</f>
        <v>0</v>
      </c>
      <c r="F715" s="26">
        <f>IFERROR(IF(VLOOKUP(E715,'2 Customer data'!$D$21:$L$40,6,FALSE)="",VLOOKUP(E715,'2 Customer data'!$D$21:$L$40,5,FALSE),VLOOKUP(E715,'2 Customer data'!$D$21:$L$40,6,FALSE)),0)</f>
        <v>0</v>
      </c>
      <c r="G715" s="26">
        <f>IFERROR(IF(VLOOKUP(E715,'2 Customer data'!$D$21:$K$40,8,FALSE)="",VLOOKUP(E715,'2 Customer data'!$D$21:$K$40,7,FALSE),VLOOKUP(E715,'2 Customer data'!$D$21:$K$40,8,FALSE)),0)</f>
        <v>0</v>
      </c>
      <c r="H715" s="26">
        <f ca="1">VLOOKUP(E715,'2 Water'!$D$19:$J$38,5,FALSE)</f>
        <v>0</v>
      </c>
      <c r="I715" s="26">
        <f ca="1">VLOOKUP(E715,'2 Water'!$D$19:$J$38,6,FALSE)</f>
        <v>0</v>
      </c>
      <c r="J715" s="26">
        <f ca="1">IFERROR(VLOOKUP(E715,'2 Water'!$D$158:$K$177,8,FALSE),0)</f>
        <v>0</v>
      </c>
      <c r="L715" s="125"/>
      <c r="M715" s="125"/>
      <c r="O715" s="126"/>
      <c r="P715" s="126"/>
      <c r="Q715" s="126"/>
    </row>
    <row r="716" spans="3:17" ht="14.7" thickBot="1" x14ac:dyDescent="0.6">
      <c r="C716" s="124"/>
      <c r="D716" s="130"/>
      <c r="E716" s="131"/>
      <c r="F716" s="131"/>
      <c r="G716" s="131"/>
      <c r="H716" s="131"/>
      <c r="I716" s="131"/>
      <c r="J716" s="131"/>
      <c r="K716" s="131"/>
      <c r="L716" s="132"/>
      <c r="M716" s="125"/>
      <c r="O716" s="126"/>
      <c r="P716" s="126"/>
      <c r="Q716" s="126"/>
    </row>
    <row r="717" spans="3:17" ht="14.7" thickBot="1" x14ac:dyDescent="0.6">
      <c r="C717" s="124"/>
      <c r="M717" s="125"/>
      <c r="O717" s="126"/>
      <c r="P717" s="126"/>
      <c r="Q717" s="126"/>
    </row>
    <row r="718" spans="3:17" x14ac:dyDescent="0.55000000000000004">
      <c r="C718" s="124"/>
      <c r="D718" s="121"/>
      <c r="E718" s="122"/>
      <c r="F718" s="122"/>
      <c r="G718" s="122"/>
      <c r="H718" s="122"/>
      <c r="I718" s="122"/>
      <c r="J718" s="122"/>
      <c r="K718" s="122"/>
      <c r="L718" s="123"/>
      <c r="M718" s="125"/>
      <c r="O718" s="126"/>
      <c r="P718" s="126"/>
      <c r="Q718" s="126"/>
    </row>
    <row r="719" spans="3:17" x14ac:dyDescent="0.55000000000000004">
      <c r="C719" s="124"/>
      <c r="D719" s="124"/>
      <c r="E719" s="1" t="s">
        <v>72</v>
      </c>
      <c r="L719" s="125"/>
      <c r="M719" s="125"/>
      <c r="O719" s="126"/>
      <c r="P719" s="126"/>
      <c r="Q719" s="126"/>
    </row>
    <row r="720" spans="3:17" x14ac:dyDescent="0.55000000000000004">
      <c r="C720" s="124"/>
      <c r="D720" s="124"/>
      <c r="E720" s="120" t="s">
        <v>555</v>
      </c>
      <c r="L720" s="125"/>
      <c r="M720" s="125"/>
      <c r="O720" s="126"/>
      <c r="P720" s="126"/>
      <c r="Q720" s="126"/>
    </row>
    <row r="721" spans="3:17" x14ac:dyDescent="0.55000000000000004">
      <c r="C721" s="124"/>
      <c r="D721" s="124"/>
      <c r="E721" s="127"/>
      <c r="L721" s="125"/>
      <c r="M721" s="125"/>
      <c r="O721" s="126"/>
      <c r="P721" s="126"/>
      <c r="Q721" s="126"/>
    </row>
    <row r="722" spans="3:17" ht="28.8" x14ac:dyDescent="0.55000000000000004">
      <c r="C722" s="124"/>
      <c r="D722" s="124"/>
      <c r="F722" s="56" t="s">
        <v>86</v>
      </c>
      <c r="G722" s="56" t="s">
        <v>73</v>
      </c>
      <c r="H722" s="56" t="s">
        <v>74</v>
      </c>
      <c r="I722" s="56" t="s">
        <v>75</v>
      </c>
      <c r="J722" s="56" t="s">
        <v>76</v>
      </c>
      <c r="L722" s="125"/>
      <c r="M722" s="125"/>
      <c r="O722" s="126"/>
      <c r="P722" s="126"/>
      <c r="Q722" s="126"/>
    </row>
    <row r="723" spans="3:17" x14ac:dyDescent="0.55000000000000004">
      <c r="C723" s="124"/>
      <c r="D723" s="124"/>
      <c r="E723">
        <f>E715</f>
        <v>0</v>
      </c>
      <c r="F723" s="26">
        <f ca="1">H715</f>
        <v>0</v>
      </c>
      <c r="G723" s="64">
        <f ca="1">IFERROR(F723/F715/12,0)</f>
        <v>0</v>
      </c>
      <c r="H723" s="84"/>
      <c r="I723" s="26">
        <f>H723*F715*12</f>
        <v>0</v>
      </c>
      <c r="J723" s="21">
        <f>IFERROR(I723/12,0)</f>
        <v>0</v>
      </c>
      <c r="L723" s="125"/>
      <c r="M723" s="125"/>
      <c r="O723" s="126"/>
      <c r="P723" s="126"/>
      <c r="Q723" s="126"/>
    </row>
    <row r="724" spans="3:17" x14ac:dyDescent="0.55000000000000004">
      <c r="C724" s="124"/>
      <c r="D724" s="124"/>
      <c r="E724" s="133"/>
      <c r="F724" s="58" t="str">
        <f ca="1">IF(I723&gt;J715,"Error: revenue from fixed charges exceeds total revenue required from tariff. Reduce fixed charge.","")</f>
        <v/>
      </c>
      <c r="G724" s="134"/>
      <c r="H724" s="134"/>
      <c r="I724" s="134"/>
      <c r="J724" s="135"/>
      <c r="L724" s="125"/>
      <c r="M724" s="125"/>
      <c r="O724" s="126"/>
      <c r="P724" s="126"/>
      <c r="Q724" s="126"/>
    </row>
    <row r="725" spans="3:17" ht="14.7" thickBot="1" x14ac:dyDescent="0.6">
      <c r="C725" s="124"/>
      <c r="D725" s="130"/>
      <c r="E725" s="131"/>
      <c r="F725" s="131"/>
      <c r="G725" s="131"/>
      <c r="H725" s="131"/>
      <c r="I725" s="131"/>
      <c r="J725" s="131"/>
      <c r="K725" s="131"/>
      <c r="L725" s="132"/>
      <c r="M725" s="125"/>
      <c r="O725" s="126"/>
      <c r="P725" s="126"/>
      <c r="Q725" s="126"/>
    </row>
    <row r="726" spans="3:17" ht="14.7" thickBot="1" x14ac:dyDescent="0.6">
      <c r="C726" s="124"/>
      <c r="M726" s="125"/>
      <c r="O726" s="126"/>
      <c r="P726" s="126"/>
      <c r="Q726" s="126"/>
    </row>
    <row r="727" spans="3:17" x14ac:dyDescent="0.55000000000000004">
      <c r="C727" s="124"/>
      <c r="D727" s="121"/>
      <c r="E727" s="122"/>
      <c r="F727" s="122"/>
      <c r="G727" s="122"/>
      <c r="H727" s="122"/>
      <c r="I727" s="122"/>
      <c r="J727" s="122"/>
      <c r="K727" s="122"/>
      <c r="L727" s="123"/>
      <c r="M727" s="125"/>
      <c r="O727" s="126"/>
      <c r="P727" s="126"/>
      <c r="Q727" s="126"/>
    </row>
    <row r="728" spans="3:17" x14ac:dyDescent="0.55000000000000004">
      <c r="C728" s="124"/>
      <c r="D728" s="124"/>
      <c r="E728" s="1" t="s">
        <v>96</v>
      </c>
      <c r="L728" s="125"/>
      <c r="M728" s="125"/>
      <c r="O728" s="126"/>
      <c r="P728" s="126"/>
      <c r="Q728" s="126"/>
    </row>
    <row r="729" spans="3:17" ht="14.55" customHeight="1" x14ac:dyDescent="0.55000000000000004">
      <c r="C729" s="124"/>
      <c r="D729" s="124"/>
      <c r="E729" s="1804" t="s">
        <v>174</v>
      </c>
      <c r="F729" s="1804"/>
      <c r="G729" s="1804"/>
      <c r="H729" s="1804"/>
      <c r="I729" s="1804"/>
      <c r="J729" s="1804"/>
      <c r="K729" s="1804"/>
      <c r="L729" s="136"/>
      <c r="M729" s="136"/>
      <c r="O729" s="126"/>
      <c r="P729" s="126"/>
      <c r="Q729" s="126"/>
    </row>
    <row r="730" spans="3:17" x14ac:dyDescent="0.55000000000000004">
      <c r="C730" s="124"/>
      <c r="D730" s="124"/>
      <c r="E730" s="1804"/>
      <c r="F730" s="1804"/>
      <c r="G730" s="1804"/>
      <c r="H730" s="1804"/>
      <c r="I730" s="1804"/>
      <c r="J730" s="1804"/>
      <c r="K730" s="1804"/>
      <c r="L730" s="136"/>
      <c r="M730" s="136"/>
      <c r="O730" s="126"/>
      <c r="P730" s="126"/>
      <c r="Q730" s="126"/>
    </row>
    <row r="731" spans="3:17" x14ac:dyDescent="0.55000000000000004">
      <c r="C731" s="124"/>
      <c r="D731" s="124"/>
      <c r="L731" s="125"/>
      <c r="M731" s="125"/>
      <c r="O731" s="126"/>
      <c r="P731" s="126"/>
      <c r="Q731" s="126"/>
    </row>
    <row r="732" spans="3:17" x14ac:dyDescent="0.55000000000000004">
      <c r="C732" s="124"/>
      <c r="D732" s="124"/>
      <c r="E732" t="s">
        <v>77</v>
      </c>
      <c r="F732" s="126"/>
      <c r="G732" s="50">
        <v>10</v>
      </c>
      <c r="L732" s="125"/>
      <c r="M732" s="125"/>
      <c r="O732" s="126"/>
      <c r="P732" s="126"/>
      <c r="Q732" s="126"/>
    </row>
    <row r="733" spans="3:17" x14ac:dyDescent="0.55000000000000004">
      <c r="C733" s="124"/>
      <c r="D733" s="124"/>
      <c r="E733" s="10" t="s">
        <v>612</v>
      </c>
      <c r="F733" s="133"/>
      <c r="G733" s="159" t="s">
        <v>613</v>
      </c>
      <c r="L733" s="125"/>
      <c r="M733" s="125"/>
      <c r="O733" s="126"/>
      <c r="P733" s="126"/>
      <c r="Q733" s="126"/>
    </row>
    <row r="734" spans="3:17" x14ac:dyDescent="0.55000000000000004">
      <c r="C734" s="124"/>
      <c r="D734" s="124"/>
      <c r="L734" s="125"/>
      <c r="M734" s="125"/>
      <c r="O734" s="126"/>
      <c r="P734" s="126"/>
      <c r="Q734" s="126"/>
    </row>
    <row r="735" spans="3:17" ht="28.8" x14ac:dyDescent="0.55000000000000004">
      <c r="C735" s="124"/>
      <c r="D735" s="124"/>
      <c r="E735" s="129" t="s">
        <v>78</v>
      </c>
      <c r="F735" s="129" t="s">
        <v>79</v>
      </c>
      <c r="G735" s="139" t="s">
        <v>80</v>
      </c>
      <c r="H735" s="129" t="s">
        <v>333</v>
      </c>
      <c r="I735" s="56" t="s">
        <v>82</v>
      </c>
      <c r="J735" s="129" t="s">
        <v>81</v>
      </c>
      <c r="K735" s="56" t="s">
        <v>83</v>
      </c>
      <c r="L735" s="125"/>
      <c r="M735" s="125"/>
      <c r="O735" s="126" t="s">
        <v>614</v>
      </c>
      <c r="P735" s="126" t="s">
        <v>615</v>
      </c>
      <c r="Q735" s="126"/>
    </row>
    <row r="736" spans="3:17" x14ac:dyDescent="0.55000000000000004">
      <c r="C736" s="124"/>
      <c r="D736" s="124"/>
      <c r="E736" s="89">
        <f>IF($G$732=Q736,Q736,1)</f>
        <v>1</v>
      </c>
      <c r="F736" s="91">
        <v>0</v>
      </c>
      <c r="G736" s="85"/>
      <c r="H736" s="63"/>
      <c r="I736" s="31">
        <f>G715-SUMIF(E737:E745,"&lt;="&amp;$G$732,I737:I745)</f>
        <v>0</v>
      </c>
      <c r="J736" s="114">
        <f>IFERROR(IF(E736&lt;=G732,IF(G733="No",IF(I723=0,J715/SUMPRODUCT(O736:O745,I736:I745),(J715-I723)/SUMPRODUCT(O736:O745,I736:I745)),0),0),0)</f>
        <v>0</v>
      </c>
      <c r="K736" s="26">
        <f>IFERROR(J736*I736,0)</f>
        <v>0</v>
      </c>
      <c r="L736" s="125"/>
      <c r="M736" s="125"/>
      <c r="O736" s="92">
        <f>IF(E736&lt;=$G$732,1,0)</f>
        <v>1</v>
      </c>
      <c r="P736" s="126"/>
      <c r="Q736" s="126">
        <v>1</v>
      </c>
    </row>
    <row r="737" spans="3:17" x14ac:dyDescent="0.55000000000000004">
      <c r="C737" s="124"/>
      <c r="D737" s="124"/>
      <c r="E737" s="89">
        <f t="shared" ref="E737:E745" si="84">IF($G$732&gt;=Q737,Q737,"")</f>
        <v>2</v>
      </c>
      <c r="F737" s="91">
        <f t="shared" ref="F737:F745" si="85">IF($G$732&gt;=E737,G736+0.01,"")</f>
        <v>0.01</v>
      </c>
      <c r="G737" s="85"/>
      <c r="H737" s="61"/>
      <c r="I737" s="13"/>
      <c r="J737" s="114">
        <f ca="1">IFERROR(IF(E737&lt;=G732,IF(G733="No",J736*(1+H737),IF(I723=0,J715/SUMPRODUCT(P737:P745,I737:I745),(J715-I723)/SUMPRODUCT(P737:P745,I737:I745))),0),0)</f>
        <v>0</v>
      </c>
      <c r="K737" s="26">
        <f t="shared" ref="K737:K745" ca="1" si="86">IFERROR(J737*I737,0)</f>
        <v>0</v>
      </c>
      <c r="L737" s="125"/>
      <c r="M737" s="125"/>
      <c r="O737" s="92">
        <f>IF(E737&lt;=$G$732,(1+H737),0)</f>
        <v>1</v>
      </c>
      <c r="P737" s="92">
        <f>IF(E737&lt;=G731,1,0)</f>
        <v>0</v>
      </c>
      <c r="Q737" s="126">
        <v>2</v>
      </c>
    </row>
    <row r="738" spans="3:17" x14ac:dyDescent="0.55000000000000004">
      <c r="C738" s="124"/>
      <c r="D738" s="124"/>
      <c r="E738" s="89">
        <f t="shared" si="84"/>
        <v>3</v>
      </c>
      <c r="F738" s="91">
        <f t="shared" si="85"/>
        <v>0.01</v>
      </c>
      <c r="G738" s="85"/>
      <c r="H738" s="61"/>
      <c r="I738" s="13"/>
      <c r="J738" s="90">
        <f t="shared" ref="J738:J745" ca="1" si="87">IF(E738&lt;=$G$732,J737*(1+H738),0)</f>
        <v>0</v>
      </c>
      <c r="K738" s="26">
        <f t="shared" ca="1" si="86"/>
        <v>0</v>
      </c>
      <c r="L738" s="125"/>
      <c r="M738" s="125"/>
      <c r="O738" s="92">
        <f t="shared" ref="O738:O745" si="88">IF(E738&lt;=$G$732,O737*(1+H738),0)</f>
        <v>1</v>
      </c>
      <c r="P738" s="92">
        <f>IF(E738&lt;=G731,P737*(1+H738),0)</f>
        <v>0</v>
      </c>
      <c r="Q738" s="126">
        <v>3</v>
      </c>
    </row>
    <row r="739" spans="3:17" x14ac:dyDescent="0.55000000000000004">
      <c r="C739" s="124"/>
      <c r="D739" s="124"/>
      <c r="E739" s="89">
        <f t="shared" si="84"/>
        <v>4</v>
      </c>
      <c r="F739" s="91">
        <f t="shared" si="85"/>
        <v>0.01</v>
      </c>
      <c r="G739" s="85"/>
      <c r="H739" s="61"/>
      <c r="I739" s="13"/>
      <c r="J739" s="90">
        <f t="shared" ca="1" si="87"/>
        <v>0</v>
      </c>
      <c r="K739" s="26">
        <f t="shared" ca="1" si="86"/>
        <v>0</v>
      </c>
      <c r="L739" s="125"/>
      <c r="M739" s="125"/>
      <c r="O739" s="92">
        <f t="shared" si="88"/>
        <v>1</v>
      </c>
      <c r="P739" s="92">
        <f>IF(E739&lt;=G731,P738*(1+H739),0)</f>
        <v>0</v>
      </c>
      <c r="Q739" s="126">
        <v>4</v>
      </c>
    </row>
    <row r="740" spans="3:17" x14ac:dyDescent="0.55000000000000004">
      <c r="C740" s="124"/>
      <c r="D740" s="124"/>
      <c r="E740" s="89">
        <f t="shared" si="84"/>
        <v>5</v>
      </c>
      <c r="F740" s="91">
        <f t="shared" si="85"/>
        <v>0.01</v>
      </c>
      <c r="G740" s="85"/>
      <c r="H740" s="61"/>
      <c r="I740" s="13"/>
      <c r="J740" s="90">
        <f t="shared" ca="1" si="87"/>
        <v>0</v>
      </c>
      <c r="K740" s="26">
        <f t="shared" ca="1" si="86"/>
        <v>0</v>
      </c>
      <c r="L740" s="125"/>
      <c r="M740" s="125"/>
      <c r="O740" s="92">
        <f t="shared" si="88"/>
        <v>1</v>
      </c>
      <c r="P740" s="92">
        <f>IF(E740&lt;=G731,P739*(1+H740),0)</f>
        <v>0</v>
      </c>
      <c r="Q740" s="126">
        <v>5</v>
      </c>
    </row>
    <row r="741" spans="3:17" x14ac:dyDescent="0.55000000000000004">
      <c r="C741" s="124"/>
      <c r="D741" s="124"/>
      <c r="E741" s="89">
        <f t="shared" si="84"/>
        <v>6</v>
      </c>
      <c r="F741" s="91">
        <f t="shared" si="85"/>
        <v>0.01</v>
      </c>
      <c r="G741" s="86"/>
      <c r="H741" s="61"/>
      <c r="I741" s="13"/>
      <c r="J741" s="90">
        <f t="shared" ca="1" si="87"/>
        <v>0</v>
      </c>
      <c r="K741" s="26">
        <f t="shared" ca="1" si="86"/>
        <v>0</v>
      </c>
      <c r="L741" s="125"/>
      <c r="M741" s="125"/>
      <c r="O741" s="92">
        <f t="shared" si="88"/>
        <v>1</v>
      </c>
      <c r="P741" s="92">
        <f>IF(E741&lt;=G731,P740*(1+H741),0)</f>
        <v>0</v>
      </c>
      <c r="Q741" s="126">
        <v>6</v>
      </c>
    </row>
    <row r="742" spans="3:17" x14ac:dyDescent="0.55000000000000004">
      <c r="C742" s="124"/>
      <c r="D742" s="124"/>
      <c r="E742" s="89">
        <f t="shared" si="84"/>
        <v>7</v>
      </c>
      <c r="F742" s="91">
        <f t="shared" si="85"/>
        <v>0.01</v>
      </c>
      <c r="G742" s="87"/>
      <c r="H742" s="61"/>
      <c r="I742" s="13"/>
      <c r="J742" s="90">
        <f t="shared" ca="1" si="87"/>
        <v>0</v>
      </c>
      <c r="K742" s="26">
        <f t="shared" ca="1" si="86"/>
        <v>0</v>
      </c>
      <c r="L742" s="125"/>
      <c r="M742" s="125"/>
      <c r="O742" s="92">
        <f t="shared" si="88"/>
        <v>1</v>
      </c>
      <c r="P742" s="92">
        <f>IF(E742&lt;=G731,P741*(1+H742),0)</f>
        <v>0</v>
      </c>
      <c r="Q742" s="126">
        <v>7</v>
      </c>
    </row>
    <row r="743" spans="3:17" x14ac:dyDescent="0.55000000000000004">
      <c r="C743" s="124"/>
      <c r="D743" s="124"/>
      <c r="E743" s="89">
        <f t="shared" si="84"/>
        <v>8</v>
      </c>
      <c r="F743" s="91">
        <f t="shared" si="85"/>
        <v>0.01</v>
      </c>
      <c r="G743" s="87"/>
      <c r="H743" s="61"/>
      <c r="I743" s="13"/>
      <c r="J743" s="90">
        <f t="shared" ca="1" si="87"/>
        <v>0</v>
      </c>
      <c r="K743" s="26">
        <f t="shared" ca="1" si="86"/>
        <v>0</v>
      </c>
      <c r="L743" s="125"/>
      <c r="M743" s="125"/>
      <c r="O743" s="92">
        <f t="shared" si="88"/>
        <v>1</v>
      </c>
      <c r="P743" s="92">
        <f>IF(E743&lt;=G731,P742*(1+H743),0)</f>
        <v>0</v>
      </c>
      <c r="Q743" s="126">
        <v>8</v>
      </c>
    </row>
    <row r="744" spans="3:17" x14ac:dyDescent="0.55000000000000004">
      <c r="C744" s="124"/>
      <c r="D744" s="124"/>
      <c r="E744" s="89">
        <f t="shared" si="84"/>
        <v>9</v>
      </c>
      <c r="F744" s="91">
        <f t="shared" si="85"/>
        <v>0.01</v>
      </c>
      <c r="G744" s="87"/>
      <c r="H744" s="61"/>
      <c r="I744" s="13"/>
      <c r="J744" s="90">
        <f t="shared" ca="1" si="87"/>
        <v>0</v>
      </c>
      <c r="K744" s="26">
        <f t="shared" ca="1" si="86"/>
        <v>0</v>
      </c>
      <c r="L744" s="125"/>
      <c r="M744" s="125"/>
      <c r="O744" s="92">
        <f t="shared" si="88"/>
        <v>1</v>
      </c>
      <c r="P744" s="92">
        <f>IF(E744&lt;=G731,P743*(1+H744),0)</f>
        <v>0</v>
      </c>
      <c r="Q744" s="126">
        <v>9</v>
      </c>
    </row>
    <row r="745" spans="3:17" x14ac:dyDescent="0.55000000000000004">
      <c r="C745" s="124"/>
      <c r="D745" s="124"/>
      <c r="E745" s="89">
        <f t="shared" si="84"/>
        <v>10</v>
      </c>
      <c r="F745" s="91">
        <f t="shared" si="85"/>
        <v>0.01</v>
      </c>
      <c r="G745" s="148" t="s">
        <v>84</v>
      </c>
      <c r="H745" s="50"/>
      <c r="I745" s="88"/>
      <c r="J745" s="90">
        <f t="shared" ca="1" si="87"/>
        <v>0</v>
      </c>
      <c r="K745" s="26">
        <f t="shared" ca="1" si="86"/>
        <v>0</v>
      </c>
      <c r="L745" s="125"/>
      <c r="M745" s="125"/>
      <c r="O745" s="92">
        <f t="shared" si="88"/>
        <v>1</v>
      </c>
      <c r="P745" s="92">
        <f>IF(E745&lt;=G731,P744*(1+H745),0)</f>
        <v>0</v>
      </c>
      <c r="Q745" s="126">
        <v>10</v>
      </c>
    </row>
    <row r="746" spans="3:17" ht="14.7" thickBot="1" x14ac:dyDescent="0.6">
      <c r="C746" s="124"/>
      <c r="D746" s="130"/>
      <c r="E746" s="149"/>
      <c r="F746" s="150"/>
      <c r="G746" s="149"/>
      <c r="H746" s="151"/>
      <c r="I746" s="152"/>
      <c r="J746" s="153"/>
      <c r="K746" s="131"/>
      <c r="L746" s="154"/>
      <c r="M746" s="125"/>
      <c r="O746" s="126"/>
      <c r="P746" s="126"/>
      <c r="Q746" s="126"/>
    </row>
    <row r="747" spans="3:17" ht="14.7" thickBot="1" x14ac:dyDescent="0.6">
      <c r="C747" s="130"/>
      <c r="D747" s="131"/>
      <c r="E747" s="131"/>
      <c r="F747" s="131"/>
      <c r="G747" s="131"/>
      <c r="H747" s="131"/>
      <c r="I747" s="131"/>
      <c r="J747" s="131"/>
      <c r="K747" s="131"/>
      <c r="L747" s="131"/>
      <c r="M747" s="132"/>
      <c r="O747" s="126"/>
      <c r="P747" s="126"/>
      <c r="Q747" s="126"/>
    </row>
    <row r="748" spans="3:17" ht="14.7" thickBot="1" x14ac:dyDescent="0.6">
      <c r="O748" s="126"/>
      <c r="P748" s="126"/>
      <c r="Q748" s="126"/>
    </row>
    <row r="749" spans="3:17" x14ac:dyDescent="0.55000000000000004">
      <c r="C749" s="121"/>
      <c r="D749" s="122"/>
      <c r="E749" s="122"/>
      <c r="F749" s="122"/>
      <c r="G749" s="122"/>
      <c r="H749" s="122"/>
      <c r="I749" s="122"/>
      <c r="J749" s="122"/>
      <c r="K749" s="122"/>
      <c r="L749" s="122"/>
      <c r="M749" s="123"/>
      <c r="O749" s="126"/>
      <c r="P749" s="126"/>
      <c r="Q749" s="126"/>
    </row>
    <row r="750" spans="3:17" ht="18.3" x14ac:dyDescent="0.7">
      <c r="C750" s="124"/>
      <c r="D750" s="1822">
        <f>'2 Customer data'!D39</f>
        <v>0</v>
      </c>
      <c r="E750" s="1822"/>
      <c r="F750" s="1822"/>
      <c r="G750" s="1822"/>
      <c r="H750" s="1822"/>
      <c r="I750" s="1822"/>
      <c r="J750" s="1822"/>
      <c r="K750" s="1822"/>
      <c r="L750" s="1822"/>
      <c r="M750" s="125"/>
      <c r="O750" s="126"/>
      <c r="P750" s="126"/>
      <c r="Q750" s="126"/>
    </row>
    <row r="751" spans="3:17" ht="14.7" thickBot="1" x14ac:dyDescent="0.6">
      <c r="C751" s="124"/>
      <c r="E751" s="1"/>
      <c r="M751" s="125"/>
      <c r="O751" s="126"/>
      <c r="P751" s="126"/>
      <c r="Q751" s="126"/>
    </row>
    <row r="752" spans="3:17" x14ac:dyDescent="0.55000000000000004">
      <c r="C752" s="124"/>
      <c r="D752" s="121"/>
      <c r="E752" s="122"/>
      <c r="F752" s="122"/>
      <c r="G752" s="122"/>
      <c r="H752" s="122"/>
      <c r="I752" s="122"/>
      <c r="J752" s="122"/>
      <c r="K752" s="122"/>
      <c r="L752" s="123"/>
      <c r="M752" s="125"/>
      <c r="O752" s="126"/>
      <c r="P752" s="126"/>
      <c r="Q752" s="126"/>
    </row>
    <row r="753" spans="3:17" x14ac:dyDescent="0.55000000000000004">
      <c r="C753" s="124"/>
      <c r="D753" s="124"/>
      <c r="E753" s="1" t="str">
        <f>'2 Customer data'!D39&amp;" "&amp;"information"</f>
        <v xml:space="preserve"> information</v>
      </c>
      <c r="L753" s="125"/>
      <c r="M753" s="125"/>
      <c r="O753" s="126"/>
      <c r="P753" s="126"/>
      <c r="Q753" s="126"/>
    </row>
    <row r="754" spans="3:17" x14ac:dyDescent="0.55000000000000004">
      <c r="C754" s="124"/>
      <c r="D754" s="124"/>
      <c r="E754" s="127"/>
      <c r="L754" s="125"/>
      <c r="M754" s="125"/>
      <c r="O754" s="126"/>
      <c r="P754" s="126"/>
      <c r="Q754" s="126"/>
    </row>
    <row r="755" spans="3:17" ht="28.8" x14ac:dyDescent="0.55000000000000004">
      <c r="C755" s="124"/>
      <c r="D755" s="124"/>
      <c r="E755" s="128"/>
      <c r="F755" s="56" t="s">
        <v>28</v>
      </c>
      <c r="G755" s="129" t="s">
        <v>278</v>
      </c>
      <c r="H755" s="129" t="s">
        <v>69</v>
      </c>
      <c r="I755" s="129" t="s">
        <v>70</v>
      </c>
      <c r="J755" s="56" t="s">
        <v>71</v>
      </c>
      <c r="L755" s="125"/>
      <c r="M755" s="125"/>
      <c r="O755" s="126"/>
      <c r="P755" s="126"/>
      <c r="Q755" s="126"/>
    </row>
    <row r="756" spans="3:17" x14ac:dyDescent="0.55000000000000004">
      <c r="C756" s="124"/>
      <c r="D756" s="124"/>
      <c r="E756">
        <f>'2 Customer data'!D39</f>
        <v>0</v>
      </c>
      <c r="F756" s="26">
        <f>IFERROR(IF(VLOOKUP(E756,'2 Customer data'!$D$21:$L$40,6,FALSE)="",VLOOKUP(E756,'2 Customer data'!$D$21:$L$40,5,FALSE),VLOOKUP(E756,'2 Customer data'!$D$21:$L$40,6,FALSE)),0)</f>
        <v>0</v>
      </c>
      <c r="G756" s="26">
        <f>IFERROR(IF(VLOOKUP(E756,'2 Customer data'!$D$21:$K$40,8,FALSE)="",VLOOKUP(E756,'2 Customer data'!$D$21:$K$40,7,FALSE),VLOOKUP(E756,'2 Customer data'!$D$21:$K$40,8,FALSE)),0)</f>
        <v>0</v>
      </c>
      <c r="H756" s="26">
        <f ca="1">VLOOKUP(E756,'2 Water'!$D$19:$J$38,5,FALSE)</f>
        <v>0</v>
      </c>
      <c r="I756" s="26">
        <f ca="1">VLOOKUP(E756,'2 Water'!$D$19:$J$38,6,FALSE)</f>
        <v>0</v>
      </c>
      <c r="J756" s="26">
        <f ca="1">IFERROR(VLOOKUP(E756,'2 Water'!$D$158:$K$177,8,FALSE),0)</f>
        <v>0</v>
      </c>
      <c r="L756" s="125"/>
      <c r="M756" s="125"/>
      <c r="O756" s="126"/>
      <c r="P756" s="126"/>
      <c r="Q756" s="126"/>
    </row>
    <row r="757" spans="3:17" ht="14.7" thickBot="1" x14ac:dyDescent="0.6">
      <c r="C757" s="124"/>
      <c r="D757" s="130"/>
      <c r="E757" s="131"/>
      <c r="F757" s="131"/>
      <c r="G757" s="131"/>
      <c r="H757" s="131"/>
      <c r="I757" s="131"/>
      <c r="J757" s="131"/>
      <c r="K757" s="131"/>
      <c r="L757" s="132"/>
      <c r="M757" s="125"/>
      <c r="O757" s="126"/>
      <c r="P757" s="126"/>
      <c r="Q757" s="126"/>
    </row>
    <row r="758" spans="3:17" ht="14.7" thickBot="1" x14ac:dyDescent="0.6">
      <c r="C758" s="124"/>
      <c r="M758" s="125"/>
      <c r="O758" s="126"/>
      <c r="P758" s="126"/>
      <c r="Q758" s="126"/>
    </row>
    <row r="759" spans="3:17" x14ac:dyDescent="0.55000000000000004">
      <c r="C759" s="124"/>
      <c r="D759" s="121"/>
      <c r="E759" s="122"/>
      <c r="F759" s="122"/>
      <c r="G759" s="122"/>
      <c r="H759" s="122"/>
      <c r="I759" s="122"/>
      <c r="J759" s="122"/>
      <c r="K759" s="122"/>
      <c r="L759" s="123"/>
      <c r="M759" s="125"/>
      <c r="O759" s="126"/>
      <c r="P759" s="126"/>
      <c r="Q759" s="126"/>
    </row>
    <row r="760" spans="3:17" x14ac:dyDescent="0.55000000000000004">
      <c r="C760" s="124"/>
      <c r="D760" s="124"/>
      <c r="E760" s="1" t="s">
        <v>72</v>
      </c>
      <c r="L760" s="125"/>
      <c r="M760" s="125"/>
      <c r="O760" s="126"/>
      <c r="P760" s="126"/>
      <c r="Q760" s="126"/>
    </row>
    <row r="761" spans="3:17" x14ac:dyDescent="0.55000000000000004">
      <c r="C761" s="124"/>
      <c r="D761" s="124"/>
      <c r="E761" s="120" t="s">
        <v>555</v>
      </c>
      <c r="L761" s="125"/>
      <c r="M761" s="125"/>
      <c r="O761" s="126"/>
      <c r="P761" s="126"/>
      <c r="Q761" s="126"/>
    </row>
    <row r="762" spans="3:17" x14ac:dyDescent="0.55000000000000004">
      <c r="C762" s="124"/>
      <c r="D762" s="124"/>
      <c r="E762" s="127"/>
      <c r="L762" s="125"/>
      <c r="M762" s="125"/>
      <c r="O762" s="126"/>
      <c r="P762" s="126"/>
      <c r="Q762" s="126"/>
    </row>
    <row r="763" spans="3:17" ht="28.8" x14ac:dyDescent="0.55000000000000004">
      <c r="C763" s="124"/>
      <c r="D763" s="124"/>
      <c r="F763" s="56" t="s">
        <v>86</v>
      </c>
      <c r="G763" s="56" t="s">
        <v>73</v>
      </c>
      <c r="H763" s="56" t="s">
        <v>74</v>
      </c>
      <c r="I763" s="56" t="s">
        <v>75</v>
      </c>
      <c r="J763" s="56" t="s">
        <v>76</v>
      </c>
      <c r="L763" s="125"/>
      <c r="M763" s="125"/>
      <c r="O763" s="126"/>
      <c r="P763" s="126"/>
      <c r="Q763" s="126"/>
    </row>
    <row r="764" spans="3:17" x14ac:dyDescent="0.55000000000000004">
      <c r="C764" s="124"/>
      <c r="D764" s="124"/>
      <c r="E764">
        <f>E756</f>
        <v>0</v>
      </c>
      <c r="F764" s="26">
        <f ca="1">H756</f>
        <v>0</v>
      </c>
      <c r="G764" s="64">
        <f ca="1">IFERROR(F764/F756/12,0)</f>
        <v>0</v>
      </c>
      <c r="H764" s="84"/>
      <c r="I764" s="26">
        <f>H764*F756*12</f>
        <v>0</v>
      </c>
      <c r="J764" s="21">
        <f>IFERROR(I764/12,0)</f>
        <v>0</v>
      </c>
      <c r="L764" s="125"/>
      <c r="M764" s="125"/>
      <c r="O764" s="126"/>
      <c r="P764" s="126"/>
      <c r="Q764" s="126"/>
    </row>
    <row r="765" spans="3:17" x14ac:dyDescent="0.55000000000000004">
      <c r="C765" s="124"/>
      <c r="D765" s="124"/>
      <c r="E765" s="133"/>
      <c r="F765" s="58" t="str">
        <f ca="1">IF(I764&gt;J756,"Error: revenue from fixed charges exceeds total revenue required from tariff. Reduce fixed charge.","")</f>
        <v/>
      </c>
      <c r="G765" s="134"/>
      <c r="H765" s="134"/>
      <c r="I765" s="134"/>
      <c r="J765" s="135"/>
      <c r="L765" s="125"/>
      <c r="M765" s="125"/>
      <c r="O765" s="126"/>
      <c r="P765" s="126"/>
      <c r="Q765" s="126"/>
    </row>
    <row r="766" spans="3:17" ht="14.7" thickBot="1" x14ac:dyDescent="0.6">
      <c r="C766" s="124"/>
      <c r="D766" s="130"/>
      <c r="E766" s="131"/>
      <c r="F766" s="131"/>
      <c r="G766" s="131"/>
      <c r="H766" s="131"/>
      <c r="I766" s="131"/>
      <c r="J766" s="131"/>
      <c r="K766" s="131"/>
      <c r="L766" s="132"/>
      <c r="M766" s="125"/>
      <c r="O766" s="126"/>
      <c r="P766" s="126"/>
      <c r="Q766" s="126"/>
    </row>
    <row r="767" spans="3:17" ht="14.7" thickBot="1" x14ac:dyDescent="0.6">
      <c r="C767" s="124"/>
      <c r="M767" s="125"/>
      <c r="O767" s="126"/>
      <c r="P767" s="126"/>
      <c r="Q767" s="126"/>
    </row>
    <row r="768" spans="3:17" x14ac:dyDescent="0.55000000000000004">
      <c r="C768" s="124"/>
      <c r="D768" s="121"/>
      <c r="E768" s="122"/>
      <c r="F768" s="122"/>
      <c r="G768" s="122"/>
      <c r="H768" s="122"/>
      <c r="I768" s="122"/>
      <c r="J768" s="122"/>
      <c r="K768" s="122"/>
      <c r="L768" s="123"/>
      <c r="M768" s="125"/>
      <c r="O768" s="126"/>
      <c r="P768" s="126"/>
      <c r="Q768" s="126"/>
    </row>
    <row r="769" spans="3:17" x14ac:dyDescent="0.55000000000000004">
      <c r="C769" s="124"/>
      <c r="D769" s="124"/>
      <c r="E769" s="1" t="s">
        <v>96</v>
      </c>
      <c r="L769" s="125"/>
      <c r="M769" s="125"/>
      <c r="O769" s="126"/>
      <c r="P769" s="126"/>
      <c r="Q769" s="126"/>
    </row>
    <row r="770" spans="3:17" ht="14.55" customHeight="1" x14ac:dyDescent="0.55000000000000004">
      <c r="C770" s="124"/>
      <c r="D770" s="124"/>
      <c r="E770" s="1804" t="s">
        <v>174</v>
      </c>
      <c r="F770" s="1804"/>
      <c r="G770" s="1804"/>
      <c r="H770" s="1804"/>
      <c r="I770" s="1804"/>
      <c r="J770" s="1804"/>
      <c r="K770" s="1804"/>
      <c r="L770" s="136"/>
      <c r="M770" s="136"/>
      <c r="O770" s="126"/>
      <c r="P770" s="126"/>
      <c r="Q770" s="126"/>
    </row>
    <row r="771" spans="3:17" x14ac:dyDescent="0.55000000000000004">
      <c r="C771" s="124"/>
      <c r="D771" s="124"/>
      <c r="E771" s="1804"/>
      <c r="F771" s="1804"/>
      <c r="G771" s="1804"/>
      <c r="H771" s="1804"/>
      <c r="I771" s="1804"/>
      <c r="J771" s="1804"/>
      <c r="K771" s="1804"/>
      <c r="L771" s="136"/>
      <c r="M771" s="136"/>
      <c r="O771" s="126"/>
      <c r="P771" s="126"/>
      <c r="Q771" s="126"/>
    </row>
    <row r="772" spans="3:17" x14ac:dyDescent="0.55000000000000004">
      <c r="C772" s="124"/>
      <c r="D772" s="124"/>
      <c r="L772" s="125"/>
      <c r="M772" s="125"/>
      <c r="O772" s="126"/>
      <c r="P772" s="126"/>
      <c r="Q772" s="126"/>
    </row>
    <row r="773" spans="3:17" x14ac:dyDescent="0.55000000000000004">
      <c r="C773" s="124"/>
      <c r="D773" s="124"/>
      <c r="E773" t="s">
        <v>77</v>
      </c>
      <c r="F773" s="126"/>
      <c r="G773" s="50">
        <v>10</v>
      </c>
      <c r="L773" s="125"/>
      <c r="M773" s="125"/>
      <c r="O773" s="126"/>
      <c r="P773" s="126"/>
      <c r="Q773" s="126"/>
    </row>
    <row r="774" spans="3:17" x14ac:dyDescent="0.55000000000000004">
      <c r="C774" s="124"/>
      <c r="D774" s="124"/>
      <c r="E774" s="10" t="s">
        <v>612</v>
      </c>
      <c r="F774" s="133"/>
      <c r="G774" s="159" t="s">
        <v>613</v>
      </c>
      <c r="L774" s="125"/>
      <c r="M774" s="125"/>
      <c r="O774" s="126"/>
      <c r="P774" s="126"/>
      <c r="Q774" s="126"/>
    </row>
    <row r="775" spans="3:17" x14ac:dyDescent="0.55000000000000004">
      <c r="C775" s="124"/>
      <c r="D775" s="124"/>
      <c r="L775" s="125"/>
      <c r="M775" s="125"/>
      <c r="O775" s="126"/>
      <c r="P775" s="126"/>
      <c r="Q775" s="126"/>
    </row>
    <row r="776" spans="3:17" ht="28.8" x14ac:dyDescent="0.55000000000000004">
      <c r="C776" s="124"/>
      <c r="D776" s="124"/>
      <c r="E776" s="129" t="s">
        <v>78</v>
      </c>
      <c r="F776" s="129" t="s">
        <v>79</v>
      </c>
      <c r="G776" s="139" t="s">
        <v>80</v>
      </c>
      <c r="H776" s="129" t="s">
        <v>333</v>
      </c>
      <c r="I776" s="56" t="s">
        <v>82</v>
      </c>
      <c r="J776" s="129" t="s">
        <v>81</v>
      </c>
      <c r="K776" s="56" t="s">
        <v>83</v>
      </c>
      <c r="L776" s="125"/>
      <c r="M776" s="125"/>
      <c r="N776" s="155"/>
      <c r="O776" s="126" t="s">
        <v>614</v>
      </c>
      <c r="P776" s="126" t="s">
        <v>615</v>
      </c>
      <c r="Q776" s="126"/>
    </row>
    <row r="777" spans="3:17" x14ac:dyDescent="0.55000000000000004">
      <c r="C777" s="124"/>
      <c r="D777" s="124"/>
      <c r="E777" s="89">
        <f>IF($G$773=Q777,Q777,1)</f>
        <v>1</v>
      </c>
      <c r="F777" s="91">
        <v>0</v>
      </c>
      <c r="G777" s="85"/>
      <c r="H777" s="63"/>
      <c r="I777" s="31">
        <f>G756-SUMIF(E778:E786,"&lt;="&amp;$G$773,I778:I786)</f>
        <v>0</v>
      </c>
      <c r="J777" s="114">
        <f>IFERROR(IF(E777&lt;=G773,IF(G774="No",IF(I764=0,J756/SUMPRODUCT(O777:O786,I777:I786),(J756-I764)/SUMPRODUCT(O777:O786,I777:I786)),0),0),0)</f>
        <v>0</v>
      </c>
      <c r="K777" s="26">
        <f>IFERROR(J777*I777,0)</f>
        <v>0</v>
      </c>
      <c r="L777" s="125"/>
      <c r="M777" s="125"/>
      <c r="N777" s="157"/>
      <c r="O777" s="92">
        <f>IF(E777&lt;=$G$773,1,0)</f>
        <v>1</v>
      </c>
      <c r="P777" s="126"/>
      <c r="Q777" s="126">
        <v>1</v>
      </c>
    </row>
    <row r="778" spans="3:17" x14ac:dyDescent="0.55000000000000004">
      <c r="C778" s="124"/>
      <c r="D778" s="124"/>
      <c r="E778" s="89">
        <f t="shared" ref="E778:E786" si="89">IF($G$773&gt;=Q778,Q778,"")</f>
        <v>2</v>
      </c>
      <c r="F778" s="91">
        <f t="shared" ref="F778:F786" si="90">IF($G$773&gt;=E778,G777+0.01,"")</f>
        <v>0.01</v>
      </c>
      <c r="G778" s="85"/>
      <c r="H778" s="61"/>
      <c r="I778" s="13"/>
      <c r="J778" s="114">
        <f ca="1">IFERROR(IF(E778&lt;=G773,IF(G774="No",J777*(1+H778),IF(I764=0,J756/SUMPRODUCT(P778:P786,I778:I786),(J756-I764)/SUMPRODUCT(P778:P786,I778:I786))),0),0)</f>
        <v>0</v>
      </c>
      <c r="K778" s="26">
        <f t="shared" ref="K778:K786" ca="1" si="91">IFERROR(J778*I778,0)</f>
        <v>0</v>
      </c>
      <c r="L778" s="125"/>
      <c r="M778" s="125"/>
      <c r="N778" s="157"/>
      <c r="O778" s="92">
        <f>IF(E778&lt;=$G$773,(1+H778),0)</f>
        <v>1</v>
      </c>
      <c r="P778" s="92">
        <f>IF(E778&lt;=G772,1,0)</f>
        <v>0</v>
      </c>
      <c r="Q778" s="126">
        <v>2</v>
      </c>
    </row>
    <row r="779" spans="3:17" x14ac:dyDescent="0.55000000000000004">
      <c r="C779" s="124"/>
      <c r="D779" s="124"/>
      <c r="E779" s="89">
        <f t="shared" si="89"/>
        <v>3</v>
      </c>
      <c r="F779" s="91">
        <f t="shared" si="90"/>
        <v>0.01</v>
      </c>
      <c r="G779" s="85"/>
      <c r="H779" s="61"/>
      <c r="I779" s="13"/>
      <c r="J779" s="90">
        <f t="shared" ref="J779:J786" ca="1" si="92">IF(E779&lt;=$G$773,J778*(1+H779),0)</f>
        <v>0</v>
      </c>
      <c r="K779" s="26">
        <f t="shared" ca="1" si="91"/>
        <v>0</v>
      </c>
      <c r="L779" s="125"/>
      <c r="M779" s="125"/>
      <c r="N779" s="157"/>
      <c r="O779" s="92">
        <f t="shared" ref="O779:O786" si="93">IF(E779&lt;=$G$773,O778*(1+H779),0)</f>
        <v>1</v>
      </c>
      <c r="P779" s="92">
        <f>IF(E779&lt;=G772,P778*(1+H779),0)</f>
        <v>0</v>
      </c>
      <c r="Q779" s="126">
        <v>3</v>
      </c>
    </row>
    <row r="780" spans="3:17" x14ac:dyDescent="0.55000000000000004">
      <c r="C780" s="124"/>
      <c r="D780" s="124"/>
      <c r="E780" s="89">
        <f t="shared" si="89"/>
        <v>4</v>
      </c>
      <c r="F780" s="91">
        <f t="shared" si="90"/>
        <v>0.01</v>
      </c>
      <c r="G780" s="85"/>
      <c r="H780" s="61"/>
      <c r="I780" s="13"/>
      <c r="J780" s="90">
        <f t="shared" ca="1" si="92"/>
        <v>0</v>
      </c>
      <c r="K780" s="26">
        <f t="shared" ca="1" si="91"/>
        <v>0</v>
      </c>
      <c r="L780" s="125"/>
      <c r="M780" s="125"/>
      <c r="N780" s="157"/>
      <c r="O780" s="92">
        <f t="shared" si="93"/>
        <v>1</v>
      </c>
      <c r="P780" s="92">
        <f>IF(E780&lt;=G772,P779*(1+H780),0)</f>
        <v>0</v>
      </c>
      <c r="Q780" s="126">
        <v>4</v>
      </c>
    </row>
    <row r="781" spans="3:17" x14ac:dyDescent="0.55000000000000004">
      <c r="C781" s="124"/>
      <c r="D781" s="124"/>
      <c r="E781" s="89">
        <f t="shared" si="89"/>
        <v>5</v>
      </c>
      <c r="F781" s="91">
        <f t="shared" si="90"/>
        <v>0.01</v>
      </c>
      <c r="G781" s="85"/>
      <c r="H781" s="61"/>
      <c r="I781" s="13"/>
      <c r="J781" s="90">
        <f t="shared" ca="1" si="92"/>
        <v>0</v>
      </c>
      <c r="K781" s="26">
        <f t="shared" ca="1" si="91"/>
        <v>0</v>
      </c>
      <c r="L781" s="125"/>
      <c r="M781" s="125"/>
      <c r="N781" s="157"/>
      <c r="O781" s="92">
        <f t="shared" si="93"/>
        <v>1</v>
      </c>
      <c r="P781" s="92">
        <f>IF(E781&lt;=G772,P780*(1+H781),0)</f>
        <v>0</v>
      </c>
      <c r="Q781" s="126">
        <v>5</v>
      </c>
    </row>
    <row r="782" spans="3:17" x14ac:dyDescent="0.55000000000000004">
      <c r="C782" s="124"/>
      <c r="D782" s="124"/>
      <c r="E782" s="89">
        <f t="shared" si="89"/>
        <v>6</v>
      </c>
      <c r="F782" s="91">
        <f t="shared" si="90"/>
        <v>0.01</v>
      </c>
      <c r="G782" s="86"/>
      <c r="H782" s="61"/>
      <c r="I782" s="13"/>
      <c r="J782" s="90">
        <f t="shared" ca="1" si="92"/>
        <v>0</v>
      </c>
      <c r="K782" s="26">
        <f t="shared" ca="1" si="91"/>
        <v>0</v>
      </c>
      <c r="L782" s="125"/>
      <c r="M782" s="125"/>
      <c r="N782" s="157"/>
      <c r="O782" s="92">
        <f t="shared" si="93"/>
        <v>1</v>
      </c>
      <c r="P782" s="92">
        <f>IF(E782&lt;=G772,P781*(1+H782),0)</f>
        <v>0</v>
      </c>
      <c r="Q782" s="126">
        <v>6</v>
      </c>
    </row>
    <row r="783" spans="3:17" x14ac:dyDescent="0.55000000000000004">
      <c r="C783" s="124"/>
      <c r="D783" s="124"/>
      <c r="E783" s="89">
        <f t="shared" si="89"/>
        <v>7</v>
      </c>
      <c r="F783" s="91">
        <f t="shared" si="90"/>
        <v>0.01</v>
      </c>
      <c r="G783" s="87"/>
      <c r="H783" s="61"/>
      <c r="I783" s="13"/>
      <c r="J783" s="90">
        <f t="shared" ca="1" si="92"/>
        <v>0</v>
      </c>
      <c r="K783" s="26">
        <f t="shared" ca="1" si="91"/>
        <v>0</v>
      </c>
      <c r="L783" s="125"/>
      <c r="M783" s="125"/>
      <c r="N783" s="157"/>
      <c r="O783" s="92">
        <f t="shared" si="93"/>
        <v>1</v>
      </c>
      <c r="P783" s="92">
        <f>IF(E783&lt;=G772,P782*(1+H783),0)</f>
        <v>0</v>
      </c>
      <c r="Q783" s="126">
        <v>7</v>
      </c>
    </row>
    <row r="784" spans="3:17" x14ac:dyDescent="0.55000000000000004">
      <c r="C784" s="124"/>
      <c r="D784" s="124"/>
      <c r="E784" s="89">
        <f t="shared" si="89"/>
        <v>8</v>
      </c>
      <c r="F784" s="91">
        <f t="shared" si="90"/>
        <v>0.01</v>
      </c>
      <c r="G784" s="87"/>
      <c r="H784" s="61"/>
      <c r="I784" s="13"/>
      <c r="J784" s="90">
        <f t="shared" ca="1" si="92"/>
        <v>0</v>
      </c>
      <c r="K784" s="26">
        <f t="shared" ca="1" si="91"/>
        <v>0</v>
      </c>
      <c r="L784" s="125"/>
      <c r="M784" s="125"/>
      <c r="N784" s="157"/>
      <c r="O784" s="92">
        <f t="shared" si="93"/>
        <v>1</v>
      </c>
      <c r="P784" s="92">
        <f>IF(E784&lt;=G772,P783*(1+H784),0)</f>
        <v>0</v>
      </c>
      <c r="Q784" s="126">
        <v>8</v>
      </c>
    </row>
    <row r="785" spans="3:17" x14ac:dyDescent="0.55000000000000004">
      <c r="C785" s="124"/>
      <c r="D785" s="124"/>
      <c r="E785" s="89">
        <f t="shared" si="89"/>
        <v>9</v>
      </c>
      <c r="F785" s="91">
        <f t="shared" si="90"/>
        <v>0.01</v>
      </c>
      <c r="G785" s="87"/>
      <c r="H785" s="61"/>
      <c r="I785" s="13"/>
      <c r="J785" s="90">
        <f t="shared" ca="1" si="92"/>
        <v>0</v>
      </c>
      <c r="K785" s="26">
        <f t="shared" ca="1" si="91"/>
        <v>0</v>
      </c>
      <c r="L785" s="125"/>
      <c r="M785" s="125"/>
      <c r="N785" s="157"/>
      <c r="O785" s="92">
        <f t="shared" si="93"/>
        <v>1</v>
      </c>
      <c r="P785" s="92">
        <f>IF(E785&lt;=G772,P784*(1+H785),0)</f>
        <v>0</v>
      </c>
      <c r="Q785" s="126">
        <v>9</v>
      </c>
    </row>
    <row r="786" spans="3:17" x14ac:dyDescent="0.55000000000000004">
      <c r="C786" s="124"/>
      <c r="D786" s="124"/>
      <c r="E786" s="89">
        <f t="shared" si="89"/>
        <v>10</v>
      </c>
      <c r="F786" s="91">
        <f t="shared" si="90"/>
        <v>0.01</v>
      </c>
      <c r="G786" s="148" t="s">
        <v>84</v>
      </c>
      <c r="H786" s="50"/>
      <c r="I786" s="88"/>
      <c r="J786" s="90">
        <f t="shared" ca="1" si="92"/>
        <v>0</v>
      </c>
      <c r="K786" s="26">
        <f t="shared" ca="1" si="91"/>
        <v>0</v>
      </c>
      <c r="L786" s="125"/>
      <c r="M786" s="125"/>
      <c r="N786" s="157"/>
      <c r="O786" s="92">
        <f t="shared" si="93"/>
        <v>1</v>
      </c>
      <c r="P786" s="92">
        <f>IF(E786&lt;=G772,P785*(1+H786),0)</f>
        <v>0</v>
      </c>
      <c r="Q786" s="126">
        <v>10</v>
      </c>
    </row>
    <row r="787" spans="3:17" ht="14.7" thickBot="1" x14ac:dyDescent="0.6">
      <c r="C787" s="124"/>
      <c r="D787" s="130"/>
      <c r="E787" s="149"/>
      <c r="F787" s="150"/>
      <c r="G787" s="149"/>
      <c r="H787" s="151"/>
      <c r="I787" s="152"/>
      <c r="J787" s="153"/>
      <c r="K787" s="131"/>
      <c r="L787" s="154"/>
      <c r="M787" s="125"/>
      <c r="O787" s="126"/>
      <c r="P787" s="126"/>
      <c r="Q787" s="126"/>
    </row>
    <row r="788" spans="3:17" ht="14.7" thickBot="1" x14ac:dyDescent="0.6">
      <c r="C788" s="130"/>
      <c r="D788" s="131"/>
      <c r="E788" s="131"/>
      <c r="F788" s="131"/>
      <c r="G788" s="131"/>
      <c r="H788" s="131"/>
      <c r="I788" s="131"/>
      <c r="J788" s="131"/>
      <c r="K788" s="131"/>
      <c r="L788" s="131"/>
      <c r="M788" s="132"/>
      <c r="O788" s="126"/>
      <c r="P788" s="126"/>
      <c r="Q788" s="126"/>
    </row>
    <row r="789" spans="3:17" ht="14.7" thickBot="1" x14ac:dyDescent="0.6">
      <c r="O789" s="126"/>
      <c r="P789" s="126"/>
      <c r="Q789" s="126"/>
    </row>
    <row r="790" spans="3:17" x14ac:dyDescent="0.55000000000000004">
      <c r="C790" s="121"/>
      <c r="D790" s="122"/>
      <c r="E790" s="122"/>
      <c r="F790" s="122"/>
      <c r="G790" s="122"/>
      <c r="H790" s="122"/>
      <c r="I790" s="122"/>
      <c r="J790" s="122"/>
      <c r="K790" s="122"/>
      <c r="L790" s="122"/>
      <c r="M790" s="123"/>
      <c r="O790" s="126"/>
      <c r="P790" s="126"/>
      <c r="Q790" s="126"/>
    </row>
    <row r="791" spans="3:17" ht="18.3" x14ac:dyDescent="0.7">
      <c r="C791" s="124"/>
      <c r="D791" s="1822">
        <f>'2 Customer data'!D40</f>
        <v>0</v>
      </c>
      <c r="E791" s="1822"/>
      <c r="F791" s="1822"/>
      <c r="G791" s="1822"/>
      <c r="H791" s="1822"/>
      <c r="I791" s="1822"/>
      <c r="J791" s="1822"/>
      <c r="K791" s="1822"/>
      <c r="L791" s="1822"/>
      <c r="M791" s="125"/>
      <c r="O791" s="126"/>
      <c r="P791" s="126"/>
      <c r="Q791" s="126"/>
    </row>
    <row r="792" spans="3:17" ht="14.7" thickBot="1" x14ac:dyDescent="0.6">
      <c r="C792" s="124"/>
      <c r="E792" s="1"/>
      <c r="M792" s="125"/>
      <c r="O792" s="126"/>
      <c r="P792" s="126"/>
      <c r="Q792" s="126"/>
    </row>
    <row r="793" spans="3:17" x14ac:dyDescent="0.55000000000000004">
      <c r="C793" s="124"/>
      <c r="D793" s="121"/>
      <c r="E793" s="122"/>
      <c r="F793" s="122"/>
      <c r="G793" s="122"/>
      <c r="H793" s="122"/>
      <c r="I793" s="122"/>
      <c r="J793" s="122"/>
      <c r="K793" s="122"/>
      <c r="L793" s="123"/>
      <c r="M793" s="125"/>
      <c r="O793" s="126"/>
      <c r="P793" s="126"/>
      <c r="Q793" s="126"/>
    </row>
    <row r="794" spans="3:17" x14ac:dyDescent="0.55000000000000004">
      <c r="C794" s="124"/>
      <c r="D794" s="124"/>
      <c r="E794" s="1" t="str">
        <f>'2 Customer data'!D40&amp;" "&amp;"information"</f>
        <v xml:space="preserve"> information</v>
      </c>
      <c r="L794" s="125"/>
      <c r="M794" s="125"/>
      <c r="O794" s="126"/>
      <c r="P794" s="126"/>
      <c r="Q794" s="126"/>
    </row>
    <row r="795" spans="3:17" x14ac:dyDescent="0.55000000000000004">
      <c r="C795" s="124"/>
      <c r="D795" s="124"/>
      <c r="E795" s="127"/>
      <c r="L795" s="125"/>
      <c r="M795" s="125"/>
      <c r="O795" s="126"/>
      <c r="P795" s="126"/>
      <c r="Q795" s="126"/>
    </row>
    <row r="796" spans="3:17" ht="28.8" x14ac:dyDescent="0.55000000000000004">
      <c r="C796" s="124"/>
      <c r="D796" s="124"/>
      <c r="E796" s="128"/>
      <c r="F796" s="56" t="s">
        <v>28</v>
      </c>
      <c r="G796" s="129" t="s">
        <v>278</v>
      </c>
      <c r="H796" s="129" t="s">
        <v>69</v>
      </c>
      <c r="I796" s="129" t="s">
        <v>70</v>
      </c>
      <c r="J796" s="56" t="s">
        <v>71</v>
      </c>
      <c r="L796" s="125"/>
      <c r="M796" s="125"/>
      <c r="O796" s="126"/>
      <c r="P796" s="126"/>
      <c r="Q796" s="126"/>
    </row>
    <row r="797" spans="3:17" x14ac:dyDescent="0.55000000000000004">
      <c r="C797" s="124"/>
      <c r="D797" s="124"/>
      <c r="E797">
        <f>'2 Customer data'!D40</f>
        <v>0</v>
      </c>
      <c r="F797" s="26">
        <f>IFERROR(IF(VLOOKUP(E797,'2 Customer data'!$D$21:$L$40,6,FALSE)="",VLOOKUP(E797,'2 Customer data'!$D$21:$L$40,5,FALSE),VLOOKUP(E797,'2 Customer data'!$D$21:$L$40,6,FALSE)),0)</f>
        <v>0</v>
      </c>
      <c r="G797" s="26">
        <f>IFERROR(IF(VLOOKUP(E797,'2 Customer data'!$D$21:$K$40,8,FALSE)="",VLOOKUP(E797,'2 Customer data'!$D$21:$K$40,7,FALSE),VLOOKUP(E797,'2 Customer data'!$D$21:$K$40,8,FALSE)),0)</f>
        <v>0</v>
      </c>
      <c r="H797" s="26">
        <f ca="1">VLOOKUP(E797,'2 Water'!$D$19:$J$38,5,FALSE)</f>
        <v>0</v>
      </c>
      <c r="I797" s="26">
        <f ca="1">VLOOKUP(E797,'2 Water'!$D$19:$J$38,6,FALSE)</f>
        <v>0</v>
      </c>
      <c r="J797" s="26">
        <f ca="1">IFERROR(VLOOKUP(E797,'2 Water'!$D$158:$K$177,8,FALSE),0)</f>
        <v>0</v>
      </c>
      <c r="L797" s="125"/>
      <c r="M797" s="125"/>
      <c r="O797" s="126"/>
      <c r="P797" s="126"/>
      <c r="Q797" s="126"/>
    </row>
    <row r="798" spans="3:17" ht="14.7" thickBot="1" x14ac:dyDescent="0.6">
      <c r="C798" s="124"/>
      <c r="D798" s="130"/>
      <c r="E798" s="131"/>
      <c r="F798" s="131"/>
      <c r="G798" s="131"/>
      <c r="H798" s="131"/>
      <c r="I798" s="131"/>
      <c r="J798" s="131"/>
      <c r="K798" s="131"/>
      <c r="L798" s="132"/>
      <c r="M798" s="125"/>
      <c r="O798" s="126"/>
      <c r="P798" s="126"/>
      <c r="Q798" s="126"/>
    </row>
    <row r="799" spans="3:17" ht="14.7" thickBot="1" x14ac:dyDescent="0.6">
      <c r="C799" s="124"/>
      <c r="M799" s="125"/>
      <c r="O799" s="126"/>
      <c r="P799" s="126"/>
      <c r="Q799" s="126"/>
    </row>
    <row r="800" spans="3:17" x14ac:dyDescent="0.55000000000000004">
      <c r="C800" s="124"/>
      <c r="D800" s="121"/>
      <c r="E800" s="122"/>
      <c r="F800" s="122"/>
      <c r="G800" s="122"/>
      <c r="H800" s="122"/>
      <c r="I800" s="122"/>
      <c r="J800" s="122"/>
      <c r="K800" s="122"/>
      <c r="L800" s="123"/>
      <c r="M800" s="125"/>
      <c r="O800" s="126"/>
      <c r="P800" s="126"/>
      <c r="Q800" s="126"/>
    </row>
    <row r="801" spans="3:17" x14ac:dyDescent="0.55000000000000004">
      <c r="C801" s="124"/>
      <c r="D801" s="124"/>
      <c r="E801" s="1" t="s">
        <v>72</v>
      </c>
      <c r="L801" s="125"/>
      <c r="M801" s="125"/>
      <c r="O801" s="126"/>
      <c r="P801" s="126"/>
      <c r="Q801" s="126"/>
    </row>
    <row r="802" spans="3:17" x14ac:dyDescent="0.55000000000000004">
      <c r="C802" s="124"/>
      <c r="D802" s="124"/>
      <c r="E802" s="120" t="s">
        <v>555</v>
      </c>
      <c r="L802" s="125"/>
      <c r="M802" s="125"/>
      <c r="O802" s="126"/>
      <c r="P802" s="126"/>
      <c r="Q802" s="126"/>
    </row>
    <row r="803" spans="3:17" x14ac:dyDescent="0.55000000000000004">
      <c r="C803" s="124"/>
      <c r="D803" s="124"/>
      <c r="E803" s="127"/>
      <c r="L803" s="125"/>
      <c r="M803" s="125"/>
      <c r="O803" s="126"/>
      <c r="P803" s="126"/>
      <c r="Q803" s="126"/>
    </row>
    <row r="804" spans="3:17" ht="28.8" x14ac:dyDescent="0.55000000000000004">
      <c r="C804" s="124"/>
      <c r="D804" s="124"/>
      <c r="F804" s="56" t="s">
        <v>86</v>
      </c>
      <c r="G804" s="56" t="s">
        <v>73</v>
      </c>
      <c r="H804" s="56" t="s">
        <v>74</v>
      </c>
      <c r="I804" s="56" t="s">
        <v>75</v>
      </c>
      <c r="J804" s="56" t="s">
        <v>76</v>
      </c>
      <c r="L804" s="125"/>
      <c r="M804" s="125"/>
      <c r="O804" s="126"/>
      <c r="P804" s="126"/>
      <c r="Q804" s="126"/>
    </row>
    <row r="805" spans="3:17" x14ac:dyDescent="0.55000000000000004">
      <c r="C805" s="124"/>
      <c r="D805" s="124"/>
      <c r="E805">
        <f>E797</f>
        <v>0</v>
      </c>
      <c r="F805" s="26">
        <f ca="1">H797</f>
        <v>0</v>
      </c>
      <c r="G805" s="64">
        <f ca="1">IFERROR(F805/F797/12,0)</f>
        <v>0</v>
      </c>
      <c r="H805" s="84"/>
      <c r="I805" s="26">
        <f>H805*F797*12</f>
        <v>0</v>
      </c>
      <c r="J805" s="21">
        <f>IFERROR(I805/12,0)</f>
        <v>0</v>
      </c>
      <c r="L805" s="125"/>
      <c r="M805" s="125"/>
      <c r="O805" s="126"/>
      <c r="P805" s="126"/>
      <c r="Q805" s="126"/>
    </row>
    <row r="806" spans="3:17" x14ac:dyDescent="0.55000000000000004">
      <c r="C806" s="124"/>
      <c r="D806" s="124"/>
      <c r="E806" s="133"/>
      <c r="F806" s="58" t="str">
        <f ca="1">IF(I805&gt;J797,"Error: revenue from fixed charges exceeds total revenue required from tariff. Reduce fixed charge.","")</f>
        <v/>
      </c>
      <c r="G806" s="134"/>
      <c r="H806" s="134"/>
      <c r="I806" s="134"/>
      <c r="J806" s="135"/>
      <c r="L806" s="125"/>
      <c r="M806" s="125"/>
      <c r="O806" s="126"/>
      <c r="P806" s="126"/>
      <c r="Q806" s="126"/>
    </row>
    <row r="807" spans="3:17" ht="14.7" thickBot="1" x14ac:dyDescent="0.6">
      <c r="C807" s="124"/>
      <c r="D807" s="130"/>
      <c r="E807" s="131"/>
      <c r="F807" s="131"/>
      <c r="G807" s="131"/>
      <c r="H807" s="131"/>
      <c r="I807" s="131"/>
      <c r="J807" s="131"/>
      <c r="K807" s="131"/>
      <c r="L807" s="132"/>
      <c r="M807" s="125"/>
      <c r="O807" s="126"/>
      <c r="P807" s="126"/>
      <c r="Q807" s="126"/>
    </row>
    <row r="808" spans="3:17" ht="14.7" thickBot="1" x14ac:dyDescent="0.6">
      <c r="C808" s="124"/>
      <c r="M808" s="125"/>
      <c r="O808" s="126"/>
      <c r="P808" s="126"/>
      <c r="Q808" s="126"/>
    </row>
    <row r="809" spans="3:17" x14ac:dyDescent="0.55000000000000004">
      <c r="C809" s="124"/>
      <c r="D809" s="121"/>
      <c r="E809" s="122"/>
      <c r="F809" s="122"/>
      <c r="G809" s="122"/>
      <c r="H809" s="122"/>
      <c r="I809" s="122"/>
      <c r="J809" s="122"/>
      <c r="K809" s="122"/>
      <c r="L809" s="123"/>
      <c r="M809" s="125"/>
      <c r="O809" s="126"/>
      <c r="P809" s="126"/>
      <c r="Q809" s="126"/>
    </row>
    <row r="810" spans="3:17" x14ac:dyDescent="0.55000000000000004">
      <c r="C810" s="124"/>
      <c r="D810" s="124"/>
      <c r="E810" s="1" t="s">
        <v>96</v>
      </c>
      <c r="L810" s="125"/>
      <c r="M810" s="125"/>
      <c r="O810" s="126"/>
      <c r="P810" s="126"/>
      <c r="Q810" s="126"/>
    </row>
    <row r="811" spans="3:17" ht="14.55" customHeight="1" x14ac:dyDescent="0.55000000000000004">
      <c r="C811" s="124"/>
      <c r="D811" s="124"/>
      <c r="E811" s="1804" t="s">
        <v>175</v>
      </c>
      <c r="F811" s="1804"/>
      <c r="G811" s="1804"/>
      <c r="H811" s="1804"/>
      <c r="I811" s="1804"/>
      <c r="J811" s="1804"/>
      <c r="K811" s="1804"/>
      <c r="L811" s="136"/>
      <c r="M811" s="136"/>
      <c r="O811" s="126"/>
      <c r="P811" s="126"/>
      <c r="Q811" s="126"/>
    </row>
    <row r="812" spans="3:17" x14ac:dyDescent="0.55000000000000004">
      <c r="C812" s="124"/>
      <c r="D812" s="124"/>
      <c r="E812" s="1804"/>
      <c r="F812" s="1804"/>
      <c r="G812" s="1804"/>
      <c r="H812" s="1804"/>
      <c r="I812" s="1804"/>
      <c r="J812" s="1804"/>
      <c r="K812" s="1804"/>
      <c r="L812" s="136"/>
      <c r="M812" s="136"/>
      <c r="O812" s="126"/>
      <c r="P812" s="126"/>
      <c r="Q812" s="126"/>
    </row>
    <row r="813" spans="3:17" x14ac:dyDescent="0.55000000000000004">
      <c r="C813" s="124"/>
      <c r="D813" s="124"/>
      <c r="L813" s="125"/>
      <c r="M813" s="125"/>
      <c r="O813" s="126"/>
      <c r="P813" s="126"/>
      <c r="Q813" s="126"/>
    </row>
    <row r="814" spans="3:17" x14ac:dyDescent="0.55000000000000004">
      <c r="C814" s="124"/>
      <c r="D814" s="124"/>
      <c r="E814" t="s">
        <v>77</v>
      </c>
      <c r="F814" s="126"/>
      <c r="G814" s="50">
        <v>3</v>
      </c>
      <c r="L814" s="125"/>
      <c r="M814" s="125"/>
      <c r="O814" s="126"/>
      <c r="P814" s="126"/>
      <c r="Q814" s="126"/>
    </row>
    <row r="815" spans="3:17" x14ac:dyDescent="0.55000000000000004">
      <c r="C815" s="124"/>
      <c r="D815" s="124"/>
      <c r="E815" s="10" t="s">
        <v>612</v>
      </c>
      <c r="F815" s="133"/>
      <c r="G815" s="159" t="s">
        <v>613</v>
      </c>
      <c r="L815" s="125"/>
      <c r="M815" s="125"/>
      <c r="O815" s="126"/>
      <c r="P815" s="126"/>
      <c r="Q815" s="126"/>
    </row>
    <row r="816" spans="3:17" x14ac:dyDescent="0.55000000000000004">
      <c r="C816" s="124"/>
      <c r="D816" s="124"/>
      <c r="L816" s="125"/>
      <c r="M816" s="125"/>
      <c r="O816" s="126"/>
      <c r="P816" s="126"/>
      <c r="Q816" s="126"/>
    </row>
    <row r="817" spans="3:17" ht="28.8" x14ac:dyDescent="0.55000000000000004">
      <c r="C817" s="124"/>
      <c r="D817" s="124"/>
      <c r="E817" s="129" t="s">
        <v>78</v>
      </c>
      <c r="F817" s="129" t="s">
        <v>79</v>
      </c>
      <c r="G817" s="139" t="s">
        <v>80</v>
      </c>
      <c r="H817" s="129" t="s">
        <v>333</v>
      </c>
      <c r="I817" s="56" t="s">
        <v>82</v>
      </c>
      <c r="J817" s="129" t="s">
        <v>81</v>
      </c>
      <c r="K817" s="56" t="s">
        <v>83</v>
      </c>
      <c r="L817" s="125"/>
      <c r="M817" s="125"/>
      <c r="N817" s="155"/>
      <c r="O817" s="126" t="s">
        <v>614</v>
      </c>
      <c r="P817" s="126" t="s">
        <v>615</v>
      </c>
      <c r="Q817" s="126"/>
    </row>
    <row r="818" spans="3:17" x14ac:dyDescent="0.55000000000000004">
      <c r="C818" s="124"/>
      <c r="D818" s="124"/>
      <c r="E818" s="89">
        <f>IF($G$814=Q818,Q818,1)</f>
        <v>1</v>
      </c>
      <c r="F818" s="91">
        <v>0</v>
      </c>
      <c r="G818" s="85"/>
      <c r="H818" s="63"/>
      <c r="I818" s="31">
        <f>G797-SUMIF(E819:E827,"&lt;="&amp;$G$814,I819:I827)</f>
        <v>0</v>
      </c>
      <c r="J818" s="114">
        <f>IFERROR(IF(E818&lt;=G814,IF(G815="No",IF(I805=0,J797/SUMPRODUCT(O818:O827,I818:I827),(J797-I805)/SUMPRODUCT(O818:O827,I818:I827)),0),0),0)</f>
        <v>0</v>
      </c>
      <c r="K818" s="26">
        <f>IFERROR(J818*I818,0)</f>
        <v>0</v>
      </c>
      <c r="L818" s="125"/>
      <c r="M818" s="125"/>
      <c r="N818" s="158"/>
      <c r="O818" s="92">
        <f>IF(E818&lt;=$G$814,1,0)</f>
        <v>1</v>
      </c>
      <c r="P818" s="126"/>
      <c r="Q818" s="126">
        <v>1</v>
      </c>
    </row>
    <row r="819" spans="3:17" x14ac:dyDescent="0.55000000000000004">
      <c r="C819" s="124"/>
      <c r="D819" s="124"/>
      <c r="E819" s="89">
        <f t="shared" ref="E819:E827" si="94">IF($G$814&gt;=Q819,Q819,"")</f>
        <v>2</v>
      </c>
      <c r="F819" s="91">
        <f t="shared" ref="F819:F827" si="95">IF($G$814&gt;=E819,G818+0.01,"")</f>
        <v>0.01</v>
      </c>
      <c r="G819" s="85"/>
      <c r="H819" s="61"/>
      <c r="I819" s="13"/>
      <c r="J819" s="114">
        <f ca="1">IFERROR(IF(E819&lt;=G814,IF(G815="No",J818*(1+H819),IF(I805=0,J797/SUMPRODUCT(P819:P827,I819:I827),(J797-I805)/SUMPRODUCT(P819:P827,I819:I827))),0),0)</f>
        <v>0</v>
      </c>
      <c r="K819" s="26">
        <f t="shared" ref="K819:K827" ca="1" si="96">IFERROR(J819*I819,0)</f>
        <v>0</v>
      </c>
      <c r="L819" s="125"/>
      <c r="M819" s="125"/>
      <c r="N819" s="158"/>
      <c r="O819" s="92">
        <f>IF(E819&lt;=$G$814,(1+H819),0)</f>
        <v>1</v>
      </c>
      <c r="P819" s="92">
        <f>IF(E819&lt;=G813,1,0)</f>
        <v>0</v>
      </c>
      <c r="Q819" s="126">
        <v>2</v>
      </c>
    </row>
    <row r="820" spans="3:17" x14ac:dyDescent="0.55000000000000004">
      <c r="C820" s="124"/>
      <c r="D820" s="124"/>
      <c r="E820" s="89">
        <f t="shared" si="94"/>
        <v>3</v>
      </c>
      <c r="F820" s="91">
        <f t="shared" si="95"/>
        <v>0.01</v>
      </c>
      <c r="G820" s="85"/>
      <c r="H820" s="61"/>
      <c r="I820" s="13"/>
      <c r="J820" s="90">
        <f t="shared" ref="J820:J827" ca="1" si="97">IF(E820&lt;=$G$814,J819*(1+H820),0)</f>
        <v>0</v>
      </c>
      <c r="K820" s="26">
        <f t="shared" ca="1" si="96"/>
        <v>0</v>
      </c>
      <c r="L820" s="125"/>
      <c r="M820" s="125"/>
      <c r="N820" s="158"/>
      <c r="O820" s="92">
        <f t="shared" ref="O820:O827" si="98">IF(E820&lt;=$G$814,O819*(1+H820),0)</f>
        <v>1</v>
      </c>
      <c r="P820" s="92">
        <f>IF(E820&lt;=G813,P819*(1+H820),0)</f>
        <v>0</v>
      </c>
      <c r="Q820" s="126">
        <v>3</v>
      </c>
    </row>
    <row r="821" spans="3:17" x14ac:dyDescent="0.55000000000000004">
      <c r="C821" s="124"/>
      <c r="D821" s="124"/>
      <c r="E821" s="89" t="str">
        <f t="shared" si="94"/>
        <v/>
      </c>
      <c r="F821" s="91" t="str">
        <f t="shared" si="95"/>
        <v/>
      </c>
      <c r="G821" s="85"/>
      <c r="H821" s="61"/>
      <c r="I821" s="13"/>
      <c r="J821" s="90">
        <f t="shared" si="97"/>
        <v>0</v>
      </c>
      <c r="K821" s="26">
        <f t="shared" si="96"/>
        <v>0</v>
      </c>
      <c r="L821" s="125"/>
      <c r="M821" s="125"/>
      <c r="N821" s="158"/>
      <c r="O821" s="92">
        <f t="shared" si="98"/>
        <v>0</v>
      </c>
      <c r="P821" s="92">
        <f>IF(E821&lt;=G813,P820*(1+H821),0)</f>
        <v>0</v>
      </c>
      <c r="Q821" s="126">
        <v>4</v>
      </c>
    </row>
    <row r="822" spans="3:17" x14ac:dyDescent="0.55000000000000004">
      <c r="C822" s="124"/>
      <c r="D822" s="124"/>
      <c r="E822" s="89" t="str">
        <f t="shared" si="94"/>
        <v/>
      </c>
      <c r="F822" s="91" t="str">
        <f t="shared" si="95"/>
        <v/>
      </c>
      <c r="G822" s="85"/>
      <c r="H822" s="61"/>
      <c r="I822" s="13"/>
      <c r="J822" s="90">
        <f t="shared" si="97"/>
        <v>0</v>
      </c>
      <c r="K822" s="26">
        <f t="shared" si="96"/>
        <v>0</v>
      </c>
      <c r="L822" s="125"/>
      <c r="M822" s="125"/>
      <c r="N822" s="158"/>
      <c r="O822" s="92">
        <f t="shared" si="98"/>
        <v>0</v>
      </c>
      <c r="P822" s="92">
        <f>IF(E822&lt;=G813,P821*(1+H822),0)</f>
        <v>0</v>
      </c>
      <c r="Q822" s="126">
        <v>5</v>
      </c>
    </row>
    <row r="823" spans="3:17" x14ac:dyDescent="0.55000000000000004">
      <c r="C823" s="124"/>
      <c r="D823" s="124"/>
      <c r="E823" s="89" t="str">
        <f t="shared" si="94"/>
        <v/>
      </c>
      <c r="F823" s="91" t="str">
        <f t="shared" si="95"/>
        <v/>
      </c>
      <c r="G823" s="86"/>
      <c r="H823" s="61"/>
      <c r="I823" s="13"/>
      <c r="J823" s="90">
        <f t="shared" si="97"/>
        <v>0</v>
      </c>
      <c r="K823" s="26">
        <f t="shared" si="96"/>
        <v>0</v>
      </c>
      <c r="L823" s="125"/>
      <c r="M823" s="125"/>
      <c r="N823" s="158"/>
      <c r="O823" s="92">
        <f t="shared" si="98"/>
        <v>0</v>
      </c>
      <c r="P823" s="92">
        <f>IF(E823&lt;=G813,P822*(1+H823),0)</f>
        <v>0</v>
      </c>
      <c r="Q823" s="126">
        <v>6</v>
      </c>
    </row>
    <row r="824" spans="3:17" x14ac:dyDescent="0.55000000000000004">
      <c r="C824" s="124"/>
      <c r="D824" s="124"/>
      <c r="E824" s="89" t="str">
        <f t="shared" si="94"/>
        <v/>
      </c>
      <c r="F824" s="91" t="str">
        <f t="shared" si="95"/>
        <v/>
      </c>
      <c r="G824" s="87"/>
      <c r="H824" s="61"/>
      <c r="I824" s="13"/>
      <c r="J824" s="90">
        <f t="shared" si="97"/>
        <v>0</v>
      </c>
      <c r="K824" s="26">
        <f t="shared" si="96"/>
        <v>0</v>
      </c>
      <c r="L824" s="125"/>
      <c r="M824" s="125"/>
      <c r="N824" s="158"/>
      <c r="O824" s="92">
        <f t="shared" si="98"/>
        <v>0</v>
      </c>
      <c r="P824" s="92">
        <f>IF(E824&lt;=G813,P823*(1+H824),0)</f>
        <v>0</v>
      </c>
      <c r="Q824" s="126">
        <v>7</v>
      </c>
    </row>
    <row r="825" spans="3:17" x14ac:dyDescent="0.55000000000000004">
      <c r="C825" s="124"/>
      <c r="D825" s="124"/>
      <c r="E825" s="89" t="str">
        <f t="shared" si="94"/>
        <v/>
      </c>
      <c r="F825" s="91" t="str">
        <f t="shared" si="95"/>
        <v/>
      </c>
      <c r="G825" s="87"/>
      <c r="H825" s="61"/>
      <c r="I825" s="13"/>
      <c r="J825" s="90">
        <f t="shared" si="97"/>
        <v>0</v>
      </c>
      <c r="K825" s="26">
        <f t="shared" si="96"/>
        <v>0</v>
      </c>
      <c r="L825" s="125"/>
      <c r="M825" s="125"/>
      <c r="N825" s="158"/>
      <c r="O825" s="92">
        <f t="shared" si="98"/>
        <v>0</v>
      </c>
      <c r="P825" s="92">
        <f>IF(E825&lt;=G813,P824*(1+H825),0)</f>
        <v>0</v>
      </c>
      <c r="Q825" s="126">
        <v>8</v>
      </c>
    </row>
    <row r="826" spans="3:17" x14ac:dyDescent="0.55000000000000004">
      <c r="C826" s="124"/>
      <c r="D826" s="124"/>
      <c r="E826" s="89" t="str">
        <f t="shared" si="94"/>
        <v/>
      </c>
      <c r="F826" s="91" t="str">
        <f t="shared" si="95"/>
        <v/>
      </c>
      <c r="G826" s="87"/>
      <c r="H826" s="61"/>
      <c r="I826" s="13"/>
      <c r="J826" s="90">
        <f t="shared" si="97"/>
        <v>0</v>
      </c>
      <c r="K826" s="26">
        <f t="shared" si="96"/>
        <v>0</v>
      </c>
      <c r="L826" s="125"/>
      <c r="M826" s="125"/>
      <c r="N826" s="158"/>
      <c r="O826" s="92">
        <f t="shared" si="98"/>
        <v>0</v>
      </c>
      <c r="P826" s="92">
        <f>IF(E826&lt;=G813,P825*(1+H826),0)</f>
        <v>0</v>
      </c>
      <c r="Q826" s="126">
        <v>9</v>
      </c>
    </row>
    <row r="827" spans="3:17" x14ac:dyDescent="0.55000000000000004">
      <c r="C827" s="124"/>
      <c r="D827" s="124"/>
      <c r="E827" s="89" t="str">
        <f t="shared" si="94"/>
        <v/>
      </c>
      <c r="F827" s="91" t="str">
        <f t="shared" si="95"/>
        <v/>
      </c>
      <c r="G827" s="148" t="s">
        <v>84</v>
      </c>
      <c r="H827" s="50"/>
      <c r="I827" s="88"/>
      <c r="J827" s="90">
        <f t="shared" si="97"/>
        <v>0</v>
      </c>
      <c r="K827" s="26">
        <f t="shared" si="96"/>
        <v>0</v>
      </c>
      <c r="L827" s="125"/>
      <c r="M827" s="125"/>
      <c r="N827" s="158"/>
      <c r="O827" s="92">
        <f t="shared" si="98"/>
        <v>0</v>
      </c>
      <c r="P827" s="92">
        <f>IF(E827&lt;=G813,P826*(1+H827),0)</f>
        <v>0</v>
      </c>
      <c r="Q827" s="126">
        <v>10</v>
      </c>
    </row>
    <row r="828" spans="3:17" ht="14.7" thickBot="1" x14ac:dyDescent="0.6">
      <c r="C828" s="124"/>
      <c r="D828" s="130"/>
      <c r="E828" s="149"/>
      <c r="F828" s="150"/>
      <c r="G828" s="149"/>
      <c r="H828" s="151"/>
      <c r="I828" s="152"/>
      <c r="J828" s="153"/>
      <c r="K828" s="131"/>
      <c r="L828" s="154"/>
      <c r="M828" s="125"/>
    </row>
    <row r="829" spans="3:17" ht="14.7" thickBot="1" x14ac:dyDescent="0.6">
      <c r="C829" s="130"/>
      <c r="D829" s="131"/>
      <c r="E829" s="131"/>
      <c r="F829" s="131"/>
      <c r="G829" s="131"/>
      <c r="H829" s="131"/>
      <c r="I829" s="131"/>
      <c r="J829" s="131"/>
      <c r="K829" s="131"/>
      <c r="L829" s="131"/>
      <c r="M829" s="132"/>
    </row>
  </sheetData>
  <mergeCells count="43">
    <mergeCell ref="G1:G2"/>
    <mergeCell ref="I1:I2"/>
    <mergeCell ref="E196:K197"/>
    <mergeCell ref="D135:L135"/>
    <mergeCell ref="D176:L176"/>
    <mergeCell ref="D94:L94"/>
    <mergeCell ref="E32:K33"/>
    <mergeCell ref="C7:M9"/>
    <mergeCell ref="E73:K74"/>
    <mergeCell ref="D12:L12"/>
    <mergeCell ref="D53:L53"/>
    <mergeCell ref="E114:K115"/>
    <mergeCell ref="E155:K156"/>
    <mergeCell ref="E401:K402"/>
    <mergeCell ref="D258:L258"/>
    <mergeCell ref="D299:L299"/>
    <mergeCell ref="D340:L340"/>
    <mergeCell ref="D381:L381"/>
    <mergeCell ref="D217:L217"/>
    <mergeCell ref="E237:K238"/>
    <mergeCell ref="E278:K279"/>
    <mergeCell ref="E319:K320"/>
    <mergeCell ref="E360:K361"/>
    <mergeCell ref="E811:K812"/>
    <mergeCell ref="E524:K525"/>
    <mergeCell ref="E565:K566"/>
    <mergeCell ref="E606:K607"/>
    <mergeCell ref="E647:K648"/>
    <mergeCell ref="E688:K689"/>
    <mergeCell ref="E729:K730"/>
    <mergeCell ref="D545:L545"/>
    <mergeCell ref="D586:L586"/>
    <mergeCell ref="E770:K771"/>
    <mergeCell ref="D668:L668"/>
    <mergeCell ref="D709:L709"/>
    <mergeCell ref="D750:L750"/>
    <mergeCell ref="D791:L791"/>
    <mergeCell ref="D627:L627"/>
    <mergeCell ref="D504:L504"/>
    <mergeCell ref="E483:K484"/>
    <mergeCell ref="D463:L463"/>
    <mergeCell ref="E442:K443"/>
    <mergeCell ref="D422:L422"/>
  </mergeCells>
  <dataValidations count="21">
    <dataValidation type="list" allowBlank="1" showInputMessage="1" showErrorMessage="1" sqref="G36 G77 G118 G159 G200 G241 G282 G323 G364 G405 G446 G487 G528 G569 G610 G651 G692 G733 G774 G815" xr:uid="{3B9DF083-8D33-40F2-AFCD-0B047CCCE386}">
      <formula1>"Yes, No"</formula1>
    </dataValidation>
    <dataValidation type="list" allowBlank="1" showInputMessage="1" showErrorMessage="1" sqref="G35" xr:uid="{D11BD36C-8674-43BB-BDCB-ADD587F383CF}">
      <formula1>$Q$39:$Q$48</formula1>
    </dataValidation>
    <dataValidation type="list" allowBlank="1" showInputMessage="1" showErrorMessage="1" sqref="G76" xr:uid="{A618BF77-5EF0-47BC-BF86-0BA87D4437A8}">
      <formula1>$Q$80:$Q$89</formula1>
    </dataValidation>
    <dataValidation type="list" allowBlank="1" showInputMessage="1" showErrorMessage="1" sqref="G117" xr:uid="{3CDD7385-AADA-4E29-BB0A-0E23C130C86D}">
      <formula1>$Q$121:$Q$130</formula1>
    </dataValidation>
    <dataValidation type="list" allowBlank="1" showInputMessage="1" showErrorMessage="1" sqref="G158" xr:uid="{90C3FAE0-5CA5-46D6-B141-FB81CB98344F}">
      <formula1>$Q$162:$Q$171</formula1>
    </dataValidation>
    <dataValidation type="list" allowBlank="1" showInputMessage="1" showErrorMessage="1" sqref="G199" xr:uid="{56AA4FB5-BF21-42E5-B9A1-315DBC36FEA5}">
      <formula1>$Q$203:$Q$212</formula1>
    </dataValidation>
    <dataValidation type="list" allowBlank="1" showInputMessage="1" showErrorMessage="1" sqref="G240" xr:uid="{957FD35D-2D1B-4363-8297-169211CB645B}">
      <formula1>$Q$244:$Q$253</formula1>
    </dataValidation>
    <dataValidation type="list" allowBlank="1" showInputMessage="1" showErrorMessage="1" sqref="G281" xr:uid="{AF5CD39C-BCE0-4729-9243-D3951392CA21}">
      <formula1>$Q$285:$Q$294</formula1>
    </dataValidation>
    <dataValidation type="list" allowBlank="1" showInputMessage="1" showErrorMessage="1" sqref="G322" xr:uid="{871BBCE5-5685-4640-82C4-6232886AAAFA}">
      <formula1>$Q$326:$Q$335</formula1>
    </dataValidation>
    <dataValidation type="list" allowBlank="1" showInputMessage="1" showErrorMessage="1" sqref="G363" xr:uid="{9CB11F83-14D6-4204-A73B-FABB3D72C9B1}">
      <formula1>$Q$367:$Q$376</formula1>
    </dataValidation>
    <dataValidation type="list" allowBlank="1" showInputMessage="1" showErrorMessage="1" sqref="G404" xr:uid="{D7C6FA14-FC36-479E-8F24-E648780C208A}">
      <formula1>$Q$408:$Q$417</formula1>
    </dataValidation>
    <dataValidation type="list" allowBlank="1" showInputMessage="1" showErrorMessage="1" sqref="G445" xr:uid="{85303255-1A43-4699-B6AF-6E4BB7E34A44}">
      <formula1>$Q$449:$Q$458</formula1>
    </dataValidation>
    <dataValidation type="list" allowBlank="1" showInputMessage="1" showErrorMessage="1" sqref="G486" xr:uid="{41007956-709D-4EC9-A78F-5EBD9272FF09}">
      <formula1>$Q$490:$Q$499</formula1>
    </dataValidation>
    <dataValidation type="list" allowBlank="1" showInputMessage="1" showErrorMessage="1" sqref="G527" xr:uid="{7E1C06B7-80E0-4844-A8A7-50AA3439A222}">
      <formula1>$Q$531:$Q$540</formula1>
    </dataValidation>
    <dataValidation type="list" allowBlank="1" showInputMessage="1" showErrorMessage="1" sqref="G568" xr:uid="{8C826ECF-4649-43D1-9B82-FC59FD6D84F4}">
      <formula1>$Q$572:$Q$581</formula1>
    </dataValidation>
    <dataValidation type="list" allowBlank="1" showInputMessage="1" showErrorMessage="1" sqref="G609" xr:uid="{132AEBC1-18BE-4DA6-8F03-6D7FE39888EE}">
      <formula1>$Q$613:$Q$622</formula1>
    </dataValidation>
    <dataValidation type="list" allowBlank="1" showInputMessage="1" showErrorMessage="1" sqref="G650" xr:uid="{A44096ED-D85C-49B3-89D3-DBE5C6EB2EAB}">
      <formula1>$Q$654:$Q$663</formula1>
    </dataValidation>
    <dataValidation type="list" allowBlank="1" showInputMessage="1" showErrorMessage="1" sqref="G691" xr:uid="{9A502024-FDF1-4580-80D3-AB6A57313661}">
      <formula1>$Q$695:$Q$704</formula1>
    </dataValidation>
    <dataValidation type="list" allowBlank="1" showInputMessage="1" showErrorMessage="1" sqref="G732" xr:uid="{D5FE12E8-8460-4662-A477-5E3A590EA4E0}">
      <formula1>$Q$736:$Q$745</formula1>
    </dataValidation>
    <dataValidation type="list" allowBlank="1" showInputMessage="1" showErrorMessage="1" sqref="G773" xr:uid="{97C219AC-CBBA-4017-956F-295B382CC2A4}">
      <formula1>$Q$777:$Q$786</formula1>
    </dataValidation>
    <dataValidation type="list" allowBlank="1" showInputMessage="1" showErrorMessage="1" sqref="G814" xr:uid="{1AC19310-609B-438D-9038-E62EA628BC1B}">
      <formula1>$Q$818:$Q$827</formula1>
    </dataValidation>
  </dataValidations>
  <pageMargins left="0.7" right="0.7" top="0.75" bottom="0.75" header="0.3" footer="0.3"/>
  <pageSetup paperSize="9" orientation="portrait" r:id="rId1"/>
  <drawing r:id="rId2"/>
  <legacyDrawing r:id="rId3"/>
  <controls>
    <mc:AlternateContent xmlns:mc="http://schemas.openxmlformats.org/markup-compatibility/2006">
      <mc:Choice Requires="x14">
        <control shapeId="19457" r:id="rId4" name="cb3WCus">
          <controlPr defaultSize="0" autoLine="0" r:id="rId5">
            <anchor moveWithCells="1">
              <from>
                <xdr:col>5</xdr:col>
                <xdr:colOff>815340</xdr:colOff>
                <xdr:row>2</xdr:row>
                <xdr:rowOff>53340</xdr:rowOff>
              </from>
              <to>
                <xdr:col>7</xdr:col>
                <xdr:colOff>148590</xdr:colOff>
                <xdr:row>3</xdr:row>
                <xdr:rowOff>68580</xdr:rowOff>
              </to>
            </anchor>
          </controlPr>
        </control>
      </mc:Choice>
      <mc:Fallback>
        <control shapeId="19457" r:id="rId4" name="cb3WCus"/>
      </mc:Fallback>
    </mc:AlternateContent>
    <mc:AlternateContent xmlns:mc="http://schemas.openxmlformats.org/markup-compatibility/2006">
      <mc:Choice Requires="x14">
        <control shapeId="19458" r:id="rId6" name="cb3W">
          <controlPr defaultSize="0" autoLine="0" r:id="rId7">
            <anchor moveWithCells="1">
              <from>
                <xdr:col>7</xdr:col>
                <xdr:colOff>678180</xdr:colOff>
                <xdr:row>2</xdr:row>
                <xdr:rowOff>30480</xdr:rowOff>
              </from>
              <to>
                <xdr:col>9</xdr:col>
                <xdr:colOff>26670</xdr:colOff>
                <xdr:row>3</xdr:row>
                <xdr:rowOff>76200</xdr:rowOff>
              </to>
            </anchor>
          </controlPr>
        </control>
      </mc:Choice>
      <mc:Fallback>
        <control shapeId="19458" r:id="rId6" name="cb3W"/>
      </mc:Fallback>
    </mc:AlternateContent>
  </controls>
</worksheet>
</file>

<file path=xl/worksheets/sheet3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B3DCE5-92BF-407F-9DE6-31B0B8651ABC}">
  <sheetPr codeName="Sheet19">
    <tabColor theme="9" tint="0.39997558519241921"/>
  </sheetPr>
  <dimension ref="A1:V829"/>
  <sheetViews>
    <sheetView showGridLines="0" zoomScaleNormal="100" workbookViewId="0">
      <pane ySplit="4" topLeftCell="A65" activePane="bottomLeft" state="frozen"/>
      <selection activeCell="I41" sqref="I41"/>
      <selection pane="bottomLeft" activeCell="F369" sqref="F369"/>
    </sheetView>
  </sheetViews>
  <sheetFormatPr defaultColWidth="8.7890625" defaultRowHeight="14.4" x14ac:dyDescent="0.55000000000000004"/>
  <cols>
    <col min="1" max="1" width="2.7890625" style="117" customWidth="1"/>
    <col min="2" max="2" width="2.7890625" customWidth="1"/>
    <col min="3" max="4" width="3.20703125" style="10" customWidth="1"/>
    <col min="5" max="5" width="22.41796875" style="10" customWidth="1"/>
    <col min="6" max="6" width="15.5234375" style="10" customWidth="1"/>
    <col min="7" max="8" width="15.7890625" style="10" customWidth="1"/>
    <col min="9" max="9" width="18.20703125" style="10" customWidth="1"/>
    <col min="10" max="10" width="17" style="10" customWidth="1"/>
    <col min="11" max="11" width="16.7890625" style="10" customWidth="1"/>
    <col min="12" max="12" width="17.41796875" style="10" customWidth="1"/>
    <col min="13" max="13" width="16.20703125" style="10" customWidth="1"/>
    <col min="14" max="14" width="15.20703125" style="10" customWidth="1"/>
    <col min="15" max="15" width="15.41796875" style="10" customWidth="1"/>
    <col min="16" max="16" width="4.20703125" style="10" customWidth="1"/>
    <col min="17" max="17" width="3" customWidth="1"/>
    <col min="18" max="16384" width="8.7890625" style="10"/>
  </cols>
  <sheetData>
    <row r="1" spans="1:17" customFormat="1" x14ac:dyDescent="0.55000000000000004">
      <c r="G1" s="1823" t="s">
        <v>212</v>
      </c>
      <c r="I1" s="1814" t="s">
        <v>206</v>
      </c>
    </row>
    <row r="2" spans="1:17" customFormat="1" x14ac:dyDescent="0.55000000000000004">
      <c r="G2" s="1823"/>
      <c r="I2" s="1814"/>
    </row>
    <row r="3" spans="1:17" customFormat="1" x14ac:dyDescent="0.55000000000000004"/>
    <row r="4" spans="1:17" s="116" customFormat="1" ht="14.7" thickBot="1" x14ac:dyDescent="0.6"/>
    <row r="5" spans="1:17" s="117" customFormat="1" x14ac:dyDescent="0.55000000000000004"/>
    <row r="6" spans="1:17" customFormat="1" ht="18.3" x14ac:dyDescent="0.7">
      <c r="A6" s="117"/>
      <c r="B6" s="118"/>
      <c r="C6" s="161"/>
    </row>
    <row r="7" spans="1:17" customFormat="1" ht="12.6" customHeight="1" x14ac:dyDescent="0.7">
      <c r="A7" s="117"/>
      <c r="B7" s="118"/>
      <c r="C7" s="1804" t="s">
        <v>557</v>
      </c>
      <c r="D7" s="1804"/>
      <c r="E7" s="1804"/>
      <c r="F7" s="1804"/>
      <c r="G7" s="1804"/>
      <c r="H7" s="1804"/>
      <c r="I7" s="1804"/>
      <c r="J7" s="1804"/>
      <c r="K7" s="1804"/>
      <c r="L7" s="1804"/>
      <c r="M7" s="1804"/>
      <c r="N7" s="1804"/>
      <c r="O7" s="1804"/>
      <c r="P7" s="1804"/>
      <c r="Q7" s="1804"/>
    </row>
    <row r="8" spans="1:17" customFormat="1" ht="15" customHeight="1" x14ac:dyDescent="0.7">
      <c r="A8" s="117"/>
      <c r="B8" s="118"/>
      <c r="C8" s="1804"/>
      <c r="D8" s="1804"/>
      <c r="E8" s="1804"/>
      <c r="F8" s="1804"/>
      <c r="G8" s="1804"/>
      <c r="H8" s="1804"/>
      <c r="I8" s="1804"/>
      <c r="J8" s="1804"/>
      <c r="K8" s="1804"/>
      <c r="L8" s="1804"/>
      <c r="M8" s="1804"/>
      <c r="N8" s="1804"/>
      <c r="O8" s="1804"/>
      <c r="P8" s="1804"/>
      <c r="Q8" s="1804"/>
    </row>
    <row r="9" spans="1:17" customFormat="1" ht="13.2" customHeight="1" x14ac:dyDescent="0.7">
      <c r="A9" s="117"/>
      <c r="B9" s="118"/>
      <c r="C9" s="1804"/>
      <c r="D9" s="1804"/>
      <c r="E9" s="1804"/>
      <c r="F9" s="1804"/>
      <c r="G9" s="1804"/>
      <c r="H9" s="1804"/>
      <c r="I9" s="1804"/>
      <c r="J9" s="1804"/>
      <c r="K9" s="1804"/>
      <c r="L9" s="1804"/>
      <c r="M9" s="1804"/>
      <c r="N9" s="1804"/>
      <c r="O9" s="1804"/>
      <c r="P9" s="1804"/>
      <c r="Q9" s="1804"/>
    </row>
    <row r="10" spans="1:17" customFormat="1" ht="14.7" thickBot="1" x14ac:dyDescent="0.6">
      <c r="A10" s="117"/>
    </row>
    <row r="11" spans="1:17" s="126" customFormat="1" x14ac:dyDescent="0.55000000000000004">
      <c r="A11" s="117"/>
      <c r="B11"/>
      <c r="C11" s="192"/>
      <c r="D11" s="193"/>
      <c r="E11" s="193"/>
      <c r="F11" s="193"/>
      <c r="G11" s="193"/>
      <c r="H11" s="193"/>
      <c r="I11" s="193"/>
      <c r="J11" s="193"/>
      <c r="K11" s="193"/>
      <c r="L11" s="193"/>
      <c r="M11" s="193"/>
      <c r="N11" s="193"/>
      <c r="O11" s="193"/>
      <c r="P11" s="193"/>
      <c r="Q11" s="123"/>
    </row>
    <row r="12" spans="1:17" s="126" customFormat="1" ht="18.3" x14ac:dyDescent="0.7">
      <c r="A12" s="117"/>
      <c r="B12"/>
      <c r="C12" s="194"/>
      <c r="D12" s="1824" t="str">
        <f>'2 Customer data'!D57</f>
        <v>Domestic</v>
      </c>
      <c r="E12" s="1824"/>
      <c r="F12" s="1824"/>
      <c r="G12" s="1824"/>
      <c r="H12" s="1824"/>
      <c r="I12" s="1824"/>
      <c r="J12" s="1824"/>
      <c r="K12" s="1824"/>
      <c r="L12" s="1824"/>
      <c r="M12" s="1824"/>
      <c r="N12" s="1824"/>
      <c r="O12" s="1824"/>
      <c r="P12" s="10"/>
      <c r="Q12" s="125"/>
    </row>
    <row r="13" spans="1:17" s="126" customFormat="1" ht="14.7" thickBot="1" x14ac:dyDescent="0.6">
      <c r="A13" s="117"/>
      <c r="B13"/>
      <c r="C13" s="194"/>
      <c r="D13" s="10"/>
      <c r="E13" s="10"/>
      <c r="F13" s="10"/>
      <c r="G13" s="10"/>
      <c r="H13" s="10"/>
      <c r="I13" s="10"/>
      <c r="J13" s="10"/>
      <c r="K13" s="10"/>
      <c r="L13" s="10"/>
      <c r="M13" s="10"/>
      <c r="N13" s="10"/>
      <c r="O13" s="10"/>
      <c r="P13" s="10"/>
      <c r="Q13" s="125"/>
    </row>
    <row r="14" spans="1:17" x14ac:dyDescent="0.55000000000000004">
      <c r="C14" s="194"/>
      <c r="D14" s="192"/>
      <c r="E14" s="193"/>
      <c r="F14" s="193"/>
      <c r="G14" s="193"/>
      <c r="H14" s="193"/>
      <c r="I14" s="193"/>
      <c r="J14" s="193"/>
      <c r="K14" s="193"/>
      <c r="L14" s="193"/>
      <c r="M14" s="193"/>
      <c r="N14" s="193"/>
      <c r="O14" s="193"/>
      <c r="P14" s="195"/>
      <c r="Q14" s="125"/>
    </row>
    <row r="15" spans="1:17" x14ac:dyDescent="0.55000000000000004">
      <c r="C15" s="194"/>
      <c r="D15" s="194"/>
      <c r="E15" s="138" t="str">
        <f>'2 Customer data'!D57&amp;" "&amp;"information"</f>
        <v>Domestic information</v>
      </c>
      <c r="P15" s="196"/>
      <c r="Q15" s="125"/>
    </row>
    <row r="16" spans="1:17" x14ac:dyDescent="0.55000000000000004">
      <c r="C16" s="194"/>
      <c r="D16" s="194"/>
      <c r="P16" s="196"/>
      <c r="Q16" s="125"/>
    </row>
    <row r="17" spans="3:17" ht="28.8" x14ac:dyDescent="0.55000000000000004">
      <c r="C17" s="194"/>
      <c r="D17" s="194"/>
      <c r="F17" s="166" t="s">
        <v>28</v>
      </c>
      <c r="G17" s="166" t="s">
        <v>69</v>
      </c>
      <c r="H17" s="197" t="s">
        <v>70</v>
      </c>
      <c r="I17" s="166" t="s">
        <v>71</v>
      </c>
      <c r="J17" s="198" t="s">
        <v>277</v>
      </c>
      <c r="P17" s="196"/>
      <c r="Q17" s="125"/>
    </row>
    <row r="18" spans="3:17" x14ac:dyDescent="0.55000000000000004">
      <c r="C18" s="194"/>
      <c r="D18" s="194"/>
      <c r="E18" s="10" t="str">
        <f>'2 Customer data'!D57</f>
        <v>Domestic</v>
      </c>
      <c r="F18" s="113">
        <f>IFERROR(IF(VLOOKUP(E18,'2 Customer data'!$D$57:$M$76,6,FALSE)="",VLOOKUP(E18,'2 Customer data'!$D$57:$M$76,5,FALSE),VLOOKUP(E18,'2 Customer data'!$D$57:$M$76,6,FALSE)),0)</f>
        <v>17158.089</v>
      </c>
      <c r="G18" s="113">
        <f ca="1">IFERROR(VLOOKUP(E18,'2 Sanitation'!$D$19:$J$38,5,FALSE),0)</f>
        <v>62182642.27634757</v>
      </c>
      <c r="H18" s="113">
        <f ca="1">IFERROR(VLOOKUP(E18,'2 Sanitation'!$D$19:$J$38,6,FALSE),0)</f>
        <v>7970182.2353746491</v>
      </c>
      <c r="I18" s="113">
        <f ca="1">IFERROR(VLOOKUP(E18,'2 Sanitation'!$D$153:$K$172,8,FALSE),0)</f>
        <v>44382263.884618193</v>
      </c>
      <c r="J18" s="199">
        <f>IFERROR(IF(VLOOKUP(E18,'2 Customer data'!$D$57:$M$76,8,FALSE)="",VLOOKUP(E18,'2 Customer data'!$D$57:$M$76,7,FALSE),VLOOKUP(E18,'2 Customer data'!$D$57:$M$76,8,FALSE)),0)</f>
        <v>2083519.0609999998</v>
      </c>
      <c r="P18" s="196"/>
      <c r="Q18" s="125"/>
    </row>
    <row r="19" spans="3:17" ht="14.7" thickBot="1" x14ac:dyDescent="0.6">
      <c r="C19" s="194"/>
      <c r="D19" s="200"/>
      <c r="E19" s="201"/>
      <c r="F19" s="201"/>
      <c r="G19" s="201"/>
      <c r="H19" s="201"/>
      <c r="I19" s="201"/>
      <c r="J19" s="201"/>
      <c r="K19" s="201"/>
      <c r="L19" s="201"/>
      <c r="M19" s="201"/>
      <c r="N19" s="201"/>
      <c r="O19" s="201"/>
      <c r="P19" s="202"/>
      <c r="Q19" s="125"/>
    </row>
    <row r="20" spans="3:17" ht="14.7" thickBot="1" x14ac:dyDescent="0.6">
      <c r="C20" s="194"/>
      <c r="Q20" s="125"/>
    </row>
    <row r="21" spans="3:17" x14ac:dyDescent="0.55000000000000004">
      <c r="C21" s="194"/>
      <c r="D21" s="192"/>
      <c r="E21" s="193"/>
      <c r="F21" s="193"/>
      <c r="G21" s="193"/>
      <c r="H21" s="193"/>
      <c r="I21" s="193"/>
      <c r="J21" s="193"/>
      <c r="K21" s="193"/>
      <c r="L21" s="193"/>
      <c r="M21" s="193"/>
      <c r="N21" s="193"/>
      <c r="O21" s="193"/>
      <c r="P21" s="195"/>
      <c r="Q21" s="125"/>
    </row>
    <row r="22" spans="3:17" x14ac:dyDescent="0.55000000000000004">
      <c r="C22" s="194"/>
      <c r="D22" s="194"/>
      <c r="E22" s="138" t="s">
        <v>93</v>
      </c>
      <c r="P22" s="196"/>
      <c r="Q22" s="125"/>
    </row>
    <row r="23" spans="3:17" x14ac:dyDescent="0.55000000000000004">
      <c r="C23" s="194"/>
      <c r="D23" s="194"/>
      <c r="E23" s="203" t="s">
        <v>555</v>
      </c>
      <c r="P23" s="196"/>
      <c r="Q23" s="125"/>
    </row>
    <row r="24" spans="3:17" x14ac:dyDescent="0.55000000000000004">
      <c r="C24" s="194"/>
      <c r="D24" s="194"/>
      <c r="P24" s="196"/>
      <c r="Q24" s="125"/>
    </row>
    <row r="25" spans="3:17" ht="43.2" x14ac:dyDescent="0.55000000000000004">
      <c r="C25" s="194"/>
      <c r="D25" s="194"/>
      <c r="F25" s="166" t="s">
        <v>86</v>
      </c>
      <c r="G25" s="166" t="s">
        <v>73</v>
      </c>
      <c r="H25" s="166" t="s">
        <v>74</v>
      </c>
      <c r="I25" s="166" t="s">
        <v>75</v>
      </c>
      <c r="J25" s="166" t="s">
        <v>76</v>
      </c>
      <c r="P25" s="196"/>
      <c r="Q25" s="125"/>
    </row>
    <row r="26" spans="3:17" x14ac:dyDescent="0.55000000000000004">
      <c r="C26" s="194"/>
      <c r="D26" s="194"/>
      <c r="E26" s="10" t="str">
        <f>E18</f>
        <v>Domestic</v>
      </c>
      <c r="F26" s="113">
        <f ca="1">G18</f>
        <v>62182642.27634757</v>
      </c>
      <c r="G26" s="204">
        <f ca="1">IFERROR(F26/F18/12,0)</f>
        <v>302.00839128193689</v>
      </c>
      <c r="H26" s="205"/>
      <c r="I26" s="113">
        <f>H26*F18*12</f>
        <v>0</v>
      </c>
      <c r="J26" s="70">
        <f>I26/12</f>
        <v>0</v>
      </c>
      <c r="P26" s="196"/>
      <c r="Q26" s="125"/>
    </row>
    <row r="27" spans="3:17" x14ac:dyDescent="0.55000000000000004">
      <c r="C27" s="194"/>
      <c r="D27" s="194"/>
      <c r="F27" s="58" t="str">
        <f ca="1">IF(I26&gt;I18,"Error: revenue from fixed charges exceeds total revenue required from tariff. Reduce fixed charge.","")</f>
        <v/>
      </c>
      <c r="G27" s="156"/>
      <c r="H27" s="156"/>
      <c r="I27" s="156"/>
      <c r="J27" s="158"/>
      <c r="P27" s="196"/>
      <c r="Q27" s="125"/>
    </row>
    <row r="28" spans="3:17" ht="14.7" thickBot="1" x14ac:dyDescent="0.6">
      <c r="C28" s="194"/>
      <c r="D28" s="200"/>
      <c r="E28" s="201"/>
      <c r="F28" s="201"/>
      <c r="G28" s="201"/>
      <c r="H28" s="201"/>
      <c r="I28" s="201"/>
      <c r="J28" s="201"/>
      <c r="K28" s="201"/>
      <c r="L28" s="201"/>
      <c r="M28" s="201"/>
      <c r="N28" s="201"/>
      <c r="O28" s="201"/>
      <c r="P28" s="202"/>
      <c r="Q28" s="125"/>
    </row>
    <row r="29" spans="3:17" ht="14.7" thickBot="1" x14ac:dyDescent="0.6">
      <c r="C29" s="194"/>
      <c r="Q29" s="125"/>
    </row>
    <row r="30" spans="3:17" x14ac:dyDescent="0.55000000000000004">
      <c r="C30" s="194"/>
      <c r="D30" s="192"/>
      <c r="E30" s="193"/>
      <c r="F30" s="193"/>
      <c r="G30" s="193"/>
      <c r="H30" s="193"/>
      <c r="I30" s="193"/>
      <c r="J30" s="193"/>
      <c r="K30" s="193"/>
      <c r="L30" s="193"/>
      <c r="M30" s="193"/>
      <c r="N30" s="193"/>
      <c r="O30" s="193"/>
      <c r="P30" s="195"/>
      <c r="Q30" s="125"/>
    </row>
    <row r="31" spans="3:17" x14ac:dyDescent="0.55000000000000004">
      <c r="C31" s="194"/>
      <c r="D31" s="194"/>
      <c r="E31" s="138" t="s">
        <v>96</v>
      </c>
      <c r="P31" s="196"/>
      <c r="Q31" s="125"/>
    </row>
    <row r="32" spans="3:17" ht="14.55" customHeight="1" x14ac:dyDescent="0.55000000000000004">
      <c r="C32" s="194"/>
      <c r="D32" s="194"/>
      <c r="E32" s="1825" t="s">
        <v>558</v>
      </c>
      <c r="F32" s="1825"/>
      <c r="G32" s="1825"/>
      <c r="H32" s="1825"/>
      <c r="I32" s="1825"/>
      <c r="J32" s="1825"/>
      <c r="K32" s="1825"/>
      <c r="L32" s="1825"/>
      <c r="M32" s="1825"/>
      <c r="N32" s="1825"/>
      <c r="O32" s="1825"/>
      <c r="P32" s="1826"/>
      <c r="Q32" s="125"/>
    </row>
    <row r="33" spans="3:22" x14ac:dyDescent="0.55000000000000004">
      <c r="C33" s="194"/>
      <c r="D33" s="194"/>
      <c r="E33" s="1825"/>
      <c r="F33" s="1825"/>
      <c r="G33" s="1825"/>
      <c r="H33" s="1825"/>
      <c r="I33" s="1825"/>
      <c r="J33" s="1825"/>
      <c r="K33" s="1825"/>
      <c r="L33" s="1825"/>
      <c r="M33" s="1825"/>
      <c r="N33" s="1825"/>
      <c r="O33" s="1825"/>
      <c r="P33" s="1826"/>
      <c r="Q33" s="125"/>
    </row>
    <row r="34" spans="3:22" x14ac:dyDescent="0.55000000000000004">
      <c r="C34" s="194"/>
      <c r="D34" s="194"/>
      <c r="P34" s="196"/>
      <c r="Q34" s="125"/>
    </row>
    <row r="35" spans="3:22" x14ac:dyDescent="0.55000000000000004">
      <c r="C35" s="194"/>
      <c r="D35" s="194"/>
      <c r="E35" s="206" t="s">
        <v>77</v>
      </c>
      <c r="H35" s="207">
        <v>1</v>
      </c>
      <c r="P35" s="196"/>
      <c r="Q35" s="125"/>
    </row>
    <row r="36" spans="3:22" x14ac:dyDescent="0.55000000000000004">
      <c r="C36" s="194"/>
      <c r="D36" s="194"/>
      <c r="E36" s="10" t="s">
        <v>612</v>
      </c>
      <c r="H36" s="159" t="s">
        <v>578</v>
      </c>
      <c r="P36" s="196"/>
      <c r="Q36" s="125"/>
    </row>
    <row r="37" spans="3:22" x14ac:dyDescent="0.55000000000000004">
      <c r="C37" s="194"/>
      <c r="D37" s="194"/>
      <c r="P37" s="196"/>
      <c r="Q37" s="125"/>
    </row>
    <row r="38" spans="3:22" ht="43.2" x14ac:dyDescent="0.55000000000000004">
      <c r="C38" s="194"/>
      <c r="D38" s="194"/>
      <c r="E38" s="166" t="s">
        <v>78</v>
      </c>
      <c r="F38" s="166" t="s">
        <v>99</v>
      </c>
      <c r="G38" s="197" t="s">
        <v>92</v>
      </c>
      <c r="H38" s="166" t="s">
        <v>80</v>
      </c>
      <c r="I38" s="166" t="s">
        <v>334</v>
      </c>
      <c r="J38" s="166" t="s">
        <v>335</v>
      </c>
      <c r="K38" s="166" t="s">
        <v>339</v>
      </c>
      <c r="L38" s="166" t="s">
        <v>336</v>
      </c>
      <c r="M38" s="166" t="s">
        <v>337</v>
      </c>
      <c r="N38" s="166" t="s">
        <v>338</v>
      </c>
      <c r="O38" s="166" t="s">
        <v>83</v>
      </c>
      <c r="P38" s="208"/>
      <c r="Q38" s="125"/>
      <c r="S38" s="126" t="s">
        <v>614</v>
      </c>
      <c r="T38" s="126" t="s">
        <v>615</v>
      </c>
      <c r="U38" s="126"/>
      <c r="V38" s="126"/>
    </row>
    <row r="39" spans="3:22" x14ac:dyDescent="0.55000000000000004">
      <c r="C39" s="194"/>
      <c r="D39" s="194"/>
      <c r="E39" s="209">
        <f>IF($H$35=U39,U39,1)</f>
        <v>1</v>
      </c>
      <c r="F39" s="210">
        <v>0.7</v>
      </c>
      <c r="G39" s="211">
        <v>0</v>
      </c>
      <c r="H39" s="212"/>
      <c r="I39" s="213"/>
      <c r="J39" s="70">
        <f>J18-SUMIF(E40:E48,"&lt;="&amp;$H$35,J40:J48)</f>
        <v>2083519.0609999998</v>
      </c>
      <c r="K39" s="70">
        <f>F39*J39</f>
        <v>1458463.3426999997</v>
      </c>
      <c r="L39" s="114">
        <f ca="1">IFERROR(IF(E39&lt;=H35,IF(H36="No",IF(I26=0,I18/SUMPRODUCT(S39:S48,K39:K48),(I18-I26)/SUMPRODUCT(S39:S48,K39:K48)),0),0),0)</f>
        <v>30.430839490593527</v>
      </c>
      <c r="M39" s="44">
        <f ca="1">IFERROR(O39/J39,0)</f>
        <v>21.301587643415466</v>
      </c>
      <c r="N39" s="199"/>
      <c r="O39" s="199">
        <f ca="1">K39*L39</f>
        <v>44382263.884618193</v>
      </c>
      <c r="P39" s="214"/>
      <c r="Q39" s="125"/>
      <c r="S39" s="92">
        <f>IF(E39&lt;=$H$35,1,0)</f>
        <v>1</v>
      </c>
      <c r="T39" s="126"/>
      <c r="U39" s="126">
        <v>1</v>
      </c>
      <c r="V39" s="126"/>
    </row>
    <row r="40" spans="3:22" x14ac:dyDescent="0.55000000000000004">
      <c r="C40" s="194"/>
      <c r="D40" s="194"/>
      <c r="E40" s="209" t="str">
        <f t="shared" ref="E40:E48" si="0">IF($H$35&gt;=U40,U40,"")</f>
        <v/>
      </c>
      <c r="F40" s="210"/>
      <c r="G40" s="211">
        <f t="shared" ref="G40:G48" si="1">IF($H$35&gt;=F40,H39+0.01,"")</f>
        <v>0.01</v>
      </c>
      <c r="H40" s="212"/>
      <c r="I40" s="215"/>
      <c r="J40" s="216"/>
      <c r="K40" s="70">
        <f t="shared" ref="K40:K48" si="2">F40*J40</f>
        <v>0</v>
      </c>
      <c r="L40" s="114">
        <f>IFERROR(IF(E40&lt;=H35,IF(H36="No",L39*(1+I40),IF(I26=0,I18/SUMPRODUCT(T40:T48,K40:K48),(I18-I26)/SUMPRODUCT(T40:T48,K40:K48))),0),0)</f>
        <v>0</v>
      </c>
      <c r="M40" s="44">
        <f t="shared" ref="M40:M48" si="3">IFERROR(O40/J40,0)</f>
        <v>0</v>
      </c>
      <c r="N40" s="217">
        <f ca="1">IFERROR(M40/M39-1,"")</f>
        <v>-1</v>
      </c>
      <c r="O40" s="199">
        <f t="shared" ref="O40:O48" si="4">K40*L40</f>
        <v>0</v>
      </c>
      <c r="P40" s="214"/>
      <c r="Q40" s="125"/>
      <c r="S40" s="92">
        <f>IF(E40&lt;=$H$35,(1+I40),0)</f>
        <v>0</v>
      </c>
      <c r="T40" s="92">
        <f>IF(E40&lt;=H35,1,0)</f>
        <v>0</v>
      </c>
      <c r="U40" s="126">
        <v>2</v>
      </c>
      <c r="V40" s="126"/>
    </row>
    <row r="41" spans="3:22" x14ac:dyDescent="0.55000000000000004">
      <c r="C41" s="194"/>
      <c r="D41" s="194"/>
      <c r="E41" s="209" t="str">
        <f t="shared" si="0"/>
        <v/>
      </c>
      <c r="F41" s="210"/>
      <c r="G41" s="211">
        <f t="shared" si="1"/>
        <v>0.01</v>
      </c>
      <c r="H41" s="212"/>
      <c r="I41" s="215"/>
      <c r="J41" s="216"/>
      <c r="K41" s="70">
        <f t="shared" si="2"/>
        <v>0</v>
      </c>
      <c r="L41" s="204">
        <f t="shared" ref="L41:L48" si="5">IF(E41&lt;=$H$35,L40*(1+I41),0)</f>
        <v>0</v>
      </c>
      <c r="M41" s="44">
        <f t="shared" si="3"/>
        <v>0</v>
      </c>
      <c r="N41" s="217" t="str">
        <f t="shared" ref="N41:N48" si="6">IFERROR(M41/M40-1,"")</f>
        <v/>
      </c>
      <c r="O41" s="199">
        <f t="shared" si="4"/>
        <v>0</v>
      </c>
      <c r="P41" s="214"/>
      <c r="Q41" s="125"/>
      <c r="S41" s="92">
        <f t="shared" ref="S41:S48" si="7">IF(E41&lt;=$H$35,S40*(1+I41),0)</f>
        <v>0</v>
      </c>
      <c r="T41" s="92">
        <f>IF(E41&lt;=H35,T40*(1+I41),0)</f>
        <v>0</v>
      </c>
      <c r="U41" s="126">
        <v>3</v>
      </c>
      <c r="V41" s="126"/>
    </row>
    <row r="42" spans="3:22" x14ac:dyDescent="0.55000000000000004">
      <c r="C42" s="194"/>
      <c r="D42" s="194"/>
      <c r="E42" s="209" t="str">
        <f t="shared" si="0"/>
        <v/>
      </c>
      <c r="F42" s="210"/>
      <c r="G42" s="211">
        <f t="shared" si="1"/>
        <v>0.01</v>
      </c>
      <c r="H42" s="212"/>
      <c r="I42" s="215"/>
      <c r="J42" s="216"/>
      <c r="K42" s="70">
        <f t="shared" si="2"/>
        <v>0</v>
      </c>
      <c r="L42" s="204">
        <f t="shared" si="5"/>
        <v>0</v>
      </c>
      <c r="M42" s="44">
        <f t="shared" si="3"/>
        <v>0</v>
      </c>
      <c r="N42" s="217" t="str">
        <f t="shared" si="6"/>
        <v/>
      </c>
      <c r="O42" s="199">
        <f t="shared" si="4"/>
        <v>0</v>
      </c>
      <c r="P42" s="214"/>
      <c r="Q42" s="125"/>
      <c r="S42" s="92">
        <f t="shared" si="7"/>
        <v>0</v>
      </c>
      <c r="T42" s="92">
        <f>IF(E42&lt;=H35,T41*(1+I42),0)</f>
        <v>0</v>
      </c>
      <c r="U42" s="126">
        <v>4</v>
      </c>
      <c r="V42" s="126"/>
    </row>
    <row r="43" spans="3:22" x14ac:dyDescent="0.55000000000000004">
      <c r="C43" s="194"/>
      <c r="D43" s="194"/>
      <c r="E43" s="209" t="str">
        <f t="shared" si="0"/>
        <v/>
      </c>
      <c r="F43" s="210"/>
      <c r="G43" s="211">
        <f t="shared" si="1"/>
        <v>0.01</v>
      </c>
      <c r="H43" s="212"/>
      <c r="I43" s="215"/>
      <c r="J43" s="216"/>
      <c r="K43" s="70">
        <f t="shared" si="2"/>
        <v>0</v>
      </c>
      <c r="L43" s="204">
        <f t="shared" si="5"/>
        <v>0</v>
      </c>
      <c r="M43" s="44">
        <f t="shared" si="3"/>
        <v>0</v>
      </c>
      <c r="N43" s="217" t="str">
        <f t="shared" si="6"/>
        <v/>
      </c>
      <c r="O43" s="199">
        <f t="shared" si="4"/>
        <v>0</v>
      </c>
      <c r="P43" s="214"/>
      <c r="Q43" s="125"/>
      <c r="S43" s="92">
        <f t="shared" si="7"/>
        <v>0</v>
      </c>
      <c r="T43" s="92">
        <f>IF(E43&lt;=H35,T42*(1+I43),0)</f>
        <v>0</v>
      </c>
      <c r="U43" s="126">
        <v>5</v>
      </c>
      <c r="V43" s="126"/>
    </row>
    <row r="44" spans="3:22" x14ac:dyDescent="0.55000000000000004">
      <c r="C44" s="194"/>
      <c r="D44" s="194"/>
      <c r="E44" s="209" t="str">
        <f t="shared" si="0"/>
        <v/>
      </c>
      <c r="F44" s="210"/>
      <c r="G44" s="211">
        <f t="shared" si="1"/>
        <v>0.01</v>
      </c>
      <c r="H44" s="207"/>
      <c r="I44" s="215"/>
      <c r="J44" s="216"/>
      <c r="K44" s="70">
        <f t="shared" si="2"/>
        <v>0</v>
      </c>
      <c r="L44" s="204">
        <f t="shared" si="5"/>
        <v>0</v>
      </c>
      <c r="M44" s="44">
        <f t="shared" si="3"/>
        <v>0</v>
      </c>
      <c r="N44" s="217" t="str">
        <f t="shared" si="6"/>
        <v/>
      </c>
      <c r="O44" s="199">
        <f t="shared" si="4"/>
        <v>0</v>
      </c>
      <c r="P44" s="214"/>
      <c r="Q44" s="125"/>
      <c r="S44" s="92">
        <f t="shared" si="7"/>
        <v>0</v>
      </c>
      <c r="T44" s="92">
        <f>IF(E44&lt;=H35,T43*(1+I44),0)</f>
        <v>0</v>
      </c>
      <c r="U44" s="126">
        <v>6</v>
      </c>
      <c r="V44" s="126"/>
    </row>
    <row r="45" spans="3:22" x14ac:dyDescent="0.55000000000000004">
      <c r="C45" s="194"/>
      <c r="D45" s="194"/>
      <c r="E45" s="209" t="str">
        <f t="shared" si="0"/>
        <v/>
      </c>
      <c r="F45" s="210"/>
      <c r="G45" s="211">
        <f t="shared" si="1"/>
        <v>0.01</v>
      </c>
      <c r="H45" s="207"/>
      <c r="I45" s="215"/>
      <c r="J45" s="216"/>
      <c r="K45" s="70">
        <f t="shared" si="2"/>
        <v>0</v>
      </c>
      <c r="L45" s="204">
        <f t="shared" si="5"/>
        <v>0</v>
      </c>
      <c r="M45" s="44">
        <f t="shared" si="3"/>
        <v>0</v>
      </c>
      <c r="N45" s="217" t="str">
        <f t="shared" si="6"/>
        <v/>
      </c>
      <c r="O45" s="199">
        <f t="shared" si="4"/>
        <v>0</v>
      </c>
      <c r="P45" s="214"/>
      <c r="Q45" s="125"/>
      <c r="S45" s="92">
        <f t="shared" si="7"/>
        <v>0</v>
      </c>
      <c r="T45" s="92">
        <f>IF(E45&lt;=H35,T44*(1+I45),0)</f>
        <v>0</v>
      </c>
      <c r="U45" s="126">
        <v>7</v>
      </c>
      <c r="V45" s="126"/>
    </row>
    <row r="46" spans="3:22" x14ac:dyDescent="0.55000000000000004">
      <c r="C46" s="194"/>
      <c r="D46" s="194"/>
      <c r="E46" s="209" t="str">
        <f t="shared" si="0"/>
        <v/>
      </c>
      <c r="F46" s="210"/>
      <c r="G46" s="211">
        <f t="shared" si="1"/>
        <v>0.01</v>
      </c>
      <c r="H46" s="207"/>
      <c r="I46" s="215"/>
      <c r="J46" s="216"/>
      <c r="K46" s="70">
        <f t="shared" si="2"/>
        <v>0</v>
      </c>
      <c r="L46" s="204">
        <f t="shared" si="5"/>
        <v>0</v>
      </c>
      <c r="M46" s="44">
        <f t="shared" si="3"/>
        <v>0</v>
      </c>
      <c r="N46" s="217" t="str">
        <f t="shared" si="6"/>
        <v/>
      </c>
      <c r="O46" s="199">
        <f t="shared" si="4"/>
        <v>0</v>
      </c>
      <c r="P46" s="214"/>
      <c r="Q46" s="125"/>
      <c r="S46" s="92">
        <f t="shared" si="7"/>
        <v>0</v>
      </c>
      <c r="T46" s="92">
        <f>IF(E46&lt;=H35,T45*(1+I46),0)</f>
        <v>0</v>
      </c>
      <c r="U46" s="126">
        <v>8</v>
      </c>
      <c r="V46" s="126"/>
    </row>
    <row r="47" spans="3:22" x14ac:dyDescent="0.55000000000000004">
      <c r="C47" s="194"/>
      <c r="D47" s="194"/>
      <c r="E47" s="209" t="str">
        <f t="shared" si="0"/>
        <v/>
      </c>
      <c r="F47" s="210"/>
      <c r="G47" s="211">
        <f t="shared" si="1"/>
        <v>0.01</v>
      </c>
      <c r="H47" s="207"/>
      <c r="I47" s="215"/>
      <c r="J47" s="216"/>
      <c r="K47" s="70">
        <f t="shared" si="2"/>
        <v>0</v>
      </c>
      <c r="L47" s="204">
        <f t="shared" si="5"/>
        <v>0</v>
      </c>
      <c r="M47" s="44">
        <f t="shared" si="3"/>
        <v>0</v>
      </c>
      <c r="N47" s="217" t="str">
        <f t="shared" si="6"/>
        <v/>
      </c>
      <c r="O47" s="199">
        <f t="shared" si="4"/>
        <v>0</v>
      </c>
      <c r="P47" s="214"/>
      <c r="Q47" s="125"/>
      <c r="S47" s="92">
        <f t="shared" si="7"/>
        <v>0</v>
      </c>
      <c r="T47" s="92">
        <f>IF(E47&lt;=H35,T46*(1+I47),0)</f>
        <v>0</v>
      </c>
      <c r="U47" s="126">
        <v>9</v>
      </c>
      <c r="V47" s="126"/>
    </row>
    <row r="48" spans="3:22" x14ac:dyDescent="0.55000000000000004">
      <c r="C48" s="194"/>
      <c r="D48" s="194"/>
      <c r="E48" s="209" t="str">
        <f t="shared" si="0"/>
        <v/>
      </c>
      <c r="F48" s="210"/>
      <c r="G48" s="211">
        <f t="shared" si="1"/>
        <v>0.01</v>
      </c>
      <c r="H48" s="209" t="s">
        <v>84</v>
      </c>
      <c r="I48" s="215"/>
      <c r="J48" s="216"/>
      <c r="K48" s="70">
        <f t="shared" si="2"/>
        <v>0</v>
      </c>
      <c r="L48" s="204">
        <f t="shared" si="5"/>
        <v>0</v>
      </c>
      <c r="M48" s="44">
        <f t="shared" si="3"/>
        <v>0</v>
      </c>
      <c r="N48" s="217" t="str">
        <f t="shared" si="6"/>
        <v/>
      </c>
      <c r="O48" s="199">
        <f t="shared" si="4"/>
        <v>0</v>
      </c>
      <c r="P48" s="214"/>
      <c r="Q48" s="125"/>
      <c r="S48" s="92">
        <f t="shared" si="7"/>
        <v>0</v>
      </c>
      <c r="T48" s="92">
        <f>IF(E48&lt;=H35,T47*(1+I48),0)</f>
        <v>0</v>
      </c>
      <c r="U48" s="126">
        <v>10</v>
      </c>
      <c r="V48" s="126"/>
    </row>
    <row r="49" spans="3:22" ht="14.7" thickBot="1" x14ac:dyDescent="0.6">
      <c r="C49" s="194"/>
      <c r="D49" s="200"/>
      <c r="E49" s="201"/>
      <c r="F49" s="201"/>
      <c r="G49" s="201"/>
      <c r="H49" s="201"/>
      <c r="I49" s="201"/>
      <c r="J49" s="201"/>
      <c r="K49" s="201"/>
      <c r="L49" s="201"/>
      <c r="M49" s="201"/>
      <c r="N49" s="201"/>
      <c r="O49" s="201"/>
      <c r="P49" s="202"/>
      <c r="Q49" s="125"/>
      <c r="S49" s="126"/>
      <c r="T49" s="126"/>
      <c r="U49" s="126"/>
      <c r="V49" s="126"/>
    </row>
    <row r="50" spans="3:22" ht="14.7" thickBot="1" x14ac:dyDescent="0.6">
      <c r="C50" s="200"/>
      <c r="D50" s="201"/>
      <c r="E50" s="201"/>
      <c r="F50" s="201"/>
      <c r="G50" s="201"/>
      <c r="H50" s="201"/>
      <c r="I50" s="201"/>
      <c r="J50" s="201"/>
      <c r="K50" s="201"/>
      <c r="L50" s="201"/>
      <c r="M50" s="201"/>
      <c r="N50" s="201"/>
      <c r="O50" s="201"/>
      <c r="P50" s="201"/>
      <c r="Q50" s="132"/>
      <c r="S50" s="126"/>
      <c r="T50" s="126"/>
      <c r="U50" s="126"/>
      <c r="V50" s="126"/>
    </row>
    <row r="51" spans="3:22" ht="14.7" thickBot="1" x14ac:dyDescent="0.6">
      <c r="S51" s="126"/>
      <c r="T51" s="126"/>
      <c r="U51" s="126"/>
      <c r="V51" s="126"/>
    </row>
    <row r="52" spans="3:22" x14ac:dyDescent="0.55000000000000004">
      <c r="C52" s="192"/>
      <c r="D52" s="193"/>
      <c r="E52" s="193"/>
      <c r="F52" s="193"/>
      <c r="G52" s="193"/>
      <c r="H52" s="193"/>
      <c r="I52" s="193"/>
      <c r="J52" s="193"/>
      <c r="K52" s="193"/>
      <c r="L52" s="193"/>
      <c r="M52" s="193"/>
      <c r="N52" s="193"/>
      <c r="O52" s="193"/>
      <c r="P52" s="193"/>
      <c r="Q52" s="123"/>
      <c r="S52" s="126"/>
      <c r="T52" s="126"/>
      <c r="U52" s="126"/>
      <c r="V52" s="126"/>
    </row>
    <row r="53" spans="3:22" ht="18.3" x14ac:dyDescent="0.7">
      <c r="C53" s="194"/>
      <c r="D53" s="1824" t="str">
        <f>'2 Customer data'!D58</f>
        <v>Commercial</v>
      </c>
      <c r="E53" s="1824"/>
      <c r="F53" s="1824"/>
      <c r="G53" s="1824"/>
      <c r="H53" s="1824"/>
      <c r="I53" s="1824"/>
      <c r="J53" s="1824"/>
      <c r="K53" s="1824"/>
      <c r="L53" s="1824"/>
      <c r="M53" s="1824"/>
      <c r="N53" s="1824"/>
      <c r="O53" s="1824"/>
      <c r="Q53" s="125"/>
      <c r="S53" s="126"/>
      <c r="T53" s="126"/>
      <c r="U53" s="126"/>
      <c r="V53" s="126"/>
    </row>
    <row r="54" spans="3:22" ht="14.7" thickBot="1" x14ac:dyDescent="0.6">
      <c r="C54" s="194"/>
      <c r="Q54" s="125"/>
      <c r="S54" s="126"/>
      <c r="T54" s="126"/>
      <c r="U54" s="126"/>
      <c r="V54" s="126"/>
    </row>
    <row r="55" spans="3:22" x14ac:dyDescent="0.55000000000000004">
      <c r="C55" s="194"/>
      <c r="D55" s="192"/>
      <c r="E55" s="193"/>
      <c r="F55" s="193"/>
      <c r="G55" s="193"/>
      <c r="H55" s="193"/>
      <c r="I55" s="193"/>
      <c r="J55" s="193"/>
      <c r="K55" s="193"/>
      <c r="L55" s="193"/>
      <c r="M55" s="193"/>
      <c r="N55" s="193"/>
      <c r="O55" s="193"/>
      <c r="P55" s="195"/>
      <c r="Q55" s="125"/>
      <c r="S55" s="126"/>
      <c r="T55" s="126"/>
      <c r="U55" s="126"/>
      <c r="V55" s="126"/>
    </row>
    <row r="56" spans="3:22" x14ac:dyDescent="0.55000000000000004">
      <c r="C56" s="194"/>
      <c r="D56" s="194"/>
      <c r="E56" s="138" t="str">
        <f>'2 Customer data'!D58&amp;" "&amp;"information"</f>
        <v>Commercial information</v>
      </c>
      <c r="P56" s="196"/>
      <c r="Q56" s="125"/>
      <c r="S56" s="126"/>
      <c r="T56" s="126"/>
      <c r="U56" s="126"/>
      <c r="V56" s="126"/>
    </row>
    <row r="57" spans="3:22" x14ac:dyDescent="0.55000000000000004">
      <c r="C57" s="194"/>
      <c r="D57" s="194"/>
      <c r="P57" s="196"/>
      <c r="Q57" s="125"/>
      <c r="S57" s="126"/>
      <c r="T57" s="126"/>
      <c r="U57" s="126"/>
      <c r="V57" s="126"/>
    </row>
    <row r="58" spans="3:22" ht="28.8" x14ac:dyDescent="0.55000000000000004">
      <c r="C58" s="194"/>
      <c r="D58" s="194"/>
      <c r="F58" s="166" t="s">
        <v>28</v>
      </c>
      <c r="G58" s="166" t="s">
        <v>69</v>
      </c>
      <c r="H58" s="197" t="s">
        <v>70</v>
      </c>
      <c r="I58" s="166" t="s">
        <v>71</v>
      </c>
      <c r="J58" s="198" t="s">
        <v>277</v>
      </c>
      <c r="P58" s="196"/>
      <c r="Q58" s="125"/>
      <c r="S58" s="126"/>
      <c r="T58" s="126"/>
      <c r="U58" s="126"/>
      <c r="V58" s="126"/>
    </row>
    <row r="59" spans="3:22" x14ac:dyDescent="0.55000000000000004">
      <c r="C59" s="194"/>
      <c r="D59" s="194"/>
      <c r="E59" s="10" t="str">
        <f>'2 Customer data'!D58</f>
        <v>Commercial</v>
      </c>
      <c r="F59" s="113">
        <f>IFERROR(IF(VLOOKUP(E59,'2 Customer data'!$D$57:$M$76,6,FALSE)="",VLOOKUP(E59,'2 Customer data'!$D$57:$M$76,5,FALSE),VLOOKUP(E59,'2 Customer data'!$D$57:$M$76,6,FALSE)),0)</f>
        <v>737.38599999999997</v>
      </c>
      <c r="G59" s="113">
        <f ca="1">IFERROR(VLOOKUP(E59,'2 Sanitation'!$D$19:$J$38,5,FALSE),0)</f>
        <v>2672361.1153658675</v>
      </c>
      <c r="H59" s="113">
        <f ca="1">IFERROR(VLOOKUP(E59,'2 Sanitation'!$D$19:$J$38,6,FALSE),0)</f>
        <v>3250152.332327561</v>
      </c>
      <c r="I59" s="113">
        <f ca="1">IFERROR(VLOOKUP(E59,'2 Sanitation'!$D$153:$K$172,8,FALSE),0)</f>
        <v>5050219.4596145703</v>
      </c>
      <c r="J59" s="199">
        <f>IFERROR(IF(VLOOKUP(E59,'2 Customer data'!$D$57:$M$76,8,FALSE)="",VLOOKUP(E59,'2 Customer data'!$D$57:$M$76,7,FALSE),VLOOKUP(E59,'2 Customer data'!$D$57:$M$76,8,FALSE)),0)</f>
        <v>849636.07299999997</v>
      </c>
      <c r="P59" s="196"/>
      <c r="Q59" s="125"/>
      <c r="S59" s="126"/>
      <c r="T59" s="126"/>
      <c r="U59" s="126"/>
      <c r="V59" s="126"/>
    </row>
    <row r="60" spans="3:22" ht="14.7" thickBot="1" x14ac:dyDescent="0.6">
      <c r="C60" s="194"/>
      <c r="D60" s="200"/>
      <c r="E60" s="201"/>
      <c r="F60" s="201"/>
      <c r="G60" s="201"/>
      <c r="H60" s="201"/>
      <c r="I60" s="201"/>
      <c r="J60" s="201"/>
      <c r="K60" s="201"/>
      <c r="L60" s="201"/>
      <c r="M60" s="201"/>
      <c r="N60" s="201"/>
      <c r="O60" s="201"/>
      <c r="P60" s="202"/>
      <c r="Q60" s="125"/>
      <c r="S60" s="126"/>
      <c r="T60" s="126"/>
      <c r="U60" s="126"/>
      <c r="V60" s="126"/>
    </row>
    <row r="61" spans="3:22" ht="14.7" thickBot="1" x14ac:dyDescent="0.6">
      <c r="C61" s="194"/>
      <c r="Q61" s="125"/>
      <c r="S61" s="126"/>
      <c r="T61" s="126"/>
      <c r="U61" s="126"/>
      <c r="V61" s="126"/>
    </row>
    <row r="62" spans="3:22" x14ac:dyDescent="0.55000000000000004">
      <c r="C62" s="194"/>
      <c r="D62" s="192"/>
      <c r="E62" s="193"/>
      <c r="F62" s="193"/>
      <c r="G62" s="193"/>
      <c r="H62" s="193"/>
      <c r="I62" s="193"/>
      <c r="J62" s="193"/>
      <c r="K62" s="193"/>
      <c r="L62" s="193"/>
      <c r="M62" s="193"/>
      <c r="N62" s="193"/>
      <c r="O62" s="193"/>
      <c r="P62" s="195"/>
      <c r="Q62" s="125"/>
      <c r="S62" s="126"/>
      <c r="T62" s="126"/>
      <c r="U62" s="126"/>
      <c r="V62" s="126"/>
    </row>
    <row r="63" spans="3:22" x14ac:dyDescent="0.55000000000000004">
      <c r="C63" s="194"/>
      <c r="D63" s="194"/>
      <c r="E63" s="138" t="s">
        <v>93</v>
      </c>
      <c r="P63" s="196"/>
      <c r="Q63" s="125"/>
      <c r="S63" s="126"/>
      <c r="T63" s="126"/>
      <c r="U63" s="126"/>
      <c r="V63" s="126"/>
    </row>
    <row r="64" spans="3:22" x14ac:dyDescent="0.55000000000000004">
      <c r="C64" s="194"/>
      <c r="D64" s="194"/>
      <c r="E64" s="203" t="s">
        <v>555</v>
      </c>
      <c r="P64" s="196"/>
      <c r="Q64" s="125"/>
      <c r="S64" s="126"/>
      <c r="T64" s="126"/>
      <c r="U64" s="126"/>
      <c r="V64" s="126"/>
    </row>
    <row r="65" spans="3:22" x14ac:dyDescent="0.55000000000000004">
      <c r="C65" s="194"/>
      <c r="D65" s="194"/>
      <c r="P65" s="196"/>
      <c r="Q65" s="125"/>
      <c r="S65" s="126"/>
      <c r="T65" s="126"/>
      <c r="U65" s="126"/>
      <c r="V65" s="126"/>
    </row>
    <row r="66" spans="3:22" ht="43.2" x14ac:dyDescent="0.55000000000000004">
      <c r="C66" s="194"/>
      <c r="D66" s="194"/>
      <c r="F66" s="166" t="s">
        <v>86</v>
      </c>
      <c r="G66" s="166" t="s">
        <v>73</v>
      </c>
      <c r="H66" s="166" t="s">
        <v>74</v>
      </c>
      <c r="I66" s="166" t="s">
        <v>75</v>
      </c>
      <c r="J66" s="166" t="s">
        <v>76</v>
      </c>
      <c r="P66" s="196"/>
      <c r="Q66" s="125"/>
      <c r="S66" s="126"/>
      <c r="T66" s="126"/>
      <c r="U66" s="126"/>
      <c r="V66" s="126"/>
    </row>
    <row r="67" spans="3:22" x14ac:dyDescent="0.55000000000000004">
      <c r="C67" s="194"/>
      <c r="D67" s="194"/>
      <c r="E67" s="10" t="str">
        <f>E59</f>
        <v>Commercial</v>
      </c>
      <c r="F67" s="113">
        <f ca="1">G59</f>
        <v>2672361.1153658675</v>
      </c>
      <c r="G67" s="204">
        <f ca="1">IFERROR(F67/F59/12,0)</f>
        <v>302.00839128193689</v>
      </c>
      <c r="H67" s="205"/>
      <c r="I67" s="113">
        <f>H67*F59*12</f>
        <v>0</v>
      </c>
      <c r="J67" s="70">
        <f>I67/12</f>
        <v>0</v>
      </c>
      <c r="P67" s="196"/>
      <c r="Q67" s="125"/>
      <c r="S67" s="126"/>
      <c r="T67" s="126"/>
      <c r="U67" s="126"/>
      <c r="V67" s="126"/>
    </row>
    <row r="68" spans="3:22" x14ac:dyDescent="0.55000000000000004">
      <c r="C68" s="194"/>
      <c r="D68" s="194"/>
      <c r="F68" s="58" t="str">
        <f ca="1">IF(I67&gt;I59,"Error: revenue from fixed charges exceeds total revenue required from tariff. Reduce fixed charge.","")</f>
        <v/>
      </c>
      <c r="G68" s="156"/>
      <c r="H68" s="156"/>
      <c r="I68" s="156"/>
      <c r="J68" s="158"/>
      <c r="P68" s="196"/>
      <c r="Q68" s="125"/>
      <c r="S68" s="126"/>
      <c r="T68" s="126"/>
      <c r="U68" s="126"/>
      <c r="V68" s="126"/>
    </row>
    <row r="69" spans="3:22" ht="14.7" thickBot="1" x14ac:dyDescent="0.6">
      <c r="C69" s="194"/>
      <c r="D69" s="200"/>
      <c r="E69" s="201"/>
      <c r="F69" s="201"/>
      <c r="G69" s="201"/>
      <c r="H69" s="201"/>
      <c r="I69" s="201"/>
      <c r="J69" s="201"/>
      <c r="K69" s="201"/>
      <c r="L69" s="201"/>
      <c r="M69" s="201"/>
      <c r="N69" s="201"/>
      <c r="O69" s="201"/>
      <c r="P69" s="202"/>
      <c r="Q69" s="125"/>
      <c r="S69" s="126"/>
      <c r="T69" s="126"/>
      <c r="U69" s="126"/>
      <c r="V69" s="126"/>
    </row>
    <row r="70" spans="3:22" ht="14.7" thickBot="1" x14ac:dyDescent="0.6">
      <c r="C70" s="194"/>
      <c r="Q70" s="125"/>
      <c r="S70" s="126"/>
      <c r="T70" s="126"/>
      <c r="U70" s="126"/>
      <c r="V70" s="126"/>
    </row>
    <row r="71" spans="3:22" x14ac:dyDescent="0.55000000000000004">
      <c r="C71" s="194"/>
      <c r="D71" s="192"/>
      <c r="E71" s="193"/>
      <c r="F71" s="193"/>
      <c r="G71" s="193"/>
      <c r="H71" s="193"/>
      <c r="I71" s="193"/>
      <c r="J71" s="193"/>
      <c r="K71" s="193"/>
      <c r="L71" s="193"/>
      <c r="M71" s="193"/>
      <c r="N71" s="193"/>
      <c r="O71" s="193"/>
      <c r="P71" s="195"/>
      <c r="Q71" s="125"/>
      <c r="S71" s="126"/>
      <c r="T71" s="126"/>
      <c r="U71" s="126"/>
      <c r="V71" s="126"/>
    </row>
    <row r="72" spans="3:22" x14ac:dyDescent="0.55000000000000004">
      <c r="C72" s="194"/>
      <c r="D72" s="194"/>
      <c r="E72" s="138" t="s">
        <v>96</v>
      </c>
      <c r="P72" s="196"/>
      <c r="Q72" s="125"/>
      <c r="S72" s="126"/>
      <c r="T72" s="126"/>
      <c r="U72" s="126"/>
      <c r="V72" s="126"/>
    </row>
    <row r="73" spans="3:22" ht="14.55" customHeight="1" x14ac:dyDescent="0.55000000000000004">
      <c r="C73" s="194"/>
      <c r="D73" s="194"/>
      <c r="E73" s="1825" t="s">
        <v>558</v>
      </c>
      <c r="F73" s="1825"/>
      <c r="G73" s="1825"/>
      <c r="H73" s="1825"/>
      <c r="I73" s="1825"/>
      <c r="J73" s="1825"/>
      <c r="K73" s="1825"/>
      <c r="L73" s="1825"/>
      <c r="M73" s="1825"/>
      <c r="N73" s="1825"/>
      <c r="O73" s="1825"/>
      <c r="P73" s="1826"/>
      <c r="Q73" s="125"/>
      <c r="S73" s="126"/>
      <c r="T73" s="126"/>
      <c r="U73" s="126"/>
      <c r="V73" s="126"/>
    </row>
    <row r="74" spans="3:22" x14ac:dyDescent="0.55000000000000004">
      <c r="C74" s="194"/>
      <c r="D74" s="194"/>
      <c r="E74" s="1825"/>
      <c r="F74" s="1825"/>
      <c r="G74" s="1825"/>
      <c r="H74" s="1825"/>
      <c r="I74" s="1825"/>
      <c r="J74" s="1825"/>
      <c r="K74" s="1825"/>
      <c r="L74" s="1825"/>
      <c r="M74" s="1825"/>
      <c r="N74" s="1825"/>
      <c r="O74" s="1825"/>
      <c r="P74" s="1826"/>
      <c r="Q74" s="125"/>
      <c r="S74" s="126"/>
      <c r="T74" s="126"/>
      <c r="U74" s="126"/>
      <c r="V74" s="126"/>
    </row>
    <row r="75" spans="3:22" x14ac:dyDescent="0.55000000000000004">
      <c r="C75" s="194"/>
      <c r="D75" s="194"/>
      <c r="P75" s="196"/>
      <c r="Q75" s="125"/>
      <c r="S75" s="126"/>
      <c r="T75" s="126"/>
      <c r="U75" s="126"/>
      <c r="V75" s="126"/>
    </row>
    <row r="76" spans="3:22" x14ac:dyDescent="0.55000000000000004">
      <c r="C76" s="194"/>
      <c r="D76" s="194"/>
      <c r="E76" s="206" t="s">
        <v>77</v>
      </c>
      <c r="H76" s="207">
        <v>1</v>
      </c>
      <c r="P76" s="196"/>
      <c r="Q76" s="125"/>
      <c r="S76" s="126"/>
      <c r="T76" s="126"/>
      <c r="U76" s="126"/>
      <c r="V76" s="126"/>
    </row>
    <row r="77" spans="3:22" x14ac:dyDescent="0.55000000000000004">
      <c r="C77" s="194"/>
      <c r="D77" s="194"/>
      <c r="E77" s="10" t="s">
        <v>612</v>
      </c>
      <c r="H77" s="159" t="s">
        <v>578</v>
      </c>
      <c r="P77" s="196"/>
      <c r="Q77" s="125"/>
      <c r="S77" s="126"/>
      <c r="T77" s="126"/>
      <c r="U77" s="126"/>
      <c r="V77" s="126"/>
    </row>
    <row r="78" spans="3:22" x14ac:dyDescent="0.55000000000000004">
      <c r="C78" s="194"/>
      <c r="D78" s="194"/>
      <c r="P78" s="196"/>
      <c r="Q78" s="125"/>
      <c r="S78" s="126"/>
      <c r="T78" s="126"/>
      <c r="U78" s="126"/>
      <c r="V78" s="126"/>
    </row>
    <row r="79" spans="3:22" ht="43.2" x14ac:dyDescent="0.55000000000000004">
      <c r="C79" s="194"/>
      <c r="D79" s="194"/>
      <c r="E79" s="166" t="s">
        <v>78</v>
      </c>
      <c r="F79" s="166" t="s">
        <v>99</v>
      </c>
      <c r="G79" s="197" t="s">
        <v>92</v>
      </c>
      <c r="H79" s="166" t="s">
        <v>80</v>
      </c>
      <c r="I79" s="166" t="s">
        <v>334</v>
      </c>
      <c r="J79" s="166" t="s">
        <v>335</v>
      </c>
      <c r="K79" s="166" t="s">
        <v>339</v>
      </c>
      <c r="L79" s="166" t="s">
        <v>336</v>
      </c>
      <c r="M79" s="166" t="s">
        <v>337</v>
      </c>
      <c r="N79" s="166" t="s">
        <v>338</v>
      </c>
      <c r="O79" s="166" t="s">
        <v>83</v>
      </c>
      <c r="P79" s="208"/>
      <c r="Q79" s="125"/>
      <c r="S79" s="126" t="s">
        <v>614</v>
      </c>
      <c r="T79" s="126" t="s">
        <v>615</v>
      </c>
      <c r="U79" s="126"/>
      <c r="V79" s="126"/>
    </row>
    <row r="80" spans="3:22" x14ac:dyDescent="0.55000000000000004">
      <c r="C80" s="194"/>
      <c r="D80" s="194"/>
      <c r="E80" s="209">
        <f>IF($H$76=U80,U80,1)</f>
        <v>1</v>
      </c>
      <c r="F80" s="210">
        <v>0.7</v>
      </c>
      <c r="G80" s="211">
        <v>0</v>
      </c>
      <c r="H80" s="212"/>
      <c r="I80" s="213"/>
      <c r="J80" s="70">
        <f>J59-SUMIF(E81:E89,"&lt;="&amp;$H$76,J81:J89)</f>
        <v>849636.07299999997</v>
      </c>
      <c r="K80" s="70">
        <f>F80*J80</f>
        <v>594745.25109999999</v>
      </c>
      <c r="L80" s="114">
        <f ca="1">IFERROR(IF(E80&lt;=H76,IF(H77="No",IF(I67=0,I59/SUMPRODUCT(S80:S89,K80:K89),(I59-I67)/SUMPRODUCT(S80:S89,K80:K89)),0),0),0)</f>
        <v>8.4913993853234313</v>
      </c>
      <c r="M80" s="44">
        <f ca="1">IFERROR(O80/J80,0)</f>
        <v>5.9439795697264017</v>
      </c>
      <c r="N80" s="199"/>
      <c r="O80" s="199">
        <f ca="1">K80*L80</f>
        <v>5050219.4596145693</v>
      </c>
      <c r="P80" s="214"/>
      <c r="Q80" s="125"/>
      <c r="S80" s="92">
        <f>IF(E80&lt;=$H$76,1,0)</f>
        <v>1</v>
      </c>
      <c r="T80" s="126"/>
      <c r="U80" s="126">
        <v>1</v>
      </c>
      <c r="V80" s="126"/>
    </row>
    <row r="81" spans="3:22" x14ac:dyDescent="0.55000000000000004">
      <c r="C81" s="194"/>
      <c r="D81" s="194"/>
      <c r="E81" s="209" t="str">
        <f t="shared" ref="E81:E89" si="8">IF($H$76&gt;=U81,U81,"")</f>
        <v/>
      </c>
      <c r="F81" s="210"/>
      <c r="G81" s="211">
        <f t="shared" ref="G81:G89" si="9">IF($H$76&gt;=F81,H80+0.01,"")</f>
        <v>0.01</v>
      </c>
      <c r="H81" s="212"/>
      <c r="I81" s="215"/>
      <c r="J81" s="216"/>
      <c r="K81" s="70">
        <f t="shared" ref="K81:K89" si="10">F81*J81</f>
        <v>0</v>
      </c>
      <c r="L81" s="114">
        <f>IFERROR(IF(E81&lt;=H76,IF(H77="No",L80*(1+I81),IF(I67=0,I59/SUMPRODUCT(T81:T89,K81:K89),(I59-I67)/SUMPRODUCT(T81:T89,K81:K89))),0),0)</f>
        <v>0</v>
      </c>
      <c r="M81" s="44">
        <f t="shared" ref="M81:M89" si="11">IFERROR(O81/J81,0)</f>
        <v>0</v>
      </c>
      <c r="N81" s="217">
        <f ca="1">IFERROR(M81/M80-1,"")</f>
        <v>-1</v>
      </c>
      <c r="O81" s="199">
        <f t="shared" ref="O81:O89" si="12">K81*L81</f>
        <v>0</v>
      </c>
      <c r="P81" s="214"/>
      <c r="Q81" s="125"/>
      <c r="S81" s="92">
        <f>IF(E81&lt;=$H$76,(1+I81),0)</f>
        <v>0</v>
      </c>
      <c r="T81" s="92">
        <f>IF(E81&lt;=H76,1,0)</f>
        <v>0</v>
      </c>
      <c r="U81" s="126">
        <v>2</v>
      </c>
      <c r="V81" s="126"/>
    </row>
    <row r="82" spans="3:22" x14ac:dyDescent="0.55000000000000004">
      <c r="C82" s="194"/>
      <c r="D82" s="194"/>
      <c r="E82" s="209" t="str">
        <f t="shared" si="8"/>
        <v/>
      </c>
      <c r="F82" s="210"/>
      <c r="G82" s="211">
        <f t="shared" si="9"/>
        <v>0.01</v>
      </c>
      <c r="H82" s="212"/>
      <c r="I82" s="215"/>
      <c r="J82" s="216"/>
      <c r="K82" s="70">
        <f t="shared" si="10"/>
        <v>0</v>
      </c>
      <c r="L82" s="204">
        <f t="shared" ref="L82:L89" si="13">IF(E82&lt;=$H$76,L81*(1+I82),0)</f>
        <v>0</v>
      </c>
      <c r="M82" s="44">
        <f t="shared" si="11"/>
        <v>0</v>
      </c>
      <c r="N82" s="217" t="str">
        <f t="shared" ref="N82:N89" si="14">IFERROR(M82/M81-1,"")</f>
        <v/>
      </c>
      <c r="O82" s="199">
        <f t="shared" si="12"/>
        <v>0</v>
      </c>
      <c r="P82" s="214"/>
      <c r="Q82" s="125"/>
      <c r="S82" s="92">
        <f t="shared" ref="S82:S89" si="15">IF(E82&lt;=$H$76,S81*(1+I82),0)</f>
        <v>0</v>
      </c>
      <c r="T82" s="92">
        <f>IF(E82&lt;=H76,T81*(1+I82),0)</f>
        <v>0</v>
      </c>
      <c r="U82" s="126">
        <v>3</v>
      </c>
      <c r="V82" s="126"/>
    </row>
    <row r="83" spans="3:22" x14ac:dyDescent="0.55000000000000004">
      <c r="C83" s="194"/>
      <c r="D83" s="194"/>
      <c r="E83" s="209" t="str">
        <f t="shared" si="8"/>
        <v/>
      </c>
      <c r="F83" s="210"/>
      <c r="G83" s="211">
        <f t="shared" si="9"/>
        <v>0.01</v>
      </c>
      <c r="H83" s="212"/>
      <c r="I83" s="215"/>
      <c r="J83" s="216"/>
      <c r="K83" s="70">
        <f t="shared" si="10"/>
        <v>0</v>
      </c>
      <c r="L83" s="204">
        <f t="shared" si="13"/>
        <v>0</v>
      </c>
      <c r="M83" s="44">
        <f t="shared" si="11"/>
        <v>0</v>
      </c>
      <c r="N83" s="217" t="str">
        <f t="shared" si="14"/>
        <v/>
      </c>
      <c r="O83" s="199">
        <f t="shared" si="12"/>
        <v>0</v>
      </c>
      <c r="P83" s="214"/>
      <c r="Q83" s="125"/>
      <c r="S83" s="92">
        <f t="shared" si="15"/>
        <v>0</v>
      </c>
      <c r="T83" s="92">
        <f>IF(E83&lt;=H76,T82*(1+I83),0)</f>
        <v>0</v>
      </c>
      <c r="U83" s="126">
        <v>4</v>
      </c>
      <c r="V83" s="126"/>
    </row>
    <row r="84" spans="3:22" x14ac:dyDescent="0.55000000000000004">
      <c r="C84" s="194"/>
      <c r="D84" s="194"/>
      <c r="E84" s="209" t="str">
        <f t="shared" si="8"/>
        <v/>
      </c>
      <c r="F84" s="210"/>
      <c r="G84" s="211">
        <f t="shared" si="9"/>
        <v>0.01</v>
      </c>
      <c r="H84" s="212"/>
      <c r="I84" s="215"/>
      <c r="J84" s="216"/>
      <c r="K84" s="70">
        <f t="shared" si="10"/>
        <v>0</v>
      </c>
      <c r="L84" s="204">
        <f t="shared" si="13"/>
        <v>0</v>
      </c>
      <c r="M84" s="44">
        <f t="shared" si="11"/>
        <v>0</v>
      </c>
      <c r="N84" s="217" t="str">
        <f t="shared" si="14"/>
        <v/>
      </c>
      <c r="O84" s="199">
        <f t="shared" si="12"/>
        <v>0</v>
      </c>
      <c r="P84" s="214"/>
      <c r="Q84" s="125"/>
      <c r="S84" s="92">
        <f t="shared" si="15"/>
        <v>0</v>
      </c>
      <c r="T84" s="92">
        <f>IF(E84&lt;=H76,T83*(1+I84),0)</f>
        <v>0</v>
      </c>
      <c r="U84" s="126">
        <v>5</v>
      </c>
      <c r="V84" s="126"/>
    </row>
    <row r="85" spans="3:22" x14ac:dyDescent="0.55000000000000004">
      <c r="C85" s="194"/>
      <c r="D85" s="194"/>
      <c r="E85" s="209" t="str">
        <f t="shared" si="8"/>
        <v/>
      </c>
      <c r="F85" s="210"/>
      <c r="G85" s="211">
        <f t="shared" si="9"/>
        <v>0.01</v>
      </c>
      <c r="H85" s="207"/>
      <c r="I85" s="215"/>
      <c r="J85" s="216"/>
      <c r="K85" s="70">
        <f t="shared" si="10"/>
        <v>0</v>
      </c>
      <c r="L85" s="204">
        <f t="shared" si="13"/>
        <v>0</v>
      </c>
      <c r="M85" s="44">
        <f t="shared" si="11"/>
        <v>0</v>
      </c>
      <c r="N85" s="217" t="str">
        <f t="shared" si="14"/>
        <v/>
      </c>
      <c r="O85" s="199">
        <f t="shared" si="12"/>
        <v>0</v>
      </c>
      <c r="P85" s="214"/>
      <c r="Q85" s="125"/>
      <c r="S85" s="92">
        <f t="shared" si="15"/>
        <v>0</v>
      </c>
      <c r="T85" s="92">
        <f>IF(E85&lt;=H76,T84*(1+I85),0)</f>
        <v>0</v>
      </c>
      <c r="U85" s="126">
        <v>6</v>
      </c>
      <c r="V85" s="126"/>
    </row>
    <row r="86" spans="3:22" x14ac:dyDescent="0.55000000000000004">
      <c r="C86" s="194"/>
      <c r="D86" s="194"/>
      <c r="E86" s="209" t="str">
        <f t="shared" si="8"/>
        <v/>
      </c>
      <c r="F86" s="210"/>
      <c r="G86" s="211">
        <f t="shared" si="9"/>
        <v>0.01</v>
      </c>
      <c r="H86" s="207"/>
      <c r="I86" s="215"/>
      <c r="J86" s="216"/>
      <c r="K86" s="70">
        <f t="shared" si="10"/>
        <v>0</v>
      </c>
      <c r="L86" s="204">
        <f t="shared" si="13"/>
        <v>0</v>
      </c>
      <c r="M86" s="44">
        <f t="shared" si="11"/>
        <v>0</v>
      </c>
      <c r="N86" s="217" t="str">
        <f t="shared" si="14"/>
        <v/>
      </c>
      <c r="O86" s="199">
        <f t="shared" si="12"/>
        <v>0</v>
      </c>
      <c r="P86" s="214"/>
      <c r="Q86" s="125"/>
      <c r="S86" s="92">
        <f t="shared" si="15"/>
        <v>0</v>
      </c>
      <c r="T86" s="92">
        <f>IF(E86&lt;=H76,T85*(1+I86),0)</f>
        <v>0</v>
      </c>
      <c r="U86" s="126">
        <v>7</v>
      </c>
      <c r="V86" s="126"/>
    </row>
    <row r="87" spans="3:22" x14ac:dyDescent="0.55000000000000004">
      <c r="C87" s="194"/>
      <c r="D87" s="194"/>
      <c r="E87" s="209" t="str">
        <f t="shared" si="8"/>
        <v/>
      </c>
      <c r="F87" s="210"/>
      <c r="G87" s="211">
        <f t="shared" si="9"/>
        <v>0.01</v>
      </c>
      <c r="H87" s="207"/>
      <c r="I87" s="215"/>
      <c r="J87" s="216"/>
      <c r="K87" s="70">
        <f t="shared" si="10"/>
        <v>0</v>
      </c>
      <c r="L87" s="204">
        <f t="shared" si="13"/>
        <v>0</v>
      </c>
      <c r="M87" s="44">
        <f t="shared" si="11"/>
        <v>0</v>
      </c>
      <c r="N87" s="217" t="str">
        <f t="shared" si="14"/>
        <v/>
      </c>
      <c r="O87" s="199">
        <f t="shared" si="12"/>
        <v>0</v>
      </c>
      <c r="P87" s="214"/>
      <c r="Q87" s="125"/>
      <c r="S87" s="92">
        <f t="shared" si="15"/>
        <v>0</v>
      </c>
      <c r="T87" s="92">
        <f>IF(E87&lt;=H76,T86*(1+I87),0)</f>
        <v>0</v>
      </c>
      <c r="U87" s="126">
        <v>8</v>
      </c>
      <c r="V87" s="126"/>
    </row>
    <row r="88" spans="3:22" x14ac:dyDescent="0.55000000000000004">
      <c r="C88" s="194"/>
      <c r="D88" s="194"/>
      <c r="E88" s="209" t="str">
        <f t="shared" si="8"/>
        <v/>
      </c>
      <c r="F88" s="210"/>
      <c r="G88" s="211">
        <f t="shared" si="9"/>
        <v>0.01</v>
      </c>
      <c r="H88" s="207"/>
      <c r="I88" s="215"/>
      <c r="J88" s="216"/>
      <c r="K88" s="70">
        <f t="shared" si="10"/>
        <v>0</v>
      </c>
      <c r="L88" s="204">
        <f t="shared" si="13"/>
        <v>0</v>
      </c>
      <c r="M88" s="44">
        <f t="shared" si="11"/>
        <v>0</v>
      </c>
      <c r="N88" s="217" t="str">
        <f t="shared" si="14"/>
        <v/>
      </c>
      <c r="O88" s="199">
        <f t="shared" si="12"/>
        <v>0</v>
      </c>
      <c r="P88" s="214"/>
      <c r="Q88" s="125"/>
      <c r="S88" s="92">
        <f t="shared" si="15"/>
        <v>0</v>
      </c>
      <c r="T88" s="92">
        <f>IF(E88&lt;=H76,T87*(1+I88),0)</f>
        <v>0</v>
      </c>
      <c r="U88" s="126">
        <v>9</v>
      </c>
      <c r="V88" s="126"/>
    </row>
    <row r="89" spans="3:22" x14ac:dyDescent="0.55000000000000004">
      <c r="C89" s="194"/>
      <c r="D89" s="194"/>
      <c r="E89" s="209" t="str">
        <f t="shared" si="8"/>
        <v/>
      </c>
      <c r="F89" s="210"/>
      <c r="G89" s="211">
        <f t="shared" si="9"/>
        <v>0.01</v>
      </c>
      <c r="H89" s="209" t="s">
        <v>84</v>
      </c>
      <c r="I89" s="215"/>
      <c r="J89" s="216"/>
      <c r="K89" s="70">
        <f t="shared" si="10"/>
        <v>0</v>
      </c>
      <c r="L89" s="204">
        <f t="shared" si="13"/>
        <v>0</v>
      </c>
      <c r="M89" s="44">
        <f t="shared" si="11"/>
        <v>0</v>
      </c>
      <c r="N89" s="217" t="str">
        <f t="shared" si="14"/>
        <v/>
      </c>
      <c r="O89" s="199">
        <f t="shared" si="12"/>
        <v>0</v>
      </c>
      <c r="P89" s="214"/>
      <c r="Q89" s="125"/>
      <c r="S89" s="92">
        <f t="shared" si="15"/>
        <v>0</v>
      </c>
      <c r="T89" s="92">
        <f>IF(E89&lt;=H76,T88*(1+I89),0)</f>
        <v>0</v>
      </c>
      <c r="U89" s="126">
        <v>10</v>
      </c>
      <c r="V89" s="126"/>
    </row>
    <row r="90" spans="3:22" ht="14.7" thickBot="1" x14ac:dyDescent="0.6">
      <c r="C90" s="194"/>
      <c r="D90" s="200"/>
      <c r="E90" s="201"/>
      <c r="F90" s="201"/>
      <c r="G90" s="201"/>
      <c r="H90" s="201"/>
      <c r="I90" s="201"/>
      <c r="J90" s="201"/>
      <c r="K90" s="201"/>
      <c r="L90" s="201"/>
      <c r="M90" s="201"/>
      <c r="N90" s="201"/>
      <c r="O90" s="201"/>
      <c r="P90" s="202"/>
      <c r="Q90" s="125"/>
      <c r="S90" s="126"/>
      <c r="T90" s="126"/>
      <c r="U90" s="126"/>
      <c r="V90" s="126"/>
    </row>
    <row r="91" spans="3:22" ht="14.7" thickBot="1" x14ac:dyDescent="0.6">
      <c r="C91" s="200"/>
      <c r="D91" s="201"/>
      <c r="E91" s="201"/>
      <c r="F91" s="201"/>
      <c r="G91" s="201"/>
      <c r="H91" s="201"/>
      <c r="I91" s="201"/>
      <c r="J91" s="201"/>
      <c r="K91" s="201"/>
      <c r="L91" s="201"/>
      <c r="M91" s="201"/>
      <c r="N91" s="201"/>
      <c r="O91" s="201"/>
      <c r="P91" s="201"/>
      <c r="Q91" s="132"/>
      <c r="S91" s="126"/>
      <c r="T91" s="126"/>
      <c r="U91" s="126"/>
      <c r="V91" s="126"/>
    </row>
    <row r="92" spans="3:22" ht="14.7" thickBot="1" x14ac:dyDescent="0.6">
      <c r="S92" s="126"/>
      <c r="T92" s="126"/>
      <c r="U92" s="126"/>
      <c r="V92" s="126"/>
    </row>
    <row r="93" spans="3:22" x14ac:dyDescent="0.55000000000000004">
      <c r="C93" s="192"/>
      <c r="D93" s="193"/>
      <c r="E93" s="193"/>
      <c r="F93" s="193"/>
      <c r="G93" s="193"/>
      <c r="H93" s="193"/>
      <c r="I93" s="193"/>
      <c r="J93" s="193"/>
      <c r="K93" s="193"/>
      <c r="L93" s="193"/>
      <c r="M93" s="193"/>
      <c r="N93" s="193"/>
      <c r="O93" s="193"/>
      <c r="P93" s="193"/>
      <c r="Q93" s="123"/>
      <c r="S93" s="126"/>
      <c r="T93" s="126"/>
      <c r="U93" s="126"/>
      <c r="V93" s="126"/>
    </row>
    <row r="94" spans="3:22" ht="18.3" x14ac:dyDescent="0.7">
      <c r="C94" s="194"/>
      <c r="D94" s="1824" t="str">
        <f>'2 Customer data'!D59</f>
        <v>Old Age Homes</v>
      </c>
      <c r="E94" s="1824"/>
      <c r="F94" s="1824"/>
      <c r="G94" s="1824"/>
      <c r="H94" s="1824"/>
      <c r="I94" s="1824"/>
      <c r="J94" s="1824"/>
      <c r="K94" s="1824"/>
      <c r="L94" s="1824"/>
      <c r="M94" s="1824"/>
      <c r="N94" s="1824"/>
      <c r="O94" s="1824"/>
      <c r="Q94" s="125"/>
      <c r="S94" s="126"/>
      <c r="T94" s="126"/>
      <c r="U94" s="126"/>
      <c r="V94" s="126"/>
    </row>
    <row r="95" spans="3:22" ht="14.7" thickBot="1" x14ac:dyDescent="0.6">
      <c r="C95" s="194"/>
      <c r="Q95" s="125"/>
      <c r="S95" s="126"/>
      <c r="T95" s="126"/>
      <c r="U95" s="126"/>
      <c r="V95" s="126"/>
    </row>
    <row r="96" spans="3:22" x14ac:dyDescent="0.55000000000000004">
      <c r="C96" s="194"/>
      <c r="D96" s="192"/>
      <c r="E96" s="193"/>
      <c r="F96" s="193"/>
      <c r="G96" s="193"/>
      <c r="H96" s="193"/>
      <c r="I96" s="193"/>
      <c r="J96" s="193"/>
      <c r="K96" s="193"/>
      <c r="L96" s="193"/>
      <c r="M96" s="193"/>
      <c r="N96" s="193"/>
      <c r="O96" s="193"/>
      <c r="P96" s="195"/>
      <c r="Q96" s="125"/>
      <c r="S96" s="126"/>
      <c r="T96" s="126"/>
      <c r="U96" s="126"/>
      <c r="V96" s="126"/>
    </row>
    <row r="97" spans="3:22" x14ac:dyDescent="0.55000000000000004">
      <c r="C97" s="194"/>
      <c r="D97" s="194"/>
      <c r="E97" s="138" t="str">
        <f>'2 Customer data'!D59&amp;" "&amp;"information"</f>
        <v>Old Age Homes information</v>
      </c>
      <c r="P97" s="196"/>
      <c r="Q97" s="125"/>
      <c r="S97" s="126"/>
      <c r="T97" s="126"/>
      <c r="U97" s="126"/>
      <c r="V97" s="126"/>
    </row>
    <row r="98" spans="3:22" x14ac:dyDescent="0.55000000000000004">
      <c r="C98" s="194"/>
      <c r="D98" s="194"/>
      <c r="P98" s="196"/>
      <c r="Q98" s="125"/>
      <c r="S98" s="126"/>
      <c r="T98" s="126"/>
      <c r="U98" s="126"/>
      <c r="V98" s="126"/>
    </row>
    <row r="99" spans="3:22" ht="28.8" x14ac:dyDescent="0.55000000000000004">
      <c r="C99" s="194"/>
      <c r="D99" s="194"/>
      <c r="F99" s="166" t="s">
        <v>28</v>
      </c>
      <c r="G99" s="166" t="s">
        <v>69</v>
      </c>
      <c r="H99" s="197" t="s">
        <v>70</v>
      </c>
      <c r="I99" s="166" t="s">
        <v>71</v>
      </c>
      <c r="J99" s="198" t="s">
        <v>277</v>
      </c>
      <c r="P99" s="196"/>
      <c r="Q99" s="125"/>
      <c r="S99" s="126"/>
      <c r="T99" s="126"/>
      <c r="U99" s="126"/>
      <c r="V99" s="126"/>
    </row>
    <row r="100" spans="3:22" x14ac:dyDescent="0.55000000000000004">
      <c r="C100" s="194"/>
      <c r="D100" s="194"/>
      <c r="E100" s="10" t="str">
        <f>'2 Customer data'!D59</f>
        <v>Old Age Homes</v>
      </c>
      <c r="F100" s="113">
        <f>IFERROR(IF(VLOOKUP(E100,'2 Customer data'!$D$57:$M$76,6,FALSE)="",VLOOKUP(E100,'2 Customer data'!$D$57:$M$76,5,FALSE),VLOOKUP(E100,'2 Customer data'!$D$57:$M$76,6,FALSE)),0)</f>
        <v>17.459</v>
      </c>
      <c r="G100" s="113">
        <f ca="1">IFERROR(VLOOKUP(E100,'2 Sanitation'!$D$19:$J$38,5,FALSE),0)</f>
        <v>63273.174040696031</v>
      </c>
      <c r="H100" s="113">
        <f ca="1">IFERROR(VLOOKUP(E100,'2 Sanitation'!$D$19:$J$38,6,FALSE),0)</f>
        <v>61459.500237438166</v>
      </c>
      <c r="I100" s="113">
        <f ca="1">IFERROR(VLOOKUP(E100,'2 Sanitation'!$D$153:$K$172,8,FALSE),0)</f>
        <v>78912.267658178927</v>
      </c>
      <c r="J100" s="218">
        <f>IFERROR(IF(VLOOKUP(E100,'2 Customer data'!$D$57:$M$76,8,FALSE)="",VLOOKUP(E100,'2 Customer data'!$D$57:$M$76,7,FALSE),VLOOKUP(E100,'2 Customer data'!$D$57:$M$76,8,FALSE)),0)</f>
        <v>16066.387999999999</v>
      </c>
      <c r="P100" s="196"/>
      <c r="Q100" s="125"/>
      <c r="S100" s="126"/>
      <c r="T100" s="126"/>
      <c r="U100" s="126"/>
      <c r="V100" s="126"/>
    </row>
    <row r="101" spans="3:22" ht="14.7" thickBot="1" x14ac:dyDescent="0.6">
      <c r="C101" s="194"/>
      <c r="D101" s="200"/>
      <c r="E101" s="201"/>
      <c r="F101" s="201"/>
      <c r="G101" s="201"/>
      <c r="H101" s="201"/>
      <c r="I101" s="201"/>
      <c r="J101" s="201"/>
      <c r="K101" s="201"/>
      <c r="L101" s="201"/>
      <c r="M101" s="201"/>
      <c r="N101" s="201"/>
      <c r="O101" s="201"/>
      <c r="P101" s="202"/>
      <c r="Q101" s="125"/>
      <c r="S101" s="126"/>
      <c r="T101" s="126"/>
      <c r="U101" s="126"/>
      <c r="V101" s="126"/>
    </row>
    <row r="102" spans="3:22" ht="14.7" thickBot="1" x14ac:dyDescent="0.6">
      <c r="C102" s="194"/>
      <c r="Q102" s="125"/>
      <c r="S102" s="126"/>
      <c r="T102" s="126"/>
      <c r="U102" s="126"/>
      <c r="V102" s="126"/>
    </row>
    <row r="103" spans="3:22" x14ac:dyDescent="0.55000000000000004">
      <c r="C103" s="194"/>
      <c r="D103" s="192"/>
      <c r="E103" s="193"/>
      <c r="F103" s="193"/>
      <c r="G103" s="193"/>
      <c r="H103" s="193"/>
      <c r="I103" s="193"/>
      <c r="J103" s="193"/>
      <c r="K103" s="193"/>
      <c r="L103" s="193"/>
      <c r="M103" s="193"/>
      <c r="N103" s="193"/>
      <c r="O103" s="193"/>
      <c r="P103" s="195"/>
      <c r="Q103" s="125"/>
      <c r="S103" s="126"/>
      <c r="T103" s="126"/>
      <c r="U103" s="126"/>
      <c r="V103" s="126"/>
    </row>
    <row r="104" spans="3:22" x14ac:dyDescent="0.55000000000000004">
      <c r="C104" s="194"/>
      <c r="D104" s="194"/>
      <c r="E104" s="138" t="s">
        <v>93</v>
      </c>
      <c r="P104" s="196"/>
      <c r="Q104" s="125"/>
      <c r="S104" s="126"/>
      <c r="T104" s="126"/>
      <c r="U104" s="126"/>
      <c r="V104" s="126"/>
    </row>
    <row r="105" spans="3:22" x14ac:dyDescent="0.55000000000000004">
      <c r="C105" s="194"/>
      <c r="D105" s="194"/>
      <c r="E105" s="203" t="s">
        <v>555</v>
      </c>
      <c r="P105" s="196"/>
      <c r="Q105" s="125"/>
      <c r="S105" s="126"/>
      <c r="T105" s="126"/>
      <c r="U105" s="126"/>
      <c r="V105" s="126"/>
    </row>
    <row r="106" spans="3:22" x14ac:dyDescent="0.55000000000000004">
      <c r="C106" s="194"/>
      <c r="D106" s="194"/>
      <c r="P106" s="196"/>
      <c r="Q106" s="125"/>
      <c r="S106" s="126"/>
      <c r="T106" s="126"/>
      <c r="U106" s="126"/>
      <c r="V106" s="126"/>
    </row>
    <row r="107" spans="3:22" ht="43.2" x14ac:dyDescent="0.55000000000000004">
      <c r="C107" s="194"/>
      <c r="D107" s="194"/>
      <c r="F107" s="166" t="s">
        <v>86</v>
      </c>
      <c r="G107" s="166" t="s">
        <v>73</v>
      </c>
      <c r="H107" s="166" t="s">
        <v>74</v>
      </c>
      <c r="I107" s="166" t="s">
        <v>75</v>
      </c>
      <c r="J107" s="166" t="s">
        <v>76</v>
      </c>
      <c r="P107" s="196"/>
      <c r="Q107" s="125"/>
      <c r="S107" s="126"/>
      <c r="T107" s="126"/>
      <c r="U107" s="126"/>
      <c r="V107" s="126"/>
    </row>
    <row r="108" spans="3:22" x14ac:dyDescent="0.55000000000000004">
      <c r="C108" s="194"/>
      <c r="D108" s="194"/>
      <c r="E108" s="10" t="str">
        <f>E100</f>
        <v>Old Age Homes</v>
      </c>
      <c r="F108" s="113">
        <f ca="1">G100</f>
        <v>63273.174040696031</v>
      </c>
      <c r="G108" s="204">
        <f ca="1">IFERROR(F108/F100/12,0)</f>
        <v>302.00839128193689</v>
      </c>
      <c r="H108" s="205"/>
      <c r="I108" s="113">
        <f>H108*F100*12</f>
        <v>0</v>
      </c>
      <c r="J108" s="70">
        <f>I108/12</f>
        <v>0</v>
      </c>
      <c r="P108" s="196"/>
      <c r="Q108" s="125"/>
      <c r="S108" s="126"/>
      <c r="T108" s="126"/>
      <c r="U108" s="126"/>
      <c r="V108" s="126"/>
    </row>
    <row r="109" spans="3:22" x14ac:dyDescent="0.55000000000000004">
      <c r="C109" s="194"/>
      <c r="D109" s="194"/>
      <c r="F109" s="58" t="str">
        <f ca="1">IF(I108&gt;I100,"Error: revenue from fixed charges exceeds total revenue required from tariff. Reduce fixed charge.","")</f>
        <v/>
      </c>
      <c r="G109" s="156"/>
      <c r="H109" s="156"/>
      <c r="I109" s="156"/>
      <c r="J109" s="158"/>
      <c r="P109" s="196"/>
      <c r="Q109" s="125"/>
      <c r="S109" s="126"/>
      <c r="T109" s="126"/>
      <c r="U109" s="126"/>
      <c r="V109" s="126"/>
    </row>
    <row r="110" spans="3:22" ht="14.7" thickBot="1" x14ac:dyDescent="0.6">
      <c r="C110" s="194"/>
      <c r="D110" s="200"/>
      <c r="E110" s="201"/>
      <c r="F110" s="201"/>
      <c r="G110" s="201"/>
      <c r="H110" s="201"/>
      <c r="I110" s="201"/>
      <c r="J110" s="201"/>
      <c r="K110" s="201"/>
      <c r="L110" s="201"/>
      <c r="M110" s="201"/>
      <c r="N110" s="201"/>
      <c r="O110" s="201"/>
      <c r="P110" s="202"/>
      <c r="Q110" s="125"/>
      <c r="S110" s="126"/>
      <c r="T110" s="126"/>
      <c r="U110" s="126"/>
      <c r="V110" s="126"/>
    </row>
    <row r="111" spans="3:22" ht="14.7" thickBot="1" x14ac:dyDescent="0.6">
      <c r="C111" s="194"/>
      <c r="Q111" s="125"/>
      <c r="S111" s="126"/>
      <c r="T111" s="126"/>
      <c r="U111" s="126"/>
      <c r="V111" s="126"/>
    </row>
    <row r="112" spans="3:22" x14ac:dyDescent="0.55000000000000004">
      <c r="C112" s="194"/>
      <c r="D112" s="192"/>
      <c r="E112" s="193"/>
      <c r="F112" s="193"/>
      <c r="G112" s="193"/>
      <c r="H112" s="193"/>
      <c r="I112" s="193"/>
      <c r="J112" s="193"/>
      <c r="K112" s="193"/>
      <c r="L112" s="193"/>
      <c r="M112" s="193"/>
      <c r="N112" s="193"/>
      <c r="O112" s="193"/>
      <c r="P112" s="195"/>
      <c r="Q112" s="125"/>
      <c r="S112" s="126"/>
      <c r="T112" s="126"/>
      <c r="U112" s="126"/>
      <c r="V112" s="126"/>
    </row>
    <row r="113" spans="3:22" x14ac:dyDescent="0.55000000000000004">
      <c r="C113" s="194"/>
      <c r="D113" s="194"/>
      <c r="E113" s="138" t="s">
        <v>96</v>
      </c>
      <c r="P113" s="196"/>
      <c r="Q113" s="125"/>
      <c r="S113" s="126"/>
      <c r="T113" s="126"/>
      <c r="U113" s="126"/>
      <c r="V113" s="126"/>
    </row>
    <row r="114" spans="3:22" ht="14.55" customHeight="1" x14ac:dyDescent="0.55000000000000004">
      <c r="C114" s="194"/>
      <c r="D114" s="194"/>
      <c r="E114" s="1825" t="s">
        <v>558</v>
      </c>
      <c r="F114" s="1825"/>
      <c r="G114" s="1825"/>
      <c r="H114" s="1825"/>
      <c r="I114" s="1825"/>
      <c r="J114" s="1825"/>
      <c r="K114" s="1825"/>
      <c r="L114" s="1825"/>
      <c r="M114" s="1825"/>
      <c r="N114" s="1825"/>
      <c r="O114" s="1825"/>
      <c r="P114" s="1826"/>
      <c r="Q114" s="125"/>
      <c r="S114" s="126"/>
      <c r="T114" s="126"/>
      <c r="U114" s="126"/>
      <c r="V114" s="126"/>
    </row>
    <row r="115" spans="3:22" x14ac:dyDescent="0.55000000000000004">
      <c r="C115" s="194"/>
      <c r="D115" s="194"/>
      <c r="E115" s="1825"/>
      <c r="F115" s="1825"/>
      <c r="G115" s="1825"/>
      <c r="H115" s="1825"/>
      <c r="I115" s="1825"/>
      <c r="J115" s="1825"/>
      <c r="K115" s="1825"/>
      <c r="L115" s="1825"/>
      <c r="M115" s="1825"/>
      <c r="N115" s="1825"/>
      <c r="O115" s="1825"/>
      <c r="P115" s="1826"/>
      <c r="Q115" s="125"/>
      <c r="S115" s="126"/>
      <c r="T115" s="126"/>
      <c r="U115" s="126"/>
      <c r="V115" s="126"/>
    </row>
    <row r="116" spans="3:22" x14ac:dyDescent="0.55000000000000004">
      <c r="C116" s="194"/>
      <c r="D116" s="194"/>
      <c r="P116" s="196"/>
      <c r="Q116" s="125"/>
      <c r="S116" s="126"/>
      <c r="T116" s="126"/>
      <c r="U116" s="126"/>
      <c r="V116" s="126"/>
    </row>
    <row r="117" spans="3:22" x14ac:dyDescent="0.55000000000000004">
      <c r="C117" s="194"/>
      <c r="D117" s="194"/>
      <c r="E117" s="206" t="s">
        <v>77</v>
      </c>
      <c r="H117" s="207">
        <v>1</v>
      </c>
      <c r="P117" s="196"/>
      <c r="Q117" s="125"/>
      <c r="S117" s="126"/>
      <c r="T117" s="126"/>
      <c r="U117" s="126"/>
      <c r="V117" s="126"/>
    </row>
    <row r="118" spans="3:22" x14ac:dyDescent="0.55000000000000004">
      <c r="C118" s="194"/>
      <c r="D118" s="194"/>
      <c r="E118" s="10" t="s">
        <v>612</v>
      </c>
      <c r="H118" s="159" t="s">
        <v>578</v>
      </c>
      <c r="P118" s="196"/>
      <c r="Q118" s="125"/>
      <c r="S118" s="126"/>
      <c r="T118" s="126"/>
      <c r="U118" s="126"/>
      <c r="V118" s="126"/>
    </row>
    <row r="119" spans="3:22" x14ac:dyDescent="0.55000000000000004">
      <c r="C119" s="194"/>
      <c r="D119" s="194"/>
      <c r="P119" s="196"/>
      <c r="Q119" s="125"/>
      <c r="S119" s="126"/>
      <c r="T119" s="126"/>
      <c r="U119" s="126"/>
      <c r="V119" s="126"/>
    </row>
    <row r="120" spans="3:22" ht="43.2" x14ac:dyDescent="0.55000000000000004">
      <c r="C120" s="194"/>
      <c r="D120" s="194"/>
      <c r="E120" s="166" t="s">
        <v>78</v>
      </c>
      <c r="F120" s="166" t="s">
        <v>99</v>
      </c>
      <c r="G120" s="197" t="s">
        <v>92</v>
      </c>
      <c r="H120" s="166" t="s">
        <v>80</v>
      </c>
      <c r="I120" s="166" t="s">
        <v>334</v>
      </c>
      <c r="J120" s="166" t="s">
        <v>335</v>
      </c>
      <c r="K120" s="166" t="s">
        <v>339</v>
      </c>
      <c r="L120" s="166" t="s">
        <v>336</v>
      </c>
      <c r="M120" s="166" t="s">
        <v>337</v>
      </c>
      <c r="N120" s="166" t="s">
        <v>338</v>
      </c>
      <c r="O120" s="166" t="s">
        <v>83</v>
      </c>
      <c r="P120" s="208"/>
      <c r="Q120" s="125"/>
      <c r="S120" s="126" t="s">
        <v>614</v>
      </c>
      <c r="T120" s="126" t="s">
        <v>615</v>
      </c>
      <c r="U120" s="126"/>
      <c r="V120" s="126"/>
    </row>
    <row r="121" spans="3:22" x14ac:dyDescent="0.55000000000000004">
      <c r="C121" s="194"/>
      <c r="D121" s="194"/>
      <c r="E121" s="209">
        <f>IF($H$117=U121,U121,1)</f>
        <v>1</v>
      </c>
      <c r="F121" s="210">
        <v>0.7</v>
      </c>
      <c r="G121" s="211">
        <v>0</v>
      </c>
      <c r="H121" s="212"/>
      <c r="I121" s="213"/>
      <c r="J121" s="70">
        <f>J100-SUMIF(E122:E130,"&lt;="&amp;$H$117,J122:J130)</f>
        <v>16066.387999999999</v>
      </c>
      <c r="K121" s="70">
        <f>F121*J121</f>
        <v>11246.471599999999</v>
      </c>
      <c r="L121" s="114">
        <f ca="1">IFERROR(IF(E121&lt;=H117,IF(H118="No",IF(I108=0,I100/SUMPRODUCT(S121:S130,K121:K130),(I100-I108)/SUMPRODUCT(S121:S130,K121:K130)),0),0),0)</f>
        <v>7.0166244547471166</v>
      </c>
      <c r="M121" s="44">
        <f ca="1">IFERROR(O121/J121,0)</f>
        <v>4.9116371183229814</v>
      </c>
      <c r="N121" s="199"/>
      <c r="O121" s="199">
        <f ca="1">K121*L121</f>
        <v>78912.267658178927</v>
      </c>
      <c r="P121" s="214"/>
      <c r="Q121" s="125"/>
      <c r="S121" s="92">
        <f>IF(E121&lt;=$H$117,1,0)</f>
        <v>1</v>
      </c>
      <c r="T121" s="126"/>
      <c r="U121" s="126">
        <v>1</v>
      </c>
      <c r="V121" s="126"/>
    </row>
    <row r="122" spans="3:22" x14ac:dyDescent="0.55000000000000004">
      <c r="C122" s="194"/>
      <c r="D122" s="194"/>
      <c r="E122" s="209" t="str">
        <f t="shared" ref="E122:E130" si="16">IF($H$117&gt;=U122,U122,"")</f>
        <v/>
      </c>
      <c r="F122" s="210"/>
      <c r="G122" s="211">
        <f t="shared" ref="G122:G130" si="17">IF($H$117&gt;=F122,H121+0.01,"")</f>
        <v>0.01</v>
      </c>
      <c r="H122" s="212"/>
      <c r="I122" s="215"/>
      <c r="J122" s="216"/>
      <c r="K122" s="70">
        <f t="shared" ref="K122:K130" si="18">F122*J122</f>
        <v>0</v>
      </c>
      <c r="L122" s="114">
        <f>IFERROR(IF(E122&lt;=H117,IF(H118="No",L121*(1+I122),IF(I108=0,I100/SUMPRODUCT(T122:T130,K122:K130),(I100-I108)/SUMPRODUCT(T122:T130,K122:K130))),0),0)</f>
        <v>0</v>
      </c>
      <c r="M122" s="44">
        <f t="shared" ref="M122:M130" si="19">IFERROR(O122/J122,0)</f>
        <v>0</v>
      </c>
      <c r="N122" s="217">
        <f ca="1">IFERROR(M122/M121-1,"")</f>
        <v>-1</v>
      </c>
      <c r="O122" s="199">
        <f t="shared" ref="O122:O130" si="20">K122*L122</f>
        <v>0</v>
      </c>
      <c r="P122" s="214"/>
      <c r="Q122" s="125"/>
      <c r="S122" s="92">
        <f>IF(E122&lt;=$H$117,(1+I122),0)</f>
        <v>0</v>
      </c>
      <c r="T122" s="92">
        <f>IF(E122&lt;=H117,1,0)</f>
        <v>0</v>
      </c>
      <c r="U122" s="126">
        <v>2</v>
      </c>
      <c r="V122" s="126"/>
    </row>
    <row r="123" spans="3:22" x14ac:dyDescent="0.55000000000000004">
      <c r="C123" s="194"/>
      <c r="D123" s="194"/>
      <c r="E123" s="209" t="str">
        <f t="shared" si="16"/>
        <v/>
      </c>
      <c r="F123" s="210"/>
      <c r="G123" s="211">
        <f t="shared" si="17"/>
        <v>0.01</v>
      </c>
      <c r="H123" s="212"/>
      <c r="I123" s="215"/>
      <c r="J123" s="216"/>
      <c r="K123" s="70">
        <f t="shared" si="18"/>
        <v>0</v>
      </c>
      <c r="L123" s="204">
        <f t="shared" ref="L123:L130" si="21">IF(E123&lt;=$H$117,L122*(1+I123),0)</f>
        <v>0</v>
      </c>
      <c r="M123" s="44">
        <f t="shared" si="19"/>
        <v>0</v>
      </c>
      <c r="N123" s="217" t="str">
        <f t="shared" ref="N123:N130" si="22">IFERROR(M123/M122-1,"")</f>
        <v/>
      </c>
      <c r="O123" s="199">
        <f t="shared" si="20"/>
        <v>0</v>
      </c>
      <c r="P123" s="214"/>
      <c r="Q123" s="125"/>
      <c r="S123" s="92">
        <f t="shared" ref="S123:S130" si="23">IF(E123&lt;=$H$117,S122*(1+I123),0)</f>
        <v>0</v>
      </c>
      <c r="T123" s="92">
        <f>IF(E123&lt;=H117,T122*(1+I123),0)</f>
        <v>0</v>
      </c>
      <c r="U123" s="126">
        <v>3</v>
      </c>
      <c r="V123" s="126"/>
    </row>
    <row r="124" spans="3:22" x14ac:dyDescent="0.55000000000000004">
      <c r="C124" s="194"/>
      <c r="D124" s="194"/>
      <c r="E124" s="209" t="str">
        <f t="shared" si="16"/>
        <v/>
      </c>
      <c r="F124" s="210"/>
      <c r="G124" s="211">
        <f t="shared" si="17"/>
        <v>0.01</v>
      </c>
      <c r="H124" s="212"/>
      <c r="I124" s="215"/>
      <c r="J124" s="216"/>
      <c r="K124" s="70">
        <f t="shared" si="18"/>
        <v>0</v>
      </c>
      <c r="L124" s="204">
        <f t="shared" si="21"/>
        <v>0</v>
      </c>
      <c r="M124" s="44">
        <f t="shared" si="19"/>
        <v>0</v>
      </c>
      <c r="N124" s="217" t="str">
        <f t="shared" si="22"/>
        <v/>
      </c>
      <c r="O124" s="199">
        <f t="shared" si="20"/>
        <v>0</v>
      </c>
      <c r="P124" s="214"/>
      <c r="Q124" s="125"/>
      <c r="S124" s="92">
        <f t="shared" si="23"/>
        <v>0</v>
      </c>
      <c r="T124" s="92">
        <f>IF(E124&lt;=H117,T123*(1+I124),0)</f>
        <v>0</v>
      </c>
      <c r="U124" s="126">
        <v>4</v>
      </c>
      <c r="V124" s="126"/>
    </row>
    <row r="125" spans="3:22" x14ac:dyDescent="0.55000000000000004">
      <c r="C125" s="194"/>
      <c r="D125" s="194"/>
      <c r="E125" s="209" t="str">
        <f t="shared" si="16"/>
        <v/>
      </c>
      <c r="F125" s="210"/>
      <c r="G125" s="211">
        <f t="shared" si="17"/>
        <v>0.01</v>
      </c>
      <c r="H125" s="212"/>
      <c r="I125" s="215"/>
      <c r="J125" s="216"/>
      <c r="K125" s="70">
        <f t="shared" si="18"/>
        <v>0</v>
      </c>
      <c r="L125" s="204">
        <f t="shared" si="21"/>
        <v>0</v>
      </c>
      <c r="M125" s="44">
        <f t="shared" si="19"/>
        <v>0</v>
      </c>
      <c r="N125" s="217" t="str">
        <f t="shared" si="22"/>
        <v/>
      </c>
      <c r="O125" s="199">
        <f t="shared" si="20"/>
        <v>0</v>
      </c>
      <c r="P125" s="214"/>
      <c r="Q125" s="125"/>
      <c r="S125" s="92">
        <f t="shared" si="23"/>
        <v>0</v>
      </c>
      <c r="T125" s="92">
        <f>IF(E125&lt;=H117,T124*(1+I125),0)</f>
        <v>0</v>
      </c>
      <c r="U125" s="126">
        <v>5</v>
      </c>
      <c r="V125" s="126"/>
    </row>
    <row r="126" spans="3:22" x14ac:dyDescent="0.55000000000000004">
      <c r="C126" s="194"/>
      <c r="D126" s="194"/>
      <c r="E126" s="209" t="str">
        <f t="shared" si="16"/>
        <v/>
      </c>
      <c r="F126" s="210"/>
      <c r="G126" s="211">
        <f t="shared" si="17"/>
        <v>0.01</v>
      </c>
      <c r="H126" s="207"/>
      <c r="I126" s="215"/>
      <c r="J126" s="216"/>
      <c r="K126" s="70">
        <f t="shared" si="18"/>
        <v>0</v>
      </c>
      <c r="L126" s="204">
        <f t="shared" si="21"/>
        <v>0</v>
      </c>
      <c r="M126" s="44">
        <f t="shared" si="19"/>
        <v>0</v>
      </c>
      <c r="N126" s="217" t="str">
        <f t="shared" si="22"/>
        <v/>
      </c>
      <c r="O126" s="199">
        <f t="shared" si="20"/>
        <v>0</v>
      </c>
      <c r="P126" s="214"/>
      <c r="Q126" s="125"/>
      <c r="S126" s="92">
        <f t="shared" si="23"/>
        <v>0</v>
      </c>
      <c r="T126" s="92">
        <f>IF(E126&lt;=H117,T125*(1+I126),0)</f>
        <v>0</v>
      </c>
      <c r="U126" s="126">
        <v>6</v>
      </c>
      <c r="V126" s="126"/>
    </row>
    <row r="127" spans="3:22" x14ac:dyDescent="0.55000000000000004">
      <c r="C127" s="194"/>
      <c r="D127" s="194"/>
      <c r="E127" s="209" t="str">
        <f t="shared" si="16"/>
        <v/>
      </c>
      <c r="F127" s="210"/>
      <c r="G127" s="211">
        <f t="shared" si="17"/>
        <v>0.01</v>
      </c>
      <c r="H127" s="207"/>
      <c r="I127" s="215"/>
      <c r="J127" s="216"/>
      <c r="K127" s="70">
        <f t="shared" si="18"/>
        <v>0</v>
      </c>
      <c r="L127" s="204">
        <f t="shared" si="21"/>
        <v>0</v>
      </c>
      <c r="M127" s="44">
        <f t="shared" si="19"/>
        <v>0</v>
      </c>
      <c r="N127" s="217" t="str">
        <f t="shared" si="22"/>
        <v/>
      </c>
      <c r="O127" s="199">
        <f t="shared" si="20"/>
        <v>0</v>
      </c>
      <c r="P127" s="214"/>
      <c r="Q127" s="125"/>
      <c r="S127" s="92">
        <f t="shared" si="23"/>
        <v>0</v>
      </c>
      <c r="T127" s="92">
        <f>IF(E127&lt;=H117,T126*(1+I127),0)</f>
        <v>0</v>
      </c>
      <c r="U127" s="126">
        <v>7</v>
      </c>
      <c r="V127" s="126"/>
    </row>
    <row r="128" spans="3:22" x14ac:dyDescent="0.55000000000000004">
      <c r="C128" s="194"/>
      <c r="D128" s="194"/>
      <c r="E128" s="209" t="str">
        <f t="shared" si="16"/>
        <v/>
      </c>
      <c r="F128" s="210"/>
      <c r="G128" s="211">
        <f t="shared" si="17"/>
        <v>0.01</v>
      </c>
      <c r="H128" s="207"/>
      <c r="I128" s="215"/>
      <c r="J128" s="216"/>
      <c r="K128" s="70">
        <f t="shared" si="18"/>
        <v>0</v>
      </c>
      <c r="L128" s="204">
        <f t="shared" si="21"/>
        <v>0</v>
      </c>
      <c r="M128" s="44">
        <f t="shared" si="19"/>
        <v>0</v>
      </c>
      <c r="N128" s="217" t="str">
        <f t="shared" si="22"/>
        <v/>
      </c>
      <c r="O128" s="199">
        <f t="shared" si="20"/>
        <v>0</v>
      </c>
      <c r="P128" s="214"/>
      <c r="Q128" s="125"/>
      <c r="S128" s="92">
        <f t="shared" si="23"/>
        <v>0</v>
      </c>
      <c r="T128" s="92">
        <f>IF(E128&lt;=H117,T127*(1+I128),0)</f>
        <v>0</v>
      </c>
      <c r="U128" s="126">
        <v>8</v>
      </c>
      <c r="V128" s="126"/>
    </row>
    <row r="129" spans="3:22" x14ac:dyDescent="0.55000000000000004">
      <c r="C129" s="194"/>
      <c r="D129" s="194"/>
      <c r="E129" s="209" t="str">
        <f t="shared" si="16"/>
        <v/>
      </c>
      <c r="F129" s="210"/>
      <c r="G129" s="211">
        <f t="shared" si="17"/>
        <v>0.01</v>
      </c>
      <c r="H129" s="207"/>
      <c r="I129" s="215"/>
      <c r="J129" s="216"/>
      <c r="K129" s="70">
        <f t="shared" si="18"/>
        <v>0</v>
      </c>
      <c r="L129" s="204">
        <f t="shared" si="21"/>
        <v>0</v>
      </c>
      <c r="M129" s="44">
        <f t="shared" si="19"/>
        <v>0</v>
      </c>
      <c r="N129" s="217" t="str">
        <f t="shared" si="22"/>
        <v/>
      </c>
      <c r="O129" s="199">
        <f t="shared" si="20"/>
        <v>0</v>
      </c>
      <c r="P129" s="214"/>
      <c r="Q129" s="125"/>
      <c r="S129" s="92">
        <f t="shared" si="23"/>
        <v>0</v>
      </c>
      <c r="T129" s="92">
        <f>IF(E129&lt;=H117,T128*(1+I129),0)</f>
        <v>0</v>
      </c>
      <c r="U129" s="126">
        <v>9</v>
      </c>
      <c r="V129" s="126"/>
    </row>
    <row r="130" spans="3:22" x14ac:dyDescent="0.55000000000000004">
      <c r="C130" s="194"/>
      <c r="D130" s="194"/>
      <c r="E130" s="209" t="str">
        <f t="shared" si="16"/>
        <v/>
      </c>
      <c r="F130" s="210"/>
      <c r="G130" s="211">
        <f t="shared" si="17"/>
        <v>0.01</v>
      </c>
      <c r="H130" s="209" t="s">
        <v>84</v>
      </c>
      <c r="I130" s="215"/>
      <c r="J130" s="216"/>
      <c r="K130" s="70">
        <f t="shared" si="18"/>
        <v>0</v>
      </c>
      <c r="L130" s="204">
        <f t="shared" si="21"/>
        <v>0</v>
      </c>
      <c r="M130" s="44">
        <f t="shared" si="19"/>
        <v>0</v>
      </c>
      <c r="N130" s="217" t="str">
        <f t="shared" si="22"/>
        <v/>
      </c>
      <c r="O130" s="199">
        <f t="shared" si="20"/>
        <v>0</v>
      </c>
      <c r="P130" s="214"/>
      <c r="Q130" s="125"/>
      <c r="S130" s="92">
        <f t="shared" si="23"/>
        <v>0</v>
      </c>
      <c r="T130" s="92">
        <f>IF(E130&lt;=H117,T129*(1+I130),0)</f>
        <v>0</v>
      </c>
      <c r="U130" s="126">
        <v>10</v>
      </c>
      <c r="V130" s="126"/>
    </row>
    <row r="131" spans="3:22" ht="14.7" thickBot="1" x14ac:dyDescent="0.6">
      <c r="C131" s="194"/>
      <c r="D131" s="200"/>
      <c r="E131" s="201"/>
      <c r="F131" s="201"/>
      <c r="G131" s="201"/>
      <c r="H131" s="201"/>
      <c r="I131" s="201"/>
      <c r="J131" s="201"/>
      <c r="K131" s="201"/>
      <c r="L131" s="201"/>
      <c r="M131" s="201"/>
      <c r="N131" s="201"/>
      <c r="O131" s="201"/>
      <c r="P131" s="202"/>
      <c r="Q131" s="125"/>
      <c r="S131" s="126"/>
      <c r="T131" s="126"/>
      <c r="U131" s="126"/>
      <c r="V131" s="126"/>
    </row>
    <row r="132" spans="3:22" ht="14.7" thickBot="1" x14ac:dyDescent="0.6">
      <c r="C132" s="200"/>
      <c r="D132" s="201"/>
      <c r="E132" s="201"/>
      <c r="F132" s="201"/>
      <c r="G132" s="201"/>
      <c r="H132" s="201"/>
      <c r="I132" s="201"/>
      <c r="J132" s="201"/>
      <c r="K132" s="201"/>
      <c r="L132" s="201"/>
      <c r="M132" s="201"/>
      <c r="N132" s="201"/>
      <c r="O132" s="201"/>
      <c r="P132" s="201"/>
      <c r="Q132" s="132"/>
      <c r="S132" s="126"/>
      <c r="T132" s="126"/>
      <c r="U132" s="126"/>
      <c r="V132" s="126"/>
    </row>
    <row r="133" spans="3:22" ht="14.7" thickBot="1" x14ac:dyDescent="0.6">
      <c r="S133" s="126"/>
      <c r="T133" s="126"/>
      <c r="U133" s="126"/>
      <c r="V133" s="126"/>
    </row>
    <row r="134" spans="3:22" x14ac:dyDescent="0.55000000000000004">
      <c r="C134" s="192"/>
      <c r="D134" s="193"/>
      <c r="E134" s="193"/>
      <c r="F134" s="193"/>
      <c r="G134" s="193"/>
      <c r="H134" s="193"/>
      <c r="I134" s="193"/>
      <c r="J134" s="193"/>
      <c r="K134" s="193"/>
      <c r="L134" s="193"/>
      <c r="M134" s="193"/>
      <c r="N134" s="193"/>
      <c r="O134" s="193"/>
      <c r="P134" s="193"/>
      <c r="Q134" s="123"/>
      <c r="S134" s="126"/>
      <c r="T134" s="126"/>
      <c r="U134" s="126"/>
      <c r="V134" s="126"/>
    </row>
    <row r="135" spans="3:22" ht="18.3" x14ac:dyDescent="0.7">
      <c r="C135" s="194"/>
      <c r="D135" s="1824" t="str">
        <f>'2 Customer data'!D60</f>
        <v>Safe Houses</v>
      </c>
      <c r="E135" s="1824"/>
      <c r="F135" s="1824"/>
      <c r="G135" s="1824"/>
      <c r="H135" s="1824"/>
      <c r="I135" s="1824"/>
      <c r="J135" s="1824"/>
      <c r="K135" s="1824"/>
      <c r="L135" s="1824"/>
      <c r="M135" s="1824"/>
      <c r="N135" s="1824"/>
      <c r="O135" s="1824"/>
      <c r="Q135" s="125"/>
      <c r="S135" s="126"/>
      <c r="T135" s="126"/>
      <c r="U135" s="126"/>
      <c r="V135" s="126"/>
    </row>
    <row r="136" spans="3:22" ht="14.7" thickBot="1" x14ac:dyDescent="0.6">
      <c r="C136" s="194"/>
      <c r="Q136" s="125"/>
      <c r="S136" s="126"/>
      <c r="T136" s="126"/>
      <c r="U136" s="126"/>
      <c r="V136" s="126"/>
    </row>
    <row r="137" spans="3:22" x14ac:dyDescent="0.55000000000000004">
      <c r="C137" s="194"/>
      <c r="D137" s="192"/>
      <c r="E137" s="193"/>
      <c r="F137" s="193"/>
      <c r="G137" s="193"/>
      <c r="H137" s="193"/>
      <c r="I137" s="193"/>
      <c r="J137" s="193"/>
      <c r="K137" s="193"/>
      <c r="L137" s="193"/>
      <c r="M137" s="193"/>
      <c r="N137" s="193"/>
      <c r="O137" s="193"/>
      <c r="P137" s="195"/>
      <c r="Q137" s="125"/>
      <c r="S137" s="126"/>
      <c r="T137" s="126"/>
      <c r="U137" s="126"/>
      <c r="V137" s="126"/>
    </row>
    <row r="138" spans="3:22" x14ac:dyDescent="0.55000000000000004">
      <c r="C138" s="194"/>
      <c r="D138" s="194"/>
      <c r="E138" s="138" t="str">
        <f>'2 Customer data'!D60&amp;" "&amp;"information"</f>
        <v>Safe Houses information</v>
      </c>
      <c r="P138" s="196"/>
      <c r="Q138" s="125"/>
      <c r="S138" s="126"/>
      <c r="T138" s="126"/>
      <c r="U138" s="126"/>
      <c r="V138" s="126"/>
    </row>
    <row r="139" spans="3:22" x14ac:dyDescent="0.55000000000000004">
      <c r="C139" s="194"/>
      <c r="D139" s="194"/>
      <c r="P139" s="196"/>
      <c r="Q139" s="125"/>
      <c r="S139" s="126"/>
      <c r="T139" s="126"/>
      <c r="U139" s="126"/>
      <c r="V139" s="126"/>
    </row>
    <row r="140" spans="3:22" ht="28.8" x14ac:dyDescent="0.55000000000000004">
      <c r="C140" s="194"/>
      <c r="D140" s="194"/>
      <c r="F140" s="166" t="s">
        <v>28</v>
      </c>
      <c r="G140" s="166" t="s">
        <v>69</v>
      </c>
      <c r="H140" s="197" t="s">
        <v>70</v>
      </c>
      <c r="I140" s="166" t="s">
        <v>71</v>
      </c>
      <c r="J140" s="198" t="s">
        <v>277</v>
      </c>
      <c r="P140" s="196"/>
      <c r="Q140" s="125"/>
      <c r="S140" s="126"/>
      <c r="T140" s="126"/>
      <c r="U140" s="126"/>
      <c r="V140" s="126"/>
    </row>
    <row r="141" spans="3:22" x14ac:dyDescent="0.55000000000000004">
      <c r="C141" s="194"/>
      <c r="D141" s="194"/>
      <c r="E141" s="10" t="str">
        <f>'2 Customer data'!D60</f>
        <v>Safe Houses</v>
      </c>
      <c r="F141" s="113">
        <f>IFERROR(IF(VLOOKUP(E141,'2 Customer data'!$D$57:$M$76,6,FALSE)="",VLOOKUP(E141,'2 Customer data'!$D$57:$M$76,5,FALSE),VLOOKUP(E141,'2 Customer data'!$D$57:$M$76,6,FALSE)),0)</f>
        <v>3.0809999999999995</v>
      </c>
      <c r="G141" s="113">
        <f ca="1">IFERROR(VLOOKUP(E141,'2 Sanitation'!$D$19:$J$38,5,FALSE),0)</f>
        <v>11165.854242475769</v>
      </c>
      <c r="H141" s="113">
        <f ca="1">IFERROR(VLOOKUP(E141,'2 Sanitation'!$D$19:$J$38,6,FALSE),0)</f>
        <v>14433.789559725634</v>
      </c>
      <c r="I141" s="113">
        <f ca="1">IFERROR(VLOOKUP(E141,'2 Sanitation'!$D$153:$K$172,8,FALSE),0)</f>
        <v>16195.643646417746</v>
      </c>
      <c r="J141" s="218">
        <f>IFERROR(IF(VLOOKUP(E141,'2 Customer data'!$D$57:$M$76,8,FALSE)="",VLOOKUP(E141,'2 Customer data'!$D$57:$M$76,7,FALSE),VLOOKUP(E141,'2 Customer data'!$D$57:$M$76,8,FALSE)),0)</f>
        <v>3773.1979999999999</v>
      </c>
      <c r="P141" s="196"/>
      <c r="Q141" s="125"/>
      <c r="S141" s="126"/>
      <c r="T141" s="126"/>
      <c r="U141" s="126"/>
      <c r="V141" s="126"/>
    </row>
    <row r="142" spans="3:22" ht="14.7" thickBot="1" x14ac:dyDescent="0.6">
      <c r="C142" s="194"/>
      <c r="D142" s="200"/>
      <c r="E142" s="201"/>
      <c r="F142" s="201"/>
      <c r="G142" s="201"/>
      <c r="H142" s="201"/>
      <c r="I142" s="201"/>
      <c r="J142" s="201"/>
      <c r="K142" s="201"/>
      <c r="L142" s="201"/>
      <c r="M142" s="201"/>
      <c r="N142" s="201"/>
      <c r="O142" s="201"/>
      <c r="P142" s="202"/>
      <c r="Q142" s="125"/>
      <c r="S142" s="126"/>
      <c r="T142" s="126"/>
      <c r="U142" s="126"/>
      <c r="V142" s="126"/>
    </row>
    <row r="143" spans="3:22" ht="14.7" thickBot="1" x14ac:dyDescent="0.6">
      <c r="C143" s="194"/>
      <c r="Q143" s="125"/>
      <c r="S143" s="126"/>
      <c r="T143" s="126"/>
      <c r="U143" s="126"/>
      <c r="V143" s="126"/>
    </row>
    <row r="144" spans="3:22" x14ac:dyDescent="0.55000000000000004">
      <c r="C144" s="194"/>
      <c r="D144" s="192"/>
      <c r="E144" s="193"/>
      <c r="F144" s="193"/>
      <c r="G144" s="193"/>
      <c r="H144" s="193"/>
      <c r="I144" s="193"/>
      <c r="J144" s="193"/>
      <c r="K144" s="193"/>
      <c r="L144" s="193"/>
      <c r="M144" s="193"/>
      <c r="N144" s="193"/>
      <c r="O144" s="193"/>
      <c r="P144" s="195"/>
      <c r="Q144" s="125"/>
      <c r="S144" s="126"/>
      <c r="T144" s="126"/>
      <c r="U144" s="126"/>
      <c r="V144" s="126"/>
    </row>
    <row r="145" spans="3:22" x14ac:dyDescent="0.55000000000000004">
      <c r="C145" s="194"/>
      <c r="D145" s="194"/>
      <c r="E145" s="138" t="s">
        <v>93</v>
      </c>
      <c r="P145" s="196"/>
      <c r="Q145" s="125"/>
      <c r="S145" s="126"/>
      <c r="T145" s="126"/>
      <c r="U145" s="126"/>
      <c r="V145" s="126"/>
    </row>
    <row r="146" spans="3:22" x14ac:dyDescent="0.55000000000000004">
      <c r="C146" s="194"/>
      <c r="D146" s="194"/>
      <c r="E146" s="203" t="s">
        <v>555</v>
      </c>
      <c r="P146" s="196"/>
      <c r="Q146" s="125"/>
      <c r="S146" s="126"/>
      <c r="T146" s="126"/>
      <c r="U146" s="126"/>
      <c r="V146" s="126"/>
    </row>
    <row r="147" spans="3:22" x14ac:dyDescent="0.55000000000000004">
      <c r="C147" s="194"/>
      <c r="D147" s="194"/>
      <c r="P147" s="196"/>
      <c r="Q147" s="125"/>
      <c r="S147" s="126"/>
      <c r="T147" s="126"/>
      <c r="U147" s="126"/>
      <c r="V147" s="126"/>
    </row>
    <row r="148" spans="3:22" ht="43.2" x14ac:dyDescent="0.55000000000000004">
      <c r="C148" s="194"/>
      <c r="D148" s="194"/>
      <c r="F148" s="166" t="s">
        <v>86</v>
      </c>
      <c r="G148" s="166" t="s">
        <v>73</v>
      </c>
      <c r="H148" s="166" t="s">
        <v>74</v>
      </c>
      <c r="I148" s="166" t="s">
        <v>75</v>
      </c>
      <c r="J148" s="166" t="s">
        <v>76</v>
      </c>
      <c r="P148" s="196"/>
      <c r="Q148" s="125"/>
      <c r="S148" s="126"/>
      <c r="T148" s="126"/>
      <c r="U148" s="126"/>
      <c r="V148" s="126"/>
    </row>
    <row r="149" spans="3:22" x14ac:dyDescent="0.55000000000000004">
      <c r="C149" s="194"/>
      <c r="D149" s="194"/>
      <c r="E149" s="10" t="str">
        <f>E141</f>
        <v>Safe Houses</v>
      </c>
      <c r="F149" s="113">
        <f ca="1">G141</f>
        <v>11165.854242475769</v>
      </c>
      <c r="G149" s="204">
        <f ca="1">IFERROR(F149/F141/12,0)</f>
        <v>302.00839128193689</v>
      </c>
      <c r="H149" s="205"/>
      <c r="I149" s="113">
        <f>H149*F141*12</f>
        <v>0</v>
      </c>
      <c r="J149" s="70">
        <f>I149/12</f>
        <v>0</v>
      </c>
      <c r="P149" s="196"/>
      <c r="Q149" s="125"/>
      <c r="S149" s="126"/>
      <c r="T149" s="126"/>
      <c r="U149" s="126"/>
      <c r="V149" s="126"/>
    </row>
    <row r="150" spans="3:22" x14ac:dyDescent="0.55000000000000004">
      <c r="C150" s="194"/>
      <c r="D150" s="194"/>
      <c r="F150" s="58" t="str">
        <f ca="1">IF(I149&gt;I141,"Error: revenue from fixed charges exceeds total revenue required from tariff. Reduce fixed charge.","")</f>
        <v/>
      </c>
      <c r="G150" s="156"/>
      <c r="H150" s="156"/>
      <c r="I150" s="156"/>
      <c r="J150" s="158"/>
      <c r="P150" s="196"/>
      <c r="Q150" s="125"/>
      <c r="S150" s="126"/>
      <c r="T150" s="126"/>
      <c r="U150" s="126"/>
      <c r="V150" s="126"/>
    </row>
    <row r="151" spans="3:22" ht="14.7" thickBot="1" x14ac:dyDescent="0.6">
      <c r="C151" s="194"/>
      <c r="D151" s="200"/>
      <c r="E151" s="201"/>
      <c r="F151" s="201"/>
      <c r="G151" s="201"/>
      <c r="H151" s="201"/>
      <c r="I151" s="201"/>
      <c r="J151" s="201"/>
      <c r="K151" s="201"/>
      <c r="L151" s="201"/>
      <c r="M151" s="201"/>
      <c r="N151" s="201"/>
      <c r="O151" s="201"/>
      <c r="P151" s="202"/>
      <c r="Q151" s="125"/>
      <c r="S151" s="126"/>
      <c r="T151" s="126"/>
      <c r="U151" s="126"/>
      <c r="V151" s="126"/>
    </row>
    <row r="152" spans="3:22" ht="14.7" thickBot="1" x14ac:dyDescent="0.6">
      <c r="C152" s="194"/>
      <c r="Q152" s="125"/>
      <c r="S152" s="126"/>
      <c r="T152" s="126"/>
      <c r="U152" s="126"/>
      <c r="V152" s="126"/>
    </row>
    <row r="153" spans="3:22" x14ac:dyDescent="0.55000000000000004">
      <c r="C153" s="194"/>
      <c r="D153" s="192"/>
      <c r="E153" s="193"/>
      <c r="F153" s="193"/>
      <c r="G153" s="193"/>
      <c r="H153" s="193"/>
      <c r="I153" s="193"/>
      <c r="J153" s="193"/>
      <c r="K153" s="193"/>
      <c r="L153" s="193"/>
      <c r="M153" s="193"/>
      <c r="N153" s="193"/>
      <c r="O153" s="193"/>
      <c r="P153" s="195"/>
      <c r="Q153" s="125"/>
      <c r="S153" s="126"/>
      <c r="T153" s="126"/>
      <c r="U153" s="126"/>
      <c r="V153" s="126"/>
    </row>
    <row r="154" spans="3:22" x14ac:dyDescent="0.55000000000000004">
      <c r="C154" s="194"/>
      <c r="D154" s="194"/>
      <c r="E154" s="138" t="s">
        <v>96</v>
      </c>
      <c r="P154" s="196"/>
      <c r="Q154" s="125"/>
      <c r="S154" s="126"/>
      <c r="T154" s="126"/>
      <c r="U154" s="126"/>
      <c r="V154" s="126"/>
    </row>
    <row r="155" spans="3:22" ht="14.55" customHeight="1" x14ac:dyDescent="0.55000000000000004">
      <c r="C155" s="194"/>
      <c r="D155" s="194"/>
      <c r="E155" s="1825" t="s">
        <v>558</v>
      </c>
      <c r="F155" s="1825"/>
      <c r="G155" s="1825"/>
      <c r="H155" s="1825"/>
      <c r="I155" s="1825"/>
      <c r="J155" s="1825"/>
      <c r="K155" s="1825"/>
      <c r="L155" s="1825"/>
      <c r="M155" s="1825"/>
      <c r="N155" s="1825"/>
      <c r="O155" s="1825"/>
      <c r="P155" s="1826"/>
      <c r="Q155" s="125"/>
      <c r="S155" s="126"/>
      <c r="T155" s="126"/>
      <c r="U155" s="126"/>
      <c r="V155" s="126"/>
    </row>
    <row r="156" spans="3:22" x14ac:dyDescent="0.55000000000000004">
      <c r="C156" s="194"/>
      <c r="D156" s="194"/>
      <c r="E156" s="1825"/>
      <c r="F156" s="1825"/>
      <c r="G156" s="1825"/>
      <c r="H156" s="1825"/>
      <c r="I156" s="1825"/>
      <c r="J156" s="1825"/>
      <c r="K156" s="1825"/>
      <c r="L156" s="1825"/>
      <c r="M156" s="1825"/>
      <c r="N156" s="1825"/>
      <c r="O156" s="1825"/>
      <c r="P156" s="1826"/>
      <c r="Q156" s="125"/>
      <c r="S156" s="126"/>
      <c r="T156" s="126"/>
      <c r="U156" s="126"/>
      <c r="V156" s="126"/>
    </row>
    <row r="157" spans="3:22" x14ac:dyDescent="0.55000000000000004">
      <c r="C157" s="194"/>
      <c r="D157" s="194"/>
      <c r="P157" s="196"/>
      <c r="Q157" s="125"/>
      <c r="S157" s="126"/>
      <c r="T157" s="126"/>
      <c r="U157" s="126"/>
      <c r="V157" s="126"/>
    </row>
    <row r="158" spans="3:22" x14ac:dyDescent="0.55000000000000004">
      <c r="C158" s="194"/>
      <c r="D158" s="194"/>
      <c r="E158" s="206" t="s">
        <v>77</v>
      </c>
      <c r="H158" s="207">
        <v>1</v>
      </c>
      <c r="P158" s="196"/>
      <c r="Q158" s="125"/>
      <c r="S158" s="126"/>
      <c r="T158" s="126"/>
      <c r="U158" s="126"/>
      <c r="V158" s="126"/>
    </row>
    <row r="159" spans="3:22" x14ac:dyDescent="0.55000000000000004">
      <c r="C159" s="194"/>
      <c r="D159" s="194"/>
      <c r="E159" s="10" t="s">
        <v>612</v>
      </c>
      <c r="H159" s="159" t="s">
        <v>578</v>
      </c>
      <c r="P159" s="196"/>
      <c r="Q159" s="125"/>
      <c r="S159" s="126"/>
      <c r="T159" s="126"/>
      <c r="U159" s="126"/>
      <c r="V159" s="126"/>
    </row>
    <row r="160" spans="3:22" x14ac:dyDescent="0.55000000000000004">
      <c r="C160" s="194"/>
      <c r="D160" s="194"/>
      <c r="P160" s="196"/>
      <c r="Q160" s="125"/>
      <c r="S160" s="126"/>
      <c r="T160" s="126"/>
      <c r="U160" s="126"/>
      <c r="V160" s="126"/>
    </row>
    <row r="161" spans="3:22" ht="43.2" x14ac:dyDescent="0.55000000000000004">
      <c r="C161" s="194"/>
      <c r="D161" s="194"/>
      <c r="E161" s="166" t="s">
        <v>78</v>
      </c>
      <c r="F161" s="166" t="s">
        <v>99</v>
      </c>
      <c r="G161" s="197" t="s">
        <v>92</v>
      </c>
      <c r="H161" s="166" t="s">
        <v>80</v>
      </c>
      <c r="I161" s="166" t="s">
        <v>334</v>
      </c>
      <c r="J161" s="166" t="s">
        <v>335</v>
      </c>
      <c r="K161" s="166" t="s">
        <v>339</v>
      </c>
      <c r="L161" s="166" t="s">
        <v>336</v>
      </c>
      <c r="M161" s="166" t="s">
        <v>337</v>
      </c>
      <c r="N161" s="166" t="s">
        <v>338</v>
      </c>
      <c r="O161" s="166" t="s">
        <v>83</v>
      </c>
      <c r="P161" s="208"/>
      <c r="Q161" s="125"/>
      <c r="S161" s="126" t="s">
        <v>614</v>
      </c>
      <c r="T161" s="126" t="s">
        <v>615</v>
      </c>
      <c r="U161" s="126"/>
      <c r="V161" s="126"/>
    </row>
    <row r="162" spans="3:22" x14ac:dyDescent="0.55000000000000004">
      <c r="C162" s="194"/>
      <c r="D162" s="194"/>
      <c r="E162" s="209">
        <f>IF($H$158=U162,U162,1)</f>
        <v>1</v>
      </c>
      <c r="F162" s="210">
        <v>0.7</v>
      </c>
      <c r="G162" s="211">
        <v>0</v>
      </c>
      <c r="H162" s="212"/>
      <c r="I162" s="213"/>
      <c r="J162" s="70">
        <f>J141-SUMIF(E163:E171,"&lt;="&amp;$H$158,J163:J171)</f>
        <v>3773.1979999999999</v>
      </c>
      <c r="K162" s="70">
        <f>F162*J162</f>
        <v>2641.2385999999997</v>
      </c>
      <c r="L162" s="114">
        <f ca="1">IFERROR(IF(E162&lt;=H158,IF(H159="No",IF(I149=0,I141/SUMPRODUCT(S162:S171,K162:K171),(I141-I149)/SUMPRODUCT(S162:S171,K162:K171)),0),0),0)</f>
        <v>6.1318366490697764</v>
      </c>
      <c r="M162" s="44">
        <f ca="1">IFERROR(O162/J162,0)</f>
        <v>4.2922856543488432</v>
      </c>
      <c r="N162" s="199"/>
      <c r="O162" s="199">
        <f ca="1">K162*L162</f>
        <v>16195.643646417746</v>
      </c>
      <c r="P162" s="214"/>
      <c r="Q162" s="125"/>
      <c r="S162" s="92">
        <f>IF(E162&lt;=$H$158,1,0)</f>
        <v>1</v>
      </c>
      <c r="T162" s="126"/>
      <c r="U162" s="126">
        <v>1</v>
      </c>
      <c r="V162" s="126"/>
    </row>
    <row r="163" spans="3:22" x14ac:dyDescent="0.55000000000000004">
      <c r="C163" s="194"/>
      <c r="D163" s="194"/>
      <c r="E163" s="209" t="str">
        <f t="shared" ref="E163:E171" si="24">IF($H$158&gt;=U163,U163,"")</f>
        <v/>
      </c>
      <c r="F163" s="210"/>
      <c r="G163" s="211">
        <f t="shared" ref="G163:G171" si="25">IF($H$158&gt;=F163,H162+0.01,"")</f>
        <v>0.01</v>
      </c>
      <c r="H163" s="212"/>
      <c r="I163" s="215"/>
      <c r="J163" s="216"/>
      <c r="K163" s="70">
        <f t="shared" ref="K163:K171" si="26">F163*J163</f>
        <v>0</v>
      </c>
      <c r="L163" s="114">
        <f>IFERROR(IF(E163&lt;=H158,IF(H159="No",L162*(1+I163),IF(I149=0,I141/SUMPRODUCT(T163:T171,K163:K171),(I141-I149)/SUMPRODUCT(T163:T171,K163:K171))),0),0)</f>
        <v>0</v>
      </c>
      <c r="M163" s="44">
        <f t="shared" ref="M163:M171" si="27">IFERROR(O163/J163,0)</f>
        <v>0</v>
      </c>
      <c r="N163" s="217">
        <f ca="1">IFERROR(M163/M162-1,"")</f>
        <v>-1</v>
      </c>
      <c r="O163" s="199">
        <f t="shared" ref="O163:O171" si="28">K163*L163</f>
        <v>0</v>
      </c>
      <c r="P163" s="214"/>
      <c r="Q163" s="125"/>
      <c r="S163" s="92">
        <f>IF(E163&lt;=$H$158,(1+I163),0)</f>
        <v>0</v>
      </c>
      <c r="T163" s="92">
        <f>IF(E163&lt;=H158,1,0)</f>
        <v>0</v>
      </c>
      <c r="U163" s="126">
        <v>2</v>
      </c>
      <c r="V163" s="126"/>
    </row>
    <row r="164" spans="3:22" x14ac:dyDescent="0.55000000000000004">
      <c r="C164" s="194"/>
      <c r="D164" s="194"/>
      <c r="E164" s="209" t="str">
        <f t="shared" si="24"/>
        <v/>
      </c>
      <c r="F164" s="210"/>
      <c r="G164" s="211">
        <f t="shared" si="25"/>
        <v>0.01</v>
      </c>
      <c r="H164" s="212"/>
      <c r="I164" s="215"/>
      <c r="J164" s="216"/>
      <c r="K164" s="70">
        <f t="shared" si="26"/>
        <v>0</v>
      </c>
      <c r="L164" s="204">
        <f t="shared" ref="L164:L171" si="29">IF(E164&lt;=$H$158,L163*(1+I164),0)</f>
        <v>0</v>
      </c>
      <c r="M164" s="44">
        <f t="shared" si="27"/>
        <v>0</v>
      </c>
      <c r="N164" s="217" t="str">
        <f t="shared" ref="N164:N171" si="30">IFERROR(M164/M163-1,"")</f>
        <v/>
      </c>
      <c r="O164" s="199">
        <f t="shared" si="28"/>
        <v>0</v>
      </c>
      <c r="P164" s="214"/>
      <c r="Q164" s="125"/>
      <c r="S164" s="92">
        <f t="shared" ref="S164:S171" si="31">IF(E164&lt;=$H$158,S163*(1+I164),0)</f>
        <v>0</v>
      </c>
      <c r="T164" s="92">
        <f>IF(E164&lt;=H158,T163*(1+I164),0)</f>
        <v>0</v>
      </c>
      <c r="U164" s="126">
        <v>3</v>
      </c>
      <c r="V164" s="126"/>
    </row>
    <row r="165" spans="3:22" x14ac:dyDescent="0.55000000000000004">
      <c r="C165" s="194"/>
      <c r="D165" s="194"/>
      <c r="E165" s="209" t="str">
        <f t="shared" si="24"/>
        <v/>
      </c>
      <c r="F165" s="210"/>
      <c r="G165" s="211">
        <f t="shared" si="25"/>
        <v>0.01</v>
      </c>
      <c r="H165" s="212"/>
      <c r="I165" s="215"/>
      <c r="J165" s="216"/>
      <c r="K165" s="70">
        <f t="shared" si="26"/>
        <v>0</v>
      </c>
      <c r="L165" s="204">
        <f t="shared" si="29"/>
        <v>0</v>
      </c>
      <c r="M165" s="44">
        <f t="shared" si="27"/>
        <v>0</v>
      </c>
      <c r="N165" s="217" t="str">
        <f t="shared" si="30"/>
        <v/>
      </c>
      <c r="O165" s="199">
        <f t="shared" si="28"/>
        <v>0</v>
      </c>
      <c r="P165" s="214"/>
      <c r="Q165" s="125"/>
      <c r="S165" s="92">
        <f t="shared" si="31"/>
        <v>0</v>
      </c>
      <c r="T165" s="92">
        <f>IF(E165&lt;=H158,T164*(1+I165),0)</f>
        <v>0</v>
      </c>
      <c r="U165" s="126">
        <v>4</v>
      </c>
      <c r="V165" s="126"/>
    </row>
    <row r="166" spans="3:22" x14ac:dyDescent="0.55000000000000004">
      <c r="C166" s="194"/>
      <c r="D166" s="194"/>
      <c r="E166" s="209" t="str">
        <f t="shared" si="24"/>
        <v/>
      </c>
      <c r="F166" s="210"/>
      <c r="G166" s="211">
        <f t="shared" si="25"/>
        <v>0.01</v>
      </c>
      <c r="H166" s="212"/>
      <c r="I166" s="215"/>
      <c r="J166" s="216"/>
      <c r="K166" s="70">
        <f t="shared" si="26"/>
        <v>0</v>
      </c>
      <c r="L166" s="204">
        <f t="shared" si="29"/>
        <v>0</v>
      </c>
      <c r="M166" s="44">
        <f t="shared" si="27"/>
        <v>0</v>
      </c>
      <c r="N166" s="217" t="str">
        <f t="shared" si="30"/>
        <v/>
      </c>
      <c r="O166" s="199">
        <f t="shared" si="28"/>
        <v>0</v>
      </c>
      <c r="P166" s="214"/>
      <c r="Q166" s="125"/>
      <c r="S166" s="92">
        <f t="shared" si="31"/>
        <v>0</v>
      </c>
      <c r="T166" s="92">
        <f>IF(E166&lt;=H158,T165*(1+I166),0)</f>
        <v>0</v>
      </c>
      <c r="U166" s="126">
        <v>5</v>
      </c>
      <c r="V166" s="126"/>
    </row>
    <row r="167" spans="3:22" x14ac:dyDescent="0.55000000000000004">
      <c r="C167" s="194"/>
      <c r="D167" s="194"/>
      <c r="E167" s="209" t="str">
        <f t="shared" si="24"/>
        <v/>
      </c>
      <c r="F167" s="210"/>
      <c r="G167" s="211">
        <f t="shared" si="25"/>
        <v>0.01</v>
      </c>
      <c r="H167" s="207"/>
      <c r="I167" s="215"/>
      <c r="J167" s="216"/>
      <c r="K167" s="70">
        <f t="shared" si="26"/>
        <v>0</v>
      </c>
      <c r="L167" s="204">
        <f t="shared" si="29"/>
        <v>0</v>
      </c>
      <c r="M167" s="44">
        <f t="shared" si="27"/>
        <v>0</v>
      </c>
      <c r="N167" s="217" t="str">
        <f t="shared" si="30"/>
        <v/>
      </c>
      <c r="O167" s="199">
        <f t="shared" si="28"/>
        <v>0</v>
      </c>
      <c r="P167" s="214"/>
      <c r="Q167" s="125"/>
      <c r="S167" s="92">
        <f t="shared" si="31"/>
        <v>0</v>
      </c>
      <c r="T167" s="92">
        <f>IF(E167&lt;=H158,T166*(1+I167),0)</f>
        <v>0</v>
      </c>
      <c r="U167" s="126">
        <v>6</v>
      </c>
      <c r="V167" s="126"/>
    </row>
    <row r="168" spans="3:22" x14ac:dyDescent="0.55000000000000004">
      <c r="C168" s="194"/>
      <c r="D168" s="194"/>
      <c r="E168" s="209" t="str">
        <f t="shared" si="24"/>
        <v/>
      </c>
      <c r="F168" s="210"/>
      <c r="G168" s="211">
        <f t="shared" si="25"/>
        <v>0.01</v>
      </c>
      <c r="H168" s="207"/>
      <c r="I168" s="215"/>
      <c r="J168" s="216"/>
      <c r="K168" s="70">
        <f t="shared" si="26"/>
        <v>0</v>
      </c>
      <c r="L168" s="204">
        <f t="shared" si="29"/>
        <v>0</v>
      </c>
      <c r="M168" s="44">
        <f t="shared" si="27"/>
        <v>0</v>
      </c>
      <c r="N168" s="217" t="str">
        <f t="shared" si="30"/>
        <v/>
      </c>
      <c r="O168" s="199">
        <f t="shared" si="28"/>
        <v>0</v>
      </c>
      <c r="P168" s="214"/>
      <c r="Q168" s="125"/>
      <c r="S168" s="92">
        <f t="shared" si="31"/>
        <v>0</v>
      </c>
      <c r="T168" s="92">
        <f>IF(E168&lt;=H158,T167*(1+I168),0)</f>
        <v>0</v>
      </c>
      <c r="U168" s="126">
        <v>7</v>
      </c>
      <c r="V168" s="126"/>
    </row>
    <row r="169" spans="3:22" x14ac:dyDescent="0.55000000000000004">
      <c r="C169" s="194"/>
      <c r="D169" s="194"/>
      <c r="E169" s="209" t="str">
        <f t="shared" si="24"/>
        <v/>
      </c>
      <c r="F169" s="210"/>
      <c r="G169" s="211">
        <f t="shared" si="25"/>
        <v>0.01</v>
      </c>
      <c r="H169" s="207"/>
      <c r="I169" s="215"/>
      <c r="J169" s="216"/>
      <c r="K169" s="70">
        <f t="shared" si="26"/>
        <v>0</v>
      </c>
      <c r="L169" s="204">
        <f t="shared" si="29"/>
        <v>0</v>
      </c>
      <c r="M169" s="44">
        <f t="shared" si="27"/>
        <v>0</v>
      </c>
      <c r="N169" s="217" t="str">
        <f t="shared" si="30"/>
        <v/>
      </c>
      <c r="O169" s="199">
        <f t="shared" si="28"/>
        <v>0</v>
      </c>
      <c r="P169" s="214"/>
      <c r="Q169" s="125"/>
      <c r="S169" s="92">
        <f t="shared" si="31"/>
        <v>0</v>
      </c>
      <c r="T169" s="92">
        <f>IF(E169&lt;=H158,T168*(1+I169),0)</f>
        <v>0</v>
      </c>
      <c r="U169" s="126">
        <v>8</v>
      </c>
      <c r="V169" s="126"/>
    </row>
    <row r="170" spans="3:22" x14ac:dyDescent="0.55000000000000004">
      <c r="C170" s="194"/>
      <c r="D170" s="194"/>
      <c r="E170" s="209" t="str">
        <f t="shared" si="24"/>
        <v/>
      </c>
      <c r="F170" s="210"/>
      <c r="G170" s="211">
        <f t="shared" si="25"/>
        <v>0.01</v>
      </c>
      <c r="H170" s="207"/>
      <c r="I170" s="215"/>
      <c r="J170" s="216"/>
      <c r="K170" s="70">
        <f t="shared" si="26"/>
        <v>0</v>
      </c>
      <c r="L170" s="204">
        <f t="shared" si="29"/>
        <v>0</v>
      </c>
      <c r="M170" s="44">
        <f t="shared" si="27"/>
        <v>0</v>
      </c>
      <c r="N170" s="217" t="str">
        <f t="shared" si="30"/>
        <v/>
      </c>
      <c r="O170" s="199">
        <f t="shared" si="28"/>
        <v>0</v>
      </c>
      <c r="P170" s="214"/>
      <c r="Q170" s="125"/>
      <c r="S170" s="92">
        <f t="shared" si="31"/>
        <v>0</v>
      </c>
      <c r="T170" s="92">
        <f>IF(E170&lt;=H158,T169*(1+I170),0)</f>
        <v>0</v>
      </c>
      <c r="U170" s="126">
        <v>9</v>
      </c>
      <c r="V170" s="126"/>
    </row>
    <row r="171" spans="3:22" x14ac:dyDescent="0.55000000000000004">
      <c r="C171" s="194"/>
      <c r="D171" s="194"/>
      <c r="E171" s="209" t="str">
        <f t="shared" si="24"/>
        <v/>
      </c>
      <c r="F171" s="210"/>
      <c r="G171" s="211">
        <f t="shared" si="25"/>
        <v>0.01</v>
      </c>
      <c r="H171" s="209" t="s">
        <v>84</v>
      </c>
      <c r="I171" s="215"/>
      <c r="J171" s="216"/>
      <c r="K171" s="70">
        <f t="shared" si="26"/>
        <v>0</v>
      </c>
      <c r="L171" s="204">
        <f t="shared" si="29"/>
        <v>0</v>
      </c>
      <c r="M171" s="44">
        <f t="shared" si="27"/>
        <v>0</v>
      </c>
      <c r="N171" s="217" t="str">
        <f t="shared" si="30"/>
        <v/>
      </c>
      <c r="O171" s="199">
        <f t="shared" si="28"/>
        <v>0</v>
      </c>
      <c r="P171" s="214"/>
      <c r="Q171" s="125"/>
      <c r="S171" s="92">
        <f t="shared" si="31"/>
        <v>0</v>
      </c>
      <c r="T171" s="92">
        <f>IF(E171&lt;=H158,T170*(1+I171),0)</f>
        <v>0</v>
      </c>
      <c r="U171" s="126">
        <v>10</v>
      </c>
      <c r="V171" s="126"/>
    </row>
    <row r="172" spans="3:22" ht="14.7" thickBot="1" x14ac:dyDescent="0.6">
      <c r="C172" s="194"/>
      <c r="D172" s="200"/>
      <c r="E172" s="201"/>
      <c r="F172" s="201"/>
      <c r="G172" s="201"/>
      <c r="H172" s="201"/>
      <c r="I172" s="201"/>
      <c r="J172" s="201"/>
      <c r="K172" s="201"/>
      <c r="L172" s="201"/>
      <c r="M172" s="201"/>
      <c r="N172" s="201"/>
      <c r="O172" s="201"/>
      <c r="P172" s="202"/>
      <c r="Q172" s="125"/>
      <c r="S172" s="126"/>
      <c r="T172" s="126"/>
      <c r="U172" s="126"/>
      <c r="V172" s="126"/>
    </row>
    <row r="173" spans="3:22" ht="14.7" thickBot="1" x14ac:dyDescent="0.6">
      <c r="C173" s="200"/>
      <c r="D173" s="201"/>
      <c r="E173" s="201"/>
      <c r="F173" s="201"/>
      <c r="G173" s="201"/>
      <c r="H173" s="201"/>
      <c r="I173" s="201"/>
      <c r="J173" s="201"/>
      <c r="K173" s="201"/>
      <c r="L173" s="201"/>
      <c r="M173" s="201"/>
      <c r="N173" s="201"/>
      <c r="O173" s="201"/>
      <c r="P173" s="201"/>
      <c r="Q173" s="132"/>
      <c r="S173" s="126"/>
      <c r="T173" s="126"/>
      <c r="U173" s="126"/>
      <c r="V173" s="126"/>
    </row>
    <row r="174" spans="3:22" ht="14.7" thickBot="1" x14ac:dyDescent="0.6">
      <c r="S174" s="126"/>
      <c r="T174" s="126"/>
      <c r="U174" s="126"/>
      <c r="V174" s="126"/>
    </row>
    <row r="175" spans="3:22" x14ac:dyDescent="0.55000000000000004">
      <c r="C175" s="192"/>
      <c r="D175" s="193"/>
      <c r="E175" s="193"/>
      <c r="F175" s="193"/>
      <c r="G175" s="193"/>
      <c r="H175" s="193"/>
      <c r="I175" s="193"/>
      <c r="J175" s="193"/>
      <c r="K175" s="193"/>
      <c r="L175" s="193"/>
      <c r="M175" s="193"/>
      <c r="N175" s="193"/>
      <c r="O175" s="193"/>
      <c r="P175" s="193"/>
      <c r="Q175" s="123"/>
      <c r="S175" s="126"/>
      <c r="T175" s="126"/>
      <c r="U175" s="126"/>
      <c r="V175" s="126"/>
    </row>
    <row r="176" spans="3:22" ht="18.3" x14ac:dyDescent="0.7">
      <c r="C176" s="194"/>
      <c r="D176" s="1824" t="str">
        <f>'2 Customer data'!D61</f>
        <v>Schools</v>
      </c>
      <c r="E176" s="1824"/>
      <c r="F176" s="1824"/>
      <c r="G176" s="1824"/>
      <c r="H176" s="1824"/>
      <c r="I176" s="1824"/>
      <c r="J176" s="1824"/>
      <c r="K176" s="1824"/>
      <c r="L176" s="1824"/>
      <c r="M176" s="1824"/>
      <c r="N176" s="1824"/>
      <c r="O176" s="1824"/>
      <c r="Q176" s="125"/>
      <c r="S176" s="126"/>
      <c r="T176" s="126"/>
      <c r="U176" s="126"/>
      <c r="V176" s="126"/>
    </row>
    <row r="177" spans="3:22" ht="14.7" thickBot="1" x14ac:dyDescent="0.6">
      <c r="C177" s="194"/>
      <c r="Q177" s="125"/>
      <c r="S177" s="126"/>
      <c r="T177" s="126"/>
      <c r="U177" s="126"/>
      <c r="V177" s="126"/>
    </row>
    <row r="178" spans="3:22" x14ac:dyDescent="0.55000000000000004">
      <c r="C178" s="194"/>
      <c r="D178" s="192"/>
      <c r="E178" s="193"/>
      <c r="F178" s="193"/>
      <c r="G178" s="193"/>
      <c r="H178" s="193"/>
      <c r="I178" s="193"/>
      <c r="J178" s="193"/>
      <c r="K178" s="193"/>
      <c r="L178" s="193"/>
      <c r="M178" s="193"/>
      <c r="N178" s="193"/>
      <c r="O178" s="193"/>
      <c r="P178" s="195"/>
      <c r="Q178" s="125"/>
      <c r="S178" s="126"/>
      <c r="T178" s="126"/>
      <c r="U178" s="126"/>
      <c r="V178" s="126"/>
    </row>
    <row r="179" spans="3:22" x14ac:dyDescent="0.55000000000000004">
      <c r="C179" s="194"/>
      <c r="D179" s="194"/>
      <c r="E179" s="138" t="str">
        <f>'2 Customer data'!D180&amp;" "&amp;"information"</f>
        <v xml:space="preserve"> information</v>
      </c>
      <c r="P179" s="196"/>
      <c r="Q179" s="125"/>
      <c r="S179" s="126"/>
      <c r="T179" s="126"/>
      <c r="U179" s="126"/>
      <c r="V179" s="126"/>
    </row>
    <row r="180" spans="3:22" x14ac:dyDescent="0.55000000000000004">
      <c r="C180" s="194"/>
      <c r="D180" s="194"/>
      <c r="P180" s="196"/>
      <c r="Q180" s="125"/>
      <c r="S180" s="126"/>
      <c r="T180" s="126"/>
      <c r="U180" s="126"/>
      <c r="V180" s="126"/>
    </row>
    <row r="181" spans="3:22" ht="28.8" x14ac:dyDescent="0.55000000000000004">
      <c r="C181" s="194"/>
      <c r="D181" s="194"/>
      <c r="F181" s="166" t="s">
        <v>28</v>
      </c>
      <c r="G181" s="166" t="s">
        <v>69</v>
      </c>
      <c r="H181" s="197" t="s">
        <v>70</v>
      </c>
      <c r="I181" s="166" t="s">
        <v>71</v>
      </c>
      <c r="J181" s="198" t="s">
        <v>277</v>
      </c>
      <c r="P181" s="196"/>
      <c r="Q181" s="125"/>
      <c r="S181" s="126"/>
      <c r="T181" s="126"/>
      <c r="U181" s="126"/>
      <c r="V181" s="126"/>
    </row>
    <row r="182" spans="3:22" x14ac:dyDescent="0.55000000000000004">
      <c r="C182" s="194"/>
      <c r="D182" s="194"/>
      <c r="E182" s="10" t="str">
        <f>'2 Customer data'!D61</f>
        <v>Schools</v>
      </c>
      <c r="F182" s="113">
        <f>IFERROR(IF(VLOOKUP(E182,'2 Customer data'!$D$57:$M$76,6,FALSE)="",VLOOKUP(E182,'2 Customer data'!$D$57:$M$76,5,FALSE),VLOOKUP(E182,'2 Customer data'!$D$57:$M$76,6,FALSE)),0)</f>
        <v>60.592999999999996</v>
      </c>
      <c r="G182" s="113">
        <f ca="1">IFERROR(VLOOKUP(E182,'2 Sanitation'!$D$19:$J$38,5,FALSE),0)</f>
        <v>219595.13343535681</v>
      </c>
      <c r="H182" s="113">
        <f ca="1">IFERROR(VLOOKUP(E182,'2 Sanitation'!$D$19:$J$38,6,FALSE),0)</f>
        <v>335662.21556422376</v>
      </c>
      <c r="I182" s="113">
        <f ca="1">IFERROR(VLOOKUP(E182,'2 Sanitation'!$D$153:$K$172,8,FALSE),0)</f>
        <v>473476.58958947379</v>
      </c>
      <c r="J182" s="199">
        <f>IFERROR(IF(VLOOKUP(E182,'2 Customer data'!$D$57:$M$76,8,FALSE)="",VLOOKUP(E182,'2 Customer data'!$D$57:$M$76,7,FALSE),VLOOKUP(E182,'2 Customer data'!$D$57:$M$76,8,FALSE)),0)</f>
        <v>87746.87999999999</v>
      </c>
      <c r="P182" s="196"/>
      <c r="Q182" s="125"/>
      <c r="S182" s="126"/>
      <c r="T182" s="126"/>
      <c r="U182" s="126"/>
      <c r="V182" s="126"/>
    </row>
    <row r="183" spans="3:22" ht="14.7" thickBot="1" x14ac:dyDescent="0.6">
      <c r="C183" s="194"/>
      <c r="D183" s="200"/>
      <c r="E183" s="201"/>
      <c r="F183" s="201"/>
      <c r="G183" s="201"/>
      <c r="H183" s="201"/>
      <c r="I183" s="201"/>
      <c r="J183" s="201"/>
      <c r="K183" s="201"/>
      <c r="L183" s="201"/>
      <c r="M183" s="201"/>
      <c r="N183" s="201"/>
      <c r="O183" s="201"/>
      <c r="P183" s="202"/>
      <c r="Q183" s="125"/>
      <c r="S183" s="126"/>
      <c r="T183" s="126"/>
      <c r="U183" s="126"/>
      <c r="V183" s="126"/>
    </row>
    <row r="184" spans="3:22" ht="14.7" thickBot="1" x14ac:dyDescent="0.6">
      <c r="C184" s="194"/>
      <c r="Q184" s="125"/>
      <c r="S184" s="126"/>
      <c r="T184" s="126"/>
      <c r="U184" s="126"/>
      <c r="V184" s="126"/>
    </row>
    <row r="185" spans="3:22" x14ac:dyDescent="0.55000000000000004">
      <c r="C185" s="194"/>
      <c r="D185" s="192"/>
      <c r="E185" s="193"/>
      <c r="F185" s="193"/>
      <c r="G185" s="193"/>
      <c r="H185" s="193"/>
      <c r="I185" s="193"/>
      <c r="J185" s="193"/>
      <c r="K185" s="193"/>
      <c r="L185" s="193"/>
      <c r="M185" s="193"/>
      <c r="N185" s="193"/>
      <c r="O185" s="193"/>
      <c r="P185" s="195"/>
      <c r="Q185" s="125"/>
      <c r="S185" s="126"/>
      <c r="T185" s="126"/>
      <c r="U185" s="126"/>
      <c r="V185" s="126"/>
    </row>
    <row r="186" spans="3:22" x14ac:dyDescent="0.55000000000000004">
      <c r="C186" s="194"/>
      <c r="D186" s="194"/>
      <c r="E186" s="138" t="s">
        <v>93</v>
      </c>
      <c r="P186" s="196"/>
      <c r="Q186" s="125"/>
      <c r="S186" s="126"/>
      <c r="T186" s="126"/>
      <c r="U186" s="126"/>
      <c r="V186" s="126"/>
    </row>
    <row r="187" spans="3:22" x14ac:dyDescent="0.55000000000000004">
      <c r="C187" s="194"/>
      <c r="D187" s="194"/>
      <c r="E187" s="203" t="s">
        <v>555</v>
      </c>
      <c r="P187" s="196"/>
      <c r="Q187" s="125"/>
      <c r="S187" s="126"/>
      <c r="T187" s="126"/>
      <c r="U187" s="126"/>
      <c r="V187" s="126"/>
    </row>
    <row r="188" spans="3:22" x14ac:dyDescent="0.55000000000000004">
      <c r="C188" s="194"/>
      <c r="D188" s="194"/>
      <c r="P188" s="196"/>
      <c r="Q188" s="125"/>
      <c r="S188" s="126"/>
      <c r="T188" s="126"/>
      <c r="U188" s="126"/>
      <c r="V188" s="126"/>
    </row>
    <row r="189" spans="3:22" ht="43.2" x14ac:dyDescent="0.55000000000000004">
      <c r="C189" s="194"/>
      <c r="D189" s="194"/>
      <c r="F189" s="166" t="s">
        <v>86</v>
      </c>
      <c r="G189" s="166" t="s">
        <v>73</v>
      </c>
      <c r="H189" s="166" t="s">
        <v>74</v>
      </c>
      <c r="I189" s="166" t="s">
        <v>75</v>
      </c>
      <c r="J189" s="166" t="s">
        <v>76</v>
      </c>
      <c r="P189" s="196"/>
      <c r="Q189" s="125"/>
      <c r="S189" s="126"/>
      <c r="T189" s="126"/>
      <c r="U189" s="126"/>
      <c r="V189" s="126"/>
    </row>
    <row r="190" spans="3:22" x14ac:dyDescent="0.55000000000000004">
      <c r="C190" s="194"/>
      <c r="D190" s="194"/>
      <c r="E190" s="10" t="str">
        <f>E182</f>
        <v>Schools</v>
      </c>
      <c r="F190" s="113">
        <f ca="1">G182</f>
        <v>219595.13343535681</v>
      </c>
      <c r="G190" s="204">
        <f ca="1">IFERROR(F190/F182/12,0)</f>
        <v>302.00839128193689</v>
      </c>
      <c r="H190" s="205"/>
      <c r="I190" s="113">
        <f>H190*F182*12</f>
        <v>0</v>
      </c>
      <c r="J190" s="70">
        <f>I190/12</f>
        <v>0</v>
      </c>
      <c r="P190" s="196"/>
      <c r="Q190" s="125"/>
      <c r="S190" s="126"/>
      <c r="T190" s="126"/>
      <c r="U190" s="126"/>
      <c r="V190" s="126"/>
    </row>
    <row r="191" spans="3:22" x14ac:dyDescent="0.55000000000000004">
      <c r="C191" s="194"/>
      <c r="D191" s="194"/>
      <c r="F191" s="58" t="str">
        <f>IF(I190&gt;I181,"Error: revenue from fixed charges exceeds total revenue required from tariff. Reduce fixed charge.","")</f>
        <v/>
      </c>
      <c r="G191" s="156"/>
      <c r="H191" s="156"/>
      <c r="I191" s="156"/>
      <c r="J191" s="158"/>
      <c r="P191" s="196"/>
      <c r="Q191" s="125"/>
      <c r="S191" s="126"/>
      <c r="T191" s="126"/>
      <c r="U191" s="126"/>
      <c r="V191" s="126"/>
    </row>
    <row r="192" spans="3:22" ht="14.7" thickBot="1" x14ac:dyDescent="0.6">
      <c r="C192" s="194"/>
      <c r="D192" s="200"/>
      <c r="E192" s="201"/>
      <c r="F192" s="201"/>
      <c r="G192" s="201"/>
      <c r="H192" s="201"/>
      <c r="I192" s="201"/>
      <c r="J192" s="201"/>
      <c r="K192" s="201"/>
      <c r="L192" s="201"/>
      <c r="M192" s="201"/>
      <c r="N192" s="201"/>
      <c r="O192" s="201"/>
      <c r="P192" s="202"/>
      <c r="Q192" s="125"/>
      <c r="S192" s="126"/>
      <c r="T192" s="126"/>
      <c r="U192" s="126"/>
      <c r="V192" s="126"/>
    </row>
    <row r="193" spans="3:22" ht="14.7" thickBot="1" x14ac:dyDescent="0.6">
      <c r="C193" s="194"/>
      <c r="Q193" s="125"/>
      <c r="S193" s="126"/>
      <c r="T193" s="126"/>
      <c r="U193" s="126"/>
      <c r="V193" s="126"/>
    </row>
    <row r="194" spans="3:22" x14ac:dyDescent="0.55000000000000004">
      <c r="C194" s="194"/>
      <c r="D194" s="192"/>
      <c r="E194" s="193"/>
      <c r="F194" s="193"/>
      <c r="G194" s="193"/>
      <c r="H194" s="193"/>
      <c r="I194" s="193"/>
      <c r="J194" s="193"/>
      <c r="K194" s="193"/>
      <c r="L194" s="193"/>
      <c r="M194" s="193"/>
      <c r="N194" s="193"/>
      <c r="O194" s="193"/>
      <c r="P194" s="195"/>
      <c r="Q194" s="125"/>
      <c r="S194" s="126"/>
      <c r="T194" s="126"/>
      <c r="U194" s="126"/>
      <c r="V194" s="126"/>
    </row>
    <row r="195" spans="3:22" x14ac:dyDescent="0.55000000000000004">
      <c r="C195" s="194"/>
      <c r="D195" s="194"/>
      <c r="E195" s="138" t="s">
        <v>96</v>
      </c>
      <c r="P195" s="196"/>
      <c r="Q195" s="125"/>
      <c r="S195" s="126"/>
      <c r="T195" s="126"/>
      <c r="U195" s="126"/>
      <c r="V195" s="126"/>
    </row>
    <row r="196" spans="3:22" ht="14.55" customHeight="1" x14ac:dyDescent="0.55000000000000004">
      <c r="C196" s="194"/>
      <c r="D196" s="194"/>
      <c r="E196" s="1825" t="s">
        <v>558</v>
      </c>
      <c r="F196" s="1825"/>
      <c r="G196" s="1825"/>
      <c r="H196" s="1825"/>
      <c r="I196" s="1825"/>
      <c r="J196" s="1825"/>
      <c r="K196" s="1825"/>
      <c r="L196" s="1825"/>
      <c r="M196" s="1825"/>
      <c r="N196" s="1825"/>
      <c r="O196" s="1825"/>
      <c r="P196" s="1826"/>
      <c r="Q196" s="125"/>
      <c r="S196" s="126"/>
      <c r="T196" s="126"/>
      <c r="U196" s="126"/>
      <c r="V196" s="126"/>
    </row>
    <row r="197" spans="3:22" x14ac:dyDescent="0.55000000000000004">
      <c r="C197" s="194"/>
      <c r="D197" s="194"/>
      <c r="E197" s="1825"/>
      <c r="F197" s="1825"/>
      <c r="G197" s="1825"/>
      <c r="H197" s="1825"/>
      <c r="I197" s="1825"/>
      <c r="J197" s="1825"/>
      <c r="K197" s="1825"/>
      <c r="L197" s="1825"/>
      <c r="M197" s="1825"/>
      <c r="N197" s="1825"/>
      <c r="O197" s="1825"/>
      <c r="P197" s="1826"/>
      <c r="Q197" s="125"/>
      <c r="S197" s="126"/>
      <c r="T197" s="126"/>
      <c r="U197" s="126"/>
      <c r="V197" s="126"/>
    </row>
    <row r="198" spans="3:22" x14ac:dyDescent="0.55000000000000004">
      <c r="C198" s="194"/>
      <c r="D198" s="194"/>
      <c r="P198" s="196"/>
      <c r="Q198" s="125"/>
      <c r="S198" s="126"/>
      <c r="T198" s="126"/>
      <c r="U198" s="126"/>
      <c r="V198" s="126"/>
    </row>
    <row r="199" spans="3:22" x14ac:dyDescent="0.55000000000000004">
      <c r="C199" s="194"/>
      <c r="D199" s="194"/>
      <c r="E199" s="206" t="s">
        <v>77</v>
      </c>
      <c r="H199" s="207">
        <v>1</v>
      </c>
      <c r="P199" s="196"/>
      <c r="Q199" s="125"/>
      <c r="S199" s="126"/>
      <c r="T199" s="126"/>
      <c r="U199" s="126"/>
      <c r="V199" s="126"/>
    </row>
    <row r="200" spans="3:22" x14ac:dyDescent="0.55000000000000004">
      <c r="C200" s="194"/>
      <c r="D200" s="194"/>
      <c r="E200" s="10" t="s">
        <v>612</v>
      </c>
      <c r="H200" s="159" t="s">
        <v>578</v>
      </c>
      <c r="P200" s="196"/>
      <c r="Q200" s="125"/>
      <c r="S200" s="126"/>
      <c r="T200" s="126"/>
      <c r="U200" s="126"/>
      <c r="V200" s="126"/>
    </row>
    <row r="201" spans="3:22" x14ac:dyDescent="0.55000000000000004">
      <c r="C201" s="194"/>
      <c r="D201" s="194"/>
      <c r="P201" s="196"/>
      <c r="Q201" s="125"/>
      <c r="S201" s="126"/>
      <c r="T201" s="126"/>
      <c r="U201" s="126"/>
      <c r="V201" s="126"/>
    </row>
    <row r="202" spans="3:22" ht="43.2" x14ac:dyDescent="0.55000000000000004">
      <c r="C202" s="194"/>
      <c r="D202" s="194"/>
      <c r="E202" s="166" t="s">
        <v>78</v>
      </c>
      <c r="F202" s="166" t="s">
        <v>99</v>
      </c>
      <c r="G202" s="197" t="s">
        <v>92</v>
      </c>
      <c r="H202" s="166" t="s">
        <v>80</v>
      </c>
      <c r="I202" s="166" t="s">
        <v>334</v>
      </c>
      <c r="J202" s="166" t="s">
        <v>335</v>
      </c>
      <c r="K202" s="166" t="s">
        <v>339</v>
      </c>
      <c r="L202" s="166" t="s">
        <v>336</v>
      </c>
      <c r="M202" s="166" t="s">
        <v>337</v>
      </c>
      <c r="N202" s="166" t="s">
        <v>338</v>
      </c>
      <c r="O202" s="166" t="s">
        <v>83</v>
      </c>
      <c r="P202" s="208"/>
      <c r="Q202" s="125"/>
      <c r="S202" s="126" t="s">
        <v>614</v>
      </c>
      <c r="T202" s="126" t="s">
        <v>615</v>
      </c>
      <c r="U202" s="126"/>
      <c r="V202" s="126"/>
    </row>
    <row r="203" spans="3:22" x14ac:dyDescent="0.55000000000000004">
      <c r="C203" s="194"/>
      <c r="D203" s="194"/>
      <c r="E203" s="209">
        <f>IF($H$199=U203,U203,1)</f>
        <v>1</v>
      </c>
      <c r="F203" s="210">
        <v>0.7</v>
      </c>
      <c r="G203" s="211">
        <v>0</v>
      </c>
      <c r="H203" s="212"/>
      <c r="I203" s="213"/>
      <c r="J203" s="70">
        <f>J182-SUMIF(E204:E212,"&lt;="&amp;$H$199,J204:J212)</f>
        <v>87746.87999999999</v>
      </c>
      <c r="K203" s="70">
        <f>F203*J203</f>
        <v>61422.815999999992</v>
      </c>
      <c r="L203" s="114">
        <f ca="1">IFERROR(IF(E203&lt;=H199,IF(H200="No",IF(I190=0,I182/SUMPRODUCT(S203:S212,K203:K212),(I182-I190)/SUMPRODUCT(S203:S212,K203:K212)),0),0),0)</f>
        <v>7.7084806660357916</v>
      </c>
      <c r="M203" s="44">
        <f ca="1">IFERROR(O203/J203,0)</f>
        <v>5.395936466225054</v>
      </c>
      <c r="N203" s="199"/>
      <c r="O203" s="199">
        <f ca="1">K203*L203</f>
        <v>473476.58958947379</v>
      </c>
      <c r="P203" s="214"/>
      <c r="Q203" s="125"/>
      <c r="S203" s="92">
        <f>IF(E203&lt;=$H$199,1,0)</f>
        <v>1</v>
      </c>
      <c r="T203" s="126"/>
      <c r="U203" s="126">
        <v>1</v>
      </c>
      <c r="V203" s="126"/>
    </row>
    <row r="204" spans="3:22" x14ac:dyDescent="0.55000000000000004">
      <c r="C204" s="194"/>
      <c r="D204" s="194"/>
      <c r="E204" s="209" t="str">
        <f t="shared" ref="E204:E212" si="32">IF($H$199&gt;=U204,U204,"")</f>
        <v/>
      </c>
      <c r="F204" s="210"/>
      <c r="G204" s="211">
        <f t="shared" ref="G204:G212" si="33">IF($H$199&gt;=F204,H203+0.01,"")</f>
        <v>0.01</v>
      </c>
      <c r="H204" s="212"/>
      <c r="I204" s="215"/>
      <c r="J204" s="216"/>
      <c r="K204" s="70">
        <f t="shared" ref="K204:K212" si="34">F204*J204</f>
        <v>0</v>
      </c>
      <c r="L204" s="114">
        <f>IFERROR(IF(E204&lt;=H199,IF(H200="No",L203*(1+I204),IF(I190=0,I182/SUMPRODUCT(T204:T212,K204:K212),(I182-I190)/SUMPRODUCT(T204:T212,K204:K212))),0),0)</f>
        <v>0</v>
      </c>
      <c r="M204" s="44">
        <f t="shared" ref="M204:M212" si="35">IFERROR(O204/J204,0)</f>
        <v>0</v>
      </c>
      <c r="N204" s="217">
        <f ca="1">IFERROR(M204/M203-1,"")</f>
        <v>-1</v>
      </c>
      <c r="O204" s="199">
        <f t="shared" ref="O204:O212" si="36">K204*L204</f>
        <v>0</v>
      </c>
      <c r="P204" s="214"/>
      <c r="Q204" s="125"/>
      <c r="S204" s="92">
        <f>IF(E204&lt;=$H$199,(1+I204),0)</f>
        <v>0</v>
      </c>
      <c r="T204" s="92">
        <f>IF(E204&lt;=H199,1,0)</f>
        <v>0</v>
      </c>
      <c r="U204" s="126">
        <v>2</v>
      </c>
      <c r="V204" s="126"/>
    </row>
    <row r="205" spans="3:22" x14ac:dyDescent="0.55000000000000004">
      <c r="C205" s="194"/>
      <c r="D205" s="194"/>
      <c r="E205" s="209" t="str">
        <f t="shared" si="32"/>
        <v/>
      </c>
      <c r="F205" s="210"/>
      <c r="G205" s="211">
        <f t="shared" si="33"/>
        <v>0.01</v>
      </c>
      <c r="H205" s="212"/>
      <c r="I205" s="215"/>
      <c r="J205" s="216"/>
      <c r="K205" s="70">
        <f t="shared" si="34"/>
        <v>0</v>
      </c>
      <c r="L205" s="204">
        <f t="shared" ref="L205:L212" si="37">IF(E205&lt;=$H$199,L204*(1+I205),0)</f>
        <v>0</v>
      </c>
      <c r="M205" s="44">
        <f t="shared" si="35"/>
        <v>0</v>
      </c>
      <c r="N205" s="217" t="str">
        <f t="shared" ref="N205:N212" si="38">IFERROR(M205/M204-1,"")</f>
        <v/>
      </c>
      <c r="O205" s="199">
        <f t="shared" si="36"/>
        <v>0</v>
      </c>
      <c r="P205" s="214"/>
      <c r="Q205" s="125"/>
      <c r="S205" s="92">
        <f t="shared" ref="S205:S212" si="39">IF(E205&lt;=$H$199,S204*(1+I205),0)</f>
        <v>0</v>
      </c>
      <c r="T205" s="92">
        <f>IF(E205&lt;=H199,T204*(1+I205),0)</f>
        <v>0</v>
      </c>
      <c r="U205" s="126">
        <v>3</v>
      </c>
      <c r="V205" s="126"/>
    </row>
    <row r="206" spans="3:22" x14ac:dyDescent="0.55000000000000004">
      <c r="C206" s="194"/>
      <c r="D206" s="194"/>
      <c r="E206" s="209" t="str">
        <f t="shared" si="32"/>
        <v/>
      </c>
      <c r="F206" s="210"/>
      <c r="G206" s="211">
        <f t="shared" si="33"/>
        <v>0.01</v>
      </c>
      <c r="H206" s="212"/>
      <c r="I206" s="215"/>
      <c r="J206" s="216"/>
      <c r="K206" s="70">
        <f t="shared" si="34"/>
        <v>0</v>
      </c>
      <c r="L206" s="204">
        <f t="shared" si="37"/>
        <v>0</v>
      </c>
      <c r="M206" s="44">
        <f t="shared" si="35"/>
        <v>0</v>
      </c>
      <c r="N206" s="217" t="str">
        <f t="shared" si="38"/>
        <v/>
      </c>
      <c r="O206" s="199">
        <f t="shared" si="36"/>
        <v>0</v>
      </c>
      <c r="P206" s="214"/>
      <c r="Q206" s="125"/>
      <c r="S206" s="92">
        <f t="shared" si="39"/>
        <v>0</v>
      </c>
      <c r="T206" s="92">
        <f>IF(E206&lt;=H199,T205*(1+I206),0)</f>
        <v>0</v>
      </c>
      <c r="U206" s="126">
        <v>4</v>
      </c>
      <c r="V206" s="126"/>
    </row>
    <row r="207" spans="3:22" x14ac:dyDescent="0.55000000000000004">
      <c r="C207" s="194"/>
      <c r="D207" s="194"/>
      <c r="E207" s="209" t="str">
        <f t="shared" si="32"/>
        <v/>
      </c>
      <c r="F207" s="210"/>
      <c r="G207" s="211">
        <f t="shared" si="33"/>
        <v>0.01</v>
      </c>
      <c r="H207" s="212"/>
      <c r="I207" s="215"/>
      <c r="J207" s="216"/>
      <c r="K207" s="70">
        <f t="shared" si="34"/>
        <v>0</v>
      </c>
      <c r="L207" s="204">
        <f t="shared" si="37"/>
        <v>0</v>
      </c>
      <c r="M207" s="44">
        <f t="shared" si="35"/>
        <v>0</v>
      </c>
      <c r="N207" s="217" t="str">
        <f t="shared" si="38"/>
        <v/>
      </c>
      <c r="O207" s="199">
        <f t="shared" si="36"/>
        <v>0</v>
      </c>
      <c r="P207" s="214"/>
      <c r="Q207" s="125"/>
      <c r="S207" s="92">
        <f t="shared" si="39"/>
        <v>0</v>
      </c>
      <c r="T207" s="92">
        <f>IF(E207&lt;=H199,T206*(1+I207),0)</f>
        <v>0</v>
      </c>
      <c r="U207" s="126">
        <v>5</v>
      </c>
      <c r="V207" s="126"/>
    </row>
    <row r="208" spans="3:22" x14ac:dyDescent="0.55000000000000004">
      <c r="C208" s="194"/>
      <c r="D208" s="194"/>
      <c r="E208" s="209" t="str">
        <f t="shared" si="32"/>
        <v/>
      </c>
      <c r="F208" s="210"/>
      <c r="G208" s="211">
        <f t="shared" si="33"/>
        <v>0.01</v>
      </c>
      <c r="H208" s="207"/>
      <c r="I208" s="215"/>
      <c r="J208" s="216"/>
      <c r="K208" s="70">
        <f t="shared" si="34"/>
        <v>0</v>
      </c>
      <c r="L208" s="204">
        <f t="shared" si="37"/>
        <v>0</v>
      </c>
      <c r="M208" s="44">
        <f t="shared" si="35"/>
        <v>0</v>
      </c>
      <c r="N208" s="217" t="str">
        <f t="shared" si="38"/>
        <v/>
      </c>
      <c r="O208" s="199">
        <f t="shared" si="36"/>
        <v>0</v>
      </c>
      <c r="P208" s="214"/>
      <c r="Q208" s="125"/>
      <c r="S208" s="92">
        <f t="shared" si="39"/>
        <v>0</v>
      </c>
      <c r="T208" s="92">
        <f>IF(E208&lt;=H199,T207*(1+I208),0)</f>
        <v>0</v>
      </c>
      <c r="U208" s="126">
        <v>6</v>
      </c>
      <c r="V208" s="126"/>
    </row>
    <row r="209" spans="3:22" x14ac:dyDescent="0.55000000000000004">
      <c r="C209" s="194"/>
      <c r="D209" s="194"/>
      <c r="E209" s="209" t="str">
        <f t="shared" si="32"/>
        <v/>
      </c>
      <c r="F209" s="210"/>
      <c r="G209" s="211">
        <f t="shared" si="33"/>
        <v>0.01</v>
      </c>
      <c r="H209" s="207"/>
      <c r="I209" s="215"/>
      <c r="J209" s="216"/>
      <c r="K209" s="70">
        <f t="shared" si="34"/>
        <v>0</v>
      </c>
      <c r="L209" s="204">
        <f t="shared" si="37"/>
        <v>0</v>
      </c>
      <c r="M209" s="44">
        <f t="shared" si="35"/>
        <v>0</v>
      </c>
      <c r="N209" s="217" t="str">
        <f t="shared" si="38"/>
        <v/>
      </c>
      <c r="O209" s="199">
        <f t="shared" si="36"/>
        <v>0</v>
      </c>
      <c r="P209" s="214"/>
      <c r="Q209" s="125"/>
      <c r="S209" s="92">
        <f t="shared" si="39"/>
        <v>0</v>
      </c>
      <c r="T209" s="92">
        <f>IF(E209&lt;=H199,T208*(1+I209),0)</f>
        <v>0</v>
      </c>
      <c r="U209" s="126">
        <v>7</v>
      </c>
      <c r="V209" s="126"/>
    </row>
    <row r="210" spans="3:22" x14ac:dyDescent="0.55000000000000004">
      <c r="C210" s="194"/>
      <c r="D210" s="194"/>
      <c r="E210" s="209" t="str">
        <f t="shared" si="32"/>
        <v/>
      </c>
      <c r="F210" s="210"/>
      <c r="G210" s="211">
        <f t="shared" si="33"/>
        <v>0.01</v>
      </c>
      <c r="H210" s="207"/>
      <c r="I210" s="215"/>
      <c r="J210" s="216"/>
      <c r="K210" s="70">
        <f t="shared" si="34"/>
        <v>0</v>
      </c>
      <c r="L210" s="204">
        <f t="shared" si="37"/>
        <v>0</v>
      </c>
      <c r="M210" s="44">
        <f t="shared" si="35"/>
        <v>0</v>
      </c>
      <c r="N210" s="217" t="str">
        <f t="shared" si="38"/>
        <v/>
      </c>
      <c r="O210" s="199">
        <f t="shared" si="36"/>
        <v>0</v>
      </c>
      <c r="P210" s="214"/>
      <c r="Q210" s="125"/>
      <c r="S210" s="92">
        <f t="shared" si="39"/>
        <v>0</v>
      </c>
      <c r="T210" s="92">
        <f>IF(E210&lt;=H199,T209*(1+I210),0)</f>
        <v>0</v>
      </c>
      <c r="U210" s="126">
        <v>8</v>
      </c>
      <c r="V210" s="126"/>
    </row>
    <row r="211" spans="3:22" x14ac:dyDescent="0.55000000000000004">
      <c r="C211" s="194"/>
      <c r="D211" s="194"/>
      <c r="E211" s="209" t="str">
        <f t="shared" si="32"/>
        <v/>
      </c>
      <c r="F211" s="210"/>
      <c r="G211" s="211">
        <f t="shared" si="33"/>
        <v>0.01</v>
      </c>
      <c r="H211" s="207"/>
      <c r="I211" s="215"/>
      <c r="J211" s="216"/>
      <c r="K211" s="70">
        <f t="shared" si="34"/>
        <v>0</v>
      </c>
      <c r="L211" s="204">
        <f t="shared" si="37"/>
        <v>0</v>
      </c>
      <c r="M211" s="44">
        <f t="shared" si="35"/>
        <v>0</v>
      </c>
      <c r="N211" s="217" t="str">
        <f t="shared" si="38"/>
        <v/>
      </c>
      <c r="O211" s="199">
        <f t="shared" si="36"/>
        <v>0</v>
      </c>
      <c r="P211" s="214"/>
      <c r="Q211" s="125"/>
      <c r="S211" s="92">
        <f t="shared" si="39"/>
        <v>0</v>
      </c>
      <c r="T211" s="92">
        <f>IF(E211&lt;=H199,T210*(1+I211),0)</f>
        <v>0</v>
      </c>
      <c r="U211" s="126">
        <v>9</v>
      </c>
      <c r="V211" s="126"/>
    </row>
    <row r="212" spans="3:22" x14ac:dyDescent="0.55000000000000004">
      <c r="C212" s="194"/>
      <c r="D212" s="194"/>
      <c r="E212" s="209" t="str">
        <f t="shared" si="32"/>
        <v/>
      </c>
      <c r="F212" s="210"/>
      <c r="G212" s="211">
        <f t="shared" si="33"/>
        <v>0.01</v>
      </c>
      <c r="H212" s="209" t="s">
        <v>84</v>
      </c>
      <c r="I212" s="215"/>
      <c r="J212" s="216"/>
      <c r="K212" s="70">
        <f t="shared" si="34"/>
        <v>0</v>
      </c>
      <c r="L212" s="204">
        <f t="shared" si="37"/>
        <v>0</v>
      </c>
      <c r="M212" s="44">
        <f t="shared" si="35"/>
        <v>0</v>
      </c>
      <c r="N212" s="217" t="str">
        <f t="shared" si="38"/>
        <v/>
      </c>
      <c r="O212" s="199">
        <f t="shared" si="36"/>
        <v>0</v>
      </c>
      <c r="P212" s="214"/>
      <c r="Q212" s="125"/>
      <c r="S212" s="92">
        <f t="shared" si="39"/>
        <v>0</v>
      </c>
      <c r="T212" s="92">
        <f>IF(E212&lt;=H199,T211*(1+I212),0)</f>
        <v>0</v>
      </c>
      <c r="U212" s="126">
        <v>10</v>
      </c>
      <c r="V212" s="126"/>
    </row>
    <row r="213" spans="3:22" ht="14.7" thickBot="1" x14ac:dyDescent="0.6">
      <c r="C213" s="194"/>
      <c r="D213" s="200"/>
      <c r="E213" s="201"/>
      <c r="F213" s="201"/>
      <c r="G213" s="201"/>
      <c r="H213" s="201"/>
      <c r="I213" s="201"/>
      <c r="J213" s="201"/>
      <c r="K213" s="201"/>
      <c r="L213" s="201"/>
      <c r="M213" s="201"/>
      <c r="N213" s="201"/>
      <c r="O213" s="201"/>
      <c r="P213" s="202"/>
      <c r="Q213" s="125"/>
      <c r="S213" s="126"/>
      <c r="T213" s="126"/>
      <c r="U213" s="126"/>
      <c r="V213" s="126"/>
    </row>
    <row r="214" spans="3:22" ht="14.7" thickBot="1" x14ac:dyDescent="0.6">
      <c r="C214" s="200"/>
      <c r="D214" s="201"/>
      <c r="E214" s="201"/>
      <c r="F214" s="201"/>
      <c r="G214" s="201"/>
      <c r="H214" s="201"/>
      <c r="I214" s="201"/>
      <c r="J214" s="201"/>
      <c r="K214" s="201"/>
      <c r="L214" s="201"/>
      <c r="M214" s="201"/>
      <c r="N214" s="201"/>
      <c r="O214" s="201"/>
      <c r="P214" s="201"/>
      <c r="Q214" s="132"/>
      <c r="S214" s="126"/>
      <c r="T214" s="126"/>
      <c r="U214" s="126"/>
      <c r="V214" s="126"/>
    </row>
    <row r="215" spans="3:22" ht="14.7" thickBot="1" x14ac:dyDescent="0.6">
      <c r="S215" s="126"/>
      <c r="T215" s="126"/>
      <c r="U215" s="126"/>
      <c r="V215" s="126"/>
    </row>
    <row r="216" spans="3:22" x14ac:dyDescent="0.55000000000000004">
      <c r="C216" s="192"/>
      <c r="D216" s="193"/>
      <c r="E216" s="193"/>
      <c r="F216" s="193"/>
      <c r="G216" s="193"/>
      <c r="H216" s="193"/>
      <c r="I216" s="193"/>
      <c r="J216" s="193"/>
      <c r="K216" s="193"/>
      <c r="L216" s="193"/>
      <c r="M216" s="193"/>
      <c r="N216" s="193"/>
      <c r="O216" s="193"/>
      <c r="P216" s="193"/>
      <c r="Q216" s="123"/>
      <c r="S216" s="126"/>
      <c r="T216" s="126"/>
      <c r="U216" s="126"/>
      <c r="V216" s="126"/>
    </row>
    <row r="217" spans="3:22" ht="18.3" x14ac:dyDescent="0.7">
      <c r="C217" s="194"/>
      <c r="D217" s="1824" t="str">
        <f>'2 Customer data'!D62</f>
        <v>Government</v>
      </c>
      <c r="E217" s="1824"/>
      <c r="F217" s="1824"/>
      <c r="G217" s="1824"/>
      <c r="H217" s="1824"/>
      <c r="I217" s="1824"/>
      <c r="J217" s="1824"/>
      <c r="K217" s="1824"/>
      <c r="L217" s="1824"/>
      <c r="M217" s="1824"/>
      <c r="N217" s="1824"/>
      <c r="O217" s="1824"/>
      <c r="Q217" s="125"/>
      <c r="S217" s="126"/>
      <c r="T217" s="126"/>
      <c r="U217" s="126"/>
      <c r="V217" s="126"/>
    </row>
    <row r="218" spans="3:22" ht="14.7" thickBot="1" x14ac:dyDescent="0.6">
      <c r="C218" s="194"/>
      <c r="Q218" s="125"/>
      <c r="S218" s="126"/>
      <c r="T218" s="126"/>
      <c r="U218" s="126"/>
      <c r="V218" s="126"/>
    </row>
    <row r="219" spans="3:22" x14ac:dyDescent="0.55000000000000004">
      <c r="C219" s="194"/>
      <c r="D219" s="192"/>
      <c r="E219" s="193"/>
      <c r="F219" s="193"/>
      <c r="G219" s="193"/>
      <c r="H219" s="193"/>
      <c r="I219" s="193"/>
      <c r="J219" s="193"/>
      <c r="K219" s="193"/>
      <c r="L219" s="193"/>
      <c r="M219" s="193"/>
      <c r="N219" s="193"/>
      <c r="O219" s="193"/>
      <c r="P219" s="195"/>
      <c r="Q219" s="125"/>
      <c r="S219" s="126"/>
      <c r="T219" s="126"/>
      <c r="U219" s="126"/>
      <c r="V219" s="126"/>
    </row>
    <row r="220" spans="3:22" x14ac:dyDescent="0.55000000000000004">
      <c r="C220" s="194"/>
      <c r="D220" s="194"/>
      <c r="E220" s="138" t="str">
        <f>'2 Customer data'!D62&amp;" "&amp;"information"</f>
        <v>Government information</v>
      </c>
      <c r="P220" s="196"/>
      <c r="Q220" s="125"/>
      <c r="S220" s="126"/>
      <c r="T220" s="126"/>
      <c r="U220" s="126"/>
      <c r="V220" s="126"/>
    </row>
    <row r="221" spans="3:22" x14ac:dyDescent="0.55000000000000004">
      <c r="C221" s="194"/>
      <c r="D221" s="194"/>
      <c r="P221" s="196"/>
      <c r="Q221" s="125"/>
      <c r="S221" s="126"/>
      <c r="T221" s="126"/>
      <c r="U221" s="126"/>
      <c r="V221" s="126"/>
    </row>
    <row r="222" spans="3:22" ht="28.8" x14ac:dyDescent="0.55000000000000004">
      <c r="C222" s="194"/>
      <c r="D222" s="194"/>
      <c r="F222" s="166" t="s">
        <v>28</v>
      </c>
      <c r="G222" s="166" t="s">
        <v>69</v>
      </c>
      <c r="H222" s="197" t="s">
        <v>70</v>
      </c>
      <c r="I222" s="166" t="s">
        <v>71</v>
      </c>
      <c r="J222" s="198" t="s">
        <v>277</v>
      </c>
      <c r="P222" s="196"/>
      <c r="Q222" s="125"/>
      <c r="S222" s="126"/>
      <c r="T222" s="126"/>
      <c r="U222" s="126"/>
      <c r="V222" s="126"/>
    </row>
    <row r="223" spans="3:22" x14ac:dyDescent="0.55000000000000004">
      <c r="C223" s="194"/>
      <c r="D223" s="194"/>
      <c r="E223" s="10" t="str">
        <f>'2 Customer data'!D62</f>
        <v>Government</v>
      </c>
      <c r="F223" s="113">
        <f>IFERROR(IF(VLOOKUP(E223,'2 Customer data'!$D$57:$M$76,6,FALSE)="",VLOOKUP(E223,'2 Customer data'!$D$57:$M$76,5,FALSE),VLOOKUP(E223,'2 Customer data'!$D$57:$M$76,6,FALSE)),0)</f>
        <v>18.485999999999997</v>
      </c>
      <c r="G223" s="113">
        <f ca="1">IFERROR(VLOOKUP(E223,'2 Sanitation'!$D$19:$J$38,5,FALSE),0)</f>
        <v>66995.125454854613</v>
      </c>
      <c r="H223" s="113">
        <f ca="1">IFERROR(VLOOKUP(E223,'2 Sanitation'!$D$19:$J$38,6,FALSE),0)</f>
        <v>0</v>
      </c>
      <c r="I223" s="113">
        <f ca="1">IFERROR(VLOOKUP(E223,'2 Sanitation'!$D$153:$K$172,8,FALSE),0)</f>
        <v>57127.786920128572</v>
      </c>
      <c r="J223" s="199">
        <f>IFERROR(IF(VLOOKUP(E223,'2 Customer data'!$D$57:$M$76,8,FALSE)="",VLOOKUP(E223,'2 Customer data'!$D$57:$M$76,7,FALSE),VLOOKUP(E223,'2 Customer data'!$D$57:$M$76,8,FALSE)),0)</f>
        <v>0</v>
      </c>
      <c r="P223" s="196"/>
      <c r="Q223" s="125"/>
      <c r="S223" s="126"/>
      <c r="T223" s="126"/>
      <c r="U223" s="126"/>
      <c r="V223" s="126"/>
    </row>
    <row r="224" spans="3:22" ht="14.7" thickBot="1" x14ac:dyDescent="0.6">
      <c r="C224" s="194"/>
      <c r="D224" s="200"/>
      <c r="E224" s="201"/>
      <c r="F224" s="201"/>
      <c r="G224" s="201"/>
      <c r="H224" s="201"/>
      <c r="I224" s="201"/>
      <c r="J224" s="201"/>
      <c r="K224" s="201"/>
      <c r="L224" s="201"/>
      <c r="M224" s="201"/>
      <c r="N224" s="201"/>
      <c r="O224" s="201"/>
      <c r="P224" s="202"/>
      <c r="Q224" s="125"/>
      <c r="S224" s="126"/>
      <c r="T224" s="126"/>
      <c r="U224" s="126"/>
      <c r="V224" s="126"/>
    </row>
    <row r="225" spans="3:22" ht="14.7" thickBot="1" x14ac:dyDescent="0.6">
      <c r="C225" s="194"/>
      <c r="Q225" s="125"/>
      <c r="S225" s="126"/>
      <c r="T225" s="126"/>
      <c r="U225" s="126"/>
      <c r="V225" s="126"/>
    </row>
    <row r="226" spans="3:22" x14ac:dyDescent="0.55000000000000004">
      <c r="C226" s="194"/>
      <c r="D226" s="192"/>
      <c r="E226" s="193"/>
      <c r="F226" s="193"/>
      <c r="G226" s="193"/>
      <c r="H226" s="193"/>
      <c r="I226" s="193"/>
      <c r="J226" s="193"/>
      <c r="K226" s="193"/>
      <c r="L226" s="193"/>
      <c r="M226" s="193"/>
      <c r="N226" s="193"/>
      <c r="O226" s="193"/>
      <c r="P226" s="195"/>
      <c r="Q226" s="125"/>
      <c r="S226" s="126"/>
      <c r="T226" s="126"/>
      <c r="U226" s="126"/>
      <c r="V226" s="126"/>
    </row>
    <row r="227" spans="3:22" x14ac:dyDescent="0.55000000000000004">
      <c r="C227" s="194"/>
      <c r="D227" s="194"/>
      <c r="E227" s="138" t="s">
        <v>93</v>
      </c>
      <c r="P227" s="196"/>
      <c r="Q227" s="125"/>
      <c r="S227" s="126"/>
      <c r="T227" s="126"/>
      <c r="U227" s="126"/>
      <c r="V227" s="126"/>
    </row>
    <row r="228" spans="3:22" x14ac:dyDescent="0.55000000000000004">
      <c r="C228" s="194"/>
      <c r="D228" s="194"/>
      <c r="E228" s="203" t="s">
        <v>555</v>
      </c>
      <c r="P228" s="196"/>
      <c r="Q228" s="125"/>
      <c r="S228" s="126"/>
      <c r="T228" s="126"/>
      <c r="U228" s="126"/>
      <c r="V228" s="126"/>
    </row>
    <row r="229" spans="3:22" x14ac:dyDescent="0.55000000000000004">
      <c r="C229" s="194"/>
      <c r="D229" s="194"/>
      <c r="P229" s="196"/>
      <c r="Q229" s="125"/>
      <c r="S229" s="126"/>
      <c r="T229" s="126"/>
      <c r="U229" s="126"/>
      <c r="V229" s="126"/>
    </row>
    <row r="230" spans="3:22" ht="43.2" x14ac:dyDescent="0.55000000000000004">
      <c r="C230" s="194"/>
      <c r="D230" s="194"/>
      <c r="F230" s="166" t="s">
        <v>86</v>
      </c>
      <c r="G230" s="166" t="s">
        <v>73</v>
      </c>
      <c r="H230" s="166" t="s">
        <v>74</v>
      </c>
      <c r="I230" s="166" t="s">
        <v>75</v>
      </c>
      <c r="J230" s="166" t="s">
        <v>76</v>
      </c>
      <c r="P230" s="196"/>
      <c r="Q230" s="125"/>
      <c r="S230" s="126"/>
      <c r="T230" s="126"/>
      <c r="U230" s="126"/>
      <c r="V230" s="126"/>
    </row>
    <row r="231" spans="3:22" x14ac:dyDescent="0.55000000000000004">
      <c r="C231" s="194"/>
      <c r="D231" s="194"/>
      <c r="E231" s="10" t="str">
        <f>E223</f>
        <v>Government</v>
      </c>
      <c r="F231" s="113">
        <f ca="1">G223</f>
        <v>66995.125454854613</v>
      </c>
      <c r="G231" s="204">
        <f ca="1">IFERROR(F231/F223/12,0)</f>
        <v>302.00839128193689</v>
      </c>
      <c r="H231" s="205"/>
      <c r="I231" s="113">
        <f>H231*F223*12</f>
        <v>0</v>
      </c>
      <c r="J231" s="70">
        <f>I231/12</f>
        <v>0</v>
      </c>
      <c r="P231" s="196"/>
      <c r="Q231" s="125"/>
      <c r="S231" s="126"/>
      <c r="T231" s="126"/>
      <c r="U231" s="126"/>
      <c r="V231" s="126"/>
    </row>
    <row r="232" spans="3:22" x14ac:dyDescent="0.55000000000000004">
      <c r="C232" s="194"/>
      <c r="D232" s="194"/>
      <c r="F232" s="58" t="str">
        <f>IF(I231&gt;I222,"Error: revenue from fixed charges exceeds total revenue required from tariff. Reduce fixed charge.","")</f>
        <v/>
      </c>
      <c r="G232" s="156"/>
      <c r="H232" s="156"/>
      <c r="I232" s="156"/>
      <c r="J232" s="158"/>
      <c r="P232" s="196"/>
      <c r="Q232" s="125"/>
      <c r="S232" s="126"/>
      <c r="T232" s="126"/>
      <c r="U232" s="126"/>
      <c r="V232" s="126"/>
    </row>
    <row r="233" spans="3:22" ht="14.7" thickBot="1" x14ac:dyDescent="0.6">
      <c r="C233" s="194"/>
      <c r="D233" s="200"/>
      <c r="E233" s="201"/>
      <c r="F233" s="201"/>
      <c r="G233" s="201"/>
      <c r="H233" s="201"/>
      <c r="I233" s="201"/>
      <c r="J233" s="201"/>
      <c r="K233" s="201"/>
      <c r="L233" s="201"/>
      <c r="M233" s="201"/>
      <c r="N233" s="201"/>
      <c r="O233" s="201"/>
      <c r="P233" s="202"/>
      <c r="Q233" s="125"/>
      <c r="S233" s="126"/>
      <c r="T233" s="126"/>
      <c r="U233" s="126"/>
      <c r="V233" s="126"/>
    </row>
    <row r="234" spans="3:22" ht="14.7" thickBot="1" x14ac:dyDescent="0.6">
      <c r="C234" s="194"/>
      <c r="Q234" s="125"/>
      <c r="S234" s="126"/>
      <c r="T234" s="126"/>
      <c r="U234" s="126"/>
      <c r="V234" s="126"/>
    </row>
    <row r="235" spans="3:22" x14ac:dyDescent="0.55000000000000004">
      <c r="C235" s="194"/>
      <c r="D235" s="192"/>
      <c r="E235" s="193"/>
      <c r="F235" s="193"/>
      <c r="G235" s="193"/>
      <c r="H235" s="193"/>
      <c r="I235" s="193"/>
      <c r="J235" s="193"/>
      <c r="K235" s="193"/>
      <c r="L235" s="193"/>
      <c r="M235" s="193"/>
      <c r="N235" s="193"/>
      <c r="O235" s="193"/>
      <c r="P235" s="195"/>
      <c r="Q235" s="125"/>
      <c r="S235" s="126"/>
      <c r="T235" s="126"/>
      <c r="U235" s="126"/>
      <c r="V235" s="126"/>
    </row>
    <row r="236" spans="3:22" x14ac:dyDescent="0.55000000000000004">
      <c r="C236" s="194"/>
      <c r="D236" s="194"/>
      <c r="E236" s="138" t="s">
        <v>96</v>
      </c>
      <c r="P236" s="196"/>
      <c r="Q236" s="125"/>
      <c r="S236" s="126"/>
      <c r="T236" s="126"/>
      <c r="U236" s="126"/>
      <c r="V236" s="126"/>
    </row>
    <row r="237" spans="3:22" ht="14.55" customHeight="1" x14ac:dyDescent="0.55000000000000004">
      <c r="C237" s="194"/>
      <c r="D237" s="194"/>
      <c r="E237" s="1825" t="s">
        <v>558</v>
      </c>
      <c r="F237" s="1825"/>
      <c r="G237" s="1825"/>
      <c r="H237" s="1825"/>
      <c r="I237" s="1825"/>
      <c r="J237" s="1825"/>
      <c r="K237" s="1825"/>
      <c r="L237" s="1825"/>
      <c r="M237" s="1825"/>
      <c r="N237" s="1825"/>
      <c r="O237" s="1825"/>
      <c r="P237" s="1826"/>
      <c r="Q237" s="125"/>
      <c r="S237" s="126"/>
      <c r="T237" s="126"/>
      <c r="U237" s="126"/>
      <c r="V237" s="126"/>
    </row>
    <row r="238" spans="3:22" x14ac:dyDescent="0.55000000000000004">
      <c r="C238" s="194"/>
      <c r="D238" s="194"/>
      <c r="E238" s="1825"/>
      <c r="F238" s="1825"/>
      <c r="G238" s="1825"/>
      <c r="H238" s="1825"/>
      <c r="I238" s="1825"/>
      <c r="J238" s="1825"/>
      <c r="K238" s="1825"/>
      <c r="L238" s="1825"/>
      <c r="M238" s="1825"/>
      <c r="N238" s="1825"/>
      <c r="O238" s="1825"/>
      <c r="P238" s="1826"/>
      <c r="Q238" s="125"/>
      <c r="S238" s="126"/>
      <c r="T238" s="126"/>
      <c r="U238" s="126"/>
      <c r="V238" s="126"/>
    </row>
    <row r="239" spans="3:22" x14ac:dyDescent="0.55000000000000004">
      <c r="C239" s="194"/>
      <c r="D239" s="194"/>
      <c r="P239" s="196"/>
      <c r="Q239" s="125"/>
      <c r="S239" s="126"/>
      <c r="T239" s="126"/>
      <c r="U239" s="126"/>
      <c r="V239" s="126"/>
    </row>
    <row r="240" spans="3:22" x14ac:dyDescent="0.55000000000000004">
      <c r="C240" s="194"/>
      <c r="D240" s="194"/>
      <c r="E240" s="206" t="s">
        <v>77</v>
      </c>
      <c r="H240" s="207">
        <v>1</v>
      </c>
      <c r="P240" s="196"/>
      <c r="Q240" s="125"/>
      <c r="S240" s="126"/>
      <c r="T240" s="126"/>
      <c r="U240" s="126"/>
      <c r="V240" s="126"/>
    </row>
    <row r="241" spans="3:22" x14ac:dyDescent="0.55000000000000004">
      <c r="C241" s="194"/>
      <c r="D241" s="194"/>
      <c r="E241" s="10" t="s">
        <v>612</v>
      </c>
      <c r="H241" s="159" t="s">
        <v>578</v>
      </c>
      <c r="P241" s="196"/>
      <c r="Q241" s="125"/>
      <c r="S241" s="126"/>
      <c r="T241" s="126"/>
      <c r="U241" s="126"/>
      <c r="V241" s="126"/>
    </row>
    <row r="242" spans="3:22" x14ac:dyDescent="0.55000000000000004">
      <c r="C242" s="194"/>
      <c r="D242" s="194"/>
      <c r="P242" s="196"/>
      <c r="Q242" s="125"/>
      <c r="S242" s="126"/>
      <c r="T242" s="126"/>
      <c r="U242" s="126"/>
      <c r="V242" s="126"/>
    </row>
    <row r="243" spans="3:22" ht="43.2" x14ac:dyDescent="0.55000000000000004">
      <c r="C243" s="194"/>
      <c r="D243" s="194"/>
      <c r="E243" s="166" t="s">
        <v>78</v>
      </c>
      <c r="F243" s="166" t="s">
        <v>99</v>
      </c>
      <c r="G243" s="197" t="s">
        <v>92</v>
      </c>
      <c r="H243" s="166" t="s">
        <v>80</v>
      </c>
      <c r="I243" s="166" t="s">
        <v>334</v>
      </c>
      <c r="J243" s="166" t="s">
        <v>335</v>
      </c>
      <c r="K243" s="166" t="s">
        <v>339</v>
      </c>
      <c r="L243" s="166" t="s">
        <v>336</v>
      </c>
      <c r="M243" s="166" t="s">
        <v>337</v>
      </c>
      <c r="N243" s="166" t="s">
        <v>338</v>
      </c>
      <c r="O243" s="166" t="s">
        <v>83</v>
      </c>
      <c r="P243" s="208"/>
      <c r="Q243" s="125"/>
      <c r="S243" s="126" t="s">
        <v>614</v>
      </c>
      <c r="T243" s="126" t="s">
        <v>615</v>
      </c>
      <c r="U243" s="126"/>
      <c r="V243" s="126"/>
    </row>
    <row r="244" spans="3:22" x14ac:dyDescent="0.55000000000000004">
      <c r="C244" s="194"/>
      <c r="D244" s="194"/>
      <c r="E244" s="209">
        <f>IF($H$240=U244,U244,1)</f>
        <v>1</v>
      </c>
      <c r="F244" s="210">
        <v>0.7</v>
      </c>
      <c r="G244" s="211">
        <v>0</v>
      </c>
      <c r="H244" s="212"/>
      <c r="I244" s="213"/>
      <c r="J244" s="70">
        <f>J223-SUMIF(E245:E253,"&lt;="&amp;$H$240,J245:J253)</f>
        <v>0</v>
      </c>
      <c r="K244" s="70">
        <f>F244*J244</f>
        <v>0</v>
      </c>
      <c r="L244" s="114">
        <f ca="1">IFERROR(IF(E244&lt;=H240,IF(H241="No",IF(I231=0,I223/SUMPRODUCT(S244:S253,K244:K253),(I223-I231)/SUMPRODUCT(S244:S253,K244:K253)),0),0),0)</f>
        <v>0</v>
      </c>
      <c r="M244" s="44">
        <f ca="1">IFERROR(O244/J244,0)</f>
        <v>0</v>
      </c>
      <c r="N244" s="199"/>
      <c r="O244" s="199">
        <f ca="1">K244*L244</f>
        <v>0</v>
      </c>
      <c r="P244" s="214"/>
      <c r="Q244" s="125"/>
      <c r="S244" s="92">
        <f>IF(E244&lt;=$H$240,1,0)</f>
        <v>1</v>
      </c>
      <c r="T244" s="126"/>
      <c r="U244" s="126">
        <v>1</v>
      </c>
      <c r="V244" s="126"/>
    </row>
    <row r="245" spans="3:22" x14ac:dyDescent="0.55000000000000004">
      <c r="C245" s="194"/>
      <c r="D245" s="194"/>
      <c r="E245" s="209" t="str">
        <f t="shared" ref="E245:E253" si="40">IF($H$240&gt;=U245,U245,"")</f>
        <v/>
      </c>
      <c r="F245" s="210"/>
      <c r="G245" s="211">
        <f t="shared" ref="G245:G253" si="41">IF($H$240&gt;=F245,H244+0.01,"")</f>
        <v>0.01</v>
      </c>
      <c r="H245" s="212"/>
      <c r="I245" s="215"/>
      <c r="J245" s="216"/>
      <c r="K245" s="70">
        <f t="shared" ref="K245:K253" si="42">F245*J245</f>
        <v>0</v>
      </c>
      <c r="L245" s="114">
        <f>IFERROR(IF(E245&lt;=H240,IF(H241="No",L244*(1+I245),IF(I231=0,I223/SUMPRODUCT(T245:T253,K245:K253),(I223-I231)/SUMPRODUCT(T245:T253,K245:K253))),0),0)</f>
        <v>0</v>
      </c>
      <c r="M245" s="44">
        <f t="shared" ref="M245:M253" si="43">IFERROR(O245/J245,0)</f>
        <v>0</v>
      </c>
      <c r="N245" s="217" t="str">
        <f ca="1">IFERROR(M245/M244-1,"")</f>
        <v/>
      </c>
      <c r="O245" s="199">
        <f t="shared" ref="O245:O253" si="44">K245*L245</f>
        <v>0</v>
      </c>
      <c r="P245" s="214"/>
      <c r="Q245" s="125"/>
      <c r="S245" s="92">
        <f>IF(E245&lt;=$H$240,(1+I245),0)</f>
        <v>0</v>
      </c>
      <c r="T245" s="92">
        <f>IF(E245&lt;=H240,1,0)</f>
        <v>0</v>
      </c>
      <c r="U245" s="126">
        <v>2</v>
      </c>
      <c r="V245" s="126"/>
    </row>
    <row r="246" spans="3:22" x14ac:dyDescent="0.55000000000000004">
      <c r="C246" s="194"/>
      <c r="D246" s="194"/>
      <c r="E246" s="209" t="str">
        <f t="shared" si="40"/>
        <v/>
      </c>
      <c r="F246" s="210"/>
      <c r="G246" s="211">
        <f t="shared" si="41"/>
        <v>0.01</v>
      </c>
      <c r="H246" s="212"/>
      <c r="I246" s="215"/>
      <c r="J246" s="216"/>
      <c r="K246" s="70">
        <f t="shared" si="42"/>
        <v>0</v>
      </c>
      <c r="L246" s="204">
        <f t="shared" ref="L246:L253" si="45">IF(E246&lt;=$H$240,L245*(1+I246),0)</f>
        <v>0</v>
      </c>
      <c r="M246" s="44">
        <f t="shared" si="43"/>
        <v>0</v>
      </c>
      <c r="N246" s="217" t="str">
        <f t="shared" ref="N246:N253" si="46">IFERROR(M246/M245-1,"")</f>
        <v/>
      </c>
      <c r="O246" s="199">
        <f t="shared" si="44"/>
        <v>0</v>
      </c>
      <c r="P246" s="214"/>
      <c r="Q246" s="125"/>
      <c r="S246" s="92">
        <f t="shared" ref="S246:S253" si="47">IF(E246&lt;=$H$240,S245*(1+I246),0)</f>
        <v>0</v>
      </c>
      <c r="T246" s="92">
        <f>IF(E246&lt;=H240,T245*(1+I246),0)</f>
        <v>0</v>
      </c>
      <c r="U246" s="126">
        <v>3</v>
      </c>
      <c r="V246" s="126"/>
    </row>
    <row r="247" spans="3:22" x14ac:dyDescent="0.55000000000000004">
      <c r="C247" s="194"/>
      <c r="D247" s="194"/>
      <c r="E247" s="209" t="str">
        <f t="shared" si="40"/>
        <v/>
      </c>
      <c r="F247" s="210"/>
      <c r="G247" s="211">
        <f t="shared" si="41"/>
        <v>0.01</v>
      </c>
      <c r="H247" s="212"/>
      <c r="I247" s="215"/>
      <c r="J247" s="216"/>
      <c r="K247" s="70">
        <f t="shared" si="42"/>
        <v>0</v>
      </c>
      <c r="L247" s="204">
        <f t="shared" si="45"/>
        <v>0</v>
      </c>
      <c r="M247" s="44">
        <f t="shared" si="43"/>
        <v>0</v>
      </c>
      <c r="N247" s="217" t="str">
        <f t="shared" si="46"/>
        <v/>
      </c>
      <c r="O247" s="199">
        <f t="shared" si="44"/>
        <v>0</v>
      </c>
      <c r="P247" s="214"/>
      <c r="Q247" s="125"/>
      <c r="S247" s="92">
        <f t="shared" si="47"/>
        <v>0</v>
      </c>
      <c r="T247" s="92">
        <f>IF(E247&lt;=H240,T246*(1+I247),0)</f>
        <v>0</v>
      </c>
      <c r="U247" s="126">
        <v>4</v>
      </c>
      <c r="V247" s="126"/>
    </row>
    <row r="248" spans="3:22" x14ac:dyDescent="0.55000000000000004">
      <c r="C248" s="194"/>
      <c r="D248" s="194"/>
      <c r="E248" s="209" t="str">
        <f t="shared" si="40"/>
        <v/>
      </c>
      <c r="F248" s="210"/>
      <c r="G248" s="211">
        <f t="shared" si="41"/>
        <v>0.01</v>
      </c>
      <c r="H248" s="212"/>
      <c r="I248" s="215"/>
      <c r="J248" s="216"/>
      <c r="K248" s="70">
        <f t="shared" si="42"/>
        <v>0</v>
      </c>
      <c r="L248" s="204">
        <f t="shared" si="45"/>
        <v>0</v>
      </c>
      <c r="M248" s="44">
        <f t="shared" si="43"/>
        <v>0</v>
      </c>
      <c r="N248" s="217" t="str">
        <f t="shared" si="46"/>
        <v/>
      </c>
      <c r="O248" s="199">
        <f t="shared" si="44"/>
        <v>0</v>
      </c>
      <c r="P248" s="214"/>
      <c r="Q248" s="125"/>
      <c r="S248" s="92">
        <f t="shared" si="47"/>
        <v>0</v>
      </c>
      <c r="T248" s="92">
        <f>IF(E248&lt;=H240,T247*(1+I248),0)</f>
        <v>0</v>
      </c>
      <c r="U248" s="126">
        <v>5</v>
      </c>
      <c r="V248" s="126"/>
    </row>
    <row r="249" spans="3:22" x14ac:dyDescent="0.55000000000000004">
      <c r="C249" s="194"/>
      <c r="D249" s="194"/>
      <c r="E249" s="209" t="str">
        <f t="shared" si="40"/>
        <v/>
      </c>
      <c r="F249" s="210"/>
      <c r="G249" s="211">
        <f t="shared" si="41"/>
        <v>0.01</v>
      </c>
      <c r="H249" s="207"/>
      <c r="I249" s="215"/>
      <c r="J249" s="216"/>
      <c r="K249" s="70">
        <f t="shared" si="42"/>
        <v>0</v>
      </c>
      <c r="L249" s="204">
        <f t="shared" si="45"/>
        <v>0</v>
      </c>
      <c r="M249" s="44">
        <f t="shared" si="43"/>
        <v>0</v>
      </c>
      <c r="N249" s="217" t="str">
        <f t="shared" si="46"/>
        <v/>
      </c>
      <c r="O249" s="199">
        <f t="shared" si="44"/>
        <v>0</v>
      </c>
      <c r="P249" s="214"/>
      <c r="Q249" s="125"/>
      <c r="S249" s="92">
        <f t="shared" si="47"/>
        <v>0</v>
      </c>
      <c r="T249" s="92">
        <f>IF(E249&lt;=H240,T248*(1+I249),0)</f>
        <v>0</v>
      </c>
      <c r="U249" s="126">
        <v>6</v>
      </c>
      <c r="V249" s="126"/>
    </row>
    <row r="250" spans="3:22" x14ac:dyDescent="0.55000000000000004">
      <c r="C250" s="194"/>
      <c r="D250" s="194"/>
      <c r="E250" s="209" t="str">
        <f t="shared" si="40"/>
        <v/>
      </c>
      <c r="F250" s="210"/>
      <c r="G250" s="211">
        <f t="shared" si="41"/>
        <v>0.01</v>
      </c>
      <c r="H250" s="207"/>
      <c r="I250" s="215"/>
      <c r="J250" s="216"/>
      <c r="K250" s="70">
        <f t="shared" si="42"/>
        <v>0</v>
      </c>
      <c r="L250" s="204">
        <f t="shared" si="45"/>
        <v>0</v>
      </c>
      <c r="M250" s="44">
        <f t="shared" si="43"/>
        <v>0</v>
      </c>
      <c r="N250" s="217" t="str">
        <f t="shared" si="46"/>
        <v/>
      </c>
      <c r="O250" s="199">
        <f t="shared" si="44"/>
        <v>0</v>
      </c>
      <c r="P250" s="214"/>
      <c r="Q250" s="125"/>
      <c r="S250" s="92">
        <f t="shared" si="47"/>
        <v>0</v>
      </c>
      <c r="T250" s="92">
        <f>IF(E250&lt;=H240,T249*(1+I250),0)</f>
        <v>0</v>
      </c>
      <c r="U250" s="126">
        <v>7</v>
      </c>
      <c r="V250" s="126"/>
    </row>
    <row r="251" spans="3:22" x14ac:dyDescent="0.55000000000000004">
      <c r="C251" s="194"/>
      <c r="D251" s="194"/>
      <c r="E251" s="209" t="str">
        <f t="shared" si="40"/>
        <v/>
      </c>
      <c r="F251" s="210"/>
      <c r="G251" s="211">
        <f t="shared" si="41"/>
        <v>0.01</v>
      </c>
      <c r="H251" s="207"/>
      <c r="I251" s="215"/>
      <c r="J251" s="216"/>
      <c r="K251" s="70">
        <f t="shared" si="42"/>
        <v>0</v>
      </c>
      <c r="L251" s="204">
        <f t="shared" si="45"/>
        <v>0</v>
      </c>
      <c r="M251" s="44">
        <f t="shared" si="43"/>
        <v>0</v>
      </c>
      <c r="N251" s="217" t="str">
        <f t="shared" si="46"/>
        <v/>
      </c>
      <c r="O251" s="199">
        <f t="shared" si="44"/>
        <v>0</v>
      </c>
      <c r="P251" s="214"/>
      <c r="Q251" s="125"/>
      <c r="S251" s="92">
        <f t="shared" si="47"/>
        <v>0</v>
      </c>
      <c r="T251" s="92">
        <f>IF(E251&lt;=H240,T250*(1+I251),0)</f>
        <v>0</v>
      </c>
      <c r="U251" s="126">
        <v>8</v>
      </c>
      <c r="V251" s="126"/>
    </row>
    <row r="252" spans="3:22" x14ac:dyDescent="0.55000000000000004">
      <c r="C252" s="194"/>
      <c r="D252" s="194"/>
      <c r="E252" s="209" t="str">
        <f t="shared" si="40"/>
        <v/>
      </c>
      <c r="F252" s="210"/>
      <c r="G252" s="211">
        <f t="shared" si="41"/>
        <v>0.01</v>
      </c>
      <c r="H252" s="207"/>
      <c r="I252" s="215"/>
      <c r="J252" s="216"/>
      <c r="K252" s="70">
        <f t="shared" si="42"/>
        <v>0</v>
      </c>
      <c r="L252" s="204">
        <f t="shared" si="45"/>
        <v>0</v>
      </c>
      <c r="M252" s="44">
        <f t="shared" si="43"/>
        <v>0</v>
      </c>
      <c r="N252" s="217" t="str">
        <f t="shared" si="46"/>
        <v/>
      </c>
      <c r="O252" s="199">
        <f t="shared" si="44"/>
        <v>0</v>
      </c>
      <c r="P252" s="214"/>
      <c r="Q252" s="125"/>
      <c r="S252" s="92">
        <f t="shared" si="47"/>
        <v>0</v>
      </c>
      <c r="T252" s="92">
        <f>IF(E252&lt;=H240,T251*(1+I252),0)</f>
        <v>0</v>
      </c>
      <c r="U252" s="126">
        <v>9</v>
      </c>
      <c r="V252" s="126"/>
    </row>
    <row r="253" spans="3:22" x14ac:dyDescent="0.55000000000000004">
      <c r="C253" s="194"/>
      <c r="D253" s="194"/>
      <c r="E253" s="209" t="str">
        <f t="shared" si="40"/>
        <v/>
      </c>
      <c r="F253" s="210"/>
      <c r="G253" s="211">
        <f t="shared" si="41"/>
        <v>0.01</v>
      </c>
      <c r="H253" s="209" t="s">
        <v>84</v>
      </c>
      <c r="I253" s="215"/>
      <c r="J253" s="216"/>
      <c r="K253" s="70">
        <f t="shared" si="42"/>
        <v>0</v>
      </c>
      <c r="L253" s="204">
        <f t="shared" si="45"/>
        <v>0</v>
      </c>
      <c r="M253" s="44">
        <f t="shared" si="43"/>
        <v>0</v>
      </c>
      <c r="N253" s="217" t="str">
        <f t="shared" si="46"/>
        <v/>
      </c>
      <c r="O253" s="199">
        <f t="shared" si="44"/>
        <v>0</v>
      </c>
      <c r="P253" s="214"/>
      <c r="Q253" s="125"/>
      <c r="S253" s="92">
        <f t="shared" si="47"/>
        <v>0</v>
      </c>
      <c r="T253" s="92">
        <f>IF(E253&lt;=H240,T252*(1+I253),0)</f>
        <v>0</v>
      </c>
      <c r="U253" s="126">
        <v>10</v>
      </c>
      <c r="V253" s="126"/>
    </row>
    <row r="254" spans="3:22" ht="14.7" thickBot="1" x14ac:dyDescent="0.6">
      <c r="C254" s="194"/>
      <c r="D254" s="200"/>
      <c r="E254" s="201"/>
      <c r="F254" s="201"/>
      <c r="G254" s="201"/>
      <c r="H254" s="201"/>
      <c r="I254" s="201"/>
      <c r="J254" s="201"/>
      <c r="K254" s="201"/>
      <c r="L254" s="201"/>
      <c r="M254" s="201"/>
      <c r="N254" s="201"/>
      <c r="O254" s="201"/>
      <c r="P254" s="202"/>
      <c r="Q254" s="125"/>
      <c r="S254" s="126"/>
      <c r="T254" s="126"/>
      <c r="U254" s="126"/>
      <c r="V254" s="126"/>
    </row>
    <row r="255" spans="3:22" ht="14.7" thickBot="1" x14ac:dyDescent="0.6">
      <c r="C255" s="200"/>
      <c r="D255" s="201"/>
      <c r="E255" s="201"/>
      <c r="F255" s="201"/>
      <c r="G255" s="201"/>
      <c r="H255" s="201"/>
      <c r="I255" s="201"/>
      <c r="J255" s="201"/>
      <c r="K255" s="201"/>
      <c r="L255" s="201"/>
      <c r="M255" s="201"/>
      <c r="N255" s="201"/>
      <c r="O255" s="201"/>
      <c r="P255" s="201"/>
      <c r="Q255" s="132"/>
      <c r="S255" s="126"/>
      <c r="T255" s="126"/>
      <c r="U255" s="126"/>
      <c r="V255" s="126"/>
    </row>
    <row r="256" spans="3:22" ht="14.7" thickBot="1" x14ac:dyDescent="0.6">
      <c r="S256" s="126"/>
      <c r="T256" s="126"/>
      <c r="U256" s="126"/>
      <c r="V256" s="126"/>
    </row>
    <row r="257" spans="3:22" x14ac:dyDescent="0.55000000000000004">
      <c r="C257" s="192"/>
      <c r="D257" s="193"/>
      <c r="E257" s="193"/>
      <c r="F257" s="193"/>
      <c r="G257" s="193"/>
      <c r="H257" s="193"/>
      <c r="I257" s="193"/>
      <c r="J257" s="193"/>
      <c r="K257" s="193"/>
      <c r="L257" s="193"/>
      <c r="M257" s="193"/>
      <c r="N257" s="193"/>
      <c r="O257" s="193"/>
      <c r="P257" s="193"/>
      <c r="Q257" s="123"/>
      <c r="S257" s="126"/>
      <c r="T257" s="126"/>
      <c r="U257" s="126"/>
      <c r="V257" s="126"/>
    </row>
    <row r="258" spans="3:22" ht="18.3" x14ac:dyDescent="0.7">
      <c r="C258" s="194"/>
      <c r="D258" s="1824" t="str">
        <f>'2 Customer data'!D63</f>
        <v>Sport Clubs</v>
      </c>
      <c r="E258" s="1824"/>
      <c r="F258" s="1824"/>
      <c r="G258" s="1824"/>
      <c r="H258" s="1824"/>
      <c r="I258" s="1824"/>
      <c r="J258" s="1824"/>
      <c r="K258" s="1824"/>
      <c r="L258" s="1824"/>
      <c r="M258" s="1824"/>
      <c r="N258" s="1824"/>
      <c r="O258" s="1824"/>
      <c r="Q258" s="125"/>
      <c r="S258" s="126"/>
      <c r="T258" s="126"/>
      <c r="U258" s="126"/>
      <c r="V258" s="126"/>
    </row>
    <row r="259" spans="3:22" ht="14.7" thickBot="1" x14ac:dyDescent="0.6">
      <c r="C259" s="194"/>
      <c r="Q259" s="125"/>
      <c r="S259" s="126"/>
      <c r="T259" s="126"/>
      <c r="U259" s="126"/>
      <c r="V259" s="126"/>
    </row>
    <row r="260" spans="3:22" x14ac:dyDescent="0.55000000000000004">
      <c r="C260" s="194"/>
      <c r="D260" s="192"/>
      <c r="E260" s="193"/>
      <c r="F260" s="193"/>
      <c r="G260" s="193"/>
      <c r="H260" s="193"/>
      <c r="I260" s="193"/>
      <c r="J260" s="193"/>
      <c r="K260" s="193"/>
      <c r="L260" s="193"/>
      <c r="M260" s="193"/>
      <c r="N260" s="193"/>
      <c r="O260" s="193"/>
      <c r="P260" s="195"/>
      <c r="Q260" s="125"/>
      <c r="S260" s="126"/>
      <c r="T260" s="126"/>
      <c r="U260" s="126"/>
      <c r="V260" s="126"/>
    </row>
    <row r="261" spans="3:22" x14ac:dyDescent="0.55000000000000004">
      <c r="C261" s="194"/>
      <c r="D261" s="194"/>
      <c r="E261" s="138" t="str">
        <f>'2 Customer data'!D63&amp;" "&amp;"information"</f>
        <v>Sport Clubs information</v>
      </c>
      <c r="P261" s="196"/>
      <c r="Q261" s="125"/>
      <c r="S261" s="126"/>
      <c r="T261" s="126"/>
      <c r="U261" s="126"/>
      <c r="V261" s="126"/>
    </row>
    <row r="262" spans="3:22" x14ac:dyDescent="0.55000000000000004">
      <c r="C262" s="194"/>
      <c r="D262" s="194"/>
      <c r="P262" s="196"/>
      <c r="Q262" s="125"/>
      <c r="S262" s="126"/>
      <c r="T262" s="126"/>
      <c r="U262" s="126"/>
      <c r="V262" s="126"/>
    </row>
    <row r="263" spans="3:22" ht="28.8" x14ac:dyDescent="0.55000000000000004">
      <c r="C263" s="194"/>
      <c r="D263" s="194"/>
      <c r="F263" s="166" t="s">
        <v>28</v>
      </c>
      <c r="G263" s="166" t="s">
        <v>69</v>
      </c>
      <c r="H263" s="197" t="s">
        <v>70</v>
      </c>
      <c r="I263" s="166" t="s">
        <v>71</v>
      </c>
      <c r="J263" s="198" t="s">
        <v>277</v>
      </c>
      <c r="P263" s="196"/>
      <c r="Q263" s="125"/>
      <c r="S263" s="126"/>
      <c r="T263" s="126"/>
      <c r="U263" s="126"/>
      <c r="V263" s="126"/>
    </row>
    <row r="264" spans="3:22" x14ac:dyDescent="0.55000000000000004">
      <c r="C264" s="194"/>
      <c r="D264" s="194"/>
      <c r="E264" s="10" t="str">
        <f>'2 Customer data'!D63</f>
        <v>Sport Clubs</v>
      </c>
      <c r="F264" s="113">
        <f>IFERROR(IF(VLOOKUP(E264,'2 Customer data'!$D$57:$M$76,6,FALSE)="",VLOOKUP(E264,'2 Customer data'!$D$57:$M$76,5,FALSE),VLOOKUP(E264,'2 Customer data'!$D$57:$M$76,6,FALSE)),0)</f>
        <v>9.2429999999999986</v>
      </c>
      <c r="G264" s="113">
        <f ca="1">IFERROR(VLOOKUP(E264,'2 Sanitation'!$D$19:$J$38,5,FALSE),0)</f>
        <v>33497.562727427307</v>
      </c>
      <c r="H264" s="113">
        <f ca="1">IFERROR(VLOOKUP(E264,'2 Sanitation'!$D$19:$J$38,6,FALSE),0)</f>
        <v>7283.6815034652491</v>
      </c>
      <c r="I264" s="113">
        <f ca="1">IFERROR(VLOOKUP(E264,'2 Sanitation'!$D$153:$K$172,8,FALSE),0)</f>
        <v>34774.802120940491</v>
      </c>
      <c r="J264" s="199">
        <f>IFERROR(IF(VLOOKUP(E264,'2 Customer data'!$D$57:$M$76,8,FALSE)="",VLOOKUP(E264,'2 Customer data'!$D$57:$M$76,7,FALSE),VLOOKUP(E264,'2 Customer data'!$D$57:$M$76,8,FALSE)),0)</f>
        <v>1904.0579999999998</v>
      </c>
      <c r="P264" s="196"/>
      <c r="Q264" s="125"/>
      <c r="S264" s="126"/>
      <c r="T264" s="126"/>
      <c r="U264" s="126"/>
      <c r="V264" s="126"/>
    </row>
    <row r="265" spans="3:22" ht="14.7" thickBot="1" x14ac:dyDescent="0.6">
      <c r="C265" s="194"/>
      <c r="D265" s="200"/>
      <c r="E265" s="201"/>
      <c r="F265" s="201"/>
      <c r="G265" s="201"/>
      <c r="H265" s="201"/>
      <c r="I265" s="201"/>
      <c r="J265" s="201"/>
      <c r="K265" s="201"/>
      <c r="L265" s="201"/>
      <c r="M265" s="201"/>
      <c r="N265" s="201"/>
      <c r="O265" s="201"/>
      <c r="P265" s="202"/>
      <c r="Q265" s="125"/>
      <c r="S265" s="126"/>
      <c r="T265" s="126"/>
      <c r="U265" s="126"/>
      <c r="V265" s="126"/>
    </row>
    <row r="266" spans="3:22" ht="14.7" thickBot="1" x14ac:dyDescent="0.6">
      <c r="C266" s="194"/>
      <c r="Q266" s="125"/>
      <c r="S266" s="126"/>
      <c r="T266" s="126"/>
      <c r="U266" s="126"/>
      <c r="V266" s="126"/>
    </row>
    <row r="267" spans="3:22" x14ac:dyDescent="0.55000000000000004">
      <c r="C267" s="194"/>
      <c r="D267" s="192"/>
      <c r="E267" s="193"/>
      <c r="F267" s="193"/>
      <c r="G267" s="193"/>
      <c r="H267" s="193"/>
      <c r="I267" s="193"/>
      <c r="J267" s="193"/>
      <c r="K267" s="193"/>
      <c r="L267" s="193"/>
      <c r="M267" s="193"/>
      <c r="N267" s="193"/>
      <c r="O267" s="193"/>
      <c r="P267" s="195"/>
      <c r="Q267" s="125"/>
      <c r="S267" s="126"/>
      <c r="T267" s="126"/>
      <c r="U267" s="126"/>
      <c r="V267" s="126"/>
    </row>
    <row r="268" spans="3:22" x14ac:dyDescent="0.55000000000000004">
      <c r="C268" s="194"/>
      <c r="D268" s="194"/>
      <c r="E268" s="138" t="s">
        <v>93</v>
      </c>
      <c r="P268" s="196"/>
      <c r="Q268" s="125"/>
      <c r="S268" s="126"/>
      <c r="T268" s="126"/>
      <c r="U268" s="126"/>
      <c r="V268" s="126"/>
    </row>
    <row r="269" spans="3:22" x14ac:dyDescent="0.55000000000000004">
      <c r="C269" s="194"/>
      <c r="D269" s="194"/>
      <c r="E269" s="203" t="s">
        <v>555</v>
      </c>
      <c r="P269" s="196"/>
      <c r="Q269" s="125"/>
      <c r="S269" s="126"/>
      <c r="T269" s="126"/>
      <c r="U269" s="126"/>
      <c r="V269" s="126"/>
    </row>
    <row r="270" spans="3:22" x14ac:dyDescent="0.55000000000000004">
      <c r="C270" s="194"/>
      <c r="D270" s="194"/>
      <c r="P270" s="196"/>
      <c r="Q270" s="125"/>
      <c r="S270" s="126"/>
      <c r="T270" s="126"/>
      <c r="U270" s="126"/>
      <c r="V270" s="126"/>
    </row>
    <row r="271" spans="3:22" ht="43.2" x14ac:dyDescent="0.55000000000000004">
      <c r="C271" s="194"/>
      <c r="D271" s="194"/>
      <c r="F271" s="166" t="s">
        <v>86</v>
      </c>
      <c r="G271" s="166" t="s">
        <v>73</v>
      </c>
      <c r="H271" s="166" t="s">
        <v>74</v>
      </c>
      <c r="I271" s="166" t="s">
        <v>75</v>
      </c>
      <c r="J271" s="166" t="s">
        <v>76</v>
      </c>
      <c r="P271" s="196"/>
      <c r="Q271" s="125"/>
      <c r="S271" s="126"/>
      <c r="T271" s="126"/>
      <c r="U271" s="126"/>
      <c r="V271" s="126"/>
    </row>
    <row r="272" spans="3:22" x14ac:dyDescent="0.55000000000000004">
      <c r="C272" s="194"/>
      <c r="D272" s="194"/>
      <c r="E272" s="10" t="str">
        <f>E264</f>
        <v>Sport Clubs</v>
      </c>
      <c r="F272" s="113">
        <f ca="1">G264</f>
        <v>33497.562727427307</v>
      </c>
      <c r="G272" s="204">
        <f ca="1">IFERROR(F272/F264/12,0)</f>
        <v>302.00839128193689</v>
      </c>
      <c r="H272" s="205"/>
      <c r="I272" s="113">
        <f>H272*F264*12</f>
        <v>0</v>
      </c>
      <c r="J272" s="70">
        <f>I272/12</f>
        <v>0</v>
      </c>
      <c r="P272" s="196"/>
      <c r="Q272" s="125"/>
      <c r="S272" s="126"/>
      <c r="T272" s="126"/>
      <c r="U272" s="126"/>
      <c r="V272" s="126"/>
    </row>
    <row r="273" spans="3:22" x14ac:dyDescent="0.55000000000000004">
      <c r="C273" s="194"/>
      <c r="D273" s="194"/>
      <c r="F273" s="58" t="str">
        <f>IF(I272&gt;I263,"Error: revenue from fixed charges exceeds total revenue required from tariff. Reduce fixed charge.","")</f>
        <v/>
      </c>
      <c r="G273" s="156"/>
      <c r="H273" s="156"/>
      <c r="I273" s="156"/>
      <c r="J273" s="158"/>
      <c r="P273" s="196"/>
      <c r="Q273" s="125"/>
      <c r="S273" s="126"/>
      <c r="T273" s="126"/>
      <c r="U273" s="126"/>
      <c r="V273" s="126"/>
    </row>
    <row r="274" spans="3:22" ht="14.7" thickBot="1" x14ac:dyDescent="0.6">
      <c r="C274" s="194"/>
      <c r="D274" s="200"/>
      <c r="E274" s="201"/>
      <c r="F274" s="201"/>
      <c r="G274" s="201"/>
      <c r="H274" s="201"/>
      <c r="I274" s="201"/>
      <c r="J274" s="201"/>
      <c r="K274" s="201"/>
      <c r="L274" s="201"/>
      <c r="M274" s="201"/>
      <c r="N274" s="201"/>
      <c r="O274" s="201"/>
      <c r="P274" s="202"/>
      <c r="Q274" s="125"/>
      <c r="S274" s="126"/>
      <c r="T274" s="126"/>
      <c r="U274" s="126"/>
      <c r="V274" s="126"/>
    </row>
    <row r="275" spans="3:22" ht="14.7" thickBot="1" x14ac:dyDescent="0.6">
      <c r="C275" s="194"/>
      <c r="Q275" s="125"/>
      <c r="S275" s="126"/>
      <c r="T275" s="126"/>
      <c r="U275" s="126"/>
      <c r="V275" s="126"/>
    </row>
    <row r="276" spans="3:22" x14ac:dyDescent="0.55000000000000004">
      <c r="C276" s="194"/>
      <c r="D276" s="192"/>
      <c r="E276" s="193"/>
      <c r="F276" s="193"/>
      <c r="G276" s="193"/>
      <c r="H276" s="193"/>
      <c r="I276" s="193"/>
      <c r="J276" s="193"/>
      <c r="K276" s="193"/>
      <c r="L276" s="193"/>
      <c r="M276" s="193"/>
      <c r="N276" s="193"/>
      <c r="O276" s="193"/>
      <c r="P276" s="195"/>
      <c r="Q276" s="125"/>
      <c r="S276" s="126"/>
      <c r="T276" s="126"/>
      <c r="U276" s="126"/>
      <c r="V276" s="126"/>
    </row>
    <row r="277" spans="3:22" x14ac:dyDescent="0.55000000000000004">
      <c r="C277" s="194"/>
      <c r="D277" s="194"/>
      <c r="E277" s="138" t="s">
        <v>96</v>
      </c>
      <c r="P277" s="196"/>
      <c r="Q277" s="125"/>
      <c r="S277" s="126"/>
      <c r="T277" s="126"/>
      <c r="U277" s="126"/>
      <c r="V277" s="126"/>
    </row>
    <row r="278" spans="3:22" ht="14.55" customHeight="1" x14ac:dyDescent="0.55000000000000004">
      <c r="C278" s="194"/>
      <c r="D278" s="194"/>
      <c r="E278" s="1825" t="s">
        <v>558</v>
      </c>
      <c r="F278" s="1825"/>
      <c r="G278" s="1825"/>
      <c r="H278" s="1825"/>
      <c r="I278" s="1825"/>
      <c r="J278" s="1825"/>
      <c r="K278" s="1825"/>
      <c r="L278" s="1825"/>
      <c r="M278" s="1825"/>
      <c r="N278" s="1825"/>
      <c r="O278" s="1825"/>
      <c r="P278" s="1826"/>
      <c r="Q278" s="125"/>
      <c r="S278" s="126"/>
      <c r="T278" s="126"/>
      <c r="U278" s="126"/>
      <c r="V278" s="126"/>
    </row>
    <row r="279" spans="3:22" x14ac:dyDescent="0.55000000000000004">
      <c r="C279" s="194"/>
      <c r="D279" s="194"/>
      <c r="E279" s="1825"/>
      <c r="F279" s="1825"/>
      <c r="G279" s="1825"/>
      <c r="H279" s="1825"/>
      <c r="I279" s="1825"/>
      <c r="J279" s="1825"/>
      <c r="K279" s="1825"/>
      <c r="L279" s="1825"/>
      <c r="M279" s="1825"/>
      <c r="N279" s="1825"/>
      <c r="O279" s="1825"/>
      <c r="P279" s="1826"/>
      <c r="Q279" s="125"/>
      <c r="S279" s="126"/>
      <c r="T279" s="126"/>
      <c r="U279" s="126"/>
      <c r="V279" s="126"/>
    </row>
    <row r="280" spans="3:22" x14ac:dyDescent="0.55000000000000004">
      <c r="C280" s="194"/>
      <c r="D280" s="194"/>
      <c r="P280" s="196"/>
      <c r="Q280" s="125"/>
      <c r="S280" s="126"/>
      <c r="T280" s="126"/>
      <c r="U280" s="126"/>
      <c r="V280" s="126"/>
    </row>
    <row r="281" spans="3:22" x14ac:dyDescent="0.55000000000000004">
      <c r="C281" s="194"/>
      <c r="D281" s="194"/>
      <c r="E281" s="206" t="s">
        <v>77</v>
      </c>
      <c r="H281" s="207">
        <v>1</v>
      </c>
      <c r="P281" s="196"/>
      <c r="Q281" s="125"/>
      <c r="S281" s="126"/>
      <c r="T281" s="126"/>
      <c r="U281" s="126"/>
      <c r="V281" s="126"/>
    </row>
    <row r="282" spans="3:22" x14ac:dyDescent="0.55000000000000004">
      <c r="C282" s="194"/>
      <c r="D282" s="194"/>
      <c r="E282" s="10" t="s">
        <v>612</v>
      </c>
      <c r="H282" s="159" t="s">
        <v>578</v>
      </c>
      <c r="P282" s="196"/>
      <c r="Q282" s="125"/>
      <c r="S282" s="126"/>
      <c r="T282" s="126"/>
      <c r="U282" s="126"/>
      <c r="V282" s="126"/>
    </row>
    <row r="283" spans="3:22" x14ac:dyDescent="0.55000000000000004">
      <c r="C283" s="194"/>
      <c r="D283" s="194"/>
      <c r="P283" s="196"/>
      <c r="Q283" s="125"/>
      <c r="S283" s="126"/>
      <c r="T283" s="126"/>
      <c r="U283" s="126"/>
      <c r="V283" s="126"/>
    </row>
    <row r="284" spans="3:22" ht="43.2" x14ac:dyDescent="0.55000000000000004">
      <c r="C284" s="194"/>
      <c r="D284" s="194"/>
      <c r="E284" s="166" t="s">
        <v>78</v>
      </c>
      <c r="F284" s="166" t="s">
        <v>99</v>
      </c>
      <c r="G284" s="197" t="s">
        <v>92</v>
      </c>
      <c r="H284" s="166" t="s">
        <v>80</v>
      </c>
      <c r="I284" s="166" t="s">
        <v>334</v>
      </c>
      <c r="J284" s="166" t="s">
        <v>335</v>
      </c>
      <c r="K284" s="166" t="s">
        <v>339</v>
      </c>
      <c r="L284" s="166" t="s">
        <v>336</v>
      </c>
      <c r="M284" s="166" t="s">
        <v>337</v>
      </c>
      <c r="N284" s="166" t="s">
        <v>338</v>
      </c>
      <c r="O284" s="166" t="s">
        <v>83</v>
      </c>
      <c r="P284" s="208"/>
      <c r="Q284" s="125"/>
      <c r="S284" s="126" t="s">
        <v>614</v>
      </c>
      <c r="T284" s="126" t="s">
        <v>615</v>
      </c>
      <c r="U284" s="126"/>
      <c r="V284" s="126"/>
    </row>
    <row r="285" spans="3:22" x14ac:dyDescent="0.55000000000000004">
      <c r="C285" s="194"/>
      <c r="D285" s="194"/>
      <c r="E285" s="209">
        <f>IF($H$281=U285,U285,1)</f>
        <v>1</v>
      </c>
      <c r="F285" s="210">
        <v>0.7</v>
      </c>
      <c r="G285" s="211">
        <v>0</v>
      </c>
      <c r="H285" s="212"/>
      <c r="I285" s="213"/>
      <c r="J285" s="70">
        <f>J264-SUMIF(E286:E294,"&lt;="&amp;$H$281,J286:J294)</f>
        <v>1904.0579999999998</v>
      </c>
      <c r="K285" s="70">
        <f>F285*J285</f>
        <v>1332.8405999999998</v>
      </c>
      <c r="L285" s="114">
        <f ca="1">IFERROR(IF(E285&lt;=H281,IF(H282="No",IF(I272=0,I264/SUMPRODUCT(S285:S294,K285:K294),(I264-I272)/SUMPRODUCT(S285:S294,K285:K294)),0),0),0)</f>
        <v>26.090743424938058</v>
      </c>
      <c r="M285" s="44">
        <f ca="1">IFERROR(O285/J285,0)</f>
        <v>18.263520397456642</v>
      </c>
      <c r="N285" s="199"/>
      <c r="O285" s="199">
        <f ca="1">K285*L285</f>
        <v>34774.802120940491</v>
      </c>
      <c r="P285" s="214"/>
      <c r="Q285" s="125"/>
      <c r="S285" s="92">
        <f>IF(E285&lt;=$H$281,1,0)</f>
        <v>1</v>
      </c>
      <c r="T285" s="126"/>
      <c r="U285" s="126">
        <v>1</v>
      </c>
      <c r="V285" s="126"/>
    </row>
    <row r="286" spans="3:22" x14ac:dyDescent="0.55000000000000004">
      <c r="C286" s="194"/>
      <c r="D286" s="194"/>
      <c r="E286" s="209" t="str">
        <f t="shared" ref="E286:E294" si="48">IF($H$281&gt;=U286,U286,"")</f>
        <v/>
      </c>
      <c r="F286" s="210"/>
      <c r="G286" s="211">
        <f t="shared" ref="G286:G294" si="49">IF($H$281&gt;=F286,H285+0.01,"")</f>
        <v>0.01</v>
      </c>
      <c r="H286" s="212"/>
      <c r="I286" s="215"/>
      <c r="J286" s="216"/>
      <c r="K286" s="70">
        <f t="shared" ref="K286:K294" si="50">F286*J286</f>
        <v>0</v>
      </c>
      <c r="L286" s="114">
        <f>IFERROR(IF(E286&lt;=H281,IF(H282="No",L285*(1+I286),IF(I272=0,I264/SUMPRODUCT(T286:T294,K286:K294),(I264-I272)/SUMPRODUCT(T286:T294,K286:K294))),0),0)</f>
        <v>0</v>
      </c>
      <c r="M286" s="44">
        <f t="shared" ref="M286:M294" si="51">IFERROR(O286/J286,0)</f>
        <v>0</v>
      </c>
      <c r="N286" s="217">
        <f ca="1">IFERROR(M286/M285-1,"")</f>
        <v>-1</v>
      </c>
      <c r="O286" s="199">
        <f t="shared" ref="O286:O294" si="52">K286*L286</f>
        <v>0</v>
      </c>
      <c r="P286" s="214"/>
      <c r="Q286" s="125"/>
      <c r="S286" s="92">
        <f>IF(E286&lt;=$H$281,(1+I286),0)</f>
        <v>0</v>
      </c>
      <c r="T286" s="92">
        <f>IF(E286&lt;=H281,1,0)</f>
        <v>0</v>
      </c>
      <c r="U286" s="126">
        <v>2</v>
      </c>
      <c r="V286" s="126"/>
    </row>
    <row r="287" spans="3:22" x14ac:dyDescent="0.55000000000000004">
      <c r="C287" s="194"/>
      <c r="D287" s="194"/>
      <c r="E287" s="209" t="str">
        <f t="shared" si="48"/>
        <v/>
      </c>
      <c r="F287" s="210"/>
      <c r="G287" s="211">
        <f t="shared" si="49"/>
        <v>0.01</v>
      </c>
      <c r="H287" s="212"/>
      <c r="I287" s="215"/>
      <c r="J287" s="216"/>
      <c r="K287" s="70">
        <f t="shared" si="50"/>
        <v>0</v>
      </c>
      <c r="L287" s="204">
        <f t="shared" ref="L287:L294" si="53">IF(E287&lt;=$H$281,L286*(1+I287),0)</f>
        <v>0</v>
      </c>
      <c r="M287" s="44">
        <f t="shared" si="51"/>
        <v>0</v>
      </c>
      <c r="N287" s="217" t="str">
        <f t="shared" ref="N287:N294" si="54">IFERROR(M287/M286-1,"")</f>
        <v/>
      </c>
      <c r="O287" s="199">
        <f t="shared" si="52"/>
        <v>0</v>
      </c>
      <c r="P287" s="214"/>
      <c r="Q287" s="125"/>
      <c r="S287" s="92">
        <f t="shared" ref="S287:S294" si="55">IF(E287&lt;=$H$281,S286*(1+I287),0)</f>
        <v>0</v>
      </c>
      <c r="T287" s="92">
        <f>IF(E287&lt;=H281,T286*(1+I287),0)</f>
        <v>0</v>
      </c>
      <c r="U287" s="126">
        <v>3</v>
      </c>
      <c r="V287" s="126"/>
    </row>
    <row r="288" spans="3:22" x14ac:dyDescent="0.55000000000000004">
      <c r="C288" s="194"/>
      <c r="D288" s="194"/>
      <c r="E288" s="209" t="str">
        <f t="shared" si="48"/>
        <v/>
      </c>
      <c r="F288" s="210"/>
      <c r="G288" s="211">
        <f t="shared" si="49"/>
        <v>0.01</v>
      </c>
      <c r="H288" s="212"/>
      <c r="I288" s="215"/>
      <c r="J288" s="216"/>
      <c r="K288" s="70">
        <f t="shared" si="50"/>
        <v>0</v>
      </c>
      <c r="L288" s="204">
        <f t="shared" si="53"/>
        <v>0</v>
      </c>
      <c r="M288" s="44">
        <f t="shared" si="51"/>
        <v>0</v>
      </c>
      <c r="N288" s="217" t="str">
        <f t="shared" si="54"/>
        <v/>
      </c>
      <c r="O288" s="199">
        <f t="shared" si="52"/>
        <v>0</v>
      </c>
      <c r="P288" s="214"/>
      <c r="Q288" s="125"/>
      <c r="S288" s="92">
        <f t="shared" si="55"/>
        <v>0</v>
      </c>
      <c r="T288" s="92">
        <f>IF(E288&lt;=H281,T287*(1+I288),0)</f>
        <v>0</v>
      </c>
      <c r="U288" s="126">
        <v>4</v>
      </c>
      <c r="V288" s="126"/>
    </row>
    <row r="289" spans="3:22" x14ac:dyDescent="0.55000000000000004">
      <c r="C289" s="194"/>
      <c r="D289" s="194"/>
      <c r="E289" s="209" t="str">
        <f t="shared" si="48"/>
        <v/>
      </c>
      <c r="F289" s="210"/>
      <c r="G289" s="211">
        <f t="shared" si="49"/>
        <v>0.01</v>
      </c>
      <c r="H289" s="212"/>
      <c r="I289" s="215"/>
      <c r="J289" s="216"/>
      <c r="K289" s="70">
        <f t="shared" si="50"/>
        <v>0</v>
      </c>
      <c r="L289" s="204">
        <f t="shared" si="53"/>
        <v>0</v>
      </c>
      <c r="M289" s="44">
        <f t="shared" si="51"/>
        <v>0</v>
      </c>
      <c r="N289" s="217" t="str">
        <f t="shared" si="54"/>
        <v/>
      </c>
      <c r="O289" s="199">
        <f t="shared" si="52"/>
        <v>0</v>
      </c>
      <c r="P289" s="214"/>
      <c r="Q289" s="125"/>
      <c r="S289" s="92">
        <f t="shared" si="55"/>
        <v>0</v>
      </c>
      <c r="T289" s="92">
        <f>IF(E289&lt;=H281,T288*(1+I289),0)</f>
        <v>0</v>
      </c>
      <c r="U289" s="126">
        <v>5</v>
      </c>
      <c r="V289" s="126"/>
    </row>
    <row r="290" spans="3:22" x14ac:dyDescent="0.55000000000000004">
      <c r="C290" s="194"/>
      <c r="D290" s="194"/>
      <c r="E290" s="209" t="str">
        <f t="shared" si="48"/>
        <v/>
      </c>
      <c r="F290" s="210"/>
      <c r="G290" s="211">
        <f t="shared" si="49"/>
        <v>0.01</v>
      </c>
      <c r="H290" s="207"/>
      <c r="I290" s="215"/>
      <c r="J290" s="216"/>
      <c r="K290" s="70">
        <f t="shared" si="50"/>
        <v>0</v>
      </c>
      <c r="L290" s="204">
        <f t="shared" si="53"/>
        <v>0</v>
      </c>
      <c r="M290" s="44">
        <f t="shared" si="51"/>
        <v>0</v>
      </c>
      <c r="N290" s="217" t="str">
        <f t="shared" si="54"/>
        <v/>
      </c>
      <c r="O290" s="199">
        <f t="shared" si="52"/>
        <v>0</v>
      </c>
      <c r="P290" s="214"/>
      <c r="Q290" s="125"/>
      <c r="S290" s="92">
        <f t="shared" si="55"/>
        <v>0</v>
      </c>
      <c r="T290" s="92">
        <f>IF(E290&lt;=H281,T289*(1+I290),0)</f>
        <v>0</v>
      </c>
      <c r="U290" s="126">
        <v>6</v>
      </c>
      <c r="V290" s="126"/>
    </row>
    <row r="291" spans="3:22" x14ac:dyDescent="0.55000000000000004">
      <c r="C291" s="194"/>
      <c r="D291" s="194"/>
      <c r="E291" s="209" t="str">
        <f t="shared" si="48"/>
        <v/>
      </c>
      <c r="F291" s="210"/>
      <c r="G291" s="211">
        <f t="shared" si="49"/>
        <v>0.01</v>
      </c>
      <c r="H291" s="207"/>
      <c r="I291" s="215"/>
      <c r="J291" s="216"/>
      <c r="K291" s="70">
        <f t="shared" si="50"/>
        <v>0</v>
      </c>
      <c r="L291" s="204">
        <f t="shared" si="53"/>
        <v>0</v>
      </c>
      <c r="M291" s="44">
        <f t="shared" si="51"/>
        <v>0</v>
      </c>
      <c r="N291" s="217" t="str">
        <f t="shared" si="54"/>
        <v/>
      </c>
      <c r="O291" s="199">
        <f t="shared" si="52"/>
        <v>0</v>
      </c>
      <c r="P291" s="214"/>
      <c r="Q291" s="125"/>
      <c r="S291" s="92">
        <f t="shared" si="55"/>
        <v>0</v>
      </c>
      <c r="T291" s="92">
        <f>IF(E291&lt;=H281,T290*(1+I291),0)</f>
        <v>0</v>
      </c>
      <c r="U291" s="126">
        <v>7</v>
      </c>
      <c r="V291" s="126"/>
    </row>
    <row r="292" spans="3:22" x14ac:dyDescent="0.55000000000000004">
      <c r="C292" s="194"/>
      <c r="D292" s="194"/>
      <c r="E292" s="209" t="str">
        <f t="shared" si="48"/>
        <v/>
      </c>
      <c r="F292" s="210"/>
      <c r="G292" s="211">
        <f t="shared" si="49"/>
        <v>0.01</v>
      </c>
      <c r="H292" s="207"/>
      <c r="I292" s="215"/>
      <c r="J292" s="216"/>
      <c r="K292" s="70">
        <f t="shared" si="50"/>
        <v>0</v>
      </c>
      <c r="L292" s="204">
        <f t="shared" si="53"/>
        <v>0</v>
      </c>
      <c r="M292" s="44">
        <f t="shared" si="51"/>
        <v>0</v>
      </c>
      <c r="N292" s="217" t="str">
        <f t="shared" si="54"/>
        <v/>
      </c>
      <c r="O292" s="199">
        <f t="shared" si="52"/>
        <v>0</v>
      </c>
      <c r="P292" s="214"/>
      <c r="Q292" s="125"/>
      <c r="S292" s="92">
        <f t="shared" si="55"/>
        <v>0</v>
      </c>
      <c r="T292" s="92">
        <f>IF(E292&lt;=H281,T291*(1+I292),0)</f>
        <v>0</v>
      </c>
      <c r="U292" s="126">
        <v>8</v>
      </c>
      <c r="V292" s="126"/>
    </row>
    <row r="293" spans="3:22" x14ac:dyDescent="0.55000000000000004">
      <c r="C293" s="194"/>
      <c r="D293" s="194"/>
      <c r="E293" s="209" t="str">
        <f t="shared" si="48"/>
        <v/>
      </c>
      <c r="F293" s="210"/>
      <c r="G293" s="211">
        <f t="shared" si="49"/>
        <v>0.01</v>
      </c>
      <c r="H293" s="207"/>
      <c r="I293" s="215"/>
      <c r="J293" s="216"/>
      <c r="K293" s="70">
        <f t="shared" si="50"/>
        <v>0</v>
      </c>
      <c r="L293" s="204">
        <f t="shared" si="53"/>
        <v>0</v>
      </c>
      <c r="M293" s="44">
        <f t="shared" si="51"/>
        <v>0</v>
      </c>
      <c r="N293" s="217" t="str">
        <f t="shared" si="54"/>
        <v/>
      </c>
      <c r="O293" s="199">
        <f t="shared" si="52"/>
        <v>0</v>
      </c>
      <c r="P293" s="214"/>
      <c r="Q293" s="125"/>
      <c r="S293" s="92">
        <f t="shared" si="55"/>
        <v>0</v>
      </c>
      <c r="T293" s="92">
        <f>IF(E293&lt;=H281,T292*(1+I293),0)</f>
        <v>0</v>
      </c>
      <c r="U293" s="126">
        <v>9</v>
      </c>
      <c r="V293" s="126"/>
    </row>
    <row r="294" spans="3:22" x14ac:dyDescent="0.55000000000000004">
      <c r="C294" s="194"/>
      <c r="D294" s="194"/>
      <c r="E294" s="209" t="str">
        <f t="shared" si="48"/>
        <v/>
      </c>
      <c r="F294" s="210"/>
      <c r="G294" s="211">
        <f t="shared" si="49"/>
        <v>0.01</v>
      </c>
      <c r="H294" s="209" t="s">
        <v>84</v>
      </c>
      <c r="I294" s="215"/>
      <c r="J294" s="216"/>
      <c r="K294" s="70">
        <f t="shared" si="50"/>
        <v>0</v>
      </c>
      <c r="L294" s="204">
        <f t="shared" si="53"/>
        <v>0</v>
      </c>
      <c r="M294" s="44">
        <f t="shared" si="51"/>
        <v>0</v>
      </c>
      <c r="N294" s="217" t="str">
        <f t="shared" si="54"/>
        <v/>
      </c>
      <c r="O294" s="199">
        <f t="shared" si="52"/>
        <v>0</v>
      </c>
      <c r="P294" s="214"/>
      <c r="Q294" s="125"/>
      <c r="S294" s="92">
        <f t="shared" si="55"/>
        <v>0</v>
      </c>
      <c r="T294" s="92">
        <f>IF(E294&lt;=H281,T293*(1+I294),0)</f>
        <v>0</v>
      </c>
      <c r="U294" s="126">
        <v>10</v>
      </c>
      <c r="V294" s="126"/>
    </row>
    <row r="295" spans="3:22" ht="14.7" thickBot="1" x14ac:dyDescent="0.6">
      <c r="C295" s="194"/>
      <c r="D295" s="200"/>
      <c r="E295" s="201"/>
      <c r="F295" s="201"/>
      <c r="G295" s="201"/>
      <c r="H295" s="201"/>
      <c r="I295" s="201"/>
      <c r="J295" s="201"/>
      <c r="K295" s="201"/>
      <c r="L295" s="201"/>
      <c r="M295" s="201"/>
      <c r="N295" s="201"/>
      <c r="O295" s="201"/>
      <c r="P295" s="202"/>
      <c r="Q295" s="125"/>
      <c r="S295" s="126"/>
      <c r="T295" s="126"/>
      <c r="U295" s="126"/>
      <c r="V295" s="126"/>
    </row>
    <row r="296" spans="3:22" ht="14.7" thickBot="1" x14ac:dyDescent="0.6">
      <c r="C296" s="200"/>
      <c r="D296" s="201"/>
      <c r="E296" s="201"/>
      <c r="F296" s="201"/>
      <c r="G296" s="201"/>
      <c r="H296" s="201"/>
      <c r="I296" s="201"/>
      <c r="J296" s="201"/>
      <c r="K296" s="201"/>
      <c r="L296" s="201"/>
      <c r="M296" s="201"/>
      <c r="N296" s="201"/>
      <c r="O296" s="201"/>
      <c r="P296" s="201"/>
      <c r="Q296" s="132"/>
      <c r="S296" s="126"/>
      <c r="T296" s="126"/>
      <c r="U296" s="126"/>
      <c r="V296" s="126"/>
    </row>
    <row r="297" spans="3:22" ht="14.7" thickBot="1" x14ac:dyDescent="0.6">
      <c r="S297" s="126"/>
      <c r="T297" s="126"/>
      <c r="U297" s="126"/>
      <c r="V297" s="126"/>
    </row>
    <row r="298" spans="3:22" x14ac:dyDescent="0.55000000000000004">
      <c r="C298" s="192"/>
      <c r="D298" s="193"/>
      <c r="E298" s="193"/>
      <c r="F298" s="193"/>
      <c r="G298" s="193"/>
      <c r="H298" s="193"/>
      <c r="I298" s="193"/>
      <c r="J298" s="193"/>
      <c r="K298" s="193"/>
      <c r="L298" s="193"/>
      <c r="M298" s="193"/>
      <c r="N298" s="193"/>
      <c r="O298" s="193"/>
      <c r="P298" s="193"/>
      <c r="Q298" s="123"/>
      <c r="S298" s="126"/>
      <c r="T298" s="126"/>
      <c r="U298" s="126"/>
      <c r="V298" s="126"/>
    </row>
    <row r="299" spans="3:22" ht="18.3" x14ac:dyDescent="0.7">
      <c r="C299" s="194"/>
      <c r="D299" s="1824" t="str">
        <f>'2 Customer data'!D64</f>
        <v>Churches</v>
      </c>
      <c r="E299" s="1824"/>
      <c r="F299" s="1824"/>
      <c r="G299" s="1824"/>
      <c r="H299" s="1824"/>
      <c r="I299" s="1824"/>
      <c r="J299" s="1824"/>
      <c r="K299" s="1824"/>
      <c r="L299" s="1824"/>
      <c r="M299" s="1824"/>
      <c r="N299" s="1824"/>
      <c r="O299" s="1824"/>
      <c r="Q299" s="125"/>
      <c r="S299" s="126"/>
      <c r="T299" s="126"/>
      <c r="U299" s="126"/>
      <c r="V299" s="126"/>
    </row>
    <row r="300" spans="3:22" ht="14.7" thickBot="1" x14ac:dyDescent="0.6">
      <c r="C300" s="194"/>
      <c r="Q300" s="125"/>
      <c r="S300" s="126"/>
      <c r="T300" s="126"/>
      <c r="U300" s="126"/>
      <c r="V300" s="126"/>
    </row>
    <row r="301" spans="3:22" x14ac:dyDescent="0.55000000000000004">
      <c r="C301" s="194"/>
      <c r="D301" s="192"/>
      <c r="E301" s="193"/>
      <c r="F301" s="193"/>
      <c r="G301" s="193"/>
      <c r="H301" s="193"/>
      <c r="I301" s="193"/>
      <c r="J301" s="193"/>
      <c r="K301" s="193"/>
      <c r="L301" s="193"/>
      <c r="M301" s="193"/>
      <c r="N301" s="193"/>
      <c r="O301" s="193"/>
      <c r="P301" s="195"/>
      <c r="Q301" s="125"/>
      <c r="S301" s="126"/>
      <c r="T301" s="126"/>
      <c r="U301" s="126"/>
      <c r="V301" s="126"/>
    </row>
    <row r="302" spans="3:22" x14ac:dyDescent="0.55000000000000004">
      <c r="C302" s="194"/>
      <c r="D302" s="194"/>
      <c r="E302" s="138" t="str">
        <f>'2 Customer data'!D64&amp;" "&amp;"information"</f>
        <v>Churches information</v>
      </c>
      <c r="P302" s="196"/>
      <c r="Q302" s="125"/>
      <c r="S302" s="126"/>
      <c r="T302" s="126"/>
      <c r="U302" s="126"/>
      <c r="V302" s="126"/>
    </row>
    <row r="303" spans="3:22" x14ac:dyDescent="0.55000000000000004">
      <c r="C303" s="194"/>
      <c r="D303" s="194"/>
      <c r="P303" s="196"/>
      <c r="Q303" s="125"/>
      <c r="S303" s="126"/>
      <c r="T303" s="126"/>
      <c r="U303" s="126"/>
      <c r="V303" s="126"/>
    </row>
    <row r="304" spans="3:22" ht="28.8" x14ac:dyDescent="0.55000000000000004">
      <c r="C304" s="194"/>
      <c r="D304" s="194"/>
      <c r="F304" s="166" t="s">
        <v>28</v>
      </c>
      <c r="G304" s="166" t="s">
        <v>69</v>
      </c>
      <c r="H304" s="197" t="s">
        <v>70</v>
      </c>
      <c r="I304" s="166" t="s">
        <v>71</v>
      </c>
      <c r="J304" s="198" t="s">
        <v>277</v>
      </c>
      <c r="P304" s="196"/>
      <c r="Q304" s="125"/>
      <c r="S304" s="126"/>
      <c r="T304" s="126"/>
      <c r="U304" s="126"/>
      <c r="V304" s="126"/>
    </row>
    <row r="305" spans="3:22" x14ac:dyDescent="0.55000000000000004">
      <c r="C305" s="194"/>
      <c r="D305" s="194"/>
      <c r="E305" s="10" t="str">
        <f>'2 Customer data'!D64</f>
        <v>Churches</v>
      </c>
      <c r="F305" s="113">
        <f>IFERROR(IF(VLOOKUP(E305,'2 Customer data'!$D$57:$M$76,6,FALSE)="",VLOOKUP(E305,'2 Customer data'!$D$57:$M$76,5,FALSE),VLOOKUP(E305,'2 Customer data'!$D$57:$M$76,6,FALSE)),0)</f>
        <v>83.186999999999998</v>
      </c>
      <c r="G305" s="113">
        <f ca="1">IFERROR(VLOOKUP(E305,'2 Sanitation'!$D$19:$J$38,5,FALSE),0)</f>
        <v>301478.0645468458</v>
      </c>
      <c r="H305" s="113">
        <f ca="1">IFERROR(VLOOKUP(E305,'2 Sanitation'!$D$19:$J$38,6,FALSE),0)</f>
        <v>0</v>
      </c>
      <c r="I305" s="113">
        <f ca="1">IFERROR(VLOOKUP(E305,'2 Sanitation'!$D$153:$K$172,8,FALSE),0)</f>
        <v>257075.0411405786</v>
      </c>
      <c r="J305" s="199">
        <f>IFERROR(IF(VLOOKUP(E305,'2 Customer data'!$D$57:$M$76,8,FALSE)="",VLOOKUP(E305,'2 Customer data'!$D$57:$M$76,7,FALSE),VLOOKUP(E305,'2 Customer data'!$D$57:$M$76,8,FALSE)),0)</f>
        <v>0</v>
      </c>
      <c r="P305" s="196"/>
      <c r="Q305" s="125"/>
      <c r="S305" s="126"/>
      <c r="T305" s="126"/>
      <c r="U305" s="126"/>
      <c r="V305" s="126"/>
    </row>
    <row r="306" spans="3:22" ht="14.7" thickBot="1" x14ac:dyDescent="0.6">
      <c r="C306" s="194"/>
      <c r="D306" s="200"/>
      <c r="E306" s="201"/>
      <c r="F306" s="201"/>
      <c r="G306" s="201"/>
      <c r="H306" s="201"/>
      <c r="I306" s="201"/>
      <c r="J306" s="201"/>
      <c r="K306" s="201"/>
      <c r="L306" s="201"/>
      <c r="M306" s="201"/>
      <c r="N306" s="201"/>
      <c r="O306" s="201"/>
      <c r="P306" s="202"/>
      <c r="Q306" s="125"/>
      <c r="S306" s="126"/>
      <c r="T306" s="126"/>
      <c r="U306" s="126"/>
      <c r="V306" s="126"/>
    </row>
    <row r="307" spans="3:22" ht="14.7" thickBot="1" x14ac:dyDescent="0.6">
      <c r="C307" s="194"/>
      <c r="Q307" s="125"/>
      <c r="S307" s="126"/>
      <c r="T307" s="126"/>
      <c r="U307" s="126"/>
      <c r="V307" s="126"/>
    </row>
    <row r="308" spans="3:22" x14ac:dyDescent="0.55000000000000004">
      <c r="C308" s="194"/>
      <c r="D308" s="192"/>
      <c r="E308" s="193"/>
      <c r="F308" s="193"/>
      <c r="G308" s="193"/>
      <c r="H308" s="193"/>
      <c r="I308" s="193"/>
      <c r="J308" s="193"/>
      <c r="K308" s="193"/>
      <c r="L308" s="193"/>
      <c r="M308" s="193"/>
      <c r="N308" s="193"/>
      <c r="O308" s="193"/>
      <c r="P308" s="195"/>
      <c r="Q308" s="125"/>
      <c r="S308" s="126"/>
      <c r="T308" s="126"/>
      <c r="U308" s="126"/>
      <c r="V308" s="126"/>
    </row>
    <row r="309" spans="3:22" x14ac:dyDescent="0.55000000000000004">
      <c r="C309" s="194"/>
      <c r="D309" s="194"/>
      <c r="E309" s="138" t="s">
        <v>93</v>
      </c>
      <c r="P309" s="196"/>
      <c r="Q309" s="125"/>
      <c r="S309" s="126"/>
      <c r="T309" s="126"/>
      <c r="U309" s="126"/>
      <c r="V309" s="126"/>
    </row>
    <row r="310" spans="3:22" x14ac:dyDescent="0.55000000000000004">
      <c r="C310" s="194"/>
      <c r="D310" s="194"/>
      <c r="E310" s="203" t="s">
        <v>555</v>
      </c>
      <c r="P310" s="196"/>
      <c r="Q310" s="125"/>
      <c r="S310" s="126"/>
      <c r="T310" s="126"/>
      <c r="U310" s="126"/>
      <c r="V310" s="126"/>
    </row>
    <row r="311" spans="3:22" x14ac:dyDescent="0.55000000000000004">
      <c r="C311" s="194"/>
      <c r="D311" s="194"/>
      <c r="P311" s="196"/>
      <c r="Q311" s="125"/>
      <c r="S311" s="126"/>
      <c r="T311" s="126"/>
      <c r="U311" s="126"/>
      <c r="V311" s="126"/>
    </row>
    <row r="312" spans="3:22" ht="43.2" x14ac:dyDescent="0.55000000000000004">
      <c r="C312" s="194"/>
      <c r="D312" s="194"/>
      <c r="F312" s="166" t="s">
        <v>86</v>
      </c>
      <c r="G312" s="166" t="s">
        <v>73</v>
      </c>
      <c r="H312" s="166" t="s">
        <v>74</v>
      </c>
      <c r="I312" s="166" t="s">
        <v>75</v>
      </c>
      <c r="J312" s="166" t="s">
        <v>76</v>
      </c>
      <c r="P312" s="196"/>
      <c r="Q312" s="125"/>
      <c r="S312" s="126"/>
      <c r="T312" s="126"/>
      <c r="U312" s="126"/>
      <c r="V312" s="126"/>
    </row>
    <row r="313" spans="3:22" x14ac:dyDescent="0.55000000000000004">
      <c r="C313" s="194"/>
      <c r="D313" s="194"/>
      <c r="E313" s="10" t="str">
        <f>E305</f>
        <v>Churches</v>
      </c>
      <c r="F313" s="113">
        <f ca="1">G305</f>
        <v>301478.0645468458</v>
      </c>
      <c r="G313" s="204">
        <f ca="1">IFERROR(F313/F305/12,0)</f>
        <v>302.00839128193689</v>
      </c>
      <c r="H313" s="205"/>
      <c r="I313" s="113">
        <f>H313*F305*12</f>
        <v>0</v>
      </c>
      <c r="J313" s="70">
        <f>I313/12</f>
        <v>0</v>
      </c>
      <c r="P313" s="196"/>
      <c r="Q313" s="125"/>
      <c r="S313" s="126"/>
      <c r="T313" s="126"/>
      <c r="U313" s="126"/>
      <c r="V313" s="126"/>
    </row>
    <row r="314" spans="3:22" x14ac:dyDescent="0.55000000000000004">
      <c r="C314" s="194"/>
      <c r="D314" s="194"/>
      <c r="F314" s="58" t="str">
        <f>IF(I313&gt;I304,"Error: revenue from fixed charges exceeds total revenue required from tariff. Reduce fixed charge.","")</f>
        <v/>
      </c>
      <c r="G314" s="156"/>
      <c r="H314" s="156"/>
      <c r="I314" s="156"/>
      <c r="J314" s="158"/>
      <c r="P314" s="196"/>
      <c r="Q314" s="125"/>
      <c r="S314" s="126"/>
      <c r="T314" s="126"/>
      <c r="U314" s="126"/>
      <c r="V314" s="126"/>
    </row>
    <row r="315" spans="3:22" ht="14.7" thickBot="1" x14ac:dyDescent="0.6">
      <c r="C315" s="194"/>
      <c r="D315" s="200"/>
      <c r="E315" s="201"/>
      <c r="F315" s="201"/>
      <c r="G315" s="201"/>
      <c r="H315" s="201"/>
      <c r="I315" s="201"/>
      <c r="J315" s="201"/>
      <c r="K315" s="201"/>
      <c r="L315" s="201"/>
      <c r="M315" s="201"/>
      <c r="N315" s="201"/>
      <c r="O315" s="201"/>
      <c r="P315" s="202"/>
      <c r="Q315" s="125"/>
      <c r="S315" s="126"/>
      <c r="T315" s="126"/>
      <c r="U315" s="126"/>
      <c r="V315" s="126"/>
    </row>
    <row r="316" spans="3:22" ht="14.7" thickBot="1" x14ac:dyDescent="0.6">
      <c r="C316" s="194"/>
      <c r="Q316" s="125"/>
      <c r="S316" s="126"/>
      <c r="T316" s="126"/>
      <c r="U316" s="126"/>
      <c r="V316" s="126"/>
    </row>
    <row r="317" spans="3:22" x14ac:dyDescent="0.55000000000000004">
      <c r="C317" s="194"/>
      <c r="D317" s="192"/>
      <c r="E317" s="193"/>
      <c r="F317" s="193"/>
      <c r="G317" s="193"/>
      <c r="H317" s="193"/>
      <c r="I317" s="193"/>
      <c r="J317" s="193"/>
      <c r="K317" s="193"/>
      <c r="L317" s="193"/>
      <c r="M317" s="193"/>
      <c r="N317" s="193"/>
      <c r="O317" s="193"/>
      <c r="P317" s="195"/>
      <c r="Q317" s="125"/>
      <c r="S317" s="126"/>
      <c r="T317" s="126"/>
      <c r="U317" s="126"/>
      <c r="V317" s="126"/>
    </row>
    <row r="318" spans="3:22" x14ac:dyDescent="0.55000000000000004">
      <c r="C318" s="194"/>
      <c r="D318" s="194"/>
      <c r="E318" s="138" t="s">
        <v>96</v>
      </c>
      <c r="P318" s="196"/>
      <c r="Q318" s="125"/>
      <c r="S318" s="126"/>
      <c r="T318" s="126"/>
      <c r="U318" s="126"/>
      <c r="V318" s="126"/>
    </row>
    <row r="319" spans="3:22" ht="14.55" customHeight="1" x14ac:dyDescent="0.55000000000000004">
      <c r="C319" s="194"/>
      <c r="D319" s="194"/>
      <c r="E319" s="1825" t="s">
        <v>558</v>
      </c>
      <c r="F319" s="1825"/>
      <c r="G319" s="1825"/>
      <c r="H319" s="1825"/>
      <c r="I319" s="1825"/>
      <c r="J319" s="1825"/>
      <c r="K319" s="1825"/>
      <c r="L319" s="1825"/>
      <c r="M319" s="1825"/>
      <c r="N319" s="1825"/>
      <c r="O319" s="1825"/>
      <c r="P319" s="1826"/>
      <c r="Q319" s="125"/>
      <c r="S319" s="126"/>
      <c r="T319" s="126"/>
      <c r="U319" s="126"/>
      <c r="V319" s="126"/>
    </row>
    <row r="320" spans="3:22" x14ac:dyDescent="0.55000000000000004">
      <c r="C320" s="194"/>
      <c r="D320" s="194"/>
      <c r="E320" s="1825"/>
      <c r="F320" s="1825"/>
      <c r="G320" s="1825"/>
      <c r="H320" s="1825"/>
      <c r="I320" s="1825"/>
      <c r="J320" s="1825"/>
      <c r="K320" s="1825"/>
      <c r="L320" s="1825"/>
      <c r="M320" s="1825"/>
      <c r="N320" s="1825"/>
      <c r="O320" s="1825"/>
      <c r="P320" s="1826"/>
      <c r="Q320" s="125"/>
      <c r="S320" s="126"/>
      <c r="T320" s="126"/>
      <c r="U320" s="126"/>
      <c r="V320" s="126"/>
    </row>
    <row r="321" spans="3:22" x14ac:dyDescent="0.55000000000000004">
      <c r="C321" s="194"/>
      <c r="D321" s="194"/>
      <c r="P321" s="196"/>
      <c r="Q321" s="125"/>
      <c r="S321" s="126"/>
      <c r="T321" s="126"/>
      <c r="U321" s="126"/>
      <c r="V321" s="126"/>
    </row>
    <row r="322" spans="3:22" x14ac:dyDescent="0.55000000000000004">
      <c r="C322" s="194"/>
      <c r="D322" s="194"/>
      <c r="E322" s="206" t="s">
        <v>77</v>
      </c>
      <c r="H322" s="207">
        <v>1</v>
      </c>
      <c r="P322" s="196"/>
      <c r="Q322" s="125"/>
      <c r="S322" s="126"/>
      <c r="T322" s="126"/>
      <c r="U322" s="126"/>
      <c r="V322" s="126"/>
    </row>
    <row r="323" spans="3:22" x14ac:dyDescent="0.55000000000000004">
      <c r="C323" s="194"/>
      <c r="D323" s="194"/>
      <c r="E323" s="10" t="s">
        <v>612</v>
      </c>
      <c r="H323" s="159" t="s">
        <v>578</v>
      </c>
      <c r="P323" s="196"/>
      <c r="Q323" s="125"/>
      <c r="S323" s="126"/>
      <c r="T323" s="126"/>
      <c r="U323" s="126"/>
      <c r="V323" s="126"/>
    </row>
    <row r="324" spans="3:22" x14ac:dyDescent="0.55000000000000004">
      <c r="C324" s="194"/>
      <c r="D324" s="194"/>
      <c r="P324" s="196"/>
      <c r="Q324" s="125"/>
      <c r="S324" s="126"/>
      <c r="T324" s="126"/>
      <c r="U324" s="126"/>
      <c r="V324" s="126"/>
    </row>
    <row r="325" spans="3:22" ht="43.2" x14ac:dyDescent="0.55000000000000004">
      <c r="C325" s="194"/>
      <c r="D325" s="194"/>
      <c r="E325" s="166" t="s">
        <v>78</v>
      </c>
      <c r="F325" s="166" t="s">
        <v>99</v>
      </c>
      <c r="G325" s="197" t="s">
        <v>92</v>
      </c>
      <c r="H325" s="166" t="s">
        <v>80</v>
      </c>
      <c r="I325" s="166" t="s">
        <v>334</v>
      </c>
      <c r="J325" s="166" t="s">
        <v>335</v>
      </c>
      <c r="K325" s="166" t="s">
        <v>339</v>
      </c>
      <c r="L325" s="166" t="s">
        <v>336</v>
      </c>
      <c r="M325" s="166" t="s">
        <v>337</v>
      </c>
      <c r="N325" s="166" t="s">
        <v>338</v>
      </c>
      <c r="O325" s="166" t="s">
        <v>83</v>
      </c>
      <c r="P325" s="208"/>
      <c r="Q325" s="125"/>
      <c r="S325" s="126" t="s">
        <v>614</v>
      </c>
      <c r="T325" s="126" t="s">
        <v>615</v>
      </c>
      <c r="U325" s="126"/>
      <c r="V325" s="126"/>
    </row>
    <row r="326" spans="3:22" x14ac:dyDescent="0.55000000000000004">
      <c r="C326" s="194"/>
      <c r="D326" s="194"/>
      <c r="E326" s="209">
        <f>IF($H$322=U326,U326,1)</f>
        <v>1</v>
      </c>
      <c r="F326" s="210">
        <v>0.7</v>
      </c>
      <c r="G326" s="211">
        <v>0</v>
      </c>
      <c r="H326" s="212"/>
      <c r="I326" s="213"/>
      <c r="J326" s="70">
        <f>J305-SUMIF(E327:E335,"&lt;="&amp;$H$322,J327:J335)</f>
        <v>0</v>
      </c>
      <c r="K326" s="70">
        <f>F326*J326</f>
        <v>0</v>
      </c>
      <c r="L326" s="114">
        <f ca="1">IFERROR(IF(E326&lt;=H322,IF(H323="No",IF(I313=0,I305/SUMPRODUCT(S326:S335,K326:K335),(I305-I313)/SUMPRODUCT(S326:S335,K326:K335)),0),0),0)</f>
        <v>0</v>
      </c>
      <c r="M326" s="44">
        <f ca="1">IFERROR(O326/J326,0)</f>
        <v>0</v>
      </c>
      <c r="N326" s="199"/>
      <c r="O326" s="199">
        <f ca="1">K326*L326</f>
        <v>0</v>
      </c>
      <c r="P326" s="214"/>
      <c r="Q326" s="125"/>
      <c r="S326" s="92">
        <f>IF(E326&lt;=$H$322,1,0)</f>
        <v>1</v>
      </c>
      <c r="T326" s="126"/>
      <c r="U326" s="126">
        <v>1</v>
      </c>
      <c r="V326" s="126"/>
    </row>
    <row r="327" spans="3:22" x14ac:dyDescent="0.55000000000000004">
      <c r="C327" s="194"/>
      <c r="D327" s="194"/>
      <c r="E327" s="209" t="str">
        <f t="shared" ref="E327:E335" si="56">IF($H$322&gt;=U327,U327,"")</f>
        <v/>
      </c>
      <c r="F327" s="210"/>
      <c r="G327" s="211">
        <f t="shared" ref="G327:G335" si="57">IF($H$322&gt;=F327,H326+0.01,"")</f>
        <v>0.01</v>
      </c>
      <c r="H327" s="212"/>
      <c r="I327" s="215"/>
      <c r="J327" s="216"/>
      <c r="K327" s="70">
        <f t="shared" ref="K327:K335" si="58">F327*J327</f>
        <v>0</v>
      </c>
      <c r="L327" s="114">
        <f>IFERROR(IF(E327&lt;=H322,IF(H323="No",L326*(1+I327),IF(I313=0,I305/SUMPRODUCT(T327:T335,K327:K335),(I305-I313)/SUMPRODUCT(T327:T335,K327:K335))),0),0)</f>
        <v>0</v>
      </c>
      <c r="M327" s="44">
        <f t="shared" ref="M327:M335" si="59">IFERROR(O327/J327,0)</f>
        <v>0</v>
      </c>
      <c r="N327" s="217" t="str">
        <f ca="1">IFERROR(M327/M326-1,"")</f>
        <v/>
      </c>
      <c r="O327" s="199">
        <f t="shared" ref="O327:O335" si="60">K327*L327</f>
        <v>0</v>
      </c>
      <c r="P327" s="214"/>
      <c r="Q327" s="125"/>
      <c r="S327" s="92">
        <f>IF(E327&lt;=$H$322,(1+I327),0)</f>
        <v>0</v>
      </c>
      <c r="T327" s="92">
        <f>IF(E327&lt;=H322,1,0)</f>
        <v>0</v>
      </c>
      <c r="U327" s="126">
        <v>2</v>
      </c>
      <c r="V327" s="126"/>
    </row>
    <row r="328" spans="3:22" x14ac:dyDescent="0.55000000000000004">
      <c r="C328" s="194"/>
      <c r="D328" s="194"/>
      <c r="E328" s="209" t="str">
        <f t="shared" si="56"/>
        <v/>
      </c>
      <c r="F328" s="210"/>
      <c r="G328" s="211">
        <f t="shared" si="57"/>
        <v>0.01</v>
      </c>
      <c r="H328" s="212"/>
      <c r="I328" s="215"/>
      <c r="J328" s="216"/>
      <c r="K328" s="70">
        <f t="shared" si="58"/>
        <v>0</v>
      </c>
      <c r="L328" s="204">
        <f t="shared" ref="L328:L335" si="61">IF(E328&lt;=$H$322,L327*(1+I328),0)</f>
        <v>0</v>
      </c>
      <c r="M328" s="44">
        <f t="shared" si="59"/>
        <v>0</v>
      </c>
      <c r="N328" s="217" t="str">
        <f t="shared" ref="N328:N335" si="62">IFERROR(M328/M327-1,"")</f>
        <v/>
      </c>
      <c r="O328" s="199">
        <f t="shared" si="60"/>
        <v>0</v>
      </c>
      <c r="P328" s="214"/>
      <c r="Q328" s="125"/>
      <c r="S328" s="92">
        <f t="shared" ref="S328:S335" si="63">IF(E328&lt;=$H$322,S327*(1+I328),0)</f>
        <v>0</v>
      </c>
      <c r="T328" s="92">
        <f>IF(E328&lt;=H322,T327*(1+I328),0)</f>
        <v>0</v>
      </c>
      <c r="U328" s="126">
        <v>3</v>
      </c>
      <c r="V328" s="126"/>
    </row>
    <row r="329" spans="3:22" x14ac:dyDescent="0.55000000000000004">
      <c r="C329" s="194"/>
      <c r="D329" s="194"/>
      <c r="E329" s="209" t="str">
        <f t="shared" si="56"/>
        <v/>
      </c>
      <c r="F329" s="210"/>
      <c r="G329" s="211">
        <f t="shared" si="57"/>
        <v>0.01</v>
      </c>
      <c r="H329" s="212"/>
      <c r="I329" s="215"/>
      <c r="J329" s="216"/>
      <c r="K329" s="70">
        <f t="shared" si="58"/>
        <v>0</v>
      </c>
      <c r="L329" s="204">
        <f t="shared" si="61"/>
        <v>0</v>
      </c>
      <c r="M329" s="44">
        <f t="shared" si="59"/>
        <v>0</v>
      </c>
      <c r="N329" s="217" t="str">
        <f t="shared" si="62"/>
        <v/>
      </c>
      <c r="O329" s="199">
        <f t="shared" si="60"/>
        <v>0</v>
      </c>
      <c r="P329" s="214"/>
      <c r="Q329" s="125"/>
      <c r="S329" s="92">
        <f t="shared" si="63"/>
        <v>0</v>
      </c>
      <c r="T329" s="92">
        <f>IF(E329&lt;=H322,T328*(1+I329),0)</f>
        <v>0</v>
      </c>
      <c r="U329" s="126">
        <v>4</v>
      </c>
      <c r="V329" s="126"/>
    </row>
    <row r="330" spans="3:22" x14ac:dyDescent="0.55000000000000004">
      <c r="C330" s="194"/>
      <c r="D330" s="194"/>
      <c r="E330" s="209" t="str">
        <f t="shared" si="56"/>
        <v/>
      </c>
      <c r="F330" s="210"/>
      <c r="G330" s="211">
        <f t="shared" si="57"/>
        <v>0.01</v>
      </c>
      <c r="H330" s="212"/>
      <c r="I330" s="215"/>
      <c r="J330" s="216"/>
      <c r="K330" s="70">
        <f t="shared" si="58"/>
        <v>0</v>
      </c>
      <c r="L330" s="204">
        <f t="shared" si="61"/>
        <v>0</v>
      </c>
      <c r="M330" s="44">
        <f t="shared" si="59"/>
        <v>0</v>
      </c>
      <c r="N330" s="217" t="str">
        <f t="shared" si="62"/>
        <v/>
      </c>
      <c r="O330" s="199">
        <f t="shared" si="60"/>
        <v>0</v>
      </c>
      <c r="P330" s="214"/>
      <c r="Q330" s="125"/>
      <c r="S330" s="92">
        <f t="shared" si="63"/>
        <v>0</v>
      </c>
      <c r="T330" s="92">
        <f>IF(E330&lt;=H322,T329*(1+I330),0)</f>
        <v>0</v>
      </c>
      <c r="U330" s="126">
        <v>5</v>
      </c>
      <c r="V330" s="126"/>
    </row>
    <row r="331" spans="3:22" x14ac:dyDescent="0.55000000000000004">
      <c r="C331" s="194"/>
      <c r="D331" s="194"/>
      <c r="E331" s="209" t="str">
        <f t="shared" si="56"/>
        <v/>
      </c>
      <c r="F331" s="210"/>
      <c r="G331" s="211">
        <f t="shared" si="57"/>
        <v>0.01</v>
      </c>
      <c r="H331" s="207"/>
      <c r="I331" s="215"/>
      <c r="J331" s="216"/>
      <c r="K331" s="70">
        <f t="shared" si="58"/>
        <v>0</v>
      </c>
      <c r="L331" s="204">
        <f t="shared" si="61"/>
        <v>0</v>
      </c>
      <c r="M331" s="44">
        <f t="shared" si="59"/>
        <v>0</v>
      </c>
      <c r="N331" s="217" t="str">
        <f t="shared" si="62"/>
        <v/>
      </c>
      <c r="O331" s="199">
        <f t="shared" si="60"/>
        <v>0</v>
      </c>
      <c r="P331" s="214"/>
      <c r="Q331" s="125"/>
      <c r="S331" s="92">
        <f t="shared" si="63"/>
        <v>0</v>
      </c>
      <c r="T331" s="92">
        <f>IF(E331&lt;=H322,T330*(1+I331),0)</f>
        <v>0</v>
      </c>
      <c r="U331" s="126">
        <v>6</v>
      </c>
      <c r="V331" s="126"/>
    </row>
    <row r="332" spans="3:22" x14ac:dyDescent="0.55000000000000004">
      <c r="C332" s="194"/>
      <c r="D332" s="194"/>
      <c r="E332" s="209" t="str">
        <f t="shared" si="56"/>
        <v/>
      </c>
      <c r="F332" s="210"/>
      <c r="G332" s="211">
        <f t="shared" si="57"/>
        <v>0.01</v>
      </c>
      <c r="H332" s="207"/>
      <c r="I332" s="215"/>
      <c r="J332" s="216"/>
      <c r="K332" s="70">
        <f t="shared" si="58"/>
        <v>0</v>
      </c>
      <c r="L332" s="204">
        <f t="shared" si="61"/>
        <v>0</v>
      </c>
      <c r="M332" s="44">
        <f t="shared" si="59"/>
        <v>0</v>
      </c>
      <c r="N332" s="217" t="str">
        <f t="shared" si="62"/>
        <v/>
      </c>
      <c r="O332" s="199">
        <f t="shared" si="60"/>
        <v>0</v>
      </c>
      <c r="P332" s="214"/>
      <c r="Q332" s="125"/>
      <c r="S332" s="92">
        <f t="shared" si="63"/>
        <v>0</v>
      </c>
      <c r="T332" s="92">
        <f>IF(E332&lt;=H322,T331*(1+I332),0)</f>
        <v>0</v>
      </c>
      <c r="U332" s="126">
        <v>7</v>
      </c>
      <c r="V332" s="126"/>
    </row>
    <row r="333" spans="3:22" x14ac:dyDescent="0.55000000000000004">
      <c r="C333" s="194"/>
      <c r="D333" s="194"/>
      <c r="E333" s="209" t="str">
        <f t="shared" si="56"/>
        <v/>
      </c>
      <c r="F333" s="210"/>
      <c r="G333" s="211">
        <f t="shared" si="57"/>
        <v>0.01</v>
      </c>
      <c r="H333" s="207"/>
      <c r="I333" s="215"/>
      <c r="J333" s="216"/>
      <c r="K333" s="70">
        <f t="shared" si="58"/>
        <v>0</v>
      </c>
      <c r="L333" s="204">
        <f t="shared" si="61"/>
        <v>0</v>
      </c>
      <c r="M333" s="44">
        <f t="shared" si="59"/>
        <v>0</v>
      </c>
      <c r="N333" s="217" t="str">
        <f t="shared" si="62"/>
        <v/>
      </c>
      <c r="O333" s="199">
        <f t="shared" si="60"/>
        <v>0</v>
      </c>
      <c r="P333" s="214"/>
      <c r="Q333" s="125"/>
      <c r="S333" s="92">
        <f t="shared" si="63"/>
        <v>0</v>
      </c>
      <c r="T333" s="92">
        <f>IF(E333&lt;=H322,T332*(1+I333),0)</f>
        <v>0</v>
      </c>
      <c r="U333" s="126">
        <v>8</v>
      </c>
      <c r="V333" s="126"/>
    </row>
    <row r="334" spans="3:22" x14ac:dyDescent="0.55000000000000004">
      <c r="C334" s="194"/>
      <c r="D334" s="194"/>
      <c r="E334" s="209" t="str">
        <f t="shared" si="56"/>
        <v/>
      </c>
      <c r="F334" s="210"/>
      <c r="G334" s="211">
        <f t="shared" si="57"/>
        <v>0.01</v>
      </c>
      <c r="H334" s="207"/>
      <c r="I334" s="215"/>
      <c r="J334" s="216"/>
      <c r="K334" s="70">
        <f t="shared" si="58"/>
        <v>0</v>
      </c>
      <c r="L334" s="204">
        <f t="shared" si="61"/>
        <v>0</v>
      </c>
      <c r="M334" s="44">
        <f t="shared" si="59"/>
        <v>0</v>
      </c>
      <c r="N334" s="217" t="str">
        <f t="shared" si="62"/>
        <v/>
      </c>
      <c r="O334" s="199">
        <f t="shared" si="60"/>
        <v>0</v>
      </c>
      <c r="P334" s="214"/>
      <c r="Q334" s="125"/>
      <c r="S334" s="92">
        <f t="shared" si="63"/>
        <v>0</v>
      </c>
      <c r="T334" s="92">
        <f>IF(E334&lt;=H322,T333*(1+I334),0)</f>
        <v>0</v>
      </c>
      <c r="U334" s="126">
        <v>9</v>
      </c>
      <c r="V334" s="126"/>
    </row>
    <row r="335" spans="3:22" x14ac:dyDescent="0.55000000000000004">
      <c r="C335" s="194"/>
      <c r="D335" s="194"/>
      <c r="E335" s="209" t="str">
        <f t="shared" si="56"/>
        <v/>
      </c>
      <c r="F335" s="210"/>
      <c r="G335" s="211">
        <f t="shared" si="57"/>
        <v>0.01</v>
      </c>
      <c r="H335" s="209" t="s">
        <v>84</v>
      </c>
      <c r="I335" s="215"/>
      <c r="J335" s="216"/>
      <c r="K335" s="70">
        <f t="shared" si="58"/>
        <v>0</v>
      </c>
      <c r="L335" s="204">
        <f t="shared" si="61"/>
        <v>0</v>
      </c>
      <c r="M335" s="44">
        <f t="shared" si="59"/>
        <v>0</v>
      </c>
      <c r="N335" s="217" t="str">
        <f t="shared" si="62"/>
        <v/>
      </c>
      <c r="O335" s="199">
        <f t="shared" si="60"/>
        <v>0</v>
      </c>
      <c r="P335" s="214"/>
      <c r="Q335" s="125"/>
      <c r="S335" s="92">
        <f t="shared" si="63"/>
        <v>0</v>
      </c>
      <c r="T335" s="92">
        <f>IF(E335&lt;=H322,T334*(1+I335),0)</f>
        <v>0</v>
      </c>
      <c r="U335" s="126">
        <v>10</v>
      </c>
      <c r="V335" s="126"/>
    </row>
    <row r="336" spans="3:22" ht="14.7" thickBot="1" x14ac:dyDescent="0.6">
      <c r="C336" s="194"/>
      <c r="D336" s="200"/>
      <c r="E336" s="201"/>
      <c r="F336" s="201"/>
      <c r="G336" s="201"/>
      <c r="H336" s="201"/>
      <c r="I336" s="201"/>
      <c r="J336" s="201"/>
      <c r="K336" s="201"/>
      <c r="L336" s="201"/>
      <c r="M336" s="201"/>
      <c r="N336" s="201"/>
      <c r="O336" s="201"/>
      <c r="P336" s="202"/>
      <c r="Q336" s="125"/>
      <c r="S336" s="126"/>
      <c r="T336" s="126"/>
      <c r="U336" s="126"/>
      <c r="V336" s="126"/>
    </row>
    <row r="337" spans="3:22" ht="14.7" thickBot="1" x14ac:dyDescent="0.6">
      <c r="C337" s="200"/>
      <c r="D337" s="201"/>
      <c r="E337" s="201"/>
      <c r="F337" s="201"/>
      <c r="G337" s="201"/>
      <c r="H337" s="201"/>
      <c r="I337" s="201"/>
      <c r="J337" s="201"/>
      <c r="K337" s="201"/>
      <c r="L337" s="201"/>
      <c r="M337" s="201"/>
      <c r="N337" s="201"/>
      <c r="O337" s="201"/>
      <c r="P337" s="201"/>
      <c r="Q337" s="132"/>
      <c r="S337" s="126"/>
      <c r="T337" s="126"/>
      <c r="U337" s="126"/>
      <c r="V337" s="126"/>
    </row>
    <row r="338" spans="3:22" ht="14.7" thickBot="1" x14ac:dyDescent="0.6">
      <c r="S338" s="126"/>
      <c r="T338" s="126"/>
      <c r="U338" s="126"/>
      <c r="V338" s="126"/>
    </row>
    <row r="339" spans="3:22" x14ac:dyDescent="0.55000000000000004">
      <c r="C339" s="192"/>
      <c r="D339" s="193"/>
      <c r="E339" s="193"/>
      <c r="F339" s="193"/>
      <c r="G339" s="193"/>
      <c r="H339" s="193"/>
      <c r="I339" s="193"/>
      <c r="J339" s="193"/>
      <c r="K339" s="193"/>
      <c r="L339" s="193"/>
      <c r="M339" s="193"/>
      <c r="N339" s="193"/>
      <c r="O339" s="193"/>
      <c r="P339" s="193"/>
      <c r="Q339" s="123"/>
      <c r="S339" s="126"/>
      <c r="T339" s="126"/>
      <c r="U339" s="126"/>
      <c r="V339" s="126"/>
    </row>
    <row r="340" spans="3:22" ht="18.3" x14ac:dyDescent="0.7">
      <c r="C340" s="194"/>
      <c r="D340" s="1824" t="str">
        <f>'2 Customer data'!D65</f>
        <v>Agricultural</v>
      </c>
      <c r="E340" s="1824"/>
      <c r="F340" s="1824"/>
      <c r="G340" s="1824"/>
      <c r="H340" s="1824"/>
      <c r="I340" s="1824"/>
      <c r="J340" s="1824"/>
      <c r="K340" s="1824"/>
      <c r="L340" s="1824"/>
      <c r="M340" s="1824"/>
      <c r="N340" s="1824"/>
      <c r="O340" s="1824"/>
      <c r="Q340" s="125"/>
      <c r="S340" s="126"/>
      <c r="T340" s="126"/>
      <c r="U340" s="126"/>
      <c r="V340" s="126"/>
    </row>
    <row r="341" spans="3:22" ht="14.7" thickBot="1" x14ac:dyDescent="0.6">
      <c r="C341" s="194"/>
      <c r="Q341" s="125"/>
      <c r="S341" s="126"/>
      <c r="T341" s="126"/>
      <c r="U341" s="126"/>
      <c r="V341" s="126"/>
    </row>
    <row r="342" spans="3:22" x14ac:dyDescent="0.55000000000000004">
      <c r="C342" s="194"/>
      <c r="D342" s="192"/>
      <c r="E342" s="193"/>
      <c r="F342" s="193"/>
      <c r="G342" s="193"/>
      <c r="H342" s="193"/>
      <c r="I342" s="193"/>
      <c r="J342" s="193"/>
      <c r="K342" s="193"/>
      <c r="L342" s="193"/>
      <c r="M342" s="193"/>
      <c r="N342" s="193"/>
      <c r="O342" s="193"/>
      <c r="P342" s="195"/>
      <c r="Q342" s="125"/>
      <c r="S342" s="126"/>
      <c r="T342" s="126"/>
      <c r="U342" s="126"/>
      <c r="V342" s="126"/>
    </row>
    <row r="343" spans="3:22" x14ac:dyDescent="0.55000000000000004">
      <c r="C343" s="194"/>
      <c r="D343" s="194"/>
      <c r="E343" s="138" t="str">
        <f>'2 Customer data'!D65&amp;" "&amp;"information"</f>
        <v>Agricultural information</v>
      </c>
      <c r="P343" s="196"/>
      <c r="Q343" s="125"/>
      <c r="S343" s="126"/>
      <c r="T343" s="126"/>
      <c r="U343" s="126"/>
      <c r="V343" s="126"/>
    </row>
    <row r="344" spans="3:22" x14ac:dyDescent="0.55000000000000004">
      <c r="C344" s="194"/>
      <c r="D344" s="194"/>
      <c r="P344" s="196"/>
      <c r="Q344" s="125"/>
      <c r="S344" s="126"/>
      <c r="T344" s="126"/>
      <c r="U344" s="126"/>
      <c r="V344" s="126"/>
    </row>
    <row r="345" spans="3:22" ht="28.8" x14ac:dyDescent="0.55000000000000004">
      <c r="C345" s="194"/>
      <c r="D345" s="194"/>
      <c r="F345" s="166" t="s">
        <v>28</v>
      </c>
      <c r="G345" s="166" t="s">
        <v>69</v>
      </c>
      <c r="H345" s="197" t="s">
        <v>70</v>
      </c>
      <c r="I345" s="166" t="s">
        <v>71</v>
      </c>
      <c r="J345" s="198" t="s">
        <v>277</v>
      </c>
      <c r="P345" s="196"/>
      <c r="Q345" s="125"/>
      <c r="S345" s="126"/>
      <c r="T345" s="126"/>
      <c r="U345" s="126"/>
      <c r="V345" s="126"/>
    </row>
    <row r="346" spans="3:22" x14ac:dyDescent="0.55000000000000004">
      <c r="C346" s="194"/>
      <c r="D346" s="194"/>
      <c r="E346" s="10" t="str">
        <f>'2 Customer data'!D65</f>
        <v>Agricultural</v>
      </c>
      <c r="F346" s="113">
        <f>IFERROR(IF(VLOOKUP(E346,'2 Customer data'!$D$57:$M$76,6,FALSE)="",VLOOKUP(E346,'2 Customer data'!$D$57:$M$76,5,FALSE),VLOOKUP(E346,'2 Customer data'!$D$57:$M$76,6,FALSE)),0)</f>
        <v>31.836999999999996</v>
      </c>
      <c r="G346" s="113">
        <f ca="1">IFERROR(VLOOKUP(E346,'2 Sanitation'!$D$19:$J$38,5,FALSE),0)</f>
        <v>115380.49383891629</v>
      </c>
      <c r="H346" s="113">
        <f ca="1">IFERROR(VLOOKUP(E346,'2 Sanitation'!$D$19:$J$38,6,FALSE),0)</f>
        <v>25693.245432935666</v>
      </c>
      <c r="I346" s="113">
        <f ca="1">IFERROR(VLOOKUP(E346,'2 Sanitation'!$D$153:$K$172,8,FALSE),0)</f>
        <v>120295.77469153232</v>
      </c>
      <c r="J346" s="199">
        <f>IFERROR(IF(VLOOKUP(E346,'2 Customer data'!$D$57:$M$76,8,FALSE)="",VLOOKUP(E346,'2 Customer data'!$D$57:$M$76,7,FALSE),VLOOKUP(E346,'2 Customer data'!$D$57:$M$76,8,FALSE)),0)</f>
        <v>6716.579999999999</v>
      </c>
      <c r="P346" s="196"/>
      <c r="Q346" s="125"/>
      <c r="S346" s="126"/>
      <c r="T346" s="126"/>
      <c r="U346" s="126"/>
      <c r="V346" s="126"/>
    </row>
    <row r="347" spans="3:22" ht="14.7" thickBot="1" x14ac:dyDescent="0.6">
      <c r="C347" s="194"/>
      <c r="D347" s="200"/>
      <c r="E347" s="201"/>
      <c r="F347" s="201"/>
      <c r="G347" s="201"/>
      <c r="H347" s="201"/>
      <c r="I347" s="201"/>
      <c r="J347" s="201"/>
      <c r="K347" s="201"/>
      <c r="L347" s="201"/>
      <c r="M347" s="201"/>
      <c r="N347" s="201"/>
      <c r="O347" s="201"/>
      <c r="P347" s="202"/>
      <c r="Q347" s="125"/>
      <c r="S347" s="126"/>
      <c r="T347" s="126"/>
      <c r="U347" s="126"/>
      <c r="V347" s="126"/>
    </row>
    <row r="348" spans="3:22" ht="14.7" thickBot="1" x14ac:dyDescent="0.6">
      <c r="C348" s="194"/>
      <c r="Q348" s="125"/>
      <c r="S348" s="126"/>
      <c r="T348" s="126"/>
      <c r="U348" s="126"/>
      <c r="V348" s="126"/>
    </row>
    <row r="349" spans="3:22" x14ac:dyDescent="0.55000000000000004">
      <c r="C349" s="194"/>
      <c r="D349" s="192"/>
      <c r="E349" s="193"/>
      <c r="F349" s="193"/>
      <c r="G349" s="193"/>
      <c r="H349" s="193"/>
      <c r="I349" s="193"/>
      <c r="J349" s="193"/>
      <c r="K349" s="193"/>
      <c r="L349" s="193"/>
      <c r="M349" s="193"/>
      <c r="N349" s="193"/>
      <c r="O349" s="193"/>
      <c r="P349" s="195"/>
      <c r="Q349" s="125"/>
      <c r="S349" s="126"/>
      <c r="T349" s="126"/>
      <c r="U349" s="126"/>
      <c r="V349" s="126"/>
    </row>
    <row r="350" spans="3:22" x14ac:dyDescent="0.55000000000000004">
      <c r="C350" s="194"/>
      <c r="D350" s="194"/>
      <c r="E350" s="138" t="s">
        <v>93</v>
      </c>
      <c r="P350" s="196"/>
      <c r="Q350" s="125"/>
      <c r="S350" s="126"/>
      <c r="T350" s="126"/>
      <c r="U350" s="126"/>
      <c r="V350" s="126"/>
    </row>
    <row r="351" spans="3:22" x14ac:dyDescent="0.55000000000000004">
      <c r="C351" s="194"/>
      <c r="D351" s="194"/>
      <c r="E351" s="203" t="s">
        <v>555</v>
      </c>
      <c r="P351" s="196"/>
      <c r="Q351" s="125"/>
      <c r="S351" s="126"/>
      <c r="T351" s="126"/>
      <c r="U351" s="126"/>
      <c r="V351" s="126"/>
    </row>
    <row r="352" spans="3:22" x14ac:dyDescent="0.55000000000000004">
      <c r="C352" s="194"/>
      <c r="D352" s="194"/>
      <c r="P352" s="196"/>
      <c r="Q352" s="125"/>
      <c r="S352" s="126"/>
      <c r="T352" s="126"/>
      <c r="U352" s="126"/>
      <c r="V352" s="126"/>
    </row>
    <row r="353" spans="3:22" ht="43.2" x14ac:dyDescent="0.55000000000000004">
      <c r="C353" s="194"/>
      <c r="D353" s="194"/>
      <c r="F353" s="166" t="s">
        <v>86</v>
      </c>
      <c r="G353" s="166" t="s">
        <v>73</v>
      </c>
      <c r="H353" s="166" t="s">
        <v>74</v>
      </c>
      <c r="I353" s="166" t="s">
        <v>75</v>
      </c>
      <c r="J353" s="166" t="s">
        <v>76</v>
      </c>
      <c r="P353" s="196"/>
      <c r="Q353" s="125"/>
      <c r="S353" s="126"/>
      <c r="T353" s="126"/>
      <c r="U353" s="126"/>
      <c r="V353" s="126"/>
    </row>
    <row r="354" spans="3:22" x14ac:dyDescent="0.55000000000000004">
      <c r="C354" s="194"/>
      <c r="D354" s="194"/>
      <c r="E354" s="10" t="str">
        <f>E346</f>
        <v>Agricultural</v>
      </c>
      <c r="F354" s="113">
        <f ca="1">G346</f>
        <v>115380.49383891629</v>
      </c>
      <c r="G354" s="204">
        <f ca="1">IFERROR(F354/F346/12,0)</f>
        <v>302.00839128193689</v>
      </c>
      <c r="H354" s="205"/>
      <c r="I354" s="113">
        <f>H354*F346*12</f>
        <v>0</v>
      </c>
      <c r="J354" s="70">
        <f>I354/12</f>
        <v>0</v>
      </c>
      <c r="P354" s="196"/>
      <c r="Q354" s="125"/>
      <c r="S354" s="126"/>
      <c r="T354" s="126"/>
      <c r="U354" s="126"/>
      <c r="V354" s="126"/>
    </row>
    <row r="355" spans="3:22" x14ac:dyDescent="0.55000000000000004">
      <c r="C355" s="194"/>
      <c r="D355" s="194"/>
      <c r="F355" s="58" t="str">
        <f>IF(I354&gt;I345,"Error: revenue from fixed charges exceeds total revenue required from tariff. Reduce fixed charge.","")</f>
        <v/>
      </c>
      <c r="G355" s="156"/>
      <c r="H355" s="156"/>
      <c r="I355" s="156"/>
      <c r="J355" s="158"/>
      <c r="P355" s="196"/>
      <c r="Q355" s="125"/>
      <c r="S355" s="126"/>
      <c r="T355" s="126"/>
      <c r="U355" s="126"/>
      <c r="V355" s="126"/>
    </row>
    <row r="356" spans="3:22" ht="14.7" thickBot="1" x14ac:dyDescent="0.6">
      <c r="C356" s="194"/>
      <c r="D356" s="200"/>
      <c r="E356" s="201"/>
      <c r="F356" s="201"/>
      <c r="G356" s="201"/>
      <c r="H356" s="201"/>
      <c r="I356" s="201"/>
      <c r="J356" s="201"/>
      <c r="K356" s="201"/>
      <c r="L356" s="201"/>
      <c r="M356" s="201"/>
      <c r="N356" s="201"/>
      <c r="O356" s="201"/>
      <c r="P356" s="202"/>
      <c r="Q356" s="125"/>
      <c r="S356" s="126"/>
      <c r="T356" s="126"/>
      <c r="U356" s="126"/>
      <c r="V356" s="126"/>
    </row>
    <row r="357" spans="3:22" ht="14.7" thickBot="1" x14ac:dyDescent="0.6">
      <c r="C357" s="194"/>
      <c r="Q357" s="125"/>
      <c r="S357" s="126"/>
      <c r="T357" s="126"/>
      <c r="U357" s="126"/>
      <c r="V357" s="126"/>
    </row>
    <row r="358" spans="3:22" x14ac:dyDescent="0.55000000000000004">
      <c r="C358" s="194"/>
      <c r="D358" s="192"/>
      <c r="E358" s="193"/>
      <c r="F358" s="193"/>
      <c r="G358" s="193"/>
      <c r="H358" s="193"/>
      <c r="I358" s="193"/>
      <c r="J358" s="193"/>
      <c r="K358" s="193"/>
      <c r="L358" s="193"/>
      <c r="M358" s="193"/>
      <c r="N358" s="193"/>
      <c r="O358" s="193"/>
      <c r="P358" s="195"/>
      <c r="Q358" s="125"/>
      <c r="S358" s="126"/>
      <c r="T358" s="126"/>
      <c r="U358" s="126"/>
      <c r="V358" s="126"/>
    </row>
    <row r="359" spans="3:22" x14ac:dyDescent="0.55000000000000004">
      <c r="C359" s="194"/>
      <c r="D359" s="194"/>
      <c r="E359" s="138" t="s">
        <v>96</v>
      </c>
      <c r="P359" s="196"/>
      <c r="Q359" s="125"/>
      <c r="S359" s="126"/>
      <c r="T359" s="126"/>
      <c r="U359" s="126"/>
      <c r="V359" s="126"/>
    </row>
    <row r="360" spans="3:22" ht="14.55" customHeight="1" x14ac:dyDescent="0.55000000000000004">
      <c r="C360" s="194"/>
      <c r="D360" s="194"/>
      <c r="E360" s="1825" t="s">
        <v>558</v>
      </c>
      <c r="F360" s="1825"/>
      <c r="G360" s="1825"/>
      <c r="H360" s="1825"/>
      <c r="I360" s="1825"/>
      <c r="J360" s="1825"/>
      <c r="K360" s="1825"/>
      <c r="L360" s="1825"/>
      <c r="M360" s="1825"/>
      <c r="N360" s="1825"/>
      <c r="O360" s="1825"/>
      <c r="P360" s="1826"/>
      <c r="Q360" s="125"/>
      <c r="S360" s="126"/>
      <c r="T360" s="126"/>
      <c r="U360" s="126"/>
      <c r="V360" s="126"/>
    </row>
    <row r="361" spans="3:22" x14ac:dyDescent="0.55000000000000004">
      <c r="C361" s="194"/>
      <c r="D361" s="194"/>
      <c r="E361" s="1825"/>
      <c r="F361" s="1825"/>
      <c r="G361" s="1825"/>
      <c r="H361" s="1825"/>
      <c r="I361" s="1825"/>
      <c r="J361" s="1825"/>
      <c r="K361" s="1825"/>
      <c r="L361" s="1825"/>
      <c r="M361" s="1825"/>
      <c r="N361" s="1825"/>
      <c r="O361" s="1825"/>
      <c r="P361" s="1826"/>
      <c r="Q361" s="125"/>
      <c r="S361" s="126"/>
      <c r="T361" s="126"/>
      <c r="U361" s="126"/>
      <c r="V361" s="126"/>
    </row>
    <row r="362" spans="3:22" x14ac:dyDescent="0.55000000000000004">
      <c r="C362" s="194"/>
      <c r="D362" s="194"/>
      <c r="P362" s="196"/>
      <c r="Q362" s="125"/>
      <c r="S362" s="126"/>
      <c r="T362" s="126"/>
      <c r="U362" s="126"/>
      <c r="V362" s="126"/>
    </row>
    <row r="363" spans="3:22" x14ac:dyDescent="0.55000000000000004">
      <c r="C363" s="194"/>
      <c r="D363" s="194"/>
      <c r="E363" s="206" t="s">
        <v>77</v>
      </c>
      <c r="H363" s="207">
        <v>1</v>
      </c>
      <c r="P363" s="196"/>
      <c r="Q363" s="125"/>
      <c r="S363" s="126"/>
      <c r="T363" s="126"/>
      <c r="U363" s="126"/>
      <c r="V363" s="126"/>
    </row>
    <row r="364" spans="3:22" x14ac:dyDescent="0.55000000000000004">
      <c r="C364" s="194"/>
      <c r="D364" s="194"/>
      <c r="E364" s="10" t="s">
        <v>612</v>
      </c>
      <c r="H364" s="159" t="s">
        <v>578</v>
      </c>
      <c r="P364" s="196"/>
      <c r="Q364" s="125"/>
      <c r="S364" s="126"/>
      <c r="T364" s="126"/>
      <c r="U364" s="126"/>
      <c r="V364" s="126"/>
    </row>
    <row r="365" spans="3:22" x14ac:dyDescent="0.55000000000000004">
      <c r="C365" s="194"/>
      <c r="D365" s="194"/>
      <c r="P365" s="196"/>
      <c r="Q365" s="125"/>
      <c r="S365" s="126"/>
      <c r="T365" s="126"/>
      <c r="U365" s="126"/>
      <c r="V365" s="126"/>
    </row>
    <row r="366" spans="3:22" ht="43.2" x14ac:dyDescent="0.55000000000000004">
      <c r="C366" s="194"/>
      <c r="D366" s="194"/>
      <c r="E366" s="166" t="s">
        <v>78</v>
      </c>
      <c r="F366" s="166" t="s">
        <v>99</v>
      </c>
      <c r="G366" s="197" t="s">
        <v>92</v>
      </c>
      <c r="H366" s="166" t="s">
        <v>80</v>
      </c>
      <c r="I366" s="166" t="s">
        <v>334</v>
      </c>
      <c r="J366" s="166" t="s">
        <v>335</v>
      </c>
      <c r="K366" s="166" t="s">
        <v>339</v>
      </c>
      <c r="L366" s="166" t="s">
        <v>336</v>
      </c>
      <c r="M366" s="166" t="s">
        <v>337</v>
      </c>
      <c r="N366" s="166" t="s">
        <v>338</v>
      </c>
      <c r="O366" s="166" t="s">
        <v>83</v>
      </c>
      <c r="P366" s="208"/>
      <c r="Q366" s="125"/>
      <c r="S366" s="126" t="s">
        <v>614</v>
      </c>
      <c r="T366" s="126" t="s">
        <v>615</v>
      </c>
      <c r="U366" s="126"/>
      <c r="V366" s="126"/>
    </row>
    <row r="367" spans="3:22" x14ac:dyDescent="0.55000000000000004">
      <c r="C367" s="194"/>
      <c r="D367" s="194"/>
      <c r="E367" s="209">
        <f>IF($H$363=U367,U367,1)</f>
        <v>1</v>
      </c>
      <c r="F367" s="210">
        <v>0.7</v>
      </c>
      <c r="G367" s="211">
        <v>0</v>
      </c>
      <c r="H367" s="212"/>
      <c r="I367" s="213"/>
      <c r="J367" s="70">
        <f>J346-SUMIF(E368:E376,"&lt;="&amp;$H$363,J368:J376)</f>
        <v>6716.579999999999</v>
      </c>
      <c r="K367" s="70">
        <f>F367*J367</f>
        <v>4701.6059999999989</v>
      </c>
      <c r="L367" s="114">
        <f ca="1">IFERROR(IF(E367&lt;=H363,IF(H364="No",IF(I354=0,I346/SUMPRODUCT(S367:S376,K367:K376),(I346-I354)/SUMPRODUCT(S367:S376,K367:K376)),0),0),0)</f>
        <v>25.58610285326596</v>
      </c>
      <c r="M367" s="44">
        <f ca="1">IFERROR(O367/J367,0)</f>
        <v>17.91027199728617</v>
      </c>
      <c r="N367" s="199"/>
      <c r="O367" s="199">
        <f ca="1">K367*L367</f>
        <v>120295.77469153232</v>
      </c>
      <c r="P367" s="214"/>
      <c r="Q367" s="125"/>
      <c r="S367" s="92">
        <f>IF(E367&lt;=$H$363,1,0)</f>
        <v>1</v>
      </c>
      <c r="T367" s="126"/>
      <c r="U367" s="126">
        <v>1</v>
      </c>
      <c r="V367" s="126"/>
    </row>
    <row r="368" spans="3:22" x14ac:dyDescent="0.55000000000000004">
      <c r="C368" s="194"/>
      <c r="D368" s="194"/>
      <c r="E368" s="209" t="str">
        <f t="shared" ref="E368:E376" si="64">IF($H$363&gt;=U368,U368,"")</f>
        <v/>
      </c>
      <c r="F368" s="210"/>
      <c r="G368" s="211">
        <f t="shared" ref="G368:G376" si="65">IF($H$363&gt;=F368,H367+0.01,"")</f>
        <v>0.01</v>
      </c>
      <c r="H368" s="212"/>
      <c r="I368" s="215"/>
      <c r="J368" s="216"/>
      <c r="K368" s="70">
        <f t="shared" ref="K368:K376" si="66">F368*J368</f>
        <v>0</v>
      </c>
      <c r="L368" s="114">
        <f>IFERROR(IF(E368&lt;=H363,IF(H364="No",L367*(1+I368),IF(I354=0,I346/SUMPRODUCT(T368:T376,K368:K376),(I346-I354)/SUMPRODUCT(T368:T376,K368:K376))),0),0)</f>
        <v>0</v>
      </c>
      <c r="M368" s="44">
        <f t="shared" ref="M368:M376" si="67">IFERROR(O368/J368,0)</f>
        <v>0</v>
      </c>
      <c r="N368" s="217">
        <f ca="1">IFERROR(M368/M367-1,"")</f>
        <v>-1</v>
      </c>
      <c r="O368" s="199">
        <f t="shared" ref="O368:O376" si="68">K368*L368</f>
        <v>0</v>
      </c>
      <c r="P368" s="214"/>
      <c r="Q368" s="125"/>
      <c r="S368" s="92">
        <f>IF(E368&lt;=$H$363,(1+I368),0)</f>
        <v>0</v>
      </c>
      <c r="T368" s="92">
        <f>IF(E368&lt;=H363,1,0)</f>
        <v>0</v>
      </c>
      <c r="U368" s="126">
        <v>2</v>
      </c>
      <c r="V368" s="126"/>
    </row>
    <row r="369" spans="3:22" x14ac:dyDescent="0.55000000000000004">
      <c r="C369" s="194"/>
      <c r="D369" s="194"/>
      <c r="E369" s="209" t="str">
        <f t="shared" si="64"/>
        <v/>
      </c>
      <c r="F369" s="210"/>
      <c r="G369" s="211">
        <f t="shared" si="65"/>
        <v>0.01</v>
      </c>
      <c r="H369" s="212"/>
      <c r="I369" s="215"/>
      <c r="J369" s="216"/>
      <c r="K369" s="70">
        <f t="shared" si="66"/>
        <v>0</v>
      </c>
      <c r="L369" s="204">
        <f t="shared" ref="L369:L376" si="69">IF(E369&lt;=$H$363,L368*(1+I369),0)</f>
        <v>0</v>
      </c>
      <c r="M369" s="44">
        <f t="shared" si="67"/>
        <v>0</v>
      </c>
      <c r="N369" s="217" t="str">
        <f t="shared" ref="N369:N376" si="70">IFERROR(M369/M368-1,"")</f>
        <v/>
      </c>
      <c r="O369" s="199">
        <f t="shared" si="68"/>
        <v>0</v>
      </c>
      <c r="P369" s="214"/>
      <c r="Q369" s="125"/>
      <c r="S369" s="92">
        <f t="shared" ref="S369:S376" si="71">IF(E369&lt;=$H$363,S368*(1+I369),0)</f>
        <v>0</v>
      </c>
      <c r="T369" s="92">
        <f>IF(E369&lt;=H363,T368*(1+I369),0)</f>
        <v>0</v>
      </c>
      <c r="U369" s="126">
        <v>3</v>
      </c>
      <c r="V369" s="126"/>
    </row>
    <row r="370" spans="3:22" x14ac:dyDescent="0.55000000000000004">
      <c r="C370" s="194"/>
      <c r="D370" s="194"/>
      <c r="E370" s="209" t="str">
        <f t="shared" si="64"/>
        <v/>
      </c>
      <c r="F370" s="210"/>
      <c r="G370" s="211">
        <f t="shared" si="65"/>
        <v>0.01</v>
      </c>
      <c r="H370" s="212"/>
      <c r="I370" s="215"/>
      <c r="J370" s="216"/>
      <c r="K370" s="70">
        <f t="shared" si="66"/>
        <v>0</v>
      </c>
      <c r="L370" s="204">
        <f t="shared" si="69"/>
        <v>0</v>
      </c>
      <c r="M370" s="44">
        <f t="shared" si="67"/>
        <v>0</v>
      </c>
      <c r="N370" s="217" t="str">
        <f t="shared" si="70"/>
        <v/>
      </c>
      <c r="O370" s="199">
        <f t="shared" si="68"/>
        <v>0</v>
      </c>
      <c r="P370" s="214"/>
      <c r="Q370" s="125"/>
      <c r="S370" s="92">
        <f t="shared" si="71"/>
        <v>0</v>
      </c>
      <c r="T370" s="92">
        <f>IF(E370&lt;=H363,T369*(1+I370),0)</f>
        <v>0</v>
      </c>
      <c r="U370" s="126">
        <v>4</v>
      </c>
      <c r="V370" s="126"/>
    </row>
    <row r="371" spans="3:22" x14ac:dyDescent="0.55000000000000004">
      <c r="C371" s="194"/>
      <c r="D371" s="194"/>
      <c r="E371" s="209" t="str">
        <f t="shared" si="64"/>
        <v/>
      </c>
      <c r="F371" s="210"/>
      <c r="G371" s="211">
        <f t="shared" si="65"/>
        <v>0.01</v>
      </c>
      <c r="H371" s="212"/>
      <c r="I371" s="215"/>
      <c r="J371" s="216"/>
      <c r="K371" s="70">
        <f t="shared" si="66"/>
        <v>0</v>
      </c>
      <c r="L371" s="204">
        <f t="shared" si="69"/>
        <v>0</v>
      </c>
      <c r="M371" s="44">
        <f t="shared" si="67"/>
        <v>0</v>
      </c>
      <c r="N371" s="217" t="str">
        <f t="shared" si="70"/>
        <v/>
      </c>
      <c r="O371" s="199">
        <f t="shared" si="68"/>
        <v>0</v>
      </c>
      <c r="P371" s="214"/>
      <c r="Q371" s="125"/>
      <c r="S371" s="92">
        <f t="shared" si="71"/>
        <v>0</v>
      </c>
      <c r="T371" s="92">
        <f>IF(E371&lt;=H363,T370*(1+I371),0)</f>
        <v>0</v>
      </c>
      <c r="U371" s="126">
        <v>5</v>
      </c>
      <c r="V371" s="126"/>
    </row>
    <row r="372" spans="3:22" x14ac:dyDescent="0.55000000000000004">
      <c r="C372" s="194"/>
      <c r="D372" s="194"/>
      <c r="E372" s="209" t="str">
        <f t="shared" si="64"/>
        <v/>
      </c>
      <c r="F372" s="210"/>
      <c r="G372" s="211">
        <f t="shared" si="65"/>
        <v>0.01</v>
      </c>
      <c r="H372" s="207"/>
      <c r="I372" s="215"/>
      <c r="J372" s="216"/>
      <c r="K372" s="70">
        <f t="shared" si="66"/>
        <v>0</v>
      </c>
      <c r="L372" s="204">
        <f t="shared" si="69"/>
        <v>0</v>
      </c>
      <c r="M372" s="44">
        <f t="shared" si="67"/>
        <v>0</v>
      </c>
      <c r="N372" s="217" t="str">
        <f t="shared" si="70"/>
        <v/>
      </c>
      <c r="O372" s="199">
        <f t="shared" si="68"/>
        <v>0</v>
      </c>
      <c r="P372" s="214"/>
      <c r="Q372" s="125"/>
      <c r="S372" s="92">
        <f t="shared" si="71"/>
        <v>0</v>
      </c>
      <c r="T372" s="92">
        <f>IF(E372&lt;=H363,T371*(1+I372),0)</f>
        <v>0</v>
      </c>
      <c r="U372" s="126">
        <v>6</v>
      </c>
      <c r="V372" s="126"/>
    </row>
    <row r="373" spans="3:22" x14ac:dyDescent="0.55000000000000004">
      <c r="C373" s="194"/>
      <c r="D373" s="194"/>
      <c r="E373" s="209" t="str">
        <f t="shared" si="64"/>
        <v/>
      </c>
      <c r="F373" s="210"/>
      <c r="G373" s="211">
        <f t="shared" si="65"/>
        <v>0.01</v>
      </c>
      <c r="H373" s="207"/>
      <c r="I373" s="215"/>
      <c r="J373" s="216"/>
      <c r="K373" s="70">
        <f t="shared" si="66"/>
        <v>0</v>
      </c>
      <c r="L373" s="204">
        <f t="shared" si="69"/>
        <v>0</v>
      </c>
      <c r="M373" s="44">
        <f t="shared" si="67"/>
        <v>0</v>
      </c>
      <c r="N373" s="217" t="str">
        <f t="shared" si="70"/>
        <v/>
      </c>
      <c r="O373" s="199">
        <f t="shared" si="68"/>
        <v>0</v>
      </c>
      <c r="P373" s="214"/>
      <c r="Q373" s="125"/>
      <c r="S373" s="92">
        <f t="shared" si="71"/>
        <v>0</v>
      </c>
      <c r="T373" s="92">
        <f>IF(E373&lt;=H363,T372*(1+I373),0)</f>
        <v>0</v>
      </c>
      <c r="U373" s="126">
        <v>7</v>
      </c>
      <c r="V373" s="126"/>
    </row>
    <row r="374" spans="3:22" x14ac:dyDescent="0.55000000000000004">
      <c r="C374" s="194"/>
      <c r="D374" s="194"/>
      <c r="E374" s="209" t="str">
        <f t="shared" si="64"/>
        <v/>
      </c>
      <c r="F374" s="210"/>
      <c r="G374" s="211">
        <f t="shared" si="65"/>
        <v>0.01</v>
      </c>
      <c r="H374" s="207"/>
      <c r="I374" s="215"/>
      <c r="J374" s="216"/>
      <c r="K374" s="70">
        <f t="shared" si="66"/>
        <v>0</v>
      </c>
      <c r="L374" s="204">
        <f t="shared" si="69"/>
        <v>0</v>
      </c>
      <c r="M374" s="44">
        <f t="shared" si="67"/>
        <v>0</v>
      </c>
      <c r="N374" s="217" t="str">
        <f t="shared" si="70"/>
        <v/>
      </c>
      <c r="O374" s="199">
        <f t="shared" si="68"/>
        <v>0</v>
      </c>
      <c r="P374" s="214"/>
      <c r="Q374" s="125"/>
      <c r="S374" s="92">
        <f t="shared" si="71"/>
        <v>0</v>
      </c>
      <c r="T374" s="92">
        <f>IF(E374&lt;=H363,T373*(1+I374),0)</f>
        <v>0</v>
      </c>
      <c r="U374" s="126">
        <v>8</v>
      </c>
      <c r="V374" s="126"/>
    </row>
    <row r="375" spans="3:22" x14ac:dyDescent="0.55000000000000004">
      <c r="C375" s="194"/>
      <c r="D375" s="194"/>
      <c r="E375" s="209" t="str">
        <f t="shared" si="64"/>
        <v/>
      </c>
      <c r="F375" s="210"/>
      <c r="G375" s="211">
        <f t="shared" si="65"/>
        <v>0.01</v>
      </c>
      <c r="H375" s="207"/>
      <c r="I375" s="215"/>
      <c r="J375" s="216"/>
      <c r="K375" s="70">
        <f t="shared" si="66"/>
        <v>0</v>
      </c>
      <c r="L375" s="204">
        <f t="shared" si="69"/>
        <v>0</v>
      </c>
      <c r="M375" s="44">
        <f t="shared" si="67"/>
        <v>0</v>
      </c>
      <c r="N375" s="217" t="str">
        <f t="shared" si="70"/>
        <v/>
      </c>
      <c r="O375" s="199">
        <f t="shared" si="68"/>
        <v>0</v>
      </c>
      <c r="P375" s="214"/>
      <c r="Q375" s="125"/>
      <c r="S375" s="92">
        <f t="shared" si="71"/>
        <v>0</v>
      </c>
      <c r="T375" s="92">
        <f>IF(E375&lt;=H363,T374*(1+I375),0)</f>
        <v>0</v>
      </c>
      <c r="U375" s="126">
        <v>9</v>
      </c>
      <c r="V375" s="126"/>
    </row>
    <row r="376" spans="3:22" x14ac:dyDescent="0.55000000000000004">
      <c r="C376" s="194"/>
      <c r="D376" s="194"/>
      <c r="E376" s="209" t="str">
        <f t="shared" si="64"/>
        <v/>
      </c>
      <c r="F376" s="210"/>
      <c r="G376" s="211">
        <f t="shared" si="65"/>
        <v>0.01</v>
      </c>
      <c r="H376" s="209" t="s">
        <v>84</v>
      </c>
      <c r="I376" s="215"/>
      <c r="J376" s="216"/>
      <c r="K376" s="70">
        <f t="shared" si="66"/>
        <v>0</v>
      </c>
      <c r="L376" s="204">
        <f t="shared" si="69"/>
        <v>0</v>
      </c>
      <c r="M376" s="44">
        <f t="shared" si="67"/>
        <v>0</v>
      </c>
      <c r="N376" s="217" t="str">
        <f t="shared" si="70"/>
        <v/>
      </c>
      <c r="O376" s="199">
        <f t="shared" si="68"/>
        <v>0</v>
      </c>
      <c r="P376" s="214"/>
      <c r="Q376" s="125"/>
      <c r="S376" s="92">
        <f t="shared" si="71"/>
        <v>0</v>
      </c>
      <c r="T376" s="92">
        <f>IF(E376&lt;=H363,T375*(1+I376),0)</f>
        <v>0</v>
      </c>
      <c r="U376" s="126">
        <v>10</v>
      </c>
      <c r="V376" s="126"/>
    </row>
    <row r="377" spans="3:22" ht="14.7" thickBot="1" x14ac:dyDescent="0.6">
      <c r="C377" s="194"/>
      <c r="D377" s="200"/>
      <c r="E377" s="201"/>
      <c r="F377" s="201"/>
      <c r="G377" s="201"/>
      <c r="H377" s="201"/>
      <c r="I377" s="201"/>
      <c r="J377" s="201"/>
      <c r="K377" s="201"/>
      <c r="L377" s="201"/>
      <c r="M377" s="201"/>
      <c r="N377" s="201"/>
      <c r="O377" s="201"/>
      <c r="P377" s="202"/>
      <c r="Q377" s="125"/>
      <c r="S377" s="126"/>
      <c r="T377" s="126"/>
      <c r="U377" s="126"/>
      <c r="V377" s="126"/>
    </row>
    <row r="378" spans="3:22" ht="14.7" thickBot="1" x14ac:dyDescent="0.6">
      <c r="C378" s="200"/>
      <c r="D378" s="201"/>
      <c r="E378" s="201"/>
      <c r="F378" s="201"/>
      <c r="G378" s="201"/>
      <c r="H378" s="201"/>
      <c r="I378" s="201"/>
      <c r="J378" s="201"/>
      <c r="K378" s="201"/>
      <c r="L378" s="201"/>
      <c r="M378" s="201"/>
      <c r="N378" s="201"/>
      <c r="O378" s="201"/>
      <c r="P378" s="201"/>
      <c r="Q378" s="132"/>
      <c r="S378" s="126"/>
      <c r="T378" s="126"/>
      <c r="U378" s="126"/>
      <c r="V378" s="126"/>
    </row>
    <row r="379" spans="3:22" ht="14.7" thickBot="1" x14ac:dyDescent="0.6">
      <c r="S379" s="126"/>
      <c r="T379" s="126"/>
      <c r="U379" s="126"/>
      <c r="V379" s="126"/>
    </row>
    <row r="380" spans="3:22" x14ac:dyDescent="0.55000000000000004">
      <c r="C380" s="192"/>
      <c r="D380" s="193"/>
      <c r="E380" s="193"/>
      <c r="F380" s="193"/>
      <c r="G380" s="193"/>
      <c r="H380" s="193"/>
      <c r="I380" s="193"/>
      <c r="J380" s="193"/>
      <c r="K380" s="193"/>
      <c r="L380" s="193"/>
      <c r="M380" s="193"/>
      <c r="N380" s="193"/>
      <c r="O380" s="193"/>
      <c r="P380" s="193"/>
      <c r="Q380" s="123"/>
      <c r="S380" s="126"/>
      <c r="T380" s="126"/>
      <c r="U380" s="126"/>
      <c r="V380" s="126"/>
    </row>
    <row r="381" spans="3:22" ht="18.3" x14ac:dyDescent="0.7">
      <c r="C381" s="194"/>
      <c r="D381" s="1824">
        <f>'2 Customer data'!D66</f>
        <v>0</v>
      </c>
      <c r="E381" s="1824"/>
      <c r="F381" s="1824"/>
      <c r="G381" s="1824"/>
      <c r="H381" s="1824"/>
      <c r="I381" s="1824"/>
      <c r="J381" s="1824"/>
      <c r="K381" s="1824"/>
      <c r="L381" s="1824"/>
      <c r="M381" s="1824"/>
      <c r="N381" s="1824"/>
      <c r="O381" s="1824"/>
      <c r="Q381" s="125"/>
      <c r="S381" s="126"/>
      <c r="T381" s="126"/>
      <c r="U381" s="126"/>
      <c r="V381" s="126"/>
    </row>
    <row r="382" spans="3:22" ht="14.7" thickBot="1" x14ac:dyDescent="0.6">
      <c r="C382" s="194"/>
      <c r="Q382" s="125"/>
      <c r="S382" s="126"/>
      <c r="T382" s="126"/>
      <c r="U382" s="126"/>
      <c r="V382" s="126"/>
    </row>
    <row r="383" spans="3:22" x14ac:dyDescent="0.55000000000000004">
      <c r="C383" s="194"/>
      <c r="D383" s="192"/>
      <c r="E383" s="193"/>
      <c r="F383" s="193"/>
      <c r="G383" s="193"/>
      <c r="H383" s="193"/>
      <c r="I383" s="193"/>
      <c r="J383" s="193"/>
      <c r="K383" s="193"/>
      <c r="L383" s="193"/>
      <c r="M383" s="193"/>
      <c r="N383" s="193"/>
      <c r="O383" s="193"/>
      <c r="P383" s="195"/>
      <c r="Q383" s="125"/>
      <c r="S383" s="126"/>
      <c r="T383" s="126"/>
      <c r="U383" s="126"/>
      <c r="V383" s="126"/>
    </row>
    <row r="384" spans="3:22" x14ac:dyDescent="0.55000000000000004">
      <c r="C384" s="194"/>
      <c r="D384" s="194"/>
      <c r="E384" s="138" t="str">
        <f>'2 Customer data'!D66&amp;" "&amp;"information"</f>
        <v xml:space="preserve"> information</v>
      </c>
      <c r="P384" s="196"/>
      <c r="Q384" s="125"/>
      <c r="S384" s="126"/>
      <c r="T384" s="126"/>
      <c r="U384" s="126"/>
      <c r="V384" s="126"/>
    </row>
    <row r="385" spans="3:22" x14ac:dyDescent="0.55000000000000004">
      <c r="C385" s="194"/>
      <c r="D385" s="194"/>
      <c r="P385" s="196"/>
      <c r="Q385" s="125"/>
      <c r="S385" s="126"/>
      <c r="T385" s="126"/>
      <c r="U385" s="126"/>
      <c r="V385" s="126"/>
    </row>
    <row r="386" spans="3:22" ht="28.8" x14ac:dyDescent="0.55000000000000004">
      <c r="C386" s="194"/>
      <c r="D386" s="194"/>
      <c r="F386" s="166" t="s">
        <v>28</v>
      </c>
      <c r="G386" s="166" t="s">
        <v>69</v>
      </c>
      <c r="H386" s="197" t="s">
        <v>70</v>
      </c>
      <c r="I386" s="166" t="s">
        <v>71</v>
      </c>
      <c r="J386" s="198" t="s">
        <v>277</v>
      </c>
      <c r="P386" s="196"/>
      <c r="Q386" s="125"/>
      <c r="S386" s="126"/>
      <c r="T386" s="126"/>
      <c r="U386" s="126"/>
      <c r="V386" s="126"/>
    </row>
    <row r="387" spans="3:22" x14ac:dyDescent="0.55000000000000004">
      <c r="C387" s="194"/>
      <c r="D387" s="194"/>
      <c r="E387" s="10">
        <f>'2 Customer data'!D66</f>
        <v>0</v>
      </c>
      <c r="F387" s="113">
        <f>IFERROR(IF(VLOOKUP(E387,'2 Customer data'!$D$57:$M$76,6,FALSE)="",VLOOKUP(E387,'2 Customer data'!$D$57:$M$76,5,FALSE),VLOOKUP(E387,'2 Customer data'!$D$57:$M$76,6,FALSE)),0)</f>
        <v>0</v>
      </c>
      <c r="G387" s="113">
        <f ca="1">IFERROR(VLOOKUP(E387,'2 Sanitation'!$D$19:$J$38,5,FALSE),0)</f>
        <v>0</v>
      </c>
      <c r="H387" s="113">
        <f ca="1">IFERROR(VLOOKUP(E387,'2 Sanitation'!$D$19:$J$38,6,FALSE),0)</f>
        <v>0</v>
      </c>
      <c r="I387" s="113">
        <f ca="1">IFERROR(VLOOKUP(E387,'2 Sanitation'!$D$153:$K$172,8,FALSE),0)</f>
        <v>0</v>
      </c>
      <c r="J387" s="199">
        <f>IFERROR(IF(VLOOKUP(E387,'2 Customer data'!$D$57:$M$76,8,FALSE)="",VLOOKUP(E387,'2 Customer data'!$D$57:$M$76,7,FALSE),VLOOKUP(E387,'2 Customer data'!$D$57:$M$76,8,FALSE)),0)</f>
        <v>0</v>
      </c>
      <c r="P387" s="196"/>
      <c r="Q387" s="125"/>
      <c r="S387" s="126"/>
      <c r="T387" s="126"/>
      <c r="U387" s="126"/>
      <c r="V387" s="126"/>
    </row>
    <row r="388" spans="3:22" ht="14.7" thickBot="1" x14ac:dyDescent="0.6">
      <c r="C388" s="194"/>
      <c r="D388" s="200"/>
      <c r="E388" s="201"/>
      <c r="F388" s="201"/>
      <c r="G388" s="201"/>
      <c r="H388" s="201"/>
      <c r="I388" s="201"/>
      <c r="J388" s="201"/>
      <c r="K388" s="201"/>
      <c r="L388" s="201"/>
      <c r="M388" s="201"/>
      <c r="N388" s="201"/>
      <c r="O388" s="201"/>
      <c r="P388" s="202"/>
      <c r="Q388" s="125"/>
      <c r="S388" s="126"/>
      <c r="T388" s="126"/>
      <c r="U388" s="126"/>
      <c r="V388" s="126"/>
    </row>
    <row r="389" spans="3:22" ht="14.7" thickBot="1" x14ac:dyDescent="0.6">
      <c r="C389" s="194"/>
      <c r="Q389" s="125"/>
      <c r="S389" s="126"/>
      <c r="T389" s="126"/>
      <c r="U389" s="126"/>
      <c r="V389" s="126"/>
    </row>
    <row r="390" spans="3:22" x14ac:dyDescent="0.55000000000000004">
      <c r="C390" s="194"/>
      <c r="D390" s="192"/>
      <c r="E390" s="193"/>
      <c r="F390" s="193"/>
      <c r="G390" s="193"/>
      <c r="H390" s="193"/>
      <c r="I390" s="193"/>
      <c r="J390" s="193"/>
      <c r="K390" s="193"/>
      <c r="L390" s="193"/>
      <c r="M390" s="193"/>
      <c r="N390" s="193"/>
      <c r="O390" s="193"/>
      <c r="P390" s="195"/>
      <c r="Q390" s="125"/>
      <c r="S390" s="126"/>
      <c r="T390" s="126"/>
      <c r="U390" s="126"/>
      <c r="V390" s="126"/>
    </row>
    <row r="391" spans="3:22" x14ac:dyDescent="0.55000000000000004">
      <c r="C391" s="194"/>
      <c r="D391" s="194"/>
      <c r="E391" s="138" t="s">
        <v>93</v>
      </c>
      <c r="P391" s="196"/>
      <c r="Q391" s="125"/>
      <c r="S391" s="126"/>
      <c r="T391" s="126"/>
      <c r="U391" s="126"/>
      <c r="V391" s="126"/>
    </row>
    <row r="392" spans="3:22" x14ac:dyDescent="0.55000000000000004">
      <c r="C392" s="194"/>
      <c r="D392" s="194"/>
      <c r="E392" s="203" t="s">
        <v>555</v>
      </c>
      <c r="P392" s="196"/>
      <c r="Q392" s="125"/>
      <c r="S392" s="126"/>
      <c r="T392" s="126"/>
      <c r="U392" s="126"/>
      <c r="V392" s="126"/>
    </row>
    <row r="393" spans="3:22" x14ac:dyDescent="0.55000000000000004">
      <c r="C393" s="194"/>
      <c r="D393" s="194"/>
      <c r="P393" s="196"/>
      <c r="Q393" s="125"/>
      <c r="S393" s="126"/>
      <c r="T393" s="126"/>
      <c r="U393" s="126"/>
      <c r="V393" s="126"/>
    </row>
    <row r="394" spans="3:22" ht="43.2" x14ac:dyDescent="0.55000000000000004">
      <c r="C394" s="194"/>
      <c r="D394" s="194"/>
      <c r="F394" s="166" t="s">
        <v>86</v>
      </c>
      <c r="G394" s="166" t="s">
        <v>73</v>
      </c>
      <c r="H394" s="166" t="s">
        <v>74</v>
      </c>
      <c r="I394" s="166" t="s">
        <v>75</v>
      </c>
      <c r="J394" s="166" t="s">
        <v>76</v>
      </c>
      <c r="P394" s="196"/>
      <c r="Q394" s="125"/>
      <c r="S394" s="126"/>
      <c r="T394" s="126"/>
      <c r="U394" s="126"/>
      <c r="V394" s="126"/>
    </row>
    <row r="395" spans="3:22" x14ac:dyDescent="0.55000000000000004">
      <c r="C395" s="194"/>
      <c r="D395" s="194"/>
      <c r="E395" s="10">
        <f>E387</f>
        <v>0</v>
      </c>
      <c r="F395" s="113">
        <f ca="1">G387</f>
        <v>0</v>
      </c>
      <c r="G395" s="204">
        <f ca="1">IFERROR(F395/F387/12,0)</f>
        <v>0</v>
      </c>
      <c r="H395" s="205"/>
      <c r="I395" s="113">
        <f>H395*F387*12</f>
        <v>0</v>
      </c>
      <c r="J395" s="70">
        <f>I395/12</f>
        <v>0</v>
      </c>
      <c r="P395" s="196"/>
      <c r="Q395" s="125"/>
      <c r="S395" s="126"/>
      <c r="T395" s="126"/>
      <c r="U395" s="126"/>
      <c r="V395" s="126"/>
    </row>
    <row r="396" spans="3:22" x14ac:dyDescent="0.55000000000000004">
      <c r="C396" s="194"/>
      <c r="D396" s="194"/>
      <c r="F396" s="58" t="str">
        <f>IF(I395&gt;I386,"Error: revenue from fixed charges exceeds total revenue required from tariff. Reduce fixed charge.","")</f>
        <v/>
      </c>
      <c r="G396" s="156"/>
      <c r="H396" s="156"/>
      <c r="I396" s="156"/>
      <c r="J396" s="158"/>
      <c r="P396" s="196"/>
      <c r="Q396" s="125"/>
      <c r="S396" s="126"/>
      <c r="T396" s="126"/>
      <c r="U396" s="126"/>
      <c r="V396" s="126"/>
    </row>
    <row r="397" spans="3:22" ht="14.7" thickBot="1" x14ac:dyDescent="0.6">
      <c r="C397" s="194"/>
      <c r="D397" s="200"/>
      <c r="E397" s="201"/>
      <c r="F397" s="201"/>
      <c r="G397" s="201"/>
      <c r="H397" s="201"/>
      <c r="I397" s="201"/>
      <c r="J397" s="201"/>
      <c r="K397" s="201"/>
      <c r="L397" s="201"/>
      <c r="M397" s="201"/>
      <c r="N397" s="201"/>
      <c r="O397" s="201"/>
      <c r="P397" s="202"/>
      <c r="Q397" s="125"/>
      <c r="S397" s="126"/>
      <c r="T397" s="126"/>
      <c r="U397" s="126"/>
      <c r="V397" s="126"/>
    </row>
    <row r="398" spans="3:22" ht="14.7" thickBot="1" x14ac:dyDescent="0.6">
      <c r="C398" s="194"/>
      <c r="Q398" s="125"/>
      <c r="S398" s="126"/>
      <c r="T398" s="126"/>
      <c r="U398" s="126"/>
      <c r="V398" s="126"/>
    </row>
    <row r="399" spans="3:22" x14ac:dyDescent="0.55000000000000004">
      <c r="C399" s="194"/>
      <c r="D399" s="192"/>
      <c r="E399" s="193"/>
      <c r="F399" s="193"/>
      <c r="G399" s="193"/>
      <c r="H399" s="193"/>
      <c r="I399" s="193"/>
      <c r="J399" s="193"/>
      <c r="K399" s="193"/>
      <c r="L399" s="193"/>
      <c r="M399" s="193"/>
      <c r="N399" s="193"/>
      <c r="O399" s="193"/>
      <c r="P399" s="195"/>
      <c r="Q399" s="125"/>
      <c r="S399" s="126"/>
      <c r="T399" s="126"/>
      <c r="U399" s="126"/>
      <c r="V399" s="126"/>
    </row>
    <row r="400" spans="3:22" x14ac:dyDescent="0.55000000000000004">
      <c r="C400" s="194"/>
      <c r="D400" s="194"/>
      <c r="E400" s="138" t="s">
        <v>96</v>
      </c>
      <c r="P400" s="196"/>
      <c r="Q400" s="125"/>
      <c r="S400" s="126"/>
      <c r="T400" s="126"/>
      <c r="U400" s="126"/>
      <c r="V400" s="126"/>
    </row>
    <row r="401" spans="3:22" ht="14.55" customHeight="1" x14ac:dyDescent="0.55000000000000004">
      <c r="C401" s="194"/>
      <c r="D401" s="194"/>
      <c r="E401" s="1825" t="s">
        <v>558</v>
      </c>
      <c r="F401" s="1825"/>
      <c r="G401" s="1825"/>
      <c r="H401" s="1825"/>
      <c r="I401" s="1825"/>
      <c r="J401" s="1825"/>
      <c r="K401" s="1825"/>
      <c r="L401" s="1825"/>
      <c r="M401" s="1825"/>
      <c r="N401" s="1825"/>
      <c r="O401" s="1825"/>
      <c r="P401" s="1826"/>
      <c r="Q401" s="125"/>
      <c r="S401" s="126"/>
      <c r="T401" s="126"/>
      <c r="U401" s="126"/>
      <c r="V401" s="126"/>
    </row>
    <row r="402" spans="3:22" x14ac:dyDescent="0.55000000000000004">
      <c r="C402" s="194"/>
      <c r="D402" s="194"/>
      <c r="E402" s="1825"/>
      <c r="F402" s="1825"/>
      <c r="G402" s="1825"/>
      <c r="H402" s="1825"/>
      <c r="I402" s="1825"/>
      <c r="J402" s="1825"/>
      <c r="K402" s="1825"/>
      <c r="L402" s="1825"/>
      <c r="M402" s="1825"/>
      <c r="N402" s="1825"/>
      <c r="O402" s="1825"/>
      <c r="P402" s="1826"/>
      <c r="Q402" s="125"/>
      <c r="S402" s="126"/>
      <c r="T402" s="126"/>
      <c r="U402" s="126"/>
      <c r="V402" s="126"/>
    </row>
    <row r="403" spans="3:22" x14ac:dyDescent="0.55000000000000004">
      <c r="C403" s="194"/>
      <c r="D403" s="194"/>
      <c r="P403" s="196"/>
      <c r="Q403" s="125"/>
      <c r="S403" s="126"/>
      <c r="T403" s="126"/>
      <c r="U403" s="126"/>
      <c r="V403" s="126"/>
    </row>
    <row r="404" spans="3:22" x14ac:dyDescent="0.55000000000000004">
      <c r="C404" s="194"/>
      <c r="D404" s="194"/>
      <c r="E404" s="206" t="s">
        <v>77</v>
      </c>
      <c r="H404" s="207">
        <v>10</v>
      </c>
      <c r="P404" s="196"/>
      <c r="Q404" s="125"/>
      <c r="S404" s="126"/>
      <c r="T404" s="126"/>
      <c r="U404" s="126"/>
      <c r="V404" s="126"/>
    </row>
    <row r="405" spans="3:22" x14ac:dyDescent="0.55000000000000004">
      <c r="C405" s="194"/>
      <c r="D405" s="194"/>
      <c r="E405" s="10" t="s">
        <v>612</v>
      </c>
      <c r="H405" s="159" t="s">
        <v>613</v>
      </c>
      <c r="P405" s="196"/>
      <c r="Q405" s="125"/>
      <c r="S405" s="126"/>
      <c r="T405" s="126"/>
      <c r="U405" s="126"/>
      <c r="V405" s="126"/>
    </row>
    <row r="406" spans="3:22" x14ac:dyDescent="0.55000000000000004">
      <c r="C406" s="194"/>
      <c r="D406" s="194"/>
      <c r="P406" s="196"/>
      <c r="Q406" s="125"/>
      <c r="S406" s="126"/>
      <c r="T406" s="126"/>
      <c r="U406" s="126"/>
      <c r="V406" s="126"/>
    </row>
    <row r="407" spans="3:22" ht="43.2" x14ac:dyDescent="0.55000000000000004">
      <c r="C407" s="194"/>
      <c r="D407" s="194"/>
      <c r="E407" s="166" t="s">
        <v>78</v>
      </c>
      <c r="F407" s="166" t="s">
        <v>99</v>
      </c>
      <c r="G407" s="197" t="s">
        <v>92</v>
      </c>
      <c r="H407" s="166" t="s">
        <v>80</v>
      </c>
      <c r="I407" s="166" t="s">
        <v>334</v>
      </c>
      <c r="J407" s="166" t="s">
        <v>335</v>
      </c>
      <c r="K407" s="166" t="s">
        <v>339</v>
      </c>
      <c r="L407" s="166" t="s">
        <v>336</v>
      </c>
      <c r="M407" s="166" t="s">
        <v>337</v>
      </c>
      <c r="N407" s="166" t="s">
        <v>338</v>
      </c>
      <c r="O407" s="166" t="s">
        <v>83</v>
      </c>
      <c r="P407" s="208"/>
      <c r="Q407" s="125"/>
      <c r="S407" s="126" t="s">
        <v>614</v>
      </c>
      <c r="T407" s="126" t="s">
        <v>615</v>
      </c>
      <c r="U407" s="126"/>
      <c r="V407" s="126"/>
    </row>
    <row r="408" spans="3:22" x14ac:dyDescent="0.55000000000000004">
      <c r="C408" s="194"/>
      <c r="D408" s="194"/>
      <c r="E408" s="209">
        <f>IF($H$404=U408,U408,1)</f>
        <v>1</v>
      </c>
      <c r="F408" s="210"/>
      <c r="G408" s="211">
        <v>0</v>
      </c>
      <c r="H408" s="212"/>
      <c r="I408" s="213"/>
      <c r="J408" s="70">
        <f>J387-SUMIF(E409:E417,"&lt;="&amp;$H$404,J409:J417)</f>
        <v>0</v>
      </c>
      <c r="K408" s="70">
        <f>F408*J408</f>
        <v>0</v>
      </c>
      <c r="L408" s="114">
        <f>IFERROR(IF(E408&lt;=H404,IF(H405="No",IF(I395=0,I387/SUMPRODUCT(S408:S417,K408:K417),(I387-I395)/SUMPRODUCT(S408:S417,K408:K417)),0),0),0)</f>
        <v>0</v>
      </c>
      <c r="M408" s="44">
        <f>IFERROR(O408/J408,0)</f>
        <v>0</v>
      </c>
      <c r="N408" s="199"/>
      <c r="O408" s="199">
        <f>K408*L408</f>
        <v>0</v>
      </c>
      <c r="P408" s="214"/>
      <c r="Q408" s="125"/>
      <c r="S408" s="92">
        <f>IF(E408&lt;=$H$404,1,0)</f>
        <v>1</v>
      </c>
      <c r="T408" s="126"/>
      <c r="U408" s="126">
        <v>1</v>
      </c>
      <c r="V408" s="126"/>
    </row>
    <row r="409" spans="3:22" x14ac:dyDescent="0.55000000000000004">
      <c r="C409" s="194"/>
      <c r="D409" s="194"/>
      <c r="E409" s="209">
        <f t="shared" ref="E409:E417" si="72">IF($H$404&gt;=U409,U409,"")</f>
        <v>2</v>
      </c>
      <c r="F409" s="210"/>
      <c r="G409" s="211">
        <f t="shared" ref="G409:G417" si="73">IF($H$404&gt;=F409,H408+0.01,"")</f>
        <v>0.01</v>
      </c>
      <c r="H409" s="212"/>
      <c r="I409" s="215"/>
      <c r="J409" s="216"/>
      <c r="K409" s="70">
        <f t="shared" ref="K409:K417" si="74">F409*J409</f>
        <v>0</v>
      </c>
      <c r="L409" s="114">
        <f ca="1">IFERROR(IF(E409&lt;=H404,IF(H405="No",L408*(1+I409),IF(I395=0,I387/SUMPRODUCT(T409:T417,K409:K417),(I387-I395)/SUMPRODUCT(T409:T417,K409:K417))),0),0)</f>
        <v>0</v>
      </c>
      <c r="M409" s="44">
        <f t="shared" ref="M409:M417" ca="1" si="75">IFERROR(O409/J409,0)</f>
        <v>0</v>
      </c>
      <c r="N409" s="217" t="str">
        <f ca="1">IFERROR(M409/M408-1,"")</f>
        <v/>
      </c>
      <c r="O409" s="199">
        <f t="shared" ref="O409:O417" ca="1" si="76">K409*L409</f>
        <v>0</v>
      </c>
      <c r="P409" s="214"/>
      <c r="Q409" s="125"/>
      <c r="S409" s="92">
        <f>IF(E409&lt;=$H$404,(1+I409),0)</f>
        <v>1</v>
      </c>
      <c r="T409" s="92">
        <f>IF(E409&lt;=H404,1,0)</f>
        <v>1</v>
      </c>
      <c r="U409" s="126">
        <v>2</v>
      </c>
      <c r="V409" s="126"/>
    </row>
    <row r="410" spans="3:22" x14ac:dyDescent="0.55000000000000004">
      <c r="C410" s="194"/>
      <c r="D410" s="194"/>
      <c r="E410" s="209">
        <f t="shared" si="72"/>
        <v>3</v>
      </c>
      <c r="F410" s="210"/>
      <c r="G410" s="211">
        <f t="shared" si="73"/>
        <v>0.01</v>
      </c>
      <c r="H410" s="212"/>
      <c r="I410" s="215"/>
      <c r="J410" s="216"/>
      <c r="K410" s="70">
        <f t="shared" si="74"/>
        <v>0</v>
      </c>
      <c r="L410" s="204">
        <f t="shared" ref="L410:L417" ca="1" si="77">IF(E410&lt;=$H$404,L409*(1+I410),0)</f>
        <v>0</v>
      </c>
      <c r="M410" s="44">
        <f t="shared" ca="1" si="75"/>
        <v>0</v>
      </c>
      <c r="N410" s="217" t="str">
        <f t="shared" ref="N410:N417" ca="1" si="78">IFERROR(M410/M409-1,"")</f>
        <v/>
      </c>
      <c r="O410" s="199">
        <f t="shared" ca="1" si="76"/>
        <v>0</v>
      </c>
      <c r="P410" s="214"/>
      <c r="Q410" s="125"/>
      <c r="S410" s="92">
        <f t="shared" ref="S410:S417" si="79">IF(E410&lt;=$H$404,S409*(1+I410),0)</f>
        <v>1</v>
      </c>
      <c r="T410" s="92">
        <f>IF(E410&lt;=H404,T409*(1+I410),0)</f>
        <v>1</v>
      </c>
      <c r="U410" s="126">
        <v>3</v>
      </c>
      <c r="V410" s="126"/>
    </row>
    <row r="411" spans="3:22" x14ac:dyDescent="0.55000000000000004">
      <c r="C411" s="194"/>
      <c r="D411" s="194"/>
      <c r="E411" s="209">
        <f t="shared" si="72"/>
        <v>4</v>
      </c>
      <c r="F411" s="210"/>
      <c r="G411" s="211">
        <f t="shared" si="73"/>
        <v>0.01</v>
      </c>
      <c r="H411" s="212"/>
      <c r="I411" s="215"/>
      <c r="J411" s="216"/>
      <c r="K411" s="70">
        <f t="shared" si="74"/>
        <v>0</v>
      </c>
      <c r="L411" s="204">
        <f t="shared" ca="1" si="77"/>
        <v>0</v>
      </c>
      <c r="M411" s="44">
        <f t="shared" ca="1" si="75"/>
        <v>0</v>
      </c>
      <c r="N411" s="217" t="str">
        <f t="shared" ca="1" si="78"/>
        <v/>
      </c>
      <c r="O411" s="199">
        <f t="shared" ca="1" si="76"/>
        <v>0</v>
      </c>
      <c r="P411" s="214"/>
      <c r="Q411" s="125"/>
      <c r="S411" s="92">
        <f t="shared" si="79"/>
        <v>1</v>
      </c>
      <c r="T411" s="92">
        <f>IF(E411&lt;=H404,T410*(1+I411),0)</f>
        <v>1</v>
      </c>
      <c r="U411" s="126">
        <v>4</v>
      </c>
      <c r="V411" s="126"/>
    </row>
    <row r="412" spans="3:22" x14ac:dyDescent="0.55000000000000004">
      <c r="C412" s="194"/>
      <c r="D412" s="194"/>
      <c r="E412" s="209">
        <f t="shared" si="72"/>
        <v>5</v>
      </c>
      <c r="F412" s="210"/>
      <c r="G412" s="211">
        <f t="shared" si="73"/>
        <v>0.01</v>
      </c>
      <c r="H412" s="212"/>
      <c r="I412" s="215"/>
      <c r="J412" s="216"/>
      <c r="K412" s="70">
        <f t="shared" si="74"/>
        <v>0</v>
      </c>
      <c r="L412" s="204">
        <f t="shared" ca="1" si="77"/>
        <v>0</v>
      </c>
      <c r="M412" s="44">
        <f t="shared" ca="1" si="75"/>
        <v>0</v>
      </c>
      <c r="N412" s="217" t="str">
        <f t="shared" ca="1" si="78"/>
        <v/>
      </c>
      <c r="O412" s="199">
        <f t="shared" ca="1" si="76"/>
        <v>0</v>
      </c>
      <c r="P412" s="214"/>
      <c r="Q412" s="125"/>
      <c r="S412" s="92">
        <f t="shared" si="79"/>
        <v>1</v>
      </c>
      <c r="T412" s="92">
        <f>IF(E412&lt;=H404,T411*(1+I412),0)</f>
        <v>1</v>
      </c>
      <c r="U412" s="126">
        <v>5</v>
      </c>
      <c r="V412" s="126"/>
    </row>
    <row r="413" spans="3:22" x14ac:dyDescent="0.55000000000000004">
      <c r="C413" s="194"/>
      <c r="D413" s="194"/>
      <c r="E413" s="209">
        <f t="shared" si="72"/>
        <v>6</v>
      </c>
      <c r="F413" s="210"/>
      <c r="G413" s="211">
        <f t="shared" si="73"/>
        <v>0.01</v>
      </c>
      <c r="H413" s="207"/>
      <c r="I413" s="215"/>
      <c r="J413" s="216"/>
      <c r="K413" s="70">
        <f t="shared" si="74"/>
        <v>0</v>
      </c>
      <c r="L413" s="204">
        <f t="shared" ca="1" si="77"/>
        <v>0</v>
      </c>
      <c r="M413" s="44">
        <f t="shared" ca="1" si="75"/>
        <v>0</v>
      </c>
      <c r="N413" s="217" t="str">
        <f t="shared" ca="1" si="78"/>
        <v/>
      </c>
      <c r="O413" s="199">
        <f t="shared" ca="1" si="76"/>
        <v>0</v>
      </c>
      <c r="P413" s="214"/>
      <c r="Q413" s="125"/>
      <c r="S413" s="92">
        <f t="shared" si="79"/>
        <v>1</v>
      </c>
      <c r="T413" s="92">
        <f>IF(E413&lt;=H404,T412*(1+I413),0)</f>
        <v>1</v>
      </c>
      <c r="U413" s="126">
        <v>6</v>
      </c>
      <c r="V413" s="126"/>
    </row>
    <row r="414" spans="3:22" x14ac:dyDescent="0.55000000000000004">
      <c r="C414" s="194"/>
      <c r="D414" s="194"/>
      <c r="E414" s="209">
        <f t="shared" si="72"/>
        <v>7</v>
      </c>
      <c r="F414" s="210"/>
      <c r="G414" s="211">
        <f t="shared" si="73"/>
        <v>0.01</v>
      </c>
      <c r="H414" s="207"/>
      <c r="I414" s="215"/>
      <c r="J414" s="216"/>
      <c r="K414" s="70">
        <f t="shared" si="74"/>
        <v>0</v>
      </c>
      <c r="L414" s="204">
        <f t="shared" ca="1" si="77"/>
        <v>0</v>
      </c>
      <c r="M414" s="44">
        <f t="shared" ca="1" si="75"/>
        <v>0</v>
      </c>
      <c r="N414" s="217" t="str">
        <f t="shared" ca="1" si="78"/>
        <v/>
      </c>
      <c r="O414" s="199">
        <f t="shared" ca="1" si="76"/>
        <v>0</v>
      </c>
      <c r="P414" s="214"/>
      <c r="Q414" s="125"/>
      <c r="S414" s="92">
        <f t="shared" si="79"/>
        <v>1</v>
      </c>
      <c r="T414" s="92">
        <f>IF(E414&lt;=H404,T413*(1+I414),0)</f>
        <v>1</v>
      </c>
      <c r="U414" s="126">
        <v>7</v>
      </c>
      <c r="V414" s="126"/>
    </row>
    <row r="415" spans="3:22" x14ac:dyDescent="0.55000000000000004">
      <c r="C415" s="194"/>
      <c r="D415" s="194"/>
      <c r="E415" s="209">
        <f t="shared" si="72"/>
        <v>8</v>
      </c>
      <c r="F415" s="210"/>
      <c r="G415" s="211">
        <f t="shared" si="73"/>
        <v>0.01</v>
      </c>
      <c r="H415" s="207"/>
      <c r="I415" s="215"/>
      <c r="J415" s="216"/>
      <c r="K415" s="70">
        <f t="shared" si="74"/>
        <v>0</v>
      </c>
      <c r="L415" s="204">
        <f t="shared" ca="1" si="77"/>
        <v>0</v>
      </c>
      <c r="M415" s="44">
        <f t="shared" ca="1" si="75"/>
        <v>0</v>
      </c>
      <c r="N415" s="217" t="str">
        <f t="shared" ca="1" si="78"/>
        <v/>
      </c>
      <c r="O415" s="199">
        <f t="shared" ca="1" si="76"/>
        <v>0</v>
      </c>
      <c r="P415" s="214"/>
      <c r="Q415" s="125"/>
      <c r="S415" s="92">
        <f t="shared" si="79"/>
        <v>1</v>
      </c>
      <c r="T415" s="92">
        <f>IF(E415&lt;=H404,T414*(1+I415),0)</f>
        <v>1</v>
      </c>
      <c r="U415" s="126">
        <v>8</v>
      </c>
      <c r="V415" s="126"/>
    </row>
    <row r="416" spans="3:22" x14ac:dyDescent="0.55000000000000004">
      <c r="C416" s="194"/>
      <c r="D416" s="194"/>
      <c r="E416" s="209">
        <f t="shared" si="72"/>
        <v>9</v>
      </c>
      <c r="F416" s="210"/>
      <c r="G416" s="211">
        <f t="shared" si="73"/>
        <v>0.01</v>
      </c>
      <c r="H416" s="207"/>
      <c r="I416" s="215"/>
      <c r="J416" s="216"/>
      <c r="K416" s="70">
        <f t="shared" si="74"/>
        <v>0</v>
      </c>
      <c r="L416" s="204">
        <f t="shared" ca="1" si="77"/>
        <v>0</v>
      </c>
      <c r="M416" s="44">
        <f t="shared" ca="1" si="75"/>
        <v>0</v>
      </c>
      <c r="N416" s="217" t="str">
        <f t="shared" ca="1" si="78"/>
        <v/>
      </c>
      <c r="O416" s="199">
        <f t="shared" ca="1" si="76"/>
        <v>0</v>
      </c>
      <c r="P416" s="214"/>
      <c r="Q416" s="125"/>
      <c r="S416" s="92">
        <f t="shared" si="79"/>
        <v>1</v>
      </c>
      <c r="T416" s="92">
        <f>IF(E416&lt;=H404,T415*(1+I416),0)</f>
        <v>1</v>
      </c>
      <c r="U416" s="126">
        <v>9</v>
      </c>
      <c r="V416" s="126"/>
    </row>
    <row r="417" spans="3:22" x14ac:dyDescent="0.55000000000000004">
      <c r="C417" s="194"/>
      <c r="D417" s="194"/>
      <c r="E417" s="209">
        <f t="shared" si="72"/>
        <v>10</v>
      </c>
      <c r="F417" s="210"/>
      <c r="G417" s="211">
        <f t="shared" si="73"/>
        <v>0.01</v>
      </c>
      <c r="H417" s="209" t="s">
        <v>84</v>
      </c>
      <c r="I417" s="215"/>
      <c r="J417" s="216"/>
      <c r="K417" s="70">
        <f t="shared" si="74"/>
        <v>0</v>
      </c>
      <c r="L417" s="204">
        <f t="shared" ca="1" si="77"/>
        <v>0</v>
      </c>
      <c r="M417" s="44">
        <f t="shared" ca="1" si="75"/>
        <v>0</v>
      </c>
      <c r="N417" s="217" t="str">
        <f t="shared" ca="1" si="78"/>
        <v/>
      </c>
      <c r="O417" s="199">
        <f t="shared" ca="1" si="76"/>
        <v>0</v>
      </c>
      <c r="P417" s="214"/>
      <c r="Q417" s="125"/>
      <c r="S417" s="92">
        <f t="shared" si="79"/>
        <v>1</v>
      </c>
      <c r="T417" s="92">
        <f>IF(E417&lt;=H404,T416*(1+I417),0)</f>
        <v>1</v>
      </c>
      <c r="U417" s="126">
        <v>10</v>
      </c>
      <c r="V417" s="126"/>
    </row>
    <row r="418" spans="3:22" ht="14.7" thickBot="1" x14ac:dyDescent="0.6">
      <c r="C418" s="194"/>
      <c r="D418" s="200"/>
      <c r="E418" s="201"/>
      <c r="F418" s="201"/>
      <c r="G418" s="201"/>
      <c r="H418" s="201"/>
      <c r="I418" s="201"/>
      <c r="J418" s="201"/>
      <c r="K418" s="201"/>
      <c r="L418" s="201"/>
      <c r="M418" s="201"/>
      <c r="N418" s="201"/>
      <c r="O418" s="201"/>
      <c r="P418" s="202"/>
      <c r="Q418" s="125"/>
      <c r="S418" s="126"/>
      <c r="T418" s="126"/>
      <c r="U418" s="126"/>
      <c r="V418" s="126"/>
    </row>
    <row r="419" spans="3:22" ht="14.7" thickBot="1" x14ac:dyDescent="0.6">
      <c r="C419" s="200"/>
      <c r="D419" s="201"/>
      <c r="E419" s="201"/>
      <c r="F419" s="201"/>
      <c r="G419" s="201"/>
      <c r="H419" s="201"/>
      <c r="I419" s="201"/>
      <c r="J419" s="201"/>
      <c r="K419" s="201"/>
      <c r="L419" s="201"/>
      <c r="M419" s="201"/>
      <c r="N419" s="201"/>
      <c r="O419" s="201"/>
      <c r="P419" s="201"/>
      <c r="Q419" s="132"/>
      <c r="S419" s="126"/>
      <c r="T419" s="126"/>
      <c r="U419" s="126"/>
      <c r="V419" s="126"/>
    </row>
    <row r="420" spans="3:22" ht="14.7" thickBot="1" x14ac:dyDescent="0.6">
      <c r="S420" s="126"/>
      <c r="T420" s="126"/>
      <c r="U420" s="126"/>
      <c r="V420" s="126"/>
    </row>
    <row r="421" spans="3:22" x14ac:dyDescent="0.55000000000000004">
      <c r="C421" s="192"/>
      <c r="D421" s="193"/>
      <c r="E421" s="193"/>
      <c r="F421" s="193"/>
      <c r="G421" s="193"/>
      <c r="H421" s="193"/>
      <c r="I421" s="193"/>
      <c r="J421" s="193"/>
      <c r="K421" s="193"/>
      <c r="L421" s="193"/>
      <c r="M421" s="193"/>
      <c r="N421" s="193"/>
      <c r="O421" s="193"/>
      <c r="P421" s="193"/>
      <c r="Q421" s="123"/>
      <c r="S421" s="126"/>
      <c r="T421" s="126"/>
      <c r="U421" s="126"/>
      <c r="V421" s="126"/>
    </row>
    <row r="422" spans="3:22" ht="18.3" x14ac:dyDescent="0.7">
      <c r="C422" s="194"/>
      <c r="D422" s="1824">
        <f>'2 Customer data'!D67</f>
        <v>0</v>
      </c>
      <c r="E422" s="1824"/>
      <c r="F422" s="1824"/>
      <c r="G422" s="1824"/>
      <c r="H422" s="1824"/>
      <c r="I422" s="1824"/>
      <c r="J422" s="1824"/>
      <c r="K422" s="1824"/>
      <c r="L422" s="1824"/>
      <c r="M422" s="1824"/>
      <c r="N422" s="1824"/>
      <c r="O422" s="1824"/>
      <c r="Q422" s="125"/>
      <c r="S422" s="126"/>
      <c r="T422" s="126"/>
      <c r="U422" s="126"/>
      <c r="V422" s="126"/>
    </row>
    <row r="423" spans="3:22" ht="14.7" thickBot="1" x14ac:dyDescent="0.6">
      <c r="C423" s="194"/>
      <c r="Q423" s="125"/>
      <c r="S423" s="126"/>
      <c r="T423" s="126"/>
      <c r="U423" s="126"/>
      <c r="V423" s="126"/>
    </row>
    <row r="424" spans="3:22" x14ac:dyDescent="0.55000000000000004">
      <c r="C424" s="194"/>
      <c r="D424" s="192"/>
      <c r="E424" s="193"/>
      <c r="F424" s="193"/>
      <c r="G424" s="193"/>
      <c r="H424" s="193"/>
      <c r="I424" s="193"/>
      <c r="J424" s="193"/>
      <c r="K424" s="193"/>
      <c r="L424" s="193"/>
      <c r="M424" s="193"/>
      <c r="N424" s="193"/>
      <c r="O424" s="193"/>
      <c r="P424" s="195"/>
      <c r="Q424" s="125"/>
      <c r="S424" s="126"/>
      <c r="T424" s="126"/>
      <c r="U424" s="126"/>
      <c r="V424" s="126"/>
    </row>
    <row r="425" spans="3:22" x14ac:dyDescent="0.55000000000000004">
      <c r="C425" s="194"/>
      <c r="D425" s="194"/>
      <c r="E425" s="138" t="str">
        <f>'2 Customer data'!D67&amp;" "&amp;"information"</f>
        <v xml:space="preserve"> information</v>
      </c>
      <c r="P425" s="196"/>
      <c r="Q425" s="125"/>
      <c r="S425" s="126"/>
      <c r="T425" s="126"/>
      <c r="U425" s="126"/>
      <c r="V425" s="126"/>
    </row>
    <row r="426" spans="3:22" x14ac:dyDescent="0.55000000000000004">
      <c r="C426" s="194"/>
      <c r="D426" s="194"/>
      <c r="P426" s="196"/>
      <c r="Q426" s="125"/>
      <c r="S426" s="126"/>
      <c r="T426" s="126"/>
      <c r="U426" s="126"/>
      <c r="V426" s="126"/>
    </row>
    <row r="427" spans="3:22" ht="28.8" x14ac:dyDescent="0.55000000000000004">
      <c r="C427" s="194"/>
      <c r="D427" s="194"/>
      <c r="F427" s="166" t="s">
        <v>28</v>
      </c>
      <c r="G427" s="166" t="s">
        <v>69</v>
      </c>
      <c r="H427" s="197" t="s">
        <v>70</v>
      </c>
      <c r="I427" s="166" t="s">
        <v>71</v>
      </c>
      <c r="J427" s="198" t="s">
        <v>277</v>
      </c>
      <c r="P427" s="196"/>
      <c r="Q427" s="125"/>
      <c r="S427" s="126"/>
      <c r="T427" s="126"/>
      <c r="U427" s="126"/>
      <c r="V427" s="126"/>
    </row>
    <row r="428" spans="3:22" x14ac:dyDescent="0.55000000000000004">
      <c r="C428" s="194"/>
      <c r="D428" s="194"/>
      <c r="E428" s="10">
        <f>'2 Customer data'!D67</f>
        <v>0</v>
      </c>
      <c r="F428" s="113">
        <f>IFERROR(IF(VLOOKUP(E428,'2 Customer data'!$D$57:$M$76,6,FALSE)="",VLOOKUP(E428,'2 Customer data'!$D$57:$M$76,5,FALSE),VLOOKUP(E428,'2 Customer data'!$D$57:$M$76,6,FALSE)),0)</f>
        <v>0</v>
      </c>
      <c r="G428" s="113">
        <f ca="1">IFERROR(VLOOKUP(E428,'2 Sanitation'!$D$19:$J$38,5,FALSE),0)</f>
        <v>0</v>
      </c>
      <c r="H428" s="113">
        <f ca="1">IFERROR(VLOOKUP(E428,'2 Sanitation'!$D$19:$J$38,6,FALSE),0)</f>
        <v>0</v>
      </c>
      <c r="I428" s="113">
        <f ca="1">IFERROR(VLOOKUP(E428,'2 Sanitation'!$D$153:$K$172,8,FALSE),0)</f>
        <v>0</v>
      </c>
      <c r="J428" s="199">
        <f>IFERROR(IF(VLOOKUP(E428,'2 Customer data'!$D$57:$M$76,8,FALSE)="",VLOOKUP(E428,'2 Customer data'!$D$57:$M$76,7,FALSE),VLOOKUP(E428,'2 Customer data'!$D$57:$M$76,8,FALSE)),0)</f>
        <v>0</v>
      </c>
      <c r="P428" s="196"/>
      <c r="Q428" s="125"/>
      <c r="S428" s="126"/>
      <c r="T428" s="126"/>
      <c r="U428" s="126"/>
      <c r="V428" s="126"/>
    </row>
    <row r="429" spans="3:22" ht="14.7" thickBot="1" x14ac:dyDescent="0.6">
      <c r="C429" s="194"/>
      <c r="D429" s="200"/>
      <c r="E429" s="201"/>
      <c r="F429" s="201"/>
      <c r="G429" s="201"/>
      <c r="H429" s="201"/>
      <c r="I429" s="201"/>
      <c r="J429" s="201"/>
      <c r="K429" s="201"/>
      <c r="L429" s="201"/>
      <c r="M429" s="201"/>
      <c r="N429" s="201"/>
      <c r="O429" s="201"/>
      <c r="P429" s="202"/>
      <c r="Q429" s="125"/>
      <c r="S429" s="126"/>
      <c r="T429" s="126"/>
      <c r="U429" s="126"/>
      <c r="V429" s="126"/>
    </row>
    <row r="430" spans="3:22" ht="14.7" thickBot="1" x14ac:dyDescent="0.6">
      <c r="C430" s="194"/>
      <c r="Q430" s="125"/>
      <c r="S430" s="126"/>
      <c r="T430" s="126"/>
      <c r="U430" s="126"/>
      <c r="V430" s="126"/>
    </row>
    <row r="431" spans="3:22" x14ac:dyDescent="0.55000000000000004">
      <c r="C431" s="194"/>
      <c r="D431" s="192"/>
      <c r="E431" s="193"/>
      <c r="F431" s="193"/>
      <c r="G431" s="193"/>
      <c r="H431" s="193"/>
      <c r="I431" s="193"/>
      <c r="J431" s="193"/>
      <c r="K431" s="193"/>
      <c r="L431" s="193"/>
      <c r="M431" s="193"/>
      <c r="N431" s="193"/>
      <c r="O431" s="193"/>
      <c r="P431" s="195"/>
      <c r="Q431" s="125"/>
      <c r="S431" s="126"/>
      <c r="T431" s="126"/>
      <c r="U431" s="126"/>
      <c r="V431" s="126"/>
    </row>
    <row r="432" spans="3:22" x14ac:dyDescent="0.55000000000000004">
      <c r="C432" s="194"/>
      <c r="D432" s="194"/>
      <c r="E432" s="138" t="s">
        <v>93</v>
      </c>
      <c r="P432" s="196"/>
      <c r="Q432" s="125"/>
      <c r="S432" s="126"/>
      <c r="T432" s="126"/>
      <c r="U432" s="126"/>
      <c r="V432" s="126"/>
    </row>
    <row r="433" spans="3:22" x14ac:dyDescent="0.55000000000000004">
      <c r="C433" s="194"/>
      <c r="D433" s="194"/>
      <c r="E433" s="203" t="s">
        <v>555</v>
      </c>
      <c r="P433" s="196"/>
      <c r="Q433" s="125"/>
      <c r="S433" s="126"/>
      <c r="T433" s="126"/>
      <c r="U433" s="126"/>
      <c r="V433" s="126"/>
    </row>
    <row r="434" spans="3:22" x14ac:dyDescent="0.55000000000000004">
      <c r="C434" s="194"/>
      <c r="D434" s="194"/>
      <c r="P434" s="196"/>
      <c r="Q434" s="125"/>
      <c r="S434" s="126"/>
      <c r="T434" s="126"/>
      <c r="U434" s="126"/>
      <c r="V434" s="126"/>
    </row>
    <row r="435" spans="3:22" ht="43.2" x14ac:dyDescent="0.55000000000000004">
      <c r="C435" s="194"/>
      <c r="D435" s="194"/>
      <c r="F435" s="166" t="s">
        <v>86</v>
      </c>
      <c r="G435" s="166" t="s">
        <v>73</v>
      </c>
      <c r="H435" s="166" t="s">
        <v>74</v>
      </c>
      <c r="I435" s="166" t="s">
        <v>75</v>
      </c>
      <c r="J435" s="166" t="s">
        <v>76</v>
      </c>
      <c r="P435" s="196"/>
      <c r="Q435" s="125"/>
      <c r="S435" s="126"/>
      <c r="T435" s="126"/>
      <c r="U435" s="126"/>
      <c r="V435" s="126"/>
    </row>
    <row r="436" spans="3:22" x14ac:dyDescent="0.55000000000000004">
      <c r="C436" s="194"/>
      <c r="D436" s="194"/>
      <c r="E436" s="10">
        <f>E428</f>
        <v>0</v>
      </c>
      <c r="F436" s="113">
        <f ca="1">G428</f>
        <v>0</v>
      </c>
      <c r="G436" s="204">
        <f ca="1">IFERROR(F436/F428/12,0)</f>
        <v>0</v>
      </c>
      <c r="H436" s="205"/>
      <c r="I436" s="113">
        <f>H436*F428*12</f>
        <v>0</v>
      </c>
      <c r="J436" s="70">
        <f>I436/12</f>
        <v>0</v>
      </c>
      <c r="P436" s="196"/>
      <c r="Q436" s="125"/>
      <c r="S436" s="126"/>
      <c r="T436" s="126"/>
      <c r="U436" s="126"/>
      <c r="V436" s="126"/>
    </row>
    <row r="437" spans="3:22" x14ac:dyDescent="0.55000000000000004">
      <c r="C437" s="194"/>
      <c r="D437" s="194"/>
      <c r="F437" s="58" t="str">
        <f>IF(I436&gt;I427,"Error: revenue from fixed charges exceeds total revenue required from tariff. Reduce fixed charge.","")</f>
        <v/>
      </c>
      <c r="G437" s="156"/>
      <c r="H437" s="156"/>
      <c r="I437" s="156"/>
      <c r="J437" s="158"/>
      <c r="P437" s="196"/>
      <c r="Q437" s="125"/>
      <c r="S437" s="126"/>
      <c r="T437" s="126"/>
      <c r="U437" s="126"/>
      <c r="V437" s="126"/>
    </row>
    <row r="438" spans="3:22" ht="14.7" thickBot="1" x14ac:dyDescent="0.6">
      <c r="C438" s="194"/>
      <c r="D438" s="200"/>
      <c r="E438" s="201"/>
      <c r="F438" s="201"/>
      <c r="G438" s="201"/>
      <c r="H438" s="201"/>
      <c r="I438" s="201"/>
      <c r="J438" s="201"/>
      <c r="K438" s="201"/>
      <c r="L438" s="201"/>
      <c r="M438" s="201"/>
      <c r="N438" s="201"/>
      <c r="O438" s="201"/>
      <c r="P438" s="202"/>
      <c r="Q438" s="125"/>
      <c r="S438" s="126"/>
      <c r="T438" s="126"/>
      <c r="U438" s="126"/>
      <c r="V438" s="126"/>
    </row>
    <row r="439" spans="3:22" ht="14.7" thickBot="1" x14ac:dyDescent="0.6">
      <c r="C439" s="194"/>
      <c r="Q439" s="125"/>
      <c r="S439" s="126"/>
      <c r="T439" s="126"/>
      <c r="U439" s="126"/>
      <c r="V439" s="126"/>
    </row>
    <row r="440" spans="3:22" x14ac:dyDescent="0.55000000000000004">
      <c r="C440" s="194"/>
      <c r="D440" s="192"/>
      <c r="E440" s="193"/>
      <c r="F440" s="193"/>
      <c r="G440" s="193"/>
      <c r="H440" s="193"/>
      <c r="I440" s="193"/>
      <c r="J440" s="193"/>
      <c r="K440" s="193"/>
      <c r="L440" s="193"/>
      <c r="M440" s="193"/>
      <c r="N440" s="193"/>
      <c r="O440" s="193"/>
      <c r="P440" s="195"/>
      <c r="Q440" s="125"/>
      <c r="S440" s="126"/>
      <c r="T440" s="126"/>
      <c r="U440" s="126"/>
      <c r="V440" s="126"/>
    </row>
    <row r="441" spans="3:22" x14ac:dyDescent="0.55000000000000004">
      <c r="C441" s="194"/>
      <c r="D441" s="194"/>
      <c r="E441" s="138" t="s">
        <v>96</v>
      </c>
      <c r="P441" s="196"/>
      <c r="Q441" s="125"/>
      <c r="S441" s="126"/>
      <c r="T441" s="126"/>
      <c r="U441" s="126"/>
      <c r="V441" s="126"/>
    </row>
    <row r="442" spans="3:22" ht="14.55" customHeight="1" x14ac:dyDescent="0.55000000000000004">
      <c r="C442" s="194"/>
      <c r="D442" s="194"/>
      <c r="E442" s="1825" t="s">
        <v>558</v>
      </c>
      <c r="F442" s="1825"/>
      <c r="G442" s="1825"/>
      <c r="H442" s="1825"/>
      <c r="I442" s="1825"/>
      <c r="J442" s="1825"/>
      <c r="K442" s="1825"/>
      <c r="L442" s="1825"/>
      <c r="M442" s="1825"/>
      <c r="N442" s="1825"/>
      <c r="O442" s="1825"/>
      <c r="P442" s="1826"/>
      <c r="Q442" s="125"/>
      <c r="S442" s="126"/>
      <c r="T442" s="126"/>
      <c r="U442" s="126"/>
      <c r="V442" s="126"/>
    </row>
    <row r="443" spans="3:22" x14ac:dyDescent="0.55000000000000004">
      <c r="C443" s="194"/>
      <c r="D443" s="194"/>
      <c r="E443" s="1825"/>
      <c r="F443" s="1825"/>
      <c r="G443" s="1825"/>
      <c r="H443" s="1825"/>
      <c r="I443" s="1825"/>
      <c r="J443" s="1825"/>
      <c r="K443" s="1825"/>
      <c r="L443" s="1825"/>
      <c r="M443" s="1825"/>
      <c r="N443" s="1825"/>
      <c r="O443" s="1825"/>
      <c r="P443" s="1826"/>
      <c r="Q443" s="125"/>
      <c r="S443" s="126"/>
      <c r="T443" s="126"/>
      <c r="U443" s="126"/>
      <c r="V443" s="126"/>
    </row>
    <row r="444" spans="3:22" x14ac:dyDescent="0.55000000000000004">
      <c r="C444" s="194"/>
      <c r="D444" s="194"/>
      <c r="P444" s="196"/>
      <c r="Q444" s="125"/>
      <c r="S444" s="126"/>
      <c r="T444" s="126"/>
      <c r="U444" s="126"/>
      <c r="V444" s="126"/>
    </row>
    <row r="445" spans="3:22" x14ac:dyDescent="0.55000000000000004">
      <c r="C445" s="194"/>
      <c r="D445" s="194"/>
      <c r="E445" s="206" t="s">
        <v>77</v>
      </c>
      <c r="H445" s="207">
        <v>10</v>
      </c>
      <c r="P445" s="196"/>
      <c r="Q445" s="125"/>
      <c r="S445" s="126"/>
      <c r="T445" s="126"/>
      <c r="U445" s="126"/>
      <c r="V445" s="126"/>
    </row>
    <row r="446" spans="3:22" x14ac:dyDescent="0.55000000000000004">
      <c r="C446" s="194"/>
      <c r="D446" s="194"/>
      <c r="E446" s="10" t="s">
        <v>612</v>
      </c>
      <c r="H446" s="159" t="s">
        <v>613</v>
      </c>
      <c r="P446" s="196"/>
      <c r="Q446" s="125"/>
      <c r="S446" s="126"/>
      <c r="T446" s="126"/>
      <c r="U446" s="126"/>
      <c r="V446" s="126"/>
    </row>
    <row r="447" spans="3:22" x14ac:dyDescent="0.55000000000000004">
      <c r="C447" s="194"/>
      <c r="D447" s="194"/>
      <c r="P447" s="196"/>
      <c r="Q447" s="125"/>
      <c r="S447" s="126"/>
      <c r="T447" s="126"/>
      <c r="U447" s="126"/>
      <c r="V447" s="126"/>
    </row>
    <row r="448" spans="3:22" ht="43.2" x14ac:dyDescent="0.55000000000000004">
      <c r="C448" s="194"/>
      <c r="D448" s="194"/>
      <c r="E448" s="166" t="s">
        <v>78</v>
      </c>
      <c r="F448" s="166" t="s">
        <v>99</v>
      </c>
      <c r="G448" s="197" t="s">
        <v>92</v>
      </c>
      <c r="H448" s="166" t="s">
        <v>80</v>
      </c>
      <c r="I448" s="166" t="s">
        <v>334</v>
      </c>
      <c r="J448" s="166" t="s">
        <v>335</v>
      </c>
      <c r="K448" s="166" t="s">
        <v>339</v>
      </c>
      <c r="L448" s="166" t="s">
        <v>336</v>
      </c>
      <c r="M448" s="166" t="s">
        <v>337</v>
      </c>
      <c r="N448" s="166" t="s">
        <v>338</v>
      </c>
      <c r="O448" s="166" t="s">
        <v>83</v>
      </c>
      <c r="P448" s="208"/>
      <c r="Q448" s="125"/>
      <c r="S448" s="126" t="s">
        <v>614</v>
      </c>
      <c r="T448" s="126" t="s">
        <v>615</v>
      </c>
      <c r="U448" s="126"/>
      <c r="V448" s="126"/>
    </row>
    <row r="449" spans="3:22" x14ac:dyDescent="0.55000000000000004">
      <c r="C449" s="194"/>
      <c r="D449" s="194"/>
      <c r="E449" s="209">
        <f>IF($H$445=U449,U449,1)</f>
        <v>1</v>
      </c>
      <c r="F449" s="210"/>
      <c r="G449" s="211">
        <v>0</v>
      </c>
      <c r="H449" s="212"/>
      <c r="I449" s="213"/>
      <c r="J449" s="70">
        <f>J428-SUMIF(E450:E458,"&lt;="&amp;$H$445,J450:J458)</f>
        <v>0</v>
      </c>
      <c r="K449" s="70">
        <f>F449*J449</f>
        <v>0</v>
      </c>
      <c r="L449" s="114">
        <f>IFERROR(IF(E449&lt;=H445,IF(H446="No",IF(I436=0,I428/SUMPRODUCT(S449:S458,K449:K458),(I428-I436)/SUMPRODUCT(S449:S458,K449:K458)),0),0),0)</f>
        <v>0</v>
      </c>
      <c r="M449" s="44">
        <f>IFERROR(O449/J449,0)</f>
        <v>0</v>
      </c>
      <c r="N449" s="199"/>
      <c r="O449" s="199">
        <f>K449*L449</f>
        <v>0</v>
      </c>
      <c r="P449" s="214"/>
      <c r="Q449" s="125"/>
      <c r="S449" s="92">
        <f>IF(E449&lt;=$H$445,1,0)</f>
        <v>1</v>
      </c>
      <c r="T449" s="126"/>
      <c r="U449" s="126">
        <v>1</v>
      </c>
      <c r="V449" s="126"/>
    </row>
    <row r="450" spans="3:22" x14ac:dyDescent="0.55000000000000004">
      <c r="C450" s="194"/>
      <c r="D450" s="194"/>
      <c r="E450" s="209">
        <f t="shared" ref="E450:E458" si="80">IF($H$445&gt;=U450,U450,"")</f>
        <v>2</v>
      </c>
      <c r="F450" s="210"/>
      <c r="G450" s="211">
        <f t="shared" ref="G450:G458" si="81">IF($H$445&gt;=F450,H449+0.01,"")</f>
        <v>0.01</v>
      </c>
      <c r="H450" s="212"/>
      <c r="I450" s="215"/>
      <c r="J450" s="216"/>
      <c r="K450" s="70">
        <f t="shared" ref="K450:K458" si="82">F450*J450</f>
        <v>0</v>
      </c>
      <c r="L450" s="114">
        <f ca="1">IFERROR(IF(E450&lt;=H445,IF(H446="No",L449*(1+I450),IF(I436=0,I428/SUMPRODUCT(T450:T458,K450:K458),(I428-I436)/SUMPRODUCT(T450:T458,K450:K458))),0),0)</f>
        <v>0</v>
      </c>
      <c r="M450" s="44">
        <f t="shared" ref="M450:M458" ca="1" si="83">IFERROR(O450/J450,0)</f>
        <v>0</v>
      </c>
      <c r="N450" s="217" t="str">
        <f ca="1">IFERROR(M450/M449-1,"")</f>
        <v/>
      </c>
      <c r="O450" s="199">
        <f t="shared" ref="O450:O458" ca="1" si="84">K450*L450</f>
        <v>0</v>
      </c>
      <c r="P450" s="214"/>
      <c r="Q450" s="125"/>
      <c r="S450" s="92">
        <f>IF(E450&lt;=$H$445,(1+I450),0)</f>
        <v>1</v>
      </c>
      <c r="T450" s="92">
        <f>IF(E450&lt;=H445,1,0)</f>
        <v>1</v>
      </c>
      <c r="U450" s="126">
        <v>2</v>
      </c>
      <c r="V450" s="126"/>
    </row>
    <row r="451" spans="3:22" x14ac:dyDescent="0.55000000000000004">
      <c r="C451" s="194"/>
      <c r="D451" s="194"/>
      <c r="E451" s="209">
        <f t="shared" si="80"/>
        <v>3</v>
      </c>
      <c r="F451" s="210"/>
      <c r="G451" s="211">
        <f t="shared" si="81"/>
        <v>0.01</v>
      </c>
      <c r="H451" s="212"/>
      <c r="I451" s="215"/>
      <c r="J451" s="216"/>
      <c r="K451" s="70">
        <f t="shared" si="82"/>
        <v>0</v>
      </c>
      <c r="L451" s="204">
        <f t="shared" ref="L451:L458" ca="1" si="85">IF(E451&lt;=$H$445,L450*(1+I451),0)</f>
        <v>0</v>
      </c>
      <c r="M451" s="44">
        <f t="shared" ca="1" si="83"/>
        <v>0</v>
      </c>
      <c r="N451" s="217" t="str">
        <f t="shared" ref="N451:N458" ca="1" si="86">IFERROR(M451/M450-1,"")</f>
        <v/>
      </c>
      <c r="O451" s="199">
        <f t="shared" ca="1" si="84"/>
        <v>0</v>
      </c>
      <c r="P451" s="214"/>
      <c r="Q451" s="125"/>
      <c r="S451" s="92">
        <f t="shared" ref="S451:S458" si="87">IF(E451&lt;=$H$445,S450*(1+I451),0)</f>
        <v>1</v>
      </c>
      <c r="T451" s="92">
        <f>IF(E451&lt;=H445,T450*(1+I451),0)</f>
        <v>1</v>
      </c>
      <c r="U451" s="126">
        <v>3</v>
      </c>
      <c r="V451" s="126"/>
    </row>
    <row r="452" spans="3:22" x14ac:dyDescent="0.55000000000000004">
      <c r="C452" s="194"/>
      <c r="D452" s="194"/>
      <c r="E452" s="209">
        <f t="shared" si="80"/>
        <v>4</v>
      </c>
      <c r="F452" s="210"/>
      <c r="G452" s="211">
        <f t="shared" si="81"/>
        <v>0.01</v>
      </c>
      <c r="H452" s="212"/>
      <c r="I452" s="215"/>
      <c r="J452" s="216"/>
      <c r="K452" s="70">
        <f t="shared" si="82"/>
        <v>0</v>
      </c>
      <c r="L452" s="204">
        <f t="shared" ca="1" si="85"/>
        <v>0</v>
      </c>
      <c r="M452" s="44">
        <f t="shared" ca="1" si="83"/>
        <v>0</v>
      </c>
      <c r="N452" s="217" t="str">
        <f t="shared" ca="1" si="86"/>
        <v/>
      </c>
      <c r="O452" s="199">
        <f t="shared" ca="1" si="84"/>
        <v>0</v>
      </c>
      <c r="P452" s="214"/>
      <c r="Q452" s="125"/>
      <c r="S452" s="92">
        <f t="shared" si="87"/>
        <v>1</v>
      </c>
      <c r="T452" s="92">
        <f>IF(E452&lt;=H445,T451*(1+I452),0)</f>
        <v>1</v>
      </c>
      <c r="U452" s="126">
        <v>4</v>
      </c>
      <c r="V452" s="126"/>
    </row>
    <row r="453" spans="3:22" x14ac:dyDescent="0.55000000000000004">
      <c r="C453" s="194"/>
      <c r="D453" s="194"/>
      <c r="E453" s="209">
        <f t="shared" si="80"/>
        <v>5</v>
      </c>
      <c r="F453" s="210"/>
      <c r="G453" s="211">
        <f t="shared" si="81"/>
        <v>0.01</v>
      </c>
      <c r="H453" s="212"/>
      <c r="I453" s="215"/>
      <c r="J453" s="216"/>
      <c r="K453" s="70">
        <f t="shared" si="82"/>
        <v>0</v>
      </c>
      <c r="L453" s="204">
        <f t="shared" ca="1" si="85"/>
        <v>0</v>
      </c>
      <c r="M453" s="44">
        <f t="shared" ca="1" si="83"/>
        <v>0</v>
      </c>
      <c r="N453" s="217" t="str">
        <f t="shared" ca="1" si="86"/>
        <v/>
      </c>
      <c r="O453" s="199">
        <f t="shared" ca="1" si="84"/>
        <v>0</v>
      </c>
      <c r="P453" s="214"/>
      <c r="Q453" s="125"/>
      <c r="S453" s="92">
        <f t="shared" si="87"/>
        <v>1</v>
      </c>
      <c r="T453" s="92">
        <f>IF(E453&lt;=H445,T452*(1+I453),0)</f>
        <v>1</v>
      </c>
      <c r="U453" s="126">
        <v>5</v>
      </c>
      <c r="V453" s="126"/>
    </row>
    <row r="454" spans="3:22" x14ac:dyDescent="0.55000000000000004">
      <c r="C454" s="194"/>
      <c r="D454" s="194"/>
      <c r="E454" s="209">
        <f t="shared" si="80"/>
        <v>6</v>
      </c>
      <c r="F454" s="210"/>
      <c r="G454" s="211">
        <f t="shared" si="81"/>
        <v>0.01</v>
      </c>
      <c r="H454" s="207"/>
      <c r="I454" s="215"/>
      <c r="J454" s="216"/>
      <c r="K454" s="70">
        <f t="shared" si="82"/>
        <v>0</v>
      </c>
      <c r="L454" s="204">
        <f t="shared" ca="1" si="85"/>
        <v>0</v>
      </c>
      <c r="M454" s="44">
        <f t="shared" ca="1" si="83"/>
        <v>0</v>
      </c>
      <c r="N454" s="217" t="str">
        <f t="shared" ca="1" si="86"/>
        <v/>
      </c>
      <c r="O454" s="199">
        <f t="shared" ca="1" si="84"/>
        <v>0</v>
      </c>
      <c r="P454" s="214"/>
      <c r="Q454" s="125"/>
      <c r="S454" s="92">
        <f t="shared" si="87"/>
        <v>1</v>
      </c>
      <c r="T454" s="92">
        <f>IF(E454&lt;=H445,T453*(1+I454),0)</f>
        <v>1</v>
      </c>
      <c r="U454" s="126">
        <v>6</v>
      </c>
      <c r="V454" s="126"/>
    </row>
    <row r="455" spans="3:22" x14ac:dyDescent="0.55000000000000004">
      <c r="C455" s="194"/>
      <c r="D455" s="194"/>
      <c r="E455" s="209">
        <f t="shared" si="80"/>
        <v>7</v>
      </c>
      <c r="F455" s="210"/>
      <c r="G455" s="211">
        <f t="shared" si="81"/>
        <v>0.01</v>
      </c>
      <c r="H455" s="207"/>
      <c r="I455" s="215"/>
      <c r="J455" s="216"/>
      <c r="K455" s="70">
        <f t="shared" si="82"/>
        <v>0</v>
      </c>
      <c r="L455" s="204">
        <f t="shared" ca="1" si="85"/>
        <v>0</v>
      </c>
      <c r="M455" s="44">
        <f t="shared" ca="1" si="83"/>
        <v>0</v>
      </c>
      <c r="N455" s="217" t="str">
        <f t="shared" ca="1" si="86"/>
        <v/>
      </c>
      <c r="O455" s="199">
        <f t="shared" ca="1" si="84"/>
        <v>0</v>
      </c>
      <c r="P455" s="214"/>
      <c r="Q455" s="125"/>
      <c r="S455" s="92">
        <f t="shared" si="87"/>
        <v>1</v>
      </c>
      <c r="T455" s="92">
        <f>IF(E455&lt;=H445,T454*(1+I455),0)</f>
        <v>1</v>
      </c>
      <c r="U455" s="126">
        <v>7</v>
      </c>
      <c r="V455" s="126"/>
    </row>
    <row r="456" spans="3:22" x14ac:dyDescent="0.55000000000000004">
      <c r="C456" s="194"/>
      <c r="D456" s="194"/>
      <c r="E456" s="209">
        <f t="shared" si="80"/>
        <v>8</v>
      </c>
      <c r="F456" s="210"/>
      <c r="G456" s="211">
        <f t="shared" si="81"/>
        <v>0.01</v>
      </c>
      <c r="H456" s="207"/>
      <c r="I456" s="215"/>
      <c r="J456" s="216"/>
      <c r="K456" s="70">
        <f t="shared" si="82"/>
        <v>0</v>
      </c>
      <c r="L456" s="204">
        <f t="shared" ca="1" si="85"/>
        <v>0</v>
      </c>
      <c r="M456" s="44">
        <f t="shared" ca="1" si="83"/>
        <v>0</v>
      </c>
      <c r="N456" s="217" t="str">
        <f t="shared" ca="1" si="86"/>
        <v/>
      </c>
      <c r="O456" s="199">
        <f t="shared" ca="1" si="84"/>
        <v>0</v>
      </c>
      <c r="P456" s="214"/>
      <c r="Q456" s="125"/>
      <c r="S456" s="92">
        <f t="shared" si="87"/>
        <v>1</v>
      </c>
      <c r="T456" s="92">
        <f>IF(E456&lt;=H445,T455*(1+I456),0)</f>
        <v>1</v>
      </c>
      <c r="U456" s="126">
        <v>8</v>
      </c>
      <c r="V456" s="126"/>
    </row>
    <row r="457" spans="3:22" x14ac:dyDescent="0.55000000000000004">
      <c r="C457" s="194"/>
      <c r="D457" s="194"/>
      <c r="E457" s="209">
        <f t="shared" si="80"/>
        <v>9</v>
      </c>
      <c r="F457" s="210"/>
      <c r="G457" s="211">
        <f t="shared" si="81"/>
        <v>0.01</v>
      </c>
      <c r="H457" s="207"/>
      <c r="I457" s="215"/>
      <c r="J457" s="216"/>
      <c r="K457" s="70">
        <f t="shared" si="82"/>
        <v>0</v>
      </c>
      <c r="L457" s="204">
        <f t="shared" ca="1" si="85"/>
        <v>0</v>
      </c>
      <c r="M457" s="44">
        <f t="shared" ca="1" si="83"/>
        <v>0</v>
      </c>
      <c r="N457" s="217" t="str">
        <f t="shared" ca="1" si="86"/>
        <v/>
      </c>
      <c r="O457" s="199">
        <f t="shared" ca="1" si="84"/>
        <v>0</v>
      </c>
      <c r="P457" s="214"/>
      <c r="Q457" s="125"/>
      <c r="S457" s="92">
        <f t="shared" si="87"/>
        <v>1</v>
      </c>
      <c r="T457" s="92">
        <f>IF(E457&lt;=H445,T456*(1+I457),0)</f>
        <v>1</v>
      </c>
      <c r="U457" s="126">
        <v>9</v>
      </c>
      <c r="V457" s="126"/>
    </row>
    <row r="458" spans="3:22" x14ac:dyDescent="0.55000000000000004">
      <c r="C458" s="194"/>
      <c r="D458" s="194"/>
      <c r="E458" s="209">
        <f t="shared" si="80"/>
        <v>10</v>
      </c>
      <c r="F458" s="210"/>
      <c r="G458" s="211">
        <f t="shared" si="81"/>
        <v>0.01</v>
      </c>
      <c r="H458" s="209" t="s">
        <v>84</v>
      </c>
      <c r="I458" s="215"/>
      <c r="J458" s="216"/>
      <c r="K458" s="70">
        <f t="shared" si="82"/>
        <v>0</v>
      </c>
      <c r="L458" s="204">
        <f t="shared" ca="1" si="85"/>
        <v>0</v>
      </c>
      <c r="M458" s="44">
        <f t="shared" ca="1" si="83"/>
        <v>0</v>
      </c>
      <c r="N458" s="217" t="str">
        <f t="shared" ca="1" si="86"/>
        <v/>
      </c>
      <c r="O458" s="199">
        <f t="shared" ca="1" si="84"/>
        <v>0</v>
      </c>
      <c r="P458" s="214"/>
      <c r="Q458" s="125"/>
      <c r="S458" s="92">
        <f t="shared" si="87"/>
        <v>1</v>
      </c>
      <c r="T458" s="92">
        <f>IF(E458&lt;=H445,T457*(1+I458),0)</f>
        <v>1</v>
      </c>
      <c r="U458" s="126">
        <v>10</v>
      </c>
      <c r="V458" s="126"/>
    </row>
    <row r="459" spans="3:22" ht="14.7" thickBot="1" x14ac:dyDescent="0.6">
      <c r="C459" s="194"/>
      <c r="D459" s="200"/>
      <c r="E459" s="201"/>
      <c r="F459" s="201"/>
      <c r="G459" s="201"/>
      <c r="H459" s="201"/>
      <c r="I459" s="201"/>
      <c r="J459" s="201"/>
      <c r="K459" s="201"/>
      <c r="L459" s="201"/>
      <c r="M459" s="201"/>
      <c r="N459" s="201"/>
      <c r="O459" s="201"/>
      <c r="P459" s="202"/>
      <c r="Q459" s="125"/>
      <c r="S459" s="126"/>
      <c r="T459" s="126"/>
      <c r="U459" s="126"/>
      <c r="V459" s="126"/>
    </row>
    <row r="460" spans="3:22" ht="14.7" thickBot="1" x14ac:dyDescent="0.6">
      <c r="C460" s="200"/>
      <c r="D460" s="201"/>
      <c r="E460" s="201"/>
      <c r="F460" s="201"/>
      <c r="G460" s="201"/>
      <c r="H460" s="201"/>
      <c r="I460" s="201"/>
      <c r="J460" s="201"/>
      <c r="K460" s="201"/>
      <c r="L460" s="201"/>
      <c r="M460" s="201"/>
      <c r="N460" s="201"/>
      <c r="O460" s="201"/>
      <c r="P460" s="201"/>
      <c r="Q460" s="132"/>
      <c r="S460" s="126"/>
      <c r="T460" s="126"/>
      <c r="U460" s="126"/>
      <c r="V460" s="126"/>
    </row>
    <row r="461" spans="3:22" ht="14.7" thickBot="1" x14ac:dyDescent="0.6">
      <c r="S461" s="126"/>
      <c r="T461" s="126"/>
      <c r="U461" s="126"/>
      <c r="V461" s="126"/>
    </row>
    <row r="462" spans="3:22" x14ac:dyDescent="0.55000000000000004">
      <c r="C462" s="192"/>
      <c r="D462" s="193"/>
      <c r="E462" s="193"/>
      <c r="F462" s="193"/>
      <c r="G462" s="193"/>
      <c r="H462" s="193"/>
      <c r="I462" s="193"/>
      <c r="J462" s="193"/>
      <c r="K462" s="193"/>
      <c r="L462" s="193"/>
      <c r="M462" s="193"/>
      <c r="N462" s="193"/>
      <c r="O462" s="193"/>
      <c r="P462" s="193"/>
      <c r="Q462" s="123"/>
      <c r="S462" s="126"/>
      <c r="T462" s="126"/>
      <c r="U462" s="126"/>
      <c r="V462" s="126"/>
    </row>
    <row r="463" spans="3:22" ht="18.3" x14ac:dyDescent="0.7">
      <c r="C463" s="194"/>
      <c r="D463" s="1824">
        <f>'2 Customer data'!D68</f>
        <v>0</v>
      </c>
      <c r="E463" s="1824"/>
      <c r="F463" s="1824"/>
      <c r="G463" s="1824"/>
      <c r="H463" s="1824"/>
      <c r="I463" s="1824"/>
      <c r="J463" s="1824"/>
      <c r="K463" s="1824"/>
      <c r="L463" s="1824"/>
      <c r="M463" s="1824"/>
      <c r="N463" s="1824"/>
      <c r="O463" s="1824"/>
      <c r="Q463" s="125"/>
      <c r="S463" s="126"/>
      <c r="T463" s="126"/>
      <c r="U463" s="126"/>
      <c r="V463" s="126"/>
    </row>
    <row r="464" spans="3:22" ht="14.7" thickBot="1" x14ac:dyDescent="0.6">
      <c r="C464" s="194"/>
      <c r="Q464" s="125"/>
      <c r="S464" s="126"/>
      <c r="T464" s="126"/>
      <c r="U464" s="126"/>
      <c r="V464" s="126"/>
    </row>
    <row r="465" spans="3:22" x14ac:dyDescent="0.55000000000000004">
      <c r="C465" s="194"/>
      <c r="D465" s="192"/>
      <c r="E465" s="193"/>
      <c r="F465" s="193"/>
      <c r="G465" s="193"/>
      <c r="H465" s="193"/>
      <c r="I465" s="193"/>
      <c r="J465" s="193"/>
      <c r="K465" s="193"/>
      <c r="L465" s="193"/>
      <c r="M465" s="193"/>
      <c r="N465" s="193"/>
      <c r="O465" s="193"/>
      <c r="P465" s="195"/>
      <c r="Q465" s="125"/>
      <c r="S465" s="126"/>
      <c r="T465" s="126"/>
      <c r="U465" s="126"/>
      <c r="V465" s="126"/>
    </row>
    <row r="466" spans="3:22" x14ac:dyDescent="0.55000000000000004">
      <c r="C466" s="194"/>
      <c r="D466" s="194"/>
      <c r="E466" s="138" t="str">
        <f>'2 Customer data'!D68&amp;" "&amp;"information"</f>
        <v xml:space="preserve"> information</v>
      </c>
      <c r="P466" s="196"/>
      <c r="Q466" s="125"/>
      <c r="S466" s="126"/>
      <c r="T466" s="126"/>
      <c r="U466" s="126"/>
      <c r="V466" s="126"/>
    </row>
    <row r="467" spans="3:22" x14ac:dyDescent="0.55000000000000004">
      <c r="C467" s="194"/>
      <c r="D467" s="194"/>
      <c r="P467" s="196"/>
      <c r="Q467" s="125"/>
      <c r="S467" s="126"/>
      <c r="T467" s="126"/>
      <c r="U467" s="126"/>
      <c r="V467" s="126"/>
    </row>
    <row r="468" spans="3:22" ht="28.8" x14ac:dyDescent="0.55000000000000004">
      <c r="C468" s="194"/>
      <c r="D468" s="194"/>
      <c r="F468" s="166" t="s">
        <v>28</v>
      </c>
      <c r="G468" s="166" t="s">
        <v>69</v>
      </c>
      <c r="H468" s="197" t="s">
        <v>70</v>
      </c>
      <c r="I468" s="166" t="s">
        <v>71</v>
      </c>
      <c r="J468" s="198" t="s">
        <v>277</v>
      </c>
      <c r="P468" s="196"/>
      <c r="Q468" s="125"/>
      <c r="S468" s="126"/>
      <c r="T468" s="126"/>
      <c r="U468" s="126"/>
      <c r="V468" s="126"/>
    </row>
    <row r="469" spans="3:22" x14ac:dyDescent="0.55000000000000004">
      <c r="C469" s="194"/>
      <c r="D469" s="194"/>
      <c r="E469" s="10">
        <f>'2 Customer data'!D68</f>
        <v>0</v>
      </c>
      <c r="F469" s="113">
        <f>IFERROR(IF(VLOOKUP(E469,'2 Customer data'!$D$57:$M$76,6,FALSE)="",VLOOKUP(E469,'2 Customer data'!$D$57:$M$76,5,FALSE),VLOOKUP(E469,'2 Customer data'!$D$57:$M$76,6,FALSE)),0)</f>
        <v>0</v>
      </c>
      <c r="G469" s="113">
        <f ca="1">IFERROR(VLOOKUP(E469,'2 Sanitation'!$D$19:$J$38,5,FALSE),0)</f>
        <v>0</v>
      </c>
      <c r="H469" s="113">
        <f ca="1">IFERROR(VLOOKUP(E469,'2 Sanitation'!$D$19:$J$38,6,FALSE),0)</f>
        <v>0</v>
      </c>
      <c r="I469" s="113">
        <f ca="1">IFERROR(VLOOKUP(E469,'2 Sanitation'!$D$153:$K$172,8,FALSE),0)</f>
        <v>0</v>
      </c>
      <c r="J469" s="199">
        <f>IFERROR(IF(VLOOKUP(E469,'2 Customer data'!$D$57:$M$76,8,FALSE)="",VLOOKUP(E469,'2 Customer data'!$D$57:$M$76,7,FALSE),VLOOKUP(E469,'2 Customer data'!$D$57:$M$76,8,FALSE)),0)</f>
        <v>0</v>
      </c>
      <c r="P469" s="196"/>
      <c r="Q469" s="125"/>
      <c r="S469" s="126"/>
      <c r="T469" s="126"/>
      <c r="U469" s="126"/>
      <c r="V469" s="126"/>
    </row>
    <row r="470" spans="3:22" ht="14.7" thickBot="1" x14ac:dyDescent="0.6">
      <c r="C470" s="194"/>
      <c r="D470" s="200"/>
      <c r="E470" s="201"/>
      <c r="F470" s="201"/>
      <c r="G470" s="201"/>
      <c r="H470" s="201"/>
      <c r="I470" s="201"/>
      <c r="J470" s="201"/>
      <c r="K470" s="201"/>
      <c r="L470" s="201"/>
      <c r="M470" s="201"/>
      <c r="N470" s="201"/>
      <c r="O470" s="201"/>
      <c r="P470" s="202"/>
      <c r="Q470" s="125"/>
      <c r="S470" s="126"/>
      <c r="T470" s="126"/>
      <c r="U470" s="126"/>
      <c r="V470" s="126"/>
    </row>
    <row r="471" spans="3:22" ht="14.7" thickBot="1" x14ac:dyDescent="0.6">
      <c r="C471" s="194"/>
      <c r="Q471" s="125"/>
      <c r="S471" s="126"/>
      <c r="T471" s="126"/>
      <c r="U471" s="126"/>
      <c r="V471" s="126"/>
    </row>
    <row r="472" spans="3:22" x14ac:dyDescent="0.55000000000000004">
      <c r="C472" s="194"/>
      <c r="D472" s="192"/>
      <c r="E472" s="193"/>
      <c r="F472" s="193"/>
      <c r="G472" s="193"/>
      <c r="H472" s="193"/>
      <c r="I472" s="193"/>
      <c r="J472" s="193"/>
      <c r="K472" s="193"/>
      <c r="L472" s="193"/>
      <c r="M472" s="193"/>
      <c r="N472" s="193"/>
      <c r="O472" s="193"/>
      <c r="P472" s="195"/>
      <c r="Q472" s="125"/>
      <c r="S472" s="126"/>
      <c r="T472" s="126"/>
      <c r="U472" s="126"/>
      <c r="V472" s="126"/>
    </row>
    <row r="473" spans="3:22" x14ac:dyDescent="0.55000000000000004">
      <c r="C473" s="194"/>
      <c r="D473" s="194"/>
      <c r="E473" s="138" t="s">
        <v>93</v>
      </c>
      <c r="P473" s="196"/>
      <c r="Q473" s="125"/>
      <c r="S473" s="126"/>
      <c r="T473" s="126"/>
      <c r="U473" s="126"/>
      <c r="V473" s="126"/>
    </row>
    <row r="474" spans="3:22" x14ac:dyDescent="0.55000000000000004">
      <c r="C474" s="194"/>
      <c r="D474" s="194"/>
      <c r="E474" s="203" t="s">
        <v>555</v>
      </c>
      <c r="P474" s="196"/>
      <c r="Q474" s="125"/>
      <c r="S474" s="126"/>
      <c r="T474" s="126"/>
      <c r="U474" s="126"/>
      <c r="V474" s="126"/>
    </row>
    <row r="475" spans="3:22" x14ac:dyDescent="0.55000000000000004">
      <c r="C475" s="194"/>
      <c r="D475" s="194"/>
      <c r="P475" s="196"/>
      <c r="Q475" s="125"/>
      <c r="S475" s="126"/>
      <c r="T475" s="126"/>
      <c r="U475" s="126"/>
      <c r="V475" s="126"/>
    </row>
    <row r="476" spans="3:22" ht="43.2" x14ac:dyDescent="0.55000000000000004">
      <c r="C476" s="194"/>
      <c r="D476" s="194"/>
      <c r="F476" s="166" t="s">
        <v>86</v>
      </c>
      <c r="G476" s="166" t="s">
        <v>73</v>
      </c>
      <c r="H476" s="166" t="s">
        <v>74</v>
      </c>
      <c r="I476" s="166" t="s">
        <v>75</v>
      </c>
      <c r="J476" s="166" t="s">
        <v>76</v>
      </c>
      <c r="P476" s="196"/>
      <c r="Q476" s="125"/>
      <c r="S476" s="126"/>
      <c r="T476" s="126"/>
      <c r="U476" s="126"/>
      <c r="V476" s="126"/>
    </row>
    <row r="477" spans="3:22" x14ac:dyDescent="0.55000000000000004">
      <c r="C477" s="194"/>
      <c r="D477" s="194"/>
      <c r="E477" s="10">
        <f>E469</f>
        <v>0</v>
      </c>
      <c r="F477" s="113">
        <f ca="1">G469</f>
        <v>0</v>
      </c>
      <c r="G477" s="204">
        <f ca="1">IFERROR(F477/F469/12,0)</f>
        <v>0</v>
      </c>
      <c r="H477" s="205"/>
      <c r="I477" s="113">
        <f>H477*F469*12</f>
        <v>0</v>
      </c>
      <c r="J477" s="70">
        <f>I477/12</f>
        <v>0</v>
      </c>
      <c r="P477" s="196"/>
      <c r="Q477" s="125"/>
      <c r="S477" s="126"/>
      <c r="T477" s="126"/>
      <c r="U477" s="126"/>
      <c r="V477" s="126"/>
    </row>
    <row r="478" spans="3:22" x14ac:dyDescent="0.55000000000000004">
      <c r="C478" s="194"/>
      <c r="D478" s="194"/>
      <c r="F478" s="58" t="str">
        <f>IF(I477&gt;I468,"Error: revenue from fixed charges exceeds total revenue required from tariff. Reduce fixed charge.","")</f>
        <v/>
      </c>
      <c r="G478" s="156"/>
      <c r="H478" s="156"/>
      <c r="I478" s="156"/>
      <c r="J478" s="158"/>
      <c r="P478" s="196"/>
      <c r="Q478" s="125"/>
      <c r="S478" s="126"/>
      <c r="T478" s="126"/>
      <c r="U478" s="126"/>
      <c r="V478" s="126"/>
    </row>
    <row r="479" spans="3:22" ht="14.7" thickBot="1" x14ac:dyDescent="0.6">
      <c r="C479" s="194"/>
      <c r="D479" s="200"/>
      <c r="E479" s="201"/>
      <c r="F479" s="201"/>
      <c r="G479" s="201"/>
      <c r="H479" s="201"/>
      <c r="I479" s="201"/>
      <c r="J479" s="201"/>
      <c r="K479" s="201"/>
      <c r="L479" s="201"/>
      <c r="M479" s="201"/>
      <c r="N479" s="201"/>
      <c r="O479" s="201"/>
      <c r="P479" s="202"/>
      <c r="Q479" s="125"/>
      <c r="S479" s="126"/>
      <c r="T479" s="126"/>
      <c r="U479" s="126"/>
      <c r="V479" s="126"/>
    </row>
    <row r="480" spans="3:22" ht="14.7" thickBot="1" x14ac:dyDescent="0.6">
      <c r="C480" s="194"/>
      <c r="Q480" s="125"/>
      <c r="S480" s="126"/>
      <c r="T480" s="126"/>
      <c r="U480" s="126"/>
      <c r="V480" s="126"/>
    </row>
    <row r="481" spans="3:22" x14ac:dyDescent="0.55000000000000004">
      <c r="C481" s="194"/>
      <c r="D481" s="192"/>
      <c r="E481" s="193"/>
      <c r="F481" s="193"/>
      <c r="G481" s="193"/>
      <c r="H481" s="193"/>
      <c r="I481" s="193"/>
      <c r="J481" s="193"/>
      <c r="K481" s="193"/>
      <c r="L481" s="193"/>
      <c r="M481" s="193"/>
      <c r="N481" s="193"/>
      <c r="O481" s="193"/>
      <c r="P481" s="195"/>
      <c r="Q481" s="125"/>
      <c r="S481" s="126"/>
      <c r="T481" s="126"/>
      <c r="U481" s="126"/>
      <c r="V481" s="126"/>
    </row>
    <row r="482" spans="3:22" x14ac:dyDescent="0.55000000000000004">
      <c r="C482" s="194"/>
      <c r="D482" s="194"/>
      <c r="E482" s="138" t="s">
        <v>96</v>
      </c>
      <c r="P482" s="196"/>
      <c r="Q482" s="125"/>
      <c r="S482" s="126"/>
      <c r="T482" s="126"/>
      <c r="U482" s="126"/>
      <c r="V482" s="126"/>
    </row>
    <row r="483" spans="3:22" ht="14.55" customHeight="1" x14ac:dyDescent="0.55000000000000004">
      <c r="C483" s="194"/>
      <c r="D483" s="194"/>
      <c r="E483" s="1825" t="s">
        <v>558</v>
      </c>
      <c r="F483" s="1825"/>
      <c r="G483" s="1825"/>
      <c r="H483" s="1825"/>
      <c r="I483" s="1825"/>
      <c r="J483" s="1825"/>
      <c r="K483" s="1825"/>
      <c r="L483" s="1825"/>
      <c r="M483" s="1825"/>
      <c r="N483" s="1825"/>
      <c r="O483" s="1825"/>
      <c r="P483" s="1826"/>
      <c r="Q483" s="125"/>
      <c r="S483" s="126"/>
      <c r="T483" s="126"/>
      <c r="U483" s="126"/>
      <c r="V483" s="126"/>
    </row>
    <row r="484" spans="3:22" x14ac:dyDescent="0.55000000000000004">
      <c r="C484" s="194"/>
      <c r="D484" s="194"/>
      <c r="E484" s="1825"/>
      <c r="F484" s="1825"/>
      <c r="G484" s="1825"/>
      <c r="H484" s="1825"/>
      <c r="I484" s="1825"/>
      <c r="J484" s="1825"/>
      <c r="K484" s="1825"/>
      <c r="L484" s="1825"/>
      <c r="M484" s="1825"/>
      <c r="N484" s="1825"/>
      <c r="O484" s="1825"/>
      <c r="P484" s="1826"/>
      <c r="Q484" s="125"/>
      <c r="S484" s="126"/>
      <c r="T484" s="126"/>
      <c r="U484" s="126"/>
      <c r="V484" s="126"/>
    </row>
    <row r="485" spans="3:22" x14ac:dyDescent="0.55000000000000004">
      <c r="C485" s="194"/>
      <c r="D485" s="194"/>
      <c r="P485" s="196"/>
      <c r="Q485" s="125"/>
      <c r="S485" s="126"/>
      <c r="T485" s="126"/>
      <c r="U485" s="126"/>
      <c r="V485" s="126"/>
    </row>
    <row r="486" spans="3:22" x14ac:dyDescent="0.55000000000000004">
      <c r="C486" s="194"/>
      <c r="D486" s="194"/>
      <c r="E486" s="206" t="s">
        <v>77</v>
      </c>
      <c r="H486" s="207">
        <v>10</v>
      </c>
      <c r="P486" s="196"/>
      <c r="Q486" s="125"/>
      <c r="S486" s="126"/>
      <c r="T486" s="126"/>
      <c r="U486" s="126"/>
      <c r="V486" s="126"/>
    </row>
    <row r="487" spans="3:22" x14ac:dyDescent="0.55000000000000004">
      <c r="C487" s="194"/>
      <c r="D487" s="194"/>
      <c r="E487" s="10" t="s">
        <v>612</v>
      </c>
      <c r="H487" s="159" t="s">
        <v>613</v>
      </c>
      <c r="P487" s="196"/>
      <c r="Q487" s="125"/>
      <c r="S487" s="126"/>
      <c r="T487" s="126"/>
      <c r="U487" s="126"/>
      <c r="V487" s="126"/>
    </row>
    <row r="488" spans="3:22" x14ac:dyDescent="0.55000000000000004">
      <c r="C488" s="194"/>
      <c r="D488" s="194"/>
      <c r="P488" s="196"/>
      <c r="Q488" s="125"/>
      <c r="S488" s="126"/>
      <c r="T488" s="126"/>
      <c r="U488" s="126"/>
      <c r="V488" s="126"/>
    </row>
    <row r="489" spans="3:22" ht="43.2" x14ac:dyDescent="0.55000000000000004">
      <c r="C489" s="194"/>
      <c r="D489" s="194"/>
      <c r="E489" s="166" t="s">
        <v>78</v>
      </c>
      <c r="F489" s="166" t="s">
        <v>99</v>
      </c>
      <c r="G489" s="197" t="s">
        <v>92</v>
      </c>
      <c r="H489" s="166" t="s">
        <v>80</v>
      </c>
      <c r="I489" s="166" t="s">
        <v>334</v>
      </c>
      <c r="J489" s="166" t="s">
        <v>335</v>
      </c>
      <c r="K489" s="166" t="s">
        <v>339</v>
      </c>
      <c r="L489" s="166" t="s">
        <v>336</v>
      </c>
      <c r="M489" s="166" t="s">
        <v>337</v>
      </c>
      <c r="N489" s="166" t="s">
        <v>338</v>
      </c>
      <c r="O489" s="166" t="s">
        <v>83</v>
      </c>
      <c r="P489" s="208"/>
      <c r="Q489" s="125"/>
      <c r="S489" s="126" t="s">
        <v>614</v>
      </c>
      <c r="T489" s="126" t="s">
        <v>615</v>
      </c>
      <c r="U489" s="126"/>
      <c r="V489" s="126"/>
    </row>
    <row r="490" spans="3:22" x14ac:dyDescent="0.55000000000000004">
      <c r="C490" s="194"/>
      <c r="D490" s="194"/>
      <c r="E490" s="209">
        <f>IF($H$486=U490,U490,1)</f>
        <v>1</v>
      </c>
      <c r="F490" s="210"/>
      <c r="G490" s="211">
        <v>0</v>
      </c>
      <c r="H490" s="212"/>
      <c r="I490" s="213"/>
      <c r="J490" s="70">
        <f>J469-SUMIF(E491:E499,"&lt;="&amp;$H$486,J491:J499)</f>
        <v>0</v>
      </c>
      <c r="K490" s="70">
        <f>F490*J490</f>
        <v>0</v>
      </c>
      <c r="L490" s="114">
        <f>IFERROR(IF(E490&lt;=H486,IF(H487="No",IF(I477=0,I469/SUMPRODUCT(S490:S499,K490:K499),(I469-I477)/SUMPRODUCT(S490:S499,K490:K499)),0),0),0)</f>
        <v>0</v>
      </c>
      <c r="M490" s="44">
        <f>IFERROR(O490/J490,0)</f>
        <v>0</v>
      </c>
      <c r="N490" s="199"/>
      <c r="O490" s="199">
        <f>K490*L490</f>
        <v>0</v>
      </c>
      <c r="P490" s="214"/>
      <c r="Q490" s="125"/>
      <c r="S490" s="92">
        <f>IF(E490&lt;=$H$486,1,0)</f>
        <v>1</v>
      </c>
      <c r="T490" s="126"/>
      <c r="U490" s="126">
        <v>1</v>
      </c>
      <c r="V490" s="126"/>
    </row>
    <row r="491" spans="3:22" x14ac:dyDescent="0.55000000000000004">
      <c r="C491" s="194"/>
      <c r="D491" s="194"/>
      <c r="E491" s="209">
        <f t="shared" ref="E491:E499" si="88">IF($H$486&gt;=U491,U491,"")</f>
        <v>2</v>
      </c>
      <c r="F491" s="210"/>
      <c r="G491" s="211">
        <f t="shared" ref="G491:G499" si="89">IF($H$486&gt;=F491,H490+0.01,"")</f>
        <v>0.01</v>
      </c>
      <c r="H491" s="212"/>
      <c r="I491" s="215"/>
      <c r="J491" s="216"/>
      <c r="K491" s="70">
        <f t="shared" ref="K491:K499" si="90">F491*J491</f>
        <v>0</v>
      </c>
      <c r="L491" s="114">
        <f ca="1">IFERROR(IF(E491&lt;=H486,IF(H487="No",L490*(1+I491),IF(I477=0,I469/SUMPRODUCT(T491:T499,K491:K499),(I469-I477)/SUMPRODUCT(T491:T499,K491:K499))),0),0)</f>
        <v>0</v>
      </c>
      <c r="M491" s="44">
        <f t="shared" ref="M491:M499" ca="1" si="91">IFERROR(O491/J491,0)</f>
        <v>0</v>
      </c>
      <c r="N491" s="217" t="str">
        <f ca="1">IFERROR(M491/M490-1,"")</f>
        <v/>
      </c>
      <c r="O491" s="199">
        <f t="shared" ref="O491:O499" ca="1" si="92">K491*L491</f>
        <v>0</v>
      </c>
      <c r="P491" s="214"/>
      <c r="Q491" s="125"/>
      <c r="S491" s="92">
        <f>IF(E491&lt;=$H$486,(1+I491),0)</f>
        <v>1</v>
      </c>
      <c r="T491" s="92">
        <f>IF(E491&lt;=H486,1,0)</f>
        <v>1</v>
      </c>
      <c r="U491" s="126">
        <v>2</v>
      </c>
      <c r="V491" s="126"/>
    </row>
    <row r="492" spans="3:22" x14ac:dyDescent="0.55000000000000004">
      <c r="C492" s="194"/>
      <c r="D492" s="194"/>
      <c r="E492" s="209">
        <f t="shared" si="88"/>
        <v>3</v>
      </c>
      <c r="F492" s="210"/>
      <c r="G492" s="211">
        <f t="shared" si="89"/>
        <v>0.01</v>
      </c>
      <c r="H492" s="212"/>
      <c r="I492" s="215"/>
      <c r="J492" s="216"/>
      <c r="K492" s="70">
        <f t="shared" si="90"/>
        <v>0</v>
      </c>
      <c r="L492" s="204">
        <f t="shared" ref="L492:L499" ca="1" si="93">IF(E492&lt;=$H$486,L491*(1+I492),0)</f>
        <v>0</v>
      </c>
      <c r="M492" s="44">
        <f t="shared" ca="1" si="91"/>
        <v>0</v>
      </c>
      <c r="N492" s="217" t="str">
        <f t="shared" ref="N492:N499" ca="1" si="94">IFERROR(M492/M491-1,"")</f>
        <v/>
      </c>
      <c r="O492" s="199">
        <f t="shared" ca="1" si="92"/>
        <v>0</v>
      </c>
      <c r="P492" s="214"/>
      <c r="Q492" s="125"/>
      <c r="S492" s="92">
        <f t="shared" ref="S492:S499" si="95">IF(E492&lt;=$H$486,S491*(1+I492),0)</f>
        <v>1</v>
      </c>
      <c r="T492" s="92">
        <f>IF(E492&lt;=H486,T491*(1+I492),0)</f>
        <v>1</v>
      </c>
      <c r="U492" s="126">
        <v>3</v>
      </c>
      <c r="V492" s="126"/>
    </row>
    <row r="493" spans="3:22" x14ac:dyDescent="0.55000000000000004">
      <c r="C493" s="194"/>
      <c r="D493" s="194"/>
      <c r="E493" s="209">
        <f t="shared" si="88"/>
        <v>4</v>
      </c>
      <c r="F493" s="210"/>
      <c r="G493" s="211">
        <f t="shared" si="89"/>
        <v>0.01</v>
      </c>
      <c r="H493" s="212"/>
      <c r="I493" s="215"/>
      <c r="J493" s="216"/>
      <c r="K493" s="70">
        <f t="shared" si="90"/>
        <v>0</v>
      </c>
      <c r="L493" s="204">
        <f t="shared" ca="1" si="93"/>
        <v>0</v>
      </c>
      <c r="M493" s="44">
        <f t="shared" ca="1" si="91"/>
        <v>0</v>
      </c>
      <c r="N493" s="217" t="str">
        <f t="shared" ca="1" si="94"/>
        <v/>
      </c>
      <c r="O493" s="199">
        <f t="shared" ca="1" si="92"/>
        <v>0</v>
      </c>
      <c r="P493" s="214"/>
      <c r="Q493" s="125"/>
      <c r="S493" s="92">
        <f t="shared" si="95"/>
        <v>1</v>
      </c>
      <c r="T493" s="92">
        <f>IF(E493&lt;=H486,T492*(1+I493),0)</f>
        <v>1</v>
      </c>
      <c r="U493" s="126">
        <v>4</v>
      </c>
      <c r="V493" s="126"/>
    </row>
    <row r="494" spans="3:22" x14ac:dyDescent="0.55000000000000004">
      <c r="C494" s="194"/>
      <c r="D494" s="194"/>
      <c r="E494" s="209">
        <f t="shared" si="88"/>
        <v>5</v>
      </c>
      <c r="F494" s="210"/>
      <c r="G494" s="211">
        <f t="shared" si="89"/>
        <v>0.01</v>
      </c>
      <c r="H494" s="212"/>
      <c r="I494" s="215"/>
      <c r="J494" s="216"/>
      <c r="K494" s="70">
        <f t="shared" si="90"/>
        <v>0</v>
      </c>
      <c r="L494" s="204">
        <f t="shared" ca="1" si="93"/>
        <v>0</v>
      </c>
      <c r="M494" s="44">
        <f t="shared" ca="1" si="91"/>
        <v>0</v>
      </c>
      <c r="N494" s="217" t="str">
        <f t="shared" ca="1" si="94"/>
        <v/>
      </c>
      <c r="O494" s="199">
        <f t="shared" ca="1" si="92"/>
        <v>0</v>
      </c>
      <c r="P494" s="214"/>
      <c r="Q494" s="125"/>
      <c r="S494" s="92">
        <f t="shared" si="95"/>
        <v>1</v>
      </c>
      <c r="T494" s="92">
        <f>IF(E494&lt;=H486,T493*(1+I494),0)</f>
        <v>1</v>
      </c>
      <c r="U494" s="126">
        <v>5</v>
      </c>
      <c r="V494" s="126"/>
    </row>
    <row r="495" spans="3:22" x14ac:dyDescent="0.55000000000000004">
      <c r="C495" s="194"/>
      <c r="D495" s="194"/>
      <c r="E495" s="209">
        <f t="shared" si="88"/>
        <v>6</v>
      </c>
      <c r="F495" s="210"/>
      <c r="G495" s="211">
        <f t="shared" si="89"/>
        <v>0.01</v>
      </c>
      <c r="H495" s="207"/>
      <c r="I495" s="215"/>
      <c r="J495" s="216"/>
      <c r="K495" s="70">
        <f t="shared" si="90"/>
        <v>0</v>
      </c>
      <c r="L495" s="204">
        <f t="shared" ca="1" si="93"/>
        <v>0</v>
      </c>
      <c r="M495" s="44">
        <f t="shared" ca="1" si="91"/>
        <v>0</v>
      </c>
      <c r="N495" s="217" t="str">
        <f t="shared" ca="1" si="94"/>
        <v/>
      </c>
      <c r="O495" s="199">
        <f t="shared" ca="1" si="92"/>
        <v>0</v>
      </c>
      <c r="P495" s="214"/>
      <c r="Q495" s="125"/>
      <c r="S495" s="92">
        <f t="shared" si="95"/>
        <v>1</v>
      </c>
      <c r="T495" s="92">
        <f>IF(E495&lt;=H486,T494*(1+I495),0)</f>
        <v>1</v>
      </c>
      <c r="U495" s="126">
        <v>6</v>
      </c>
      <c r="V495" s="126"/>
    </row>
    <row r="496" spans="3:22" x14ac:dyDescent="0.55000000000000004">
      <c r="C496" s="194"/>
      <c r="D496" s="194"/>
      <c r="E496" s="209">
        <f t="shared" si="88"/>
        <v>7</v>
      </c>
      <c r="F496" s="210"/>
      <c r="G496" s="211">
        <f t="shared" si="89"/>
        <v>0.01</v>
      </c>
      <c r="H496" s="207"/>
      <c r="I496" s="215"/>
      <c r="J496" s="216"/>
      <c r="K496" s="70">
        <f t="shared" si="90"/>
        <v>0</v>
      </c>
      <c r="L496" s="204">
        <f t="shared" ca="1" si="93"/>
        <v>0</v>
      </c>
      <c r="M496" s="44">
        <f t="shared" ca="1" si="91"/>
        <v>0</v>
      </c>
      <c r="N496" s="217" t="str">
        <f t="shared" ca="1" si="94"/>
        <v/>
      </c>
      <c r="O496" s="199">
        <f t="shared" ca="1" si="92"/>
        <v>0</v>
      </c>
      <c r="P496" s="214"/>
      <c r="Q496" s="125"/>
      <c r="S496" s="92">
        <f t="shared" si="95"/>
        <v>1</v>
      </c>
      <c r="T496" s="92">
        <f>IF(E496&lt;=H486,T495*(1+I496),0)</f>
        <v>1</v>
      </c>
      <c r="U496" s="126">
        <v>7</v>
      </c>
      <c r="V496" s="126"/>
    </row>
    <row r="497" spans="3:22" x14ac:dyDescent="0.55000000000000004">
      <c r="C497" s="194"/>
      <c r="D497" s="194"/>
      <c r="E497" s="209">
        <f t="shared" si="88"/>
        <v>8</v>
      </c>
      <c r="F497" s="210"/>
      <c r="G497" s="211">
        <f t="shared" si="89"/>
        <v>0.01</v>
      </c>
      <c r="H497" s="207"/>
      <c r="I497" s="215"/>
      <c r="J497" s="216"/>
      <c r="K497" s="70">
        <f t="shared" si="90"/>
        <v>0</v>
      </c>
      <c r="L497" s="204">
        <f t="shared" ca="1" si="93"/>
        <v>0</v>
      </c>
      <c r="M497" s="44">
        <f t="shared" ca="1" si="91"/>
        <v>0</v>
      </c>
      <c r="N497" s="217" t="str">
        <f t="shared" ca="1" si="94"/>
        <v/>
      </c>
      <c r="O497" s="199">
        <f t="shared" ca="1" si="92"/>
        <v>0</v>
      </c>
      <c r="P497" s="214"/>
      <c r="Q497" s="125"/>
      <c r="S497" s="92">
        <f t="shared" si="95"/>
        <v>1</v>
      </c>
      <c r="T497" s="92">
        <f>IF(E497&lt;=H486,T496*(1+I497),0)</f>
        <v>1</v>
      </c>
      <c r="U497" s="126">
        <v>8</v>
      </c>
      <c r="V497" s="126"/>
    </row>
    <row r="498" spans="3:22" x14ac:dyDescent="0.55000000000000004">
      <c r="C498" s="194"/>
      <c r="D498" s="194"/>
      <c r="E498" s="209">
        <f t="shared" si="88"/>
        <v>9</v>
      </c>
      <c r="F498" s="210"/>
      <c r="G498" s="211">
        <f t="shared" si="89"/>
        <v>0.01</v>
      </c>
      <c r="H498" s="207"/>
      <c r="I498" s="215"/>
      <c r="J498" s="216"/>
      <c r="K498" s="70">
        <f t="shared" si="90"/>
        <v>0</v>
      </c>
      <c r="L498" s="204">
        <f t="shared" ca="1" si="93"/>
        <v>0</v>
      </c>
      <c r="M498" s="44">
        <f t="shared" ca="1" si="91"/>
        <v>0</v>
      </c>
      <c r="N498" s="217" t="str">
        <f t="shared" ca="1" si="94"/>
        <v/>
      </c>
      <c r="O498" s="199">
        <f t="shared" ca="1" si="92"/>
        <v>0</v>
      </c>
      <c r="P498" s="214"/>
      <c r="Q498" s="125"/>
      <c r="S498" s="92">
        <f t="shared" si="95"/>
        <v>1</v>
      </c>
      <c r="T498" s="92">
        <f>IF(E498&lt;=H486,T497*(1+I498),0)</f>
        <v>1</v>
      </c>
      <c r="U498" s="126">
        <v>9</v>
      </c>
      <c r="V498" s="126"/>
    </row>
    <row r="499" spans="3:22" x14ac:dyDescent="0.55000000000000004">
      <c r="C499" s="194"/>
      <c r="D499" s="194"/>
      <c r="E499" s="209">
        <f t="shared" si="88"/>
        <v>10</v>
      </c>
      <c r="F499" s="210"/>
      <c r="G499" s="211">
        <f t="shared" si="89"/>
        <v>0.01</v>
      </c>
      <c r="H499" s="209" t="s">
        <v>84</v>
      </c>
      <c r="I499" s="215"/>
      <c r="J499" s="216"/>
      <c r="K499" s="70">
        <f t="shared" si="90"/>
        <v>0</v>
      </c>
      <c r="L499" s="204">
        <f t="shared" ca="1" si="93"/>
        <v>0</v>
      </c>
      <c r="M499" s="44">
        <f t="shared" ca="1" si="91"/>
        <v>0</v>
      </c>
      <c r="N499" s="217" t="str">
        <f t="shared" ca="1" si="94"/>
        <v/>
      </c>
      <c r="O499" s="199">
        <f t="shared" ca="1" si="92"/>
        <v>0</v>
      </c>
      <c r="P499" s="214"/>
      <c r="Q499" s="125"/>
      <c r="S499" s="92">
        <f t="shared" si="95"/>
        <v>1</v>
      </c>
      <c r="T499" s="92">
        <f>IF(E499&lt;=H486,T498*(1+I499),0)</f>
        <v>1</v>
      </c>
      <c r="U499" s="126">
        <v>10</v>
      </c>
      <c r="V499" s="126"/>
    </row>
    <row r="500" spans="3:22" ht="14.7" thickBot="1" x14ac:dyDescent="0.6">
      <c r="C500" s="194"/>
      <c r="D500" s="200"/>
      <c r="E500" s="201"/>
      <c r="F500" s="201"/>
      <c r="G500" s="201"/>
      <c r="H500" s="201"/>
      <c r="I500" s="201"/>
      <c r="J500" s="201"/>
      <c r="K500" s="201"/>
      <c r="L500" s="201"/>
      <c r="M500" s="201"/>
      <c r="N500" s="201"/>
      <c r="O500" s="201"/>
      <c r="P500" s="202"/>
      <c r="Q500" s="125"/>
      <c r="S500" s="126"/>
      <c r="T500" s="126"/>
      <c r="U500" s="126"/>
      <c r="V500" s="126"/>
    </row>
    <row r="501" spans="3:22" ht="14.7" thickBot="1" x14ac:dyDescent="0.6">
      <c r="C501" s="200"/>
      <c r="D501" s="201"/>
      <c r="E501" s="201"/>
      <c r="F501" s="201"/>
      <c r="G501" s="201"/>
      <c r="H501" s="201"/>
      <c r="I501" s="201"/>
      <c r="J501" s="201"/>
      <c r="K501" s="201"/>
      <c r="L501" s="201"/>
      <c r="M501" s="201"/>
      <c r="N501" s="201"/>
      <c r="O501" s="201"/>
      <c r="P501" s="201"/>
      <c r="Q501" s="132"/>
      <c r="S501" s="126"/>
      <c r="T501" s="126"/>
      <c r="U501" s="126"/>
      <c r="V501" s="126"/>
    </row>
    <row r="502" spans="3:22" ht="14.7" thickBot="1" x14ac:dyDescent="0.6">
      <c r="S502" s="126"/>
      <c r="T502" s="126"/>
      <c r="U502" s="126"/>
      <c r="V502" s="126"/>
    </row>
    <row r="503" spans="3:22" x14ac:dyDescent="0.55000000000000004">
      <c r="C503" s="192"/>
      <c r="D503" s="193"/>
      <c r="E503" s="193"/>
      <c r="F503" s="193"/>
      <c r="G503" s="193"/>
      <c r="H503" s="193"/>
      <c r="I503" s="193"/>
      <c r="J503" s="193"/>
      <c r="K503" s="193"/>
      <c r="L503" s="193"/>
      <c r="M503" s="193"/>
      <c r="N503" s="193"/>
      <c r="O503" s="193"/>
      <c r="P503" s="193"/>
      <c r="Q503" s="123"/>
      <c r="S503" s="126"/>
      <c r="T503" s="126"/>
      <c r="U503" s="126"/>
      <c r="V503" s="126"/>
    </row>
    <row r="504" spans="3:22" ht="18.3" x14ac:dyDescent="0.7">
      <c r="C504" s="194"/>
      <c r="D504" s="1824">
        <f>'2 Customer data'!D69</f>
        <v>0</v>
      </c>
      <c r="E504" s="1824"/>
      <c r="F504" s="1824"/>
      <c r="G504" s="1824"/>
      <c r="H504" s="1824"/>
      <c r="I504" s="1824"/>
      <c r="J504" s="1824"/>
      <c r="K504" s="1824"/>
      <c r="L504" s="1824"/>
      <c r="M504" s="1824"/>
      <c r="N504" s="1824"/>
      <c r="O504" s="1824"/>
      <c r="Q504" s="125"/>
      <c r="S504" s="126"/>
      <c r="T504" s="126"/>
      <c r="U504" s="126"/>
      <c r="V504" s="126"/>
    </row>
    <row r="505" spans="3:22" ht="14.7" thickBot="1" x14ac:dyDescent="0.6">
      <c r="C505" s="194"/>
      <c r="Q505" s="125"/>
      <c r="S505" s="126"/>
      <c r="T505" s="126"/>
      <c r="U505" s="126"/>
      <c r="V505" s="126"/>
    </row>
    <row r="506" spans="3:22" x14ac:dyDescent="0.55000000000000004">
      <c r="C506" s="194"/>
      <c r="D506" s="192"/>
      <c r="E506" s="193"/>
      <c r="F506" s="193"/>
      <c r="G506" s="193"/>
      <c r="H506" s="193"/>
      <c r="I506" s="193"/>
      <c r="J506" s="193"/>
      <c r="K506" s="193"/>
      <c r="L506" s="193"/>
      <c r="M506" s="193"/>
      <c r="N506" s="193"/>
      <c r="O506" s="193"/>
      <c r="P506" s="195"/>
      <c r="Q506" s="125"/>
      <c r="S506" s="126"/>
      <c r="T506" s="126"/>
      <c r="U506" s="126"/>
      <c r="V506" s="126"/>
    </row>
    <row r="507" spans="3:22" x14ac:dyDescent="0.55000000000000004">
      <c r="C507" s="194"/>
      <c r="D507" s="194"/>
      <c r="E507" s="138" t="str">
        <f>'2 Customer data'!D69&amp;" "&amp;"information"</f>
        <v xml:space="preserve"> information</v>
      </c>
      <c r="P507" s="196"/>
      <c r="Q507" s="125"/>
      <c r="S507" s="126"/>
      <c r="T507" s="126"/>
      <c r="U507" s="126"/>
      <c r="V507" s="126"/>
    </row>
    <row r="508" spans="3:22" x14ac:dyDescent="0.55000000000000004">
      <c r="C508" s="194"/>
      <c r="D508" s="194"/>
      <c r="P508" s="196"/>
      <c r="Q508" s="125"/>
      <c r="S508" s="126"/>
      <c r="T508" s="126"/>
      <c r="U508" s="126"/>
      <c r="V508" s="126"/>
    </row>
    <row r="509" spans="3:22" ht="28.8" x14ac:dyDescent="0.55000000000000004">
      <c r="C509" s="194"/>
      <c r="D509" s="194"/>
      <c r="F509" s="166" t="s">
        <v>28</v>
      </c>
      <c r="G509" s="166" t="s">
        <v>69</v>
      </c>
      <c r="H509" s="197" t="s">
        <v>70</v>
      </c>
      <c r="I509" s="166" t="s">
        <v>71</v>
      </c>
      <c r="J509" s="198" t="s">
        <v>277</v>
      </c>
      <c r="P509" s="196"/>
      <c r="Q509" s="125"/>
      <c r="S509" s="126"/>
      <c r="T509" s="126"/>
      <c r="U509" s="126"/>
      <c r="V509" s="126"/>
    </row>
    <row r="510" spans="3:22" x14ac:dyDescent="0.55000000000000004">
      <c r="C510" s="194"/>
      <c r="D510" s="194"/>
      <c r="E510" s="10">
        <f>'2 Customer data'!D69</f>
        <v>0</v>
      </c>
      <c r="F510" s="113">
        <f>IFERROR(IF(VLOOKUP(E510,'2 Customer data'!$D$57:$M$76,6,FALSE)="",VLOOKUP(E510,'2 Customer data'!$D$57:$M$76,5,FALSE),VLOOKUP(E510,'2 Customer data'!$D$57:$M$76,6,FALSE)),0)</f>
        <v>0</v>
      </c>
      <c r="G510" s="113">
        <f ca="1">IFERROR(VLOOKUP(E510,'2 Sanitation'!$D$19:$J$38,5,FALSE),0)</f>
        <v>0</v>
      </c>
      <c r="H510" s="113">
        <f ca="1">IFERROR(VLOOKUP(E510,'2 Sanitation'!$D$19:$J$38,6,FALSE),0)</f>
        <v>0</v>
      </c>
      <c r="I510" s="113">
        <f ca="1">IFERROR(VLOOKUP(E510,'2 Sanitation'!$D$153:$K$172,8,FALSE),0)</f>
        <v>0</v>
      </c>
      <c r="J510" s="199">
        <f>IFERROR(IF(VLOOKUP(E510,'2 Customer data'!$D$57:$M$76,8,FALSE)="",VLOOKUP(E510,'2 Customer data'!$D$57:$M$76,7,FALSE),VLOOKUP(E510,'2 Customer data'!$D$57:$M$76,8,FALSE)),0)</f>
        <v>0</v>
      </c>
      <c r="P510" s="196"/>
      <c r="Q510" s="125"/>
      <c r="S510" s="126"/>
      <c r="T510" s="126"/>
      <c r="U510" s="126"/>
      <c r="V510" s="126"/>
    </row>
    <row r="511" spans="3:22" ht="14.7" thickBot="1" x14ac:dyDescent="0.6">
      <c r="C511" s="194"/>
      <c r="D511" s="200"/>
      <c r="E511" s="201"/>
      <c r="F511" s="201"/>
      <c r="G511" s="201"/>
      <c r="H511" s="201"/>
      <c r="I511" s="201"/>
      <c r="J511" s="201"/>
      <c r="K511" s="201"/>
      <c r="L511" s="201"/>
      <c r="M511" s="201"/>
      <c r="N511" s="201"/>
      <c r="O511" s="201"/>
      <c r="P511" s="202"/>
      <c r="Q511" s="125"/>
      <c r="S511" s="126"/>
      <c r="T511" s="126"/>
      <c r="U511" s="126"/>
      <c r="V511" s="126"/>
    </row>
    <row r="512" spans="3:22" ht="14.7" thickBot="1" x14ac:dyDescent="0.6">
      <c r="C512" s="194"/>
      <c r="Q512" s="125"/>
      <c r="S512" s="126"/>
      <c r="T512" s="126"/>
      <c r="U512" s="126"/>
      <c r="V512" s="126"/>
    </row>
    <row r="513" spans="3:22" x14ac:dyDescent="0.55000000000000004">
      <c r="C513" s="194"/>
      <c r="D513" s="192"/>
      <c r="E513" s="193"/>
      <c r="F513" s="193"/>
      <c r="G513" s="193"/>
      <c r="H513" s="193"/>
      <c r="I513" s="193"/>
      <c r="J513" s="193"/>
      <c r="K513" s="193"/>
      <c r="L513" s="193"/>
      <c r="M513" s="193"/>
      <c r="N513" s="193"/>
      <c r="O513" s="193"/>
      <c r="P513" s="195"/>
      <c r="Q513" s="125"/>
      <c r="S513" s="126"/>
      <c r="T513" s="126"/>
      <c r="U513" s="126"/>
      <c r="V513" s="126"/>
    </row>
    <row r="514" spans="3:22" x14ac:dyDescent="0.55000000000000004">
      <c r="C514" s="194"/>
      <c r="D514" s="194"/>
      <c r="E514" s="138" t="s">
        <v>93</v>
      </c>
      <c r="P514" s="196"/>
      <c r="Q514" s="125"/>
      <c r="S514" s="126"/>
      <c r="T514" s="126"/>
      <c r="U514" s="126"/>
      <c r="V514" s="126"/>
    </row>
    <row r="515" spans="3:22" x14ac:dyDescent="0.55000000000000004">
      <c r="C515" s="194"/>
      <c r="D515" s="194"/>
      <c r="E515" s="203" t="s">
        <v>555</v>
      </c>
      <c r="P515" s="196"/>
      <c r="Q515" s="125"/>
      <c r="S515" s="126"/>
      <c r="T515" s="126"/>
      <c r="U515" s="126"/>
      <c r="V515" s="126"/>
    </row>
    <row r="516" spans="3:22" x14ac:dyDescent="0.55000000000000004">
      <c r="C516" s="194"/>
      <c r="D516" s="194"/>
      <c r="P516" s="196"/>
      <c r="Q516" s="125"/>
      <c r="S516" s="126"/>
      <c r="T516" s="126"/>
      <c r="U516" s="126"/>
      <c r="V516" s="126"/>
    </row>
    <row r="517" spans="3:22" ht="43.2" x14ac:dyDescent="0.55000000000000004">
      <c r="C517" s="194"/>
      <c r="D517" s="194"/>
      <c r="F517" s="166" t="s">
        <v>86</v>
      </c>
      <c r="G517" s="166" t="s">
        <v>73</v>
      </c>
      <c r="H517" s="166" t="s">
        <v>74</v>
      </c>
      <c r="I517" s="166" t="s">
        <v>75</v>
      </c>
      <c r="J517" s="166" t="s">
        <v>76</v>
      </c>
      <c r="P517" s="196"/>
      <c r="Q517" s="125"/>
      <c r="S517" s="126"/>
      <c r="T517" s="126"/>
      <c r="U517" s="126"/>
      <c r="V517" s="126"/>
    </row>
    <row r="518" spans="3:22" x14ac:dyDescent="0.55000000000000004">
      <c r="C518" s="194"/>
      <c r="D518" s="194"/>
      <c r="E518" s="10">
        <f>E510</f>
        <v>0</v>
      </c>
      <c r="F518" s="113">
        <f ca="1">G510</f>
        <v>0</v>
      </c>
      <c r="G518" s="204">
        <f ca="1">IFERROR(F518/F510/12,0)</f>
        <v>0</v>
      </c>
      <c r="H518" s="205"/>
      <c r="I518" s="113">
        <f>H518*F510*12</f>
        <v>0</v>
      </c>
      <c r="J518" s="70">
        <f>I518/12</f>
        <v>0</v>
      </c>
      <c r="P518" s="196"/>
      <c r="Q518" s="125"/>
      <c r="S518" s="126"/>
      <c r="T518" s="126"/>
      <c r="U518" s="126"/>
      <c r="V518" s="126"/>
    </row>
    <row r="519" spans="3:22" x14ac:dyDescent="0.55000000000000004">
      <c r="C519" s="194"/>
      <c r="D519" s="194"/>
      <c r="F519" s="58" t="str">
        <f>IF(I518&gt;I509,"Error: revenue from fixed charges exceeds total revenue required from tariff. Reduce fixed charge.","")</f>
        <v/>
      </c>
      <c r="G519" s="156"/>
      <c r="H519" s="156"/>
      <c r="I519" s="156"/>
      <c r="J519" s="158"/>
      <c r="P519" s="196"/>
      <c r="Q519" s="125"/>
      <c r="S519" s="126"/>
      <c r="T519" s="126"/>
      <c r="U519" s="126"/>
      <c r="V519" s="126"/>
    </row>
    <row r="520" spans="3:22" ht="14.7" thickBot="1" x14ac:dyDescent="0.6">
      <c r="C520" s="194"/>
      <c r="D520" s="200"/>
      <c r="E520" s="201"/>
      <c r="F520" s="201"/>
      <c r="G520" s="201"/>
      <c r="H520" s="201"/>
      <c r="I520" s="201"/>
      <c r="J520" s="201"/>
      <c r="K520" s="201"/>
      <c r="L520" s="201"/>
      <c r="M520" s="201"/>
      <c r="N520" s="201"/>
      <c r="O520" s="201"/>
      <c r="P520" s="202"/>
      <c r="Q520" s="125"/>
      <c r="S520" s="126"/>
      <c r="T520" s="126"/>
      <c r="U520" s="126"/>
      <c r="V520" s="126"/>
    </row>
    <row r="521" spans="3:22" ht="14.7" thickBot="1" x14ac:dyDescent="0.6">
      <c r="C521" s="194"/>
      <c r="Q521" s="125"/>
      <c r="S521" s="126"/>
      <c r="T521" s="126"/>
      <c r="U521" s="126"/>
      <c r="V521" s="126"/>
    </row>
    <row r="522" spans="3:22" x14ac:dyDescent="0.55000000000000004">
      <c r="C522" s="194"/>
      <c r="D522" s="192"/>
      <c r="E522" s="193"/>
      <c r="F522" s="193"/>
      <c r="G522" s="193"/>
      <c r="H522" s="193"/>
      <c r="I522" s="193"/>
      <c r="J522" s="193"/>
      <c r="K522" s="193"/>
      <c r="L522" s="193"/>
      <c r="M522" s="193"/>
      <c r="N522" s="193"/>
      <c r="O522" s="193"/>
      <c r="P522" s="195"/>
      <c r="Q522" s="125"/>
      <c r="S522" s="126"/>
      <c r="T522" s="126"/>
      <c r="U522" s="126"/>
      <c r="V522" s="126"/>
    </row>
    <row r="523" spans="3:22" x14ac:dyDescent="0.55000000000000004">
      <c r="C523" s="194"/>
      <c r="D523" s="194"/>
      <c r="E523" s="138" t="s">
        <v>96</v>
      </c>
      <c r="P523" s="196"/>
      <c r="Q523" s="125"/>
      <c r="S523" s="126"/>
      <c r="T523" s="126"/>
      <c r="U523" s="126"/>
      <c r="V523" s="126"/>
    </row>
    <row r="524" spans="3:22" ht="14.55" customHeight="1" x14ac:dyDescent="0.55000000000000004">
      <c r="C524" s="194"/>
      <c r="D524" s="194"/>
      <c r="E524" s="1825" t="s">
        <v>558</v>
      </c>
      <c r="F524" s="1825"/>
      <c r="G524" s="1825"/>
      <c r="H524" s="1825"/>
      <c r="I524" s="1825"/>
      <c r="J524" s="1825"/>
      <c r="K524" s="1825"/>
      <c r="L524" s="1825"/>
      <c r="M524" s="1825"/>
      <c r="N524" s="1825"/>
      <c r="O524" s="1825"/>
      <c r="P524" s="1826"/>
      <c r="Q524" s="125"/>
      <c r="S524" s="126"/>
      <c r="T524" s="126"/>
      <c r="U524" s="126"/>
      <c r="V524" s="126"/>
    </row>
    <row r="525" spans="3:22" x14ac:dyDescent="0.55000000000000004">
      <c r="C525" s="194"/>
      <c r="D525" s="194"/>
      <c r="E525" s="1825"/>
      <c r="F525" s="1825"/>
      <c r="G525" s="1825"/>
      <c r="H525" s="1825"/>
      <c r="I525" s="1825"/>
      <c r="J525" s="1825"/>
      <c r="K525" s="1825"/>
      <c r="L525" s="1825"/>
      <c r="M525" s="1825"/>
      <c r="N525" s="1825"/>
      <c r="O525" s="1825"/>
      <c r="P525" s="1826"/>
      <c r="Q525" s="125"/>
      <c r="S525" s="126"/>
      <c r="T525" s="126"/>
      <c r="U525" s="126"/>
      <c r="V525" s="126"/>
    </row>
    <row r="526" spans="3:22" x14ac:dyDescent="0.55000000000000004">
      <c r="C526" s="194"/>
      <c r="D526" s="194"/>
      <c r="P526" s="196"/>
      <c r="Q526" s="125"/>
      <c r="S526" s="126"/>
      <c r="T526" s="126"/>
      <c r="U526" s="126"/>
      <c r="V526" s="126"/>
    </row>
    <row r="527" spans="3:22" x14ac:dyDescent="0.55000000000000004">
      <c r="C527" s="194"/>
      <c r="D527" s="194"/>
      <c r="E527" s="206" t="s">
        <v>77</v>
      </c>
      <c r="H527" s="207">
        <v>10</v>
      </c>
      <c r="P527" s="196"/>
      <c r="Q527" s="125"/>
      <c r="S527" s="126"/>
      <c r="T527" s="126"/>
      <c r="U527" s="126"/>
      <c r="V527" s="126"/>
    </row>
    <row r="528" spans="3:22" x14ac:dyDescent="0.55000000000000004">
      <c r="C528" s="194"/>
      <c r="D528" s="194"/>
      <c r="E528" s="10" t="s">
        <v>612</v>
      </c>
      <c r="H528" s="159" t="s">
        <v>613</v>
      </c>
      <c r="P528" s="196"/>
      <c r="Q528" s="125"/>
      <c r="S528" s="126"/>
      <c r="T528" s="126"/>
      <c r="U528" s="126"/>
      <c r="V528" s="126"/>
    </row>
    <row r="529" spans="3:22" x14ac:dyDescent="0.55000000000000004">
      <c r="C529" s="194"/>
      <c r="D529" s="194"/>
      <c r="P529" s="196"/>
      <c r="Q529" s="125"/>
      <c r="S529" s="126"/>
      <c r="T529" s="126"/>
      <c r="U529" s="126"/>
      <c r="V529" s="126"/>
    </row>
    <row r="530" spans="3:22" ht="43.2" x14ac:dyDescent="0.55000000000000004">
      <c r="C530" s="194"/>
      <c r="D530" s="194"/>
      <c r="E530" s="166" t="s">
        <v>78</v>
      </c>
      <c r="F530" s="166" t="s">
        <v>99</v>
      </c>
      <c r="G530" s="197" t="s">
        <v>92</v>
      </c>
      <c r="H530" s="166" t="s">
        <v>80</v>
      </c>
      <c r="I530" s="166" t="s">
        <v>334</v>
      </c>
      <c r="J530" s="166" t="s">
        <v>335</v>
      </c>
      <c r="K530" s="166" t="s">
        <v>339</v>
      </c>
      <c r="L530" s="166" t="s">
        <v>336</v>
      </c>
      <c r="M530" s="166" t="s">
        <v>337</v>
      </c>
      <c r="N530" s="166" t="s">
        <v>338</v>
      </c>
      <c r="O530" s="166" t="s">
        <v>83</v>
      </c>
      <c r="P530" s="208"/>
      <c r="Q530" s="125"/>
      <c r="S530" s="126" t="s">
        <v>614</v>
      </c>
      <c r="T530" s="126" t="s">
        <v>615</v>
      </c>
      <c r="U530" s="126"/>
      <c r="V530" s="126"/>
    </row>
    <row r="531" spans="3:22" x14ac:dyDescent="0.55000000000000004">
      <c r="C531" s="194"/>
      <c r="D531" s="194"/>
      <c r="E531" s="209">
        <f>IF($H$527=U531,U531,1)</f>
        <v>1</v>
      </c>
      <c r="F531" s="210"/>
      <c r="G531" s="211">
        <v>0</v>
      </c>
      <c r="H531" s="212"/>
      <c r="I531" s="213"/>
      <c r="J531" s="70">
        <f>J510-SUMIF(E532:E540,"&lt;="&amp;$H$527,J532:J540)</f>
        <v>0</v>
      </c>
      <c r="K531" s="70">
        <f>F531*J531</f>
        <v>0</v>
      </c>
      <c r="L531" s="114">
        <f>IFERROR(IF(E531&lt;=H527,IF(H528="No",IF(I518=0,I510/SUMPRODUCT(S531:S540,K531:K540),(I510-I518)/SUMPRODUCT(S531:S540,K531:K540)),0),0),0)</f>
        <v>0</v>
      </c>
      <c r="M531" s="44">
        <f>IFERROR(O531/J531,0)</f>
        <v>0</v>
      </c>
      <c r="N531" s="199"/>
      <c r="O531" s="199">
        <f>K531*L531</f>
        <v>0</v>
      </c>
      <c r="P531" s="214"/>
      <c r="Q531" s="125"/>
      <c r="S531" s="92">
        <f>IF(E531&lt;=$H$527,1,0)</f>
        <v>1</v>
      </c>
      <c r="T531" s="126"/>
      <c r="U531" s="126">
        <v>1</v>
      </c>
      <c r="V531" s="126"/>
    </row>
    <row r="532" spans="3:22" x14ac:dyDescent="0.55000000000000004">
      <c r="C532" s="194"/>
      <c r="D532" s="194"/>
      <c r="E532" s="209">
        <f t="shared" ref="E532:E540" si="96">IF($H$527&gt;=U532,U532,"")</f>
        <v>2</v>
      </c>
      <c r="F532" s="210"/>
      <c r="G532" s="211">
        <f t="shared" ref="G532:G540" si="97">IF($H$527&gt;=F532,H531+0.01,"")</f>
        <v>0.01</v>
      </c>
      <c r="H532" s="212"/>
      <c r="I532" s="215"/>
      <c r="J532" s="216"/>
      <c r="K532" s="70">
        <f t="shared" ref="K532:K540" si="98">F532*J532</f>
        <v>0</v>
      </c>
      <c r="L532" s="114">
        <f ca="1">IFERROR(IF(E532&lt;=H527,IF(H528="No",L531*(1+I532),IF(I518=0,I510/SUMPRODUCT(T532:T540,K532:K540),(I510-I518)/SUMPRODUCT(T532:T540,K532:K540))),0),0)</f>
        <v>0</v>
      </c>
      <c r="M532" s="44">
        <f t="shared" ref="M532:M540" ca="1" si="99">IFERROR(O532/J532,0)</f>
        <v>0</v>
      </c>
      <c r="N532" s="217" t="str">
        <f ca="1">IFERROR(M532/M531-1,"")</f>
        <v/>
      </c>
      <c r="O532" s="199">
        <f t="shared" ref="O532:O540" ca="1" si="100">K532*L532</f>
        <v>0</v>
      </c>
      <c r="P532" s="214"/>
      <c r="Q532" s="125"/>
      <c r="S532" s="92">
        <f>IF(E532&lt;=$H$527,(1+I532),0)</f>
        <v>1</v>
      </c>
      <c r="T532" s="92">
        <f>IF(E532&lt;=H527,1,0)</f>
        <v>1</v>
      </c>
      <c r="U532" s="126">
        <v>2</v>
      </c>
      <c r="V532" s="126"/>
    </row>
    <row r="533" spans="3:22" x14ac:dyDescent="0.55000000000000004">
      <c r="C533" s="194"/>
      <c r="D533" s="194"/>
      <c r="E533" s="209">
        <f t="shared" si="96"/>
        <v>3</v>
      </c>
      <c r="F533" s="210"/>
      <c r="G533" s="211">
        <f t="shared" si="97"/>
        <v>0.01</v>
      </c>
      <c r="H533" s="212"/>
      <c r="I533" s="215"/>
      <c r="J533" s="216"/>
      <c r="K533" s="70">
        <f t="shared" si="98"/>
        <v>0</v>
      </c>
      <c r="L533" s="204">
        <f t="shared" ref="L533:L540" ca="1" si="101">IF(E533&lt;=$H$527,L532*(1+I533),0)</f>
        <v>0</v>
      </c>
      <c r="M533" s="44">
        <f t="shared" ca="1" si="99"/>
        <v>0</v>
      </c>
      <c r="N533" s="217" t="str">
        <f t="shared" ref="N533:N540" ca="1" si="102">IFERROR(M533/M532-1,"")</f>
        <v/>
      </c>
      <c r="O533" s="199">
        <f t="shared" ca="1" si="100"/>
        <v>0</v>
      </c>
      <c r="P533" s="214"/>
      <c r="Q533" s="125"/>
      <c r="S533" s="92">
        <f t="shared" ref="S533:S540" si="103">IF(E533&lt;=$H$527,S532*(1+I533),0)</f>
        <v>1</v>
      </c>
      <c r="T533" s="92">
        <f>IF(E533&lt;=H527,T532*(1+I533),0)</f>
        <v>1</v>
      </c>
      <c r="U533" s="126">
        <v>3</v>
      </c>
      <c r="V533" s="126"/>
    </row>
    <row r="534" spans="3:22" x14ac:dyDescent="0.55000000000000004">
      <c r="C534" s="194"/>
      <c r="D534" s="194"/>
      <c r="E534" s="209">
        <f t="shared" si="96"/>
        <v>4</v>
      </c>
      <c r="F534" s="210"/>
      <c r="G534" s="211">
        <f t="shared" si="97"/>
        <v>0.01</v>
      </c>
      <c r="H534" s="212"/>
      <c r="I534" s="215"/>
      <c r="J534" s="216"/>
      <c r="K534" s="70">
        <f t="shared" si="98"/>
        <v>0</v>
      </c>
      <c r="L534" s="204">
        <f t="shared" ca="1" si="101"/>
        <v>0</v>
      </c>
      <c r="M534" s="44">
        <f t="shared" ca="1" si="99"/>
        <v>0</v>
      </c>
      <c r="N534" s="217" t="str">
        <f t="shared" ca="1" si="102"/>
        <v/>
      </c>
      <c r="O534" s="199">
        <f t="shared" ca="1" si="100"/>
        <v>0</v>
      </c>
      <c r="P534" s="214"/>
      <c r="Q534" s="125"/>
      <c r="S534" s="92">
        <f t="shared" si="103"/>
        <v>1</v>
      </c>
      <c r="T534" s="92">
        <f>IF(E534&lt;=H527,T533*(1+I534),0)</f>
        <v>1</v>
      </c>
      <c r="U534" s="126">
        <v>4</v>
      </c>
      <c r="V534" s="126"/>
    </row>
    <row r="535" spans="3:22" x14ac:dyDescent="0.55000000000000004">
      <c r="C535" s="194"/>
      <c r="D535" s="194"/>
      <c r="E535" s="209">
        <f t="shared" si="96"/>
        <v>5</v>
      </c>
      <c r="F535" s="210"/>
      <c r="G535" s="211">
        <f t="shared" si="97"/>
        <v>0.01</v>
      </c>
      <c r="H535" s="212"/>
      <c r="I535" s="215"/>
      <c r="J535" s="216"/>
      <c r="K535" s="70">
        <f t="shared" si="98"/>
        <v>0</v>
      </c>
      <c r="L535" s="204">
        <f t="shared" ca="1" si="101"/>
        <v>0</v>
      </c>
      <c r="M535" s="44">
        <f t="shared" ca="1" si="99"/>
        <v>0</v>
      </c>
      <c r="N535" s="217" t="str">
        <f t="shared" ca="1" si="102"/>
        <v/>
      </c>
      <c r="O535" s="199">
        <f t="shared" ca="1" si="100"/>
        <v>0</v>
      </c>
      <c r="P535" s="214"/>
      <c r="Q535" s="125"/>
      <c r="S535" s="92">
        <f t="shared" si="103"/>
        <v>1</v>
      </c>
      <c r="T535" s="92">
        <f>IF(E535&lt;=H527,T534*(1+I535),0)</f>
        <v>1</v>
      </c>
      <c r="U535" s="126">
        <v>5</v>
      </c>
      <c r="V535" s="126"/>
    </row>
    <row r="536" spans="3:22" x14ac:dyDescent="0.55000000000000004">
      <c r="C536" s="194"/>
      <c r="D536" s="194"/>
      <c r="E536" s="209">
        <f t="shared" si="96"/>
        <v>6</v>
      </c>
      <c r="F536" s="210"/>
      <c r="G536" s="211">
        <f t="shared" si="97"/>
        <v>0.01</v>
      </c>
      <c r="H536" s="207"/>
      <c r="I536" s="215"/>
      <c r="J536" s="216"/>
      <c r="K536" s="70">
        <f t="shared" si="98"/>
        <v>0</v>
      </c>
      <c r="L536" s="204">
        <f t="shared" ca="1" si="101"/>
        <v>0</v>
      </c>
      <c r="M536" s="44">
        <f t="shared" ca="1" si="99"/>
        <v>0</v>
      </c>
      <c r="N536" s="217" t="str">
        <f t="shared" ca="1" si="102"/>
        <v/>
      </c>
      <c r="O536" s="199">
        <f t="shared" ca="1" si="100"/>
        <v>0</v>
      </c>
      <c r="P536" s="214"/>
      <c r="Q536" s="125"/>
      <c r="S536" s="92">
        <f t="shared" si="103"/>
        <v>1</v>
      </c>
      <c r="T536" s="92">
        <f>IF(E536&lt;=H527,T535*(1+I536),0)</f>
        <v>1</v>
      </c>
      <c r="U536" s="126">
        <v>6</v>
      </c>
      <c r="V536" s="126"/>
    </row>
    <row r="537" spans="3:22" x14ac:dyDescent="0.55000000000000004">
      <c r="C537" s="194"/>
      <c r="D537" s="194"/>
      <c r="E537" s="209">
        <f t="shared" si="96"/>
        <v>7</v>
      </c>
      <c r="F537" s="210"/>
      <c r="G537" s="211">
        <f t="shared" si="97"/>
        <v>0.01</v>
      </c>
      <c r="H537" s="207"/>
      <c r="I537" s="215"/>
      <c r="J537" s="216"/>
      <c r="K537" s="70">
        <f t="shared" si="98"/>
        <v>0</v>
      </c>
      <c r="L537" s="204">
        <f t="shared" ca="1" si="101"/>
        <v>0</v>
      </c>
      <c r="M537" s="44">
        <f t="shared" ca="1" si="99"/>
        <v>0</v>
      </c>
      <c r="N537" s="217" t="str">
        <f t="shared" ca="1" si="102"/>
        <v/>
      </c>
      <c r="O537" s="199">
        <f t="shared" ca="1" si="100"/>
        <v>0</v>
      </c>
      <c r="P537" s="214"/>
      <c r="Q537" s="125"/>
      <c r="S537" s="92">
        <f t="shared" si="103"/>
        <v>1</v>
      </c>
      <c r="T537" s="92">
        <f>IF(E537&lt;=H527,T536*(1+I537),0)</f>
        <v>1</v>
      </c>
      <c r="U537" s="126">
        <v>7</v>
      </c>
      <c r="V537" s="126"/>
    </row>
    <row r="538" spans="3:22" x14ac:dyDescent="0.55000000000000004">
      <c r="C538" s="194"/>
      <c r="D538" s="194"/>
      <c r="E538" s="209">
        <f t="shared" si="96"/>
        <v>8</v>
      </c>
      <c r="F538" s="210"/>
      <c r="G538" s="211">
        <f t="shared" si="97"/>
        <v>0.01</v>
      </c>
      <c r="H538" s="207"/>
      <c r="I538" s="215"/>
      <c r="J538" s="216"/>
      <c r="K538" s="70">
        <f t="shared" si="98"/>
        <v>0</v>
      </c>
      <c r="L538" s="204">
        <f t="shared" ca="1" si="101"/>
        <v>0</v>
      </c>
      <c r="M538" s="44">
        <f t="shared" ca="1" si="99"/>
        <v>0</v>
      </c>
      <c r="N538" s="217" t="str">
        <f t="shared" ca="1" si="102"/>
        <v/>
      </c>
      <c r="O538" s="199">
        <f t="shared" ca="1" si="100"/>
        <v>0</v>
      </c>
      <c r="P538" s="214"/>
      <c r="Q538" s="125"/>
      <c r="S538" s="92">
        <f t="shared" si="103"/>
        <v>1</v>
      </c>
      <c r="T538" s="92">
        <f>IF(E538&lt;=H527,T537*(1+I538),0)</f>
        <v>1</v>
      </c>
      <c r="U538" s="126">
        <v>8</v>
      </c>
      <c r="V538" s="126"/>
    </row>
    <row r="539" spans="3:22" x14ac:dyDescent="0.55000000000000004">
      <c r="C539" s="194"/>
      <c r="D539" s="194"/>
      <c r="E539" s="209">
        <f t="shared" si="96"/>
        <v>9</v>
      </c>
      <c r="F539" s="210"/>
      <c r="G539" s="211">
        <f t="shared" si="97"/>
        <v>0.01</v>
      </c>
      <c r="H539" s="207"/>
      <c r="I539" s="215"/>
      <c r="J539" s="216"/>
      <c r="K539" s="70">
        <f t="shared" si="98"/>
        <v>0</v>
      </c>
      <c r="L539" s="204">
        <f t="shared" ca="1" si="101"/>
        <v>0</v>
      </c>
      <c r="M539" s="44">
        <f t="shared" ca="1" si="99"/>
        <v>0</v>
      </c>
      <c r="N539" s="217" t="str">
        <f t="shared" ca="1" si="102"/>
        <v/>
      </c>
      <c r="O539" s="199">
        <f t="shared" ca="1" si="100"/>
        <v>0</v>
      </c>
      <c r="P539" s="214"/>
      <c r="Q539" s="125"/>
      <c r="S539" s="92">
        <f t="shared" si="103"/>
        <v>1</v>
      </c>
      <c r="T539" s="92">
        <f>IF(E539&lt;=H527,T538*(1+I539),0)</f>
        <v>1</v>
      </c>
      <c r="U539" s="126">
        <v>9</v>
      </c>
      <c r="V539" s="126"/>
    </row>
    <row r="540" spans="3:22" x14ac:dyDescent="0.55000000000000004">
      <c r="C540" s="194"/>
      <c r="D540" s="194"/>
      <c r="E540" s="209">
        <f t="shared" si="96"/>
        <v>10</v>
      </c>
      <c r="F540" s="210"/>
      <c r="G540" s="211">
        <f t="shared" si="97"/>
        <v>0.01</v>
      </c>
      <c r="H540" s="209" t="s">
        <v>84</v>
      </c>
      <c r="I540" s="215"/>
      <c r="J540" s="216"/>
      <c r="K540" s="70">
        <f t="shared" si="98"/>
        <v>0</v>
      </c>
      <c r="L540" s="204">
        <f t="shared" ca="1" si="101"/>
        <v>0</v>
      </c>
      <c r="M540" s="44">
        <f t="shared" ca="1" si="99"/>
        <v>0</v>
      </c>
      <c r="N540" s="217" t="str">
        <f t="shared" ca="1" si="102"/>
        <v/>
      </c>
      <c r="O540" s="199">
        <f t="shared" ca="1" si="100"/>
        <v>0</v>
      </c>
      <c r="P540" s="214"/>
      <c r="Q540" s="125"/>
      <c r="S540" s="92">
        <f t="shared" si="103"/>
        <v>1</v>
      </c>
      <c r="T540" s="92">
        <f>IF(E540&lt;=H527,T539*(1+I540),0)</f>
        <v>1</v>
      </c>
      <c r="U540" s="126">
        <v>10</v>
      </c>
      <c r="V540" s="126"/>
    </row>
    <row r="541" spans="3:22" ht="16.2" customHeight="1" thickBot="1" x14ac:dyDescent="0.6">
      <c r="C541" s="194"/>
      <c r="D541" s="200"/>
      <c r="E541" s="201"/>
      <c r="F541" s="201"/>
      <c r="G541" s="201"/>
      <c r="H541" s="201"/>
      <c r="I541" s="201"/>
      <c r="J541" s="201"/>
      <c r="K541" s="201"/>
      <c r="L541" s="201"/>
      <c r="M541" s="201"/>
      <c r="N541" s="201"/>
      <c r="O541" s="201"/>
      <c r="P541" s="202"/>
      <c r="Q541" s="125"/>
      <c r="S541" s="126"/>
      <c r="T541" s="126"/>
      <c r="U541" s="126"/>
      <c r="V541" s="126"/>
    </row>
    <row r="542" spans="3:22" ht="14.7" thickBot="1" x14ac:dyDescent="0.6">
      <c r="C542" s="200"/>
      <c r="D542" s="201"/>
      <c r="E542" s="201"/>
      <c r="F542" s="201"/>
      <c r="G542" s="201"/>
      <c r="H542" s="201"/>
      <c r="I542" s="201"/>
      <c r="J542" s="201"/>
      <c r="K542" s="201"/>
      <c r="L542" s="201"/>
      <c r="M542" s="201"/>
      <c r="N542" s="201"/>
      <c r="O542" s="201"/>
      <c r="P542" s="201"/>
      <c r="Q542" s="132"/>
      <c r="S542" s="126"/>
      <c r="T542" s="126"/>
      <c r="U542" s="126"/>
      <c r="V542" s="126"/>
    </row>
    <row r="543" spans="3:22" ht="14.7" thickBot="1" x14ac:dyDescent="0.6">
      <c r="S543" s="126"/>
      <c r="T543" s="126"/>
      <c r="U543" s="126"/>
      <c r="V543" s="126"/>
    </row>
    <row r="544" spans="3:22" x14ac:dyDescent="0.55000000000000004">
      <c r="C544" s="192"/>
      <c r="D544" s="193"/>
      <c r="E544" s="193"/>
      <c r="F544" s="193"/>
      <c r="G544" s="193"/>
      <c r="H544" s="193"/>
      <c r="I544" s="193"/>
      <c r="J544" s="193"/>
      <c r="K544" s="193"/>
      <c r="L544" s="193"/>
      <c r="M544" s="193"/>
      <c r="N544" s="193"/>
      <c r="O544" s="193"/>
      <c r="P544" s="193"/>
      <c r="Q544" s="123"/>
      <c r="S544" s="126"/>
      <c r="T544" s="126"/>
      <c r="U544" s="126"/>
      <c r="V544" s="126"/>
    </row>
    <row r="545" spans="3:22" ht="18.3" x14ac:dyDescent="0.7">
      <c r="C545" s="194"/>
      <c r="D545" s="1824">
        <f>'2 Customer data'!D70</f>
        <v>0</v>
      </c>
      <c r="E545" s="1824"/>
      <c r="F545" s="1824"/>
      <c r="G545" s="1824"/>
      <c r="H545" s="1824"/>
      <c r="I545" s="1824"/>
      <c r="J545" s="1824"/>
      <c r="K545" s="1824"/>
      <c r="L545" s="1824"/>
      <c r="M545" s="1824"/>
      <c r="N545" s="1824"/>
      <c r="O545" s="1824"/>
      <c r="Q545" s="125"/>
      <c r="S545" s="126"/>
      <c r="T545" s="126"/>
      <c r="U545" s="126"/>
      <c r="V545" s="126"/>
    </row>
    <row r="546" spans="3:22" ht="14.7" thickBot="1" x14ac:dyDescent="0.6">
      <c r="C546" s="194"/>
      <c r="Q546" s="125"/>
      <c r="S546" s="126"/>
      <c r="T546" s="126"/>
      <c r="U546" s="126"/>
      <c r="V546" s="126"/>
    </row>
    <row r="547" spans="3:22" x14ac:dyDescent="0.55000000000000004">
      <c r="C547" s="194"/>
      <c r="D547" s="192"/>
      <c r="E547" s="193"/>
      <c r="F547" s="193"/>
      <c r="G547" s="193"/>
      <c r="H547" s="193"/>
      <c r="I547" s="193"/>
      <c r="J547" s="193"/>
      <c r="K547" s="193"/>
      <c r="L547" s="193"/>
      <c r="M547" s="193"/>
      <c r="N547" s="193"/>
      <c r="O547" s="193"/>
      <c r="P547" s="195"/>
      <c r="Q547" s="125"/>
      <c r="S547" s="126"/>
      <c r="T547" s="126"/>
      <c r="U547" s="126"/>
      <c r="V547" s="126"/>
    </row>
    <row r="548" spans="3:22" x14ac:dyDescent="0.55000000000000004">
      <c r="C548" s="194"/>
      <c r="D548" s="194"/>
      <c r="E548" s="138" t="str">
        <f>'2 Customer data'!D70&amp;" "&amp;"information"</f>
        <v xml:space="preserve"> information</v>
      </c>
      <c r="P548" s="196"/>
      <c r="Q548" s="125"/>
      <c r="S548" s="126"/>
      <c r="T548" s="126"/>
      <c r="U548" s="126"/>
      <c r="V548" s="126"/>
    </row>
    <row r="549" spans="3:22" x14ac:dyDescent="0.55000000000000004">
      <c r="C549" s="194"/>
      <c r="D549" s="194"/>
      <c r="P549" s="196"/>
      <c r="Q549" s="125"/>
      <c r="S549" s="126"/>
      <c r="T549" s="126"/>
      <c r="U549" s="126"/>
      <c r="V549" s="126"/>
    </row>
    <row r="550" spans="3:22" ht="28.8" x14ac:dyDescent="0.55000000000000004">
      <c r="C550" s="194"/>
      <c r="D550" s="194"/>
      <c r="F550" s="166" t="s">
        <v>28</v>
      </c>
      <c r="G550" s="166" t="s">
        <v>69</v>
      </c>
      <c r="H550" s="197" t="s">
        <v>70</v>
      </c>
      <c r="I550" s="166" t="s">
        <v>71</v>
      </c>
      <c r="J550" s="198" t="s">
        <v>277</v>
      </c>
      <c r="P550" s="196"/>
      <c r="Q550" s="125"/>
      <c r="S550" s="126"/>
      <c r="T550" s="126"/>
      <c r="U550" s="126"/>
      <c r="V550" s="126"/>
    </row>
    <row r="551" spans="3:22" x14ac:dyDescent="0.55000000000000004">
      <c r="C551" s="194"/>
      <c r="D551" s="194"/>
      <c r="E551" s="10">
        <f>'2 Customer data'!D70</f>
        <v>0</v>
      </c>
      <c r="F551" s="113">
        <f>IFERROR(IF(VLOOKUP(E551,'2 Customer data'!$D$57:$M$76,6,FALSE)="",VLOOKUP(E551,'2 Customer data'!$D$57:$M$76,5,FALSE),VLOOKUP(E551,'2 Customer data'!$D$57:$M$76,6,FALSE)),0)</f>
        <v>0</v>
      </c>
      <c r="G551" s="113">
        <f ca="1">IFERROR(VLOOKUP(E551,'2 Sanitation'!$D$19:$J$38,5,FALSE),0)</f>
        <v>0</v>
      </c>
      <c r="H551" s="113">
        <f ca="1">IFERROR(VLOOKUP(E551,'2 Sanitation'!$D$19:$J$38,6,FALSE),0)</f>
        <v>0</v>
      </c>
      <c r="I551" s="113">
        <f ca="1">IFERROR(VLOOKUP(E551,'2 Sanitation'!$D$153:$K$172,8,FALSE),0)</f>
        <v>0</v>
      </c>
      <c r="J551" s="199">
        <f>IFERROR(IF(VLOOKUP(E551,'2 Customer data'!$D$57:$M$76,8,FALSE)="",VLOOKUP(E551,'2 Customer data'!$D$57:$M$76,7,FALSE),VLOOKUP(E551,'2 Customer data'!$D$57:$M$76,8,FALSE)),0)</f>
        <v>0</v>
      </c>
      <c r="P551" s="196"/>
      <c r="Q551" s="125"/>
      <c r="S551" s="126"/>
      <c r="T551" s="126"/>
      <c r="U551" s="126"/>
      <c r="V551" s="126"/>
    </row>
    <row r="552" spans="3:22" ht="14.7" thickBot="1" x14ac:dyDescent="0.6">
      <c r="C552" s="194"/>
      <c r="D552" s="200"/>
      <c r="E552" s="201"/>
      <c r="F552" s="201"/>
      <c r="G552" s="201"/>
      <c r="H552" s="201"/>
      <c r="I552" s="201"/>
      <c r="J552" s="201"/>
      <c r="K552" s="201"/>
      <c r="L552" s="201"/>
      <c r="M552" s="201"/>
      <c r="N552" s="201"/>
      <c r="O552" s="201"/>
      <c r="P552" s="202"/>
      <c r="Q552" s="125"/>
      <c r="S552" s="126"/>
      <c r="T552" s="126"/>
      <c r="U552" s="126"/>
      <c r="V552" s="126"/>
    </row>
    <row r="553" spans="3:22" ht="14.7" thickBot="1" x14ac:dyDescent="0.6">
      <c r="C553" s="194"/>
      <c r="Q553" s="125"/>
      <c r="S553" s="126"/>
      <c r="T553" s="126"/>
      <c r="U553" s="126"/>
      <c r="V553" s="126"/>
    </row>
    <row r="554" spans="3:22" x14ac:dyDescent="0.55000000000000004">
      <c r="C554" s="194"/>
      <c r="D554" s="192"/>
      <c r="E554" s="193"/>
      <c r="F554" s="193"/>
      <c r="G554" s="193"/>
      <c r="H554" s="193"/>
      <c r="I554" s="193"/>
      <c r="J554" s="193"/>
      <c r="K554" s="193"/>
      <c r="L554" s="193"/>
      <c r="M554" s="193"/>
      <c r="N554" s="193"/>
      <c r="O554" s="193"/>
      <c r="P554" s="195"/>
      <c r="Q554" s="125"/>
      <c r="S554" s="126"/>
      <c r="T554" s="126"/>
      <c r="U554" s="126"/>
      <c r="V554" s="126"/>
    </row>
    <row r="555" spans="3:22" x14ac:dyDescent="0.55000000000000004">
      <c r="C555" s="194"/>
      <c r="D555" s="194"/>
      <c r="E555" s="138" t="s">
        <v>93</v>
      </c>
      <c r="P555" s="196"/>
      <c r="Q555" s="125"/>
      <c r="S555" s="126"/>
      <c r="T555" s="126"/>
      <c r="U555" s="126"/>
      <c r="V555" s="126"/>
    </row>
    <row r="556" spans="3:22" x14ac:dyDescent="0.55000000000000004">
      <c r="C556" s="194"/>
      <c r="D556" s="194"/>
      <c r="E556" s="203" t="s">
        <v>555</v>
      </c>
      <c r="P556" s="196"/>
      <c r="Q556" s="125"/>
      <c r="S556" s="126"/>
      <c r="T556" s="126"/>
      <c r="U556" s="126"/>
      <c r="V556" s="126"/>
    </row>
    <row r="557" spans="3:22" x14ac:dyDescent="0.55000000000000004">
      <c r="C557" s="194"/>
      <c r="D557" s="194"/>
      <c r="P557" s="196"/>
      <c r="Q557" s="125"/>
      <c r="S557" s="126"/>
      <c r="T557" s="126"/>
      <c r="U557" s="126"/>
      <c r="V557" s="126"/>
    </row>
    <row r="558" spans="3:22" ht="43.2" x14ac:dyDescent="0.55000000000000004">
      <c r="C558" s="194"/>
      <c r="D558" s="194"/>
      <c r="F558" s="166" t="s">
        <v>86</v>
      </c>
      <c r="G558" s="166" t="s">
        <v>73</v>
      </c>
      <c r="H558" s="166" t="s">
        <v>74</v>
      </c>
      <c r="I558" s="166" t="s">
        <v>75</v>
      </c>
      <c r="J558" s="166" t="s">
        <v>76</v>
      </c>
      <c r="P558" s="196"/>
      <c r="Q558" s="125"/>
      <c r="S558" s="126"/>
      <c r="T558" s="126"/>
      <c r="U558" s="126"/>
      <c r="V558" s="126"/>
    </row>
    <row r="559" spans="3:22" x14ac:dyDescent="0.55000000000000004">
      <c r="C559" s="194"/>
      <c r="D559" s="194"/>
      <c r="E559" s="10">
        <f>E551</f>
        <v>0</v>
      </c>
      <c r="F559" s="113">
        <f ca="1">G551</f>
        <v>0</v>
      </c>
      <c r="G559" s="204">
        <f ca="1">IFERROR(F559/F551/12,0)</f>
        <v>0</v>
      </c>
      <c r="H559" s="205"/>
      <c r="I559" s="113">
        <f>H559*F551*12</f>
        <v>0</v>
      </c>
      <c r="J559" s="70">
        <f>I559/12</f>
        <v>0</v>
      </c>
      <c r="P559" s="196"/>
      <c r="Q559" s="125"/>
      <c r="S559" s="126"/>
      <c r="T559" s="126"/>
      <c r="U559" s="126"/>
      <c r="V559" s="126"/>
    </row>
    <row r="560" spans="3:22" x14ac:dyDescent="0.55000000000000004">
      <c r="C560" s="194"/>
      <c r="D560" s="194"/>
      <c r="F560" s="58" t="str">
        <f>IF(I559&gt;I550,"Error: revenue from fixed charges exceeds total revenue required from tariff. Reduce fixed charge.","")</f>
        <v/>
      </c>
      <c r="G560" s="156"/>
      <c r="H560" s="156"/>
      <c r="I560" s="156"/>
      <c r="J560" s="158"/>
      <c r="P560" s="196"/>
      <c r="Q560" s="125"/>
      <c r="S560" s="126"/>
      <c r="T560" s="126"/>
      <c r="U560" s="126"/>
      <c r="V560" s="126"/>
    </row>
    <row r="561" spans="3:22" ht="14.7" thickBot="1" x14ac:dyDescent="0.6">
      <c r="C561" s="194"/>
      <c r="D561" s="200"/>
      <c r="E561" s="201"/>
      <c r="F561" s="201"/>
      <c r="G561" s="201"/>
      <c r="H561" s="201"/>
      <c r="I561" s="201"/>
      <c r="J561" s="201"/>
      <c r="K561" s="201"/>
      <c r="L561" s="201"/>
      <c r="M561" s="201"/>
      <c r="N561" s="201"/>
      <c r="O561" s="201"/>
      <c r="P561" s="202"/>
      <c r="Q561" s="125"/>
      <c r="S561" s="126"/>
      <c r="T561" s="126"/>
      <c r="U561" s="126"/>
      <c r="V561" s="126"/>
    </row>
    <row r="562" spans="3:22" ht="14.7" thickBot="1" x14ac:dyDescent="0.6">
      <c r="C562" s="194"/>
      <c r="Q562" s="125"/>
      <c r="S562" s="126"/>
      <c r="T562" s="126"/>
      <c r="U562" s="126"/>
      <c r="V562" s="126"/>
    </row>
    <row r="563" spans="3:22" x14ac:dyDescent="0.55000000000000004">
      <c r="C563" s="194"/>
      <c r="D563" s="192"/>
      <c r="E563" s="193"/>
      <c r="F563" s="193"/>
      <c r="G563" s="193"/>
      <c r="H563" s="193"/>
      <c r="I563" s="193"/>
      <c r="J563" s="193"/>
      <c r="K563" s="193"/>
      <c r="L563" s="193"/>
      <c r="M563" s="193"/>
      <c r="N563" s="193"/>
      <c r="O563" s="193"/>
      <c r="P563" s="195"/>
      <c r="Q563" s="125"/>
      <c r="S563" s="126"/>
      <c r="T563" s="126"/>
      <c r="U563" s="126"/>
      <c r="V563" s="126"/>
    </row>
    <row r="564" spans="3:22" x14ac:dyDescent="0.55000000000000004">
      <c r="C564" s="194"/>
      <c r="D564" s="194"/>
      <c r="E564" s="138" t="s">
        <v>96</v>
      </c>
      <c r="P564" s="196"/>
      <c r="Q564" s="125"/>
      <c r="S564" s="126"/>
      <c r="T564" s="126"/>
      <c r="U564" s="126"/>
      <c r="V564" s="126"/>
    </row>
    <row r="565" spans="3:22" ht="14.55" customHeight="1" x14ac:dyDescent="0.55000000000000004">
      <c r="C565" s="194"/>
      <c r="D565" s="194"/>
      <c r="E565" s="1825" t="s">
        <v>558</v>
      </c>
      <c r="F565" s="1825"/>
      <c r="G565" s="1825"/>
      <c r="H565" s="1825"/>
      <c r="I565" s="1825"/>
      <c r="J565" s="1825"/>
      <c r="K565" s="1825"/>
      <c r="L565" s="1825"/>
      <c r="M565" s="1825"/>
      <c r="N565" s="1825"/>
      <c r="O565" s="1825"/>
      <c r="P565" s="1826"/>
      <c r="Q565" s="125"/>
      <c r="S565" s="126"/>
      <c r="T565" s="126"/>
      <c r="U565" s="126"/>
      <c r="V565" s="126"/>
    </row>
    <row r="566" spans="3:22" x14ac:dyDescent="0.55000000000000004">
      <c r="C566" s="194"/>
      <c r="D566" s="194"/>
      <c r="E566" s="1825"/>
      <c r="F566" s="1825"/>
      <c r="G566" s="1825"/>
      <c r="H566" s="1825"/>
      <c r="I566" s="1825"/>
      <c r="J566" s="1825"/>
      <c r="K566" s="1825"/>
      <c r="L566" s="1825"/>
      <c r="M566" s="1825"/>
      <c r="N566" s="1825"/>
      <c r="O566" s="1825"/>
      <c r="P566" s="1826"/>
      <c r="Q566" s="125"/>
      <c r="S566" s="126"/>
      <c r="T566" s="126"/>
      <c r="U566" s="126"/>
      <c r="V566" s="126"/>
    </row>
    <row r="567" spans="3:22" x14ac:dyDescent="0.55000000000000004">
      <c r="C567" s="194"/>
      <c r="D567" s="194"/>
      <c r="P567" s="196"/>
      <c r="Q567" s="125"/>
      <c r="S567" s="126"/>
      <c r="T567" s="126"/>
      <c r="U567" s="126"/>
      <c r="V567" s="126"/>
    </row>
    <row r="568" spans="3:22" x14ac:dyDescent="0.55000000000000004">
      <c r="C568" s="194"/>
      <c r="D568" s="194"/>
      <c r="E568" s="206" t="s">
        <v>77</v>
      </c>
      <c r="H568" s="207">
        <v>10</v>
      </c>
      <c r="P568" s="196"/>
      <c r="Q568" s="125"/>
      <c r="S568" s="126"/>
      <c r="T568" s="126"/>
      <c r="U568" s="126"/>
      <c r="V568" s="126"/>
    </row>
    <row r="569" spans="3:22" x14ac:dyDescent="0.55000000000000004">
      <c r="C569" s="194"/>
      <c r="D569" s="194"/>
      <c r="E569" s="10" t="s">
        <v>612</v>
      </c>
      <c r="H569" s="159" t="s">
        <v>613</v>
      </c>
      <c r="P569" s="196"/>
      <c r="Q569" s="125"/>
      <c r="S569" s="126"/>
      <c r="T569" s="126"/>
      <c r="U569" s="126"/>
      <c r="V569" s="126"/>
    </row>
    <row r="570" spans="3:22" x14ac:dyDescent="0.55000000000000004">
      <c r="C570" s="194"/>
      <c r="D570" s="194"/>
      <c r="P570" s="196"/>
      <c r="Q570" s="125"/>
      <c r="S570" s="126"/>
      <c r="T570" s="126"/>
      <c r="U570" s="126"/>
      <c r="V570" s="126"/>
    </row>
    <row r="571" spans="3:22" ht="43.2" x14ac:dyDescent="0.55000000000000004">
      <c r="C571" s="194"/>
      <c r="D571" s="194"/>
      <c r="E571" s="166" t="s">
        <v>78</v>
      </c>
      <c r="F571" s="166" t="s">
        <v>99</v>
      </c>
      <c r="G571" s="197" t="s">
        <v>92</v>
      </c>
      <c r="H571" s="166" t="s">
        <v>80</v>
      </c>
      <c r="I571" s="166" t="s">
        <v>334</v>
      </c>
      <c r="J571" s="166" t="s">
        <v>335</v>
      </c>
      <c r="K571" s="166" t="s">
        <v>339</v>
      </c>
      <c r="L571" s="166" t="s">
        <v>336</v>
      </c>
      <c r="M571" s="166" t="s">
        <v>337</v>
      </c>
      <c r="N571" s="166" t="s">
        <v>338</v>
      </c>
      <c r="O571" s="166" t="s">
        <v>83</v>
      </c>
      <c r="P571" s="208"/>
      <c r="Q571" s="125"/>
      <c r="S571" s="126" t="s">
        <v>614</v>
      </c>
      <c r="T571" s="126" t="s">
        <v>615</v>
      </c>
      <c r="U571" s="126"/>
      <c r="V571" s="126"/>
    </row>
    <row r="572" spans="3:22" x14ac:dyDescent="0.55000000000000004">
      <c r="C572" s="194"/>
      <c r="D572" s="194"/>
      <c r="E572" s="209">
        <f>IF($H$568=U572,U572,1)</f>
        <v>1</v>
      </c>
      <c r="F572" s="210"/>
      <c r="G572" s="211">
        <v>0</v>
      </c>
      <c r="H572" s="212"/>
      <c r="I572" s="213"/>
      <c r="J572" s="70">
        <f>J551-SUMIF(E573:E581,"&lt;="&amp;$H$568,J573:J581)</f>
        <v>0</v>
      </c>
      <c r="K572" s="70">
        <f>F572*J572</f>
        <v>0</v>
      </c>
      <c r="L572" s="114">
        <f>IFERROR(IF(E572&lt;=H568,IF(H569="No",IF(I559=0,I551/SUMPRODUCT(S572:S581,K572:K581),(I551-I559)/SUMPRODUCT(S572:S581,K572:K581)),0),0),0)</f>
        <v>0</v>
      </c>
      <c r="M572" s="44">
        <f>IFERROR(O572/J572,0)</f>
        <v>0</v>
      </c>
      <c r="N572" s="199"/>
      <c r="O572" s="199">
        <f>K572*L572</f>
        <v>0</v>
      </c>
      <c r="P572" s="214"/>
      <c r="Q572" s="125"/>
      <c r="S572" s="92">
        <f>IF(E572&lt;=$H$568,1,0)</f>
        <v>1</v>
      </c>
      <c r="T572" s="126"/>
      <c r="U572" s="126">
        <v>1</v>
      </c>
      <c r="V572" s="126"/>
    </row>
    <row r="573" spans="3:22" x14ac:dyDescent="0.55000000000000004">
      <c r="C573" s="194"/>
      <c r="D573" s="194"/>
      <c r="E573" s="209">
        <f t="shared" ref="E573:E581" si="104">IF($H$568&gt;=U573,U573,"")</f>
        <v>2</v>
      </c>
      <c r="F573" s="210"/>
      <c r="G573" s="211">
        <f t="shared" ref="G573:G581" si="105">IF($H$568&gt;=F573,H572+0.01,"")</f>
        <v>0.01</v>
      </c>
      <c r="H573" s="212"/>
      <c r="I573" s="215"/>
      <c r="J573" s="216"/>
      <c r="K573" s="70">
        <f t="shared" ref="K573:K581" si="106">F573*J573</f>
        <v>0</v>
      </c>
      <c r="L573" s="114">
        <f ca="1">IFERROR(IF(E573&lt;=H568,IF(H569="No",L572*(1+I573),IF(I559=0,I551/SUMPRODUCT(T573:T581,K573:K581),(I551-I559)/SUMPRODUCT(T573:T581,K573:K581))),0),0)</f>
        <v>0</v>
      </c>
      <c r="M573" s="44">
        <f t="shared" ref="M573:M581" ca="1" si="107">IFERROR(O573/J573,0)</f>
        <v>0</v>
      </c>
      <c r="N573" s="217" t="str">
        <f ca="1">IFERROR(M573/M572-1,"")</f>
        <v/>
      </c>
      <c r="O573" s="199">
        <f t="shared" ref="O573:O581" ca="1" si="108">K573*L573</f>
        <v>0</v>
      </c>
      <c r="P573" s="214"/>
      <c r="Q573" s="125"/>
      <c r="S573" s="92">
        <f>IF(E573&lt;=$H$568,(1+I573),0)</f>
        <v>1</v>
      </c>
      <c r="T573" s="92">
        <f>IF(E573&lt;=H568,1,0)</f>
        <v>1</v>
      </c>
      <c r="U573" s="126">
        <v>2</v>
      </c>
      <c r="V573" s="126"/>
    </row>
    <row r="574" spans="3:22" x14ac:dyDescent="0.55000000000000004">
      <c r="C574" s="194"/>
      <c r="D574" s="194"/>
      <c r="E574" s="209">
        <f t="shared" si="104"/>
        <v>3</v>
      </c>
      <c r="F574" s="210"/>
      <c r="G574" s="211">
        <f t="shared" si="105"/>
        <v>0.01</v>
      </c>
      <c r="H574" s="212"/>
      <c r="I574" s="215"/>
      <c r="J574" s="216"/>
      <c r="K574" s="70">
        <f t="shared" si="106"/>
        <v>0</v>
      </c>
      <c r="L574" s="204">
        <f t="shared" ref="L574:L581" ca="1" si="109">IF(E574&lt;=$H$568,L573*(1+I574),0)</f>
        <v>0</v>
      </c>
      <c r="M574" s="44">
        <f t="shared" ca="1" si="107"/>
        <v>0</v>
      </c>
      <c r="N574" s="217" t="str">
        <f t="shared" ref="N574:N581" ca="1" si="110">IFERROR(M574/M573-1,"")</f>
        <v/>
      </c>
      <c r="O574" s="199">
        <f t="shared" ca="1" si="108"/>
        <v>0</v>
      </c>
      <c r="P574" s="214"/>
      <c r="Q574" s="125"/>
      <c r="S574" s="92">
        <f t="shared" ref="S574:S581" si="111">IF(E574&lt;=$H$568,S573*(1+I574),0)</f>
        <v>1</v>
      </c>
      <c r="T574" s="92">
        <f>IF(E574&lt;=H568,T573*(1+I574),0)</f>
        <v>1</v>
      </c>
      <c r="U574" s="126">
        <v>3</v>
      </c>
      <c r="V574" s="126"/>
    </row>
    <row r="575" spans="3:22" x14ac:dyDescent="0.55000000000000004">
      <c r="C575" s="194"/>
      <c r="D575" s="194"/>
      <c r="E575" s="209">
        <f t="shared" si="104"/>
        <v>4</v>
      </c>
      <c r="F575" s="210"/>
      <c r="G575" s="211">
        <f t="shared" si="105"/>
        <v>0.01</v>
      </c>
      <c r="H575" s="212"/>
      <c r="I575" s="215"/>
      <c r="J575" s="216"/>
      <c r="K575" s="70">
        <f t="shared" si="106"/>
        <v>0</v>
      </c>
      <c r="L575" s="204">
        <f t="shared" ca="1" si="109"/>
        <v>0</v>
      </c>
      <c r="M575" s="44">
        <f t="shared" ca="1" si="107"/>
        <v>0</v>
      </c>
      <c r="N575" s="217" t="str">
        <f t="shared" ca="1" si="110"/>
        <v/>
      </c>
      <c r="O575" s="199">
        <f t="shared" ca="1" si="108"/>
        <v>0</v>
      </c>
      <c r="P575" s="214"/>
      <c r="Q575" s="125"/>
      <c r="S575" s="92">
        <f t="shared" si="111"/>
        <v>1</v>
      </c>
      <c r="T575" s="92">
        <f>IF(E575&lt;=H568,T574*(1+I575),0)</f>
        <v>1</v>
      </c>
      <c r="U575" s="126">
        <v>4</v>
      </c>
      <c r="V575" s="126"/>
    </row>
    <row r="576" spans="3:22" x14ac:dyDescent="0.55000000000000004">
      <c r="C576" s="194"/>
      <c r="D576" s="194"/>
      <c r="E576" s="209">
        <f t="shared" si="104"/>
        <v>5</v>
      </c>
      <c r="F576" s="210"/>
      <c r="G576" s="211">
        <f t="shared" si="105"/>
        <v>0.01</v>
      </c>
      <c r="H576" s="212"/>
      <c r="I576" s="215"/>
      <c r="J576" s="216"/>
      <c r="K576" s="70">
        <f t="shared" si="106"/>
        <v>0</v>
      </c>
      <c r="L576" s="204">
        <f t="shared" ca="1" si="109"/>
        <v>0</v>
      </c>
      <c r="M576" s="44">
        <f t="shared" ca="1" si="107"/>
        <v>0</v>
      </c>
      <c r="N576" s="217" t="str">
        <f t="shared" ca="1" si="110"/>
        <v/>
      </c>
      <c r="O576" s="199">
        <f t="shared" ca="1" si="108"/>
        <v>0</v>
      </c>
      <c r="P576" s="214"/>
      <c r="Q576" s="125"/>
      <c r="S576" s="92">
        <f t="shared" si="111"/>
        <v>1</v>
      </c>
      <c r="T576" s="92">
        <f>IF(E576&lt;=H568,T575*(1+I576),0)</f>
        <v>1</v>
      </c>
      <c r="U576" s="126">
        <v>5</v>
      </c>
      <c r="V576" s="126"/>
    </row>
    <row r="577" spans="3:22" x14ac:dyDescent="0.55000000000000004">
      <c r="C577" s="194"/>
      <c r="D577" s="194"/>
      <c r="E577" s="209">
        <f t="shared" si="104"/>
        <v>6</v>
      </c>
      <c r="F577" s="210"/>
      <c r="G577" s="211">
        <f t="shared" si="105"/>
        <v>0.01</v>
      </c>
      <c r="H577" s="207"/>
      <c r="I577" s="215"/>
      <c r="J577" s="216"/>
      <c r="K577" s="70">
        <f t="shared" si="106"/>
        <v>0</v>
      </c>
      <c r="L577" s="204">
        <f t="shared" ca="1" si="109"/>
        <v>0</v>
      </c>
      <c r="M577" s="44">
        <f t="shared" ca="1" si="107"/>
        <v>0</v>
      </c>
      <c r="N577" s="217" t="str">
        <f t="shared" ca="1" si="110"/>
        <v/>
      </c>
      <c r="O577" s="199">
        <f t="shared" ca="1" si="108"/>
        <v>0</v>
      </c>
      <c r="P577" s="214"/>
      <c r="Q577" s="125"/>
      <c r="S577" s="92">
        <f t="shared" si="111"/>
        <v>1</v>
      </c>
      <c r="T577" s="92">
        <f>IF(E577&lt;=H568,T576*(1+I577),0)</f>
        <v>1</v>
      </c>
      <c r="U577" s="126">
        <v>6</v>
      </c>
      <c r="V577" s="126"/>
    </row>
    <row r="578" spans="3:22" x14ac:dyDescent="0.55000000000000004">
      <c r="C578" s="194"/>
      <c r="D578" s="194"/>
      <c r="E578" s="209">
        <f t="shared" si="104"/>
        <v>7</v>
      </c>
      <c r="F578" s="210"/>
      <c r="G578" s="211">
        <f t="shared" si="105"/>
        <v>0.01</v>
      </c>
      <c r="H578" s="207"/>
      <c r="I578" s="215"/>
      <c r="J578" s="216"/>
      <c r="K578" s="70">
        <f t="shared" si="106"/>
        <v>0</v>
      </c>
      <c r="L578" s="204">
        <f t="shared" ca="1" si="109"/>
        <v>0</v>
      </c>
      <c r="M578" s="44">
        <f t="shared" ca="1" si="107"/>
        <v>0</v>
      </c>
      <c r="N578" s="217" t="str">
        <f t="shared" ca="1" si="110"/>
        <v/>
      </c>
      <c r="O578" s="199">
        <f t="shared" ca="1" si="108"/>
        <v>0</v>
      </c>
      <c r="P578" s="214"/>
      <c r="Q578" s="125"/>
      <c r="S578" s="92">
        <f t="shared" si="111"/>
        <v>1</v>
      </c>
      <c r="T578" s="92">
        <f>IF(E578&lt;=H568,T577*(1+I578),0)</f>
        <v>1</v>
      </c>
      <c r="U578" s="126">
        <v>7</v>
      </c>
      <c r="V578" s="126"/>
    </row>
    <row r="579" spans="3:22" x14ac:dyDescent="0.55000000000000004">
      <c r="C579" s="194"/>
      <c r="D579" s="194"/>
      <c r="E579" s="209">
        <f t="shared" si="104"/>
        <v>8</v>
      </c>
      <c r="F579" s="210"/>
      <c r="G579" s="211">
        <f t="shared" si="105"/>
        <v>0.01</v>
      </c>
      <c r="H579" s="207"/>
      <c r="I579" s="215"/>
      <c r="J579" s="216"/>
      <c r="K579" s="70">
        <f t="shared" si="106"/>
        <v>0</v>
      </c>
      <c r="L579" s="204">
        <f t="shared" ca="1" si="109"/>
        <v>0</v>
      </c>
      <c r="M579" s="44">
        <f t="shared" ca="1" si="107"/>
        <v>0</v>
      </c>
      <c r="N579" s="217" t="str">
        <f t="shared" ca="1" si="110"/>
        <v/>
      </c>
      <c r="O579" s="199">
        <f t="shared" ca="1" si="108"/>
        <v>0</v>
      </c>
      <c r="P579" s="214"/>
      <c r="Q579" s="125"/>
      <c r="S579" s="92">
        <f t="shared" si="111"/>
        <v>1</v>
      </c>
      <c r="T579" s="92">
        <f>IF(E579&lt;=H568,T578*(1+I579),0)</f>
        <v>1</v>
      </c>
      <c r="U579" s="126">
        <v>8</v>
      </c>
      <c r="V579" s="126"/>
    </row>
    <row r="580" spans="3:22" x14ac:dyDescent="0.55000000000000004">
      <c r="C580" s="194"/>
      <c r="D580" s="194"/>
      <c r="E580" s="209">
        <f t="shared" si="104"/>
        <v>9</v>
      </c>
      <c r="F580" s="210"/>
      <c r="G580" s="211">
        <f t="shared" si="105"/>
        <v>0.01</v>
      </c>
      <c r="H580" s="207"/>
      <c r="I580" s="215"/>
      <c r="J580" s="216"/>
      <c r="K580" s="70">
        <f t="shared" si="106"/>
        <v>0</v>
      </c>
      <c r="L580" s="204">
        <f t="shared" ca="1" si="109"/>
        <v>0</v>
      </c>
      <c r="M580" s="44">
        <f t="shared" ca="1" si="107"/>
        <v>0</v>
      </c>
      <c r="N580" s="217" t="str">
        <f t="shared" ca="1" si="110"/>
        <v/>
      </c>
      <c r="O580" s="199">
        <f t="shared" ca="1" si="108"/>
        <v>0</v>
      </c>
      <c r="P580" s="214"/>
      <c r="Q580" s="125"/>
      <c r="S580" s="92">
        <f t="shared" si="111"/>
        <v>1</v>
      </c>
      <c r="T580" s="92">
        <f>IF(E580&lt;=H568,T579*(1+I580),0)</f>
        <v>1</v>
      </c>
      <c r="U580" s="126">
        <v>9</v>
      </c>
      <c r="V580" s="126"/>
    </row>
    <row r="581" spans="3:22" x14ac:dyDescent="0.55000000000000004">
      <c r="C581" s="194"/>
      <c r="D581" s="194"/>
      <c r="E581" s="209">
        <f t="shared" si="104"/>
        <v>10</v>
      </c>
      <c r="F581" s="210"/>
      <c r="G581" s="211">
        <f t="shared" si="105"/>
        <v>0.01</v>
      </c>
      <c r="H581" s="209" t="s">
        <v>84</v>
      </c>
      <c r="I581" s="215"/>
      <c r="J581" s="216"/>
      <c r="K581" s="70">
        <f t="shared" si="106"/>
        <v>0</v>
      </c>
      <c r="L581" s="204">
        <f t="shared" ca="1" si="109"/>
        <v>0</v>
      </c>
      <c r="M581" s="44">
        <f t="shared" ca="1" si="107"/>
        <v>0</v>
      </c>
      <c r="N581" s="217" t="str">
        <f t="shared" ca="1" si="110"/>
        <v/>
      </c>
      <c r="O581" s="199">
        <f t="shared" ca="1" si="108"/>
        <v>0</v>
      </c>
      <c r="P581" s="214"/>
      <c r="Q581" s="125"/>
      <c r="S581" s="92">
        <f t="shared" si="111"/>
        <v>1</v>
      </c>
      <c r="T581" s="92">
        <f>IF(E581&lt;=H568,T580*(1+I581),0)</f>
        <v>1</v>
      </c>
      <c r="U581" s="126">
        <v>10</v>
      </c>
      <c r="V581" s="126"/>
    </row>
    <row r="582" spans="3:22" ht="14.7" thickBot="1" x14ac:dyDescent="0.6">
      <c r="C582" s="194"/>
      <c r="D582" s="200"/>
      <c r="E582" s="201"/>
      <c r="F582" s="201"/>
      <c r="G582" s="201"/>
      <c r="H582" s="201"/>
      <c r="I582" s="201"/>
      <c r="J582" s="201"/>
      <c r="K582" s="201"/>
      <c r="L582" s="201"/>
      <c r="M582" s="201"/>
      <c r="N582" s="201"/>
      <c r="O582" s="201"/>
      <c r="P582" s="202"/>
      <c r="Q582" s="125"/>
      <c r="S582" s="126"/>
      <c r="T582" s="126"/>
      <c r="U582" s="126"/>
      <c r="V582" s="126"/>
    </row>
    <row r="583" spans="3:22" ht="14.7" thickBot="1" x14ac:dyDescent="0.6">
      <c r="C583" s="200"/>
      <c r="D583" s="201"/>
      <c r="E583" s="201"/>
      <c r="F583" s="201"/>
      <c r="G583" s="201"/>
      <c r="H583" s="201"/>
      <c r="I583" s="201"/>
      <c r="J583" s="201"/>
      <c r="K583" s="201"/>
      <c r="L583" s="201"/>
      <c r="M583" s="201"/>
      <c r="N583" s="201"/>
      <c r="O583" s="201"/>
      <c r="P583" s="201"/>
      <c r="Q583" s="132"/>
      <c r="S583" s="126"/>
      <c r="T583" s="126"/>
      <c r="U583" s="126"/>
      <c r="V583" s="126"/>
    </row>
    <row r="584" spans="3:22" ht="14.7" thickBot="1" x14ac:dyDescent="0.6">
      <c r="S584" s="126"/>
      <c r="T584" s="126"/>
      <c r="U584" s="126"/>
      <c r="V584" s="126"/>
    </row>
    <row r="585" spans="3:22" x14ac:dyDescent="0.55000000000000004">
      <c r="C585" s="192"/>
      <c r="D585" s="193"/>
      <c r="E585" s="193"/>
      <c r="F585" s="193"/>
      <c r="G585" s="193"/>
      <c r="H585" s="193"/>
      <c r="I585" s="193"/>
      <c r="J585" s="193"/>
      <c r="K585" s="193"/>
      <c r="L585" s="193"/>
      <c r="M585" s="193"/>
      <c r="N585" s="193"/>
      <c r="O585" s="193"/>
      <c r="P585" s="193"/>
      <c r="Q585" s="123"/>
      <c r="S585" s="126"/>
      <c r="T585" s="126"/>
      <c r="U585" s="126"/>
      <c r="V585" s="126"/>
    </row>
    <row r="586" spans="3:22" ht="18.3" x14ac:dyDescent="0.7">
      <c r="C586" s="194"/>
      <c r="D586" s="1824">
        <f>'2 Customer data'!D71</f>
        <v>0</v>
      </c>
      <c r="E586" s="1824"/>
      <c r="F586" s="1824"/>
      <c r="G586" s="1824"/>
      <c r="H586" s="1824"/>
      <c r="I586" s="1824"/>
      <c r="J586" s="1824"/>
      <c r="K586" s="1824"/>
      <c r="L586" s="1824"/>
      <c r="M586" s="1824"/>
      <c r="N586" s="1824"/>
      <c r="O586" s="1824"/>
      <c r="Q586" s="125"/>
      <c r="S586" s="126"/>
      <c r="T586" s="126"/>
      <c r="U586" s="126"/>
      <c r="V586" s="126"/>
    </row>
    <row r="587" spans="3:22" ht="14.7" thickBot="1" x14ac:dyDescent="0.6">
      <c r="C587" s="194"/>
      <c r="Q587" s="125"/>
      <c r="S587" s="126"/>
      <c r="T587" s="126"/>
      <c r="U587" s="126"/>
      <c r="V587" s="126"/>
    </row>
    <row r="588" spans="3:22" x14ac:dyDescent="0.55000000000000004">
      <c r="C588" s="194"/>
      <c r="D588" s="192"/>
      <c r="E588" s="193"/>
      <c r="F588" s="193"/>
      <c r="G588" s="193"/>
      <c r="H588" s="193"/>
      <c r="I588" s="193"/>
      <c r="J588" s="193"/>
      <c r="K588" s="193"/>
      <c r="L588" s="193"/>
      <c r="M588" s="193"/>
      <c r="N588" s="193"/>
      <c r="O588" s="193"/>
      <c r="P588" s="195"/>
      <c r="Q588" s="125"/>
      <c r="S588" s="126"/>
      <c r="T588" s="126"/>
      <c r="U588" s="126"/>
      <c r="V588" s="126"/>
    </row>
    <row r="589" spans="3:22" x14ac:dyDescent="0.55000000000000004">
      <c r="C589" s="194"/>
      <c r="D589" s="194"/>
      <c r="E589" s="138" t="str">
        <f>'2 Customer data'!D71&amp;" "&amp;"information"</f>
        <v xml:space="preserve"> information</v>
      </c>
      <c r="P589" s="196"/>
      <c r="Q589" s="125"/>
      <c r="S589" s="126"/>
      <c r="T589" s="126"/>
      <c r="U589" s="126"/>
      <c r="V589" s="126"/>
    </row>
    <row r="590" spans="3:22" x14ac:dyDescent="0.55000000000000004">
      <c r="C590" s="194"/>
      <c r="D590" s="194"/>
      <c r="P590" s="196"/>
      <c r="Q590" s="125"/>
      <c r="S590" s="126"/>
      <c r="T590" s="126"/>
      <c r="U590" s="126"/>
      <c r="V590" s="126"/>
    </row>
    <row r="591" spans="3:22" ht="28.8" x14ac:dyDescent="0.55000000000000004">
      <c r="C591" s="194"/>
      <c r="D591" s="194"/>
      <c r="F591" s="166" t="s">
        <v>28</v>
      </c>
      <c r="G591" s="166" t="s">
        <v>69</v>
      </c>
      <c r="H591" s="197" t="s">
        <v>70</v>
      </c>
      <c r="I591" s="166" t="s">
        <v>71</v>
      </c>
      <c r="J591" s="198" t="s">
        <v>277</v>
      </c>
      <c r="P591" s="196"/>
      <c r="Q591" s="125"/>
      <c r="S591" s="126"/>
      <c r="T591" s="126"/>
      <c r="U591" s="126"/>
      <c r="V591" s="126"/>
    </row>
    <row r="592" spans="3:22" x14ac:dyDescent="0.55000000000000004">
      <c r="C592" s="194"/>
      <c r="D592" s="194"/>
      <c r="E592" s="10">
        <f>'2 Customer data'!D71</f>
        <v>0</v>
      </c>
      <c r="F592" s="113">
        <f>IFERROR(IF(VLOOKUP(E592,'2 Customer data'!$D$57:$M$76,6,FALSE)="",VLOOKUP(E592,'2 Customer data'!$D$57:$M$76,5,FALSE),VLOOKUP(E592,'2 Customer data'!$D$57:$M$76,6,FALSE)),0)</f>
        <v>0</v>
      </c>
      <c r="G592" s="113">
        <f ca="1">IFERROR(VLOOKUP(E592,'2 Sanitation'!$D$19:$J$38,5,FALSE),0)</f>
        <v>0</v>
      </c>
      <c r="H592" s="113">
        <f ca="1">IFERROR(VLOOKUP(E592,'2 Sanitation'!$D$19:$J$38,6,FALSE),0)</f>
        <v>0</v>
      </c>
      <c r="I592" s="113">
        <f ca="1">IFERROR(VLOOKUP(E592,'2 Sanitation'!$D$153:$K$172,8,FALSE),0)</f>
        <v>0</v>
      </c>
      <c r="J592" s="199">
        <f>IFERROR(IF(VLOOKUP(E592,'2 Customer data'!$D$57:$M$76,8,FALSE)="",VLOOKUP(E592,'2 Customer data'!$D$57:$M$76,7,FALSE),VLOOKUP(E592,'2 Customer data'!$D$57:$M$76,8,FALSE)),0)</f>
        <v>0</v>
      </c>
      <c r="P592" s="196"/>
      <c r="Q592" s="125"/>
      <c r="S592" s="126"/>
      <c r="T592" s="126"/>
      <c r="U592" s="126"/>
      <c r="V592" s="126"/>
    </row>
    <row r="593" spans="3:22" ht="14.7" thickBot="1" x14ac:dyDescent="0.6">
      <c r="C593" s="194"/>
      <c r="D593" s="200"/>
      <c r="E593" s="201"/>
      <c r="F593" s="201"/>
      <c r="G593" s="201"/>
      <c r="H593" s="201"/>
      <c r="I593" s="201"/>
      <c r="J593" s="201"/>
      <c r="K593" s="201"/>
      <c r="L593" s="201"/>
      <c r="M593" s="201"/>
      <c r="N593" s="201"/>
      <c r="O593" s="201"/>
      <c r="P593" s="202"/>
      <c r="Q593" s="125"/>
      <c r="S593" s="126"/>
      <c r="T593" s="126"/>
      <c r="U593" s="126"/>
      <c r="V593" s="126"/>
    </row>
    <row r="594" spans="3:22" ht="14.7" thickBot="1" x14ac:dyDescent="0.6">
      <c r="C594" s="194"/>
      <c r="Q594" s="125"/>
      <c r="S594" s="126"/>
      <c r="T594" s="126"/>
      <c r="U594" s="126"/>
      <c r="V594" s="126"/>
    </row>
    <row r="595" spans="3:22" x14ac:dyDescent="0.55000000000000004">
      <c r="C595" s="194"/>
      <c r="D595" s="192"/>
      <c r="E595" s="193"/>
      <c r="F595" s="193"/>
      <c r="G595" s="193"/>
      <c r="H595" s="193"/>
      <c r="I595" s="193"/>
      <c r="J595" s="193"/>
      <c r="K595" s="193"/>
      <c r="L595" s="193"/>
      <c r="M595" s="193"/>
      <c r="N595" s="193"/>
      <c r="O595" s="193"/>
      <c r="P595" s="195"/>
      <c r="Q595" s="125"/>
      <c r="S595" s="126"/>
      <c r="T595" s="126"/>
      <c r="U595" s="126"/>
      <c r="V595" s="126"/>
    </row>
    <row r="596" spans="3:22" x14ac:dyDescent="0.55000000000000004">
      <c r="C596" s="194"/>
      <c r="D596" s="194"/>
      <c r="E596" s="138" t="s">
        <v>93</v>
      </c>
      <c r="P596" s="196"/>
      <c r="Q596" s="125"/>
      <c r="S596" s="126"/>
      <c r="T596" s="126"/>
      <c r="U596" s="126"/>
      <c r="V596" s="126"/>
    </row>
    <row r="597" spans="3:22" x14ac:dyDescent="0.55000000000000004">
      <c r="C597" s="194"/>
      <c r="D597" s="194"/>
      <c r="E597" s="203" t="s">
        <v>555</v>
      </c>
      <c r="P597" s="196"/>
      <c r="Q597" s="125"/>
      <c r="S597" s="126"/>
      <c r="T597" s="126"/>
      <c r="U597" s="126"/>
      <c r="V597" s="126"/>
    </row>
    <row r="598" spans="3:22" x14ac:dyDescent="0.55000000000000004">
      <c r="C598" s="194"/>
      <c r="D598" s="194"/>
      <c r="P598" s="196"/>
      <c r="Q598" s="125"/>
      <c r="S598" s="126"/>
      <c r="T598" s="126"/>
      <c r="U598" s="126"/>
      <c r="V598" s="126"/>
    </row>
    <row r="599" spans="3:22" ht="43.2" x14ac:dyDescent="0.55000000000000004">
      <c r="C599" s="194"/>
      <c r="D599" s="194"/>
      <c r="F599" s="166" t="s">
        <v>86</v>
      </c>
      <c r="G599" s="166" t="s">
        <v>73</v>
      </c>
      <c r="H599" s="166" t="s">
        <v>74</v>
      </c>
      <c r="I599" s="166" t="s">
        <v>75</v>
      </c>
      <c r="J599" s="166" t="s">
        <v>76</v>
      </c>
      <c r="P599" s="196"/>
      <c r="Q599" s="125"/>
      <c r="S599" s="126"/>
      <c r="T599" s="126"/>
      <c r="U599" s="126"/>
      <c r="V599" s="126"/>
    </row>
    <row r="600" spans="3:22" x14ac:dyDescent="0.55000000000000004">
      <c r="C600" s="194"/>
      <c r="D600" s="194"/>
      <c r="E600" s="10">
        <f>E592</f>
        <v>0</v>
      </c>
      <c r="F600" s="113">
        <f ca="1">G592</f>
        <v>0</v>
      </c>
      <c r="G600" s="204">
        <f ca="1">IFERROR(F600/F592/12,0)</f>
        <v>0</v>
      </c>
      <c r="H600" s="205"/>
      <c r="I600" s="113">
        <f>H600*F592*12</f>
        <v>0</v>
      </c>
      <c r="J600" s="70">
        <f>I600/12</f>
        <v>0</v>
      </c>
      <c r="P600" s="196"/>
      <c r="Q600" s="125"/>
      <c r="S600" s="126"/>
      <c r="T600" s="126"/>
      <c r="U600" s="126"/>
      <c r="V600" s="126"/>
    </row>
    <row r="601" spans="3:22" x14ac:dyDescent="0.55000000000000004">
      <c r="C601" s="194"/>
      <c r="D601" s="194"/>
      <c r="F601" s="58" t="str">
        <f>IF(I600&gt;I591,"Error: revenue from fixed charges exceeds total revenue required from tariff. Reduce fixed charge.","")</f>
        <v/>
      </c>
      <c r="G601" s="156"/>
      <c r="H601" s="156"/>
      <c r="I601" s="156"/>
      <c r="J601" s="158"/>
      <c r="P601" s="196"/>
      <c r="Q601" s="125"/>
      <c r="S601" s="126"/>
      <c r="T601" s="126"/>
      <c r="U601" s="126"/>
      <c r="V601" s="126"/>
    </row>
    <row r="602" spans="3:22" ht="14.7" thickBot="1" x14ac:dyDescent="0.6">
      <c r="C602" s="194"/>
      <c r="D602" s="200"/>
      <c r="E602" s="201"/>
      <c r="F602" s="201"/>
      <c r="G602" s="201"/>
      <c r="H602" s="201"/>
      <c r="I602" s="201"/>
      <c r="J602" s="201"/>
      <c r="K602" s="201"/>
      <c r="L602" s="201"/>
      <c r="M602" s="201"/>
      <c r="N602" s="201"/>
      <c r="O602" s="201"/>
      <c r="P602" s="202"/>
      <c r="Q602" s="125"/>
      <c r="S602" s="126"/>
      <c r="T602" s="126"/>
      <c r="U602" s="126"/>
      <c r="V602" s="126"/>
    </row>
    <row r="603" spans="3:22" ht="14.7" thickBot="1" x14ac:dyDescent="0.6">
      <c r="C603" s="194"/>
      <c r="Q603" s="125"/>
      <c r="S603" s="126"/>
      <c r="T603" s="126"/>
      <c r="U603" s="126"/>
      <c r="V603" s="126"/>
    </row>
    <row r="604" spans="3:22" x14ac:dyDescent="0.55000000000000004">
      <c r="C604" s="194"/>
      <c r="D604" s="192"/>
      <c r="E604" s="193"/>
      <c r="F604" s="193"/>
      <c r="G604" s="193"/>
      <c r="H604" s="193"/>
      <c r="I604" s="193"/>
      <c r="J604" s="193"/>
      <c r="K604" s="193"/>
      <c r="L604" s="193"/>
      <c r="M604" s="193"/>
      <c r="N604" s="193"/>
      <c r="O604" s="193"/>
      <c r="P604" s="195"/>
      <c r="Q604" s="125"/>
      <c r="S604" s="126"/>
      <c r="T604" s="126"/>
      <c r="U604" s="126"/>
      <c r="V604" s="126"/>
    </row>
    <row r="605" spans="3:22" x14ac:dyDescent="0.55000000000000004">
      <c r="C605" s="194"/>
      <c r="D605" s="194"/>
      <c r="E605" s="138" t="s">
        <v>96</v>
      </c>
      <c r="P605" s="196"/>
      <c r="Q605" s="125"/>
      <c r="S605" s="126"/>
      <c r="T605" s="126"/>
      <c r="U605" s="126"/>
      <c r="V605" s="126"/>
    </row>
    <row r="606" spans="3:22" ht="14.55" customHeight="1" x14ac:dyDescent="0.55000000000000004">
      <c r="C606" s="194"/>
      <c r="D606" s="194"/>
      <c r="E606" s="1825" t="s">
        <v>558</v>
      </c>
      <c r="F606" s="1825"/>
      <c r="G606" s="1825"/>
      <c r="H606" s="1825"/>
      <c r="I606" s="1825"/>
      <c r="J606" s="1825"/>
      <c r="K606" s="1825"/>
      <c r="L606" s="1825"/>
      <c r="M606" s="1825"/>
      <c r="N606" s="1825"/>
      <c r="O606" s="1825"/>
      <c r="P606" s="1826"/>
      <c r="Q606" s="125"/>
      <c r="S606" s="126"/>
      <c r="T606" s="126"/>
      <c r="U606" s="126"/>
      <c r="V606" s="126"/>
    </row>
    <row r="607" spans="3:22" x14ac:dyDescent="0.55000000000000004">
      <c r="C607" s="194"/>
      <c r="D607" s="194"/>
      <c r="E607" s="1825"/>
      <c r="F607" s="1825"/>
      <c r="G607" s="1825"/>
      <c r="H607" s="1825"/>
      <c r="I607" s="1825"/>
      <c r="J607" s="1825"/>
      <c r="K607" s="1825"/>
      <c r="L607" s="1825"/>
      <c r="M607" s="1825"/>
      <c r="N607" s="1825"/>
      <c r="O607" s="1825"/>
      <c r="P607" s="1826"/>
      <c r="Q607" s="125"/>
      <c r="S607" s="126"/>
      <c r="T607" s="126"/>
      <c r="U607" s="126"/>
      <c r="V607" s="126"/>
    </row>
    <row r="608" spans="3:22" x14ac:dyDescent="0.55000000000000004">
      <c r="C608" s="194"/>
      <c r="D608" s="194"/>
      <c r="P608" s="196"/>
      <c r="Q608" s="125"/>
      <c r="S608" s="126"/>
      <c r="T608" s="126"/>
      <c r="U608" s="126"/>
      <c r="V608" s="126"/>
    </row>
    <row r="609" spans="3:22" x14ac:dyDescent="0.55000000000000004">
      <c r="C609" s="194"/>
      <c r="D609" s="194"/>
      <c r="E609" s="206" t="s">
        <v>77</v>
      </c>
      <c r="H609" s="207">
        <v>10</v>
      </c>
      <c r="P609" s="196"/>
      <c r="Q609" s="125"/>
      <c r="S609" s="126"/>
      <c r="T609" s="126"/>
      <c r="U609" s="126"/>
      <c r="V609" s="126"/>
    </row>
    <row r="610" spans="3:22" x14ac:dyDescent="0.55000000000000004">
      <c r="C610" s="194"/>
      <c r="D610" s="194"/>
      <c r="E610" s="10" t="s">
        <v>612</v>
      </c>
      <c r="H610" s="159" t="s">
        <v>613</v>
      </c>
      <c r="P610" s="196"/>
      <c r="Q610" s="125"/>
      <c r="S610" s="126"/>
      <c r="T610" s="126"/>
      <c r="U610" s="126"/>
      <c r="V610" s="126"/>
    </row>
    <row r="611" spans="3:22" x14ac:dyDescent="0.55000000000000004">
      <c r="C611" s="194"/>
      <c r="D611" s="194"/>
      <c r="P611" s="196"/>
      <c r="Q611" s="125"/>
      <c r="S611" s="126"/>
      <c r="T611" s="126"/>
      <c r="U611" s="126"/>
      <c r="V611" s="126"/>
    </row>
    <row r="612" spans="3:22" ht="43.2" x14ac:dyDescent="0.55000000000000004">
      <c r="C612" s="194"/>
      <c r="D612" s="194"/>
      <c r="E612" s="166" t="s">
        <v>78</v>
      </c>
      <c r="F612" s="166" t="s">
        <v>99</v>
      </c>
      <c r="G612" s="197" t="s">
        <v>92</v>
      </c>
      <c r="H612" s="166" t="s">
        <v>80</v>
      </c>
      <c r="I612" s="166" t="s">
        <v>334</v>
      </c>
      <c r="J612" s="166" t="s">
        <v>335</v>
      </c>
      <c r="K612" s="166" t="s">
        <v>339</v>
      </c>
      <c r="L612" s="166" t="s">
        <v>336</v>
      </c>
      <c r="M612" s="166" t="s">
        <v>337</v>
      </c>
      <c r="N612" s="166" t="s">
        <v>338</v>
      </c>
      <c r="O612" s="166" t="s">
        <v>83</v>
      </c>
      <c r="P612" s="208"/>
      <c r="Q612" s="125"/>
      <c r="S612" s="126" t="s">
        <v>614</v>
      </c>
      <c r="T612" s="126" t="s">
        <v>615</v>
      </c>
      <c r="U612" s="126"/>
      <c r="V612" s="126"/>
    </row>
    <row r="613" spans="3:22" x14ac:dyDescent="0.55000000000000004">
      <c r="C613" s="194"/>
      <c r="D613" s="194"/>
      <c r="E613" s="209">
        <f>IF($H$609=U613,U613,1)</f>
        <v>1</v>
      </c>
      <c r="F613" s="210"/>
      <c r="G613" s="211">
        <v>0</v>
      </c>
      <c r="H613" s="212"/>
      <c r="I613" s="213"/>
      <c r="J613" s="70">
        <f>J592-SUMIF(E614:E622,"&lt;="&amp;$H$609,J614:J622)</f>
        <v>0</v>
      </c>
      <c r="K613" s="70">
        <f>F613*J613</f>
        <v>0</v>
      </c>
      <c r="L613" s="114">
        <f>IFERROR(IF(E613&lt;=H609,IF(H610="No",IF(I600=0,I592/SUMPRODUCT(S613:S622,K613:K622),(I592-I600)/SUMPRODUCT(S613:S622,K613:K622)),0),0),0)</f>
        <v>0</v>
      </c>
      <c r="M613" s="44">
        <f>IFERROR(O613/J613,0)</f>
        <v>0</v>
      </c>
      <c r="N613" s="199"/>
      <c r="O613" s="199">
        <f>K613*L613</f>
        <v>0</v>
      </c>
      <c r="P613" s="214"/>
      <c r="Q613" s="125"/>
      <c r="S613" s="92">
        <f>IF(E613&lt;=$H$609,1,0)</f>
        <v>1</v>
      </c>
      <c r="T613" s="126"/>
      <c r="U613" s="126">
        <v>1</v>
      </c>
      <c r="V613" s="126"/>
    </row>
    <row r="614" spans="3:22" x14ac:dyDescent="0.55000000000000004">
      <c r="C614" s="194"/>
      <c r="D614" s="194"/>
      <c r="E614" s="209">
        <f t="shared" ref="E614:E622" si="112">IF($H$609&gt;=U614,U614,"")</f>
        <v>2</v>
      </c>
      <c r="F614" s="210"/>
      <c r="G614" s="211">
        <f t="shared" ref="G614:G622" si="113">IF($H$609&gt;=F614,H613+0.01,"")</f>
        <v>0.01</v>
      </c>
      <c r="H614" s="212"/>
      <c r="I614" s="215"/>
      <c r="J614" s="216"/>
      <c r="K614" s="70">
        <f t="shared" ref="K614:K622" si="114">F614*J614</f>
        <v>0</v>
      </c>
      <c r="L614" s="114">
        <f ca="1">IFERROR(IF(E614&lt;=H609,IF(H610="No",L613*(1+I614),IF(I600=0,I592/SUMPRODUCT(T614:T622,K614:K622),(I592-I600)/SUMPRODUCT(T614:T622,K614:K622))),0),0)</f>
        <v>0</v>
      </c>
      <c r="M614" s="44">
        <f t="shared" ref="M614:M622" ca="1" si="115">IFERROR(O614/J614,0)</f>
        <v>0</v>
      </c>
      <c r="N614" s="217" t="str">
        <f ca="1">IFERROR(M614/M613-1,"")</f>
        <v/>
      </c>
      <c r="O614" s="199">
        <f t="shared" ref="O614:O622" ca="1" si="116">K614*L614</f>
        <v>0</v>
      </c>
      <c r="P614" s="214"/>
      <c r="Q614" s="125"/>
      <c r="S614" s="92">
        <f>IF(E614&lt;=$H$609,(1+I614),0)</f>
        <v>1</v>
      </c>
      <c r="T614" s="92">
        <f>IF(E614&lt;=H609,1,0)</f>
        <v>1</v>
      </c>
      <c r="U614" s="126">
        <v>2</v>
      </c>
      <c r="V614" s="126"/>
    </row>
    <row r="615" spans="3:22" x14ac:dyDescent="0.55000000000000004">
      <c r="C615" s="194"/>
      <c r="D615" s="194"/>
      <c r="E615" s="209">
        <f t="shared" si="112"/>
        <v>3</v>
      </c>
      <c r="F615" s="210"/>
      <c r="G615" s="211">
        <f t="shared" si="113"/>
        <v>0.01</v>
      </c>
      <c r="H615" s="212"/>
      <c r="I615" s="215"/>
      <c r="J615" s="216"/>
      <c r="K615" s="70">
        <f t="shared" si="114"/>
        <v>0</v>
      </c>
      <c r="L615" s="204">
        <f t="shared" ref="L615:L622" ca="1" si="117">IF(E615&lt;=$H$609,L614*(1+I615),0)</f>
        <v>0</v>
      </c>
      <c r="M615" s="44">
        <f t="shared" ca="1" si="115"/>
        <v>0</v>
      </c>
      <c r="N615" s="217" t="str">
        <f t="shared" ref="N615:N622" ca="1" si="118">IFERROR(M615/M614-1,"")</f>
        <v/>
      </c>
      <c r="O615" s="199">
        <f t="shared" ca="1" si="116"/>
        <v>0</v>
      </c>
      <c r="P615" s="214"/>
      <c r="Q615" s="125"/>
      <c r="S615" s="92">
        <f t="shared" ref="S615:S622" si="119">IF(E615&lt;=$H$609,S614*(1+I615),0)</f>
        <v>1</v>
      </c>
      <c r="T615" s="92">
        <f>IF(E615&lt;=H609,T614*(1+I615),0)</f>
        <v>1</v>
      </c>
      <c r="U615" s="126">
        <v>3</v>
      </c>
      <c r="V615" s="126"/>
    </row>
    <row r="616" spans="3:22" x14ac:dyDescent="0.55000000000000004">
      <c r="C616" s="194"/>
      <c r="D616" s="194"/>
      <c r="E616" s="209">
        <f t="shared" si="112"/>
        <v>4</v>
      </c>
      <c r="F616" s="210"/>
      <c r="G616" s="211">
        <f t="shared" si="113"/>
        <v>0.01</v>
      </c>
      <c r="H616" s="212"/>
      <c r="I616" s="215"/>
      <c r="J616" s="216"/>
      <c r="K616" s="70">
        <f t="shared" si="114"/>
        <v>0</v>
      </c>
      <c r="L616" s="204">
        <f t="shared" ca="1" si="117"/>
        <v>0</v>
      </c>
      <c r="M616" s="44">
        <f t="shared" ca="1" si="115"/>
        <v>0</v>
      </c>
      <c r="N616" s="217" t="str">
        <f t="shared" ca="1" si="118"/>
        <v/>
      </c>
      <c r="O616" s="199">
        <f t="shared" ca="1" si="116"/>
        <v>0</v>
      </c>
      <c r="P616" s="214"/>
      <c r="Q616" s="125"/>
      <c r="S616" s="92">
        <f t="shared" si="119"/>
        <v>1</v>
      </c>
      <c r="T616" s="92">
        <f>IF(E616&lt;=H609,T615*(1+I616),0)</f>
        <v>1</v>
      </c>
      <c r="U616" s="126">
        <v>4</v>
      </c>
      <c r="V616" s="126"/>
    </row>
    <row r="617" spans="3:22" x14ac:dyDescent="0.55000000000000004">
      <c r="C617" s="194"/>
      <c r="D617" s="194"/>
      <c r="E617" s="209">
        <f t="shared" si="112"/>
        <v>5</v>
      </c>
      <c r="F617" s="210"/>
      <c r="G617" s="211">
        <f t="shared" si="113"/>
        <v>0.01</v>
      </c>
      <c r="H617" s="212"/>
      <c r="I617" s="215"/>
      <c r="J617" s="216"/>
      <c r="K617" s="70">
        <f t="shared" si="114"/>
        <v>0</v>
      </c>
      <c r="L617" s="204">
        <f t="shared" ca="1" si="117"/>
        <v>0</v>
      </c>
      <c r="M617" s="44">
        <f t="shared" ca="1" si="115"/>
        <v>0</v>
      </c>
      <c r="N617" s="217" t="str">
        <f t="shared" ca="1" si="118"/>
        <v/>
      </c>
      <c r="O617" s="199">
        <f t="shared" ca="1" si="116"/>
        <v>0</v>
      </c>
      <c r="P617" s="214"/>
      <c r="Q617" s="125"/>
      <c r="S617" s="92">
        <f t="shared" si="119"/>
        <v>1</v>
      </c>
      <c r="T617" s="92">
        <f>IF(E617&lt;=H609,T616*(1+I617),0)</f>
        <v>1</v>
      </c>
      <c r="U617" s="126">
        <v>5</v>
      </c>
      <c r="V617" s="126"/>
    </row>
    <row r="618" spans="3:22" x14ac:dyDescent="0.55000000000000004">
      <c r="C618" s="194"/>
      <c r="D618" s="194"/>
      <c r="E618" s="209">
        <f t="shared" si="112"/>
        <v>6</v>
      </c>
      <c r="F618" s="210"/>
      <c r="G618" s="211">
        <f t="shared" si="113"/>
        <v>0.01</v>
      </c>
      <c r="H618" s="207"/>
      <c r="I618" s="215"/>
      <c r="J618" s="216"/>
      <c r="K618" s="70">
        <f t="shared" si="114"/>
        <v>0</v>
      </c>
      <c r="L618" s="204">
        <f t="shared" ca="1" si="117"/>
        <v>0</v>
      </c>
      <c r="M618" s="44">
        <f t="shared" ca="1" si="115"/>
        <v>0</v>
      </c>
      <c r="N618" s="217" t="str">
        <f t="shared" ca="1" si="118"/>
        <v/>
      </c>
      <c r="O618" s="199">
        <f t="shared" ca="1" si="116"/>
        <v>0</v>
      </c>
      <c r="P618" s="214"/>
      <c r="Q618" s="125"/>
      <c r="S618" s="92">
        <f t="shared" si="119"/>
        <v>1</v>
      </c>
      <c r="T618" s="92">
        <f>IF(E618&lt;=H609,T617*(1+I618),0)</f>
        <v>1</v>
      </c>
      <c r="U618" s="126">
        <v>6</v>
      </c>
      <c r="V618" s="126"/>
    </row>
    <row r="619" spans="3:22" x14ac:dyDescent="0.55000000000000004">
      <c r="C619" s="194"/>
      <c r="D619" s="194"/>
      <c r="E619" s="209">
        <f t="shared" si="112"/>
        <v>7</v>
      </c>
      <c r="F619" s="210"/>
      <c r="G619" s="211">
        <f t="shared" si="113"/>
        <v>0.01</v>
      </c>
      <c r="H619" s="207"/>
      <c r="I619" s="215"/>
      <c r="J619" s="216"/>
      <c r="K619" s="70">
        <f t="shared" si="114"/>
        <v>0</v>
      </c>
      <c r="L619" s="204">
        <f t="shared" ca="1" si="117"/>
        <v>0</v>
      </c>
      <c r="M619" s="44">
        <f t="shared" ca="1" si="115"/>
        <v>0</v>
      </c>
      <c r="N619" s="217" t="str">
        <f t="shared" ca="1" si="118"/>
        <v/>
      </c>
      <c r="O619" s="199">
        <f t="shared" ca="1" si="116"/>
        <v>0</v>
      </c>
      <c r="P619" s="214"/>
      <c r="Q619" s="125"/>
      <c r="S619" s="92">
        <f t="shared" si="119"/>
        <v>1</v>
      </c>
      <c r="T619" s="92">
        <f>IF(E619&lt;=H609,T618*(1+I619),0)</f>
        <v>1</v>
      </c>
      <c r="U619" s="126">
        <v>7</v>
      </c>
      <c r="V619" s="126"/>
    </row>
    <row r="620" spans="3:22" x14ac:dyDescent="0.55000000000000004">
      <c r="C620" s="194"/>
      <c r="D620" s="194"/>
      <c r="E620" s="209">
        <f t="shared" si="112"/>
        <v>8</v>
      </c>
      <c r="F620" s="210"/>
      <c r="G620" s="211">
        <f t="shared" si="113"/>
        <v>0.01</v>
      </c>
      <c r="H620" s="207"/>
      <c r="I620" s="215"/>
      <c r="J620" s="216"/>
      <c r="K620" s="70">
        <f t="shared" si="114"/>
        <v>0</v>
      </c>
      <c r="L620" s="204">
        <f t="shared" ca="1" si="117"/>
        <v>0</v>
      </c>
      <c r="M620" s="44">
        <f t="shared" ca="1" si="115"/>
        <v>0</v>
      </c>
      <c r="N620" s="217" t="str">
        <f t="shared" ca="1" si="118"/>
        <v/>
      </c>
      <c r="O620" s="199">
        <f t="shared" ca="1" si="116"/>
        <v>0</v>
      </c>
      <c r="P620" s="214"/>
      <c r="Q620" s="125"/>
      <c r="S620" s="92">
        <f t="shared" si="119"/>
        <v>1</v>
      </c>
      <c r="T620" s="92">
        <f>IF(E620&lt;=H609,T619*(1+I620),0)</f>
        <v>1</v>
      </c>
      <c r="U620" s="126">
        <v>8</v>
      </c>
      <c r="V620" s="126"/>
    </row>
    <row r="621" spans="3:22" x14ac:dyDescent="0.55000000000000004">
      <c r="C621" s="194"/>
      <c r="D621" s="194"/>
      <c r="E621" s="209">
        <f t="shared" si="112"/>
        <v>9</v>
      </c>
      <c r="F621" s="210"/>
      <c r="G621" s="211">
        <f t="shared" si="113"/>
        <v>0.01</v>
      </c>
      <c r="H621" s="207"/>
      <c r="I621" s="215"/>
      <c r="J621" s="216"/>
      <c r="K621" s="70">
        <f t="shared" si="114"/>
        <v>0</v>
      </c>
      <c r="L621" s="204">
        <f t="shared" ca="1" si="117"/>
        <v>0</v>
      </c>
      <c r="M621" s="44">
        <f t="shared" ca="1" si="115"/>
        <v>0</v>
      </c>
      <c r="N621" s="217" t="str">
        <f t="shared" ca="1" si="118"/>
        <v/>
      </c>
      <c r="O621" s="199">
        <f t="shared" ca="1" si="116"/>
        <v>0</v>
      </c>
      <c r="P621" s="214"/>
      <c r="Q621" s="125"/>
      <c r="S621" s="92">
        <f t="shared" si="119"/>
        <v>1</v>
      </c>
      <c r="T621" s="92">
        <f>IF(E621&lt;=H609,T620*(1+I621),0)</f>
        <v>1</v>
      </c>
      <c r="U621" s="126">
        <v>9</v>
      </c>
      <c r="V621" s="126"/>
    </row>
    <row r="622" spans="3:22" x14ac:dyDescent="0.55000000000000004">
      <c r="C622" s="194"/>
      <c r="D622" s="194"/>
      <c r="E622" s="209">
        <f t="shared" si="112"/>
        <v>10</v>
      </c>
      <c r="F622" s="210"/>
      <c r="G622" s="211">
        <f t="shared" si="113"/>
        <v>0.01</v>
      </c>
      <c r="H622" s="209" t="s">
        <v>84</v>
      </c>
      <c r="I622" s="215"/>
      <c r="J622" s="216"/>
      <c r="K622" s="70">
        <f t="shared" si="114"/>
        <v>0</v>
      </c>
      <c r="L622" s="204">
        <f t="shared" ca="1" si="117"/>
        <v>0</v>
      </c>
      <c r="M622" s="44">
        <f t="shared" ca="1" si="115"/>
        <v>0</v>
      </c>
      <c r="N622" s="217" t="str">
        <f t="shared" ca="1" si="118"/>
        <v/>
      </c>
      <c r="O622" s="199">
        <f t="shared" ca="1" si="116"/>
        <v>0</v>
      </c>
      <c r="P622" s="214"/>
      <c r="Q622" s="125"/>
      <c r="S622" s="92">
        <f t="shared" si="119"/>
        <v>1</v>
      </c>
      <c r="T622" s="92">
        <f>IF(E622&lt;=H609,T621*(1+I622),0)</f>
        <v>1</v>
      </c>
      <c r="U622" s="126">
        <v>10</v>
      </c>
      <c r="V622" s="126"/>
    </row>
    <row r="623" spans="3:22" ht="14.7" thickBot="1" x14ac:dyDescent="0.6">
      <c r="C623" s="194"/>
      <c r="D623" s="200"/>
      <c r="E623" s="201"/>
      <c r="F623" s="201"/>
      <c r="G623" s="201"/>
      <c r="H623" s="201"/>
      <c r="I623" s="201"/>
      <c r="J623" s="201"/>
      <c r="K623" s="201"/>
      <c r="L623" s="201"/>
      <c r="M623" s="201"/>
      <c r="N623" s="201"/>
      <c r="O623" s="201"/>
      <c r="P623" s="202"/>
      <c r="Q623" s="125"/>
      <c r="S623" s="126"/>
      <c r="T623" s="126"/>
      <c r="U623" s="126"/>
      <c r="V623" s="126"/>
    </row>
    <row r="624" spans="3:22" ht="14.7" thickBot="1" x14ac:dyDescent="0.6">
      <c r="C624" s="200"/>
      <c r="D624" s="201"/>
      <c r="E624" s="201"/>
      <c r="F624" s="201"/>
      <c r="G624" s="201"/>
      <c r="H624" s="201"/>
      <c r="I624" s="201"/>
      <c r="J624" s="201"/>
      <c r="K624" s="201"/>
      <c r="L624" s="201"/>
      <c r="M624" s="201"/>
      <c r="N624" s="201"/>
      <c r="O624" s="201"/>
      <c r="P624" s="201"/>
      <c r="Q624" s="132"/>
      <c r="S624" s="126"/>
      <c r="T624" s="126"/>
      <c r="U624" s="126"/>
      <c r="V624" s="126"/>
    </row>
    <row r="625" spans="3:22" ht="14.7" thickBot="1" x14ac:dyDescent="0.6">
      <c r="S625" s="126"/>
      <c r="T625" s="126"/>
      <c r="U625" s="126"/>
      <c r="V625" s="126"/>
    </row>
    <row r="626" spans="3:22" x14ac:dyDescent="0.55000000000000004">
      <c r="C626" s="192"/>
      <c r="D626" s="193"/>
      <c r="E626" s="193"/>
      <c r="F626" s="193"/>
      <c r="G626" s="193"/>
      <c r="H626" s="193"/>
      <c r="I626" s="193"/>
      <c r="J626" s="193"/>
      <c r="K626" s="193"/>
      <c r="L626" s="193"/>
      <c r="M626" s="193"/>
      <c r="N626" s="193"/>
      <c r="O626" s="193"/>
      <c r="P626" s="193"/>
      <c r="Q626" s="123"/>
      <c r="S626" s="126"/>
      <c r="T626" s="126"/>
      <c r="U626" s="126"/>
      <c r="V626" s="126"/>
    </row>
    <row r="627" spans="3:22" ht="18.3" x14ac:dyDescent="0.7">
      <c r="C627" s="194"/>
      <c r="D627" s="1824">
        <f>'2 Customer data'!D72</f>
        <v>0</v>
      </c>
      <c r="E627" s="1824"/>
      <c r="F627" s="1824"/>
      <c r="G627" s="1824"/>
      <c r="H627" s="1824"/>
      <c r="I627" s="1824"/>
      <c r="J627" s="1824"/>
      <c r="K627" s="1824"/>
      <c r="L627" s="1824"/>
      <c r="M627" s="1824"/>
      <c r="N627" s="1824"/>
      <c r="O627" s="1824"/>
      <c r="Q627" s="125"/>
      <c r="S627" s="126"/>
      <c r="T627" s="126"/>
      <c r="U627" s="126"/>
      <c r="V627" s="126"/>
    </row>
    <row r="628" spans="3:22" ht="14.7" thickBot="1" x14ac:dyDescent="0.6">
      <c r="C628" s="194"/>
      <c r="Q628" s="125"/>
      <c r="S628" s="126"/>
      <c r="T628" s="126"/>
      <c r="U628" s="126"/>
      <c r="V628" s="126"/>
    </row>
    <row r="629" spans="3:22" x14ac:dyDescent="0.55000000000000004">
      <c r="C629" s="194"/>
      <c r="D629" s="192"/>
      <c r="E629" s="193"/>
      <c r="F629" s="193"/>
      <c r="G629" s="193"/>
      <c r="H629" s="193"/>
      <c r="I629" s="193"/>
      <c r="J629" s="193"/>
      <c r="K629" s="193"/>
      <c r="L629" s="193"/>
      <c r="M629" s="193"/>
      <c r="N629" s="193"/>
      <c r="O629" s="193"/>
      <c r="P629" s="195"/>
      <c r="Q629" s="125"/>
      <c r="S629" s="126"/>
      <c r="T629" s="126"/>
      <c r="U629" s="126"/>
      <c r="V629" s="126"/>
    </row>
    <row r="630" spans="3:22" x14ac:dyDescent="0.55000000000000004">
      <c r="C630" s="194"/>
      <c r="D630" s="194"/>
      <c r="E630" s="138" t="str">
        <f>'2 Customer data'!D72&amp;" "&amp;"information"</f>
        <v xml:space="preserve"> information</v>
      </c>
      <c r="P630" s="196"/>
      <c r="Q630" s="125"/>
      <c r="S630" s="126"/>
      <c r="T630" s="126"/>
      <c r="U630" s="126"/>
      <c r="V630" s="126"/>
    </row>
    <row r="631" spans="3:22" x14ac:dyDescent="0.55000000000000004">
      <c r="C631" s="194"/>
      <c r="D631" s="194"/>
      <c r="P631" s="196"/>
      <c r="Q631" s="125"/>
      <c r="S631" s="126"/>
      <c r="T631" s="126"/>
      <c r="U631" s="126"/>
      <c r="V631" s="126"/>
    </row>
    <row r="632" spans="3:22" ht="28.8" x14ac:dyDescent="0.55000000000000004">
      <c r="C632" s="194"/>
      <c r="D632" s="194"/>
      <c r="F632" s="166" t="s">
        <v>28</v>
      </c>
      <c r="G632" s="166" t="s">
        <v>69</v>
      </c>
      <c r="H632" s="197" t="s">
        <v>70</v>
      </c>
      <c r="I632" s="166" t="s">
        <v>71</v>
      </c>
      <c r="J632" s="198" t="s">
        <v>277</v>
      </c>
      <c r="P632" s="196"/>
      <c r="Q632" s="125"/>
      <c r="S632" s="126"/>
      <c r="T632" s="126"/>
      <c r="U632" s="126"/>
      <c r="V632" s="126"/>
    </row>
    <row r="633" spans="3:22" x14ac:dyDescent="0.55000000000000004">
      <c r="C633" s="194"/>
      <c r="D633" s="194"/>
      <c r="E633" s="10">
        <f>'2 Customer data'!D72</f>
        <v>0</v>
      </c>
      <c r="F633" s="113">
        <f>IFERROR(IF(VLOOKUP(E633,'2 Customer data'!$D$57:$M$76,6,FALSE)="",VLOOKUP(E633,'2 Customer data'!$D$57:$M$76,5,FALSE),VLOOKUP(E633,'2 Customer data'!$D$57:$M$76,6,FALSE)),0)</f>
        <v>0</v>
      </c>
      <c r="G633" s="113">
        <f ca="1">IFERROR(VLOOKUP(E633,'2 Sanitation'!$D$19:$J$38,5,FALSE),0)</f>
        <v>0</v>
      </c>
      <c r="H633" s="113">
        <f ca="1">IFERROR(VLOOKUP(E633,'2 Sanitation'!$D$19:$J$38,6,FALSE),0)</f>
        <v>0</v>
      </c>
      <c r="I633" s="113">
        <f ca="1">IFERROR(VLOOKUP(E633,'2 Sanitation'!$D$153:$K$172,8,FALSE),0)</f>
        <v>0</v>
      </c>
      <c r="J633" s="199">
        <f>IFERROR(IF(VLOOKUP(E633,'2 Customer data'!$D$57:$M$76,8,FALSE)="",VLOOKUP(E633,'2 Customer data'!$D$57:$M$76,7,FALSE),VLOOKUP(E633,'2 Customer data'!$D$57:$M$76,8,FALSE)),0)</f>
        <v>0</v>
      </c>
      <c r="P633" s="196"/>
      <c r="Q633" s="125"/>
      <c r="S633" s="126"/>
      <c r="T633" s="126"/>
      <c r="U633" s="126"/>
      <c r="V633" s="126"/>
    </row>
    <row r="634" spans="3:22" ht="14.7" thickBot="1" x14ac:dyDescent="0.6">
      <c r="C634" s="194"/>
      <c r="D634" s="200"/>
      <c r="E634" s="201"/>
      <c r="F634" s="201"/>
      <c r="G634" s="201"/>
      <c r="H634" s="201"/>
      <c r="I634" s="201"/>
      <c r="J634" s="201"/>
      <c r="K634" s="201"/>
      <c r="L634" s="201"/>
      <c r="M634" s="201"/>
      <c r="N634" s="201"/>
      <c r="O634" s="201"/>
      <c r="P634" s="202"/>
      <c r="Q634" s="125"/>
      <c r="S634" s="126"/>
      <c r="T634" s="126"/>
      <c r="U634" s="126"/>
      <c r="V634" s="126"/>
    </row>
    <row r="635" spans="3:22" ht="14.7" thickBot="1" x14ac:dyDescent="0.6">
      <c r="C635" s="194"/>
      <c r="Q635" s="125"/>
      <c r="S635" s="126"/>
      <c r="T635" s="126"/>
      <c r="U635" s="126"/>
      <c r="V635" s="126"/>
    </row>
    <row r="636" spans="3:22" x14ac:dyDescent="0.55000000000000004">
      <c r="C636" s="194"/>
      <c r="D636" s="192"/>
      <c r="E636" s="193"/>
      <c r="F636" s="193"/>
      <c r="G636" s="193"/>
      <c r="H636" s="193"/>
      <c r="I636" s="193"/>
      <c r="J636" s="193"/>
      <c r="K636" s="193"/>
      <c r="L636" s="193"/>
      <c r="M636" s="193"/>
      <c r="N636" s="193"/>
      <c r="O636" s="193"/>
      <c r="P636" s="195"/>
      <c r="Q636" s="125"/>
      <c r="S636" s="126"/>
      <c r="T636" s="126"/>
      <c r="U636" s="126"/>
      <c r="V636" s="126"/>
    </row>
    <row r="637" spans="3:22" x14ac:dyDescent="0.55000000000000004">
      <c r="C637" s="194"/>
      <c r="D637" s="194"/>
      <c r="E637" s="138" t="s">
        <v>93</v>
      </c>
      <c r="P637" s="196"/>
      <c r="Q637" s="125"/>
      <c r="S637" s="126"/>
      <c r="T637" s="126"/>
      <c r="U637" s="126"/>
      <c r="V637" s="126"/>
    </row>
    <row r="638" spans="3:22" x14ac:dyDescent="0.55000000000000004">
      <c r="C638" s="194"/>
      <c r="D638" s="194"/>
      <c r="E638" s="203" t="s">
        <v>555</v>
      </c>
      <c r="P638" s="196"/>
      <c r="Q638" s="125"/>
      <c r="S638" s="126"/>
      <c r="T638" s="126"/>
      <c r="U638" s="126"/>
      <c r="V638" s="126"/>
    </row>
    <row r="639" spans="3:22" x14ac:dyDescent="0.55000000000000004">
      <c r="C639" s="194"/>
      <c r="D639" s="194"/>
      <c r="P639" s="196"/>
      <c r="Q639" s="125"/>
      <c r="S639" s="126"/>
      <c r="T639" s="126"/>
      <c r="U639" s="126"/>
      <c r="V639" s="126"/>
    </row>
    <row r="640" spans="3:22" ht="43.2" x14ac:dyDescent="0.55000000000000004">
      <c r="C640" s="194"/>
      <c r="D640" s="194"/>
      <c r="F640" s="166" t="s">
        <v>86</v>
      </c>
      <c r="G640" s="166" t="s">
        <v>73</v>
      </c>
      <c r="H640" s="166" t="s">
        <v>74</v>
      </c>
      <c r="I640" s="166" t="s">
        <v>75</v>
      </c>
      <c r="J640" s="166" t="s">
        <v>76</v>
      </c>
      <c r="P640" s="196"/>
      <c r="Q640" s="125"/>
      <c r="S640" s="126"/>
      <c r="T640" s="126"/>
      <c r="U640" s="126"/>
      <c r="V640" s="126"/>
    </row>
    <row r="641" spans="3:22" x14ac:dyDescent="0.55000000000000004">
      <c r="C641" s="194"/>
      <c r="D641" s="194"/>
      <c r="E641" s="10">
        <f>E633</f>
        <v>0</v>
      </c>
      <c r="F641" s="113">
        <f ca="1">G633</f>
        <v>0</v>
      </c>
      <c r="G641" s="204">
        <f ca="1">IFERROR(F641/F633/12,0)</f>
        <v>0</v>
      </c>
      <c r="H641" s="205"/>
      <c r="I641" s="113">
        <f>H641*F633*12</f>
        <v>0</v>
      </c>
      <c r="J641" s="70">
        <f>I641/12</f>
        <v>0</v>
      </c>
      <c r="P641" s="196"/>
      <c r="Q641" s="125"/>
      <c r="S641" s="126"/>
      <c r="T641" s="126"/>
      <c r="U641" s="126"/>
      <c r="V641" s="126"/>
    </row>
    <row r="642" spans="3:22" x14ac:dyDescent="0.55000000000000004">
      <c r="C642" s="194"/>
      <c r="D642" s="194"/>
      <c r="F642" s="58" t="str">
        <f>IF(I641&gt;I632,"Error: revenue from fixed charges exceeds total revenue required from tariff. Reduce fixed charge.","")</f>
        <v/>
      </c>
      <c r="G642" s="156"/>
      <c r="H642" s="156"/>
      <c r="I642" s="156"/>
      <c r="J642" s="158"/>
      <c r="P642" s="196"/>
      <c r="Q642" s="125"/>
      <c r="S642" s="126"/>
      <c r="T642" s="126"/>
      <c r="U642" s="126"/>
      <c r="V642" s="126"/>
    </row>
    <row r="643" spans="3:22" ht="14.7" thickBot="1" x14ac:dyDescent="0.6">
      <c r="C643" s="194"/>
      <c r="D643" s="200"/>
      <c r="E643" s="201"/>
      <c r="F643" s="201"/>
      <c r="G643" s="201"/>
      <c r="H643" s="201"/>
      <c r="I643" s="201"/>
      <c r="J643" s="201"/>
      <c r="K643" s="201"/>
      <c r="L643" s="201"/>
      <c r="M643" s="201"/>
      <c r="N643" s="201"/>
      <c r="O643" s="201"/>
      <c r="P643" s="202"/>
      <c r="Q643" s="125"/>
      <c r="S643" s="126"/>
      <c r="T643" s="126"/>
      <c r="U643" s="126"/>
      <c r="V643" s="126"/>
    </row>
    <row r="644" spans="3:22" ht="14.7" thickBot="1" x14ac:dyDescent="0.6">
      <c r="C644" s="194"/>
      <c r="Q644" s="125"/>
      <c r="S644" s="126"/>
      <c r="T644" s="126"/>
      <c r="U644" s="126"/>
      <c r="V644" s="126"/>
    </row>
    <row r="645" spans="3:22" x14ac:dyDescent="0.55000000000000004">
      <c r="C645" s="194"/>
      <c r="D645" s="192"/>
      <c r="E645" s="193"/>
      <c r="F645" s="193"/>
      <c r="G645" s="193"/>
      <c r="H645" s="193"/>
      <c r="I645" s="193"/>
      <c r="J645" s="193"/>
      <c r="K645" s="193"/>
      <c r="L645" s="193"/>
      <c r="M645" s="193"/>
      <c r="N645" s="193"/>
      <c r="O645" s="193"/>
      <c r="P645" s="195"/>
      <c r="Q645" s="125"/>
      <c r="S645" s="126"/>
      <c r="T645" s="126"/>
      <c r="U645" s="126"/>
      <c r="V645" s="126"/>
    </row>
    <row r="646" spans="3:22" x14ac:dyDescent="0.55000000000000004">
      <c r="C646" s="194"/>
      <c r="D646" s="194"/>
      <c r="E646" s="138" t="s">
        <v>96</v>
      </c>
      <c r="P646" s="196"/>
      <c r="Q646" s="125"/>
      <c r="S646" s="126"/>
      <c r="T646" s="126"/>
      <c r="U646" s="126"/>
      <c r="V646" s="126"/>
    </row>
    <row r="647" spans="3:22" ht="14.55" customHeight="1" x14ac:dyDescent="0.55000000000000004">
      <c r="C647" s="194"/>
      <c r="D647" s="194"/>
      <c r="E647" s="1825" t="s">
        <v>558</v>
      </c>
      <c r="F647" s="1825"/>
      <c r="G647" s="1825"/>
      <c r="H647" s="1825"/>
      <c r="I647" s="1825"/>
      <c r="J647" s="1825"/>
      <c r="K647" s="1825"/>
      <c r="L647" s="1825"/>
      <c r="M647" s="1825"/>
      <c r="N647" s="1825"/>
      <c r="O647" s="1825"/>
      <c r="P647" s="1826"/>
      <c r="Q647" s="125"/>
      <c r="S647" s="126"/>
      <c r="T647" s="126"/>
      <c r="U647" s="126"/>
      <c r="V647" s="126"/>
    </row>
    <row r="648" spans="3:22" x14ac:dyDescent="0.55000000000000004">
      <c r="C648" s="194"/>
      <c r="D648" s="194"/>
      <c r="E648" s="1825"/>
      <c r="F648" s="1825"/>
      <c r="G648" s="1825"/>
      <c r="H648" s="1825"/>
      <c r="I648" s="1825"/>
      <c r="J648" s="1825"/>
      <c r="K648" s="1825"/>
      <c r="L648" s="1825"/>
      <c r="M648" s="1825"/>
      <c r="N648" s="1825"/>
      <c r="O648" s="1825"/>
      <c r="P648" s="1826"/>
      <c r="Q648" s="125"/>
      <c r="S648" s="126"/>
      <c r="T648" s="126"/>
      <c r="U648" s="126"/>
      <c r="V648" s="126"/>
    </row>
    <row r="649" spans="3:22" x14ac:dyDescent="0.55000000000000004">
      <c r="C649" s="194"/>
      <c r="D649" s="194"/>
      <c r="P649" s="196"/>
      <c r="Q649" s="125"/>
      <c r="S649" s="126"/>
      <c r="T649" s="126"/>
      <c r="U649" s="126"/>
      <c r="V649" s="126"/>
    </row>
    <row r="650" spans="3:22" x14ac:dyDescent="0.55000000000000004">
      <c r="C650" s="194"/>
      <c r="D650" s="194"/>
      <c r="E650" s="206" t="s">
        <v>77</v>
      </c>
      <c r="H650" s="207">
        <v>10</v>
      </c>
      <c r="P650" s="196"/>
      <c r="Q650" s="125"/>
      <c r="S650" s="126"/>
      <c r="T650" s="126"/>
      <c r="U650" s="126"/>
      <c r="V650" s="126"/>
    </row>
    <row r="651" spans="3:22" x14ac:dyDescent="0.55000000000000004">
      <c r="C651" s="194"/>
      <c r="D651" s="194"/>
      <c r="E651" s="10" t="s">
        <v>612</v>
      </c>
      <c r="H651" s="159" t="s">
        <v>613</v>
      </c>
      <c r="P651" s="196"/>
      <c r="Q651" s="125"/>
      <c r="S651" s="126"/>
      <c r="T651" s="126"/>
      <c r="U651" s="126"/>
      <c r="V651" s="126"/>
    </row>
    <row r="652" spans="3:22" x14ac:dyDescent="0.55000000000000004">
      <c r="C652" s="194"/>
      <c r="D652" s="194"/>
      <c r="P652" s="196"/>
      <c r="Q652" s="125"/>
      <c r="S652" s="126"/>
      <c r="T652" s="126"/>
      <c r="U652" s="126"/>
      <c r="V652" s="126"/>
    </row>
    <row r="653" spans="3:22" ht="43.2" x14ac:dyDescent="0.55000000000000004">
      <c r="C653" s="194"/>
      <c r="D653" s="194"/>
      <c r="E653" s="166" t="s">
        <v>78</v>
      </c>
      <c r="F653" s="166" t="s">
        <v>99</v>
      </c>
      <c r="G653" s="197" t="s">
        <v>92</v>
      </c>
      <c r="H653" s="166" t="s">
        <v>80</v>
      </c>
      <c r="I653" s="166" t="s">
        <v>334</v>
      </c>
      <c r="J653" s="166" t="s">
        <v>335</v>
      </c>
      <c r="K653" s="166" t="s">
        <v>339</v>
      </c>
      <c r="L653" s="166" t="s">
        <v>336</v>
      </c>
      <c r="M653" s="166" t="s">
        <v>337</v>
      </c>
      <c r="N653" s="166" t="s">
        <v>338</v>
      </c>
      <c r="O653" s="166" t="s">
        <v>83</v>
      </c>
      <c r="P653" s="208"/>
      <c r="Q653" s="125"/>
      <c r="S653" s="126" t="s">
        <v>614</v>
      </c>
      <c r="T653" s="126" t="s">
        <v>615</v>
      </c>
      <c r="U653" s="126"/>
      <c r="V653" s="126"/>
    </row>
    <row r="654" spans="3:22" x14ac:dyDescent="0.55000000000000004">
      <c r="C654" s="194"/>
      <c r="D654" s="194"/>
      <c r="E654" s="209">
        <f>IF($H$650=U654,U654,1)</f>
        <v>1</v>
      </c>
      <c r="F654" s="210"/>
      <c r="G654" s="211">
        <v>0</v>
      </c>
      <c r="H654" s="212"/>
      <c r="I654" s="213"/>
      <c r="J654" s="70">
        <f>J633-SUMIF(E655:E663,"&lt;="&amp;$H$650,J655:J663)</f>
        <v>0</v>
      </c>
      <c r="K654" s="70">
        <f>F654*J654</f>
        <v>0</v>
      </c>
      <c r="L654" s="114">
        <f>IFERROR(IF(E654&lt;=H650,IF(H651="No",IF(I641=0,I633/SUMPRODUCT(S654:S663,K654:K663),(I633-I641)/SUMPRODUCT(S654:S663,K654:K663)),0),0),0)</f>
        <v>0</v>
      </c>
      <c r="M654" s="44">
        <f>IFERROR(O654/J654,0)</f>
        <v>0</v>
      </c>
      <c r="N654" s="199"/>
      <c r="O654" s="199">
        <f>K654*L654</f>
        <v>0</v>
      </c>
      <c r="P654" s="214"/>
      <c r="Q654" s="125"/>
      <c r="S654" s="92">
        <f>IF(E654&lt;=$H$650,1,0)</f>
        <v>1</v>
      </c>
      <c r="T654" s="126"/>
      <c r="U654" s="126">
        <v>1</v>
      </c>
      <c r="V654" s="126"/>
    </row>
    <row r="655" spans="3:22" x14ac:dyDescent="0.55000000000000004">
      <c r="C655" s="194"/>
      <c r="D655" s="194"/>
      <c r="E655" s="209">
        <f t="shared" ref="E655:E663" si="120">IF($H$650&gt;=U655,U655,"")</f>
        <v>2</v>
      </c>
      <c r="F655" s="210"/>
      <c r="G655" s="211">
        <f t="shared" ref="G655:G663" si="121">IF($H$650&gt;=F655,H654+0.01,"")</f>
        <v>0.01</v>
      </c>
      <c r="H655" s="212"/>
      <c r="I655" s="215"/>
      <c r="J655" s="216"/>
      <c r="K655" s="70">
        <f t="shared" ref="K655:K663" si="122">F655*J655</f>
        <v>0</v>
      </c>
      <c r="L655" s="114">
        <f ca="1">IFERROR(IF(E655&lt;=H650,IF(H651="No",L654*(1+I655),IF(I641=0,I633/SUMPRODUCT(T655:T663,K655:K663),(I633-I641)/SUMPRODUCT(T655:T663,K655:K663))),0),0)</f>
        <v>0</v>
      </c>
      <c r="M655" s="44">
        <f t="shared" ref="M655:M663" ca="1" si="123">IFERROR(O655/J655,0)</f>
        <v>0</v>
      </c>
      <c r="N655" s="217" t="str">
        <f ca="1">IFERROR(M655/M654-1,"")</f>
        <v/>
      </c>
      <c r="O655" s="199">
        <f t="shared" ref="O655:O663" ca="1" si="124">K655*L655</f>
        <v>0</v>
      </c>
      <c r="P655" s="214"/>
      <c r="Q655" s="125"/>
      <c r="S655" s="92">
        <f>IF(E655&lt;=$H$650,(1+I655),0)</f>
        <v>1</v>
      </c>
      <c r="T655" s="92">
        <f>IF(E655&lt;=H650,1,0)</f>
        <v>1</v>
      </c>
      <c r="U655" s="126">
        <v>2</v>
      </c>
      <c r="V655" s="126"/>
    </row>
    <row r="656" spans="3:22" x14ac:dyDescent="0.55000000000000004">
      <c r="C656" s="194"/>
      <c r="D656" s="194"/>
      <c r="E656" s="209">
        <f t="shared" si="120"/>
        <v>3</v>
      </c>
      <c r="F656" s="210"/>
      <c r="G656" s="211">
        <f t="shared" si="121"/>
        <v>0.01</v>
      </c>
      <c r="H656" s="212"/>
      <c r="I656" s="215"/>
      <c r="J656" s="216"/>
      <c r="K656" s="70">
        <f t="shared" si="122"/>
        <v>0</v>
      </c>
      <c r="L656" s="204">
        <f t="shared" ref="L656:L663" ca="1" si="125">IF(E656&lt;=$H$650,L655*(1+I656),0)</f>
        <v>0</v>
      </c>
      <c r="M656" s="44">
        <f t="shared" ca="1" si="123"/>
        <v>0</v>
      </c>
      <c r="N656" s="217" t="str">
        <f t="shared" ref="N656:N663" ca="1" si="126">IFERROR(M656/M655-1,"")</f>
        <v/>
      </c>
      <c r="O656" s="199">
        <f t="shared" ca="1" si="124"/>
        <v>0</v>
      </c>
      <c r="P656" s="214"/>
      <c r="Q656" s="125"/>
      <c r="S656" s="92">
        <f t="shared" ref="S656:S663" si="127">IF(E656&lt;=$H$650,S655*(1+I656),0)</f>
        <v>1</v>
      </c>
      <c r="T656" s="92">
        <f>IF(E656&lt;=H650,T655*(1+I656),0)</f>
        <v>1</v>
      </c>
      <c r="U656" s="126">
        <v>3</v>
      </c>
      <c r="V656" s="126"/>
    </row>
    <row r="657" spans="3:22" x14ac:dyDescent="0.55000000000000004">
      <c r="C657" s="194"/>
      <c r="D657" s="194"/>
      <c r="E657" s="209">
        <f t="shared" si="120"/>
        <v>4</v>
      </c>
      <c r="F657" s="210"/>
      <c r="G657" s="211">
        <f t="shared" si="121"/>
        <v>0.01</v>
      </c>
      <c r="H657" s="212"/>
      <c r="I657" s="215"/>
      <c r="J657" s="216"/>
      <c r="K657" s="70">
        <f t="shared" si="122"/>
        <v>0</v>
      </c>
      <c r="L657" s="204">
        <f t="shared" ca="1" si="125"/>
        <v>0</v>
      </c>
      <c r="M657" s="44">
        <f t="shared" ca="1" si="123"/>
        <v>0</v>
      </c>
      <c r="N657" s="217" t="str">
        <f t="shared" ca="1" si="126"/>
        <v/>
      </c>
      <c r="O657" s="199">
        <f t="shared" ca="1" si="124"/>
        <v>0</v>
      </c>
      <c r="P657" s="214"/>
      <c r="Q657" s="125"/>
      <c r="S657" s="92">
        <f t="shared" si="127"/>
        <v>1</v>
      </c>
      <c r="T657" s="92">
        <f>IF(E657&lt;=H650,T656*(1+I657),0)</f>
        <v>1</v>
      </c>
      <c r="U657" s="126">
        <v>4</v>
      </c>
      <c r="V657" s="126"/>
    </row>
    <row r="658" spans="3:22" x14ac:dyDescent="0.55000000000000004">
      <c r="C658" s="194"/>
      <c r="D658" s="194"/>
      <c r="E658" s="209">
        <f t="shared" si="120"/>
        <v>5</v>
      </c>
      <c r="F658" s="210"/>
      <c r="G658" s="211">
        <f t="shared" si="121"/>
        <v>0.01</v>
      </c>
      <c r="H658" s="212"/>
      <c r="I658" s="215"/>
      <c r="J658" s="216"/>
      <c r="K658" s="70">
        <f t="shared" si="122"/>
        <v>0</v>
      </c>
      <c r="L658" s="204">
        <f t="shared" ca="1" si="125"/>
        <v>0</v>
      </c>
      <c r="M658" s="44">
        <f t="shared" ca="1" si="123"/>
        <v>0</v>
      </c>
      <c r="N658" s="217" t="str">
        <f t="shared" ca="1" si="126"/>
        <v/>
      </c>
      <c r="O658" s="199">
        <f t="shared" ca="1" si="124"/>
        <v>0</v>
      </c>
      <c r="P658" s="214"/>
      <c r="Q658" s="125"/>
      <c r="S658" s="92">
        <f t="shared" si="127"/>
        <v>1</v>
      </c>
      <c r="T658" s="92">
        <f>IF(E658&lt;=H650,T657*(1+I658),0)</f>
        <v>1</v>
      </c>
      <c r="U658" s="126">
        <v>5</v>
      </c>
      <c r="V658" s="126"/>
    </row>
    <row r="659" spans="3:22" x14ac:dyDescent="0.55000000000000004">
      <c r="C659" s="194"/>
      <c r="D659" s="194"/>
      <c r="E659" s="209">
        <f t="shared" si="120"/>
        <v>6</v>
      </c>
      <c r="F659" s="210"/>
      <c r="G659" s="211">
        <f t="shared" si="121"/>
        <v>0.01</v>
      </c>
      <c r="H659" s="207"/>
      <c r="I659" s="215"/>
      <c r="J659" s="216"/>
      <c r="K659" s="70">
        <f t="shared" si="122"/>
        <v>0</v>
      </c>
      <c r="L659" s="204">
        <f t="shared" ca="1" si="125"/>
        <v>0</v>
      </c>
      <c r="M659" s="44">
        <f t="shared" ca="1" si="123"/>
        <v>0</v>
      </c>
      <c r="N659" s="217" t="str">
        <f t="shared" ca="1" si="126"/>
        <v/>
      </c>
      <c r="O659" s="199">
        <f t="shared" ca="1" si="124"/>
        <v>0</v>
      </c>
      <c r="P659" s="214"/>
      <c r="Q659" s="125"/>
      <c r="S659" s="92">
        <f t="shared" si="127"/>
        <v>1</v>
      </c>
      <c r="T659" s="92">
        <f>IF(E659&lt;=H650,T658*(1+I659),0)</f>
        <v>1</v>
      </c>
      <c r="U659" s="126">
        <v>6</v>
      </c>
      <c r="V659" s="126"/>
    </row>
    <row r="660" spans="3:22" x14ac:dyDescent="0.55000000000000004">
      <c r="C660" s="194"/>
      <c r="D660" s="194"/>
      <c r="E660" s="209">
        <f t="shared" si="120"/>
        <v>7</v>
      </c>
      <c r="F660" s="210"/>
      <c r="G660" s="211">
        <f t="shared" si="121"/>
        <v>0.01</v>
      </c>
      <c r="H660" s="207"/>
      <c r="I660" s="215"/>
      <c r="J660" s="216"/>
      <c r="K660" s="70">
        <f t="shared" si="122"/>
        <v>0</v>
      </c>
      <c r="L660" s="204">
        <f t="shared" ca="1" si="125"/>
        <v>0</v>
      </c>
      <c r="M660" s="44">
        <f t="shared" ca="1" si="123"/>
        <v>0</v>
      </c>
      <c r="N660" s="217" t="str">
        <f t="shared" ca="1" si="126"/>
        <v/>
      </c>
      <c r="O660" s="199">
        <f t="shared" ca="1" si="124"/>
        <v>0</v>
      </c>
      <c r="P660" s="214"/>
      <c r="Q660" s="125"/>
      <c r="S660" s="92">
        <f t="shared" si="127"/>
        <v>1</v>
      </c>
      <c r="T660" s="92">
        <f>IF(E660&lt;=H650,T659*(1+I660),0)</f>
        <v>1</v>
      </c>
      <c r="U660" s="126">
        <v>7</v>
      </c>
      <c r="V660" s="126"/>
    </row>
    <row r="661" spans="3:22" x14ac:dyDescent="0.55000000000000004">
      <c r="C661" s="194"/>
      <c r="D661" s="194"/>
      <c r="E661" s="209">
        <f t="shared" si="120"/>
        <v>8</v>
      </c>
      <c r="F661" s="210"/>
      <c r="G661" s="211">
        <f t="shared" si="121"/>
        <v>0.01</v>
      </c>
      <c r="H661" s="207"/>
      <c r="I661" s="215"/>
      <c r="J661" s="216"/>
      <c r="K661" s="70">
        <f t="shared" si="122"/>
        <v>0</v>
      </c>
      <c r="L661" s="204">
        <f t="shared" ca="1" si="125"/>
        <v>0</v>
      </c>
      <c r="M661" s="44">
        <f t="shared" ca="1" si="123"/>
        <v>0</v>
      </c>
      <c r="N661" s="217" t="str">
        <f t="shared" ca="1" si="126"/>
        <v/>
      </c>
      <c r="O661" s="199">
        <f t="shared" ca="1" si="124"/>
        <v>0</v>
      </c>
      <c r="P661" s="214"/>
      <c r="Q661" s="125"/>
      <c r="S661" s="92">
        <f t="shared" si="127"/>
        <v>1</v>
      </c>
      <c r="T661" s="92">
        <f>IF(E661&lt;=H650,T660*(1+I661),0)</f>
        <v>1</v>
      </c>
      <c r="U661" s="126">
        <v>8</v>
      </c>
      <c r="V661" s="126"/>
    </row>
    <row r="662" spans="3:22" x14ac:dyDescent="0.55000000000000004">
      <c r="C662" s="194"/>
      <c r="D662" s="194"/>
      <c r="E662" s="209">
        <f t="shared" si="120"/>
        <v>9</v>
      </c>
      <c r="F662" s="210"/>
      <c r="G662" s="211">
        <f t="shared" si="121"/>
        <v>0.01</v>
      </c>
      <c r="H662" s="207"/>
      <c r="I662" s="215"/>
      <c r="J662" s="216"/>
      <c r="K662" s="70">
        <f t="shared" si="122"/>
        <v>0</v>
      </c>
      <c r="L662" s="204">
        <f t="shared" ca="1" si="125"/>
        <v>0</v>
      </c>
      <c r="M662" s="44">
        <f t="shared" ca="1" si="123"/>
        <v>0</v>
      </c>
      <c r="N662" s="217" t="str">
        <f t="shared" ca="1" si="126"/>
        <v/>
      </c>
      <c r="O662" s="199">
        <f t="shared" ca="1" si="124"/>
        <v>0</v>
      </c>
      <c r="P662" s="214"/>
      <c r="Q662" s="125"/>
      <c r="S662" s="92">
        <f t="shared" si="127"/>
        <v>1</v>
      </c>
      <c r="T662" s="92">
        <f>IF(E662&lt;=H650,T661*(1+I662),0)</f>
        <v>1</v>
      </c>
      <c r="U662" s="126">
        <v>9</v>
      </c>
      <c r="V662" s="126"/>
    </row>
    <row r="663" spans="3:22" x14ac:dyDescent="0.55000000000000004">
      <c r="C663" s="194"/>
      <c r="D663" s="194"/>
      <c r="E663" s="209">
        <f t="shared" si="120"/>
        <v>10</v>
      </c>
      <c r="F663" s="210"/>
      <c r="G663" s="211">
        <f t="shared" si="121"/>
        <v>0.01</v>
      </c>
      <c r="H663" s="209" t="s">
        <v>84</v>
      </c>
      <c r="I663" s="215"/>
      <c r="J663" s="216"/>
      <c r="K663" s="70">
        <f t="shared" si="122"/>
        <v>0</v>
      </c>
      <c r="L663" s="204">
        <f t="shared" ca="1" si="125"/>
        <v>0</v>
      </c>
      <c r="M663" s="44">
        <f t="shared" ca="1" si="123"/>
        <v>0</v>
      </c>
      <c r="N663" s="217" t="str">
        <f t="shared" ca="1" si="126"/>
        <v/>
      </c>
      <c r="O663" s="199">
        <f t="shared" ca="1" si="124"/>
        <v>0</v>
      </c>
      <c r="P663" s="214"/>
      <c r="Q663" s="125"/>
      <c r="S663" s="92">
        <f t="shared" si="127"/>
        <v>1</v>
      </c>
      <c r="T663" s="92">
        <f>IF(E663&lt;=H650,T662*(1+I663),0)</f>
        <v>1</v>
      </c>
      <c r="U663" s="126">
        <v>10</v>
      </c>
      <c r="V663" s="126"/>
    </row>
    <row r="664" spans="3:22" ht="14.7" thickBot="1" x14ac:dyDescent="0.6">
      <c r="C664" s="194"/>
      <c r="D664" s="200"/>
      <c r="E664" s="201"/>
      <c r="F664" s="201"/>
      <c r="G664" s="201"/>
      <c r="H664" s="201"/>
      <c r="I664" s="201"/>
      <c r="J664" s="201"/>
      <c r="K664" s="201"/>
      <c r="L664" s="201"/>
      <c r="M664" s="201"/>
      <c r="N664" s="201"/>
      <c r="O664" s="201"/>
      <c r="P664" s="202"/>
      <c r="Q664" s="125"/>
      <c r="S664" s="126"/>
      <c r="T664" s="126"/>
      <c r="U664" s="126"/>
      <c r="V664" s="126"/>
    </row>
    <row r="665" spans="3:22" ht="14.7" thickBot="1" x14ac:dyDescent="0.6">
      <c r="C665" s="200"/>
      <c r="D665" s="201"/>
      <c r="E665" s="201"/>
      <c r="F665" s="201"/>
      <c r="G665" s="201"/>
      <c r="H665" s="201"/>
      <c r="I665" s="201"/>
      <c r="J665" s="201"/>
      <c r="K665" s="201"/>
      <c r="L665" s="201"/>
      <c r="M665" s="201"/>
      <c r="N665" s="201"/>
      <c r="O665" s="201"/>
      <c r="P665" s="201"/>
      <c r="Q665" s="132"/>
      <c r="S665" s="126"/>
      <c r="T665" s="126"/>
      <c r="U665" s="126"/>
      <c r="V665" s="126"/>
    </row>
    <row r="666" spans="3:22" ht="14.7" thickBot="1" x14ac:dyDescent="0.6">
      <c r="S666" s="126"/>
      <c r="T666" s="126"/>
      <c r="U666" s="126"/>
      <c r="V666" s="126"/>
    </row>
    <row r="667" spans="3:22" x14ac:dyDescent="0.55000000000000004">
      <c r="C667" s="192"/>
      <c r="D667" s="193"/>
      <c r="E667" s="193"/>
      <c r="F667" s="193"/>
      <c r="G667" s="193"/>
      <c r="H667" s="193"/>
      <c r="I667" s="193"/>
      <c r="J667" s="193"/>
      <c r="K667" s="193"/>
      <c r="L667" s="193"/>
      <c r="M667" s="193"/>
      <c r="N667" s="193"/>
      <c r="O667" s="193"/>
      <c r="P667" s="193"/>
      <c r="Q667" s="123"/>
      <c r="S667" s="126"/>
      <c r="T667" s="126"/>
      <c r="U667" s="126"/>
      <c r="V667" s="126"/>
    </row>
    <row r="668" spans="3:22" ht="18.3" x14ac:dyDescent="0.7">
      <c r="C668" s="194"/>
      <c r="D668" s="1824">
        <f>'2 Customer data'!D73</f>
        <v>0</v>
      </c>
      <c r="E668" s="1824"/>
      <c r="F668" s="1824"/>
      <c r="G668" s="1824"/>
      <c r="H668" s="1824"/>
      <c r="I668" s="1824"/>
      <c r="J668" s="1824"/>
      <c r="K668" s="1824"/>
      <c r="L668" s="1824"/>
      <c r="M668" s="1824"/>
      <c r="N668" s="1824"/>
      <c r="O668" s="1824"/>
      <c r="Q668" s="125"/>
      <c r="S668" s="126"/>
      <c r="T668" s="126"/>
      <c r="U668" s="126"/>
      <c r="V668" s="126"/>
    </row>
    <row r="669" spans="3:22" ht="14.7" thickBot="1" x14ac:dyDescent="0.6">
      <c r="C669" s="194"/>
      <c r="Q669" s="125"/>
      <c r="S669" s="126"/>
      <c r="T669" s="126"/>
      <c r="U669" s="126"/>
      <c r="V669" s="126"/>
    </row>
    <row r="670" spans="3:22" x14ac:dyDescent="0.55000000000000004">
      <c r="C670" s="194"/>
      <c r="D670" s="192"/>
      <c r="E670" s="193"/>
      <c r="F670" s="193"/>
      <c r="G670" s="193"/>
      <c r="H670" s="193"/>
      <c r="I670" s="193"/>
      <c r="J670" s="193"/>
      <c r="K670" s="193"/>
      <c r="L670" s="193"/>
      <c r="M670" s="193"/>
      <c r="N670" s="193"/>
      <c r="O670" s="193"/>
      <c r="P670" s="195"/>
      <c r="Q670" s="125"/>
      <c r="S670" s="126"/>
      <c r="T670" s="126"/>
      <c r="U670" s="126"/>
      <c r="V670" s="126"/>
    </row>
    <row r="671" spans="3:22" x14ac:dyDescent="0.55000000000000004">
      <c r="C671" s="194"/>
      <c r="D671" s="194"/>
      <c r="E671" s="138" t="str">
        <f>'2 Customer data'!D73&amp;" "&amp;"information"</f>
        <v xml:space="preserve"> information</v>
      </c>
      <c r="P671" s="196"/>
      <c r="Q671" s="125"/>
      <c r="S671" s="126"/>
      <c r="T671" s="126"/>
      <c r="U671" s="126"/>
      <c r="V671" s="126"/>
    </row>
    <row r="672" spans="3:22" x14ac:dyDescent="0.55000000000000004">
      <c r="C672" s="194"/>
      <c r="D672" s="194"/>
      <c r="P672" s="196"/>
      <c r="Q672" s="125"/>
      <c r="S672" s="126"/>
      <c r="T672" s="126"/>
      <c r="U672" s="126"/>
      <c r="V672" s="126"/>
    </row>
    <row r="673" spans="3:22" ht="28.8" x14ac:dyDescent="0.55000000000000004">
      <c r="C673" s="194"/>
      <c r="D673" s="194"/>
      <c r="F673" s="166" t="s">
        <v>28</v>
      </c>
      <c r="G673" s="166" t="s">
        <v>69</v>
      </c>
      <c r="H673" s="197" t="s">
        <v>70</v>
      </c>
      <c r="I673" s="166" t="s">
        <v>71</v>
      </c>
      <c r="J673" s="198" t="s">
        <v>277</v>
      </c>
      <c r="P673" s="196"/>
      <c r="Q673" s="125"/>
      <c r="S673" s="126"/>
      <c r="T673" s="126"/>
      <c r="U673" s="126"/>
      <c r="V673" s="126"/>
    </row>
    <row r="674" spans="3:22" x14ac:dyDescent="0.55000000000000004">
      <c r="C674" s="194"/>
      <c r="D674" s="194"/>
      <c r="E674" s="10">
        <f>'2 Customer data'!D73</f>
        <v>0</v>
      </c>
      <c r="F674" s="113">
        <f>IFERROR(IF(VLOOKUP(E674,'2 Customer data'!$D$57:$M$76,6,FALSE)="",VLOOKUP(E674,'2 Customer data'!$D$57:$M$76,5,FALSE),VLOOKUP(E674,'2 Customer data'!$D$57:$M$76,6,FALSE)),0)</f>
        <v>0</v>
      </c>
      <c r="G674" s="113">
        <f ca="1">IFERROR(VLOOKUP(E674,'2 Sanitation'!$D$19:$J$38,5,FALSE),0)</f>
        <v>0</v>
      </c>
      <c r="H674" s="113">
        <f ca="1">IFERROR(VLOOKUP(E674,'2 Sanitation'!$D$19:$J$38,6,FALSE),0)</f>
        <v>0</v>
      </c>
      <c r="I674" s="113">
        <f ca="1">IFERROR(VLOOKUP(E674,'2 Sanitation'!$D$153:$K$172,8,FALSE),0)</f>
        <v>0</v>
      </c>
      <c r="J674" s="199">
        <f>IFERROR(IF(VLOOKUP(E674,'2 Customer data'!$D$57:$M$76,8,FALSE)="",VLOOKUP(E674,'2 Customer data'!$D$57:$M$76,7,FALSE),VLOOKUP(E674,'2 Customer data'!$D$57:$M$76,8,FALSE)),0)</f>
        <v>0</v>
      </c>
      <c r="P674" s="196"/>
      <c r="Q674" s="125"/>
      <c r="S674" s="126"/>
      <c r="T674" s="126"/>
      <c r="U674" s="126"/>
      <c r="V674" s="126"/>
    </row>
    <row r="675" spans="3:22" ht="14.7" thickBot="1" x14ac:dyDescent="0.6">
      <c r="C675" s="194"/>
      <c r="D675" s="200"/>
      <c r="E675" s="201"/>
      <c r="F675" s="201"/>
      <c r="G675" s="201"/>
      <c r="H675" s="201"/>
      <c r="I675" s="201"/>
      <c r="J675" s="201"/>
      <c r="K675" s="201"/>
      <c r="L675" s="201"/>
      <c r="M675" s="201"/>
      <c r="N675" s="201"/>
      <c r="O675" s="201"/>
      <c r="P675" s="202"/>
      <c r="Q675" s="125"/>
      <c r="S675" s="126"/>
      <c r="T675" s="126"/>
      <c r="U675" s="126"/>
      <c r="V675" s="126"/>
    </row>
    <row r="676" spans="3:22" ht="14.7" thickBot="1" x14ac:dyDescent="0.6">
      <c r="C676" s="194"/>
      <c r="Q676" s="125"/>
      <c r="S676" s="126"/>
      <c r="T676" s="126"/>
      <c r="U676" s="126"/>
      <c r="V676" s="126"/>
    </row>
    <row r="677" spans="3:22" x14ac:dyDescent="0.55000000000000004">
      <c r="C677" s="194"/>
      <c r="D677" s="192"/>
      <c r="E677" s="193"/>
      <c r="F677" s="193"/>
      <c r="G677" s="193"/>
      <c r="H677" s="193"/>
      <c r="I677" s="193"/>
      <c r="J677" s="193"/>
      <c r="K677" s="193"/>
      <c r="L677" s="193"/>
      <c r="M677" s="193"/>
      <c r="N677" s="193"/>
      <c r="O677" s="193"/>
      <c r="P677" s="195"/>
      <c r="Q677" s="125"/>
      <c r="S677" s="126"/>
      <c r="T677" s="126"/>
      <c r="U677" s="126"/>
      <c r="V677" s="126"/>
    </row>
    <row r="678" spans="3:22" x14ac:dyDescent="0.55000000000000004">
      <c r="C678" s="194"/>
      <c r="D678" s="194"/>
      <c r="E678" s="138" t="s">
        <v>93</v>
      </c>
      <c r="P678" s="196"/>
      <c r="Q678" s="125"/>
      <c r="S678" s="126"/>
      <c r="T678" s="126"/>
      <c r="U678" s="126"/>
      <c r="V678" s="126"/>
    </row>
    <row r="679" spans="3:22" x14ac:dyDescent="0.55000000000000004">
      <c r="C679" s="194"/>
      <c r="D679" s="194"/>
      <c r="E679" s="203" t="s">
        <v>555</v>
      </c>
      <c r="P679" s="196"/>
      <c r="Q679" s="125"/>
      <c r="S679" s="126"/>
      <c r="T679" s="126"/>
      <c r="U679" s="126"/>
      <c r="V679" s="126"/>
    </row>
    <row r="680" spans="3:22" x14ac:dyDescent="0.55000000000000004">
      <c r="C680" s="194"/>
      <c r="D680" s="194"/>
      <c r="P680" s="196"/>
      <c r="Q680" s="125"/>
      <c r="S680" s="126"/>
      <c r="T680" s="126"/>
      <c r="U680" s="126"/>
      <c r="V680" s="126"/>
    </row>
    <row r="681" spans="3:22" ht="43.2" x14ac:dyDescent="0.55000000000000004">
      <c r="C681" s="194"/>
      <c r="D681" s="194"/>
      <c r="F681" s="166" t="s">
        <v>86</v>
      </c>
      <c r="G681" s="166" t="s">
        <v>73</v>
      </c>
      <c r="H681" s="166" t="s">
        <v>74</v>
      </c>
      <c r="I681" s="166" t="s">
        <v>75</v>
      </c>
      <c r="J681" s="166" t="s">
        <v>76</v>
      </c>
      <c r="P681" s="196"/>
      <c r="Q681" s="125"/>
      <c r="S681" s="126"/>
      <c r="T681" s="126"/>
      <c r="U681" s="126"/>
      <c r="V681" s="126"/>
    </row>
    <row r="682" spans="3:22" x14ac:dyDescent="0.55000000000000004">
      <c r="C682" s="194"/>
      <c r="D682" s="194"/>
      <c r="E682" s="10">
        <f>E674</f>
        <v>0</v>
      </c>
      <c r="F682" s="113">
        <f ca="1">G674</f>
        <v>0</v>
      </c>
      <c r="G682" s="204">
        <f ca="1">IFERROR(F682/F674/12,0)</f>
        <v>0</v>
      </c>
      <c r="H682" s="205"/>
      <c r="I682" s="113">
        <f>H682*F674*12</f>
        <v>0</v>
      </c>
      <c r="J682" s="70">
        <f>I682/12</f>
        <v>0</v>
      </c>
      <c r="P682" s="196"/>
      <c r="Q682" s="125"/>
      <c r="S682" s="126"/>
      <c r="T682" s="126"/>
      <c r="U682" s="126"/>
      <c r="V682" s="126"/>
    </row>
    <row r="683" spans="3:22" x14ac:dyDescent="0.55000000000000004">
      <c r="C683" s="194"/>
      <c r="D683" s="194"/>
      <c r="F683" s="58" t="str">
        <f>IF(I682&gt;I673,"Error: revenue from fixed charges exceeds total revenue required from tariff. Reduce fixed charge.","")</f>
        <v/>
      </c>
      <c r="G683" s="156"/>
      <c r="H683" s="156"/>
      <c r="I683" s="156"/>
      <c r="J683" s="158"/>
      <c r="P683" s="196"/>
      <c r="Q683" s="125"/>
      <c r="S683" s="126"/>
      <c r="T683" s="126"/>
      <c r="U683" s="126"/>
      <c r="V683" s="126"/>
    </row>
    <row r="684" spans="3:22" ht="14.7" thickBot="1" x14ac:dyDescent="0.6">
      <c r="C684" s="194"/>
      <c r="D684" s="200"/>
      <c r="E684" s="201"/>
      <c r="F684" s="201"/>
      <c r="G684" s="201"/>
      <c r="H684" s="201"/>
      <c r="I684" s="201"/>
      <c r="J684" s="201"/>
      <c r="K684" s="201"/>
      <c r="L684" s="201"/>
      <c r="M684" s="201"/>
      <c r="N684" s="201"/>
      <c r="O684" s="201"/>
      <c r="P684" s="202"/>
      <c r="Q684" s="125"/>
      <c r="S684" s="126"/>
      <c r="T684" s="126"/>
      <c r="U684" s="126"/>
      <c r="V684" s="126"/>
    </row>
    <row r="685" spans="3:22" ht="14.7" thickBot="1" x14ac:dyDescent="0.6">
      <c r="C685" s="194"/>
      <c r="Q685" s="125"/>
      <c r="S685" s="126"/>
      <c r="T685" s="126"/>
      <c r="U685" s="126"/>
      <c r="V685" s="126"/>
    </row>
    <row r="686" spans="3:22" x14ac:dyDescent="0.55000000000000004">
      <c r="C686" s="194"/>
      <c r="D686" s="192"/>
      <c r="E686" s="193"/>
      <c r="F686" s="193"/>
      <c r="G686" s="193"/>
      <c r="H686" s="193"/>
      <c r="I686" s="193"/>
      <c r="J686" s="193"/>
      <c r="K686" s="193"/>
      <c r="L686" s="193"/>
      <c r="M686" s="193"/>
      <c r="N686" s="193"/>
      <c r="O686" s="193"/>
      <c r="P686" s="195"/>
      <c r="Q686" s="125"/>
      <c r="S686" s="126"/>
      <c r="T686" s="126"/>
      <c r="U686" s="126"/>
      <c r="V686" s="126"/>
    </row>
    <row r="687" spans="3:22" x14ac:dyDescent="0.55000000000000004">
      <c r="C687" s="194"/>
      <c r="D687" s="194"/>
      <c r="E687" s="138" t="s">
        <v>96</v>
      </c>
      <c r="P687" s="196"/>
      <c r="Q687" s="125"/>
      <c r="S687" s="126"/>
      <c r="T687" s="126"/>
      <c r="U687" s="126"/>
      <c r="V687" s="126"/>
    </row>
    <row r="688" spans="3:22" ht="14.55" customHeight="1" x14ac:dyDescent="0.55000000000000004">
      <c r="C688" s="194"/>
      <c r="D688" s="194"/>
      <c r="E688" s="1825" t="s">
        <v>558</v>
      </c>
      <c r="F688" s="1825"/>
      <c r="G688" s="1825"/>
      <c r="H688" s="1825"/>
      <c r="I688" s="1825"/>
      <c r="J688" s="1825"/>
      <c r="K688" s="1825"/>
      <c r="L688" s="1825"/>
      <c r="M688" s="1825"/>
      <c r="N688" s="1825"/>
      <c r="O688" s="1825"/>
      <c r="P688" s="1826"/>
      <c r="Q688" s="125"/>
      <c r="S688" s="126"/>
      <c r="T688" s="126"/>
      <c r="U688" s="126"/>
      <c r="V688" s="126"/>
    </row>
    <row r="689" spans="3:22" x14ac:dyDescent="0.55000000000000004">
      <c r="C689" s="194"/>
      <c r="D689" s="194"/>
      <c r="E689" s="1825"/>
      <c r="F689" s="1825"/>
      <c r="G689" s="1825"/>
      <c r="H689" s="1825"/>
      <c r="I689" s="1825"/>
      <c r="J689" s="1825"/>
      <c r="K689" s="1825"/>
      <c r="L689" s="1825"/>
      <c r="M689" s="1825"/>
      <c r="N689" s="1825"/>
      <c r="O689" s="1825"/>
      <c r="P689" s="1826"/>
      <c r="Q689" s="125"/>
      <c r="S689" s="126"/>
      <c r="T689" s="126"/>
      <c r="U689" s="126"/>
      <c r="V689" s="126"/>
    </row>
    <row r="690" spans="3:22" x14ac:dyDescent="0.55000000000000004">
      <c r="C690" s="194"/>
      <c r="D690" s="194"/>
      <c r="P690" s="196"/>
      <c r="Q690" s="125"/>
      <c r="S690" s="126"/>
      <c r="T690" s="126"/>
      <c r="U690" s="126"/>
      <c r="V690" s="126"/>
    </row>
    <row r="691" spans="3:22" x14ac:dyDescent="0.55000000000000004">
      <c r="C691" s="194"/>
      <c r="D691" s="194"/>
      <c r="E691" s="206" t="s">
        <v>77</v>
      </c>
      <c r="H691" s="207">
        <v>10</v>
      </c>
      <c r="P691" s="196"/>
      <c r="Q691" s="125"/>
      <c r="S691" s="126"/>
      <c r="T691" s="126"/>
      <c r="U691" s="126"/>
      <c r="V691" s="126"/>
    </row>
    <row r="692" spans="3:22" x14ac:dyDescent="0.55000000000000004">
      <c r="C692" s="194"/>
      <c r="D692" s="194"/>
      <c r="E692" s="10" t="s">
        <v>612</v>
      </c>
      <c r="H692" s="159" t="s">
        <v>613</v>
      </c>
      <c r="P692" s="196"/>
      <c r="Q692" s="125"/>
      <c r="S692" s="126"/>
      <c r="T692" s="126"/>
      <c r="U692" s="126"/>
      <c r="V692" s="126"/>
    </row>
    <row r="693" spans="3:22" x14ac:dyDescent="0.55000000000000004">
      <c r="C693" s="194"/>
      <c r="D693" s="194"/>
      <c r="P693" s="196"/>
      <c r="Q693" s="125"/>
      <c r="S693" s="126"/>
      <c r="T693" s="126"/>
      <c r="U693" s="126"/>
      <c r="V693" s="126"/>
    </row>
    <row r="694" spans="3:22" ht="43.2" x14ac:dyDescent="0.55000000000000004">
      <c r="C694" s="194"/>
      <c r="D694" s="194"/>
      <c r="E694" s="166" t="s">
        <v>78</v>
      </c>
      <c r="F694" s="166" t="s">
        <v>99</v>
      </c>
      <c r="G694" s="197" t="s">
        <v>92</v>
      </c>
      <c r="H694" s="166" t="s">
        <v>80</v>
      </c>
      <c r="I694" s="166" t="s">
        <v>334</v>
      </c>
      <c r="J694" s="166" t="s">
        <v>335</v>
      </c>
      <c r="K694" s="166" t="s">
        <v>339</v>
      </c>
      <c r="L694" s="166" t="s">
        <v>336</v>
      </c>
      <c r="M694" s="166" t="s">
        <v>337</v>
      </c>
      <c r="N694" s="166" t="s">
        <v>338</v>
      </c>
      <c r="O694" s="166" t="s">
        <v>83</v>
      </c>
      <c r="P694" s="208"/>
      <c r="Q694" s="125"/>
      <c r="S694" s="126" t="s">
        <v>614</v>
      </c>
      <c r="T694" s="126" t="s">
        <v>615</v>
      </c>
      <c r="U694" s="126"/>
      <c r="V694" s="126"/>
    </row>
    <row r="695" spans="3:22" x14ac:dyDescent="0.55000000000000004">
      <c r="C695" s="194"/>
      <c r="D695" s="194"/>
      <c r="E695" s="209">
        <f>IF($H$691=U695,U695,1)</f>
        <v>1</v>
      </c>
      <c r="F695" s="210"/>
      <c r="G695" s="211">
        <v>0</v>
      </c>
      <c r="H695" s="212"/>
      <c r="I695" s="213"/>
      <c r="J695" s="70">
        <f>J674-SUMIF(E696:E704,"&lt;="&amp;$H$691,J696:J704)</f>
        <v>0</v>
      </c>
      <c r="K695" s="70">
        <f>F695*J695</f>
        <v>0</v>
      </c>
      <c r="L695" s="114">
        <f>IFERROR(IF(E695&lt;=H691,IF(H692="No",IF(I682=0,I674/SUMPRODUCT(S695:S704,K695:K704),(I674-I682)/SUMPRODUCT(S695:S704,K695:K704)),0),0),0)</f>
        <v>0</v>
      </c>
      <c r="M695" s="44">
        <f>IFERROR(O695/J695,0)</f>
        <v>0</v>
      </c>
      <c r="N695" s="199"/>
      <c r="O695" s="199">
        <f>K695*L695</f>
        <v>0</v>
      </c>
      <c r="P695" s="214"/>
      <c r="Q695" s="125"/>
      <c r="S695" s="92">
        <f>IF(E695&lt;=$H$691,1,0)</f>
        <v>1</v>
      </c>
      <c r="T695" s="126"/>
      <c r="U695" s="126">
        <v>1</v>
      </c>
      <c r="V695" s="126"/>
    </row>
    <row r="696" spans="3:22" x14ac:dyDescent="0.55000000000000004">
      <c r="C696" s="194"/>
      <c r="D696" s="194"/>
      <c r="E696" s="209">
        <f t="shared" ref="E696:E704" si="128">IF($H$691&gt;=U696,U696,"")</f>
        <v>2</v>
      </c>
      <c r="F696" s="210"/>
      <c r="G696" s="211">
        <f t="shared" ref="G696:G704" si="129">IF($H$691&gt;=F696,H695+0.01,"")</f>
        <v>0.01</v>
      </c>
      <c r="H696" s="212"/>
      <c r="I696" s="215"/>
      <c r="J696" s="216"/>
      <c r="K696" s="70">
        <f t="shared" ref="K696:K704" si="130">F696*J696</f>
        <v>0</v>
      </c>
      <c r="L696" s="114">
        <f ca="1">IFERROR(IF(E696&lt;=H691,IF(H692="No",L695*(1+I696),IF(I682=0,I674/SUMPRODUCT(T696:T704,K696:K704),(I674-I682)/SUMPRODUCT(T696:T704,K696:K704))),0),0)</f>
        <v>0</v>
      </c>
      <c r="M696" s="44">
        <f t="shared" ref="M696:M704" ca="1" si="131">IFERROR(O696/J696,0)</f>
        <v>0</v>
      </c>
      <c r="N696" s="217" t="str">
        <f ca="1">IFERROR(M696/M695-1,"")</f>
        <v/>
      </c>
      <c r="O696" s="199">
        <f t="shared" ref="O696:O704" ca="1" si="132">K696*L696</f>
        <v>0</v>
      </c>
      <c r="P696" s="214"/>
      <c r="Q696" s="125"/>
      <c r="S696" s="92">
        <f>IF(E696&lt;=$H$691,(1+I696),0)</f>
        <v>1</v>
      </c>
      <c r="T696" s="92">
        <f>IF(E696&lt;=H691,1,0)</f>
        <v>1</v>
      </c>
      <c r="U696" s="126">
        <v>2</v>
      </c>
      <c r="V696" s="126"/>
    </row>
    <row r="697" spans="3:22" x14ac:dyDescent="0.55000000000000004">
      <c r="C697" s="194"/>
      <c r="D697" s="194"/>
      <c r="E697" s="209">
        <f t="shared" si="128"/>
        <v>3</v>
      </c>
      <c r="F697" s="210"/>
      <c r="G697" s="211">
        <f t="shared" si="129"/>
        <v>0.01</v>
      </c>
      <c r="H697" s="212"/>
      <c r="I697" s="215"/>
      <c r="J697" s="216"/>
      <c r="K697" s="70">
        <f t="shared" si="130"/>
        <v>0</v>
      </c>
      <c r="L697" s="204">
        <f t="shared" ref="L697:L704" ca="1" si="133">IF(E697&lt;=$H$691,L696*(1+I697),0)</f>
        <v>0</v>
      </c>
      <c r="M697" s="44">
        <f t="shared" ca="1" si="131"/>
        <v>0</v>
      </c>
      <c r="N697" s="217" t="str">
        <f t="shared" ref="N697:N704" ca="1" si="134">IFERROR(M697/M696-1,"")</f>
        <v/>
      </c>
      <c r="O697" s="199">
        <f t="shared" ca="1" si="132"/>
        <v>0</v>
      </c>
      <c r="P697" s="214"/>
      <c r="Q697" s="125"/>
      <c r="S697" s="92">
        <f t="shared" ref="S697:S704" si="135">IF(E697&lt;=$H$691,S696*(1+I697),0)</f>
        <v>1</v>
      </c>
      <c r="T697" s="92">
        <f>IF(E697&lt;=H691,T696*(1+I697),0)</f>
        <v>1</v>
      </c>
      <c r="U697" s="126">
        <v>3</v>
      </c>
      <c r="V697" s="126"/>
    </row>
    <row r="698" spans="3:22" x14ac:dyDescent="0.55000000000000004">
      <c r="C698" s="194"/>
      <c r="D698" s="194"/>
      <c r="E698" s="209">
        <f t="shared" si="128"/>
        <v>4</v>
      </c>
      <c r="F698" s="210"/>
      <c r="G698" s="211">
        <f t="shared" si="129"/>
        <v>0.01</v>
      </c>
      <c r="H698" s="212"/>
      <c r="I698" s="215"/>
      <c r="J698" s="216"/>
      <c r="K698" s="70">
        <f t="shared" si="130"/>
        <v>0</v>
      </c>
      <c r="L698" s="204">
        <f t="shared" ca="1" si="133"/>
        <v>0</v>
      </c>
      <c r="M698" s="44">
        <f t="shared" ca="1" si="131"/>
        <v>0</v>
      </c>
      <c r="N698" s="217" t="str">
        <f t="shared" ca="1" si="134"/>
        <v/>
      </c>
      <c r="O698" s="199">
        <f t="shared" ca="1" si="132"/>
        <v>0</v>
      </c>
      <c r="P698" s="214"/>
      <c r="Q698" s="125"/>
      <c r="S698" s="92">
        <f t="shared" si="135"/>
        <v>1</v>
      </c>
      <c r="T698" s="92">
        <f>IF(E698&lt;=H691,T697*(1+I698),0)</f>
        <v>1</v>
      </c>
      <c r="U698" s="126">
        <v>4</v>
      </c>
      <c r="V698" s="126"/>
    </row>
    <row r="699" spans="3:22" x14ac:dyDescent="0.55000000000000004">
      <c r="C699" s="194"/>
      <c r="D699" s="194"/>
      <c r="E699" s="209">
        <f t="shared" si="128"/>
        <v>5</v>
      </c>
      <c r="F699" s="210"/>
      <c r="G699" s="211">
        <f t="shared" si="129"/>
        <v>0.01</v>
      </c>
      <c r="H699" s="212"/>
      <c r="I699" s="215"/>
      <c r="J699" s="216"/>
      <c r="K699" s="70">
        <f t="shared" si="130"/>
        <v>0</v>
      </c>
      <c r="L699" s="204">
        <f t="shared" ca="1" si="133"/>
        <v>0</v>
      </c>
      <c r="M699" s="44">
        <f t="shared" ca="1" si="131"/>
        <v>0</v>
      </c>
      <c r="N699" s="217" t="str">
        <f t="shared" ca="1" si="134"/>
        <v/>
      </c>
      <c r="O699" s="199">
        <f t="shared" ca="1" si="132"/>
        <v>0</v>
      </c>
      <c r="P699" s="214"/>
      <c r="Q699" s="125"/>
      <c r="S699" s="92">
        <f t="shared" si="135"/>
        <v>1</v>
      </c>
      <c r="T699" s="92">
        <f>IF(E699&lt;=H691,T698*(1+I699),0)</f>
        <v>1</v>
      </c>
      <c r="U699" s="126">
        <v>5</v>
      </c>
      <c r="V699" s="126"/>
    </row>
    <row r="700" spans="3:22" x14ac:dyDescent="0.55000000000000004">
      <c r="C700" s="194"/>
      <c r="D700" s="194"/>
      <c r="E700" s="209">
        <f t="shared" si="128"/>
        <v>6</v>
      </c>
      <c r="F700" s="210"/>
      <c r="G700" s="211">
        <f t="shared" si="129"/>
        <v>0.01</v>
      </c>
      <c r="H700" s="207"/>
      <c r="I700" s="215"/>
      <c r="J700" s="216"/>
      <c r="K700" s="70">
        <f t="shared" si="130"/>
        <v>0</v>
      </c>
      <c r="L700" s="204">
        <f t="shared" ca="1" si="133"/>
        <v>0</v>
      </c>
      <c r="M700" s="44">
        <f t="shared" ca="1" si="131"/>
        <v>0</v>
      </c>
      <c r="N700" s="217" t="str">
        <f t="shared" ca="1" si="134"/>
        <v/>
      </c>
      <c r="O700" s="199">
        <f t="shared" ca="1" si="132"/>
        <v>0</v>
      </c>
      <c r="P700" s="214"/>
      <c r="Q700" s="125"/>
      <c r="S700" s="92">
        <f t="shared" si="135"/>
        <v>1</v>
      </c>
      <c r="T700" s="92">
        <f>IF(E700&lt;=H691,T699*(1+I700),0)</f>
        <v>1</v>
      </c>
      <c r="U700" s="126">
        <v>6</v>
      </c>
      <c r="V700" s="126"/>
    </row>
    <row r="701" spans="3:22" x14ac:dyDescent="0.55000000000000004">
      <c r="C701" s="194"/>
      <c r="D701" s="194"/>
      <c r="E701" s="209">
        <f t="shared" si="128"/>
        <v>7</v>
      </c>
      <c r="F701" s="210"/>
      <c r="G701" s="211">
        <f t="shared" si="129"/>
        <v>0.01</v>
      </c>
      <c r="H701" s="207"/>
      <c r="I701" s="215"/>
      <c r="J701" s="216"/>
      <c r="K701" s="70">
        <f t="shared" si="130"/>
        <v>0</v>
      </c>
      <c r="L701" s="204">
        <f t="shared" ca="1" si="133"/>
        <v>0</v>
      </c>
      <c r="M701" s="44">
        <f t="shared" ca="1" si="131"/>
        <v>0</v>
      </c>
      <c r="N701" s="217" t="str">
        <f t="shared" ca="1" si="134"/>
        <v/>
      </c>
      <c r="O701" s="199">
        <f t="shared" ca="1" si="132"/>
        <v>0</v>
      </c>
      <c r="P701" s="214"/>
      <c r="Q701" s="125"/>
      <c r="S701" s="92">
        <f t="shared" si="135"/>
        <v>1</v>
      </c>
      <c r="T701" s="92">
        <f>IF(E701&lt;=H691,T700*(1+I701),0)</f>
        <v>1</v>
      </c>
      <c r="U701" s="126">
        <v>7</v>
      </c>
      <c r="V701" s="126"/>
    </row>
    <row r="702" spans="3:22" x14ac:dyDescent="0.55000000000000004">
      <c r="C702" s="194"/>
      <c r="D702" s="194"/>
      <c r="E702" s="209">
        <f t="shared" si="128"/>
        <v>8</v>
      </c>
      <c r="F702" s="210"/>
      <c r="G702" s="211">
        <f t="shared" si="129"/>
        <v>0.01</v>
      </c>
      <c r="H702" s="207"/>
      <c r="I702" s="215"/>
      <c r="J702" s="216"/>
      <c r="K702" s="70">
        <f t="shared" si="130"/>
        <v>0</v>
      </c>
      <c r="L702" s="204">
        <f t="shared" ca="1" si="133"/>
        <v>0</v>
      </c>
      <c r="M702" s="44">
        <f t="shared" ca="1" si="131"/>
        <v>0</v>
      </c>
      <c r="N702" s="217" t="str">
        <f t="shared" ca="1" si="134"/>
        <v/>
      </c>
      <c r="O702" s="199">
        <f t="shared" ca="1" si="132"/>
        <v>0</v>
      </c>
      <c r="P702" s="214"/>
      <c r="Q702" s="125"/>
      <c r="S702" s="92">
        <f t="shared" si="135"/>
        <v>1</v>
      </c>
      <c r="T702" s="92">
        <f>IF(E702&lt;=H691,T701*(1+I702),0)</f>
        <v>1</v>
      </c>
      <c r="U702" s="126">
        <v>8</v>
      </c>
      <c r="V702" s="126"/>
    </row>
    <row r="703" spans="3:22" x14ac:dyDescent="0.55000000000000004">
      <c r="C703" s="194"/>
      <c r="D703" s="194"/>
      <c r="E703" s="209">
        <f t="shared" si="128"/>
        <v>9</v>
      </c>
      <c r="F703" s="210"/>
      <c r="G703" s="211">
        <f t="shared" si="129"/>
        <v>0.01</v>
      </c>
      <c r="H703" s="207"/>
      <c r="I703" s="215"/>
      <c r="J703" s="216"/>
      <c r="K703" s="70">
        <f t="shared" si="130"/>
        <v>0</v>
      </c>
      <c r="L703" s="204">
        <f t="shared" ca="1" si="133"/>
        <v>0</v>
      </c>
      <c r="M703" s="44">
        <f t="shared" ca="1" si="131"/>
        <v>0</v>
      </c>
      <c r="N703" s="217" t="str">
        <f t="shared" ca="1" si="134"/>
        <v/>
      </c>
      <c r="O703" s="199">
        <f t="shared" ca="1" si="132"/>
        <v>0</v>
      </c>
      <c r="P703" s="214"/>
      <c r="Q703" s="125"/>
      <c r="S703" s="92">
        <f t="shared" si="135"/>
        <v>1</v>
      </c>
      <c r="T703" s="92">
        <f>IF(E703&lt;=H691,T702*(1+I703),0)</f>
        <v>1</v>
      </c>
      <c r="U703" s="126">
        <v>9</v>
      </c>
      <c r="V703" s="126"/>
    </row>
    <row r="704" spans="3:22" x14ac:dyDescent="0.55000000000000004">
      <c r="C704" s="194"/>
      <c r="D704" s="194"/>
      <c r="E704" s="209">
        <f t="shared" si="128"/>
        <v>10</v>
      </c>
      <c r="F704" s="210"/>
      <c r="G704" s="211">
        <f t="shared" si="129"/>
        <v>0.01</v>
      </c>
      <c r="H704" s="209" t="s">
        <v>84</v>
      </c>
      <c r="I704" s="215"/>
      <c r="J704" s="216"/>
      <c r="K704" s="70">
        <f t="shared" si="130"/>
        <v>0</v>
      </c>
      <c r="L704" s="204">
        <f t="shared" ca="1" si="133"/>
        <v>0</v>
      </c>
      <c r="M704" s="44">
        <f t="shared" ca="1" si="131"/>
        <v>0</v>
      </c>
      <c r="N704" s="217" t="str">
        <f t="shared" ca="1" si="134"/>
        <v/>
      </c>
      <c r="O704" s="199">
        <f t="shared" ca="1" si="132"/>
        <v>0</v>
      </c>
      <c r="P704" s="214"/>
      <c r="Q704" s="125"/>
      <c r="S704" s="92">
        <f t="shared" si="135"/>
        <v>1</v>
      </c>
      <c r="T704" s="92">
        <f>IF(E704&lt;=H691,T703*(1+I704),0)</f>
        <v>1</v>
      </c>
      <c r="U704" s="126">
        <v>10</v>
      </c>
      <c r="V704" s="126"/>
    </row>
    <row r="705" spans="3:22" ht="14.7" thickBot="1" x14ac:dyDescent="0.6">
      <c r="C705" s="194"/>
      <c r="D705" s="200"/>
      <c r="E705" s="201"/>
      <c r="F705" s="201"/>
      <c r="G705" s="201"/>
      <c r="H705" s="201"/>
      <c r="I705" s="201"/>
      <c r="J705" s="201"/>
      <c r="K705" s="201"/>
      <c r="L705" s="201"/>
      <c r="M705" s="201"/>
      <c r="N705" s="201"/>
      <c r="O705" s="201"/>
      <c r="P705" s="202"/>
      <c r="Q705" s="125"/>
      <c r="S705" s="126"/>
      <c r="T705" s="126"/>
      <c r="U705" s="126"/>
      <c r="V705" s="126"/>
    </row>
    <row r="706" spans="3:22" ht="14.7" thickBot="1" x14ac:dyDescent="0.6">
      <c r="C706" s="200"/>
      <c r="D706" s="201"/>
      <c r="E706" s="201"/>
      <c r="F706" s="201"/>
      <c r="G706" s="201"/>
      <c r="H706" s="201"/>
      <c r="I706" s="201"/>
      <c r="J706" s="201"/>
      <c r="K706" s="201"/>
      <c r="L706" s="201"/>
      <c r="M706" s="201"/>
      <c r="N706" s="201"/>
      <c r="O706" s="201"/>
      <c r="P706" s="201"/>
      <c r="Q706" s="132"/>
      <c r="S706" s="126"/>
      <c r="T706" s="126"/>
      <c r="U706" s="126"/>
      <c r="V706" s="126"/>
    </row>
    <row r="707" spans="3:22" ht="14.7" thickBot="1" x14ac:dyDescent="0.6">
      <c r="S707" s="126"/>
      <c r="T707" s="126"/>
      <c r="U707" s="126"/>
      <c r="V707" s="126"/>
    </row>
    <row r="708" spans="3:22" x14ac:dyDescent="0.55000000000000004">
      <c r="C708" s="192"/>
      <c r="D708" s="193"/>
      <c r="E708" s="193"/>
      <c r="F708" s="193"/>
      <c r="G708" s="193"/>
      <c r="H708" s="193"/>
      <c r="I708" s="193"/>
      <c r="J708" s="193"/>
      <c r="K708" s="193"/>
      <c r="L708" s="193"/>
      <c r="M708" s="193"/>
      <c r="N708" s="193"/>
      <c r="O708" s="193"/>
      <c r="P708" s="193"/>
      <c r="Q708" s="123"/>
      <c r="S708" s="126"/>
      <c r="T708" s="126"/>
      <c r="U708" s="126"/>
      <c r="V708" s="126"/>
    </row>
    <row r="709" spans="3:22" ht="18.3" x14ac:dyDescent="0.7">
      <c r="C709" s="194"/>
      <c r="D709" s="1824">
        <f>'2 Customer data'!D74</f>
        <v>0</v>
      </c>
      <c r="E709" s="1824"/>
      <c r="F709" s="1824"/>
      <c r="G709" s="1824"/>
      <c r="H709" s="1824"/>
      <c r="I709" s="1824"/>
      <c r="J709" s="1824"/>
      <c r="K709" s="1824"/>
      <c r="L709" s="1824"/>
      <c r="M709" s="1824"/>
      <c r="N709" s="1824"/>
      <c r="O709" s="1824"/>
      <c r="Q709" s="125"/>
      <c r="S709" s="126"/>
      <c r="T709" s="126"/>
      <c r="U709" s="126"/>
      <c r="V709" s="126"/>
    </row>
    <row r="710" spans="3:22" ht="14.7" thickBot="1" x14ac:dyDescent="0.6">
      <c r="C710" s="194"/>
      <c r="Q710" s="125"/>
      <c r="S710" s="126"/>
      <c r="T710" s="126"/>
      <c r="U710" s="126"/>
      <c r="V710" s="126"/>
    </row>
    <row r="711" spans="3:22" x14ac:dyDescent="0.55000000000000004">
      <c r="C711" s="194"/>
      <c r="D711" s="192"/>
      <c r="E711" s="193"/>
      <c r="F711" s="193"/>
      <c r="G711" s="193"/>
      <c r="H711" s="193"/>
      <c r="I711" s="193"/>
      <c r="J711" s="193"/>
      <c r="K711" s="193"/>
      <c r="L711" s="193"/>
      <c r="M711" s="193"/>
      <c r="N711" s="193"/>
      <c r="O711" s="193"/>
      <c r="P711" s="195"/>
      <c r="Q711" s="125"/>
      <c r="S711" s="126"/>
      <c r="T711" s="126"/>
      <c r="U711" s="126"/>
      <c r="V711" s="126"/>
    </row>
    <row r="712" spans="3:22" x14ac:dyDescent="0.55000000000000004">
      <c r="C712" s="194"/>
      <c r="D712" s="194"/>
      <c r="E712" s="138" t="str">
        <f>'2 Customer data'!D74&amp;" "&amp;"information"</f>
        <v xml:space="preserve"> information</v>
      </c>
      <c r="P712" s="196"/>
      <c r="Q712" s="125"/>
      <c r="S712" s="126"/>
      <c r="T712" s="126"/>
      <c r="U712" s="126"/>
      <c r="V712" s="126"/>
    </row>
    <row r="713" spans="3:22" x14ac:dyDescent="0.55000000000000004">
      <c r="C713" s="194"/>
      <c r="D713" s="194"/>
      <c r="P713" s="196"/>
      <c r="Q713" s="125"/>
      <c r="S713" s="126"/>
      <c r="T713" s="126"/>
      <c r="U713" s="126"/>
      <c r="V713" s="126"/>
    </row>
    <row r="714" spans="3:22" ht="28.8" x14ac:dyDescent="0.55000000000000004">
      <c r="C714" s="194"/>
      <c r="D714" s="194"/>
      <c r="F714" s="166" t="s">
        <v>28</v>
      </c>
      <c r="G714" s="166" t="s">
        <v>69</v>
      </c>
      <c r="H714" s="197" t="s">
        <v>70</v>
      </c>
      <c r="I714" s="166" t="s">
        <v>71</v>
      </c>
      <c r="J714" s="198" t="s">
        <v>277</v>
      </c>
      <c r="P714" s="196"/>
      <c r="Q714" s="125"/>
      <c r="S714" s="126"/>
      <c r="T714" s="126"/>
      <c r="U714" s="126"/>
      <c r="V714" s="126"/>
    </row>
    <row r="715" spans="3:22" x14ac:dyDescent="0.55000000000000004">
      <c r="C715" s="194"/>
      <c r="D715" s="194"/>
      <c r="E715" s="10">
        <f>'2 Customer data'!D74</f>
        <v>0</v>
      </c>
      <c r="F715" s="113">
        <f>IFERROR(IF(VLOOKUP(E715,'2 Customer data'!$D$57:$M$76,6,FALSE)="",VLOOKUP(E715,'2 Customer data'!$D$57:$M$76,5,FALSE),VLOOKUP(E715,'2 Customer data'!$D$57:$M$76,6,FALSE)),0)</f>
        <v>0</v>
      </c>
      <c r="G715" s="113">
        <f ca="1">IFERROR(VLOOKUP(E715,'2 Sanitation'!$D$19:$J$38,5,FALSE),0)</f>
        <v>0</v>
      </c>
      <c r="H715" s="113">
        <f ca="1">IFERROR(VLOOKUP(E715,'2 Sanitation'!$D$19:$J$38,6,FALSE),0)</f>
        <v>0</v>
      </c>
      <c r="I715" s="113">
        <f ca="1">IFERROR(VLOOKUP(E715,'2 Sanitation'!$D$153:$K$172,8,FALSE),0)</f>
        <v>0</v>
      </c>
      <c r="J715" s="199">
        <f>IFERROR(IF(VLOOKUP(E715,'2 Customer data'!$D$57:$M$76,8,FALSE)="",VLOOKUP(E715,'2 Customer data'!$D$57:$M$76,7,FALSE),VLOOKUP(E715,'2 Customer data'!$D$57:$M$76,8,FALSE)),0)</f>
        <v>0</v>
      </c>
      <c r="P715" s="196"/>
      <c r="Q715" s="125"/>
      <c r="S715" s="126"/>
      <c r="T715" s="126"/>
      <c r="U715" s="126"/>
      <c r="V715" s="126"/>
    </row>
    <row r="716" spans="3:22" ht="14.7" thickBot="1" x14ac:dyDescent="0.6">
      <c r="C716" s="194"/>
      <c r="D716" s="200"/>
      <c r="E716" s="201"/>
      <c r="F716" s="201"/>
      <c r="G716" s="201"/>
      <c r="H716" s="201"/>
      <c r="I716" s="201"/>
      <c r="J716" s="201"/>
      <c r="K716" s="201"/>
      <c r="L716" s="201"/>
      <c r="M716" s="201"/>
      <c r="N716" s="201"/>
      <c r="O716" s="201"/>
      <c r="P716" s="202"/>
      <c r="Q716" s="125"/>
      <c r="S716" s="126"/>
      <c r="T716" s="126"/>
      <c r="U716" s="126"/>
      <c r="V716" s="126"/>
    </row>
    <row r="717" spans="3:22" ht="14.7" thickBot="1" x14ac:dyDescent="0.6">
      <c r="C717" s="194"/>
      <c r="Q717" s="125"/>
      <c r="S717" s="126"/>
      <c r="T717" s="126"/>
      <c r="U717" s="126"/>
      <c r="V717" s="126"/>
    </row>
    <row r="718" spans="3:22" x14ac:dyDescent="0.55000000000000004">
      <c r="C718" s="194"/>
      <c r="D718" s="192"/>
      <c r="E718" s="193"/>
      <c r="F718" s="193"/>
      <c r="G718" s="193"/>
      <c r="H718" s="193"/>
      <c r="I718" s="193"/>
      <c r="J718" s="193"/>
      <c r="K718" s="193"/>
      <c r="L718" s="193"/>
      <c r="M718" s="193"/>
      <c r="N718" s="193"/>
      <c r="O718" s="193"/>
      <c r="P718" s="195"/>
      <c r="Q718" s="125"/>
      <c r="S718" s="126"/>
      <c r="T718" s="126"/>
      <c r="U718" s="126"/>
      <c r="V718" s="126"/>
    </row>
    <row r="719" spans="3:22" x14ac:dyDescent="0.55000000000000004">
      <c r="C719" s="194"/>
      <c r="D719" s="194"/>
      <c r="E719" s="138" t="s">
        <v>93</v>
      </c>
      <c r="P719" s="196"/>
      <c r="Q719" s="125"/>
      <c r="S719" s="126"/>
      <c r="T719" s="126"/>
      <c r="U719" s="126"/>
      <c r="V719" s="126"/>
    </row>
    <row r="720" spans="3:22" x14ac:dyDescent="0.55000000000000004">
      <c r="C720" s="194"/>
      <c r="D720" s="194"/>
      <c r="E720" s="203" t="s">
        <v>555</v>
      </c>
      <c r="P720" s="196"/>
      <c r="Q720" s="125"/>
      <c r="S720" s="126"/>
      <c r="T720" s="126"/>
      <c r="U720" s="126"/>
      <c r="V720" s="126"/>
    </row>
    <row r="721" spans="3:22" x14ac:dyDescent="0.55000000000000004">
      <c r="C721" s="194"/>
      <c r="D721" s="194"/>
      <c r="P721" s="196"/>
      <c r="Q721" s="125"/>
      <c r="S721" s="126"/>
      <c r="T721" s="126"/>
      <c r="U721" s="126"/>
      <c r="V721" s="126"/>
    </row>
    <row r="722" spans="3:22" ht="43.2" x14ac:dyDescent="0.55000000000000004">
      <c r="C722" s="194"/>
      <c r="D722" s="194"/>
      <c r="F722" s="166" t="s">
        <v>86</v>
      </c>
      <c r="G722" s="166" t="s">
        <v>73</v>
      </c>
      <c r="H722" s="166" t="s">
        <v>74</v>
      </c>
      <c r="I722" s="166" t="s">
        <v>75</v>
      </c>
      <c r="J722" s="166" t="s">
        <v>76</v>
      </c>
      <c r="P722" s="196"/>
      <c r="Q722" s="125"/>
      <c r="S722" s="126"/>
      <c r="T722" s="126"/>
      <c r="U722" s="126"/>
      <c r="V722" s="126"/>
    </row>
    <row r="723" spans="3:22" x14ac:dyDescent="0.55000000000000004">
      <c r="C723" s="194"/>
      <c r="D723" s="194"/>
      <c r="E723" s="10">
        <f>E715</f>
        <v>0</v>
      </c>
      <c r="F723" s="113">
        <f ca="1">G715</f>
        <v>0</v>
      </c>
      <c r="G723" s="204">
        <f ca="1">IFERROR(F723/F715/12,0)</f>
        <v>0</v>
      </c>
      <c r="H723" s="205"/>
      <c r="I723" s="113">
        <f>H723*F715*12</f>
        <v>0</v>
      </c>
      <c r="J723" s="70">
        <f>I723/12</f>
        <v>0</v>
      </c>
      <c r="P723" s="196"/>
      <c r="Q723" s="125"/>
      <c r="S723" s="126"/>
      <c r="T723" s="126"/>
      <c r="U723" s="126"/>
      <c r="V723" s="126"/>
    </row>
    <row r="724" spans="3:22" x14ac:dyDescent="0.55000000000000004">
      <c r="C724" s="194"/>
      <c r="D724" s="194"/>
      <c r="F724" s="58" t="str">
        <f>IF(I723&gt;I714,"Error: revenue from fixed charges exceeds total revenue required from tariff. Reduce fixed charge.","")</f>
        <v/>
      </c>
      <c r="G724" s="156"/>
      <c r="H724" s="156"/>
      <c r="I724" s="156"/>
      <c r="J724" s="158"/>
      <c r="P724" s="196"/>
      <c r="Q724" s="125"/>
      <c r="S724" s="126"/>
      <c r="T724" s="126"/>
      <c r="U724" s="126"/>
      <c r="V724" s="126"/>
    </row>
    <row r="725" spans="3:22" ht="14.7" thickBot="1" x14ac:dyDescent="0.6">
      <c r="C725" s="194"/>
      <c r="D725" s="200"/>
      <c r="E725" s="201"/>
      <c r="F725" s="201"/>
      <c r="G725" s="201"/>
      <c r="H725" s="201"/>
      <c r="I725" s="201"/>
      <c r="J725" s="201"/>
      <c r="K725" s="201"/>
      <c r="L725" s="201"/>
      <c r="M725" s="201"/>
      <c r="N725" s="201"/>
      <c r="O725" s="201"/>
      <c r="P725" s="202"/>
      <c r="Q725" s="125"/>
      <c r="S725" s="126"/>
      <c r="T725" s="126"/>
      <c r="U725" s="126"/>
      <c r="V725" s="126"/>
    </row>
    <row r="726" spans="3:22" ht="14.7" thickBot="1" x14ac:dyDescent="0.6">
      <c r="C726" s="194"/>
      <c r="Q726" s="125"/>
      <c r="S726" s="126"/>
      <c r="T726" s="126"/>
      <c r="U726" s="126"/>
      <c r="V726" s="126"/>
    </row>
    <row r="727" spans="3:22" x14ac:dyDescent="0.55000000000000004">
      <c r="C727" s="194"/>
      <c r="D727" s="192"/>
      <c r="E727" s="193"/>
      <c r="F727" s="193"/>
      <c r="G727" s="193"/>
      <c r="H727" s="193"/>
      <c r="I727" s="193"/>
      <c r="J727" s="193"/>
      <c r="K727" s="193"/>
      <c r="L727" s="193"/>
      <c r="M727" s="193"/>
      <c r="N727" s="193"/>
      <c r="O727" s="193"/>
      <c r="P727" s="195"/>
      <c r="Q727" s="125"/>
      <c r="S727" s="126"/>
      <c r="T727" s="126"/>
      <c r="U727" s="126"/>
      <c r="V727" s="126"/>
    </row>
    <row r="728" spans="3:22" x14ac:dyDescent="0.55000000000000004">
      <c r="C728" s="194"/>
      <c r="D728" s="194"/>
      <c r="E728" s="138" t="s">
        <v>96</v>
      </c>
      <c r="P728" s="196"/>
      <c r="Q728" s="125"/>
      <c r="S728" s="126"/>
      <c r="T728" s="126"/>
      <c r="U728" s="126"/>
      <c r="V728" s="126"/>
    </row>
    <row r="729" spans="3:22" ht="14.55" customHeight="1" x14ac:dyDescent="0.55000000000000004">
      <c r="C729" s="194"/>
      <c r="D729" s="194"/>
      <c r="E729" s="1825" t="s">
        <v>558</v>
      </c>
      <c r="F729" s="1825"/>
      <c r="G729" s="1825"/>
      <c r="H729" s="1825"/>
      <c r="I729" s="1825"/>
      <c r="J729" s="1825"/>
      <c r="K729" s="1825"/>
      <c r="L729" s="1825"/>
      <c r="M729" s="1825"/>
      <c r="N729" s="1825"/>
      <c r="O729" s="1825"/>
      <c r="P729" s="1826"/>
      <c r="Q729" s="125"/>
      <c r="S729" s="126"/>
      <c r="T729" s="126"/>
      <c r="U729" s="126"/>
      <c r="V729" s="126"/>
    </row>
    <row r="730" spans="3:22" x14ac:dyDescent="0.55000000000000004">
      <c r="C730" s="194"/>
      <c r="D730" s="194"/>
      <c r="E730" s="1825"/>
      <c r="F730" s="1825"/>
      <c r="G730" s="1825"/>
      <c r="H730" s="1825"/>
      <c r="I730" s="1825"/>
      <c r="J730" s="1825"/>
      <c r="K730" s="1825"/>
      <c r="L730" s="1825"/>
      <c r="M730" s="1825"/>
      <c r="N730" s="1825"/>
      <c r="O730" s="1825"/>
      <c r="P730" s="1826"/>
      <c r="Q730" s="125"/>
      <c r="S730" s="126"/>
      <c r="T730" s="126"/>
      <c r="U730" s="126"/>
      <c r="V730" s="126"/>
    </row>
    <row r="731" spans="3:22" x14ac:dyDescent="0.55000000000000004">
      <c r="C731" s="194"/>
      <c r="D731" s="194"/>
      <c r="P731" s="196"/>
      <c r="Q731" s="125"/>
      <c r="S731" s="126"/>
      <c r="T731" s="126"/>
      <c r="U731" s="126"/>
      <c r="V731" s="126"/>
    </row>
    <row r="732" spans="3:22" x14ac:dyDescent="0.55000000000000004">
      <c r="C732" s="194"/>
      <c r="D732" s="194"/>
      <c r="E732" s="206" t="s">
        <v>77</v>
      </c>
      <c r="H732" s="207">
        <v>10</v>
      </c>
      <c r="P732" s="196"/>
      <c r="Q732" s="125"/>
      <c r="S732" s="126"/>
      <c r="T732" s="126"/>
      <c r="U732" s="126"/>
      <c r="V732" s="126"/>
    </row>
    <row r="733" spans="3:22" x14ac:dyDescent="0.55000000000000004">
      <c r="C733" s="194"/>
      <c r="D733" s="194"/>
      <c r="E733" s="10" t="s">
        <v>612</v>
      </c>
      <c r="H733" s="159" t="s">
        <v>613</v>
      </c>
      <c r="P733" s="196"/>
      <c r="Q733" s="125"/>
      <c r="S733" s="126"/>
      <c r="T733" s="126"/>
      <c r="U733" s="126"/>
      <c r="V733" s="126"/>
    </row>
    <row r="734" spans="3:22" x14ac:dyDescent="0.55000000000000004">
      <c r="C734" s="194"/>
      <c r="D734" s="194"/>
      <c r="P734" s="196"/>
      <c r="Q734" s="125"/>
      <c r="S734" s="126"/>
      <c r="T734" s="126"/>
      <c r="U734" s="126"/>
      <c r="V734" s="126"/>
    </row>
    <row r="735" spans="3:22" ht="43.2" x14ac:dyDescent="0.55000000000000004">
      <c r="C735" s="194"/>
      <c r="D735" s="194"/>
      <c r="E735" s="166" t="s">
        <v>78</v>
      </c>
      <c r="F735" s="166" t="s">
        <v>99</v>
      </c>
      <c r="G735" s="197" t="s">
        <v>92</v>
      </c>
      <c r="H735" s="166" t="s">
        <v>80</v>
      </c>
      <c r="I735" s="166" t="s">
        <v>334</v>
      </c>
      <c r="J735" s="166" t="s">
        <v>335</v>
      </c>
      <c r="K735" s="166" t="s">
        <v>339</v>
      </c>
      <c r="L735" s="166" t="s">
        <v>336</v>
      </c>
      <c r="M735" s="166" t="s">
        <v>337</v>
      </c>
      <c r="N735" s="166" t="s">
        <v>338</v>
      </c>
      <c r="O735" s="166" t="s">
        <v>83</v>
      </c>
      <c r="P735" s="208"/>
      <c r="Q735" s="125"/>
      <c r="S735" s="126" t="s">
        <v>614</v>
      </c>
      <c r="T735" s="126" t="s">
        <v>615</v>
      </c>
      <c r="U735" s="126"/>
      <c r="V735" s="126"/>
    </row>
    <row r="736" spans="3:22" x14ac:dyDescent="0.55000000000000004">
      <c r="C736" s="194"/>
      <c r="D736" s="194"/>
      <c r="E736" s="209">
        <f>IF($H$732=U736,U736,1)</f>
        <v>1</v>
      </c>
      <c r="F736" s="210"/>
      <c r="G736" s="211">
        <v>0</v>
      </c>
      <c r="H736" s="212"/>
      <c r="I736" s="213"/>
      <c r="J736" s="70">
        <f>J715-SUMIF(E737:E745,"&lt;="&amp;$H$732,J737:J745)</f>
        <v>0</v>
      </c>
      <c r="K736" s="70">
        <f>F736*J736</f>
        <v>0</v>
      </c>
      <c r="L736" s="114">
        <f>IFERROR(IF(E736&lt;=H732,IF(H733="No",IF(I723=0,I715/SUMPRODUCT(S736:S745,K736:K745),(I715-I723)/SUMPRODUCT(S736:S745,K736:K745)),0),0),0)</f>
        <v>0</v>
      </c>
      <c r="M736" s="44">
        <f>IFERROR(O736/J736,0)</f>
        <v>0</v>
      </c>
      <c r="N736" s="199"/>
      <c r="O736" s="199">
        <f>K736*L736</f>
        <v>0</v>
      </c>
      <c r="P736" s="214"/>
      <c r="Q736" s="125"/>
      <c r="S736" s="92">
        <f>IF(E736&lt;=$H$732,1,0)</f>
        <v>1</v>
      </c>
      <c r="T736" s="126"/>
      <c r="U736" s="126">
        <v>1</v>
      </c>
      <c r="V736" s="126"/>
    </row>
    <row r="737" spans="3:22" x14ac:dyDescent="0.55000000000000004">
      <c r="C737" s="194"/>
      <c r="D737" s="194"/>
      <c r="E737" s="209">
        <f t="shared" ref="E737:E745" si="136">IF($H$732&gt;=U737,U737,"")</f>
        <v>2</v>
      </c>
      <c r="F737" s="210"/>
      <c r="G737" s="211">
        <f t="shared" ref="G737:G745" si="137">IF($H$732&gt;=F737,H736+0.01,"")</f>
        <v>0.01</v>
      </c>
      <c r="H737" s="212"/>
      <c r="I737" s="215"/>
      <c r="J737" s="216"/>
      <c r="K737" s="70">
        <f t="shared" ref="K737:K745" si="138">F737*J737</f>
        <v>0</v>
      </c>
      <c r="L737" s="114">
        <f ca="1">IFERROR(IF(E737&lt;=H732,IF(H733="No",L736*(1+I737),IF(I723=0,I715/SUMPRODUCT(T737:T745,K737:K745),(I715-I723)/SUMPRODUCT(T737:T745,K737:K745))),0),0)</f>
        <v>0</v>
      </c>
      <c r="M737" s="44">
        <f t="shared" ref="M737:M745" ca="1" si="139">IFERROR(O737/J737,0)</f>
        <v>0</v>
      </c>
      <c r="N737" s="217" t="str">
        <f ca="1">IFERROR(M737/M736-1,"")</f>
        <v/>
      </c>
      <c r="O737" s="199">
        <f t="shared" ref="O737:O745" ca="1" si="140">K737*L737</f>
        <v>0</v>
      </c>
      <c r="P737" s="214"/>
      <c r="Q737" s="125"/>
      <c r="S737" s="92">
        <f>IF(E737&lt;=$H$732,(1+I737),0)</f>
        <v>1</v>
      </c>
      <c r="T737" s="92">
        <f>IF(E737&lt;=H732,1,0)</f>
        <v>1</v>
      </c>
      <c r="U737" s="126">
        <v>2</v>
      </c>
      <c r="V737" s="126"/>
    </row>
    <row r="738" spans="3:22" x14ac:dyDescent="0.55000000000000004">
      <c r="C738" s="194"/>
      <c r="D738" s="194"/>
      <c r="E738" s="209">
        <f t="shared" si="136"/>
        <v>3</v>
      </c>
      <c r="F738" s="210"/>
      <c r="G738" s="211">
        <f t="shared" si="137"/>
        <v>0.01</v>
      </c>
      <c r="H738" s="212"/>
      <c r="I738" s="215"/>
      <c r="J738" s="216"/>
      <c r="K738" s="70">
        <f t="shared" si="138"/>
        <v>0</v>
      </c>
      <c r="L738" s="204">
        <f t="shared" ref="L738:L745" ca="1" si="141">IF(E738&lt;=$H$732,L737*(1+I738),0)</f>
        <v>0</v>
      </c>
      <c r="M738" s="44">
        <f t="shared" ca="1" si="139"/>
        <v>0</v>
      </c>
      <c r="N738" s="217" t="str">
        <f t="shared" ref="N738:N745" ca="1" si="142">IFERROR(M738/M737-1,"")</f>
        <v/>
      </c>
      <c r="O738" s="199">
        <f t="shared" ca="1" si="140"/>
        <v>0</v>
      </c>
      <c r="P738" s="214"/>
      <c r="Q738" s="125"/>
      <c r="S738" s="92">
        <f t="shared" ref="S738:S745" si="143">IF(E738&lt;=$H$732,S737*(1+I738),0)</f>
        <v>1</v>
      </c>
      <c r="T738" s="92">
        <f>IF(E738&lt;=H732,T737*(1+I738),0)</f>
        <v>1</v>
      </c>
      <c r="U738" s="126">
        <v>3</v>
      </c>
      <c r="V738" s="126"/>
    </row>
    <row r="739" spans="3:22" x14ac:dyDescent="0.55000000000000004">
      <c r="C739" s="194"/>
      <c r="D739" s="194"/>
      <c r="E739" s="209">
        <f t="shared" si="136"/>
        <v>4</v>
      </c>
      <c r="F739" s="210"/>
      <c r="G739" s="211">
        <f t="shared" si="137"/>
        <v>0.01</v>
      </c>
      <c r="H739" s="212"/>
      <c r="I739" s="215"/>
      <c r="J739" s="216"/>
      <c r="K739" s="70">
        <f t="shared" si="138"/>
        <v>0</v>
      </c>
      <c r="L739" s="204">
        <f t="shared" ca="1" si="141"/>
        <v>0</v>
      </c>
      <c r="M739" s="44">
        <f t="shared" ca="1" si="139"/>
        <v>0</v>
      </c>
      <c r="N739" s="217" t="str">
        <f t="shared" ca="1" si="142"/>
        <v/>
      </c>
      <c r="O739" s="199">
        <f t="shared" ca="1" si="140"/>
        <v>0</v>
      </c>
      <c r="P739" s="214"/>
      <c r="Q739" s="125"/>
      <c r="S739" s="92">
        <f t="shared" si="143"/>
        <v>1</v>
      </c>
      <c r="T739" s="92">
        <f>IF(E739&lt;=H732,T738*(1+I739),0)</f>
        <v>1</v>
      </c>
      <c r="U739" s="126">
        <v>4</v>
      </c>
      <c r="V739" s="126"/>
    </row>
    <row r="740" spans="3:22" x14ac:dyDescent="0.55000000000000004">
      <c r="C740" s="194"/>
      <c r="D740" s="194"/>
      <c r="E740" s="209">
        <f t="shared" si="136"/>
        <v>5</v>
      </c>
      <c r="F740" s="210"/>
      <c r="G740" s="211">
        <f t="shared" si="137"/>
        <v>0.01</v>
      </c>
      <c r="H740" s="212"/>
      <c r="I740" s="215"/>
      <c r="J740" s="216"/>
      <c r="K740" s="70">
        <f t="shared" si="138"/>
        <v>0</v>
      </c>
      <c r="L740" s="204">
        <f t="shared" ca="1" si="141"/>
        <v>0</v>
      </c>
      <c r="M740" s="44">
        <f t="shared" ca="1" si="139"/>
        <v>0</v>
      </c>
      <c r="N740" s="217" t="str">
        <f t="shared" ca="1" si="142"/>
        <v/>
      </c>
      <c r="O740" s="199">
        <f t="shared" ca="1" si="140"/>
        <v>0</v>
      </c>
      <c r="P740" s="214"/>
      <c r="Q740" s="125"/>
      <c r="S740" s="92">
        <f t="shared" si="143"/>
        <v>1</v>
      </c>
      <c r="T740" s="92">
        <f>IF(E740&lt;=H732,T739*(1+I740),0)</f>
        <v>1</v>
      </c>
      <c r="U740" s="126">
        <v>5</v>
      </c>
      <c r="V740" s="126"/>
    </row>
    <row r="741" spans="3:22" x14ac:dyDescent="0.55000000000000004">
      <c r="C741" s="194"/>
      <c r="D741" s="194"/>
      <c r="E741" s="209">
        <f t="shared" si="136"/>
        <v>6</v>
      </c>
      <c r="F741" s="210"/>
      <c r="G741" s="211">
        <f t="shared" si="137"/>
        <v>0.01</v>
      </c>
      <c r="H741" s="207"/>
      <c r="I741" s="215"/>
      <c r="J741" s="216"/>
      <c r="K741" s="70">
        <f t="shared" si="138"/>
        <v>0</v>
      </c>
      <c r="L741" s="204">
        <f t="shared" ca="1" si="141"/>
        <v>0</v>
      </c>
      <c r="M741" s="44">
        <f t="shared" ca="1" si="139"/>
        <v>0</v>
      </c>
      <c r="N741" s="217" t="str">
        <f t="shared" ca="1" si="142"/>
        <v/>
      </c>
      <c r="O741" s="199">
        <f t="shared" ca="1" si="140"/>
        <v>0</v>
      </c>
      <c r="P741" s="214"/>
      <c r="Q741" s="125"/>
      <c r="S741" s="92">
        <f t="shared" si="143"/>
        <v>1</v>
      </c>
      <c r="T741" s="92">
        <f>IF(E741&lt;=H732,T740*(1+I741),0)</f>
        <v>1</v>
      </c>
      <c r="U741" s="126">
        <v>6</v>
      </c>
      <c r="V741" s="126"/>
    </row>
    <row r="742" spans="3:22" x14ac:dyDescent="0.55000000000000004">
      <c r="C742" s="194"/>
      <c r="D742" s="194"/>
      <c r="E742" s="209">
        <f t="shared" si="136"/>
        <v>7</v>
      </c>
      <c r="F742" s="210"/>
      <c r="G742" s="211">
        <f t="shared" si="137"/>
        <v>0.01</v>
      </c>
      <c r="H742" s="207"/>
      <c r="I742" s="215"/>
      <c r="J742" s="216"/>
      <c r="K742" s="70">
        <f t="shared" si="138"/>
        <v>0</v>
      </c>
      <c r="L742" s="204">
        <f t="shared" ca="1" si="141"/>
        <v>0</v>
      </c>
      <c r="M742" s="44">
        <f t="shared" ca="1" si="139"/>
        <v>0</v>
      </c>
      <c r="N742" s="217" t="str">
        <f t="shared" ca="1" si="142"/>
        <v/>
      </c>
      <c r="O742" s="199">
        <f t="shared" ca="1" si="140"/>
        <v>0</v>
      </c>
      <c r="P742" s="214"/>
      <c r="Q742" s="125"/>
      <c r="S742" s="92">
        <f t="shared" si="143"/>
        <v>1</v>
      </c>
      <c r="T742" s="92">
        <f>IF(E742&lt;=H732,T741*(1+I742),0)</f>
        <v>1</v>
      </c>
      <c r="U742" s="126">
        <v>7</v>
      </c>
      <c r="V742" s="126"/>
    </row>
    <row r="743" spans="3:22" x14ac:dyDescent="0.55000000000000004">
      <c r="C743" s="194"/>
      <c r="D743" s="194"/>
      <c r="E743" s="209">
        <f t="shared" si="136"/>
        <v>8</v>
      </c>
      <c r="F743" s="210"/>
      <c r="G743" s="211">
        <f t="shared" si="137"/>
        <v>0.01</v>
      </c>
      <c r="H743" s="207"/>
      <c r="I743" s="215"/>
      <c r="J743" s="216"/>
      <c r="K743" s="70">
        <f t="shared" si="138"/>
        <v>0</v>
      </c>
      <c r="L743" s="204">
        <f t="shared" ca="1" si="141"/>
        <v>0</v>
      </c>
      <c r="M743" s="44">
        <f t="shared" ca="1" si="139"/>
        <v>0</v>
      </c>
      <c r="N743" s="217" t="str">
        <f t="shared" ca="1" si="142"/>
        <v/>
      </c>
      <c r="O743" s="199">
        <f t="shared" ca="1" si="140"/>
        <v>0</v>
      </c>
      <c r="P743" s="214"/>
      <c r="Q743" s="125"/>
      <c r="S743" s="92">
        <f t="shared" si="143"/>
        <v>1</v>
      </c>
      <c r="T743" s="92">
        <f>IF(E743&lt;=H732,T742*(1+I743),0)</f>
        <v>1</v>
      </c>
      <c r="U743" s="126">
        <v>8</v>
      </c>
      <c r="V743" s="126"/>
    </row>
    <row r="744" spans="3:22" x14ac:dyDescent="0.55000000000000004">
      <c r="C744" s="194"/>
      <c r="D744" s="194"/>
      <c r="E744" s="209">
        <f t="shared" si="136"/>
        <v>9</v>
      </c>
      <c r="F744" s="210"/>
      <c r="G744" s="211">
        <f t="shared" si="137"/>
        <v>0.01</v>
      </c>
      <c r="H744" s="207"/>
      <c r="I744" s="215"/>
      <c r="J744" s="216"/>
      <c r="K744" s="70">
        <f t="shared" si="138"/>
        <v>0</v>
      </c>
      <c r="L744" s="204">
        <f t="shared" ca="1" si="141"/>
        <v>0</v>
      </c>
      <c r="M744" s="44">
        <f t="shared" ca="1" si="139"/>
        <v>0</v>
      </c>
      <c r="N744" s="217" t="str">
        <f t="shared" ca="1" si="142"/>
        <v/>
      </c>
      <c r="O744" s="199">
        <f t="shared" ca="1" si="140"/>
        <v>0</v>
      </c>
      <c r="P744" s="214"/>
      <c r="Q744" s="125"/>
      <c r="S744" s="92">
        <f t="shared" si="143"/>
        <v>1</v>
      </c>
      <c r="T744" s="92">
        <f>IF(E744&lt;=H732,T743*(1+I744),0)</f>
        <v>1</v>
      </c>
      <c r="U744" s="126">
        <v>9</v>
      </c>
      <c r="V744" s="126"/>
    </row>
    <row r="745" spans="3:22" x14ac:dyDescent="0.55000000000000004">
      <c r="C745" s="194"/>
      <c r="D745" s="194"/>
      <c r="E745" s="209">
        <f t="shared" si="136"/>
        <v>10</v>
      </c>
      <c r="F745" s="210"/>
      <c r="G745" s="211">
        <f t="shared" si="137"/>
        <v>0.01</v>
      </c>
      <c r="H745" s="209" t="s">
        <v>84</v>
      </c>
      <c r="I745" s="215"/>
      <c r="J745" s="216"/>
      <c r="K745" s="70">
        <f t="shared" si="138"/>
        <v>0</v>
      </c>
      <c r="L745" s="204">
        <f t="shared" ca="1" si="141"/>
        <v>0</v>
      </c>
      <c r="M745" s="44">
        <f t="shared" ca="1" si="139"/>
        <v>0</v>
      </c>
      <c r="N745" s="217" t="str">
        <f t="shared" ca="1" si="142"/>
        <v/>
      </c>
      <c r="O745" s="199">
        <f t="shared" ca="1" si="140"/>
        <v>0</v>
      </c>
      <c r="P745" s="214"/>
      <c r="Q745" s="125"/>
      <c r="S745" s="92">
        <f t="shared" si="143"/>
        <v>1</v>
      </c>
      <c r="T745" s="92">
        <f>IF(E745&lt;=H732,T744*(1+I745),0)</f>
        <v>1</v>
      </c>
      <c r="U745" s="126">
        <v>10</v>
      </c>
      <c r="V745" s="126"/>
    </row>
    <row r="746" spans="3:22" ht="14.7" thickBot="1" x14ac:dyDescent="0.6">
      <c r="C746" s="194"/>
      <c r="D746" s="200"/>
      <c r="E746" s="201"/>
      <c r="F746" s="201"/>
      <c r="G746" s="201"/>
      <c r="H746" s="201"/>
      <c r="I746" s="201"/>
      <c r="J746" s="201"/>
      <c r="K746" s="201"/>
      <c r="L746" s="201"/>
      <c r="M746" s="201"/>
      <c r="N746" s="201"/>
      <c r="O746" s="201"/>
      <c r="P746" s="202"/>
      <c r="Q746" s="125"/>
      <c r="S746" s="126"/>
      <c r="T746" s="126"/>
      <c r="U746" s="126"/>
      <c r="V746" s="126"/>
    </row>
    <row r="747" spans="3:22" ht="14.7" thickBot="1" x14ac:dyDescent="0.6">
      <c r="C747" s="200"/>
      <c r="D747" s="201"/>
      <c r="E747" s="201"/>
      <c r="F747" s="201"/>
      <c r="G747" s="201"/>
      <c r="H747" s="201"/>
      <c r="I747" s="201"/>
      <c r="J747" s="201"/>
      <c r="K747" s="201"/>
      <c r="L747" s="201"/>
      <c r="M747" s="201"/>
      <c r="N747" s="201"/>
      <c r="O747" s="201"/>
      <c r="P747" s="201"/>
      <c r="Q747" s="132"/>
      <c r="S747" s="126"/>
      <c r="T747" s="126"/>
      <c r="U747" s="126"/>
      <c r="V747" s="126"/>
    </row>
    <row r="748" spans="3:22" ht="14.7" thickBot="1" x14ac:dyDescent="0.6">
      <c r="S748" s="126"/>
      <c r="T748" s="126"/>
      <c r="U748" s="126"/>
      <c r="V748" s="126"/>
    </row>
    <row r="749" spans="3:22" x14ac:dyDescent="0.55000000000000004">
      <c r="C749" s="192"/>
      <c r="D749" s="193"/>
      <c r="E749" s="193"/>
      <c r="F749" s="193"/>
      <c r="G749" s="193"/>
      <c r="H749" s="193"/>
      <c r="I749" s="193"/>
      <c r="J749" s="193"/>
      <c r="K749" s="193"/>
      <c r="L749" s="193"/>
      <c r="M749" s="193"/>
      <c r="N749" s="193"/>
      <c r="O749" s="193"/>
      <c r="P749" s="193"/>
      <c r="Q749" s="123"/>
      <c r="S749" s="126"/>
      <c r="T749" s="126"/>
      <c r="U749" s="126"/>
      <c r="V749" s="126"/>
    </row>
    <row r="750" spans="3:22" ht="18.3" x14ac:dyDescent="0.7">
      <c r="C750" s="194"/>
      <c r="D750" s="1824">
        <f>'2 Customer data'!D75</f>
        <v>0</v>
      </c>
      <c r="E750" s="1824"/>
      <c r="F750" s="1824"/>
      <c r="G750" s="1824"/>
      <c r="H750" s="1824"/>
      <c r="I750" s="1824"/>
      <c r="J750" s="1824"/>
      <c r="K750" s="1824"/>
      <c r="L750" s="1824"/>
      <c r="M750" s="1824"/>
      <c r="N750" s="1824"/>
      <c r="O750" s="1824"/>
      <c r="Q750" s="125"/>
      <c r="S750" s="126"/>
      <c r="T750" s="126"/>
      <c r="U750" s="126"/>
      <c r="V750" s="126"/>
    </row>
    <row r="751" spans="3:22" ht="14.7" thickBot="1" x14ac:dyDescent="0.6">
      <c r="C751" s="194"/>
      <c r="Q751" s="125"/>
      <c r="S751" s="126"/>
      <c r="T751" s="126"/>
      <c r="U751" s="126"/>
      <c r="V751" s="126"/>
    </row>
    <row r="752" spans="3:22" x14ac:dyDescent="0.55000000000000004">
      <c r="C752" s="194"/>
      <c r="D752" s="192"/>
      <c r="E752" s="193"/>
      <c r="F752" s="193"/>
      <c r="G752" s="193"/>
      <c r="H752" s="193"/>
      <c r="I752" s="193"/>
      <c r="J752" s="193"/>
      <c r="K752" s="193"/>
      <c r="L752" s="193"/>
      <c r="M752" s="193"/>
      <c r="N752" s="193"/>
      <c r="O752" s="193"/>
      <c r="P752" s="195"/>
      <c r="Q752" s="125"/>
      <c r="S752" s="126"/>
      <c r="T752" s="126"/>
      <c r="U752" s="126"/>
      <c r="V752" s="126"/>
    </row>
    <row r="753" spans="3:22" x14ac:dyDescent="0.55000000000000004">
      <c r="C753" s="194"/>
      <c r="D753" s="194"/>
      <c r="E753" s="138" t="str">
        <f>'2 Customer data'!D75&amp;" "&amp;"information"</f>
        <v xml:space="preserve"> information</v>
      </c>
      <c r="P753" s="196"/>
      <c r="Q753" s="125"/>
      <c r="S753" s="126"/>
      <c r="T753" s="126"/>
      <c r="U753" s="126"/>
      <c r="V753" s="126"/>
    </row>
    <row r="754" spans="3:22" x14ac:dyDescent="0.55000000000000004">
      <c r="C754" s="194"/>
      <c r="D754" s="194"/>
      <c r="P754" s="196"/>
      <c r="Q754" s="125"/>
      <c r="S754" s="126"/>
      <c r="T754" s="126"/>
      <c r="U754" s="126"/>
      <c r="V754" s="126"/>
    </row>
    <row r="755" spans="3:22" ht="28.8" x14ac:dyDescent="0.55000000000000004">
      <c r="C755" s="194"/>
      <c r="D755" s="194"/>
      <c r="F755" s="166" t="s">
        <v>28</v>
      </c>
      <c r="G755" s="166" t="s">
        <v>69</v>
      </c>
      <c r="H755" s="197" t="s">
        <v>70</v>
      </c>
      <c r="I755" s="166" t="s">
        <v>71</v>
      </c>
      <c r="J755" s="198" t="s">
        <v>277</v>
      </c>
      <c r="P755" s="196"/>
      <c r="Q755" s="125"/>
      <c r="S755" s="126"/>
      <c r="T755" s="126"/>
      <c r="U755" s="126"/>
      <c r="V755" s="126"/>
    </row>
    <row r="756" spans="3:22" x14ac:dyDescent="0.55000000000000004">
      <c r="C756" s="194"/>
      <c r="D756" s="194"/>
      <c r="E756" s="10">
        <f>'2 Customer data'!D75</f>
        <v>0</v>
      </c>
      <c r="F756" s="113">
        <f>IFERROR(IF(VLOOKUP(E756,'2 Customer data'!$D$57:$M$76,6,FALSE)="",VLOOKUP(E756,'2 Customer data'!$D$57:$M$76,5,FALSE),VLOOKUP(E756,'2 Customer data'!$D$57:$M$76,6,FALSE)),0)</f>
        <v>0</v>
      </c>
      <c r="G756" s="113">
        <f ca="1">IFERROR(VLOOKUP(E756,'2 Sanitation'!$D$19:$J$38,5,FALSE),0)</f>
        <v>0</v>
      </c>
      <c r="H756" s="113">
        <f ca="1">IFERROR(VLOOKUP(E756,'2 Sanitation'!$D$19:$J$38,6,FALSE),0)</f>
        <v>0</v>
      </c>
      <c r="I756" s="113">
        <f ca="1">IFERROR(VLOOKUP(E756,'2 Sanitation'!$D$153:$K$172,8,FALSE),0)</f>
        <v>0</v>
      </c>
      <c r="J756" s="199">
        <f>IFERROR(IF(VLOOKUP(E756,'2 Customer data'!$D$57:$M$76,8,FALSE)="",VLOOKUP(E756,'2 Customer data'!$D$57:$M$76,7,FALSE),VLOOKUP(E756,'2 Customer data'!$D$57:$M$76,8,FALSE)),0)</f>
        <v>0</v>
      </c>
      <c r="P756" s="196"/>
      <c r="Q756" s="125"/>
      <c r="S756" s="126"/>
      <c r="T756" s="126"/>
      <c r="U756" s="126"/>
      <c r="V756" s="126"/>
    </row>
    <row r="757" spans="3:22" ht="14.7" thickBot="1" x14ac:dyDescent="0.6">
      <c r="C757" s="194"/>
      <c r="D757" s="200"/>
      <c r="E757" s="201"/>
      <c r="F757" s="201"/>
      <c r="G757" s="201"/>
      <c r="H757" s="201"/>
      <c r="I757" s="201"/>
      <c r="J757" s="201"/>
      <c r="K757" s="201"/>
      <c r="L757" s="201"/>
      <c r="M757" s="201"/>
      <c r="N757" s="201"/>
      <c r="O757" s="201"/>
      <c r="P757" s="202"/>
      <c r="Q757" s="125"/>
      <c r="S757" s="126"/>
      <c r="T757" s="126"/>
      <c r="U757" s="126"/>
      <c r="V757" s="126"/>
    </row>
    <row r="758" spans="3:22" ht="14.7" thickBot="1" x14ac:dyDescent="0.6">
      <c r="C758" s="194"/>
      <c r="Q758" s="125"/>
      <c r="S758" s="126"/>
      <c r="T758" s="126"/>
      <c r="U758" s="126"/>
      <c r="V758" s="126"/>
    </row>
    <row r="759" spans="3:22" x14ac:dyDescent="0.55000000000000004">
      <c r="C759" s="194"/>
      <c r="D759" s="192"/>
      <c r="E759" s="193"/>
      <c r="F759" s="193"/>
      <c r="G759" s="193"/>
      <c r="H759" s="193"/>
      <c r="I759" s="193"/>
      <c r="J759" s="193"/>
      <c r="K759" s="193"/>
      <c r="L759" s="193"/>
      <c r="M759" s="193"/>
      <c r="N759" s="193"/>
      <c r="O759" s="193"/>
      <c r="P759" s="195"/>
      <c r="Q759" s="125"/>
      <c r="S759" s="126"/>
      <c r="T759" s="126"/>
      <c r="U759" s="126"/>
      <c r="V759" s="126"/>
    </row>
    <row r="760" spans="3:22" x14ac:dyDescent="0.55000000000000004">
      <c r="C760" s="194"/>
      <c r="D760" s="194"/>
      <c r="E760" s="138" t="s">
        <v>93</v>
      </c>
      <c r="P760" s="196"/>
      <c r="Q760" s="125"/>
      <c r="S760" s="126"/>
      <c r="T760" s="126"/>
      <c r="U760" s="126"/>
      <c r="V760" s="126"/>
    </row>
    <row r="761" spans="3:22" x14ac:dyDescent="0.55000000000000004">
      <c r="C761" s="194"/>
      <c r="D761" s="194"/>
      <c r="E761" s="203" t="s">
        <v>555</v>
      </c>
      <c r="P761" s="196"/>
      <c r="Q761" s="125"/>
      <c r="S761" s="126"/>
      <c r="T761" s="126"/>
      <c r="U761" s="126"/>
      <c r="V761" s="126"/>
    </row>
    <row r="762" spans="3:22" x14ac:dyDescent="0.55000000000000004">
      <c r="C762" s="194"/>
      <c r="D762" s="194"/>
      <c r="P762" s="196"/>
      <c r="Q762" s="125"/>
      <c r="S762" s="126"/>
      <c r="T762" s="126"/>
      <c r="U762" s="126"/>
      <c r="V762" s="126"/>
    </row>
    <row r="763" spans="3:22" ht="43.2" x14ac:dyDescent="0.55000000000000004">
      <c r="C763" s="194"/>
      <c r="D763" s="194"/>
      <c r="F763" s="166" t="s">
        <v>86</v>
      </c>
      <c r="G763" s="166" t="s">
        <v>73</v>
      </c>
      <c r="H763" s="166" t="s">
        <v>74</v>
      </c>
      <c r="I763" s="166" t="s">
        <v>75</v>
      </c>
      <c r="J763" s="166" t="s">
        <v>76</v>
      </c>
      <c r="P763" s="196"/>
      <c r="Q763" s="125"/>
      <c r="S763" s="126"/>
      <c r="T763" s="126"/>
      <c r="U763" s="126"/>
      <c r="V763" s="126"/>
    </row>
    <row r="764" spans="3:22" x14ac:dyDescent="0.55000000000000004">
      <c r="C764" s="194"/>
      <c r="D764" s="194"/>
      <c r="E764" s="10">
        <f>E756</f>
        <v>0</v>
      </c>
      <c r="F764" s="113">
        <f ca="1">G756</f>
        <v>0</v>
      </c>
      <c r="G764" s="204">
        <f ca="1">IFERROR(F764/F756/12,0)</f>
        <v>0</v>
      </c>
      <c r="H764" s="205"/>
      <c r="I764" s="113">
        <f>H764*F756*12</f>
        <v>0</v>
      </c>
      <c r="J764" s="70">
        <f>I764/12</f>
        <v>0</v>
      </c>
      <c r="P764" s="196"/>
      <c r="Q764" s="125"/>
      <c r="S764" s="126"/>
      <c r="T764" s="126"/>
      <c r="U764" s="126"/>
      <c r="V764" s="126"/>
    </row>
    <row r="765" spans="3:22" x14ac:dyDescent="0.55000000000000004">
      <c r="C765" s="194"/>
      <c r="D765" s="194"/>
      <c r="F765" s="58" t="str">
        <f>IF(I764&gt;I755,"Error: revenue from fixed charges exceeds total revenue required from tariff. Reduce fixed charge.","")</f>
        <v/>
      </c>
      <c r="G765" s="156"/>
      <c r="H765" s="156"/>
      <c r="I765" s="156"/>
      <c r="J765" s="158"/>
      <c r="P765" s="196"/>
      <c r="Q765" s="125"/>
      <c r="S765" s="126"/>
      <c r="T765" s="126"/>
      <c r="U765" s="126"/>
      <c r="V765" s="126"/>
    </row>
    <row r="766" spans="3:22" ht="14.7" thickBot="1" x14ac:dyDescent="0.6">
      <c r="C766" s="194"/>
      <c r="D766" s="200"/>
      <c r="E766" s="201"/>
      <c r="F766" s="201"/>
      <c r="G766" s="201"/>
      <c r="H766" s="201"/>
      <c r="I766" s="201"/>
      <c r="J766" s="201"/>
      <c r="K766" s="201"/>
      <c r="L766" s="201"/>
      <c r="M766" s="201"/>
      <c r="N766" s="201"/>
      <c r="O766" s="201"/>
      <c r="P766" s="202"/>
      <c r="Q766" s="125"/>
      <c r="S766" s="126"/>
      <c r="T766" s="126"/>
      <c r="U766" s="126"/>
      <c r="V766" s="126"/>
    </row>
    <row r="767" spans="3:22" ht="14.7" thickBot="1" x14ac:dyDescent="0.6">
      <c r="C767" s="194"/>
      <c r="Q767" s="125"/>
      <c r="S767" s="126"/>
      <c r="T767" s="126"/>
      <c r="U767" s="126"/>
      <c r="V767" s="126"/>
    </row>
    <row r="768" spans="3:22" x14ac:dyDescent="0.55000000000000004">
      <c r="C768" s="194"/>
      <c r="D768" s="192"/>
      <c r="E768" s="193"/>
      <c r="F768" s="193"/>
      <c r="G768" s="193"/>
      <c r="H768" s="193"/>
      <c r="I768" s="193"/>
      <c r="J768" s="193"/>
      <c r="K768" s="193"/>
      <c r="L768" s="193"/>
      <c r="M768" s="193"/>
      <c r="N768" s="193"/>
      <c r="O768" s="193"/>
      <c r="P768" s="195"/>
      <c r="Q768" s="125"/>
      <c r="S768" s="126"/>
      <c r="T768" s="126"/>
      <c r="U768" s="126"/>
      <c r="V768" s="126"/>
    </row>
    <row r="769" spans="3:22" x14ac:dyDescent="0.55000000000000004">
      <c r="C769" s="194"/>
      <c r="D769" s="194"/>
      <c r="E769" s="138" t="s">
        <v>96</v>
      </c>
      <c r="P769" s="196"/>
      <c r="Q769" s="125"/>
      <c r="S769" s="126"/>
      <c r="T769" s="126"/>
      <c r="U769" s="126"/>
      <c r="V769" s="126"/>
    </row>
    <row r="770" spans="3:22" ht="14.55" customHeight="1" x14ac:dyDescent="0.55000000000000004">
      <c r="C770" s="194"/>
      <c r="D770" s="194"/>
      <c r="E770" s="1825" t="s">
        <v>558</v>
      </c>
      <c r="F770" s="1825"/>
      <c r="G770" s="1825"/>
      <c r="H770" s="1825"/>
      <c r="I770" s="1825"/>
      <c r="J770" s="1825"/>
      <c r="K770" s="1825"/>
      <c r="L770" s="1825"/>
      <c r="M770" s="1825"/>
      <c r="N770" s="1825"/>
      <c r="O770" s="1825"/>
      <c r="P770" s="1826"/>
      <c r="Q770" s="125"/>
      <c r="S770" s="126"/>
      <c r="T770" s="126"/>
      <c r="U770" s="126"/>
      <c r="V770" s="126"/>
    </row>
    <row r="771" spans="3:22" x14ac:dyDescent="0.55000000000000004">
      <c r="C771" s="194"/>
      <c r="D771" s="194"/>
      <c r="E771" s="1825"/>
      <c r="F771" s="1825"/>
      <c r="G771" s="1825"/>
      <c r="H771" s="1825"/>
      <c r="I771" s="1825"/>
      <c r="J771" s="1825"/>
      <c r="K771" s="1825"/>
      <c r="L771" s="1825"/>
      <c r="M771" s="1825"/>
      <c r="N771" s="1825"/>
      <c r="O771" s="1825"/>
      <c r="P771" s="1826"/>
      <c r="Q771" s="125"/>
      <c r="S771" s="126"/>
      <c r="T771" s="126"/>
      <c r="U771" s="126"/>
      <c r="V771" s="126"/>
    </row>
    <row r="772" spans="3:22" x14ac:dyDescent="0.55000000000000004">
      <c r="C772" s="194"/>
      <c r="D772" s="194"/>
      <c r="P772" s="196"/>
      <c r="Q772" s="125"/>
      <c r="S772" s="126"/>
      <c r="T772" s="126"/>
      <c r="U772" s="126"/>
      <c r="V772" s="126"/>
    </row>
    <row r="773" spans="3:22" x14ac:dyDescent="0.55000000000000004">
      <c r="C773" s="194"/>
      <c r="D773" s="194"/>
      <c r="E773" s="206" t="s">
        <v>77</v>
      </c>
      <c r="H773" s="207">
        <v>10</v>
      </c>
      <c r="P773" s="196"/>
      <c r="Q773" s="125"/>
      <c r="S773" s="126"/>
      <c r="T773" s="126"/>
      <c r="U773" s="126"/>
      <c r="V773" s="126"/>
    </row>
    <row r="774" spans="3:22" x14ac:dyDescent="0.55000000000000004">
      <c r="C774" s="194"/>
      <c r="D774" s="194"/>
      <c r="E774" s="10" t="s">
        <v>612</v>
      </c>
      <c r="H774" s="159" t="s">
        <v>613</v>
      </c>
      <c r="P774" s="196"/>
      <c r="Q774" s="125"/>
      <c r="S774" s="126"/>
      <c r="T774" s="126"/>
      <c r="U774" s="126"/>
      <c r="V774" s="126"/>
    </row>
    <row r="775" spans="3:22" x14ac:dyDescent="0.55000000000000004">
      <c r="C775" s="194"/>
      <c r="D775" s="194"/>
      <c r="P775" s="196"/>
      <c r="Q775" s="125"/>
      <c r="S775" s="126"/>
      <c r="T775" s="126"/>
      <c r="U775" s="126"/>
      <c r="V775" s="126"/>
    </row>
    <row r="776" spans="3:22" ht="43.2" x14ac:dyDescent="0.55000000000000004">
      <c r="C776" s="194"/>
      <c r="D776" s="194"/>
      <c r="E776" s="166" t="s">
        <v>78</v>
      </c>
      <c r="F776" s="166" t="s">
        <v>99</v>
      </c>
      <c r="G776" s="197" t="s">
        <v>92</v>
      </c>
      <c r="H776" s="166" t="s">
        <v>80</v>
      </c>
      <c r="I776" s="166" t="s">
        <v>334</v>
      </c>
      <c r="J776" s="166" t="s">
        <v>335</v>
      </c>
      <c r="K776" s="166" t="s">
        <v>339</v>
      </c>
      <c r="L776" s="166" t="s">
        <v>336</v>
      </c>
      <c r="M776" s="166" t="s">
        <v>337</v>
      </c>
      <c r="N776" s="166" t="s">
        <v>338</v>
      </c>
      <c r="O776" s="166" t="s">
        <v>83</v>
      </c>
      <c r="P776" s="208"/>
      <c r="Q776" s="125"/>
      <c r="S776" s="126" t="s">
        <v>614</v>
      </c>
      <c r="T776" s="126" t="s">
        <v>615</v>
      </c>
      <c r="U776" s="126"/>
      <c r="V776" s="126"/>
    </row>
    <row r="777" spans="3:22" x14ac:dyDescent="0.55000000000000004">
      <c r="C777" s="194"/>
      <c r="D777" s="194"/>
      <c r="E777" s="209">
        <f>IF($H$773=U777,U777,1)</f>
        <v>1</v>
      </c>
      <c r="F777" s="210"/>
      <c r="G777" s="211">
        <v>0</v>
      </c>
      <c r="H777" s="212"/>
      <c r="I777" s="213"/>
      <c r="J777" s="70">
        <f>J756-SUMIF(E778:E786,"&lt;="&amp;$H$773,J778:J786)</f>
        <v>0</v>
      </c>
      <c r="K777" s="70">
        <f>F777*J777</f>
        <v>0</v>
      </c>
      <c r="L777" s="114">
        <f>IFERROR(IF(E777&lt;=H773,IF(H774="No",IF(I764=0,I756/SUMPRODUCT(S777:S786,K777:K786),(I756-I764)/SUMPRODUCT(S777:S786,K777:K786)),0),0),0)</f>
        <v>0</v>
      </c>
      <c r="M777" s="44">
        <f>IFERROR(O777/J777,0)</f>
        <v>0</v>
      </c>
      <c r="N777" s="199"/>
      <c r="O777" s="199">
        <f>K777*L777</f>
        <v>0</v>
      </c>
      <c r="P777" s="214"/>
      <c r="Q777" s="125"/>
      <c r="S777" s="92">
        <f>IF(E777&lt;=$H$773,1,0)</f>
        <v>1</v>
      </c>
      <c r="T777" s="126"/>
      <c r="U777" s="126">
        <v>1</v>
      </c>
      <c r="V777" s="126"/>
    </row>
    <row r="778" spans="3:22" x14ac:dyDescent="0.55000000000000004">
      <c r="C778" s="194"/>
      <c r="D778" s="194"/>
      <c r="E778" s="209">
        <f t="shared" ref="E778:E786" si="144">IF($H$773&gt;=U778,U778,"")</f>
        <v>2</v>
      </c>
      <c r="F778" s="210"/>
      <c r="G778" s="211">
        <f t="shared" ref="G778:G786" si="145">IF($H$773&gt;=F778,H777+0.01,"")</f>
        <v>0.01</v>
      </c>
      <c r="H778" s="212"/>
      <c r="I778" s="215"/>
      <c r="J778" s="216"/>
      <c r="K778" s="70">
        <f t="shared" ref="K778:K786" si="146">F778*J778</f>
        <v>0</v>
      </c>
      <c r="L778" s="114">
        <f ca="1">IFERROR(IF(E778&lt;=H773,IF(H774="No",L777*(1+I778),IF(I764=0,I756/SUMPRODUCT(T778:T786,K778:K786),(I756-I764)/SUMPRODUCT(T778:T786,K778:K786))),0),0)</f>
        <v>0</v>
      </c>
      <c r="M778" s="44">
        <f t="shared" ref="M778:M786" ca="1" si="147">IFERROR(O778/J778,0)</f>
        <v>0</v>
      </c>
      <c r="N778" s="217" t="str">
        <f ca="1">IFERROR(M778/M777-1,"")</f>
        <v/>
      </c>
      <c r="O778" s="199">
        <f t="shared" ref="O778:O786" ca="1" si="148">K778*L778</f>
        <v>0</v>
      </c>
      <c r="P778" s="214"/>
      <c r="Q778" s="125"/>
      <c r="S778" s="92">
        <f>IF(E778&lt;=$H$773,(1+I778),0)</f>
        <v>1</v>
      </c>
      <c r="T778" s="92">
        <f>IF(E778&lt;=H773,1,0)</f>
        <v>1</v>
      </c>
      <c r="U778" s="126">
        <v>2</v>
      </c>
      <c r="V778" s="126"/>
    </row>
    <row r="779" spans="3:22" x14ac:dyDescent="0.55000000000000004">
      <c r="C779" s="194"/>
      <c r="D779" s="194"/>
      <c r="E779" s="209">
        <f t="shared" si="144"/>
        <v>3</v>
      </c>
      <c r="F779" s="210"/>
      <c r="G779" s="211">
        <f t="shared" si="145"/>
        <v>0.01</v>
      </c>
      <c r="H779" s="212"/>
      <c r="I779" s="215"/>
      <c r="J779" s="216"/>
      <c r="K779" s="70">
        <f t="shared" si="146"/>
        <v>0</v>
      </c>
      <c r="L779" s="204">
        <f t="shared" ref="L779:L786" ca="1" si="149">IF(E779&lt;=$H$773,L778*(1+I779),0)</f>
        <v>0</v>
      </c>
      <c r="M779" s="44">
        <f t="shared" ca="1" si="147"/>
        <v>0</v>
      </c>
      <c r="N779" s="217" t="str">
        <f t="shared" ref="N779:N786" ca="1" si="150">IFERROR(M779/M778-1,"")</f>
        <v/>
      </c>
      <c r="O779" s="199">
        <f t="shared" ca="1" si="148"/>
        <v>0</v>
      </c>
      <c r="P779" s="214"/>
      <c r="Q779" s="125"/>
      <c r="S779" s="92">
        <f t="shared" ref="S779:S786" si="151">IF(E779&lt;=$H$773,S778*(1+I779),0)</f>
        <v>1</v>
      </c>
      <c r="T779" s="92">
        <f>IF(E779&lt;=H773,T778*(1+I779),0)</f>
        <v>1</v>
      </c>
      <c r="U779" s="126">
        <v>3</v>
      </c>
      <c r="V779" s="126"/>
    </row>
    <row r="780" spans="3:22" x14ac:dyDescent="0.55000000000000004">
      <c r="C780" s="194"/>
      <c r="D780" s="194"/>
      <c r="E780" s="209">
        <f t="shared" si="144"/>
        <v>4</v>
      </c>
      <c r="F780" s="210"/>
      <c r="G780" s="211">
        <f t="shared" si="145"/>
        <v>0.01</v>
      </c>
      <c r="H780" s="212"/>
      <c r="I780" s="215"/>
      <c r="J780" s="216"/>
      <c r="K780" s="70">
        <f t="shared" si="146"/>
        <v>0</v>
      </c>
      <c r="L780" s="204">
        <f t="shared" ca="1" si="149"/>
        <v>0</v>
      </c>
      <c r="M780" s="44">
        <f t="shared" ca="1" si="147"/>
        <v>0</v>
      </c>
      <c r="N780" s="217" t="str">
        <f t="shared" ca="1" si="150"/>
        <v/>
      </c>
      <c r="O780" s="199">
        <f t="shared" ca="1" si="148"/>
        <v>0</v>
      </c>
      <c r="P780" s="214"/>
      <c r="Q780" s="125"/>
      <c r="S780" s="92">
        <f t="shared" si="151"/>
        <v>1</v>
      </c>
      <c r="T780" s="92">
        <f>IF(E780&lt;=H773,T779*(1+I780),0)</f>
        <v>1</v>
      </c>
      <c r="U780" s="126">
        <v>4</v>
      </c>
      <c r="V780" s="126"/>
    </row>
    <row r="781" spans="3:22" x14ac:dyDescent="0.55000000000000004">
      <c r="C781" s="194"/>
      <c r="D781" s="194"/>
      <c r="E781" s="209">
        <f t="shared" si="144"/>
        <v>5</v>
      </c>
      <c r="F781" s="210"/>
      <c r="G781" s="211">
        <f t="shared" si="145"/>
        <v>0.01</v>
      </c>
      <c r="H781" s="212"/>
      <c r="I781" s="215"/>
      <c r="J781" s="216"/>
      <c r="K781" s="70">
        <f t="shared" si="146"/>
        <v>0</v>
      </c>
      <c r="L781" s="204">
        <f t="shared" ca="1" si="149"/>
        <v>0</v>
      </c>
      <c r="M781" s="44">
        <f t="shared" ca="1" si="147"/>
        <v>0</v>
      </c>
      <c r="N781" s="217" t="str">
        <f t="shared" ca="1" si="150"/>
        <v/>
      </c>
      <c r="O781" s="199">
        <f t="shared" ca="1" si="148"/>
        <v>0</v>
      </c>
      <c r="P781" s="214"/>
      <c r="Q781" s="125"/>
      <c r="S781" s="92">
        <f t="shared" si="151"/>
        <v>1</v>
      </c>
      <c r="T781" s="92">
        <f>IF(E781&lt;=H773,T780*(1+I781),0)</f>
        <v>1</v>
      </c>
      <c r="U781" s="126">
        <v>5</v>
      </c>
      <c r="V781" s="126"/>
    </row>
    <row r="782" spans="3:22" x14ac:dyDescent="0.55000000000000004">
      <c r="C782" s="194"/>
      <c r="D782" s="194"/>
      <c r="E782" s="209">
        <f t="shared" si="144"/>
        <v>6</v>
      </c>
      <c r="F782" s="210"/>
      <c r="G782" s="211">
        <f t="shared" si="145"/>
        <v>0.01</v>
      </c>
      <c r="H782" s="207"/>
      <c r="I782" s="215"/>
      <c r="J782" s="216"/>
      <c r="K782" s="70">
        <f t="shared" si="146"/>
        <v>0</v>
      </c>
      <c r="L782" s="204">
        <f t="shared" ca="1" si="149"/>
        <v>0</v>
      </c>
      <c r="M782" s="44">
        <f t="shared" ca="1" si="147"/>
        <v>0</v>
      </c>
      <c r="N782" s="217" t="str">
        <f t="shared" ca="1" si="150"/>
        <v/>
      </c>
      <c r="O782" s="199">
        <f t="shared" ca="1" si="148"/>
        <v>0</v>
      </c>
      <c r="P782" s="214"/>
      <c r="Q782" s="125"/>
      <c r="S782" s="92">
        <f t="shared" si="151"/>
        <v>1</v>
      </c>
      <c r="T782" s="92">
        <f>IF(E782&lt;=H773,T781*(1+I782),0)</f>
        <v>1</v>
      </c>
      <c r="U782" s="126">
        <v>6</v>
      </c>
      <c r="V782" s="126"/>
    </row>
    <row r="783" spans="3:22" x14ac:dyDescent="0.55000000000000004">
      <c r="C783" s="194"/>
      <c r="D783" s="194"/>
      <c r="E783" s="209">
        <f t="shared" si="144"/>
        <v>7</v>
      </c>
      <c r="F783" s="210"/>
      <c r="G783" s="211">
        <f t="shared" si="145"/>
        <v>0.01</v>
      </c>
      <c r="H783" s="207"/>
      <c r="I783" s="215"/>
      <c r="J783" s="216"/>
      <c r="K783" s="70">
        <f t="shared" si="146"/>
        <v>0</v>
      </c>
      <c r="L783" s="204">
        <f t="shared" ca="1" si="149"/>
        <v>0</v>
      </c>
      <c r="M783" s="44">
        <f t="shared" ca="1" si="147"/>
        <v>0</v>
      </c>
      <c r="N783" s="217" t="str">
        <f t="shared" ca="1" si="150"/>
        <v/>
      </c>
      <c r="O783" s="199">
        <f t="shared" ca="1" si="148"/>
        <v>0</v>
      </c>
      <c r="P783" s="214"/>
      <c r="Q783" s="125"/>
      <c r="S783" s="92">
        <f t="shared" si="151"/>
        <v>1</v>
      </c>
      <c r="T783" s="92">
        <f>IF(E783&lt;=H773,T782*(1+I783),0)</f>
        <v>1</v>
      </c>
      <c r="U783" s="126">
        <v>7</v>
      </c>
      <c r="V783" s="126"/>
    </row>
    <row r="784" spans="3:22" x14ac:dyDescent="0.55000000000000004">
      <c r="C784" s="194"/>
      <c r="D784" s="194"/>
      <c r="E784" s="209">
        <f t="shared" si="144"/>
        <v>8</v>
      </c>
      <c r="F784" s="210"/>
      <c r="G784" s="211">
        <f t="shared" si="145"/>
        <v>0.01</v>
      </c>
      <c r="H784" s="207"/>
      <c r="I784" s="215"/>
      <c r="J784" s="216"/>
      <c r="K784" s="70">
        <f t="shared" si="146"/>
        <v>0</v>
      </c>
      <c r="L784" s="204">
        <f t="shared" ca="1" si="149"/>
        <v>0</v>
      </c>
      <c r="M784" s="44">
        <f t="shared" ca="1" si="147"/>
        <v>0</v>
      </c>
      <c r="N784" s="217" t="str">
        <f t="shared" ca="1" si="150"/>
        <v/>
      </c>
      <c r="O784" s="199">
        <f t="shared" ca="1" si="148"/>
        <v>0</v>
      </c>
      <c r="P784" s="214"/>
      <c r="Q784" s="125"/>
      <c r="S784" s="92">
        <f t="shared" si="151"/>
        <v>1</v>
      </c>
      <c r="T784" s="92">
        <f>IF(E784&lt;=H773,T783*(1+I784),0)</f>
        <v>1</v>
      </c>
      <c r="U784" s="126">
        <v>8</v>
      </c>
      <c r="V784" s="126"/>
    </row>
    <row r="785" spans="3:22" x14ac:dyDescent="0.55000000000000004">
      <c r="C785" s="194"/>
      <c r="D785" s="194"/>
      <c r="E785" s="209">
        <f t="shared" si="144"/>
        <v>9</v>
      </c>
      <c r="F785" s="210"/>
      <c r="G785" s="211">
        <f t="shared" si="145"/>
        <v>0.01</v>
      </c>
      <c r="H785" s="207"/>
      <c r="I785" s="215"/>
      <c r="J785" s="216"/>
      <c r="K785" s="70">
        <f t="shared" si="146"/>
        <v>0</v>
      </c>
      <c r="L785" s="204">
        <f t="shared" ca="1" si="149"/>
        <v>0</v>
      </c>
      <c r="M785" s="44">
        <f t="shared" ca="1" si="147"/>
        <v>0</v>
      </c>
      <c r="N785" s="217" t="str">
        <f t="shared" ca="1" si="150"/>
        <v/>
      </c>
      <c r="O785" s="199">
        <f t="shared" ca="1" si="148"/>
        <v>0</v>
      </c>
      <c r="P785" s="214"/>
      <c r="Q785" s="125"/>
      <c r="S785" s="92">
        <f t="shared" si="151"/>
        <v>1</v>
      </c>
      <c r="T785" s="92">
        <f>IF(E785&lt;=H773,T784*(1+I785),0)</f>
        <v>1</v>
      </c>
      <c r="U785" s="126">
        <v>9</v>
      </c>
      <c r="V785" s="126"/>
    </row>
    <row r="786" spans="3:22" x14ac:dyDescent="0.55000000000000004">
      <c r="C786" s="194"/>
      <c r="D786" s="194"/>
      <c r="E786" s="209">
        <f t="shared" si="144"/>
        <v>10</v>
      </c>
      <c r="F786" s="210"/>
      <c r="G786" s="211">
        <f t="shared" si="145"/>
        <v>0.01</v>
      </c>
      <c r="H786" s="209" t="s">
        <v>84</v>
      </c>
      <c r="I786" s="215"/>
      <c r="J786" s="216"/>
      <c r="K786" s="70">
        <f t="shared" si="146"/>
        <v>0</v>
      </c>
      <c r="L786" s="204">
        <f t="shared" ca="1" si="149"/>
        <v>0</v>
      </c>
      <c r="M786" s="44">
        <f t="shared" ca="1" si="147"/>
        <v>0</v>
      </c>
      <c r="N786" s="217" t="str">
        <f t="shared" ca="1" si="150"/>
        <v/>
      </c>
      <c r="O786" s="199">
        <f t="shared" ca="1" si="148"/>
        <v>0</v>
      </c>
      <c r="P786" s="214"/>
      <c r="Q786" s="125"/>
      <c r="S786" s="92">
        <f t="shared" si="151"/>
        <v>1</v>
      </c>
      <c r="T786" s="92">
        <f>IF(E786&lt;=H773,T785*(1+I786),0)</f>
        <v>1</v>
      </c>
      <c r="U786" s="126">
        <v>10</v>
      </c>
      <c r="V786" s="126"/>
    </row>
    <row r="787" spans="3:22" ht="14.7" thickBot="1" x14ac:dyDescent="0.6">
      <c r="C787" s="194"/>
      <c r="D787" s="200"/>
      <c r="E787" s="201"/>
      <c r="F787" s="201"/>
      <c r="G787" s="201"/>
      <c r="H787" s="201"/>
      <c r="I787" s="201"/>
      <c r="J787" s="201"/>
      <c r="K787" s="201"/>
      <c r="L787" s="201"/>
      <c r="M787" s="201"/>
      <c r="N787" s="201"/>
      <c r="O787" s="201"/>
      <c r="P787" s="202"/>
      <c r="Q787" s="125"/>
      <c r="S787" s="126"/>
      <c r="T787" s="126"/>
      <c r="U787" s="126"/>
      <c r="V787" s="126"/>
    </row>
    <row r="788" spans="3:22" ht="14.7" thickBot="1" x14ac:dyDescent="0.6">
      <c r="C788" s="200"/>
      <c r="D788" s="201"/>
      <c r="E788" s="201"/>
      <c r="F788" s="201"/>
      <c r="G788" s="201"/>
      <c r="H788" s="201"/>
      <c r="I788" s="201"/>
      <c r="J788" s="201"/>
      <c r="K788" s="201"/>
      <c r="L788" s="201"/>
      <c r="M788" s="201"/>
      <c r="N788" s="201"/>
      <c r="O788" s="201"/>
      <c r="P788" s="201"/>
      <c r="Q788" s="132"/>
      <c r="S788" s="126"/>
      <c r="T788" s="126"/>
      <c r="U788" s="126"/>
      <c r="V788" s="126"/>
    </row>
    <row r="789" spans="3:22" ht="14.7" thickBot="1" x14ac:dyDescent="0.6">
      <c r="S789" s="126"/>
      <c r="T789" s="126"/>
      <c r="U789" s="126"/>
      <c r="V789" s="126"/>
    </row>
    <row r="790" spans="3:22" x14ac:dyDescent="0.55000000000000004">
      <c r="C790" s="192"/>
      <c r="D790" s="193"/>
      <c r="E790" s="193"/>
      <c r="F790" s="193"/>
      <c r="G790" s="193"/>
      <c r="H790" s="193"/>
      <c r="I790" s="193"/>
      <c r="J790" s="193"/>
      <c r="K790" s="193"/>
      <c r="L790" s="193"/>
      <c r="M790" s="193"/>
      <c r="N790" s="193"/>
      <c r="O790" s="193"/>
      <c r="P790" s="193"/>
      <c r="Q790" s="123"/>
      <c r="S790" s="126"/>
      <c r="T790" s="126"/>
      <c r="U790" s="126"/>
      <c r="V790" s="126"/>
    </row>
    <row r="791" spans="3:22" ht="18.3" x14ac:dyDescent="0.7">
      <c r="C791" s="194"/>
      <c r="D791" s="1824">
        <f>'2 Customer data'!D76</f>
        <v>0</v>
      </c>
      <c r="E791" s="1824"/>
      <c r="F791" s="1824"/>
      <c r="G791" s="1824"/>
      <c r="H791" s="1824"/>
      <c r="I791" s="1824"/>
      <c r="J791" s="1824"/>
      <c r="K791" s="1824"/>
      <c r="L791" s="1824"/>
      <c r="M791" s="1824"/>
      <c r="N791" s="1824"/>
      <c r="O791" s="1824"/>
      <c r="Q791" s="125"/>
      <c r="S791" s="126"/>
      <c r="T791" s="126"/>
      <c r="U791" s="126"/>
      <c r="V791" s="126"/>
    </row>
    <row r="792" spans="3:22" ht="14.7" thickBot="1" x14ac:dyDescent="0.6">
      <c r="C792" s="194"/>
      <c r="Q792" s="125"/>
      <c r="S792" s="126"/>
      <c r="T792" s="126"/>
      <c r="U792" s="126"/>
      <c r="V792" s="126"/>
    </row>
    <row r="793" spans="3:22" x14ac:dyDescent="0.55000000000000004">
      <c r="C793" s="194"/>
      <c r="D793" s="192"/>
      <c r="E793" s="193"/>
      <c r="F793" s="193"/>
      <c r="G793" s="193"/>
      <c r="H793" s="193"/>
      <c r="I793" s="193"/>
      <c r="J793" s="193"/>
      <c r="K793" s="193"/>
      <c r="L793" s="193"/>
      <c r="M793" s="193"/>
      <c r="N793" s="193"/>
      <c r="O793" s="193"/>
      <c r="P793" s="195"/>
      <c r="Q793" s="125"/>
      <c r="S793" s="126"/>
      <c r="T793" s="126"/>
      <c r="U793" s="126"/>
      <c r="V793" s="126"/>
    </row>
    <row r="794" spans="3:22" x14ac:dyDescent="0.55000000000000004">
      <c r="C794" s="194"/>
      <c r="D794" s="194"/>
      <c r="E794" s="138" t="str">
        <f>'2 Customer data'!D76&amp;" "&amp;"information"</f>
        <v xml:space="preserve"> information</v>
      </c>
      <c r="P794" s="196"/>
      <c r="Q794" s="125"/>
      <c r="S794" s="126"/>
      <c r="T794" s="126"/>
      <c r="U794" s="126"/>
      <c r="V794" s="126"/>
    </row>
    <row r="795" spans="3:22" x14ac:dyDescent="0.55000000000000004">
      <c r="C795" s="194"/>
      <c r="D795" s="194"/>
      <c r="P795" s="196"/>
      <c r="Q795" s="125"/>
      <c r="S795" s="126"/>
      <c r="T795" s="126"/>
      <c r="U795" s="126"/>
      <c r="V795" s="126"/>
    </row>
    <row r="796" spans="3:22" ht="28.8" x14ac:dyDescent="0.55000000000000004">
      <c r="C796" s="194"/>
      <c r="D796" s="194"/>
      <c r="F796" s="166" t="s">
        <v>28</v>
      </c>
      <c r="G796" s="166" t="s">
        <v>69</v>
      </c>
      <c r="H796" s="197" t="s">
        <v>70</v>
      </c>
      <c r="I796" s="166" t="s">
        <v>71</v>
      </c>
      <c r="J796" s="198" t="s">
        <v>277</v>
      </c>
      <c r="P796" s="196"/>
      <c r="Q796" s="125"/>
      <c r="S796" s="126"/>
      <c r="T796" s="126"/>
      <c r="U796" s="126"/>
      <c r="V796" s="126"/>
    </row>
    <row r="797" spans="3:22" x14ac:dyDescent="0.55000000000000004">
      <c r="C797" s="194"/>
      <c r="D797" s="194"/>
      <c r="E797" s="10">
        <f>'2 Customer data'!D76</f>
        <v>0</v>
      </c>
      <c r="F797" s="113">
        <f>IFERROR(IF(VLOOKUP(E797,'2 Customer data'!$D$57:$M$76,6,FALSE)="",VLOOKUP(E797,'2 Customer data'!$D$57:$M$76,5,FALSE),VLOOKUP(E797,'2 Customer data'!$D$57:$M$76,6,FALSE)),0)</f>
        <v>0</v>
      </c>
      <c r="G797" s="113">
        <f ca="1">IFERROR(VLOOKUP(E797,'2 Sanitation'!$D$19:$J$38,5,FALSE),0)</f>
        <v>0</v>
      </c>
      <c r="H797" s="113">
        <f ca="1">IFERROR(VLOOKUP(E797,'2 Sanitation'!$D$19:$J$38,6,FALSE),0)</f>
        <v>0</v>
      </c>
      <c r="I797" s="113">
        <f ca="1">IFERROR(VLOOKUP(E797,'2 Sanitation'!$D$153:$K$172,8,FALSE),0)</f>
        <v>0</v>
      </c>
      <c r="J797" s="199">
        <f>IFERROR(IF(VLOOKUP(E797,'2 Customer data'!$D$57:$M$76,8,FALSE)="",VLOOKUP(E797,'2 Customer data'!$D$57:$M$76,7,FALSE),VLOOKUP(E797,'2 Customer data'!$D$57:$M$76,8,FALSE)),0)</f>
        <v>0</v>
      </c>
      <c r="P797" s="196"/>
      <c r="Q797" s="125"/>
      <c r="S797" s="126"/>
      <c r="T797" s="126"/>
      <c r="U797" s="126"/>
      <c r="V797" s="126"/>
    </row>
    <row r="798" spans="3:22" ht="14.7" thickBot="1" x14ac:dyDescent="0.6">
      <c r="C798" s="194"/>
      <c r="D798" s="200"/>
      <c r="E798" s="201"/>
      <c r="F798" s="201"/>
      <c r="G798" s="201"/>
      <c r="H798" s="201"/>
      <c r="I798" s="201"/>
      <c r="J798" s="201"/>
      <c r="K798" s="201"/>
      <c r="L798" s="201"/>
      <c r="M798" s="201"/>
      <c r="N798" s="201"/>
      <c r="O798" s="201"/>
      <c r="P798" s="202"/>
      <c r="Q798" s="125"/>
      <c r="S798" s="126"/>
      <c r="T798" s="126"/>
      <c r="U798" s="126"/>
      <c r="V798" s="126"/>
    </row>
    <row r="799" spans="3:22" ht="14.7" thickBot="1" x14ac:dyDescent="0.6">
      <c r="C799" s="194"/>
      <c r="Q799" s="125"/>
      <c r="S799" s="126"/>
      <c r="T799" s="126"/>
      <c r="U799" s="126"/>
      <c r="V799" s="126"/>
    </row>
    <row r="800" spans="3:22" x14ac:dyDescent="0.55000000000000004">
      <c r="C800" s="194"/>
      <c r="D800" s="192"/>
      <c r="E800" s="193"/>
      <c r="F800" s="193"/>
      <c r="G800" s="193"/>
      <c r="H800" s="193"/>
      <c r="I800" s="193"/>
      <c r="J800" s="193"/>
      <c r="K800" s="193"/>
      <c r="L800" s="193"/>
      <c r="M800" s="193"/>
      <c r="N800" s="193"/>
      <c r="O800" s="193"/>
      <c r="P800" s="195"/>
      <c r="Q800" s="125"/>
      <c r="S800" s="126"/>
      <c r="T800" s="126"/>
      <c r="U800" s="126"/>
      <c r="V800" s="126"/>
    </row>
    <row r="801" spans="3:22" x14ac:dyDescent="0.55000000000000004">
      <c r="C801" s="194"/>
      <c r="D801" s="194"/>
      <c r="E801" s="138" t="s">
        <v>93</v>
      </c>
      <c r="P801" s="196"/>
      <c r="Q801" s="125"/>
      <c r="S801" s="126"/>
      <c r="T801" s="126"/>
      <c r="U801" s="126"/>
      <c r="V801" s="126"/>
    </row>
    <row r="802" spans="3:22" x14ac:dyDescent="0.55000000000000004">
      <c r="C802" s="194"/>
      <c r="D802" s="194"/>
      <c r="E802" s="203" t="s">
        <v>555</v>
      </c>
      <c r="P802" s="196"/>
      <c r="Q802" s="125"/>
      <c r="S802" s="126"/>
      <c r="T802" s="126"/>
      <c r="U802" s="126"/>
      <c r="V802" s="126"/>
    </row>
    <row r="803" spans="3:22" x14ac:dyDescent="0.55000000000000004">
      <c r="C803" s="194"/>
      <c r="D803" s="194"/>
      <c r="P803" s="196"/>
      <c r="Q803" s="125"/>
      <c r="S803" s="126"/>
      <c r="T803" s="126"/>
      <c r="U803" s="126"/>
      <c r="V803" s="126"/>
    </row>
    <row r="804" spans="3:22" ht="43.2" x14ac:dyDescent="0.55000000000000004">
      <c r="C804" s="194"/>
      <c r="D804" s="194"/>
      <c r="F804" s="166" t="s">
        <v>86</v>
      </c>
      <c r="G804" s="166" t="s">
        <v>73</v>
      </c>
      <c r="H804" s="166" t="s">
        <v>74</v>
      </c>
      <c r="I804" s="166" t="s">
        <v>75</v>
      </c>
      <c r="J804" s="166" t="s">
        <v>76</v>
      </c>
      <c r="P804" s="196"/>
      <c r="Q804" s="125"/>
      <c r="S804" s="126"/>
      <c r="T804" s="126"/>
      <c r="U804" s="126"/>
      <c r="V804" s="126"/>
    </row>
    <row r="805" spans="3:22" x14ac:dyDescent="0.55000000000000004">
      <c r="C805" s="194"/>
      <c r="D805" s="194"/>
      <c r="E805" s="10">
        <f>E797</f>
        <v>0</v>
      </c>
      <c r="F805" s="113">
        <f ca="1">G797</f>
        <v>0</v>
      </c>
      <c r="G805" s="204">
        <f ca="1">IFERROR(F805/F797/12,0)</f>
        <v>0</v>
      </c>
      <c r="H805" s="205"/>
      <c r="I805" s="113">
        <f>H805*F797*12</f>
        <v>0</v>
      </c>
      <c r="J805" s="70">
        <f>I805/12</f>
        <v>0</v>
      </c>
      <c r="P805" s="196"/>
      <c r="Q805" s="125"/>
      <c r="S805" s="126"/>
      <c r="T805" s="126"/>
      <c r="U805" s="126"/>
      <c r="V805" s="126"/>
    </row>
    <row r="806" spans="3:22" x14ac:dyDescent="0.55000000000000004">
      <c r="C806" s="194"/>
      <c r="D806" s="194"/>
      <c r="F806" s="58" t="str">
        <f>IF(I805&gt;I796,"Error: revenue from fixed charges exceeds total revenue required from tariff. Reduce fixed charge.","")</f>
        <v/>
      </c>
      <c r="G806" s="156"/>
      <c r="H806" s="156"/>
      <c r="I806" s="156"/>
      <c r="J806" s="158"/>
      <c r="P806" s="196"/>
      <c r="Q806" s="125"/>
      <c r="S806" s="126"/>
      <c r="T806" s="126"/>
      <c r="U806" s="126"/>
      <c r="V806" s="126"/>
    </row>
    <row r="807" spans="3:22" ht="14.7" thickBot="1" x14ac:dyDescent="0.6">
      <c r="C807" s="194"/>
      <c r="D807" s="200"/>
      <c r="E807" s="201"/>
      <c r="F807" s="201"/>
      <c r="G807" s="201"/>
      <c r="H807" s="201"/>
      <c r="I807" s="201"/>
      <c r="J807" s="201"/>
      <c r="K807" s="201"/>
      <c r="L807" s="201"/>
      <c r="M807" s="201"/>
      <c r="N807" s="201"/>
      <c r="O807" s="201"/>
      <c r="P807" s="202"/>
      <c r="Q807" s="125"/>
      <c r="S807" s="126"/>
      <c r="T807" s="126"/>
      <c r="U807" s="126"/>
      <c r="V807" s="126"/>
    </row>
    <row r="808" spans="3:22" ht="14.7" thickBot="1" x14ac:dyDescent="0.6">
      <c r="C808" s="194"/>
      <c r="Q808" s="125"/>
      <c r="S808" s="126"/>
      <c r="T808" s="126"/>
      <c r="U808" s="126"/>
      <c r="V808" s="126"/>
    </row>
    <row r="809" spans="3:22" x14ac:dyDescent="0.55000000000000004">
      <c r="C809" s="194"/>
      <c r="D809" s="192"/>
      <c r="E809" s="193"/>
      <c r="F809" s="193"/>
      <c r="G809" s="193"/>
      <c r="H809" s="193"/>
      <c r="I809" s="193"/>
      <c r="J809" s="193"/>
      <c r="K809" s="193"/>
      <c r="L809" s="193"/>
      <c r="M809" s="193"/>
      <c r="N809" s="193"/>
      <c r="O809" s="193"/>
      <c r="P809" s="195"/>
      <c r="Q809" s="125"/>
      <c r="S809" s="126"/>
      <c r="T809" s="126"/>
      <c r="U809" s="126"/>
      <c r="V809" s="126"/>
    </row>
    <row r="810" spans="3:22" x14ac:dyDescent="0.55000000000000004">
      <c r="C810" s="194"/>
      <c r="D810" s="194"/>
      <c r="E810" s="138" t="s">
        <v>96</v>
      </c>
      <c r="P810" s="196"/>
      <c r="Q810" s="125"/>
      <c r="S810" s="126"/>
      <c r="T810" s="126"/>
      <c r="U810" s="126"/>
      <c r="V810" s="126"/>
    </row>
    <row r="811" spans="3:22" ht="14.55" customHeight="1" x14ac:dyDescent="0.55000000000000004">
      <c r="C811" s="194"/>
      <c r="D811" s="194"/>
      <c r="E811" s="1825" t="s">
        <v>558</v>
      </c>
      <c r="F811" s="1825"/>
      <c r="G811" s="1825"/>
      <c r="H811" s="1825"/>
      <c r="I811" s="1825"/>
      <c r="J811" s="1825"/>
      <c r="K811" s="1825"/>
      <c r="L811" s="1825"/>
      <c r="M811" s="1825"/>
      <c r="N811" s="1825"/>
      <c r="O811" s="1825"/>
      <c r="P811" s="1826"/>
      <c r="Q811" s="125"/>
      <c r="S811" s="126"/>
      <c r="T811" s="126"/>
      <c r="U811" s="126"/>
      <c r="V811" s="126"/>
    </row>
    <row r="812" spans="3:22" x14ac:dyDescent="0.55000000000000004">
      <c r="C812" s="194"/>
      <c r="D812" s="194"/>
      <c r="E812" s="1825"/>
      <c r="F812" s="1825"/>
      <c r="G812" s="1825"/>
      <c r="H812" s="1825"/>
      <c r="I812" s="1825"/>
      <c r="J812" s="1825"/>
      <c r="K812" s="1825"/>
      <c r="L812" s="1825"/>
      <c r="M812" s="1825"/>
      <c r="N812" s="1825"/>
      <c r="O812" s="1825"/>
      <c r="P812" s="1826"/>
      <c r="Q812" s="125"/>
      <c r="S812" s="126"/>
      <c r="T812" s="126"/>
      <c r="U812" s="126"/>
      <c r="V812" s="126"/>
    </row>
    <row r="813" spans="3:22" x14ac:dyDescent="0.55000000000000004">
      <c r="C813" s="194"/>
      <c r="D813" s="194"/>
      <c r="P813" s="196"/>
      <c r="Q813" s="125"/>
      <c r="S813" s="126"/>
      <c r="T813" s="126"/>
      <c r="U813" s="126"/>
      <c r="V813" s="126"/>
    </row>
    <row r="814" spans="3:22" x14ac:dyDescent="0.55000000000000004">
      <c r="C814" s="194"/>
      <c r="D814" s="194"/>
      <c r="E814" s="206" t="s">
        <v>77</v>
      </c>
      <c r="H814" s="207">
        <v>10</v>
      </c>
      <c r="P814" s="196"/>
      <c r="Q814" s="125"/>
      <c r="S814" s="126"/>
      <c r="T814" s="126"/>
      <c r="U814" s="126"/>
      <c r="V814" s="126"/>
    </row>
    <row r="815" spans="3:22" x14ac:dyDescent="0.55000000000000004">
      <c r="C815" s="194"/>
      <c r="D815" s="194"/>
      <c r="E815" s="10" t="s">
        <v>612</v>
      </c>
      <c r="H815" s="159" t="s">
        <v>613</v>
      </c>
      <c r="P815" s="196"/>
      <c r="Q815" s="125"/>
      <c r="S815" s="126"/>
      <c r="T815" s="126"/>
      <c r="U815" s="126"/>
      <c r="V815" s="126"/>
    </row>
    <row r="816" spans="3:22" x14ac:dyDescent="0.55000000000000004">
      <c r="C816" s="194"/>
      <c r="D816" s="194"/>
      <c r="P816" s="196"/>
      <c r="Q816" s="125"/>
      <c r="S816" s="126"/>
      <c r="T816" s="126"/>
      <c r="U816" s="126"/>
      <c r="V816" s="126"/>
    </row>
    <row r="817" spans="3:22" ht="43.2" x14ac:dyDescent="0.55000000000000004">
      <c r="C817" s="194"/>
      <c r="D817" s="194"/>
      <c r="E817" s="166" t="s">
        <v>78</v>
      </c>
      <c r="F817" s="166" t="s">
        <v>99</v>
      </c>
      <c r="G817" s="197" t="s">
        <v>92</v>
      </c>
      <c r="H817" s="166" t="s">
        <v>80</v>
      </c>
      <c r="I817" s="166" t="s">
        <v>334</v>
      </c>
      <c r="J817" s="166" t="s">
        <v>335</v>
      </c>
      <c r="K817" s="166" t="s">
        <v>339</v>
      </c>
      <c r="L817" s="166" t="s">
        <v>336</v>
      </c>
      <c r="M817" s="166" t="s">
        <v>337</v>
      </c>
      <c r="N817" s="166" t="s">
        <v>338</v>
      </c>
      <c r="O817" s="166" t="s">
        <v>83</v>
      </c>
      <c r="P817" s="208"/>
      <c r="Q817" s="125"/>
      <c r="S817" s="126" t="s">
        <v>614</v>
      </c>
      <c r="T817" s="126" t="s">
        <v>615</v>
      </c>
      <c r="U817" s="126"/>
      <c r="V817" s="126"/>
    </row>
    <row r="818" spans="3:22" x14ac:dyDescent="0.55000000000000004">
      <c r="C818" s="194"/>
      <c r="D818" s="194"/>
      <c r="E818" s="209">
        <f>IF($H$814=U818,U818,1)</f>
        <v>1</v>
      </c>
      <c r="F818" s="210"/>
      <c r="G818" s="211">
        <v>0</v>
      </c>
      <c r="H818" s="212"/>
      <c r="I818" s="213"/>
      <c r="J818" s="70">
        <f>J797-SUMIF(E819:E827,"&lt;="&amp;$H$814,J819:J827)</f>
        <v>0</v>
      </c>
      <c r="K818" s="70">
        <f>F818*J818</f>
        <v>0</v>
      </c>
      <c r="L818" s="114">
        <f>IFERROR(IF(E818&lt;=H814,IF(H815="No",IF(I805=0,I797/SUMPRODUCT(S818:S827,K818:K827),(I797-I805)/SUMPRODUCT(S818:S827,K818:K827)),0),0),0)</f>
        <v>0</v>
      </c>
      <c r="M818" s="44">
        <f>IFERROR(O818/J818,0)</f>
        <v>0</v>
      </c>
      <c r="N818" s="199"/>
      <c r="O818" s="199">
        <f>K818*L818</f>
        <v>0</v>
      </c>
      <c r="P818" s="214"/>
      <c r="Q818" s="125"/>
      <c r="S818" s="92">
        <f>IF(E818&lt;=$H$814,1,0)</f>
        <v>1</v>
      </c>
      <c r="T818" s="126"/>
      <c r="U818" s="126">
        <v>1</v>
      </c>
      <c r="V818" s="126"/>
    </row>
    <row r="819" spans="3:22" x14ac:dyDescent="0.55000000000000004">
      <c r="C819" s="194"/>
      <c r="D819" s="194"/>
      <c r="E819" s="209">
        <f t="shared" ref="E819:E827" si="152">IF($H$814&gt;=U819,U819,"")</f>
        <v>2</v>
      </c>
      <c r="F819" s="210"/>
      <c r="G819" s="211">
        <f t="shared" ref="G819:G827" si="153">IF($H$814&gt;=F819,H818+0.01,"")</f>
        <v>0.01</v>
      </c>
      <c r="H819" s="212"/>
      <c r="I819" s="215"/>
      <c r="J819" s="216"/>
      <c r="K819" s="70">
        <f t="shared" ref="K819:K827" si="154">F819*J819</f>
        <v>0</v>
      </c>
      <c r="L819" s="114">
        <f ca="1">IFERROR(IF(E819&lt;=H814,IF(H815="No",L818*(1+I819),IF(I805=0,I797/SUMPRODUCT(T819:T827,K819:K827),(I797-I805)/SUMPRODUCT(T819:T827,K819:K827))),0),0)</f>
        <v>0</v>
      </c>
      <c r="M819" s="44">
        <f t="shared" ref="M819:M827" ca="1" si="155">IFERROR(O819/J819,0)</f>
        <v>0</v>
      </c>
      <c r="N819" s="217" t="str">
        <f ca="1">IFERROR(M819/M818-1,"")</f>
        <v/>
      </c>
      <c r="O819" s="199">
        <f t="shared" ref="O819:O827" ca="1" si="156">K819*L819</f>
        <v>0</v>
      </c>
      <c r="P819" s="214"/>
      <c r="Q819" s="125"/>
      <c r="S819" s="92">
        <f>IF(E819&lt;=$H$814,(1+I819),0)</f>
        <v>1</v>
      </c>
      <c r="T819" s="92">
        <f>IF(E819&lt;=H814,1,0)</f>
        <v>1</v>
      </c>
      <c r="U819" s="126">
        <v>2</v>
      </c>
      <c r="V819" s="126"/>
    </row>
    <row r="820" spans="3:22" x14ac:dyDescent="0.55000000000000004">
      <c r="C820" s="194"/>
      <c r="D820" s="194"/>
      <c r="E820" s="209">
        <f t="shared" si="152"/>
        <v>3</v>
      </c>
      <c r="F820" s="210"/>
      <c r="G820" s="211">
        <f t="shared" si="153"/>
        <v>0.01</v>
      </c>
      <c r="H820" s="212"/>
      <c r="I820" s="215"/>
      <c r="J820" s="216"/>
      <c r="K820" s="70">
        <f t="shared" si="154"/>
        <v>0</v>
      </c>
      <c r="L820" s="204">
        <f t="shared" ref="L820:L827" ca="1" si="157">IF(E820&lt;=$H$814,L819*(1+I820),0)</f>
        <v>0</v>
      </c>
      <c r="M820" s="44">
        <f t="shared" ca="1" si="155"/>
        <v>0</v>
      </c>
      <c r="N820" s="217" t="str">
        <f t="shared" ref="N820:N827" ca="1" si="158">IFERROR(M820/M819-1,"")</f>
        <v/>
      </c>
      <c r="O820" s="199">
        <f t="shared" ca="1" si="156"/>
        <v>0</v>
      </c>
      <c r="P820" s="214"/>
      <c r="Q820" s="125"/>
      <c r="S820" s="92">
        <f t="shared" ref="S820:S827" si="159">IF(E820&lt;=$H$814,S819*(1+I820),0)</f>
        <v>1</v>
      </c>
      <c r="T820" s="92">
        <f>IF(E820&lt;=H814,T819*(1+I820),0)</f>
        <v>1</v>
      </c>
      <c r="U820" s="126">
        <v>3</v>
      </c>
      <c r="V820" s="126"/>
    </row>
    <row r="821" spans="3:22" x14ac:dyDescent="0.55000000000000004">
      <c r="C821" s="194"/>
      <c r="D821" s="194"/>
      <c r="E821" s="209">
        <f t="shared" si="152"/>
        <v>4</v>
      </c>
      <c r="F821" s="210"/>
      <c r="G821" s="211">
        <f t="shared" si="153"/>
        <v>0.01</v>
      </c>
      <c r="H821" s="212"/>
      <c r="I821" s="215"/>
      <c r="J821" s="216"/>
      <c r="K821" s="70">
        <f t="shared" si="154"/>
        <v>0</v>
      </c>
      <c r="L821" s="204">
        <f t="shared" ca="1" si="157"/>
        <v>0</v>
      </c>
      <c r="M821" s="44">
        <f t="shared" ca="1" si="155"/>
        <v>0</v>
      </c>
      <c r="N821" s="217" t="str">
        <f t="shared" ca="1" si="158"/>
        <v/>
      </c>
      <c r="O821" s="199">
        <f t="shared" ca="1" si="156"/>
        <v>0</v>
      </c>
      <c r="P821" s="214"/>
      <c r="Q821" s="125"/>
      <c r="S821" s="92">
        <f t="shared" si="159"/>
        <v>1</v>
      </c>
      <c r="T821" s="92">
        <f>IF(E821&lt;=H814,T820*(1+I821),0)</f>
        <v>1</v>
      </c>
      <c r="U821" s="126">
        <v>4</v>
      </c>
      <c r="V821" s="126"/>
    </row>
    <row r="822" spans="3:22" x14ac:dyDescent="0.55000000000000004">
      <c r="C822" s="194"/>
      <c r="D822" s="194"/>
      <c r="E822" s="209">
        <f t="shared" si="152"/>
        <v>5</v>
      </c>
      <c r="F822" s="210"/>
      <c r="G822" s="211">
        <f t="shared" si="153"/>
        <v>0.01</v>
      </c>
      <c r="H822" s="212"/>
      <c r="I822" s="215"/>
      <c r="J822" s="216"/>
      <c r="K822" s="70">
        <f t="shared" si="154"/>
        <v>0</v>
      </c>
      <c r="L822" s="204">
        <f t="shared" ca="1" si="157"/>
        <v>0</v>
      </c>
      <c r="M822" s="44">
        <f t="shared" ca="1" si="155"/>
        <v>0</v>
      </c>
      <c r="N822" s="217" t="str">
        <f t="shared" ca="1" si="158"/>
        <v/>
      </c>
      <c r="O822" s="199">
        <f t="shared" ca="1" si="156"/>
        <v>0</v>
      </c>
      <c r="P822" s="214"/>
      <c r="Q822" s="125"/>
      <c r="S822" s="92">
        <f t="shared" si="159"/>
        <v>1</v>
      </c>
      <c r="T822" s="92">
        <f>IF(E822&lt;=H814,T821*(1+I822),0)</f>
        <v>1</v>
      </c>
      <c r="U822" s="126">
        <v>5</v>
      </c>
      <c r="V822" s="126"/>
    </row>
    <row r="823" spans="3:22" x14ac:dyDescent="0.55000000000000004">
      <c r="C823" s="194"/>
      <c r="D823" s="194"/>
      <c r="E823" s="209">
        <f t="shared" si="152"/>
        <v>6</v>
      </c>
      <c r="F823" s="210"/>
      <c r="G823" s="211">
        <f t="shared" si="153"/>
        <v>0.01</v>
      </c>
      <c r="H823" s="207"/>
      <c r="I823" s="215"/>
      <c r="J823" s="216"/>
      <c r="K823" s="70">
        <f t="shared" si="154"/>
        <v>0</v>
      </c>
      <c r="L823" s="204">
        <f t="shared" ca="1" si="157"/>
        <v>0</v>
      </c>
      <c r="M823" s="44">
        <f t="shared" ca="1" si="155"/>
        <v>0</v>
      </c>
      <c r="N823" s="217" t="str">
        <f t="shared" ca="1" si="158"/>
        <v/>
      </c>
      <c r="O823" s="199">
        <f t="shared" ca="1" si="156"/>
        <v>0</v>
      </c>
      <c r="P823" s="214"/>
      <c r="Q823" s="125"/>
      <c r="S823" s="92">
        <f t="shared" si="159"/>
        <v>1</v>
      </c>
      <c r="T823" s="92">
        <f>IF(E823&lt;=H814,T822*(1+I823),0)</f>
        <v>1</v>
      </c>
      <c r="U823" s="126">
        <v>6</v>
      </c>
      <c r="V823" s="126"/>
    </row>
    <row r="824" spans="3:22" x14ac:dyDescent="0.55000000000000004">
      <c r="C824" s="194"/>
      <c r="D824" s="194"/>
      <c r="E824" s="209">
        <f t="shared" si="152"/>
        <v>7</v>
      </c>
      <c r="F824" s="210"/>
      <c r="G824" s="211">
        <f t="shared" si="153"/>
        <v>0.01</v>
      </c>
      <c r="H824" s="207"/>
      <c r="I824" s="215"/>
      <c r="J824" s="216"/>
      <c r="K824" s="70">
        <f t="shared" si="154"/>
        <v>0</v>
      </c>
      <c r="L824" s="204">
        <f t="shared" ca="1" si="157"/>
        <v>0</v>
      </c>
      <c r="M824" s="44">
        <f t="shared" ca="1" si="155"/>
        <v>0</v>
      </c>
      <c r="N824" s="217" t="str">
        <f t="shared" ca="1" si="158"/>
        <v/>
      </c>
      <c r="O824" s="199">
        <f t="shared" ca="1" si="156"/>
        <v>0</v>
      </c>
      <c r="P824" s="214"/>
      <c r="Q824" s="125"/>
      <c r="S824" s="92">
        <f t="shared" si="159"/>
        <v>1</v>
      </c>
      <c r="T824" s="92">
        <f>IF(E824&lt;=H814,T823*(1+I824),0)</f>
        <v>1</v>
      </c>
      <c r="U824" s="126">
        <v>7</v>
      </c>
      <c r="V824" s="126"/>
    </row>
    <row r="825" spans="3:22" x14ac:dyDescent="0.55000000000000004">
      <c r="C825" s="194"/>
      <c r="D825" s="194"/>
      <c r="E825" s="209">
        <f t="shared" si="152"/>
        <v>8</v>
      </c>
      <c r="F825" s="210"/>
      <c r="G825" s="211">
        <f t="shared" si="153"/>
        <v>0.01</v>
      </c>
      <c r="H825" s="207"/>
      <c r="I825" s="215"/>
      <c r="J825" s="216"/>
      <c r="K825" s="70">
        <f t="shared" si="154"/>
        <v>0</v>
      </c>
      <c r="L825" s="204">
        <f t="shared" ca="1" si="157"/>
        <v>0</v>
      </c>
      <c r="M825" s="44">
        <f t="shared" ca="1" si="155"/>
        <v>0</v>
      </c>
      <c r="N825" s="217" t="str">
        <f t="shared" ca="1" si="158"/>
        <v/>
      </c>
      <c r="O825" s="199">
        <f t="shared" ca="1" si="156"/>
        <v>0</v>
      </c>
      <c r="P825" s="214"/>
      <c r="Q825" s="125"/>
      <c r="S825" s="92">
        <f t="shared" si="159"/>
        <v>1</v>
      </c>
      <c r="T825" s="92">
        <f>IF(E825&lt;=H814,T824*(1+I825),0)</f>
        <v>1</v>
      </c>
      <c r="U825" s="126">
        <v>8</v>
      </c>
      <c r="V825" s="126"/>
    </row>
    <row r="826" spans="3:22" x14ac:dyDescent="0.55000000000000004">
      <c r="C826" s="194"/>
      <c r="D826" s="194"/>
      <c r="E826" s="209">
        <f t="shared" si="152"/>
        <v>9</v>
      </c>
      <c r="F826" s="210"/>
      <c r="G826" s="211">
        <f t="shared" si="153"/>
        <v>0.01</v>
      </c>
      <c r="H826" s="207"/>
      <c r="I826" s="215"/>
      <c r="J826" s="216"/>
      <c r="K826" s="70">
        <f t="shared" si="154"/>
        <v>0</v>
      </c>
      <c r="L826" s="204">
        <f t="shared" ca="1" si="157"/>
        <v>0</v>
      </c>
      <c r="M826" s="44">
        <f t="shared" ca="1" si="155"/>
        <v>0</v>
      </c>
      <c r="N826" s="217" t="str">
        <f t="shared" ca="1" si="158"/>
        <v/>
      </c>
      <c r="O826" s="199">
        <f t="shared" ca="1" si="156"/>
        <v>0</v>
      </c>
      <c r="P826" s="214"/>
      <c r="Q826" s="125"/>
      <c r="S826" s="92">
        <f t="shared" si="159"/>
        <v>1</v>
      </c>
      <c r="T826" s="92">
        <f>IF(E826&lt;=H814,T825*(1+I826),0)</f>
        <v>1</v>
      </c>
      <c r="U826" s="126">
        <v>9</v>
      </c>
      <c r="V826" s="126"/>
    </row>
    <row r="827" spans="3:22" x14ac:dyDescent="0.55000000000000004">
      <c r="C827" s="194"/>
      <c r="D827" s="194"/>
      <c r="E827" s="209">
        <f t="shared" si="152"/>
        <v>10</v>
      </c>
      <c r="F827" s="210"/>
      <c r="G827" s="211">
        <f t="shared" si="153"/>
        <v>0.01</v>
      </c>
      <c r="H827" s="209" t="s">
        <v>84</v>
      </c>
      <c r="I827" s="215"/>
      <c r="J827" s="216"/>
      <c r="K827" s="70">
        <f t="shared" si="154"/>
        <v>0</v>
      </c>
      <c r="L827" s="204">
        <f t="shared" ca="1" si="157"/>
        <v>0</v>
      </c>
      <c r="M827" s="44">
        <f t="shared" ca="1" si="155"/>
        <v>0</v>
      </c>
      <c r="N827" s="217" t="str">
        <f t="shared" ca="1" si="158"/>
        <v/>
      </c>
      <c r="O827" s="199">
        <f t="shared" ca="1" si="156"/>
        <v>0</v>
      </c>
      <c r="P827" s="214"/>
      <c r="Q827" s="125"/>
      <c r="S827" s="92">
        <f t="shared" si="159"/>
        <v>1</v>
      </c>
      <c r="T827" s="92">
        <f>IF(E827&lt;=H814,T826*(1+I827),0)</f>
        <v>1</v>
      </c>
      <c r="U827" s="126">
        <v>10</v>
      </c>
      <c r="V827" s="126"/>
    </row>
    <row r="828" spans="3:22" ht="14.7" thickBot="1" x14ac:dyDescent="0.6">
      <c r="C828" s="194"/>
      <c r="D828" s="200"/>
      <c r="E828" s="201"/>
      <c r="F828" s="201"/>
      <c r="G828" s="201"/>
      <c r="H828" s="201"/>
      <c r="I828" s="201"/>
      <c r="J828" s="201"/>
      <c r="K828" s="201"/>
      <c r="L828" s="201"/>
      <c r="M828" s="201"/>
      <c r="N828" s="201"/>
      <c r="O828" s="201"/>
      <c r="P828" s="202"/>
      <c r="Q828" s="125"/>
    </row>
    <row r="829" spans="3:22" ht="14.7" thickBot="1" x14ac:dyDescent="0.6">
      <c r="C829" s="200"/>
      <c r="D829" s="201"/>
      <c r="E829" s="201"/>
      <c r="F829" s="201"/>
      <c r="G829" s="201"/>
      <c r="H829" s="201"/>
      <c r="I829" s="201"/>
      <c r="J829" s="201"/>
      <c r="K829" s="201"/>
      <c r="L829" s="201"/>
      <c r="M829" s="201"/>
      <c r="N829" s="201"/>
      <c r="O829" s="201"/>
      <c r="P829" s="201"/>
      <c r="Q829" s="132"/>
    </row>
  </sheetData>
  <sheetProtection sheet="1" objects="1" scenarios="1"/>
  <mergeCells count="43">
    <mergeCell ref="E155:P156"/>
    <mergeCell ref="D176:O176"/>
    <mergeCell ref="E196:P197"/>
    <mergeCell ref="D217:O217"/>
    <mergeCell ref="E811:P812"/>
    <mergeCell ref="D709:O709"/>
    <mergeCell ref="E729:P730"/>
    <mergeCell ref="D750:O750"/>
    <mergeCell ref="E770:P771"/>
    <mergeCell ref="D791:O791"/>
    <mergeCell ref="E647:P648"/>
    <mergeCell ref="E524:P525"/>
    <mergeCell ref="E237:P238"/>
    <mergeCell ref="E319:P320"/>
    <mergeCell ref="D340:O340"/>
    <mergeCell ref="E360:P361"/>
    <mergeCell ref="D53:O53"/>
    <mergeCell ref="E73:P74"/>
    <mergeCell ref="D94:O94"/>
    <mergeCell ref="E114:P115"/>
    <mergeCell ref="D135:O135"/>
    <mergeCell ref="D504:O504"/>
    <mergeCell ref="D381:O381"/>
    <mergeCell ref="E401:P402"/>
    <mergeCell ref="D258:O258"/>
    <mergeCell ref="E278:P279"/>
    <mergeCell ref="D299:O299"/>
    <mergeCell ref="D668:O668"/>
    <mergeCell ref="D545:O545"/>
    <mergeCell ref="E688:P689"/>
    <mergeCell ref="G1:G2"/>
    <mergeCell ref="I1:I2"/>
    <mergeCell ref="C7:Q9"/>
    <mergeCell ref="D12:O12"/>
    <mergeCell ref="E32:P33"/>
    <mergeCell ref="E565:P566"/>
    <mergeCell ref="D586:O586"/>
    <mergeCell ref="E606:P607"/>
    <mergeCell ref="D627:O627"/>
    <mergeCell ref="D422:O422"/>
    <mergeCell ref="E442:P443"/>
    <mergeCell ref="D463:O463"/>
    <mergeCell ref="E483:P484"/>
  </mergeCells>
  <dataValidations count="21">
    <dataValidation type="list" allowBlank="1" showInputMessage="1" showErrorMessage="1" sqref="H35" xr:uid="{08308C51-A616-44F2-8C66-695C99C0AAA0}">
      <formula1>$U$39:$U$48</formula1>
    </dataValidation>
    <dataValidation type="list" allowBlank="1" showInputMessage="1" showErrorMessage="1" sqref="H76" xr:uid="{5105927B-171B-45EE-A8FA-05F98D39D244}">
      <formula1>$U$80:$U$89</formula1>
    </dataValidation>
    <dataValidation type="list" allowBlank="1" showInputMessage="1" showErrorMessage="1" sqref="H117" xr:uid="{58A8A815-D233-401F-B6AF-B2EFE9839D66}">
      <formula1>$U$121:$U$130</formula1>
    </dataValidation>
    <dataValidation type="list" allowBlank="1" showInputMessage="1" showErrorMessage="1" sqref="H158" xr:uid="{13660FAA-CC58-4F4F-9BB5-A0937012E9CF}">
      <formula1>$U$162:$U$171</formula1>
    </dataValidation>
    <dataValidation type="list" allowBlank="1" showInputMessage="1" showErrorMessage="1" sqref="H199" xr:uid="{D94CC172-9A4B-484D-A6E1-70D7A5086D66}">
      <formula1>$U$203:$U$212</formula1>
    </dataValidation>
    <dataValidation type="list" allowBlank="1" showInputMessage="1" showErrorMessage="1" sqref="H240" xr:uid="{9D02568C-1D8E-4AB5-A0CD-C7774CE96479}">
      <formula1>$U$244:$U$253</formula1>
    </dataValidation>
    <dataValidation type="list" allowBlank="1" showInputMessage="1" showErrorMessage="1" sqref="H281" xr:uid="{524C5575-FA14-4446-92D8-BC8F43CD531A}">
      <formula1>$U$285:$U$294</formula1>
    </dataValidation>
    <dataValidation type="list" allowBlank="1" showInputMessage="1" showErrorMessage="1" sqref="H322" xr:uid="{39D62E35-D49D-4358-B8EB-5C76E8D0A891}">
      <formula1>$U$326:$U$335</formula1>
    </dataValidation>
    <dataValidation type="list" allowBlank="1" showInputMessage="1" showErrorMessage="1" sqref="H363" xr:uid="{C5460A9C-BE00-432F-83EF-C6736FE74784}">
      <formula1>$U$367:$U$376</formula1>
    </dataValidation>
    <dataValidation type="list" allowBlank="1" showInputMessage="1" showErrorMessage="1" sqref="H404" xr:uid="{4DF89CE0-DA5A-43B7-A1B7-30D4C8318969}">
      <formula1>$U$408:$U$417</formula1>
    </dataValidation>
    <dataValidation type="list" allowBlank="1" showInputMessage="1" showErrorMessage="1" sqref="H445" xr:uid="{321D8E51-7D8C-494A-ADEE-F08F5F2F974A}">
      <formula1>$U$449:$U$458</formula1>
    </dataValidation>
    <dataValidation type="list" allowBlank="1" showInputMessage="1" showErrorMessage="1" sqref="H814" xr:uid="{66C740DC-6214-4A58-8FF1-A30BCAA34B52}">
      <formula1>$U$818:$U$827</formula1>
    </dataValidation>
    <dataValidation type="list" allowBlank="1" showInputMessage="1" showErrorMessage="1" sqref="H486" xr:uid="{B5DFD436-619F-4FFB-9773-644910C9E3E9}">
      <formula1>$U$490:$U$499</formula1>
    </dataValidation>
    <dataValidation type="list" allowBlank="1" showInputMessage="1" showErrorMessage="1" sqref="H527" xr:uid="{EBF5D2C9-766A-4A4A-8726-0C4629BCEA06}">
      <formula1>$U$531:$U$540</formula1>
    </dataValidation>
    <dataValidation type="list" allowBlank="1" showInputMessage="1" showErrorMessage="1" sqref="H568" xr:uid="{79A49445-67FF-490B-8C9F-4F1189716AFC}">
      <formula1>$U$572:$U$581</formula1>
    </dataValidation>
    <dataValidation type="list" allowBlank="1" showInputMessage="1" showErrorMessage="1" sqref="H609" xr:uid="{84367191-45AD-4B4A-A38F-E6173379B63D}">
      <formula1>$U$613:$U$622</formula1>
    </dataValidation>
    <dataValidation type="list" allowBlank="1" showInputMessage="1" showErrorMessage="1" sqref="H650" xr:uid="{26AC21C7-4AFE-4AC5-826C-4F30AF4E5D84}">
      <formula1>$U$654:$U$663</formula1>
    </dataValidation>
    <dataValidation type="list" allowBlank="1" showInputMessage="1" showErrorMessage="1" sqref="H691" xr:uid="{ABC146F7-D8B7-4F96-B413-2557D57F350C}">
      <formula1>$U$695:$U$704</formula1>
    </dataValidation>
    <dataValidation type="list" allowBlank="1" showInputMessage="1" showErrorMessage="1" sqref="H732" xr:uid="{B61C7B21-9EA5-4D85-8BEE-A9E988CB16FA}">
      <formula1>$U$736:$U$745</formula1>
    </dataValidation>
    <dataValidation type="list" allowBlank="1" showInputMessage="1" showErrorMessage="1" sqref="H773" xr:uid="{CE31104A-286D-4F8C-AF15-2E95FE18922B}">
      <formula1>$U$777:$U$786</formula1>
    </dataValidation>
    <dataValidation type="list" allowBlank="1" showInputMessage="1" showErrorMessage="1" sqref="H36 H77 H118 H159 H200 H241 H282 H323 H364 H405 H446 H487 H528 H569 H610 H651 H692 H733 H774 H815" xr:uid="{350F0BCD-D205-43DC-A556-3DBF16D89BB9}">
      <formula1>"Yes, No"</formula1>
    </dataValidation>
  </dataValidations>
  <pageMargins left="0.7" right="0.7" top="0.75" bottom="0.75" header="0.3" footer="0.3"/>
  <pageSetup paperSize="9" orientation="portrait" r:id="rId1"/>
  <drawing r:id="rId2"/>
  <legacyDrawing r:id="rId3"/>
  <controls>
    <mc:AlternateContent xmlns:mc="http://schemas.openxmlformats.org/markup-compatibility/2006">
      <mc:Choice Requires="x14">
        <control shapeId="20482" r:id="rId4" name="cb3SCus">
          <controlPr defaultSize="0" autoLine="0" r:id="rId5">
            <anchor moveWithCells="1">
              <from>
                <xdr:col>5</xdr:col>
                <xdr:colOff>586740</xdr:colOff>
                <xdr:row>2</xdr:row>
                <xdr:rowOff>76200</xdr:rowOff>
              </from>
              <to>
                <xdr:col>7</xdr:col>
                <xdr:colOff>400050</xdr:colOff>
                <xdr:row>3</xdr:row>
                <xdr:rowOff>114300</xdr:rowOff>
              </to>
            </anchor>
          </controlPr>
        </control>
      </mc:Choice>
      <mc:Fallback>
        <control shapeId="20482" r:id="rId4" name="cb3SCus"/>
      </mc:Fallback>
    </mc:AlternateContent>
    <mc:AlternateContent xmlns:mc="http://schemas.openxmlformats.org/markup-compatibility/2006">
      <mc:Choice Requires="x14">
        <control shapeId="20483" r:id="rId6" name="cb3S">
          <controlPr defaultSize="0" autoLine="0" r:id="rId7">
            <anchor moveWithCells="1">
              <from>
                <xdr:col>7</xdr:col>
                <xdr:colOff>708660</xdr:colOff>
                <xdr:row>2</xdr:row>
                <xdr:rowOff>91440</xdr:rowOff>
              </from>
              <to>
                <xdr:col>9</xdr:col>
                <xdr:colOff>381000</xdr:colOff>
                <xdr:row>3</xdr:row>
                <xdr:rowOff>114300</xdr:rowOff>
              </to>
            </anchor>
          </controlPr>
        </control>
      </mc:Choice>
      <mc:Fallback>
        <control shapeId="20483" r:id="rId6" name="cb3S"/>
      </mc:Fallback>
    </mc:AlternateContent>
  </controls>
</worksheet>
</file>

<file path=xl/worksheets/sheet3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E2FBD9E-FCAB-48A8-84D9-13D07831BD9E}">
  <sheetPr codeName="Sheet20">
    <tabColor theme="9" tint="0.39997558519241921"/>
    <pageSetUpPr autoPageBreaks="0"/>
  </sheetPr>
  <dimension ref="A1:AB1249"/>
  <sheetViews>
    <sheetView showGridLines="0" zoomScaleNormal="100" workbookViewId="0">
      <pane ySplit="4" topLeftCell="A5" activePane="bottomLeft" state="frozen"/>
      <selection pane="bottomLeft" activeCell="I26" sqref="I26"/>
    </sheetView>
  </sheetViews>
  <sheetFormatPr defaultColWidth="8.7890625" defaultRowHeight="14.4" x14ac:dyDescent="0.55000000000000004"/>
  <cols>
    <col min="1" max="1" width="2.7890625" style="117" customWidth="1"/>
    <col min="2" max="2" width="3.7890625" customWidth="1"/>
    <col min="3" max="3" width="3.20703125" customWidth="1"/>
    <col min="4" max="4" width="3.7890625" customWidth="1"/>
    <col min="5" max="5" width="4.5234375" customWidth="1"/>
    <col min="6" max="6" width="21.7890625" customWidth="1"/>
    <col min="7" max="7" width="15.20703125" customWidth="1"/>
    <col min="8" max="8" width="14.20703125" customWidth="1"/>
    <col min="9" max="9" width="13" customWidth="1"/>
    <col min="10" max="10" width="12.20703125" customWidth="1"/>
    <col min="11" max="12" width="14.7890625" customWidth="1"/>
    <col min="13" max="15" width="14.20703125" customWidth="1"/>
    <col min="16" max="16" width="14.5234375" customWidth="1"/>
    <col min="17" max="17" width="14.41796875" customWidth="1"/>
    <col min="18" max="18" width="3.20703125" customWidth="1"/>
    <col min="19" max="20" width="2.7890625" customWidth="1"/>
    <col min="21" max="21" width="9" style="10" customWidth="1"/>
    <col min="22" max="22" width="9.5234375" style="10" bestFit="1" customWidth="1"/>
    <col min="23" max="24" width="8.7890625" style="10"/>
    <col min="25" max="25" width="8.7890625" style="10" customWidth="1"/>
    <col min="26" max="16384" width="8.7890625" style="10"/>
  </cols>
  <sheetData>
    <row r="1" spans="1:20" customFormat="1" ht="14.55" customHeight="1" x14ac:dyDescent="0.55000000000000004">
      <c r="H1" s="1823" t="s">
        <v>212</v>
      </c>
      <c r="J1" s="1807" t="s">
        <v>206</v>
      </c>
      <c r="K1" s="1807"/>
    </row>
    <row r="2" spans="1:20" customFormat="1" x14ac:dyDescent="0.55000000000000004">
      <c r="H2" s="1823"/>
      <c r="J2" s="1807"/>
      <c r="K2" s="1807"/>
    </row>
    <row r="3" spans="1:20" customFormat="1" x14ac:dyDescent="0.55000000000000004"/>
    <row r="4" spans="1:20" s="116" customFormat="1" ht="14.7" thickBot="1" x14ac:dyDescent="0.6"/>
    <row r="5" spans="1:20" s="117" customFormat="1" x14ac:dyDescent="0.55000000000000004"/>
    <row r="6" spans="1:20" customFormat="1" ht="15" customHeight="1" x14ac:dyDescent="0.7">
      <c r="A6" s="117"/>
      <c r="B6" s="118"/>
      <c r="C6" s="161"/>
      <c r="D6" s="161"/>
    </row>
    <row r="7" spans="1:20" customFormat="1" ht="17.55" customHeight="1" x14ac:dyDescent="0.7">
      <c r="A7" s="117"/>
      <c r="B7" s="118"/>
      <c r="C7" s="1804" t="s">
        <v>559</v>
      </c>
      <c r="D7" s="1804"/>
      <c r="E7" s="1804"/>
      <c r="F7" s="1804"/>
      <c r="G7" s="1804"/>
      <c r="H7" s="1804"/>
      <c r="I7" s="1804"/>
      <c r="J7" s="1804"/>
      <c r="K7" s="1804"/>
      <c r="L7" s="1804"/>
      <c r="M7" s="1804"/>
      <c r="N7" s="1804"/>
      <c r="O7" s="1804"/>
      <c r="P7" s="1804"/>
      <c r="Q7" s="1804"/>
      <c r="R7" s="1804"/>
      <c r="S7" s="1804"/>
      <c r="T7" s="1804"/>
    </row>
    <row r="8" spans="1:20" s="126" customFormat="1" ht="13.2" customHeight="1" x14ac:dyDescent="0.7">
      <c r="A8" s="117"/>
      <c r="B8" s="118"/>
      <c r="C8" s="1804"/>
      <c r="D8" s="1804"/>
      <c r="E8" s="1804"/>
      <c r="F8" s="1804"/>
      <c r="G8" s="1804"/>
      <c r="H8" s="1804"/>
      <c r="I8" s="1804"/>
      <c r="J8" s="1804"/>
      <c r="K8" s="1804"/>
      <c r="L8" s="1804"/>
      <c r="M8" s="1804"/>
      <c r="N8" s="1804"/>
      <c r="O8" s="1804"/>
      <c r="P8" s="1804"/>
      <c r="Q8" s="1804"/>
      <c r="R8" s="1804"/>
      <c r="S8" s="1804"/>
      <c r="T8" s="1804"/>
    </row>
    <row r="9" spans="1:20" s="126" customFormat="1" ht="13.2" customHeight="1" x14ac:dyDescent="0.7">
      <c r="A9" s="117"/>
      <c r="B9" s="118"/>
      <c r="C9" s="1804"/>
      <c r="D9" s="1804"/>
      <c r="E9" s="1804"/>
      <c r="F9" s="1804"/>
      <c r="G9" s="1804"/>
      <c r="H9" s="1804"/>
      <c r="I9" s="1804"/>
      <c r="J9" s="1804"/>
      <c r="K9" s="1804"/>
      <c r="L9" s="1804"/>
      <c r="M9" s="1804"/>
      <c r="N9" s="1804"/>
      <c r="O9" s="1804"/>
      <c r="P9" s="1804"/>
      <c r="Q9" s="1804"/>
      <c r="R9" s="1804"/>
      <c r="S9" s="1804"/>
      <c r="T9" s="1804"/>
    </row>
    <row r="10" spans="1:20" s="126" customFormat="1" ht="14.7" thickBot="1" x14ac:dyDescent="0.6">
      <c r="A10" s="117"/>
      <c r="B10"/>
      <c r="C10"/>
      <c r="D10"/>
      <c r="E10"/>
      <c r="F10"/>
      <c r="G10"/>
      <c r="H10"/>
      <c r="I10"/>
      <c r="J10"/>
      <c r="K10"/>
      <c r="L10"/>
      <c r="M10"/>
      <c r="N10"/>
      <c r="O10"/>
      <c r="P10"/>
      <c r="Q10"/>
      <c r="R10"/>
      <c r="S10"/>
      <c r="T10"/>
    </row>
    <row r="11" spans="1:20" x14ac:dyDescent="0.55000000000000004">
      <c r="C11" s="121"/>
      <c r="D11" s="122"/>
      <c r="E11" s="122"/>
      <c r="F11" s="122"/>
      <c r="G11" s="122"/>
      <c r="H11" s="122"/>
      <c r="I11" s="122"/>
      <c r="J11" s="122"/>
      <c r="K11" s="122"/>
      <c r="L11" s="122"/>
      <c r="M11" s="122"/>
      <c r="N11" s="122"/>
      <c r="O11" s="122"/>
      <c r="P11" s="122"/>
      <c r="Q11" s="122"/>
      <c r="R11" s="122"/>
      <c r="S11" s="122"/>
      <c r="T11" s="123"/>
    </row>
    <row r="12" spans="1:20" ht="18.3" x14ac:dyDescent="0.7">
      <c r="C12" s="124"/>
      <c r="D12" s="1822" t="str">
        <f>'2 Customer data'!D93</f>
        <v>Bulk Customers LV: TOU</v>
      </c>
      <c r="E12" s="1822"/>
      <c r="F12" s="1822"/>
      <c r="G12" s="1822"/>
      <c r="H12" s="1822"/>
      <c r="I12" s="1822"/>
      <c r="J12" s="1822"/>
      <c r="K12" s="1822"/>
      <c r="L12" s="1822"/>
      <c r="M12" s="1822"/>
      <c r="N12" s="1822"/>
      <c r="O12" s="1822"/>
      <c r="P12" s="1822"/>
      <c r="Q12" s="1822"/>
      <c r="R12" s="1822"/>
      <c r="S12" s="1822"/>
      <c r="T12" s="125"/>
    </row>
    <row r="13" spans="1:20" ht="14.7" thickBot="1" x14ac:dyDescent="0.6">
      <c r="C13" s="124"/>
      <c r="T13" s="125"/>
    </row>
    <row r="14" spans="1:20" x14ac:dyDescent="0.55000000000000004">
      <c r="C14" s="124"/>
      <c r="D14" s="121"/>
      <c r="E14" s="122"/>
      <c r="F14" s="122"/>
      <c r="G14" s="122"/>
      <c r="H14" s="122"/>
      <c r="I14" s="122"/>
      <c r="J14" s="122"/>
      <c r="K14" s="122"/>
      <c r="L14" s="122"/>
      <c r="M14" s="122"/>
      <c r="N14" s="122"/>
      <c r="O14" s="122"/>
      <c r="P14" s="122"/>
      <c r="Q14" s="122"/>
      <c r="R14" s="122"/>
      <c r="S14" s="123"/>
      <c r="T14" s="125"/>
    </row>
    <row r="15" spans="1:20" x14ac:dyDescent="0.55000000000000004">
      <c r="C15" s="124"/>
      <c r="D15" s="124"/>
      <c r="F15" s="1" t="str">
        <f>'2 Customer data'!D93&amp;" "&amp;"information"</f>
        <v>Bulk Customers LV: TOU information</v>
      </c>
      <c r="S15" s="125"/>
      <c r="T15" s="125"/>
    </row>
    <row r="16" spans="1:20" x14ac:dyDescent="0.55000000000000004">
      <c r="C16" s="124"/>
      <c r="D16" s="124"/>
      <c r="S16" s="125"/>
      <c r="T16" s="125"/>
    </row>
    <row r="17" spans="3:20" ht="28.8" x14ac:dyDescent="0.55000000000000004">
      <c r="C17" s="124"/>
      <c r="D17" s="124"/>
      <c r="G17" s="56" t="s">
        <v>28</v>
      </c>
      <c r="H17" s="56" t="s">
        <v>345</v>
      </c>
      <c r="I17" s="56" t="s">
        <v>60</v>
      </c>
      <c r="J17" s="56" t="s">
        <v>249</v>
      </c>
      <c r="K17" s="56" t="s">
        <v>279</v>
      </c>
      <c r="L17" s="56" t="s">
        <v>357</v>
      </c>
      <c r="N17" s="162"/>
      <c r="S17" s="125"/>
      <c r="T17" s="125"/>
    </row>
    <row r="18" spans="3:20" x14ac:dyDescent="0.55000000000000004">
      <c r="C18" s="124"/>
      <c r="D18" s="124"/>
      <c r="F18" t="str">
        <f>'2 Customer data'!D93</f>
        <v>Bulk Customers LV: TOU</v>
      </c>
      <c r="G18" s="94">
        <f>IFERROR(IF(VLOOKUP(F18,'2 Customer data'!$D$93:$N$112,7,FALSE)="",VLOOKUP(F18,'2 Customer data'!$D$93:$N$112,6,FALSE),VLOOKUP(F18,'2 Customer data'!$D$93:$N$112,7,FALSE)),0)</f>
        <v>45</v>
      </c>
      <c r="H18" s="26">
        <f>IFERROR(IF(VLOOKUP(F18,'2 Customer data'!$D$93:$N$112,9,FALSE)="",VLOOKUP(F18,'2 Customer data'!$D$93:$N$112,8,FALSE),VLOOKUP(F18,'2 Customer data'!$D$93:$N$112,9,FALSE)),0)</f>
        <v>13629539</v>
      </c>
      <c r="I18" s="26">
        <f ca="1">IFERROR(VLOOKUP($F18,'2 Electricity'!$D$21:$L$40,6,FALSE),0)</f>
        <v>300962.0775500962</v>
      </c>
      <c r="J18" s="26">
        <f ca="1">IFERROR(VLOOKUP($F18,'2 Electricity'!$D$21:$L$40,7,FALSE),0)</f>
        <v>40642505.842797607</v>
      </c>
      <c r="K18" s="26">
        <f ca="1">IFERROR(VLOOKUP($F18,'2 Electricity'!$D$21:$L$40,8,FALSE),0)</f>
        <v>0</v>
      </c>
      <c r="L18" s="26">
        <f ca="1">IFERROR(VLOOKUP(F18,'2 Electricity'!$D$157:$K$176,8,FALSE),0)</f>
        <v>37107180.623094007</v>
      </c>
      <c r="N18" s="134"/>
      <c r="S18" s="125"/>
      <c r="T18" s="125"/>
    </row>
    <row r="19" spans="3:20" ht="14.7" thickBot="1" x14ac:dyDescent="0.6">
      <c r="C19" s="124"/>
      <c r="D19" s="130"/>
      <c r="E19" s="131"/>
      <c r="F19" s="131"/>
      <c r="G19" s="131"/>
      <c r="H19" s="131"/>
      <c r="I19" s="131"/>
      <c r="J19" s="131"/>
      <c r="K19" s="131"/>
      <c r="L19" s="131"/>
      <c r="M19" s="131"/>
      <c r="N19" s="131"/>
      <c r="O19" s="131"/>
      <c r="P19" s="131"/>
      <c r="Q19" s="131"/>
      <c r="R19" s="131"/>
      <c r="S19" s="132"/>
      <c r="T19" s="125"/>
    </row>
    <row r="20" spans="3:20" ht="14.7" thickBot="1" x14ac:dyDescent="0.6">
      <c r="C20" s="124"/>
      <c r="T20" s="125"/>
    </row>
    <row r="21" spans="3:20" x14ac:dyDescent="0.55000000000000004">
      <c r="C21" s="124"/>
      <c r="D21" s="121"/>
      <c r="E21" s="122"/>
      <c r="F21" s="122"/>
      <c r="G21" s="122"/>
      <c r="H21" s="122"/>
      <c r="I21" s="122"/>
      <c r="J21" s="122"/>
      <c r="K21" s="122"/>
      <c r="L21" s="122"/>
      <c r="M21" s="122"/>
      <c r="N21" s="122"/>
      <c r="O21" s="122"/>
      <c r="P21" s="122"/>
      <c r="Q21" s="122"/>
      <c r="R21" s="122"/>
      <c r="S21" s="123"/>
      <c r="T21" s="125"/>
    </row>
    <row r="22" spans="3:20" x14ac:dyDescent="0.55000000000000004">
      <c r="C22" s="124"/>
      <c r="D22" s="124"/>
      <c r="F22" s="1" t="s">
        <v>85</v>
      </c>
      <c r="S22" s="125"/>
      <c r="T22" s="125"/>
    </row>
    <row r="23" spans="3:20" x14ac:dyDescent="0.55000000000000004">
      <c r="C23" s="124"/>
      <c r="D23" s="124"/>
      <c r="F23" s="120" t="s">
        <v>555</v>
      </c>
      <c r="S23" s="125"/>
      <c r="T23" s="125"/>
    </row>
    <row r="24" spans="3:20" x14ac:dyDescent="0.55000000000000004">
      <c r="C24" s="124"/>
      <c r="D24" s="124"/>
      <c r="S24" s="125"/>
      <c r="T24" s="125"/>
    </row>
    <row r="25" spans="3:20" ht="43.2" x14ac:dyDescent="0.55000000000000004">
      <c r="C25" s="124"/>
      <c r="D25" s="124"/>
      <c r="G25" s="56" t="s">
        <v>86</v>
      </c>
      <c r="H25" s="56" t="s">
        <v>73</v>
      </c>
      <c r="I25" s="56" t="s">
        <v>87</v>
      </c>
      <c r="J25" s="56" t="s">
        <v>75</v>
      </c>
      <c r="K25" s="56" t="s">
        <v>76</v>
      </c>
      <c r="S25" s="125"/>
      <c r="T25" s="125"/>
    </row>
    <row r="26" spans="3:20" x14ac:dyDescent="0.55000000000000004">
      <c r="C26" s="124"/>
      <c r="D26" s="124"/>
      <c r="F26" t="str">
        <f>F18</f>
        <v>Bulk Customers LV: TOU</v>
      </c>
      <c r="G26" s="26">
        <f ca="1">SUM(I18,K18)</f>
        <v>300962.0775500962</v>
      </c>
      <c r="H26" s="64">
        <f ca="1">IFERROR(G26/G18,0)/12</f>
        <v>557.33718064832635</v>
      </c>
      <c r="I26" s="84"/>
      <c r="J26" s="26">
        <f>I26*G18*12</f>
        <v>0</v>
      </c>
      <c r="K26" s="21">
        <f>J26/12</f>
        <v>0</v>
      </c>
      <c r="S26" s="125"/>
      <c r="T26" s="125"/>
    </row>
    <row r="27" spans="3:20" x14ac:dyDescent="0.55000000000000004">
      <c r="C27" s="124"/>
      <c r="D27" s="124"/>
      <c r="E27" s="133"/>
      <c r="F27" s="58" t="str">
        <f ca="1">IF(I26&gt;I18,"Error: revenue from fixed charges exceeds total revenue required from tariff. Reduce fixed charge.","")</f>
        <v/>
      </c>
      <c r="G27" s="58" t="str">
        <f ca="1">IF(J26&gt;L18,"Error: revenue from fixed charges exceeds total revenue required from tariff. Reduce fixed charge.","")</f>
        <v/>
      </c>
      <c r="H27" s="134"/>
      <c r="I27" s="134"/>
      <c r="J27" s="135"/>
      <c r="S27" s="125"/>
      <c r="T27" s="125"/>
    </row>
    <row r="28" spans="3:20" ht="14.7" thickBot="1" x14ac:dyDescent="0.6">
      <c r="C28" s="124"/>
      <c r="D28" s="130"/>
      <c r="E28" s="131"/>
      <c r="F28" s="131"/>
      <c r="G28" s="131"/>
      <c r="H28" s="131"/>
      <c r="I28" s="131"/>
      <c r="J28" s="131"/>
      <c r="K28" s="131"/>
      <c r="L28" s="131"/>
      <c r="M28" s="131"/>
      <c r="N28" s="131"/>
      <c r="O28" s="131"/>
      <c r="P28" s="131"/>
      <c r="Q28" s="131"/>
      <c r="R28" s="131"/>
      <c r="S28" s="132"/>
      <c r="T28" s="125"/>
    </row>
    <row r="29" spans="3:20" ht="14.7" thickBot="1" x14ac:dyDescent="0.6">
      <c r="C29" s="124"/>
      <c r="T29" s="125"/>
    </row>
    <row r="30" spans="3:20" x14ac:dyDescent="0.55000000000000004">
      <c r="C30" s="124"/>
      <c r="D30" s="121"/>
      <c r="E30" s="122"/>
      <c r="F30" s="122"/>
      <c r="G30" s="122"/>
      <c r="H30" s="122"/>
      <c r="I30" s="122"/>
      <c r="J30" s="122"/>
      <c r="K30" s="122"/>
      <c r="L30" s="122"/>
      <c r="M30" s="122"/>
      <c r="N30" s="122"/>
      <c r="O30" s="122"/>
      <c r="P30" s="122"/>
      <c r="Q30" s="122"/>
      <c r="R30" s="122"/>
      <c r="S30" s="123"/>
      <c r="T30" s="125"/>
    </row>
    <row r="31" spans="3:20" x14ac:dyDescent="0.55000000000000004">
      <c r="C31" s="124"/>
      <c r="D31" s="124"/>
      <c r="F31" s="1" t="s">
        <v>96</v>
      </c>
      <c r="S31" s="125"/>
      <c r="T31" s="125"/>
    </row>
    <row r="32" spans="3:20" ht="13.95" customHeight="1" x14ac:dyDescent="0.55000000000000004">
      <c r="C32" s="124"/>
      <c r="D32" s="124"/>
      <c r="F32" s="1804" t="s">
        <v>560</v>
      </c>
      <c r="G32" s="1804"/>
      <c r="H32" s="1804"/>
      <c r="I32" s="1804"/>
      <c r="J32" s="1804"/>
      <c r="K32" s="1804"/>
      <c r="L32" s="1804"/>
      <c r="M32" s="1804"/>
      <c r="N32" s="1804"/>
      <c r="O32" s="1804"/>
      <c r="P32" s="1804"/>
      <c r="Q32" s="119"/>
      <c r="S32" s="125"/>
      <c r="T32" s="125"/>
    </row>
    <row r="33" spans="1:24" x14ac:dyDescent="0.55000000000000004">
      <c r="C33" s="124"/>
      <c r="D33" s="124"/>
      <c r="F33" s="119"/>
      <c r="G33" s="119"/>
      <c r="H33" s="119"/>
      <c r="I33" s="119"/>
      <c r="J33" s="119"/>
      <c r="K33" s="119"/>
      <c r="L33" s="119"/>
      <c r="M33" s="119"/>
      <c r="N33" s="119"/>
      <c r="O33" s="119"/>
      <c r="P33" s="119"/>
      <c r="Q33" s="119"/>
      <c r="S33" s="125"/>
      <c r="T33" s="125"/>
    </row>
    <row r="34" spans="1:24" s="126" customFormat="1" x14ac:dyDescent="0.55000000000000004">
      <c r="A34" s="117"/>
      <c r="B34"/>
      <c r="C34" s="124"/>
      <c r="D34" s="124"/>
      <c r="E34"/>
      <c r="F34" s="1" t="s">
        <v>348</v>
      </c>
      <c r="G34" s="80" t="s">
        <v>358</v>
      </c>
      <c r="H34" s="119"/>
      <c r="I34" s="119"/>
      <c r="J34" s="119"/>
      <c r="K34" s="119"/>
      <c r="L34" s="119"/>
      <c r="M34" s="119"/>
      <c r="N34" s="119"/>
      <c r="O34" s="119"/>
      <c r="P34" s="119"/>
      <c r="Q34" s="119"/>
      <c r="R34"/>
      <c r="S34" s="125"/>
      <c r="T34" s="125"/>
      <c r="U34" s="10"/>
      <c r="V34" s="126" t="s">
        <v>89</v>
      </c>
    </row>
    <row r="35" spans="1:24" s="126" customFormat="1" ht="14.7" thickBot="1" x14ac:dyDescent="0.6">
      <c r="A35" s="117"/>
      <c r="B35"/>
      <c r="C35" s="124"/>
      <c r="D35" s="124"/>
      <c r="E35"/>
      <c r="F35"/>
      <c r="G35" s="134"/>
      <c r="H35" s="119"/>
      <c r="I35" s="119"/>
      <c r="J35" s="119"/>
      <c r="K35" s="119"/>
      <c r="L35" s="119"/>
      <c r="M35" s="119"/>
      <c r="N35" s="119"/>
      <c r="O35" s="119"/>
      <c r="P35" s="119"/>
      <c r="Q35" s="119"/>
      <c r="R35"/>
      <c r="S35" s="125"/>
      <c r="T35" s="125"/>
      <c r="U35" s="10"/>
      <c r="V35" s="126" t="s">
        <v>358</v>
      </c>
    </row>
    <row r="36" spans="1:24" s="126" customFormat="1" x14ac:dyDescent="0.55000000000000004">
      <c r="A36" s="117"/>
      <c r="B36"/>
      <c r="C36" s="124"/>
      <c r="D36" s="124"/>
      <c r="E36" s="121"/>
      <c r="F36" s="122"/>
      <c r="G36" s="122"/>
      <c r="H36" s="122"/>
      <c r="I36" s="122"/>
      <c r="J36" s="122"/>
      <c r="K36" s="122"/>
      <c r="L36" s="122"/>
      <c r="M36" s="122"/>
      <c r="N36" s="122"/>
      <c r="O36" s="122"/>
      <c r="P36" s="122"/>
      <c r="Q36" s="122"/>
      <c r="R36" s="123"/>
      <c r="S36" s="125"/>
      <c r="T36" s="125"/>
      <c r="U36" s="10"/>
    </row>
    <row r="37" spans="1:24" s="126" customFormat="1" x14ac:dyDescent="0.55000000000000004">
      <c r="A37" s="117"/>
      <c r="B37"/>
      <c r="C37" s="124"/>
      <c r="D37" s="124"/>
      <c r="E37" s="124"/>
      <c r="F37" s="1" t="s">
        <v>343</v>
      </c>
      <c r="G37" s="163"/>
      <c r="H37"/>
      <c r="I37"/>
      <c r="J37"/>
      <c r="K37"/>
      <c r="L37"/>
      <c r="M37"/>
      <c r="N37"/>
      <c r="O37"/>
      <c r="P37"/>
      <c r="Q37"/>
      <c r="R37" s="125"/>
      <c r="S37" s="125"/>
      <c r="T37" s="125"/>
      <c r="U37" s="10"/>
    </row>
    <row r="38" spans="1:24" s="126" customFormat="1" x14ac:dyDescent="0.55000000000000004">
      <c r="A38" s="117"/>
      <c r="B38"/>
      <c r="C38" s="124"/>
      <c r="D38" s="124"/>
      <c r="E38" s="124"/>
      <c r="F38" s="1804" t="s">
        <v>561</v>
      </c>
      <c r="G38" s="1804"/>
      <c r="H38" s="1804"/>
      <c r="I38" s="1804"/>
      <c r="J38" s="1804"/>
      <c r="K38" s="1804"/>
      <c r="L38" s="1804"/>
      <c r="M38" s="1804"/>
      <c r="N38" s="1804"/>
      <c r="O38" s="1804"/>
      <c r="P38" s="1804"/>
      <c r="Q38" s="1804"/>
      <c r="R38" s="125"/>
      <c r="S38" s="125"/>
      <c r="T38" s="125"/>
      <c r="U38" s="10"/>
    </row>
    <row r="39" spans="1:24" s="126" customFormat="1" x14ac:dyDescent="0.55000000000000004">
      <c r="A39" s="117"/>
      <c r="B39"/>
      <c r="C39" s="124"/>
      <c r="D39" s="124"/>
      <c r="E39" s="124"/>
      <c r="F39" s="1804"/>
      <c r="G39" s="1804"/>
      <c r="H39" s="1804"/>
      <c r="I39" s="1804"/>
      <c r="J39" s="1804"/>
      <c r="K39" s="1804"/>
      <c r="L39" s="1804"/>
      <c r="M39" s="1804"/>
      <c r="N39" s="1804"/>
      <c r="O39" s="1804"/>
      <c r="P39" s="1804"/>
      <c r="Q39" s="1804"/>
      <c r="R39" s="125"/>
      <c r="S39" s="125"/>
      <c r="T39" s="125"/>
      <c r="U39" s="10"/>
    </row>
    <row r="40" spans="1:24" s="126" customFormat="1" x14ac:dyDescent="0.55000000000000004">
      <c r="A40" s="117"/>
      <c r="B40"/>
      <c r="C40" s="124"/>
      <c r="D40" s="124"/>
      <c r="E40" s="124"/>
      <c r="F40" s="1"/>
      <c r="G40" s="163"/>
      <c r="H40"/>
      <c r="I40"/>
      <c r="J40"/>
      <c r="K40"/>
      <c r="L40"/>
      <c r="M40"/>
      <c r="N40"/>
      <c r="O40"/>
      <c r="P40"/>
      <c r="Q40"/>
      <c r="R40" s="125"/>
      <c r="S40" s="125"/>
      <c r="T40" s="125"/>
      <c r="U40" s="10"/>
    </row>
    <row r="41" spans="1:24" s="126" customFormat="1" x14ac:dyDescent="0.55000000000000004">
      <c r="A41" s="117"/>
      <c r="B41"/>
      <c r="C41" s="124"/>
      <c r="D41" s="124"/>
      <c r="E41" s="124"/>
      <c r="F41" s="164" t="s">
        <v>88</v>
      </c>
      <c r="H41"/>
      <c r="I41" s="50">
        <v>1</v>
      </c>
      <c r="J41"/>
      <c r="K41"/>
      <c r="L41"/>
      <c r="M41"/>
      <c r="N41"/>
      <c r="O41"/>
      <c r="P41"/>
      <c r="Q41"/>
      <c r="R41" s="125"/>
      <c r="S41" s="125"/>
      <c r="T41" s="125"/>
      <c r="U41" s="10"/>
    </row>
    <row r="42" spans="1:24" s="126" customFormat="1" x14ac:dyDescent="0.55000000000000004">
      <c r="A42" s="117"/>
      <c r="B42"/>
      <c r="C42" s="124"/>
      <c r="D42" s="124"/>
      <c r="E42" s="124"/>
      <c r="F42" s="10" t="s">
        <v>612</v>
      </c>
      <c r="G42" s="10"/>
      <c r="H42" s="10"/>
      <c r="I42" s="159" t="s">
        <v>578</v>
      </c>
      <c r="J42"/>
      <c r="K42"/>
      <c r="L42"/>
      <c r="M42"/>
      <c r="N42"/>
      <c r="O42"/>
      <c r="P42"/>
      <c r="Q42"/>
      <c r="R42" s="125"/>
      <c r="S42" s="125"/>
      <c r="T42" s="125"/>
      <c r="U42" s="10"/>
    </row>
    <row r="43" spans="1:24" s="126" customFormat="1" x14ac:dyDescent="0.55000000000000004">
      <c r="A43" s="117"/>
      <c r="B43"/>
      <c r="C43" s="124"/>
      <c r="D43" s="124"/>
      <c r="E43" s="124"/>
      <c r="F43"/>
      <c r="G43"/>
      <c r="H43"/>
      <c r="I43"/>
      <c r="J43"/>
      <c r="K43"/>
      <c r="L43"/>
      <c r="M43"/>
      <c r="N43"/>
      <c r="O43"/>
      <c r="P43"/>
      <c r="Q43"/>
      <c r="R43" s="125"/>
      <c r="S43" s="125"/>
      <c r="T43" s="125"/>
      <c r="U43" s="10"/>
    </row>
    <row r="44" spans="1:24" s="126" customFormat="1" ht="58.2" customHeight="1" x14ac:dyDescent="0.55000000000000004">
      <c r="A44" s="117"/>
      <c r="B44"/>
      <c r="C44" s="124"/>
      <c r="D44" s="124"/>
      <c r="E44" s="124"/>
      <c r="F44" s="56" t="s">
        <v>91</v>
      </c>
      <c r="G44" s="56" t="s">
        <v>92</v>
      </c>
      <c r="H44" s="129" t="s">
        <v>80</v>
      </c>
      <c r="I44" s="56" t="s">
        <v>340</v>
      </c>
      <c r="J44" s="56" t="s">
        <v>356</v>
      </c>
      <c r="K44" s="165" t="s">
        <v>349</v>
      </c>
      <c r="L44" s="166" t="s">
        <v>350</v>
      </c>
      <c r="M44" s="162"/>
      <c r="N44" s="162"/>
      <c r="O44" s="162"/>
      <c r="P44" s="162"/>
      <c r="Q44" s="162"/>
      <c r="R44" s="167"/>
      <c r="S44" s="167"/>
      <c r="T44" s="167"/>
      <c r="U44" s="155"/>
      <c r="V44" s="168" t="s">
        <v>621</v>
      </c>
      <c r="W44" s="168" t="s">
        <v>622</v>
      </c>
    </row>
    <row r="45" spans="1:24" s="126" customFormat="1" x14ac:dyDescent="0.55000000000000004">
      <c r="A45" s="117"/>
      <c r="B45"/>
      <c r="C45" s="124"/>
      <c r="D45" s="124"/>
      <c r="E45" s="124"/>
      <c r="F45" s="89">
        <f>IF($I$41=X45,X45,1)</f>
        <v>1</v>
      </c>
      <c r="G45" s="91">
        <v>0</v>
      </c>
      <c r="H45" s="50"/>
      <c r="I45" s="169"/>
      <c r="J45" s="21">
        <f>IF(G34=V34,H18-SUMIF(F46:F49,"&lt;="&amp;$I$41,J46:J49),0)</f>
        <v>0</v>
      </c>
      <c r="K45" s="114">
        <f>IFERROR(IF(G34=V34,IF(F45&lt;=I41,IF(I42="No",IF(J26=0,L18/SUMPRODUCT(V45:V49,J45:J49),(L18-J26)/SUMPRODUCT(V45:V49,J45:J49)),0),0),0),0)</f>
        <v>0</v>
      </c>
      <c r="L45" s="31">
        <f>J45*K45</f>
        <v>0</v>
      </c>
      <c r="M45" s="170"/>
      <c r="N45" s="135"/>
      <c r="O45" s="171"/>
      <c r="P45"/>
      <c r="Q45"/>
      <c r="R45" s="125"/>
      <c r="S45" s="125"/>
      <c r="T45" s="125"/>
      <c r="U45" s="10"/>
      <c r="V45" s="96">
        <f>IF(F45&lt;=$I$41,1,0)</f>
        <v>1</v>
      </c>
      <c r="X45" s="126">
        <v>1</v>
      </c>
    </row>
    <row r="46" spans="1:24" s="126" customFormat="1" x14ac:dyDescent="0.55000000000000004">
      <c r="A46" s="117"/>
      <c r="B46"/>
      <c r="C46" s="124"/>
      <c r="D46" s="124"/>
      <c r="E46" s="124"/>
      <c r="F46" s="89" t="str">
        <f>IF($I$41&gt;=X46,X46,"")</f>
        <v/>
      </c>
      <c r="G46" s="91" t="str">
        <f>IF($I$41&gt;=F46,H45+0.01,"")</f>
        <v/>
      </c>
      <c r="H46" s="50"/>
      <c r="I46" s="61"/>
      <c r="J46" s="13"/>
      <c r="K46" s="114">
        <f>IFERROR(IF(F46&lt;=I41,IF(I42="No",K45*(1+I46),IF(J26=0,L18/SUMPRODUCT(W46:W49,J46:J49),(L18-J26)/SUMPRODUCT(W46:W49,J46:J49))),0),0)</f>
        <v>0</v>
      </c>
      <c r="L46" s="31">
        <f>J46*K46</f>
        <v>0</v>
      </c>
      <c r="M46" s="170"/>
      <c r="N46" s="135"/>
      <c r="O46" s="171"/>
      <c r="P46"/>
      <c r="Q46"/>
      <c r="R46" s="125"/>
      <c r="S46" s="125"/>
      <c r="T46" s="125"/>
      <c r="U46" s="10"/>
      <c r="V46" s="96">
        <f>IF(F46&lt;=$I$41,(1+I46),0)</f>
        <v>0</v>
      </c>
      <c r="W46" s="92">
        <f>IF(F46&lt;=I41,1,0)</f>
        <v>0</v>
      </c>
      <c r="X46" s="126">
        <v>2</v>
      </c>
    </row>
    <row r="47" spans="1:24" s="126" customFormat="1" x14ac:dyDescent="0.55000000000000004">
      <c r="A47" s="117"/>
      <c r="B47"/>
      <c r="C47" s="124"/>
      <c r="D47" s="124"/>
      <c r="E47" s="124"/>
      <c r="F47" s="89" t="str">
        <f>IF($I$41&gt;=X47,X47,"")</f>
        <v/>
      </c>
      <c r="G47" s="91" t="str">
        <f>IF($I$41&gt;=F47,H46+0.01,"")</f>
        <v/>
      </c>
      <c r="H47" s="50"/>
      <c r="I47" s="61"/>
      <c r="J47" s="13"/>
      <c r="K47" s="95">
        <f>IF(F47&lt;=$I$41,K46*(1+I47),0)</f>
        <v>0</v>
      </c>
      <c r="L47" s="31">
        <f>J47*K47</f>
        <v>0</v>
      </c>
      <c r="M47" s="170"/>
      <c r="N47" s="135"/>
      <c r="O47" s="171"/>
      <c r="P47"/>
      <c r="Q47"/>
      <c r="R47" s="125"/>
      <c r="S47" s="125"/>
      <c r="T47" s="125"/>
      <c r="U47" s="10"/>
      <c r="V47" s="96">
        <f>IF(F47&lt;=$I$41,V46*(1+I47),0)</f>
        <v>0</v>
      </c>
      <c r="W47" s="92">
        <f>IF(F47&lt;=I41,W46*(1+I47),0)</f>
        <v>0</v>
      </c>
      <c r="X47" s="126">
        <v>3</v>
      </c>
    </row>
    <row r="48" spans="1:24" s="126" customFormat="1" x14ac:dyDescent="0.55000000000000004">
      <c r="A48" s="117"/>
      <c r="B48"/>
      <c r="C48" s="124"/>
      <c r="D48" s="124"/>
      <c r="E48" s="124"/>
      <c r="F48" s="89" t="str">
        <f>IF($I$41&gt;=X48,X48,"")</f>
        <v/>
      </c>
      <c r="G48" s="91" t="str">
        <f>IF($I$41&gt;=F48,H47+0.01,"")</f>
        <v/>
      </c>
      <c r="H48" s="50"/>
      <c r="I48" s="61"/>
      <c r="J48" s="13"/>
      <c r="K48" s="95">
        <f>IF(F48&lt;=$I$41,K47*(1+I48),0)</f>
        <v>0</v>
      </c>
      <c r="L48" s="31">
        <f>J48*K48</f>
        <v>0</v>
      </c>
      <c r="M48" s="170"/>
      <c r="N48" s="135"/>
      <c r="O48" s="171"/>
      <c r="P48"/>
      <c r="Q48"/>
      <c r="R48" s="125"/>
      <c r="S48" s="125"/>
      <c r="T48" s="125"/>
      <c r="U48" s="10"/>
      <c r="V48" s="96">
        <f>IF(F48&lt;=$I$41,V47*(1+I48),0)</f>
        <v>0</v>
      </c>
      <c r="W48" s="92">
        <f>IF(F48&lt;=I41,W47*(1+I48),0)</f>
        <v>0</v>
      </c>
      <c r="X48" s="126">
        <v>4</v>
      </c>
    </row>
    <row r="49" spans="1:26" s="126" customFormat="1" x14ac:dyDescent="0.55000000000000004">
      <c r="A49" s="117"/>
      <c r="B49"/>
      <c r="C49" s="124"/>
      <c r="D49" s="124"/>
      <c r="E49" s="124"/>
      <c r="F49" s="89" t="str">
        <f>IF($I$41&gt;=X49,X49,"")</f>
        <v/>
      </c>
      <c r="G49" s="91" t="str">
        <f>IF($I$41&gt;=F49,H48+0.01,"")</f>
        <v/>
      </c>
      <c r="H49" s="89" t="s">
        <v>84</v>
      </c>
      <c r="I49" s="61"/>
      <c r="J49" s="13"/>
      <c r="K49" s="95">
        <f>IF(F49&lt;=$I$41,K48*(1+I49),0)</f>
        <v>0</v>
      </c>
      <c r="L49" s="31">
        <f>J49*K49</f>
        <v>0</v>
      </c>
      <c r="M49" s="170"/>
      <c r="N49" s="135"/>
      <c r="O49" s="171"/>
      <c r="P49"/>
      <c r="Q49"/>
      <c r="R49" s="125"/>
      <c r="S49" s="125"/>
      <c r="T49" s="125"/>
      <c r="U49" s="10"/>
      <c r="V49" s="96">
        <f>IF(F49&lt;=$I$41,V48*(1+I49),0)</f>
        <v>0</v>
      </c>
      <c r="W49" s="92">
        <f>IF(F49&lt;=I41,W48*(1+I49),0)</f>
        <v>0</v>
      </c>
      <c r="X49" s="126">
        <v>5</v>
      </c>
    </row>
    <row r="50" spans="1:26" s="126" customFormat="1" ht="14.7" thickBot="1" x14ac:dyDescent="0.6">
      <c r="A50" s="117"/>
      <c r="B50"/>
      <c r="C50" s="124"/>
      <c r="D50" s="124"/>
      <c r="E50" s="130"/>
      <c r="F50" s="149"/>
      <c r="G50" s="150"/>
      <c r="H50" s="149"/>
      <c r="I50" s="172"/>
      <c r="J50" s="173"/>
      <c r="K50" s="173"/>
      <c r="L50" s="173"/>
      <c r="M50" s="174"/>
      <c r="N50" s="152"/>
      <c r="O50" s="175"/>
      <c r="P50" s="131"/>
      <c r="Q50" s="131"/>
      <c r="R50" s="132"/>
      <c r="S50" s="125"/>
      <c r="T50" s="125"/>
      <c r="U50" s="10"/>
      <c r="W50" s="92"/>
    </row>
    <row r="51" spans="1:26" s="126" customFormat="1" ht="14.7" thickBot="1" x14ac:dyDescent="0.6">
      <c r="A51" s="117"/>
      <c r="B51"/>
      <c r="C51" s="124"/>
      <c r="D51" s="124"/>
      <c r="E51"/>
      <c r="F51" s="163"/>
      <c r="G51" s="176"/>
      <c r="H51" s="163"/>
      <c r="I51" s="177"/>
      <c r="J51" s="178"/>
      <c r="K51" s="178"/>
      <c r="L51" s="178"/>
      <c r="M51" s="170"/>
      <c r="N51" s="135"/>
      <c r="O51" s="171"/>
      <c r="P51"/>
      <c r="Q51"/>
      <c r="R51"/>
      <c r="S51" s="125"/>
      <c r="T51" s="125"/>
      <c r="U51" s="10"/>
    </row>
    <row r="52" spans="1:26" s="126" customFormat="1" x14ac:dyDescent="0.55000000000000004">
      <c r="A52" s="117"/>
      <c r="B52"/>
      <c r="C52" s="124"/>
      <c r="D52" s="124"/>
      <c r="E52" s="121"/>
      <c r="F52" s="179"/>
      <c r="G52" s="180"/>
      <c r="H52" s="179"/>
      <c r="I52" s="181"/>
      <c r="J52" s="182"/>
      <c r="K52" s="182"/>
      <c r="L52" s="182"/>
      <c r="M52" s="183"/>
      <c r="N52" s="184"/>
      <c r="O52" s="185"/>
      <c r="P52" s="122"/>
      <c r="Q52" s="122"/>
      <c r="R52" s="123"/>
      <c r="S52" s="125"/>
      <c r="T52" s="125"/>
      <c r="U52" s="10"/>
    </row>
    <row r="53" spans="1:26" s="126" customFormat="1" x14ac:dyDescent="0.55000000000000004">
      <c r="A53" s="117"/>
      <c r="B53"/>
      <c r="C53" s="124"/>
      <c r="D53" s="124"/>
      <c r="E53" s="124"/>
      <c r="F53" s="186" t="s">
        <v>344</v>
      </c>
      <c r="G53" s="176"/>
      <c r="H53" s="163"/>
      <c r="I53" s="177"/>
      <c r="J53" s="178"/>
      <c r="K53" s="178"/>
      <c r="L53" s="178"/>
      <c r="M53" s="170"/>
      <c r="N53" s="135"/>
      <c r="O53" s="187"/>
      <c r="P53"/>
      <c r="Q53"/>
      <c r="R53" s="125"/>
      <c r="S53" s="125"/>
      <c r="T53" s="125"/>
      <c r="U53" s="10"/>
    </row>
    <row r="54" spans="1:26" s="126" customFormat="1" x14ac:dyDescent="0.55000000000000004">
      <c r="A54" s="117"/>
      <c r="B54"/>
      <c r="C54" s="124"/>
      <c r="D54" s="124"/>
      <c r="E54" s="124"/>
      <c r="F54" s="1804" t="s">
        <v>562</v>
      </c>
      <c r="G54" s="1804"/>
      <c r="H54" s="1804"/>
      <c r="I54" s="1804"/>
      <c r="J54" s="1804"/>
      <c r="K54" s="1804"/>
      <c r="L54" s="1804"/>
      <c r="M54" s="1804"/>
      <c r="N54" s="1804"/>
      <c r="O54" s="1804"/>
      <c r="P54" s="1804"/>
      <c r="Q54" s="1804"/>
      <c r="R54" s="125"/>
      <c r="S54" s="125"/>
      <c r="T54" s="125"/>
      <c r="U54" s="10"/>
    </row>
    <row r="55" spans="1:26" s="126" customFormat="1" x14ac:dyDescent="0.55000000000000004">
      <c r="A55" s="117"/>
      <c r="B55"/>
      <c r="C55" s="124"/>
      <c r="D55" s="124"/>
      <c r="E55" s="124"/>
      <c r="F55" s="1804"/>
      <c r="G55" s="1804"/>
      <c r="H55" s="1804"/>
      <c r="I55" s="1804"/>
      <c r="J55" s="1804"/>
      <c r="K55" s="1804"/>
      <c r="L55" s="1804"/>
      <c r="M55" s="1804"/>
      <c r="N55" s="1804"/>
      <c r="O55" s="1804"/>
      <c r="P55" s="1804"/>
      <c r="Q55" s="1804"/>
      <c r="R55" s="125"/>
      <c r="S55" s="125"/>
      <c r="T55" s="125"/>
      <c r="U55" s="10"/>
    </row>
    <row r="56" spans="1:26" s="126" customFormat="1" x14ac:dyDescent="0.55000000000000004">
      <c r="A56" s="117"/>
      <c r="B56"/>
      <c r="C56" s="124"/>
      <c r="D56" s="124"/>
      <c r="E56" s="124"/>
      <c r="F56" s="186"/>
      <c r="G56" s="176"/>
      <c r="H56" s="163"/>
      <c r="I56" s="177"/>
      <c r="J56" s="178"/>
      <c r="K56" s="178"/>
      <c r="L56" s="178"/>
      <c r="M56" s="170"/>
      <c r="N56" s="135"/>
      <c r="O56" s="187"/>
      <c r="P56"/>
      <c r="Q56"/>
      <c r="R56" s="125"/>
      <c r="S56" s="125"/>
      <c r="T56" s="125"/>
      <c r="U56" s="10"/>
    </row>
    <row r="57" spans="1:26" s="126" customFormat="1" x14ac:dyDescent="0.55000000000000004">
      <c r="A57" s="117"/>
      <c r="B57"/>
      <c r="C57" s="124"/>
      <c r="D57" s="124"/>
      <c r="E57" s="124"/>
      <c r="F57" s="164" t="s">
        <v>88</v>
      </c>
      <c r="G57"/>
      <c r="H57"/>
      <c r="I57" s="50">
        <v>1</v>
      </c>
      <c r="J57" s="178"/>
      <c r="K57" s="178"/>
      <c r="L57" s="178"/>
      <c r="M57" s="170"/>
      <c r="N57" s="135"/>
      <c r="O57" s="187"/>
      <c r="P57"/>
      <c r="Q57"/>
      <c r="R57" s="125"/>
      <c r="S57" s="125"/>
      <c r="T57" s="125"/>
      <c r="U57" s="10"/>
    </row>
    <row r="58" spans="1:26" s="126" customFormat="1" x14ac:dyDescent="0.55000000000000004">
      <c r="A58" s="117"/>
      <c r="B58"/>
      <c r="C58" s="124"/>
      <c r="D58" s="124"/>
      <c r="E58" s="124"/>
      <c r="F58" t="s">
        <v>346</v>
      </c>
      <c r="G58"/>
      <c r="H58"/>
      <c r="I58" s="13">
        <v>3445328</v>
      </c>
      <c r="J58" s="178"/>
      <c r="K58" s="178"/>
      <c r="L58" s="178"/>
      <c r="M58" s="170"/>
      <c r="N58" s="135"/>
      <c r="O58" s="187"/>
      <c r="P58"/>
      <c r="Q58"/>
      <c r="R58" s="125"/>
      <c r="S58" s="125"/>
      <c r="T58" s="125"/>
      <c r="U58" s="10"/>
    </row>
    <row r="59" spans="1:26" s="126" customFormat="1" x14ac:dyDescent="0.55000000000000004">
      <c r="A59" s="117"/>
      <c r="B59"/>
      <c r="C59" s="124"/>
      <c r="D59" s="124"/>
      <c r="E59" s="124"/>
      <c r="F59" t="s">
        <v>347</v>
      </c>
      <c r="G59"/>
      <c r="H59"/>
      <c r="I59" s="13">
        <v>10184211</v>
      </c>
      <c r="J59" s="178"/>
      <c r="K59" s="178"/>
      <c r="L59" s="178"/>
      <c r="M59" s="170"/>
      <c r="N59" s="135"/>
      <c r="O59" s="187"/>
      <c r="P59"/>
      <c r="Q59"/>
      <c r="R59" s="125"/>
      <c r="S59" s="125"/>
      <c r="T59" s="125"/>
      <c r="U59" s="10"/>
    </row>
    <row r="60" spans="1:26" s="126" customFormat="1" x14ac:dyDescent="0.55000000000000004">
      <c r="A60" s="117"/>
      <c r="B60"/>
      <c r="C60" s="124"/>
      <c r="D60" s="124"/>
      <c r="E60" s="124"/>
      <c r="F60" t="s">
        <v>366</v>
      </c>
      <c r="H60"/>
      <c r="I60" s="93">
        <v>1.2591036414565828</v>
      </c>
      <c r="J60"/>
      <c r="K60" s="178"/>
      <c r="L60" s="178"/>
      <c r="M60" s="170"/>
      <c r="N60" s="135"/>
      <c r="O60" s="187"/>
      <c r="P60"/>
      <c r="Q60"/>
      <c r="R60" s="125"/>
      <c r="S60" s="125"/>
      <c r="T60" s="125"/>
      <c r="U60" s="10"/>
    </row>
    <row r="61" spans="1:26" s="126" customFormat="1" x14ac:dyDescent="0.55000000000000004">
      <c r="A61" s="117"/>
      <c r="B61"/>
      <c r="C61" s="124"/>
      <c r="D61" s="124"/>
      <c r="E61" s="124"/>
      <c r="F61" s="10" t="s">
        <v>612</v>
      </c>
      <c r="G61" s="10"/>
      <c r="H61" s="10"/>
      <c r="I61" s="159" t="s">
        <v>578</v>
      </c>
      <c r="J61"/>
      <c r="K61" s="178"/>
      <c r="L61" s="178"/>
      <c r="M61" s="170"/>
      <c r="N61" s="135"/>
      <c r="O61" s="187"/>
      <c r="P61" s="135"/>
      <c r="Q61"/>
      <c r="R61" s="125"/>
      <c r="S61" s="125"/>
      <c r="T61" s="125"/>
      <c r="U61" s="10"/>
    </row>
    <row r="62" spans="1:26" s="126" customFormat="1" x14ac:dyDescent="0.55000000000000004">
      <c r="A62" s="117"/>
      <c r="B62"/>
      <c r="C62" s="124"/>
      <c r="D62" s="124"/>
      <c r="E62" s="124"/>
      <c r="F62"/>
      <c r="G62"/>
      <c r="H62"/>
      <c r="I62" s="188"/>
      <c r="J62"/>
      <c r="K62" s="178"/>
      <c r="L62" s="178"/>
      <c r="M62" s="170"/>
      <c r="N62" s="135"/>
      <c r="O62" s="187"/>
      <c r="P62"/>
      <c r="Q62"/>
      <c r="R62" s="125"/>
      <c r="S62" s="125"/>
      <c r="T62" s="125"/>
      <c r="U62" s="10"/>
    </row>
    <row r="63" spans="1:26" s="126" customFormat="1" ht="57.6" x14ac:dyDescent="0.55000000000000004">
      <c r="A63" s="117"/>
      <c r="B63"/>
      <c r="C63" s="124"/>
      <c r="D63" s="124"/>
      <c r="E63" s="124"/>
      <c r="F63" s="56" t="s">
        <v>91</v>
      </c>
      <c r="G63" s="56" t="s">
        <v>92</v>
      </c>
      <c r="H63" s="129" t="s">
        <v>80</v>
      </c>
      <c r="I63" s="56" t="s">
        <v>367</v>
      </c>
      <c r="J63" s="56" t="s">
        <v>368</v>
      </c>
      <c r="K63" s="56" t="s">
        <v>341</v>
      </c>
      <c r="L63" s="56" t="s">
        <v>342</v>
      </c>
      <c r="M63" s="166" t="s">
        <v>351</v>
      </c>
      <c r="N63" s="56" t="s">
        <v>352</v>
      </c>
      <c r="O63" s="56" t="s">
        <v>353</v>
      </c>
      <c r="P63" s="56" t="s">
        <v>354</v>
      </c>
      <c r="Q63" s="56" t="s">
        <v>355</v>
      </c>
      <c r="R63" s="125"/>
      <c r="S63" s="125"/>
      <c r="T63" s="125"/>
      <c r="U63" s="10"/>
      <c r="V63" s="189" t="s">
        <v>616</v>
      </c>
      <c r="W63" s="168" t="s">
        <v>617</v>
      </c>
      <c r="X63" s="189" t="s">
        <v>618</v>
      </c>
      <c r="Y63" s="168" t="s">
        <v>619</v>
      </c>
    </row>
    <row r="64" spans="1:26" s="126" customFormat="1" x14ac:dyDescent="0.55000000000000004">
      <c r="A64" s="117"/>
      <c r="B64"/>
      <c r="C64" s="124"/>
      <c r="D64" s="124"/>
      <c r="E64" s="124"/>
      <c r="F64" s="89">
        <f>IF($I$57=Z64,Z64,1)</f>
        <v>1</v>
      </c>
      <c r="G64" s="91">
        <v>0</v>
      </c>
      <c r="H64" s="50" t="s">
        <v>1669</v>
      </c>
      <c r="I64" s="169"/>
      <c r="J64" s="63"/>
      <c r="K64" s="21">
        <f>I58-SUMIF($F$65:$F$68,"&lt;="&amp;$I$57,$K$65:$K$68)</f>
        <v>3445328</v>
      </c>
      <c r="L64" s="31">
        <f>I59-SUMIF($F$65:$F$68,"&lt;="&amp;$I$57,$L$65:$L$68)</f>
        <v>10184211</v>
      </c>
      <c r="M64" s="44">
        <f ca="1">IFERROR(IF(G34=V34,0,IF(F64&lt;=I57,IF(I61="No",(L18-J26)/(SUMPRODUCT(V64:V68,K64:K68)+SUMPRODUCT(W64:W68,L64:L68)),0)*I60,0)),0)</f>
        <v>3.2172584268423674</v>
      </c>
      <c r="N64" s="44">
        <f ca="1">IFERROR(IF(G34=V34,0,IF(F64&lt;=I57,IF(I61="No",(L18-J26)/(SUMPRODUCT(V64:V68,K64:K68)+SUMPRODUCT(W64:W68,L64:L68)),0),0)),0)</f>
        <v>2.5551974602507785</v>
      </c>
      <c r="O64" s="97">
        <f ca="1">IFERROR(M64/N64,"")</f>
        <v>1.2591036414565828</v>
      </c>
      <c r="P64" s="26">
        <f t="shared" ref="P64:Q68" ca="1" si="0">K64*M64</f>
        <v>11084510.541235959</v>
      </c>
      <c r="Q64" s="26">
        <f t="shared" ca="1" si="0"/>
        <v>26022670.081858043</v>
      </c>
      <c r="R64" s="125"/>
      <c r="S64" s="125"/>
      <c r="T64" s="125"/>
      <c r="U64" s="10"/>
      <c r="V64" s="92">
        <f>IF(F64&lt;=$I$57,1*$I$60,0)</f>
        <v>1.2591036414565828</v>
      </c>
      <c r="W64" s="96">
        <f>IF(F64&lt;=$I$57,1,0)</f>
        <v>1</v>
      </c>
      <c r="X64" s="92"/>
      <c r="Y64" s="96"/>
      <c r="Z64" s="126">
        <v>1</v>
      </c>
    </row>
    <row r="65" spans="1:26" s="126" customFormat="1" x14ac:dyDescent="0.55000000000000004">
      <c r="A65" s="117"/>
      <c r="B65"/>
      <c r="C65" s="124"/>
      <c r="D65" s="124"/>
      <c r="E65" s="124"/>
      <c r="F65" s="89" t="str">
        <f>IF($I$57&gt;=Z65,Z65,"")</f>
        <v/>
      </c>
      <c r="G65" s="91" t="str">
        <f>IF($I$57&gt;=F65,H64+0.01,"")</f>
        <v/>
      </c>
      <c r="H65" s="50"/>
      <c r="I65" s="61"/>
      <c r="J65" s="61"/>
      <c r="K65" s="13"/>
      <c r="L65" s="13"/>
      <c r="M65" s="44">
        <f>IF(F65&lt;=I57,IF(I61="No",M64*(1+I65),N65*I60),0)</f>
        <v>0</v>
      </c>
      <c r="N65" s="44">
        <f>IF(F65&lt;=I57,IF(I61="No",N64*(1+J65),(L18-J26)/(I60*SUMPRODUCT(X65:X68,K65:K68)+SUMPRODUCT(Y65:Y68,L65:L68))),0)</f>
        <v>0</v>
      </c>
      <c r="O65" s="97" t="str">
        <f>IFERROR(M65/N65,"")</f>
        <v/>
      </c>
      <c r="P65" s="26">
        <f t="shared" si="0"/>
        <v>0</v>
      </c>
      <c r="Q65" s="26">
        <f t="shared" si="0"/>
        <v>0</v>
      </c>
      <c r="R65" s="125"/>
      <c r="S65" s="125"/>
      <c r="T65" s="125"/>
      <c r="U65" s="10"/>
      <c r="V65" s="92">
        <f>IF(F65&lt;=$I$57,V64*(1+I65),0)</f>
        <v>0</v>
      </c>
      <c r="W65" s="96">
        <f>IF(F65&lt;=$I$57,(1+J65),0)</f>
        <v>0</v>
      </c>
      <c r="X65" s="92">
        <v>1</v>
      </c>
      <c r="Y65" s="96">
        <f>IF(F65&lt;=I57,1,0)</f>
        <v>0</v>
      </c>
      <c r="Z65" s="126">
        <v>2</v>
      </c>
    </row>
    <row r="66" spans="1:26" s="126" customFormat="1" x14ac:dyDescent="0.55000000000000004">
      <c r="A66" s="117"/>
      <c r="B66"/>
      <c r="C66" s="124"/>
      <c r="D66" s="124"/>
      <c r="E66" s="124"/>
      <c r="F66" s="89" t="str">
        <f>IF($I$57&gt;=Z66,Z66,"")</f>
        <v/>
      </c>
      <c r="G66" s="91" t="str">
        <f>IF($I$57&gt;=F66,H65+0.01,"")</f>
        <v/>
      </c>
      <c r="H66" s="50"/>
      <c r="I66" s="61"/>
      <c r="J66" s="61"/>
      <c r="K66" s="13"/>
      <c r="L66" s="13"/>
      <c r="M66" s="36">
        <f>IF(F66&lt;=$I$57,M65*(1+I66),0)</f>
        <v>0</v>
      </c>
      <c r="N66" s="36">
        <f>IF(F66&lt;=$I$57,N65*(1+J66),0)</f>
        <v>0</v>
      </c>
      <c r="O66" s="97" t="str">
        <f>IFERROR(M66/N66,"")</f>
        <v/>
      </c>
      <c r="P66" s="26">
        <f t="shared" si="0"/>
        <v>0</v>
      </c>
      <c r="Q66" s="26">
        <f t="shared" si="0"/>
        <v>0</v>
      </c>
      <c r="R66" s="125"/>
      <c r="S66" s="125"/>
      <c r="T66" s="125"/>
      <c r="U66" s="10"/>
      <c r="V66" s="92">
        <f>IF(F66&lt;=$I$57,V65*(1+I66),0)</f>
        <v>0</v>
      </c>
      <c r="W66" s="96">
        <f>IF(F66&lt;=$I$57,W65*(1+J66),0)</f>
        <v>0</v>
      </c>
      <c r="X66" s="92">
        <f>IF(F66&lt;=I57,X65*(1+I66),0)</f>
        <v>0</v>
      </c>
      <c r="Y66" s="96">
        <f>IF(F66&lt;=I57,Y65*(1+J66),0)</f>
        <v>0</v>
      </c>
      <c r="Z66" s="126">
        <v>3</v>
      </c>
    </row>
    <row r="67" spans="1:26" s="126" customFormat="1" x14ac:dyDescent="0.55000000000000004">
      <c r="A67" s="117"/>
      <c r="B67"/>
      <c r="C67" s="124"/>
      <c r="D67" s="124"/>
      <c r="E67" s="124"/>
      <c r="F67" s="89" t="str">
        <f>IF($I$57&gt;=Z67,Z67,"")</f>
        <v/>
      </c>
      <c r="G67" s="91" t="str">
        <f>IF($I$57&gt;=F67,H66+0.01,"")</f>
        <v/>
      </c>
      <c r="H67" s="50"/>
      <c r="I67" s="61"/>
      <c r="J67" s="61"/>
      <c r="K67" s="13"/>
      <c r="L67" s="13"/>
      <c r="M67" s="36">
        <f>IF(F67&lt;=$I$57,M66*(1+I67),0)</f>
        <v>0</v>
      </c>
      <c r="N67" s="36">
        <f>IF(F67&lt;=$I$57,N66*(1+J67),0)</f>
        <v>0</v>
      </c>
      <c r="O67" s="97" t="str">
        <f>IFERROR(M67/N67,"")</f>
        <v/>
      </c>
      <c r="P67" s="26">
        <f t="shared" si="0"/>
        <v>0</v>
      </c>
      <c r="Q67" s="26">
        <f t="shared" si="0"/>
        <v>0</v>
      </c>
      <c r="R67" s="125"/>
      <c r="S67" s="125"/>
      <c r="T67" s="125"/>
      <c r="U67" s="10"/>
      <c r="V67" s="92">
        <f>IF(F67&lt;=$I$57,V66*(1+I67),0)</f>
        <v>0</v>
      </c>
      <c r="W67" s="96">
        <f>IF(F67&lt;=$I$57,W66*(1+J67),0)</f>
        <v>0</v>
      </c>
      <c r="X67" s="92">
        <f>IF(F67&lt;=I57,X66*(1+I67),0)</f>
        <v>0</v>
      </c>
      <c r="Y67" s="96">
        <f>IF(F67&lt;=I57,Y66*(1+J67),0)</f>
        <v>0</v>
      </c>
      <c r="Z67" s="126">
        <v>4</v>
      </c>
    </row>
    <row r="68" spans="1:26" s="126" customFormat="1" x14ac:dyDescent="0.55000000000000004">
      <c r="A68" s="117"/>
      <c r="B68"/>
      <c r="C68" s="124"/>
      <c r="D68" s="124"/>
      <c r="E68" s="124"/>
      <c r="F68" s="89" t="str">
        <f>IF($I$57&gt;=Z68,Z68,"")</f>
        <v/>
      </c>
      <c r="G68" s="91" t="str">
        <f>IF($I$57&gt;=F68,H67+0.01,"")</f>
        <v/>
      </c>
      <c r="H68" s="89" t="s">
        <v>84</v>
      </c>
      <c r="I68" s="61"/>
      <c r="J68" s="61"/>
      <c r="K68" s="13"/>
      <c r="L68" s="13"/>
      <c r="M68" s="36">
        <f>IF(F68&lt;=$I$57,M67*(1+I68),0)</f>
        <v>0</v>
      </c>
      <c r="N68" s="36">
        <f>IF(F68&lt;=$I$57,N67*(1+J68),0)</f>
        <v>0</v>
      </c>
      <c r="O68" s="97" t="str">
        <f>IFERROR(M68/N68,"")</f>
        <v/>
      </c>
      <c r="P68" s="26">
        <f t="shared" si="0"/>
        <v>0</v>
      </c>
      <c r="Q68" s="26">
        <f t="shared" si="0"/>
        <v>0</v>
      </c>
      <c r="R68" s="125"/>
      <c r="S68" s="125"/>
      <c r="T68" s="125"/>
      <c r="U68" s="10"/>
      <c r="V68" s="92">
        <f>IF(F68&lt;=$I$57,V67*(1+I68),0)</f>
        <v>0</v>
      </c>
      <c r="W68" s="96">
        <f>IF(F68&lt;=$I$57,W67*(1+J68),0)</f>
        <v>0</v>
      </c>
      <c r="X68" s="92">
        <f>IF(F68&lt;=I57,X67*(1+I68),0)</f>
        <v>0</v>
      </c>
      <c r="Y68" s="96">
        <f>IF(F68&lt;=I57,Y67*(1+J68),0)</f>
        <v>0</v>
      </c>
      <c r="Z68" s="126">
        <v>5</v>
      </c>
    </row>
    <row r="69" spans="1:26" s="126" customFormat="1" ht="14.7" thickBot="1" x14ac:dyDescent="0.6">
      <c r="A69" s="117"/>
      <c r="B69"/>
      <c r="C69" s="124"/>
      <c r="D69" s="124"/>
      <c r="E69" s="130"/>
      <c r="F69" s="131"/>
      <c r="G69" s="131"/>
      <c r="H69" s="131"/>
      <c r="I69" s="131"/>
      <c r="J69" s="131"/>
      <c r="K69" s="131"/>
      <c r="L69" s="131"/>
      <c r="M69" s="131"/>
      <c r="N69" s="131"/>
      <c r="O69" s="131"/>
      <c r="P69" s="131"/>
      <c r="Q69" s="131"/>
      <c r="R69" s="132"/>
      <c r="S69" s="125"/>
      <c r="T69" s="125"/>
      <c r="U69" s="10"/>
    </row>
    <row r="70" spans="1:26" s="126" customFormat="1" ht="14.7" thickBot="1" x14ac:dyDescent="0.6">
      <c r="A70" s="117"/>
      <c r="B70"/>
      <c r="C70" s="124"/>
      <c r="D70" s="130"/>
      <c r="E70" s="131"/>
      <c r="F70" s="131"/>
      <c r="G70" s="131"/>
      <c r="H70" s="131"/>
      <c r="I70" s="131"/>
      <c r="J70" s="131"/>
      <c r="K70" s="131"/>
      <c r="L70" s="131"/>
      <c r="M70" s="131"/>
      <c r="N70" s="131"/>
      <c r="O70" s="131"/>
      <c r="P70" s="131"/>
      <c r="Q70" s="131"/>
      <c r="R70" s="131"/>
      <c r="S70" s="132"/>
      <c r="T70" s="125"/>
      <c r="U70" s="10"/>
    </row>
    <row r="71" spans="1:26" s="126" customFormat="1" ht="14.7" thickBot="1" x14ac:dyDescent="0.6">
      <c r="A71" s="117"/>
      <c r="B71"/>
      <c r="C71" s="130"/>
      <c r="D71" s="131"/>
      <c r="E71" s="131"/>
      <c r="F71" s="131"/>
      <c r="G71" s="131"/>
      <c r="H71" s="131"/>
      <c r="I71" s="131"/>
      <c r="J71" s="131"/>
      <c r="K71" s="131"/>
      <c r="L71" s="131"/>
      <c r="M71" s="131"/>
      <c r="N71" s="131"/>
      <c r="O71" s="131"/>
      <c r="P71" s="131"/>
      <c r="Q71" s="131"/>
      <c r="R71" s="131"/>
      <c r="S71" s="131"/>
      <c r="T71" s="132"/>
      <c r="U71" s="10"/>
    </row>
    <row r="72" spans="1:26" s="126" customFormat="1" ht="14.7" thickBot="1" x14ac:dyDescent="0.6">
      <c r="A72" s="117"/>
      <c r="B72"/>
      <c r="C72"/>
      <c r="D72"/>
      <c r="E72"/>
      <c r="F72"/>
      <c r="G72"/>
      <c r="H72"/>
      <c r="I72"/>
      <c r="J72"/>
      <c r="K72"/>
      <c r="L72"/>
      <c r="M72"/>
      <c r="N72"/>
      <c r="O72"/>
      <c r="P72"/>
      <c r="Q72"/>
      <c r="R72"/>
      <c r="S72"/>
      <c r="T72"/>
      <c r="U72" s="10"/>
    </row>
    <row r="73" spans="1:26" s="126" customFormat="1" x14ac:dyDescent="0.55000000000000004">
      <c r="A73" s="117"/>
      <c r="B73"/>
      <c r="C73" s="121"/>
      <c r="D73" s="122"/>
      <c r="E73" s="122"/>
      <c r="F73" s="122"/>
      <c r="G73" s="122"/>
      <c r="H73" s="122"/>
      <c r="I73" s="122"/>
      <c r="J73" s="122"/>
      <c r="K73" s="122"/>
      <c r="L73" s="122"/>
      <c r="M73" s="122"/>
      <c r="N73" s="122"/>
      <c r="O73" s="122"/>
      <c r="P73" s="122"/>
      <c r="Q73" s="122"/>
      <c r="R73" s="122"/>
      <c r="S73" s="122"/>
      <c r="T73" s="123"/>
      <c r="U73" s="10"/>
    </row>
    <row r="74" spans="1:26" s="126" customFormat="1" ht="18.3" x14ac:dyDescent="0.7">
      <c r="A74" s="117"/>
      <c r="B74"/>
      <c r="C74" s="124"/>
      <c r="D74" s="1822" t="str">
        <f>'2 Customer data'!D94</f>
        <v>Bulk Customers MV: TOU</v>
      </c>
      <c r="E74" s="1822"/>
      <c r="F74" s="1822"/>
      <c r="G74" s="1822"/>
      <c r="H74" s="1822"/>
      <c r="I74" s="1822"/>
      <c r="J74" s="1822"/>
      <c r="K74" s="1822"/>
      <c r="L74" s="1822"/>
      <c r="M74" s="1822"/>
      <c r="N74" s="1822"/>
      <c r="O74" s="1822"/>
      <c r="P74" s="1822"/>
      <c r="Q74" s="1822"/>
      <c r="R74" s="1822"/>
      <c r="S74" s="1822"/>
      <c r="T74" s="125"/>
      <c r="U74" s="10"/>
    </row>
    <row r="75" spans="1:26" s="126" customFormat="1" ht="14.7" thickBot="1" x14ac:dyDescent="0.6">
      <c r="A75" s="117"/>
      <c r="B75"/>
      <c r="C75" s="124"/>
      <c r="D75"/>
      <c r="E75"/>
      <c r="F75"/>
      <c r="G75"/>
      <c r="H75"/>
      <c r="I75"/>
      <c r="J75"/>
      <c r="K75"/>
      <c r="L75"/>
      <c r="M75"/>
      <c r="N75"/>
      <c r="O75"/>
      <c r="P75"/>
      <c r="Q75"/>
      <c r="R75"/>
      <c r="S75"/>
      <c r="T75" s="125"/>
      <c r="U75" s="10"/>
    </row>
    <row r="76" spans="1:26" s="126" customFormat="1" x14ac:dyDescent="0.55000000000000004">
      <c r="A76" s="117"/>
      <c r="B76"/>
      <c r="C76" s="124"/>
      <c r="D76" s="121"/>
      <c r="E76" s="122"/>
      <c r="F76" s="122"/>
      <c r="G76" s="122"/>
      <c r="H76" s="122"/>
      <c r="I76" s="122"/>
      <c r="J76" s="122"/>
      <c r="K76" s="122"/>
      <c r="L76" s="122"/>
      <c r="M76" s="122"/>
      <c r="N76" s="122"/>
      <c r="O76" s="122"/>
      <c r="P76" s="122"/>
      <c r="Q76" s="122"/>
      <c r="R76" s="122"/>
      <c r="S76" s="123"/>
      <c r="T76" s="125"/>
      <c r="U76" s="10"/>
    </row>
    <row r="77" spans="1:26" s="126" customFormat="1" x14ac:dyDescent="0.55000000000000004">
      <c r="A77" s="117"/>
      <c r="B77"/>
      <c r="C77" s="124"/>
      <c r="D77" s="124"/>
      <c r="E77"/>
      <c r="F77" s="1" t="str">
        <f>'2 Customer data'!D94&amp;" "&amp;"information"</f>
        <v>Bulk Customers MV: TOU information</v>
      </c>
      <c r="G77"/>
      <c r="H77"/>
      <c r="I77"/>
      <c r="J77"/>
      <c r="K77"/>
      <c r="L77"/>
      <c r="M77"/>
      <c r="N77"/>
      <c r="O77"/>
      <c r="P77"/>
      <c r="Q77"/>
      <c r="R77"/>
      <c r="S77" s="125"/>
      <c r="T77" s="125"/>
      <c r="U77" s="10"/>
    </row>
    <row r="78" spans="1:26" s="126" customFormat="1" x14ac:dyDescent="0.55000000000000004">
      <c r="A78" s="117"/>
      <c r="B78"/>
      <c r="C78" s="124"/>
      <c r="D78" s="124"/>
      <c r="E78"/>
      <c r="F78"/>
      <c r="G78"/>
      <c r="H78"/>
      <c r="I78"/>
      <c r="J78"/>
      <c r="K78"/>
      <c r="L78"/>
      <c r="M78"/>
      <c r="N78"/>
      <c r="O78"/>
      <c r="P78"/>
      <c r="Q78"/>
      <c r="R78"/>
      <c r="S78" s="125"/>
      <c r="T78" s="125"/>
      <c r="U78" s="10"/>
    </row>
    <row r="79" spans="1:26" s="126" customFormat="1" ht="28.8" x14ac:dyDescent="0.55000000000000004">
      <c r="A79" s="117"/>
      <c r="B79"/>
      <c r="C79" s="124"/>
      <c r="D79" s="124"/>
      <c r="E79"/>
      <c r="F79"/>
      <c r="G79" s="56" t="s">
        <v>28</v>
      </c>
      <c r="H79" s="56" t="s">
        <v>345</v>
      </c>
      <c r="I79" s="56" t="s">
        <v>60</v>
      </c>
      <c r="J79" s="56" t="s">
        <v>249</v>
      </c>
      <c r="K79" s="56" t="s">
        <v>279</v>
      </c>
      <c r="L79" s="56" t="s">
        <v>357</v>
      </c>
      <c r="M79"/>
      <c r="N79" s="162"/>
      <c r="O79"/>
      <c r="P79"/>
      <c r="Q79"/>
      <c r="R79"/>
      <c r="S79" s="125"/>
      <c r="T79" s="125"/>
      <c r="U79" s="10"/>
    </row>
    <row r="80" spans="1:26" s="126" customFormat="1" x14ac:dyDescent="0.55000000000000004">
      <c r="A80" s="117"/>
      <c r="B80"/>
      <c r="C80" s="124"/>
      <c r="D80" s="124"/>
      <c r="E80"/>
      <c r="F80" t="str">
        <f>'2 Customer data'!D94</f>
        <v>Bulk Customers MV: TOU</v>
      </c>
      <c r="G80" s="94">
        <f>IFERROR(IF(VLOOKUP(F80,'2 Customer data'!$D$93:$N$112,7,FALSE)="",VLOOKUP(F80,'2 Customer data'!$D$93:$N$112,6,FALSE),VLOOKUP(F80,'2 Customer data'!$D$93:$N$112,7,FALSE)),0)</f>
        <v>5</v>
      </c>
      <c r="H80" s="26">
        <f>IFERROR(IF(VLOOKUP(F80,'2 Customer data'!$D$93:$N$112,9,FALSE)="",VLOOKUP(F80,'2 Customer data'!$D$93:$N$112,8,FALSE),VLOOKUP(F80,'2 Customer data'!$D$93:$N$112,9,FALSE)),0)</f>
        <v>3575779</v>
      </c>
      <c r="I80" s="26">
        <f ca="1">IFERROR(VLOOKUP($F80,'2 Electricity'!$D$21:$L$40,6,FALSE),0)</f>
        <v>33440.230838899581</v>
      </c>
      <c r="J80" s="26">
        <f ca="1">IFERROR(VLOOKUP($F80,'2 Electricity'!$D$21:$L$40,7,FALSE),0)</f>
        <v>10662768.483956277</v>
      </c>
      <c r="K80" s="26">
        <f ca="1">IFERROR(VLOOKUP($F80,'2 Electricity'!$D$21:$L$40,8,FALSE),0)</f>
        <v>0</v>
      </c>
      <c r="L80" s="26">
        <f ca="1">IFERROR(VLOOKUP(F80,'2 Electricity'!$D$157:$K$176,8,FALSE),0)</f>
        <v>9694004.1701979563</v>
      </c>
      <c r="M80"/>
      <c r="N80" s="134"/>
      <c r="O80"/>
      <c r="P80"/>
      <c r="Q80"/>
      <c r="R80"/>
      <c r="S80" s="125"/>
      <c r="T80" s="125"/>
      <c r="U80" s="10"/>
    </row>
    <row r="81" spans="1:22" s="126" customFormat="1" ht="14.7" thickBot="1" x14ac:dyDescent="0.6">
      <c r="A81" s="117"/>
      <c r="B81"/>
      <c r="C81" s="124"/>
      <c r="D81" s="130"/>
      <c r="E81" s="131"/>
      <c r="F81" s="131"/>
      <c r="G81" s="131"/>
      <c r="H81" s="131"/>
      <c r="I81" s="131"/>
      <c r="J81" s="131"/>
      <c r="K81" s="131"/>
      <c r="L81" s="131"/>
      <c r="M81" s="131"/>
      <c r="N81" s="131"/>
      <c r="O81" s="131"/>
      <c r="P81" s="131"/>
      <c r="Q81" s="131"/>
      <c r="R81" s="131"/>
      <c r="S81" s="132"/>
      <c r="T81" s="125"/>
      <c r="U81" s="10"/>
    </row>
    <row r="82" spans="1:22" s="126" customFormat="1" ht="14.7" thickBot="1" x14ac:dyDescent="0.6">
      <c r="A82" s="117"/>
      <c r="B82"/>
      <c r="C82" s="124"/>
      <c r="D82"/>
      <c r="E82"/>
      <c r="F82"/>
      <c r="G82"/>
      <c r="H82"/>
      <c r="I82"/>
      <c r="J82"/>
      <c r="K82"/>
      <c r="L82"/>
      <c r="M82"/>
      <c r="N82"/>
      <c r="O82"/>
      <c r="P82"/>
      <c r="Q82"/>
      <c r="R82"/>
      <c r="S82"/>
      <c r="T82" s="125"/>
      <c r="U82" s="10"/>
    </row>
    <row r="83" spans="1:22" s="126" customFormat="1" x14ac:dyDescent="0.55000000000000004">
      <c r="A83" s="117"/>
      <c r="B83"/>
      <c r="C83" s="124"/>
      <c r="D83" s="121"/>
      <c r="E83" s="122"/>
      <c r="F83" s="122"/>
      <c r="G83" s="122"/>
      <c r="H83" s="122"/>
      <c r="I83" s="122"/>
      <c r="J83" s="122"/>
      <c r="K83" s="122"/>
      <c r="L83" s="122"/>
      <c r="M83" s="122"/>
      <c r="N83" s="122"/>
      <c r="O83" s="122"/>
      <c r="P83" s="122"/>
      <c r="Q83" s="122"/>
      <c r="R83" s="122"/>
      <c r="S83" s="123"/>
      <c r="T83" s="125"/>
      <c r="U83" s="10"/>
    </row>
    <row r="84" spans="1:22" s="126" customFormat="1" x14ac:dyDescent="0.55000000000000004">
      <c r="A84" s="117"/>
      <c r="B84"/>
      <c r="C84" s="124"/>
      <c r="D84" s="124"/>
      <c r="E84"/>
      <c r="F84" s="1" t="s">
        <v>85</v>
      </c>
      <c r="G84"/>
      <c r="H84"/>
      <c r="I84"/>
      <c r="J84"/>
      <c r="K84"/>
      <c r="L84"/>
      <c r="M84"/>
      <c r="N84"/>
      <c r="O84"/>
      <c r="P84"/>
      <c r="Q84"/>
      <c r="R84"/>
      <c r="S84" s="125"/>
      <c r="T84" s="125"/>
      <c r="U84" s="10"/>
    </row>
    <row r="85" spans="1:22" s="126" customFormat="1" x14ac:dyDescent="0.55000000000000004">
      <c r="A85" s="117"/>
      <c r="B85"/>
      <c r="C85" s="124"/>
      <c r="D85" s="124"/>
      <c r="E85"/>
      <c r="F85" s="120" t="s">
        <v>555</v>
      </c>
      <c r="G85"/>
      <c r="H85"/>
      <c r="I85"/>
      <c r="J85"/>
      <c r="K85"/>
      <c r="L85"/>
      <c r="M85"/>
      <c r="N85"/>
      <c r="O85"/>
      <c r="P85"/>
      <c r="Q85"/>
      <c r="R85"/>
      <c r="S85" s="125"/>
      <c r="T85" s="125"/>
      <c r="U85" s="10"/>
    </row>
    <row r="86" spans="1:22" s="126" customFormat="1" x14ac:dyDescent="0.55000000000000004">
      <c r="A86" s="117"/>
      <c r="B86"/>
      <c r="C86" s="124"/>
      <c r="D86" s="124"/>
      <c r="E86"/>
      <c r="F86"/>
      <c r="G86"/>
      <c r="H86"/>
      <c r="I86"/>
      <c r="J86"/>
      <c r="K86"/>
      <c r="L86"/>
      <c r="M86"/>
      <c r="N86"/>
      <c r="O86"/>
      <c r="P86"/>
      <c r="Q86"/>
      <c r="R86"/>
      <c r="S86" s="125"/>
      <c r="T86" s="125"/>
      <c r="U86" s="10"/>
    </row>
    <row r="87" spans="1:22" s="126" customFormat="1" ht="43.2" x14ac:dyDescent="0.55000000000000004">
      <c r="A87" s="117"/>
      <c r="B87"/>
      <c r="C87" s="124"/>
      <c r="D87" s="124"/>
      <c r="E87"/>
      <c r="F87"/>
      <c r="G87" s="56" t="s">
        <v>86</v>
      </c>
      <c r="H87" s="56" t="s">
        <v>73</v>
      </c>
      <c r="I87" s="56" t="s">
        <v>87</v>
      </c>
      <c r="J87" s="56" t="s">
        <v>75</v>
      </c>
      <c r="K87" s="56" t="s">
        <v>76</v>
      </c>
      <c r="L87"/>
      <c r="M87"/>
      <c r="N87"/>
      <c r="O87"/>
      <c r="P87"/>
      <c r="Q87"/>
      <c r="R87"/>
      <c r="S87" s="125"/>
      <c r="T87" s="125"/>
      <c r="U87" s="10"/>
    </row>
    <row r="88" spans="1:22" s="126" customFormat="1" x14ac:dyDescent="0.55000000000000004">
      <c r="A88" s="117"/>
      <c r="B88"/>
      <c r="C88" s="124"/>
      <c r="D88" s="124"/>
      <c r="E88"/>
      <c r="F88" t="str">
        <f>F80</f>
        <v>Bulk Customers MV: TOU</v>
      </c>
      <c r="G88" s="26">
        <f ca="1">SUM(I80,K80)</f>
        <v>33440.230838899581</v>
      </c>
      <c r="H88" s="64">
        <f ca="1">IFERROR(G88/G80,0)/12</f>
        <v>557.33718064832635</v>
      </c>
      <c r="I88" s="84"/>
      <c r="J88" s="26">
        <f>I88*G80*12</f>
        <v>0</v>
      </c>
      <c r="K88" s="21">
        <f>J88/12</f>
        <v>0</v>
      </c>
      <c r="L88"/>
      <c r="M88"/>
      <c r="N88"/>
      <c r="O88"/>
      <c r="P88"/>
      <c r="Q88"/>
      <c r="R88"/>
      <c r="S88" s="125"/>
      <c r="T88" s="125"/>
      <c r="U88" s="10"/>
    </row>
    <row r="89" spans="1:22" s="126" customFormat="1" x14ac:dyDescent="0.55000000000000004">
      <c r="A89" s="117"/>
      <c r="B89"/>
      <c r="C89" s="124"/>
      <c r="D89" s="124"/>
      <c r="E89" s="133"/>
      <c r="F89" s="58" t="str">
        <f ca="1">IF(I88&gt;I80,"Error: revenue from fixed charges exceeds total revenue required from tariff. Reduce fixed charge.","")</f>
        <v/>
      </c>
      <c r="G89" s="58" t="str">
        <f ca="1">IF(J88&gt;L80,"Error: revenue from fixed charges exceeds total revenue required from tariff. Reduce fixed charge.","")</f>
        <v/>
      </c>
      <c r="H89" s="134"/>
      <c r="I89" s="134"/>
      <c r="J89" s="135"/>
      <c r="K89"/>
      <c r="L89"/>
      <c r="M89"/>
      <c r="N89"/>
      <c r="O89"/>
      <c r="P89"/>
      <c r="Q89"/>
      <c r="R89"/>
      <c r="S89" s="125"/>
      <c r="T89" s="125"/>
      <c r="U89" s="10"/>
    </row>
    <row r="90" spans="1:22" s="126" customFormat="1" ht="14.7" thickBot="1" x14ac:dyDescent="0.6">
      <c r="A90" s="117"/>
      <c r="B90"/>
      <c r="C90" s="124"/>
      <c r="D90" s="130"/>
      <c r="E90" s="131"/>
      <c r="F90" s="131"/>
      <c r="G90" s="131"/>
      <c r="H90" s="131"/>
      <c r="I90" s="131"/>
      <c r="J90" s="131"/>
      <c r="K90" s="131"/>
      <c r="L90" s="131"/>
      <c r="M90" s="131"/>
      <c r="N90" s="131"/>
      <c r="O90" s="131"/>
      <c r="P90" s="131"/>
      <c r="Q90" s="131"/>
      <c r="R90" s="131"/>
      <c r="S90" s="132"/>
      <c r="T90" s="125"/>
      <c r="U90" s="10"/>
    </row>
    <row r="91" spans="1:22" s="126" customFormat="1" ht="14.7" thickBot="1" x14ac:dyDescent="0.6">
      <c r="A91" s="117"/>
      <c r="B91"/>
      <c r="C91" s="124"/>
      <c r="D91"/>
      <c r="E91"/>
      <c r="F91"/>
      <c r="G91"/>
      <c r="H91"/>
      <c r="I91"/>
      <c r="J91"/>
      <c r="K91"/>
      <c r="L91"/>
      <c r="M91"/>
      <c r="N91"/>
      <c r="O91"/>
      <c r="P91"/>
      <c r="Q91"/>
      <c r="R91"/>
      <c r="S91"/>
      <c r="T91" s="125"/>
      <c r="U91" s="10"/>
    </row>
    <row r="92" spans="1:22" s="126" customFormat="1" x14ac:dyDescent="0.55000000000000004">
      <c r="A92" s="117"/>
      <c r="B92"/>
      <c r="C92" s="124"/>
      <c r="D92" s="121"/>
      <c r="E92" s="122"/>
      <c r="F92" s="122"/>
      <c r="G92" s="122"/>
      <c r="H92" s="122"/>
      <c r="I92" s="122"/>
      <c r="J92" s="122"/>
      <c r="K92" s="122"/>
      <c r="L92" s="122"/>
      <c r="M92" s="122"/>
      <c r="N92" s="122"/>
      <c r="O92" s="122"/>
      <c r="P92" s="122"/>
      <c r="Q92" s="122"/>
      <c r="R92" s="122"/>
      <c r="S92" s="123"/>
      <c r="T92" s="125"/>
      <c r="U92" s="10"/>
    </row>
    <row r="93" spans="1:22" s="126" customFormat="1" x14ac:dyDescent="0.55000000000000004">
      <c r="A93" s="117"/>
      <c r="B93"/>
      <c r="C93" s="124"/>
      <c r="D93" s="124"/>
      <c r="E93"/>
      <c r="F93" s="1" t="s">
        <v>96</v>
      </c>
      <c r="G93"/>
      <c r="H93"/>
      <c r="I93"/>
      <c r="J93"/>
      <c r="K93"/>
      <c r="L93"/>
      <c r="M93"/>
      <c r="N93"/>
      <c r="O93"/>
      <c r="P93"/>
      <c r="Q93"/>
      <c r="R93"/>
      <c r="S93" s="125"/>
      <c r="T93" s="125"/>
      <c r="U93" s="10"/>
    </row>
    <row r="94" spans="1:22" s="126" customFormat="1" ht="14.55" customHeight="1" x14ac:dyDescent="0.55000000000000004">
      <c r="A94" s="117"/>
      <c r="B94"/>
      <c r="C94" s="124"/>
      <c r="D94" s="124"/>
      <c r="E94"/>
      <c r="F94" s="1804" t="s">
        <v>560</v>
      </c>
      <c r="G94" s="1804"/>
      <c r="H94" s="1804"/>
      <c r="I94" s="1804"/>
      <c r="J94" s="1804"/>
      <c r="K94" s="1804"/>
      <c r="L94" s="1804"/>
      <c r="M94" s="1804"/>
      <c r="N94" s="1804"/>
      <c r="O94" s="1804"/>
      <c r="P94" s="1804"/>
      <c r="Q94" s="119"/>
      <c r="R94"/>
      <c r="S94" s="125"/>
      <c r="T94" s="125"/>
      <c r="U94" s="10"/>
    </row>
    <row r="95" spans="1:22" s="126" customFormat="1" x14ac:dyDescent="0.55000000000000004">
      <c r="A95" s="117"/>
      <c r="B95"/>
      <c r="C95" s="124"/>
      <c r="D95" s="124"/>
      <c r="E95"/>
      <c r="F95" s="119"/>
      <c r="G95" s="119"/>
      <c r="H95" s="119"/>
      <c r="I95" s="119"/>
      <c r="J95" s="119"/>
      <c r="K95" s="119"/>
      <c r="L95" s="119"/>
      <c r="M95" s="119"/>
      <c r="N95" s="119"/>
      <c r="O95" s="119"/>
      <c r="P95" s="119"/>
      <c r="Q95" s="119"/>
      <c r="R95"/>
      <c r="S95" s="125"/>
      <c r="T95" s="125"/>
      <c r="U95" s="10"/>
    </row>
    <row r="96" spans="1:22" s="126" customFormat="1" x14ac:dyDescent="0.55000000000000004">
      <c r="A96" s="117"/>
      <c r="B96"/>
      <c r="C96" s="124"/>
      <c r="D96" s="124"/>
      <c r="E96"/>
      <c r="F96" s="1" t="s">
        <v>348</v>
      </c>
      <c r="G96" s="80" t="s">
        <v>90</v>
      </c>
      <c r="H96" s="119"/>
      <c r="I96"/>
      <c r="J96" s="119"/>
      <c r="K96" s="119"/>
      <c r="L96" s="119"/>
      <c r="M96" s="119"/>
      <c r="N96" s="119"/>
      <c r="O96" s="119"/>
      <c r="P96" s="119"/>
      <c r="Q96" s="119"/>
      <c r="R96"/>
      <c r="S96" s="125"/>
      <c r="T96" s="125"/>
      <c r="U96" s="10"/>
      <c r="V96" s="126" t="s">
        <v>89</v>
      </c>
    </row>
    <row r="97" spans="1:24" s="126" customFormat="1" ht="14.7" thickBot="1" x14ac:dyDescent="0.6">
      <c r="A97" s="117"/>
      <c r="B97"/>
      <c r="C97" s="124"/>
      <c r="D97" s="124"/>
      <c r="E97"/>
      <c r="F97"/>
      <c r="G97" s="134"/>
      <c r="H97" s="119"/>
      <c r="I97" s="119"/>
      <c r="J97" s="119"/>
      <c r="K97" s="119"/>
      <c r="L97" s="119"/>
      <c r="M97" s="119"/>
      <c r="N97" s="119"/>
      <c r="O97" s="119"/>
      <c r="P97" s="119"/>
      <c r="Q97" s="119"/>
      <c r="R97"/>
      <c r="S97" s="125"/>
      <c r="T97" s="125"/>
      <c r="U97" s="10"/>
      <c r="V97" s="126" t="s">
        <v>90</v>
      </c>
    </row>
    <row r="98" spans="1:24" s="126" customFormat="1" x14ac:dyDescent="0.55000000000000004">
      <c r="A98" s="117"/>
      <c r="B98"/>
      <c r="C98" s="124"/>
      <c r="D98" s="124"/>
      <c r="E98" s="121"/>
      <c r="F98" s="122"/>
      <c r="G98" s="122"/>
      <c r="H98" s="122"/>
      <c r="I98" s="122"/>
      <c r="J98" s="122"/>
      <c r="K98" s="122"/>
      <c r="L98" s="122"/>
      <c r="M98" s="122"/>
      <c r="N98" s="122"/>
      <c r="O98" s="122"/>
      <c r="P98" s="122"/>
      <c r="Q98" s="122"/>
      <c r="R98" s="123"/>
      <c r="S98" s="125"/>
      <c r="T98" s="125"/>
      <c r="U98" s="10"/>
    </row>
    <row r="99" spans="1:24" s="126" customFormat="1" x14ac:dyDescent="0.55000000000000004">
      <c r="A99" s="117"/>
      <c r="B99"/>
      <c r="C99" s="124"/>
      <c r="D99" s="124"/>
      <c r="E99" s="124"/>
      <c r="F99" s="1" t="s">
        <v>343</v>
      </c>
      <c r="G99" s="163"/>
      <c r="H99"/>
      <c r="I99"/>
      <c r="J99"/>
      <c r="K99"/>
      <c r="L99"/>
      <c r="M99"/>
      <c r="N99"/>
      <c r="O99"/>
      <c r="P99"/>
      <c r="Q99"/>
      <c r="R99" s="125"/>
      <c r="S99" s="125"/>
      <c r="T99" s="125"/>
      <c r="U99" s="10"/>
    </row>
    <row r="100" spans="1:24" s="126" customFormat="1" ht="14.55" customHeight="1" x14ac:dyDescent="0.55000000000000004">
      <c r="A100" s="117"/>
      <c r="B100"/>
      <c r="C100" s="124"/>
      <c r="D100" s="124"/>
      <c r="E100" s="124"/>
      <c r="F100" s="1804" t="s">
        <v>561</v>
      </c>
      <c r="G100" s="1804"/>
      <c r="H100" s="1804"/>
      <c r="I100" s="1804"/>
      <c r="J100" s="1804"/>
      <c r="K100" s="1804"/>
      <c r="L100" s="1804"/>
      <c r="M100" s="1804"/>
      <c r="N100" s="1804"/>
      <c r="O100" s="1804"/>
      <c r="P100" s="1804"/>
      <c r="Q100" s="1804"/>
      <c r="R100" s="125"/>
      <c r="S100" s="125"/>
      <c r="T100" s="125"/>
      <c r="U100" s="10"/>
    </row>
    <row r="101" spans="1:24" s="126" customFormat="1" x14ac:dyDescent="0.55000000000000004">
      <c r="A101" s="117"/>
      <c r="B101"/>
      <c r="C101" s="124"/>
      <c r="D101" s="124"/>
      <c r="E101" s="124"/>
      <c r="F101" s="1804"/>
      <c r="G101" s="1804"/>
      <c r="H101" s="1804"/>
      <c r="I101" s="1804"/>
      <c r="J101" s="1804"/>
      <c r="K101" s="1804"/>
      <c r="L101" s="1804"/>
      <c r="M101" s="1804"/>
      <c r="N101" s="1804"/>
      <c r="O101" s="1804"/>
      <c r="P101" s="1804"/>
      <c r="Q101" s="1804"/>
      <c r="R101" s="125"/>
      <c r="S101" s="125"/>
      <c r="T101" s="125"/>
      <c r="U101" s="10"/>
    </row>
    <row r="102" spans="1:24" s="126" customFormat="1" x14ac:dyDescent="0.55000000000000004">
      <c r="A102" s="117"/>
      <c r="B102"/>
      <c r="C102" s="124"/>
      <c r="D102" s="124"/>
      <c r="E102" s="124"/>
      <c r="F102" s="1"/>
      <c r="G102" s="163"/>
      <c r="H102"/>
      <c r="I102"/>
      <c r="J102"/>
      <c r="K102"/>
      <c r="L102"/>
      <c r="M102"/>
      <c r="N102"/>
      <c r="O102"/>
      <c r="P102"/>
      <c r="Q102"/>
      <c r="R102" s="125"/>
      <c r="S102" s="125"/>
      <c r="T102" s="125"/>
      <c r="U102" s="10"/>
    </row>
    <row r="103" spans="1:24" s="126" customFormat="1" x14ac:dyDescent="0.55000000000000004">
      <c r="A103" s="117"/>
      <c r="B103"/>
      <c r="C103" s="124"/>
      <c r="D103" s="124"/>
      <c r="E103" s="124"/>
      <c r="F103" s="164" t="s">
        <v>88</v>
      </c>
      <c r="G103" s="10"/>
      <c r="H103"/>
      <c r="I103" s="50">
        <v>1</v>
      </c>
      <c r="J103"/>
      <c r="K103"/>
      <c r="L103"/>
      <c r="M103"/>
      <c r="N103"/>
      <c r="O103"/>
      <c r="P103"/>
      <c r="Q103"/>
      <c r="R103" s="125"/>
      <c r="S103" s="125"/>
      <c r="T103" s="125"/>
      <c r="U103" s="10"/>
    </row>
    <row r="104" spans="1:24" s="126" customFormat="1" x14ac:dyDescent="0.55000000000000004">
      <c r="A104" s="117"/>
      <c r="B104"/>
      <c r="C104" s="124"/>
      <c r="D104" s="124"/>
      <c r="E104" s="124"/>
      <c r="F104" s="10" t="s">
        <v>612</v>
      </c>
      <c r="H104"/>
      <c r="I104" s="159" t="s">
        <v>578</v>
      </c>
      <c r="J104"/>
      <c r="K104"/>
      <c r="L104"/>
      <c r="M104"/>
      <c r="N104"/>
      <c r="O104"/>
      <c r="P104"/>
      <c r="Q104"/>
      <c r="R104" s="125"/>
      <c r="S104" s="125"/>
      <c r="T104" s="125"/>
      <c r="U104" s="10"/>
    </row>
    <row r="105" spans="1:24" s="126" customFormat="1" x14ac:dyDescent="0.55000000000000004">
      <c r="A105" s="117"/>
      <c r="B105"/>
      <c r="C105" s="124"/>
      <c r="D105" s="124"/>
      <c r="E105" s="124"/>
      <c r="F105"/>
      <c r="G105"/>
      <c r="H105"/>
      <c r="I105"/>
      <c r="J105"/>
      <c r="K105"/>
      <c r="L105"/>
      <c r="M105"/>
      <c r="N105"/>
      <c r="O105"/>
      <c r="P105"/>
      <c r="Q105"/>
      <c r="R105" s="125"/>
      <c r="S105" s="125"/>
      <c r="T105" s="125"/>
      <c r="U105" s="10"/>
    </row>
    <row r="106" spans="1:24" s="126" customFormat="1" ht="58.2" customHeight="1" x14ac:dyDescent="0.55000000000000004">
      <c r="A106" s="117"/>
      <c r="B106"/>
      <c r="C106" s="124"/>
      <c r="D106" s="124"/>
      <c r="E106" s="124"/>
      <c r="F106" s="56" t="s">
        <v>91</v>
      </c>
      <c r="G106" s="56" t="s">
        <v>92</v>
      </c>
      <c r="H106" s="129" t="s">
        <v>80</v>
      </c>
      <c r="I106" s="56" t="s">
        <v>340</v>
      </c>
      <c r="J106" s="56" t="s">
        <v>356</v>
      </c>
      <c r="K106" s="165" t="s">
        <v>349</v>
      </c>
      <c r="L106" s="166" t="s">
        <v>350</v>
      </c>
      <c r="M106" s="162"/>
      <c r="N106" s="162"/>
      <c r="O106" s="162"/>
      <c r="P106" s="162"/>
      <c r="Q106" s="162"/>
      <c r="R106" s="167"/>
      <c r="S106" s="167"/>
      <c r="T106" s="167"/>
      <c r="U106" s="10"/>
      <c r="V106" s="168" t="s">
        <v>621</v>
      </c>
      <c r="W106" s="168" t="s">
        <v>622</v>
      </c>
    </row>
    <row r="107" spans="1:24" s="126" customFormat="1" x14ac:dyDescent="0.55000000000000004">
      <c r="A107" s="117"/>
      <c r="B107"/>
      <c r="C107" s="124"/>
      <c r="D107" s="124"/>
      <c r="E107" s="124"/>
      <c r="F107" s="89">
        <f>IF($I$103=X107,X107,1)</f>
        <v>1</v>
      </c>
      <c r="G107" s="91">
        <v>0</v>
      </c>
      <c r="H107" s="50"/>
      <c r="I107" s="169"/>
      <c r="J107" s="21">
        <f>IF(G96=V96,H80-SUMIF(F108:F111,"&lt;="&amp;$I$103,J108:J111),0)</f>
        <v>0</v>
      </c>
      <c r="K107" s="114">
        <f>IFERROR(IF(G96=V96,IF(F107&lt;=I103,IF(I104="No",IF(J88=0,L80/SUMPRODUCT(V107:V111,J107:J111),(L80-J88)/SUMPRODUCT(V107:V111,J107:J111)),0),0),0),0)</f>
        <v>0</v>
      </c>
      <c r="L107" s="31">
        <f>J107*K107</f>
        <v>0</v>
      </c>
      <c r="M107" s="170"/>
      <c r="N107" s="135"/>
      <c r="O107" s="171"/>
      <c r="P107"/>
      <c r="Q107"/>
      <c r="R107" s="125"/>
      <c r="S107" s="125"/>
      <c r="T107" s="125"/>
      <c r="U107" s="10"/>
      <c r="V107" s="96">
        <f>IF(F107&lt;=$I$103,1,0)</f>
        <v>1</v>
      </c>
      <c r="X107" s="126">
        <v>1</v>
      </c>
    </row>
    <row r="108" spans="1:24" s="126" customFormat="1" x14ac:dyDescent="0.55000000000000004">
      <c r="A108" s="117"/>
      <c r="B108"/>
      <c r="C108" s="124"/>
      <c r="D108" s="124"/>
      <c r="E108" s="124"/>
      <c r="F108" s="89" t="str">
        <f>IF($I$103&gt;=X108,X108,"")</f>
        <v/>
      </c>
      <c r="G108" s="91" t="str">
        <f>IF($I$103&gt;=F108,H107+0.01,"")</f>
        <v/>
      </c>
      <c r="H108" s="50"/>
      <c r="I108" s="61"/>
      <c r="J108" s="13"/>
      <c r="K108" s="114">
        <f>IFERROR(IF(F108&lt;=I103,IF(I104="No",K107*(1+I108),IF(J88=0,L80/SUMPRODUCT(W108:W111,J108:J111),(L80-J88)/SUMPRODUCT(W108:W111,J108:J111))),0),0)</f>
        <v>0</v>
      </c>
      <c r="L108" s="31">
        <f>J108*K108</f>
        <v>0</v>
      </c>
      <c r="M108" s="170"/>
      <c r="N108" s="135"/>
      <c r="O108" s="171"/>
      <c r="P108"/>
      <c r="Q108"/>
      <c r="R108" s="125"/>
      <c r="S108" s="125"/>
      <c r="T108" s="125"/>
      <c r="U108" s="10"/>
      <c r="V108" s="96">
        <f>IF(F108&lt;=$I$103,(1+I108),0)</f>
        <v>0</v>
      </c>
      <c r="W108" s="92">
        <f>IF(F108&lt;=I103,1,0)</f>
        <v>0</v>
      </c>
      <c r="X108" s="126">
        <v>2</v>
      </c>
    </row>
    <row r="109" spans="1:24" s="126" customFormat="1" x14ac:dyDescent="0.55000000000000004">
      <c r="A109" s="117"/>
      <c r="B109"/>
      <c r="C109" s="124"/>
      <c r="D109" s="124"/>
      <c r="E109" s="124"/>
      <c r="F109" s="89" t="str">
        <f>IF($I$103&gt;=X109,X109,"")</f>
        <v/>
      </c>
      <c r="G109" s="91" t="str">
        <f>IF($I$103&gt;=F109,H108+0.01,"")</f>
        <v/>
      </c>
      <c r="H109" s="50"/>
      <c r="I109" s="61"/>
      <c r="J109" s="13"/>
      <c r="K109" s="95">
        <f>IF(F109&lt;=$I$103,K108*(1+I109),0)</f>
        <v>0</v>
      </c>
      <c r="L109" s="31">
        <f>J109*K109</f>
        <v>0</v>
      </c>
      <c r="M109" s="170"/>
      <c r="N109" s="135"/>
      <c r="O109" s="171"/>
      <c r="P109"/>
      <c r="Q109"/>
      <c r="R109" s="125"/>
      <c r="S109" s="125"/>
      <c r="T109" s="125"/>
      <c r="U109" s="10"/>
      <c r="V109" s="96">
        <f>IF(F109&lt;=$I$103,V108*(1+I109),0)</f>
        <v>0</v>
      </c>
      <c r="W109" s="92">
        <f>IF(F109&lt;=I103,W108*(1+I109),0)</f>
        <v>0</v>
      </c>
      <c r="X109" s="126">
        <v>3</v>
      </c>
    </row>
    <row r="110" spans="1:24" s="126" customFormat="1" x14ac:dyDescent="0.55000000000000004">
      <c r="A110" s="117"/>
      <c r="B110"/>
      <c r="C110" s="124"/>
      <c r="D110" s="124"/>
      <c r="E110" s="124"/>
      <c r="F110" s="89" t="str">
        <f>IF($I$103&gt;=X110,X110,"")</f>
        <v/>
      </c>
      <c r="G110" s="91" t="str">
        <f>IF($I$103&gt;=F110,H109+0.01,"")</f>
        <v/>
      </c>
      <c r="H110" s="50"/>
      <c r="I110" s="61"/>
      <c r="J110" s="13"/>
      <c r="K110" s="95">
        <f>IF(F110&lt;=$I$103,K109*(1+I110),0)</f>
        <v>0</v>
      </c>
      <c r="L110" s="31">
        <f>J110*K110</f>
        <v>0</v>
      </c>
      <c r="M110" s="170"/>
      <c r="N110" s="135"/>
      <c r="O110" s="171"/>
      <c r="P110"/>
      <c r="Q110"/>
      <c r="R110" s="125"/>
      <c r="S110" s="125"/>
      <c r="T110" s="125"/>
      <c r="U110" s="10"/>
      <c r="V110" s="96">
        <f>IF(F110&lt;=$I$103,V109*(1+I110),0)</f>
        <v>0</v>
      </c>
      <c r="W110" s="92">
        <f>IF(F110&lt;=I103,W109*(1+I110),0)</f>
        <v>0</v>
      </c>
      <c r="X110" s="126">
        <v>4</v>
      </c>
    </row>
    <row r="111" spans="1:24" s="126" customFormat="1" x14ac:dyDescent="0.55000000000000004">
      <c r="A111" s="117"/>
      <c r="B111"/>
      <c r="C111" s="124"/>
      <c r="D111" s="124"/>
      <c r="E111" s="124"/>
      <c r="F111" s="89" t="str">
        <f>IF($I$103&gt;=X111,X111,"")</f>
        <v/>
      </c>
      <c r="G111" s="91" t="str">
        <f>IF($I$103&gt;=F111,H110+0.01,"")</f>
        <v/>
      </c>
      <c r="H111" s="89" t="s">
        <v>84</v>
      </c>
      <c r="I111" s="61"/>
      <c r="J111" s="13"/>
      <c r="K111" s="95">
        <f>IF(F111&lt;=$I$103,K110*(1+I111),0)</f>
        <v>0</v>
      </c>
      <c r="L111" s="31">
        <f>J111*K111</f>
        <v>0</v>
      </c>
      <c r="M111" s="170"/>
      <c r="N111" s="135"/>
      <c r="O111" s="171"/>
      <c r="P111"/>
      <c r="Q111"/>
      <c r="R111" s="125"/>
      <c r="S111" s="125"/>
      <c r="T111" s="125"/>
      <c r="U111" s="10"/>
      <c r="V111" s="96">
        <f>IF(F111&lt;=$I$103,V110*(1+I111),0)</f>
        <v>0</v>
      </c>
      <c r="W111" s="92">
        <f>IF(F111&lt;=I103,W110*(1+I111),0)</f>
        <v>0</v>
      </c>
      <c r="X111" s="126">
        <v>5</v>
      </c>
    </row>
    <row r="112" spans="1:24" s="126" customFormat="1" ht="14.7" thickBot="1" x14ac:dyDescent="0.6">
      <c r="A112" s="117"/>
      <c r="B112"/>
      <c r="C112" s="124"/>
      <c r="D112" s="124"/>
      <c r="E112" s="130"/>
      <c r="F112" s="149"/>
      <c r="G112" s="150"/>
      <c r="H112" s="149"/>
      <c r="I112" s="172"/>
      <c r="J112" s="173"/>
      <c r="K112" s="173"/>
      <c r="L112" s="173"/>
      <c r="M112" s="174"/>
      <c r="N112" s="152"/>
      <c r="O112" s="175"/>
      <c r="P112" s="131"/>
      <c r="Q112" s="131"/>
      <c r="R112" s="132"/>
      <c r="S112" s="125"/>
      <c r="T112" s="125"/>
      <c r="U112" s="10"/>
    </row>
    <row r="113" spans="1:26" s="126" customFormat="1" ht="14.7" thickBot="1" x14ac:dyDescent="0.6">
      <c r="A113" s="117"/>
      <c r="B113"/>
      <c r="C113" s="124"/>
      <c r="D113" s="124"/>
      <c r="E113"/>
      <c r="F113" s="163"/>
      <c r="G113" s="176"/>
      <c r="H113" s="163"/>
      <c r="I113" s="177"/>
      <c r="J113" s="178"/>
      <c r="K113" s="178"/>
      <c r="L113" s="178"/>
      <c r="M113" s="170"/>
      <c r="N113" s="135"/>
      <c r="O113" s="171"/>
      <c r="P113"/>
      <c r="Q113"/>
      <c r="R113"/>
      <c r="S113" s="125"/>
      <c r="T113" s="125"/>
      <c r="U113" s="10"/>
    </row>
    <row r="114" spans="1:26" s="126" customFormat="1" x14ac:dyDescent="0.55000000000000004">
      <c r="A114" s="117"/>
      <c r="B114"/>
      <c r="C114" s="124"/>
      <c r="D114" s="124"/>
      <c r="E114" s="121"/>
      <c r="F114" s="179"/>
      <c r="G114" s="180"/>
      <c r="H114" s="179"/>
      <c r="I114" s="181"/>
      <c r="J114" s="182"/>
      <c r="K114" s="182"/>
      <c r="L114" s="182"/>
      <c r="M114" s="183"/>
      <c r="N114" s="184"/>
      <c r="O114" s="185"/>
      <c r="P114" s="122"/>
      <c r="Q114" s="122"/>
      <c r="R114" s="123"/>
      <c r="S114" s="125"/>
      <c r="T114" s="125"/>
      <c r="U114" s="10"/>
    </row>
    <row r="115" spans="1:26" s="126" customFormat="1" x14ac:dyDescent="0.55000000000000004">
      <c r="A115" s="117"/>
      <c r="B115"/>
      <c r="C115" s="124"/>
      <c r="D115" s="124"/>
      <c r="E115" s="124"/>
      <c r="F115" s="186" t="s">
        <v>344</v>
      </c>
      <c r="G115" s="176"/>
      <c r="H115" s="163"/>
      <c r="I115" s="177"/>
      <c r="J115" s="178"/>
      <c r="K115" s="178"/>
      <c r="L115" s="178"/>
      <c r="M115" s="170"/>
      <c r="N115" s="135"/>
      <c r="O115" s="187"/>
      <c r="P115"/>
      <c r="Q115"/>
      <c r="R115" s="125"/>
      <c r="S115" s="125"/>
      <c r="T115" s="125"/>
      <c r="U115" s="10"/>
    </row>
    <row r="116" spans="1:26" s="126" customFormat="1" ht="14.55" customHeight="1" x14ac:dyDescent="0.55000000000000004">
      <c r="A116" s="117"/>
      <c r="B116"/>
      <c r="C116" s="124"/>
      <c r="D116" s="124"/>
      <c r="E116" s="124"/>
      <c r="F116" s="1804" t="s">
        <v>562</v>
      </c>
      <c r="G116" s="1804"/>
      <c r="H116" s="1804"/>
      <c r="I116" s="1804"/>
      <c r="J116" s="1804"/>
      <c r="K116" s="1804"/>
      <c r="L116" s="1804"/>
      <c r="M116" s="1804"/>
      <c r="N116" s="1804"/>
      <c r="O116" s="1804"/>
      <c r="P116" s="1804"/>
      <c r="Q116" s="1804"/>
      <c r="R116" s="125"/>
      <c r="S116" s="125"/>
      <c r="T116" s="125"/>
      <c r="U116" s="10"/>
    </row>
    <row r="117" spans="1:26" s="126" customFormat="1" x14ac:dyDescent="0.55000000000000004">
      <c r="A117" s="117"/>
      <c r="B117"/>
      <c r="C117" s="124"/>
      <c r="D117" s="124"/>
      <c r="E117" s="124"/>
      <c r="F117" s="1804"/>
      <c r="G117" s="1804"/>
      <c r="H117" s="1804"/>
      <c r="I117" s="1804"/>
      <c r="J117" s="1804"/>
      <c r="K117" s="1804"/>
      <c r="L117" s="1804"/>
      <c r="M117" s="1804"/>
      <c r="N117" s="1804"/>
      <c r="O117" s="1804"/>
      <c r="P117" s="1804"/>
      <c r="Q117" s="1804"/>
      <c r="R117" s="125"/>
      <c r="S117" s="125"/>
      <c r="T117" s="125"/>
      <c r="U117" s="10"/>
    </row>
    <row r="118" spans="1:26" s="126" customFormat="1" x14ac:dyDescent="0.55000000000000004">
      <c r="A118" s="117"/>
      <c r="B118"/>
      <c r="C118" s="124"/>
      <c r="D118" s="124"/>
      <c r="E118" s="124"/>
      <c r="F118" s="186"/>
      <c r="G118" s="176"/>
      <c r="H118" s="163"/>
      <c r="I118" s="177"/>
      <c r="J118" s="178"/>
      <c r="K118" s="178"/>
      <c r="L118" s="178"/>
      <c r="M118" s="170"/>
      <c r="N118" s="135"/>
      <c r="O118" s="187"/>
      <c r="P118"/>
      <c r="Q118"/>
      <c r="R118" s="125"/>
      <c r="S118" s="125"/>
      <c r="T118" s="125"/>
      <c r="U118" s="10"/>
    </row>
    <row r="119" spans="1:26" s="126" customFormat="1" x14ac:dyDescent="0.55000000000000004">
      <c r="A119" s="117"/>
      <c r="B119"/>
      <c r="C119" s="124"/>
      <c r="D119" s="124"/>
      <c r="E119" s="124"/>
      <c r="F119" s="164" t="s">
        <v>88</v>
      </c>
      <c r="G119"/>
      <c r="H119" s="163"/>
      <c r="I119" s="50">
        <v>1</v>
      </c>
      <c r="J119" s="178"/>
      <c r="K119" s="178"/>
      <c r="L119" s="178"/>
      <c r="M119" s="170"/>
      <c r="N119" s="135"/>
      <c r="O119" s="187"/>
      <c r="P119"/>
      <c r="Q119"/>
      <c r="R119" s="125"/>
      <c r="S119" s="125"/>
      <c r="T119" s="125"/>
      <c r="U119" s="10"/>
    </row>
    <row r="120" spans="1:26" s="126" customFormat="1" x14ac:dyDescent="0.55000000000000004">
      <c r="A120" s="117"/>
      <c r="B120"/>
      <c r="C120" s="124"/>
      <c r="D120" s="124"/>
      <c r="E120" s="124"/>
      <c r="F120" t="s">
        <v>346</v>
      </c>
      <c r="G120"/>
      <c r="H120" s="163"/>
      <c r="I120" s="13">
        <v>1012064</v>
      </c>
      <c r="J120" s="178"/>
      <c r="K120" s="178"/>
      <c r="L120" s="178"/>
      <c r="M120" s="170"/>
      <c r="N120" s="135"/>
      <c r="O120" s="187"/>
      <c r="P120"/>
      <c r="Q120"/>
      <c r="R120" s="125"/>
      <c r="S120" s="125"/>
      <c r="T120" s="125"/>
      <c r="U120" s="10"/>
    </row>
    <row r="121" spans="1:26" s="126" customFormat="1" x14ac:dyDescent="0.55000000000000004">
      <c r="A121" s="117"/>
      <c r="B121"/>
      <c r="C121" s="124"/>
      <c r="D121" s="124"/>
      <c r="E121" s="124"/>
      <c r="F121" t="s">
        <v>347</v>
      </c>
      <c r="G121"/>
      <c r="H121" s="163"/>
      <c r="I121" s="13">
        <v>2563715</v>
      </c>
      <c r="J121" s="178"/>
      <c r="K121" s="178"/>
      <c r="L121" s="178"/>
      <c r="M121" s="170"/>
      <c r="N121" s="135"/>
      <c r="O121" s="187"/>
      <c r="P121"/>
      <c r="Q121"/>
      <c r="R121" s="125"/>
      <c r="S121" s="125"/>
      <c r="T121" s="125"/>
      <c r="U121" s="10"/>
    </row>
    <row r="122" spans="1:26" s="126" customFormat="1" x14ac:dyDescent="0.55000000000000004">
      <c r="A122" s="117"/>
      <c r="B122"/>
      <c r="C122" s="124"/>
      <c r="D122" s="124"/>
      <c r="E122" s="124"/>
      <c r="F122" t="s">
        <v>366</v>
      </c>
      <c r="G122"/>
      <c r="H122"/>
      <c r="I122" s="93">
        <v>1.265972741388234</v>
      </c>
      <c r="J122"/>
      <c r="K122" s="178"/>
      <c r="L122" s="178"/>
      <c r="M122" s="170"/>
      <c r="N122" s="135"/>
      <c r="O122" s="187"/>
      <c r="P122"/>
      <c r="Q122"/>
      <c r="R122" s="125"/>
      <c r="S122" s="125"/>
      <c r="T122" s="125"/>
      <c r="U122" s="10"/>
    </row>
    <row r="123" spans="1:26" s="126" customFormat="1" x14ac:dyDescent="0.55000000000000004">
      <c r="A123" s="117"/>
      <c r="B123"/>
      <c r="C123" s="124"/>
      <c r="D123" s="124"/>
      <c r="E123" s="124"/>
      <c r="F123" s="10" t="s">
        <v>612</v>
      </c>
      <c r="G123" s="10"/>
      <c r="H123" s="10"/>
      <c r="I123" s="159" t="s">
        <v>578</v>
      </c>
      <c r="J123"/>
      <c r="K123" s="178"/>
      <c r="L123" s="178"/>
      <c r="M123" s="170"/>
      <c r="N123" s="135"/>
      <c r="O123" s="187"/>
      <c r="P123"/>
      <c r="Q123"/>
      <c r="R123" s="125"/>
      <c r="S123" s="125"/>
      <c r="T123" s="125"/>
      <c r="U123" s="10"/>
    </row>
    <row r="124" spans="1:26" s="126" customFormat="1" x14ac:dyDescent="0.55000000000000004">
      <c r="A124" s="117"/>
      <c r="B124"/>
      <c r="C124" s="124"/>
      <c r="D124" s="124"/>
      <c r="E124" s="124"/>
      <c r="F124"/>
      <c r="G124"/>
      <c r="H124"/>
      <c r="I124" s="188"/>
      <c r="J124"/>
      <c r="K124" s="178"/>
      <c r="L124" s="178"/>
      <c r="M124" s="170"/>
      <c r="N124" s="135"/>
      <c r="O124" s="187"/>
      <c r="P124"/>
      <c r="Q124"/>
      <c r="R124" s="125"/>
      <c r="S124" s="125"/>
      <c r="T124" s="125"/>
      <c r="U124" s="10"/>
    </row>
    <row r="125" spans="1:26" s="126" customFormat="1" ht="57.6" x14ac:dyDescent="0.55000000000000004">
      <c r="A125" s="117"/>
      <c r="B125"/>
      <c r="C125" s="124"/>
      <c r="D125" s="124"/>
      <c r="E125" s="124"/>
      <c r="F125" s="56" t="s">
        <v>91</v>
      </c>
      <c r="G125" s="56" t="s">
        <v>92</v>
      </c>
      <c r="H125" s="129" t="s">
        <v>80</v>
      </c>
      <c r="I125" s="56" t="s">
        <v>367</v>
      </c>
      <c r="J125" s="56" t="s">
        <v>368</v>
      </c>
      <c r="K125" s="56" t="s">
        <v>341</v>
      </c>
      <c r="L125" s="56" t="s">
        <v>342</v>
      </c>
      <c r="M125" s="166" t="s">
        <v>351</v>
      </c>
      <c r="N125" s="56" t="s">
        <v>352</v>
      </c>
      <c r="O125" s="56" t="s">
        <v>353</v>
      </c>
      <c r="P125" s="56" t="s">
        <v>354</v>
      </c>
      <c r="Q125" s="56" t="s">
        <v>355</v>
      </c>
      <c r="R125" s="125"/>
      <c r="S125" s="125"/>
      <c r="T125" s="125"/>
      <c r="U125" s="10"/>
      <c r="V125" s="189" t="s">
        <v>616</v>
      </c>
      <c r="W125" s="168" t="s">
        <v>617</v>
      </c>
      <c r="X125" s="189" t="s">
        <v>618</v>
      </c>
      <c r="Y125" s="168" t="s">
        <v>619</v>
      </c>
    </row>
    <row r="126" spans="1:26" s="126" customFormat="1" x14ac:dyDescent="0.55000000000000004">
      <c r="A126" s="117"/>
      <c r="B126"/>
      <c r="C126" s="124"/>
      <c r="D126" s="124"/>
      <c r="E126" s="124"/>
      <c r="F126" s="89">
        <f>IF($I$119=Z126,Z126,1)</f>
        <v>1</v>
      </c>
      <c r="G126" s="91">
        <v>0</v>
      </c>
      <c r="H126" s="50"/>
      <c r="I126" s="169"/>
      <c r="J126" s="63"/>
      <c r="K126" s="21">
        <f>I120-SUMIF(F127:F130,"&lt;="&amp;$I$119,K127:K130)</f>
        <v>1012064</v>
      </c>
      <c r="L126" s="31">
        <f>I121-SUMIF(F127:F130,"&lt;="&amp;$I$119,L127:L130)</f>
        <v>2563715</v>
      </c>
      <c r="M126" s="44">
        <f ca="1">IFERROR(IF(G96=V96,0,IF(F126&lt;=I119,IF(I123="No",(L80-J88)/(SUMPRODUCT(V126:V130,K126:K130)+SUMPRODUCT(W126:W130,L126:L130)),0)*I122,0)),0)</f>
        <v>3.1918000814117646</v>
      </c>
      <c r="N126" s="44">
        <f ca="1">IFERROR(IF(G96=V96,0,IF(F126&lt;=I119,IF(I123="No",(L80-J88)/(SUMPRODUCT(V126:V130,K126:K130)+SUMPRODUCT(W126:W130,L126:L130)),0),0)),0)</f>
        <v>2.5212233858303432</v>
      </c>
      <c r="O126" s="97">
        <f ca="1">IFERROR(M126/N126,"")</f>
        <v>1.265972741388234</v>
      </c>
      <c r="P126" s="26">
        <f t="shared" ref="P126:Q130" ca="1" si="1">K126*M126</f>
        <v>3230305.957593916</v>
      </c>
      <c r="Q126" s="26">
        <f t="shared" ca="1" si="1"/>
        <v>6463698.2126040384</v>
      </c>
      <c r="R126" s="125"/>
      <c r="S126" s="125"/>
      <c r="T126" s="125"/>
      <c r="U126" s="10"/>
      <c r="V126" s="92">
        <f>IF(F126&lt;=$I$119,1*$I$122,0)</f>
        <v>1.265972741388234</v>
      </c>
      <c r="W126" s="96">
        <f>IF(F126&lt;=$I$119,1,0)</f>
        <v>1</v>
      </c>
      <c r="X126" s="92"/>
      <c r="Y126" s="96"/>
      <c r="Z126" s="126">
        <v>1</v>
      </c>
    </row>
    <row r="127" spans="1:26" s="126" customFormat="1" x14ac:dyDescent="0.55000000000000004">
      <c r="A127" s="117"/>
      <c r="B127"/>
      <c r="C127" s="124"/>
      <c r="D127" s="124"/>
      <c r="E127" s="124"/>
      <c r="F127" s="89" t="str">
        <f>IF($I$119&gt;=Z127,Z127,"")</f>
        <v/>
      </c>
      <c r="G127" s="91" t="str">
        <f>IF($I$119&gt;=F127,H126+0.01,"")</f>
        <v/>
      </c>
      <c r="H127" s="50"/>
      <c r="I127" s="61"/>
      <c r="J127" s="61"/>
      <c r="K127" s="13"/>
      <c r="L127" s="13"/>
      <c r="M127" s="44">
        <f>IF(F127&lt;=I119,IF(I123="No",M126*(1+I127),N127*I122),0)</f>
        <v>0</v>
      </c>
      <c r="N127" s="44">
        <f>IF(F127&lt;=I119,IF(I123="No",N126*(1+J127),(L80-J88)/(I122*SUMPRODUCT(X127:X130,K127:K130)+SUMPRODUCT(Y127:Y130,L127:L130))),0)</f>
        <v>0</v>
      </c>
      <c r="O127" s="97" t="str">
        <f>IFERROR(M127/N127,"")</f>
        <v/>
      </c>
      <c r="P127" s="26">
        <f t="shared" si="1"/>
        <v>0</v>
      </c>
      <c r="Q127" s="26">
        <f t="shared" si="1"/>
        <v>0</v>
      </c>
      <c r="R127" s="125"/>
      <c r="S127" s="125"/>
      <c r="T127" s="125"/>
      <c r="U127" s="10"/>
      <c r="V127" s="92">
        <f>IF(F127&lt;=$I$119,V126*(1+I127),0)</f>
        <v>0</v>
      </c>
      <c r="W127" s="96">
        <f>IF(F127&lt;=$I$119,(1+J127),0)</f>
        <v>0</v>
      </c>
      <c r="X127" s="92">
        <v>1</v>
      </c>
      <c r="Y127" s="96">
        <f>IF(F127&lt;=I119,1,0)</f>
        <v>0</v>
      </c>
      <c r="Z127" s="126">
        <v>2</v>
      </c>
    </row>
    <row r="128" spans="1:26" s="126" customFormat="1" x14ac:dyDescent="0.55000000000000004">
      <c r="A128" s="117"/>
      <c r="B128"/>
      <c r="C128" s="124"/>
      <c r="D128" s="124"/>
      <c r="E128" s="124"/>
      <c r="F128" s="89" t="str">
        <f>IF($I$119&gt;=Z128,Z128,"")</f>
        <v/>
      </c>
      <c r="G128" s="91" t="str">
        <f>IF($I$119&gt;=F128,H127+0.01,"")</f>
        <v/>
      </c>
      <c r="H128" s="50"/>
      <c r="I128" s="61"/>
      <c r="J128" s="61"/>
      <c r="K128" s="13"/>
      <c r="L128" s="13"/>
      <c r="M128" s="36">
        <f>IF(F128&lt;=$I$119,M127*(1+I128),0)</f>
        <v>0</v>
      </c>
      <c r="N128" s="36">
        <f>IF(F128&lt;=$I$119,N127*(1+J128),0)</f>
        <v>0</v>
      </c>
      <c r="O128" s="97" t="str">
        <f>IFERROR(M128/N128,"")</f>
        <v/>
      </c>
      <c r="P128" s="26">
        <f t="shared" si="1"/>
        <v>0</v>
      </c>
      <c r="Q128" s="26">
        <f t="shared" si="1"/>
        <v>0</v>
      </c>
      <c r="R128" s="125"/>
      <c r="S128" s="125"/>
      <c r="T128" s="125"/>
      <c r="U128" s="10"/>
      <c r="V128" s="92">
        <f>IF(F128&lt;=$I$119,V127*(1+I128),0)</f>
        <v>0</v>
      </c>
      <c r="W128" s="96">
        <f>IF(F128&lt;=$I$119,W127*(1+J128),0)</f>
        <v>0</v>
      </c>
      <c r="X128" s="92">
        <f>IF(F128&lt;=I119,X127*(1+I128),0)</f>
        <v>0</v>
      </c>
      <c r="Y128" s="96">
        <f>IF(F128&lt;=I119,Y127*(1+J128),0)</f>
        <v>0</v>
      </c>
      <c r="Z128" s="126">
        <v>3</v>
      </c>
    </row>
    <row r="129" spans="1:26" s="126" customFormat="1" x14ac:dyDescent="0.55000000000000004">
      <c r="A129" s="117"/>
      <c r="B129"/>
      <c r="C129" s="124"/>
      <c r="D129" s="124"/>
      <c r="E129" s="124"/>
      <c r="F129" s="89" t="str">
        <f>IF($I$119&gt;=Z129,Z129,"")</f>
        <v/>
      </c>
      <c r="G129" s="91" t="str">
        <f>IF($I$119&gt;=F129,H128+0.01,"")</f>
        <v/>
      </c>
      <c r="H129" s="50"/>
      <c r="I129" s="61"/>
      <c r="J129" s="61"/>
      <c r="K129" s="13"/>
      <c r="L129" s="13"/>
      <c r="M129" s="36">
        <f>IF(F129&lt;=$I$119,M128*(1+I129),0)</f>
        <v>0</v>
      </c>
      <c r="N129" s="36">
        <f>IF(F129&lt;=$I$119,N128*(1+J129),0)</f>
        <v>0</v>
      </c>
      <c r="O129" s="97" t="str">
        <f>IFERROR(M129/N129,"")</f>
        <v/>
      </c>
      <c r="P129" s="26">
        <f t="shared" si="1"/>
        <v>0</v>
      </c>
      <c r="Q129" s="26">
        <f t="shared" si="1"/>
        <v>0</v>
      </c>
      <c r="R129" s="125"/>
      <c r="S129" s="125"/>
      <c r="T129" s="125"/>
      <c r="U129" s="10"/>
      <c r="V129" s="92">
        <f>IF(F129&lt;=$I$119,V128*(1+I129),0)</f>
        <v>0</v>
      </c>
      <c r="W129" s="96">
        <f>IF(F129&lt;=$I$119,W128*(1+J129),0)</f>
        <v>0</v>
      </c>
      <c r="X129" s="92">
        <f>IF(F129&lt;=I119,X128*(1+I129),0)</f>
        <v>0</v>
      </c>
      <c r="Y129" s="96">
        <f>IF(F129&lt;=I119,Y128*(1+J129),0)</f>
        <v>0</v>
      </c>
      <c r="Z129" s="126">
        <v>4</v>
      </c>
    </row>
    <row r="130" spans="1:26" s="126" customFormat="1" x14ac:dyDescent="0.55000000000000004">
      <c r="A130" s="117"/>
      <c r="B130"/>
      <c r="C130" s="124"/>
      <c r="D130" s="124"/>
      <c r="E130" s="124"/>
      <c r="F130" s="89" t="str">
        <f>IF($I$119&gt;=Z130,Z130,"")</f>
        <v/>
      </c>
      <c r="G130" s="91" t="str">
        <f>IF($I$119&gt;=F130,H129+0.01,"")</f>
        <v/>
      </c>
      <c r="H130" s="89" t="s">
        <v>84</v>
      </c>
      <c r="I130" s="61"/>
      <c r="J130" s="61"/>
      <c r="K130" s="13"/>
      <c r="L130" s="13"/>
      <c r="M130" s="36">
        <f>IF(F130&lt;=$I$119,M129*(1+I130),0)</f>
        <v>0</v>
      </c>
      <c r="N130" s="36">
        <f>IF(F130&lt;=$I$119,N129*(1+J130),0)</f>
        <v>0</v>
      </c>
      <c r="O130" s="97" t="str">
        <f>IFERROR(M130/N130,"")</f>
        <v/>
      </c>
      <c r="P130" s="26">
        <f t="shared" si="1"/>
        <v>0</v>
      </c>
      <c r="Q130" s="26">
        <f t="shared" si="1"/>
        <v>0</v>
      </c>
      <c r="R130" s="125"/>
      <c r="S130" s="125"/>
      <c r="T130" s="125"/>
      <c r="U130" s="10"/>
      <c r="V130" s="92">
        <f>IF(F130&lt;=$I$119,V129*(1+I130),0)</f>
        <v>0</v>
      </c>
      <c r="W130" s="96">
        <f>IF(F130&lt;=$I$119,W129*(1+J130),0)</f>
        <v>0</v>
      </c>
      <c r="X130" s="92">
        <f>IF(F130&lt;=I119,X129*(1+I130),0)</f>
        <v>0</v>
      </c>
      <c r="Y130" s="96">
        <f>IF(F130&lt;=I119,Y129*(1+J130),0)</f>
        <v>0</v>
      </c>
      <c r="Z130" s="126">
        <v>5</v>
      </c>
    </row>
    <row r="131" spans="1:26" s="126" customFormat="1" ht="14.7" thickBot="1" x14ac:dyDescent="0.6">
      <c r="A131" s="117"/>
      <c r="B131"/>
      <c r="C131" s="124"/>
      <c r="D131" s="124"/>
      <c r="E131" s="130"/>
      <c r="F131" s="131"/>
      <c r="G131" s="131"/>
      <c r="H131" s="131"/>
      <c r="I131" s="131"/>
      <c r="J131" s="131"/>
      <c r="K131" s="131"/>
      <c r="L131" s="131"/>
      <c r="M131" s="131"/>
      <c r="N131" s="131"/>
      <c r="O131" s="131"/>
      <c r="P131" s="131"/>
      <c r="Q131" s="131"/>
      <c r="R131" s="132"/>
      <c r="S131" s="125"/>
      <c r="T131" s="125"/>
      <c r="U131" s="10"/>
    </row>
    <row r="132" spans="1:26" s="126" customFormat="1" ht="14.7" thickBot="1" x14ac:dyDescent="0.6">
      <c r="A132" s="117"/>
      <c r="B132"/>
      <c r="C132" s="124"/>
      <c r="D132" s="130"/>
      <c r="E132" s="131"/>
      <c r="F132" s="131"/>
      <c r="G132" s="131"/>
      <c r="H132" s="131"/>
      <c r="I132" s="131"/>
      <c r="J132" s="131"/>
      <c r="K132" s="131"/>
      <c r="L132" s="131"/>
      <c r="M132" s="131"/>
      <c r="N132" s="131"/>
      <c r="O132" s="131"/>
      <c r="P132" s="131"/>
      <c r="Q132" s="131"/>
      <c r="R132" s="131"/>
      <c r="S132" s="132"/>
      <c r="T132" s="125"/>
      <c r="U132" s="10"/>
    </row>
    <row r="133" spans="1:26" s="126" customFormat="1" ht="14.7" thickBot="1" x14ac:dyDescent="0.6">
      <c r="A133" s="117"/>
      <c r="B133"/>
      <c r="C133" s="130"/>
      <c r="D133" s="131"/>
      <c r="E133" s="131"/>
      <c r="F133" s="131"/>
      <c r="G133" s="131"/>
      <c r="H133" s="131"/>
      <c r="I133" s="131"/>
      <c r="J133" s="131"/>
      <c r="K133" s="131"/>
      <c r="L133" s="131"/>
      <c r="M133" s="131"/>
      <c r="N133" s="131"/>
      <c r="O133" s="131"/>
      <c r="P133" s="131"/>
      <c r="Q133" s="131"/>
      <c r="R133" s="131"/>
      <c r="S133" s="131"/>
      <c r="T133" s="132"/>
      <c r="U133" s="10"/>
    </row>
    <row r="134" spans="1:26" s="126" customFormat="1" ht="14.7" thickBot="1" x14ac:dyDescent="0.6">
      <c r="A134" s="117"/>
      <c r="B134"/>
      <c r="C134"/>
      <c r="D134"/>
      <c r="E134"/>
      <c r="F134"/>
      <c r="G134"/>
      <c r="H134"/>
      <c r="I134"/>
      <c r="J134"/>
      <c r="K134"/>
      <c r="L134"/>
      <c r="M134"/>
      <c r="N134"/>
      <c r="O134"/>
      <c r="P134"/>
      <c r="Q134"/>
      <c r="R134"/>
      <c r="S134"/>
      <c r="T134"/>
      <c r="U134" s="10"/>
    </row>
    <row r="135" spans="1:26" s="126" customFormat="1" x14ac:dyDescent="0.55000000000000004">
      <c r="A135" s="117"/>
      <c r="B135"/>
      <c r="C135" s="121"/>
      <c r="D135" s="122"/>
      <c r="E135" s="122"/>
      <c r="F135" s="122"/>
      <c r="G135" s="122"/>
      <c r="H135" s="122"/>
      <c r="I135" s="122"/>
      <c r="J135" s="122"/>
      <c r="K135" s="122"/>
      <c r="L135" s="122"/>
      <c r="M135" s="122"/>
      <c r="N135" s="122"/>
      <c r="O135" s="122"/>
      <c r="P135" s="122"/>
      <c r="Q135" s="122"/>
      <c r="R135" s="122"/>
      <c r="S135" s="122"/>
      <c r="T135" s="123"/>
      <c r="U135" s="10"/>
    </row>
    <row r="136" spans="1:26" s="126" customFormat="1" ht="18.3" x14ac:dyDescent="0.7">
      <c r="A136" s="117"/>
      <c r="B136"/>
      <c r="C136" s="124"/>
      <c r="D136" s="1822" t="str">
        <f>'2 Customer data'!D95</f>
        <v>Small Customers: Commercial</v>
      </c>
      <c r="E136" s="1822"/>
      <c r="F136" s="1822"/>
      <c r="G136" s="1822"/>
      <c r="H136" s="1822"/>
      <c r="I136" s="1822"/>
      <c r="J136" s="1822"/>
      <c r="K136" s="1822"/>
      <c r="L136" s="1822"/>
      <c r="M136" s="1822"/>
      <c r="N136" s="1822"/>
      <c r="O136" s="1822"/>
      <c r="P136" s="1822"/>
      <c r="Q136" s="1822"/>
      <c r="R136" s="1822"/>
      <c r="S136" s="1822"/>
      <c r="T136" s="125"/>
      <c r="U136" s="10"/>
    </row>
    <row r="137" spans="1:26" s="126" customFormat="1" ht="14.7" thickBot="1" x14ac:dyDescent="0.6">
      <c r="A137" s="117"/>
      <c r="B137"/>
      <c r="C137" s="124"/>
      <c r="D137"/>
      <c r="E137"/>
      <c r="F137"/>
      <c r="G137"/>
      <c r="H137"/>
      <c r="I137"/>
      <c r="J137"/>
      <c r="K137"/>
      <c r="L137"/>
      <c r="M137"/>
      <c r="N137"/>
      <c r="O137"/>
      <c r="P137"/>
      <c r="Q137"/>
      <c r="R137"/>
      <c r="S137"/>
      <c r="T137" s="125"/>
      <c r="U137" s="10"/>
    </row>
    <row r="138" spans="1:26" s="126" customFormat="1" x14ac:dyDescent="0.55000000000000004">
      <c r="A138" s="117"/>
      <c r="B138"/>
      <c r="C138" s="124"/>
      <c r="D138" s="121"/>
      <c r="E138" s="122"/>
      <c r="F138" s="122"/>
      <c r="G138" s="122"/>
      <c r="H138" s="122"/>
      <c r="I138" s="122"/>
      <c r="J138" s="122"/>
      <c r="K138" s="122"/>
      <c r="L138" s="122"/>
      <c r="M138" s="122"/>
      <c r="N138" s="122"/>
      <c r="O138" s="122"/>
      <c r="P138" s="122"/>
      <c r="Q138" s="122"/>
      <c r="R138" s="122"/>
      <c r="S138" s="123"/>
      <c r="T138" s="125"/>
      <c r="U138" s="10"/>
    </row>
    <row r="139" spans="1:26" s="126" customFormat="1" x14ac:dyDescent="0.55000000000000004">
      <c r="A139" s="117"/>
      <c r="B139"/>
      <c r="C139" s="124"/>
      <c r="D139" s="124"/>
      <c r="E139"/>
      <c r="F139" s="1" t="str">
        <f>'2 Customer data'!D95&amp;" "&amp;"information"</f>
        <v>Small Customers: Commercial information</v>
      </c>
      <c r="G139"/>
      <c r="H139"/>
      <c r="I139"/>
      <c r="J139"/>
      <c r="K139"/>
      <c r="L139"/>
      <c r="M139"/>
      <c r="N139"/>
      <c r="O139"/>
      <c r="P139"/>
      <c r="Q139"/>
      <c r="R139"/>
      <c r="S139" s="125"/>
      <c r="T139" s="125"/>
      <c r="U139" s="10"/>
    </row>
    <row r="140" spans="1:26" s="126" customFormat="1" x14ac:dyDescent="0.55000000000000004">
      <c r="A140" s="117"/>
      <c r="B140"/>
      <c r="C140" s="124"/>
      <c r="D140" s="124"/>
      <c r="E140"/>
      <c r="F140"/>
      <c r="G140"/>
      <c r="H140"/>
      <c r="I140"/>
      <c r="J140"/>
      <c r="K140"/>
      <c r="L140"/>
      <c r="M140"/>
      <c r="N140"/>
      <c r="O140"/>
      <c r="P140"/>
      <c r="Q140"/>
      <c r="R140"/>
      <c r="S140" s="125"/>
      <c r="T140" s="125"/>
      <c r="U140" s="10"/>
    </row>
    <row r="141" spans="1:26" s="126" customFormat="1" ht="28.8" x14ac:dyDescent="0.55000000000000004">
      <c r="A141" s="117"/>
      <c r="B141"/>
      <c r="C141" s="124"/>
      <c r="D141" s="124"/>
      <c r="E141"/>
      <c r="F141"/>
      <c r="G141" s="56" t="s">
        <v>28</v>
      </c>
      <c r="H141" s="56" t="s">
        <v>345</v>
      </c>
      <c r="I141" s="56" t="s">
        <v>60</v>
      </c>
      <c r="J141" s="56" t="s">
        <v>249</v>
      </c>
      <c r="K141" s="56" t="s">
        <v>279</v>
      </c>
      <c r="L141" s="56" t="s">
        <v>357</v>
      </c>
      <c r="M141"/>
      <c r="N141" s="162"/>
      <c r="O141"/>
      <c r="P141"/>
      <c r="Q141"/>
      <c r="R141"/>
      <c r="S141" s="125"/>
      <c r="T141" s="125"/>
      <c r="U141" s="10"/>
    </row>
    <row r="142" spans="1:26" s="126" customFormat="1" x14ac:dyDescent="0.55000000000000004">
      <c r="A142" s="117"/>
      <c r="B142"/>
      <c r="C142" s="124"/>
      <c r="D142" s="124"/>
      <c r="E142"/>
      <c r="F142" t="str">
        <f>'2 Customer data'!D95</f>
        <v>Small Customers: Commercial</v>
      </c>
      <c r="G142" s="94">
        <f>IFERROR(IF(VLOOKUP(F142,'2 Customer data'!$D$93:$N$112,7,FALSE)="",VLOOKUP(F142,'2 Customer data'!$D$93:$N$112,6,FALSE),VLOOKUP(F142,'2 Customer data'!$D$93:$N$112,7,FALSE)),0)</f>
        <v>489</v>
      </c>
      <c r="H142" s="26">
        <f>IFERROR(IF(VLOOKUP(F142,'2 Customer data'!$D$93:$N$112,9,FALSE)="",VLOOKUP(F142,'2 Customer data'!$D$93:$N$112,8,FALSE),VLOOKUP(F142,'2 Customer data'!$D$93:$N$112,9,FALSE)),0)</f>
        <v>5308634</v>
      </c>
      <c r="I142" s="26">
        <f ca="1">IFERROR(VLOOKUP($F142,'2 Electricity'!$D$21:$L$40,6,FALSE),0)</f>
        <v>3270454.5760443788</v>
      </c>
      <c r="J142" s="26">
        <f ca="1">IFERROR(VLOOKUP($F142,'2 Electricity'!$D$21:$L$40,7,FALSE),0)</f>
        <v>15830042.994284254</v>
      </c>
      <c r="K142" s="26">
        <f ca="1">IFERROR(VLOOKUP($F142,'2 Electricity'!$D$21:$L$40,8,FALSE),0)</f>
        <v>0</v>
      </c>
      <c r="L142" s="26">
        <f ca="1">IFERROR(VLOOKUP(F142,'2 Electricity'!$D$157:$K$176,8,FALSE),0)</f>
        <v>17310834.898304183</v>
      </c>
      <c r="M142"/>
      <c r="N142" s="134"/>
      <c r="O142"/>
      <c r="P142"/>
      <c r="Q142"/>
      <c r="R142"/>
      <c r="S142" s="125"/>
      <c r="T142" s="125"/>
      <c r="U142" s="10"/>
    </row>
    <row r="143" spans="1:26" s="126" customFormat="1" ht="14.7" thickBot="1" x14ac:dyDescent="0.6">
      <c r="A143" s="117"/>
      <c r="B143"/>
      <c r="C143" s="124"/>
      <c r="D143" s="130"/>
      <c r="E143" s="131"/>
      <c r="F143" s="131"/>
      <c r="G143" s="131"/>
      <c r="H143" s="131"/>
      <c r="I143" s="131"/>
      <c r="J143" s="131"/>
      <c r="K143" s="131"/>
      <c r="L143" s="131"/>
      <c r="M143" s="131"/>
      <c r="N143" s="131"/>
      <c r="O143" s="131"/>
      <c r="P143" s="131"/>
      <c r="Q143" s="131"/>
      <c r="R143" s="131"/>
      <c r="S143" s="132"/>
      <c r="T143" s="125"/>
      <c r="U143" s="10"/>
    </row>
    <row r="144" spans="1:26" s="126" customFormat="1" ht="14.7" thickBot="1" x14ac:dyDescent="0.6">
      <c r="A144" s="117"/>
      <c r="B144"/>
      <c r="C144" s="124"/>
      <c r="D144"/>
      <c r="E144"/>
      <c r="F144"/>
      <c r="G144"/>
      <c r="H144"/>
      <c r="I144"/>
      <c r="J144"/>
      <c r="K144"/>
      <c r="L144"/>
      <c r="M144"/>
      <c r="N144"/>
      <c r="O144"/>
      <c r="P144"/>
      <c r="Q144"/>
      <c r="R144"/>
      <c r="S144"/>
      <c r="T144" s="125"/>
      <c r="U144" s="10"/>
    </row>
    <row r="145" spans="1:22" s="126" customFormat="1" x14ac:dyDescent="0.55000000000000004">
      <c r="A145" s="117"/>
      <c r="B145"/>
      <c r="C145" s="124"/>
      <c r="D145" s="121"/>
      <c r="E145" s="122"/>
      <c r="F145" s="122"/>
      <c r="G145" s="122"/>
      <c r="H145" s="122"/>
      <c r="I145" s="122"/>
      <c r="J145" s="122"/>
      <c r="K145" s="122"/>
      <c r="L145" s="122"/>
      <c r="M145" s="122"/>
      <c r="N145" s="122"/>
      <c r="O145" s="122"/>
      <c r="P145" s="122"/>
      <c r="Q145" s="122"/>
      <c r="R145" s="122"/>
      <c r="S145" s="123"/>
      <c r="T145" s="125"/>
      <c r="U145" s="10"/>
    </row>
    <row r="146" spans="1:22" s="126" customFormat="1" x14ac:dyDescent="0.55000000000000004">
      <c r="A146" s="117"/>
      <c r="B146"/>
      <c r="C146" s="124"/>
      <c r="D146" s="124"/>
      <c r="E146"/>
      <c r="F146" s="1" t="s">
        <v>85</v>
      </c>
      <c r="G146"/>
      <c r="H146"/>
      <c r="I146"/>
      <c r="J146"/>
      <c r="K146"/>
      <c r="L146"/>
      <c r="M146"/>
      <c r="N146"/>
      <c r="O146"/>
      <c r="P146"/>
      <c r="Q146"/>
      <c r="R146"/>
      <c r="S146" s="125"/>
      <c r="T146" s="125"/>
      <c r="U146" s="10"/>
    </row>
    <row r="147" spans="1:22" s="126" customFormat="1" x14ac:dyDescent="0.55000000000000004">
      <c r="A147" s="117"/>
      <c r="B147"/>
      <c r="C147" s="124"/>
      <c r="D147" s="124"/>
      <c r="E147"/>
      <c r="F147" s="120" t="s">
        <v>555</v>
      </c>
      <c r="G147"/>
      <c r="H147"/>
      <c r="I147"/>
      <c r="J147"/>
      <c r="K147"/>
      <c r="L147"/>
      <c r="M147"/>
      <c r="N147"/>
      <c r="O147"/>
      <c r="P147"/>
      <c r="Q147"/>
      <c r="R147"/>
      <c r="S147" s="125"/>
      <c r="T147" s="125"/>
      <c r="U147" s="10"/>
    </row>
    <row r="148" spans="1:22" s="126" customFormat="1" x14ac:dyDescent="0.55000000000000004">
      <c r="A148" s="117"/>
      <c r="B148"/>
      <c r="C148" s="124"/>
      <c r="D148" s="124"/>
      <c r="E148"/>
      <c r="F148"/>
      <c r="G148"/>
      <c r="H148"/>
      <c r="I148"/>
      <c r="J148"/>
      <c r="K148"/>
      <c r="L148"/>
      <c r="M148"/>
      <c r="N148"/>
      <c r="O148"/>
      <c r="P148"/>
      <c r="Q148"/>
      <c r="R148"/>
      <c r="S148" s="125"/>
      <c r="T148" s="125"/>
      <c r="U148" s="10"/>
    </row>
    <row r="149" spans="1:22" s="126" customFormat="1" ht="43.2" x14ac:dyDescent="0.55000000000000004">
      <c r="A149" s="117"/>
      <c r="B149"/>
      <c r="C149" s="124"/>
      <c r="D149" s="124"/>
      <c r="E149"/>
      <c r="F149"/>
      <c r="G149" s="56" t="s">
        <v>86</v>
      </c>
      <c r="H149" s="56" t="s">
        <v>73</v>
      </c>
      <c r="I149" s="56" t="s">
        <v>87</v>
      </c>
      <c r="J149" s="56" t="s">
        <v>75</v>
      </c>
      <c r="K149" s="56" t="s">
        <v>76</v>
      </c>
      <c r="L149"/>
      <c r="M149"/>
      <c r="N149"/>
      <c r="O149"/>
      <c r="P149"/>
      <c r="Q149"/>
      <c r="R149"/>
      <c r="S149" s="125"/>
      <c r="T149" s="125"/>
      <c r="U149" s="10"/>
    </row>
    <row r="150" spans="1:22" s="126" customFormat="1" x14ac:dyDescent="0.55000000000000004">
      <c r="A150" s="117"/>
      <c r="B150"/>
      <c r="C150" s="124"/>
      <c r="D150" s="124"/>
      <c r="E150"/>
      <c r="F150" t="str">
        <f>F142</f>
        <v>Small Customers: Commercial</v>
      </c>
      <c r="G150" s="26">
        <f ca="1">SUM(I142,K142)</f>
        <v>3270454.5760443788</v>
      </c>
      <c r="H150" s="64">
        <f ca="1">IFERROR(G150/G142,0)/12</f>
        <v>557.33718064832635</v>
      </c>
      <c r="I150" s="84"/>
      <c r="J150" s="26">
        <f>I150*G142*12</f>
        <v>0</v>
      </c>
      <c r="K150" s="21">
        <f>J150/12</f>
        <v>0</v>
      </c>
      <c r="L150"/>
      <c r="M150"/>
      <c r="N150"/>
      <c r="O150"/>
      <c r="P150"/>
      <c r="Q150"/>
      <c r="R150"/>
      <c r="S150" s="125"/>
      <c r="T150" s="125"/>
      <c r="U150" s="10"/>
    </row>
    <row r="151" spans="1:22" s="126" customFormat="1" x14ac:dyDescent="0.55000000000000004">
      <c r="A151" s="117"/>
      <c r="B151"/>
      <c r="C151" s="124"/>
      <c r="D151" s="124"/>
      <c r="E151" s="133"/>
      <c r="F151" s="58" t="str">
        <f ca="1">IF(I150&gt;I142,"Error: revenue from fixed charges exceeds total revenue required from tariff. Reduce fixed charge.","")</f>
        <v/>
      </c>
      <c r="G151" s="58" t="str">
        <f ca="1">IF(J150&gt;L142,"Error: revenue from fixed charges exceeds total revenue required from tariff. Reduce fixed charge.","")</f>
        <v/>
      </c>
      <c r="H151" s="134"/>
      <c r="I151" s="134"/>
      <c r="J151" s="135"/>
      <c r="K151"/>
      <c r="L151"/>
      <c r="M151"/>
      <c r="N151"/>
      <c r="O151"/>
      <c r="P151"/>
      <c r="Q151"/>
      <c r="R151"/>
      <c r="S151" s="125"/>
      <c r="T151" s="125"/>
      <c r="U151" s="10"/>
    </row>
    <row r="152" spans="1:22" s="126" customFormat="1" ht="14.7" thickBot="1" x14ac:dyDescent="0.6">
      <c r="A152" s="117"/>
      <c r="B152"/>
      <c r="C152" s="124"/>
      <c r="D152" s="130"/>
      <c r="E152" s="131"/>
      <c r="F152" s="131"/>
      <c r="G152" s="131"/>
      <c r="H152" s="131"/>
      <c r="I152" s="131"/>
      <c r="J152" s="131"/>
      <c r="K152" s="131"/>
      <c r="L152" s="131"/>
      <c r="M152" s="131"/>
      <c r="N152" s="131"/>
      <c r="O152" s="131"/>
      <c r="P152" s="131"/>
      <c r="Q152" s="131"/>
      <c r="R152" s="131"/>
      <c r="S152" s="132"/>
      <c r="T152" s="125"/>
      <c r="U152" s="10"/>
    </row>
    <row r="153" spans="1:22" s="126" customFormat="1" ht="14.7" thickBot="1" x14ac:dyDescent="0.6">
      <c r="A153" s="117"/>
      <c r="B153"/>
      <c r="C153" s="124"/>
      <c r="D153"/>
      <c r="E153"/>
      <c r="F153"/>
      <c r="G153"/>
      <c r="H153"/>
      <c r="I153"/>
      <c r="J153"/>
      <c r="K153"/>
      <c r="L153"/>
      <c r="M153"/>
      <c r="N153"/>
      <c r="O153"/>
      <c r="P153"/>
      <c r="Q153"/>
      <c r="R153"/>
      <c r="S153"/>
      <c r="T153" s="125"/>
      <c r="U153" s="10"/>
    </row>
    <row r="154" spans="1:22" s="126" customFormat="1" x14ac:dyDescent="0.55000000000000004">
      <c r="A154" s="117"/>
      <c r="B154"/>
      <c r="C154" s="124"/>
      <c r="D154" s="121"/>
      <c r="E154" s="122"/>
      <c r="F154" s="122"/>
      <c r="G154" s="122"/>
      <c r="H154" s="122"/>
      <c r="I154" s="122"/>
      <c r="J154" s="122"/>
      <c r="K154" s="122"/>
      <c r="L154" s="122"/>
      <c r="M154" s="122"/>
      <c r="N154" s="122"/>
      <c r="O154" s="122"/>
      <c r="P154" s="122"/>
      <c r="Q154" s="122"/>
      <c r="R154" s="122"/>
      <c r="S154" s="123"/>
      <c r="T154" s="125"/>
      <c r="U154" s="10"/>
    </row>
    <row r="155" spans="1:22" s="126" customFormat="1" x14ac:dyDescent="0.55000000000000004">
      <c r="A155" s="117"/>
      <c r="B155"/>
      <c r="C155" s="124"/>
      <c r="D155" s="124"/>
      <c r="E155"/>
      <c r="F155" s="1" t="s">
        <v>96</v>
      </c>
      <c r="G155"/>
      <c r="H155"/>
      <c r="I155"/>
      <c r="J155"/>
      <c r="K155"/>
      <c r="L155"/>
      <c r="M155"/>
      <c r="N155"/>
      <c r="O155"/>
      <c r="P155"/>
      <c r="Q155"/>
      <c r="R155"/>
      <c r="S155" s="125"/>
      <c r="T155" s="125"/>
      <c r="U155" s="10"/>
    </row>
    <row r="156" spans="1:22" s="126" customFormat="1" ht="14.55" customHeight="1" x14ac:dyDescent="0.55000000000000004">
      <c r="A156" s="117"/>
      <c r="B156"/>
      <c r="C156" s="124"/>
      <c r="D156" s="124"/>
      <c r="E156"/>
      <c r="F156" s="1804" t="s">
        <v>560</v>
      </c>
      <c r="G156" s="1804"/>
      <c r="H156" s="1804"/>
      <c r="I156" s="1804"/>
      <c r="J156" s="1804"/>
      <c r="K156" s="1804"/>
      <c r="L156" s="1804"/>
      <c r="M156" s="1804"/>
      <c r="N156" s="1804"/>
      <c r="O156" s="1804"/>
      <c r="P156" s="1804"/>
      <c r="Q156" s="119"/>
      <c r="R156"/>
      <c r="S156" s="125"/>
      <c r="T156" s="125"/>
      <c r="U156" s="10"/>
    </row>
    <row r="157" spans="1:22" s="126" customFormat="1" x14ac:dyDescent="0.55000000000000004">
      <c r="A157" s="117"/>
      <c r="B157"/>
      <c r="C157" s="124"/>
      <c r="D157" s="124"/>
      <c r="E157"/>
      <c r="F157" s="119"/>
      <c r="G157" s="119"/>
      <c r="H157" s="119"/>
      <c r="I157" s="119"/>
      <c r="J157" s="119"/>
      <c r="K157" s="119"/>
      <c r="L157" s="119"/>
      <c r="M157" s="119"/>
      <c r="N157" s="119"/>
      <c r="O157" s="119"/>
      <c r="P157" s="119"/>
      <c r="Q157" s="119"/>
      <c r="R157"/>
      <c r="S157" s="125"/>
      <c r="T157" s="125"/>
      <c r="U157" s="10"/>
    </row>
    <row r="158" spans="1:22" s="126" customFormat="1" x14ac:dyDescent="0.55000000000000004">
      <c r="A158" s="117"/>
      <c r="B158"/>
      <c r="C158" s="124"/>
      <c r="D158" s="124"/>
      <c r="E158"/>
      <c r="F158" s="1" t="s">
        <v>348</v>
      </c>
      <c r="G158" s="80" t="s">
        <v>89</v>
      </c>
      <c r="H158" s="119"/>
      <c r="I158"/>
      <c r="J158" s="119"/>
      <c r="K158" s="119"/>
      <c r="L158" s="119"/>
      <c r="M158" s="119"/>
      <c r="N158" s="119"/>
      <c r="O158" s="119"/>
      <c r="P158" s="119"/>
      <c r="Q158" s="119"/>
      <c r="R158"/>
      <c r="S158" s="125"/>
      <c r="T158" s="125"/>
      <c r="U158" s="10"/>
      <c r="V158" s="126" t="s">
        <v>89</v>
      </c>
    </row>
    <row r="159" spans="1:22" s="126" customFormat="1" ht="14.7" thickBot="1" x14ac:dyDescent="0.6">
      <c r="A159" s="117"/>
      <c r="B159"/>
      <c r="C159" s="124"/>
      <c r="D159" s="124"/>
      <c r="E159"/>
      <c r="F159"/>
      <c r="G159" s="134"/>
      <c r="H159" s="119"/>
      <c r="I159" s="119"/>
      <c r="J159" s="119"/>
      <c r="K159" s="119"/>
      <c r="L159" s="119"/>
      <c r="M159" s="119"/>
      <c r="N159" s="119"/>
      <c r="O159" s="119"/>
      <c r="P159" s="119"/>
      <c r="Q159" s="119"/>
      <c r="R159"/>
      <c r="S159" s="125"/>
      <c r="T159" s="125"/>
      <c r="U159" s="10"/>
      <c r="V159" s="126" t="s">
        <v>90</v>
      </c>
    </row>
    <row r="160" spans="1:22" s="126" customFormat="1" x14ac:dyDescent="0.55000000000000004">
      <c r="A160" s="117"/>
      <c r="B160"/>
      <c r="C160" s="124"/>
      <c r="D160" s="124"/>
      <c r="E160" s="121"/>
      <c r="F160" s="122"/>
      <c r="G160" s="122"/>
      <c r="H160" s="122"/>
      <c r="I160" s="122"/>
      <c r="J160" s="122"/>
      <c r="K160" s="122"/>
      <c r="L160" s="122"/>
      <c r="M160" s="122"/>
      <c r="N160" s="122"/>
      <c r="O160" s="122"/>
      <c r="P160" s="122"/>
      <c r="Q160" s="122"/>
      <c r="R160" s="123"/>
      <c r="S160" s="125"/>
      <c r="T160" s="125"/>
      <c r="U160" s="10"/>
    </row>
    <row r="161" spans="1:24" s="126" customFormat="1" x14ac:dyDescent="0.55000000000000004">
      <c r="A161" s="117"/>
      <c r="B161"/>
      <c r="C161" s="124"/>
      <c r="D161" s="124"/>
      <c r="E161" s="124"/>
      <c r="F161" s="1" t="s">
        <v>343</v>
      </c>
      <c r="G161" s="163"/>
      <c r="H161"/>
      <c r="I161"/>
      <c r="J161"/>
      <c r="K161"/>
      <c r="L161"/>
      <c r="M161"/>
      <c r="N161"/>
      <c r="O161"/>
      <c r="P161"/>
      <c r="Q161"/>
      <c r="R161" s="125"/>
      <c r="S161" s="125"/>
      <c r="T161" s="125"/>
      <c r="U161" s="10"/>
    </row>
    <row r="162" spans="1:24" s="126" customFormat="1" ht="14.55" customHeight="1" x14ac:dyDescent="0.55000000000000004">
      <c r="A162" s="117"/>
      <c r="B162"/>
      <c r="C162" s="124"/>
      <c r="D162" s="124"/>
      <c r="E162" s="124"/>
      <c r="F162" s="1804" t="s">
        <v>561</v>
      </c>
      <c r="G162" s="1804"/>
      <c r="H162" s="1804"/>
      <c r="I162" s="1804"/>
      <c r="J162" s="1804"/>
      <c r="K162" s="1804"/>
      <c r="L162" s="1804"/>
      <c r="M162" s="1804"/>
      <c r="N162" s="1804"/>
      <c r="O162" s="1804"/>
      <c r="P162" s="1804"/>
      <c r="Q162" s="1804"/>
      <c r="R162" s="125"/>
      <c r="S162" s="125"/>
      <c r="T162" s="125"/>
      <c r="U162" s="10"/>
    </row>
    <row r="163" spans="1:24" s="126" customFormat="1" x14ac:dyDescent="0.55000000000000004">
      <c r="A163" s="117"/>
      <c r="B163"/>
      <c r="C163" s="124"/>
      <c r="D163" s="124"/>
      <c r="E163" s="124"/>
      <c r="F163" s="1804"/>
      <c r="G163" s="1804"/>
      <c r="H163" s="1804"/>
      <c r="I163" s="1804"/>
      <c r="J163" s="1804"/>
      <c r="K163" s="1804"/>
      <c r="L163" s="1804"/>
      <c r="M163" s="1804"/>
      <c r="N163" s="1804"/>
      <c r="O163" s="1804"/>
      <c r="P163" s="1804"/>
      <c r="Q163" s="1804"/>
      <c r="R163" s="125"/>
      <c r="S163" s="125"/>
      <c r="T163" s="125"/>
      <c r="U163" s="10"/>
    </row>
    <row r="164" spans="1:24" s="126" customFormat="1" x14ac:dyDescent="0.55000000000000004">
      <c r="A164" s="117"/>
      <c r="B164"/>
      <c r="C164" s="124"/>
      <c r="D164" s="124"/>
      <c r="E164" s="124"/>
      <c r="F164" s="1"/>
      <c r="G164" s="163"/>
      <c r="H164"/>
      <c r="I164"/>
      <c r="J164"/>
      <c r="K164"/>
      <c r="L164"/>
      <c r="M164"/>
      <c r="N164"/>
      <c r="O164"/>
      <c r="P164"/>
      <c r="Q164"/>
      <c r="R164" s="125"/>
      <c r="S164" s="125"/>
      <c r="T164" s="125"/>
      <c r="U164" s="10"/>
    </row>
    <row r="165" spans="1:24" s="126" customFormat="1" x14ac:dyDescent="0.55000000000000004">
      <c r="A165" s="117"/>
      <c r="B165"/>
      <c r="C165" s="124"/>
      <c r="D165" s="124"/>
      <c r="E165" s="124"/>
      <c r="F165" s="164" t="s">
        <v>88</v>
      </c>
      <c r="G165" s="10"/>
      <c r="H165"/>
      <c r="I165" s="50">
        <v>1</v>
      </c>
      <c r="J165"/>
      <c r="K165"/>
      <c r="L165"/>
      <c r="M165"/>
      <c r="N165"/>
      <c r="O165"/>
      <c r="P165"/>
      <c r="Q165"/>
      <c r="R165" s="125"/>
      <c r="S165" s="125"/>
      <c r="T165" s="125"/>
      <c r="U165" s="10"/>
    </row>
    <row r="166" spans="1:24" s="126" customFormat="1" x14ac:dyDescent="0.55000000000000004">
      <c r="A166" s="117"/>
      <c r="B166"/>
      <c r="C166" s="124"/>
      <c r="D166" s="124"/>
      <c r="E166" s="124"/>
      <c r="F166" s="10" t="s">
        <v>612</v>
      </c>
      <c r="H166"/>
      <c r="I166" s="159" t="s">
        <v>578</v>
      </c>
      <c r="J166"/>
      <c r="K166"/>
      <c r="L166"/>
      <c r="M166"/>
      <c r="N166"/>
      <c r="O166"/>
      <c r="P166"/>
      <c r="Q166"/>
      <c r="R166" s="125"/>
      <c r="S166" s="125"/>
      <c r="T166" s="125"/>
      <c r="U166" s="10"/>
    </row>
    <row r="167" spans="1:24" s="126" customFormat="1" x14ac:dyDescent="0.55000000000000004">
      <c r="A167" s="117"/>
      <c r="B167"/>
      <c r="C167" s="124"/>
      <c r="D167" s="124"/>
      <c r="E167" s="124"/>
      <c r="F167"/>
      <c r="G167"/>
      <c r="H167"/>
      <c r="I167"/>
      <c r="J167"/>
      <c r="K167"/>
      <c r="L167"/>
      <c r="M167"/>
      <c r="N167"/>
      <c r="O167"/>
      <c r="P167"/>
      <c r="Q167"/>
      <c r="R167" s="125"/>
      <c r="S167" s="125"/>
      <c r="T167" s="125"/>
      <c r="U167" s="10"/>
    </row>
    <row r="168" spans="1:24" s="126" customFormat="1" ht="57.6" customHeight="1" x14ac:dyDescent="0.55000000000000004">
      <c r="A168" s="117"/>
      <c r="B168"/>
      <c r="C168" s="124"/>
      <c r="D168" s="124"/>
      <c r="E168" s="124"/>
      <c r="F168" s="56" t="s">
        <v>91</v>
      </c>
      <c r="G168" s="56" t="s">
        <v>92</v>
      </c>
      <c r="H168" s="129" t="s">
        <v>80</v>
      </c>
      <c r="I168" s="56" t="s">
        <v>340</v>
      </c>
      <c r="J168" s="56" t="s">
        <v>356</v>
      </c>
      <c r="K168" s="165" t="s">
        <v>349</v>
      </c>
      <c r="L168" s="166" t="s">
        <v>350</v>
      </c>
      <c r="M168" s="162"/>
      <c r="N168" s="162"/>
      <c r="O168" s="162"/>
      <c r="P168" s="162"/>
      <c r="Q168" s="162"/>
      <c r="R168" s="167"/>
      <c r="S168" s="167"/>
      <c r="T168" s="167"/>
      <c r="U168" s="10"/>
      <c r="V168" s="168" t="s">
        <v>621</v>
      </c>
      <c r="W168" s="168" t="s">
        <v>622</v>
      </c>
    </row>
    <row r="169" spans="1:24" s="126" customFormat="1" x14ac:dyDescent="0.55000000000000004">
      <c r="A169" s="117"/>
      <c r="B169"/>
      <c r="C169" s="124"/>
      <c r="D169" s="124"/>
      <c r="E169" s="124"/>
      <c r="F169" s="89">
        <f>IF($I$165=X169,X169,1)</f>
        <v>1</v>
      </c>
      <c r="G169" s="91">
        <v>0</v>
      </c>
      <c r="H169" s="50" t="s">
        <v>1669</v>
      </c>
      <c r="I169" s="169"/>
      <c r="J169" s="21">
        <f>IF(G158=V158,H142-SUMIF(F170:F173,"&lt;="&amp;$I$165,J170:J173),0)</f>
        <v>5308634</v>
      </c>
      <c r="K169" s="114">
        <f ca="1">IFERROR(IF(G158=V158,IF(F169&lt;=I165,IF(I166="No",IF(J150=0,L142/SUMPRODUCT(V169:V173,J169:J173),(L142-J150)/SUMPRODUCT(V169:V173,J169:J173)),0),0),0),0)</f>
        <v>3.2608831006816787</v>
      </c>
      <c r="L169" s="31">
        <f ca="1">J169*K169</f>
        <v>17310834.898304183</v>
      </c>
      <c r="M169" s="170"/>
      <c r="N169" s="135"/>
      <c r="O169" s="171"/>
      <c r="P169"/>
      <c r="Q169"/>
      <c r="R169" s="125"/>
      <c r="S169" s="125"/>
      <c r="T169" s="125"/>
      <c r="U169" s="10"/>
      <c r="V169" s="96">
        <f>IF(F169&lt;=$I$165,1,0)</f>
        <v>1</v>
      </c>
      <c r="X169" s="126">
        <v>1</v>
      </c>
    </row>
    <row r="170" spans="1:24" s="126" customFormat="1" x14ac:dyDescent="0.55000000000000004">
      <c r="A170" s="117"/>
      <c r="B170"/>
      <c r="C170" s="124"/>
      <c r="D170" s="124"/>
      <c r="E170" s="124"/>
      <c r="F170" s="89" t="str">
        <f>IF($I$165&gt;=X170,X170,"")</f>
        <v/>
      </c>
      <c r="G170" s="91" t="str">
        <f>IF($I$165&gt;=F170,H169+0.01,"")</f>
        <v/>
      </c>
      <c r="H170" s="50"/>
      <c r="I170" s="61"/>
      <c r="J170" s="13"/>
      <c r="K170" s="114">
        <f>IFERROR(IF(F170&lt;=I165,IF(I166="No",K169*(1+I170),IF(J150=0,L142/SUMPRODUCT(W170:W173,J170:J173),(L142-J150)/SUMPRODUCT(W170:W173,J170:J173))),0),0)</f>
        <v>0</v>
      </c>
      <c r="L170" s="31">
        <f>J170*K170</f>
        <v>0</v>
      </c>
      <c r="M170" s="170"/>
      <c r="N170" s="135"/>
      <c r="O170" s="171"/>
      <c r="P170"/>
      <c r="Q170"/>
      <c r="R170" s="125"/>
      <c r="S170" s="125"/>
      <c r="T170" s="125"/>
      <c r="U170" s="10"/>
      <c r="V170" s="96">
        <f>IF(F170&lt;=$I$165,(1+I170),0)</f>
        <v>0</v>
      </c>
      <c r="W170" s="92">
        <f>IF(F170&lt;=I165,1,0)</f>
        <v>0</v>
      </c>
      <c r="X170" s="126">
        <v>2</v>
      </c>
    </row>
    <row r="171" spans="1:24" s="126" customFormat="1" x14ac:dyDescent="0.55000000000000004">
      <c r="A171" s="117"/>
      <c r="B171"/>
      <c r="C171" s="124"/>
      <c r="D171" s="124"/>
      <c r="E171" s="124"/>
      <c r="F171" s="89" t="str">
        <f>IF($I$165&gt;=X171,X171,"")</f>
        <v/>
      </c>
      <c r="G171" s="91" t="str">
        <f>IF($I$165&gt;=F171,H170+0.01,"")</f>
        <v/>
      </c>
      <c r="H171" s="50"/>
      <c r="I171" s="61"/>
      <c r="J171" s="13"/>
      <c r="K171" s="95">
        <f>IF(F171&lt;=$I$165,K170*(1+I171),0)</f>
        <v>0</v>
      </c>
      <c r="L171" s="31">
        <f>J171*K171</f>
        <v>0</v>
      </c>
      <c r="M171" s="170"/>
      <c r="N171" s="135"/>
      <c r="O171" s="171"/>
      <c r="P171"/>
      <c r="Q171"/>
      <c r="R171" s="125"/>
      <c r="S171" s="125"/>
      <c r="T171" s="125"/>
      <c r="U171" s="10"/>
      <c r="V171" s="96">
        <f>IF(F171&lt;=$I$165,V170*(1+I171),0)</f>
        <v>0</v>
      </c>
      <c r="W171" s="92">
        <f>IF(F171&lt;=I165,W170*(1+I171),0)</f>
        <v>0</v>
      </c>
      <c r="X171" s="126">
        <v>3</v>
      </c>
    </row>
    <row r="172" spans="1:24" s="126" customFormat="1" x14ac:dyDescent="0.55000000000000004">
      <c r="A172" s="117"/>
      <c r="B172"/>
      <c r="C172" s="124"/>
      <c r="D172" s="124"/>
      <c r="E172" s="124"/>
      <c r="F172" s="89" t="str">
        <f>IF($I$165&gt;=X172,X172,"")</f>
        <v/>
      </c>
      <c r="G172" s="91" t="str">
        <f>IF($I$165&gt;=F172,H171+0.01,"")</f>
        <v/>
      </c>
      <c r="H172" s="50"/>
      <c r="I172" s="61"/>
      <c r="J172" s="13"/>
      <c r="K172" s="95">
        <f>IF(F172&lt;=$I$165,K171*(1+I172),0)</f>
        <v>0</v>
      </c>
      <c r="L172" s="31">
        <f>J172*K172</f>
        <v>0</v>
      </c>
      <c r="M172" s="170"/>
      <c r="N172" s="135"/>
      <c r="O172" s="171"/>
      <c r="P172"/>
      <c r="Q172"/>
      <c r="R172" s="125"/>
      <c r="S172" s="125"/>
      <c r="T172" s="125"/>
      <c r="U172" s="10"/>
      <c r="V172" s="96">
        <f>IF(F172&lt;=$I$165,V171*(1+I172),0)</f>
        <v>0</v>
      </c>
      <c r="W172" s="92">
        <f>IF(F172&lt;=I165,W171*(1+I172),0)</f>
        <v>0</v>
      </c>
      <c r="X172" s="126">
        <v>4</v>
      </c>
    </row>
    <row r="173" spans="1:24" s="126" customFormat="1" x14ac:dyDescent="0.55000000000000004">
      <c r="A173" s="117"/>
      <c r="B173"/>
      <c r="C173" s="124"/>
      <c r="D173" s="124"/>
      <c r="E173" s="124"/>
      <c r="F173" s="89" t="str">
        <f>IF($I$165&gt;=X173,X173,"")</f>
        <v/>
      </c>
      <c r="G173" s="91" t="str">
        <f>IF($I$165&gt;=F173,H172+0.01,"")</f>
        <v/>
      </c>
      <c r="H173" s="89" t="s">
        <v>84</v>
      </c>
      <c r="I173" s="61"/>
      <c r="J173" s="13"/>
      <c r="K173" s="95">
        <f>IF(F173&lt;=$I$165,K172*(1+I173),0)</f>
        <v>0</v>
      </c>
      <c r="L173" s="31">
        <f>J173*K173</f>
        <v>0</v>
      </c>
      <c r="M173" s="170"/>
      <c r="N173" s="135"/>
      <c r="O173" s="171"/>
      <c r="P173"/>
      <c r="Q173"/>
      <c r="R173" s="125"/>
      <c r="S173" s="125"/>
      <c r="T173" s="125"/>
      <c r="U173" s="10"/>
      <c r="V173" s="96">
        <f>IF(F173&lt;=$I$165,V172*(1+I173),0)</f>
        <v>0</v>
      </c>
      <c r="W173" s="92">
        <f>IF(F173&lt;=I165,W172*(1+I173),0)</f>
        <v>0</v>
      </c>
      <c r="X173" s="126">
        <v>5</v>
      </c>
    </row>
    <row r="174" spans="1:24" s="126" customFormat="1" ht="14.7" thickBot="1" x14ac:dyDescent="0.6">
      <c r="A174" s="117"/>
      <c r="B174"/>
      <c r="C174" s="124"/>
      <c r="D174" s="124"/>
      <c r="E174" s="130"/>
      <c r="F174" s="149"/>
      <c r="G174" s="150"/>
      <c r="H174" s="149"/>
      <c r="I174" s="172"/>
      <c r="J174" s="173"/>
      <c r="K174" s="173"/>
      <c r="L174" s="173"/>
      <c r="M174" s="174"/>
      <c r="N174" s="152"/>
      <c r="O174" s="175"/>
      <c r="P174" s="131"/>
      <c r="Q174" s="131"/>
      <c r="R174" s="132"/>
      <c r="S174" s="125"/>
      <c r="T174" s="125"/>
      <c r="U174" s="10"/>
    </row>
    <row r="175" spans="1:24" s="126" customFormat="1" ht="14.7" thickBot="1" x14ac:dyDescent="0.6">
      <c r="A175" s="117"/>
      <c r="B175"/>
      <c r="C175" s="124"/>
      <c r="D175" s="124"/>
      <c r="E175"/>
      <c r="F175" s="163"/>
      <c r="G175" s="176"/>
      <c r="H175" s="163"/>
      <c r="I175" s="177"/>
      <c r="J175" s="178"/>
      <c r="K175" s="178"/>
      <c r="L175" s="178"/>
      <c r="M175" s="170"/>
      <c r="N175" s="135"/>
      <c r="O175" s="171"/>
      <c r="P175"/>
      <c r="Q175"/>
      <c r="R175"/>
      <c r="S175" s="125"/>
      <c r="T175" s="125"/>
      <c r="U175" s="10"/>
    </row>
    <row r="176" spans="1:24" s="126" customFormat="1" x14ac:dyDescent="0.55000000000000004">
      <c r="A176" s="117"/>
      <c r="B176"/>
      <c r="C176" s="124"/>
      <c r="D176" s="124"/>
      <c r="E176" s="121"/>
      <c r="F176" s="179"/>
      <c r="G176" s="180"/>
      <c r="H176" s="179"/>
      <c r="I176" s="181"/>
      <c r="J176" s="182"/>
      <c r="K176" s="182"/>
      <c r="L176" s="182"/>
      <c r="M176" s="183"/>
      <c r="N176" s="184"/>
      <c r="O176" s="185"/>
      <c r="P176" s="122"/>
      <c r="Q176" s="122"/>
      <c r="R176" s="123"/>
      <c r="S176" s="125"/>
      <c r="T176" s="125"/>
      <c r="U176" s="10"/>
    </row>
    <row r="177" spans="1:26" s="126" customFormat="1" x14ac:dyDescent="0.55000000000000004">
      <c r="A177" s="117"/>
      <c r="B177"/>
      <c r="C177" s="124"/>
      <c r="D177" s="124"/>
      <c r="E177" s="124"/>
      <c r="F177" s="186" t="s">
        <v>344</v>
      </c>
      <c r="G177" s="176"/>
      <c r="H177" s="163"/>
      <c r="I177" s="177"/>
      <c r="J177" s="178"/>
      <c r="K177" s="178"/>
      <c r="L177" s="178"/>
      <c r="M177" s="170"/>
      <c r="N177" s="135"/>
      <c r="O177" s="187"/>
      <c r="P177"/>
      <c r="Q177"/>
      <c r="R177" s="125"/>
      <c r="S177" s="125"/>
      <c r="T177" s="125"/>
      <c r="U177" s="10"/>
    </row>
    <row r="178" spans="1:26" s="126" customFormat="1" ht="14.55" customHeight="1" x14ac:dyDescent="0.55000000000000004">
      <c r="A178" s="117"/>
      <c r="B178"/>
      <c r="C178" s="124"/>
      <c r="D178" s="124"/>
      <c r="E178" s="124"/>
      <c r="F178" s="1804" t="s">
        <v>562</v>
      </c>
      <c r="G178" s="1804"/>
      <c r="H178" s="1804"/>
      <c r="I178" s="1804"/>
      <c r="J178" s="1804"/>
      <c r="K178" s="1804"/>
      <c r="L178" s="1804"/>
      <c r="M178" s="1804"/>
      <c r="N178" s="1804"/>
      <c r="O178" s="1804"/>
      <c r="P178" s="1804"/>
      <c r="Q178" s="1804"/>
      <c r="R178" s="125"/>
      <c r="S178" s="125"/>
      <c r="T178" s="125"/>
      <c r="U178" s="10"/>
    </row>
    <row r="179" spans="1:26" s="126" customFormat="1" x14ac:dyDescent="0.55000000000000004">
      <c r="A179" s="117"/>
      <c r="B179"/>
      <c r="C179" s="124"/>
      <c r="D179" s="124"/>
      <c r="E179" s="124"/>
      <c r="F179" s="1804"/>
      <c r="G179" s="1804"/>
      <c r="H179" s="1804"/>
      <c r="I179" s="1804"/>
      <c r="J179" s="1804"/>
      <c r="K179" s="1804"/>
      <c r="L179" s="1804"/>
      <c r="M179" s="1804"/>
      <c r="N179" s="1804"/>
      <c r="O179" s="1804"/>
      <c r="P179" s="1804"/>
      <c r="Q179" s="1804"/>
      <c r="R179" s="125"/>
      <c r="S179" s="125"/>
      <c r="T179" s="125"/>
      <c r="U179" s="10"/>
    </row>
    <row r="180" spans="1:26" s="126" customFormat="1" x14ac:dyDescent="0.55000000000000004">
      <c r="A180" s="117"/>
      <c r="B180"/>
      <c r="C180" s="124"/>
      <c r="D180" s="124"/>
      <c r="E180" s="124"/>
      <c r="F180" s="186"/>
      <c r="G180" s="176"/>
      <c r="H180" s="163"/>
      <c r="I180" s="177"/>
      <c r="J180" s="178"/>
      <c r="K180" s="178"/>
      <c r="L180" s="178"/>
      <c r="M180" s="170"/>
      <c r="N180" s="135"/>
      <c r="O180" s="187"/>
      <c r="P180"/>
      <c r="Q180"/>
      <c r="R180" s="125"/>
      <c r="S180" s="125"/>
      <c r="T180" s="125"/>
      <c r="U180" s="10"/>
    </row>
    <row r="181" spans="1:26" s="126" customFormat="1" x14ac:dyDescent="0.55000000000000004">
      <c r="A181" s="117"/>
      <c r="B181"/>
      <c r="C181" s="124"/>
      <c r="D181" s="124"/>
      <c r="E181" s="124"/>
      <c r="F181" s="164" t="s">
        <v>88</v>
      </c>
      <c r="G181"/>
      <c r="H181" s="163"/>
      <c r="I181" s="50">
        <v>1</v>
      </c>
      <c r="J181" s="178"/>
      <c r="K181" s="178"/>
      <c r="L181" s="178"/>
      <c r="M181" s="170"/>
      <c r="N181" s="135"/>
      <c r="O181" s="187"/>
      <c r="P181"/>
      <c r="Q181"/>
      <c r="R181" s="125"/>
      <c r="S181" s="125"/>
      <c r="T181" s="125"/>
      <c r="U181" s="10"/>
    </row>
    <row r="182" spans="1:26" s="126" customFormat="1" x14ac:dyDescent="0.55000000000000004">
      <c r="A182" s="117"/>
      <c r="B182"/>
      <c r="C182" s="124"/>
      <c r="D182" s="124"/>
      <c r="E182" s="124"/>
      <c r="F182" t="s">
        <v>346</v>
      </c>
      <c r="G182"/>
      <c r="H182" s="163"/>
      <c r="I182" s="13"/>
      <c r="J182" s="178"/>
      <c r="K182" s="178"/>
      <c r="L182" s="178"/>
      <c r="M182" s="170"/>
      <c r="N182" s="135"/>
      <c r="O182" s="187"/>
      <c r="P182"/>
      <c r="Q182"/>
      <c r="R182" s="125"/>
      <c r="S182" s="125"/>
      <c r="T182" s="125"/>
      <c r="U182" s="10"/>
    </row>
    <row r="183" spans="1:26" s="126" customFormat="1" x14ac:dyDescent="0.55000000000000004">
      <c r="A183" s="117"/>
      <c r="B183"/>
      <c r="C183" s="124"/>
      <c r="D183" s="124"/>
      <c r="E183" s="124"/>
      <c r="F183" t="s">
        <v>347</v>
      </c>
      <c r="G183"/>
      <c r="H183" s="163"/>
      <c r="I183" s="13"/>
      <c r="J183" s="178"/>
      <c r="K183" s="178"/>
      <c r="L183" s="178"/>
      <c r="M183" s="170"/>
      <c r="N183" s="135"/>
      <c r="O183" s="187"/>
      <c r="P183"/>
      <c r="Q183"/>
      <c r="R183" s="125"/>
      <c r="S183" s="125"/>
      <c r="T183" s="125"/>
      <c r="U183" s="10"/>
    </row>
    <row r="184" spans="1:26" s="126" customFormat="1" x14ac:dyDescent="0.55000000000000004">
      <c r="A184" s="117"/>
      <c r="B184"/>
      <c r="C184" s="124"/>
      <c r="D184" s="124"/>
      <c r="E184" s="124"/>
      <c r="F184" t="s">
        <v>366</v>
      </c>
      <c r="G184"/>
      <c r="H184"/>
      <c r="I184" s="93"/>
      <c r="J184"/>
      <c r="K184" s="178"/>
      <c r="L184" s="178"/>
      <c r="M184" s="170"/>
      <c r="N184" s="135"/>
      <c r="O184" s="187"/>
      <c r="P184"/>
      <c r="Q184"/>
      <c r="R184" s="125"/>
      <c r="S184" s="125"/>
      <c r="T184" s="125"/>
      <c r="U184" s="10"/>
    </row>
    <row r="185" spans="1:26" s="126" customFormat="1" x14ac:dyDescent="0.55000000000000004">
      <c r="A185" s="117"/>
      <c r="B185"/>
      <c r="C185" s="124"/>
      <c r="D185" s="124"/>
      <c r="E185" s="124"/>
      <c r="F185" s="10" t="s">
        <v>612</v>
      </c>
      <c r="H185"/>
      <c r="I185" s="159" t="s">
        <v>578</v>
      </c>
      <c r="J185"/>
      <c r="K185" s="178"/>
      <c r="L185" s="178"/>
      <c r="M185" s="170"/>
      <c r="N185" s="135"/>
      <c r="O185" s="187"/>
      <c r="P185"/>
      <c r="Q185"/>
      <c r="R185" s="125"/>
      <c r="S185" s="125"/>
      <c r="T185" s="125"/>
      <c r="U185" s="10"/>
    </row>
    <row r="186" spans="1:26" s="126" customFormat="1" x14ac:dyDescent="0.55000000000000004">
      <c r="A186" s="117"/>
      <c r="B186"/>
      <c r="C186" s="124"/>
      <c r="D186" s="124"/>
      <c r="E186" s="124"/>
      <c r="F186"/>
      <c r="G186"/>
      <c r="H186"/>
      <c r="I186" s="188"/>
      <c r="J186"/>
      <c r="K186" s="178"/>
      <c r="L186" s="178"/>
      <c r="M186" s="170"/>
      <c r="N186" s="135"/>
      <c r="O186" s="187"/>
      <c r="P186"/>
      <c r="Q186"/>
      <c r="R186" s="125"/>
      <c r="S186" s="125"/>
      <c r="T186" s="125"/>
      <c r="U186" s="10"/>
    </row>
    <row r="187" spans="1:26" s="126" customFormat="1" ht="57.6" x14ac:dyDescent="0.55000000000000004">
      <c r="A187" s="117"/>
      <c r="B187"/>
      <c r="C187" s="124"/>
      <c r="D187" s="124"/>
      <c r="E187" s="124"/>
      <c r="F187" s="56" t="s">
        <v>91</v>
      </c>
      <c r="G187" s="56" t="s">
        <v>92</v>
      </c>
      <c r="H187" s="129" t="s">
        <v>80</v>
      </c>
      <c r="I187" s="56" t="s">
        <v>367</v>
      </c>
      <c r="J187" s="56" t="s">
        <v>368</v>
      </c>
      <c r="K187" s="56" t="s">
        <v>341</v>
      </c>
      <c r="L187" s="56" t="s">
        <v>342</v>
      </c>
      <c r="M187" s="166" t="s">
        <v>351</v>
      </c>
      <c r="N187" s="56" t="s">
        <v>352</v>
      </c>
      <c r="O187" s="56" t="s">
        <v>353</v>
      </c>
      <c r="P187" s="56" t="s">
        <v>354</v>
      </c>
      <c r="Q187" s="56" t="s">
        <v>355</v>
      </c>
      <c r="R187" s="125"/>
      <c r="S187" s="125"/>
      <c r="T187" s="125"/>
      <c r="U187" s="10"/>
      <c r="V187" s="189" t="s">
        <v>616</v>
      </c>
      <c r="W187" s="168" t="s">
        <v>617</v>
      </c>
      <c r="X187" s="189" t="s">
        <v>618</v>
      </c>
      <c r="Y187" s="168" t="s">
        <v>619</v>
      </c>
    </row>
    <row r="188" spans="1:26" s="126" customFormat="1" x14ac:dyDescent="0.55000000000000004">
      <c r="A188" s="117"/>
      <c r="B188"/>
      <c r="C188" s="124"/>
      <c r="D188" s="124"/>
      <c r="E188" s="124"/>
      <c r="F188" s="89">
        <f>IF($I$181=Z188,Z188,1)</f>
        <v>1</v>
      </c>
      <c r="G188" s="91">
        <v>0</v>
      </c>
      <c r="H188" s="50"/>
      <c r="I188" s="169"/>
      <c r="J188" s="63"/>
      <c r="K188" s="21">
        <f>I182-SUMIF(F189:F192,"&lt;="&amp;$I$181,K189:K192)</f>
        <v>0</v>
      </c>
      <c r="L188" s="31">
        <f>I183-SUMIF(F189:F192,"&lt;="&amp;$I$181,L189:L192)</f>
        <v>0</v>
      </c>
      <c r="M188" s="44">
        <f>IFERROR(IF(G158=V158,0,IF(F188&lt;=I181,IF(I185="No",(L142-J150)/(SUMPRODUCT(V188:V192,K188:K192)+SUMPRODUCT(W188:W192,L188:L192)),0)*I184,0)),0)</f>
        <v>0</v>
      </c>
      <c r="N188" s="44">
        <f>IFERROR(IF(G158=V158,0,IF(F188&lt;=I181,IF(I185="No",(L142-J150)/(SUMPRODUCT(V188:V192,K188:K192)+SUMPRODUCT(W188:W192,L188:L192)),0),0)),0)</f>
        <v>0</v>
      </c>
      <c r="O188" s="97" t="str">
        <f>IFERROR(M188/N188,"")</f>
        <v/>
      </c>
      <c r="P188" s="26">
        <f t="shared" ref="P188:Q192" si="2">K188*M188</f>
        <v>0</v>
      </c>
      <c r="Q188" s="26">
        <f t="shared" si="2"/>
        <v>0</v>
      </c>
      <c r="R188" s="125"/>
      <c r="S188" s="125"/>
      <c r="T188" s="125"/>
      <c r="U188" s="10"/>
      <c r="V188" s="92">
        <f>IF(F188&lt;=$I$181,1*$I$184,0)</f>
        <v>0</v>
      </c>
      <c r="W188" s="96">
        <f>IF(F188&lt;=$I$181,1,0)</f>
        <v>1</v>
      </c>
      <c r="X188" s="92"/>
      <c r="Y188" s="96"/>
      <c r="Z188" s="126">
        <v>1</v>
      </c>
    </row>
    <row r="189" spans="1:26" s="126" customFormat="1" x14ac:dyDescent="0.55000000000000004">
      <c r="A189" s="117"/>
      <c r="B189"/>
      <c r="C189" s="124"/>
      <c r="D189" s="124"/>
      <c r="E189" s="124"/>
      <c r="F189" s="89" t="str">
        <f>IF($I$181&gt;=Z189,Z189,"")</f>
        <v/>
      </c>
      <c r="G189" s="91" t="str">
        <f>IF($I$181&gt;=F189,H188+0.01,"")</f>
        <v/>
      </c>
      <c r="H189" s="50"/>
      <c r="I189" s="61"/>
      <c r="J189" s="61"/>
      <c r="K189" s="13"/>
      <c r="L189" s="13"/>
      <c r="M189" s="44">
        <f>IF(F189&lt;=I181,IF(I185="No",M188*(1+I189),N189*I184),0)</f>
        <v>0</v>
      </c>
      <c r="N189" s="44">
        <f>IF(F189&lt;=I181,IF(I185="No",N188*(1+J189),(L142-J150)/(I184*SUMPRODUCT(X189:X192,K189:K192)+SUMPRODUCT(Y189:Y192,L189:L192))),0)</f>
        <v>0</v>
      </c>
      <c r="O189" s="97" t="str">
        <f>IFERROR(M189/N189,"")</f>
        <v/>
      </c>
      <c r="P189" s="26">
        <f t="shared" si="2"/>
        <v>0</v>
      </c>
      <c r="Q189" s="26">
        <f t="shared" si="2"/>
        <v>0</v>
      </c>
      <c r="R189" s="125"/>
      <c r="S189" s="125"/>
      <c r="T189" s="125"/>
      <c r="U189" s="10"/>
      <c r="V189" s="92">
        <f>IF(F189&lt;=$I$181,V188*(1+I189),0)</f>
        <v>0</v>
      </c>
      <c r="W189" s="96">
        <f>IF(F189&lt;=$I$181,(1+J189),0)</f>
        <v>0</v>
      </c>
      <c r="X189" s="92">
        <v>1</v>
      </c>
      <c r="Y189" s="96">
        <f>IF(F189&lt;=I181,1,0)</f>
        <v>0</v>
      </c>
      <c r="Z189" s="126">
        <v>2</v>
      </c>
    </row>
    <row r="190" spans="1:26" s="126" customFormat="1" x14ac:dyDescent="0.55000000000000004">
      <c r="A190" s="117"/>
      <c r="B190"/>
      <c r="C190" s="124"/>
      <c r="D190" s="124"/>
      <c r="E190" s="124"/>
      <c r="F190" s="89" t="str">
        <f>IF($I$181&gt;=Z190,Z190,"")</f>
        <v/>
      </c>
      <c r="G190" s="91" t="str">
        <f>IF($I$181&gt;=F190,H189+0.01,"")</f>
        <v/>
      </c>
      <c r="H190" s="50"/>
      <c r="I190" s="61"/>
      <c r="J190" s="61"/>
      <c r="K190" s="13"/>
      <c r="L190" s="13"/>
      <c r="M190" s="36">
        <f>IF(F190&lt;=$I$181,M189*(1+I190),0)</f>
        <v>0</v>
      </c>
      <c r="N190" s="36">
        <f>IF(F190&lt;=$I$181,N189*(1+J190),0)</f>
        <v>0</v>
      </c>
      <c r="O190" s="97" t="str">
        <f>IFERROR(M190/N190,"")</f>
        <v/>
      </c>
      <c r="P190" s="26">
        <f t="shared" si="2"/>
        <v>0</v>
      </c>
      <c r="Q190" s="26">
        <f t="shared" si="2"/>
        <v>0</v>
      </c>
      <c r="R190" s="125"/>
      <c r="S190" s="125"/>
      <c r="T190" s="125"/>
      <c r="U190" s="10"/>
      <c r="V190" s="92">
        <f>IF(F190&lt;=$I$181,V189*(1+I190),0)</f>
        <v>0</v>
      </c>
      <c r="W190" s="96">
        <f>IF(F190&lt;=$I$181,W189*(1+J190),0)</f>
        <v>0</v>
      </c>
      <c r="X190" s="92">
        <f>IF(F190&lt;=I181,X189*(1+I190),0)</f>
        <v>0</v>
      </c>
      <c r="Y190" s="96">
        <f>IF(F190&lt;=I181,Y189*(1+J190),0)</f>
        <v>0</v>
      </c>
      <c r="Z190" s="126">
        <v>3</v>
      </c>
    </row>
    <row r="191" spans="1:26" s="126" customFormat="1" x14ac:dyDescent="0.55000000000000004">
      <c r="A191" s="117"/>
      <c r="B191"/>
      <c r="C191" s="124"/>
      <c r="D191" s="124"/>
      <c r="E191" s="124"/>
      <c r="F191" s="89" t="str">
        <f>IF($I$181&gt;=Z191,Z191,"")</f>
        <v/>
      </c>
      <c r="G191" s="91" t="str">
        <f>IF($I$181&gt;=F191,H190+0.01,"")</f>
        <v/>
      </c>
      <c r="H191" s="50"/>
      <c r="I191" s="61"/>
      <c r="J191" s="61"/>
      <c r="K191" s="13"/>
      <c r="L191" s="13"/>
      <c r="M191" s="36">
        <f>IF(F191&lt;=$I$181,M190*(1+I191),0)</f>
        <v>0</v>
      </c>
      <c r="N191" s="36">
        <f>IF(F191&lt;=$I$181,N190*(1+J191),0)</f>
        <v>0</v>
      </c>
      <c r="O191" s="97" t="str">
        <f>IFERROR(M191/N191,"")</f>
        <v/>
      </c>
      <c r="P191" s="26">
        <f t="shared" si="2"/>
        <v>0</v>
      </c>
      <c r="Q191" s="26">
        <f t="shared" si="2"/>
        <v>0</v>
      </c>
      <c r="R191" s="125"/>
      <c r="S191" s="125"/>
      <c r="T191" s="125"/>
      <c r="U191" s="10"/>
      <c r="V191" s="92">
        <f>IF(F191&lt;=$I$181,V190*(1+I191),0)</f>
        <v>0</v>
      </c>
      <c r="W191" s="96">
        <f>IF(F191&lt;=$I$181,W190*(1+J191),0)</f>
        <v>0</v>
      </c>
      <c r="X191" s="92">
        <f>IF(F191&lt;=I181,X190*(1+I191),0)</f>
        <v>0</v>
      </c>
      <c r="Y191" s="96">
        <f>IF(F191&lt;=I181,Y190*(1+J191),0)</f>
        <v>0</v>
      </c>
      <c r="Z191" s="126">
        <v>4</v>
      </c>
    </row>
    <row r="192" spans="1:26" s="126" customFormat="1" x14ac:dyDescent="0.55000000000000004">
      <c r="A192" s="117"/>
      <c r="B192"/>
      <c r="C192" s="124"/>
      <c r="D192" s="124"/>
      <c r="E192" s="124"/>
      <c r="F192" s="89" t="str">
        <f>IF($I$181&gt;=Z192,Z192,"")</f>
        <v/>
      </c>
      <c r="G192" s="91" t="str">
        <f>IF($I$181&gt;=F192,H191+0.01,"")</f>
        <v/>
      </c>
      <c r="H192" s="89" t="s">
        <v>84</v>
      </c>
      <c r="I192" s="61"/>
      <c r="J192" s="61"/>
      <c r="K192" s="13"/>
      <c r="L192" s="13"/>
      <c r="M192" s="36">
        <f>IF(F192&lt;=$I$181,M191*(1+I192),0)</f>
        <v>0</v>
      </c>
      <c r="N192" s="36">
        <f>IF(F192&lt;=$I$181,N191*(1+J192),0)</f>
        <v>0</v>
      </c>
      <c r="O192" s="97" t="str">
        <f>IFERROR(M192/N192,"")</f>
        <v/>
      </c>
      <c r="P192" s="26">
        <f t="shared" si="2"/>
        <v>0</v>
      </c>
      <c r="Q192" s="26">
        <f t="shared" si="2"/>
        <v>0</v>
      </c>
      <c r="R192" s="125"/>
      <c r="S192" s="125"/>
      <c r="T192" s="125"/>
      <c r="U192" s="10"/>
      <c r="V192" s="92">
        <f>IF(F192&lt;=$I$181,V191*(1+I192),0)</f>
        <v>0</v>
      </c>
      <c r="W192" s="96">
        <f>IF(F192&lt;=$I$181,W191*(1+J192),0)</f>
        <v>0</v>
      </c>
      <c r="X192" s="92">
        <f>IF(F192&lt;=I181,X191*(1+I192),0)</f>
        <v>0</v>
      </c>
      <c r="Y192" s="96">
        <f>IF(F192&lt;=I181,Y191*(1+J192),0)</f>
        <v>0</v>
      </c>
      <c r="Z192" s="126">
        <v>5</v>
      </c>
    </row>
    <row r="193" spans="1:21" s="126" customFormat="1" ht="14.7" thickBot="1" x14ac:dyDescent="0.6">
      <c r="A193" s="117"/>
      <c r="B193"/>
      <c r="C193" s="124"/>
      <c r="D193" s="124"/>
      <c r="E193" s="130"/>
      <c r="F193" s="131"/>
      <c r="G193" s="131"/>
      <c r="H193" s="131"/>
      <c r="I193" s="131"/>
      <c r="J193" s="131"/>
      <c r="K193" s="131"/>
      <c r="L193" s="131"/>
      <c r="M193" s="131"/>
      <c r="N193" s="131"/>
      <c r="O193" s="131"/>
      <c r="P193" s="131"/>
      <c r="Q193" s="131"/>
      <c r="R193" s="132"/>
      <c r="S193" s="125"/>
      <c r="T193" s="125"/>
      <c r="U193" s="10"/>
    </row>
    <row r="194" spans="1:21" s="126" customFormat="1" ht="14.7" thickBot="1" x14ac:dyDescent="0.6">
      <c r="A194" s="117"/>
      <c r="B194"/>
      <c r="C194" s="124"/>
      <c r="D194" s="130"/>
      <c r="E194" s="131"/>
      <c r="F194" s="131"/>
      <c r="G194" s="131"/>
      <c r="H194" s="131"/>
      <c r="I194" s="131"/>
      <c r="J194" s="131"/>
      <c r="K194" s="131"/>
      <c r="L194" s="131"/>
      <c r="M194" s="131"/>
      <c r="N194" s="131"/>
      <c r="O194" s="131"/>
      <c r="P194" s="131"/>
      <c r="Q194" s="131"/>
      <c r="R194" s="131"/>
      <c r="S194" s="132"/>
      <c r="T194" s="125"/>
      <c r="U194" s="10"/>
    </row>
    <row r="195" spans="1:21" s="126" customFormat="1" ht="14.7" thickBot="1" x14ac:dyDescent="0.6">
      <c r="A195" s="117"/>
      <c r="B195"/>
      <c r="C195" s="130"/>
      <c r="D195" s="131"/>
      <c r="E195" s="131"/>
      <c r="F195" s="131"/>
      <c r="G195" s="131"/>
      <c r="H195" s="131"/>
      <c r="I195" s="131"/>
      <c r="J195" s="131"/>
      <c r="K195" s="131"/>
      <c r="L195" s="131"/>
      <c r="M195" s="131"/>
      <c r="N195" s="131"/>
      <c r="O195" s="131"/>
      <c r="P195" s="131"/>
      <c r="Q195" s="131"/>
      <c r="R195" s="131"/>
      <c r="S195" s="131"/>
      <c r="T195" s="132"/>
      <c r="U195" s="10"/>
    </row>
    <row r="196" spans="1:21" s="126" customFormat="1" ht="14.7" thickBot="1" x14ac:dyDescent="0.6">
      <c r="A196" s="117"/>
      <c r="B196"/>
      <c r="C196"/>
      <c r="D196"/>
      <c r="E196"/>
      <c r="F196"/>
      <c r="G196"/>
      <c r="H196"/>
      <c r="I196"/>
      <c r="J196"/>
      <c r="K196"/>
      <c r="L196"/>
      <c r="M196"/>
      <c r="N196"/>
      <c r="O196"/>
      <c r="P196"/>
      <c r="Q196"/>
      <c r="R196"/>
      <c r="S196"/>
      <c r="T196"/>
      <c r="U196" s="10"/>
    </row>
    <row r="197" spans="1:21" s="126" customFormat="1" x14ac:dyDescent="0.55000000000000004">
      <c r="A197" s="117"/>
      <c r="B197"/>
      <c r="C197" s="121"/>
      <c r="D197" s="122"/>
      <c r="E197" s="122"/>
      <c r="F197" s="122"/>
      <c r="G197" s="122"/>
      <c r="H197" s="122"/>
      <c r="I197" s="122"/>
      <c r="J197" s="122"/>
      <c r="K197" s="122"/>
      <c r="L197" s="122"/>
      <c r="M197" s="122"/>
      <c r="N197" s="122"/>
      <c r="O197" s="122"/>
      <c r="P197" s="122"/>
      <c r="Q197" s="122"/>
      <c r="R197" s="122"/>
      <c r="S197" s="122"/>
      <c r="T197" s="123"/>
      <c r="U197" s="10"/>
    </row>
    <row r="198" spans="1:21" s="126" customFormat="1" ht="18.3" x14ac:dyDescent="0.7">
      <c r="A198" s="117"/>
      <c r="B198"/>
      <c r="C198" s="124"/>
      <c r="D198" s="1822" t="str">
        <f>'2 Customer data'!D96</f>
        <v>Small Customers: TOU</v>
      </c>
      <c r="E198" s="1822"/>
      <c r="F198" s="1822"/>
      <c r="G198" s="1822"/>
      <c r="H198" s="1822"/>
      <c r="I198" s="1822"/>
      <c r="J198" s="1822"/>
      <c r="K198" s="1822"/>
      <c r="L198" s="1822"/>
      <c r="M198" s="1822"/>
      <c r="N198" s="1822"/>
      <c r="O198" s="1822"/>
      <c r="P198" s="1822"/>
      <c r="Q198" s="1822"/>
      <c r="R198" s="1822"/>
      <c r="S198" s="1822"/>
      <c r="T198" s="125"/>
      <c r="U198" s="10"/>
    </row>
    <row r="199" spans="1:21" s="126" customFormat="1" ht="14.7" thickBot="1" x14ac:dyDescent="0.6">
      <c r="A199" s="117"/>
      <c r="B199"/>
      <c r="C199" s="124"/>
      <c r="D199"/>
      <c r="E199"/>
      <c r="F199"/>
      <c r="G199"/>
      <c r="H199"/>
      <c r="I199"/>
      <c r="J199"/>
      <c r="K199"/>
      <c r="L199"/>
      <c r="M199"/>
      <c r="N199"/>
      <c r="O199"/>
      <c r="P199"/>
      <c r="Q199"/>
      <c r="R199"/>
      <c r="S199"/>
      <c r="T199" s="125"/>
      <c r="U199" s="10"/>
    </row>
    <row r="200" spans="1:21" s="126" customFormat="1" x14ac:dyDescent="0.55000000000000004">
      <c r="A200" s="117"/>
      <c r="B200"/>
      <c r="C200" s="124"/>
      <c r="D200" s="121"/>
      <c r="E200" s="122"/>
      <c r="F200" s="122"/>
      <c r="G200" s="122"/>
      <c r="H200" s="122"/>
      <c r="I200" s="122"/>
      <c r="J200" s="122"/>
      <c r="K200" s="122"/>
      <c r="L200" s="122"/>
      <c r="M200" s="122"/>
      <c r="N200" s="122"/>
      <c r="O200" s="122"/>
      <c r="P200" s="122"/>
      <c r="Q200" s="122"/>
      <c r="R200" s="122"/>
      <c r="S200" s="123"/>
      <c r="T200" s="125"/>
      <c r="U200" s="10"/>
    </row>
    <row r="201" spans="1:21" s="126" customFormat="1" x14ac:dyDescent="0.55000000000000004">
      <c r="A201" s="117"/>
      <c r="B201"/>
      <c r="C201" s="124"/>
      <c r="D201" s="124"/>
      <c r="E201"/>
      <c r="F201" s="1" t="str">
        <f>'2 Customer data'!D96&amp;" "&amp;"information"</f>
        <v>Small Customers: TOU information</v>
      </c>
      <c r="G201"/>
      <c r="H201"/>
      <c r="I201"/>
      <c r="J201"/>
      <c r="K201"/>
      <c r="L201"/>
      <c r="M201"/>
      <c r="N201"/>
      <c r="O201"/>
      <c r="P201"/>
      <c r="Q201"/>
      <c r="R201"/>
      <c r="S201" s="125"/>
      <c r="T201" s="125"/>
      <c r="U201" s="10"/>
    </row>
    <row r="202" spans="1:21" s="126" customFormat="1" x14ac:dyDescent="0.55000000000000004">
      <c r="A202" s="117"/>
      <c r="B202"/>
      <c r="C202" s="124"/>
      <c r="D202" s="124"/>
      <c r="E202"/>
      <c r="F202"/>
      <c r="G202"/>
      <c r="H202"/>
      <c r="I202"/>
      <c r="J202"/>
      <c r="K202"/>
      <c r="L202"/>
      <c r="M202"/>
      <c r="N202"/>
      <c r="O202"/>
      <c r="P202"/>
      <c r="Q202"/>
      <c r="R202"/>
      <c r="S202" s="125"/>
      <c r="T202" s="125"/>
      <c r="U202" s="10"/>
    </row>
    <row r="203" spans="1:21" s="126" customFormat="1" ht="28.8" x14ac:dyDescent="0.55000000000000004">
      <c r="A203" s="117"/>
      <c r="B203"/>
      <c r="C203" s="124"/>
      <c r="D203" s="124"/>
      <c r="E203"/>
      <c r="F203"/>
      <c r="G203" s="56" t="s">
        <v>28</v>
      </c>
      <c r="H203" s="56" t="s">
        <v>345</v>
      </c>
      <c r="I203" s="56" t="s">
        <v>60</v>
      </c>
      <c r="J203" s="56" t="s">
        <v>249</v>
      </c>
      <c r="K203" s="56" t="s">
        <v>279</v>
      </c>
      <c r="L203" s="56" t="s">
        <v>357</v>
      </c>
      <c r="M203"/>
      <c r="N203" s="162"/>
      <c r="O203"/>
      <c r="P203"/>
      <c r="Q203"/>
      <c r="R203"/>
      <c r="S203" s="125"/>
      <c r="T203" s="125"/>
      <c r="U203" s="10"/>
    </row>
    <row r="204" spans="1:21" s="126" customFormat="1" x14ac:dyDescent="0.55000000000000004">
      <c r="A204" s="117"/>
      <c r="B204"/>
      <c r="C204" s="124"/>
      <c r="D204" s="124"/>
      <c r="E204"/>
      <c r="F204" t="str">
        <f>'2 Customer data'!D96</f>
        <v>Small Customers: TOU</v>
      </c>
      <c r="G204" s="94">
        <f>IFERROR(IF(VLOOKUP(F204,'2 Customer data'!$D$93:$N$112,7,FALSE)="",VLOOKUP(F204,'2 Customer data'!$D$93:$N$112,6,FALSE),VLOOKUP(F204,'2 Customer data'!$D$93:$N$112,7,FALSE)),0)</f>
        <v>2</v>
      </c>
      <c r="H204" s="26">
        <f>IFERROR(IF(VLOOKUP(F204,'2 Customer data'!$D$93:$N$112,9,FALSE)="",VLOOKUP(F204,'2 Customer data'!$D$93:$N$112,8,FALSE),VLOOKUP(F204,'2 Customer data'!$D$93:$N$112,9,FALSE)),0)</f>
        <v>11663</v>
      </c>
      <c r="I204" s="26">
        <f ca="1">IFERROR(VLOOKUP($F204,'2 Electricity'!$D$21:$L$40,6,FALSE),0)</f>
        <v>13376.092335559833</v>
      </c>
      <c r="J204" s="26">
        <f ca="1">IFERROR(VLOOKUP($F204,'2 Electricity'!$D$21:$L$40,7,FALSE),0)</f>
        <v>34778.399008546694</v>
      </c>
      <c r="K204" s="26">
        <f ca="1">IFERROR(VLOOKUP($F204,'2 Electricity'!$D$21:$L$40,8,FALSE),0)</f>
        <v>0</v>
      </c>
      <c r="L204" s="26">
        <f ca="1">IFERROR(VLOOKUP(F204,'2 Electricity'!$D$157:$K$176,8,FALSE),0)</f>
        <v>43642.551519944704</v>
      </c>
      <c r="M204"/>
      <c r="N204" s="134"/>
      <c r="O204"/>
      <c r="P204"/>
      <c r="Q204"/>
      <c r="R204"/>
      <c r="S204" s="125"/>
      <c r="T204" s="125"/>
      <c r="U204" s="10"/>
    </row>
    <row r="205" spans="1:21" s="126" customFormat="1" ht="14.7" thickBot="1" x14ac:dyDescent="0.6">
      <c r="A205" s="117"/>
      <c r="B205"/>
      <c r="C205" s="124"/>
      <c r="D205" s="130"/>
      <c r="E205" s="131"/>
      <c r="F205" s="131"/>
      <c r="G205" s="131"/>
      <c r="H205" s="131"/>
      <c r="I205" s="131"/>
      <c r="J205" s="131"/>
      <c r="K205" s="131"/>
      <c r="L205" s="131"/>
      <c r="M205" s="131"/>
      <c r="N205" s="131"/>
      <c r="O205" s="131"/>
      <c r="P205" s="131"/>
      <c r="Q205" s="131"/>
      <c r="R205" s="131"/>
      <c r="S205" s="132"/>
      <c r="T205" s="125"/>
      <c r="U205" s="10"/>
    </row>
    <row r="206" spans="1:21" s="126" customFormat="1" ht="14.7" thickBot="1" x14ac:dyDescent="0.6">
      <c r="A206" s="117"/>
      <c r="B206"/>
      <c r="C206" s="124"/>
      <c r="D206"/>
      <c r="E206"/>
      <c r="F206"/>
      <c r="G206"/>
      <c r="H206"/>
      <c r="I206"/>
      <c r="J206"/>
      <c r="K206"/>
      <c r="L206"/>
      <c r="M206"/>
      <c r="N206"/>
      <c r="O206"/>
      <c r="P206"/>
      <c r="Q206"/>
      <c r="R206"/>
      <c r="S206"/>
      <c r="T206" s="125"/>
      <c r="U206" s="10"/>
    </row>
    <row r="207" spans="1:21" s="126" customFormat="1" x14ac:dyDescent="0.55000000000000004">
      <c r="A207" s="117"/>
      <c r="B207"/>
      <c r="C207" s="124"/>
      <c r="D207" s="121"/>
      <c r="E207" s="122"/>
      <c r="F207" s="122"/>
      <c r="G207" s="122"/>
      <c r="H207" s="122"/>
      <c r="I207" s="122"/>
      <c r="J207" s="122"/>
      <c r="K207" s="122"/>
      <c r="L207" s="122"/>
      <c r="M207" s="122"/>
      <c r="N207" s="122"/>
      <c r="O207" s="122"/>
      <c r="P207" s="122"/>
      <c r="Q207" s="122"/>
      <c r="R207" s="122"/>
      <c r="S207" s="123"/>
      <c r="T207" s="125"/>
      <c r="U207" s="10"/>
    </row>
    <row r="208" spans="1:21" s="126" customFormat="1" x14ac:dyDescent="0.55000000000000004">
      <c r="A208" s="117"/>
      <c r="B208"/>
      <c r="C208" s="124"/>
      <c r="D208" s="124"/>
      <c r="E208"/>
      <c r="F208" s="1" t="s">
        <v>85</v>
      </c>
      <c r="G208"/>
      <c r="H208"/>
      <c r="I208"/>
      <c r="J208"/>
      <c r="K208"/>
      <c r="L208"/>
      <c r="M208"/>
      <c r="N208"/>
      <c r="O208"/>
      <c r="P208"/>
      <c r="Q208"/>
      <c r="R208"/>
      <c r="S208" s="125"/>
      <c r="T208" s="125"/>
      <c r="U208" s="10"/>
    </row>
    <row r="209" spans="1:22" s="126" customFormat="1" x14ac:dyDescent="0.55000000000000004">
      <c r="A209" s="117"/>
      <c r="B209"/>
      <c r="C209" s="124"/>
      <c r="D209" s="124"/>
      <c r="E209"/>
      <c r="F209" s="120" t="s">
        <v>555</v>
      </c>
      <c r="G209"/>
      <c r="H209"/>
      <c r="I209"/>
      <c r="J209"/>
      <c r="K209"/>
      <c r="L209"/>
      <c r="M209"/>
      <c r="N209"/>
      <c r="O209"/>
      <c r="P209"/>
      <c r="Q209"/>
      <c r="R209"/>
      <c r="S209" s="125"/>
      <c r="T209" s="125"/>
      <c r="U209" s="10"/>
    </row>
    <row r="210" spans="1:22" s="126" customFormat="1" x14ac:dyDescent="0.55000000000000004">
      <c r="A210" s="117"/>
      <c r="B210"/>
      <c r="C210" s="124"/>
      <c r="D210" s="124"/>
      <c r="E210"/>
      <c r="F210"/>
      <c r="G210"/>
      <c r="H210"/>
      <c r="I210"/>
      <c r="J210"/>
      <c r="K210"/>
      <c r="L210"/>
      <c r="M210"/>
      <c r="N210"/>
      <c r="O210"/>
      <c r="P210"/>
      <c r="Q210"/>
      <c r="R210"/>
      <c r="S210" s="125"/>
      <c r="T210" s="125"/>
      <c r="U210" s="10"/>
    </row>
    <row r="211" spans="1:22" s="126" customFormat="1" ht="43.2" x14ac:dyDescent="0.55000000000000004">
      <c r="A211" s="117"/>
      <c r="B211"/>
      <c r="C211" s="124"/>
      <c r="D211" s="124"/>
      <c r="E211"/>
      <c r="F211"/>
      <c r="G211" s="56" t="s">
        <v>86</v>
      </c>
      <c r="H211" s="56" t="s">
        <v>73</v>
      </c>
      <c r="I211" s="56" t="s">
        <v>87</v>
      </c>
      <c r="J211" s="56" t="s">
        <v>75</v>
      </c>
      <c r="K211" s="56" t="s">
        <v>76</v>
      </c>
      <c r="L211"/>
      <c r="M211"/>
      <c r="N211"/>
      <c r="O211"/>
      <c r="P211"/>
      <c r="Q211"/>
      <c r="R211"/>
      <c r="S211" s="125"/>
      <c r="T211" s="125"/>
      <c r="U211" s="10"/>
    </row>
    <row r="212" spans="1:22" s="126" customFormat="1" x14ac:dyDescent="0.55000000000000004">
      <c r="A212" s="117"/>
      <c r="B212"/>
      <c r="C212" s="124"/>
      <c r="D212" s="124"/>
      <c r="E212"/>
      <c r="F212" t="str">
        <f>F204</f>
        <v>Small Customers: TOU</v>
      </c>
      <c r="G212" s="26">
        <f ca="1">SUM(I204,K204)</f>
        <v>13376.092335559833</v>
      </c>
      <c r="H212" s="64">
        <f ca="1">IFERROR(G212/G204,0)/12</f>
        <v>557.33718064832635</v>
      </c>
      <c r="I212" s="84"/>
      <c r="J212" s="26">
        <f>I212*G204*12</f>
        <v>0</v>
      </c>
      <c r="K212" s="21">
        <f>J212/12</f>
        <v>0</v>
      </c>
      <c r="L212"/>
      <c r="M212"/>
      <c r="N212"/>
      <c r="O212"/>
      <c r="P212"/>
      <c r="Q212"/>
      <c r="R212"/>
      <c r="S212" s="125"/>
      <c r="T212" s="125"/>
      <c r="U212" s="10"/>
    </row>
    <row r="213" spans="1:22" s="126" customFormat="1" x14ac:dyDescent="0.55000000000000004">
      <c r="A213" s="117"/>
      <c r="B213"/>
      <c r="C213" s="124"/>
      <c r="D213" s="124"/>
      <c r="E213" s="133"/>
      <c r="F213" s="58" t="str">
        <f>IF(I212&gt;I203,"Error: revenue from fixed charges exceeds total revenue required from tariff. Reduce fixed charge.","")</f>
        <v/>
      </c>
      <c r="G213" s="58" t="str">
        <f ca="1">IF(J212&gt;L204,"Error: revenue from fixed charges exceeds total revenue required from tariff. Reduce fixed charge.","")</f>
        <v/>
      </c>
      <c r="H213" s="134"/>
      <c r="I213" s="134"/>
      <c r="J213" s="135"/>
      <c r="K213"/>
      <c r="L213"/>
      <c r="M213"/>
      <c r="N213"/>
      <c r="O213"/>
      <c r="P213"/>
      <c r="Q213"/>
      <c r="R213"/>
      <c r="S213" s="125"/>
      <c r="T213" s="125"/>
      <c r="U213" s="10"/>
    </row>
    <row r="214" spans="1:22" s="126" customFormat="1" ht="14.7" thickBot="1" x14ac:dyDescent="0.6">
      <c r="A214" s="117"/>
      <c r="B214"/>
      <c r="C214" s="124"/>
      <c r="D214" s="130"/>
      <c r="E214" s="131"/>
      <c r="F214" s="131"/>
      <c r="G214" s="131"/>
      <c r="H214" s="131"/>
      <c r="I214" s="131"/>
      <c r="J214" s="131"/>
      <c r="K214" s="131"/>
      <c r="L214" s="131"/>
      <c r="M214" s="131"/>
      <c r="N214" s="131"/>
      <c r="O214" s="131"/>
      <c r="P214" s="131"/>
      <c r="Q214" s="131"/>
      <c r="R214" s="131"/>
      <c r="S214" s="132"/>
      <c r="T214" s="125"/>
      <c r="U214" s="10"/>
    </row>
    <row r="215" spans="1:22" s="126" customFormat="1" ht="14.7" thickBot="1" x14ac:dyDescent="0.6">
      <c r="A215" s="117"/>
      <c r="B215"/>
      <c r="C215" s="124"/>
      <c r="D215"/>
      <c r="E215"/>
      <c r="F215"/>
      <c r="G215"/>
      <c r="H215"/>
      <c r="I215"/>
      <c r="J215"/>
      <c r="K215"/>
      <c r="L215"/>
      <c r="M215"/>
      <c r="N215"/>
      <c r="O215"/>
      <c r="P215"/>
      <c r="Q215"/>
      <c r="R215"/>
      <c r="S215"/>
      <c r="T215" s="125"/>
      <c r="U215" s="10"/>
    </row>
    <row r="216" spans="1:22" s="126" customFormat="1" x14ac:dyDescent="0.55000000000000004">
      <c r="A216" s="117"/>
      <c r="B216"/>
      <c r="C216" s="124"/>
      <c r="D216" s="121"/>
      <c r="E216" s="122"/>
      <c r="F216" s="122"/>
      <c r="G216" s="122"/>
      <c r="H216" s="122"/>
      <c r="I216" s="122"/>
      <c r="J216" s="122"/>
      <c r="K216" s="122"/>
      <c r="L216" s="122"/>
      <c r="M216" s="122"/>
      <c r="N216" s="122"/>
      <c r="O216" s="122"/>
      <c r="P216" s="122"/>
      <c r="Q216" s="122"/>
      <c r="R216" s="122"/>
      <c r="S216" s="123"/>
      <c r="T216" s="125"/>
      <c r="U216" s="10"/>
    </row>
    <row r="217" spans="1:22" s="126" customFormat="1" x14ac:dyDescent="0.55000000000000004">
      <c r="A217" s="117"/>
      <c r="B217"/>
      <c r="C217" s="124"/>
      <c r="D217" s="124"/>
      <c r="E217"/>
      <c r="F217" s="1" t="s">
        <v>96</v>
      </c>
      <c r="G217"/>
      <c r="H217"/>
      <c r="I217"/>
      <c r="J217"/>
      <c r="K217"/>
      <c r="L217"/>
      <c r="M217"/>
      <c r="N217"/>
      <c r="O217"/>
      <c r="P217"/>
      <c r="Q217"/>
      <c r="R217"/>
      <c r="S217" s="125"/>
      <c r="T217" s="125"/>
      <c r="U217" s="10"/>
    </row>
    <row r="218" spans="1:22" s="126" customFormat="1" ht="14.55" customHeight="1" x14ac:dyDescent="0.55000000000000004">
      <c r="A218" s="117"/>
      <c r="B218"/>
      <c r="C218" s="124"/>
      <c r="D218" s="124"/>
      <c r="E218"/>
      <c r="F218" s="1804" t="s">
        <v>560</v>
      </c>
      <c r="G218" s="1804"/>
      <c r="H218" s="1804"/>
      <c r="I218" s="1804"/>
      <c r="J218" s="1804"/>
      <c r="K218" s="1804"/>
      <c r="L218" s="1804"/>
      <c r="M218" s="1804"/>
      <c r="N218" s="1804"/>
      <c r="O218" s="1804"/>
      <c r="P218" s="1804"/>
      <c r="Q218" s="119"/>
      <c r="R218"/>
      <c r="S218" s="125"/>
      <c r="T218" s="125"/>
      <c r="U218" s="10"/>
    </row>
    <row r="219" spans="1:22" s="126" customFormat="1" x14ac:dyDescent="0.55000000000000004">
      <c r="A219" s="117"/>
      <c r="B219"/>
      <c r="C219" s="124"/>
      <c r="D219" s="124"/>
      <c r="E219"/>
      <c r="F219" s="119"/>
      <c r="G219" s="119"/>
      <c r="H219" s="119"/>
      <c r="I219" s="119"/>
      <c r="J219" s="119"/>
      <c r="K219" s="119"/>
      <c r="L219" s="119"/>
      <c r="M219" s="119"/>
      <c r="N219" s="119"/>
      <c r="O219" s="119"/>
      <c r="P219" s="119"/>
      <c r="Q219" s="119"/>
      <c r="R219"/>
      <c r="S219" s="125"/>
      <c r="T219" s="125"/>
      <c r="U219" s="10"/>
    </row>
    <row r="220" spans="1:22" s="126" customFormat="1" x14ac:dyDescent="0.55000000000000004">
      <c r="A220" s="117"/>
      <c r="B220"/>
      <c r="C220" s="124"/>
      <c r="D220" s="124"/>
      <c r="E220"/>
      <c r="F220" s="1" t="s">
        <v>348</v>
      </c>
      <c r="G220" s="80" t="s">
        <v>90</v>
      </c>
      <c r="H220" s="119"/>
      <c r="I220" s="119"/>
      <c r="J220" s="119"/>
      <c r="K220" s="119"/>
      <c r="L220" s="119"/>
      <c r="M220" s="119"/>
      <c r="N220" s="119"/>
      <c r="O220" s="119"/>
      <c r="P220" s="119"/>
      <c r="Q220" s="119"/>
      <c r="R220"/>
      <c r="S220" s="125"/>
      <c r="T220" s="125"/>
      <c r="U220" s="10"/>
      <c r="V220" s="126" t="s">
        <v>89</v>
      </c>
    </row>
    <row r="221" spans="1:22" s="126" customFormat="1" ht="14.7" thickBot="1" x14ac:dyDescent="0.6">
      <c r="A221" s="117"/>
      <c r="B221"/>
      <c r="C221" s="124"/>
      <c r="D221" s="124"/>
      <c r="E221"/>
      <c r="F221"/>
      <c r="G221" s="134"/>
      <c r="H221" s="119"/>
      <c r="I221" s="119"/>
      <c r="J221" s="119"/>
      <c r="K221" s="119"/>
      <c r="L221" s="119"/>
      <c r="M221" s="119"/>
      <c r="N221" s="119"/>
      <c r="O221" s="119"/>
      <c r="P221" s="119"/>
      <c r="Q221" s="119"/>
      <c r="R221"/>
      <c r="S221" s="125"/>
      <c r="T221" s="125"/>
      <c r="U221" s="10"/>
      <c r="V221" s="126" t="s">
        <v>90</v>
      </c>
    </row>
    <row r="222" spans="1:22" s="126" customFormat="1" x14ac:dyDescent="0.55000000000000004">
      <c r="A222" s="117"/>
      <c r="B222"/>
      <c r="C222" s="124"/>
      <c r="D222" s="124"/>
      <c r="E222" s="121"/>
      <c r="F222" s="122"/>
      <c r="G222" s="122"/>
      <c r="H222" s="122"/>
      <c r="I222" s="122"/>
      <c r="J222" s="122"/>
      <c r="K222" s="122"/>
      <c r="L222" s="122"/>
      <c r="M222" s="122"/>
      <c r="N222" s="122"/>
      <c r="O222" s="122"/>
      <c r="P222" s="122"/>
      <c r="Q222" s="122"/>
      <c r="R222" s="123"/>
      <c r="S222" s="125"/>
      <c r="T222" s="125"/>
      <c r="U222" s="10"/>
    </row>
    <row r="223" spans="1:22" s="126" customFormat="1" x14ac:dyDescent="0.55000000000000004">
      <c r="A223" s="117"/>
      <c r="B223"/>
      <c r="C223" s="124"/>
      <c r="D223" s="124"/>
      <c r="E223" s="124"/>
      <c r="F223" s="1" t="s">
        <v>343</v>
      </c>
      <c r="G223" s="163"/>
      <c r="H223"/>
      <c r="I223"/>
      <c r="J223"/>
      <c r="K223"/>
      <c r="L223"/>
      <c r="M223"/>
      <c r="N223"/>
      <c r="O223"/>
      <c r="P223"/>
      <c r="Q223"/>
      <c r="R223" s="125"/>
      <c r="S223" s="125"/>
      <c r="T223" s="125"/>
      <c r="U223" s="10"/>
    </row>
    <row r="224" spans="1:22" s="126" customFormat="1" ht="14.55" customHeight="1" x14ac:dyDescent="0.55000000000000004">
      <c r="A224" s="117"/>
      <c r="B224"/>
      <c r="C224" s="124"/>
      <c r="D224" s="124"/>
      <c r="E224" s="124"/>
      <c r="F224" s="1804" t="s">
        <v>561</v>
      </c>
      <c r="G224" s="1804"/>
      <c r="H224" s="1804"/>
      <c r="I224" s="1804"/>
      <c r="J224" s="1804"/>
      <c r="K224" s="1804"/>
      <c r="L224" s="1804"/>
      <c r="M224" s="1804"/>
      <c r="N224" s="1804"/>
      <c r="O224" s="1804"/>
      <c r="P224" s="1804"/>
      <c r="Q224" s="1804"/>
      <c r="R224" s="125"/>
      <c r="S224" s="125"/>
      <c r="T224" s="125"/>
      <c r="U224" s="10"/>
    </row>
    <row r="225" spans="1:24" s="126" customFormat="1" x14ac:dyDescent="0.55000000000000004">
      <c r="A225" s="117"/>
      <c r="B225"/>
      <c r="C225" s="124"/>
      <c r="D225" s="124"/>
      <c r="E225" s="124"/>
      <c r="F225" s="1804"/>
      <c r="G225" s="1804"/>
      <c r="H225" s="1804"/>
      <c r="I225" s="1804"/>
      <c r="J225" s="1804"/>
      <c r="K225" s="1804"/>
      <c r="L225" s="1804"/>
      <c r="M225" s="1804"/>
      <c r="N225" s="1804"/>
      <c r="O225" s="1804"/>
      <c r="P225" s="1804"/>
      <c r="Q225" s="1804"/>
      <c r="R225" s="125"/>
      <c r="S225" s="125"/>
      <c r="T225" s="125"/>
      <c r="U225" s="10"/>
    </row>
    <row r="226" spans="1:24" s="126" customFormat="1" x14ac:dyDescent="0.55000000000000004">
      <c r="A226" s="117"/>
      <c r="B226"/>
      <c r="C226" s="124"/>
      <c r="D226" s="124"/>
      <c r="E226" s="124"/>
      <c r="F226" s="1"/>
      <c r="G226" s="163"/>
      <c r="H226"/>
      <c r="I226"/>
      <c r="J226"/>
      <c r="K226"/>
      <c r="L226"/>
      <c r="M226"/>
      <c r="N226"/>
      <c r="O226"/>
      <c r="P226"/>
      <c r="Q226"/>
      <c r="R226" s="125"/>
      <c r="S226" s="125"/>
      <c r="T226" s="125"/>
      <c r="U226" s="10"/>
    </row>
    <row r="227" spans="1:24" s="126" customFormat="1" x14ac:dyDescent="0.55000000000000004">
      <c r="A227" s="117"/>
      <c r="B227"/>
      <c r="C227" s="124"/>
      <c r="D227" s="124"/>
      <c r="E227" s="124"/>
      <c r="F227" s="164" t="s">
        <v>88</v>
      </c>
      <c r="G227" s="10"/>
      <c r="H227"/>
      <c r="I227" s="50">
        <v>1</v>
      </c>
      <c r="J227"/>
      <c r="K227"/>
      <c r="L227"/>
      <c r="M227"/>
      <c r="N227"/>
      <c r="O227"/>
      <c r="P227"/>
      <c r="Q227"/>
      <c r="R227" s="125"/>
      <c r="S227" s="125"/>
      <c r="T227" s="125"/>
      <c r="U227" s="10"/>
    </row>
    <row r="228" spans="1:24" s="126" customFormat="1" x14ac:dyDescent="0.55000000000000004">
      <c r="A228" s="117"/>
      <c r="B228"/>
      <c r="C228" s="124"/>
      <c r="D228" s="124"/>
      <c r="E228" s="124"/>
      <c r="F228" s="10" t="s">
        <v>612</v>
      </c>
      <c r="H228"/>
      <c r="I228" s="159" t="s">
        <v>578</v>
      </c>
      <c r="J228"/>
      <c r="K228"/>
      <c r="L228"/>
      <c r="M228"/>
      <c r="N228"/>
      <c r="O228"/>
      <c r="P228"/>
      <c r="Q228"/>
      <c r="R228" s="125"/>
      <c r="S228" s="125"/>
      <c r="T228" s="125"/>
      <c r="U228" s="10"/>
    </row>
    <row r="229" spans="1:24" s="126" customFormat="1" x14ac:dyDescent="0.55000000000000004">
      <c r="A229" s="117"/>
      <c r="B229"/>
      <c r="C229" s="124"/>
      <c r="D229" s="124"/>
      <c r="E229" s="124"/>
      <c r="F229"/>
      <c r="G229"/>
      <c r="H229"/>
      <c r="I229"/>
      <c r="J229"/>
      <c r="K229"/>
      <c r="L229"/>
      <c r="M229"/>
      <c r="N229"/>
      <c r="O229"/>
      <c r="P229"/>
      <c r="Q229"/>
      <c r="R229" s="125"/>
      <c r="S229" s="125"/>
      <c r="T229" s="125"/>
      <c r="U229" s="10"/>
    </row>
    <row r="230" spans="1:24" s="126" customFormat="1" ht="57" customHeight="1" x14ac:dyDescent="0.55000000000000004">
      <c r="A230" s="117"/>
      <c r="B230"/>
      <c r="C230" s="124"/>
      <c r="D230" s="124"/>
      <c r="E230" s="124"/>
      <c r="F230" s="56" t="s">
        <v>91</v>
      </c>
      <c r="G230" s="56" t="s">
        <v>92</v>
      </c>
      <c r="H230" s="129" t="s">
        <v>80</v>
      </c>
      <c r="I230" s="56" t="s">
        <v>340</v>
      </c>
      <c r="J230" s="56" t="s">
        <v>356</v>
      </c>
      <c r="K230" s="165" t="s">
        <v>349</v>
      </c>
      <c r="L230" s="166" t="s">
        <v>350</v>
      </c>
      <c r="M230" s="162"/>
      <c r="N230" s="162"/>
      <c r="O230" s="162"/>
      <c r="P230" s="162"/>
      <c r="Q230" s="162"/>
      <c r="R230" s="167"/>
      <c r="S230" s="167"/>
      <c r="T230" s="167"/>
      <c r="U230" s="10"/>
      <c r="V230" s="168" t="s">
        <v>621</v>
      </c>
      <c r="W230" s="168" t="s">
        <v>622</v>
      </c>
    </row>
    <row r="231" spans="1:24" s="126" customFormat="1" x14ac:dyDescent="0.55000000000000004">
      <c r="A231" s="117"/>
      <c r="B231"/>
      <c r="C231" s="124"/>
      <c r="D231" s="124"/>
      <c r="E231" s="124"/>
      <c r="F231" s="89">
        <f>IF($I$227=X231,X231,1)</f>
        <v>1</v>
      </c>
      <c r="G231" s="91">
        <v>0</v>
      </c>
      <c r="H231" s="50" t="s">
        <v>84</v>
      </c>
      <c r="I231" s="169"/>
      <c r="J231" s="21">
        <f>IF(G220=V220,H204-SUMIF(F232:F235,"&lt;="&amp;$I$227,J232:J235),0)</f>
        <v>0</v>
      </c>
      <c r="K231" s="114">
        <f>IFERROR(IF(G220=V220,IF(F231&lt;=I227,IF(I228="No",IF(J212=0,L204/SUMPRODUCT(V231:V235,J231:J235),(L204-J212)/SUMPRODUCT(V231:V235,J231:J235)),0),0),0),0)</f>
        <v>0</v>
      </c>
      <c r="L231" s="31">
        <f>J231*K231</f>
        <v>0</v>
      </c>
      <c r="M231" s="170"/>
      <c r="N231" s="135"/>
      <c r="O231" s="171"/>
      <c r="P231"/>
      <c r="Q231"/>
      <c r="R231" s="125"/>
      <c r="S231" s="125"/>
      <c r="T231" s="125"/>
      <c r="U231" s="10"/>
      <c r="V231" s="96">
        <f>IF(F231&lt;=$I$227,1,0)</f>
        <v>1</v>
      </c>
      <c r="X231" s="126">
        <v>1</v>
      </c>
    </row>
    <row r="232" spans="1:24" s="126" customFormat="1" x14ac:dyDescent="0.55000000000000004">
      <c r="A232" s="117"/>
      <c r="B232"/>
      <c r="C232" s="124"/>
      <c r="D232" s="124"/>
      <c r="E232" s="124"/>
      <c r="F232" s="89" t="str">
        <f>IF($I$227&gt;=X232,X232,"")</f>
        <v/>
      </c>
      <c r="G232" s="91" t="str">
        <f>IF($I$227&gt;=F232,H231+0.01,"")</f>
        <v/>
      </c>
      <c r="H232" s="50"/>
      <c r="I232" s="61"/>
      <c r="J232" s="13"/>
      <c r="K232" s="114">
        <f>IFERROR(IF(F232&lt;=I227,IF(I228="No",K231*(1+I232),IF(J212=0,L204/SUMPRODUCT(W232:W235,J232:J235),(L204-J212)/SUMPRODUCT(W232:W235,J232:J235))),0),0)</f>
        <v>0</v>
      </c>
      <c r="L232" s="31">
        <f>J232*K232</f>
        <v>0</v>
      </c>
      <c r="M232" s="170"/>
      <c r="N232" s="135"/>
      <c r="O232" s="171"/>
      <c r="P232"/>
      <c r="Q232"/>
      <c r="R232" s="125"/>
      <c r="S232" s="125"/>
      <c r="T232" s="125"/>
      <c r="U232" s="10"/>
      <c r="V232" s="96">
        <f>IF(F232&lt;=$I$227,(1+I232),0)</f>
        <v>0</v>
      </c>
      <c r="W232" s="92">
        <f>IF(F232&lt;=I227,1,0)</f>
        <v>0</v>
      </c>
      <c r="X232" s="126">
        <v>2</v>
      </c>
    </row>
    <row r="233" spans="1:24" s="126" customFormat="1" x14ac:dyDescent="0.55000000000000004">
      <c r="A233" s="117"/>
      <c r="B233"/>
      <c r="C233" s="124"/>
      <c r="D233" s="124"/>
      <c r="E233" s="124"/>
      <c r="F233" s="89" t="str">
        <f>IF($I$227&gt;=X233,X233,"")</f>
        <v/>
      </c>
      <c r="G233" s="91" t="str">
        <f>IF($I$227&gt;=F233,H232+0.01,"")</f>
        <v/>
      </c>
      <c r="H233" s="50"/>
      <c r="I233" s="61"/>
      <c r="J233" s="13"/>
      <c r="K233" s="95">
        <f>IF(F233&lt;=$I$227,K232*(1+I233),0)</f>
        <v>0</v>
      </c>
      <c r="L233" s="31">
        <f>J233*K233</f>
        <v>0</v>
      </c>
      <c r="M233" s="170"/>
      <c r="N233" s="135"/>
      <c r="O233" s="171"/>
      <c r="P233"/>
      <c r="Q233"/>
      <c r="R233" s="125"/>
      <c r="S233" s="125"/>
      <c r="T233" s="125"/>
      <c r="U233" s="10"/>
      <c r="V233" s="96">
        <f>IF(F233&lt;=$I$227,V232*(1+I233),0)</f>
        <v>0</v>
      </c>
      <c r="W233" s="92">
        <f>IF(F233&lt;=I227,W232*(1+I233),0)</f>
        <v>0</v>
      </c>
      <c r="X233" s="126">
        <v>3</v>
      </c>
    </row>
    <row r="234" spans="1:24" s="126" customFormat="1" x14ac:dyDescent="0.55000000000000004">
      <c r="A234" s="117"/>
      <c r="B234"/>
      <c r="C234" s="124"/>
      <c r="D234" s="124"/>
      <c r="E234" s="124"/>
      <c r="F234" s="89" t="str">
        <f>IF($I$227&gt;=X234,X234,"")</f>
        <v/>
      </c>
      <c r="G234" s="91" t="str">
        <f>IF($I$227&gt;=F234,H233+0.01,"")</f>
        <v/>
      </c>
      <c r="H234" s="50"/>
      <c r="I234" s="61"/>
      <c r="J234" s="13"/>
      <c r="K234" s="95">
        <f>IF(F234&lt;=$I$227,K233*(1+I234),0)</f>
        <v>0</v>
      </c>
      <c r="L234" s="31">
        <f>J234*K234</f>
        <v>0</v>
      </c>
      <c r="M234" s="170"/>
      <c r="N234" s="135"/>
      <c r="O234" s="171"/>
      <c r="P234"/>
      <c r="Q234"/>
      <c r="R234" s="125"/>
      <c r="S234" s="125"/>
      <c r="T234" s="125"/>
      <c r="U234" s="10"/>
      <c r="V234" s="96">
        <f>IF(F234&lt;=$I$227,V233*(1+I234),0)</f>
        <v>0</v>
      </c>
      <c r="W234" s="92">
        <f>IF(F234&lt;=I227,W233*(1+I234),0)</f>
        <v>0</v>
      </c>
      <c r="X234" s="126">
        <v>4</v>
      </c>
    </row>
    <row r="235" spans="1:24" s="126" customFormat="1" x14ac:dyDescent="0.55000000000000004">
      <c r="A235" s="117"/>
      <c r="B235"/>
      <c r="C235" s="124"/>
      <c r="D235" s="124"/>
      <c r="E235" s="124"/>
      <c r="F235" s="89" t="str">
        <f>IF($I$227&gt;=X235,X235,"")</f>
        <v/>
      </c>
      <c r="G235" s="91" t="str">
        <f>IF($I$227&gt;=F235,H234+0.01,"")</f>
        <v/>
      </c>
      <c r="H235" s="89" t="s">
        <v>84</v>
      </c>
      <c r="I235" s="61"/>
      <c r="J235" s="13"/>
      <c r="K235" s="95">
        <f>IF(F235&lt;=$I$227,K234*(1+I235),0)</f>
        <v>0</v>
      </c>
      <c r="L235" s="31">
        <f>J235*K235</f>
        <v>0</v>
      </c>
      <c r="M235" s="170"/>
      <c r="N235" s="135"/>
      <c r="O235" s="171"/>
      <c r="P235"/>
      <c r="Q235"/>
      <c r="R235" s="125"/>
      <c r="S235" s="125"/>
      <c r="T235" s="125"/>
      <c r="U235" s="10"/>
      <c r="V235" s="96">
        <f>IF(F235&lt;=$I$227,V234*(1+I235),0)</f>
        <v>0</v>
      </c>
      <c r="W235" s="92">
        <f>IF(F235&lt;=I227,W234*(1+I235),0)</f>
        <v>0</v>
      </c>
      <c r="X235" s="126">
        <v>5</v>
      </c>
    </row>
    <row r="236" spans="1:24" s="126" customFormat="1" ht="14.7" thickBot="1" x14ac:dyDescent="0.6">
      <c r="A236" s="117"/>
      <c r="B236"/>
      <c r="C236" s="124"/>
      <c r="D236" s="124"/>
      <c r="E236" s="130"/>
      <c r="F236" s="149"/>
      <c r="G236" s="150"/>
      <c r="H236" s="149"/>
      <c r="I236" s="172"/>
      <c r="J236" s="173"/>
      <c r="K236" s="173"/>
      <c r="L236" s="173"/>
      <c r="M236" s="174"/>
      <c r="N236" s="152"/>
      <c r="O236" s="175"/>
      <c r="P236" s="131"/>
      <c r="Q236" s="131"/>
      <c r="R236" s="132"/>
      <c r="S236" s="125"/>
      <c r="T236" s="125"/>
      <c r="U236" s="10"/>
    </row>
    <row r="237" spans="1:24" s="126" customFormat="1" ht="14.7" thickBot="1" x14ac:dyDescent="0.6">
      <c r="A237" s="117"/>
      <c r="B237"/>
      <c r="C237" s="124"/>
      <c r="D237" s="124"/>
      <c r="E237"/>
      <c r="F237" s="163"/>
      <c r="G237" s="176"/>
      <c r="H237" s="163"/>
      <c r="I237" s="177"/>
      <c r="J237" s="178"/>
      <c r="K237" s="178"/>
      <c r="L237" s="178"/>
      <c r="M237" s="170"/>
      <c r="N237" s="135"/>
      <c r="O237" s="171"/>
      <c r="P237"/>
      <c r="Q237"/>
      <c r="R237"/>
      <c r="S237" s="125"/>
      <c r="T237" s="125"/>
      <c r="U237" s="10"/>
    </row>
    <row r="238" spans="1:24" s="126" customFormat="1" x14ac:dyDescent="0.55000000000000004">
      <c r="A238" s="117"/>
      <c r="B238"/>
      <c r="C238" s="124"/>
      <c r="D238" s="124"/>
      <c r="E238" s="121"/>
      <c r="F238" s="179"/>
      <c r="G238" s="180"/>
      <c r="H238" s="179"/>
      <c r="I238" s="181"/>
      <c r="J238" s="182"/>
      <c r="K238" s="182"/>
      <c r="L238" s="182"/>
      <c r="M238" s="183"/>
      <c r="N238" s="184"/>
      <c r="O238" s="185"/>
      <c r="P238" s="122"/>
      <c r="Q238" s="122"/>
      <c r="R238" s="123"/>
      <c r="S238" s="125"/>
      <c r="T238" s="125"/>
      <c r="U238" s="10"/>
    </row>
    <row r="239" spans="1:24" s="126" customFormat="1" x14ac:dyDescent="0.55000000000000004">
      <c r="A239" s="117"/>
      <c r="B239"/>
      <c r="C239" s="124"/>
      <c r="D239" s="124"/>
      <c r="E239" s="124"/>
      <c r="F239" s="186" t="s">
        <v>344</v>
      </c>
      <c r="G239" s="176"/>
      <c r="H239" s="163"/>
      <c r="I239" s="177"/>
      <c r="J239" s="178"/>
      <c r="K239" s="178"/>
      <c r="L239" s="178"/>
      <c r="M239" s="170"/>
      <c r="N239" s="135"/>
      <c r="O239" s="187"/>
      <c r="P239"/>
      <c r="Q239"/>
      <c r="R239" s="125"/>
      <c r="S239" s="125"/>
      <c r="T239" s="125"/>
      <c r="U239" s="10"/>
    </row>
    <row r="240" spans="1:24" s="126" customFormat="1" ht="14.55" customHeight="1" x14ac:dyDescent="0.55000000000000004">
      <c r="A240" s="117"/>
      <c r="B240"/>
      <c r="C240" s="124"/>
      <c r="D240" s="124"/>
      <c r="E240" s="124"/>
      <c r="F240" s="1804" t="s">
        <v>562</v>
      </c>
      <c r="G240" s="1804"/>
      <c r="H240" s="1804"/>
      <c r="I240" s="1804"/>
      <c r="J240" s="1804"/>
      <c r="K240" s="1804"/>
      <c r="L240" s="1804"/>
      <c r="M240" s="1804"/>
      <c r="N240" s="1804"/>
      <c r="O240" s="1804"/>
      <c r="P240" s="1804"/>
      <c r="Q240" s="1804"/>
      <c r="R240" s="125"/>
      <c r="S240" s="125"/>
      <c r="T240" s="125"/>
      <c r="U240" s="10"/>
    </row>
    <row r="241" spans="1:26" s="126" customFormat="1" x14ac:dyDescent="0.55000000000000004">
      <c r="A241" s="117"/>
      <c r="B241"/>
      <c r="C241" s="124"/>
      <c r="D241" s="124"/>
      <c r="E241" s="124"/>
      <c r="F241" s="1804"/>
      <c r="G241" s="1804"/>
      <c r="H241" s="1804"/>
      <c r="I241" s="1804"/>
      <c r="J241" s="1804"/>
      <c r="K241" s="1804"/>
      <c r="L241" s="1804"/>
      <c r="M241" s="1804"/>
      <c r="N241" s="1804"/>
      <c r="O241" s="1804"/>
      <c r="P241" s="1804"/>
      <c r="Q241" s="1804"/>
      <c r="R241" s="125"/>
      <c r="S241" s="125"/>
      <c r="T241" s="125"/>
      <c r="U241" s="10"/>
    </row>
    <row r="242" spans="1:26" s="126" customFormat="1" x14ac:dyDescent="0.55000000000000004">
      <c r="A242" s="117"/>
      <c r="B242"/>
      <c r="C242" s="124"/>
      <c r="D242" s="124"/>
      <c r="E242" s="124"/>
      <c r="F242" s="186"/>
      <c r="G242" s="176"/>
      <c r="H242" s="163"/>
      <c r="I242" s="177"/>
      <c r="J242" s="178"/>
      <c r="K242" s="178"/>
      <c r="L242" s="178"/>
      <c r="M242" s="170"/>
      <c r="N242" s="135"/>
      <c r="O242" s="187"/>
      <c r="P242"/>
      <c r="Q242"/>
      <c r="R242" s="125"/>
      <c r="S242" s="125"/>
      <c r="T242" s="125"/>
      <c r="U242" s="10"/>
    </row>
    <row r="243" spans="1:26" s="126" customFormat="1" x14ac:dyDescent="0.55000000000000004">
      <c r="A243" s="117"/>
      <c r="B243"/>
      <c r="C243" s="124"/>
      <c r="D243" s="124"/>
      <c r="E243" s="124"/>
      <c r="F243" s="164" t="s">
        <v>88</v>
      </c>
      <c r="G243" s="10"/>
      <c r="H243" s="163"/>
      <c r="I243" s="50">
        <v>1</v>
      </c>
      <c r="J243" s="178"/>
      <c r="K243" s="178"/>
      <c r="L243" s="178"/>
      <c r="M243" s="170"/>
      <c r="N243" s="135"/>
      <c r="O243" s="187"/>
      <c r="P243"/>
      <c r="Q243"/>
      <c r="R243" s="125"/>
      <c r="S243" s="125"/>
      <c r="T243" s="125"/>
      <c r="U243" s="10"/>
    </row>
    <row r="244" spans="1:26" s="126" customFormat="1" x14ac:dyDescent="0.55000000000000004">
      <c r="A244" s="117"/>
      <c r="B244"/>
      <c r="C244" s="124"/>
      <c r="D244" s="124"/>
      <c r="E244" s="124"/>
      <c r="F244" t="s">
        <v>346</v>
      </c>
      <c r="G244" s="10"/>
      <c r="H244" s="163"/>
      <c r="I244" s="13">
        <v>5680</v>
      </c>
      <c r="J244" s="178"/>
      <c r="K244" s="178"/>
      <c r="L244" s="178"/>
      <c r="M244" s="170"/>
      <c r="N244" s="135"/>
      <c r="O244" s="187"/>
      <c r="P244"/>
      <c r="Q244"/>
      <c r="R244" s="125"/>
      <c r="S244" s="125"/>
      <c r="T244" s="125"/>
      <c r="U244" s="10"/>
    </row>
    <row r="245" spans="1:26" s="126" customFormat="1" x14ac:dyDescent="0.55000000000000004">
      <c r="A245" s="117"/>
      <c r="B245"/>
      <c r="C245" s="124"/>
      <c r="D245" s="124"/>
      <c r="E245" s="124"/>
      <c r="F245" t="s">
        <v>347</v>
      </c>
      <c r="G245" s="10"/>
      <c r="H245" s="163"/>
      <c r="I245" s="13">
        <v>5983</v>
      </c>
      <c r="J245" s="178"/>
      <c r="K245" s="178"/>
      <c r="L245" s="178"/>
      <c r="M245" s="170"/>
      <c r="N245" s="135"/>
      <c r="O245" s="187"/>
      <c r="P245"/>
      <c r="Q245"/>
      <c r="R245" s="125"/>
      <c r="S245" s="125"/>
      <c r="T245" s="125"/>
      <c r="U245" s="10"/>
    </row>
    <row r="246" spans="1:26" s="126" customFormat="1" x14ac:dyDescent="0.55000000000000004">
      <c r="A246" s="117"/>
      <c r="B246"/>
      <c r="C246" s="124"/>
      <c r="D246" s="124"/>
      <c r="E246" s="124"/>
      <c r="F246" t="s">
        <v>366</v>
      </c>
      <c r="G246" s="10"/>
      <c r="H246"/>
      <c r="I246" s="93">
        <v>1.2659444347370261</v>
      </c>
      <c r="J246"/>
      <c r="K246" s="178"/>
      <c r="L246" s="178"/>
      <c r="M246" s="170"/>
      <c r="N246" s="135"/>
      <c r="O246" s="187"/>
      <c r="P246"/>
      <c r="Q246"/>
      <c r="R246" s="125"/>
      <c r="S246" s="125"/>
      <c r="T246" s="125"/>
      <c r="U246" s="10"/>
    </row>
    <row r="247" spans="1:26" s="126" customFormat="1" x14ac:dyDescent="0.55000000000000004">
      <c r="A247" s="117"/>
      <c r="B247"/>
      <c r="C247" s="124"/>
      <c r="D247" s="124"/>
      <c r="E247" s="124"/>
      <c r="F247" s="10" t="s">
        <v>612</v>
      </c>
      <c r="H247"/>
      <c r="I247" s="159" t="s">
        <v>578</v>
      </c>
      <c r="J247"/>
      <c r="K247" s="178"/>
      <c r="L247" s="178"/>
      <c r="M247" s="170"/>
      <c r="N247" s="135"/>
      <c r="O247" s="187"/>
      <c r="P247"/>
      <c r="Q247"/>
      <c r="R247" s="125"/>
      <c r="S247" s="125"/>
      <c r="T247" s="125"/>
      <c r="U247" s="10"/>
    </row>
    <row r="248" spans="1:26" s="126" customFormat="1" x14ac:dyDescent="0.55000000000000004">
      <c r="A248" s="117"/>
      <c r="B248"/>
      <c r="C248" s="124"/>
      <c r="D248" s="124"/>
      <c r="E248" s="124"/>
      <c r="F248"/>
      <c r="G248"/>
      <c r="H248"/>
      <c r="I248" s="188"/>
      <c r="J248"/>
      <c r="K248" s="178"/>
      <c r="L248" s="178"/>
      <c r="M248" s="170"/>
      <c r="N248" s="135"/>
      <c r="O248" s="187"/>
      <c r="P248"/>
      <c r="Q248"/>
      <c r="R248" s="125"/>
      <c r="S248" s="125"/>
      <c r="T248" s="125"/>
      <c r="U248" s="10"/>
    </row>
    <row r="249" spans="1:26" s="126" customFormat="1" ht="57.6" x14ac:dyDescent="0.55000000000000004">
      <c r="A249" s="117"/>
      <c r="B249"/>
      <c r="C249" s="124"/>
      <c r="D249" s="124"/>
      <c r="E249" s="124"/>
      <c r="F249" s="56" t="s">
        <v>91</v>
      </c>
      <c r="G249" s="56" t="s">
        <v>92</v>
      </c>
      <c r="H249" s="129" t="s">
        <v>80</v>
      </c>
      <c r="I249" s="56" t="s">
        <v>367</v>
      </c>
      <c r="J249" s="56" t="s">
        <v>368</v>
      </c>
      <c r="K249" s="56" t="s">
        <v>341</v>
      </c>
      <c r="L249" s="56" t="s">
        <v>342</v>
      </c>
      <c r="M249" s="166" t="s">
        <v>351</v>
      </c>
      <c r="N249" s="56" t="s">
        <v>352</v>
      </c>
      <c r="O249" s="56" t="s">
        <v>353</v>
      </c>
      <c r="P249" s="56" t="s">
        <v>354</v>
      </c>
      <c r="Q249" s="56" t="s">
        <v>355</v>
      </c>
      <c r="R249" s="125"/>
      <c r="S249" s="125"/>
      <c r="T249" s="125"/>
      <c r="U249" s="10"/>
      <c r="V249" s="189" t="s">
        <v>616</v>
      </c>
      <c r="W249" s="168" t="s">
        <v>617</v>
      </c>
      <c r="X249" s="189" t="s">
        <v>618</v>
      </c>
      <c r="Y249" s="168" t="s">
        <v>619</v>
      </c>
    </row>
    <row r="250" spans="1:26" s="126" customFormat="1" x14ac:dyDescent="0.55000000000000004">
      <c r="A250" s="117"/>
      <c r="B250"/>
      <c r="C250" s="124"/>
      <c r="D250" s="124"/>
      <c r="E250" s="124"/>
      <c r="F250" s="89">
        <f>IF($I$243=Z250,Z250,1)</f>
        <v>1</v>
      </c>
      <c r="G250" s="91">
        <v>0</v>
      </c>
      <c r="H250" s="50"/>
      <c r="I250" s="169"/>
      <c r="J250" s="63"/>
      <c r="K250" s="21">
        <f>I244-SUMIF(F251:F254,"&lt;="&amp;$I$243,K251:K254)</f>
        <v>5680</v>
      </c>
      <c r="L250" s="31">
        <f>I245-SUMIF(F251:F254,"&lt;="&amp;$I$243,L251:L254)</f>
        <v>5983</v>
      </c>
      <c r="M250" s="44">
        <f ca="1">IFERROR(IF(G220=V220,0,IF(F250&lt;=I243,IF(I247="No",(L204-J212)/(SUMPRODUCT(V250:V254,K250:K254)+SUMPRODUCT(W250:W254,L250:L254)),0)*I246,0)),0)</f>
        <v>4.193932908488045</v>
      </c>
      <c r="N250" s="44">
        <f ca="1">IFERROR(IF(G220=V220,0,IF(F250&lt;=I243,IF(I247="No",(L204-J212)/(SUMPRODUCT(V250:V254,K250:K254)+SUMPRODUCT(W250:W254,L250:L254)),0),0)),0)</f>
        <v>3.3128886177056009</v>
      </c>
      <c r="O250" s="97">
        <f ca="1">IFERROR(M250/N250,"")</f>
        <v>1.2659444347370261</v>
      </c>
      <c r="P250" s="26">
        <f t="shared" ref="P250:Q254" ca="1" si="3">K250*M250</f>
        <v>23821.538920212097</v>
      </c>
      <c r="Q250" s="26">
        <f t="shared" ca="1" si="3"/>
        <v>19821.01259973261</v>
      </c>
      <c r="R250" s="125"/>
      <c r="S250" s="125"/>
      <c r="T250" s="125"/>
      <c r="U250" s="10"/>
      <c r="V250" s="92">
        <f>IF(F250&lt;=$I$243,1*$I$246,0)</f>
        <v>1.2659444347370261</v>
      </c>
      <c r="W250" s="96">
        <f>IF(F250&lt;=$I$243,1,0)</f>
        <v>1</v>
      </c>
      <c r="X250" s="92"/>
      <c r="Y250" s="96"/>
      <c r="Z250" s="126">
        <v>1</v>
      </c>
    </row>
    <row r="251" spans="1:26" s="126" customFormat="1" x14ac:dyDescent="0.55000000000000004">
      <c r="A251" s="117"/>
      <c r="B251"/>
      <c r="C251" s="124"/>
      <c r="D251" s="124"/>
      <c r="E251" s="124"/>
      <c r="F251" s="89" t="str">
        <f>IF($I$243&gt;=Z251,Z251,"")</f>
        <v/>
      </c>
      <c r="G251" s="91" t="str">
        <f>IF($I$243&gt;=F251,H250+0.01,"")</f>
        <v/>
      </c>
      <c r="H251" s="50"/>
      <c r="I251" s="61"/>
      <c r="J251" s="61"/>
      <c r="K251" s="13"/>
      <c r="L251" s="13"/>
      <c r="M251" s="44">
        <f>IF(F251&lt;=I243,IF(I247="No",M250*(1+I251),N251*I246),0)</f>
        <v>0</v>
      </c>
      <c r="N251" s="44">
        <f>IF(F251&lt;=I243,IF(I247="No",N250*(1+J251),(L204-J212)/(I246*SUMPRODUCT(X251:X254,K251:K254)+SUMPRODUCT(Y251:Y254,L251:L254))),0)</f>
        <v>0</v>
      </c>
      <c r="O251" s="97" t="str">
        <f>IFERROR(M251/N251,"")</f>
        <v/>
      </c>
      <c r="P251" s="26">
        <f t="shared" si="3"/>
        <v>0</v>
      </c>
      <c r="Q251" s="26">
        <f t="shared" si="3"/>
        <v>0</v>
      </c>
      <c r="R251" s="125"/>
      <c r="S251" s="125"/>
      <c r="T251" s="125"/>
      <c r="U251" s="10"/>
      <c r="V251" s="92">
        <f>IF(F251&lt;=$I$243,V250*(1+I251),0)</f>
        <v>0</v>
      </c>
      <c r="W251" s="96">
        <f>IF(F251&lt;=$I$243,(1+J251),0)</f>
        <v>0</v>
      </c>
      <c r="X251" s="92">
        <v>1</v>
      </c>
      <c r="Y251" s="96">
        <f>IF(F251&lt;=I243,1,0)</f>
        <v>0</v>
      </c>
      <c r="Z251" s="126">
        <v>2</v>
      </c>
    </row>
    <row r="252" spans="1:26" s="126" customFormat="1" x14ac:dyDescent="0.55000000000000004">
      <c r="A252" s="117"/>
      <c r="B252"/>
      <c r="C252" s="124"/>
      <c r="D252" s="124"/>
      <c r="E252" s="124"/>
      <c r="F252" s="89" t="str">
        <f>IF($I$243&gt;=Z252,Z252,"")</f>
        <v/>
      </c>
      <c r="G252" s="91" t="str">
        <f>IF($I$243&gt;=F252,H251+0.01,"")</f>
        <v/>
      </c>
      <c r="H252" s="50"/>
      <c r="I252" s="61"/>
      <c r="J252" s="61"/>
      <c r="K252" s="13"/>
      <c r="L252" s="13"/>
      <c r="M252" s="36">
        <f>IF(F252&lt;=$I$243,M251*(1+I252),0)</f>
        <v>0</v>
      </c>
      <c r="N252" s="36">
        <f>IF(F252&lt;=$I$243,N251*(1+J252),0)</f>
        <v>0</v>
      </c>
      <c r="O252" s="97" t="str">
        <f>IFERROR(M252/N252,"")</f>
        <v/>
      </c>
      <c r="P252" s="26">
        <f t="shared" si="3"/>
        <v>0</v>
      </c>
      <c r="Q252" s="26">
        <f t="shared" si="3"/>
        <v>0</v>
      </c>
      <c r="R252" s="125"/>
      <c r="S252" s="125"/>
      <c r="T252" s="125"/>
      <c r="U252" s="10"/>
      <c r="V252" s="92">
        <f>IF(F252&lt;=$I$243,V251*(1+I252),0)</f>
        <v>0</v>
      </c>
      <c r="W252" s="96">
        <f>IF(F252&lt;=$I$243,W251*(1+J252),0)</f>
        <v>0</v>
      </c>
      <c r="X252" s="92">
        <f>IF(F252&lt;=I243,X251*(1+I252),0)</f>
        <v>0</v>
      </c>
      <c r="Y252" s="96">
        <f>IF(F252&lt;=I243,Y251*(1+J252),0)</f>
        <v>0</v>
      </c>
      <c r="Z252" s="126">
        <v>3</v>
      </c>
    </row>
    <row r="253" spans="1:26" s="126" customFormat="1" x14ac:dyDescent="0.55000000000000004">
      <c r="A253" s="117"/>
      <c r="B253"/>
      <c r="C253" s="124"/>
      <c r="D253" s="124"/>
      <c r="E253" s="124"/>
      <c r="F253" s="89" t="str">
        <f>IF($I$243&gt;=Z253,Z253,"")</f>
        <v/>
      </c>
      <c r="G253" s="91" t="str">
        <f>IF($I$243&gt;=F253,H252+0.01,"")</f>
        <v/>
      </c>
      <c r="H253" s="50"/>
      <c r="I253" s="61"/>
      <c r="J253" s="61"/>
      <c r="K253" s="13"/>
      <c r="L253" s="13"/>
      <c r="M253" s="36">
        <f>IF(F253&lt;=$I$243,M252*(1+I253),0)</f>
        <v>0</v>
      </c>
      <c r="N253" s="36">
        <f>IF(F253&lt;=$I$243,N252*(1+J253),0)</f>
        <v>0</v>
      </c>
      <c r="O253" s="97" t="str">
        <f>IFERROR(M253/N253,"")</f>
        <v/>
      </c>
      <c r="P253" s="26">
        <f t="shared" si="3"/>
        <v>0</v>
      </c>
      <c r="Q253" s="26">
        <f t="shared" si="3"/>
        <v>0</v>
      </c>
      <c r="R253" s="125"/>
      <c r="S253" s="125"/>
      <c r="T253" s="125"/>
      <c r="U253" s="10"/>
      <c r="V253" s="92">
        <f>IF(F253&lt;=$I$243,V252*(1+I253),0)</f>
        <v>0</v>
      </c>
      <c r="W253" s="96">
        <f>IF(F253&lt;=$I$243,W252*(1+J253),0)</f>
        <v>0</v>
      </c>
      <c r="X253" s="92">
        <f>IF(F253&lt;=I243,X252*(1+I253),0)</f>
        <v>0</v>
      </c>
      <c r="Y253" s="96">
        <f>IF(F253&lt;=I243,Y252*(1+J253),0)</f>
        <v>0</v>
      </c>
      <c r="Z253" s="126">
        <v>4</v>
      </c>
    </row>
    <row r="254" spans="1:26" s="126" customFormat="1" x14ac:dyDescent="0.55000000000000004">
      <c r="A254" s="117"/>
      <c r="B254"/>
      <c r="C254" s="124"/>
      <c r="D254" s="124"/>
      <c r="E254" s="124"/>
      <c r="F254" s="89" t="str">
        <f>IF($I$243&gt;=Z254,Z254,"")</f>
        <v/>
      </c>
      <c r="G254" s="91" t="str">
        <f>IF($I$243&gt;=F254,H253+0.01,"")</f>
        <v/>
      </c>
      <c r="H254" s="89" t="s">
        <v>84</v>
      </c>
      <c r="I254" s="61"/>
      <c r="J254" s="61"/>
      <c r="K254" s="13"/>
      <c r="L254" s="13"/>
      <c r="M254" s="36">
        <f>IF(F254&lt;=$I$243,M253*(1+I254),0)</f>
        <v>0</v>
      </c>
      <c r="N254" s="36">
        <f>IF(F254&lt;=$I$243,N253*(1+J254),0)</f>
        <v>0</v>
      </c>
      <c r="O254" s="97" t="str">
        <f>IFERROR(M254/N254,"")</f>
        <v/>
      </c>
      <c r="P254" s="26">
        <f t="shared" si="3"/>
        <v>0</v>
      </c>
      <c r="Q254" s="26">
        <f t="shared" si="3"/>
        <v>0</v>
      </c>
      <c r="R254" s="125"/>
      <c r="S254" s="125"/>
      <c r="T254" s="125"/>
      <c r="U254" s="10"/>
      <c r="V254" s="92">
        <f>IF(F254&lt;=$I$243,V253*(1+I254),0)</f>
        <v>0</v>
      </c>
      <c r="W254" s="96">
        <f>IF(F254&lt;=$I$243,W253*(1+J254),0)</f>
        <v>0</v>
      </c>
      <c r="X254" s="92">
        <f>IF(F254&lt;=I243,X253*(1+I254),0)</f>
        <v>0</v>
      </c>
      <c r="Y254" s="96">
        <f>IF(F254&lt;=I243,Y253*(1+J254),0)</f>
        <v>0</v>
      </c>
      <c r="Z254" s="126">
        <v>5</v>
      </c>
    </row>
    <row r="255" spans="1:26" s="126" customFormat="1" ht="14.7" thickBot="1" x14ac:dyDescent="0.6">
      <c r="A255" s="117"/>
      <c r="B255"/>
      <c r="C255" s="124"/>
      <c r="D255" s="124"/>
      <c r="E255" s="130"/>
      <c r="F255" s="131"/>
      <c r="G255" s="131"/>
      <c r="H255" s="131"/>
      <c r="I255" s="131"/>
      <c r="J255" s="131"/>
      <c r="K255" s="131"/>
      <c r="L255" s="131"/>
      <c r="M255" s="131"/>
      <c r="N255" s="131"/>
      <c r="O255" s="131"/>
      <c r="P255" s="131"/>
      <c r="Q255" s="131"/>
      <c r="R255" s="132"/>
      <c r="S255" s="125"/>
      <c r="T255" s="125"/>
      <c r="U255" s="10"/>
    </row>
    <row r="256" spans="1:26" s="126" customFormat="1" ht="14.7" thickBot="1" x14ac:dyDescent="0.6">
      <c r="A256" s="117"/>
      <c r="B256"/>
      <c r="C256" s="124"/>
      <c r="D256" s="130"/>
      <c r="E256" s="131"/>
      <c r="F256" s="131"/>
      <c r="G256" s="131"/>
      <c r="H256" s="131"/>
      <c r="I256" s="131"/>
      <c r="J256" s="131"/>
      <c r="K256" s="131"/>
      <c r="L256" s="131"/>
      <c r="M256" s="131"/>
      <c r="N256" s="131"/>
      <c r="O256" s="131"/>
      <c r="P256" s="131"/>
      <c r="Q256" s="131"/>
      <c r="R256" s="131"/>
      <c r="S256" s="132"/>
      <c r="T256" s="125"/>
      <c r="U256" s="10"/>
    </row>
    <row r="257" spans="1:21" s="126" customFormat="1" ht="14.7" thickBot="1" x14ac:dyDescent="0.6">
      <c r="A257" s="117"/>
      <c r="B257"/>
      <c r="C257" s="130"/>
      <c r="D257" s="131"/>
      <c r="E257" s="131"/>
      <c r="F257" s="131"/>
      <c r="G257" s="131"/>
      <c r="H257" s="131"/>
      <c r="I257" s="131"/>
      <c r="J257" s="131"/>
      <c r="K257" s="131"/>
      <c r="L257" s="131"/>
      <c r="M257" s="131"/>
      <c r="N257" s="131"/>
      <c r="O257" s="131"/>
      <c r="P257" s="131"/>
      <c r="Q257" s="131"/>
      <c r="R257" s="131"/>
      <c r="S257" s="131"/>
      <c r="T257" s="132"/>
      <c r="U257" s="10"/>
    </row>
    <row r="258" spans="1:21" s="126" customFormat="1" ht="14.7" thickBot="1" x14ac:dyDescent="0.6">
      <c r="A258" s="117"/>
      <c r="B258"/>
      <c r="C258"/>
      <c r="D258"/>
      <c r="E258"/>
      <c r="F258"/>
      <c r="G258"/>
      <c r="H258"/>
      <c r="I258"/>
      <c r="J258"/>
      <c r="K258"/>
      <c r="L258"/>
      <c r="M258"/>
      <c r="N258"/>
      <c r="O258"/>
      <c r="P258"/>
      <c r="Q258"/>
      <c r="R258"/>
      <c r="S258"/>
      <c r="T258"/>
      <c r="U258" s="10"/>
    </row>
    <row r="259" spans="1:21" s="126" customFormat="1" x14ac:dyDescent="0.55000000000000004">
      <c r="A259" s="117"/>
      <c r="B259"/>
      <c r="C259" s="121"/>
      <c r="D259" s="122"/>
      <c r="E259" s="122"/>
      <c r="F259" s="122"/>
      <c r="G259" s="122"/>
      <c r="H259" s="122"/>
      <c r="I259" s="122"/>
      <c r="J259" s="122"/>
      <c r="K259" s="122"/>
      <c r="L259" s="122"/>
      <c r="M259" s="122"/>
      <c r="N259" s="122"/>
      <c r="O259" s="122"/>
      <c r="P259" s="122"/>
      <c r="Q259" s="122"/>
      <c r="R259" s="122"/>
      <c r="S259" s="122"/>
      <c r="T259" s="123"/>
      <c r="U259" s="10"/>
    </row>
    <row r="260" spans="1:21" s="126" customFormat="1" ht="18.3" x14ac:dyDescent="0.7">
      <c r="A260" s="117"/>
      <c r="B260"/>
      <c r="C260" s="124"/>
      <c r="D260" s="1822" t="str">
        <f>'2 Customer data'!D97</f>
        <v>Domestic</v>
      </c>
      <c r="E260" s="1822"/>
      <c r="F260" s="1822"/>
      <c r="G260" s="1822"/>
      <c r="H260" s="1822"/>
      <c r="I260" s="1822"/>
      <c r="J260" s="1822"/>
      <c r="K260" s="1822"/>
      <c r="L260" s="1822"/>
      <c r="M260" s="1822"/>
      <c r="N260" s="1822"/>
      <c r="O260" s="1822"/>
      <c r="P260" s="1822"/>
      <c r="Q260" s="1822"/>
      <c r="R260" s="1822"/>
      <c r="S260" s="1822"/>
      <c r="T260" s="125"/>
      <c r="U260" s="10"/>
    </row>
    <row r="261" spans="1:21" s="126" customFormat="1" ht="14.7" thickBot="1" x14ac:dyDescent="0.6">
      <c r="A261" s="117"/>
      <c r="B261"/>
      <c r="C261" s="124"/>
      <c r="D261"/>
      <c r="E261"/>
      <c r="F261"/>
      <c r="G261"/>
      <c r="H261"/>
      <c r="I261"/>
      <c r="J261"/>
      <c r="K261"/>
      <c r="L261"/>
      <c r="M261"/>
      <c r="N261"/>
      <c r="O261"/>
      <c r="P261"/>
      <c r="Q261"/>
      <c r="R261"/>
      <c r="S261"/>
      <c r="T261" s="125"/>
      <c r="U261" s="10"/>
    </row>
    <row r="262" spans="1:21" s="126" customFormat="1" x14ac:dyDescent="0.55000000000000004">
      <c r="A262" s="117"/>
      <c r="B262"/>
      <c r="C262" s="124"/>
      <c r="D262" s="121"/>
      <c r="E262" s="122"/>
      <c r="F262" s="122"/>
      <c r="G262" s="122"/>
      <c r="H262" s="122"/>
      <c r="I262" s="122"/>
      <c r="J262" s="122"/>
      <c r="K262" s="122"/>
      <c r="L262" s="122"/>
      <c r="M262" s="122"/>
      <c r="N262" s="122"/>
      <c r="O262" s="122"/>
      <c r="P262" s="122"/>
      <c r="Q262" s="122"/>
      <c r="R262" s="122"/>
      <c r="S262" s="123"/>
      <c r="T262" s="125"/>
      <c r="U262" s="10"/>
    </row>
    <row r="263" spans="1:21" s="126" customFormat="1" x14ac:dyDescent="0.55000000000000004">
      <c r="A263" s="117"/>
      <c r="B263"/>
      <c r="C263" s="124"/>
      <c r="D263" s="124"/>
      <c r="E263"/>
      <c r="F263" s="1" t="str">
        <f>'2 Customer data'!D97&amp;" "&amp;"information"</f>
        <v>Domestic information</v>
      </c>
      <c r="G263"/>
      <c r="H263"/>
      <c r="I263"/>
      <c r="J263"/>
      <c r="K263"/>
      <c r="L263"/>
      <c r="M263"/>
      <c r="N263"/>
      <c r="O263"/>
      <c r="P263"/>
      <c r="Q263"/>
      <c r="R263"/>
      <c r="S263" s="125"/>
      <c r="T263" s="125"/>
      <c r="U263" s="10"/>
    </row>
    <row r="264" spans="1:21" s="126" customFormat="1" x14ac:dyDescent="0.55000000000000004">
      <c r="A264" s="117"/>
      <c r="B264"/>
      <c r="C264" s="124"/>
      <c r="D264" s="124"/>
      <c r="E264"/>
      <c r="F264"/>
      <c r="G264"/>
      <c r="H264"/>
      <c r="I264"/>
      <c r="J264"/>
      <c r="K264"/>
      <c r="L264"/>
      <c r="M264"/>
      <c r="N264"/>
      <c r="O264"/>
      <c r="P264"/>
      <c r="Q264"/>
      <c r="R264"/>
      <c r="S264" s="125"/>
      <c r="T264" s="125"/>
      <c r="U264" s="10"/>
    </row>
    <row r="265" spans="1:21" s="126" customFormat="1" ht="28.8" x14ac:dyDescent="0.55000000000000004">
      <c r="A265" s="117"/>
      <c r="B265"/>
      <c r="C265" s="124"/>
      <c r="D265" s="124"/>
      <c r="E265"/>
      <c r="F265"/>
      <c r="G265" s="56" t="s">
        <v>28</v>
      </c>
      <c r="H265" s="56" t="s">
        <v>345</v>
      </c>
      <c r="I265" s="56" t="s">
        <v>60</v>
      </c>
      <c r="J265" s="56" t="s">
        <v>249</v>
      </c>
      <c r="K265" s="56" t="s">
        <v>279</v>
      </c>
      <c r="L265" s="56" t="s">
        <v>357</v>
      </c>
      <c r="M265"/>
      <c r="N265" s="162"/>
      <c r="O265"/>
      <c r="P265"/>
      <c r="Q265"/>
      <c r="R265"/>
      <c r="S265" s="125"/>
      <c r="T265" s="125"/>
      <c r="U265" s="10"/>
    </row>
    <row r="266" spans="1:21" s="126" customFormat="1" x14ac:dyDescent="0.55000000000000004">
      <c r="A266" s="117"/>
      <c r="B266"/>
      <c r="C266" s="124"/>
      <c r="D266" s="124"/>
      <c r="E266"/>
      <c r="F266" t="str">
        <f>'2 Customer data'!D97</f>
        <v>Domestic</v>
      </c>
      <c r="G266" s="94">
        <f>IFERROR(IF(VLOOKUP(F266,'2 Customer data'!$D$93:$N$112,7,FALSE)="",VLOOKUP(F266,'2 Customer data'!$D$93:$N$112,6,FALSE),VLOOKUP(F266,'2 Customer data'!$D$93:$N$112,7,FALSE)),0)</f>
        <v>316</v>
      </c>
      <c r="H266" s="26">
        <f>IFERROR(IF(VLOOKUP(F266,'2 Customer data'!$D$93:$N$112,9,FALSE)="",VLOOKUP(F266,'2 Customer data'!$D$93:$N$112,8,FALSE),VLOOKUP(F266,'2 Customer data'!$D$93:$N$112,9,FALSE)),0)</f>
        <v>215721</v>
      </c>
      <c r="I266" s="26">
        <f ca="1">IFERROR(VLOOKUP($F266,'2 Electricity'!$D$21:$L$40,6,FALSE),0)</f>
        <v>2113422.5890184534</v>
      </c>
      <c r="J266" s="26">
        <f ca="1">IFERROR(VLOOKUP($F266,'2 Electricity'!$D$21:$L$40,7,FALSE),0)</f>
        <v>643267.68520300963</v>
      </c>
      <c r="K266" s="26">
        <f ca="1">IFERROR(VLOOKUP($F266,'2 Electricity'!$D$21:$L$40,8,FALSE),0)</f>
        <v>0</v>
      </c>
      <c r="L266" s="26">
        <f ca="1">IFERROR(VLOOKUP(F266,'2 Electricity'!$D$157:$K$176,8,FALSE),0)</f>
        <v>3209616.2423551222</v>
      </c>
      <c r="M266"/>
      <c r="N266" s="134"/>
      <c r="O266"/>
      <c r="P266"/>
      <c r="Q266"/>
      <c r="R266"/>
      <c r="S266" s="125"/>
      <c r="T266" s="125"/>
      <c r="U266" s="10"/>
    </row>
    <row r="267" spans="1:21" s="126" customFormat="1" ht="14.7" thickBot="1" x14ac:dyDescent="0.6">
      <c r="A267" s="117"/>
      <c r="B267"/>
      <c r="C267" s="124"/>
      <c r="D267" s="130"/>
      <c r="E267" s="131"/>
      <c r="F267" s="131"/>
      <c r="G267" s="131"/>
      <c r="H267" s="131"/>
      <c r="I267" s="131"/>
      <c r="J267" s="131"/>
      <c r="K267" s="131"/>
      <c r="L267" s="131"/>
      <c r="M267" s="131"/>
      <c r="N267" s="131"/>
      <c r="O267" s="131"/>
      <c r="P267" s="131"/>
      <c r="Q267" s="131"/>
      <c r="R267" s="131"/>
      <c r="S267" s="132"/>
      <c r="T267" s="125"/>
      <c r="U267" s="10"/>
    </row>
    <row r="268" spans="1:21" s="126" customFormat="1" ht="14.7" thickBot="1" x14ac:dyDescent="0.6">
      <c r="A268" s="117"/>
      <c r="B268"/>
      <c r="C268" s="124"/>
      <c r="D268"/>
      <c r="E268"/>
      <c r="F268"/>
      <c r="G268"/>
      <c r="H268"/>
      <c r="I268"/>
      <c r="J268"/>
      <c r="K268"/>
      <c r="L268"/>
      <c r="M268"/>
      <c r="N268"/>
      <c r="O268"/>
      <c r="P268"/>
      <c r="Q268"/>
      <c r="R268"/>
      <c r="S268"/>
      <c r="T268" s="125"/>
      <c r="U268" s="10"/>
    </row>
    <row r="269" spans="1:21" s="126" customFormat="1" x14ac:dyDescent="0.55000000000000004">
      <c r="A269" s="117"/>
      <c r="B269"/>
      <c r="C269" s="124"/>
      <c r="D269" s="121"/>
      <c r="E269" s="122"/>
      <c r="F269" s="122"/>
      <c r="G269" s="122"/>
      <c r="H269" s="122"/>
      <c r="I269" s="122"/>
      <c r="J269" s="122"/>
      <c r="K269" s="122"/>
      <c r="L269" s="122"/>
      <c r="M269" s="122"/>
      <c r="N269" s="122"/>
      <c r="O269" s="122"/>
      <c r="P269" s="122"/>
      <c r="Q269" s="122"/>
      <c r="R269" s="122"/>
      <c r="S269" s="123"/>
      <c r="T269" s="125"/>
      <c r="U269" s="10"/>
    </row>
    <row r="270" spans="1:21" s="126" customFormat="1" x14ac:dyDescent="0.55000000000000004">
      <c r="A270" s="117"/>
      <c r="B270"/>
      <c r="C270" s="124"/>
      <c r="D270" s="124"/>
      <c r="E270"/>
      <c r="F270" s="1" t="s">
        <v>85</v>
      </c>
      <c r="G270"/>
      <c r="H270"/>
      <c r="I270"/>
      <c r="J270"/>
      <c r="K270"/>
      <c r="L270"/>
      <c r="M270"/>
      <c r="N270"/>
      <c r="O270"/>
      <c r="P270"/>
      <c r="Q270"/>
      <c r="R270"/>
      <c r="S270" s="125"/>
      <c r="T270" s="125"/>
      <c r="U270" s="10"/>
    </row>
    <row r="271" spans="1:21" s="126" customFormat="1" x14ac:dyDescent="0.55000000000000004">
      <c r="A271" s="117"/>
      <c r="B271"/>
      <c r="C271" s="124"/>
      <c r="D271" s="124"/>
      <c r="E271"/>
      <c r="F271" s="120" t="s">
        <v>555</v>
      </c>
      <c r="G271"/>
      <c r="H271"/>
      <c r="I271"/>
      <c r="J271"/>
      <c r="K271"/>
      <c r="L271"/>
      <c r="M271"/>
      <c r="N271"/>
      <c r="O271"/>
      <c r="P271"/>
      <c r="Q271"/>
      <c r="R271"/>
      <c r="S271" s="125"/>
      <c r="T271" s="125"/>
      <c r="U271" s="10"/>
    </row>
    <row r="272" spans="1:21" s="126" customFormat="1" x14ac:dyDescent="0.55000000000000004">
      <c r="A272" s="117"/>
      <c r="B272"/>
      <c r="C272" s="124"/>
      <c r="D272" s="124"/>
      <c r="E272"/>
      <c r="F272"/>
      <c r="G272"/>
      <c r="H272"/>
      <c r="I272"/>
      <c r="J272"/>
      <c r="K272"/>
      <c r="L272"/>
      <c r="M272"/>
      <c r="N272"/>
      <c r="O272"/>
      <c r="P272"/>
      <c r="Q272"/>
      <c r="R272"/>
      <c r="S272" s="125"/>
      <c r="T272" s="125"/>
      <c r="U272" s="10"/>
    </row>
    <row r="273" spans="1:22" s="126" customFormat="1" ht="43.2" x14ac:dyDescent="0.55000000000000004">
      <c r="A273" s="117"/>
      <c r="B273"/>
      <c r="C273" s="124"/>
      <c r="D273" s="124"/>
      <c r="E273"/>
      <c r="F273"/>
      <c r="G273" s="56" t="s">
        <v>86</v>
      </c>
      <c r="H273" s="56" t="s">
        <v>73</v>
      </c>
      <c r="I273" s="56" t="s">
        <v>87</v>
      </c>
      <c r="J273" s="56" t="s">
        <v>75</v>
      </c>
      <c r="K273" s="56" t="s">
        <v>76</v>
      </c>
      <c r="L273"/>
      <c r="M273"/>
      <c r="N273"/>
      <c r="O273"/>
      <c r="P273"/>
      <c r="Q273"/>
      <c r="R273"/>
      <c r="S273" s="125"/>
      <c r="T273" s="125"/>
      <c r="U273" s="10"/>
    </row>
    <row r="274" spans="1:22" s="126" customFormat="1" x14ac:dyDescent="0.55000000000000004">
      <c r="A274" s="117"/>
      <c r="B274"/>
      <c r="C274" s="124"/>
      <c r="D274" s="124"/>
      <c r="E274"/>
      <c r="F274" t="str">
        <f>F266</f>
        <v>Domestic</v>
      </c>
      <c r="G274" s="26">
        <f ca="1">SUM(I266,K266)</f>
        <v>2113422.5890184534</v>
      </c>
      <c r="H274" s="64">
        <f ca="1">IFERROR(G274/G266,0)/12</f>
        <v>557.33718064832635</v>
      </c>
      <c r="I274" s="84"/>
      <c r="J274" s="26">
        <f>I274*G266*12</f>
        <v>0</v>
      </c>
      <c r="K274" s="21">
        <f>J274/12</f>
        <v>0</v>
      </c>
      <c r="L274"/>
      <c r="M274"/>
      <c r="N274"/>
      <c r="O274"/>
      <c r="P274"/>
      <c r="Q274"/>
      <c r="R274"/>
      <c r="S274" s="125"/>
      <c r="T274" s="125"/>
      <c r="U274" s="10"/>
    </row>
    <row r="275" spans="1:22" s="126" customFormat="1" x14ac:dyDescent="0.55000000000000004">
      <c r="A275" s="117"/>
      <c r="B275"/>
      <c r="C275" s="124"/>
      <c r="D275" s="124"/>
      <c r="E275" s="133"/>
      <c r="F275" s="58" t="str">
        <f>IF(I274&gt;I265,"Error: revenue from fixed charges exceeds total revenue required from tariff. Reduce fixed charge.","")</f>
        <v/>
      </c>
      <c r="G275" s="58" t="str">
        <f ca="1">IF(J274&gt;L266,"Error: revenue from fixed charges exceeds total revenue required from tariff. Reduce fixed charge.","")</f>
        <v/>
      </c>
      <c r="H275" s="134"/>
      <c r="I275" s="134"/>
      <c r="J275" s="135"/>
      <c r="K275"/>
      <c r="L275"/>
      <c r="M275"/>
      <c r="N275"/>
      <c r="O275"/>
      <c r="P275"/>
      <c r="Q275"/>
      <c r="R275"/>
      <c r="S275" s="125"/>
      <c r="T275" s="125"/>
      <c r="U275" s="10"/>
    </row>
    <row r="276" spans="1:22" s="126" customFormat="1" ht="14.7" thickBot="1" x14ac:dyDescent="0.6">
      <c r="A276" s="117"/>
      <c r="B276"/>
      <c r="C276" s="124"/>
      <c r="D276" s="130"/>
      <c r="E276" s="131"/>
      <c r="F276" s="131"/>
      <c r="G276" s="131"/>
      <c r="H276" s="131"/>
      <c r="I276" s="131"/>
      <c r="J276" s="131"/>
      <c r="K276" s="131"/>
      <c r="L276" s="131"/>
      <c r="M276" s="131"/>
      <c r="N276" s="131"/>
      <c r="O276" s="131"/>
      <c r="P276" s="131"/>
      <c r="Q276" s="131"/>
      <c r="R276" s="131"/>
      <c r="S276" s="132"/>
      <c r="T276" s="125"/>
      <c r="U276" s="10"/>
    </row>
    <row r="277" spans="1:22" s="126" customFormat="1" ht="14.7" thickBot="1" x14ac:dyDescent="0.6">
      <c r="A277" s="117"/>
      <c r="B277"/>
      <c r="C277" s="124"/>
      <c r="D277"/>
      <c r="E277"/>
      <c r="F277"/>
      <c r="G277"/>
      <c r="H277"/>
      <c r="I277"/>
      <c r="J277"/>
      <c r="K277"/>
      <c r="L277"/>
      <c r="M277"/>
      <c r="N277"/>
      <c r="O277"/>
      <c r="P277"/>
      <c r="Q277"/>
      <c r="R277"/>
      <c r="S277"/>
      <c r="T277" s="125"/>
      <c r="U277" s="10"/>
    </row>
    <row r="278" spans="1:22" s="126" customFormat="1" x14ac:dyDescent="0.55000000000000004">
      <c r="A278" s="117"/>
      <c r="B278"/>
      <c r="C278" s="124"/>
      <c r="D278" s="121"/>
      <c r="E278" s="122"/>
      <c r="F278" s="122"/>
      <c r="G278" s="122"/>
      <c r="H278" s="122"/>
      <c r="I278" s="122"/>
      <c r="J278" s="122"/>
      <c r="K278" s="122"/>
      <c r="L278" s="122"/>
      <c r="M278" s="122"/>
      <c r="N278" s="122"/>
      <c r="O278" s="122"/>
      <c r="P278" s="122"/>
      <c r="Q278" s="122"/>
      <c r="R278" s="122"/>
      <c r="S278" s="123"/>
      <c r="T278" s="125"/>
      <c r="U278" s="10"/>
    </row>
    <row r="279" spans="1:22" s="126" customFormat="1" x14ac:dyDescent="0.55000000000000004">
      <c r="A279" s="117"/>
      <c r="B279"/>
      <c r="C279" s="124"/>
      <c r="D279" s="124"/>
      <c r="E279"/>
      <c r="F279" s="1" t="s">
        <v>96</v>
      </c>
      <c r="G279"/>
      <c r="H279"/>
      <c r="I279"/>
      <c r="J279"/>
      <c r="K279"/>
      <c r="L279"/>
      <c r="M279"/>
      <c r="N279"/>
      <c r="O279"/>
      <c r="P279"/>
      <c r="Q279"/>
      <c r="R279"/>
      <c r="S279" s="125"/>
      <c r="T279" s="125"/>
      <c r="U279" s="10"/>
    </row>
    <row r="280" spans="1:22" s="126" customFormat="1" ht="14.55" customHeight="1" x14ac:dyDescent="0.55000000000000004">
      <c r="A280" s="117"/>
      <c r="B280"/>
      <c r="C280" s="124"/>
      <c r="D280" s="124"/>
      <c r="E280"/>
      <c r="F280" s="1804" t="s">
        <v>560</v>
      </c>
      <c r="G280" s="1804"/>
      <c r="H280" s="1804"/>
      <c r="I280" s="1804"/>
      <c r="J280" s="1804"/>
      <c r="K280" s="1804"/>
      <c r="L280" s="1804"/>
      <c r="M280" s="1804"/>
      <c r="N280" s="1804"/>
      <c r="O280" s="1804"/>
      <c r="P280" s="1804"/>
      <c r="Q280" s="119"/>
      <c r="R280"/>
      <c r="S280" s="125"/>
      <c r="T280" s="125"/>
      <c r="U280" s="10"/>
    </row>
    <row r="281" spans="1:22" s="126" customFormat="1" x14ac:dyDescent="0.55000000000000004">
      <c r="A281" s="117"/>
      <c r="B281"/>
      <c r="C281" s="124"/>
      <c r="D281" s="124"/>
      <c r="E281"/>
      <c r="F281" s="119"/>
      <c r="G281" s="119"/>
      <c r="H281" s="119"/>
      <c r="I281" s="119"/>
      <c r="J281" s="119"/>
      <c r="K281" s="119"/>
      <c r="L281" s="119"/>
      <c r="M281" s="119"/>
      <c r="N281" s="119"/>
      <c r="O281" s="119"/>
      <c r="P281" s="119"/>
      <c r="Q281" s="119"/>
      <c r="R281"/>
      <c r="S281" s="125"/>
      <c r="T281" s="125"/>
      <c r="U281" s="10"/>
    </row>
    <row r="282" spans="1:22" s="126" customFormat="1" x14ac:dyDescent="0.55000000000000004">
      <c r="A282" s="117"/>
      <c r="B282"/>
      <c r="C282" s="124"/>
      <c r="D282" s="124"/>
      <c r="E282"/>
      <c r="F282" s="1" t="s">
        <v>348</v>
      </c>
      <c r="G282" s="80" t="s">
        <v>89</v>
      </c>
      <c r="H282" s="119"/>
      <c r="I282" s="119"/>
      <c r="J282" s="119"/>
      <c r="K282" s="119"/>
      <c r="L282" s="119"/>
      <c r="M282" s="119"/>
      <c r="N282" s="119"/>
      <c r="O282" s="119"/>
      <c r="P282" s="119"/>
      <c r="Q282" s="119"/>
      <c r="R282"/>
      <c r="S282" s="125"/>
      <c r="T282" s="125"/>
      <c r="U282" s="10"/>
      <c r="V282" s="126" t="s">
        <v>89</v>
      </c>
    </row>
    <row r="283" spans="1:22" s="126" customFormat="1" ht="14.7" thickBot="1" x14ac:dyDescent="0.6">
      <c r="A283" s="117"/>
      <c r="B283"/>
      <c r="C283" s="124"/>
      <c r="D283" s="124"/>
      <c r="E283"/>
      <c r="F283"/>
      <c r="G283" s="134"/>
      <c r="H283" s="119"/>
      <c r="I283" s="119"/>
      <c r="J283" s="119"/>
      <c r="K283" s="119"/>
      <c r="L283" s="119"/>
      <c r="M283" s="119"/>
      <c r="N283" s="119"/>
      <c r="O283" s="119"/>
      <c r="P283" s="119"/>
      <c r="Q283" s="119"/>
      <c r="R283"/>
      <c r="S283" s="125"/>
      <c r="T283" s="125"/>
      <c r="U283" s="10"/>
      <c r="V283" s="126" t="s">
        <v>90</v>
      </c>
    </row>
    <row r="284" spans="1:22" s="126" customFormat="1" x14ac:dyDescent="0.55000000000000004">
      <c r="A284" s="117"/>
      <c r="B284"/>
      <c r="C284" s="124"/>
      <c r="D284" s="124"/>
      <c r="E284" s="121"/>
      <c r="F284" s="122"/>
      <c r="G284" s="122"/>
      <c r="H284" s="122"/>
      <c r="I284" s="122"/>
      <c r="J284" s="122"/>
      <c r="K284" s="122"/>
      <c r="L284" s="122"/>
      <c r="M284" s="122"/>
      <c r="N284" s="122"/>
      <c r="O284" s="122"/>
      <c r="P284" s="122"/>
      <c r="Q284" s="122"/>
      <c r="R284" s="123"/>
      <c r="S284" s="125"/>
      <c r="T284" s="125"/>
      <c r="U284" s="10"/>
    </row>
    <row r="285" spans="1:22" s="126" customFormat="1" x14ac:dyDescent="0.55000000000000004">
      <c r="A285" s="117"/>
      <c r="B285"/>
      <c r="C285" s="124"/>
      <c r="D285" s="124"/>
      <c r="E285" s="124"/>
      <c r="F285" s="1" t="s">
        <v>343</v>
      </c>
      <c r="G285" s="163"/>
      <c r="H285"/>
      <c r="I285"/>
      <c r="J285"/>
      <c r="K285"/>
      <c r="L285"/>
      <c r="M285"/>
      <c r="N285"/>
      <c r="O285"/>
      <c r="P285"/>
      <c r="Q285"/>
      <c r="R285" s="125"/>
      <c r="S285" s="125"/>
      <c r="T285" s="125"/>
      <c r="U285" s="10"/>
    </row>
    <row r="286" spans="1:22" s="126" customFormat="1" ht="14.55" customHeight="1" x14ac:dyDescent="0.55000000000000004">
      <c r="A286" s="117"/>
      <c r="B286"/>
      <c r="C286" s="124"/>
      <c r="D286" s="124"/>
      <c r="E286" s="124"/>
      <c r="F286" s="1804" t="s">
        <v>561</v>
      </c>
      <c r="G286" s="1804"/>
      <c r="H286" s="1804"/>
      <c r="I286" s="1804"/>
      <c r="J286" s="1804"/>
      <c r="K286" s="1804"/>
      <c r="L286" s="1804"/>
      <c r="M286" s="1804"/>
      <c r="N286" s="1804"/>
      <c r="O286" s="1804"/>
      <c r="P286" s="1804"/>
      <c r="Q286" s="1804"/>
      <c r="R286" s="125"/>
      <c r="S286" s="125"/>
      <c r="T286" s="125"/>
      <c r="U286" s="10"/>
    </row>
    <row r="287" spans="1:22" s="126" customFormat="1" x14ac:dyDescent="0.55000000000000004">
      <c r="A287" s="117"/>
      <c r="B287"/>
      <c r="C287" s="124"/>
      <c r="D287" s="124"/>
      <c r="E287" s="124"/>
      <c r="F287" s="1804"/>
      <c r="G287" s="1804"/>
      <c r="H287" s="1804"/>
      <c r="I287" s="1804"/>
      <c r="J287" s="1804"/>
      <c r="K287" s="1804"/>
      <c r="L287" s="1804"/>
      <c r="M287" s="1804"/>
      <c r="N287" s="1804"/>
      <c r="O287" s="1804"/>
      <c r="P287" s="1804"/>
      <c r="Q287" s="1804"/>
      <c r="R287" s="125"/>
      <c r="S287" s="125"/>
      <c r="T287" s="125"/>
      <c r="U287" s="10"/>
    </row>
    <row r="288" spans="1:22" s="126" customFormat="1" x14ac:dyDescent="0.55000000000000004">
      <c r="A288" s="117"/>
      <c r="B288"/>
      <c r="C288" s="124"/>
      <c r="D288" s="124"/>
      <c r="E288" s="124"/>
      <c r="F288" s="1"/>
      <c r="G288" s="163"/>
      <c r="H288"/>
      <c r="I288"/>
      <c r="J288"/>
      <c r="K288"/>
      <c r="L288"/>
      <c r="M288"/>
      <c r="N288"/>
      <c r="O288"/>
      <c r="P288"/>
      <c r="Q288"/>
      <c r="R288" s="125"/>
      <c r="S288" s="125"/>
      <c r="T288" s="125"/>
      <c r="U288" s="10"/>
    </row>
    <row r="289" spans="1:24" s="126" customFormat="1" x14ac:dyDescent="0.55000000000000004">
      <c r="A289" s="117"/>
      <c r="B289"/>
      <c r="C289" s="124"/>
      <c r="D289" s="124"/>
      <c r="E289" s="124"/>
      <c r="F289" s="164" t="s">
        <v>88</v>
      </c>
      <c r="G289" s="10"/>
      <c r="H289"/>
      <c r="I289" s="50">
        <v>1</v>
      </c>
      <c r="J289"/>
      <c r="K289"/>
      <c r="L289"/>
      <c r="M289"/>
      <c r="N289"/>
      <c r="O289"/>
      <c r="P289"/>
      <c r="Q289"/>
      <c r="R289" s="125"/>
      <c r="S289" s="125"/>
      <c r="T289" s="125"/>
      <c r="U289" s="10"/>
    </row>
    <row r="290" spans="1:24" s="126" customFormat="1" x14ac:dyDescent="0.55000000000000004">
      <c r="A290" s="117"/>
      <c r="B290"/>
      <c r="C290" s="124"/>
      <c r="D290" s="124"/>
      <c r="E290" s="124"/>
      <c r="F290" s="10" t="s">
        <v>612</v>
      </c>
      <c r="H290"/>
      <c r="I290" s="159" t="s">
        <v>578</v>
      </c>
      <c r="J290"/>
      <c r="K290"/>
      <c r="L290"/>
      <c r="M290"/>
      <c r="N290"/>
      <c r="O290"/>
      <c r="P290"/>
      <c r="Q290"/>
      <c r="R290" s="125"/>
      <c r="S290" s="125"/>
      <c r="T290" s="125"/>
      <c r="U290" s="10"/>
    </row>
    <row r="291" spans="1:24" s="126" customFormat="1" x14ac:dyDescent="0.55000000000000004">
      <c r="A291" s="117"/>
      <c r="B291"/>
      <c r="C291" s="124"/>
      <c r="D291" s="124"/>
      <c r="E291" s="124"/>
      <c r="F291"/>
      <c r="G291"/>
      <c r="H291"/>
      <c r="I291"/>
      <c r="J291"/>
      <c r="K291"/>
      <c r="L291"/>
      <c r="M291"/>
      <c r="N291"/>
      <c r="O291"/>
      <c r="P291"/>
      <c r="Q291"/>
      <c r="R291" s="125"/>
      <c r="S291" s="125"/>
      <c r="T291" s="125"/>
      <c r="U291" s="10"/>
    </row>
    <row r="292" spans="1:24" s="126" customFormat="1" ht="57.6" x14ac:dyDescent="0.55000000000000004">
      <c r="A292" s="117"/>
      <c r="B292"/>
      <c r="C292" s="124"/>
      <c r="D292" s="124"/>
      <c r="E292" s="124"/>
      <c r="F292" s="56" t="s">
        <v>91</v>
      </c>
      <c r="G292" s="56" t="s">
        <v>92</v>
      </c>
      <c r="H292" s="129" t="s">
        <v>80</v>
      </c>
      <c r="I292" s="56" t="s">
        <v>340</v>
      </c>
      <c r="J292" s="56" t="s">
        <v>356</v>
      </c>
      <c r="K292" s="165" t="s">
        <v>349</v>
      </c>
      <c r="L292" s="166" t="s">
        <v>350</v>
      </c>
      <c r="M292" s="162"/>
      <c r="N292" s="162"/>
      <c r="O292" s="162"/>
      <c r="P292" s="162"/>
      <c r="Q292" s="162"/>
      <c r="R292" s="167"/>
      <c r="S292" s="167"/>
      <c r="T292" s="167"/>
      <c r="U292" s="10"/>
      <c r="V292" s="168" t="s">
        <v>621</v>
      </c>
      <c r="W292" s="168" t="s">
        <v>622</v>
      </c>
    </row>
    <row r="293" spans="1:24" s="126" customFormat="1" x14ac:dyDescent="0.55000000000000004">
      <c r="A293" s="117"/>
      <c r="B293"/>
      <c r="C293" s="124"/>
      <c r="D293" s="124"/>
      <c r="E293" s="124"/>
      <c r="F293" s="89">
        <f>IF($I$289=X293,X293,1)</f>
        <v>1</v>
      </c>
      <c r="G293" s="91">
        <v>0</v>
      </c>
      <c r="H293" s="50"/>
      <c r="I293" s="169"/>
      <c r="J293" s="21">
        <f>IF(G282=V282,H266-SUMIF(F294:F297,"&lt;="&amp;$I$289,J294:J297),0)</f>
        <v>215721</v>
      </c>
      <c r="K293" s="114">
        <f ca="1">IFERROR(IF(G282=V282,IF(F293&lt;=I289,IF(I290="No",IF(J274=0,L266/SUMPRODUCT(V293:V297,J293:J297),(L266-J274)/SUMPRODUCT(V293:V297,J293:J297)),0),0),0),0)</f>
        <v>14.878552585771075</v>
      </c>
      <c r="L293" s="31">
        <f ca="1">J293*K293</f>
        <v>3209616.2423551222</v>
      </c>
      <c r="M293" s="170"/>
      <c r="N293" s="135"/>
      <c r="O293" s="171"/>
      <c r="P293"/>
      <c r="Q293"/>
      <c r="R293" s="125"/>
      <c r="S293" s="125"/>
      <c r="T293" s="125"/>
      <c r="U293" s="10"/>
      <c r="V293" s="96">
        <f>IF(F293&lt;=$I$289,1,0)</f>
        <v>1</v>
      </c>
      <c r="X293" s="126">
        <v>1</v>
      </c>
    </row>
    <row r="294" spans="1:24" s="126" customFormat="1" x14ac:dyDescent="0.55000000000000004">
      <c r="A294" s="117"/>
      <c r="B294"/>
      <c r="C294" s="124"/>
      <c r="D294" s="124"/>
      <c r="E294" s="124"/>
      <c r="F294" s="89" t="str">
        <f>IF($I$289&gt;=X294,X294,"")</f>
        <v/>
      </c>
      <c r="G294" s="91" t="str">
        <f>IF($I$289&gt;=F294,H293+0.01,"")</f>
        <v/>
      </c>
      <c r="H294" s="50"/>
      <c r="I294" s="61"/>
      <c r="J294" s="13"/>
      <c r="K294" s="114">
        <f>IFERROR(IF(F294&lt;=I289,IF(I290="No",K293*(1+I294),IF(J274=0,L266/SUMPRODUCT(W294:W297,J294:J297),(L266-J274)/SUMPRODUCT(W294:W297,J294:J297))),0),0)</f>
        <v>0</v>
      </c>
      <c r="L294" s="31">
        <f>J294*K294</f>
        <v>0</v>
      </c>
      <c r="M294" s="170"/>
      <c r="N294" s="135"/>
      <c r="O294" s="171"/>
      <c r="P294"/>
      <c r="Q294"/>
      <c r="R294" s="125"/>
      <c r="S294" s="125"/>
      <c r="T294" s="125"/>
      <c r="U294" s="10"/>
      <c r="V294" s="96">
        <f>IF(F294&lt;=$I$289,(1+I294),0)</f>
        <v>0</v>
      </c>
      <c r="W294" s="92">
        <f>IF(F294&lt;=I289,1,0)</f>
        <v>0</v>
      </c>
      <c r="X294" s="126">
        <v>2</v>
      </c>
    </row>
    <row r="295" spans="1:24" s="126" customFormat="1" x14ac:dyDescent="0.55000000000000004">
      <c r="A295" s="117"/>
      <c r="B295"/>
      <c r="C295" s="124"/>
      <c r="D295" s="124"/>
      <c r="E295" s="124"/>
      <c r="F295" s="89" t="str">
        <f>IF($I$289&gt;=X295,X295,"")</f>
        <v/>
      </c>
      <c r="G295" s="91" t="str">
        <f>IF($I$289&gt;=F295,H294+0.01,"")</f>
        <v/>
      </c>
      <c r="H295" s="50"/>
      <c r="I295" s="61"/>
      <c r="J295" s="13"/>
      <c r="K295" s="95">
        <f>IF(F295&lt;=$I$289,K294*(1+I295),0)</f>
        <v>0</v>
      </c>
      <c r="L295" s="31">
        <f>J295*K295</f>
        <v>0</v>
      </c>
      <c r="M295" s="170"/>
      <c r="N295" s="135"/>
      <c r="O295" s="171"/>
      <c r="P295"/>
      <c r="Q295"/>
      <c r="R295" s="125"/>
      <c r="S295" s="125"/>
      <c r="T295" s="125"/>
      <c r="U295" s="10"/>
      <c r="V295" s="96">
        <f>IF(F295&lt;=$I$289,V294*(1+I295),0)</f>
        <v>0</v>
      </c>
      <c r="W295" s="92">
        <f>IF(F295&lt;=I289,W294*(1+I295),0)</f>
        <v>0</v>
      </c>
      <c r="X295" s="126">
        <v>3</v>
      </c>
    </row>
    <row r="296" spans="1:24" s="126" customFormat="1" x14ac:dyDescent="0.55000000000000004">
      <c r="A296" s="117"/>
      <c r="B296"/>
      <c r="C296" s="124"/>
      <c r="D296" s="124"/>
      <c r="E296" s="124"/>
      <c r="F296" s="89" t="str">
        <f>IF($I$289&gt;=X296,X296,"")</f>
        <v/>
      </c>
      <c r="G296" s="91" t="str">
        <f>IF($I$289&gt;=F296,H295+0.01,"")</f>
        <v/>
      </c>
      <c r="H296" s="50"/>
      <c r="I296" s="61"/>
      <c r="J296" s="13"/>
      <c r="K296" s="95">
        <f>IF(F296&lt;=$I$289,K295*(1+I296),0)</f>
        <v>0</v>
      </c>
      <c r="L296" s="31">
        <f>J296*K296</f>
        <v>0</v>
      </c>
      <c r="M296" s="170"/>
      <c r="N296" s="135"/>
      <c r="O296" s="171"/>
      <c r="P296"/>
      <c r="Q296"/>
      <c r="R296" s="125"/>
      <c r="S296" s="125"/>
      <c r="T296" s="125"/>
      <c r="U296" s="10"/>
      <c r="V296" s="96">
        <f>IF(F296&lt;=$I$289,V295*(1+I296),0)</f>
        <v>0</v>
      </c>
      <c r="W296" s="92">
        <f>IF(F296&lt;=I289,W295*(1+I296),0)</f>
        <v>0</v>
      </c>
      <c r="X296" s="126">
        <v>4</v>
      </c>
    </row>
    <row r="297" spans="1:24" s="126" customFormat="1" x14ac:dyDescent="0.55000000000000004">
      <c r="A297" s="117"/>
      <c r="B297"/>
      <c r="C297" s="124"/>
      <c r="D297" s="124"/>
      <c r="E297" s="124"/>
      <c r="F297" s="89" t="str">
        <f>IF($I$289&gt;=X297,X297,"")</f>
        <v/>
      </c>
      <c r="G297" s="91" t="str">
        <f>IF($I$289&gt;=F297,H296+0.01,"")</f>
        <v/>
      </c>
      <c r="H297" s="89" t="s">
        <v>84</v>
      </c>
      <c r="I297" s="61"/>
      <c r="J297" s="13"/>
      <c r="K297" s="95">
        <f>IF(F297&lt;=$I$289,K296*(1+I297),0)</f>
        <v>0</v>
      </c>
      <c r="L297" s="31">
        <f>J297*K297</f>
        <v>0</v>
      </c>
      <c r="M297" s="170"/>
      <c r="N297" s="135"/>
      <c r="O297" s="171"/>
      <c r="P297"/>
      <c r="Q297"/>
      <c r="R297" s="125"/>
      <c r="S297" s="125"/>
      <c r="T297" s="125"/>
      <c r="U297" s="10"/>
      <c r="V297" s="96">
        <f>IF(F297&lt;=$I$289,V296*(1+I297),0)</f>
        <v>0</v>
      </c>
      <c r="W297" s="92">
        <f>IF(F297&lt;=I289,W296*(1+I297),0)</f>
        <v>0</v>
      </c>
      <c r="X297" s="126">
        <v>5</v>
      </c>
    </row>
    <row r="298" spans="1:24" s="126" customFormat="1" ht="14.7" thickBot="1" x14ac:dyDescent="0.6">
      <c r="A298" s="117"/>
      <c r="B298"/>
      <c r="C298" s="124"/>
      <c r="D298" s="124"/>
      <c r="E298" s="130"/>
      <c r="F298" s="149"/>
      <c r="G298" s="150"/>
      <c r="H298" s="149"/>
      <c r="I298" s="172"/>
      <c r="J298" s="173"/>
      <c r="K298" s="173"/>
      <c r="L298" s="173"/>
      <c r="M298" s="174"/>
      <c r="N298" s="152"/>
      <c r="O298" s="175"/>
      <c r="P298" s="131"/>
      <c r="Q298" s="131"/>
      <c r="R298" s="132"/>
      <c r="S298" s="125"/>
      <c r="T298" s="125"/>
      <c r="U298" s="10"/>
    </row>
    <row r="299" spans="1:24" s="126" customFormat="1" ht="14.7" thickBot="1" x14ac:dyDescent="0.6">
      <c r="A299" s="117"/>
      <c r="B299"/>
      <c r="C299" s="124"/>
      <c r="D299" s="124"/>
      <c r="E299"/>
      <c r="F299" s="163"/>
      <c r="G299" s="176"/>
      <c r="H299" s="163"/>
      <c r="I299" s="177"/>
      <c r="J299" s="178"/>
      <c r="K299" s="178"/>
      <c r="L299" s="178"/>
      <c r="M299" s="170"/>
      <c r="N299" s="135"/>
      <c r="O299" s="171"/>
      <c r="P299"/>
      <c r="Q299"/>
      <c r="R299"/>
      <c r="S299" s="125"/>
      <c r="T299" s="125"/>
      <c r="U299" s="10"/>
    </row>
    <row r="300" spans="1:24" s="126" customFormat="1" x14ac:dyDescent="0.55000000000000004">
      <c r="A300" s="117"/>
      <c r="B300"/>
      <c r="C300" s="124"/>
      <c r="D300" s="124"/>
      <c r="E300" s="121"/>
      <c r="F300" s="179"/>
      <c r="G300" s="180"/>
      <c r="H300" s="179"/>
      <c r="I300" s="181"/>
      <c r="J300" s="182"/>
      <c r="K300" s="182"/>
      <c r="L300" s="182"/>
      <c r="M300" s="183"/>
      <c r="N300" s="184"/>
      <c r="O300" s="185"/>
      <c r="P300" s="122"/>
      <c r="Q300" s="122"/>
      <c r="R300" s="123"/>
      <c r="S300" s="125"/>
      <c r="T300" s="125"/>
      <c r="U300" s="10"/>
    </row>
    <row r="301" spans="1:24" s="126" customFormat="1" x14ac:dyDescent="0.55000000000000004">
      <c r="A301" s="117"/>
      <c r="B301"/>
      <c r="C301" s="124"/>
      <c r="D301" s="124"/>
      <c r="E301" s="124"/>
      <c r="F301" s="186" t="s">
        <v>344</v>
      </c>
      <c r="G301" s="176"/>
      <c r="H301" s="163"/>
      <c r="I301" s="177"/>
      <c r="J301" s="178"/>
      <c r="K301" s="178"/>
      <c r="L301" s="178"/>
      <c r="M301" s="170"/>
      <c r="N301" s="135"/>
      <c r="O301" s="187"/>
      <c r="P301"/>
      <c r="Q301"/>
      <c r="R301" s="125"/>
      <c r="S301" s="125"/>
      <c r="T301" s="125"/>
      <c r="U301" s="10"/>
    </row>
    <row r="302" spans="1:24" s="126" customFormat="1" ht="14.55" customHeight="1" x14ac:dyDescent="0.55000000000000004">
      <c r="A302" s="117"/>
      <c r="B302"/>
      <c r="C302" s="124"/>
      <c r="D302" s="124"/>
      <c r="E302" s="124"/>
      <c r="F302" s="1804" t="s">
        <v>562</v>
      </c>
      <c r="G302" s="1804"/>
      <c r="H302" s="1804"/>
      <c r="I302" s="1804"/>
      <c r="J302" s="1804"/>
      <c r="K302" s="1804"/>
      <c r="L302" s="1804"/>
      <c r="M302" s="1804"/>
      <c r="N302" s="1804"/>
      <c r="O302" s="1804"/>
      <c r="P302" s="1804"/>
      <c r="Q302" s="1804"/>
      <c r="R302" s="125"/>
      <c r="S302" s="125"/>
      <c r="T302" s="125"/>
      <c r="U302" s="10"/>
    </row>
    <row r="303" spans="1:24" s="126" customFormat="1" x14ac:dyDescent="0.55000000000000004">
      <c r="A303" s="117"/>
      <c r="B303"/>
      <c r="C303" s="124"/>
      <c r="D303" s="124"/>
      <c r="E303" s="124"/>
      <c r="F303" s="1804"/>
      <c r="G303" s="1804"/>
      <c r="H303" s="1804"/>
      <c r="I303" s="1804"/>
      <c r="J303" s="1804"/>
      <c r="K303" s="1804"/>
      <c r="L303" s="1804"/>
      <c r="M303" s="1804"/>
      <c r="N303" s="1804"/>
      <c r="O303" s="1804"/>
      <c r="P303" s="1804"/>
      <c r="Q303" s="1804"/>
      <c r="R303" s="125"/>
      <c r="S303" s="125"/>
      <c r="T303" s="125"/>
      <c r="U303" s="10"/>
    </row>
    <row r="304" spans="1:24" s="126" customFormat="1" x14ac:dyDescent="0.55000000000000004">
      <c r="A304" s="117"/>
      <c r="B304"/>
      <c r="C304" s="124"/>
      <c r="D304" s="124"/>
      <c r="E304" s="124"/>
      <c r="F304" s="186"/>
      <c r="G304" s="176"/>
      <c r="H304" s="163"/>
      <c r="I304" s="177"/>
      <c r="J304" s="178"/>
      <c r="K304" s="178"/>
      <c r="L304" s="178"/>
      <c r="M304" s="170"/>
      <c r="N304" s="135"/>
      <c r="O304" s="187"/>
      <c r="P304"/>
      <c r="Q304"/>
      <c r="R304" s="125"/>
      <c r="S304" s="125"/>
      <c r="T304" s="125"/>
      <c r="U304" s="10"/>
    </row>
    <row r="305" spans="1:26" s="126" customFormat="1" x14ac:dyDescent="0.55000000000000004">
      <c r="A305" s="117"/>
      <c r="B305"/>
      <c r="C305" s="124"/>
      <c r="D305" s="124"/>
      <c r="E305" s="124"/>
      <c r="F305" s="164" t="s">
        <v>88</v>
      </c>
      <c r="G305" s="10"/>
      <c r="H305" s="163"/>
      <c r="I305" s="50">
        <v>5</v>
      </c>
      <c r="J305" s="178"/>
      <c r="K305" s="178"/>
      <c r="L305" s="178"/>
      <c r="M305" s="170"/>
      <c r="N305" s="135"/>
      <c r="O305" s="187"/>
      <c r="P305"/>
      <c r="Q305"/>
      <c r="R305" s="125"/>
      <c r="S305" s="125"/>
      <c r="T305" s="125"/>
      <c r="U305" s="10"/>
    </row>
    <row r="306" spans="1:26" s="126" customFormat="1" x14ac:dyDescent="0.55000000000000004">
      <c r="A306" s="117"/>
      <c r="B306"/>
      <c r="C306" s="124"/>
      <c r="D306" s="124"/>
      <c r="E306" s="124"/>
      <c r="F306" t="s">
        <v>346</v>
      </c>
      <c r="G306" s="10"/>
      <c r="H306" s="163"/>
      <c r="I306" s="13"/>
      <c r="J306" s="178"/>
      <c r="K306" s="178"/>
      <c r="L306" s="178"/>
      <c r="M306" s="170"/>
      <c r="N306" s="135"/>
      <c r="O306" s="187"/>
      <c r="P306"/>
      <c r="Q306"/>
      <c r="R306" s="125"/>
      <c r="S306" s="125"/>
      <c r="T306" s="125"/>
      <c r="U306" s="10"/>
    </row>
    <row r="307" spans="1:26" s="126" customFormat="1" x14ac:dyDescent="0.55000000000000004">
      <c r="A307" s="117"/>
      <c r="B307"/>
      <c r="C307" s="124"/>
      <c r="D307" s="124"/>
      <c r="E307" s="124"/>
      <c r="F307" t="s">
        <v>347</v>
      </c>
      <c r="G307" s="10"/>
      <c r="H307" s="163"/>
      <c r="I307" s="13"/>
      <c r="J307" s="178"/>
      <c r="K307" s="178"/>
      <c r="L307" s="178"/>
      <c r="M307" s="170"/>
      <c r="N307" s="135"/>
      <c r="O307" s="187"/>
      <c r="P307"/>
      <c r="Q307"/>
      <c r="R307" s="125"/>
      <c r="S307" s="125"/>
      <c r="T307" s="125"/>
      <c r="U307" s="10"/>
    </row>
    <row r="308" spans="1:26" s="126" customFormat="1" x14ac:dyDescent="0.55000000000000004">
      <c r="A308" s="117"/>
      <c r="B308"/>
      <c r="C308" s="124"/>
      <c r="D308" s="124"/>
      <c r="E308" s="124"/>
      <c r="F308" t="s">
        <v>366</v>
      </c>
      <c r="G308" s="10"/>
      <c r="H308"/>
      <c r="I308" s="93"/>
      <c r="J308"/>
      <c r="K308" s="178"/>
      <c r="L308" s="178"/>
      <c r="M308" s="170"/>
      <c r="N308" s="135"/>
      <c r="O308" s="187"/>
      <c r="P308"/>
      <c r="Q308"/>
      <c r="R308" s="125"/>
      <c r="S308" s="125"/>
      <c r="T308" s="125"/>
      <c r="U308" s="10"/>
    </row>
    <row r="309" spans="1:26" s="126" customFormat="1" x14ac:dyDescent="0.55000000000000004">
      <c r="A309" s="117"/>
      <c r="B309"/>
      <c r="C309" s="124"/>
      <c r="D309" s="124"/>
      <c r="E309" s="124"/>
      <c r="F309" s="10" t="s">
        <v>612</v>
      </c>
      <c r="H309"/>
      <c r="I309" s="159" t="s">
        <v>578</v>
      </c>
      <c r="J309"/>
      <c r="K309" s="178"/>
      <c r="L309" s="178"/>
      <c r="M309" s="170"/>
      <c r="N309" s="135"/>
      <c r="O309" s="187"/>
      <c r="P309"/>
      <c r="Q309"/>
      <c r="R309" s="125"/>
      <c r="S309" s="125"/>
      <c r="T309" s="125"/>
      <c r="U309" s="10"/>
    </row>
    <row r="310" spans="1:26" s="126" customFormat="1" x14ac:dyDescent="0.55000000000000004">
      <c r="A310" s="117"/>
      <c r="B310"/>
      <c r="C310" s="124"/>
      <c r="D310" s="124"/>
      <c r="E310" s="124"/>
      <c r="F310"/>
      <c r="G310"/>
      <c r="H310"/>
      <c r="I310" s="188"/>
      <c r="J310"/>
      <c r="K310" s="178"/>
      <c r="L310" s="178"/>
      <c r="M310" s="170"/>
      <c r="N310" s="135"/>
      <c r="O310" s="187"/>
      <c r="P310"/>
      <c r="Q310"/>
      <c r="R310" s="125"/>
      <c r="S310" s="125"/>
      <c r="T310" s="125"/>
      <c r="U310" s="10"/>
    </row>
    <row r="311" spans="1:26" s="126" customFormat="1" ht="57.6" x14ac:dyDescent="0.55000000000000004">
      <c r="A311" s="117"/>
      <c r="B311"/>
      <c r="C311" s="124"/>
      <c r="D311" s="124"/>
      <c r="E311" s="124"/>
      <c r="F311" s="56" t="s">
        <v>91</v>
      </c>
      <c r="G311" s="56" t="s">
        <v>92</v>
      </c>
      <c r="H311" s="129" t="s">
        <v>80</v>
      </c>
      <c r="I311" s="56" t="s">
        <v>367</v>
      </c>
      <c r="J311" s="56" t="s">
        <v>368</v>
      </c>
      <c r="K311" s="56" t="s">
        <v>341</v>
      </c>
      <c r="L311" s="56" t="s">
        <v>342</v>
      </c>
      <c r="M311" s="166" t="s">
        <v>351</v>
      </c>
      <c r="N311" s="56" t="s">
        <v>352</v>
      </c>
      <c r="O311" s="56" t="s">
        <v>353</v>
      </c>
      <c r="P311" s="56" t="s">
        <v>354</v>
      </c>
      <c r="Q311" s="56" t="s">
        <v>355</v>
      </c>
      <c r="R311" s="125"/>
      <c r="S311" s="125"/>
      <c r="T311" s="125"/>
      <c r="U311" s="10"/>
      <c r="V311" s="189" t="s">
        <v>616</v>
      </c>
      <c r="W311" s="168" t="s">
        <v>617</v>
      </c>
      <c r="X311" s="189" t="s">
        <v>618</v>
      </c>
      <c r="Y311" s="168" t="s">
        <v>619</v>
      </c>
    </row>
    <row r="312" spans="1:26" s="126" customFormat="1" x14ac:dyDescent="0.55000000000000004">
      <c r="A312" s="117"/>
      <c r="B312"/>
      <c r="C312" s="124"/>
      <c r="D312" s="124"/>
      <c r="E312" s="124"/>
      <c r="F312" s="89">
        <f>IF($I$305=Z312,Z312,1)</f>
        <v>1</v>
      </c>
      <c r="G312" s="91">
        <v>0</v>
      </c>
      <c r="H312" s="50"/>
      <c r="I312" s="169"/>
      <c r="J312" s="63"/>
      <c r="K312" s="21">
        <f>I306-SUMIF(F313:F316,"&lt;="&amp;$I$305,K313:K316)</f>
        <v>0</v>
      </c>
      <c r="L312" s="31">
        <f>I307-SUMIF(F313:F316,"&lt;="&amp;$I$305,L313:L316)</f>
        <v>0</v>
      </c>
      <c r="M312" s="44">
        <f>IFERROR(IF(G282=V282,0,IF(F312&lt;=I305,IF(I309="No",(L266-J274)/(SUMPRODUCT(V312:V316,K312:K316)+SUMPRODUCT(W312:W316,L312:L316)),0)*I308,0)),0)</f>
        <v>0</v>
      </c>
      <c r="N312" s="44">
        <f>IFERROR(IF(G282=V282,0,IF(F312&lt;=I305,IF(I309="No",(L266-J274)/(SUMPRODUCT(V312:V316,K312:K316)+SUMPRODUCT(W312:W316,L312:L316)),0),0)),0)</f>
        <v>0</v>
      </c>
      <c r="O312" s="97" t="str">
        <f>IFERROR(M312/N312,"")</f>
        <v/>
      </c>
      <c r="P312" s="26">
        <f t="shared" ref="P312:Q316" si="4">K312*M312</f>
        <v>0</v>
      </c>
      <c r="Q312" s="26">
        <f t="shared" si="4"/>
        <v>0</v>
      </c>
      <c r="R312" s="125"/>
      <c r="S312" s="125"/>
      <c r="T312" s="125"/>
      <c r="U312" s="10"/>
      <c r="V312" s="92">
        <f>IF(F312&lt;=$I$305,1*$I$308,0)</f>
        <v>0</v>
      </c>
      <c r="W312" s="96">
        <f>IF(F312&lt;=$I$305,1,0)</f>
        <v>1</v>
      </c>
      <c r="X312" s="92"/>
      <c r="Y312" s="96"/>
      <c r="Z312" s="126">
        <v>1</v>
      </c>
    </row>
    <row r="313" spans="1:26" s="126" customFormat="1" x14ac:dyDescent="0.55000000000000004">
      <c r="A313" s="117"/>
      <c r="B313"/>
      <c r="C313" s="124"/>
      <c r="D313" s="124"/>
      <c r="E313" s="124"/>
      <c r="F313" s="89">
        <f>IF($I$305&gt;=Z313,Z313,"")</f>
        <v>2</v>
      </c>
      <c r="G313" s="91">
        <f>IF($I$305&gt;=F313,H312+0.01,"")</f>
        <v>0.01</v>
      </c>
      <c r="H313" s="50"/>
      <c r="I313" s="61"/>
      <c r="J313" s="61"/>
      <c r="K313" s="13"/>
      <c r="L313" s="13"/>
      <c r="M313" s="44">
        <f>IF(F313&lt;=I305,IF(I309="No",M312*(1+I313),N313*I308),0)</f>
        <v>0</v>
      </c>
      <c r="N313" s="44">
        <f>IF(F313&lt;=I305,IF(I309="No",N312*(1+J313),(L266-J274)/(I308*SUMPRODUCT(X313:X316,K313:K316)+SUMPRODUCT(Y313:Y316,L313:L316))),0)</f>
        <v>0</v>
      </c>
      <c r="O313" s="97" t="str">
        <f>IFERROR(M313/N313,"")</f>
        <v/>
      </c>
      <c r="P313" s="26">
        <f t="shared" si="4"/>
        <v>0</v>
      </c>
      <c r="Q313" s="26">
        <f t="shared" si="4"/>
        <v>0</v>
      </c>
      <c r="R313" s="125"/>
      <c r="S313" s="125"/>
      <c r="T313" s="125"/>
      <c r="U313" s="10"/>
      <c r="V313" s="92">
        <f>IF(F313&lt;=$I$305,V312*(1+I313),0)</f>
        <v>0</v>
      </c>
      <c r="W313" s="96">
        <f>IF(F313&lt;=$I$305,(1+J313),0)</f>
        <v>1</v>
      </c>
      <c r="X313" s="92">
        <v>1</v>
      </c>
      <c r="Y313" s="96">
        <f>IF(F313&lt;=I305,1,0)</f>
        <v>1</v>
      </c>
      <c r="Z313" s="126">
        <v>2</v>
      </c>
    </row>
    <row r="314" spans="1:26" s="126" customFormat="1" x14ac:dyDescent="0.55000000000000004">
      <c r="A314" s="117"/>
      <c r="B314"/>
      <c r="C314" s="124"/>
      <c r="D314" s="124"/>
      <c r="E314" s="124"/>
      <c r="F314" s="89">
        <f>IF($I$305&gt;=Z314,Z314,"")</f>
        <v>3</v>
      </c>
      <c r="G314" s="91">
        <f>IF($I$305&gt;=F314,H313+0.01,"")</f>
        <v>0.01</v>
      </c>
      <c r="H314" s="50"/>
      <c r="I314" s="61"/>
      <c r="J314" s="61"/>
      <c r="K314" s="13"/>
      <c r="L314" s="13"/>
      <c r="M314" s="36">
        <f>IF(F314&lt;=$I$305,M313*(1+I314),0)</f>
        <v>0</v>
      </c>
      <c r="N314" s="36">
        <f>IF(F314&lt;=$I$305,N313*(1+J314),0)</f>
        <v>0</v>
      </c>
      <c r="O314" s="97" t="str">
        <f>IFERROR(M314/N314,"")</f>
        <v/>
      </c>
      <c r="P314" s="26">
        <f t="shared" si="4"/>
        <v>0</v>
      </c>
      <c r="Q314" s="26">
        <f t="shared" si="4"/>
        <v>0</v>
      </c>
      <c r="R314" s="125"/>
      <c r="S314" s="125"/>
      <c r="T314" s="125"/>
      <c r="U314" s="10"/>
      <c r="V314" s="92">
        <f>IF(F314&lt;=$I$305,V313*(1+I314),0)</f>
        <v>0</v>
      </c>
      <c r="W314" s="96">
        <f>IF(F314&lt;=$I$305,W313*(1+J314),0)</f>
        <v>1</v>
      </c>
      <c r="X314" s="92">
        <f>IF(F314&lt;=I305,X313*(1+I314),0)</f>
        <v>1</v>
      </c>
      <c r="Y314" s="96">
        <f>IF(F314&lt;=I305,Y313*(1+J314),0)</f>
        <v>1</v>
      </c>
      <c r="Z314" s="126">
        <v>3</v>
      </c>
    </row>
    <row r="315" spans="1:26" s="126" customFormat="1" x14ac:dyDescent="0.55000000000000004">
      <c r="A315" s="117"/>
      <c r="B315"/>
      <c r="C315" s="124"/>
      <c r="D315" s="124"/>
      <c r="E315" s="124"/>
      <c r="F315" s="89">
        <f>IF($I$305&gt;=Z315,Z315,"")</f>
        <v>4</v>
      </c>
      <c r="G315" s="91">
        <f>IF($I$305&gt;=F315,H314+0.01,"")</f>
        <v>0.01</v>
      </c>
      <c r="H315" s="50"/>
      <c r="I315" s="61"/>
      <c r="J315" s="61"/>
      <c r="K315" s="13"/>
      <c r="L315" s="13"/>
      <c r="M315" s="36">
        <f>IF(F315&lt;=$I$305,M314*(1+I315),0)</f>
        <v>0</v>
      </c>
      <c r="N315" s="36">
        <f>IF(F315&lt;=$I$305,N314*(1+J315),0)</f>
        <v>0</v>
      </c>
      <c r="O315" s="97" t="str">
        <f>IFERROR(M315/N315,"")</f>
        <v/>
      </c>
      <c r="P315" s="26">
        <f t="shared" si="4"/>
        <v>0</v>
      </c>
      <c r="Q315" s="26">
        <f t="shared" si="4"/>
        <v>0</v>
      </c>
      <c r="R315" s="125"/>
      <c r="S315" s="125"/>
      <c r="T315" s="125"/>
      <c r="U315" s="10"/>
      <c r="V315" s="92">
        <f>IF(F315&lt;=$I$305,V314*(1+I315),0)</f>
        <v>0</v>
      </c>
      <c r="W315" s="96">
        <f>IF(F315&lt;=$I$305,W314*(1+J315),0)</f>
        <v>1</v>
      </c>
      <c r="X315" s="92">
        <f>IF(F315&lt;=I305,X314*(1+I315),0)</f>
        <v>1</v>
      </c>
      <c r="Y315" s="96">
        <f>IF(F315&lt;=I305,Y314*(1+J315),0)</f>
        <v>1</v>
      </c>
      <c r="Z315" s="126">
        <v>4</v>
      </c>
    </row>
    <row r="316" spans="1:26" s="126" customFormat="1" x14ac:dyDescent="0.55000000000000004">
      <c r="A316" s="117"/>
      <c r="B316"/>
      <c r="C316" s="124"/>
      <c r="D316" s="124"/>
      <c r="E316" s="124"/>
      <c r="F316" s="89">
        <f>IF($I$305&gt;=Z316,Z316,"")</f>
        <v>5</v>
      </c>
      <c r="G316" s="91">
        <f>IF($I$305&gt;=F316,H315+0.01,"")</f>
        <v>0.01</v>
      </c>
      <c r="H316" s="89" t="s">
        <v>84</v>
      </c>
      <c r="I316" s="61"/>
      <c r="J316" s="61"/>
      <c r="K316" s="13"/>
      <c r="L316" s="13"/>
      <c r="M316" s="36">
        <f>IF(F316&lt;=$I$305,M315*(1+I316),0)</f>
        <v>0</v>
      </c>
      <c r="N316" s="36">
        <f>IF(F316&lt;=$I$305,N315*(1+J316),0)</f>
        <v>0</v>
      </c>
      <c r="O316" s="97" t="str">
        <f>IFERROR(M316/N316,"")</f>
        <v/>
      </c>
      <c r="P316" s="26">
        <f t="shared" si="4"/>
        <v>0</v>
      </c>
      <c r="Q316" s="26">
        <f t="shared" si="4"/>
        <v>0</v>
      </c>
      <c r="R316" s="125"/>
      <c r="S316" s="125"/>
      <c r="T316" s="125"/>
      <c r="U316" s="10"/>
      <c r="V316" s="92">
        <f>IF(F316&lt;=$I$305,V315*(1+I316),0)</f>
        <v>0</v>
      </c>
      <c r="W316" s="96">
        <f>IF(F316&lt;=$I$305,W315*(1+J316),0)</f>
        <v>1</v>
      </c>
      <c r="X316" s="92">
        <f>IF(F316&lt;=I305,X315*(1+I316),0)</f>
        <v>1</v>
      </c>
      <c r="Y316" s="96">
        <f>IF(F316&lt;=I305,Y315*(1+J316),0)</f>
        <v>1</v>
      </c>
      <c r="Z316" s="126">
        <v>5</v>
      </c>
    </row>
    <row r="317" spans="1:26" s="126" customFormat="1" ht="14.7" thickBot="1" x14ac:dyDescent="0.6">
      <c r="A317" s="117"/>
      <c r="B317"/>
      <c r="C317" s="124"/>
      <c r="D317" s="124"/>
      <c r="E317" s="130"/>
      <c r="F317" s="131"/>
      <c r="G317" s="131"/>
      <c r="H317" s="131"/>
      <c r="I317" s="131"/>
      <c r="J317" s="131"/>
      <c r="K317" s="131"/>
      <c r="L317" s="131"/>
      <c r="M317" s="131"/>
      <c r="N317" s="131"/>
      <c r="O317" s="131"/>
      <c r="P317" s="131"/>
      <c r="Q317" s="131"/>
      <c r="R317" s="132"/>
      <c r="S317" s="125"/>
      <c r="T317" s="125"/>
      <c r="U317" s="10"/>
    </row>
    <row r="318" spans="1:26" s="126" customFormat="1" ht="14.7" thickBot="1" x14ac:dyDescent="0.6">
      <c r="A318" s="117"/>
      <c r="B318"/>
      <c r="C318" s="124"/>
      <c r="D318" s="130"/>
      <c r="E318" s="131"/>
      <c r="F318" s="131"/>
      <c r="G318" s="131"/>
      <c r="H318" s="131"/>
      <c r="I318" s="131"/>
      <c r="J318" s="131"/>
      <c r="K318" s="131"/>
      <c r="L318" s="131"/>
      <c r="M318" s="131"/>
      <c r="N318" s="131"/>
      <c r="O318" s="131"/>
      <c r="P318" s="131"/>
      <c r="Q318" s="131"/>
      <c r="R318" s="131"/>
      <c r="S318" s="132"/>
      <c r="T318" s="125"/>
      <c r="U318" s="10"/>
    </row>
    <row r="319" spans="1:26" s="126" customFormat="1" ht="14.7" thickBot="1" x14ac:dyDescent="0.6">
      <c r="A319" s="117"/>
      <c r="B319"/>
      <c r="C319" s="130"/>
      <c r="D319" s="131"/>
      <c r="E319" s="131"/>
      <c r="F319" s="131"/>
      <c r="G319" s="131"/>
      <c r="H319" s="131"/>
      <c r="I319" s="131"/>
      <c r="J319" s="131"/>
      <c r="K319" s="131"/>
      <c r="L319" s="131"/>
      <c r="M319" s="131"/>
      <c r="N319" s="131"/>
      <c r="O319" s="131"/>
      <c r="P319" s="131"/>
      <c r="Q319" s="131"/>
      <c r="R319" s="131"/>
      <c r="S319" s="131"/>
      <c r="T319" s="132"/>
      <c r="U319" s="10"/>
    </row>
    <row r="320" spans="1:26" s="126" customFormat="1" ht="14.7" thickBot="1" x14ac:dyDescent="0.6">
      <c r="A320" s="117"/>
      <c r="B320"/>
      <c r="C320"/>
      <c r="D320"/>
      <c r="E320"/>
      <c r="F320"/>
      <c r="G320"/>
      <c r="H320"/>
      <c r="I320"/>
      <c r="J320"/>
      <c r="K320"/>
      <c r="L320"/>
      <c r="M320"/>
      <c r="N320"/>
      <c r="O320"/>
      <c r="P320"/>
      <c r="Q320"/>
      <c r="R320"/>
      <c r="S320"/>
      <c r="T320"/>
      <c r="U320" s="10"/>
    </row>
    <row r="321" spans="1:21" s="126" customFormat="1" x14ac:dyDescent="0.55000000000000004">
      <c r="A321" s="117"/>
      <c r="B321"/>
      <c r="C321" s="121"/>
      <c r="D321" s="122"/>
      <c r="E321" s="122"/>
      <c r="F321" s="122"/>
      <c r="G321" s="122"/>
      <c r="H321" s="122"/>
      <c r="I321" s="122"/>
      <c r="J321" s="122"/>
      <c r="K321" s="122"/>
      <c r="L321" s="122"/>
      <c r="M321" s="122"/>
      <c r="N321" s="122"/>
      <c r="O321" s="122"/>
      <c r="P321" s="122"/>
      <c r="Q321" s="122"/>
      <c r="R321" s="122"/>
      <c r="S321" s="122"/>
      <c r="T321" s="123"/>
      <c r="U321" s="10"/>
    </row>
    <row r="322" spans="1:21" s="126" customFormat="1" ht="18.3" x14ac:dyDescent="0.7">
      <c r="A322" s="117"/>
      <c r="B322"/>
      <c r="C322" s="124"/>
      <c r="D322" s="1822" t="str">
        <f>'2 Customer data'!D98</f>
        <v>Prepaid: Domestic</v>
      </c>
      <c r="E322" s="1822"/>
      <c r="F322" s="1822"/>
      <c r="G322" s="1822"/>
      <c r="H322" s="1822"/>
      <c r="I322" s="1822"/>
      <c r="J322" s="1822"/>
      <c r="K322" s="1822"/>
      <c r="L322" s="1822"/>
      <c r="M322" s="1822"/>
      <c r="N322" s="1822"/>
      <c r="O322" s="1822"/>
      <c r="P322" s="1822"/>
      <c r="Q322" s="1822"/>
      <c r="R322" s="1822"/>
      <c r="S322" s="1822"/>
      <c r="T322" s="125"/>
      <c r="U322" s="10"/>
    </row>
    <row r="323" spans="1:21" s="126" customFormat="1" ht="14.7" thickBot="1" x14ac:dyDescent="0.6">
      <c r="A323" s="117"/>
      <c r="B323"/>
      <c r="C323" s="124"/>
      <c r="D323"/>
      <c r="E323"/>
      <c r="F323"/>
      <c r="G323"/>
      <c r="H323"/>
      <c r="I323"/>
      <c r="J323"/>
      <c r="K323"/>
      <c r="L323"/>
      <c r="M323"/>
      <c r="N323"/>
      <c r="O323"/>
      <c r="P323"/>
      <c r="Q323"/>
      <c r="R323"/>
      <c r="S323"/>
      <c r="T323" s="125"/>
      <c r="U323" s="10"/>
    </row>
    <row r="324" spans="1:21" s="126" customFormat="1" x14ac:dyDescent="0.55000000000000004">
      <c r="A324" s="117"/>
      <c r="B324"/>
      <c r="C324" s="124"/>
      <c r="D324" s="121"/>
      <c r="E324" s="122"/>
      <c r="F324" s="122"/>
      <c r="G324" s="122"/>
      <c r="H324" s="122"/>
      <c r="I324" s="122"/>
      <c r="J324" s="122"/>
      <c r="K324" s="122"/>
      <c r="L324" s="122"/>
      <c r="M324" s="122"/>
      <c r="N324" s="122"/>
      <c r="O324" s="122"/>
      <c r="P324" s="122"/>
      <c r="Q324" s="122"/>
      <c r="R324" s="122"/>
      <c r="S324" s="123"/>
      <c r="T324" s="125"/>
      <c r="U324" s="10"/>
    </row>
    <row r="325" spans="1:21" s="126" customFormat="1" x14ac:dyDescent="0.55000000000000004">
      <c r="A325" s="117"/>
      <c r="B325"/>
      <c r="C325" s="124"/>
      <c r="D325" s="124"/>
      <c r="E325"/>
      <c r="F325" s="1" t="str">
        <f>'2 Customer data'!D98&amp;" "&amp;"information"</f>
        <v>Prepaid: Domestic information</v>
      </c>
      <c r="G325"/>
      <c r="H325"/>
      <c r="I325"/>
      <c r="J325"/>
      <c r="K325"/>
      <c r="L325"/>
      <c r="M325"/>
      <c r="N325"/>
      <c r="O325"/>
      <c r="P325"/>
      <c r="Q325"/>
      <c r="R325"/>
      <c r="S325" s="125"/>
      <c r="T325" s="125"/>
      <c r="U325" s="10"/>
    </row>
    <row r="326" spans="1:21" s="126" customFormat="1" x14ac:dyDescent="0.55000000000000004">
      <c r="A326" s="117"/>
      <c r="B326"/>
      <c r="C326" s="124"/>
      <c r="D326" s="124"/>
      <c r="E326"/>
      <c r="F326"/>
      <c r="G326"/>
      <c r="H326"/>
      <c r="I326"/>
      <c r="J326"/>
      <c r="K326"/>
      <c r="L326"/>
      <c r="M326"/>
      <c r="N326"/>
      <c r="O326"/>
      <c r="P326"/>
      <c r="Q326"/>
      <c r="R326"/>
      <c r="S326" s="125"/>
      <c r="T326" s="125"/>
      <c r="U326" s="10"/>
    </row>
    <row r="327" spans="1:21" s="126" customFormat="1" ht="28.8" x14ac:dyDescent="0.55000000000000004">
      <c r="A327" s="117"/>
      <c r="B327"/>
      <c r="C327" s="124"/>
      <c r="D327" s="124"/>
      <c r="E327"/>
      <c r="F327"/>
      <c r="G327" s="56" t="s">
        <v>28</v>
      </c>
      <c r="H327" s="56" t="s">
        <v>345</v>
      </c>
      <c r="I327" s="56" t="s">
        <v>60</v>
      </c>
      <c r="J327" s="56" t="s">
        <v>249</v>
      </c>
      <c r="K327" s="56" t="s">
        <v>279</v>
      </c>
      <c r="L327" s="56" t="s">
        <v>357</v>
      </c>
      <c r="M327"/>
      <c r="N327" s="162"/>
      <c r="O327"/>
      <c r="P327"/>
      <c r="Q327"/>
      <c r="R327"/>
      <c r="S327" s="125"/>
      <c r="T327" s="125"/>
      <c r="U327" s="10"/>
    </row>
    <row r="328" spans="1:21" s="126" customFormat="1" x14ac:dyDescent="0.55000000000000004">
      <c r="A328" s="117"/>
      <c r="B328"/>
      <c r="C328" s="124"/>
      <c r="D328" s="124"/>
      <c r="E328"/>
      <c r="F328" t="str">
        <f>'2 Customer data'!D98</f>
        <v>Prepaid: Domestic</v>
      </c>
      <c r="G328" s="94">
        <f>IFERROR(IF(VLOOKUP(F328,'2 Customer data'!$D$93:$N$112,7,FALSE)="",VLOOKUP(F328,'2 Customer data'!$D$93:$N$112,6,FALSE),VLOOKUP(F328,'2 Customer data'!$D$93:$N$112,7,FALSE)),0)</f>
        <v>1578</v>
      </c>
      <c r="H328" s="26">
        <f>IFERROR(IF(VLOOKUP(F328,'2 Customer data'!$D$93:$N$112,9,FALSE)="",VLOOKUP(F328,'2 Customer data'!$D$93:$N$112,8,FALSE),VLOOKUP(F328,'2 Customer data'!$D$93:$N$112,9,FALSE)),0)</f>
        <v>10509085.399999999</v>
      </c>
      <c r="I328" s="26">
        <f ca="1">IFERROR(VLOOKUP($F328,'2 Electricity'!$D$21:$L$40,6,FALSE),0)</f>
        <v>10553736.852756709</v>
      </c>
      <c r="J328" s="26">
        <f ca="1">IFERROR(VLOOKUP($F328,'2 Electricity'!$D$21:$L$40,7,FALSE),0)</f>
        <v>31337491.662187468</v>
      </c>
      <c r="K328" s="26">
        <f ca="1">IFERROR(VLOOKUP($F328,'2 Electricity'!$D$21:$L$40,8,FALSE),0)</f>
        <v>0</v>
      </c>
      <c r="L328" s="26">
        <f ca="1">IFERROR(VLOOKUP(F328,'2 Electricity'!$D$157:$K$176,8,FALSE),0)</f>
        <v>48773984.045685805</v>
      </c>
      <c r="M328"/>
      <c r="N328" s="134"/>
      <c r="O328"/>
      <c r="P328"/>
      <c r="Q328"/>
      <c r="R328"/>
      <c r="S328" s="125"/>
      <c r="T328" s="125"/>
      <c r="U328" s="10"/>
    </row>
    <row r="329" spans="1:21" s="126" customFormat="1" ht="14.7" thickBot="1" x14ac:dyDescent="0.6">
      <c r="A329" s="117"/>
      <c r="B329"/>
      <c r="C329" s="124"/>
      <c r="D329" s="130"/>
      <c r="E329" s="131"/>
      <c r="F329" s="131"/>
      <c r="G329" s="131"/>
      <c r="H329" s="131"/>
      <c r="I329" s="131"/>
      <c r="J329" s="131"/>
      <c r="K329" s="131"/>
      <c r="L329" s="131"/>
      <c r="M329" s="131"/>
      <c r="N329" s="131"/>
      <c r="O329" s="131"/>
      <c r="P329" s="131"/>
      <c r="Q329" s="131"/>
      <c r="R329" s="131"/>
      <c r="S329" s="132"/>
      <c r="T329" s="125"/>
      <c r="U329" s="10"/>
    </row>
    <row r="330" spans="1:21" s="126" customFormat="1" ht="14.7" thickBot="1" x14ac:dyDescent="0.6">
      <c r="A330" s="117"/>
      <c r="B330"/>
      <c r="C330" s="124"/>
      <c r="D330"/>
      <c r="E330"/>
      <c r="F330"/>
      <c r="G330"/>
      <c r="H330"/>
      <c r="I330"/>
      <c r="J330"/>
      <c r="K330"/>
      <c r="L330"/>
      <c r="M330"/>
      <c r="N330"/>
      <c r="O330"/>
      <c r="P330"/>
      <c r="Q330"/>
      <c r="R330"/>
      <c r="S330"/>
      <c r="T330" s="125"/>
      <c r="U330" s="10"/>
    </row>
    <row r="331" spans="1:21" s="126" customFormat="1" x14ac:dyDescent="0.55000000000000004">
      <c r="A331" s="117"/>
      <c r="B331"/>
      <c r="C331" s="124"/>
      <c r="D331" s="121"/>
      <c r="E331" s="122"/>
      <c r="F331" s="122"/>
      <c r="G331" s="122"/>
      <c r="H331" s="122"/>
      <c r="I331" s="122"/>
      <c r="J331" s="122"/>
      <c r="K331" s="122"/>
      <c r="L331" s="122"/>
      <c r="M331" s="122"/>
      <c r="N331" s="122"/>
      <c r="O331" s="122"/>
      <c r="P331" s="122"/>
      <c r="Q331" s="122"/>
      <c r="R331" s="122"/>
      <c r="S331" s="123"/>
      <c r="T331" s="125"/>
      <c r="U331" s="10"/>
    </row>
    <row r="332" spans="1:21" s="126" customFormat="1" x14ac:dyDescent="0.55000000000000004">
      <c r="A332" s="117"/>
      <c r="B332"/>
      <c r="C332" s="124"/>
      <c r="D332" s="124"/>
      <c r="E332"/>
      <c r="F332" s="1" t="s">
        <v>85</v>
      </c>
      <c r="G332"/>
      <c r="H332"/>
      <c r="I332"/>
      <c r="J332"/>
      <c r="K332"/>
      <c r="L332"/>
      <c r="M332"/>
      <c r="N332"/>
      <c r="O332"/>
      <c r="P332"/>
      <c r="Q332"/>
      <c r="R332"/>
      <c r="S332" s="125"/>
      <c r="T332" s="125"/>
      <c r="U332" s="10"/>
    </row>
    <row r="333" spans="1:21" s="126" customFormat="1" x14ac:dyDescent="0.55000000000000004">
      <c r="A333" s="117"/>
      <c r="B333"/>
      <c r="C333" s="124"/>
      <c r="D333" s="124"/>
      <c r="E333"/>
      <c r="F333" s="120" t="s">
        <v>555</v>
      </c>
      <c r="G333"/>
      <c r="H333"/>
      <c r="I333"/>
      <c r="J333"/>
      <c r="K333"/>
      <c r="L333"/>
      <c r="M333"/>
      <c r="N333"/>
      <c r="O333"/>
      <c r="P333"/>
      <c r="Q333"/>
      <c r="R333"/>
      <c r="S333" s="125"/>
      <c r="T333" s="125"/>
      <c r="U333" s="10"/>
    </row>
    <row r="334" spans="1:21" s="126" customFormat="1" x14ac:dyDescent="0.55000000000000004">
      <c r="A334" s="117"/>
      <c r="B334"/>
      <c r="C334" s="124"/>
      <c r="D334" s="124"/>
      <c r="E334"/>
      <c r="F334"/>
      <c r="G334"/>
      <c r="H334"/>
      <c r="I334"/>
      <c r="J334"/>
      <c r="K334"/>
      <c r="L334"/>
      <c r="M334"/>
      <c r="N334"/>
      <c r="O334"/>
      <c r="P334"/>
      <c r="Q334"/>
      <c r="R334"/>
      <c r="S334" s="125"/>
      <c r="T334" s="125"/>
      <c r="U334" s="10"/>
    </row>
    <row r="335" spans="1:21" s="126" customFormat="1" ht="43.2" x14ac:dyDescent="0.55000000000000004">
      <c r="A335" s="117"/>
      <c r="B335"/>
      <c r="C335" s="124"/>
      <c r="D335" s="124"/>
      <c r="E335"/>
      <c r="F335"/>
      <c r="G335" s="56" t="s">
        <v>86</v>
      </c>
      <c r="H335" s="56" t="s">
        <v>73</v>
      </c>
      <c r="I335" s="56" t="s">
        <v>87</v>
      </c>
      <c r="J335" s="56" t="s">
        <v>75</v>
      </c>
      <c r="K335" s="56" t="s">
        <v>76</v>
      </c>
      <c r="L335"/>
      <c r="M335"/>
      <c r="N335"/>
      <c r="O335"/>
      <c r="P335"/>
      <c r="Q335"/>
      <c r="R335"/>
      <c r="S335" s="125"/>
      <c r="T335" s="125"/>
      <c r="U335" s="10"/>
    </row>
    <row r="336" spans="1:21" s="126" customFormat="1" x14ac:dyDescent="0.55000000000000004">
      <c r="A336" s="117"/>
      <c r="B336"/>
      <c r="C336" s="124"/>
      <c r="D336" s="124"/>
      <c r="E336"/>
      <c r="F336" t="str">
        <f>F328</f>
        <v>Prepaid: Domestic</v>
      </c>
      <c r="G336" s="26">
        <f ca="1">SUM(I328,K328)</f>
        <v>10553736.852756709</v>
      </c>
      <c r="H336" s="64">
        <f ca="1">IFERROR(G336/G328,0)/12</f>
        <v>557.33718064832635</v>
      </c>
      <c r="I336" s="84"/>
      <c r="J336" s="26">
        <f>I336*G328*12</f>
        <v>0</v>
      </c>
      <c r="K336" s="21">
        <f>J336/12</f>
        <v>0</v>
      </c>
      <c r="L336"/>
      <c r="M336"/>
      <c r="N336"/>
      <c r="O336"/>
      <c r="P336"/>
      <c r="Q336"/>
      <c r="R336"/>
      <c r="S336" s="125"/>
      <c r="T336" s="125"/>
      <c r="U336" s="10"/>
    </row>
    <row r="337" spans="1:22" s="126" customFormat="1" x14ac:dyDescent="0.55000000000000004">
      <c r="A337" s="117"/>
      <c r="B337"/>
      <c r="C337" s="124"/>
      <c r="D337" s="124"/>
      <c r="E337" s="133"/>
      <c r="F337" s="58" t="str">
        <f>IF(I336&gt;I326,"Error: revenue from fixed charges exceeds total revenue required from tariff. Reduce fixed charge.","")</f>
        <v/>
      </c>
      <c r="G337" s="58" t="str">
        <f ca="1">IF(J336&gt;L328,"Error: revenue from fixed charges exceeds total revenue required from tariff. Reduce fixed charge.","")</f>
        <v/>
      </c>
      <c r="H337" s="134"/>
      <c r="I337" s="134"/>
      <c r="J337" s="135"/>
      <c r="K337"/>
      <c r="L337"/>
      <c r="M337"/>
      <c r="N337"/>
      <c r="O337"/>
      <c r="P337"/>
      <c r="Q337"/>
      <c r="R337"/>
      <c r="S337" s="125"/>
      <c r="T337" s="125"/>
      <c r="U337" s="10"/>
    </row>
    <row r="338" spans="1:22" s="126" customFormat="1" ht="14.7" thickBot="1" x14ac:dyDescent="0.6">
      <c r="A338" s="117"/>
      <c r="B338"/>
      <c r="C338" s="124"/>
      <c r="D338" s="130"/>
      <c r="E338" s="131"/>
      <c r="F338" s="131"/>
      <c r="G338" s="131"/>
      <c r="H338" s="131"/>
      <c r="I338" s="131"/>
      <c r="J338" s="131"/>
      <c r="K338" s="131"/>
      <c r="L338" s="131"/>
      <c r="M338" s="131"/>
      <c r="N338" s="131"/>
      <c r="O338" s="131"/>
      <c r="P338" s="131"/>
      <c r="Q338" s="131"/>
      <c r="R338" s="131"/>
      <c r="S338" s="132"/>
      <c r="T338" s="125"/>
      <c r="U338" s="10"/>
    </row>
    <row r="339" spans="1:22" s="126" customFormat="1" ht="14.7" thickBot="1" x14ac:dyDescent="0.6">
      <c r="A339" s="117"/>
      <c r="B339"/>
      <c r="C339" s="124"/>
      <c r="D339"/>
      <c r="E339"/>
      <c r="F339"/>
      <c r="G339"/>
      <c r="H339"/>
      <c r="I339"/>
      <c r="J339"/>
      <c r="K339"/>
      <c r="L339"/>
      <c r="M339"/>
      <c r="N339"/>
      <c r="O339"/>
      <c r="P339"/>
      <c r="Q339"/>
      <c r="R339"/>
      <c r="S339"/>
      <c r="T339" s="125"/>
      <c r="U339" s="10"/>
    </row>
    <row r="340" spans="1:22" s="126" customFormat="1" x14ac:dyDescent="0.55000000000000004">
      <c r="A340" s="117"/>
      <c r="B340"/>
      <c r="C340" s="124"/>
      <c r="D340" s="121"/>
      <c r="E340" s="122"/>
      <c r="F340" s="122"/>
      <c r="G340" s="122"/>
      <c r="H340" s="122"/>
      <c r="I340" s="122"/>
      <c r="J340" s="122"/>
      <c r="K340" s="122"/>
      <c r="L340" s="122"/>
      <c r="M340" s="122"/>
      <c r="N340" s="122"/>
      <c r="O340" s="122"/>
      <c r="P340" s="122"/>
      <c r="Q340" s="122"/>
      <c r="R340" s="122"/>
      <c r="S340" s="123"/>
      <c r="T340" s="125"/>
      <c r="U340" s="10"/>
    </row>
    <row r="341" spans="1:22" s="126" customFormat="1" x14ac:dyDescent="0.55000000000000004">
      <c r="A341" s="117"/>
      <c r="B341"/>
      <c r="C341" s="124"/>
      <c r="D341" s="124"/>
      <c r="E341"/>
      <c r="F341" s="1" t="s">
        <v>96</v>
      </c>
      <c r="G341"/>
      <c r="H341"/>
      <c r="I341"/>
      <c r="J341"/>
      <c r="K341"/>
      <c r="L341"/>
      <c r="M341"/>
      <c r="N341"/>
      <c r="O341"/>
      <c r="P341"/>
      <c r="Q341"/>
      <c r="R341"/>
      <c r="S341" s="125"/>
      <c r="T341" s="125"/>
      <c r="U341" s="10"/>
    </row>
    <row r="342" spans="1:22" s="126" customFormat="1" ht="14.55" customHeight="1" x14ac:dyDescent="0.55000000000000004">
      <c r="A342" s="117"/>
      <c r="B342"/>
      <c r="C342" s="124"/>
      <c r="D342" s="124"/>
      <c r="E342"/>
      <c r="F342" s="1804" t="s">
        <v>560</v>
      </c>
      <c r="G342" s="1804"/>
      <c r="H342" s="1804"/>
      <c r="I342" s="1804"/>
      <c r="J342" s="1804"/>
      <c r="K342" s="1804"/>
      <c r="L342" s="1804"/>
      <c r="M342" s="1804"/>
      <c r="N342" s="1804"/>
      <c r="O342" s="1804"/>
      <c r="P342" s="1804"/>
      <c r="Q342" s="119"/>
      <c r="R342"/>
      <c r="S342" s="125"/>
      <c r="T342" s="125"/>
      <c r="U342" s="10"/>
    </row>
    <row r="343" spans="1:22" s="126" customFormat="1" x14ac:dyDescent="0.55000000000000004">
      <c r="A343" s="117"/>
      <c r="B343"/>
      <c r="C343" s="124"/>
      <c r="D343" s="124"/>
      <c r="E343"/>
      <c r="F343" s="119"/>
      <c r="G343" s="119"/>
      <c r="H343" s="119"/>
      <c r="I343" s="119"/>
      <c r="J343" s="119"/>
      <c r="K343" s="119"/>
      <c r="L343" s="119"/>
      <c r="M343" s="119"/>
      <c r="N343" s="119"/>
      <c r="O343" s="119"/>
      <c r="P343" s="119"/>
      <c r="Q343" s="119"/>
      <c r="R343"/>
      <c r="S343" s="125"/>
      <c r="T343" s="125"/>
      <c r="U343" s="10"/>
    </row>
    <row r="344" spans="1:22" s="126" customFormat="1" x14ac:dyDescent="0.55000000000000004">
      <c r="A344" s="117"/>
      <c r="B344"/>
      <c r="C344" s="124"/>
      <c r="D344" s="124"/>
      <c r="E344"/>
      <c r="F344" s="1" t="s">
        <v>348</v>
      </c>
      <c r="G344" s="80" t="s">
        <v>89</v>
      </c>
      <c r="H344" s="119"/>
      <c r="I344" s="119"/>
      <c r="J344" s="119"/>
      <c r="K344" s="119"/>
      <c r="L344" s="119"/>
      <c r="M344" s="119"/>
      <c r="N344" s="119"/>
      <c r="O344" s="119"/>
      <c r="P344" s="119"/>
      <c r="Q344" s="119"/>
      <c r="R344"/>
      <c r="S344" s="125"/>
      <c r="T344" s="125"/>
      <c r="U344" s="10"/>
      <c r="V344" s="126" t="s">
        <v>89</v>
      </c>
    </row>
    <row r="345" spans="1:22" s="126" customFormat="1" ht="14.7" thickBot="1" x14ac:dyDescent="0.6">
      <c r="A345" s="117"/>
      <c r="B345"/>
      <c r="C345" s="124"/>
      <c r="D345" s="124"/>
      <c r="E345"/>
      <c r="F345"/>
      <c r="G345" s="134"/>
      <c r="H345" s="119"/>
      <c r="I345" s="119"/>
      <c r="J345" s="119"/>
      <c r="K345" s="119"/>
      <c r="L345" s="119"/>
      <c r="M345" s="119"/>
      <c r="N345" s="119"/>
      <c r="O345" s="119"/>
      <c r="P345" s="119"/>
      <c r="Q345" s="119"/>
      <c r="R345"/>
      <c r="S345" s="125"/>
      <c r="T345" s="125"/>
      <c r="U345" s="10"/>
      <c r="V345" s="126" t="s">
        <v>90</v>
      </c>
    </row>
    <row r="346" spans="1:22" s="126" customFormat="1" x14ac:dyDescent="0.55000000000000004">
      <c r="A346" s="117"/>
      <c r="B346"/>
      <c r="C346" s="124"/>
      <c r="D346" s="124"/>
      <c r="E346" s="121"/>
      <c r="F346" s="122"/>
      <c r="G346" s="122"/>
      <c r="H346" s="122"/>
      <c r="I346" s="122"/>
      <c r="J346" s="122"/>
      <c r="K346" s="122"/>
      <c r="L346" s="122"/>
      <c r="M346" s="122"/>
      <c r="N346" s="122"/>
      <c r="O346" s="122"/>
      <c r="P346" s="122"/>
      <c r="Q346" s="122"/>
      <c r="R346" s="123"/>
      <c r="S346" s="125"/>
      <c r="T346" s="125"/>
      <c r="U346" s="10"/>
    </row>
    <row r="347" spans="1:22" s="126" customFormat="1" x14ac:dyDescent="0.55000000000000004">
      <c r="A347" s="117"/>
      <c r="B347"/>
      <c r="C347" s="124"/>
      <c r="D347" s="124"/>
      <c r="E347" s="124"/>
      <c r="F347" s="1" t="s">
        <v>343</v>
      </c>
      <c r="G347" s="163"/>
      <c r="H347"/>
      <c r="I347"/>
      <c r="J347"/>
      <c r="K347"/>
      <c r="L347"/>
      <c r="M347"/>
      <c r="N347"/>
      <c r="O347"/>
      <c r="P347"/>
      <c r="Q347"/>
      <c r="R347" s="125"/>
      <c r="S347" s="125"/>
      <c r="T347" s="125"/>
      <c r="U347" s="10"/>
    </row>
    <row r="348" spans="1:22" s="126" customFormat="1" ht="14.55" customHeight="1" x14ac:dyDescent="0.55000000000000004">
      <c r="A348" s="117"/>
      <c r="B348"/>
      <c r="C348" s="124"/>
      <c r="D348" s="124"/>
      <c r="E348" s="124"/>
      <c r="F348" s="1804" t="s">
        <v>561</v>
      </c>
      <c r="G348" s="1804"/>
      <c r="H348" s="1804"/>
      <c r="I348" s="1804"/>
      <c r="J348" s="1804"/>
      <c r="K348" s="1804"/>
      <c r="L348" s="1804"/>
      <c r="M348" s="1804"/>
      <c r="N348" s="1804"/>
      <c r="O348" s="1804"/>
      <c r="P348" s="1804"/>
      <c r="Q348" s="1804"/>
      <c r="R348" s="125"/>
      <c r="S348" s="125"/>
      <c r="T348" s="125"/>
      <c r="U348" s="10"/>
    </row>
    <row r="349" spans="1:22" s="126" customFormat="1" x14ac:dyDescent="0.55000000000000004">
      <c r="A349" s="117"/>
      <c r="B349"/>
      <c r="C349" s="124"/>
      <c r="D349" s="124"/>
      <c r="E349" s="124"/>
      <c r="F349" s="1804"/>
      <c r="G349" s="1804"/>
      <c r="H349" s="1804"/>
      <c r="I349" s="1804"/>
      <c r="J349" s="1804"/>
      <c r="K349" s="1804"/>
      <c r="L349" s="1804"/>
      <c r="M349" s="1804"/>
      <c r="N349" s="1804"/>
      <c r="O349" s="1804"/>
      <c r="P349" s="1804"/>
      <c r="Q349" s="1804"/>
      <c r="R349" s="125"/>
      <c r="S349" s="125"/>
      <c r="T349" s="125"/>
      <c r="U349" s="10"/>
    </row>
    <row r="350" spans="1:22" s="126" customFormat="1" x14ac:dyDescent="0.55000000000000004">
      <c r="A350" s="117"/>
      <c r="B350"/>
      <c r="C350" s="124"/>
      <c r="D350" s="124"/>
      <c r="E350" s="124"/>
      <c r="F350" s="1"/>
      <c r="G350" s="163"/>
      <c r="H350"/>
      <c r="I350"/>
      <c r="J350"/>
      <c r="K350"/>
      <c r="L350"/>
      <c r="M350"/>
      <c r="N350"/>
      <c r="O350"/>
      <c r="P350"/>
      <c r="Q350"/>
      <c r="R350" s="125"/>
      <c r="S350" s="125"/>
      <c r="T350" s="125"/>
      <c r="U350" s="10"/>
    </row>
    <row r="351" spans="1:22" s="126" customFormat="1" x14ac:dyDescent="0.55000000000000004">
      <c r="A351" s="117"/>
      <c r="B351"/>
      <c r="C351" s="124"/>
      <c r="D351" s="124"/>
      <c r="E351" s="124"/>
      <c r="F351" s="164" t="s">
        <v>88</v>
      </c>
      <c r="G351" s="10"/>
      <c r="H351"/>
      <c r="I351" s="50">
        <v>1</v>
      </c>
      <c r="J351"/>
      <c r="K351"/>
      <c r="L351"/>
      <c r="M351"/>
      <c r="N351"/>
      <c r="O351"/>
      <c r="P351"/>
      <c r="Q351"/>
      <c r="R351" s="125"/>
      <c r="S351" s="125"/>
      <c r="T351" s="125"/>
      <c r="U351" s="10"/>
    </row>
    <row r="352" spans="1:22" s="126" customFormat="1" x14ac:dyDescent="0.55000000000000004">
      <c r="A352" s="117"/>
      <c r="B352"/>
      <c r="C352" s="124"/>
      <c r="D352" s="124"/>
      <c r="E352" s="124"/>
      <c r="F352" s="10" t="s">
        <v>612</v>
      </c>
      <c r="H352"/>
      <c r="I352" s="159" t="s">
        <v>578</v>
      </c>
      <c r="J352"/>
      <c r="K352"/>
      <c r="L352"/>
      <c r="M352"/>
      <c r="N352"/>
      <c r="O352"/>
      <c r="P352"/>
      <c r="Q352"/>
      <c r="R352" s="125"/>
      <c r="S352" s="125"/>
      <c r="T352" s="125"/>
      <c r="U352" s="10"/>
    </row>
    <row r="353" spans="1:24" s="126" customFormat="1" x14ac:dyDescent="0.55000000000000004">
      <c r="A353" s="117"/>
      <c r="B353"/>
      <c r="C353" s="124"/>
      <c r="D353" s="124"/>
      <c r="E353" s="124"/>
      <c r="F353"/>
      <c r="G353"/>
      <c r="H353"/>
      <c r="I353"/>
      <c r="J353"/>
      <c r="K353"/>
      <c r="L353"/>
      <c r="M353"/>
      <c r="N353"/>
      <c r="O353"/>
      <c r="P353"/>
      <c r="Q353"/>
      <c r="R353" s="125"/>
      <c r="S353" s="125"/>
      <c r="T353" s="125"/>
      <c r="U353" s="10"/>
    </row>
    <row r="354" spans="1:24" s="126" customFormat="1" ht="57.6" customHeight="1" x14ac:dyDescent="0.55000000000000004">
      <c r="A354" s="117"/>
      <c r="B354"/>
      <c r="C354" s="124"/>
      <c r="D354" s="124"/>
      <c r="E354" s="124"/>
      <c r="F354" s="56" t="s">
        <v>91</v>
      </c>
      <c r="G354" s="56" t="s">
        <v>92</v>
      </c>
      <c r="H354" s="129" t="s">
        <v>80</v>
      </c>
      <c r="I354" s="56" t="s">
        <v>340</v>
      </c>
      <c r="J354" s="56" t="s">
        <v>356</v>
      </c>
      <c r="K354" s="165" t="s">
        <v>349</v>
      </c>
      <c r="L354" s="166" t="s">
        <v>350</v>
      </c>
      <c r="M354" s="162"/>
      <c r="N354" s="162"/>
      <c r="O354" s="162"/>
      <c r="P354" s="162"/>
      <c r="Q354" s="162"/>
      <c r="R354" s="167"/>
      <c r="S354" s="167"/>
      <c r="T354" s="167"/>
      <c r="U354" s="10"/>
      <c r="V354" s="168" t="s">
        <v>621</v>
      </c>
      <c r="W354" s="168" t="s">
        <v>622</v>
      </c>
    </row>
    <row r="355" spans="1:24" s="126" customFormat="1" x14ac:dyDescent="0.55000000000000004">
      <c r="A355" s="117"/>
      <c r="B355"/>
      <c r="C355" s="124"/>
      <c r="D355" s="124"/>
      <c r="E355" s="124"/>
      <c r="F355" s="89">
        <f>IF($I$351=X355,X355,1)</f>
        <v>1</v>
      </c>
      <c r="G355" s="91">
        <v>0</v>
      </c>
      <c r="H355" s="50"/>
      <c r="I355" s="169"/>
      <c r="J355" s="21">
        <f>IF(G344=V344,H328-SUMIF(F356:F359,"&lt;="&amp;$I$351,J356:J359),0)</f>
        <v>10509085.399999999</v>
      </c>
      <c r="K355" s="114">
        <f ca="1">IFERROR(IF(G344=V344,IF(F355&lt;=I351,IF(I352="No",IF(J336=0,L328/SUMPRODUCT(V355:V359,J355:J359),(L328-J336)/SUMPRODUCT(V355:V359,J355:J359)),0),0),0),0)</f>
        <v>4.6411254823075101</v>
      </c>
      <c r="L355" s="31">
        <f ca="1">J355*K355</f>
        <v>48773984.045685805</v>
      </c>
      <c r="M355" s="170"/>
      <c r="N355" s="135"/>
      <c r="O355" s="171"/>
      <c r="P355"/>
      <c r="Q355"/>
      <c r="R355" s="125"/>
      <c r="S355" s="125"/>
      <c r="T355" s="125"/>
      <c r="U355" s="10"/>
      <c r="V355" s="96">
        <f>IF(F355&lt;=$I$351,1,0)</f>
        <v>1</v>
      </c>
      <c r="X355" s="126">
        <v>1</v>
      </c>
    </row>
    <row r="356" spans="1:24" s="126" customFormat="1" x14ac:dyDescent="0.55000000000000004">
      <c r="A356" s="117"/>
      <c r="B356"/>
      <c r="C356" s="124"/>
      <c r="D356" s="124"/>
      <c r="E356" s="124"/>
      <c r="F356" s="89" t="str">
        <f>IF($I$351&gt;=X356,X356,"")</f>
        <v/>
      </c>
      <c r="G356" s="91" t="str">
        <f>IF($I$351&gt;=F356,H355+0.01,"")</f>
        <v/>
      </c>
      <c r="H356" s="50"/>
      <c r="I356" s="61"/>
      <c r="J356" s="13"/>
      <c r="K356" s="114">
        <f>IFERROR(IF(F356&lt;=I351,IF(I352="No",K355*(1+I356),IF(J336=0,L328/SUMPRODUCT(W356:W359,J356:J359),(L328-J336)/SUMPRODUCT(W356:W359,J356:J359))),0),0)</f>
        <v>0</v>
      </c>
      <c r="L356" s="31">
        <f>J356*K356</f>
        <v>0</v>
      </c>
      <c r="M356" s="170"/>
      <c r="N356" s="135"/>
      <c r="O356" s="171"/>
      <c r="P356"/>
      <c r="Q356"/>
      <c r="R356" s="125"/>
      <c r="S356" s="125"/>
      <c r="T356" s="125"/>
      <c r="U356" s="10"/>
      <c r="V356" s="96">
        <f>IF(F356&lt;=$I$351,(1+I356),0)</f>
        <v>0</v>
      </c>
      <c r="W356" s="92">
        <f>IF(F356&lt;=I351,1,0)</f>
        <v>0</v>
      </c>
      <c r="X356" s="126">
        <v>2</v>
      </c>
    </row>
    <row r="357" spans="1:24" s="126" customFormat="1" x14ac:dyDescent="0.55000000000000004">
      <c r="A357" s="117"/>
      <c r="B357"/>
      <c r="C357" s="124"/>
      <c r="D357" s="124"/>
      <c r="E357" s="124"/>
      <c r="F357" s="89" t="str">
        <f>IF($I$351&gt;=X357,X357,"")</f>
        <v/>
      </c>
      <c r="G357" s="91" t="str">
        <f>IF($I$351&gt;=F357,H356+0.01,"")</f>
        <v/>
      </c>
      <c r="H357" s="50"/>
      <c r="I357" s="61"/>
      <c r="J357" s="13"/>
      <c r="K357" s="95">
        <f>IF(F357&lt;=$I$351,K356*(1+I357),0)</f>
        <v>0</v>
      </c>
      <c r="L357" s="31">
        <f>J357*K357</f>
        <v>0</v>
      </c>
      <c r="M357" s="170"/>
      <c r="N357" s="135"/>
      <c r="O357" s="171"/>
      <c r="P357"/>
      <c r="Q357"/>
      <c r="R357" s="125"/>
      <c r="S357" s="125"/>
      <c r="T357" s="125"/>
      <c r="U357" s="10"/>
      <c r="V357" s="96">
        <f>IF(F357&lt;=$I$351,V356*(1+I357),0)</f>
        <v>0</v>
      </c>
      <c r="W357" s="92">
        <f>IF(F357&lt;=I351,W356*(1+I357),0)</f>
        <v>0</v>
      </c>
      <c r="X357" s="126">
        <v>3</v>
      </c>
    </row>
    <row r="358" spans="1:24" s="126" customFormat="1" x14ac:dyDescent="0.55000000000000004">
      <c r="A358" s="117"/>
      <c r="B358"/>
      <c r="C358" s="124"/>
      <c r="D358" s="124"/>
      <c r="E358" s="124"/>
      <c r="F358" s="89" t="str">
        <f>IF($I$351&gt;=X358,X358,"")</f>
        <v/>
      </c>
      <c r="G358" s="91" t="str">
        <f>IF($I$351&gt;=F358,H357+0.01,"")</f>
        <v/>
      </c>
      <c r="H358" s="50"/>
      <c r="I358" s="61"/>
      <c r="J358" s="13"/>
      <c r="K358" s="95">
        <f>IF(F358&lt;=$I$351,K357*(1+I358),0)</f>
        <v>0</v>
      </c>
      <c r="L358" s="31">
        <f>J358*K358</f>
        <v>0</v>
      </c>
      <c r="M358" s="170"/>
      <c r="N358" s="135"/>
      <c r="O358" s="171"/>
      <c r="P358"/>
      <c r="Q358"/>
      <c r="R358" s="125"/>
      <c r="S358" s="125"/>
      <c r="T358" s="125"/>
      <c r="U358" s="10"/>
      <c r="V358" s="96">
        <f>IF(F358&lt;=$I$351,V357*(1+I358),0)</f>
        <v>0</v>
      </c>
      <c r="W358" s="92">
        <f>IF(F358&lt;=I351,W357*(1+I358),0)</f>
        <v>0</v>
      </c>
      <c r="X358" s="126">
        <v>4</v>
      </c>
    </row>
    <row r="359" spans="1:24" s="126" customFormat="1" x14ac:dyDescent="0.55000000000000004">
      <c r="A359" s="117"/>
      <c r="B359"/>
      <c r="C359" s="124"/>
      <c r="D359" s="124"/>
      <c r="E359" s="124"/>
      <c r="F359" s="89" t="str">
        <f>IF($I$351&gt;=X359,X359,"")</f>
        <v/>
      </c>
      <c r="G359" s="91" t="str">
        <f>IF($I$351&gt;=F359,H358+0.01,"")</f>
        <v/>
      </c>
      <c r="H359" s="89" t="s">
        <v>84</v>
      </c>
      <c r="I359" s="61"/>
      <c r="J359" s="13"/>
      <c r="K359" s="95">
        <f>IF(F359&lt;=$I$351,K358*(1+I359),0)</f>
        <v>0</v>
      </c>
      <c r="L359" s="31">
        <f>J359*K359</f>
        <v>0</v>
      </c>
      <c r="M359" s="170"/>
      <c r="N359" s="135"/>
      <c r="O359" s="171"/>
      <c r="P359"/>
      <c r="Q359"/>
      <c r="R359" s="125"/>
      <c r="S359" s="125"/>
      <c r="T359" s="125"/>
      <c r="U359" s="10"/>
      <c r="V359" s="96">
        <f>IF(F359&lt;=$I$351,V358*(1+I359),0)</f>
        <v>0</v>
      </c>
      <c r="W359" s="92">
        <f>IF(F359&lt;=I351,W358*(1+I359),0)</f>
        <v>0</v>
      </c>
      <c r="X359" s="126">
        <v>5</v>
      </c>
    </row>
    <row r="360" spans="1:24" s="126" customFormat="1" ht="14.7" thickBot="1" x14ac:dyDescent="0.6">
      <c r="A360" s="117"/>
      <c r="B360"/>
      <c r="C360" s="124"/>
      <c r="D360" s="124"/>
      <c r="E360" s="130"/>
      <c r="F360" s="149"/>
      <c r="G360" s="150"/>
      <c r="H360" s="149"/>
      <c r="I360" s="172"/>
      <c r="J360" s="173"/>
      <c r="K360" s="173"/>
      <c r="L360" s="173"/>
      <c r="M360" s="174"/>
      <c r="N360" s="152"/>
      <c r="O360" s="175"/>
      <c r="P360" s="131"/>
      <c r="Q360" s="131"/>
      <c r="R360" s="132"/>
      <c r="S360" s="125"/>
      <c r="T360" s="125"/>
      <c r="U360" s="10"/>
    </row>
    <row r="361" spans="1:24" s="126" customFormat="1" ht="14.7" thickBot="1" x14ac:dyDescent="0.6">
      <c r="A361" s="117"/>
      <c r="B361"/>
      <c r="C361" s="124"/>
      <c r="D361" s="124"/>
      <c r="E361"/>
      <c r="F361" s="163"/>
      <c r="G361" s="176"/>
      <c r="H361" s="163"/>
      <c r="I361" s="177"/>
      <c r="J361" s="178"/>
      <c r="K361" s="178"/>
      <c r="L361" s="178"/>
      <c r="M361" s="170"/>
      <c r="N361" s="135"/>
      <c r="O361" s="171"/>
      <c r="P361"/>
      <c r="Q361"/>
      <c r="R361"/>
      <c r="S361" s="125"/>
      <c r="T361" s="125"/>
      <c r="U361" s="10"/>
    </row>
    <row r="362" spans="1:24" s="126" customFormat="1" x14ac:dyDescent="0.55000000000000004">
      <c r="A362" s="117"/>
      <c r="B362"/>
      <c r="C362" s="124"/>
      <c r="D362" s="124"/>
      <c r="E362" s="121"/>
      <c r="F362" s="179"/>
      <c r="G362" s="180"/>
      <c r="H362" s="179"/>
      <c r="I362" s="181"/>
      <c r="J362" s="182"/>
      <c r="K362" s="182"/>
      <c r="L362" s="182"/>
      <c r="M362" s="183"/>
      <c r="N362" s="184"/>
      <c r="O362" s="185"/>
      <c r="P362" s="122"/>
      <c r="Q362" s="122"/>
      <c r="R362" s="123"/>
      <c r="S362" s="125"/>
      <c r="T362" s="125"/>
      <c r="U362" s="10"/>
    </row>
    <row r="363" spans="1:24" s="126" customFormat="1" x14ac:dyDescent="0.55000000000000004">
      <c r="A363" s="117"/>
      <c r="B363"/>
      <c r="C363" s="124"/>
      <c r="D363" s="124"/>
      <c r="E363" s="124"/>
      <c r="F363" s="186" t="s">
        <v>344</v>
      </c>
      <c r="G363" s="176"/>
      <c r="H363" s="163"/>
      <c r="I363" s="177"/>
      <c r="J363" s="178"/>
      <c r="K363" s="178"/>
      <c r="L363" s="178"/>
      <c r="M363" s="170"/>
      <c r="N363" s="135"/>
      <c r="O363" s="187"/>
      <c r="P363"/>
      <c r="Q363"/>
      <c r="R363" s="125"/>
      <c r="S363" s="125"/>
      <c r="T363" s="125"/>
      <c r="U363" s="10"/>
    </row>
    <row r="364" spans="1:24" s="126" customFormat="1" ht="14.55" customHeight="1" x14ac:dyDescent="0.55000000000000004">
      <c r="A364" s="117"/>
      <c r="B364"/>
      <c r="C364" s="124"/>
      <c r="D364" s="124"/>
      <c r="E364" s="124"/>
      <c r="F364" s="1804" t="s">
        <v>562</v>
      </c>
      <c r="G364" s="1804"/>
      <c r="H364" s="1804"/>
      <c r="I364" s="1804"/>
      <c r="J364" s="1804"/>
      <c r="K364" s="1804"/>
      <c r="L364" s="1804"/>
      <c r="M364" s="1804"/>
      <c r="N364" s="1804"/>
      <c r="O364" s="1804"/>
      <c r="P364" s="1804"/>
      <c r="Q364" s="1804"/>
      <c r="R364" s="125"/>
      <c r="S364" s="125"/>
      <c r="T364" s="125"/>
      <c r="U364" s="10"/>
    </row>
    <row r="365" spans="1:24" s="126" customFormat="1" x14ac:dyDescent="0.55000000000000004">
      <c r="A365" s="117"/>
      <c r="B365"/>
      <c r="C365" s="124"/>
      <c r="D365" s="124"/>
      <c r="E365" s="124"/>
      <c r="F365" s="1804"/>
      <c r="G365" s="1804"/>
      <c r="H365" s="1804"/>
      <c r="I365" s="1804"/>
      <c r="J365" s="1804"/>
      <c r="K365" s="1804"/>
      <c r="L365" s="1804"/>
      <c r="M365" s="1804"/>
      <c r="N365" s="1804"/>
      <c r="O365" s="1804"/>
      <c r="P365" s="1804"/>
      <c r="Q365" s="1804"/>
      <c r="R365" s="125"/>
      <c r="S365" s="125"/>
      <c r="T365" s="125"/>
      <c r="U365" s="10"/>
    </row>
    <row r="366" spans="1:24" s="126" customFormat="1" x14ac:dyDescent="0.55000000000000004">
      <c r="A366" s="117"/>
      <c r="B366"/>
      <c r="C366" s="124"/>
      <c r="D366" s="124"/>
      <c r="E366" s="124"/>
      <c r="F366" s="186"/>
      <c r="G366" s="176"/>
      <c r="H366" s="163"/>
      <c r="I366" s="177"/>
      <c r="J366" s="178"/>
      <c r="K366" s="178"/>
      <c r="L366" s="178"/>
      <c r="M366" s="170"/>
      <c r="N366" s="135"/>
      <c r="O366" s="187"/>
      <c r="P366"/>
      <c r="Q366"/>
      <c r="R366" s="125"/>
      <c r="S366" s="125"/>
      <c r="T366" s="125"/>
      <c r="U366" s="10"/>
    </row>
    <row r="367" spans="1:24" s="126" customFormat="1" x14ac:dyDescent="0.55000000000000004">
      <c r="A367" s="117"/>
      <c r="B367"/>
      <c r="C367" s="124"/>
      <c r="D367" s="124"/>
      <c r="E367" s="124"/>
      <c r="F367" s="164" t="s">
        <v>88</v>
      </c>
      <c r="G367" s="10"/>
      <c r="H367" s="163"/>
      <c r="I367" s="50">
        <v>5</v>
      </c>
      <c r="J367" s="178"/>
      <c r="K367" s="178"/>
      <c r="L367" s="178"/>
      <c r="M367" s="170"/>
      <c r="N367" s="135"/>
      <c r="O367" s="187"/>
      <c r="P367"/>
      <c r="Q367"/>
      <c r="R367" s="125"/>
      <c r="S367" s="125"/>
      <c r="T367" s="125"/>
      <c r="U367" s="10"/>
    </row>
    <row r="368" spans="1:24" s="126" customFormat="1" x14ac:dyDescent="0.55000000000000004">
      <c r="A368" s="117"/>
      <c r="B368"/>
      <c r="C368" s="124"/>
      <c r="D368" s="124"/>
      <c r="E368" s="124"/>
      <c r="F368" t="s">
        <v>346</v>
      </c>
      <c r="G368" s="10"/>
      <c r="H368" s="163"/>
      <c r="I368" s="13"/>
      <c r="J368" s="178"/>
      <c r="K368" s="178"/>
      <c r="L368" s="178"/>
      <c r="M368" s="170"/>
      <c r="N368" s="135"/>
      <c r="O368" s="187"/>
      <c r="P368"/>
      <c r="Q368"/>
      <c r="R368" s="125"/>
      <c r="S368" s="125"/>
      <c r="T368" s="125"/>
      <c r="U368" s="10"/>
    </row>
    <row r="369" spans="1:26" s="126" customFormat="1" x14ac:dyDescent="0.55000000000000004">
      <c r="A369" s="117"/>
      <c r="B369"/>
      <c r="C369" s="124"/>
      <c r="D369" s="124"/>
      <c r="E369" s="124"/>
      <c r="F369" t="s">
        <v>347</v>
      </c>
      <c r="G369" s="10"/>
      <c r="H369" s="163"/>
      <c r="I369" s="13"/>
      <c r="J369" s="178"/>
      <c r="K369" s="178"/>
      <c r="L369" s="178"/>
      <c r="M369" s="170"/>
      <c r="N369" s="135"/>
      <c r="O369" s="187"/>
      <c r="P369"/>
      <c r="Q369"/>
      <c r="R369" s="125"/>
      <c r="S369" s="125"/>
      <c r="T369" s="125"/>
      <c r="U369" s="10"/>
    </row>
    <row r="370" spans="1:26" s="126" customFormat="1" x14ac:dyDescent="0.55000000000000004">
      <c r="A370" s="117"/>
      <c r="B370"/>
      <c r="C370" s="124"/>
      <c r="D370" s="124"/>
      <c r="E370" s="124"/>
      <c r="F370" t="s">
        <v>366</v>
      </c>
      <c r="G370" s="10"/>
      <c r="H370"/>
      <c r="I370" s="93"/>
      <c r="J370"/>
      <c r="K370" s="178"/>
      <c r="L370" s="178"/>
      <c r="M370" s="170"/>
      <c r="N370" s="135"/>
      <c r="O370" s="187"/>
      <c r="P370"/>
      <c r="Q370"/>
      <c r="R370" s="125"/>
      <c r="S370" s="125"/>
      <c r="T370" s="125"/>
      <c r="U370" s="10"/>
    </row>
    <row r="371" spans="1:26" s="126" customFormat="1" x14ac:dyDescent="0.55000000000000004">
      <c r="A371" s="117"/>
      <c r="B371"/>
      <c r="C371" s="124"/>
      <c r="D371" s="124"/>
      <c r="E371" s="124"/>
      <c r="F371" s="10" t="s">
        <v>612</v>
      </c>
      <c r="H371"/>
      <c r="I371" s="159" t="s">
        <v>578</v>
      </c>
      <c r="J371"/>
      <c r="K371" s="178"/>
      <c r="L371" s="178"/>
      <c r="M371" s="170"/>
      <c r="N371" s="135"/>
      <c r="O371" s="187"/>
      <c r="P371"/>
      <c r="Q371"/>
      <c r="R371" s="125"/>
      <c r="S371" s="125"/>
      <c r="T371" s="125"/>
      <c r="U371" s="10"/>
    </row>
    <row r="372" spans="1:26" s="126" customFormat="1" x14ac:dyDescent="0.55000000000000004">
      <c r="A372" s="117"/>
      <c r="B372"/>
      <c r="C372" s="124"/>
      <c r="D372" s="124"/>
      <c r="E372" s="124"/>
      <c r="F372"/>
      <c r="G372"/>
      <c r="H372"/>
      <c r="I372" s="188"/>
      <c r="J372"/>
      <c r="K372" s="178"/>
      <c r="L372" s="178"/>
      <c r="M372" s="170"/>
      <c r="N372" s="135"/>
      <c r="O372" s="187"/>
      <c r="P372"/>
      <c r="Q372"/>
      <c r="R372" s="125"/>
      <c r="S372" s="125"/>
      <c r="T372" s="125"/>
      <c r="U372" s="10"/>
    </row>
    <row r="373" spans="1:26" s="126" customFormat="1" ht="57.6" x14ac:dyDescent="0.55000000000000004">
      <c r="A373" s="117"/>
      <c r="B373"/>
      <c r="C373" s="124"/>
      <c r="D373" s="124"/>
      <c r="E373" s="124"/>
      <c r="F373" s="56" t="s">
        <v>91</v>
      </c>
      <c r="G373" s="56" t="s">
        <v>92</v>
      </c>
      <c r="H373" s="129" t="s">
        <v>80</v>
      </c>
      <c r="I373" s="56" t="s">
        <v>367</v>
      </c>
      <c r="J373" s="56" t="s">
        <v>368</v>
      </c>
      <c r="K373" s="56" t="s">
        <v>341</v>
      </c>
      <c r="L373" s="56" t="s">
        <v>342</v>
      </c>
      <c r="M373" s="166" t="s">
        <v>351</v>
      </c>
      <c r="N373" s="56" t="s">
        <v>352</v>
      </c>
      <c r="O373" s="56" t="s">
        <v>353</v>
      </c>
      <c r="P373" s="56" t="s">
        <v>354</v>
      </c>
      <c r="Q373" s="56" t="s">
        <v>355</v>
      </c>
      <c r="R373" s="125"/>
      <c r="S373" s="125"/>
      <c r="T373" s="125"/>
      <c r="U373" s="10"/>
      <c r="V373" s="189" t="s">
        <v>616</v>
      </c>
      <c r="W373" s="168" t="s">
        <v>617</v>
      </c>
      <c r="X373" s="189" t="s">
        <v>618</v>
      </c>
      <c r="Y373" s="168" t="s">
        <v>619</v>
      </c>
    </row>
    <row r="374" spans="1:26" s="126" customFormat="1" x14ac:dyDescent="0.55000000000000004">
      <c r="A374" s="117"/>
      <c r="B374"/>
      <c r="C374" s="124"/>
      <c r="D374" s="124"/>
      <c r="E374" s="124"/>
      <c r="F374" s="89">
        <f>IF($I$367=Z374,Z374,1)</f>
        <v>1</v>
      </c>
      <c r="G374" s="91">
        <v>0</v>
      </c>
      <c r="H374" s="50"/>
      <c r="I374" s="169"/>
      <c r="J374" s="63"/>
      <c r="K374" s="21">
        <f>I368-SUMIF(F375:F378,"&lt;="&amp;$I$367,K375:K378)</f>
        <v>0</v>
      </c>
      <c r="L374" s="31">
        <f>I369-SUMIF(F375:F378,"&lt;="&amp;$I$367,L375:L378)</f>
        <v>0</v>
      </c>
      <c r="M374" s="44">
        <f>IFERROR(IF(G344=V344,0,IF(F374&lt;=I367,IF(I371="No",(L328-J336)/(SUMPRODUCT(V374:V378,K374:K378)+SUMPRODUCT(W374:W378,L374:L378)),0)*I370,0)),0)</f>
        <v>0</v>
      </c>
      <c r="N374" s="44">
        <f>IFERROR(IF(G344=V344,0,IF(F374&lt;=I367,IF(I371="No",(L328-J336)/(SUMPRODUCT(V374:V378,K374:K378)+SUMPRODUCT(W374:W378,L374:L378)),0),0)),0)</f>
        <v>0</v>
      </c>
      <c r="O374" s="97" t="str">
        <f>IFERROR(M374/N374,"")</f>
        <v/>
      </c>
      <c r="P374" s="26">
        <f t="shared" ref="P374:Q378" si="5">K374*M374</f>
        <v>0</v>
      </c>
      <c r="Q374" s="26">
        <f t="shared" si="5"/>
        <v>0</v>
      </c>
      <c r="R374" s="125"/>
      <c r="S374" s="125"/>
      <c r="T374" s="125"/>
      <c r="U374" s="10"/>
      <c r="V374" s="92">
        <f>IF(F374&lt;=$I$367,1*$I$370,0)</f>
        <v>0</v>
      </c>
      <c r="W374" s="96">
        <f>IF(F374&lt;=$I$367,1,0)</f>
        <v>1</v>
      </c>
      <c r="X374" s="92"/>
      <c r="Y374" s="96"/>
      <c r="Z374" s="126">
        <v>1</v>
      </c>
    </row>
    <row r="375" spans="1:26" s="126" customFormat="1" x14ac:dyDescent="0.55000000000000004">
      <c r="A375" s="117"/>
      <c r="B375"/>
      <c r="C375" s="124"/>
      <c r="D375" s="124"/>
      <c r="E375" s="124"/>
      <c r="F375" s="89">
        <f>IF($I$367&gt;=Z375,Z375,"")</f>
        <v>2</v>
      </c>
      <c r="G375" s="91">
        <f>IF($I$367&gt;=F375,H374+0.01,"")</f>
        <v>0.01</v>
      </c>
      <c r="H375" s="50"/>
      <c r="I375" s="61"/>
      <c r="J375" s="61"/>
      <c r="K375" s="13"/>
      <c r="L375" s="13"/>
      <c r="M375" s="44">
        <f>IF(F375&lt;=I367,IF(I371="No",M374*(1+I375),N375*I370),0)</f>
        <v>0</v>
      </c>
      <c r="N375" s="44">
        <f>IF(F375&lt;=I367,IF(I371="No",N374*(1+J375),(L328-J336)/(I370*SUMPRODUCT(X375:X378,K375:K378)+SUMPRODUCT(Y375:Y378,L375:L378))),0)</f>
        <v>0</v>
      </c>
      <c r="O375" s="97" t="str">
        <f>IFERROR(M375/N375,"")</f>
        <v/>
      </c>
      <c r="P375" s="26">
        <f t="shared" si="5"/>
        <v>0</v>
      </c>
      <c r="Q375" s="26">
        <f t="shared" si="5"/>
        <v>0</v>
      </c>
      <c r="R375" s="125"/>
      <c r="S375" s="125"/>
      <c r="T375" s="125"/>
      <c r="U375" s="10"/>
      <c r="V375" s="92">
        <f>IF(F375&lt;=$I$367,V374*(1+I375),0)</f>
        <v>0</v>
      </c>
      <c r="W375" s="96">
        <f>IF(F375&lt;=$I$367,(1+J375),0)</f>
        <v>1</v>
      </c>
      <c r="X375" s="92">
        <v>1</v>
      </c>
      <c r="Y375" s="96">
        <f>IF(F375&lt;=I367,1,0)</f>
        <v>1</v>
      </c>
      <c r="Z375" s="126">
        <v>2</v>
      </c>
    </row>
    <row r="376" spans="1:26" s="126" customFormat="1" x14ac:dyDescent="0.55000000000000004">
      <c r="A376" s="117"/>
      <c r="B376"/>
      <c r="C376" s="124"/>
      <c r="D376" s="124"/>
      <c r="E376" s="124"/>
      <c r="F376" s="89">
        <f>IF($I$367&gt;=Z376,Z376,"")</f>
        <v>3</v>
      </c>
      <c r="G376" s="91">
        <f>IF($I$367&gt;=F376,H375+0.01,"")</f>
        <v>0.01</v>
      </c>
      <c r="H376" s="50"/>
      <c r="I376" s="61"/>
      <c r="J376" s="61"/>
      <c r="K376" s="13"/>
      <c r="L376" s="13"/>
      <c r="M376" s="36">
        <f>IF(F376&lt;=$I$367,M375*(1+I376),0)</f>
        <v>0</v>
      </c>
      <c r="N376" s="36">
        <f>IF(F376&lt;=$I$367,N375*(1+J376),0)</f>
        <v>0</v>
      </c>
      <c r="O376" s="97" t="str">
        <f>IFERROR(M376/N376,"")</f>
        <v/>
      </c>
      <c r="P376" s="26">
        <f t="shared" si="5"/>
        <v>0</v>
      </c>
      <c r="Q376" s="26">
        <f t="shared" si="5"/>
        <v>0</v>
      </c>
      <c r="R376" s="125"/>
      <c r="S376" s="125"/>
      <c r="T376" s="125"/>
      <c r="U376" s="10"/>
      <c r="V376" s="92">
        <f>IF(F376&lt;=$I$367,V375*(1+I376),0)</f>
        <v>0</v>
      </c>
      <c r="W376" s="96">
        <f>IF(F376&lt;=$I$367,W375*(1+J376),0)</f>
        <v>1</v>
      </c>
      <c r="X376" s="92">
        <f>IF(F376&lt;=I367,X375*(1+I376),0)</f>
        <v>1</v>
      </c>
      <c r="Y376" s="96">
        <f>IF(F376&lt;=I367,Y375*(1+J376),0)</f>
        <v>1</v>
      </c>
      <c r="Z376" s="126">
        <v>3</v>
      </c>
    </row>
    <row r="377" spans="1:26" s="126" customFormat="1" x14ac:dyDescent="0.55000000000000004">
      <c r="A377" s="117"/>
      <c r="B377"/>
      <c r="C377" s="124"/>
      <c r="D377" s="124"/>
      <c r="E377" s="124"/>
      <c r="F377" s="89">
        <f>IF($I$367&gt;=Z377,Z377,"")</f>
        <v>4</v>
      </c>
      <c r="G377" s="91">
        <f>IF($I$367&gt;=F377,H376+0.01,"")</f>
        <v>0.01</v>
      </c>
      <c r="H377" s="50"/>
      <c r="I377" s="61"/>
      <c r="J377" s="61"/>
      <c r="K377" s="13"/>
      <c r="L377" s="13"/>
      <c r="M377" s="36">
        <f>IF(F377&lt;=$I$367,M376*(1+I377),0)</f>
        <v>0</v>
      </c>
      <c r="N377" s="36">
        <f>IF(F377&lt;=$I$367,N376*(1+J377),0)</f>
        <v>0</v>
      </c>
      <c r="O377" s="97" t="str">
        <f>IFERROR(M377/N377,"")</f>
        <v/>
      </c>
      <c r="P377" s="26">
        <f t="shared" si="5"/>
        <v>0</v>
      </c>
      <c r="Q377" s="26">
        <f t="shared" si="5"/>
        <v>0</v>
      </c>
      <c r="R377" s="125"/>
      <c r="S377" s="125"/>
      <c r="T377" s="125"/>
      <c r="U377" s="10"/>
      <c r="V377" s="92">
        <f>IF(F377&lt;=$I$367,V376*(1+I377),0)</f>
        <v>0</v>
      </c>
      <c r="W377" s="96">
        <f>IF(F377&lt;=$I$367,W376*(1+J377),0)</f>
        <v>1</v>
      </c>
      <c r="X377" s="92">
        <f>IF(F377&lt;=I367,X376*(1+I377),0)</f>
        <v>1</v>
      </c>
      <c r="Y377" s="96">
        <f>IF(F377&lt;=I367,Y376*(1+J377),0)</f>
        <v>1</v>
      </c>
      <c r="Z377" s="126">
        <v>4</v>
      </c>
    </row>
    <row r="378" spans="1:26" s="126" customFormat="1" x14ac:dyDescent="0.55000000000000004">
      <c r="A378" s="117"/>
      <c r="B378"/>
      <c r="C378" s="124"/>
      <c r="D378" s="124"/>
      <c r="E378" s="124"/>
      <c r="F378" s="89">
        <f>IF($I$367&gt;=Z378,Z378,"")</f>
        <v>5</v>
      </c>
      <c r="G378" s="91">
        <f>IF($I$367&gt;=F378,H377+0.01,"")</f>
        <v>0.01</v>
      </c>
      <c r="H378" s="89" t="s">
        <v>84</v>
      </c>
      <c r="I378" s="61"/>
      <c r="J378" s="61"/>
      <c r="K378" s="13"/>
      <c r="L378" s="13"/>
      <c r="M378" s="36">
        <f>IF(F378&lt;=$I$367,M377*(1+I378),0)</f>
        <v>0</v>
      </c>
      <c r="N378" s="36">
        <f>IF(F378&lt;=$I$367,N377*(1+J378),0)</f>
        <v>0</v>
      </c>
      <c r="O378" s="97" t="str">
        <f>IFERROR(M378/N378,"")</f>
        <v/>
      </c>
      <c r="P378" s="26">
        <f t="shared" si="5"/>
        <v>0</v>
      </c>
      <c r="Q378" s="26">
        <f t="shared" si="5"/>
        <v>0</v>
      </c>
      <c r="R378" s="125"/>
      <c r="S378" s="125"/>
      <c r="T378" s="125"/>
      <c r="U378" s="10"/>
      <c r="V378" s="92">
        <f>IF(F378&lt;=$I$367,V377*(1+I378),0)</f>
        <v>0</v>
      </c>
      <c r="W378" s="96">
        <f>IF(F378&lt;=$I$367,W377*(1+J378),0)</f>
        <v>1</v>
      </c>
      <c r="X378" s="92">
        <f>IF(F378&lt;=I367,X377*(1+I378),0)</f>
        <v>1</v>
      </c>
      <c r="Y378" s="96">
        <f>IF(F378&lt;=I367,Y377*(1+J378),0)</f>
        <v>1</v>
      </c>
      <c r="Z378" s="126">
        <v>5</v>
      </c>
    </row>
    <row r="379" spans="1:26" s="126" customFormat="1" ht="14.7" thickBot="1" x14ac:dyDescent="0.6">
      <c r="A379" s="117"/>
      <c r="B379"/>
      <c r="C379" s="124"/>
      <c r="D379" s="124"/>
      <c r="E379" s="130"/>
      <c r="F379" s="131"/>
      <c r="G379" s="131"/>
      <c r="H379" s="131"/>
      <c r="I379" s="131"/>
      <c r="J379" s="131"/>
      <c r="K379" s="131"/>
      <c r="L379" s="131"/>
      <c r="M379" s="131"/>
      <c r="N379" s="131"/>
      <c r="O379" s="131"/>
      <c r="P379" s="131"/>
      <c r="Q379" s="131"/>
      <c r="R379" s="132"/>
      <c r="S379" s="125"/>
      <c r="T379" s="125"/>
      <c r="U379" s="10"/>
    </row>
    <row r="380" spans="1:26" s="126" customFormat="1" ht="14.7" thickBot="1" x14ac:dyDescent="0.6">
      <c r="A380" s="117"/>
      <c r="B380"/>
      <c r="C380" s="124"/>
      <c r="D380" s="130"/>
      <c r="E380" s="131"/>
      <c r="F380" s="131"/>
      <c r="G380" s="131"/>
      <c r="H380" s="131"/>
      <c r="I380" s="131"/>
      <c r="J380" s="131"/>
      <c r="K380" s="131"/>
      <c r="L380" s="131"/>
      <c r="M380" s="131"/>
      <c r="N380" s="131"/>
      <c r="O380" s="131"/>
      <c r="P380" s="131"/>
      <c r="Q380" s="131"/>
      <c r="R380" s="131"/>
      <c r="S380" s="132"/>
      <c r="T380" s="125"/>
      <c r="U380" s="10"/>
    </row>
    <row r="381" spans="1:26" s="126" customFormat="1" ht="14.7" thickBot="1" x14ac:dyDescent="0.6">
      <c r="A381" s="117"/>
      <c r="B381"/>
      <c r="C381" s="130"/>
      <c r="D381" s="131"/>
      <c r="E381" s="131"/>
      <c r="F381" s="131"/>
      <c r="G381" s="131"/>
      <c r="H381" s="131"/>
      <c r="I381" s="131"/>
      <c r="J381" s="131"/>
      <c r="K381" s="131"/>
      <c r="L381" s="131"/>
      <c r="M381" s="131"/>
      <c r="N381" s="131"/>
      <c r="O381" s="131"/>
      <c r="P381" s="131"/>
      <c r="Q381" s="131"/>
      <c r="R381" s="131"/>
      <c r="S381" s="131"/>
      <c r="T381" s="132"/>
      <c r="U381" s="10"/>
    </row>
    <row r="382" spans="1:26" s="126" customFormat="1" ht="14.7" thickBot="1" x14ac:dyDescent="0.6">
      <c r="A382" s="117"/>
      <c r="B382"/>
      <c r="C382"/>
      <c r="D382"/>
      <c r="E382"/>
      <c r="F382"/>
      <c r="G382"/>
      <c r="H382"/>
      <c r="I382"/>
      <c r="J382"/>
      <c r="K382"/>
      <c r="L382"/>
      <c r="M382"/>
      <c r="N382"/>
      <c r="O382"/>
      <c r="P382"/>
      <c r="Q382"/>
      <c r="R382"/>
      <c r="S382"/>
      <c r="T382"/>
      <c r="U382" s="10"/>
    </row>
    <row r="383" spans="1:26" s="126" customFormat="1" x14ac:dyDescent="0.55000000000000004">
      <c r="A383" s="117"/>
      <c r="B383"/>
      <c r="C383" s="121"/>
      <c r="D383" s="122"/>
      <c r="E383" s="122"/>
      <c r="F383" s="122"/>
      <c r="G383" s="122"/>
      <c r="H383" s="122"/>
      <c r="I383" s="122"/>
      <c r="J383" s="122"/>
      <c r="K383" s="122"/>
      <c r="L383" s="122"/>
      <c r="M383" s="122"/>
      <c r="N383" s="122"/>
      <c r="O383" s="122"/>
      <c r="P383" s="122"/>
      <c r="Q383" s="122"/>
      <c r="R383" s="122"/>
      <c r="S383" s="122"/>
      <c r="T383" s="123"/>
      <c r="U383" s="10"/>
    </row>
    <row r="384" spans="1:26" s="126" customFormat="1" ht="18.3" x14ac:dyDescent="0.7">
      <c r="A384" s="117"/>
      <c r="B384"/>
      <c r="C384" s="124"/>
      <c r="D384" s="1822" t="str">
        <f>'2 Customer data'!D99</f>
        <v>Prepaid:  Domestic Lifeline</v>
      </c>
      <c r="E384" s="1822"/>
      <c r="F384" s="1822"/>
      <c r="G384" s="1822"/>
      <c r="H384" s="1822"/>
      <c r="I384" s="1822"/>
      <c r="J384" s="1822"/>
      <c r="K384" s="1822"/>
      <c r="L384" s="1822"/>
      <c r="M384" s="1822"/>
      <c r="N384" s="1822"/>
      <c r="O384" s="1822"/>
      <c r="P384" s="1822"/>
      <c r="Q384" s="1822"/>
      <c r="R384" s="1822"/>
      <c r="S384" s="1822"/>
      <c r="T384" s="125"/>
      <c r="U384" s="10"/>
    </row>
    <row r="385" spans="1:21" s="126" customFormat="1" ht="14.7" thickBot="1" x14ac:dyDescent="0.6">
      <c r="A385" s="117"/>
      <c r="B385"/>
      <c r="C385" s="124"/>
      <c r="D385"/>
      <c r="E385"/>
      <c r="F385"/>
      <c r="G385"/>
      <c r="H385"/>
      <c r="I385"/>
      <c r="J385"/>
      <c r="K385"/>
      <c r="L385"/>
      <c r="M385"/>
      <c r="N385"/>
      <c r="O385"/>
      <c r="P385"/>
      <c r="Q385"/>
      <c r="R385"/>
      <c r="S385"/>
      <c r="T385" s="125"/>
      <c r="U385" s="10"/>
    </row>
    <row r="386" spans="1:21" s="126" customFormat="1" x14ac:dyDescent="0.55000000000000004">
      <c r="A386" s="117"/>
      <c r="B386"/>
      <c r="C386" s="124"/>
      <c r="D386" s="121"/>
      <c r="E386" s="122"/>
      <c r="F386" s="122"/>
      <c r="G386" s="122"/>
      <c r="H386" s="122"/>
      <c r="I386" s="122"/>
      <c r="J386" s="122"/>
      <c r="K386" s="122"/>
      <c r="L386" s="122"/>
      <c r="M386" s="122"/>
      <c r="N386" s="122"/>
      <c r="O386" s="122"/>
      <c r="P386" s="122"/>
      <c r="Q386" s="122"/>
      <c r="R386" s="122"/>
      <c r="S386" s="123"/>
      <c r="T386" s="125"/>
      <c r="U386" s="10"/>
    </row>
    <row r="387" spans="1:21" s="126" customFormat="1" x14ac:dyDescent="0.55000000000000004">
      <c r="A387" s="117"/>
      <c r="B387"/>
      <c r="C387" s="124"/>
      <c r="D387" s="124"/>
      <c r="E387"/>
      <c r="F387" s="1" t="str">
        <f>'2 Customer data'!D99&amp;" "&amp;"information"</f>
        <v>Prepaid:  Domestic Lifeline information</v>
      </c>
      <c r="G387"/>
      <c r="H387"/>
      <c r="I387"/>
      <c r="J387"/>
      <c r="K387"/>
      <c r="L387"/>
      <c r="M387"/>
      <c r="N387"/>
      <c r="O387"/>
      <c r="P387"/>
      <c r="Q387"/>
      <c r="R387"/>
      <c r="S387" s="125"/>
      <c r="T387" s="125"/>
      <c r="U387" s="10"/>
    </row>
    <row r="388" spans="1:21" s="126" customFormat="1" x14ac:dyDescent="0.55000000000000004">
      <c r="A388" s="117"/>
      <c r="B388"/>
      <c r="C388" s="124"/>
      <c r="D388" s="124"/>
      <c r="E388"/>
      <c r="F388"/>
      <c r="G388"/>
      <c r="H388"/>
      <c r="I388"/>
      <c r="J388"/>
      <c r="K388"/>
      <c r="L388"/>
      <c r="M388"/>
      <c r="N388"/>
      <c r="O388"/>
      <c r="P388"/>
      <c r="Q388"/>
      <c r="R388"/>
      <c r="S388" s="125"/>
      <c r="T388" s="125"/>
      <c r="U388" s="10"/>
    </row>
    <row r="389" spans="1:21" s="126" customFormat="1" ht="28.8" x14ac:dyDescent="0.55000000000000004">
      <c r="A389" s="117"/>
      <c r="B389"/>
      <c r="C389" s="124"/>
      <c r="D389" s="124"/>
      <c r="E389"/>
      <c r="F389"/>
      <c r="G389" s="56" t="s">
        <v>28</v>
      </c>
      <c r="H389" s="56" t="s">
        <v>345</v>
      </c>
      <c r="I389" s="56" t="s">
        <v>60</v>
      </c>
      <c r="J389" s="56" t="s">
        <v>249</v>
      </c>
      <c r="K389" s="56" t="s">
        <v>279</v>
      </c>
      <c r="L389" s="56" t="s">
        <v>357</v>
      </c>
      <c r="M389"/>
      <c r="N389" s="162"/>
      <c r="O389"/>
      <c r="P389"/>
      <c r="Q389"/>
      <c r="R389"/>
      <c r="S389" s="125"/>
      <c r="T389" s="125"/>
      <c r="U389" s="10"/>
    </row>
    <row r="390" spans="1:21" s="126" customFormat="1" x14ac:dyDescent="0.55000000000000004">
      <c r="A390" s="117"/>
      <c r="B390"/>
      <c r="C390" s="124"/>
      <c r="D390" s="124"/>
      <c r="E390"/>
      <c r="F390" t="str">
        <f>'2 Customer data'!D99</f>
        <v>Prepaid:  Domestic Lifeline</v>
      </c>
      <c r="G390" s="94">
        <f>IFERROR(IF(VLOOKUP(F390,'2 Customer data'!$D$93:$N$112,7,FALSE)="",VLOOKUP(F390,'2 Customer data'!$D$93:$N$112,6,FALSE),VLOOKUP(F390,'2 Customer data'!$D$93:$N$112,7,FALSE)),0)</f>
        <v>3320</v>
      </c>
      <c r="H390" s="26">
        <f>IFERROR(IF(VLOOKUP(F390,'2 Customer data'!$D$93:$N$112,9,FALSE)="",VLOOKUP(F390,'2 Customer data'!$D$93:$N$112,8,FALSE),VLOOKUP(F390,'2 Customer data'!$D$93:$N$112,9,FALSE)),0)</f>
        <v>8759661.5999999996</v>
      </c>
      <c r="I390" s="26">
        <f ca="1">IFERROR(VLOOKUP($F390,'2 Electricity'!$D$21:$L$40,6,FALSE),0)</f>
        <v>22204313.277029321</v>
      </c>
      <c r="J390" s="26">
        <f ca="1">IFERROR(VLOOKUP($F390,'2 Electricity'!$D$21:$L$40,7,FALSE),0)</f>
        <v>26120809.937807128</v>
      </c>
      <c r="K390" s="26">
        <f ca="1">IFERROR(VLOOKUP($F390,'2 Electricity'!$D$21:$L$40,8,FALSE),0)</f>
        <v>0</v>
      </c>
      <c r="L390" s="26">
        <f ca="1">IFERROR(VLOOKUP(F390,'2 Electricity'!$D$157:$K$176,8,FALSE),0)</f>
        <v>56264971.743318528</v>
      </c>
      <c r="M390"/>
      <c r="N390" s="134"/>
      <c r="O390"/>
      <c r="P390"/>
      <c r="Q390"/>
      <c r="R390"/>
      <c r="S390" s="125"/>
      <c r="T390" s="125"/>
      <c r="U390" s="10"/>
    </row>
    <row r="391" spans="1:21" s="126" customFormat="1" ht="14.7" thickBot="1" x14ac:dyDescent="0.6">
      <c r="A391" s="117"/>
      <c r="B391"/>
      <c r="C391" s="124"/>
      <c r="D391" s="130"/>
      <c r="E391" s="131"/>
      <c r="F391" s="131"/>
      <c r="G391" s="131"/>
      <c r="H391" s="131"/>
      <c r="I391" s="131"/>
      <c r="J391" s="131"/>
      <c r="K391" s="131"/>
      <c r="L391" s="131"/>
      <c r="M391" s="131"/>
      <c r="N391" s="131"/>
      <c r="O391" s="131"/>
      <c r="P391" s="131"/>
      <c r="Q391" s="131"/>
      <c r="R391" s="131"/>
      <c r="S391" s="132"/>
      <c r="T391" s="125"/>
      <c r="U391" s="10"/>
    </row>
    <row r="392" spans="1:21" s="126" customFormat="1" ht="14.7" thickBot="1" x14ac:dyDescent="0.6">
      <c r="A392" s="117"/>
      <c r="B392"/>
      <c r="C392" s="124"/>
      <c r="D392"/>
      <c r="E392"/>
      <c r="F392"/>
      <c r="G392"/>
      <c r="H392"/>
      <c r="I392"/>
      <c r="J392"/>
      <c r="K392"/>
      <c r="L392"/>
      <c r="M392"/>
      <c r="N392"/>
      <c r="O392"/>
      <c r="P392"/>
      <c r="Q392"/>
      <c r="R392"/>
      <c r="S392"/>
      <c r="T392" s="125"/>
      <c r="U392" s="10"/>
    </row>
    <row r="393" spans="1:21" s="126" customFormat="1" x14ac:dyDescent="0.55000000000000004">
      <c r="A393" s="117"/>
      <c r="B393"/>
      <c r="C393" s="124"/>
      <c r="D393" s="121"/>
      <c r="E393" s="122"/>
      <c r="F393" s="122"/>
      <c r="G393" s="122"/>
      <c r="H393" s="122"/>
      <c r="I393" s="122"/>
      <c r="J393" s="122"/>
      <c r="K393" s="122"/>
      <c r="L393" s="122"/>
      <c r="M393" s="122"/>
      <c r="N393" s="122"/>
      <c r="O393" s="122"/>
      <c r="P393" s="122"/>
      <c r="Q393" s="122"/>
      <c r="R393" s="122"/>
      <c r="S393" s="123"/>
      <c r="T393" s="125"/>
      <c r="U393" s="10"/>
    </row>
    <row r="394" spans="1:21" s="126" customFormat="1" x14ac:dyDescent="0.55000000000000004">
      <c r="A394" s="117"/>
      <c r="B394"/>
      <c r="C394" s="124"/>
      <c r="D394" s="124"/>
      <c r="E394"/>
      <c r="F394" s="1" t="s">
        <v>85</v>
      </c>
      <c r="G394"/>
      <c r="H394"/>
      <c r="I394"/>
      <c r="J394"/>
      <c r="K394"/>
      <c r="L394"/>
      <c r="M394"/>
      <c r="N394"/>
      <c r="O394"/>
      <c r="P394"/>
      <c r="Q394"/>
      <c r="R394"/>
      <c r="S394" s="125"/>
      <c r="T394" s="125"/>
      <c r="U394" s="10"/>
    </row>
    <row r="395" spans="1:21" s="126" customFormat="1" x14ac:dyDescent="0.55000000000000004">
      <c r="A395" s="117"/>
      <c r="B395"/>
      <c r="C395" s="124"/>
      <c r="D395" s="124"/>
      <c r="E395"/>
      <c r="F395" s="120" t="s">
        <v>555</v>
      </c>
      <c r="G395"/>
      <c r="H395"/>
      <c r="I395"/>
      <c r="J395"/>
      <c r="K395"/>
      <c r="L395"/>
      <c r="M395"/>
      <c r="N395"/>
      <c r="O395"/>
      <c r="P395"/>
      <c r="Q395"/>
      <c r="R395"/>
      <c r="S395" s="125"/>
      <c r="T395" s="125"/>
      <c r="U395" s="10"/>
    </row>
    <row r="396" spans="1:21" s="126" customFormat="1" x14ac:dyDescent="0.55000000000000004">
      <c r="A396" s="117"/>
      <c r="B396"/>
      <c r="C396" s="124"/>
      <c r="D396" s="124"/>
      <c r="E396"/>
      <c r="F396"/>
      <c r="G396"/>
      <c r="H396"/>
      <c r="I396"/>
      <c r="J396"/>
      <c r="K396"/>
      <c r="L396"/>
      <c r="M396"/>
      <c r="N396"/>
      <c r="O396"/>
      <c r="P396"/>
      <c r="Q396"/>
      <c r="R396"/>
      <c r="S396" s="125"/>
      <c r="T396" s="125"/>
      <c r="U396" s="10"/>
    </row>
    <row r="397" spans="1:21" s="126" customFormat="1" ht="43.2" x14ac:dyDescent="0.55000000000000004">
      <c r="A397" s="117"/>
      <c r="B397"/>
      <c r="C397" s="124"/>
      <c r="D397" s="124"/>
      <c r="E397"/>
      <c r="F397"/>
      <c r="G397" s="56" t="s">
        <v>86</v>
      </c>
      <c r="H397" s="56" t="s">
        <v>73</v>
      </c>
      <c r="I397" s="56" t="s">
        <v>87</v>
      </c>
      <c r="J397" s="56" t="s">
        <v>75</v>
      </c>
      <c r="K397" s="56" t="s">
        <v>76</v>
      </c>
      <c r="L397"/>
      <c r="M397"/>
      <c r="N397"/>
      <c r="O397"/>
      <c r="P397"/>
      <c r="Q397"/>
      <c r="R397"/>
      <c r="S397" s="125"/>
      <c r="T397" s="125"/>
      <c r="U397" s="10"/>
    </row>
    <row r="398" spans="1:21" s="126" customFormat="1" x14ac:dyDescent="0.55000000000000004">
      <c r="A398" s="117"/>
      <c r="B398"/>
      <c r="C398" s="124"/>
      <c r="D398" s="124"/>
      <c r="E398"/>
      <c r="F398" t="str">
        <f>F390</f>
        <v>Prepaid:  Domestic Lifeline</v>
      </c>
      <c r="G398" s="26">
        <f ca="1">SUM(I390,K390)</f>
        <v>22204313.277029321</v>
      </c>
      <c r="H398" s="64">
        <f ca="1">IFERROR(G398/G390,0)/12</f>
        <v>557.33718064832635</v>
      </c>
      <c r="I398" s="84"/>
      <c r="J398" s="26">
        <f>I398*G390*12</f>
        <v>0</v>
      </c>
      <c r="K398" s="21">
        <f>J398/12</f>
        <v>0</v>
      </c>
      <c r="L398"/>
      <c r="M398"/>
      <c r="N398"/>
      <c r="O398"/>
      <c r="P398"/>
      <c r="Q398"/>
      <c r="R398"/>
      <c r="S398" s="125"/>
      <c r="T398" s="125"/>
      <c r="U398" s="10"/>
    </row>
    <row r="399" spans="1:21" s="126" customFormat="1" x14ac:dyDescent="0.55000000000000004">
      <c r="A399" s="117"/>
      <c r="B399"/>
      <c r="C399" s="124"/>
      <c r="D399" s="124"/>
      <c r="E399" s="133"/>
      <c r="F399" s="58" t="str">
        <f>IF(I398&gt;I388,"Error: revenue from fixed charges exceeds total revenue required from tariff. Reduce fixed charge.","")</f>
        <v/>
      </c>
      <c r="G399" s="58" t="str">
        <f ca="1">IF(J398&gt;L390,"Error: revenue from fixed charges exceeds total revenue required from tariff. Reduce fixed charge.","")</f>
        <v/>
      </c>
      <c r="H399" s="134"/>
      <c r="I399" s="134"/>
      <c r="J399" s="135"/>
      <c r="K399"/>
      <c r="L399"/>
      <c r="M399"/>
      <c r="N399"/>
      <c r="O399"/>
      <c r="P399"/>
      <c r="Q399"/>
      <c r="R399"/>
      <c r="S399" s="125"/>
      <c r="T399" s="125"/>
      <c r="U399" s="10"/>
    </row>
    <row r="400" spans="1:21" s="126" customFormat="1" ht="14.7" thickBot="1" x14ac:dyDescent="0.6">
      <c r="A400" s="117"/>
      <c r="B400"/>
      <c r="C400" s="124"/>
      <c r="D400" s="130"/>
      <c r="E400" s="131"/>
      <c r="F400" s="131"/>
      <c r="G400" s="131"/>
      <c r="H400" s="131"/>
      <c r="I400" s="131"/>
      <c r="J400" s="131"/>
      <c r="K400" s="131"/>
      <c r="L400" s="131"/>
      <c r="M400" s="131"/>
      <c r="N400" s="131"/>
      <c r="O400" s="131"/>
      <c r="P400" s="131"/>
      <c r="Q400" s="131"/>
      <c r="R400" s="131"/>
      <c r="S400" s="132"/>
      <c r="T400" s="125"/>
      <c r="U400" s="10"/>
    </row>
    <row r="401" spans="1:23" s="126" customFormat="1" ht="14.7" thickBot="1" x14ac:dyDescent="0.6">
      <c r="A401" s="117"/>
      <c r="B401"/>
      <c r="C401" s="124"/>
      <c r="D401"/>
      <c r="E401"/>
      <c r="F401"/>
      <c r="G401"/>
      <c r="H401"/>
      <c r="I401"/>
      <c r="J401"/>
      <c r="K401"/>
      <c r="L401"/>
      <c r="M401"/>
      <c r="N401"/>
      <c r="O401"/>
      <c r="P401"/>
      <c r="Q401"/>
      <c r="R401"/>
      <c r="S401"/>
      <c r="T401" s="125"/>
      <c r="U401" s="10"/>
    </row>
    <row r="402" spans="1:23" s="126" customFormat="1" x14ac:dyDescent="0.55000000000000004">
      <c r="A402" s="117"/>
      <c r="B402"/>
      <c r="C402" s="124"/>
      <c r="D402" s="121"/>
      <c r="E402" s="122"/>
      <c r="F402" s="122"/>
      <c r="G402" s="122"/>
      <c r="H402" s="122"/>
      <c r="I402" s="122"/>
      <c r="J402" s="122"/>
      <c r="K402" s="122"/>
      <c r="L402" s="122"/>
      <c r="M402" s="122"/>
      <c r="N402" s="122"/>
      <c r="O402" s="122"/>
      <c r="P402" s="122"/>
      <c r="Q402" s="122"/>
      <c r="R402" s="122"/>
      <c r="S402" s="123"/>
      <c r="T402" s="125"/>
      <c r="U402" s="10"/>
    </row>
    <row r="403" spans="1:23" s="126" customFormat="1" x14ac:dyDescent="0.55000000000000004">
      <c r="A403" s="117"/>
      <c r="B403"/>
      <c r="C403" s="124"/>
      <c r="D403" s="124"/>
      <c r="E403"/>
      <c r="F403" s="1" t="s">
        <v>96</v>
      </c>
      <c r="G403"/>
      <c r="H403"/>
      <c r="I403"/>
      <c r="J403"/>
      <c r="K403"/>
      <c r="L403"/>
      <c r="M403"/>
      <c r="N403"/>
      <c r="O403"/>
      <c r="P403"/>
      <c r="Q403"/>
      <c r="R403"/>
      <c r="S403" s="125"/>
      <c r="T403" s="125"/>
      <c r="U403" s="10"/>
    </row>
    <row r="404" spans="1:23" s="126" customFormat="1" ht="14.55" customHeight="1" x14ac:dyDescent="0.55000000000000004">
      <c r="A404" s="117"/>
      <c r="B404"/>
      <c r="C404" s="124"/>
      <c r="D404" s="124"/>
      <c r="E404"/>
      <c r="F404" s="1804" t="s">
        <v>560</v>
      </c>
      <c r="G404" s="1804"/>
      <c r="H404" s="1804"/>
      <c r="I404" s="1804"/>
      <c r="J404" s="1804"/>
      <c r="K404" s="1804"/>
      <c r="L404" s="1804"/>
      <c r="M404" s="1804"/>
      <c r="N404" s="1804"/>
      <c r="O404" s="1804"/>
      <c r="P404" s="1804"/>
      <c r="Q404" s="119"/>
      <c r="R404"/>
      <c r="S404" s="125"/>
      <c r="T404" s="125"/>
      <c r="U404" s="10"/>
    </row>
    <row r="405" spans="1:23" s="126" customFormat="1" x14ac:dyDescent="0.55000000000000004">
      <c r="A405" s="117"/>
      <c r="B405"/>
      <c r="C405" s="124"/>
      <c r="D405" s="124"/>
      <c r="E405"/>
      <c r="F405" s="119"/>
      <c r="G405" s="119"/>
      <c r="H405" s="119"/>
      <c r="I405" s="119"/>
      <c r="J405" s="119"/>
      <c r="K405" s="119"/>
      <c r="L405" s="119"/>
      <c r="M405" s="119"/>
      <c r="N405" s="119"/>
      <c r="O405" s="119"/>
      <c r="P405" s="119"/>
      <c r="Q405" s="119"/>
      <c r="R405"/>
      <c r="S405" s="125"/>
      <c r="T405" s="125"/>
      <c r="U405" s="10"/>
    </row>
    <row r="406" spans="1:23" s="126" customFormat="1" x14ac:dyDescent="0.55000000000000004">
      <c r="A406" s="117"/>
      <c r="B406"/>
      <c r="C406" s="124"/>
      <c r="D406" s="124"/>
      <c r="E406"/>
      <c r="F406" s="1" t="s">
        <v>348</v>
      </c>
      <c r="G406" s="80" t="s">
        <v>89</v>
      </c>
      <c r="H406" s="119"/>
      <c r="I406" s="119"/>
      <c r="J406" s="119"/>
      <c r="K406" s="119"/>
      <c r="L406" s="119"/>
      <c r="M406" s="119"/>
      <c r="N406" s="119"/>
      <c r="O406" s="119"/>
      <c r="P406" s="119"/>
      <c r="Q406" s="119"/>
      <c r="R406"/>
      <c r="S406" s="125"/>
      <c r="T406" s="125"/>
      <c r="U406" s="10"/>
      <c r="V406" s="126" t="s">
        <v>89</v>
      </c>
    </row>
    <row r="407" spans="1:23" s="126" customFormat="1" ht="14.7" thickBot="1" x14ac:dyDescent="0.6">
      <c r="A407" s="117"/>
      <c r="B407"/>
      <c r="C407" s="124"/>
      <c r="D407" s="124"/>
      <c r="E407"/>
      <c r="F407"/>
      <c r="G407" s="134"/>
      <c r="H407" s="119"/>
      <c r="I407" s="119"/>
      <c r="J407" s="119"/>
      <c r="K407" s="119"/>
      <c r="L407" s="119"/>
      <c r="M407" s="119"/>
      <c r="N407" s="119"/>
      <c r="O407" s="119"/>
      <c r="P407" s="119"/>
      <c r="Q407" s="119"/>
      <c r="R407"/>
      <c r="S407" s="125"/>
      <c r="T407" s="125"/>
      <c r="U407" s="10"/>
      <c r="V407" s="126" t="s">
        <v>90</v>
      </c>
    </row>
    <row r="408" spans="1:23" s="126" customFormat="1" x14ac:dyDescent="0.55000000000000004">
      <c r="A408" s="117"/>
      <c r="B408"/>
      <c r="C408" s="124"/>
      <c r="D408" s="124"/>
      <c r="E408" s="121"/>
      <c r="F408" s="122"/>
      <c r="G408" s="122"/>
      <c r="H408" s="122"/>
      <c r="I408" s="122"/>
      <c r="J408" s="122"/>
      <c r="K408" s="122"/>
      <c r="L408" s="122"/>
      <c r="M408" s="122"/>
      <c r="N408" s="122"/>
      <c r="O408" s="122"/>
      <c r="P408" s="122"/>
      <c r="Q408" s="122"/>
      <c r="R408" s="123"/>
      <c r="S408" s="125"/>
      <c r="T408" s="125"/>
      <c r="U408" s="10"/>
    </row>
    <row r="409" spans="1:23" s="126" customFormat="1" x14ac:dyDescent="0.55000000000000004">
      <c r="A409" s="117"/>
      <c r="B409"/>
      <c r="C409" s="124"/>
      <c r="D409" s="124"/>
      <c r="E409" s="124"/>
      <c r="F409" s="1" t="s">
        <v>343</v>
      </c>
      <c r="G409" s="163"/>
      <c r="H409"/>
      <c r="I409"/>
      <c r="J409"/>
      <c r="K409"/>
      <c r="L409"/>
      <c r="M409"/>
      <c r="N409"/>
      <c r="O409"/>
      <c r="P409"/>
      <c r="Q409"/>
      <c r="R409" s="125"/>
      <c r="S409" s="125"/>
      <c r="T409" s="125"/>
      <c r="U409" s="10"/>
    </row>
    <row r="410" spans="1:23" s="126" customFormat="1" ht="14.55" customHeight="1" x14ac:dyDescent="0.55000000000000004">
      <c r="A410" s="117"/>
      <c r="B410"/>
      <c r="C410" s="124"/>
      <c r="D410" s="124"/>
      <c r="E410" s="124"/>
      <c r="F410" s="1804" t="s">
        <v>561</v>
      </c>
      <c r="G410" s="1804"/>
      <c r="H410" s="1804"/>
      <c r="I410" s="1804"/>
      <c r="J410" s="1804"/>
      <c r="K410" s="1804"/>
      <c r="L410" s="1804"/>
      <c r="M410" s="1804"/>
      <c r="N410" s="1804"/>
      <c r="O410" s="1804"/>
      <c r="P410" s="1804"/>
      <c r="Q410" s="1804"/>
      <c r="R410" s="125"/>
      <c r="S410" s="125"/>
      <c r="T410" s="125"/>
      <c r="U410" s="10"/>
    </row>
    <row r="411" spans="1:23" s="126" customFormat="1" x14ac:dyDescent="0.55000000000000004">
      <c r="A411" s="117"/>
      <c r="B411"/>
      <c r="C411" s="124"/>
      <c r="D411" s="124"/>
      <c r="E411" s="124"/>
      <c r="F411" s="1804"/>
      <c r="G411" s="1804"/>
      <c r="H411" s="1804"/>
      <c r="I411" s="1804"/>
      <c r="J411" s="1804"/>
      <c r="K411" s="1804"/>
      <c r="L411" s="1804"/>
      <c r="M411" s="1804"/>
      <c r="N411" s="1804"/>
      <c r="O411" s="1804"/>
      <c r="P411" s="1804"/>
      <c r="Q411" s="1804"/>
      <c r="R411" s="125"/>
      <c r="S411" s="125"/>
      <c r="T411" s="125"/>
      <c r="U411" s="10"/>
    </row>
    <row r="412" spans="1:23" s="126" customFormat="1" x14ac:dyDescent="0.55000000000000004">
      <c r="A412" s="117"/>
      <c r="B412"/>
      <c r="C412" s="124"/>
      <c r="D412" s="124"/>
      <c r="E412" s="124"/>
      <c r="F412" s="1"/>
      <c r="G412" s="163"/>
      <c r="H412"/>
      <c r="I412"/>
      <c r="J412"/>
      <c r="K412"/>
      <c r="L412"/>
      <c r="M412"/>
      <c r="N412"/>
      <c r="O412"/>
      <c r="P412"/>
      <c r="Q412"/>
      <c r="R412" s="125"/>
      <c r="S412" s="125"/>
      <c r="T412" s="125"/>
      <c r="U412" s="10"/>
    </row>
    <row r="413" spans="1:23" s="126" customFormat="1" x14ac:dyDescent="0.55000000000000004">
      <c r="A413" s="117"/>
      <c r="B413"/>
      <c r="C413" s="124"/>
      <c r="D413" s="124"/>
      <c r="E413" s="124"/>
      <c r="F413" s="164" t="s">
        <v>88</v>
      </c>
      <c r="G413" s="10"/>
      <c r="H413"/>
      <c r="I413" s="50">
        <v>1</v>
      </c>
      <c r="J413"/>
      <c r="K413"/>
      <c r="L413"/>
      <c r="M413"/>
      <c r="N413"/>
      <c r="O413"/>
      <c r="P413"/>
      <c r="Q413"/>
      <c r="R413" s="125"/>
      <c r="S413" s="125"/>
      <c r="T413" s="125"/>
      <c r="U413" s="10"/>
    </row>
    <row r="414" spans="1:23" s="126" customFormat="1" x14ac:dyDescent="0.55000000000000004">
      <c r="A414" s="117"/>
      <c r="B414"/>
      <c r="C414" s="124"/>
      <c r="D414" s="124"/>
      <c r="E414" s="124"/>
      <c r="F414" s="10" t="s">
        <v>612</v>
      </c>
      <c r="H414"/>
      <c r="I414" s="159" t="s">
        <v>578</v>
      </c>
      <c r="J414"/>
      <c r="K414"/>
      <c r="L414"/>
      <c r="M414"/>
      <c r="N414"/>
      <c r="O414"/>
      <c r="P414"/>
      <c r="Q414"/>
      <c r="R414" s="125"/>
      <c r="S414" s="125"/>
      <c r="T414" s="125"/>
      <c r="U414" s="10"/>
    </row>
    <row r="415" spans="1:23" s="126" customFormat="1" x14ac:dyDescent="0.55000000000000004">
      <c r="A415" s="117"/>
      <c r="B415"/>
      <c r="C415" s="124"/>
      <c r="D415" s="124"/>
      <c r="E415" s="124"/>
      <c r="F415"/>
      <c r="G415"/>
      <c r="H415"/>
      <c r="I415"/>
      <c r="J415"/>
      <c r="K415"/>
      <c r="L415"/>
      <c r="M415"/>
      <c r="N415"/>
      <c r="O415"/>
      <c r="P415"/>
      <c r="Q415"/>
      <c r="R415" s="125"/>
      <c r="S415" s="125"/>
      <c r="T415" s="125"/>
      <c r="U415" s="10"/>
    </row>
    <row r="416" spans="1:23" s="126" customFormat="1" ht="57.6" customHeight="1" x14ac:dyDescent="0.55000000000000004">
      <c r="A416" s="117"/>
      <c r="B416"/>
      <c r="C416" s="124"/>
      <c r="D416" s="124"/>
      <c r="E416" s="124"/>
      <c r="F416" s="56" t="s">
        <v>91</v>
      </c>
      <c r="G416" s="56" t="s">
        <v>92</v>
      </c>
      <c r="H416" s="129" t="s">
        <v>80</v>
      </c>
      <c r="I416" s="56" t="s">
        <v>340</v>
      </c>
      <c r="J416" s="56" t="s">
        <v>356</v>
      </c>
      <c r="K416" s="165" t="s">
        <v>349</v>
      </c>
      <c r="L416" s="166" t="s">
        <v>350</v>
      </c>
      <c r="M416" s="162"/>
      <c r="N416" s="162"/>
      <c r="O416" s="162"/>
      <c r="P416" s="162"/>
      <c r="Q416" s="162"/>
      <c r="R416" s="167"/>
      <c r="S416" s="167"/>
      <c r="T416" s="167"/>
      <c r="U416" s="10"/>
      <c r="V416" s="168" t="s">
        <v>621</v>
      </c>
      <c r="W416" s="168" t="s">
        <v>622</v>
      </c>
    </row>
    <row r="417" spans="1:24" s="126" customFormat="1" x14ac:dyDescent="0.55000000000000004">
      <c r="A417" s="117"/>
      <c r="B417"/>
      <c r="C417" s="124"/>
      <c r="D417" s="124"/>
      <c r="E417" s="124"/>
      <c r="F417" s="89">
        <f>IF($I$413=X417,X417,1)</f>
        <v>1</v>
      </c>
      <c r="G417" s="91">
        <v>0</v>
      </c>
      <c r="H417" s="50"/>
      <c r="I417" s="169"/>
      <c r="J417" s="21">
        <f>IF(G406=V406,H390-SUMIF(F418:F421,"&lt;="&amp;$I$413,J418:J421),0)</f>
        <v>8759661.5999999996</v>
      </c>
      <c r="K417" s="114">
        <f ca="1">IFERROR(IF(G406=V406,IF(F417&lt;=I413,IF(I414="No",IF(J398=0,L390/SUMPRODUCT(V417:V421,J417:J421),(L390-J398)/SUMPRODUCT(V417:V421,J417:J421)),0),0),0),0)</f>
        <v>6.4231901085446648</v>
      </c>
      <c r="L417" s="31">
        <f ca="1">J417*K417</f>
        <v>56264971.743318528</v>
      </c>
      <c r="M417" s="170"/>
      <c r="N417" s="135"/>
      <c r="O417" s="171"/>
      <c r="P417"/>
      <c r="Q417"/>
      <c r="R417" s="125"/>
      <c r="S417" s="125"/>
      <c r="T417" s="125"/>
      <c r="U417" s="10"/>
      <c r="V417" s="96">
        <f>IF(F417&lt;=$I$413,1,0)</f>
        <v>1</v>
      </c>
      <c r="X417" s="126">
        <v>1</v>
      </c>
    </row>
    <row r="418" spans="1:24" s="126" customFormat="1" x14ac:dyDescent="0.55000000000000004">
      <c r="A418" s="117"/>
      <c r="B418"/>
      <c r="C418" s="124"/>
      <c r="D418" s="124"/>
      <c r="E418" s="124"/>
      <c r="F418" s="89" t="str">
        <f>IF($I$413&gt;=X418,X418,"")</f>
        <v/>
      </c>
      <c r="G418" s="91" t="str">
        <f>IF($I$413&gt;=F418,H417+0.01,"")</f>
        <v/>
      </c>
      <c r="H418" s="50"/>
      <c r="I418" s="61"/>
      <c r="J418" s="13"/>
      <c r="K418" s="114">
        <f>IFERROR(IF(F418&lt;=I413,IF(I414="No",K417*(1+I418),IF(J398=0,L390/SUMPRODUCT(W418:W421,J418:J421),(L390-J398)/SUMPRODUCT(W418:W421,J418:J421))),0),0)</f>
        <v>0</v>
      </c>
      <c r="L418" s="31">
        <f>J418*K418</f>
        <v>0</v>
      </c>
      <c r="M418" s="170"/>
      <c r="N418" s="135"/>
      <c r="O418" s="171"/>
      <c r="P418"/>
      <c r="Q418"/>
      <c r="R418" s="125"/>
      <c r="S418" s="125"/>
      <c r="T418" s="125"/>
      <c r="U418" s="10"/>
      <c r="V418" s="96">
        <f>IF(F418&lt;=$I$413,(1+I418),0)</f>
        <v>0</v>
      </c>
      <c r="W418" s="92">
        <f>IF(F418&lt;=I413,1,0)</f>
        <v>0</v>
      </c>
      <c r="X418" s="126">
        <v>2</v>
      </c>
    </row>
    <row r="419" spans="1:24" s="126" customFormat="1" x14ac:dyDescent="0.55000000000000004">
      <c r="A419" s="117"/>
      <c r="B419"/>
      <c r="C419" s="124"/>
      <c r="D419" s="124"/>
      <c r="E419" s="124"/>
      <c r="F419" s="89" t="str">
        <f>IF($I$413&gt;=X419,X419,"")</f>
        <v/>
      </c>
      <c r="G419" s="91" t="str">
        <f>IF($I$413&gt;=F419,H418+0.01,"")</f>
        <v/>
      </c>
      <c r="H419" s="50"/>
      <c r="I419" s="61"/>
      <c r="J419" s="13"/>
      <c r="K419" s="95">
        <f>IF(F419&lt;=$I$413,K418*(1+I419),0)</f>
        <v>0</v>
      </c>
      <c r="L419" s="31">
        <f>J419*K419</f>
        <v>0</v>
      </c>
      <c r="M419" s="170"/>
      <c r="N419" s="135"/>
      <c r="O419" s="171"/>
      <c r="P419"/>
      <c r="Q419"/>
      <c r="R419" s="125"/>
      <c r="S419" s="125"/>
      <c r="T419" s="125"/>
      <c r="U419" s="10"/>
      <c r="V419" s="96">
        <f>IF(F419&lt;=$I$413,V418*(1+I419),0)</f>
        <v>0</v>
      </c>
      <c r="W419" s="92">
        <f>IF(F419&lt;=I413,W418*(1+I419),0)</f>
        <v>0</v>
      </c>
      <c r="X419" s="126">
        <v>3</v>
      </c>
    </row>
    <row r="420" spans="1:24" s="126" customFormat="1" x14ac:dyDescent="0.55000000000000004">
      <c r="A420" s="117"/>
      <c r="B420"/>
      <c r="C420" s="124"/>
      <c r="D420" s="124"/>
      <c r="E420" s="124"/>
      <c r="F420" s="89" t="str">
        <f>IF($I$413&gt;=X420,X420,"")</f>
        <v/>
      </c>
      <c r="G420" s="91" t="str">
        <f>IF($I$413&gt;=F420,H419+0.01,"")</f>
        <v/>
      </c>
      <c r="H420" s="50"/>
      <c r="I420" s="61"/>
      <c r="J420" s="13"/>
      <c r="K420" s="95">
        <f>IF(F420&lt;=$I$413,K419*(1+I420),0)</f>
        <v>0</v>
      </c>
      <c r="L420" s="31">
        <f>J420*K420</f>
        <v>0</v>
      </c>
      <c r="M420" s="170"/>
      <c r="N420" s="135"/>
      <c r="O420" s="171"/>
      <c r="P420"/>
      <c r="Q420"/>
      <c r="R420" s="125"/>
      <c r="S420" s="125"/>
      <c r="T420" s="125"/>
      <c r="U420" s="10"/>
      <c r="V420" s="96">
        <f>IF(F420&lt;=$I$413,V419*(1+I420),0)</f>
        <v>0</v>
      </c>
      <c r="W420" s="92">
        <f>IF(F420&lt;=I413,W419*(1+I420),0)</f>
        <v>0</v>
      </c>
      <c r="X420" s="126">
        <v>4</v>
      </c>
    </row>
    <row r="421" spans="1:24" s="126" customFormat="1" x14ac:dyDescent="0.55000000000000004">
      <c r="A421" s="117"/>
      <c r="B421"/>
      <c r="C421" s="124"/>
      <c r="D421" s="124"/>
      <c r="E421" s="124"/>
      <c r="F421" s="89" t="str">
        <f>IF($I$413&gt;=X421,X421,"")</f>
        <v/>
      </c>
      <c r="G421" s="91" t="str">
        <f>IF($I$413&gt;=F421,H420+0.01,"")</f>
        <v/>
      </c>
      <c r="H421" s="89" t="s">
        <v>84</v>
      </c>
      <c r="I421" s="61"/>
      <c r="J421" s="13"/>
      <c r="K421" s="95">
        <f>IF(F421&lt;=$I$413,K420*(1+I421),0)</f>
        <v>0</v>
      </c>
      <c r="L421" s="31">
        <f>J421*K421</f>
        <v>0</v>
      </c>
      <c r="M421" s="170"/>
      <c r="N421" s="135"/>
      <c r="O421" s="171"/>
      <c r="P421"/>
      <c r="Q421"/>
      <c r="R421" s="125"/>
      <c r="S421" s="125"/>
      <c r="T421" s="125"/>
      <c r="U421" s="10"/>
      <c r="V421" s="96">
        <f>IF(F421&lt;=$I$413,V420*(1+I421),0)</f>
        <v>0</v>
      </c>
      <c r="W421" s="92">
        <f>IF(F421&lt;=I413,W420*(1+I421),0)</f>
        <v>0</v>
      </c>
      <c r="X421" s="126">
        <v>5</v>
      </c>
    </row>
    <row r="422" spans="1:24" s="126" customFormat="1" ht="14.7" thickBot="1" x14ac:dyDescent="0.6">
      <c r="A422" s="117"/>
      <c r="B422"/>
      <c r="C422" s="124"/>
      <c r="D422" s="124"/>
      <c r="E422" s="130"/>
      <c r="F422" s="149"/>
      <c r="G422" s="150"/>
      <c r="H422" s="149"/>
      <c r="I422" s="172"/>
      <c r="J422" s="173"/>
      <c r="K422" s="173"/>
      <c r="L422" s="173"/>
      <c r="M422" s="174"/>
      <c r="N422" s="152"/>
      <c r="O422" s="175"/>
      <c r="P422" s="131"/>
      <c r="Q422" s="131"/>
      <c r="R422" s="132"/>
      <c r="S422" s="125"/>
      <c r="T422" s="125"/>
      <c r="U422" s="10"/>
    </row>
    <row r="423" spans="1:24" s="126" customFormat="1" ht="14.7" thickBot="1" x14ac:dyDescent="0.6">
      <c r="A423" s="117"/>
      <c r="B423"/>
      <c r="C423" s="124"/>
      <c r="D423" s="124"/>
      <c r="E423"/>
      <c r="F423" s="163"/>
      <c r="G423" s="176"/>
      <c r="H423" s="163"/>
      <c r="I423" s="177"/>
      <c r="J423" s="178"/>
      <c r="K423" s="178"/>
      <c r="L423" s="178"/>
      <c r="M423" s="170"/>
      <c r="N423" s="135"/>
      <c r="O423" s="171"/>
      <c r="P423"/>
      <c r="Q423"/>
      <c r="R423"/>
      <c r="S423" s="125"/>
      <c r="T423" s="125"/>
      <c r="U423" s="10"/>
    </row>
    <row r="424" spans="1:24" s="126" customFormat="1" x14ac:dyDescent="0.55000000000000004">
      <c r="A424" s="117"/>
      <c r="B424"/>
      <c r="C424" s="124"/>
      <c r="D424" s="124"/>
      <c r="E424" s="121"/>
      <c r="F424" s="179"/>
      <c r="G424" s="180"/>
      <c r="H424" s="179"/>
      <c r="I424" s="181"/>
      <c r="J424" s="182"/>
      <c r="K424" s="182"/>
      <c r="L424" s="182"/>
      <c r="M424" s="183"/>
      <c r="N424" s="184"/>
      <c r="O424" s="185"/>
      <c r="P424" s="122"/>
      <c r="Q424" s="122"/>
      <c r="R424" s="123"/>
      <c r="S424" s="125"/>
      <c r="T424" s="125"/>
      <c r="U424" s="10"/>
    </row>
    <row r="425" spans="1:24" s="126" customFormat="1" x14ac:dyDescent="0.55000000000000004">
      <c r="A425" s="117"/>
      <c r="B425"/>
      <c r="C425" s="124"/>
      <c r="D425" s="124"/>
      <c r="E425" s="124"/>
      <c r="F425" s="186" t="s">
        <v>344</v>
      </c>
      <c r="G425" s="176"/>
      <c r="H425" s="163"/>
      <c r="I425" s="177"/>
      <c r="J425" s="178"/>
      <c r="K425" s="178"/>
      <c r="L425" s="178"/>
      <c r="M425" s="170"/>
      <c r="N425" s="135"/>
      <c r="O425" s="187"/>
      <c r="P425"/>
      <c r="Q425"/>
      <c r="R425" s="125"/>
      <c r="S425" s="125"/>
      <c r="T425" s="125"/>
      <c r="U425" s="10"/>
    </row>
    <row r="426" spans="1:24" s="126" customFormat="1" ht="14.55" customHeight="1" x14ac:dyDescent="0.55000000000000004">
      <c r="A426" s="117"/>
      <c r="B426"/>
      <c r="C426" s="124"/>
      <c r="D426" s="124"/>
      <c r="E426" s="124"/>
      <c r="F426" s="1804" t="s">
        <v>562</v>
      </c>
      <c r="G426" s="1804"/>
      <c r="H426" s="1804"/>
      <c r="I426" s="1804"/>
      <c r="J426" s="1804"/>
      <c r="K426" s="1804"/>
      <c r="L426" s="1804"/>
      <c r="M426" s="1804"/>
      <c r="N426" s="1804"/>
      <c r="O426" s="1804"/>
      <c r="P426" s="1804"/>
      <c r="Q426" s="1804"/>
      <c r="R426" s="125"/>
      <c r="S426" s="125"/>
      <c r="T426" s="125"/>
      <c r="U426" s="10"/>
    </row>
    <row r="427" spans="1:24" s="126" customFormat="1" x14ac:dyDescent="0.55000000000000004">
      <c r="A427" s="117"/>
      <c r="B427"/>
      <c r="C427" s="124"/>
      <c r="D427" s="124"/>
      <c r="E427" s="124"/>
      <c r="F427" s="1804"/>
      <c r="G427" s="1804"/>
      <c r="H427" s="1804"/>
      <c r="I427" s="1804"/>
      <c r="J427" s="1804"/>
      <c r="K427" s="1804"/>
      <c r="L427" s="1804"/>
      <c r="M427" s="1804"/>
      <c r="N427" s="1804"/>
      <c r="O427" s="1804"/>
      <c r="P427" s="1804"/>
      <c r="Q427" s="1804"/>
      <c r="R427" s="125"/>
      <c r="S427" s="125"/>
      <c r="T427" s="125"/>
      <c r="U427" s="10"/>
    </row>
    <row r="428" spans="1:24" s="126" customFormat="1" x14ac:dyDescent="0.55000000000000004">
      <c r="A428" s="117"/>
      <c r="B428"/>
      <c r="C428" s="124"/>
      <c r="D428" s="124"/>
      <c r="E428" s="124"/>
      <c r="F428" s="186"/>
      <c r="G428" s="176"/>
      <c r="H428" s="163"/>
      <c r="I428" s="177"/>
      <c r="J428" s="178"/>
      <c r="K428" s="178"/>
      <c r="L428" s="178"/>
      <c r="M428" s="170"/>
      <c r="N428" s="135"/>
      <c r="O428" s="187"/>
      <c r="P428"/>
      <c r="Q428"/>
      <c r="R428" s="125"/>
      <c r="S428" s="125"/>
      <c r="T428" s="125"/>
      <c r="U428" s="10"/>
    </row>
    <row r="429" spans="1:24" s="126" customFormat="1" x14ac:dyDescent="0.55000000000000004">
      <c r="A429" s="117"/>
      <c r="B429"/>
      <c r="C429" s="124"/>
      <c r="D429" s="124"/>
      <c r="E429" s="124"/>
      <c r="F429" s="164" t="s">
        <v>88</v>
      </c>
      <c r="G429" s="10"/>
      <c r="H429" s="163"/>
      <c r="I429" s="50">
        <v>5</v>
      </c>
      <c r="J429" s="178"/>
      <c r="K429" s="178"/>
      <c r="L429" s="178"/>
      <c r="M429" s="170"/>
      <c r="N429" s="135"/>
      <c r="O429" s="187"/>
      <c r="P429"/>
      <c r="Q429"/>
      <c r="R429" s="125"/>
      <c r="S429" s="125"/>
      <c r="T429" s="125"/>
      <c r="U429" s="10"/>
    </row>
    <row r="430" spans="1:24" s="126" customFormat="1" x14ac:dyDescent="0.55000000000000004">
      <c r="A430" s="117"/>
      <c r="B430"/>
      <c r="C430" s="124"/>
      <c r="D430" s="124"/>
      <c r="E430" s="124"/>
      <c r="F430" t="s">
        <v>346</v>
      </c>
      <c r="G430" s="10"/>
      <c r="H430" s="163"/>
      <c r="I430" s="13"/>
      <c r="J430" s="178"/>
      <c r="K430" s="178"/>
      <c r="L430" s="178"/>
      <c r="M430" s="170"/>
      <c r="N430" s="135"/>
      <c r="O430" s="187"/>
      <c r="P430"/>
      <c r="Q430"/>
      <c r="R430" s="125"/>
      <c r="S430" s="125"/>
      <c r="T430" s="125"/>
      <c r="U430" s="10"/>
    </row>
    <row r="431" spans="1:24" s="126" customFormat="1" x14ac:dyDescent="0.55000000000000004">
      <c r="A431" s="117"/>
      <c r="B431"/>
      <c r="C431" s="124"/>
      <c r="D431" s="124"/>
      <c r="E431" s="124"/>
      <c r="F431" t="s">
        <v>347</v>
      </c>
      <c r="G431" s="10"/>
      <c r="H431" s="163"/>
      <c r="I431" s="13"/>
      <c r="J431" s="178"/>
      <c r="K431" s="178"/>
      <c r="L431" s="178"/>
      <c r="M431" s="170"/>
      <c r="N431" s="135"/>
      <c r="O431" s="187"/>
      <c r="P431"/>
      <c r="Q431"/>
      <c r="R431" s="125"/>
      <c r="S431" s="125"/>
      <c r="T431" s="125"/>
      <c r="U431" s="10"/>
    </row>
    <row r="432" spans="1:24" s="126" customFormat="1" x14ac:dyDescent="0.55000000000000004">
      <c r="A432" s="117"/>
      <c r="B432"/>
      <c r="C432" s="124"/>
      <c r="D432" s="124"/>
      <c r="E432" s="124"/>
      <c r="F432" t="s">
        <v>366</v>
      </c>
      <c r="G432" s="10"/>
      <c r="H432"/>
      <c r="I432" s="93"/>
      <c r="J432"/>
      <c r="K432" s="178"/>
      <c r="L432" s="178"/>
      <c r="M432" s="170"/>
      <c r="N432" s="135"/>
      <c r="O432" s="187"/>
      <c r="P432"/>
      <c r="Q432"/>
      <c r="R432" s="125"/>
      <c r="S432" s="125"/>
      <c r="T432" s="125"/>
      <c r="U432" s="10"/>
    </row>
    <row r="433" spans="1:26" s="126" customFormat="1" x14ac:dyDescent="0.55000000000000004">
      <c r="A433" s="117"/>
      <c r="B433"/>
      <c r="C433" s="124"/>
      <c r="D433" s="124"/>
      <c r="E433" s="124"/>
      <c r="F433" s="10" t="s">
        <v>612</v>
      </c>
      <c r="H433"/>
      <c r="I433" s="159" t="s">
        <v>578</v>
      </c>
      <c r="J433"/>
      <c r="K433" s="178"/>
      <c r="L433" s="178"/>
      <c r="M433" s="170"/>
      <c r="N433" s="135"/>
      <c r="O433" s="187"/>
      <c r="P433"/>
      <c r="Q433"/>
      <c r="R433" s="125"/>
      <c r="S433" s="125"/>
      <c r="T433" s="125"/>
      <c r="U433" s="10"/>
    </row>
    <row r="434" spans="1:26" s="126" customFormat="1" x14ac:dyDescent="0.55000000000000004">
      <c r="A434" s="117"/>
      <c r="B434"/>
      <c r="C434" s="124"/>
      <c r="D434" s="124"/>
      <c r="E434" s="124"/>
      <c r="F434"/>
      <c r="G434"/>
      <c r="H434"/>
      <c r="I434" s="188"/>
      <c r="J434"/>
      <c r="K434" s="178"/>
      <c r="L434" s="178"/>
      <c r="M434" s="170"/>
      <c r="N434" s="135"/>
      <c r="O434" s="187"/>
      <c r="P434"/>
      <c r="Q434"/>
      <c r="R434" s="125"/>
      <c r="S434" s="125"/>
      <c r="T434" s="125"/>
      <c r="U434" s="10"/>
    </row>
    <row r="435" spans="1:26" s="126" customFormat="1" ht="57.6" x14ac:dyDescent="0.55000000000000004">
      <c r="A435" s="117"/>
      <c r="B435"/>
      <c r="C435" s="124"/>
      <c r="D435" s="124"/>
      <c r="E435" s="124"/>
      <c r="F435" s="56" t="s">
        <v>91</v>
      </c>
      <c r="G435" s="56" t="s">
        <v>92</v>
      </c>
      <c r="H435" s="129" t="s">
        <v>80</v>
      </c>
      <c r="I435" s="56" t="s">
        <v>367</v>
      </c>
      <c r="J435" s="56" t="s">
        <v>368</v>
      </c>
      <c r="K435" s="56" t="s">
        <v>341</v>
      </c>
      <c r="L435" s="56" t="s">
        <v>342</v>
      </c>
      <c r="M435" s="166" t="s">
        <v>351</v>
      </c>
      <c r="N435" s="56" t="s">
        <v>352</v>
      </c>
      <c r="O435" s="56" t="s">
        <v>353</v>
      </c>
      <c r="P435" s="56" t="s">
        <v>354</v>
      </c>
      <c r="Q435" s="56" t="s">
        <v>355</v>
      </c>
      <c r="R435" s="125"/>
      <c r="S435" s="125"/>
      <c r="T435" s="125"/>
      <c r="U435" s="10"/>
      <c r="V435" s="189" t="s">
        <v>616</v>
      </c>
      <c r="W435" s="168" t="s">
        <v>617</v>
      </c>
      <c r="X435" s="189" t="s">
        <v>618</v>
      </c>
      <c r="Y435" s="168" t="s">
        <v>619</v>
      </c>
    </row>
    <row r="436" spans="1:26" s="126" customFormat="1" x14ac:dyDescent="0.55000000000000004">
      <c r="A436" s="117"/>
      <c r="B436"/>
      <c r="C436" s="124"/>
      <c r="D436" s="124"/>
      <c r="E436" s="124"/>
      <c r="F436" s="89">
        <f>IF($I$429=Z436,Z436,1)</f>
        <v>1</v>
      </c>
      <c r="G436" s="91">
        <v>0</v>
      </c>
      <c r="H436" s="50"/>
      <c r="I436" s="169"/>
      <c r="J436" s="63"/>
      <c r="K436" s="21">
        <f>I430-SUMIF(F437:F440,"&lt;="&amp;$I$429,K437:K440)</f>
        <v>0</v>
      </c>
      <c r="L436" s="31">
        <f>I431-SUMIF(F437:F440,"&lt;="&amp;$I$429,L437:L440)</f>
        <v>0</v>
      </c>
      <c r="M436" s="44">
        <f>IFERROR(IF(G406=V406,0,IF(F436&lt;=I429,IF(I433="No",(L390-J398)/(SUMPRODUCT(V436:V440,K436:K440)+SUMPRODUCT(W436:W440,L436:L440)),0)*I432,0)),0)</f>
        <v>0</v>
      </c>
      <c r="N436" s="44">
        <f>IFERROR(IF(G406=V406,0,IF(F436&lt;=I429,IF(I433="No",(L390-J398)/(SUMPRODUCT(V436:V440,K436:K440)+SUMPRODUCT(W436:W440,L436:L440)),0),0)),0)</f>
        <v>0</v>
      </c>
      <c r="O436" s="97" t="str">
        <f>IFERROR(M436/N436,"")</f>
        <v/>
      </c>
      <c r="P436" s="26">
        <f t="shared" ref="P436:Q440" si="6">K436*M436</f>
        <v>0</v>
      </c>
      <c r="Q436" s="26">
        <f t="shared" si="6"/>
        <v>0</v>
      </c>
      <c r="R436" s="125"/>
      <c r="S436" s="125"/>
      <c r="T436" s="125"/>
      <c r="U436" s="10"/>
      <c r="V436" s="92">
        <f>IF(F436&lt;=$I$429,1*$I$432,0)</f>
        <v>0</v>
      </c>
      <c r="W436" s="96">
        <f>IF(F436&lt;=$I$429,1,0)</f>
        <v>1</v>
      </c>
      <c r="X436" s="92"/>
      <c r="Y436" s="96"/>
      <c r="Z436" s="126">
        <v>1</v>
      </c>
    </row>
    <row r="437" spans="1:26" s="126" customFormat="1" x14ac:dyDescent="0.55000000000000004">
      <c r="A437" s="117"/>
      <c r="B437"/>
      <c r="C437" s="124"/>
      <c r="D437" s="124"/>
      <c r="E437" s="124"/>
      <c r="F437" s="89">
        <f>IF($I$429&gt;=Z437,Z437,"")</f>
        <v>2</v>
      </c>
      <c r="G437" s="91">
        <f>IF($I$429&gt;=F437,H436+0.01,"")</f>
        <v>0.01</v>
      </c>
      <c r="H437" s="50"/>
      <c r="I437" s="61"/>
      <c r="J437" s="61"/>
      <c r="K437" s="13"/>
      <c r="L437" s="13"/>
      <c r="M437" s="44">
        <f>IF(F437&lt;=I429,IF(I433="No",M436*(1+I437),N437*I432),0)</f>
        <v>0</v>
      </c>
      <c r="N437" s="44">
        <f>IF(F437&lt;=I429,IF(I433="No",N436*(1+J437),(L390-J398)/(I432*SUMPRODUCT(X437:X440,K437:K440)+SUMPRODUCT(Y437:Y440,L437:L440))),0)</f>
        <v>0</v>
      </c>
      <c r="O437" s="97" t="str">
        <f>IFERROR(M437/N437,"")</f>
        <v/>
      </c>
      <c r="P437" s="26">
        <f t="shared" si="6"/>
        <v>0</v>
      </c>
      <c r="Q437" s="26">
        <f t="shared" si="6"/>
        <v>0</v>
      </c>
      <c r="R437" s="125"/>
      <c r="S437" s="125"/>
      <c r="T437" s="125"/>
      <c r="U437" s="10"/>
      <c r="V437" s="92">
        <f>IF(F437&lt;=$I$429,V436*(1+I437),0)</f>
        <v>0</v>
      </c>
      <c r="W437" s="96">
        <f>IF(F437&lt;=$I$429,(1+J437),0)</f>
        <v>1</v>
      </c>
      <c r="X437" s="92">
        <v>1</v>
      </c>
      <c r="Y437" s="96">
        <f>IF(F437&lt;=I429,1,0)</f>
        <v>1</v>
      </c>
      <c r="Z437" s="126">
        <v>2</v>
      </c>
    </row>
    <row r="438" spans="1:26" s="126" customFormat="1" x14ac:dyDescent="0.55000000000000004">
      <c r="A438" s="117"/>
      <c r="B438"/>
      <c r="C438" s="124"/>
      <c r="D438" s="124"/>
      <c r="E438" s="124"/>
      <c r="F438" s="89">
        <f>IF($I$429&gt;=Z438,Z438,"")</f>
        <v>3</v>
      </c>
      <c r="G438" s="91">
        <f>IF($I$429&gt;=F438,H437+0.01,"")</f>
        <v>0.01</v>
      </c>
      <c r="H438" s="50"/>
      <c r="I438" s="61"/>
      <c r="J438" s="61"/>
      <c r="K438" s="13"/>
      <c r="L438" s="13"/>
      <c r="M438" s="36">
        <f>IF(F438&lt;=$I$429,M437*(1+I438),0)</f>
        <v>0</v>
      </c>
      <c r="N438" s="36">
        <f>IF(F438&lt;=$I$429,N437*(1+J438),0)</f>
        <v>0</v>
      </c>
      <c r="O438" s="97" t="str">
        <f>IFERROR(M438/N438,"")</f>
        <v/>
      </c>
      <c r="P438" s="26">
        <f t="shared" si="6"/>
        <v>0</v>
      </c>
      <c r="Q438" s="26">
        <f t="shared" si="6"/>
        <v>0</v>
      </c>
      <c r="R438" s="125"/>
      <c r="S438" s="125"/>
      <c r="T438" s="125"/>
      <c r="U438" s="10"/>
      <c r="V438" s="92">
        <f>IF(F438&lt;=$I$429,V437*(1+I438),0)</f>
        <v>0</v>
      </c>
      <c r="W438" s="96">
        <f>IF(F438&lt;=$I$429,W437*(1+J438),0)</f>
        <v>1</v>
      </c>
      <c r="X438" s="92">
        <f>IF(F438&lt;=I429,X437*(1+I438),0)</f>
        <v>1</v>
      </c>
      <c r="Y438" s="96">
        <f>IF(F438&lt;=I429,Y437*(1+J438),0)</f>
        <v>1</v>
      </c>
      <c r="Z438" s="126">
        <v>3</v>
      </c>
    </row>
    <row r="439" spans="1:26" s="126" customFormat="1" x14ac:dyDescent="0.55000000000000004">
      <c r="A439" s="117"/>
      <c r="B439"/>
      <c r="C439" s="124"/>
      <c r="D439" s="124"/>
      <c r="E439" s="124"/>
      <c r="F439" s="89">
        <f>IF($I$429&gt;=Z439,Z439,"")</f>
        <v>4</v>
      </c>
      <c r="G439" s="91">
        <f>IF($I$429&gt;=F439,H438+0.01,"")</f>
        <v>0.01</v>
      </c>
      <c r="H439" s="50"/>
      <c r="I439" s="61"/>
      <c r="J439" s="61"/>
      <c r="K439" s="13"/>
      <c r="L439" s="13"/>
      <c r="M439" s="36">
        <f>IF(F439&lt;=$I$429,M438*(1+I439),0)</f>
        <v>0</v>
      </c>
      <c r="N439" s="36">
        <f>IF(F439&lt;=$I$429,N438*(1+J439),0)</f>
        <v>0</v>
      </c>
      <c r="O439" s="97" t="str">
        <f>IFERROR(M439/N439,"")</f>
        <v/>
      </c>
      <c r="P439" s="26">
        <f t="shared" si="6"/>
        <v>0</v>
      </c>
      <c r="Q439" s="26">
        <f t="shared" si="6"/>
        <v>0</v>
      </c>
      <c r="R439" s="125"/>
      <c r="S439" s="125"/>
      <c r="T439" s="125"/>
      <c r="U439" s="10"/>
      <c r="V439" s="92">
        <f>IF(F439&lt;=$I$429,V438*(1+I439),0)</f>
        <v>0</v>
      </c>
      <c r="W439" s="96">
        <f>IF(F439&lt;=$I$429,W438*(1+J439),0)</f>
        <v>1</v>
      </c>
      <c r="X439" s="92">
        <f>IF(F439&lt;=I429,X438*(1+I439),0)</f>
        <v>1</v>
      </c>
      <c r="Y439" s="96">
        <f>IF(F439&lt;=I429,Y438*(1+J439),0)</f>
        <v>1</v>
      </c>
      <c r="Z439" s="126">
        <v>4</v>
      </c>
    </row>
    <row r="440" spans="1:26" s="126" customFormat="1" x14ac:dyDescent="0.55000000000000004">
      <c r="A440" s="117"/>
      <c r="B440"/>
      <c r="C440" s="124"/>
      <c r="D440" s="124"/>
      <c r="E440" s="124"/>
      <c r="F440" s="89">
        <f>IF($I$429&gt;=Z440,Z440,"")</f>
        <v>5</v>
      </c>
      <c r="G440" s="91">
        <f>IF($I$429&gt;=F440,H439+0.01,"")</f>
        <v>0.01</v>
      </c>
      <c r="H440" s="89" t="s">
        <v>84</v>
      </c>
      <c r="I440" s="61"/>
      <c r="J440" s="61"/>
      <c r="K440" s="13"/>
      <c r="L440" s="13"/>
      <c r="M440" s="36">
        <f>IF(F440&lt;=$I$429,M439*(1+I440),0)</f>
        <v>0</v>
      </c>
      <c r="N440" s="36">
        <f>IF(F440&lt;=$I$429,N439*(1+J440),0)</f>
        <v>0</v>
      </c>
      <c r="O440" s="97" t="str">
        <f>IFERROR(M440/N440,"")</f>
        <v/>
      </c>
      <c r="P440" s="26">
        <f t="shared" si="6"/>
        <v>0</v>
      </c>
      <c r="Q440" s="26">
        <f t="shared" si="6"/>
        <v>0</v>
      </c>
      <c r="R440" s="125"/>
      <c r="S440" s="125"/>
      <c r="T440" s="125"/>
      <c r="U440" s="10"/>
      <c r="V440" s="92">
        <f>IF(F440&lt;=$I$429,V439*(1+I440),0)</f>
        <v>0</v>
      </c>
      <c r="W440" s="96">
        <f>IF(F440&lt;=$I$429,W439*(1+J440),0)</f>
        <v>1</v>
      </c>
      <c r="X440" s="92">
        <f>IF(F440&lt;=I429,X439*(1+I440),0)</f>
        <v>1</v>
      </c>
      <c r="Y440" s="96">
        <f>IF(F440&lt;=I429,Y439*(1+J440),0)</f>
        <v>1</v>
      </c>
      <c r="Z440" s="126">
        <v>5</v>
      </c>
    </row>
    <row r="441" spans="1:26" s="126" customFormat="1" ht="14.7" thickBot="1" x14ac:dyDescent="0.6">
      <c r="A441" s="117"/>
      <c r="B441"/>
      <c r="C441" s="124"/>
      <c r="D441" s="124"/>
      <c r="E441" s="130"/>
      <c r="F441" s="131"/>
      <c r="G441" s="131"/>
      <c r="H441" s="131"/>
      <c r="I441" s="131"/>
      <c r="J441" s="131"/>
      <c r="K441" s="131"/>
      <c r="L441" s="131"/>
      <c r="M441" s="131"/>
      <c r="N441" s="131"/>
      <c r="O441" s="131"/>
      <c r="P441" s="131"/>
      <c r="Q441" s="131"/>
      <c r="R441" s="132"/>
      <c r="S441" s="125"/>
      <c r="T441" s="125"/>
      <c r="U441" s="10"/>
    </row>
    <row r="442" spans="1:26" s="126" customFormat="1" ht="14.7" thickBot="1" x14ac:dyDescent="0.6">
      <c r="A442" s="117"/>
      <c r="B442"/>
      <c r="C442" s="124"/>
      <c r="D442" s="130"/>
      <c r="E442" s="131"/>
      <c r="F442" s="131"/>
      <c r="G442" s="131"/>
      <c r="H442" s="131"/>
      <c r="I442" s="131"/>
      <c r="J442" s="131"/>
      <c r="K442" s="131"/>
      <c r="L442" s="131"/>
      <c r="M442" s="131"/>
      <c r="N442" s="131"/>
      <c r="O442" s="131"/>
      <c r="P442" s="131"/>
      <c r="Q442" s="131"/>
      <c r="R442" s="131"/>
      <c r="S442" s="132"/>
      <c r="T442" s="125"/>
      <c r="U442" s="10"/>
    </row>
    <row r="443" spans="1:26" s="126" customFormat="1" ht="14.7" thickBot="1" x14ac:dyDescent="0.6">
      <c r="A443" s="117"/>
      <c r="B443"/>
      <c r="C443" s="130"/>
      <c r="D443" s="131"/>
      <c r="E443" s="131"/>
      <c r="F443" s="131"/>
      <c r="G443" s="131"/>
      <c r="H443" s="131"/>
      <c r="I443" s="131"/>
      <c r="J443" s="131"/>
      <c r="K443" s="131"/>
      <c r="L443" s="131"/>
      <c r="M443" s="131"/>
      <c r="N443" s="131"/>
      <c r="O443" s="131"/>
      <c r="P443" s="131"/>
      <c r="Q443" s="131"/>
      <c r="R443" s="131"/>
      <c r="S443" s="131"/>
      <c r="T443" s="132"/>
      <c r="U443" s="10"/>
    </row>
    <row r="444" spans="1:26" s="126" customFormat="1" ht="14.7" thickBot="1" x14ac:dyDescent="0.6">
      <c r="A444" s="117"/>
      <c r="B444"/>
      <c r="C444"/>
      <c r="D444"/>
      <c r="E444"/>
      <c r="F444"/>
      <c r="G444"/>
      <c r="H444"/>
      <c r="I444"/>
      <c r="J444"/>
      <c r="K444"/>
      <c r="L444"/>
      <c r="M444"/>
      <c r="N444"/>
      <c r="O444"/>
      <c r="P444"/>
      <c r="Q444"/>
      <c r="R444"/>
      <c r="S444"/>
      <c r="T444"/>
      <c r="U444" s="10"/>
    </row>
    <row r="445" spans="1:26" s="126" customFormat="1" x14ac:dyDescent="0.55000000000000004">
      <c r="A445" s="117"/>
      <c r="B445"/>
      <c r="C445" s="121"/>
      <c r="D445" s="122"/>
      <c r="E445" s="122"/>
      <c r="F445" s="122"/>
      <c r="G445" s="122"/>
      <c r="H445" s="122"/>
      <c r="I445" s="122"/>
      <c r="J445" s="122"/>
      <c r="K445" s="122"/>
      <c r="L445" s="122"/>
      <c r="M445" s="122"/>
      <c r="N445" s="122"/>
      <c r="O445" s="122"/>
      <c r="P445" s="122"/>
      <c r="Q445" s="122"/>
      <c r="R445" s="122"/>
      <c r="S445" s="122"/>
      <c r="T445" s="123"/>
      <c r="U445" s="10"/>
    </row>
    <row r="446" spans="1:26" s="126" customFormat="1" ht="18.3" x14ac:dyDescent="0.7">
      <c r="A446" s="117"/>
      <c r="B446"/>
      <c r="C446" s="124"/>
      <c r="D446" s="1822" t="str">
        <f>'2 Customer data'!D100</f>
        <v>Prepaid: Indigent</v>
      </c>
      <c r="E446" s="1822"/>
      <c r="F446" s="1822"/>
      <c r="G446" s="1822"/>
      <c r="H446" s="1822"/>
      <c r="I446" s="1822"/>
      <c r="J446" s="1822"/>
      <c r="K446" s="1822"/>
      <c r="L446" s="1822"/>
      <c r="M446" s="1822"/>
      <c r="N446" s="1822"/>
      <c r="O446" s="1822"/>
      <c r="P446" s="1822"/>
      <c r="Q446" s="1822"/>
      <c r="R446" s="1822"/>
      <c r="S446" s="1822"/>
      <c r="T446" s="125"/>
      <c r="U446" s="10"/>
    </row>
    <row r="447" spans="1:26" s="126" customFormat="1" ht="14.7" thickBot="1" x14ac:dyDescent="0.6">
      <c r="A447" s="117"/>
      <c r="B447"/>
      <c r="C447" s="124"/>
      <c r="D447"/>
      <c r="E447"/>
      <c r="F447"/>
      <c r="G447"/>
      <c r="H447"/>
      <c r="I447"/>
      <c r="J447"/>
      <c r="K447"/>
      <c r="L447"/>
      <c r="M447"/>
      <c r="N447"/>
      <c r="O447"/>
      <c r="P447"/>
      <c r="Q447"/>
      <c r="R447"/>
      <c r="S447"/>
      <c r="T447" s="125"/>
      <c r="U447" s="10"/>
    </row>
    <row r="448" spans="1:26" s="126" customFormat="1" x14ac:dyDescent="0.55000000000000004">
      <c r="A448" s="117"/>
      <c r="B448"/>
      <c r="C448" s="124"/>
      <c r="D448" s="121"/>
      <c r="E448" s="122"/>
      <c r="F448" s="122"/>
      <c r="G448" s="122"/>
      <c r="H448" s="122"/>
      <c r="I448" s="122"/>
      <c r="J448" s="122"/>
      <c r="K448" s="122"/>
      <c r="L448" s="122"/>
      <c r="M448" s="122"/>
      <c r="N448" s="122"/>
      <c r="O448" s="122"/>
      <c r="P448" s="122"/>
      <c r="Q448" s="122"/>
      <c r="R448" s="122"/>
      <c r="S448" s="123"/>
      <c r="T448" s="125"/>
      <c r="U448" s="10"/>
    </row>
    <row r="449" spans="1:21" s="126" customFormat="1" x14ac:dyDescent="0.55000000000000004">
      <c r="A449" s="117"/>
      <c r="B449"/>
      <c r="C449" s="124"/>
      <c r="D449" s="124"/>
      <c r="E449"/>
      <c r="F449" s="1" t="str">
        <f>'2 Customer data'!D100&amp;" "&amp;"information"</f>
        <v>Prepaid: Indigent information</v>
      </c>
      <c r="G449"/>
      <c r="H449"/>
      <c r="I449"/>
      <c r="J449"/>
      <c r="K449"/>
      <c r="L449"/>
      <c r="M449"/>
      <c r="N449"/>
      <c r="O449"/>
      <c r="P449"/>
      <c r="Q449"/>
      <c r="R449"/>
      <c r="S449" s="125"/>
      <c r="T449" s="125"/>
      <c r="U449" s="10"/>
    </row>
    <row r="450" spans="1:21" s="126" customFormat="1" x14ac:dyDescent="0.55000000000000004">
      <c r="A450" s="117"/>
      <c r="B450"/>
      <c r="C450" s="124"/>
      <c r="D450" s="124"/>
      <c r="E450"/>
      <c r="F450"/>
      <c r="G450"/>
      <c r="H450"/>
      <c r="I450"/>
      <c r="J450"/>
      <c r="K450"/>
      <c r="L450"/>
      <c r="M450"/>
      <c r="N450"/>
      <c r="O450"/>
      <c r="P450"/>
      <c r="Q450"/>
      <c r="R450"/>
      <c r="S450" s="125"/>
      <c r="T450" s="125"/>
      <c r="U450" s="10"/>
    </row>
    <row r="451" spans="1:21" s="126" customFormat="1" ht="28.8" x14ac:dyDescent="0.55000000000000004">
      <c r="A451" s="117"/>
      <c r="B451"/>
      <c r="C451" s="124"/>
      <c r="D451" s="124"/>
      <c r="E451"/>
      <c r="F451"/>
      <c r="G451" s="56" t="s">
        <v>28</v>
      </c>
      <c r="H451" s="56" t="s">
        <v>345</v>
      </c>
      <c r="I451" s="56" t="s">
        <v>60</v>
      </c>
      <c r="J451" s="56" t="s">
        <v>249</v>
      </c>
      <c r="K451" s="56" t="s">
        <v>279</v>
      </c>
      <c r="L451" s="56" t="s">
        <v>357</v>
      </c>
      <c r="M451"/>
      <c r="N451" s="162"/>
      <c r="O451"/>
      <c r="P451"/>
      <c r="Q451"/>
      <c r="R451"/>
      <c r="S451" s="125"/>
      <c r="T451" s="125"/>
      <c r="U451" s="10"/>
    </row>
    <row r="452" spans="1:21" s="126" customFormat="1" x14ac:dyDescent="0.55000000000000004">
      <c r="A452" s="117"/>
      <c r="B452"/>
      <c r="C452" s="124"/>
      <c r="D452" s="124"/>
      <c r="E452"/>
      <c r="F452" t="str">
        <f>'2 Customer data'!D100</f>
        <v>Prepaid: Indigent</v>
      </c>
      <c r="G452" s="94">
        <f>IFERROR(IF(VLOOKUP(F452,'2 Customer data'!$D$93:$N$112,7,FALSE)="",VLOOKUP(F452,'2 Customer data'!$D$93:$N$112,6,FALSE),VLOOKUP(F452,'2 Customer data'!$D$93:$N$112,7,FALSE)),0)</f>
        <v>2621</v>
      </c>
      <c r="H452" s="26">
        <f>IFERROR(IF(VLOOKUP(F452,'2 Customer data'!$D$93:$N$112,9,FALSE)="",VLOOKUP(F452,'2 Customer data'!$D$93:$N$112,8,FALSE),VLOOKUP(F452,'2 Customer data'!$D$93:$N$112,9,FALSE)),0)</f>
        <v>4005986.6999999997</v>
      </c>
      <c r="I452" s="26">
        <f ca="1">IFERROR(VLOOKUP($F452,'2 Electricity'!$D$21:$L$40,6,FALSE),0)</f>
        <v>17529369.005751159</v>
      </c>
      <c r="J452" s="26">
        <f ca="1">IFERROR(VLOOKUP($F452,'2 Electricity'!$D$21:$L$40,7,FALSE),0)</f>
        <v>11945623.242350271</v>
      </c>
      <c r="K452" s="26">
        <f ca="1">IFERROR(VLOOKUP($F452,'2 Electricity'!$D$21:$L$40,8,FALSE),0)</f>
        <v>0</v>
      </c>
      <c r="L452" s="26">
        <f ca="1">IFERROR(VLOOKUP(F452,'2 Electricity'!$D$157:$K$176,8,FALSE),0)</f>
        <v>11993420.72805129</v>
      </c>
      <c r="M452"/>
      <c r="N452" s="134"/>
      <c r="O452"/>
      <c r="P452"/>
      <c r="Q452"/>
      <c r="R452"/>
      <c r="S452" s="125"/>
      <c r="T452" s="125"/>
      <c r="U452" s="10"/>
    </row>
    <row r="453" spans="1:21" s="126" customFormat="1" ht="14.7" thickBot="1" x14ac:dyDescent="0.6">
      <c r="A453" s="117"/>
      <c r="B453"/>
      <c r="C453" s="124"/>
      <c r="D453" s="130"/>
      <c r="E453" s="131"/>
      <c r="F453" s="131"/>
      <c r="G453" s="131"/>
      <c r="H453" s="131"/>
      <c r="I453" s="131"/>
      <c r="J453" s="131"/>
      <c r="K453" s="131"/>
      <c r="L453" s="131"/>
      <c r="M453" s="131"/>
      <c r="N453" s="131"/>
      <c r="O453" s="131"/>
      <c r="P453" s="131"/>
      <c r="Q453" s="131"/>
      <c r="R453" s="131"/>
      <c r="S453" s="132"/>
      <c r="T453" s="125"/>
      <c r="U453" s="10"/>
    </row>
    <row r="454" spans="1:21" s="126" customFormat="1" ht="14.7" thickBot="1" x14ac:dyDescent="0.6">
      <c r="A454" s="117"/>
      <c r="B454"/>
      <c r="C454" s="124"/>
      <c r="D454"/>
      <c r="E454"/>
      <c r="F454"/>
      <c r="G454"/>
      <c r="H454"/>
      <c r="I454"/>
      <c r="J454"/>
      <c r="K454"/>
      <c r="L454"/>
      <c r="M454"/>
      <c r="N454"/>
      <c r="O454"/>
      <c r="P454"/>
      <c r="Q454"/>
      <c r="R454"/>
      <c r="S454"/>
      <c r="T454" s="125"/>
      <c r="U454" s="10"/>
    </row>
    <row r="455" spans="1:21" s="126" customFormat="1" x14ac:dyDescent="0.55000000000000004">
      <c r="A455" s="117"/>
      <c r="B455"/>
      <c r="C455" s="124"/>
      <c r="D455" s="121"/>
      <c r="E455" s="122"/>
      <c r="F455" s="122"/>
      <c r="G455" s="122"/>
      <c r="H455" s="122"/>
      <c r="I455" s="122"/>
      <c r="J455" s="122"/>
      <c r="K455" s="122"/>
      <c r="L455" s="122"/>
      <c r="M455" s="122"/>
      <c r="N455" s="122"/>
      <c r="O455" s="122"/>
      <c r="P455" s="122"/>
      <c r="Q455" s="122"/>
      <c r="R455" s="122"/>
      <c r="S455" s="123"/>
      <c r="T455" s="125"/>
      <c r="U455" s="10"/>
    </row>
    <row r="456" spans="1:21" s="126" customFormat="1" x14ac:dyDescent="0.55000000000000004">
      <c r="A456" s="117"/>
      <c r="B456"/>
      <c r="C456" s="124"/>
      <c r="D456" s="124"/>
      <c r="E456"/>
      <c r="F456" s="1" t="s">
        <v>85</v>
      </c>
      <c r="G456"/>
      <c r="H456"/>
      <c r="I456"/>
      <c r="J456"/>
      <c r="K456"/>
      <c r="L456"/>
      <c r="M456"/>
      <c r="N456"/>
      <c r="O456"/>
      <c r="P456"/>
      <c r="Q456"/>
      <c r="R456"/>
      <c r="S456" s="125"/>
      <c r="T456" s="125"/>
      <c r="U456" s="10"/>
    </row>
    <row r="457" spans="1:21" s="126" customFormat="1" x14ac:dyDescent="0.55000000000000004">
      <c r="A457" s="117"/>
      <c r="B457"/>
      <c r="C457" s="124"/>
      <c r="D457" s="124"/>
      <c r="E457"/>
      <c r="F457" s="120" t="s">
        <v>555</v>
      </c>
      <c r="G457"/>
      <c r="H457"/>
      <c r="I457"/>
      <c r="J457"/>
      <c r="K457"/>
      <c r="L457"/>
      <c r="M457"/>
      <c r="N457"/>
      <c r="O457"/>
      <c r="P457"/>
      <c r="Q457"/>
      <c r="R457"/>
      <c r="S457" s="125"/>
      <c r="T457" s="125"/>
      <c r="U457" s="10"/>
    </row>
    <row r="458" spans="1:21" s="126" customFormat="1" x14ac:dyDescent="0.55000000000000004">
      <c r="A458" s="117"/>
      <c r="B458"/>
      <c r="C458" s="124"/>
      <c r="D458" s="124"/>
      <c r="E458"/>
      <c r="F458"/>
      <c r="G458"/>
      <c r="H458"/>
      <c r="I458"/>
      <c r="J458"/>
      <c r="K458"/>
      <c r="L458"/>
      <c r="M458"/>
      <c r="N458"/>
      <c r="O458"/>
      <c r="P458"/>
      <c r="Q458"/>
      <c r="R458"/>
      <c r="S458" s="125"/>
      <c r="T458" s="125"/>
      <c r="U458" s="10"/>
    </row>
    <row r="459" spans="1:21" s="126" customFormat="1" ht="43.2" x14ac:dyDescent="0.55000000000000004">
      <c r="A459" s="117"/>
      <c r="B459"/>
      <c r="C459" s="124"/>
      <c r="D459" s="124"/>
      <c r="E459"/>
      <c r="F459"/>
      <c r="G459" s="56" t="s">
        <v>86</v>
      </c>
      <c r="H459" s="56" t="s">
        <v>73</v>
      </c>
      <c r="I459" s="56" t="s">
        <v>87</v>
      </c>
      <c r="J459" s="56" t="s">
        <v>75</v>
      </c>
      <c r="K459" s="56" t="s">
        <v>76</v>
      </c>
      <c r="L459"/>
      <c r="M459"/>
      <c r="N459"/>
      <c r="O459"/>
      <c r="P459"/>
      <c r="Q459"/>
      <c r="R459"/>
      <c r="S459" s="125"/>
      <c r="T459" s="125"/>
      <c r="U459" s="10"/>
    </row>
    <row r="460" spans="1:21" s="126" customFormat="1" x14ac:dyDescent="0.55000000000000004">
      <c r="A460" s="117"/>
      <c r="B460"/>
      <c r="C460" s="124"/>
      <c r="D460" s="124"/>
      <c r="E460"/>
      <c r="F460" t="str">
        <f>F452</f>
        <v>Prepaid: Indigent</v>
      </c>
      <c r="G460" s="26">
        <f ca="1">SUM(I452,K452)</f>
        <v>17529369.005751159</v>
      </c>
      <c r="H460" s="64">
        <f ca="1">IFERROR(G460/G452,0)/12</f>
        <v>557.33718064832635</v>
      </c>
      <c r="I460" s="84"/>
      <c r="J460" s="26">
        <f>I460*G452*12</f>
        <v>0</v>
      </c>
      <c r="K460" s="21">
        <f>J460/12</f>
        <v>0</v>
      </c>
      <c r="L460"/>
      <c r="M460"/>
      <c r="N460"/>
      <c r="O460"/>
      <c r="P460"/>
      <c r="Q460"/>
      <c r="R460"/>
      <c r="S460" s="125"/>
      <c r="T460" s="125"/>
      <c r="U460" s="10"/>
    </row>
    <row r="461" spans="1:21" s="126" customFormat="1" x14ac:dyDescent="0.55000000000000004">
      <c r="A461" s="117"/>
      <c r="B461"/>
      <c r="C461" s="124"/>
      <c r="D461" s="124"/>
      <c r="E461" s="133"/>
      <c r="F461" s="58" t="str">
        <f>IF(I460&gt;I450,"Error: revenue from fixed charges exceeds total revenue required from tariff. Reduce fixed charge.","")</f>
        <v/>
      </c>
      <c r="G461" s="58" t="str">
        <f ca="1">IF(J460&gt;L452,"Error: revenue from fixed charges exceeds total revenue required from tariff. Reduce fixed charge.","")</f>
        <v/>
      </c>
      <c r="H461" s="134"/>
      <c r="I461" s="134"/>
      <c r="J461" s="135"/>
      <c r="K461"/>
      <c r="L461"/>
      <c r="M461"/>
      <c r="N461"/>
      <c r="O461"/>
      <c r="P461"/>
      <c r="Q461"/>
      <c r="R461"/>
      <c r="S461" s="125"/>
      <c r="T461" s="125"/>
      <c r="U461" s="10"/>
    </row>
    <row r="462" spans="1:21" s="126" customFormat="1" ht="14.7" thickBot="1" x14ac:dyDescent="0.6">
      <c r="A462" s="117"/>
      <c r="B462"/>
      <c r="C462" s="124"/>
      <c r="D462" s="130"/>
      <c r="E462" s="131"/>
      <c r="F462" s="131"/>
      <c r="G462" s="131"/>
      <c r="H462" s="131"/>
      <c r="I462" s="131"/>
      <c r="J462" s="131"/>
      <c r="K462" s="131"/>
      <c r="L462" s="131"/>
      <c r="M462" s="131"/>
      <c r="N462" s="131"/>
      <c r="O462" s="131"/>
      <c r="P462" s="131"/>
      <c r="Q462" s="131"/>
      <c r="R462" s="131"/>
      <c r="S462" s="132"/>
      <c r="T462" s="125"/>
      <c r="U462" s="10"/>
    </row>
    <row r="463" spans="1:21" s="126" customFormat="1" ht="14.7" thickBot="1" x14ac:dyDescent="0.6">
      <c r="A463" s="117"/>
      <c r="B463"/>
      <c r="C463" s="124"/>
      <c r="D463"/>
      <c r="E463"/>
      <c r="F463"/>
      <c r="G463"/>
      <c r="H463"/>
      <c r="I463"/>
      <c r="J463"/>
      <c r="K463"/>
      <c r="L463"/>
      <c r="M463"/>
      <c r="N463"/>
      <c r="O463"/>
      <c r="P463"/>
      <c r="Q463"/>
      <c r="R463"/>
      <c r="S463"/>
      <c r="T463" s="125"/>
      <c r="U463" s="10"/>
    </row>
    <row r="464" spans="1:21" s="126" customFormat="1" x14ac:dyDescent="0.55000000000000004">
      <c r="A464" s="117"/>
      <c r="B464"/>
      <c r="C464" s="124"/>
      <c r="D464" s="121"/>
      <c r="E464" s="122"/>
      <c r="F464" s="122"/>
      <c r="G464" s="122"/>
      <c r="H464" s="122"/>
      <c r="I464" s="122"/>
      <c r="J464" s="122"/>
      <c r="K464" s="122"/>
      <c r="L464" s="122"/>
      <c r="M464" s="122"/>
      <c r="N464" s="122"/>
      <c r="O464" s="122"/>
      <c r="P464" s="122"/>
      <c r="Q464" s="122"/>
      <c r="R464" s="122"/>
      <c r="S464" s="123"/>
      <c r="T464" s="125"/>
      <c r="U464" s="10"/>
    </row>
    <row r="465" spans="1:24" s="126" customFormat="1" x14ac:dyDescent="0.55000000000000004">
      <c r="A465" s="117"/>
      <c r="B465"/>
      <c r="C465" s="124"/>
      <c r="D465" s="124"/>
      <c r="E465"/>
      <c r="F465" s="1" t="s">
        <v>96</v>
      </c>
      <c r="G465"/>
      <c r="H465"/>
      <c r="I465"/>
      <c r="J465"/>
      <c r="K465"/>
      <c r="L465"/>
      <c r="M465"/>
      <c r="N465"/>
      <c r="O465"/>
      <c r="P465"/>
      <c r="Q465"/>
      <c r="R465"/>
      <c r="S465" s="125"/>
      <c r="T465" s="125"/>
      <c r="U465" s="10"/>
    </row>
    <row r="466" spans="1:24" s="126" customFormat="1" ht="14.55" customHeight="1" x14ac:dyDescent="0.55000000000000004">
      <c r="A466" s="117"/>
      <c r="B466"/>
      <c r="C466" s="124"/>
      <c r="D466" s="124"/>
      <c r="E466"/>
      <c r="F466" s="1804" t="s">
        <v>560</v>
      </c>
      <c r="G466" s="1804"/>
      <c r="H466" s="1804"/>
      <c r="I466" s="1804"/>
      <c r="J466" s="1804"/>
      <c r="K466" s="1804"/>
      <c r="L466" s="1804"/>
      <c r="M466" s="1804"/>
      <c r="N466" s="1804"/>
      <c r="O466" s="1804"/>
      <c r="P466" s="1804"/>
      <c r="Q466" s="119"/>
      <c r="R466"/>
      <c r="S466" s="125"/>
      <c r="T466" s="125"/>
      <c r="U466" s="10"/>
    </row>
    <row r="467" spans="1:24" s="126" customFormat="1" x14ac:dyDescent="0.55000000000000004">
      <c r="A467" s="117"/>
      <c r="B467"/>
      <c r="C467" s="124"/>
      <c r="D467" s="124"/>
      <c r="E467"/>
      <c r="F467" s="119"/>
      <c r="G467" s="119"/>
      <c r="H467" s="119"/>
      <c r="I467" s="119"/>
      <c r="J467" s="119"/>
      <c r="K467" s="119"/>
      <c r="L467" s="119"/>
      <c r="M467" s="119"/>
      <c r="N467" s="119"/>
      <c r="O467" s="119"/>
      <c r="P467" s="119"/>
      <c r="Q467" s="119"/>
      <c r="R467"/>
      <c r="S467" s="125"/>
      <c r="T467" s="125"/>
      <c r="U467" s="10"/>
    </row>
    <row r="468" spans="1:24" s="126" customFormat="1" x14ac:dyDescent="0.55000000000000004">
      <c r="A468" s="117"/>
      <c r="B468"/>
      <c r="C468" s="124"/>
      <c r="D468" s="124"/>
      <c r="E468"/>
      <c r="F468" s="1" t="s">
        <v>348</v>
      </c>
      <c r="G468" s="80" t="s">
        <v>89</v>
      </c>
      <c r="H468" s="119"/>
      <c r="I468" s="119"/>
      <c r="J468" s="119"/>
      <c r="K468" s="119"/>
      <c r="L468" s="119"/>
      <c r="M468" s="119"/>
      <c r="N468" s="119"/>
      <c r="O468" s="119"/>
      <c r="P468" s="119"/>
      <c r="Q468" s="119"/>
      <c r="R468"/>
      <c r="S468" s="125"/>
      <c r="T468" s="125"/>
      <c r="U468" s="10"/>
      <c r="V468" s="126" t="s">
        <v>89</v>
      </c>
    </row>
    <row r="469" spans="1:24" s="126" customFormat="1" ht="14.7" thickBot="1" x14ac:dyDescent="0.6">
      <c r="A469" s="117"/>
      <c r="B469"/>
      <c r="C469" s="124"/>
      <c r="D469" s="124"/>
      <c r="E469"/>
      <c r="F469"/>
      <c r="G469" s="134"/>
      <c r="H469" s="119"/>
      <c r="I469" s="119"/>
      <c r="J469" s="119"/>
      <c r="K469" s="119"/>
      <c r="L469" s="119"/>
      <c r="M469" s="119"/>
      <c r="N469" s="119"/>
      <c r="O469" s="119"/>
      <c r="P469" s="119"/>
      <c r="Q469" s="119"/>
      <c r="R469"/>
      <c r="S469" s="125"/>
      <c r="T469" s="125"/>
      <c r="U469" s="10"/>
      <c r="V469" s="126" t="s">
        <v>90</v>
      </c>
    </row>
    <row r="470" spans="1:24" s="126" customFormat="1" x14ac:dyDescent="0.55000000000000004">
      <c r="A470" s="117"/>
      <c r="B470"/>
      <c r="C470" s="124"/>
      <c r="D470" s="124"/>
      <c r="E470" s="121"/>
      <c r="F470" s="122"/>
      <c r="G470" s="122"/>
      <c r="H470" s="122"/>
      <c r="I470" s="122"/>
      <c r="J470" s="122"/>
      <c r="K470" s="122"/>
      <c r="L470" s="122"/>
      <c r="M470" s="122"/>
      <c r="N470" s="122"/>
      <c r="O470" s="122"/>
      <c r="P470" s="122"/>
      <c r="Q470" s="122"/>
      <c r="R470" s="123"/>
      <c r="S470" s="125"/>
      <c r="T470" s="125"/>
      <c r="U470" s="10"/>
    </row>
    <row r="471" spans="1:24" s="126" customFormat="1" x14ac:dyDescent="0.55000000000000004">
      <c r="A471" s="117"/>
      <c r="B471"/>
      <c r="C471" s="124"/>
      <c r="D471" s="124"/>
      <c r="E471" s="124"/>
      <c r="F471" s="1" t="s">
        <v>343</v>
      </c>
      <c r="G471" s="163"/>
      <c r="H471"/>
      <c r="I471"/>
      <c r="J471"/>
      <c r="K471"/>
      <c r="L471"/>
      <c r="M471"/>
      <c r="N471"/>
      <c r="O471"/>
      <c r="P471"/>
      <c r="Q471"/>
      <c r="R471" s="125"/>
      <c r="S471" s="125"/>
      <c r="T471" s="125"/>
      <c r="U471" s="10"/>
    </row>
    <row r="472" spans="1:24" s="126" customFormat="1" ht="14.55" customHeight="1" x14ac:dyDescent="0.55000000000000004">
      <c r="A472" s="117"/>
      <c r="B472"/>
      <c r="C472" s="124"/>
      <c r="D472" s="124"/>
      <c r="E472" s="124"/>
      <c r="F472" s="1804" t="s">
        <v>561</v>
      </c>
      <c r="G472" s="1804"/>
      <c r="H472" s="1804"/>
      <c r="I472" s="1804"/>
      <c r="J472" s="1804"/>
      <c r="K472" s="1804"/>
      <c r="L472" s="1804"/>
      <c r="M472" s="1804"/>
      <c r="N472" s="1804"/>
      <c r="O472" s="1804"/>
      <c r="P472" s="1804"/>
      <c r="Q472" s="1804"/>
      <c r="R472" s="125"/>
      <c r="S472" s="125"/>
      <c r="T472" s="125"/>
      <c r="U472" s="10"/>
    </row>
    <row r="473" spans="1:24" s="126" customFormat="1" x14ac:dyDescent="0.55000000000000004">
      <c r="A473" s="117"/>
      <c r="B473"/>
      <c r="C473" s="124"/>
      <c r="D473" s="124"/>
      <c r="E473" s="124"/>
      <c r="F473" s="1804"/>
      <c r="G473" s="1804"/>
      <c r="H473" s="1804"/>
      <c r="I473" s="1804"/>
      <c r="J473" s="1804"/>
      <c r="K473" s="1804"/>
      <c r="L473" s="1804"/>
      <c r="M473" s="1804"/>
      <c r="N473" s="1804"/>
      <c r="O473" s="1804"/>
      <c r="P473" s="1804"/>
      <c r="Q473" s="1804"/>
      <c r="R473" s="125"/>
      <c r="S473" s="125"/>
      <c r="T473" s="125"/>
      <c r="U473" s="10"/>
    </row>
    <row r="474" spans="1:24" s="126" customFormat="1" x14ac:dyDescent="0.55000000000000004">
      <c r="A474" s="117"/>
      <c r="B474"/>
      <c r="C474" s="124"/>
      <c r="D474" s="124"/>
      <c r="E474" s="124"/>
      <c r="F474" s="1"/>
      <c r="G474" s="163"/>
      <c r="H474"/>
      <c r="I474"/>
      <c r="J474"/>
      <c r="K474"/>
      <c r="L474"/>
      <c r="M474"/>
      <c r="N474"/>
      <c r="O474"/>
      <c r="P474"/>
      <c r="Q474"/>
      <c r="R474" s="125"/>
      <c r="S474" s="125"/>
      <c r="T474" s="125"/>
      <c r="U474" s="10"/>
    </row>
    <row r="475" spans="1:24" s="126" customFormat="1" x14ac:dyDescent="0.55000000000000004">
      <c r="A475" s="117"/>
      <c r="B475"/>
      <c r="C475" s="124"/>
      <c r="D475" s="124"/>
      <c r="E475" s="124"/>
      <c r="F475" s="164" t="s">
        <v>88</v>
      </c>
      <c r="G475" s="10"/>
      <c r="H475"/>
      <c r="I475" s="50">
        <v>1</v>
      </c>
      <c r="J475"/>
      <c r="K475"/>
      <c r="L475"/>
      <c r="M475"/>
      <c r="N475"/>
      <c r="O475"/>
      <c r="P475"/>
      <c r="Q475"/>
      <c r="R475" s="125"/>
      <c r="S475" s="125"/>
      <c r="T475" s="125"/>
      <c r="U475" s="10"/>
    </row>
    <row r="476" spans="1:24" s="126" customFormat="1" x14ac:dyDescent="0.55000000000000004">
      <c r="A476" s="117"/>
      <c r="B476"/>
      <c r="C476" s="124"/>
      <c r="D476" s="124"/>
      <c r="E476" s="124"/>
      <c r="F476" s="10" t="s">
        <v>612</v>
      </c>
      <c r="H476"/>
      <c r="I476" s="159" t="s">
        <v>578</v>
      </c>
      <c r="J476"/>
      <c r="K476"/>
      <c r="L476"/>
      <c r="M476"/>
      <c r="N476"/>
      <c r="O476"/>
      <c r="P476"/>
      <c r="Q476"/>
      <c r="R476" s="125"/>
      <c r="S476" s="125"/>
      <c r="T476" s="125"/>
      <c r="U476" s="10"/>
    </row>
    <row r="477" spans="1:24" s="126" customFormat="1" x14ac:dyDescent="0.55000000000000004">
      <c r="A477" s="117"/>
      <c r="B477"/>
      <c r="C477" s="124"/>
      <c r="D477" s="124"/>
      <c r="E477" s="124"/>
      <c r="F477"/>
      <c r="G477"/>
      <c r="H477"/>
      <c r="I477"/>
      <c r="J477"/>
      <c r="K477"/>
      <c r="L477"/>
      <c r="M477"/>
      <c r="N477"/>
      <c r="O477"/>
      <c r="P477"/>
      <c r="Q477"/>
      <c r="R477" s="125"/>
      <c r="S477" s="125"/>
      <c r="T477" s="125"/>
      <c r="U477" s="10"/>
    </row>
    <row r="478" spans="1:24" s="126" customFormat="1" ht="57.6" x14ac:dyDescent="0.55000000000000004">
      <c r="A478" s="117"/>
      <c r="B478"/>
      <c r="C478" s="124"/>
      <c r="D478" s="124"/>
      <c r="E478" s="124"/>
      <c r="F478" s="56" t="s">
        <v>91</v>
      </c>
      <c r="G478" s="56" t="s">
        <v>92</v>
      </c>
      <c r="H478" s="129" t="s">
        <v>80</v>
      </c>
      <c r="I478" s="56" t="s">
        <v>340</v>
      </c>
      <c r="J478" s="56" t="s">
        <v>356</v>
      </c>
      <c r="K478" s="165" t="s">
        <v>349</v>
      </c>
      <c r="L478" s="166" t="s">
        <v>350</v>
      </c>
      <c r="M478" s="162"/>
      <c r="N478" s="162"/>
      <c r="O478" s="162"/>
      <c r="P478" s="162"/>
      <c r="Q478" s="162"/>
      <c r="R478" s="167"/>
      <c r="S478" s="167"/>
      <c r="T478" s="167"/>
      <c r="U478" s="10"/>
      <c r="V478" s="168" t="s">
        <v>621</v>
      </c>
      <c r="W478" s="168" t="s">
        <v>622</v>
      </c>
    </row>
    <row r="479" spans="1:24" s="126" customFormat="1" x14ac:dyDescent="0.55000000000000004">
      <c r="A479" s="117"/>
      <c r="B479"/>
      <c r="C479" s="124"/>
      <c r="D479" s="124"/>
      <c r="E479" s="124"/>
      <c r="F479" s="89">
        <f>IF($I$475=X479,X479,1)</f>
        <v>1</v>
      </c>
      <c r="G479" s="91">
        <v>0</v>
      </c>
      <c r="H479" s="50"/>
      <c r="I479" s="169"/>
      <c r="J479" s="21">
        <f>IF(G468=V468,H452-SUMIF(F480:F483,"&lt;="&amp;$I$475,J480:J483),0)</f>
        <v>4005986.6999999997</v>
      </c>
      <c r="K479" s="114">
        <f ca="1">IFERROR(IF(G468=V468,IF(F479&lt;=I475,IF(I476="No",IF(J460=0,L452/SUMPRODUCT(V479:V483,J479:J483),(L452-J460)/SUMPRODUCT(V479:V483,J479:J483)),0),0),0),0)</f>
        <v>2.993874325157218</v>
      </c>
      <c r="L479" s="31">
        <f ca="1">J479*K479</f>
        <v>11993420.72805129</v>
      </c>
      <c r="M479" s="170"/>
      <c r="N479" s="135"/>
      <c r="O479" s="171"/>
      <c r="P479"/>
      <c r="Q479"/>
      <c r="R479" s="125"/>
      <c r="S479" s="125"/>
      <c r="T479" s="125"/>
      <c r="U479" s="10"/>
      <c r="V479" s="96">
        <f>IF(F479&lt;=$I$475,1,0)</f>
        <v>1</v>
      </c>
      <c r="X479" s="126">
        <v>1</v>
      </c>
    </row>
    <row r="480" spans="1:24" s="126" customFormat="1" x14ac:dyDescent="0.55000000000000004">
      <c r="A480" s="117"/>
      <c r="B480"/>
      <c r="C480" s="124"/>
      <c r="D480" s="124"/>
      <c r="E480" s="124"/>
      <c r="F480" s="89" t="str">
        <f>IF($I$475&gt;=X480,X480,"")</f>
        <v/>
      </c>
      <c r="G480" s="91" t="str">
        <f>IF($I$475&gt;=F480,H479+0.01,"")</f>
        <v/>
      </c>
      <c r="H480" s="50"/>
      <c r="I480" s="61"/>
      <c r="J480" s="13"/>
      <c r="K480" s="114">
        <f>IFERROR(IF(F480&lt;=I475,IF(I476="No",K479*(1+I480),IF(J460=0,L452/SUMPRODUCT(W480:W483,J480:J483),(L452-J460)/SUMPRODUCT(W480:W483,J480:J483))),0),0)</f>
        <v>0</v>
      </c>
      <c r="L480" s="31">
        <f>J480*K480</f>
        <v>0</v>
      </c>
      <c r="M480" s="170"/>
      <c r="N480" s="135"/>
      <c r="O480" s="171"/>
      <c r="P480"/>
      <c r="Q480"/>
      <c r="R480" s="125"/>
      <c r="S480" s="125"/>
      <c r="T480" s="125"/>
      <c r="U480" s="10"/>
      <c r="V480" s="96">
        <f>IF(F480&lt;=$I$475,(1+I480),0)</f>
        <v>0</v>
      </c>
      <c r="W480" s="92">
        <f>IF(F480&lt;=I475,1,0)</f>
        <v>0</v>
      </c>
      <c r="X480" s="126">
        <v>2</v>
      </c>
    </row>
    <row r="481" spans="1:24" s="126" customFormat="1" x14ac:dyDescent="0.55000000000000004">
      <c r="A481" s="117"/>
      <c r="B481"/>
      <c r="C481" s="124"/>
      <c r="D481" s="124"/>
      <c r="E481" s="124"/>
      <c r="F481" s="89" t="str">
        <f>IF($I$475&gt;=X481,X481,"")</f>
        <v/>
      </c>
      <c r="G481" s="91" t="str">
        <f>IF($I$475&gt;=F481,H480+0.01,"")</f>
        <v/>
      </c>
      <c r="H481" s="50"/>
      <c r="I481" s="61"/>
      <c r="J481" s="13"/>
      <c r="K481" s="95">
        <f>IF(F481&lt;=$I$475,K480*(1+I481),0)</f>
        <v>0</v>
      </c>
      <c r="L481" s="31">
        <f>J481*K481</f>
        <v>0</v>
      </c>
      <c r="M481" s="170"/>
      <c r="N481" s="135"/>
      <c r="O481" s="171"/>
      <c r="P481"/>
      <c r="Q481"/>
      <c r="R481" s="125"/>
      <c r="S481" s="125"/>
      <c r="T481" s="125"/>
      <c r="U481" s="10"/>
      <c r="V481" s="96">
        <f>IF(F481&lt;=$I$475,V480*(1+I481),0)</f>
        <v>0</v>
      </c>
      <c r="W481" s="92">
        <f>IF(F481&lt;=I475,W480*(1+I481),0)</f>
        <v>0</v>
      </c>
      <c r="X481" s="126">
        <v>3</v>
      </c>
    </row>
    <row r="482" spans="1:24" s="126" customFormat="1" x14ac:dyDescent="0.55000000000000004">
      <c r="A482" s="117"/>
      <c r="B482"/>
      <c r="C482" s="124"/>
      <c r="D482" s="124"/>
      <c r="E482" s="124"/>
      <c r="F482" s="89" t="str">
        <f>IF($I$475&gt;=X482,X482,"")</f>
        <v/>
      </c>
      <c r="G482" s="91" t="str">
        <f>IF($I$475&gt;=F482,H481+0.01,"")</f>
        <v/>
      </c>
      <c r="H482" s="50"/>
      <c r="I482" s="61"/>
      <c r="J482" s="13"/>
      <c r="K482" s="95">
        <f>IF(F482&lt;=$I$475,K481*(1+I482),0)</f>
        <v>0</v>
      </c>
      <c r="L482" s="31">
        <f>J482*K482</f>
        <v>0</v>
      </c>
      <c r="M482" s="170"/>
      <c r="N482" s="135"/>
      <c r="O482" s="171"/>
      <c r="P482"/>
      <c r="Q482"/>
      <c r="R482" s="125"/>
      <c r="S482" s="125"/>
      <c r="T482" s="125"/>
      <c r="U482" s="10"/>
      <c r="V482" s="96">
        <f>IF(F482&lt;=$I$475,V481*(1+I482),0)</f>
        <v>0</v>
      </c>
      <c r="W482" s="92">
        <f>IF(F482&lt;=I475,W481*(1+I482),0)</f>
        <v>0</v>
      </c>
      <c r="X482" s="126">
        <v>4</v>
      </c>
    </row>
    <row r="483" spans="1:24" s="126" customFormat="1" x14ac:dyDescent="0.55000000000000004">
      <c r="A483" s="117"/>
      <c r="B483"/>
      <c r="C483" s="124"/>
      <c r="D483" s="124"/>
      <c r="E483" s="124"/>
      <c r="F483" s="89" t="str">
        <f>IF($I$475&gt;=X483,X483,"")</f>
        <v/>
      </c>
      <c r="G483" s="91" t="str">
        <f>IF($I$475&gt;=F483,H482+0.01,"")</f>
        <v/>
      </c>
      <c r="H483" s="89" t="s">
        <v>84</v>
      </c>
      <c r="I483" s="61"/>
      <c r="J483" s="13"/>
      <c r="K483" s="95">
        <f>IF(F483&lt;=$I$475,K482*(1+I483),0)</f>
        <v>0</v>
      </c>
      <c r="L483" s="31">
        <f>J483*K483</f>
        <v>0</v>
      </c>
      <c r="M483" s="170"/>
      <c r="N483" s="135"/>
      <c r="O483" s="171"/>
      <c r="P483"/>
      <c r="Q483"/>
      <c r="R483" s="125"/>
      <c r="S483" s="125"/>
      <c r="T483" s="125"/>
      <c r="U483" s="10"/>
      <c r="V483" s="96">
        <f>IF(F483&lt;=$I$475,V482*(1+I483),0)</f>
        <v>0</v>
      </c>
      <c r="W483" s="92">
        <f>IF(F483&lt;=I475,W482*(1+I483),0)</f>
        <v>0</v>
      </c>
      <c r="X483" s="126">
        <v>5</v>
      </c>
    </row>
    <row r="484" spans="1:24" s="126" customFormat="1" ht="14.7" thickBot="1" x14ac:dyDescent="0.6">
      <c r="A484" s="117"/>
      <c r="B484"/>
      <c r="C484" s="124"/>
      <c r="D484" s="124"/>
      <c r="E484" s="130"/>
      <c r="F484" s="149"/>
      <c r="G484" s="150"/>
      <c r="H484" s="149"/>
      <c r="I484" s="172"/>
      <c r="J484" s="173"/>
      <c r="K484" s="173"/>
      <c r="L484" s="173"/>
      <c r="M484" s="174"/>
      <c r="N484" s="152"/>
      <c r="O484" s="175"/>
      <c r="P484" s="131"/>
      <c r="Q484" s="131"/>
      <c r="R484" s="132"/>
      <c r="S484" s="125"/>
      <c r="T484" s="125"/>
      <c r="U484" s="10"/>
    </row>
    <row r="485" spans="1:24" s="126" customFormat="1" ht="14.7" thickBot="1" x14ac:dyDescent="0.6">
      <c r="A485" s="117"/>
      <c r="B485"/>
      <c r="C485" s="124"/>
      <c r="D485" s="124"/>
      <c r="E485"/>
      <c r="F485" s="163"/>
      <c r="G485" s="176"/>
      <c r="H485" s="163"/>
      <c r="I485" s="177"/>
      <c r="J485" s="178"/>
      <c r="K485" s="178"/>
      <c r="L485" s="178"/>
      <c r="M485" s="170"/>
      <c r="N485" s="135"/>
      <c r="O485" s="171"/>
      <c r="P485"/>
      <c r="Q485"/>
      <c r="R485"/>
      <c r="S485" s="125"/>
      <c r="T485" s="125"/>
      <c r="U485" s="10"/>
    </row>
    <row r="486" spans="1:24" s="126" customFormat="1" x14ac:dyDescent="0.55000000000000004">
      <c r="A486" s="117"/>
      <c r="B486"/>
      <c r="C486" s="124"/>
      <c r="D486" s="124"/>
      <c r="E486" s="121"/>
      <c r="F486" s="179"/>
      <c r="G486" s="180"/>
      <c r="H486" s="179"/>
      <c r="I486" s="181"/>
      <c r="J486" s="182"/>
      <c r="K486" s="182"/>
      <c r="L486" s="182"/>
      <c r="M486" s="183"/>
      <c r="N486" s="184"/>
      <c r="O486" s="185"/>
      <c r="P486" s="122"/>
      <c r="Q486" s="122"/>
      <c r="R486" s="123"/>
      <c r="S486" s="125"/>
      <c r="T486" s="125"/>
      <c r="U486" s="10"/>
    </row>
    <row r="487" spans="1:24" s="126" customFormat="1" x14ac:dyDescent="0.55000000000000004">
      <c r="A487" s="117"/>
      <c r="B487"/>
      <c r="C487" s="124"/>
      <c r="D487" s="124"/>
      <c r="E487" s="124"/>
      <c r="F487" s="186" t="s">
        <v>344</v>
      </c>
      <c r="G487" s="176"/>
      <c r="H487" s="163"/>
      <c r="I487" s="177"/>
      <c r="J487" s="178"/>
      <c r="K487" s="178"/>
      <c r="L487" s="178"/>
      <c r="M487" s="170"/>
      <c r="N487" s="135"/>
      <c r="O487" s="187"/>
      <c r="P487"/>
      <c r="Q487"/>
      <c r="R487" s="125"/>
      <c r="S487" s="125"/>
      <c r="T487" s="125"/>
      <c r="U487" s="10"/>
    </row>
    <row r="488" spans="1:24" s="126" customFormat="1" ht="14.55" customHeight="1" x14ac:dyDescent="0.55000000000000004">
      <c r="A488" s="117"/>
      <c r="B488"/>
      <c r="C488" s="124"/>
      <c r="D488" s="124"/>
      <c r="E488" s="124"/>
      <c r="F488" s="1804" t="s">
        <v>562</v>
      </c>
      <c r="G488" s="1804"/>
      <c r="H488" s="1804"/>
      <c r="I488" s="1804"/>
      <c r="J488" s="1804"/>
      <c r="K488" s="1804"/>
      <c r="L488" s="1804"/>
      <c r="M488" s="1804"/>
      <c r="N488" s="1804"/>
      <c r="O488" s="1804"/>
      <c r="P488" s="1804"/>
      <c r="Q488" s="1804"/>
      <c r="R488" s="125"/>
      <c r="S488" s="125"/>
      <c r="T488" s="125"/>
      <c r="U488" s="10"/>
    </row>
    <row r="489" spans="1:24" s="126" customFormat="1" x14ac:dyDescent="0.55000000000000004">
      <c r="A489" s="117"/>
      <c r="B489"/>
      <c r="C489" s="124"/>
      <c r="D489" s="124"/>
      <c r="E489" s="124"/>
      <c r="F489" s="1804"/>
      <c r="G489" s="1804"/>
      <c r="H489" s="1804"/>
      <c r="I489" s="1804"/>
      <c r="J489" s="1804"/>
      <c r="K489" s="1804"/>
      <c r="L489" s="1804"/>
      <c r="M489" s="1804"/>
      <c r="N489" s="1804"/>
      <c r="O489" s="1804"/>
      <c r="P489" s="1804"/>
      <c r="Q489" s="1804"/>
      <c r="R489" s="125"/>
      <c r="S489" s="125"/>
      <c r="T489" s="125"/>
      <c r="U489" s="10"/>
    </row>
    <row r="490" spans="1:24" s="126" customFormat="1" x14ac:dyDescent="0.55000000000000004">
      <c r="A490" s="117"/>
      <c r="B490"/>
      <c r="C490" s="124"/>
      <c r="D490" s="124"/>
      <c r="E490" s="124"/>
      <c r="F490" s="186"/>
      <c r="G490" s="176"/>
      <c r="H490" s="163"/>
      <c r="I490" s="177"/>
      <c r="J490" s="178"/>
      <c r="K490" s="178"/>
      <c r="L490" s="178"/>
      <c r="M490" s="170"/>
      <c r="N490" s="135"/>
      <c r="O490" s="187"/>
      <c r="P490"/>
      <c r="Q490"/>
      <c r="R490" s="125"/>
      <c r="S490" s="125"/>
      <c r="T490" s="125"/>
      <c r="U490" s="10"/>
    </row>
    <row r="491" spans="1:24" s="126" customFormat="1" x14ac:dyDescent="0.55000000000000004">
      <c r="A491" s="117"/>
      <c r="B491"/>
      <c r="C491" s="124"/>
      <c r="D491" s="124"/>
      <c r="E491" s="124"/>
      <c r="F491" s="164" t="s">
        <v>88</v>
      </c>
      <c r="G491"/>
      <c r="H491" s="163"/>
      <c r="I491" s="50">
        <v>5</v>
      </c>
      <c r="J491" s="178"/>
      <c r="K491" s="178"/>
      <c r="L491" s="178"/>
      <c r="M491" s="170"/>
      <c r="N491" s="135"/>
      <c r="O491" s="187"/>
      <c r="P491"/>
      <c r="Q491"/>
      <c r="R491" s="125"/>
      <c r="S491" s="125"/>
      <c r="T491" s="125"/>
      <c r="U491" s="10"/>
    </row>
    <row r="492" spans="1:24" s="126" customFormat="1" x14ac:dyDescent="0.55000000000000004">
      <c r="A492" s="117"/>
      <c r="B492"/>
      <c r="C492" s="124"/>
      <c r="D492" s="124"/>
      <c r="E492" s="124"/>
      <c r="F492" t="s">
        <v>346</v>
      </c>
      <c r="G492"/>
      <c r="H492" s="163"/>
      <c r="I492" s="13"/>
      <c r="J492" s="178"/>
      <c r="K492" s="178"/>
      <c r="L492" s="178"/>
      <c r="M492" s="170"/>
      <c r="N492" s="135"/>
      <c r="O492" s="187"/>
      <c r="P492"/>
      <c r="Q492"/>
      <c r="R492" s="125"/>
      <c r="S492" s="125"/>
      <c r="T492" s="125"/>
      <c r="U492" s="10"/>
    </row>
    <row r="493" spans="1:24" s="126" customFormat="1" x14ac:dyDescent="0.55000000000000004">
      <c r="A493" s="117"/>
      <c r="B493"/>
      <c r="C493" s="124"/>
      <c r="D493" s="124"/>
      <c r="E493" s="124"/>
      <c r="F493" t="s">
        <v>347</v>
      </c>
      <c r="G493"/>
      <c r="H493" s="163"/>
      <c r="I493" s="13"/>
      <c r="J493" s="178"/>
      <c r="K493" s="178"/>
      <c r="L493" s="178"/>
      <c r="M493" s="170"/>
      <c r="N493" s="135"/>
      <c r="O493" s="187"/>
      <c r="P493"/>
      <c r="Q493"/>
      <c r="R493" s="125"/>
      <c r="S493" s="125"/>
      <c r="T493" s="125"/>
      <c r="U493" s="10"/>
    </row>
    <row r="494" spans="1:24" s="126" customFormat="1" x14ac:dyDescent="0.55000000000000004">
      <c r="A494" s="117"/>
      <c r="B494"/>
      <c r="C494" s="124"/>
      <c r="D494" s="124"/>
      <c r="E494" s="124"/>
      <c r="F494" t="s">
        <v>366</v>
      </c>
      <c r="G494" s="10"/>
      <c r="H494"/>
      <c r="I494" s="93"/>
      <c r="J494"/>
      <c r="K494" s="178"/>
      <c r="L494" s="178"/>
      <c r="M494" s="170"/>
      <c r="N494" s="135"/>
      <c r="O494" s="187"/>
      <c r="P494"/>
      <c r="Q494"/>
      <c r="R494" s="125"/>
      <c r="S494" s="125"/>
      <c r="T494" s="125"/>
      <c r="U494" s="10"/>
    </row>
    <row r="495" spans="1:24" s="126" customFormat="1" x14ac:dyDescent="0.55000000000000004">
      <c r="A495" s="117"/>
      <c r="B495"/>
      <c r="C495" s="124"/>
      <c r="D495" s="124"/>
      <c r="E495" s="124"/>
      <c r="F495" s="10" t="s">
        <v>612</v>
      </c>
      <c r="H495"/>
      <c r="I495" s="159" t="s">
        <v>578</v>
      </c>
      <c r="J495"/>
      <c r="K495" s="178"/>
      <c r="L495" s="178"/>
      <c r="M495" s="170"/>
      <c r="N495" s="135"/>
      <c r="O495" s="187"/>
      <c r="P495"/>
      <c r="Q495"/>
      <c r="R495" s="125"/>
      <c r="S495" s="125"/>
      <c r="T495" s="125"/>
      <c r="U495" s="10"/>
    </row>
    <row r="496" spans="1:24" s="126" customFormat="1" x14ac:dyDescent="0.55000000000000004">
      <c r="A496" s="117"/>
      <c r="B496"/>
      <c r="C496" s="124"/>
      <c r="D496" s="124"/>
      <c r="E496" s="124"/>
      <c r="F496"/>
      <c r="G496"/>
      <c r="H496"/>
      <c r="I496" s="188"/>
      <c r="J496"/>
      <c r="K496" s="178"/>
      <c r="L496" s="178"/>
      <c r="M496" s="170"/>
      <c r="N496" s="135"/>
      <c r="O496" s="187"/>
      <c r="P496"/>
      <c r="Q496"/>
      <c r="R496" s="125"/>
      <c r="S496" s="125"/>
      <c r="T496" s="125"/>
      <c r="U496" s="10"/>
    </row>
    <row r="497" spans="1:26" s="126" customFormat="1" ht="57.6" x14ac:dyDescent="0.55000000000000004">
      <c r="A497" s="117"/>
      <c r="B497"/>
      <c r="C497" s="124"/>
      <c r="D497" s="124"/>
      <c r="E497" s="124"/>
      <c r="F497" s="56" t="s">
        <v>91</v>
      </c>
      <c r="G497" s="56" t="s">
        <v>92</v>
      </c>
      <c r="H497" s="129" t="s">
        <v>80</v>
      </c>
      <c r="I497" s="56" t="s">
        <v>367</v>
      </c>
      <c r="J497" s="56" t="s">
        <v>368</v>
      </c>
      <c r="K497" s="56" t="s">
        <v>341</v>
      </c>
      <c r="L497" s="56" t="s">
        <v>342</v>
      </c>
      <c r="M497" s="166" t="s">
        <v>351</v>
      </c>
      <c r="N497" s="56" t="s">
        <v>352</v>
      </c>
      <c r="O497" s="56" t="s">
        <v>353</v>
      </c>
      <c r="P497" s="56" t="s">
        <v>354</v>
      </c>
      <c r="Q497" s="56" t="s">
        <v>355</v>
      </c>
      <c r="R497" s="125"/>
      <c r="S497" s="125"/>
      <c r="T497" s="125"/>
      <c r="U497" s="10"/>
      <c r="V497" s="189" t="s">
        <v>616</v>
      </c>
      <c r="W497" s="168" t="s">
        <v>617</v>
      </c>
      <c r="X497" s="189" t="s">
        <v>618</v>
      </c>
      <c r="Y497" s="168" t="s">
        <v>619</v>
      </c>
    </row>
    <row r="498" spans="1:26" s="126" customFormat="1" x14ac:dyDescent="0.55000000000000004">
      <c r="A498" s="117"/>
      <c r="B498"/>
      <c r="C498" s="124"/>
      <c r="D498" s="124"/>
      <c r="E498" s="124"/>
      <c r="F498" s="89">
        <f>IF($I$491=Z498,Z498,1)</f>
        <v>1</v>
      </c>
      <c r="G498" s="91">
        <v>0</v>
      </c>
      <c r="H498" s="50"/>
      <c r="I498" s="169"/>
      <c r="J498" s="63"/>
      <c r="K498" s="21">
        <f>I492-SUMIF(F499:F502,"&lt;="&amp;$I$491,K499:K502)</f>
        <v>0</v>
      </c>
      <c r="L498" s="31">
        <f>I493-SUMIF(F499:F502,"&lt;="&amp;$I$491,L499:L502)</f>
        <v>0</v>
      </c>
      <c r="M498" s="44">
        <f>IFERROR(IF(G468=V468,0,IF(F498&lt;=I491,IF(I495="No",(L452-J460)/(SUMPRODUCT(V498:V502,K498:K502)+SUMPRODUCT(W498:W502,L498:L502)),0)*I494,0)),0)</f>
        <v>0</v>
      </c>
      <c r="N498" s="44">
        <f>IFERROR(IF(G468=V468,0,IF(F498&lt;=I491,IF(I495="No",(L452-J460)/(SUMPRODUCT(V498:V502,K498:K502)+SUMPRODUCT(W498:W502,L498:L502)),0),0)),0)</f>
        <v>0</v>
      </c>
      <c r="O498" s="97" t="str">
        <f>IFERROR(M498/N498,"")</f>
        <v/>
      </c>
      <c r="P498" s="26">
        <f t="shared" ref="P498:Q502" si="7">K498*M498</f>
        <v>0</v>
      </c>
      <c r="Q498" s="26">
        <f t="shared" si="7"/>
        <v>0</v>
      </c>
      <c r="R498" s="125"/>
      <c r="S498" s="125"/>
      <c r="T498" s="125"/>
      <c r="U498" s="10"/>
      <c r="V498" s="92">
        <f>IF(F498&lt;=$I$491,1*$I$494,0)</f>
        <v>0</v>
      </c>
      <c r="W498" s="96">
        <f>IF(F498&lt;=$I$491,1,0)</f>
        <v>1</v>
      </c>
      <c r="X498" s="92"/>
      <c r="Y498" s="96"/>
      <c r="Z498" s="126">
        <v>1</v>
      </c>
    </row>
    <row r="499" spans="1:26" s="126" customFormat="1" x14ac:dyDescent="0.55000000000000004">
      <c r="A499" s="117"/>
      <c r="B499"/>
      <c r="C499" s="124"/>
      <c r="D499" s="124"/>
      <c r="E499" s="124"/>
      <c r="F499" s="89">
        <f>IF($I$491&gt;=Z499,Z499,"")</f>
        <v>2</v>
      </c>
      <c r="G499" s="91">
        <f>IF($I$491&gt;=F499,H498+0.01,"")</f>
        <v>0.01</v>
      </c>
      <c r="H499" s="50"/>
      <c r="I499" s="61"/>
      <c r="J499" s="61"/>
      <c r="K499" s="13"/>
      <c r="L499" s="13"/>
      <c r="M499" s="44">
        <f>IF(F499&lt;=I491,IF(I495="No",M498*(1+I499),N499*I494),0)</f>
        <v>0</v>
      </c>
      <c r="N499" s="44">
        <f>IF(F499&lt;=I491,IF(I495="No",N498*(1+J499),(L452-J460)/(I494*SUMPRODUCT(X499:X502,K499:K502)+SUMPRODUCT(Y499:Y502,L499:L502))),0)</f>
        <v>0</v>
      </c>
      <c r="O499" s="97" t="str">
        <f>IFERROR(M499/N499,"")</f>
        <v/>
      </c>
      <c r="P499" s="26">
        <f t="shared" si="7"/>
        <v>0</v>
      </c>
      <c r="Q499" s="26">
        <f t="shared" si="7"/>
        <v>0</v>
      </c>
      <c r="R499" s="125"/>
      <c r="S499" s="125"/>
      <c r="T499" s="125"/>
      <c r="U499" s="10"/>
      <c r="V499" s="92">
        <f>IF(F499&lt;=$I$491,V498*(1+I499),0)</f>
        <v>0</v>
      </c>
      <c r="W499" s="96">
        <f>IF(F499&lt;=$I$491,(1+J499),0)</f>
        <v>1</v>
      </c>
      <c r="X499" s="92">
        <v>1</v>
      </c>
      <c r="Y499" s="96">
        <f>IF(F499&lt;=I491,1,0)</f>
        <v>1</v>
      </c>
      <c r="Z499" s="126">
        <v>2</v>
      </c>
    </row>
    <row r="500" spans="1:26" s="126" customFormat="1" x14ac:dyDescent="0.55000000000000004">
      <c r="A500" s="117"/>
      <c r="B500"/>
      <c r="C500" s="124"/>
      <c r="D500" s="124"/>
      <c r="E500" s="124"/>
      <c r="F500" s="89">
        <f>IF($I$491&gt;=Z500,Z500,"")</f>
        <v>3</v>
      </c>
      <c r="G500" s="91">
        <f>IF($I$491&gt;=F500,H499+0.01,"")</f>
        <v>0.01</v>
      </c>
      <c r="H500" s="50"/>
      <c r="I500" s="61"/>
      <c r="J500" s="61"/>
      <c r="K500" s="13"/>
      <c r="L500" s="13"/>
      <c r="M500" s="36">
        <f>IF(F500&lt;=$I$491,M499*(1+I500),0)</f>
        <v>0</v>
      </c>
      <c r="N500" s="36">
        <f>IF(F500&lt;=$I$491,N499*(1+J500),0)</f>
        <v>0</v>
      </c>
      <c r="O500" s="97" t="str">
        <f>IFERROR(M500/N500,"")</f>
        <v/>
      </c>
      <c r="P500" s="26">
        <f t="shared" si="7"/>
        <v>0</v>
      </c>
      <c r="Q500" s="26">
        <f t="shared" si="7"/>
        <v>0</v>
      </c>
      <c r="R500" s="125"/>
      <c r="S500" s="125"/>
      <c r="T500" s="125"/>
      <c r="U500" s="10"/>
      <c r="V500" s="92">
        <f>IF(F500&lt;=$I$491,V499*(1+I500),0)</f>
        <v>0</v>
      </c>
      <c r="W500" s="96">
        <f>IF(F500&lt;=$I$491,W499*(1+J500),0)</f>
        <v>1</v>
      </c>
      <c r="X500" s="92">
        <f>IF(F500&lt;=I491,X499*(1+I500),0)</f>
        <v>1</v>
      </c>
      <c r="Y500" s="96">
        <f>IF(F500&lt;=I491,Y499*(1+J500),0)</f>
        <v>1</v>
      </c>
      <c r="Z500" s="126">
        <v>3</v>
      </c>
    </row>
    <row r="501" spans="1:26" s="126" customFormat="1" x14ac:dyDescent="0.55000000000000004">
      <c r="A501" s="117"/>
      <c r="B501"/>
      <c r="C501" s="124"/>
      <c r="D501" s="124"/>
      <c r="E501" s="124"/>
      <c r="F501" s="89">
        <f>IF($I$491&gt;=Z501,Z501,"")</f>
        <v>4</v>
      </c>
      <c r="G501" s="91">
        <f>IF($I$491&gt;=F501,H500+0.01,"")</f>
        <v>0.01</v>
      </c>
      <c r="H501" s="50"/>
      <c r="I501" s="61"/>
      <c r="J501" s="61"/>
      <c r="K501" s="13"/>
      <c r="L501" s="13"/>
      <c r="M501" s="36">
        <f>IF(F501&lt;=$I$491,M500*(1+I501),0)</f>
        <v>0</v>
      </c>
      <c r="N501" s="36">
        <f>IF(F501&lt;=$I$491,N500*(1+J501),0)</f>
        <v>0</v>
      </c>
      <c r="O501" s="97" t="str">
        <f>IFERROR(M501/N501,"")</f>
        <v/>
      </c>
      <c r="P501" s="26">
        <f t="shared" si="7"/>
        <v>0</v>
      </c>
      <c r="Q501" s="26">
        <f t="shared" si="7"/>
        <v>0</v>
      </c>
      <c r="R501" s="125"/>
      <c r="S501" s="125"/>
      <c r="T501" s="125"/>
      <c r="U501" s="10"/>
      <c r="V501" s="92">
        <f>IF(F501&lt;=$I$491,V500*(1+I501),0)</f>
        <v>0</v>
      </c>
      <c r="W501" s="96">
        <f>IF(F501&lt;=$I$491,W500*(1+J501),0)</f>
        <v>1</v>
      </c>
      <c r="X501" s="92">
        <f>IF(F501&lt;=I491,X500*(1+I501),0)</f>
        <v>1</v>
      </c>
      <c r="Y501" s="96">
        <f>IF(F501&lt;=I491,Y500*(1+J501),0)</f>
        <v>1</v>
      </c>
      <c r="Z501" s="126">
        <v>4</v>
      </c>
    </row>
    <row r="502" spans="1:26" s="126" customFormat="1" x14ac:dyDescent="0.55000000000000004">
      <c r="A502" s="117"/>
      <c r="B502"/>
      <c r="C502" s="124"/>
      <c r="D502" s="124"/>
      <c r="E502" s="124"/>
      <c r="F502" s="89">
        <f>IF($I$491&gt;=Z502,Z502,"")</f>
        <v>5</v>
      </c>
      <c r="G502" s="91">
        <f>IF($I$491&gt;=F502,H501+0.01,"")</f>
        <v>0.01</v>
      </c>
      <c r="H502" s="89" t="s">
        <v>84</v>
      </c>
      <c r="I502" s="61"/>
      <c r="J502" s="61"/>
      <c r="K502" s="13"/>
      <c r="L502" s="13"/>
      <c r="M502" s="36">
        <f>IF(F502&lt;=$I$491,M501*(1+I502),0)</f>
        <v>0</v>
      </c>
      <c r="N502" s="36">
        <f>IF(F502&lt;=$I$491,N501*(1+J502),0)</f>
        <v>0</v>
      </c>
      <c r="O502" s="97" t="str">
        <f>IFERROR(M502/N502,"")</f>
        <v/>
      </c>
      <c r="P502" s="26">
        <f t="shared" si="7"/>
        <v>0</v>
      </c>
      <c r="Q502" s="26">
        <f t="shared" si="7"/>
        <v>0</v>
      </c>
      <c r="R502" s="125"/>
      <c r="S502" s="125"/>
      <c r="T502" s="125"/>
      <c r="U502" s="10"/>
      <c r="V502" s="92">
        <f>IF(F502&lt;=$I$491,V501*(1+I502),0)</f>
        <v>0</v>
      </c>
      <c r="W502" s="96">
        <f>IF(F502&lt;=$I$491,W501*(1+J502),0)</f>
        <v>1</v>
      </c>
      <c r="X502" s="92">
        <f>IF(F502&lt;=I491,X501*(1+I502),0)</f>
        <v>1</v>
      </c>
      <c r="Y502" s="96">
        <f>IF(F502&lt;=I491,Y501*(1+J502),0)</f>
        <v>1</v>
      </c>
      <c r="Z502" s="126">
        <v>5</v>
      </c>
    </row>
    <row r="503" spans="1:26" s="126" customFormat="1" ht="14.7" thickBot="1" x14ac:dyDescent="0.6">
      <c r="A503" s="117"/>
      <c r="B503"/>
      <c r="C503" s="124"/>
      <c r="D503" s="124"/>
      <c r="E503" s="130"/>
      <c r="F503" s="131"/>
      <c r="G503" s="131"/>
      <c r="H503" s="131"/>
      <c r="I503" s="131"/>
      <c r="J503" s="131"/>
      <c r="K503" s="131"/>
      <c r="L503" s="131"/>
      <c r="M503" s="131"/>
      <c r="N503" s="131"/>
      <c r="O503" s="131"/>
      <c r="P503" s="131"/>
      <c r="Q503" s="131"/>
      <c r="R503" s="132"/>
      <c r="S503" s="125"/>
      <c r="T503" s="125"/>
      <c r="U503" s="10"/>
    </row>
    <row r="504" spans="1:26" s="126" customFormat="1" ht="14.7" thickBot="1" x14ac:dyDescent="0.6">
      <c r="A504" s="117"/>
      <c r="B504"/>
      <c r="C504" s="124"/>
      <c r="D504" s="130"/>
      <c r="E504" s="131"/>
      <c r="F504" s="131"/>
      <c r="G504" s="131"/>
      <c r="H504" s="131"/>
      <c r="I504" s="131"/>
      <c r="J504" s="131"/>
      <c r="K504" s="131"/>
      <c r="L504" s="131"/>
      <c r="M504" s="131"/>
      <c r="N504" s="131"/>
      <c r="O504" s="131"/>
      <c r="P504" s="131"/>
      <c r="Q504" s="131"/>
      <c r="R504" s="131"/>
      <c r="S504" s="132"/>
      <c r="T504" s="125"/>
      <c r="U504" s="10"/>
    </row>
    <row r="505" spans="1:26" s="126" customFormat="1" ht="14.7" thickBot="1" x14ac:dyDescent="0.6">
      <c r="A505" s="117"/>
      <c r="B505"/>
      <c r="C505" s="130"/>
      <c r="D505" s="131"/>
      <c r="E505" s="131"/>
      <c r="F505" s="131"/>
      <c r="G505" s="131"/>
      <c r="H505" s="131"/>
      <c r="I505" s="131"/>
      <c r="J505" s="131"/>
      <c r="K505" s="131"/>
      <c r="L505" s="131"/>
      <c r="M505" s="131"/>
      <c r="N505" s="131"/>
      <c r="O505" s="131"/>
      <c r="P505" s="131"/>
      <c r="Q505" s="131"/>
      <c r="R505" s="131"/>
      <c r="S505" s="131"/>
      <c r="T505" s="132"/>
      <c r="U505" s="10"/>
    </row>
    <row r="506" spans="1:26" s="126" customFormat="1" ht="14.7" thickBot="1" x14ac:dyDescent="0.6">
      <c r="A506" s="117"/>
      <c r="B506"/>
      <c r="C506"/>
      <c r="D506"/>
      <c r="E506"/>
      <c r="F506"/>
      <c r="G506"/>
      <c r="H506"/>
      <c r="I506"/>
      <c r="J506"/>
      <c r="K506"/>
      <c r="L506"/>
      <c r="M506"/>
      <c r="N506"/>
      <c r="O506"/>
      <c r="P506"/>
      <c r="Q506"/>
      <c r="R506"/>
      <c r="S506"/>
      <c r="T506"/>
      <c r="U506" s="10"/>
    </row>
    <row r="507" spans="1:26" s="126" customFormat="1" x14ac:dyDescent="0.55000000000000004">
      <c r="A507" s="117"/>
      <c r="B507"/>
      <c r="C507" s="121"/>
      <c r="D507" s="122"/>
      <c r="E507" s="122"/>
      <c r="F507" s="122"/>
      <c r="G507" s="122"/>
      <c r="H507" s="122"/>
      <c r="I507" s="122"/>
      <c r="J507" s="122"/>
      <c r="K507" s="122"/>
      <c r="L507" s="122"/>
      <c r="M507" s="122"/>
      <c r="N507" s="122"/>
      <c r="O507" s="122"/>
      <c r="P507" s="122"/>
      <c r="Q507" s="122"/>
      <c r="R507" s="122"/>
      <c r="S507" s="122"/>
      <c r="T507" s="123"/>
      <c r="U507" s="10"/>
    </row>
    <row r="508" spans="1:26" s="126" customFormat="1" ht="18.3" x14ac:dyDescent="0.7">
      <c r="A508" s="117"/>
      <c r="B508"/>
      <c r="C508" s="124"/>
      <c r="D508" s="1822" t="str">
        <f>'2 Customer data'!D101</f>
        <v>Prepaid: Commercial</v>
      </c>
      <c r="E508" s="1822"/>
      <c r="F508" s="1822"/>
      <c r="G508" s="1822"/>
      <c r="H508" s="1822"/>
      <c r="I508" s="1822"/>
      <c r="J508" s="1822"/>
      <c r="K508" s="1822"/>
      <c r="L508" s="1822"/>
      <c r="M508" s="1822"/>
      <c r="N508" s="1822"/>
      <c r="O508" s="1822"/>
      <c r="P508" s="1822"/>
      <c r="Q508" s="1822"/>
      <c r="R508" s="1822"/>
      <c r="S508" s="1822"/>
      <c r="T508" s="125"/>
      <c r="U508" s="10"/>
    </row>
    <row r="509" spans="1:26" s="126" customFormat="1" ht="14.7" thickBot="1" x14ac:dyDescent="0.6">
      <c r="A509" s="117"/>
      <c r="B509"/>
      <c r="C509" s="124"/>
      <c r="D509"/>
      <c r="E509"/>
      <c r="F509"/>
      <c r="G509"/>
      <c r="H509"/>
      <c r="I509"/>
      <c r="J509"/>
      <c r="K509"/>
      <c r="L509"/>
      <c r="M509"/>
      <c r="N509"/>
      <c r="O509"/>
      <c r="P509"/>
      <c r="Q509"/>
      <c r="R509"/>
      <c r="S509"/>
      <c r="T509" s="125"/>
      <c r="U509" s="10"/>
    </row>
    <row r="510" spans="1:26" s="126" customFormat="1" x14ac:dyDescent="0.55000000000000004">
      <c r="A510" s="117"/>
      <c r="B510"/>
      <c r="C510" s="124"/>
      <c r="D510" s="121"/>
      <c r="E510" s="122"/>
      <c r="F510" s="122"/>
      <c r="G510" s="122"/>
      <c r="H510" s="122"/>
      <c r="I510" s="122"/>
      <c r="J510" s="122"/>
      <c r="K510" s="122"/>
      <c r="L510" s="122"/>
      <c r="M510" s="122"/>
      <c r="N510" s="122"/>
      <c r="O510" s="122"/>
      <c r="P510" s="122"/>
      <c r="Q510" s="122"/>
      <c r="R510" s="122"/>
      <c r="S510" s="123"/>
      <c r="T510" s="125"/>
      <c r="U510" s="10"/>
    </row>
    <row r="511" spans="1:26" s="126" customFormat="1" x14ac:dyDescent="0.55000000000000004">
      <c r="A511" s="117"/>
      <c r="B511"/>
      <c r="C511" s="124"/>
      <c r="D511" s="124"/>
      <c r="E511"/>
      <c r="F511" s="1" t="str">
        <f>'2 Customer data'!D101&amp;" "&amp;"information"</f>
        <v>Prepaid: Commercial information</v>
      </c>
      <c r="G511"/>
      <c r="H511"/>
      <c r="I511"/>
      <c r="J511"/>
      <c r="K511"/>
      <c r="L511"/>
      <c r="M511"/>
      <c r="N511"/>
      <c r="O511"/>
      <c r="P511"/>
      <c r="Q511"/>
      <c r="R511"/>
      <c r="S511" s="125"/>
      <c r="T511" s="125"/>
      <c r="U511" s="10"/>
    </row>
    <row r="512" spans="1:26" s="126" customFormat="1" x14ac:dyDescent="0.55000000000000004">
      <c r="A512" s="117"/>
      <c r="B512"/>
      <c r="C512" s="124"/>
      <c r="D512" s="124"/>
      <c r="E512"/>
      <c r="F512"/>
      <c r="G512"/>
      <c r="H512"/>
      <c r="I512"/>
      <c r="J512"/>
      <c r="K512"/>
      <c r="L512"/>
      <c r="M512"/>
      <c r="N512"/>
      <c r="O512"/>
      <c r="P512"/>
      <c r="Q512"/>
      <c r="R512"/>
      <c r="S512" s="125"/>
      <c r="T512" s="125"/>
      <c r="U512" s="10"/>
    </row>
    <row r="513" spans="1:21" s="126" customFormat="1" ht="28.8" x14ac:dyDescent="0.55000000000000004">
      <c r="A513" s="117"/>
      <c r="B513"/>
      <c r="C513" s="124"/>
      <c r="D513" s="124"/>
      <c r="E513"/>
      <c r="F513"/>
      <c r="G513" s="56" t="s">
        <v>28</v>
      </c>
      <c r="H513" s="56" t="s">
        <v>345</v>
      </c>
      <c r="I513" s="56" t="s">
        <v>60</v>
      </c>
      <c r="J513" s="56" t="s">
        <v>249</v>
      </c>
      <c r="K513" s="56" t="s">
        <v>279</v>
      </c>
      <c r="L513" s="56" t="s">
        <v>357</v>
      </c>
      <c r="M513"/>
      <c r="N513" s="162"/>
      <c r="O513"/>
      <c r="P513"/>
      <c r="Q513"/>
      <c r="R513"/>
      <c r="S513" s="125"/>
      <c r="T513" s="125"/>
      <c r="U513" s="10"/>
    </row>
    <row r="514" spans="1:21" s="126" customFormat="1" x14ac:dyDescent="0.55000000000000004">
      <c r="A514" s="117"/>
      <c r="B514"/>
      <c r="C514" s="124"/>
      <c r="D514" s="124"/>
      <c r="E514"/>
      <c r="F514" t="str">
        <f>'2 Customer data'!D101</f>
        <v>Prepaid: Commercial</v>
      </c>
      <c r="G514" s="94">
        <f>IFERROR(IF(VLOOKUP(F514,'2 Customer data'!$D$93:$N$112,7,FALSE)="",VLOOKUP(F514,'2 Customer data'!$D$93:$N$112,6,FALSE),VLOOKUP(F514,'2 Customer data'!$D$93:$N$112,7,FALSE)),0)</f>
        <v>457</v>
      </c>
      <c r="H514" s="26">
        <f>IFERROR(IF(VLOOKUP(F514,'2 Customer data'!$D$93:$N$112,9,FALSE)="",VLOOKUP(F514,'2 Customer data'!$D$93:$N$112,8,FALSE),VLOOKUP(F514,'2 Customer data'!$D$93:$N$112,9,FALSE)),0)</f>
        <v>5004386.3000000007</v>
      </c>
      <c r="I514" s="26">
        <f ca="1">IFERROR(VLOOKUP($F514,'2 Electricity'!$D$21:$L$40,6,FALSE),0)</f>
        <v>3056437.0986754214</v>
      </c>
      <c r="J514" s="26">
        <f ca="1">IFERROR(VLOOKUP($F514,'2 Electricity'!$D$21:$L$40,7,FALSE),0)</f>
        <v>14922793.752405442</v>
      </c>
      <c r="K514" s="26">
        <f ca="1">IFERROR(VLOOKUP($F514,'2 Electricity'!$D$21:$L$40,8,FALSE),0)</f>
        <v>0</v>
      </c>
      <c r="L514" s="26">
        <f ca="1">IFERROR(VLOOKUP(F514,'2 Electricity'!$D$157:$K$176,8,FALSE),0)</f>
        <v>16294627.70357573</v>
      </c>
      <c r="M514"/>
      <c r="N514" s="134"/>
      <c r="O514"/>
      <c r="P514"/>
      <c r="Q514"/>
      <c r="R514"/>
      <c r="S514" s="125"/>
      <c r="T514" s="125"/>
      <c r="U514" s="10"/>
    </row>
    <row r="515" spans="1:21" s="126" customFormat="1" ht="14.7" thickBot="1" x14ac:dyDescent="0.6">
      <c r="A515" s="117"/>
      <c r="B515"/>
      <c r="C515" s="124"/>
      <c r="D515" s="130"/>
      <c r="E515" s="131"/>
      <c r="F515" s="131"/>
      <c r="G515" s="131"/>
      <c r="H515" s="131"/>
      <c r="I515" s="131"/>
      <c r="J515" s="131"/>
      <c r="K515" s="131"/>
      <c r="L515" s="131"/>
      <c r="M515" s="131"/>
      <c r="N515" s="131"/>
      <c r="O515" s="131"/>
      <c r="P515" s="131"/>
      <c r="Q515" s="131"/>
      <c r="R515" s="131"/>
      <c r="S515" s="132"/>
      <c r="T515" s="125"/>
      <c r="U515" s="10"/>
    </row>
    <row r="516" spans="1:21" s="126" customFormat="1" ht="14.7" thickBot="1" x14ac:dyDescent="0.6">
      <c r="A516" s="117"/>
      <c r="B516"/>
      <c r="C516" s="124"/>
      <c r="D516"/>
      <c r="E516"/>
      <c r="F516"/>
      <c r="G516"/>
      <c r="H516"/>
      <c r="I516"/>
      <c r="J516"/>
      <c r="K516"/>
      <c r="L516"/>
      <c r="M516"/>
      <c r="N516"/>
      <c r="O516"/>
      <c r="P516"/>
      <c r="Q516"/>
      <c r="R516"/>
      <c r="S516"/>
      <c r="T516" s="125"/>
      <c r="U516" s="10"/>
    </row>
    <row r="517" spans="1:21" s="126" customFormat="1" x14ac:dyDescent="0.55000000000000004">
      <c r="A517" s="117"/>
      <c r="B517"/>
      <c r="C517" s="124"/>
      <c r="D517" s="121"/>
      <c r="E517" s="122"/>
      <c r="F517" s="122"/>
      <c r="G517" s="122"/>
      <c r="H517" s="122"/>
      <c r="I517" s="122"/>
      <c r="J517" s="122"/>
      <c r="K517" s="122"/>
      <c r="L517" s="122"/>
      <c r="M517" s="122"/>
      <c r="N517" s="122"/>
      <c r="O517" s="122"/>
      <c r="P517" s="122"/>
      <c r="Q517" s="122"/>
      <c r="R517" s="122"/>
      <c r="S517" s="123"/>
      <c r="T517" s="125"/>
      <c r="U517" s="10"/>
    </row>
    <row r="518" spans="1:21" s="126" customFormat="1" x14ac:dyDescent="0.55000000000000004">
      <c r="A518" s="117"/>
      <c r="B518"/>
      <c r="C518" s="124"/>
      <c r="D518" s="124"/>
      <c r="E518"/>
      <c r="F518" s="1" t="s">
        <v>85</v>
      </c>
      <c r="G518"/>
      <c r="H518"/>
      <c r="I518"/>
      <c r="J518"/>
      <c r="K518"/>
      <c r="L518"/>
      <c r="M518"/>
      <c r="N518"/>
      <c r="O518"/>
      <c r="P518"/>
      <c r="Q518"/>
      <c r="R518"/>
      <c r="S518" s="125"/>
      <c r="T518" s="125"/>
      <c r="U518" s="10"/>
    </row>
    <row r="519" spans="1:21" s="126" customFormat="1" x14ac:dyDescent="0.55000000000000004">
      <c r="A519" s="117"/>
      <c r="B519"/>
      <c r="C519" s="124"/>
      <c r="D519" s="124"/>
      <c r="E519"/>
      <c r="F519" s="120" t="s">
        <v>555</v>
      </c>
      <c r="G519"/>
      <c r="H519"/>
      <c r="I519"/>
      <c r="J519"/>
      <c r="K519"/>
      <c r="L519"/>
      <c r="M519"/>
      <c r="N519"/>
      <c r="O519"/>
      <c r="P519"/>
      <c r="Q519"/>
      <c r="R519"/>
      <c r="S519" s="125"/>
      <c r="T519" s="125"/>
      <c r="U519" s="10"/>
    </row>
    <row r="520" spans="1:21" s="126" customFormat="1" x14ac:dyDescent="0.55000000000000004">
      <c r="A520" s="117"/>
      <c r="B520"/>
      <c r="C520" s="124"/>
      <c r="D520" s="124"/>
      <c r="E520"/>
      <c r="F520"/>
      <c r="G520"/>
      <c r="H520"/>
      <c r="I520"/>
      <c r="J520"/>
      <c r="K520"/>
      <c r="L520"/>
      <c r="M520"/>
      <c r="N520"/>
      <c r="O520"/>
      <c r="P520"/>
      <c r="Q520"/>
      <c r="R520"/>
      <c r="S520" s="125"/>
      <c r="T520" s="125"/>
      <c r="U520" s="10"/>
    </row>
    <row r="521" spans="1:21" s="126" customFormat="1" ht="43.2" x14ac:dyDescent="0.55000000000000004">
      <c r="A521" s="117"/>
      <c r="B521"/>
      <c r="C521" s="124"/>
      <c r="D521" s="124"/>
      <c r="E521"/>
      <c r="F521"/>
      <c r="G521" s="56" t="s">
        <v>86</v>
      </c>
      <c r="H521" s="56" t="s">
        <v>73</v>
      </c>
      <c r="I521" s="56" t="s">
        <v>87</v>
      </c>
      <c r="J521" s="56" t="s">
        <v>75</v>
      </c>
      <c r="K521" s="56" t="s">
        <v>76</v>
      </c>
      <c r="L521"/>
      <c r="M521"/>
      <c r="N521"/>
      <c r="O521"/>
      <c r="P521"/>
      <c r="Q521"/>
      <c r="R521"/>
      <c r="S521" s="125"/>
      <c r="T521" s="125"/>
      <c r="U521" s="10"/>
    </row>
    <row r="522" spans="1:21" s="126" customFormat="1" x14ac:dyDescent="0.55000000000000004">
      <c r="A522" s="117"/>
      <c r="B522"/>
      <c r="C522" s="124"/>
      <c r="D522" s="124"/>
      <c r="E522"/>
      <c r="F522" t="str">
        <f>F514</f>
        <v>Prepaid: Commercial</v>
      </c>
      <c r="G522" s="26">
        <f ca="1">SUM(I514,K514)</f>
        <v>3056437.0986754214</v>
      </c>
      <c r="H522" s="64">
        <f ca="1">IFERROR(G522/G514,0)/12</f>
        <v>557.33718064832635</v>
      </c>
      <c r="I522" s="84"/>
      <c r="J522" s="26">
        <f>I522*G514*12</f>
        <v>0</v>
      </c>
      <c r="K522" s="21">
        <f>J522/12</f>
        <v>0</v>
      </c>
      <c r="L522"/>
      <c r="M522"/>
      <c r="N522"/>
      <c r="O522"/>
      <c r="P522"/>
      <c r="Q522"/>
      <c r="R522"/>
      <c r="S522" s="125"/>
      <c r="T522" s="125"/>
      <c r="U522" s="10"/>
    </row>
    <row r="523" spans="1:21" s="126" customFormat="1" x14ac:dyDescent="0.55000000000000004">
      <c r="A523" s="117"/>
      <c r="B523"/>
      <c r="C523" s="124"/>
      <c r="D523" s="124"/>
      <c r="E523" s="133"/>
      <c r="F523" s="58" t="str">
        <f>IF(I522&gt;I512,"Error: revenue from fixed charges exceeds total revenue required from tariff. Reduce fixed charge.","")</f>
        <v/>
      </c>
      <c r="G523" s="58" t="str">
        <f ca="1">IF(J522&gt;L514,"Error: revenue from fixed charges exceeds total revenue required from tariff. Reduce fixed charge.","")</f>
        <v/>
      </c>
      <c r="H523" s="134"/>
      <c r="I523" s="134"/>
      <c r="J523" s="135"/>
      <c r="K523"/>
      <c r="L523"/>
      <c r="M523"/>
      <c r="N523"/>
      <c r="O523"/>
      <c r="P523"/>
      <c r="Q523"/>
      <c r="R523"/>
      <c r="S523" s="125"/>
      <c r="T523" s="125"/>
      <c r="U523" s="10"/>
    </row>
    <row r="524" spans="1:21" s="126" customFormat="1" ht="14.7" thickBot="1" x14ac:dyDescent="0.6">
      <c r="A524" s="117"/>
      <c r="B524"/>
      <c r="C524" s="124"/>
      <c r="D524" s="130"/>
      <c r="E524" s="131"/>
      <c r="F524" s="131"/>
      <c r="G524" s="131"/>
      <c r="H524" s="131"/>
      <c r="I524" s="131"/>
      <c r="J524" s="131"/>
      <c r="K524" s="131"/>
      <c r="L524" s="131"/>
      <c r="M524" s="131"/>
      <c r="N524" s="131"/>
      <c r="O524" s="131"/>
      <c r="P524" s="131"/>
      <c r="Q524" s="131"/>
      <c r="R524" s="131"/>
      <c r="S524" s="132"/>
      <c r="T524" s="125"/>
      <c r="U524" s="10"/>
    </row>
    <row r="525" spans="1:21" s="126" customFormat="1" ht="14.7" thickBot="1" x14ac:dyDescent="0.6">
      <c r="A525" s="117"/>
      <c r="B525"/>
      <c r="C525" s="124"/>
      <c r="D525"/>
      <c r="E525"/>
      <c r="F525"/>
      <c r="G525"/>
      <c r="H525"/>
      <c r="I525"/>
      <c r="J525"/>
      <c r="K525"/>
      <c r="L525"/>
      <c r="M525"/>
      <c r="N525"/>
      <c r="O525"/>
      <c r="P525"/>
      <c r="Q525"/>
      <c r="R525"/>
      <c r="S525"/>
      <c r="T525" s="125"/>
      <c r="U525" s="10"/>
    </row>
    <row r="526" spans="1:21" s="126" customFormat="1" x14ac:dyDescent="0.55000000000000004">
      <c r="A526" s="117"/>
      <c r="B526"/>
      <c r="C526" s="124"/>
      <c r="D526" s="121"/>
      <c r="E526" s="122"/>
      <c r="F526" s="122"/>
      <c r="G526" s="122"/>
      <c r="H526" s="122"/>
      <c r="I526" s="122"/>
      <c r="J526" s="122"/>
      <c r="K526" s="122"/>
      <c r="L526" s="122"/>
      <c r="M526" s="122"/>
      <c r="N526" s="122"/>
      <c r="O526" s="122"/>
      <c r="P526" s="122"/>
      <c r="Q526" s="122"/>
      <c r="R526" s="122"/>
      <c r="S526" s="123"/>
      <c r="T526" s="125"/>
      <c r="U526" s="10"/>
    </row>
    <row r="527" spans="1:21" s="126" customFormat="1" x14ac:dyDescent="0.55000000000000004">
      <c r="A527" s="117"/>
      <c r="B527"/>
      <c r="C527" s="124"/>
      <c r="D527" s="124"/>
      <c r="E527"/>
      <c r="F527" s="1" t="s">
        <v>96</v>
      </c>
      <c r="G527"/>
      <c r="H527"/>
      <c r="I527"/>
      <c r="J527"/>
      <c r="K527"/>
      <c r="L527"/>
      <c r="M527"/>
      <c r="N527"/>
      <c r="O527"/>
      <c r="P527"/>
      <c r="Q527"/>
      <c r="R527"/>
      <c r="S527" s="125"/>
      <c r="T527" s="125"/>
      <c r="U527" s="10"/>
    </row>
    <row r="528" spans="1:21" s="126" customFormat="1" ht="14.55" customHeight="1" x14ac:dyDescent="0.55000000000000004">
      <c r="A528" s="117"/>
      <c r="B528"/>
      <c r="C528" s="124"/>
      <c r="D528" s="124"/>
      <c r="E528"/>
      <c r="F528" s="1804" t="s">
        <v>560</v>
      </c>
      <c r="G528" s="1804"/>
      <c r="H528" s="1804"/>
      <c r="I528" s="1804"/>
      <c r="J528" s="1804"/>
      <c r="K528" s="1804"/>
      <c r="L528" s="1804"/>
      <c r="M528" s="1804"/>
      <c r="N528" s="1804"/>
      <c r="O528" s="1804"/>
      <c r="P528" s="1804"/>
      <c r="Q528" s="119"/>
      <c r="R528"/>
      <c r="S528" s="125"/>
      <c r="T528" s="125"/>
      <c r="U528" s="10"/>
    </row>
    <row r="529" spans="1:24" s="126" customFormat="1" x14ac:dyDescent="0.55000000000000004">
      <c r="A529" s="117"/>
      <c r="B529"/>
      <c r="C529" s="124"/>
      <c r="D529" s="124"/>
      <c r="E529"/>
      <c r="F529" s="119"/>
      <c r="G529" s="119"/>
      <c r="H529" s="119"/>
      <c r="I529" s="119"/>
      <c r="J529" s="119"/>
      <c r="K529" s="119"/>
      <c r="L529" s="119"/>
      <c r="M529" s="119"/>
      <c r="N529" s="119"/>
      <c r="O529" s="119"/>
      <c r="P529" s="119"/>
      <c r="Q529" s="119"/>
      <c r="R529"/>
      <c r="S529" s="125"/>
      <c r="T529" s="125"/>
      <c r="U529" s="10"/>
    </row>
    <row r="530" spans="1:24" s="126" customFormat="1" x14ac:dyDescent="0.55000000000000004">
      <c r="A530" s="117"/>
      <c r="B530"/>
      <c r="C530" s="124"/>
      <c r="D530" s="124"/>
      <c r="E530"/>
      <c r="F530" s="1" t="s">
        <v>348</v>
      </c>
      <c r="G530" s="80" t="s">
        <v>89</v>
      </c>
      <c r="H530" s="119"/>
      <c r="I530" s="119"/>
      <c r="J530" s="119"/>
      <c r="K530" s="119"/>
      <c r="L530" s="119"/>
      <c r="M530" s="119"/>
      <c r="N530" s="119"/>
      <c r="O530" s="119"/>
      <c r="P530" s="119"/>
      <c r="Q530" s="119"/>
      <c r="R530"/>
      <c r="S530" s="125"/>
      <c r="T530" s="125"/>
      <c r="U530" s="10"/>
      <c r="V530" s="126" t="s">
        <v>89</v>
      </c>
    </row>
    <row r="531" spans="1:24" s="126" customFormat="1" ht="14.7" thickBot="1" x14ac:dyDescent="0.6">
      <c r="A531" s="117"/>
      <c r="B531"/>
      <c r="C531" s="124"/>
      <c r="D531" s="124"/>
      <c r="E531"/>
      <c r="F531"/>
      <c r="G531" s="134"/>
      <c r="H531" s="119"/>
      <c r="I531" s="119"/>
      <c r="J531" s="119"/>
      <c r="K531" s="119"/>
      <c r="L531" s="119"/>
      <c r="M531" s="119"/>
      <c r="N531" s="119"/>
      <c r="O531" s="119"/>
      <c r="P531" s="119"/>
      <c r="Q531" s="119"/>
      <c r="R531"/>
      <c r="S531" s="125"/>
      <c r="T531" s="125"/>
      <c r="U531" s="10"/>
      <c r="V531" s="126" t="s">
        <v>90</v>
      </c>
    </row>
    <row r="532" spans="1:24" s="126" customFormat="1" x14ac:dyDescent="0.55000000000000004">
      <c r="A532" s="117"/>
      <c r="B532"/>
      <c r="C532" s="124"/>
      <c r="D532" s="124"/>
      <c r="E532" s="121"/>
      <c r="F532" s="122"/>
      <c r="G532" s="122"/>
      <c r="H532" s="122"/>
      <c r="I532" s="122"/>
      <c r="J532" s="122"/>
      <c r="K532" s="122"/>
      <c r="L532" s="122"/>
      <c r="M532" s="122"/>
      <c r="N532" s="122"/>
      <c r="O532" s="122"/>
      <c r="P532" s="122"/>
      <c r="Q532" s="122"/>
      <c r="R532" s="123"/>
      <c r="S532" s="125"/>
      <c r="T532" s="125"/>
      <c r="U532" s="10"/>
    </row>
    <row r="533" spans="1:24" s="126" customFormat="1" x14ac:dyDescent="0.55000000000000004">
      <c r="A533" s="117"/>
      <c r="B533"/>
      <c r="C533" s="124"/>
      <c r="D533" s="124"/>
      <c r="E533" s="124"/>
      <c r="F533" s="1" t="s">
        <v>343</v>
      </c>
      <c r="G533" s="163"/>
      <c r="H533"/>
      <c r="I533"/>
      <c r="J533"/>
      <c r="K533"/>
      <c r="L533"/>
      <c r="M533"/>
      <c r="N533"/>
      <c r="O533"/>
      <c r="P533"/>
      <c r="Q533"/>
      <c r="R533" s="125"/>
      <c r="S533" s="125"/>
      <c r="T533" s="125"/>
      <c r="U533" s="10"/>
    </row>
    <row r="534" spans="1:24" s="126" customFormat="1" ht="14.55" customHeight="1" x14ac:dyDescent="0.55000000000000004">
      <c r="A534" s="117"/>
      <c r="B534"/>
      <c r="C534" s="124"/>
      <c r="D534" s="124"/>
      <c r="E534" s="124"/>
      <c r="F534" s="1804" t="s">
        <v>561</v>
      </c>
      <c r="G534" s="1804"/>
      <c r="H534" s="1804"/>
      <c r="I534" s="1804"/>
      <c r="J534" s="1804"/>
      <c r="K534" s="1804"/>
      <c r="L534" s="1804"/>
      <c r="M534" s="1804"/>
      <c r="N534" s="1804"/>
      <c r="O534" s="1804"/>
      <c r="P534" s="1804"/>
      <c r="Q534" s="1804"/>
      <c r="R534" s="125"/>
      <c r="S534" s="125"/>
      <c r="T534" s="125"/>
      <c r="U534" s="10"/>
    </row>
    <row r="535" spans="1:24" s="126" customFormat="1" x14ac:dyDescent="0.55000000000000004">
      <c r="A535" s="117"/>
      <c r="B535"/>
      <c r="C535" s="124"/>
      <c r="D535" s="124"/>
      <c r="E535" s="124"/>
      <c r="F535" s="1804"/>
      <c r="G535" s="1804"/>
      <c r="H535" s="1804"/>
      <c r="I535" s="1804"/>
      <c r="J535" s="1804"/>
      <c r="K535" s="1804"/>
      <c r="L535" s="1804"/>
      <c r="M535" s="1804"/>
      <c r="N535" s="1804"/>
      <c r="O535" s="1804"/>
      <c r="P535" s="1804"/>
      <c r="Q535" s="1804"/>
      <c r="R535" s="125"/>
      <c r="S535" s="125"/>
      <c r="T535" s="125"/>
      <c r="U535" s="10"/>
    </row>
    <row r="536" spans="1:24" s="126" customFormat="1" x14ac:dyDescent="0.55000000000000004">
      <c r="A536" s="117"/>
      <c r="B536"/>
      <c r="C536" s="124"/>
      <c r="D536" s="124"/>
      <c r="E536" s="124"/>
      <c r="F536" s="1"/>
      <c r="G536" s="163"/>
      <c r="H536"/>
      <c r="I536"/>
      <c r="J536"/>
      <c r="K536"/>
      <c r="L536"/>
      <c r="M536"/>
      <c r="N536"/>
      <c r="O536"/>
      <c r="P536"/>
      <c r="Q536"/>
      <c r="R536" s="125"/>
      <c r="S536" s="125"/>
      <c r="T536" s="125"/>
      <c r="U536" s="10"/>
    </row>
    <row r="537" spans="1:24" s="126" customFormat="1" x14ac:dyDescent="0.55000000000000004">
      <c r="A537" s="117"/>
      <c r="B537"/>
      <c r="C537" s="124"/>
      <c r="D537" s="124"/>
      <c r="E537" s="124"/>
      <c r="F537" s="164" t="s">
        <v>88</v>
      </c>
      <c r="G537" s="10"/>
      <c r="H537"/>
      <c r="I537" s="50">
        <v>1</v>
      </c>
      <c r="J537"/>
      <c r="K537"/>
      <c r="L537"/>
      <c r="M537"/>
      <c r="N537"/>
      <c r="O537"/>
      <c r="P537"/>
      <c r="Q537"/>
      <c r="R537" s="125"/>
      <c r="S537" s="125"/>
      <c r="T537" s="125"/>
      <c r="U537" s="10"/>
    </row>
    <row r="538" spans="1:24" s="126" customFormat="1" x14ac:dyDescent="0.55000000000000004">
      <c r="A538" s="117"/>
      <c r="B538"/>
      <c r="C538" s="124"/>
      <c r="D538" s="124"/>
      <c r="E538" s="124"/>
      <c r="F538" s="10" t="s">
        <v>612</v>
      </c>
      <c r="H538"/>
      <c r="I538" s="159" t="s">
        <v>578</v>
      </c>
      <c r="J538"/>
      <c r="K538"/>
      <c r="L538"/>
      <c r="M538"/>
      <c r="N538"/>
      <c r="O538"/>
      <c r="P538"/>
      <c r="Q538"/>
      <c r="R538" s="125"/>
      <c r="S538" s="125"/>
      <c r="T538" s="125"/>
      <c r="U538" s="10"/>
    </row>
    <row r="539" spans="1:24" s="126" customFormat="1" x14ac:dyDescent="0.55000000000000004">
      <c r="A539" s="117"/>
      <c r="B539"/>
      <c r="C539" s="124"/>
      <c r="D539" s="124"/>
      <c r="E539" s="124"/>
      <c r="F539"/>
      <c r="G539"/>
      <c r="H539"/>
      <c r="I539"/>
      <c r="J539"/>
      <c r="K539"/>
      <c r="L539"/>
      <c r="M539"/>
      <c r="N539"/>
      <c r="O539"/>
      <c r="P539"/>
      <c r="Q539"/>
      <c r="R539" s="125"/>
      <c r="S539" s="125"/>
      <c r="T539" s="125"/>
      <c r="U539" s="10"/>
    </row>
    <row r="540" spans="1:24" s="126" customFormat="1" ht="57.6" x14ac:dyDescent="0.55000000000000004">
      <c r="A540" s="117"/>
      <c r="B540"/>
      <c r="C540" s="124"/>
      <c r="D540" s="124"/>
      <c r="E540" s="124"/>
      <c r="F540" s="56" t="s">
        <v>91</v>
      </c>
      <c r="G540" s="56" t="s">
        <v>92</v>
      </c>
      <c r="H540" s="129" t="s">
        <v>80</v>
      </c>
      <c r="I540" s="56" t="s">
        <v>340</v>
      </c>
      <c r="J540" s="56" t="s">
        <v>356</v>
      </c>
      <c r="K540" s="165" t="s">
        <v>349</v>
      </c>
      <c r="L540" s="166" t="s">
        <v>350</v>
      </c>
      <c r="M540" s="162"/>
      <c r="N540" s="162"/>
      <c r="O540" s="162"/>
      <c r="P540" s="162"/>
      <c r="Q540" s="162"/>
      <c r="R540" s="167"/>
      <c r="S540" s="167"/>
      <c r="T540" s="167"/>
      <c r="U540" s="10"/>
      <c r="V540" s="168" t="s">
        <v>621</v>
      </c>
      <c r="W540" s="168" t="s">
        <v>622</v>
      </c>
    </row>
    <row r="541" spans="1:24" s="126" customFormat="1" x14ac:dyDescent="0.55000000000000004">
      <c r="A541" s="117"/>
      <c r="B541"/>
      <c r="C541" s="124"/>
      <c r="D541" s="124"/>
      <c r="E541" s="124"/>
      <c r="F541" s="89">
        <f>IF($I$537=X541,X541,1)</f>
        <v>1</v>
      </c>
      <c r="G541" s="91">
        <v>0</v>
      </c>
      <c r="H541" s="50"/>
      <c r="I541" s="169"/>
      <c r="J541" s="21">
        <f>IF(G530=V530,H514-SUMIF(F542:F545,"&lt;="&amp;$I$537,J542:J545),0)</f>
        <v>5004386.3000000007</v>
      </c>
      <c r="K541" s="114">
        <f ca="1">IFERROR(IF(G530=V530,IF(F541&lt;=I537,IF(I538="No",IF(J522=0,L514/SUMPRODUCT(V541:V545,J541:J545),(L514-J522)/SUMPRODUCT(V541:V545,J541:J545)),0),0),0),0)</f>
        <v>3.2560691215176032</v>
      </c>
      <c r="L541" s="31">
        <f ca="1">J541*K541</f>
        <v>16294627.70357573</v>
      </c>
      <c r="M541" s="170"/>
      <c r="N541" s="135"/>
      <c r="O541" s="171"/>
      <c r="P541"/>
      <c r="Q541"/>
      <c r="R541" s="125"/>
      <c r="S541" s="125"/>
      <c r="T541" s="125"/>
      <c r="U541" s="10"/>
      <c r="V541" s="96">
        <f>IF(F541&lt;=$I$537,1,0)</f>
        <v>1</v>
      </c>
      <c r="X541" s="126">
        <v>1</v>
      </c>
    </row>
    <row r="542" spans="1:24" s="126" customFormat="1" x14ac:dyDescent="0.55000000000000004">
      <c r="A542" s="117"/>
      <c r="B542"/>
      <c r="C542" s="124"/>
      <c r="D542" s="124"/>
      <c r="E542" s="124"/>
      <c r="F542" s="89" t="str">
        <f>IF($I$537&gt;=X542,X542,"")</f>
        <v/>
      </c>
      <c r="G542" s="91" t="str">
        <f>IF($I$537&gt;=F542,H541+0.01,"")</f>
        <v/>
      </c>
      <c r="H542" s="50"/>
      <c r="I542" s="61"/>
      <c r="J542" s="13"/>
      <c r="K542" s="114">
        <f>IFERROR(IF(F542&lt;=I537,IF(I538="No",K541*(1+I542),IF(J522=0,L514/SUMPRODUCT(W542:W545,J542:J545),(L514-J522)/SUMPRODUCT(W542:W545,J542:J545))),0),0)</f>
        <v>0</v>
      </c>
      <c r="L542" s="31">
        <f>J542*K542</f>
        <v>0</v>
      </c>
      <c r="M542" s="170"/>
      <c r="N542" s="135"/>
      <c r="O542" s="171"/>
      <c r="P542"/>
      <c r="Q542"/>
      <c r="R542" s="125"/>
      <c r="S542" s="125"/>
      <c r="T542" s="125"/>
      <c r="U542" s="10"/>
      <c r="V542" s="96">
        <f>IF(F542&lt;=$I$537,(1+I542),0)</f>
        <v>0</v>
      </c>
      <c r="W542" s="92">
        <f>IF(F542&lt;=I537,1,0)</f>
        <v>0</v>
      </c>
      <c r="X542" s="126">
        <v>2</v>
      </c>
    </row>
    <row r="543" spans="1:24" s="126" customFormat="1" x14ac:dyDescent="0.55000000000000004">
      <c r="A543" s="117"/>
      <c r="B543"/>
      <c r="C543" s="124"/>
      <c r="D543" s="124"/>
      <c r="E543" s="124"/>
      <c r="F543" s="89" t="str">
        <f>IF($I$537&gt;=X543,X543,"")</f>
        <v/>
      </c>
      <c r="G543" s="91" t="str">
        <f>IF($I$537&gt;=F543,H542+0.01,"")</f>
        <v/>
      </c>
      <c r="H543" s="50"/>
      <c r="I543" s="61"/>
      <c r="J543" s="13"/>
      <c r="K543" s="160">
        <f>IF(F543&lt;=$I$537,K542*(1+I543),0)</f>
        <v>0</v>
      </c>
      <c r="L543" s="31">
        <f>J543*K543</f>
        <v>0</v>
      </c>
      <c r="M543" s="170"/>
      <c r="N543" s="135"/>
      <c r="O543" s="171"/>
      <c r="P543"/>
      <c r="Q543"/>
      <c r="R543" s="125"/>
      <c r="S543" s="125"/>
      <c r="T543" s="125"/>
      <c r="U543" s="10"/>
      <c r="V543" s="96">
        <f>IF(F543&lt;=$I$537,V542*(1+I543),0)</f>
        <v>0</v>
      </c>
      <c r="W543" s="92">
        <f>IF(F543&lt;=I537,W542*(1+I543),0)</f>
        <v>0</v>
      </c>
      <c r="X543" s="126">
        <v>3</v>
      </c>
    </row>
    <row r="544" spans="1:24" s="126" customFormat="1" x14ac:dyDescent="0.55000000000000004">
      <c r="A544" s="117"/>
      <c r="B544"/>
      <c r="C544" s="124"/>
      <c r="D544" s="124"/>
      <c r="E544" s="124"/>
      <c r="F544" s="89" t="str">
        <f>IF($I$537&gt;=X544,X544,"")</f>
        <v/>
      </c>
      <c r="G544" s="91" t="str">
        <f>IF($I$537&gt;=F544,H543+0.01,"")</f>
        <v/>
      </c>
      <c r="H544" s="50"/>
      <c r="I544" s="61"/>
      <c r="J544" s="13"/>
      <c r="K544" s="95">
        <f>IF(F544&lt;=$I$537,K543*(1+I544),0)</f>
        <v>0</v>
      </c>
      <c r="L544" s="31">
        <f>J544*K544</f>
        <v>0</v>
      </c>
      <c r="M544" s="170"/>
      <c r="N544" s="135"/>
      <c r="O544" s="171"/>
      <c r="P544"/>
      <c r="Q544"/>
      <c r="R544" s="125"/>
      <c r="S544" s="125"/>
      <c r="T544" s="125"/>
      <c r="U544" s="10"/>
      <c r="V544" s="96">
        <f>IF(F544&lt;=$I$537,V543*(1+I544),0)</f>
        <v>0</v>
      </c>
      <c r="W544" s="92">
        <f>IF(F544&lt;=I537,W543*(1+I544),0)</f>
        <v>0</v>
      </c>
      <c r="X544" s="126">
        <v>4</v>
      </c>
    </row>
    <row r="545" spans="1:26" s="126" customFormat="1" x14ac:dyDescent="0.55000000000000004">
      <c r="A545" s="117"/>
      <c r="B545"/>
      <c r="C545" s="124"/>
      <c r="D545" s="124"/>
      <c r="E545" s="124"/>
      <c r="F545" s="89" t="str">
        <f>IF($I$537&gt;=X545,X545,"")</f>
        <v/>
      </c>
      <c r="G545" s="91" t="str">
        <f>IF($I$537&gt;=F545,H544+0.01,"")</f>
        <v/>
      </c>
      <c r="H545" s="89" t="s">
        <v>84</v>
      </c>
      <c r="I545" s="61"/>
      <c r="J545" s="13"/>
      <c r="K545" s="95">
        <f>IF(F545&lt;=$I$537,K544*(1+I545),0)</f>
        <v>0</v>
      </c>
      <c r="L545" s="31">
        <f>J545*K545</f>
        <v>0</v>
      </c>
      <c r="M545" s="170"/>
      <c r="N545" s="135"/>
      <c r="O545" s="171"/>
      <c r="P545"/>
      <c r="Q545"/>
      <c r="R545" s="125"/>
      <c r="S545" s="125"/>
      <c r="T545" s="125"/>
      <c r="U545" s="10"/>
      <c r="V545" s="96">
        <f>IF(F545&lt;=$I$537,V544*(1+I545),0)</f>
        <v>0</v>
      </c>
      <c r="W545" s="92">
        <f>IF(F545&lt;=I537,W544*(1+I545),0)</f>
        <v>0</v>
      </c>
      <c r="X545" s="126">
        <v>5</v>
      </c>
    </row>
    <row r="546" spans="1:26" s="126" customFormat="1" ht="14.7" thickBot="1" x14ac:dyDescent="0.6">
      <c r="A546" s="117"/>
      <c r="B546"/>
      <c r="C546" s="124"/>
      <c r="D546" s="124"/>
      <c r="E546" s="130"/>
      <c r="F546" s="149"/>
      <c r="G546" s="150"/>
      <c r="H546" s="149"/>
      <c r="I546" s="172"/>
      <c r="J546" s="173"/>
      <c r="K546" s="173"/>
      <c r="L546" s="173"/>
      <c r="M546" s="174"/>
      <c r="N546" s="152"/>
      <c r="O546" s="175"/>
      <c r="P546" s="131"/>
      <c r="Q546" s="131"/>
      <c r="R546" s="132"/>
      <c r="S546" s="125"/>
      <c r="T546" s="125"/>
      <c r="U546" s="10"/>
    </row>
    <row r="547" spans="1:26" s="126" customFormat="1" ht="14.7" thickBot="1" x14ac:dyDescent="0.6">
      <c r="A547" s="117"/>
      <c r="B547"/>
      <c r="C547" s="124"/>
      <c r="D547" s="124"/>
      <c r="E547"/>
      <c r="F547" s="163"/>
      <c r="G547" s="176"/>
      <c r="H547" s="163"/>
      <c r="I547" s="177"/>
      <c r="J547" s="178"/>
      <c r="K547" s="178"/>
      <c r="L547" s="178"/>
      <c r="M547" s="170"/>
      <c r="N547" s="135"/>
      <c r="O547" s="171"/>
      <c r="P547"/>
      <c r="Q547"/>
      <c r="R547"/>
      <c r="S547" s="125"/>
      <c r="T547" s="125"/>
      <c r="U547" s="10"/>
    </row>
    <row r="548" spans="1:26" s="126" customFormat="1" x14ac:dyDescent="0.55000000000000004">
      <c r="A548" s="117"/>
      <c r="B548"/>
      <c r="C548" s="124"/>
      <c r="D548" s="124"/>
      <c r="E548" s="121"/>
      <c r="F548" s="179"/>
      <c r="G548" s="180"/>
      <c r="H548" s="179"/>
      <c r="I548" s="181"/>
      <c r="J548" s="182"/>
      <c r="K548" s="182"/>
      <c r="L548" s="182"/>
      <c r="M548" s="183"/>
      <c r="N548" s="184"/>
      <c r="O548" s="185"/>
      <c r="P548" s="122"/>
      <c r="Q548" s="122"/>
      <c r="R548" s="123"/>
      <c r="S548" s="125"/>
      <c r="T548" s="125"/>
      <c r="U548" s="10"/>
    </row>
    <row r="549" spans="1:26" s="126" customFormat="1" x14ac:dyDescent="0.55000000000000004">
      <c r="A549" s="117"/>
      <c r="B549"/>
      <c r="C549" s="124"/>
      <c r="D549" s="124"/>
      <c r="E549" s="124"/>
      <c r="F549" s="186" t="s">
        <v>344</v>
      </c>
      <c r="G549" s="176"/>
      <c r="H549" s="163"/>
      <c r="I549" s="177"/>
      <c r="J549" s="178"/>
      <c r="K549" s="178"/>
      <c r="L549" s="178"/>
      <c r="M549" s="170"/>
      <c r="N549" s="135"/>
      <c r="O549" s="187"/>
      <c r="P549"/>
      <c r="Q549"/>
      <c r="R549" s="125"/>
      <c r="S549" s="125"/>
      <c r="T549" s="125"/>
      <c r="U549" s="10"/>
    </row>
    <row r="550" spans="1:26" s="126" customFormat="1" ht="14.55" customHeight="1" x14ac:dyDescent="0.55000000000000004">
      <c r="A550" s="117"/>
      <c r="B550"/>
      <c r="C550" s="124"/>
      <c r="D550" s="124"/>
      <c r="E550" s="124"/>
      <c r="F550" s="1804" t="s">
        <v>562</v>
      </c>
      <c r="G550" s="1804"/>
      <c r="H550" s="1804"/>
      <c r="I550" s="1804"/>
      <c r="J550" s="1804"/>
      <c r="K550" s="1804"/>
      <c r="L550" s="1804"/>
      <c r="M550" s="1804"/>
      <c r="N550" s="1804"/>
      <c r="O550" s="1804"/>
      <c r="P550" s="1804"/>
      <c r="Q550" s="1804"/>
      <c r="R550" s="125"/>
      <c r="S550" s="125"/>
      <c r="T550" s="125"/>
      <c r="U550" s="10"/>
    </row>
    <row r="551" spans="1:26" s="126" customFormat="1" x14ac:dyDescent="0.55000000000000004">
      <c r="A551" s="117"/>
      <c r="B551"/>
      <c r="C551" s="124"/>
      <c r="D551" s="124"/>
      <c r="E551" s="124"/>
      <c r="F551" s="1804"/>
      <c r="G551" s="1804"/>
      <c r="H551" s="1804"/>
      <c r="I551" s="1804"/>
      <c r="J551" s="1804"/>
      <c r="K551" s="1804"/>
      <c r="L551" s="1804"/>
      <c r="M551" s="1804"/>
      <c r="N551" s="1804"/>
      <c r="O551" s="1804"/>
      <c r="P551" s="1804"/>
      <c r="Q551" s="1804"/>
      <c r="R551" s="125"/>
      <c r="S551" s="125"/>
      <c r="T551" s="125"/>
      <c r="U551" s="10"/>
    </row>
    <row r="552" spans="1:26" s="126" customFormat="1" x14ac:dyDescent="0.55000000000000004">
      <c r="A552" s="117"/>
      <c r="B552"/>
      <c r="C552" s="124"/>
      <c r="D552" s="124"/>
      <c r="E552" s="124"/>
      <c r="F552" s="186"/>
      <c r="G552" s="176"/>
      <c r="H552" s="163"/>
      <c r="I552" s="177"/>
      <c r="J552" s="178"/>
      <c r="K552" s="178"/>
      <c r="L552" s="178"/>
      <c r="M552" s="170"/>
      <c r="N552" s="135"/>
      <c r="O552" s="187"/>
      <c r="P552"/>
      <c r="Q552"/>
      <c r="R552" s="125"/>
      <c r="S552" s="125"/>
      <c r="T552" s="125"/>
      <c r="U552" s="10"/>
    </row>
    <row r="553" spans="1:26" s="126" customFormat="1" x14ac:dyDescent="0.55000000000000004">
      <c r="A553" s="117"/>
      <c r="B553"/>
      <c r="C553" s="124"/>
      <c r="D553" s="124"/>
      <c r="E553" s="124"/>
      <c r="F553" s="164" t="s">
        <v>88</v>
      </c>
      <c r="G553" s="10"/>
      <c r="H553" s="163"/>
      <c r="I553" s="50">
        <v>5</v>
      </c>
      <c r="J553" s="178"/>
      <c r="K553" s="178"/>
      <c r="L553" s="178"/>
      <c r="M553" s="170"/>
      <c r="N553" s="135"/>
      <c r="O553" s="187"/>
      <c r="P553"/>
      <c r="Q553"/>
      <c r="R553" s="125"/>
      <c r="S553" s="125"/>
      <c r="T553" s="125"/>
      <c r="U553" s="10"/>
    </row>
    <row r="554" spans="1:26" s="126" customFormat="1" x14ac:dyDescent="0.55000000000000004">
      <c r="A554" s="117"/>
      <c r="B554"/>
      <c r="C554" s="124"/>
      <c r="D554" s="124"/>
      <c r="E554" s="124"/>
      <c r="F554" t="s">
        <v>346</v>
      </c>
      <c r="G554" s="10"/>
      <c r="H554" s="163"/>
      <c r="I554" s="13"/>
      <c r="J554" s="178"/>
      <c r="K554" s="178"/>
      <c r="L554" s="178"/>
      <c r="M554" s="170"/>
      <c r="N554" s="135"/>
      <c r="O554" s="187"/>
      <c r="P554"/>
      <c r="Q554"/>
      <c r="R554" s="125"/>
      <c r="S554" s="125"/>
      <c r="T554" s="125"/>
      <c r="U554" s="10"/>
    </row>
    <row r="555" spans="1:26" s="126" customFormat="1" x14ac:dyDescent="0.55000000000000004">
      <c r="A555" s="117"/>
      <c r="B555"/>
      <c r="C555" s="124"/>
      <c r="D555" s="124"/>
      <c r="E555" s="124"/>
      <c r="F555" t="s">
        <v>347</v>
      </c>
      <c r="G555" s="10"/>
      <c r="H555" s="163"/>
      <c r="I555" s="13"/>
      <c r="J555" s="178"/>
      <c r="K555" s="178"/>
      <c r="L555" s="178"/>
      <c r="M555" s="170"/>
      <c r="N555" s="135"/>
      <c r="O555" s="187"/>
      <c r="P555"/>
      <c r="Q555"/>
      <c r="R555" s="125"/>
      <c r="S555" s="125"/>
      <c r="T555" s="125"/>
      <c r="U555" s="10"/>
    </row>
    <row r="556" spans="1:26" s="126" customFormat="1" x14ac:dyDescent="0.55000000000000004">
      <c r="A556" s="117"/>
      <c r="B556"/>
      <c r="C556" s="124"/>
      <c r="D556" s="124"/>
      <c r="E556" s="124"/>
      <c r="F556" t="s">
        <v>366</v>
      </c>
      <c r="G556" s="10"/>
      <c r="H556"/>
      <c r="I556" s="93"/>
      <c r="J556"/>
      <c r="K556" s="178"/>
      <c r="L556" s="178"/>
      <c r="M556" s="170"/>
      <c r="N556" s="135"/>
      <c r="O556" s="187"/>
      <c r="P556"/>
      <c r="Q556"/>
      <c r="R556" s="125"/>
      <c r="S556" s="125"/>
      <c r="T556" s="125"/>
      <c r="U556" s="10"/>
    </row>
    <row r="557" spans="1:26" s="126" customFormat="1" x14ac:dyDescent="0.55000000000000004">
      <c r="A557" s="117"/>
      <c r="B557"/>
      <c r="C557" s="124"/>
      <c r="D557" s="124"/>
      <c r="E557" s="124"/>
      <c r="F557" s="10" t="s">
        <v>612</v>
      </c>
      <c r="H557"/>
      <c r="I557" s="159" t="s">
        <v>578</v>
      </c>
      <c r="J557"/>
      <c r="K557" s="178"/>
      <c r="L557" s="178"/>
      <c r="M557" s="170"/>
      <c r="N557" s="135"/>
      <c r="O557" s="187"/>
      <c r="P557"/>
      <c r="Q557"/>
      <c r="R557" s="125"/>
      <c r="S557" s="125"/>
      <c r="T557" s="125"/>
      <c r="U557" s="10"/>
    </row>
    <row r="558" spans="1:26" s="126" customFormat="1" x14ac:dyDescent="0.55000000000000004">
      <c r="A558" s="117"/>
      <c r="B558"/>
      <c r="C558" s="124"/>
      <c r="D558" s="124"/>
      <c r="E558" s="124"/>
      <c r="F558"/>
      <c r="G558"/>
      <c r="H558"/>
      <c r="I558" s="188"/>
      <c r="J558"/>
      <c r="K558" s="178"/>
      <c r="L558" s="178"/>
      <c r="M558" s="170"/>
      <c r="N558" s="135"/>
      <c r="O558" s="187"/>
      <c r="P558"/>
      <c r="Q558"/>
      <c r="R558" s="125"/>
      <c r="S558" s="125"/>
      <c r="T558" s="125"/>
      <c r="U558" s="10"/>
    </row>
    <row r="559" spans="1:26" s="126" customFormat="1" ht="57.6" x14ac:dyDescent="0.55000000000000004">
      <c r="A559" s="117"/>
      <c r="B559"/>
      <c r="C559" s="124"/>
      <c r="D559" s="124"/>
      <c r="E559" s="124"/>
      <c r="F559" s="56" t="s">
        <v>91</v>
      </c>
      <c r="G559" s="56" t="s">
        <v>92</v>
      </c>
      <c r="H559" s="129" t="s">
        <v>80</v>
      </c>
      <c r="I559" s="56" t="s">
        <v>367</v>
      </c>
      <c r="J559" s="56" t="s">
        <v>368</v>
      </c>
      <c r="K559" s="56" t="s">
        <v>341</v>
      </c>
      <c r="L559" s="56" t="s">
        <v>342</v>
      </c>
      <c r="M559" s="166" t="s">
        <v>351</v>
      </c>
      <c r="N559" s="56" t="s">
        <v>352</v>
      </c>
      <c r="O559" s="56" t="s">
        <v>353</v>
      </c>
      <c r="P559" s="56" t="s">
        <v>354</v>
      </c>
      <c r="Q559" s="56" t="s">
        <v>355</v>
      </c>
      <c r="R559" s="125"/>
      <c r="S559" s="125"/>
      <c r="T559" s="125"/>
      <c r="U559" s="10"/>
      <c r="V559" s="189" t="s">
        <v>616</v>
      </c>
      <c r="W559" s="168" t="s">
        <v>617</v>
      </c>
      <c r="X559" s="189" t="s">
        <v>618</v>
      </c>
      <c r="Y559" s="168" t="s">
        <v>619</v>
      </c>
    </row>
    <row r="560" spans="1:26" s="126" customFormat="1" x14ac:dyDescent="0.55000000000000004">
      <c r="A560" s="117"/>
      <c r="B560"/>
      <c r="C560" s="124"/>
      <c r="D560" s="124"/>
      <c r="E560" s="124"/>
      <c r="F560" s="89">
        <f>IF($I$553=Z560,Z560,1)</f>
        <v>1</v>
      </c>
      <c r="G560" s="91">
        <v>0</v>
      </c>
      <c r="H560" s="50"/>
      <c r="I560" s="169"/>
      <c r="J560" s="63"/>
      <c r="K560" s="21">
        <f>I554-SUMIF(F561:F564,"&lt;="&amp;$I$553,K561:K564)</f>
        <v>0</v>
      </c>
      <c r="L560" s="31">
        <f>I555-SUMIF(F561:F564,"&lt;="&amp;$I$553,L561:L564)</f>
        <v>0</v>
      </c>
      <c r="M560" s="44">
        <f>IFERROR(IF(G530=V530,0,IF(F560&lt;=I553,IF(I557="No",(L514-J522)/(SUMPRODUCT(V560:V564,K560:K564)+SUMPRODUCT(W560:W564,L560:L564)),0)*I556,0)),0)</f>
        <v>0</v>
      </c>
      <c r="N560" s="44">
        <f>IFERROR(IF(G530=V530,0,IF(F560&lt;=I553,IF(I557="No",(L514-J522)/(SUMPRODUCT(V560:V564,K560:K564)+SUMPRODUCT(W560:W564,L560:L564)),0),0)),0)</f>
        <v>0</v>
      </c>
      <c r="O560" s="97" t="str">
        <f>IFERROR(M560/N560,"")</f>
        <v/>
      </c>
      <c r="P560" s="26">
        <f t="shared" ref="P560:Q564" si="8">K560*M560</f>
        <v>0</v>
      </c>
      <c r="Q560" s="26">
        <f t="shared" si="8"/>
        <v>0</v>
      </c>
      <c r="R560" s="125"/>
      <c r="S560" s="125"/>
      <c r="T560" s="125"/>
      <c r="U560" s="10"/>
      <c r="V560" s="92">
        <f>IF(F560&lt;=$I$553,1*$I$556,0)</f>
        <v>0</v>
      </c>
      <c r="W560" s="96">
        <f>IF(F560&lt;=$I$553,1,0)</f>
        <v>1</v>
      </c>
      <c r="X560" s="92"/>
      <c r="Y560" s="96"/>
      <c r="Z560" s="126">
        <v>1</v>
      </c>
    </row>
    <row r="561" spans="1:26" s="126" customFormat="1" x14ac:dyDescent="0.55000000000000004">
      <c r="A561" s="117"/>
      <c r="B561"/>
      <c r="C561" s="124"/>
      <c r="D561" s="124"/>
      <c r="E561" s="124"/>
      <c r="F561" s="89">
        <f>IF($I$553&gt;=Z561,Z561,"")</f>
        <v>2</v>
      </c>
      <c r="G561" s="91">
        <f>IF($I$553&gt;=F561,H560+0.01,"")</f>
        <v>0.01</v>
      </c>
      <c r="H561" s="50"/>
      <c r="I561" s="61"/>
      <c r="J561" s="61"/>
      <c r="K561" s="13"/>
      <c r="L561" s="13"/>
      <c r="M561" s="44">
        <f>IF(F561&lt;=I553,IF(I557="No",M560*(1+I561),N561*I556),0)</f>
        <v>0</v>
      </c>
      <c r="N561" s="44">
        <f>IF(F561&lt;=I553,IF(I557="No",N560*(1+J561),(L514-J522)/(I556*SUMPRODUCT(X561:X564,K561:K564)+SUMPRODUCT(Y561:Y564,L561:L564))),0)</f>
        <v>0</v>
      </c>
      <c r="O561" s="97" t="str">
        <f>IFERROR(M561/N561,"")</f>
        <v/>
      </c>
      <c r="P561" s="26">
        <f t="shared" si="8"/>
        <v>0</v>
      </c>
      <c r="Q561" s="26">
        <f t="shared" si="8"/>
        <v>0</v>
      </c>
      <c r="R561" s="125"/>
      <c r="S561" s="125"/>
      <c r="T561" s="125"/>
      <c r="U561" s="10"/>
      <c r="V561" s="92">
        <f>IF(F561&lt;=$I$553,V560*(1+I561),0)</f>
        <v>0</v>
      </c>
      <c r="W561" s="96">
        <f>IF(F561&lt;=$I$553,(1+J561),0)</f>
        <v>1</v>
      </c>
      <c r="X561" s="92">
        <v>1</v>
      </c>
      <c r="Y561" s="96">
        <f>IF(F561&lt;=I553,1,0)</f>
        <v>1</v>
      </c>
      <c r="Z561" s="126">
        <v>2</v>
      </c>
    </row>
    <row r="562" spans="1:26" s="126" customFormat="1" x14ac:dyDescent="0.55000000000000004">
      <c r="A562" s="117"/>
      <c r="B562"/>
      <c r="C562" s="124"/>
      <c r="D562" s="124"/>
      <c r="E562" s="124"/>
      <c r="F562" s="89">
        <f>IF($I$553&gt;=Z562,Z562,"")</f>
        <v>3</v>
      </c>
      <c r="G562" s="91">
        <f>IF($I$553&gt;=F562,H561+0.01,"")</f>
        <v>0.01</v>
      </c>
      <c r="H562" s="50"/>
      <c r="I562" s="61"/>
      <c r="J562" s="61"/>
      <c r="K562" s="13"/>
      <c r="L562" s="13"/>
      <c r="M562" s="36">
        <f>IF(F562&lt;=$I$553,M561*(1+I562),0)</f>
        <v>0</v>
      </c>
      <c r="N562" s="36">
        <f>IF(F562&lt;=$I$553,N561*(1+J562),0)</f>
        <v>0</v>
      </c>
      <c r="O562" s="97" t="str">
        <f>IFERROR(M562/N562,"")</f>
        <v/>
      </c>
      <c r="P562" s="26">
        <f t="shared" si="8"/>
        <v>0</v>
      </c>
      <c r="Q562" s="26">
        <f t="shared" si="8"/>
        <v>0</v>
      </c>
      <c r="R562" s="125"/>
      <c r="S562" s="125"/>
      <c r="T562" s="125"/>
      <c r="U562" s="10"/>
      <c r="V562" s="92">
        <f>IF(F562&lt;=$I$553,V561*(1+I562),0)</f>
        <v>0</v>
      </c>
      <c r="W562" s="96">
        <f>IF(F562&lt;=$I$553,W561*(1+J562),0)</f>
        <v>1</v>
      </c>
      <c r="X562" s="92">
        <f>IF(F562&lt;=I553,X561*(1+I562),0)</f>
        <v>1</v>
      </c>
      <c r="Y562" s="96">
        <f>IF(F562&lt;=I553,Y561*(1+J562),0)</f>
        <v>1</v>
      </c>
      <c r="Z562" s="126">
        <v>3</v>
      </c>
    </row>
    <row r="563" spans="1:26" s="126" customFormat="1" x14ac:dyDescent="0.55000000000000004">
      <c r="A563" s="117"/>
      <c r="B563"/>
      <c r="C563" s="124"/>
      <c r="D563" s="124"/>
      <c r="E563" s="124"/>
      <c r="F563" s="89">
        <f>IF($I$553&gt;=Z563,Z563,"")</f>
        <v>4</v>
      </c>
      <c r="G563" s="91">
        <f>IF($I$553&gt;=F563,H562+0.01,"")</f>
        <v>0.01</v>
      </c>
      <c r="H563" s="50"/>
      <c r="I563" s="61"/>
      <c r="J563" s="61"/>
      <c r="K563" s="13"/>
      <c r="L563" s="13"/>
      <c r="M563" s="36">
        <f>IF(F563&lt;=$I$553,M562*(1+I563),0)</f>
        <v>0</v>
      </c>
      <c r="N563" s="36">
        <f>IF(F563&lt;=$I$553,N562*(1+J563),0)</f>
        <v>0</v>
      </c>
      <c r="O563" s="97" t="str">
        <f>IFERROR(M563/N563,"")</f>
        <v/>
      </c>
      <c r="P563" s="26">
        <f t="shared" si="8"/>
        <v>0</v>
      </c>
      <c r="Q563" s="26">
        <f t="shared" si="8"/>
        <v>0</v>
      </c>
      <c r="R563" s="125"/>
      <c r="S563" s="125"/>
      <c r="T563" s="125"/>
      <c r="U563" s="10"/>
      <c r="V563" s="92">
        <f>IF(F563&lt;=$I$553,V562*(1+I563),0)</f>
        <v>0</v>
      </c>
      <c r="W563" s="96">
        <f>IF(F563&lt;=$I$553,W562*(1+J563),0)</f>
        <v>1</v>
      </c>
      <c r="X563" s="92">
        <f>IF(F563&lt;=I553,X562*(1+I563),0)</f>
        <v>1</v>
      </c>
      <c r="Y563" s="96">
        <f>IF(F563&lt;=I553,Y562*(1+J563),0)</f>
        <v>1</v>
      </c>
      <c r="Z563" s="126">
        <v>4</v>
      </c>
    </row>
    <row r="564" spans="1:26" s="126" customFormat="1" x14ac:dyDescent="0.55000000000000004">
      <c r="A564" s="117"/>
      <c r="B564"/>
      <c r="C564" s="124"/>
      <c r="D564" s="124"/>
      <c r="E564" s="124"/>
      <c r="F564" s="89">
        <f>IF($I$553&gt;=Z564,Z564,"")</f>
        <v>5</v>
      </c>
      <c r="G564" s="91">
        <f>IF($I$553&gt;=F564,H563+0.01,"")</f>
        <v>0.01</v>
      </c>
      <c r="H564" s="89" t="s">
        <v>84</v>
      </c>
      <c r="I564" s="61"/>
      <c r="J564" s="61"/>
      <c r="K564" s="13"/>
      <c r="L564" s="13"/>
      <c r="M564" s="36">
        <f>IF(F564&lt;=$I$553,M563*(1+I564),0)</f>
        <v>0</v>
      </c>
      <c r="N564" s="36">
        <f>IF(F564&lt;=$I$553,N563*(1+J564),0)</f>
        <v>0</v>
      </c>
      <c r="O564" s="97" t="str">
        <f>IFERROR(M564/N564,"")</f>
        <v/>
      </c>
      <c r="P564" s="26">
        <f t="shared" si="8"/>
        <v>0</v>
      </c>
      <c r="Q564" s="26">
        <f t="shared" si="8"/>
        <v>0</v>
      </c>
      <c r="R564" s="125"/>
      <c r="S564" s="125"/>
      <c r="T564" s="125"/>
      <c r="U564" s="10"/>
      <c r="V564" s="92">
        <f>IF(F564&lt;=$I$553,V563*(1+I564),0)</f>
        <v>0</v>
      </c>
      <c r="W564" s="96">
        <f>IF(F564&lt;=$I$553,W563*(1+J564),0)</f>
        <v>1</v>
      </c>
      <c r="X564" s="92">
        <f>IF(F564&lt;=I553,X563*(1+I564),0)</f>
        <v>1</v>
      </c>
      <c r="Y564" s="96">
        <f>IF(F564&lt;=I553,Y563*(1+J564),0)</f>
        <v>1</v>
      </c>
      <c r="Z564" s="126">
        <v>5</v>
      </c>
    </row>
    <row r="565" spans="1:26" s="126" customFormat="1" ht="14.7" thickBot="1" x14ac:dyDescent="0.6">
      <c r="A565" s="117"/>
      <c r="B565"/>
      <c r="C565" s="124"/>
      <c r="D565" s="124"/>
      <c r="E565" s="130"/>
      <c r="F565" s="131"/>
      <c r="G565" s="131"/>
      <c r="H565" s="131"/>
      <c r="I565" s="131"/>
      <c r="J565" s="131"/>
      <c r="K565" s="131"/>
      <c r="L565" s="131"/>
      <c r="M565" s="131"/>
      <c r="N565" s="131"/>
      <c r="O565" s="131"/>
      <c r="P565" s="131"/>
      <c r="Q565" s="131"/>
      <c r="R565" s="132"/>
      <c r="S565" s="125"/>
      <c r="T565" s="125"/>
      <c r="U565" s="10"/>
    </row>
    <row r="566" spans="1:26" s="126" customFormat="1" ht="14.7" thickBot="1" x14ac:dyDescent="0.6">
      <c r="A566" s="117"/>
      <c r="B566"/>
      <c r="C566" s="124"/>
      <c r="D566" s="130"/>
      <c r="E566" s="131"/>
      <c r="F566" s="131"/>
      <c r="G566" s="131"/>
      <c r="H566" s="131"/>
      <c r="I566" s="131"/>
      <c r="J566" s="131"/>
      <c r="K566" s="131"/>
      <c r="L566" s="131"/>
      <c r="M566" s="131"/>
      <c r="N566" s="131"/>
      <c r="O566" s="131"/>
      <c r="P566" s="131"/>
      <c r="Q566" s="131"/>
      <c r="R566" s="131"/>
      <c r="S566" s="132"/>
      <c r="T566" s="125"/>
      <c r="U566" s="10"/>
    </row>
    <row r="567" spans="1:26" s="126" customFormat="1" ht="14.7" thickBot="1" x14ac:dyDescent="0.6">
      <c r="A567" s="117"/>
      <c r="B567"/>
      <c r="C567" s="130"/>
      <c r="D567" s="131"/>
      <c r="E567" s="131"/>
      <c r="F567" s="131"/>
      <c r="G567" s="131"/>
      <c r="H567" s="131"/>
      <c r="I567" s="131"/>
      <c r="J567" s="131"/>
      <c r="K567" s="131"/>
      <c r="L567" s="131"/>
      <c r="M567" s="131"/>
      <c r="N567" s="131"/>
      <c r="O567" s="131"/>
      <c r="P567" s="131"/>
      <c r="Q567" s="131"/>
      <c r="R567" s="131"/>
      <c r="S567" s="131"/>
      <c r="T567" s="132"/>
      <c r="U567" s="10"/>
    </row>
    <row r="568" spans="1:26" s="126" customFormat="1" ht="14.7" thickBot="1" x14ac:dyDescent="0.6">
      <c r="A568" s="117"/>
      <c r="B568"/>
      <c r="C568"/>
      <c r="D568"/>
      <c r="E568"/>
      <c r="F568"/>
      <c r="G568"/>
      <c r="H568"/>
      <c r="I568"/>
      <c r="J568"/>
      <c r="K568"/>
      <c r="L568"/>
      <c r="M568"/>
      <c r="N568"/>
      <c r="O568"/>
      <c r="P568"/>
      <c r="Q568"/>
      <c r="R568"/>
      <c r="S568"/>
      <c r="T568"/>
      <c r="U568" s="10"/>
    </row>
    <row r="569" spans="1:26" s="126" customFormat="1" x14ac:dyDescent="0.55000000000000004">
      <c r="A569" s="117"/>
      <c r="B569"/>
      <c r="C569" s="121"/>
      <c r="D569" s="122"/>
      <c r="E569" s="122"/>
      <c r="F569" s="122"/>
      <c r="G569" s="122"/>
      <c r="H569" s="122"/>
      <c r="I569" s="122"/>
      <c r="J569" s="122"/>
      <c r="K569" s="122"/>
      <c r="L569" s="122"/>
      <c r="M569" s="122"/>
      <c r="N569" s="122"/>
      <c r="O569" s="122"/>
      <c r="P569" s="122"/>
      <c r="Q569" s="122"/>
      <c r="R569" s="122"/>
      <c r="S569" s="122"/>
      <c r="T569" s="123"/>
      <c r="U569" s="10"/>
    </row>
    <row r="570" spans="1:26" s="126" customFormat="1" ht="18.3" x14ac:dyDescent="0.7">
      <c r="A570" s="117"/>
      <c r="B570"/>
      <c r="C570" s="124"/>
      <c r="D570" s="1822">
        <f>'2 Customer data'!D102</f>
        <v>0</v>
      </c>
      <c r="E570" s="1822"/>
      <c r="F570" s="1822"/>
      <c r="G570" s="1822"/>
      <c r="H570" s="1822"/>
      <c r="I570" s="1822"/>
      <c r="J570" s="1822"/>
      <c r="K570" s="1822"/>
      <c r="L570" s="1822"/>
      <c r="M570" s="1822"/>
      <c r="N570" s="1822"/>
      <c r="O570" s="1822"/>
      <c r="P570" s="1822"/>
      <c r="Q570" s="1822"/>
      <c r="R570" s="1822"/>
      <c r="S570" s="1822"/>
      <c r="T570" s="125"/>
      <c r="U570" s="10"/>
    </row>
    <row r="571" spans="1:26" s="126" customFormat="1" ht="14.7" thickBot="1" x14ac:dyDescent="0.6">
      <c r="A571" s="117"/>
      <c r="B571"/>
      <c r="C571" s="124"/>
      <c r="D571"/>
      <c r="E571"/>
      <c r="F571"/>
      <c r="G571"/>
      <c r="H571"/>
      <c r="I571"/>
      <c r="J571"/>
      <c r="K571"/>
      <c r="L571"/>
      <c r="M571"/>
      <c r="N571"/>
      <c r="O571"/>
      <c r="P571"/>
      <c r="Q571"/>
      <c r="R571"/>
      <c r="S571"/>
      <c r="T571" s="125"/>
      <c r="U571" s="10"/>
    </row>
    <row r="572" spans="1:26" s="126" customFormat="1" x14ac:dyDescent="0.55000000000000004">
      <c r="A572" s="117"/>
      <c r="B572"/>
      <c r="C572" s="124"/>
      <c r="D572" s="121"/>
      <c r="E572" s="122"/>
      <c r="F572" s="122"/>
      <c r="G572" s="122"/>
      <c r="H572" s="122"/>
      <c r="I572" s="122"/>
      <c r="J572" s="122"/>
      <c r="K572" s="122"/>
      <c r="L572" s="122"/>
      <c r="M572" s="122"/>
      <c r="N572" s="122"/>
      <c r="O572" s="122"/>
      <c r="P572" s="122"/>
      <c r="Q572" s="122"/>
      <c r="R572" s="122"/>
      <c r="S572" s="123"/>
      <c r="T572" s="125"/>
      <c r="U572" s="10"/>
    </row>
    <row r="573" spans="1:26" s="126" customFormat="1" x14ac:dyDescent="0.55000000000000004">
      <c r="A573" s="117"/>
      <c r="B573"/>
      <c r="C573" s="124"/>
      <c r="D573" s="124"/>
      <c r="E573"/>
      <c r="F573" s="1" t="str">
        <f>'2 Customer data'!D102&amp;" "&amp;"information"</f>
        <v xml:space="preserve"> information</v>
      </c>
      <c r="G573"/>
      <c r="H573"/>
      <c r="I573"/>
      <c r="J573"/>
      <c r="K573"/>
      <c r="L573"/>
      <c r="M573"/>
      <c r="N573"/>
      <c r="O573"/>
      <c r="P573"/>
      <c r="Q573"/>
      <c r="R573"/>
      <c r="S573" s="125"/>
      <c r="T573" s="125"/>
      <c r="U573" s="10"/>
    </row>
    <row r="574" spans="1:26" s="126" customFormat="1" x14ac:dyDescent="0.55000000000000004">
      <c r="A574" s="117"/>
      <c r="B574"/>
      <c r="C574" s="124"/>
      <c r="D574" s="124"/>
      <c r="E574"/>
      <c r="F574"/>
      <c r="G574"/>
      <c r="H574"/>
      <c r="I574"/>
      <c r="J574"/>
      <c r="K574"/>
      <c r="L574"/>
      <c r="M574"/>
      <c r="N574"/>
      <c r="O574"/>
      <c r="P574"/>
      <c r="Q574"/>
      <c r="R574"/>
      <c r="S574" s="125"/>
      <c r="T574" s="125"/>
      <c r="U574" s="10"/>
    </row>
    <row r="575" spans="1:26" s="126" customFormat="1" ht="28.8" x14ac:dyDescent="0.55000000000000004">
      <c r="A575" s="117"/>
      <c r="B575"/>
      <c r="C575" s="124"/>
      <c r="D575" s="124"/>
      <c r="E575"/>
      <c r="F575"/>
      <c r="G575" s="56" t="s">
        <v>28</v>
      </c>
      <c r="H575" s="56" t="s">
        <v>345</v>
      </c>
      <c r="I575" s="56" t="s">
        <v>60</v>
      </c>
      <c r="J575" s="56" t="s">
        <v>249</v>
      </c>
      <c r="K575" s="56" t="s">
        <v>279</v>
      </c>
      <c r="L575" s="56" t="s">
        <v>357</v>
      </c>
      <c r="M575"/>
      <c r="N575" s="162"/>
      <c r="O575"/>
      <c r="P575"/>
      <c r="Q575"/>
      <c r="R575"/>
      <c r="S575" s="125"/>
      <c r="T575" s="125"/>
      <c r="U575" s="10"/>
    </row>
    <row r="576" spans="1:26" s="126" customFormat="1" x14ac:dyDescent="0.55000000000000004">
      <c r="A576" s="117"/>
      <c r="B576"/>
      <c r="C576" s="124"/>
      <c r="D576" s="124"/>
      <c r="E576"/>
      <c r="F576">
        <f>'2 Customer data'!D102</f>
        <v>0</v>
      </c>
      <c r="G576" s="94">
        <f>IFERROR(IF(VLOOKUP(F576,'2 Customer data'!$D$93:$N$112,7,FALSE)="",VLOOKUP(F576,'2 Customer data'!$D$93:$N$112,6,FALSE),VLOOKUP(F576,'2 Customer data'!$D$93:$N$112,7,FALSE)),0)</f>
        <v>0</v>
      </c>
      <c r="H576" s="26">
        <f>IFERROR(IF(VLOOKUP(F576,'2 Customer data'!$D$93:$N$112,9,FALSE)="",VLOOKUP(F576,'2 Customer data'!$D$93:$N$112,8,FALSE),VLOOKUP(F576,'2 Customer data'!$D$93:$N$112,9,FALSE)),0)</f>
        <v>0</v>
      </c>
      <c r="I576" s="26">
        <f ca="1">IFERROR(VLOOKUP($F576,'2 Electricity'!$D$21:$L$40,6,FALSE),0)</f>
        <v>0</v>
      </c>
      <c r="J576" s="26">
        <f ca="1">IFERROR(VLOOKUP($F576,'2 Electricity'!$D$21:$L$40,7,FALSE),0)</f>
        <v>0</v>
      </c>
      <c r="K576" s="26">
        <f ca="1">IFERROR(VLOOKUP($F576,'2 Electricity'!$D$21:$L$40,8,FALSE),0)</f>
        <v>0</v>
      </c>
      <c r="L576" s="26">
        <f ca="1">IFERROR(VLOOKUP(F576,'2 Electricity'!$D$157:$K$176,8,FALSE),0)</f>
        <v>0</v>
      </c>
      <c r="M576"/>
      <c r="N576" s="134"/>
      <c r="O576"/>
      <c r="P576"/>
      <c r="Q576"/>
      <c r="R576"/>
      <c r="S576" s="125"/>
      <c r="T576" s="125"/>
      <c r="U576" s="10"/>
    </row>
    <row r="577" spans="1:22" s="126" customFormat="1" ht="14.7" thickBot="1" x14ac:dyDescent="0.6">
      <c r="A577" s="117"/>
      <c r="B577"/>
      <c r="C577" s="124"/>
      <c r="D577" s="130"/>
      <c r="E577" s="131"/>
      <c r="F577" s="131"/>
      <c r="G577" s="131"/>
      <c r="H577" s="131"/>
      <c r="I577" s="131"/>
      <c r="J577" s="131"/>
      <c r="K577" s="131"/>
      <c r="L577" s="131"/>
      <c r="M577" s="131"/>
      <c r="N577" s="131"/>
      <c r="O577" s="131"/>
      <c r="P577" s="131"/>
      <c r="Q577" s="131"/>
      <c r="R577" s="131"/>
      <c r="S577" s="132"/>
      <c r="T577" s="125"/>
      <c r="U577" s="10"/>
    </row>
    <row r="578" spans="1:22" s="126" customFormat="1" ht="14.7" thickBot="1" x14ac:dyDescent="0.6">
      <c r="A578" s="117"/>
      <c r="B578"/>
      <c r="C578" s="124"/>
      <c r="D578"/>
      <c r="E578"/>
      <c r="F578"/>
      <c r="G578"/>
      <c r="H578"/>
      <c r="I578"/>
      <c r="J578"/>
      <c r="K578"/>
      <c r="L578"/>
      <c r="M578"/>
      <c r="N578"/>
      <c r="O578"/>
      <c r="P578"/>
      <c r="Q578"/>
      <c r="R578"/>
      <c r="S578"/>
      <c r="T578" s="125"/>
      <c r="U578" s="10"/>
    </row>
    <row r="579" spans="1:22" s="126" customFormat="1" x14ac:dyDescent="0.55000000000000004">
      <c r="A579" s="117"/>
      <c r="B579"/>
      <c r="C579" s="124"/>
      <c r="D579" s="121"/>
      <c r="E579" s="122"/>
      <c r="F579" s="122"/>
      <c r="G579" s="122"/>
      <c r="H579" s="122"/>
      <c r="I579" s="122"/>
      <c r="J579" s="122"/>
      <c r="K579" s="122"/>
      <c r="L579" s="122"/>
      <c r="M579" s="122"/>
      <c r="N579" s="122"/>
      <c r="O579" s="122"/>
      <c r="P579" s="122"/>
      <c r="Q579" s="122"/>
      <c r="R579" s="122"/>
      <c r="S579" s="123"/>
      <c r="T579" s="125"/>
      <c r="U579" s="10"/>
    </row>
    <row r="580" spans="1:22" s="126" customFormat="1" x14ac:dyDescent="0.55000000000000004">
      <c r="A580" s="117"/>
      <c r="B580"/>
      <c r="C580" s="124"/>
      <c r="D580" s="124"/>
      <c r="E580"/>
      <c r="F580" s="1" t="s">
        <v>85</v>
      </c>
      <c r="G580"/>
      <c r="H580"/>
      <c r="I580"/>
      <c r="J580"/>
      <c r="K580"/>
      <c r="L580"/>
      <c r="M580"/>
      <c r="N580"/>
      <c r="O580"/>
      <c r="P580"/>
      <c r="Q580"/>
      <c r="R580"/>
      <c r="S580" s="125"/>
      <c r="T580" s="125"/>
      <c r="U580" s="10"/>
    </row>
    <row r="581" spans="1:22" s="126" customFormat="1" x14ac:dyDescent="0.55000000000000004">
      <c r="A581" s="117"/>
      <c r="B581"/>
      <c r="C581" s="124"/>
      <c r="D581" s="124"/>
      <c r="E581"/>
      <c r="F581" s="120" t="s">
        <v>555</v>
      </c>
      <c r="G581"/>
      <c r="H581"/>
      <c r="I581"/>
      <c r="J581"/>
      <c r="K581"/>
      <c r="L581"/>
      <c r="M581"/>
      <c r="N581"/>
      <c r="O581"/>
      <c r="P581"/>
      <c r="Q581"/>
      <c r="R581"/>
      <c r="S581" s="125"/>
      <c r="T581" s="125"/>
      <c r="U581" s="10"/>
    </row>
    <row r="582" spans="1:22" s="126" customFormat="1" x14ac:dyDescent="0.55000000000000004">
      <c r="A582" s="117"/>
      <c r="B582"/>
      <c r="C582" s="124"/>
      <c r="D582" s="124"/>
      <c r="E582"/>
      <c r="F582"/>
      <c r="G582"/>
      <c r="H582"/>
      <c r="I582"/>
      <c r="J582"/>
      <c r="K582"/>
      <c r="L582"/>
      <c r="M582"/>
      <c r="N582"/>
      <c r="O582"/>
      <c r="P582"/>
      <c r="Q582"/>
      <c r="R582"/>
      <c r="S582" s="125"/>
      <c r="T582" s="125"/>
      <c r="U582" s="10"/>
    </row>
    <row r="583" spans="1:22" s="126" customFormat="1" ht="43.2" x14ac:dyDescent="0.55000000000000004">
      <c r="A583" s="117"/>
      <c r="B583"/>
      <c r="C583" s="124"/>
      <c r="D583" s="124"/>
      <c r="E583"/>
      <c r="F583"/>
      <c r="G583" s="56" t="s">
        <v>86</v>
      </c>
      <c r="H583" s="56" t="s">
        <v>73</v>
      </c>
      <c r="I583" s="56" t="s">
        <v>87</v>
      </c>
      <c r="J583" s="56" t="s">
        <v>75</v>
      </c>
      <c r="K583" s="56" t="s">
        <v>76</v>
      </c>
      <c r="L583"/>
      <c r="M583"/>
      <c r="N583"/>
      <c r="O583"/>
      <c r="P583"/>
      <c r="Q583"/>
      <c r="R583"/>
      <c r="S583" s="125"/>
      <c r="T583" s="125"/>
      <c r="U583" s="10"/>
    </row>
    <row r="584" spans="1:22" s="126" customFormat="1" x14ac:dyDescent="0.55000000000000004">
      <c r="A584" s="117"/>
      <c r="B584"/>
      <c r="C584" s="124"/>
      <c r="D584" s="124"/>
      <c r="E584"/>
      <c r="F584">
        <f>F576</f>
        <v>0</v>
      </c>
      <c r="G584" s="26">
        <f ca="1">SUM(I576,K576)</f>
        <v>0</v>
      </c>
      <c r="H584" s="64">
        <f ca="1">IFERROR(G584/G576,0)/12</f>
        <v>0</v>
      </c>
      <c r="I584" s="84"/>
      <c r="J584" s="26">
        <f>I584*G576*12</f>
        <v>0</v>
      </c>
      <c r="K584" s="21">
        <f>J584/12</f>
        <v>0</v>
      </c>
      <c r="L584"/>
      <c r="M584"/>
      <c r="N584"/>
      <c r="O584"/>
      <c r="P584"/>
      <c r="Q584"/>
      <c r="R584"/>
      <c r="S584" s="125"/>
      <c r="T584" s="125"/>
      <c r="U584" s="10"/>
    </row>
    <row r="585" spans="1:22" s="126" customFormat="1" x14ac:dyDescent="0.55000000000000004">
      <c r="A585" s="117"/>
      <c r="B585"/>
      <c r="C585" s="124"/>
      <c r="D585" s="124"/>
      <c r="E585" s="133"/>
      <c r="F585" s="58" t="str">
        <f>IF(I584&gt;I574,"Error: revenue from fixed charges exceeds total revenue required from tariff. Reduce fixed charge.","")</f>
        <v/>
      </c>
      <c r="G585" s="58" t="str">
        <f ca="1">IF(J584&gt;L576,"Error: revenue from fixed charges exceeds total revenue required from tariff. Reduce fixed charge.","")</f>
        <v/>
      </c>
      <c r="H585" s="134"/>
      <c r="I585" s="134"/>
      <c r="J585" s="135"/>
      <c r="K585"/>
      <c r="L585"/>
      <c r="M585"/>
      <c r="N585"/>
      <c r="O585"/>
      <c r="P585"/>
      <c r="Q585"/>
      <c r="R585"/>
      <c r="S585" s="125"/>
      <c r="T585" s="125"/>
      <c r="U585" s="10"/>
    </row>
    <row r="586" spans="1:22" s="126" customFormat="1" ht="14.7" thickBot="1" x14ac:dyDescent="0.6">
      <c r="A586" s="117"/>
      <c r="B586"/>
      <c r="C586" s="124"/>
      <c r="D586" s="130"/>
      <c r="E586" s="131"/>
      <c r="F586" s="131"/>
      <c r="G586" s="131"/>
      <c r="H586" s="131"/>
      <c r="I586" s="131"/>
      <c r="J586" s="131"/>
      <c r="K586" s="131"/>
      <c r="L586" s="131"/>
      <c r="M586" s="131"/>
      <c r="N586" s="131"/>
      <c r="O586" s="131"/>
      <c r="P586" s="131"/>
      <c r="Q586" s="131"/>
      <c r="R586" s="131"/>
      <c r="S586" s="132"/>
      <c r="T586" s="125"/>
      <c r="U586" s="10"/>
    </row>
    <row r="587" spans="1:22" s="126" customFormat="1" ht="14.7" thickBot="1" x14ac:dyDescent="0.6">
      <c r="A587" s="117"/>
      <c r="B587"/>
      <c r="C587" s="124"/>
      <c r="D587"/>
      <c r="E587"/>
      <c r="F587"/>
      <c r="G587"/>
      <c r="H587"/>
      <c r="I587"/>
      <c r="J587"/>
      <c r="K587"/>
      <c r="L587"/>
      <c r="M587"/>
      <c r="N587"/>
      <c r="O587"/>
      <c r="P587"/>
      <c r="Q587"/>
      <c r="R587"/>
      <c r="S587"/>
      <c r="T587" s="125"/>
      <c r="U587" s="10"/>
    </row>
    <row r="588" spans="1:22" s="126" customFormat="1" x14ac:dyDescent="0.55000000000000004">
      <c r="A588" s="117"/>
      <c r="B588"/>
      <c r="C588" s="124"/>
      <c r="D588" s="121"/>
      <c r="E588" s="122"/>
      <c r="F588" s="122"/>
      <c r="G588" s="122"/>
      <c r="H588" s="122"/>
      <c r="I588" s="122"/>
      <c r="J588" s="122"/>
      <c r="K588" s="122"/>
      <c r="L588" s="122"/>
      <c r="M588" s="122"/>
      <c r="N588" s="122"/>
      <c r="O588" s="122"/>
      <c r="P588" s="122"/>
      <c r="Q588" s="122"/>
      <c r="R588" s="122"/>
      <c r="S588" s="123"/>
      <c r="T588" s="125"/>
      <c r="U588" s="10"/>
    </row>
    <row r="589" spans="1:22" s="126" customFormat="1" x14ac:dyDescent="0.55000000000000004">
      <c r="A589" s="117"/>
      <c r="B589"/>
      <c r="C589" s="124"/>
      <c r="D589" s="124"/>
      <c r="E589"/>
      <c r="F589" s="1" t="s">
        <v>96</v>
      </c>
      <c r="G589"/>
      <c r="H589"/>
      <c r="I589"/>
      <c r="J589"/>
      <c r="K589"/>
      <c r="L589"/>
      <c r="M589"/>
      <c r="N589"/>
      <c r="O589"/>
      <c r="P589"/>
      <c r="Q589"/>
      <c r="R589"/>
      <c r="S589" s="125"/>
      <c r="T589" s="125"/>
      <c r="U589" s="10"/>
    </row>
    <row r="590" spans="1:22" s="126" customFormat="1" ht="14.55" customHeight="1" x14ac:dyDescent="0.55000000000000004">
      <c r="A590" s="117"/>
      <c r="B590"/>
      <c r="C590" s="124"/>
      <c r="D590" s="124"/>
      <c r="E590"/>
      <c r="F590" s="1804" t="s">
        <v>560</v>
      </c>
      <c r="G590" s="1804"/>
      <c r="H590" s="1804"/>
      <c r="I590" s="1804"/>
      <c r="J590" s="1804"/>
      <c r="K590" s="1804"/>
      <c r="L590" s="1804"/>
      <c r="M590" s="1804"/>
      <c r="N590" s="1804"/>
      <c r="O590" s="1804"/>
      <c r="P590" s="1804"/>
      <c r="Q590" s="119"/>
      <c r="R590"/>
      <c r="S590" s="125"/>
      <c r="T590" s="125"/>
      <c r="U590" s="10"/>
    </row>
    <row r="591" spans="1:22" s="126" customFormat="1" x14ac:dyDescent="0.55000000000000004">
      <c r="A591" s="117"/>
      <c r="B591"/>
      <c r="C591" s="124"/>
      <c r="D591" s="124"/>
      <c r="E591"/>
      <c r="F591" s="119"/>
      <c r="G591" s="119"/>
      <c r="H591" s="119"/>
      <c r="I591" s="119"/>
      <c r="J591" s="119"/>
      <c r="K591" s="119"/>
      <c r="L591" s="119"/>
      <c r="M591" s="119"/>
      <c r="N591" s="119"/>
      <c r="O591" s="119"/>
      <c r="P591" s="119"/>
      <c r="Q591" s="119"/>
      <c r="R591"/>
      <c r="S591" s="125"/>
      <c r="T591" s="125"/>
      <c r="U591" s="10"/>
    </row>
    <row r="592" spans="1:22" s="126" customFormat="1" x14ac:dyDescent="0.55000000000000004">
      <c r="A592" s="117"/>
      <c r="B592"/>
      <c r="C592" s="124"/>
      <c r="D592" s="124"/>
      <c r="E592"/>
      <c r="F592" s="1" t="s">
        <v>348</v>
      </c>
      <c r="G592" s="80" t="s">
        <v>89</v>
      </c>
      <c r="H592" s="119"/>
      <c r="I592" s="119"/>
      <c r="J592" s="119"/>
      <c r="K592" s="119"/>
      <c r="L592" s="119"/>
      <c r="M592" s="119"/>
      <c r="N592" s="119"/>
      <c r="O592" s="119"/>
      <c r="P592" s="119"/>
      <c r="Q592" s="119"/>
      <c r="R592"/>
      <c r="S592" s="125"/>
      <c r="T592" s="125"/>
      <c r="U592" s="10"/>
      <c r="V592" s="126" t="s">
        <v>89</v>
      </c>
    </row>
    <row r="593" spans="1:24" s="126" customFormat="1" ht="14.7" thickBot="1" x14ac:dyDescent="0.6">
      <c r="A593" s="117"/>
      <c r="B593"/>
      <c r="C593" s="124"/>
      <c r="D593" s="124"/>
      <c r="E593"/>
      <c r="F593"/>
      <c r="G593" s="134"/>
      <c r="H593" s="119"/>
      <c r="I593" s="119"/>
      <c r="J593" s="119"/>
      <c r="K593" s="119"/>
      <c r="L593" s="119"/>
      <c r="M593" s="119"/>
      <c r="N593" s="119"/>
      <c r="O593" s="119"/>
      <c r="P593" s="119"/>
      <c r="Q593" s="119"/>
      <c r="R593"/>
      <c r="S593" s="125"/>
      <c r="T593" s="125"/>
      <c r="U593" s="10"/>
      <c r="V593" s="126" t="s">
        <v>90</v>
      </c>
    </row>
    <row r="594" spans="1:24" s="126" customFormat="1" x14ac:dyDescent="0.55000000000000004">
      <c r="A594" s="117"/>
      <c r="B594"/>
      <c r="C594" s="124"/>
      <c r="D594" s="124"/>
      <c r="E594" s="121"/>
      <c r="F594" s="122"/>
      <c r="G594" s="122"/>
      <c r="H594" s="122"/>
      <c r="I594" s="122"/>
      <c r="J594" s="122"/>
      <c r="K594" s="122"/>
      <c r="L594" s="122"/>
      <c r="M594" s="122"/>
      <c r="N594" s="122"/>
      <c r="O594" s="122"/>
      <c r="P594" s="122"/>
      <c r="Q594" s="122"/>
      <c r="R594" s="123"/>
      <c r="S594" s="125"/>
      <c r="T594" s="125"/>
      <c r="U594" s="10"/>
    </row>
    <row r="595" spans="1:24" s="126" customFormat="1" x14ac:dyDescent="0.55000000000000004">
      <c r="A595" s="117"/>
      <c r="B595"/>
      <c r="C595" s="124"/>
      <c r="D595" s="124"/>
      <c r="E595" s="124"/>
      <c r="F595" s="1" t="s">
        <v>343</v>
      </c>
      <c r="G595" s="163"/>
      <c r="H595"/>
      <c r="I595"/>
      <c r="J595"/>
      <c r="K595"/>
      <c r="L595"/>
      <c r="M595"/>
      <c r="N595"/>
      <c r="O595"/>
      <c r="P595"/>
      <c r="Q595"/>
      <c r="R595" s="125"/>
      <c r="S595" s="125"/>
      <c r="T595" s="125"/>
      <c r="U595" s="10"/>
    </row>
    <row r="596" spans="1:24" s="126" customFormat="1" ht="14.55" customHeight="1" x14ac:dyDescent="0.55000000000000004">
      <c r="A596" s="117"/>
      <c r="B596"/>
      <c r="C596" s="124"/>
      <c r="D596" s="124"/>
      <c r="E596" s="124"/>
      <c r="F596" s="1804" t="s">
        <v>561</v>
      </c>
      <c r="G596" s="1804"/>
      <c r="H596" s="1804"/>
      <c r="I596" s="1804"/>
      <c r="J596" s="1804"/>
      <c r="K596" s="1804"/>
      <c r="L596" s="1804"/>
      <c r="M596" s="1804"/>
      <c r="N596" s="1804"/>
      <c r="O596" s="1804"/>
      <c r="P596" s="1804"/>
      <c r="Q596" s="1804"/>
      <c r="R596" s="125"/>
      <c r="S596" s="125"/>
      <c r="T596" s="125"/>
      <c r="U596" s="10"/>
    </row>
    <row r="597" spans="1:24" s="126" customFormat="1" x14ac:dyDescent="0.55000000000000004">
      <c r="A597" s="117"/>
      <c r="B597"/>
      <c r="C597" s="124"/>
      <c r="D597" s="124"/>
      <c r="E597" s="124"/>
      <c r="F597" s="1804"/>
      <c r="G597" s="1804"/>
      <c r="H597" s="1804"/>
      <c r="I597" s="1804"/>
      <c r="J597" s="1804"/>
      <c r="K597" s="1804"/>
      <c r="L597" s="1804"/>
      <c r="M597" s="1804"/>
      <c r="N597" s="1804"/>
      <c r="O597" s="1804"/>
      <c r="P597" s="1804"/>
      <c r="Q597" s="1804"/>
      <c r="R597" s="125"/>
      <c r="S597" s="125"/>
      <c r="T597" s="125"/>
      <c r="U597" s="10"/>
    </row>
    <row r="598" spans="1:24" s="126" customFormat="1" x14ac:dyDescent="0.55000000000000004">
      <c r="A598" s="117"/>
      <c r="B598"/>
      <c r="C598" s="124"/>
      <c r="D598" s="124"/>
      <c r="E598" s="124"/>
      <c r="F598" s="1"/>
      <c r="G598" s="163"/>
      <c r="H598"/>
      <c r="I598"/>
      <c r="J598"/>
      <c r="K598"/>
      <c r="L598"/>
      <c r="M598"/>
      <c r="N598"/>
      <c r="O598"/>
      <c r="P598"/>
      <c r="Q598"/>
      <c r="R598" s="125"/>
      <c r="S598" s="125"/>
      <c r="T598" s="125"/>
      <c r="U598" s="10"/>
    </row>
    <row r="599" spans="1:24" s="126" customFormat="1" x14ac:dyDescent="0.55000000000000004">
      <c r="A599" s="117"/>
      <c r="B599"/>
      <c r="C599" s="124"/>
      <c r="D599" s="124"/>
      <c r="E599" s="124"/>
      <c r="F599" s="164" t="s">
        <v>88</v>
      </c>
      <c r="G599" s="10"/>
      <c r="H599"/>
      <c r="I599" s="50">
        <v>5</v>
      </c>
      <c r="J599"/>
      <c r="K599"/>
      <c r="L599"/>
      <c r="M599"/>
      <c r="N599"/>
      <c r="O599"/>
      <c r="P599"/>
      <c r="Q599"/>
      <c r="R599" s="125"/>
      <c r="S599" s="125"/>
      <c r="T599" s="125"/>
      <c r="U599" s="10"/>
    </row>
    <row r="600" spans="1:24" s="126" customFormat="1" x14ac:dyDescent="0.55000000000000004">
      <c r="A600" s="117"/>
      <c r="B600"/>
      <c r="C600" s="124"/>
      <c r="D600" s="124"/>
      <c r="E600" s="124"/>
      <c r="F600" s="10" t="s">
        <v>612</v>
      </c>
      <c r="H600"/>
      <c r="I600" s="159" t="s">
        <v>578</v>
      </c>
      <c r="J600"/>
      <c r="K600"/>
      <c r="L600"/>
      <c r="M600"/>
      <c r="N600"/>
      <c r="O600"/>
      <c r="P600"/>
      <c r="Q600"/>
      <c r="R600" s="125"/>
      <c r="S600" s="125"/>
      <c r="T600" s="125"/>
      <c r="U600" s="10"/>
    </row>
    <row r="601" spans="1:24" s="126" customFormat="1" x14ac:dyDescent="0.55000000000000004">
      <c r="A601" s="117"/>
      <c r="B601"/>
      <c r="C601" s="124"/>
      <c r="D601" s="124"/>
      <c r="E601" s="124"/>
      <c r="F601"/>
      <c r="G601"/>
      <c r="H601"/>
      <c r="I601"/>
      <c r="J601"/>
      <c r="K601"/>
      <c r="L601"/>
      <c r="M601"/>
      <c r="N601"/>
      <c r="O601"/>
      <c r="P601"/>
      <c r="Q601"/>
      <c r="R601" s="125"/>
      <c r="S601" s="125"/>
      <c r="T601" s="125"/>
      <c r="U601" s="10"/>
    </row>
    <row r="602" spans="1:24" s="126" customFormat="1" ht="57.6" x14ac:dyDescent="0.55000000000000004">
      <c r="A602" s="117"/>
      <c r="B602"/>
      <c r="C602" s="124"/>
      <c r="D602" s="124"/>
      <c r="E602" s="124"/>
      <c r="F602" s="56" t="s">
        <v>91</v>
      </c>
      <c r="G602" s="56" t="s">
        <v>92</v>
      </c>
      <c r="H602" s="129" t="s">
        <v>80</v>
      </c>
      <c r="I602" s="56" t="s">
        <v>340</v>
      </c>
      <c r="J602" s="56" t="s">
        <v>356</v>
      </c>
      <c r="K602" s="165" t="s">
        <v>349</v>
      </c>
      <c r="L602" s="166" t="s">
        <v>350</v>
      </c>
      <c r="M602" s="162"/>
      <c r="N602" s="162"/>
      <c r="O602" s="162"/>
      <c r="P602" s="162"/>
      <c r="Q602" s="162"/>
      <c r="R602" s="167"/>
      <c r="S602" s="167"/>
      <c r="T602" s="167"/>
      <c r="U602" s="10"/>
      <c r="V602" s="168" t="s">
        <v>621</v>
      </c>
      <c r="W602" s="168" t="s">
        <v>622</v>
      </c>
    </row>
    <row r="603" spans="1:24" s="126" customFormat="1" x14ac:dyDescent="0.55000000000000004">
      <c r="A603" s="117"/>
      <c r="B603"/>
      <c r="C603" s="124"/>
      <c r="D603" s="124"/>
      <c r="E603" s="124"/>
      <c r="F603" s="89">
        <f>IF($I$599=X603,X603,1)</f>
        <v>1</v>
      </c>
      <c r="G603" s="91">
        <v>0</v>
      </c>
      <c r="H603" s="50"/>
      <c r="I603" s="169"/>
      <c r="J603" s="21">
        <f>IF(G592=V592,H576-SUMIF(F604:F607,"&lt;="&amp;$I$599,J604:J607),0)</f>
        <v>0</v>
      </c>
      <c r="K603" s="114">
        <f ca="1">IFERROR(IF(G592=V592,IF(F603&lt;=I599,IF(I600="No",IF(J584=0,L576/SUMPRODUCT(V603:V607,J603:J607),(L576-J584)/SUMPRODUCT(V603:V607,J603:J607)),0),0),0),0)</f>
        <v>0</v>
      </c>
      <c r="L603" s="31">
        <f ca="1">J603*K603</f>
        <v>0</v>
      </c>
      <c r="M603" s="170"/>
      <c r="N603" s="135"/>
      <c r="O603" s="171"/>
      <c r="P603"/>
      <c r="Q603"/>
      <c r="R603" s="125"/>
      <c r="S603" s="125"/>
      <c r="T603" s="125"/>
      <c r="U603" s="10"/>
      <c r="V603" s="96">
        <f>IF(F603&lt;=$I$599,1,0)</f>
        <v>1</v>
      </c>
      <c r="X603" s="126">
        <v>1</v>
      </c>
    </row>
    <row r="604" spans="1:24" s="126" customFormat="1" x14ac:dyDescent="0.55000000000000004">
      <c r="A604" s="117"/>
      <c r="B604"/>
      <c r="C604" s="124"/>
      <c r="D604" s="124"/>
      <c r="E604" s="124"/>
      <c r="F604" s="89">
        <f>IF($I$599&gt;=X604,X604,"")</f>
        <v>2</v>
      </c>
      <c r="G604" s="91">
        <f>IF($I$599&gt;=F604,H603+0.01,"")</f>
        <v>0.01</v>
      </c>
      <c r="H604" s="50"/>
      <c r="I604" s="61"/>
      <c r="J604" s="13"/>
      <c r="K604" s="114">
        <f ca="1">IFERROR(IF(F604&lt;=I599,IF(I600="No",K603*(1+I604),IF(J584=0,L576/SUMPRODUCT(W604:W607,J604:J607),(L576-J584)/SUMPRODUCT(W604:W607,J604:J607))),0),0)</f>
        <v>0</v>
      </c>
      <c r="L604" s="31">
        <f ca="1">J604*K604</f>
        <v>0</v>
      </c>
      <c r="M604" s="170"/>
      <c r="N604" s="135"/>
      <c r="O604" s="171"/>
      <c r="P604"/>
      <c r="Q604"/>
      <c r="R604" s="125"/>
      <c r="S604" s="125"/>
      <c r="T604" s="125"/>
      <c r="U604" s="10"/>
      <c r="V604" s="96">
        <f>IF(F604&lt;=$I$599,(1+I604),0)</f>
        <v>1</v>
      </c>
      <c r="W604" s="92">
        <f>IF(F604&lt;=I599,1,0)</f>
        <v>1</v>
      </c>
      <c r="X604" s="126">
        <v>2</v>
      </c>
    </row>
    <row r="605" spans="1:24" s="126" customFormat="1" x14ac:dyDescent="0.55000000000000004">
      <c r="A605" s="117"/>
      <c r="B605"/>
      <c r="C605" s="124"/>
      <c r="D605" s="124"/>
      <c r="E605" s="124"/>
      <c r="F605" s="89">
        <f>IF($I$599&gt;=X605,X605,"")</f>
        <v>3</v>
      </c>
      <c r="G605" s="91">
        <f>IF($I$599&gt;=F605,H604+0.01,"")</f>
        <v>0.01</v>
      </c>
      <c r="H605" s="50"/>
      <c r="I605" s="61"/>
      <c r="J605" s="13"/>
      <c r="K605" s="95">
        <f ca="1">IF(F605&lt;=$I$599,K604*(1+I605),0)</f>
        <v>0</v>
      </c>
      <c r="L605" s="31">
        <f ca="1">J605*K605</f>
        <v>0</v>
      </c>
      <c r="M605" s="170"/>
      <c r="N605" s="135"/>
      <c r="O605" s="171"/>
      <c r="P605"/>
      <c r="Q605"/>
      <c r="R605" s="125"/>
      <c r="S605" s="125"/>
      <c r="T605" s="125"/>
      <c r="U605" s="10"/>
      <c r="V605" s="96">
        <f>IF(F605&lt;=$I$599,V604*(1+I605),0)</f>
        <v>1</v>
      </c>
      <c r="W605" s="92">
        <f>IF(F605&lt;=I599,W604*(1+I605),0)</f>
        <v>1</v>
      </c>
      <c r="X605" s="126">
        <v>3</v>
      </c>
    </row>
    <row r="606" spans="1:24" s="126" customFormat="1" x14ac:dyDescent="0.55000000000000004">
      <c r="A606" s="117"/>
      <c r="B606"/>
      <c r="C606" s="124"/>
      <c r="D606" s="124"/>
      <c r="E606" s="124"/>
      <c r="F606" s="89">
        <f>IF($I$599&gt;=X606,X606,"")</f>
        <v>4</v>
      </c>
      <c r="G606" s="91">
        <f>IF($I$599&gt;=F606,H605+0.01,"")</f>
        <v>0.01</v>
      </c>
      <c r="H606" s="50"/>
      <c r="I606" s="61"/>
      <c r="J606" s="13"/>
      <c r="K606" s="95">
        <f ca="1">IF(F606&lt;=$I$599,K605*(1+I606),0)</f>
        <v>0</v>
      </c>
      <c r="L606" s="31">
        <f ca="1">J606*K606</f>
        <v>0</v>
      </c>
      <c r="M606" s="170"/>
      <c r="N606" s="135"/>
      <c r="O606" s="171"/>
      <c r="P606"/>
      <c r="Q606"/>
      <c r="R606" s="125"/>
      <c r="S606" s="125"/>
      <c r="T606" s="125"/>
      <c r="U606" s="10"/>
      <c r="V606" s="96">
        <f>IF(F606&lt;=$I$599,V605*(1+I606),0)</f>
        <v>1</v>
      </c>
      <c r="W606" s="92">
        <f>IF(F606&lt;=I599,W605*(1+I606),0)</f>
        <v>1</v>
      </c>
      <c r="X606" s="126">
        <v>4</v>
      </c>
    </row>
    <row r="607" spans="1:24" s="126" customFormat="1" x14ac:dyDescent="0.55000000000000004">
      <c r="A607" s="117"/>
      <c r="B607"/>
      <c r="C607" s="124"/>
      <c r="D607" s="124"/>
      <c r="E607" s="124"/>
      <c r="F607" s="89">
        <f>IF($I$599&gt;=X607,X607,"")</f>
        <v>5</v>
      </c>
      <c r="G607" s="91">
        <f>IF($I$599&gt;=F607,H606+0.01,"")</f>
        <v>0.01</v>
      </c>
      <c r="H607" s="89" t="s">
        <v>84</v>
      </c>
      <c r="I607" s="61"/>
      <c r="J607" s="13"/>
      <c r="K607" s="95">
        <f ca="1">IF(F607&lt;=$I$599,K606*(1+I607),0)</f>
        <v>0</v>
      </c>
      <c r="L607" s="31">
        <f ca="1">J607*K607</f>
        <v>0</v>
      </c>
      <c r="M607" s="170"/>
      <c r="N607" s="135"/>
      <c r="O607" s="171"/>
      <c r="P607"/>
      <c r="Q607"/>
      <c r="R607" s="125"/>
      <c r="S607" s="125"/>
      <c r="T607" s="125"/>
      <c r="U607" s="10"/>
      <c r="V607" s="96">
        <f>IF(F607&lt;=$I$599,V606*(1+I607),0)</f>
        <v>1</v>
      </c>
      <c r="W607" s="92">
        <f>IF(F607&lt;=I599,W606*(1+I607),0)</f>
        <v>1</v>
      </c>
      <c r="X607" s="126">
        <v>5</v>
      </c>
    </row>
    <row r="608" spans="1:24" s="126" customFormat="1" ht="14.7" thickBot="1" x14ac:dyDescent="0.6">
      <c r="A608" s="117"/>
      <c r="B608"/>
      <c r="C608" s="124"/>
      <c r="D608" s="124"/>
      <c r="E608" s="130"/>
      <c r="F608" s="149"/>
      <c r="G608" s="150"/>
      <c r="H608" s="149"/>
      <c r="I608" s="172"/>
      <c r="J608" s="173"/>
      <c r="K608" s="173"/>
      <c r="L608" s="173"/>
      <c r="M608" s="174"/>
      <c r="N608" s="152"/>
      <c r="O608" s="175"/>
      <c r="P608" s="131"/>
      <c r="Q608" s="131"/>
      <c r="R608" s="132"/>
      <c r="S608" s="125"/>
      <c r="T608" s="125"/>
      <c r="U608" s="10"/>
    </row>
    <row r="609" spans="1:26" s="126" customFormat="1" ht="14.7" thickBot="1" x14ac:dyDescent="0.6">
      <c r="A609" s="117"/>
      <c r="B609"/>
      <c r="C609" s="124"/>
      <c r="D609" s="124"/>
      <c r="E609"/>
      <c r="F609" s="163"/>
      <c r="G609" s="176"/>
      <c r="H609" s="163"/>
      <c r="I609" s="177"/>
      <c r="J609" s="178"/>
      <c r="K609" s="178"/>
      <c r="L609" s="178"/>
      <c r="M609" s="170"/>
      <c r="N609" s="135"/>
      <c r="O609" s="171"/>
      <c r="P609"/>
      <c r="Q609"/>
      <c r="R609"/>
      <c r="S609" s="125"/>
      <c r="T609" s="125"/>
      <c r="U609" s="10"/>
    </row>
    <row r="610" spans="1:26" s="126" customFormat="1" x14ac:dyDescent="0.55000000000000004">
      <c r="A610" s="117"/>
      <c r="B610"/>
      <c r="C610" s="124"/>
      <c r="D610" s="124"/>
      <c r="E610" s="121"/>
      <c r="F610" s="179"/>
      <c r="G610" s="180"/>
      <c r="H610" s="179"/>
      <c r="I610" s="181"/>
      <c r="J610" s="182"/>
      <c r="K610" s="182"/>
      <c r="L610" s="182"/>
      <c r="M610" s="183"/>
      <c r="N610" s="184"/>
      <c r="O610" s="185"/>
      <c r="P610" s="122"/>
      <c r="Q610" s="122"/>
      <c r="R610" s="123"/>
      <c r="S610" s="125"/>
      <c r="T610" s="125"/>
      <c r="U610" s="10"/>
    </row>
    <row r="611" spans="1:26" s="126" customFormat="1" x14ac:dyDescent="0.55000000000000004">
      <c r="A611" s="117"/>
      <c r="B611"/>
      <c r="C611" s="124"/>
      <c r="D611" s="124"/>
      <c r="E611" s="124"/>
      <c r="F611" s="186" t="s">
        <v>344</v>
      </c>
      <c r="G611" s="176"/>
      <c r="H611" s="163"/>
      <c r="I611" s="177"/>
      <c r="J611" s="178"/>
      <c r="K611" s="178"/>
      <c r="L611" s="178"/>
      <c r="M611" s="170"/>
      <c r="N611" s="135"/>
      <c r="O611" s="187"/>
      <c r="P611"/>
      <c r="Q611"/>
      <c r="R611" s="125"/>
      <c r="S611" s="125"/>
      <c r="T611" s="125"/>
      <c r="U611" s="10"/>
    </row>
    <row r="612" spans="1:26" s="126" customFormat="1" ht="14.55" customHeight="1" x14ac:dyDescent="0.55000000000000004">
      <c r="A612" s="117"/>
      <c r="B612"/>
      <c r="C612" s="124"/>
      <c r="D612" s="124"/>
      <c r="E612" s="124"/>
      <c r="F612" s="1804" t="s">
        <v>562</v>
      </c>
      <c r="G612" s="1804"/>
      <c r="H612" s="1804"/>
      <c r="I612" s="1804"/>
      <c r="J612" s="1804"/>
      <c r="K612" s="1804"/>
      <c r="L612" s="1804"/>
      <c r="M612" s="1804"/>
      <c r="N612" s="1804"/>
      <c r="O612" s="1804"/>
      <c r="P612" s="1804"/>
      <c r="Q612" s="1804"/>
      <c r="R612" s="125"/>
      <c r="S612" s="125"/>
      <c r="T612" s="125"/>
      <c r="U612" s="10"/>
    </row>
    <row r="613" spans="1:26" s="126" customFormat="1" x14ac:dyDescent="0.55000000000000004">
      <c r="A613" s="117"/>
      <c r="B613"/>
      <c r="C613" s="124"/>
      <c r="D613" s="124"/>
      <c r="E613" s="124"/>
      <c r="F613" s="1804"/>
      <c r="G613" s="1804"/>
      <c r="H613" s="1804"/>
      <c r="I613" s="1804"/>
      <c r="J613" s="1804"/>
      <c r="K613" s="1804"/>
      <c r="L613" s="1804"/>
      <c r="M613" s="1804"/>
      <c r="N613" s="1804"/>
      <c r="O613" s="1804"/>
      <c r="P613" s="1804"/>
      <c r="Q613" s="1804"/>
      <c r="R613" s="125"/>
      <c r="S613" s="125"/>
      <c r="T613" s="125"/>
      <c r="U613" s="10"/>
    </row>
    <row r="614" spans="1:26" s="126" customFormat="1" x14ac:dyDescent="0.55000000000000004">
      <c r="A614" s="117"/>
      <c r="B614"/>
      <c r="C614" s="124"/>
      <c r="D614" s="124"/>
      <c r="E614" s="124"/>
      <c r="F614" s="186"/>
      <c r="G614" s="176"/>
      <c r="H614" s="163"/>
      <c r="I614" s="177"/>
      <c r="J614" s="178"/>
      <c r="K614" s="178"/>
      <c r="L614" s="178"/>
      <c r="M614" s="170"/>
      <c r="N614" s="135"/>
      <c r="O614" s="187"/>
      <c r="P614"/>
      <c r="Q614"/>
      <c r="R614" s="125"/>
      <c r="S614" s="125"/>
      <c r="T614" s="125"/>
      <c r="U614" s="10"/>
    </row>
    <row r="615" spans="1:26" s="126" customFormat="1" x14ac:dyDescent="0.55000000000000004">
      <c r="A615" s="117"/>
      <c r="B615"/>
      <c r="C615" s="124"/>
      <c r="D615" s="124"/>
      <c r="E615" s="124"/>
      <c r="F615" s="164" t="s">
        <v>88</v>
      </c>
      <c r="G615" s="10"/>
      <c r="H615" s="163"/>
      <c r="I615" s="50">
        <v>5</v>
      </c>
      <c r="J615" s="178"/>
      <c r="K615" s="178"/>
      <c r="L615" s="178"/>
      <c r="M615" s="170"/>
      <c r="N615" s="135"/>
      <c r="O615" s="187"/>
      <c r="P615"/>
      <c r="Q615"/>
      <c r="R615" s="125"/>
      <c r="S615" s="125"/>
      <c r="T615" s="125"/>
      <c r="U615" s="10"/>
    </row>
    <row r="616" spans="1:26" s="126" customFormat="1" x14ac:dyDescent="0.55000000000000004">
      <c r="A616" s="117"/>
      <c r="B616"/>
      <c r="C616" s="124"/>
      <c r="D616" s="124"/>
      <c r="E616" s="124"/>
      <c r="F616" t="s">
        <v>346</v>
      </c>
      <c r="G616" s="10"/>
      <c r="H616" s="163"/>
      <c r="I616" s="13"/>
      <c r="J616" s="178"/>
      <c r="K616" s="178"/>
      <c r="L616" s="178"/>
      <c r="M616" s="170"/>
      <c r="N616" s="135"/>
      <c r="O616" s="187"/>
      <c r="P616"/>
      <c r="Q616"/>
      <c r="R616" s="125"/>
      <c r="S616" s="125"/>
      <c r="T616" s="125"/>
      <c r="U616" s="10"/>
    </row>
    <row r="617" spans="1:26" s="126" customFormat="1" x14ac:dyDescent="0.55000000000000004">
      <c r="A617" s="117"/>
      <c r="B617"/>
      <c r="C617" s="124"/>
      <c r="D617" s="124"/>
      <c r="E617" s="124"/>
      <c r="F617" t="s">
        <v>347</v>
      </c>
      <c r="G617" s="10"/>
      <c r="H617" s="163"/>
      <c r="I617" s="13"/>
      <c r="J617" s="178"/>
      <c r="K617" s="178"/>
      <c r="L617" s="178"/>
      <c r="M617" s="170"/>
      <c r="N617" s="135"/>
      <c r="O617" s="187"/>
      <c r="P617"/>
      <c r="Q617"/>
      <c r="R617" s="125"/>
      <c r="S617" s="125"/>
      <c r="T617" s="125"/>
      <c r="U617" s="10"/>
    </row>
    <row r="618" spans="1:26" s="126" customFormat="1" x14ac:dyDescent="0.55000000000000004">
      <c r="A618" s="117"/>
      <c r="B618"/>
      <c r="C618" s="124"/>
      <c r="D618" s="124"/>
      <c r="E618" s="124"/>
      <c r="F618" t="s">
        <v>366</v>
      </c>
      <c r="G618" s="10"/>
      <c r="H618"/>
      <c r="I618" s="93"/>
      <c r="J618"/>
      <c r="K618" s="178"/>
      <c r="L618" s="178"/>
      <c r="M618" s="170"/>
      <c r="N618" s="135"/>
      <c r="O618" s="187"/>
      <c r="P618"/>
      <c r="Q618"/>
      <c r="R618" s="125"/>
      <c r="S618" s="125"/>
      <c r="T618" s="125"/>
      <c r="U618" s="10"/>
    </row>
    <row r="619" spans="1:26" s="126" customFormat="1" x14ac:dyDescent="0.55000000000000004">
      <c r="A619" s="117"/>
      <c r="B619"/>
      <c r="C619" s="124"/>
      <c r="D619" s="124"/>
      <c r="E619" s="124"/>
      <c r="F619" s="10" t="s">
        <v>612</v>
      </c>
      <c r="G619" s="10"/>
      <c r="H619" s="10"/>
      <c r="I619" s="159" t="s">
        <v>578</v>
      </c>
      <c r="J619"/>
      <c r="K619" s="178"/>
      <c r="L619" s="178"/>
      <c r="M619" s="170"/>
      <c r="N619" s="135"/>
      <c r="O619" s="187"/>
      <c r="P619"/>
      <c r="Q619"/>
      <c r="R619" s="125"/>
      <c r="S619" s="125"/>
      <c r="T619" s="125"/>
      <c r="U619" s="10"/>
    </row>
    <row r="620" spans="1:26" s="126" customFormat="1" x14ac:dyDescent="0.55000000000000004">
      <c r="A620" s="117"/>
      <c r="B620"/>
      <c r="C620" s="124"/>
      <c r="D620" s="124"/>
      <c r="E620" s="124"/>
      <c r="F620"/>
      <c r="G620"/>
      <c r="H620"/>
      <c r="I620" s="188"/>
      <c r="J620"/>
      <c r="K620" s="178"/>
      <c r="L620" s="178"/>
      <c r="M620" s="170"/>
      <c r="N620" s="135"/>
      <c r="O620" s="187"/>
      <c r="P620"/>
      <c r="Q620"/>
      <c r="R620" s="125"/>
      <c r="S620" s="125"/>
      <c r="T620" s="125"/>
      <c r="U620" s="10"/>
    </row>
    <row r="621" spans="1:26" s="126" customFormat="1" ht="57.6" x14ac:dyDescent="0.55000000000000004">
      <c r="A621" s="117"/>
      <c r="B621"/>
      <c r="C621" s="124"/>
      <c r="D621" s="124"/>
      <c r="E621" s="124"/>
      <c r="F621" s="56" t="s">
        <v>91</v>
      </c>
      <c r="G621" s="56" t="s">
        <v>92</v>
      </c>
      <c r="H621" s="129" t="s">
        <v>80</v>
      </c>
      <c r="I621" s="56" t="s">
        <v>367</v>
      </c>
      <c r="J621" s="56" t="s">
        <v>368</v>
      </c>
      <c r="K621" s="56" t="s">
        <v>341</v>
      </c>
      <c r="L621" s="56" t="s">
        <v>342</v>
      </c>
      <c r="M621" s="166" t="s">
        <v>351</v>
      </c>
      <c r="N621" s="56" t="s">
        <v>352</v>
      </c>
      <c r="O621" s="56" t="s">
        <v>353</v>
      </c>
      <c r="P621" s="56" t="s">
        <v>354</v>
      </c>
      <c r="Q621" s="56" t="s">
        <v>355</v>
      </c>
      <c r="R621" s="125"/>
      <c r="S621" s="125"/>
      <c r="T621" s="125"/>
      <c r="U621" s="10"/>
      <c r="V621" s="189" t="s">
        <v>616</v>
      </c>
      <c r="W621" s="168" t="s">
        <v>617</v>
      </c>
      <c r="X621" s="189" t="s">
        <v>618</v>
      </c>
      <c r="Y621" s="168" t="s">
        <v>619</v>
      </c>
    </row>
    <row r="622" spans="1:26" s="126" customFormat="1" x14ac:dyDescent="0.55000000000000004">
      <c r="A622" s="117"/>
      <c r="B622"/>
      <c r="C622" s="124"/>
      <c r="D622" s="124"/>
      <c r="E622" s="124"/>
      <c r="F622" s="89">
        <f>IF($I$615=Z622,Z622,1)</f>
        <v>1</v>
      </c>
      <c r="G622" s="91">
        <v>0</v>
      </c>
      <c r="H622" s="50"/>
      <c r="I622" s="169"/>
      <c r="J622" s="63"/>
      <c r="K622" s="21">
        <f>I616-SUMIF(F623:F626,"&lt;="&amp;$I$615,K623:K626)</f>
        <v>0</v>
      </c>
      <c r="L622" s="31">
        <f>I617-SUMIF(F623:F626,"&lt;="&amp;$I$615,L623:L626)</f>
        <v>0</v>
      </c>
      <c r="M622" s="44">
        <f>IFERROR(IF(G592=V592,0,IF(F622&lt;=I615,IF(I619="No",(L576-J584)/(SUMPRODUCT(V622:V626,K622:K626)+SUMPRODUCT(W622:W626,L622:L626)),0)*I618,0)),0)</f>
        <v>0</v>
      </c>
      <c r="N622" s="44">
        <f>IFERROR(IF(G592=V592,0,IF(F622&lt;=I615,IF(I619="No",(L576-J584)/(SUMPRODUCT(V622:V626,K622:K626)+SUMPRODUCT(W622:W626,L622:L626)),0),0)),0)</f>
        <v>0</v>
      </c>
      <c r="O622" s="97" t="str">
        <f>IFERROR(M622/N622,"")</f>
        <v/>
      </c>
      <c r="P622" s="26">
        <f t="shared" ref="P622:Q626" si="9">K622*M622</f>
        <v>0</v>
      </c>
      <c r="Q622" s="26">
        <f t="shared" si="9"/>
        <v>0</v>
      </c>
      <c r="R622" s="125"/>
      <c r="S622" s="125"/>
      <c r="T622" s="125"/>
      <c r="U622" s="10"/>
      <c r="V622" s="92">
        <f>IF(F622&lt;=$I$615,1*$I$618,0)</f>
        <v>0</v>
      </c>
      <c r="W622" s="96">
        <f>IF(F622&lt;=$I$615,1,0)</f>
        <v>1</v>
      </c>
      <c r="X622" s="92"/>
      <c r="Y622" s="96"/>
      <c r="Z622" s="126">
        <v>1</v>
      </c>
    </row>
    <row r="623" spans="1:26" s="126" customFormat="1" x14ac:dyDescent="0.55000000000000004">
      <c r="A623" s="117"/>
      <c r="B623"/>
      <c r="C623" s="124"/>
      <c r="D623" s="124"/>
      <c r="E623" s="124"/>
      <c r="F623" s="89">
        <f>IF($I$615&gt;=Z623,Z623,"")</f>
        <v>2</v>
      </c>
      <c r="G623" s="91">
        <f>IF($I$615&gt;=F623,H622+0.01,"")</f>
        <v>0.01</v>
      </c>
      <c r="H623" s="50"/>
      <c r="I623" s="61"/>
      <c r="J623" s="61"/>
      <c r="K623" s="13"/>
      <c r="L623" s="13"/>
      <c r="M623" s="44">
        <f>IF(F623&lt;=I615,IF(I619="No",M622*(1+I623),N623*I618),0)</f>
        <v>0</v>
      </c>
      <c r="N623" s="44">
        <f>IF(F623&lt;=I615,IF(I619="No",N622*(1+J623),(L576-J584)/(I618*SUMPRODUCT(X623:X626,K623:K626)+SUMPRODUCT(Y623:Y626,L623:L626))),0)</f>
        <v>0</v>
      </c>
      <c r="O623" s="97" t="str">
        <f>IFERROR(M623/N623,"")</f>
        <v/>
      </c>
      <c r="P623" s="26">
        <f t="shared" si="9"/>
        <v>0</v>
      </c>
      <c r="Q623" s="26">
        <f t="shared" si="9"/>
        <v>0</v>
      </c>
      <c r="R623" s="125"/>
      <c r="S623" s="125"/>
      <c r="T623" s="125"/>
      <c r="U623" s="10"/>
      <c r="V623" s="92">
        <f>IF(F623&lt;=$I$615,V622*(1+I623),0)</f>
        <v>0</v>
      </c>
      <c r="W623" s="96">
        <f>IF(F623&lt;=$I$615,(1+J623),0)</f>
        <v>1</v>
      </c>
      <c r="X623" s="92">
        <v>1</v>
      </c>
      <c r="Y623" s="96">
        <f>IF(F623&lt;=I615,1,0)</f>
        <v>1</v>
      </c>
      <c r="Z623" s="126">
        <v>2</v>
      </c>
    </row>
    <row r="624" spans="1:26" s="126" customFormat="1" x14ac:dyDescent="0.55000000000000004">
      <c r="A624" s="117"/>
      <c r="B624"/>
      <c r="C624" s="124"/>
      <c r="D624" s="124"/>
      <c r="E624" s="124"/>
      <c r="F624" s="89">
        <f>IF($I$615&gt;=Z624,Z624,"")</f>
        <v>3</v>
      </c>
      <c r="G624" s="91">
        <f>IF($I$615&gt;=F624,H623+0.01,"")</f>
        <v>0.01</v>
      </c>
      <c r="H624" s="50"/>
      <c r="I624" s="61"/>
      <c r="J624" s="61"/>
      <c r="K624" s="13"/>
      <c r="L624" s="13"/>
      <c r="M624" s="36">
        <f>IF(F624&lt;=$I$615,M623*(1+I624),0)</f>
        <v>0</v>
      </c>
      <c r="N624" s="36">
        <f>IF(F624&lt;=$I$615,N623*(1+J624),0)</f>
        <v>0</v>
      </c>
      <c r="O624" s="97" t="str">
        <f>IFERROR(M624/N624,"")</f>
        <v/>
      </c>
      <c r="P624" s="26">
        <f t="shared" si="9"/>
        <v>0</v>
      </c>
      <c r="Q624" s="26">
        <f t="shared" si="9"/>
        <v>0</v>
      </c>
      <c r="R624" s="125"/>
      <c r="S624" s="125"/>
      <c r="T624" s="125"/>
      <c r="U624" s="10"/>
      <c r="V624" s="92">
        <f>IF(F624&lt;=$I$615,V623*(1+I624),0)</f>
        <v>0</v>
      </c>
      <c r="W624" s="96">
        <f>IF(F624&lt;=$I$615,W623*(1+J624),0)</f>
        <v>1</v>
      </c>
      <c r="X624" s="92">
        <f>IF(F624&lt;=I615,X623*(1+I624),0)</f>
        <v>1</v>
      </c>
      <c r="Y624" s="96">
        <f>IF(F624&lt;=I615,Y623*(1+J624),0)</f>
        <v>1</v>
      </c>
      <c r="Z624" s="126">
        <v>3</v>
      </c>
    </row>
    <row r="625" spans="1:26" s="126" customFormat="1" x14ac:dyDescent="0.55000000000000004">
      <c r="A625" s="117"/>
      <c r="B625"/>
      <c r="C625" s="124"/>
      <c r="D625" s="124"/>
      <c r="E625" s="124"/>
      <c r="F625" s="89">
        <f>IF($I$615&gt;=Z625,Z625,"")</f>
        <v>4</v>
      </c>
      <c r="G625" s="91">
        <f>IF($I$615&gt;=F625,H624+0.01,"")</f>
        <v>0.01</v>
      </c>
      <c r="H625" s="50"/>
      <c r="I625" s="61"/>
      <c r="J625" s="61"/>
      <c r="K625" s="13"/>
      <c r="L625" s="13"/>
      <c r="M625" s="36">
        <f>IF(F625&lt;=$I$615,M624*(1+I625),0)</f>
        <v>0</v>
      </c>
      <c r="N625" s="36">
        <f>IF(F625&lt;=$I$615,N624*(1+J625),0)</f>
        <v>0</v>
      </c>
      <c r="O625" s="97" t="str">
        <f>IFERROR(M625/N625,"")</f>
        <v/>
      </c>
      <c r="P625" s="26">
        <f t="shared" si="9"/>
        <v>0</v>
      </c>
      <c r="Q625" s="26">
        <f t="shared" si="9"/>
        <v>0</v>
      </c>
      <c r="R625" s="125"/>
      <c r="S625" s="125"/>
      <c r="T625" s="125"/>
      <c r="U625" s="10"/>
      <c r="V625" s="92">
        <f>IF(F625&lt;=$I$615,V624*(1+I625),0)</f>
        <v>0</v>
      </c>
      <c r="W625" s="96">
        <f>IF(F625&lt;=$I$615,W624*(1+J625),0)</f>
        <v>1</v>
      </c>
      <c r="X625" s="92">
        <f>IF(F625&lt;=I615,X624*(1+I625),0)</f>
        <v>1</v>
      </c>
      <c r="Y625" s="96">
        <f>IF(F625&lt;=I615,Y624*(1+J625),0)</f>
        <v>1</v>
      </c>
      <c r="Z625" s="126">
        <v>4</v>
      </c>
    </row>
    <row r="626" spans="1:26" s="126" customFormat="1" x14ac:dyDescent="0.55000000000000004">
      <c r="A626" s="117"/>
      <c r="B626"/>
      <c r="C626" s="124"/>
      <c r="D626" s="124"/>
      <c r="E626" s="124"/>
      <c r="F626" s="89">
        <f>IF($I$615&gt;=Z626,Z626,"")</f>
        <v>5</v>
      </c>
      <c r="G626" s="91">
        <f>IF($I$615&gt;=F626,H625+0.01,"")</f>
        <v>0.01</v>
      </c>
      <c r="H626" s="89" t="s">
        <v>84</v>
      </c>
      <c r="I626" s="61"/>
      <c r="J626" s="61"/>
      <c r="K626" s="13"/>
      <c r="L626" s="13"/>
      <c r="M626" s="36">
        <f>IF(F626&lt;=$I$615,M625*(1+I626),0)</f>
        <v>0</v>
      </c>
      <c r="N626" s="36">
        <f>IF(F626&lt;=$I$615,N625*(1+J626),0)</f>
        <v>0</v>
      </c>
      <c r="O626" s="97" t="str">
        <f>IFERROR(M626/N626,"")</f>
        <v/>
      </c>
      <c r="P626" s="26">
        <f t="shared" si="9"/>
        <v>0</v>
      </c>
      <c r="Q626" s="26">
        <f t="shared" si="9"/>
        <v>0</v>
      </c>
      <c r="R626" s="125"/>
      <c r="S626" s="125"/>
      <c r="T626" s="125"/>
      <c r="U626" s="10"/>
      <c r="V626" s="92">
        <f>IF(F626&lt;=$I$615,V625*(1+I626),0)</f>
        <v>0</v>
      </c>
      <c r="W626" s="96">
        <f>IF(F626&lt;=$I$615,W625*(1+J626),0)</f>
        <v>1</v>
      </c>
      <c r="X626" s="92">
        <f>IF(F626&lt;=I615,X625*(1+I626),0)</f>
        <v>1</v>
      </c>
      <c r="Y626" s="96">
        <f>IF(F626&lt;=I615,Y625*(1+J626),0)</f>
        <v>1</v>
      </c>
      <c r="Z626" s="126">
        <v>5</v>
      </c>
    </row>
    <row r="627" spans="1:26" s="126" customFormat="1" ht="14.7" thickBot="1" x14ac:dyDescent="0.6">
      <c r="A627" s="117"/>
      <c r="B627"/>
      <c r="C627" s="124"/>
      <c r="D627" s="124"/>
      <c r="E627" s="130"/>
      <c r="F627" s="131"/>
      <c r="G627" s="131"/>
      <c r="H627" s="131"/>
      <c r="I627" s="131"/>
      <c r="J627" s="131"/>
      <c r="K627" s="131"/>
      <c r="L627" s="131"/>
      <c r="M627" s="131"/>
      <c r="N627" s="131"/>
      <c r="O627" s="131"/>
      <c r="P627" s="131"/>
      <c r="Q627" s="131"/>
      <c r="R627" s="132"/>
      <c r="S627" s="125"/>
      <c r="T627" s="125"/>
      <c r="U627" s="10"/>
    </row>
    <row r="628" spans="1:26" s="126" customFormat="1" ht="14.7" thickBot="1" x14ac:dyDescent="0.6">
      <c r="A628" s="117"/>
      <c r="B628"/>
      <c r="C628" s="124"/>
      <c r="D628" s="130"/>
      <c r="E628" s="131"/>
      <c r="F628" s="131"/>
      <c r="G628" s="131"/>
      <c r="H628" s="131"/>
      <c r="I628" s="131"/>
      <c r="J628" s="131"/>
      <c r="K628" s="131"/>
      <c r="L628" s="131"/>
      <c r="M628" s="131"/>
      <c r="N628" s="131"/>
      <c r="O628" s="131"/>
      <c r="P628" s="131"/>
      <c r="Q628" s="131"/>
      <c r="R628" s="131"/>
      <c r="S628" s="132"/>
      <c r="T628" s="125"/>
      <c r="U628" s="10"/>
    </row>
    <row r="629" spans="1:26" s="126" customFormat="1" ht="14.7" thickBot="1" x14ac:dyDescent="0.6">
      <c r="A629" s="117"/>
      <c r="B629"/>
      <c r="C629" s="130"/>
      <c r="D629" s="131"/>
      <c r="E629" s="131"/>
      <c r="F629" s="131"/>
      <c r="G629" s="131"/>
      <c r="H629" s="131"/>
      <c r="I629" s="131"/>
      <c r="J629" s="131"/>
      <c r="K629" s="131"/>
      <c r="L629" s="131"/>
      <c r="M629" s="131"/>
      <c r="N629" s="131"/>
      <c r="O629" s="131"/>
      <c r="P629" s="131"/>
      <c r="Q629" s="131"/>
      <c r="R629" s="131"/>
      <c r="S629" s="131"/>
      <c r="T629" s="132"/>
      <c r="U629" s="10"/>
    </row>
    <row r="630" spans="1:26" s="126" customFormat="1" ht="14.7" thickBot="1" x14ac:dyDescent="0.6">
      <c r="A630" s="117"/>
      <c r="B630"/>
      <c r="C630"/>
      <c r="D630"/>
      <c r="E630"/>
      <c r="F630"/>
      <c r="G630"/>
      <c r="H630"/>
      <c r="I630"/>
      <c r="J630"/>
      <c r="K630"/>
      <c r="L630"/>
      <c r="M630"/>
      <c r="N630"/>
      <c r="O630"/>
      <c r="P630"/>
      <c r="Q630"/>
      <c r="R630"/>
      <c r="S630"/>
      <c r="T630"/>
      <c r="U630" s="10"/>
    </row>
    <row r="631" spans="1:26" s="126" customFormat="1" x14ac:dyDescent="0.55000000000000004">
      <c r="A631" s="117"/>
      <c r="B631"/>
      <c r="C631" s="121"/>
      <c r="D631" s="122"/>
      <c r="E631" s="122"/>
      <c r="F631" s="122"/>
      <c r="G631" s="122"/>
      <c r="H631" s="122"/>
      <c r="I631" s="122"/>
      <c r="J631" s="122"/>
      <c r="K631" s="122"/>
      <c r="L631" s="122"/>
      <c r="M631" s="122"/>
      <c r="N631" s="122"/>
      <c r="O631" s="122"/>
      <c r="P631" s="122"/>
      <c r="Q631" s="122"/>
      <c r="R631" s="122"/>
      <c r="S631" s="122"/>
      <c r="T631" s="123"/>
      <c r="U631" s="10"/>
    </row>
    <row r="632" spans="1:26" s="126" customFormat="1" ht="18.3" x14ac:dyDescent="0.7">
      <c r="A632" s="117"/>
      <c r="B632"/>
      <c r="C632" s="124"/>
      <c r="D632" s="1822">
        <f>'2 Customer data'!D103</f>
        <v>0</v>
      </c>
      <c r="E632" s="1822"/>
      <c r="F632" s="1822"/>
      <c r="G632" s="1822"/>
      <c r="H632" s="1822"/>
      <c r="I632" s="1822"/>
      <c r="J632" s="1822"/>
      <c r="K632" s="1822"/>
      <c r="L632" s="1822"/>
      <c r="M632" s="1822"/>
      <c r="N632" s="1822"/>
      <c r="O632" s="1822"/>
      <c r="P632" s="1822"/>
      <c r="Q632" s="1822"/>
      <c r="R632" s="1822"/>
      <c r="S632" s="1822"/>
      <c r="T632" s="125"/>
      <c r="U632" s="10"/>
    </row>
    <row r="633" spans="1:26" s="126" customFormat="1" ht="14.7" thickBot="1" x14ac:dyDescent="0.6">
      <c r="A633" s="117"/>
      <c r="B633"/>
      <c r="C633" s="124"/>
      <c r="D633"/>
      <c r="E633"/>
      <c r="F633"/>
      <c r="G633"/>
      <c r="H633"/>
      <c r="I633"/>
      <c r="J633"/>
      <c r="K633"/>
      <c r="L633"/>
      <c r="M633"/>
      <c r="N633"/>
      <c r="O633"/>
      <c r="P633"/>
      <c r="Q633"/>
      <c r="R633"/>
      <c r="S633"/>
      <c r="T633" s="125"/>
      <c r="U633" s="10"/>
    </row>
    <row r="634" spans="1:26" s="126" customFormat="1" x14ac:dyDescent="0.55000000000000004">
      <c r="A634" s="117"/>
      <c r="B634"/>
      <c r="C634" s="124"/>
      <c r="D634" s="121"/>
      <c r="E634" s="122"/>
      <c r="F634" s="122"/>
      <c r="G634" s="122"/>
      <c r="H634" s="122"/>
      <c r="I634" s="122"/>
      <c r="J634" s="122"/>
      <c r="K634" s="122"/>
      <c r="L634" s="122"/>
      <c r="M634" s="122"/>
      <c r="N634" s="122"/>
      <c r="O634" s="122"/>
      <c r="P634" s="122"/>
      <c r="Q634" s="122"/>
      <c r="R634" s="122"/>
      <c r="S634" s="123"/>
      <c r="T634" s="125"/>
      <c r="U634" s="10"/>
    </row>
    <row r="635" spans="1:26" s="126" customFormat="1" x14ac:dyDescent="0.55000000000000004">
      <c r="A635" s="117"/>
      <c r="B635"/>
      <c r="C635" s="124"/>
      <c r="D635" s="124"/>
      <c r="E635"/>
      <c r="F635" s="1" t="str">
        <f>'2 Customer data'!D103&amp;" "&amp;"information"</f>
        <v xml:space="preserve"> information</v>
      </c>
      <c r="G635"/>
      <c r="H635"/>
      <c r="I635"/>
      <c r="J635"/>
      <c r="K635"/>
      <c r="L635"/>
      <c r="M635"/>
      <c r="N635"/>
      <c r="O635"/>
      <c r="P635"/>
      <c r="Q635"/>
      <c r="R635"/>
      <c r="S635" s="125"/>
      <c r="T635" s="125"/>
      <c r="U635" s="10"/>
    </row>
    <row r="636" spans="1:26" s="126" customFormat="1" x14ac:dyDescent="0.55000000000000004">
      <c r="A636" s="117"/>
      <c r="B636"/>
      <c r="C636" s="124"/>
      <c r="D636" s="124"/>
      <c r="E636"/>
      <c r="F636"/>
      <c r="G636"/>
      <c r="H636"/>
      <c r="I636"/>
      <c r="J636"/>
      <c r="K636"/>
      <c r="L636"/>
      <c r="M636"/>
      <c r="N636"/>
      <c r="O636"/>
      <c r="P636"/>
      <c r="Q636"/>
      <c r="R636"/>
      <c r="S636" s="125"/>
      <c r="T636" s="125"/>
      <c r="U636" s="10"/>
    </row>
    <row r="637" spans="1:26" s="126" customFormat="1" ht="28.8" x14ac:dyDescent="0.55000000000000004">
      <c r="A637" s="117"/>
      <c r="B637"/>
      <c r="C637" s="124"/>
      <c r="D637" s="124"/>
      <c r="E637"/>
      <c r="F637"/>
      <c r="G637" s="56" t="s">
        <v>28</v>
      </c>
      <c r="H637" s="56" t="s">
        <v>345</v>
      </c>
      <c r="I637" s="56" t="s">
        <v>60</v>
      </c>
      <c r="J637" s="56" t="s">
        <v>249</v>
      </c>
      <c r="K637" s="56" t="s">
        <v>279</v>
      </c>
      <c r="L637" s="56" t="s">
        <v>357</v>
      </c>
      <c r="M637"/>
      <c r="N637" s="162"/>
      <c r="O637"/>
      <c r="P637"/>
      <c r="Q637"/>
      <c r="R637"/>
      <c r="S637" s="125"/>
      <c r="T637" s="125"/>
      <c r="U637" s="10"/>
    </row>
    <row r="638" spans="1:26" s="126" customFormat="1" x14ac:dyDescent="0.55000000000000004">
      <c r="A638" s="117"/>
      <c r="B638"/>
      <c r="C638" s="124"/>
      <c r="D638" s="124"/>
      <c r="E638"/>
      <c r="F638">
        <f>'2 Customer data'!D103</f>
        <v>0</v>
      </c>
      <c r="G638" s="94">
        <f>IFERROR(IF(VLOOKUP(F638,'2 Customer data'!$D$93:$N$112,7,FALSE)="",VLOOKUP(F638,'2 Customer data'!$D$93:$N$112,6,FALSE),VLOOKUP(F638,'2 Customer data'!$D$93:$N$112,7,FALSE)),0)</f>
        <v>0</v>
      </c>
      <c r="H638" s="26">
        <f>IFERROR(IF(VLOOKUP(F638,'2 Customer data'!$D$93:$N$112,9,FALSE)="",VLOOKUP(F638,'2 Customer data'!$D$93:$N$112,8,FALSE),VLOOKUP(F638,'2 Customer data'!$D$93:$N$112,9,FALSE)),0)</f>
        <v>0</v>
      </c>
      <c r="I638" s="26">
        <f ca="1">IFERROR(VLOOKUP($F638,'2 Electricity'!$D$21:$L$40,6,FALSE),0)</f>
        <v>0</v>
      </c>
      <c r="J638" s="26">
        <f ca="1">IFERROR(VLOOKUP($F638,'2 Electricity'!$D$21:$L$40,7,FALSE),0)</f>
        <v>0</v>
      </c>
      <c r="K638" s="26">
        <f ca="1">IFERROR(VLOOKUP($F638,'2 Electricity'!$D$21:$L$40,8,FALSE),0)</f>
        <v>0</v>
      </c>
      <c r="L638" s="26">
        <f ca="1">IFERROR(VLOOKUP(F638,'2 Electricity'!$D$157:$K$176,8,FALSE),0)</f>
        <v>0</v>
      </c>
      <c r="M638"/>
      <c r="N638" s="134"/>
      <c r="O638"/>
      <c r="P638"/>
      <c r="Q638"/>
      <c r="R638"/>
      <c r="S638" s="125"/>
      <c r="T638" s="125"/>
      <c r="U638" s="10"/>
    </row>
    <row r="639" spans="1:26" s="126" customFormat="1" ht="14.7" thickBot="1" x14ac:dyDescent="0.6">
      <c r="A639" s="117"/>
      <c r="B639"/>
      <c r="C639" s="124"/>
      <c r="D639" s="130"/>
      <c r="E639" s="131"/>
      <c r="F639" s="131"/>
      <c r="G639" s="131"/>
      <c r="H639" s="131"/>
      <c r="I639" s="131"/>
      <c r="J639" s="131"/>
      <c r="K639" s="131"/>
      <c r="L639" s="131"/>
      <c r="M639" s="131"/>
      <c r="N639" s="131"/>
      <c r="O639" s="131"/>
      <c r="P639" s="131"/>
      <c r="Q639" s="131"/>
      <c r="R639" s="131"/>
      <c r="S639" s="132"/>
      <c r="T639" s="125"/>
      <c r="U639" s="10"/>
    </row>
    <row r="640" spans="1:26" s="126" customFormat="1" ht="14.7" thickBot="1" x14ac:dyDescent="0.6">
      <c r="A640" s="117"/>
      <c r="B640"/>
      <c r="C640" s="124"/>
      <c r="D640"/>
      <c r="E640"/>
      <c r="F640"/>
      <c r="G640"/>
      <c r="H640"/>
      <c r="I640"/>
      <c r="J640"/>
      <c r="K640"/>
      <c r="L640"/>
      <c r="M640"/>
      <c r="N640"/>
      <c r="O640"/>
      <c r="P640"/>
      <c r="Q640"/>
      <c r="R640"/>
      <c r="S640"/>
      <c r="T640" s="125"/>
      <c r="U640" s="10"/>
    </row>
    <row r="641" spans="1:22" s="126" customFormat="1" x14ac:dyDescent="0.55000000000000004">
      <c r="A641" s="117"/>
      <c r="B641"/>
      <c r="C641" s="124"/>
      <c r="D641" s="121"/>
      <c r="E641" s="122"/>
      <c r="F641" s="122"/>
      <c r="G641" s="122"/>
      <c r="H641" s="122"/>
      <c r="I641" s="122"/>
      <c r="J641" s="122"/>
      <c r="K641" s="122"/>
      <c r="L641" s="122"/>
      <c r="M641" s="122"/>
      <c r="N641" s="122"/>
      <c r="O641" s="122"/>
      <c r="P641" s="122"/>
      <c r="Q641" s="122"/>
      <c r="R641" s="122"/>
      <c r="S641" s="123"/>
      <c r="T641" s="125"/>
      <c r="U641" s="10"/>
    </row>
    <row r="642" spans="1:22" s="126" customFormat="1" x14ac:dyDescent="0.55000000000000004">
      <c r="A642" s="117"/>
      <c r="B642"/>
      <c r="C642" s="124"/>
      <c r="D642" s="124"/>
      <c r="E642"/>
      <c r="F642" s="1" t="s">
        <v>85</v>
      </c>
      <c r="G642"/>
      <c r="H642"/>
      <c r="I642"/>
      <c r="J642"/>
      <c r="K642"/>
      <c r="L642"/>
      <c r="M642"/>
      <c r="N642"/>
      <c r="O642"/>
      <c r="P642"/>
      <c r="Q642"/>
      <c r="R642"/>
      <c r="S642" s="125"/>
      <c r="T642" s="125"/>
      <c r="U642" s="10"/>
    </row>
    <row r="643" spans="1:22" s="126" customFormat="1" x14ac:dyDescent="0.55000000000000004">
      <c r="A643" s="117"/>
      <c r="B643"/>
      <c r="C643" s="124"/>
      <c r="D643" s="124"/>
      <c r="E643"/>
      <c r="F643" s="120" t="s">
        <v>555</v>
      </c>
      <c r="G643"/>
      <c r="H643"/>
      <c r="I643"/>
      <c r="J643"/>
      <c r="K643"/>
      <c r="L643"/>
      <c r="M643"/>
      <c r="N643"/>
      <c r="O643"/>
      <c r="P643"/>
      <c r="Q643"/>
      <c r="R643"/>
      <c r="S643" s="125"/>
      <c r="T643" s="125"/>
      <c r="U643" s="10"/>
    </row>
    <row r="644" spans="1:22" s="126" customFormat="1" x14ac:dyDescent="0.55000000000000004">
      <c r="A644" s="117"/>
      <c r="B644"/>
      <c r="C644" s="124"/>
      <c r="D644" s="124"/>
      <c r="E644"/>
      <c r="F644"/>
      <c r="G644"/>
      <c r="H644"/>
      <c r="I644"/>
      <c r="J644"/>
      <c r="K644"/>
      <c r="L644"/>
      <c r="M644"/>
      <c r="N644"/>
      <c r="O644"/>
      <c r="P644"/>
      <c r="Q644"/>
      <c r="R644"/>
      <c r="S644" s="125"/>
      <c r="T644" s="125"/>
      <c r="U644" s="10"/>
    </row>
    <row r="645" spans="1:22" s="126" customFormat="1" ht="43.2" x14ac:dyDescent="0.55000000000000004">
      <c r="A645" s="117"/>
      <c r="B645"/>
      <c r="C645" s="124"/>
      <c r="D645" s="124"/>
      <c r="E645"/>
      <c r="F645"/>
      <c r="G645" s="56" t="s">
        <v>86</v>
      </c>
      <c r="H645" s="56" t="s">
        <v>73</v>
      </c>
      <c r="I645" s="56" t="s">
        <v>87</v>
      </c>
      <c r="J645" s="56" t="s">
        <v>75</v>
      </c>
      <c r="K645" s="56" t="s">
        <v>76</v>
      </c>
      <c r="L645"/>
      <c r="M645"/>
      <c r="N645"/>
      <c r="O645"/>
      <c r="P645"/>
      <c r="Q645"/>
      <c r="R645"/>
      <c r="S645" s="125"/>
      <c r="T645" s="125"/>
      <c r="U645" s="10"/>
    </row>
    <row r="646" spans="1:22" s="126" customFormat="1" x14ac:dyDescent="0.55000000000000004">
      <c r="A646" s="117"/>
      <c r="B646"/>
      <c r="C646" s="124"/>
      <c r="D646" s="124"/>
      <c r="E646"/>
      <c r="F646">
        <f>F638</f>
        <v>0</v>
      </c>
      <c r="G646" s="26">
        <f ca="1">SUM(I638,K638)</f>
        <v>0</v>
      </c>
      <c r="H646" s="64">
        <f ca="1">IFERROR(G646/G638,0)/12</f>
        <v>0</v>
      </c>
      <c r="I646" s="84"/>
      <c r="J646" s="26">
        <f>I646*G638*12</f>
        <v>0</v>
      </c>
      <c r="K646" s="21">
        <f>J646/12</f>
        <v>0</v>
      </c>
      <c r="L646"/>
      <c r="M646"/>
      <c r="N646"/>
      <c r="O646"/>
      <c r="P646"/>
      <c r="Q646"/>
      <c r="R646"/>
      <c r="S646" s="125"/>
      <c r="T646" s="125"/>
      <c r="U646" s="10"/>
    </row>
    <row r="647" spans="1:22" s="126" customFormat="1" x14ac:dyDescent="0.55000000000000004">
      <c r="A647" s="117"/>
      <c r="B647"/>
      <c r="C647" s="124"/>
      <c r="D647" s="124"/>
      <c r="E647" s="133"/>
      <c r="F647" s="58" t="str">
        <f>IF(I646&gt;I636,"Error: revenue from fixed charges exceeds total revenue required from tariff. Reduce fixed charge.","")</f>
        <v/>
      </c>
      <c r="G647" s="58" t="str">
        <f ca="1">IF(J646&gt;L638,"Error: revenue from fixed charges exceeds total revenue required from tariff. Reduce fixed charge.","")</f>
        <v/>
      </c>
      <c r="H647" s="134"/>
      <c r="I647" s="134"/>
      <c r="J647" s="135"/>
      <c r="K647"/>
      <c r="L647"/>
      <c r="M647"/>
      <c r="N647"/>
      <c r="O647"/>
      <c r="P647"/>
      <c r="Q647"/>
      <c r="R647"/>
      <c r="S647" s="125"/>
      <c r="T647" s="125"/>
      <c r="U647" s="10"/>
    </row>
    <row r="648" spans="1:22" s="126" customFormat="1" ht="14.7" thickBot="1" x14ac:dyDescent="0.6">
      <c r="A648" s="117"/>
      <c r="B648"/>
      <c r="C648" s="124"/>
      <c r="D648" s="130"/>
      <c r="E648" s="131"/>
      <c r="F648" s="131"/>
      <c r="G648" s="131"/>
      <c r="H648" s="131"/>
      <c r="I648" s="131"/>
      <c r="J648" s="131"/>
      <c r="K648" s="131"/>
      <c r="L648" s="131"/>
      <c r="M648" s="131"/>
      <c r="N648" s="131"/>
      <c r="O648" s="131"/>
      <c r="P648" s="131"/>
      <c r="Q648" s="131"/>
      <c r="R648" s="131"/>
      <c r="S648" s="132"/>
      <c r="T648" s="125"/>
      <c r="U648" s="10"/>
    </row>
    <row r="649" spans="1:22" s="126" customFormat="1" ht="14.7" thickBot="1" x14ac:dyDescent="0.6">
      <c r="A649" s="117"/>
      <c r="B649"/>
      <c r="C649" s="124"/>
      <c r="D649"/>
      <c r="E649"/>
      <c r="F649"/>
      <c r="G649"/>
      <c r="H649"/>
      <c r="I649"/>
      <c r="J649"/>
      <c r="K649"/>
      <c r="L649"/>
      <c r="M649"/>
      <c r="N649"/>
      <c r="O649"/>
      <c r="P649"/>
      <c r="Q649"/>
      <c r="R649"/>
      <c r="S649"/>
      <c r="T649" s="125"/>
      <c r="U649" s="10"/>
    </row>
    <row r="650" spans="1:22" s="126" customFormat="1" x14ac:dyDescent="0.55000000000000004">
      <c r="A650" s="117"/>
      <c r="B650"/>
      <c r="C650" s="124"/>
      <c r="D650" s="121"/>
      <c r="E650" s="122"/>
      <c r="F650" s="122"/>
      <c r="G650" s="122"/>
      <c r="H650" s="122"/>
      <c r="I650" s="122"/>
      <c r="J650" s="122"/>
      <c r="K650" s="122"/>
      <c r="L650" s="122"/>
      <c r="M650" s="122"/>
      <c r="N650" s="122"/>
      <c r="O650" s="122"/>
      <c r="P650" s="122"/>
      <c r="Q650" s="122"/>
      <c r="R650" s="122"/>
      <c r="S650" s="123"/>
      <c r="T650" s="125"/>
      <c r="U650" s="10"/>
    </row>
    <row r="651" spans="1:22" s="126" customFormat="1" x14ac:dyDescent="0.55000000000000004">
      <c r="A651" s="117"/>
      <c r="B651"/>
      <c r="C651" s="124"/>
      <c r="D651" s="124"/>
      <c r="E651"/>
      <c r="F651" s="1" t="s">
        <v>96</v>
      </c>
      <c r="G651"/>
      <c r="H651"/>
      <c r="I651"/>
      <c r="J651"/>
      <c r="K651"/>
      <c r="L651"/>
      <c r="M651"/>
      <c r="N651"/>
      <c r="O651"/>
      <c r="P651"/>
      <c r="Q651"/>
      <c r="R651"/>
      <c r="S651" s="125"/>
      <c r="T651" s="125"/>
      <c r="U651" s="10"/>
    </row>
    <row r="652" spans="1:22" s="126" customFormat="1" ht="14.55" customHeight="1" x14ac:dyDescent="0.55000000000000004">
      <c r="A652" s="117"/>
      <c r="B652"/>
      <c r="C652" s="124"/>
      <c r="D652" s="124"/>
      <c r="E652"/>
      <c r="F652" s="1804" t="s">
        <v>560</v>
      </c>
      <c r="G652" s="1804"/>
      <c r="H652" s="1804"/>
      <c r="I652" s="1804"/>
      <c r="J652" s="1804"/>
      <c r="K652" s="1804"/>
      <c r="L652" s="1804"/>
      <c r="M652" s="1804"/>
      <c r="N652" s="1804"/>
      <c r="O652" s="1804"/>
      <c r="P652" s="1804"/>
      <c r="Q652" s="119"/>
      <c r="R652"/>
      <c r="S652" s="125"/>
      <c r="T652" s="125"/>
      <c r="U652" s="10"/>
    </row>
    <row r="653" spans="1:22" s="126" customFormat="1" x14ac:dyDescent="0.55000000000000004">
      <c r="A653" s="117"/>
      <c r="B653"/>
      <c r="C653" s="124"/>
      <c r="D653" s="124"/>
      <c r="E653"/>
      <c r="F653" s="119"/>
      <c r="G653" s="119"/>
      <c r="H653" s="119"/>
      <c r="I653" s="119"/>
      <c r="J653" s="119"/>
      <c r="K653" s="119"/>
      <c r="L653" s="119"/>
      <c r="M653" s="119"/>
      <c r="N653" s="119"/>
      <c r="O653" s="119"/>
      <c r="P653" s="119"/>
      <c r="Q653" s="119"/>
      <c r="R653"/>
      <c r="S653" s="125"/>
      <c r="T653" s="125"/>
      <c r="U653" s="10"/>
    </row>
    <row r="654" spans="1:22" s="126" customFormat="1" x14ac:dyDescent="0.55000000000000004">
      <c r="A654" s="117"/>
      <c r="B654"/>
      <c r="C654" s="124"/>
      <c r="D654" s="124"/>
      <c r="E654"/>
      <c r="F654" s="1" t="s">
        <v>348</v>
      </c>
      <c r="G654" s="80" t="s">
        <v>89</v>
      </c>
      <c r="H654" s="119"/>
      <c r="I654" s="119"/>
      <c r="J654" s="119"/>
      <c r="K654" s="119"/>
      <c r="L654" s="119"/>
      <c r="M654" s="119"/>
      <c r="N654" s="119"/>
      <c r="O654" s="119"/>
      <c r="P654" s="119"/>
      <c r="Q654" s="119"/>
      <c r="R654"/>
      <c r="S654" s="125"/>
      <c r="T654" s="125"/>
      <c r="U654" s="10"/>
      <c r="V654" s="126" t="s">
        <v>89</v>
      </c>
    </row>
    <row r="655" spans="1:22" s="126" customFormat="1" ht="14.7" thickBot="1" x14ac:dyDescent="0.6">
      <c r="A655" s="117"/>
      <c r="B655"/>
      <c r="C655" s="124"/>
      <c r="D655" s="124"/>
      <c r="E655"/>
      <c r="F655"/>
      <c r="G655" s="134"/>
      <c r="H655" s="119"/>
      <c r="I655" s="119"/>
      <c r="J655" s="119"/>
      <c r="K655" s="119"/>
      <c r="L655" s="119"/>
      <c r="M655" s="119"/>
      <c r="N655" s="119"/>
      <c r="O655" s="119"/>
      <c r="P655" s="119"/>
      <c r="Q655" s="119"/>
      <c r="R655"/>
      <c r="S655" s="125"/>
      <c r="T655" s="125"/>
      <c r="U655" s="10"/>
      <c r="V655" s="126" t="s">
        <v>90</v>
      </c>
    </row>
    <row r="656" spans="1:22" s="126" customFormat="1" x14ac:dyDescent="0.55000000000000004">
      <c r="A656" s="117"/>
      <c r="B656"/>
      <c r="C656" s="124"/>
      <c r="D656" s="124"/>
      <c r="E656" s="121"/>
      <c r="F656" s="122"/>
      <c r="G656" s="122"/>
      <c r="H656" s="122"/>
      <c r="I656" s="122"/>
      <c r="J656" s="122"/>
      <c r="K656" s="122"/>
      <c r="L656" s="122"/>
      <c r="M656" s="122"/>
      <c r="N656" s="122"/>
      <c r="O656" s="122"/>
      <c r="P656" s="122"/>
      <c r="Q656" s="122"/>
      <c r="R656" s="123"/>
      <c r="S656" s="125"/>
      <c r="T656" s="125"/>
      <c r="U656" s="10"/>
    </row>
    <row r="657" spans="1:24" s="126" customFormat="1" x14ac:dyDescent="0.55000000000000004">
      <c r="A657" s="117"/>
      <c r="B657"/>
      <c r="C657" s="124"/>
      <c r="D657" s="124"/>
      <c r="E657" s="124"/>
      <c r="F657" s="1" t="s">
        <v>343</v>
      </c>
      <c r="G657" s="163"/>
      <c r="H657"/>
      <c r="I657"/>
      <c r="J657"/>
      <c r="K657"/>
      <c r="L657"/>
      <c r="M657"/>
      <c r="N657"/>
      <c r="O657"/>
      <c r="P657"/>
      <c r="Q657"/>
      <c r="R657" s="125"/>
      <c r="S657" s="125"/>
      <c r="T657" s="125"/>
      <c r="U657" s="10"/>
    </row>
    <row r="658" spans="1:24" s="126" customFormat="1" ht="14.55" customHeight="1" x14ac:dyDescent="0.55000000000000004">
      <c r="A658" s="117"/>
      <c r="B658"/>
      <c r="C658" s="124"/>
      <c r="D658" s="124"/>
      <c r="E658" s="124"/>
      <c r="F658" s="1804" t="s">
        <v>561</v>
      </c>
      <c r="G658" s="1804"/>
      <c r="H658" s="1804"/>
      <c r="I658" s="1804"/>
      <c r="J658" s="1804"/>
      <c r="K658" s="1804"/>
      <c r="L658" s="1804"/>
      <c r="M658" s="1804"/>
      <c r="N658" s="1804"/>
      <c r="O658" s="1804"/>
      <c r="P658" s="1804"/>
      <c r="Q658" s="1804"/>
      <c r="R658" s="125"/>
      <c r="S658" s="125"/>
      <c r="T658" s="125"/>
      <c r="U658" s="10"/>
    </row>
    <row r="659" spans="1:24" s="126" customFormat="1" x14ac:dyDescent="0.55000000000000004">
      <c r="A659" s="117"/>
      <c r="B659"/>
      <c r="C659" s="124"/>
      <c r="D659" s="124"/>
      <c r="E659" s="124"/>
      <c r="F659" s="1804"/>
      <c r="G659" s="1804"/>
      <c r="H659" s="1804"/>
      <c r="I659" s="1804"/>
      <c r="J659" s="1804"/>
      <c r="K659" s="1804"/>
      <c r="L659" s="1804"/>
      <c r="M659" s="1804"/>
      <c r="N659" s="1804"/>
      <c r="O659" s="1804"/>
      <c r="P659" s="1804"/>
      <c r="Q659" s="1804"/>
      <c r="R659" s="125"/>
      <c r="S659" s="125"/>
      <c r="T659" s="125"/>
      <c r="U659" s="10"/>
    </row>
    <row r="660" spans="1:24" s="126" customFormat="1" x14ac:dyDescent="0.55000000000000004">
      <c r="A660" s="117"/>
      <c r="B660"/>
      <c r="C660" s="124"/>
      <c r="D660" s="124"/>
      <c r="E660" s="124"/>
      <c r="F660" s="1"/>
      <c r="G660" s="163"/>
      <c r="H660"/>
      <c r="I660"/>
      <c r="J660"/>
      <c r="K660"/>
      <c r="L660"/>
      <c r="M660"/>
      <c r="N660"/>
      <c r="O660"/>
      <c r="P660"/>
      <c r="Q660"/>
      <c r="R660" s="125"/>
      <c r="S660" s="125"/>
      <c r="T660" s="125"/>
      <c r="U660" s="10"/>
    </row>
    <row r="661" spans="1:24" s="126" customFormat="1" x14ac:dyDescent="0.55000000000000004">
      <c r="A661" s="117"/>
      <c r="B661"/>
      <c r="C661" s="124"/>
      <c r="D661" s="124"/>
      <c r="E661" s="124"/>
      <c r="F661" s="164" t="s">
        <v>88</v>
      </c>
      <c r="G661" s="10"/>
      <c r="H661"/>
      <c r="I661" s="50">
        <v>5</v>
      </c>
      <c r="J661"/>
      <c r="K661"/>
      <c r="L661"/>
      <c r="M661"/>
      <c r="N661"/>
      <c r="O661"/>
      <c r="P661"/>
      <c r="Q661"/>
      <c r="R661" s="125"/>
      <c r="S661" s="125"/>
      <c r="T661" s="125"/>
      <c r="U661" s="10"/>
    </row>
    <row r="662" spans="1:24" s="126" customFormat="1" x14ac:dyDescent="0.55000000000000004">
      <c r="A662" s="117"/>
      <c r="B662"/>
      <c r="C662" s="124"/>
      <c r="D662" s="124"/>
      <c r="E662" s="124"/>
      <c r="F662" s="10" t="s">
        <v>612</v>
      </c>
      <c r="H662"/>
      <c r="I662" s="159" t="s">
        <v>578</v>
      </c>
      <c r="J662"/>
      <c r="K662"/>
      <c r="L662"/>
      <c r="M662"/>
      <c r="N662"/>
      <c r="O662"/>
      <c r="P662"/>
      <c r="Q662"/>
      <c r="R662" s="125"/>
      <c r="S662" s="125"/>
      <c r="T662" s="125"/>
      <c r="U662" s="10"/>
    </row>
    <row r="663" spans="1:24" s="126" customFormat="1" x14ac:dyDescent="0.55000000000000004">
      <c r="A663" s="117"/>
      <c r="B663"/>
      <c r="C663" s="124"/>
      <c r="D663" s="124"/>
      <c r="E663" s="124"/>
      <c r="F663"/>
      <c r="G663"/>
      <c r="H663"/>
      <c r="I663"/>
      <c r="J663"/>
      <c r="K663"/>
      <c r="L663"/>
      <c r="M663"/>
      <c r="N663"/>
      <c r="O663"/>
      <c r="P663"/>
      <c r="Q663"/>
      <c r="R663" s="125"/>
      <c r="S663" s="125"/>
      <c r="T663" s="125"/>
      <c r="U663" s="10"/>
    </row>
    <row r="664" spans="1:24" s="126" customFormat="1" ht="57.6" x14ac:dyDescent="0.55000000000000004">
      <c r="A664" s="117"/>
      <c r="B664"/>
      <c r="C664" s="124"/>
      <c r="D664" s="124"/>
      <c r="E664" s="124"/>
      <c r="F664" s="56" t="s">
        <v>91</v>
      </c>
      <c r="G664" s="56" t="s">
        <v>92</v>
      </c>
      <c r="H664" s="129" t="s">
        <v>80</v>
      </c>
      <c r="I664" s="56" t="s">
        <v>340</v>
      </c>
      <c r="J664" s="56" t="s">
        <v>356</v>
      </c>
      <c r="K664" s="165" t="s">
        <v>349</v>
      </c>
      <c r="L664" s="166" t="s">
        <v>350</v>
      </c>
      <c r="M664" s="162"/>
      <c r="N664" s="162"/>
      <c r="O664" s="162"/>
      <c r="P664" s="162"/>
      <c r="Q664" s="162"/>
      <c r="R664" s="167"/>
      <c r="S664" s="167"/>
      <c r="T664" s="167"/>
      <c r="U664" s="10"/>
      <c r="V664" s="168" t="s">
        <v>621</v>
      </c>
      <c r="W664" s="168" t="s">
        <v>622</v>
      </c>
    </row>
    <row r="665" spans="1:24" s="126" customFormat="1" x14ac:dyDescent="0.55000000000000004">
      <c r="A665" s="117"/>
      <c r="B665"/>
      <c r="C665" s="124"/>
      <c r="D665" s="124"/>
      <c r="E665" s="124"/>
      <c r="F665" s="89">
        <f>IF($I$661=X665,X665,1)</f>
        <v>1</v>
      </c>
      <c r="G665" s="91">
        <v>0</v>
      </c>
      <c r="H665" s="50"/>
      <c r="I665" s="169"/>
      <c r="J665" s="21">
        <f>IF(G654=V654,H638-SUMIF(F666:F669,"&lt;="&amp;$I$661,J666:J669),0)</f>
        <v>0</v>
      </c>
      <c r="K665" s="114">
        <f ca="1">IFERROR(IF(G654=V654,IF(F665&lt;=I661,IF(I662="No",IF(J646=0,L638/SUMPRODUCT(V665:V669,J665:J669),(L638-J646)/SUMPRODUCT(V665:V669,J665:J669)),0),0),0),0)</f>
        <v>0</v>
      </c>
      <c r="L665" s="31">
        <f ca="1">J665*K665</f>
        <v>0</v>
      </c>
      <c r="M665" s="170"/>
      <c r="N665" s="135"/>
      <c r="O665" s="171"/>
      <c r="P665"/>
      <c r="Q665"/>
      <c r="R665" s="125"/>
      <c r="S665" s="125"/>
      <c r="T665" s="125"/>
      <c r="U665" s="10"/>
      <c r="V665" s="96">
        <f>IF(F665&lt;=$I$661,1,0)</f>
        <v>1</v>
      </c>
      <c r="X665" s="126">
        <v>1</v>
      </c>
    </row>
    <row r="666" spans="1:24" s="126" customFormat="1" x14ac:dyDescent="0.55000000000000004">
      <c r="A666" s="117"/>
      <c r="B666"/>
      <c r="C666" s="124"/>
      <c r="D666" s="124"/>
      <c r="E666" s="124"/>
      <c r="F666" s="89">
        <f>IF($I$661&gt;=X666,X666,"")</f>
        <v>2</v>
      </c>
      <c r="G666" s="91">
        <f>IF($I$661&gt;=F666,H665+0.01,"")</f>
        <v>0.01</v>
      </c>
      <c r="H666" s="50"/>
      <c r="I666" s="61"/>
      <c r="J666" s="13"/>
      <c r="K666" s="114">
        <f ca="1">IFERROR(IF(F666&lt;=I661,IF(I662="No",K665*(1+I666),IF(J646=0,L638/SUMPRODUCT(W666:W669,J666:J669),(L638-J646)/SUMPRODUCT(W666:W669,J666:J669))),0),0)</f>
        <v>0</v>
      </c>
      <c r="L666" s="31">
        <f ca="1">J666*K666</f>
        <v>0</v>
      </c>
      <c r="M666" s="170"/>
      <c r="N666" s="135"/>
      <c r="O666" s="171"/>
      <c r="P666"/>
      <c r="Q666"/>
      <c r="R666" s="125"/>
      <c r="S666" s="125"/>
      <c r="T666" s="125"/>
      <c r="U666" s="10"/>
      <c r="V666" s="96">
        <f>IF(F666&lt;=$I$661,(1+I666),0)</f>
        <v>1</v>
      </c>
      <c r="W666" s="92">
        <f>IF(F666&lt;=I661,1,0)</f>
        <v>1</v>
      </c>
      <c r="X666" s="126">
        <v>2</v>
      </c>
    </row>
    <row r="667" spans="1:24" s="126" customFormat="1" x14ac:dyDescent="0.55000000000000004">
      <c r="A667" s="117"/>
      <c r="B667"/>
      <c r="C667" s="124"/>
      <c r="D667" s="124"/>
      <c r="E667" s="124"/>
      <c r="F667" s="89">
        <f>IF($I$661&gt;=X667,X667,"")</f>
        <v>3</v>
      </c>
      <c r="G667" s="91">
        <f>IF($I$661&gt;=F667,H666+0.01,"")</f>
        <v>0.01</v>
      </c>
      <c r="H667" s="50"/>
      <c r="I667" s="61"/>
      <c r="J667" s="13"/>
      <c r="K667" s="95">
        <f ca="1">IF(F667&lt;=$I$661,K666*(1+I667),0)</f>
        <v>0</v>
      </c>
      <c r="L667" s="31">
        <f ca="1">J667*K667</f>
        <v>0</v>
      </c>
      <c r="M667" s="170"/>
      <c r="N667" s="135"/>
      <c r="O667" s="171"/>
      <c r="P667"/>
      <c r="Q667"/>
      <c r="R667" s="125"/>
      <c r="S667" s="125"/>
      <c r="T667" s="125"/>
      <c r="U667" s="10"/>
      <c r="V667" s="96">
        <f>IF(F667&lt;=$I$661,V666*(1+I667),0)</f>
        <v>1</v>
      </c>
      <c r="W667" s="92">
        <f>IF(F667&lt;=I661,W666*(1+I667),0)</f>
        <v>1</v>
      </c>
      <c r="X667" s="126">
        <v>3</v>
      </c>
    </row>
    <row r="668" spans="1:24" s="126" customFormat="1" x14ac:dyDescent="0.55000000000000004">
      <c r="A668" s="117"/>
      <c r="B668"/>
      <c r="C668" s="124"/>
      <c r="D668" s="124"/>
      <c r="E668" s="124"/>
      <c r="F668" s="89">
        <f>IF($I$661&gt;=X668,X668,"")</f>
        <v>4</v>
      </c>
      <c r="G668" s="91">
        <f>IF($I$661&gt;=F668,H667+0.01,"")</f>
        <v>0.01</v>
      </c>
      <c r="H668" s="50"/>
      <c r="I668" s="61"/>
      <c r="J668" s="13"/>
      <c r="K668" s="95">
        <f ca="1">IF(F668&lt;=$I$661,K667*(1+I668),0)</f>
        <v>0</v>
      </c>
      <c r="L668" s="31">
        <f ca="1">J668*K668</f>
        <v>0</v>
      </c>
      <c r="M668" s="170"/>
      <c r="N668" s="135"/>
      <c r="O668" s="171"/>
      <c r="P668"/>
      <c r="Q668"/>
      <c r="R668" s="125"/>
      <c r="S668" s="125"/>
      <c r="T668" s="125"/>
      <c r="U668" s="10"/>
      <c r="V668" s="96">
        <f>IF(F668&lt;=$I$661,V667*(1+I668),0)</f>
        <v>1</v>
      </c>
      <c r="W668" s="92">
        <f>IF(F668&lt;=I661,W667*(1+I668),0)</f>
        <v>1</v>
      </c>
      <c r="X668" s="126">
        <v>4</v>
      </c>
    </row>
    <row r="669" spans="1:24" s="126" customFormat="1" x14ac:dyDescent="0.55000000000000004">
      <c r="A669" s="117"/>
      <c r="B669"/>
      <c r="C669" s="124"/>
      <c r="D669" s="124"/>
      <c r="E669" s="124"/>
      <c r="F669" s="89">
        <f>IF($I$661&gt;=X669,X669,"")</f>
        <v>5</v>
      </c>
      <c r="G669" s="91">
        <f>IF($I$661&gt;=F669,H668+0.01,"")</f>
        <v>0.01</v>
      </c>
      <c r="H669" s="89" t="s">
        <v>84</v>
      </c>
      <c r="I669" s="61"/>
      <c r="J669" s="13"/>
      <c r="K669" s="95">
        <f ca="1">IF(F669&lt;=$I$661,K668*(1+I669),0)</f>
        <v>0</v>
      </c>
      <c r="L669" s="31">
        <f ca="1">J669*K669</f>
        <v>0</v>
      </c>
      <c r="M669" s="170"/>
      <c r="N669" s="135"/>
      <c r="O669" s="171"/>
      <c r="P669"/>
      <c r="Q669"/>
      <c r="R669" s="125"/>
      <c r="S669" s="125"/>
      <c r="T669" s="125"/>
      <c r="U669" s="10"/>
      <c r="V669" s="96">
        <f>IF(F669&lt;=$I$661,V668*(1+I669),0)</f>
        <v>1</v>
      </c>
      <c r="W669" s="92">
        <f>IF(F669&lt;=I661,W668*(1+I669),0)</f>
        <v>1</v>
      </c>
      <c r="X669" s="126">
        <v>5</v>
      </c>
    </row>
    <row r="670" spans="1:24" s="126" customFormat="1" ht="14.7" thickBot="1" x14ac:dyDescent="0.6">
      <c r="A670" s="117"/>
      <c r="B670"/>
      <c r="C670" s="124"/>
      <c r="D670" s="124"/>
      <c r="E670" s="130"/>
      <c r="F670" s="149"/>
      <c r="G670" s="150"/>
      <c r="H670" s="149"/>
      <c r="I670" s="172"/>
      <c r="J670" s="173"/>
      <c r="K670" s="173"/>
      <c r="L670" s="173"/>
      <c r="M670" s="174"/>
      <c r="N670" s="152"/>
      <c r="O670" s="175"/>
      <c r="P670" s="131"/>
      <c r="Q670" s="131"/>
      <c r="R670" s="132"/>
      <c r="S670" s="125"/>
      <c r="T670" s="125"/>
      <c r="U670" s="10"/>
    </row>
    <row r="671" spans="1:24" s="126" customFormat="1" ht="14.7" thickBot="1" x14ac:dyDescent="0.6">
      <c r="A671" s="117"/>
      <c r="B671"/>
      <c r="C671" s="124"/>
      <c r="D671" s="124"/>
      <c r="E671"/>
      <c r="F671" s="163"/>
      <c r="G671" s="176"/>
      <c r="H671" s="163"/>
      <c r="I671" s="177"/>
      <c r="J671" s="178"/>
      <c r="K671" s="178"/>
      <c r="L671" s="178"/>
      <c r="M671" s="170"/>
      <c r="N671" s="135"/>
      <c r="O671" s="171"/>
      <c r="P671"/>
      <c r="Q671"/>
      <c r="R671"/>
      <c r="S671" s="125"/>
      <c r="T671" s="125"/>
      <c r="U671" s="10"/>
    </row>
    <row r="672" spans="1:24" s="126" customFormat="1" x14ac:dyDescent="0.55000000000000004">
      <c r="A672" s="117"/>
      <c r="B672"/>
      <c r="C672" s="124"/>
      <c r="D672" s="124"/>
      <c r="E672" s="121"/>
      <c r="F672" s="179"/>
      <c r="G672" s="180"/>
      <c r="H672" s="179"/>
      <c r="I672" s="181"/>
      <c r="J672" s="182"/>
      <c r="K672" s="182"/>
      <c r="L672" s="182"/>
      <c r="M672" s="183"/>
      <c r="N672" s="184"/>
      <c r="O672" s="185"/>
      <c r="P672" s="122"/>
      <c r="Q672" s="122"/>
      <c r="R672" s="123"/>
      <c r="S672" s="125"/>
      <c r="T672" s="125"/>
      <c r="U672" s="10"/>
    </row>
    <row r="673" spans="1:26" s="126" customFormat="1" x14ac:dyDescent="0.55000000000000004">
      <c r="A673" s="117"/>
      <c r="B673"/>
      <c r="C673" s="124"/>
      <c r="D673" s="124"/>
      <c r="E673" s="124"/>
      <c r="F673" s="186" t="s">
        <v>344</v>
      </c>
      <c r="G673" s="176"/>
      <c r="H673" s="163"/>
      <c r="I673" s="177"/>
      <c r="J673" s="178"/>
      <c r="K673" s="178"/>
      <c r="L673" s="178"/>
      <c r="M673" s="170"/>
      <c r="N673" s="135"/>
      <c r="O673" s="187"/>
      <c r="P673"/>
      <c r="Q673"/>
      <c r="R673" s="125"/>
      <c r="S673" s="125"/>
      <c r="T673" s="125"/>
      <c r="U673" s="10"/>
    </row>
    <row r="674" spans="1:26" s="126" customFormat="1" ht="14.55" customHeight="1" x14ac:dyDescent="0.55000000000000004">
      <c r="A674" s="117"/>
      <c r="B674"/>
      <c r="C674" s="124"/>
      <c r="D674" s="124"/>
      <c r="E674" s="124"/>
      <c r="F674" s="1804" t="s">
        <v>562</v>
      </c>
      <c r="G674" s="1804"/>
      <c r="H674" s="1804"/>
      <c r="I674" s="1804"/>
      <c r="J674" s="1804"/>
      <c r="K674" s="1804"/>
      <c r="L674" s="1804"/>
      <c r="M674" s="1804"/>
      <c r="N674" s="1804"/>
      <c r="O674" s="1804"/>
      <c r="P674" s="1804"/>
      <c r="Q674" s="1804"/>
      <c r="R674" s="125"/>
      <c r="S674" s="125"/>
      <c r="T674" s="125"/>
      <c r="U674" s="10"/>
    </row>
    <row r="675" spans="1:26" s="126" customFormat="1" x14ac:dyDescent="0.55000000000000004">
      <c r="A675" s="117"/>
      <c r="B675"/>
      <c r="C675" s="124"/>
      <c r="D675" s="124"/>
      <c r="E675" s="124"/>
      <c r="F675" s="1804"/>
      <c r="G675" s="1804"/>
      <c r="H675" s="1804"/>
      <c r="I675" s="1804"/>
      <c r="J675" s="1804"/>
      <c r="K675" s="1804"/>
      <c r="L675" s="1804"/>
      <c r="M675" s="1804"/>
      <c r="N675" s="1804"/>
      <c r="O675" s="1804"/>
      <c r="P675" s="1804"/>
      <c r="Q675" s="1804"/>
      <c r="R675" s="125"/>
      <c r="S675" s="125"/>
      <c r="T675" s="125"/>
      <c r="U675" s="10"/>
    </row>
    <row r="676" spans="1:26" s="126" customFormat="1" x14ac:dyDescent="0.55000000000000004">
      <c r="A676" s="117"/>
      <c r="B676"/>
      <c r="C676" s="124"/>
      <c r="D676" s="124"/>
      <c r="E676" s="124"/>
      <c r="F676" s="186"/>
      <c r="G676" s="176"/>
      <c r="H676" s="163"/>
      <c r="I676" s="177"/>
      <c r="J676" s="178"/>
      <c r="K676" s="178"/>
      <c r="L676" s="178"/>
      <c r="M676" s="170"/>
      <c r="N676" s="135"/>
      <c r="O676" s="187"/>
      <c r="P676"/>
      <c r="Q676"/>
      <c r="R676" s="125"/>
      <c r="S676" s="125"/>
      <c r="T676" s="125"/>
      <c r="U676" s="10"/>
    </row>
    <row r="677" spans="1:26" s="126" customFormat="1" x14ac:dyDescent="0.55000000000000004">
      <c r="A677" s="117"/>
      <c r="B677"/>
      <c r="C677" s="124"/>
      <c r="D677" s="124"/>
      <c r="E677" s="124"/>
      <c r="F677" s="164" t="s">
        <v>88</v>
      </c>
      <c r="G677"/>
      <c r="H677" s="163"/>
      <c r="I677" s="50">
        <v>5</v>
      </c>
      <c r="J677" s="178"/>
      <c r="K677" s="178"/>
      <c r="L677" s="178"/>
      <c r="M677" s="170"/>
      <c r="N677" s="135"/>
      <c r="O677" s="187"/>
      <c r="P677"/>
      <c r="Q677"/>
      <c r="R677" s="125"/>
      <c r="S677" s="125"/>
      <c r="T677" s="125"/>
      <c r="U677" s="10"/>
    </row>
    <row r="678" spans="1:26" s="126" customFormat="1" x14ac:dyDescent="0.55000000000000004">
      <c r="A678" s="117"/>
      <c r="B678"/>
      <c r="C678" s="124"/>
      <c r="D678" s="124"/>
      <c r="E678" s="124"/>
      <c r="F678" t="s">
        <v>346</v>
      </c>
      <c r="G678"/>
      <c r="H678" s="163"/>
      <c r="I678" s="13"/>
      <c r="J678" s="178"/>
      <c r="K678" s="178"/>
      <c r="L678" s="178"/>
      <c r="M678" s="170"/>
      <c r="N678" s="135"/>
      <c r="O678" s="187"/>
      <c r="P678"/>
      <c r="Q678"/>
      <c r="R678" s="125"/>
      <c r="S678" s="125"/>
      <c r="T678" s="125"/>
      <c r="U678" s="10"/>
    </row>
    <row r="679" spans="1:26" s="126" customFormat="1" x14ac:dyDescent="0.55000000000000004">
      <c r="A679" s="117"/>
      <c r="B679"/>
      <c r="C679" s="124"/>
      <c r="D679" s="124"/>
      <c r="E679" s="124"/>
      <c r="F679" t="s">
        <v>347</v>
      </c>
      <c r="G679"/>
      <c r="H679" s="163"/>
      <c r="I679" s="13"/>
      <c r="J679" s="178"/>
      <c r="K679" s="178"/>
      <c r="L679" s="178"/>
      <c r="M679" s="170"/>
      <c r="N679" s="135"/>
      <c r="O679" s="187"/>
      <c r="P679"/>
      <c r="Q679"/>
      <c r="R679" s="125"/>
      <c r="S679" s="125"/>
      <c r="T679" s="125"/>
      <c r="U679" s="10"/>
    </row>
    <row r="680" spans="1:26" s="126" customFormat="1" x14ac:dyDescent="0.55000000000000004">
      <c r="A680" s="117"/>
      <c r="B680"/>
      <c r="C680" s="124"/>
      <c r="D680" s="124"/>
      <c r="E680" s="124"/>
      <c r="F680" t="s">
        <v>366</v>
      </c>
      <c r="G680" s="10"/>
      <c r="H680"/>
      <c r="I680" s="93"/>
      <c r="J680"/>
      <c r="K680" s="178"/>
      <c r="L680" s="178"/>
      <c r="M680" s="170"/>
      <c r="N680" s="135"/>
      <c r="O680" s="187"/>
      <c r="P680"/>
      <c r="Q680"/>
      <c r="R680" s="125"/>
      <c r="S680" s="125"/>
      <c r="T680" s="125"/>
      <c r="U680" s="10"/>
    </row>
    <row r="681" spans="1:26" s="126" customFormat="1" x14ac:dyDescent="0.55000000000000004">
      <c r="A681" s="117"/>
      <c r="B681"/>
      <c r="C681" s="124"/>
      <c r="D681" s="124"/>
      <c r="E681" s="124"/>
      <c r="F681" s="10" t="s">
        <v>612</v>
      </c>
      <c r="H681"/>
      <c r="I681" s="159" t="s">
        <v>578</v>
      </c>
      <c r="J681"/>
      <c r="K681" s="178"/>
      <c r="L681" s="178"/>
      <c r="M681" s="170"/>
      <c r="N681" s="135"/>
      <c r="O681" s="187"/>
      <c r="P681"/>
      <c r="Q681"/>
      <c r="R681" s="125"/>
      <c r="S681" s="125"/>
      <c r="T681" s="125"/>
      <c r="U681" s="10"/>
    </row>
    <row r="682" spans="1:26" s="126" customFormat="1" x14ac:dyDescent="0.55000000000000004">
      <c r="A682" s="117"/>
      <c r="B682"/>
      <c r="C682" s="124"/>
      <c r="D682" s="124"/>
      <c r="E682" s="124"/>
      <c r="F682"/>
      <c r="G682"/>
      <c r="H682"/>
      <c r="I682" s="188"/>
      <c r="J682"/>
      <c r="K682" s="178"/>
      <c r="L682" s="178"/>
      <c r="M682" s="170"/>
      <c r="N682" s="135"/>
      <c r="O682" s="187"/>
      <c r="P682"/>
      <c r="Q682"/>
      <c r="R682" s="125"/>
      <c r="S682" s="125"/>
      <c r="T682" s="125"/>
      <c r="U682" s="10"/>
    </row>
    <row r="683" spans="1:26" s="126" customFormat="1" ht="57.6" x14ac:dyDescent="0.55000000000000004">
      <c r="A683" s="117"/>
      <c r="B683"/>
      <c r="C683" s="124"/>
      <c r="D683" s="124"/>
      <c r="E683" s="124"/>
      <c r="F683" s="56" t="s">
        <v>91</v>
      </c>
      <c r="G683" s="56" t="s">
        <v>92</v>
      </c>
      <c r="H683" s="129" t="s">
        <v>80</v>
      </c>
      <c r="I683" s="56" t="s">
        <v>367</v>
      </c>
      <c r="J683" s="56" t="s">
        <v>368</v>
      </c>
      <c r="K683" s="56" t="s">
        <v>341</v>
      </c>
      <c r="L683" s="56" t="s">
        <v>342</v>
      </c>
      <c r="M683" s="166" t="s">
        <v>351</v>
      </c>
      <c r="N683" s="56" t="s">
        <v>352</v>
      </c>
      <c r="O683" s="56" t="s">
        <v>353</v>
      </c>
      <c r="P683" s="56" t="s">
        <v>354</v>
      </c>
      <c r="Q683" s="56" t="s">
        <v>355</v>
      </c>
      <c r="R683" s="125"/>
      <c r="S683" s="125"/>
      <c r="T683" s="125"/>
      <c r="U683" s="10"/>
      <c r="V683" s="189" t="s">
        <v>616</v>
      </c>
      <c r="W683" s="168" t="s">
        <v>617</v>
      </c>
      <c r="X683" s="189" t="s">
        <v>618</v>
      </c>
      <c r="Y683" s="168" t="s">
        <v>619</v>
      </c>
    </row>
    <row r="684" spans="1:26" s="126" customFormat="1" x14ac:dyDescent="0.55000000000000004">
      <c r="A684" s="117"/>
      <c r="B684"/>
      <c r="C684" s="124"/>
      <c r="D684" s="124"/>
      <c r="E684" s="124"/>
      <c r="F684" s="89">
        <f>IF($I$677=Z684,Z684,1)</f>
        <v>1</v>
      </c>
      <c r="G684" s="91">
        <v>0</v>
      </c>
      <c r="H684" s="50"/>
      <c r="I684" s="169"/>
      <c r="J684" s="63"/>
      <c r="K684" s="21">
        <f>I678-SUMIF(F685:F688,"&lt;="&amp;$I$677,K685:K688)</f>
        <v>0</v>
      </c>
      <c r="L684" s="31">
        <f>I679-SUMIF(F685:F688,"&lt;="&amp;$I$677,L685:L688)</f>
        <v>0</v>
      </c>
      <c r="M684" s="44">
        <f>IFERROR(IF(G654=V654,0,IF(F684&lt;=I677,IF(I681="No",(L638-J646)/(SUMPRODUCT(V684:V688,K684:K688)+SUMPRODUCT(W684:W688,L684:L688)),0)*I680,0)),0)</f>
        <v>0</v>
      </c>
      <c r="N684" s="44">
        <f>IFERROR(IF(G654=V654,0,IF(F684&lt;=I677,IF(I681="No",(L638-J646)/(SUMPRODUCT(V684:V688,K684:K688)+SUMPRODUCT(W684:W688,L684:L688)),0),0)),0)</f>
        <v>0</v>
      </c>
      <c r="O684" s="97" t="str">
        <f>IFERROR(M684/N684,"")</f>
        <v/>
      </c>
      <c r="P684" s="26">
        <f t="shared" ref="P684:Q688" si="10">K684*M684</f>
        <v>0</v>
      </c>
      <c r="Q684" s="26">
        <f t="shared" si="10"/>
        <v>0</v>
      </c>
      <c r="R684" s="125"/>
      <c r="S684" s="125"/>
      <c r="T684" s="125"/>
      <c r="U684" s="10"/>
      <c r="V684" s="92">
        <f>IF(F684&lt;=$I$677,1*$I$680,0)</f>
        <v>0</v>
      </c>
      <c r="W684" s="96">
        <f>IF(F684&lt;=$I$677,1,0)</f>
        <v>1</v>
      </c>
      <c r="X684" s="92"/>
      <c r="Y684" s="96"/>
      <c r="Z684" s="126">
        <v>1</v>
      </c>
    </row>
    <row r="685" spans="1:26" s="126" customFormat="1" x14ac:dyDescent="0.55000000000000004">
      <c r="A685" s="117"/>
      <c r="B685"/>
      <c r="C685" s="124"/>
      <c r="D685" s="124"/>
      <c r="E685" s="124"/>
      <c r="F685" s="89">
        <f>IF($I$677&gt;=Z685,Z685,"")</f>
        <v>2</v>
      </c>
      <c r="G685" s="91">
        <f>IF($I$677&gt;=F685,H684+0.01,"")</f>
        <v>0.01</v>
      </c>
      <c r="H685" s="50"/>
      <c r="I685" s="61"/>
      <c r="J685" s="61"/>
      <c r="K685" s="13"/>
      <c r="L685" s="13"/>
      <c r="M685" s="44">
        <f>IF(F685&lt;=I677,IF(I681="No",M684*(1+I685),N685*I680),0)</f>
        <v>0</v>
      </c>
      <c r="N685" s="44">
        <f>IF(F685&lt;=I677,IF(I681="No",N684*(1+J685),(L638-J646)/(I680*SUMPRODUCT(X685:X688,K685:K688)+SUMPRODUCT(Y685:Y688,L685:L688))),0)</f>
        <v>0</v>
      </c>
      <c r="O685" s="97" t="str">
        <f>IFERROR(M685/N685,"")</f>
        <v/>
      </c>
      <c r="P685" s="26">
        <f t="shared" si="10"/>
        <v>0</v>
      </c>
      <c r="Q685" s="26">
        <f t="shared" si="10"/>
        <v>0</v>
      </c>
      <c r="R685" s="125"/>
      <c r="S685" s="125"/>
      <c r="T685" s="125"/>
      <c r="U685" s="10"/>
      <c r="V685" s="92">
        <f>IF(F685&lt;=$I$677,V684*(1+I685),0)</f>
        <v>0</v>
      </c>
      <c r="W685" s="96">
        <f>IF(F685&lt;=$I$677,(1+J685),0)</f>
        <v>1</v>
      </c>
      <c r="X685" s="92">
        <v>1</v>
      </c>
      <c r="Y685" s="96">
        <f>IF(F685&lt;=I677,1,0)</f>
        <v>1</v>
      </c>
      <c r="Z685" s="126">
        <v>2</v>
      </c>
    </row>
    <row r="686" spans="1:26" s="126" customFormat="1" x14ac:dyDescent="0.55000000000000004">
      <c r="A686" s="117"/>
      <c r="B686"/>
      <c r="C686" s="124"/>
      <c r="D686" s="124"/>
      <c r="E686" s="124"/>
      <c r="F686" s="89">
        <f>IF($I$677&gt;=Z686,Z686,"")</f>
        <v>3</v>
      </c>
      <c r="G686" s="91">
        <f>IF($I$677&gt;=F686,H685+0.01,"")</f>
        <v>0.01</v>
      </c>
      <c r="H686" s="50"/>
      <c r="I686" s="61"/>
      <c r="J686" s="61"/>
      <c r="K686" s="13"/>
      <c r="L686" s="13"/>
      <c r="M686" s="36">
        <f>IF(F686&lt;=$I$677,M685*(1+I686),0)</f>
        <v>0</v>
      </c>
      <c r="N686" s="36">
        <f>IF(F686&lt;=$I$677,N685*(1+J686),0)</f>
        <v>0</v>
      </c>
      <c r="O686" s="97" t="str">
        <f>IFERROR(M686/N686,"")</f>
        <v/>
      </c>
      <c r="P686" s="26">
        <f t="shared" si="10"/>
        <v>0</v>
      </c>
      <c r="Q686" s="26">
        <f t="shared" si="10"/>
        <v>0</v>
      </c>
      <c r="R686" s="125"/>
      <c r="S686" s="125"/>
      <c r="T686" s="125"/>
      <c r="U686" s="10"/>
      <c r="V686" s="92">
        <f>IF(F686&lt;=$I$677,V685*(1+I686),0)</f>
        <v>0</v>
      </c>
      <c r="W686" s="96">
        <f>IF(F686&lt;=$I$677,W685*(1+J686),0)</f>
        <v>1</v>
      </c>
      <c r="X686" s="92">
        <f>IF(F686&lt;=I677,X685*(1+I686),0)</f>
        <v>1</v>
      </c>
      <c r="Y686" s="96">
        <f>IF(F686&lt;=I677,Y685*(1+J686),0)</f>
        <v>1</v>
      </c>
      <c r="Z686" s="126">
        <v>3</v>
      </c>
    </row>
    <row r="687" spans="1:26" s="126" customFormat="1" x14ac:dyDescent="0.55000000000000004">
      <c r="A687" s="117"/>
      <c r="B687"/>
      <c r="C687" s="124"/>
      <c r="D687" s="124"/>
      <c r="E687" s="124"/>
      <c r="F687" s="89">
        <f>IF($I$677&gt;=Z687,Z687,"")</f>
        <v>4</v>
      </c>
      <c r="G687" s="91">
        <f>IF($I$677&gt;=F687,H686+0.01,"")</f>
        <v>0.01</v>
      </c>
      <c r="H687" s="50"/>
      <c r="I687" s="61"/>
      <c r="J687" s="61"/>
      <c r="K687" s="13"/>
      <c r="L687" s="13"/>
      <c r="M687" s="36">
        <f>IF(F687&lt;=$I$677,M686*(1+I687),0)</f>
        <v>0</v>
      </c>
      <c r="N687" s="36">
        <f>IF(F687&lt;=$I$677,N686*(1+J687),0)</f>
        <v>0</v>
      </c>
      <c r="O687" s="97" t="str">
        <f>IFERROR(M687/N687,"")</f>
        <v/>
      </c>
      <c r="P687" s="26">
        <f t="shared" si="10"/>
        <v>0</v>
      </c>
      <c r="Q687" s="26">
        <f t="shared" si="10"/>
        <v>0</v>
      </c>
      <c r="R687" s="125"/>
      <c r="S687" s="125"/>
      <c r="T687" s="125"/>
      <c r="U687" s="10"/>
      <c r="V687" s="92">
        <f>IF(F687&lt;=$I$677,V686*(1+I687),0)</f>
        <v>0</v>
      </c>
      <c r="W687" s="96">
        <f>IF(F687&lt;=$I$677,W686*(1+J687),0)</f>
        <v>1</v>
      </c>
      <c r="X687" s="92">
        <f>IF(F687&lt;=I677,X686*(1+I687),0)</f>
        <v>1</v>
      </c>
      <c r="Y687" s="96">
        <f>IF(F687&lt;=I677,Y686*(1+J687),0)</f>
        <v>1</v>
      </c>
      <c r="Z687" s="126">
        <v>4</v>
      </c>
    </row>
    <row r="688" spans="1:26" s="126" customFormat="1" x14ac:dyDescent="0.55000000000000004">
      <c r="A688" s="117"/>
      <c r="B688"/>
      <c r="C688" s="124"/>
      <c r="D688" s="124"/>
      <c r="E688" s="124"/>
      <c r="F688" s="89">
        <f>IF($I$677&gt;=Z688,Z688,"")</f>
        <v>5</v>
      </c>
      <c r="G688" s="91">
        <f>IF($I$677&gt;=F688,H687+0.01,"")</f>
        <v>0.01</v>
      </c>
      <c r="H688" s="89" t="s">
        <v>84</v>
      </c>
      <c r="I688" s="61"/>
      <c r="J688" s="61"/>
      <c r="K688" s="13"/>
      <c r="L688" s="13"/>
      <c r="M688" s="36">
        <f>IF(F688&lt;=$I$677,M687*(1+I688),0)</f>
        <v>0</v>
      </c>
      <c r="N688" s="36">
        <f>IF(F688&lt;=$I$677,N687*(1+J688),0)</f>
        <v>0</v>
      </c>
      <c r="O688" s="97" t="str">
        <f>IFERROR(M688/N688,"")</f>
        <v/>
      </c>
      <c r="P688" s="26">
        <f t="shared" si="10"/>
        <v>0</v>
      </c>
      <c r="Q688" s="26">
        <f t="shared" si="10"/>
        <v>0</v>
      </c>
      <c r="R688" s="125"/>
      <c r="S688" s="125"/>
      <c r="T688" s="125"/>
      <c r="U688" s="10"/>
      <c r="V688" s="92">
        <f>IF(F688&lt;=$I$677,V687*(1+I688),0)</f>
        <v>0</v>
      </c>
      <c r="W688" s="96">
        <f>IF(F688&lt;=$I$677,W687*(1+J688),0)</f>
        <v>1</v>
      </c>
      <c r="X688" s="92">
        <f>IF(F688&lt;=I677,X687*(1+I688),0)</f>
        <v>1</v>
      </c>
      <c r="Y688" s="96">
        <f>IF(F688&lt;=I677,Y687*(1+J688),0)</f>
        <v>1</v>
      </c>
      <c r="Z688" s="126">
        <v>5</v>
      </c>
    </row>
    <row r="689" spans="1:21" s="126" customFormat="1" ht="14.7" thickBot="1" x14ac:dyDescent="0.6">
      <c r="A689" s="117"/>
      <c r="B689"/>
      <c r="C689" s="124"/>
      <c r="D689" s="124"/>
      <c r="E689" s="130"/>
      <c r="F689" s="131"/>
      <c r="G689" s="131"/>
      <c r="H689" s="131"/>
      <c r="I689" s="131"/>
      <c r="J689" s="131"/>
      <c r="K689" s="131"/>
      <c r="L689" s="131"/>
      <c r="M689" s="131"/>
      <c r="N689" s="131"/>
      <c r="O689" s="131"/>
      <c r="P689" s="131"/>
      <c r="Q689" s="131"/>
      <c r="R689" s="132"/>
      <c r="S689" s="125"/>
      <c r="T689" s="125"/>
      <c r="U689" s="10"/>
    </row>
    <row r="690" spans="1:21" s="126" customFormat="1" ht="14.7" thickBot="1" x14ac:dyDescent="0.6">
      <c r="A690" s="117"/>
      <c r="B690"/>
      <c r="C690" s="124"/>
      <c r="D690" s="130"/>
      <c r="E690" s="131"/>
      <c r="F690" s="131"/>
      <c r="G690" s="131"/>
      <c r="H690" s="131"/>
      <c r="I690" s="131"/>
      <c r="J690" s="131"/>
      <c r="K690" s="131"/>
      <c r="L690" s="131"/>
      <c r="M690" s="131"/>
      <c r="N690" s="131"/>
      <c r="O690" s="131"/>
      <c r="P690" s="131"/>
      <c r="Q690" s="131"/>
      <c r="R690" s="131"/>
      <c r="S690" s="132"/>
      <c r="T690" s="125"/>
      <c r="U690" s="10"/>
    </row>
    <row r="691" spans="1:21" s="126" customFormat="1" ht="14.7" thickBot="1" x14ac:dyDescent="0.6">
      <c r="A691" s="117"/>
      <c r="B691"/>
      <c r="C691" s="130"/>
      <c r="D691" s="131"/>
      <c r="E691" s="131"/>
      <c r="F691" s="131"/>
      <c r="G691" s="131"/>
      <c r="H691" s="131"/>
      <c r="I691" s="131"/>
      <c r="J691" s="131"/>
      <c r="K691" s="131"/>
      <c r="L691" s="131"/>
      <c r="M691" s="131"/>
      <c r="N691" s="131"/>
      <c r="O691" s="131"/>
      <c r="P691" s="131"/>
      <c r="Q691" s="131"/>
      <c r="R691" s="131"/>
      <c r="S691" s="131"/>
      <c r="T691" s="132"/>
      <c r="U691" s="10"/>
    </row>
    <row r="692" spans="1:21" s="126" customFormat="1" ht="14.7" thickBot="1" x14ac:dyDescent="0.6">
      <c r="A692" s="117"/>
      <c r="B692"/>
      <c r="C692"/>
      <c r="D692"/>
      <c r="E692"/>
      <c r="F692"/>
      <c r="G692"/>
      <c r="H692"/>
      <c r="I692"/>
      <c r="J692"/>
      <c r="K692"/>
      <c r="L692"/>
      <c r="M692"/>
      <c r="N692"/>
      <c r="O692"/>
      <c r="P692"/>
      <c r="Q692"/>
      <c r="R692"/>
      <c r="S692"/>
      <c r="T692"/>
      <c r="U692" s="10"/>
    </row>
    <row r="693" spans="1:21" s="126" customFormat="1" x14ac:dyDescent="0.55000000000000004">
      <c r="A693" s="117"/>
      <c r="B693"/>
      <c r="C693" s="121"/>
      <c r="D693" s="122"/>
      <c r="E693" s="122"/>
      <c r="F693" s="122"/>
      <c r="G693" s="122"/>
      <c r="H693" s="122"/>
      <c r="I693" s="122"/>
      <c r="J693" s="122"/>
      <c r="K693" s="122"/>
      <c r="L693" s="122"/>
      <c r="M693" s="122"/>
      <c r="N693" s="122"/>
      <c r="O693" s="122"/>
      <c r="P693" s="122"/>
      <c r="Q693" s="122"/>
      <c r="R693" s="122"/>
      <c r="S693" s="122"/>
      <c r="T693" s="123"/>
      <c r="U693" s="10"/>
    </row>
    <row r="694" spans="1:21" s="126" customFormat="1" ht="18.3" x14ac:dyDescent="0.7">
      <c r="A694" s="117"/>
      <c r="B694"/>
      <c r="C694" s="124"/>
      <c r="D694" s="1822">
        <f>'2 Customer data'!D104</f>
        <v>0</v>
      </c>
      <c r="E694" s="1822"/>
      <c r="F694" s="1822"/>
      <c r="G694" s="1822"/>
      <c r="H694" s="1822"/>
      <c r="I694" s="1822"/>
      <c r="J694" s="1822"/>
      <c r="K694" s="1822"/>
      <c r="L694" s="1822"/>
      <c r="M694" s="1822"/>
      <c r="N694" s="1822"/>
      <c r="O694" s="1822"/>
      <c r="P694" s="1822"/>
      <c r="Q694" s="1822"/>
      <c r="R694" s="1822"/>
      <c r="S694" s="1822"/>
      <c r="T694" s="125"/>
      <c r="U694" s="10"/>
    </row>
    <row r="695" spans="1:21" s="126" customFormat="1" ht="14.7" thickBot="1" x14ac:dyDescent="0.6">
      <c r="A695" s="117"/>
      <c r="B695"/>
      <c r="C695" s="124"/>
      <c r="D695"/>
      <c r="E695"/>
      <c r="F695"/>
      <c r="G695"/>
      <c r="H695"/>
      <c r="I695"/>
      <c r="J695"/>
      <c r="K695"/>
      <c r="L695"/>
      <c r="M695"/>
      <c r="N695"/>
      <c r="O695"/>
      <c r="P695"/>
      <c r="Q695"/>
      <c r="R695"/>
      <c r="S695"/>
      <c r="T695" s="125"/>
      <c r="U695" s="10"/>
    </row>
    <row r="696" spans="1:21" s="126" customFormat="1" x14ac:dyDescent="0.55000000000000004">
      <c r="A696" s="117"/>
      <c r="B696"/>
      <c r="C696" s="124"/>
      <c r="D696" s="121"/>
      <c r="E696" s="122"/>
      <c r="F696" s="122"/>
      <c r="G696" s="122"/>
      <c r="H696" s="122"/>
      <c r="I696" s="122"/>
      <c r="J696" s="122"/>
      <c r="K696" s="122"/>
      <c r="L696" s="122"/>
      <c r="M696" s="122"/>
      <c r="N696" s="122"/>
      <c r="O696" s="122"/>
      <c r="P696" s="122"/>
      <c r="Q696" s="122"/>
      <c r="R696" s="122"/>
      <c r="S696" s="123"/>
      <c r="T696" s="125"/>
      <c r="U696" s="10"/>
    </row>
    <row r="697" spans="1:21" s="126" customFormat="1" x14ac:dyDescent="0.55000000000000004">
      <c r="A697" s="117"/>
      <c r="B697"/>
      <c r="C697" s="124"/>
      <c r="D697" s="124"/>
      <c r="E697"/>
      <c r="F697" s="1" t="str">
        <f>'2 Customer data'!D104&amp;" "&amp;"information"</f>
        <v xml:space="preserve"> information</v>
      </c>
      <c r="G697"/>
      <c r="H697"/>
      <c r="I697"/>
      <c r="J697"/>
      <c r="K697"/>
      <c r="L697"/>
      <c r="M697"/>
      <c r="N697"/>
      <c r="O697"/>
      <c r="P697"/>
      <c r="Q697"/>
      <c r="R697"/>
      <c r="S697" s="125"/>
      <c r="T697" s="125"/>
      <c r="U697" s="10"/>
    </row>
    <row r="698" spans="1:21" s="126" customFormat="1" x14ac:dyDescent="0.55000000000000004">
      <c r="A698" s="117"/>
      <c r="B698"/>
      <c r="C698" s="124"/>
      <c r="D698" s="124"/>
      <c r="E698"/>
      <c r="F698"/>
      <c r="G698"/>
      <c r="H698"/>
      <c r="I698"/>
      <c r="J698"/>
      <c r="K698"/>
      <c r="L698"/>
      <c r="M698"/>
      <c r="N698"/>
      <c r="O698"/>
      <c r="P698"/>
      <c r="Q698"/>
      <c r="R698"/>
      <c r="S698" s="125"/>
      <c r="T698" s="125"/>
      <c r="U698" s="10"/>
    </row>
    <row r="699" spans="1:21" s="126" customFormat="1" ht="28.8" x14ac:dyDescent="0.55000000000000004">
      <c r="A699" s="117"/>
      <c r="B699"/>
      <c r="C699" s="124"/>
      <c r="D699" s="124"/>
      <c r="E699"/>
      <c r="F699"/>
      <c r="G699" s="56" t="s">
        <v>28</v>
      </c>
      <c r="H699" s="56" t="s">
        <v>345</v>
      </c>
      <c r="I699" s="56" t="s">
        <v>60</v>
      </c>
      <c r="J699" s="56" t="s">
        <v>249</v>
      </c>
      <c r="K699" s="56" t="s">
        <v>279</v>
      </c>
      <c r="L699" s="56" t="s">
        <v>357</v>
      </c>
      <c r="M699"/>
      <c r="N699" s="162"/>
      <c r="O699"/>
      <c r="P699"/>
      <c r="Q699"/>
      <c r="R699"/>
      <c r="S699" s="125"/>
      <c r="T699" s="125"/>
      <c r="U699" s="10"/>
    </row>
    <row r="700" spans="1:21" s="126" customFormat="1" x14ac:dyDescent="0.55000000000000004">
      <c r="A700" s="117"/>
      <c r="B700"/>
      <c r="C700" s="124"/>
      <c r="D700" s="124"/>
      <c r="E700"/>
      <c r="F700">
        <f>'2 Customer data'!D156</f>
        <v>0</v>
      </c>
      <c r="G700" s="94">
        <f>IFERROR(IF(VLOOKUP(F700,'2 Customer data'!$D$93:$N$112,7,FALSE)="",VLOOKUP(F700,'2 Customer data'!$D$93:$N$112,6,FALSE),VLOOKUP(F700,'2 Customer data'!$D$93:$N$112,7,FALSE)),0)</f>
        <v>0</v>
      </c>
      <c r="H700" s="26">
        <f>IFERROR(IF(VLOOKUP(F700,'2 Customer data'!$D$93:$N$112,9,FALSE)="",VLOOKUP(F700,'2 Customer data'!$D$93:$N$112,8,FALSE),VLOOKUP(F700,'2 Customer data'!$D$93:$N$112,9,FALSE)),0)</f>
        <v>0</v>
      </c>
      <c r="I700" s="26">
        <f ca="1">IFERROR(VLOOKUP($F700,'2 Electricity'!$D$21:$L$40,6,FALSE),0)</f>
        <v>0</v>
      </c>
      <c r="J700" s="26">
        <f ca="1">IFERROR(VLOOKUP($F700,'2 Electricity'!$D$21:$L$40,7,FALSE),0)</f>
        <v>0</v>
      </c>
      <c r="K700" s="26">
        <f ca="1">IFERROR(VLOOKUP($F700,'2 Electricity'!$D$21:$L$40,8,FALSE),0)</f>
        <v>0</v>
      </c>
      <c r="L700" s="26">
        <f ca="1">IFERROR(VLOOKUP(F700,'2 Electricity'!$D$157:$K$176,8,FALSE),0)</f>
        <v>0</v>
      </c>
      <c r="M700"/>
      <c r="N700" s="134"/>
      <c r="O700"/>
      <c r="P700"/>
      <c r="Q700"/>
      <c r="R700"/>
      <c r="S700" s="125"/>
      <c r="T700" s="125"/>
      <c r="U700" s="10"/>
    </row>
    <row r="701" spans="1:21" s="126" customFormat="1" ht="14.7" thickBot="1" x14ac:dyDescent="0.6">
      <c r="A701" s="117"/>
      <c r="B701"/>
      <c r="C701" s="124"/>
      <c r="D701" s="130"/>
      <c r="E701" s="131"/>
      <c r="F701" s="131"/>
      <c r="G701" s="131"/>
      <c r="H701" s="131"/>
      <c r="I701" s="131"/>
      <c r="J701" s="131"/>
      <c r="K701" s="131"/>
      <c r="L701" s="131"/>
      <c r="M701" s="131"/>
      <c r="N701" s="131"/>
      <c r="O701" s="131"/>
      <c r="P701" s="131"/>
      <c r="Q701" s="131"/>
      <c r="R701" s="131"/>
      <c r="S701" s="132"/>
      <c r="T701" s="125"/>
      <c r="U701" s="10"/>
    </row>
    <row r="702" spans="1:21" s="126" customFormat="1" ht="14.7" thickBot="1" x14ac:dyDescent="0.6">
      <c r="A702" s="117"/>
      <c r="B702"/>
      <c r="C702" s="124"/>
      <c r="D702"/>
      <c r="E702"/>
      <c r="F702"/>
      <c r="G702"/>
      <c r="H702"/>
      <c r="I702"/>
      <c r="J702"/>
      <c r="K702"/>
      <c r="L702"/>
      <c r="M702"/>
      <c r="N702"/>
      <c r="O702"/>
      <c r="P702"/>
      <c r="Q702"/>
      <c r="R702"/>
      <c r="S702"/>
      <c r="T702" s="125"/>
      <c r="U702" s="10"/>
    </row>
    <row r="703" spans="1:21" s="126" customFormat="1" x14ac:dyDescent="0.55000000000000004">
      <c r="A703" s="117"/>
      <c r="B703"/>
      <c r="C703" s="124"/>
      <c r="D703" s="121"/>
      <c r="E703" s="122"/>
      <c r="F703" s="122"/>
      <c r="G703" s="122"/>
      <c r="H703" s="122"/>
      <c r="I703" s="122"/>
      <c r="J703" s="122"/>
      <c r="K703" s="122"/>
      <c r="L703" s="122"/>
      <c r="M703" s="122"/>
      <c r="N703" s="122"/>
      <c r="O703" s="122"/>
      <c r="P703" s="122"/>
      <c r="Q703" s="122"/>
      <c r="R703" s="122"/>
      <c r="S703" s="123"/>
      <c r="T703" s="125"/>
      <c r="U703" s="10"/>
    </row>
    <row r="704" spans="1:21" s="126" customFormat="1" x14ac:dyDescent="0.55000000000000004">
      <c r="A704" s="117"/>
      <c r="B704"/>
      <c r="C704" s="124"/>
      <c r="D704" s="124"/>
      <c r="E704"/>
      <c r="F704" s="1" t="s">
        <v>85</v>
      </c>
      <c r="G704"/>
      <c r="H704"/>
      <c r="I704"/>
      <c r="J704"/>
      <c r="K704"/>
      <c r="L704"/>
      <c r="M704"/>
      <c r="N704"/>
      <c r="O704"/>
      <c r="P704"/>
      <c r="Q704"/>
      <c r="R704"/>
      <c r="S704" s="125"/>
      <c r="T704" s="125"/>
      <c r="U704" s="10"/>
    </row>
    <row r="705" spans="1:22" s="126" customFormat="1" x14ac:dyDescent="0.55000000000000004">
      <c r="A705" s="117"/>
      <c r="B705"/>
      <c r="C705" s="124"/>
      <c r="D705" s="124"/>
      <c r="E705"/>
      <c r="F705" s="120" t="s">
        <v>555</v>
      </c>
      <c r="G705"/>
      <c r="H705"/>
      <c r="I705"/>
      <c r="J705"/>
      <c r="K705"/>
      <c r="L705"/>
      <c r="M705"/>
      <c r="N705"/>
      <c r="O705"/>
      <c r="P705"/>
      <c r="Q705"/>
      <c r="R705"/>
      <c r="S705" s="125"/>
      <c r="T705" s="125"/>
      <c r="U705" s="10"/>
    </row>
    <row r="706" spans="1:22" s="126" customFormat="1" x14ac:dyDescent="0.55000000000000004">
      <c r="A706" s="117"/>
      <c r="B706"/>
      <c r="C706" s="124"/>
      <c r="D706" s="124"/>
      <c r="E706"/>
      <c r="F706"/>
      <c r="G706"/>
      <c r="H706"/>
      <c r="I706"/>
      <c r="J706"/>
      <c r="K706"/>
      <c r="L706"/>
      <c r="M706"/>
      <c r="N706"/>
      <c r="O706"/>
      <c r="P706"/>
      <c r="Q706"/>
      <c r="R706"/>
      <c r="S706" s="125"/>
      <c r="T706" s="125"/>
      <c r="U706" s="10"/>
    </row>
    <row r="707" spans="1:22" s="126" customFormat="1" ht="43.2" x14ac:dyDescent="0.55000000000000004">
      <c r="A707" s="117"/>
      <c r="B707"/>
      <c r="C707" s="124"/>
      <c r="D707" s="124"/>
      <c r="E707"/>
      <c r="F707"/>
      <c r="G707" s="56" t="s">
        <v>86</v>
      </c>
      <c r="H707" s="56" t="s">
        <v>73</v>
      </c>
      <c r="I707" s="56" t="s">
        <v>87</v>
      </c>
      <c r="J707" s="56" t="s">
        <v>75</v>
      </c>
      <c r="K707" s="56" t="s">
        <v>76</v>
      </c>
      <c r="L707"/>
      <c r="M707"/>
      <c r="N707"/>
      <c r="O707"/>
      <c r="P707"/>
      <c r="Q707"/>
      <c r="R707"/>
      <c r="S707" s="125"/>
      <c r="T707" s="125"/>
      <c r="U707" s="10"/>
    </row>
    <row r="708" spans="1:22" s="126" customFormat="1" x14ac:dyDescent="0.55000000000000004">
      <c r="A708" s="117"/>
      <c r="B708"/>
      <c r="C708" s="124"/>
      <c r="D708" s="124"/>
      <c r="E708"/>
      <c r="F708">
        <f>F700</f>
        <v>0</v>
      </c>
      <c r="G708" s="26">
        <f ca="1">SUM(I700,K700)</f>
        <v>0</v>
      </c>
      <c r="H708" s="64">
        <f ca="1">IFERROR(G708/G700,0)/12</f>
        <v>0</v>
      </c>
      <c r="I708" s="84"/>
      <c r="J708" s="26">
        <f>I708*G700*12</f>
        <v>0</v>
      </c>
      <c r="K708" s="21">
        <f>J708/12</f>
        <v>0</v>
      </c>
      <c r="L708"/>
      <c r="M708"/>
      <c r="N708"/>
      <c r="O708"/>
      <c r="P708"/>
      <c r="Q708"/>
      <c r="R708"/>
      <c r="S708" s="125"/>
      <c r="T708" s="125"/>
      <c r="U708" s="10"/>
    </row>
    <row r="709" spans="1:22" s="126" customFormat="1" x14ac:dyDescent="0.55000000000000004">
      <c r="A709" s="117"/>
      <c r="B709"/>
      <c r="C709" s="124"/>
      <c r="D709" s="124"/>
      <c r="E709" s="133"/>
      <c r="F709" s="58" t="str">
        <f>IF(I708&gt;I698,"Error: revenue from fixed charges exceeds total revenue required from tariff. Reduce fixed charge.","")</f>
        <v/>
      </c>
      <c r="G709" s="58" t="str">
        <f ca="1">IF(J708&gt;L700,"Error: revenue from fixed charges exceeds total revenue required from tariff. Reduce fixed charge.","")</f>
        <v/>
      </c>
      <c r="H709" s="134"/>
      <c r="I709" s="134"/>
      <c r="J709" s="135"/>
      <c r="K709"/>
      <c r="L709"/>
      <c r="M709"/>
      <c r="N709"/>
      <c r="O709"/>
      <c r="P709"/>
      <c r="Q709"/>
      <c r="R709"/>
      <c r="S709" s="125"/>
      <c r="T709" s="125"/>
      <c r="U709" s="10"/>
    </row>
    <row r="710" spans="1:22" s="126" customFormat="1" ht="14.7" thickBot="1" x14ac:dyDescent="0.6">
      <c r="A710" s="117"/>
      <c r="B710"/>
      <c r="C710" s="124"/>
      <c r="D710" s="130"/>
      <c r="E710" s="131"/>
      <c r="F710" s="131"/>
      <c r="G710" s="131"/>
      <c r="H710" s="131"/>
      <c r="I710" s="131"/>
      <c r="J710" s="131"/>
      <c r="K710" s="131"/>
      <c r="L710" s="131"/>
      <c r="M710" s="131"/>
      <c r="N710" s="131"/>
      <c r="O710" s="131"/>
      <c r="P710" s="131"/>
      <c r="Q710" s="131"/>
      <c r="R710" s="131"/>
      <c r="S710" s="132"/>
      <c r="T710" s="125"/>
      <c r="U710" s="10"/>
    </row>
    <row r="711" spans="1:22" s="126" customFormat="1" ht="14.7" thickBot="1" x14ac:dyDescent="0.6">
      <c r="A711" s="117"/>
      <c r="B711"/>
      <c r="C711" s="124"/>
      <c r="D711"/>
      <c r="E711"/>
      <c r="F711"/>
      <c r="G711"/>
      <c r="H711"/>
      <c r="I711"/>
      <c r="J711"/>
      <c r="K711"/>
      <c r="L711"/>
      <c r="M711"/>
      <c r="N711"/>
      <c r="O711"/>
      <c r="P711"/>
      <c r="Q711"/>
      <c r="R711"/>
      <c r="S711"/>
      <c r="T711" s="125"/>
      <c r="U711" s="10"/>
    </row>
    <row r="712" spans="1:22" s="126" customFormat="1" x14ac:dyDescent="0.55000000000000004">
      <c r="A712" s="117"/>
      <c r="B712"/>
      <c r="C712" s="124"/>
      <c r="D712" s="121"/>
      <c r="E712" s="122"/>
      <c r="F712" s="122"/>
      <c r="G712" s="122"/>
      <c r="H712" s="122"/>
      <c r="I712" s="122"/>
      <c r="J712" s="122"/>
      <c r="K712" s="122"/>
      <c r="L712" s="122"/>
      <c r="M712" s="122"/>
      <c r="N712" s="122"/>
      <c r="O712" s="122"/>
      <c r="P712" s="122"/>
      <c r="Q712" s="122"/>
      <c r="R712" s="122"/>
      <c r="S712" s="123"/>
      <c r="T712" s="125"/>
      <c r="U712" s="10"/>
    </row>
    <row r="713" spans="1:22" s="126" customFormat="1" x14ac:dyDescent="0.55000000000000004">
      <c r="A713" s="117"/>
      <c r="B713"/>
      <c r="C713" s="124"/>
      <c r="D713" s="124"/>
      <c r="E713"/>
      <c r="F713" s="1" t="s">
        <v>96</v>
      </c>
      <c r="G713"/>
      <c r="H713"/>
      <c r="I713"/>
      <c r="J713"/>
      <c r="K713"/>
      <c r="L713"/>
      <c r="M713"/>
      <c r="N713"/>
      <c r="O713"/>
      <c r="P713"/>
      <c r="Q713"/>
      <c r="R713"/>
      <c r="S713" s="125"/>
      <c r="T713" s="125"/>
      <c r="U713" s="10"/>
    </row>
    <row r="714" spans="1:22" s="126" customFormat="1" ht="14.55" customHeight="1" x14ac:dyDescent="0.55000000000000004">
      <c r="A714" s="117"/>
      <c r="B714"/>
      <c r="C714" s="124"/>
      <c r="D714" s="124"/>
      <c r="E714"/>
      <c r="F714" s="1804" t="s">
        <v>560</v>
      </c>
      <c r="G714" s="1804"/>
      <c r="H714" s="1804"/>
      <c r="I714" s="1804"/>
      <c r="J714" s="1804"/>
      <c r="K714" s="1804"/>
      <c r="L714" s="1804"/>
      <c r="M714" s="1804"/>
      <c r="N714" s="1804"/>
      <c r="O714" s="1804"/>
      <c r="P714" s="1804"/>
      <c r="Q714" s="119"/>
      <c r="R714"/>
      <c r="S714" s="125"/>
      <c r="T714" s="125"/>
      <c r="U714" s="10"/>
    </row>
    <row r="715" spans="1:22" s="126" customFormat="1" x14ac:dyDescent="0.55000000000000004">
      <c r="A715" s="117"/>
      <c r="B715"/>
      <c r="C715" s="124"/>
      <c r="D715" s="124"/>
      <c r="E715"/>
      <c r="F715" s="119"/>
      <c r="G715" s="119"/>
      <c r="H715" s="119"/>
      <c r="I715" s="119"/>
      <c r="J715" s="119"/>
      <c r="K715" s="119"/>
      <c r="L715" s="119"/>
      <c r="M715" s="119"/>
      <c r="N715" s="119"/>
      <c r="O715" s="119"/>
      <c r="P715" s="119"/>
      <c r="Q715" s="119"/>
      <c r="R715"/>
      <c r="S715" s="125"/>
      <c r="T715" s="125"/>
      <c r="U715" s="10"/>
    </row>
    <row r="716" spans="1:22" s="126" customFormat="1" x14ac:dyDescent="0.55000000000000004">
      <c r="A716" s="117"/>
      <c r="B716"/>
      <c r="C716" s="124"/>
      <c r="D716" s="124"/>
      <c r="E716"/>
      <c r="F716" s="1" t="s">
        <v>348</v>
      </c>
      <c r="G716" s="80" t="s">
        <v>89</v>
      </c>
      <c r="H716" s="119"/>
      <c r="I716" s="119"/>
      <c r="J716" s="119"/>
      <c r="K716" s="119"/>
      <c r="L716" s="119"/>
      <c r="M716" s="119"/>
      <c r="N716" s="119"/>
      <c r="O716" s="119"/>
      <c r="P716" s="119"/>
      <c r="Q716" s="119"/>
      <c r="R716"/>
      <c r="S716" s="125"/>
      <c r="T716" s="125"/>
      <c r="U716" s="10"/>
      <c r="V716" s="126" t="s">
        <v>89</v>
      </c>
    </row>
    <row r="717" spans="1:22" s="126" customFormat="1" ht="14.7" thickBot="1" x14ac:dyDescent="0.6">
      <c r="A717" s="117"/>
      <c r="B717"/>
      <c r="C717" s="124"/>
      <c r="D717" s="124"/>
      <c r="E717"/>
      <c r="F717"/>
      <c r="G717" s="134"/>
      <c r="H717" s="119"/>
      <c r="I717" s="119"/>
      <c r="J717" s="119"/>
      <c r="K717" s="119"/>
      <c r="L717" s="119"/>
      <c r="M717" s="119"/>
      <c r="N717" s="119"/>
      <c r="O717" s="119"/>
      <c r="P717" s="119"/>
      <c r="Q717" s="119"/>
      <c r="R717"/>
      <c r="S717" s="125"/>
      <c r="T717" s="125"/>
      <c r="U717" s="10"/>
      <c r="V717" s="126" t="s">
        <v>90</v>
      </c>
    </row>
    <row r="718" spans="1:22" s="126" customFormat="1" x14ac:dyDescent="0.55000000000000004">
      <c r="A718" s="117"/>
      <c r="B718"/>
      <c r="C718" s="124"/>
      <c r="D718" s="124"/>
      <c r="E718" s="121"/>
      <c r="F718" s="122"/>
      <c r="G718" s="122"/>
      <c r="H718" s="122"/>
      <c r="I718" s="122"/>
      <c r="J718" s="122"/>
      <c r="K718" s="122"/>
      <c r="L718" s="122"/>
      <c r="M718" s="122"/>
      <c r="N718" s="122"/>
      <c r="O718" s="122"/>
      <c r="P718" s="122"/>
      <c r="Q718" s="122"/>
      <c r="R718" s="123"/>
      <c r="S718" s="125"/>
      <c r="T718" s="125"/>
      <c r="U718" s="10"/>
    </row>
    <row r="719" spans="1:22" s="126" customFormat="1" x14ac:dyDescent="0.55000000000000004">
      <c r="A719" s="117"/>
      <c r="B719"/>
      <c r="C719" s="124"/>
      <c r="D719" s="124"/>
      <c r="E719" s="124"/>
      <c r="F719" s="1" t="s">
        <v>343</v>
      </c>
      <c r="G719" s="163"/>
      <c r="H719"/>
      <c r="I719"/>
      <c r="J719"/>
      <c r="K719"/>
      <c r="L719"/>
      <c r="M719"/>
      <c r="N719"/>
      <c r="O719"/>
      <c r="P719"/>
      <c r="Q719"/>
      <c r="R719" s="125"/>
      <c r="S719" s="125"/>
      <c r="T719" s="125"/>
      <c r="U719" s="10"/>
    </row>
    <row r="720" spans="1:22" s="126" customFormat="1" ht="14.55" customHeight="1" x14ac:dyDescent="0.55000000000000004">
      <c r="A720" s="117"/>
      <c r="B720"/>
      <c r="C720" s="124"/>
      <c r="D720" s="124"/>
      <c r="E720" s="124"/>
      <c r="F720" s="1804" t="s">
        <v>561</v>
      </c>
      <c r="G720" s="1804"/>
      <c r="H720" s="1804"/>
      <c r="I720" s="1804"/>
      <c r="J720" s="1804"/>
      <c r="K720" s="1804"/>
      <c r="L720" s="1804"/>
      <c r="M720" s="1804"/>
      <c r="N720" s="1804"/>
      <c r="O720" s="1804"/>
      <c r="P720" s="1804"/>
      <c r="Q720" s="1804"/>
      <c r="R720" s="125"/>
      <c r="S720" s="125"/>
      <c r="T720" s="125"/>
      <c r="U720" s="10"/>
    </row>
    <row r="721" spans="1:24" s="126" customFormat="1" x14ac:dyDescent="0.55000000000000004">
      <c r="A721" s="117"/>
      <c r="B721"/>
      <c r="C721" s="124"/>
      <c r="D721" s="124"/>
      <c r="E721" s="124"/>
      <c r="F721" s="1804"/>
      <c r="G721" s="1804"/>
      <c r="H721" s="1804"/>
      <c r="I721" s="1804"/>
      <c r="J721" s="1804"/>
      <c r="K721" s="1804"/>
      <c r="L721" s="1804"/>
      <c r="M721" s="1804"/>
      <c r="N721" s="1804"/>
      <c r="O721" s="1804"/>
      <c r="P721" s="1804"/>
      <c r="Q721" s="1804"/>
      <c r="R721" s="125"/>
      <c r="S721" s="125"/>
      <c r="T721" s="125"/>
      <c r="U721" s="10"/>
    </row>
    <row r="722" spans="1:24" s="126" customFormat="1" x14ac:dyDescent="0.55000000000000004">
      <c r="A722" s="117"/>
      <c r="B722"/>
      <c r="C722" s="124"/>
      <c r="D722" s="124"/>
      <c r="E722" s="124"/>
      <c r="F722" s="1"/>
      <c r="G722" s="163"/>
      <c r="H722"/>
      <c r="I722"/>
      <c r="J722"/>
      <c r="K722"/>
      <c r="L722"/>
      <c r="M722"/>
      <c r="N722"/>
      <c r="O722"/>
      <c r="P722"/>
      <c r="Q722"/>
      <c r="R722" s="125"/>
      <c r="S722" s="125"/>
      <c r="T722" s="125"/>
      <c r="U722" s="10"/>
    </row>
    <row r="723" spans="1:24" s="126" customFormat="1" x14ac:dyDescent="0.55000000000000004">
      <c r="A723" s="117"/>
      <c r="B723"/>
      <c r="C723" s="124"/>
      <c r="D723" s="124"/>
      <c r="E723" s="124"/>
      <c r="F723" s="164" t="s">
        <v>88</v>
      </c>
      <c r="G723" s="10"/>
      <c r="H723"/>
      <c r="I723" s="50">
        <v>5</v>
      </c>
      <c r="J723"/>
      <c r="K723"/>
      <c r="L723"/>
      <c r="M723"/>
      <c r="N723"/>
      <c r="O723"/>
      <c r="P723"/>
      <c r="Q723"/>
      <c r="R723" s="125"/>
      <c r="S723" s="125"/>
      <c r="T723" s="125"/>
      <c r="U723" s="10"/>
    </row>
    <row r="724" spans="1:24" s="126" customFormat="1" x14ac:dyDescent="0.55000000000000004">
      <c r="A724" s="117"/>
      <c r="B724"/>
      <c r="C724" s="124"/>
      <c r="D724" s="124"/>
      <c r="E724" s="124"/>
      <c r="F724" s="10" t="s">
        <v>612</v>
      </c>
      <c r="H724"/>
      <c r="I724" s="159" t="s">
        <v>578</v>
      </c>
      <c r="J724"/>
      <c r="K724"/>
      <c r="L724"/>
      <c r="M724"/>
      <c r="N724"/>
      <c r="O724"/>
      <c r="P724"/>
      <c r="Q724"/>
      <c r="R724" s="125"/>
      <c r="S724" s="125"/>
      <c r="T724" s="125"/>
      <c r="U724" s="10"/>
    </row>
    <row r="725" spans="1:24" s="126" customFormat="1" x14ac:dyDescent="0.55000000000000004">
      <c r="A725" s="117"/>
      <c r="B725"/>
      <c r="C725" s="124"/>
      <c r="D725" s="124"/>
      <c r="E725" s="124"/>
      <c r="F725"/>
      <c r="G725"/>
      <c r="H725"/>
      <c r="I725"/>
      <c r="J725"/>
      <c r="K725"/>
      <c r="L725"/>
      <c r="M725"/>
      <c r="N725"/>
      <c r="O725"/>
      <c r="P725"/>
      <c r="Q725"/>
      <c r="R725" s="125"/>
      <c r="S725" s="125"/>
      <c r="T725" s="125"/>
      <c r="U725" s="10"/>
    </row>
    <row r="726" spans="1:24" s="126" customFormat="1" ht="57.6" x14ac:dyDescent="0.55000000000000004">
      <c r="A726" s="117"/>
      <c r="B726"/>
      <c r="C726" s="124"/>
      <c r="D726" s="124"/>
      <c r="E726" s="124"/>
      <c r="F726" s="56" t="s">
        <v>91</v>
      </c>
      <c r="G726" s="56" t="s">
        <v>92</v>
      </c>
      <c r="H726" s="129" t="s">
        <v>80</v>
      </c>
      <c r="I726" s="56" t="s">
        <v>340</v>
      </c>
      <c r="J726" s="56" t="s">
        <v>356</v>
      </c>
      <c r="K726" s="165" t="s">
        <v>349</v>
      </c>
      <c r="L726" s="166" t="s">
        <v>350</v>
      </c>
      <c r="M726" s="162"/>
      <c r="N726" s="162"/>
      <c r="O726" s="162"/>
      <c r="P726" s="162"/>
      <c r="Q726" s="162"/>
      <c r="R726" s="167"/>
      <c r="S726" s="167"/>
      <c r="T726" s="167"/>
      <c r="U726" s="10"/>
      <c r="V726" s="168" t="s">
        <v>621</v>
      </c>
      <c r="W726" s="168" t="s">
        <v>622</v>
      </c>
    </row>
    <row r="727" spans="1:24" s="126" customFormat="1" x14ac:dyDescent="0.55000000000000004">
      <c r="A727" s="117"/>
      <c r="B727"/>
      <c r="C727" s="124"/>
      <c r="D727" s="124"/>
      <c r="E727" s="124"/>
      <c r="F727" s="89">
        <f>IF($I$723=X727,X727,1)</f>
        <v>1</v>
      </c>
      <c r="G727" s="91">
        <v>0</v>
      </c>
      <c r="H727" s="50"/>
      <c r="I727" s="169"/>
      <c r="J727" s="21">
        <f>IF(G716=V716,H700-SUMIF(F728:F731,"&lt;="&amp;$I$723,J728:J731),0)</f>
        <v>0</v>
      </c>
      <c r="K727" s="114">
        <f ca="1">IFERROR(IF(G716=V716,IF(F727&lt;=I723,IF(I724="No",IF(J708=0,L700/SUMPRODUCT(V727:V731,J727:J731),(L700-J708)/SUMPRODUCT(V727:V731,J727:J731)),0),0),0),0)</f>
        <v>0</v>
      </c>
      <c r="L727" s="31">
        <f ca="1">J727*K727</f>
        <v>0</v>
      </c>
      <c r="M727" s="170"/>
      <c r="N727" s="135"/>
      <c r="O727" s="171"/>
      <c r="P727"/>
      <c r="Q727"/>
      <c r="R727" s="125"/>
      <c r="S727" s="125"/>
      <c r="T727" s="125"/>
      <c r="U727" s="10"/>
      <c r="V727" s="96">
        <f>IF(F727&lt;=$I$723,1,0)</f>
        <v>1</v>
      </c>
      <c r="X727" s="126">
        <v>1</v>
      </c>
    </row>
    <row r="728" spans="1:24" s="126" customFormat="1" x14ac:dyDescent="0.55000000000000004">
      <c r="A728" s="117"/>
      <c r="B728"/>
      <c r="C728" s="124"/>
      <c r="D728" s="124"/>
      <c r="E728" s="124"/>
      <c r="F728" s="89">
        <f>IF($I$723&gt;=X728,X728,"")</f>
        <v>2</v>
      </c>
      <c r="G728" s="91">
        <f>IF($I$723&gt;=F728,H727+0.01,"")</f>
        <v>0.01</v>
      </c>
      <c r="H728" s="50"/>
      <c r="I728" s="61"/>
      <c r="J728" s="13"/>
      <c r="K728" s="114">
        <f ca="1">IFERROR(IF(F728&lt;=I723,IF(I724="No",K727*(1+I728),IF(J708=0,L700/SUMPRODUCT(W728:W731,J728:J731),(L700-J708)/SUMPRODUCT(W728:W731,J728:J731))),0),0)</f>
        <v>0</v>
      </c>
      <c r="L728" s="31">
        <f ca="1">J728*K728</f>
        <v>0</v>
      </c>
      <c r="M728" s="170"/>
      <c r="N728" s="135"/>
      <c r="O728" s="171"/>
      <c r="P728"/>
      <c r="Q728"/>
      <c r="R728" s="125"/>
      <c r="S728" s="125"/>
      <c r="T728" s="125"/>
      <c r="U728" s="10"/>
      <c r="V728" s="96">
        <f>IF(F728&lt;=$I$723,(1+I728),0)</f>
        <v>1</v>
      </c>
      <c r="W728" s="92">
        <f>IF(F728&lt;=I723,1,0)</f>
        <v>1</v>
      </c>
      <c r="X728" s="126">
        <v>2</v>
      </c>
    </row>
    <row r="729" spans="1:24" s="126" customFormat="1" x14ac:dyDescent="0.55000000000000004">
      <c r="A729" s="117"/>
      <c r="B729"/>
      <c r="C729" s="124"/>
      <c r="D729" s="124"/>
      <c r="E729" s="124"/>
      <c r="F729" s="89">
        <f>IF($I$723&gt;=X729,X729,"")</f>
        <v>3</v>
      </c>
      <c r="G729" s="91">
        <f>IF($I$723&gt;=F729,H728+0.01,"")</f>
        <v>0.01</v>
      </c>
      <c r="H729" s="50"/>
      <c r="I729" s="61"/>
      <c r="J729" s="13"/>
      <c r="K729" s="95">
        <f ca="1">IF(F729&lt;=$I$723,K728*(1+I729),0)</f>
        <v>0</v>
      </c>
      <c r="L729" s="31">
        <f ca="1">J729*K729</f>
        <v>0</v>
      </c>
      <c r="M729" s="170"/>
      <c r="N729" s="135"/>
      <c r="O729" s="171"/>
      <c r="P729"/>
      <c r="Q729"/>
      <c r="R729" s="125"/>
      <c r="S729" s="125"/>
      <c r="T729" s="125"/>
      <c r="U729" s="10"/>
      <c r="V729" s="96">
        <f>IF(F729&lt;=$I$723,V728*(1+I729),0)</f>
        <v>1</v>
      </c>
      <c r="W729" s="92">
        <f>IF(F729&lt;=I723,W728*(1+I729),0)</f>
        <v>1</v>
      </c>
      <c r="X729" s="126">
        <v>3</v>
      </c>
    </row>
    <row r="730" spans="1:24" s="126" customFormat="1" x14ac:dyDescent="0.55000000000000004">
      <c r="A730" s="117"/>
      <c r="B730"/>
      <c r="C730" s="124"/>
      <c r="D730" s="124"/>
      <c r="E730" s="124"/>
      <c r="F730" s="89">
        <f>IF($I$723&gt;=X730,X730,"")</f>
        <v>4</v>
      </c>
      <c r="G730" s="91">
        <f>IF($I$723&gt;=F730,H729+0.01,"")</f>
        <v>0.01</v>
      </c>
      <c r="H730" s="50"/>
      <c r="I730" s="61"/>
      <c r="J730" s="13"/>
      <c r="K730" s="95">
        <f ca="1">IF(F730&lt;=$I$723,K729*(1+I730),0)</f>
        <v>0</v>
      </c>
      <c r="L730" s="31">
        <f ca="1">J730*K730</f>
        <v>0</v>
      </c>
      <c r="M730" s="170"/>
      <c r="N730" s="135"/>
      <c r="O730" s="171"/>
      <c r="P730"/>
      <c r="Q730"/>
      <c r="R730" s="125"/>
      <c r="S730" s="125"/>
      <c r="T730" s="125"/>
      <c r="U730" s="10"/>
      <c r="V730" s="96">
        <f>IF(F730&lt;=$I$723,V729*(1+I730),0)</f>
        <v>1</v>
      </c>
      <c r="W730" s="92">
        <f>IF(F730&lt;=I723,W729*(1+I730),0)</f>
        <v>1</v>
      </c>
      <c r="X730" s="126">
        <v>4</v>
      </c>
    </row>
    <row r="731" spans="1:24" s="126" customFormat="1" x14ac:dyDescent="0.55000000000000004">
      <c r="A731" s="117"/>
      <c r="B731"/>
      <c r="C731" s="124"/>
      <c r="D731" s="124"/>
      <c r="E731" s="124"/>
      <c r="F731" s="89">
        <f>IF($I$723&gt;=X731,X731,"")</f>
        <v>5</v>
      </c>
      <c r="G731" s="91">
        <f>IF($I$723&gt;=F731,H730+0.01,"")</f>
        <v>0.01</v>
      </c>
      <c r="H731" s="89" t="s">
        <v>84</v>
      </c>
      <c r="I731" s="61"/>
      <c r="J731" s="13"/>
      <c r="K731" s="95">
        <f ca="1">IF(F731&lt;=$I$723,K730*(1+I731),0)</f>
        <v>0</v>
      </c>
      <c r="L731" s="31">
        <f ca="1">J731*K731</f>
        <v>0</v>
      </c>
      <c r="M731" s="170"/>
      <c r="N731" s="135"/>
      <c r="O731" s="171"/>
      <c r="P731"/>
      <c r="Q731"/>
      <c r="R731" s="125"/>
      <c r="S731" s="125"/>
      <c r="T731" s="125"/>
      <c r="U731" s="10"/>
      <c r="V731" s="96">
        <f>IF(F731&lt;=$I$723,V730*(1+I731),0)</f>
        <v>1</v>
      </c>
      <c r="W731" s="92">
        <f>IF(F731&lt;=I723,W730*(1+I731),0)</f>
        <v>1</v>
      </c>
      <c r="X731" s="126">
        <v>5</v>
      </c>
    </row>
    <row r="732" spans="1:24" s="126" customFormat="1" ht="14.7" thickBot="1" x14ac:dyDescent="0.6">
      <c r="A732" s="117"/>
      <c r="B732"/>
      <c r="C732" s="124"/>
      <c r="D732" s="124"/>
      <c r="E732" s="130"/>
      <c r="F732" s="149"/>
      <c r="G732" s="150"/>
      <c r="H732" s="149"/>
      <c r="I732" s="172"/>
      <c r="J732" s="173"/>
      <c r="K732" s="173"/>
      <c r="L732" s="173"/>
      <c r="M732" s="174"/>
      <c r="N732" s="152"/>
      <c r="O732" s="175"/>
      <c r="P732" s="131"/>
      <c r="Q732" s="131"/>
      <c r="R732" s="132"/>
      <c r="S732" s="125"/>
      <c r="T732" s="125"/>
      <c r="U732" s="10"/>
    </row>
    <row r="733" spans="1:24" s="126" customFormat="1" ht="14.7" thickBot="1" x14ac:dyDescent="0.6">
      <c r="A733" s="117"/>
      <c r="B733"/>
      <c r="C733" s="124"/>
      <c r="D733" s="124"/>
      <c r="E733"/>
      <c r="F733" s="163"/>
      <c r="G733" s="176"/>
      <c r="H733" s="163"/>
      <c r="I733" s="177"/>
      <c r="J733" s="178"/>
      <c r="K733" s="178"/>
      <c r="L733" s="178"/>
      <c r="M733" s="170"/>
      <c r="N733" s="135"/>
      <c r="O733" s="171"/>
      <c r="P733"/>
      <c r="Q733"/>
      <c r="R733"/>
      <c r="S733" s="125"/>
      <c r="T733" s="125"/>
      <c r="U733" s="10"/>
    </row>
    <row r="734" spans="1:24" s="126" customFormat="1" x14ac:dyDescent="0.55000000000000004">
      <c r="A734" s="117"/>
      <c r="B734"/>
      <c r="C734" s="124"/>
      <c r="D734" s="124"/>
      <c r="E734" s="121"/>
      <c r="F734" s="179"/>
      <c r="G734" s="180"/>
      <c r="H734" s="179"/>
      <c r="I734" s="181"/>
      <c r="J734" s="182"/>
      <c r="K734" s="182"/>
      <c r="L734" s="182"/>
      <c r="M734" s="183"/>
      <c r="N734" s="184"/>
      <c r="O734" s="185"/>
      <c r="P734" s="122"/>
      <c r="Q734" s="122"/>
      <c r="R734" s="123"/>
      <c r="S734" s="125"/>
      <c r="T734" s="125"/>
      <c r="U734" s="10"/>
    </row>
    <row r="735" spans="1:24" s="126" customFormat="1" x14ac:dyDescent="0.55000000000000004">
      <c r="A735" s="117"/>
      <c r="B735"/>
      <c r="C735" s="124"/>
      <c r="D735" s="124"/>
      <c r="E735" s="124"/>
      <c r="F735" s="186" t="s">
        <v>344</v>
      </c>
      <c r="G735" s="176"/>
      <c r="H735" s="163"/>
      <c r="I735" s="177"/>
      <c r="J735" s="178"/>
      <c r="K735" s="178"/>
      <c r="L735" s="178"/>
      <c r="M735" s="170"/>
      <c r="N735" s="135"/>
      <c r="O735" s="187"/>
      <c r="P735"/>
      <c r="Q735"/>
      <c r="R735" s="125"/>
      <c r="S735" s="125"/>
      <c r="T735" s="125"/>
      <c r="U735" s="10"/>
    </row>
    <row r="736" spans="1:24" s="126" customFormat="1" ht="14.55" customHeight="1" x14ac:dyDescent="0.55000000000000004">
      <c r="A736" s="117"/>
      <c r="B736"/>
      <c r="C736" s="124"/>
      <c r="D736" s="124"/>
      <c r="E736" s="124"/>
      <c r="F736" s="1804" t="s">
        <v>562</v>
      </c>
      <c r="G736" s="1804"/>
      <c r="H736" s="1804"/>
      <c r="I736" s="1804"/>
      <c r="J736" s="1804"/>
      <c r="K736" s="1804"/>
      <c r="L736" s="1804"/>
      <c r="M736" s="1804"/>
      <c r="N736" s="1804"/>
      <c r="O736" s="1804"/>
      <c r="P736" s="1804"/>
      <c r="Q736" s="1804"/>
      <c r="R736" s="125"/>
      <c r="S736" s="125"/>
      <c r="T736" s="125"/>
      <c r="U736" s="10"/>
    </row>
    <row r="737" spans="1:26" s="126" customFormat="1" x14ac:dyDescent="0.55000000000000004">
      <c r="A737" s="117"/>
      <c r="B737"/>
      <c r="C737" s="124"/>
      <c r="D737" s="124"/>
      <c r="E737" s="124"/>
      <c r="F737" s="1804"/>
      <c r="G737" s="1804"/>
      <c r="H737" s="1804"/>
      <c r="I737" s="1804"/>
      <c r="J737" s="1804"/>
      <c r="K737" s="1804"/>
      <c r="L737" s="1804"/>
      <c r="M737" s="1804"/>
      <c r="N737" s="1804"/>
      <c r="O737" s="1804"/>
      <c r="P737" s="1804"/>
      <c r="Q737" s="1804"/>
      <c r="R737" s="125"/>
      <c r="S737" s="125"/>
      <c r="T737" s="125"/>
      <c r="U737" s="10"/>
    </row>
    <row r="738" spans="1:26" s="126" customFormat="1" x14ac:dyDescent="0.55000000000000004">
      <c r="A738" s="117"/>
      <c r="B738"/>
      <c r="C738" s="124"/>
      <c r="D738" s="124"/>
      <c r="E738" s="124"/>
      <c r="F738" s="186"/>
      <c r="G738" s="176"/>
      <c r="H738" s="163"/>
      <c r="I738" s="177"/>
      <c r="J738" s="178"/>
      <c r="K738" s="178"/>
      <c r="L738" s="178"/>
      <c r="M738" s="170"/>
      <c r="N738" s="135"/>
      <c r="O738" s="187"/>
      <c r="P738"/>
      <c r="Q738"/>
      <c r="R738" s="125"/>
      <c r="S738" s="125"/>
      <c r="T738" s="125"/>
      <c r="U738" s="10"/>
    </row>
    <row r="739" spans="1:26" s="126" customFormat="1" x14ac:dyDescent="0.55000000000000004">
      <c r="A739" s="117"/>
      <c r="B739"/>
      <c r="C739" s="124"/>
      <c r="D739" s="124"/>
      <c r="E739" s="124"/>
      <c r="F739" s="164" t="s">
        <v>88</v>
      </c>
      <c r="G739" s="10"/>
      <c r="H739" s="163"/>
      <c r="I739" s="50">
        <v>5</v>
      </c>
      <c r="J739" s="178"/>
      <c r="K739" s="178"/>
      <c r="L739" s="178"/>
      <c r="M739" s="170"/>
      <c r="N739" s="135"/>
      <c r="O739" s="187"/>
      <c r="P739"/>
      <c r="Q739"/>
      <c r="R739" s="125"/>
      <c r="S739" s="125"/>
      <c r="T739" s="125"/>
      <c r="U739" s="10"/>
    </row>
    <row r="740" spans="1:26" s="126" customFormat="1" x14ac:dyDescent="0.55000000000000004">
      <c r="A740" s="117"/>
      <c r="B740"/>
      <c r="C740" s="124"/>
      <c r="D740" s="124"/>
      <c r="E740" s="124"/>
      <c r="F740" t="s">
        <v>346</v>
      </c>
      <c r="G740" s="10"/>
      <c r="H740" s="163"/>
      <c r="I740" s="13"/>
      <c r="J740" s="178"/>
      <c r="K740" s="178"/>
      <c r="L740" s="178"/>
      <c r="M740" s="170"/>
      <c r="N740" s="135"/>
      <c r="O740" s="187"/>
      <c r="P740"/>
      <c r="Q740"/>
      <c r="R740" s="125"/>
      <c r="S740" s="125"/>
      <c r="T740" s="125"/>
      <c r="U740" s="10"/>
    </row>
    <row r="741" spans="1:26" s="126" customFormat="1" x14ac:dyDescent="0.55000000000000004">
      <c r="A741" s="117"/>
      <c r="B741"/>
      <c r="C741" s="124"/>
      <c r="D741" s="124"/>
      <c r="E741" s="124"/>
      <c r="F741" t="s">
        <v>347</v>
      </c>
      <c r="G741" s="10"/>
      <c r="H741" s="163"/>
      <c r="I741" s="13"/>
      <c r="J741" s="178"/>
      <c r="K741" s="178"/>
      <c r="L741" s="178"/>
      <c r="M741" s="170"/>
      <c r="N741" s="135"/>
      <c r="O741" s="187"/>
      <c r="P741"/>
      <c r="Q741"/>
      <c r="R741" s="125"/>
      <c r="S741" s="125"/>
      <c r="T741" s="125"/>
      <c r="U741" s="10"/>
    </row>
    <row r="742" spans="1:26" s="126" customFormat="1" x14ac:dyDescent="0.55000000000000004">
      <c r="A742" s="117"/>
      <c r="B742"/>
      <c r="C742" s="124"/>
      <c r="D742" s="124"/>
      <c r="E742" s="124"/>
      <c r="F742" t="s">
        <v>366</v>
      </c>
      <c r="G742" s="10"/>
      <c r="H742"/>
      <c r="I742" s="93"/>
      <c r="J742"/>
      <c r="K742" s="178"/>
      <c r="L742" s="178"/>
      <c r="M742" s="170"/>
      <c r="N742" s="135"/>
      <c r="O742" s="187"/>
      <c r="P742"/>
      <c r="Q742"/>
      <c r="R742" s="125"/>
      <c r="S742" s="125"/>
      <c r="T742" s="125"/>
      <c r="U742" s="10"/>
    </row>
    <row r="743" spans="1:26" s="126" customFormat="1" x14ac:dyDescent="0.55000000000000004">
      <c r="A743" s="117"/>
      <c r="B743"/>
      <c r="C743" s="124"/>
      <c r="D743" s="124"/>
      <c r="E743" s="124"/>
      <c r="F743" s="10" t="s">
        <v>612</v>
      </c>
      <c r="H743"/>
      <c r="I743" s="159" t="s">
        <v>578</v>
      </c>
      <c r="J743"/>
      <c r="K743" s="178"/>
      <c r="L743" s="178"/>
      <c r="M743" s="170"/>
      <c r="N743" s="135"/>
      <c r="O743" s="187"/>
      <c r="P743"/>
      <c r="Q743"/>
      <c r="R743" s="125"/>
      <c r="S743" s="125"/>
      <c r="T743" s="125"/>
      <c r="U743" s="10"/>
    </row>
    <row r="744" spans="1:26" s="126" customFormat="1" x14ac:dyDescent="0.55000000000000004">
      <c r="A744" s="117"/>
      <c r="B744"/>
      <c r="C744" s="124"/>
      <c r="D744" s="124"/>
      <c r="E744" s="124"/>
      <c r="F744"/>
      <c r="G744"/>
      <c r="H744"/>
      <c r="I744" s="188"/>
      <c r="J744"/>
      <c r="K744" s="178"/>
      <c r="L744" s="178"/>
      <c r="M744" s="170"/>
      <c r="N744" s="135"/>
      <c r="O744" s="187"/>
      <c r="P744"/>
      <c r="Q744"/>
      <c r="R744" s="125"/>
      <c r="S744" s="125"/>
      <c r="T744" s="125"/>
      <c r="U744" s="10"/>
    </row>
    <row r="745" spans="1:26" s="126" customFormat="1" ht="57.6" x14ac:dyDescent="0.55000000000000004">
      <c r="A745" s="117"/>
      <c r="B745"/>
      <c r="C745" s="124"/>
      <c r="D745" s="124"/>
      <c r="E745" s="124"/>
      <c r="F745" s="56" t="s">
        <v>91</v>
      </c>
      <c r="G745" s="56" t="s">
        <v>92</v>
      </c>
      <c r="H745" s="129" t="s">
        <v>80</v>
      </c>
      <c r="I745" s="56" t="s">
        <v>367</v>
      </c>
      <c r="J745" s="56" t="s">
        <v>368</v>
      </c>
      <c r="K745" s="56" t="s">
        <v>341</v>
      </c>
      <c r="L745" s="56" t="s">
        <v>342</v>
      </c>
      <c r="M745" s="166" t="s">
        <v>351</v>
      </c>
      <c r="N745" s="56" t="s">
        <v>352</v>
      </c>
      <c r="O745" s="56" t="s">
        <v>353</v>
      </c>
      <c r="P745" s="56" t="s">
        <v>354</v>
      </c>
      <c r="Q745" s="56" t="s">
        <v>355</v>
      </c>
      <c r="R745" s="125"/>
      <c r="S745" s="125"/>
      <c r="T745" s="125"/>
      <c r="U745" s="10"/>
      <c r="V745" s="189" t="s">
        <v>616</v>
      </c>
      <c r="W745" s="168" t="s">
        <v>617</v>
      </c>
      <c r="X745" s="189" t="s">
        <v>618</v>
      </c>
      <c r="Y745" s="168" t="s">
        <v>619</v>
      </c>
    </row>
    <row r="746" spans="1:26" s="126" customFormat="1" x14ac:dyDescent="0.55000000000000004">
      <c r="A746" s="117"/>
      <c r="B746"/>
      <c r="C746" s="124"/>
      <c r="D746" s="124"/>
      <c r="E746" s="124"/>
      <c r="F746" s="89">
        <f>IF($I$739=Z746,Z746,1)</f>
        <v>1</v>
      </c>
      <c r="G746" s="91">
        <v>0</v>
      </c>
      <c r="H746" s="50"/>
      <c r="I746" s="169"/>
      <c r="J746" s="63"/>
      <c r="K746" s="21">
        <f>I740-SUMIF(F747:F750,"&lt;="&amp;$I$739,K747:K750)</f>
        <v>0</v>
      </c>
      <c r="L746" s="31">
        <f>I741-SUMIF(F747:F750,"&lt;="&amp;$I$739,L747:L750)</f>
        <v>0</v>
      </c>
      <c r="M746" s="44">
        <f>IFERROR(IF(G716=V716,0,IF(F746&lt;=I739,IF(I743="No",(L700-J708)/(SUMPRODUCT(V746:V750,K746:K750)+SUMPRODUCT(W746:W750,L746:L750)),0)*I742,0)),0)</f>
        <v>0</v>
      </c>
      <c r="N746" s="44">
        <f>IFERROR(IF(G716=V716,0,IF(F746&lt;=I739,IF(I743="No",(L700-J708)/(SUMPRODUCT(V746:V750,K746:K750)+SUMPRODUCT(W746:W750,L746:L750)),0),0)),0)</f>
        <v>0</v>
      </c>
      <c r="O746" s="97" t="str">
        <f>IFERROR(M746/N746,"")</f>
        <v/>
      </c>
      <c r="P746" s="26">
        <f t="shared" ref="P746:Q750" si="11">K746*M746</f>
        <v>0</v>
      </c>
      <c r="Q746" s="26">
        <f t="shared" si="11"/>
        <v>0</v>
      </c>
      <c r="R746" s="125"/>
      <c r="S746" s="125"/>
      <c r="T746" s="125"/>
      <c r="U746" s="10"/>
      <c r="V746" s="92">
        <f>IF(F746&lt;=$I$739,1*$I$742,0)</f>
        <v>0</v>
      </c>
      <c r="W746" s="96">
        <f>IF(F746&lt;=$I$739,1,0)</f>
        <v>1</v>
      </c>
      <c r="X746" s="92"/>
      <c r="Y746" s="96"/>
      <c r="Z746" s="126">
        <v>1</v>
      </c>
    </row>
    <row r="747" spans="1:26" s="126" customFormat="1" x14ac:dyDescent="0.55000000000000004">
      <c r="A747" s="117"/>
      <c r="B747"/>
      <c r="C747" s="124"/>
      <c r="D747" s="124"/>
      <c r="E747" s="124"/>
      <c r="F747" s="89">
        <f>IF($I$739&gt;=Z747,Z747,"")</f>
        <v>2</v>
      </c>
      <c r="G747" s="91">
        <f>IF($I$739&gt;=F747,H746+0.01,"")</f>
        <v>0.01</v>
      </c>
      <c r="H747" s="50"/>
      <c r="I747" s="61"/>
      <c r="J747" s="61"/>
      <c r="K747" s="13"/>
      <c r="L747" s="13"/>
      <c r="M747" s="44">
        <f>IF(F747&lt;=I739,IF(I743="No",M746*(1+I747),N747*I742),0)</f>
        <v>0</v>
      </c>
      <c r="N747" s="44">
        <f>IF(F747&lt;=I739,IF(I743="No",N746*(1+J747),(L700-J708)/(I742*SUMPRODUCT(X747:X750,K747:K750)+SUMPRODUCT(Y747:Y750,L747:L750))),0)</f>
        <v>0</v>
      </c>
      <c r="O747" s="97" t="str">
        <f>IFERROR(M747/N747,"")</f>
        <v/>
      </c>
      <c r="P747" s="26">
        <f t="shared" si="11"/>
        <v>0</v>
      </c>
      <c r="Q747" s="26">
        <f t="shared" si="11"/>
        <v>0</v>
      </c>
      <c r="R747" s="125"/>
      <c r="S747" s="125"/>
      <c r="T747" s="125"/>
      <c r="U747" s="10"/>
      <c r="V747" s="92">
        <f>IF(F747&lt;=$I$739,V746*(1+I747),0)</f>
        <v>0</v>
      </c>
      <c r="W747" s="96">
        <f>IF(F747&lt;=$I$739,(1+J747),0)</f>
        <v>1</v>
      </c>
      <c r="X747" s="92">
        <v>1</v>
      </c>
      <c r="Y747" s="96">
        <f>IF(F747&lt;=I739,1,0)</f>
        <v>1</v>
      </c>
      <c r="Z747" s="126">
        <v>2</v>
      </c>
    </row>
    <row r="748" spans="1:26" s="126" customFormat="1" x14ac:dyDescent="0.55000000000000004">
      <c r="A748" s="117"/>
      <c r="B748"/>
      <c r="C748" s="124"/>
      <c r="D748" s="124"/>
      <c r="E748" s="124"/>
      <c r="F748" s="89">
        <f>IF($I$739&gt;=Z748,Z748,"")</f>
        <v>3</v>
      </c>
      <c r="G748" s="91">
        <f>IF($I$739&gt;=F748,H747+0.01,"")</f>
        <v>0.01</v>
      </c>
      <c r="H748" s="50"/>
      <c r="I748" s="61"/>
      <c r="J748" s="61"/>
      <c r="K748" s="13"/>
      <c r="L748" s="13"/>
      <c r="M748" s="36">
        <f>IF(F748&lt;=$I$739,M747*(1+I748),0)</f>
        <v>0</v>
      </c>
      <c r="N748" s="36">
        <f>IF(F748&lt;=$I$739,N747*(1+J748),0)</f>
        <v>0</v>
      </c>
      <c r="O748" s="97" t="str">
        <f>IFERROR(M748/N748,"")</f>
        <v/>
      </c>
      <c r="P748" s="26">
        <f t="shared" si="11"/>
        <v>0</v>
      </c>
      <c r="Q748" s="26">
        <f t="shared" si="11"/>
        <v>0</v>
      </c>
      <c r="R748" s="125"/>
      <c r="S748" s="125"/>
      <c r="T748" s="125"/>
      <c r="U748" s="10"/>
      <c r="V748" s="92">
        <f>IF(F748&lt;=$I$739,V747*(1+I748),0)</f>
        <v>0</v>
      </c>
      <c r="W748" s="96">
        <f>IF(F748&lt;=$I$739,W747*(1+J748),0)</f>
        <v>1</v>
      </c>
      <c r="X748" s="92">
        <f>IF(F748&lt;=I739,X747*(1+I748),0)</f>
        <v>1</v>
      </c>
      <c r="Y748" s="96">
        <f>IF(F748&lt;=I739,Y747*(1+J748),0)</f>
        <v>1</v>
      </c>
      <c r="Z748" s="126">
        <v>3</v>
      </c>
    </row>
    <row r="749" spans="1:26" s="126" customFormat="1" x14ac:dyDescent="0.55000000000000004">
      <c r="A749" s="117"/>
      <c r="B749"/>
      <c r="C749" s="124"/>
      <c r="D749" s="124"/>
      <c r="E749" s="124"/>
      <c r="F749" s="89">
        <f>IF($I$739&gt;=Z749,Z749,"")</f>
        <v>4</v>
      </c>
      <c r="G749" s="91">
        <f>IF($I$739&gt;=F749,H748+0.01,"")</f>
        <v>0.01</v>
      </c>
      <c r="H749" s="50"/>
      <c r="I749" s="61"/>
      <c r="J749" s="61"/>
      <c r="K749" s="13"/>
      <c r="L749" s="13"/>
      <c r="M749" s="36">
        <f>IF(F749&lt;=$I$739,M748*(1+I749),0)</f>
        <v>0</v>
      </c>
      <c r="N749" s="36">
        <f>IF(F749&lt;=$I$739,N748*(1+J749),0)</f>
        <v>0</v>
      </c>
      <c r="O749" s="97" t="str">
        <f>IFERROR(M749/N749,"")</f>
        <v/>
      </c>
      <c r="P749" s="26">
        <f t="shared" si="11"/>
        <v>0</v>
      </c>
      <c r="Q749" s="26">
        <f t="shared" si="11"/>
        <v>0</v>
      </c>
      <c r="R749" s="125"/>
      <c r="S749" s="125"/>
      <c r="T749" s="125"/>
      <c r="U749" s="10"/>
      <c r="V749" s="92">
        <f>IF(F749&lt;=$I$739,V748*(1+I749),0)</f>
        <v>0</v>
      </c>
      <c r="W749" s="96">
        <f>IF(F749&lt;=$I$739,W748*(1+J749),0)</f>
        <v>1</v>
      </c>
      <c r="X749" s="92">
        <f>IF(F749&lt;=I739,X748*(1+I749),0)</f>
        <v>1</v>
      </c>
      <c r="Y749" s="96">
        <f>IF(F749&lt;=I739,Y748*(1+J749),0)</f>
        <v>1</v>
      </c>
      <c r="Z749" s="126">
        <v>4</v>
      </c>
    </row>
    <row r="750" spans="1:26" s="126" customFormat="1" x14ac:dyDescent="0.55000000000000004">
      <c r="A750" s="117"/>
      <c r="B750"/>
      <c r="C750" s="124"/>
      <c r="D750" s="124"/>
      <c r="E750" s="124"/>
      <c r="F750" s="89">
        <f>IF($I$739&gt;=Z750,Z750,"")</f>
        <v>5</v>
      </c>
      <c r="G750" s="91">
        <f>IF($I$739&gt;=F750,H749+0.01,"")</f>
        <v>0.01</v>
      </c>
      <c r="H750" s="89" t="s">
        <v>84</v>
      </c>
      <c r="I750" s="61"/>
      <c r="J750" s="61"/>
      <c r="K750" s="13"/>
      <c r="L750" s="13"/>
      <c r="M750" s="36">
        <f>IF(F750&lt;=$I$739,M749*(1+I750),0)</f>
        <v>0</v>
      </c>
      <c r="N750" s="36">
        <f>IF(F750&lt;=$I$739,N749*(1+J750),0)</f>
        <v>0</v>
      </c>
      <c r="O750" s="97" t="str">
        <f>IFERROR(M750/N750,"")</f>
        <v/>
      </c>
      <c r="P750" s="26">
        <f t="shared" si="11"/>
        <v>0</v>
      </c>
      <c r="Q750" s="26">
        <f t="shared" si="11"/>
        <v>0</v>
      </c>
      <c r="R750" s="125"/>
      <c r="S750" s="125"/>
      <c r="T750" s="125"/>
      <c r="U750" s="10"/>
      <c r="V750" s="92">
        <f>IF(F750&lt;=$I$739,V749*(1+I750),0)</f>
        <v>0</v>
      </c>
      <c r="W750" s="96">
        <f>IF(F750&lt;=$I$739,W749*(1+J750),0)</f>
        <v>1</v>
      </c>
      <c r="X750" s="92">
        <f>IF(F750&lt;=I739,X749*(1+I750),0)</f>
        <v>1</v>
      </c>
      <c r="Y750" s="96">
        <f>IF(F750&lt;=I739,Y749*(1+J750),0)</f>
        <v>1</v>
      </c>
      <c r="Z750" s="126">
        <v>5</v>
      </c>
    </row>
    <row r="751" spans="1:26" s="126" customFormat="1" ht="14.7" thickBot="1" x14ac:dyDescent="0.6">
      <c r="A751" s="117"/>
      <c r="B751"/>
      <c r="C751" s="124"/>
      <c r="D751" s="124"/>
      <c r="E751" s="130"/>
      <c r="F751" s="131"/>
      <c r="G751" s="131"/>
      <c r="H751" s="131"/>
      <c r="I751" s="131"/>
      <c r="J751" s="131"/>
      <c r="K751" s="131"/>
      <c r="L751" s="131"/>
      <c r="M751" s="131"/>
      <c r="N751" s="131"/>
      <c r="O751" s="131"/>
      <c r="P751" s="131"/>
      <c r="Q751" s="131"/>
      <c r="R751" s="132"/>
      <c r="S751" s="125"/>
      <c r="T751" s="125"/>
      <c r="U751" s="10"/>
    </row>
    <row r="752" spans="1:26" s="126" customFormat="1" ht="14.7" thickBot="1" x14ac:dyDescent="0.6">
      <c r="A752" s="117"/>
      <c r="B752"/>
      <c r="C752" s="124"/>
      <c r="D752" s="130"/>
      <c r="E752" s="131"/>
      <c r="F752" s="131"/>
      <c r="G752" s="131"/>
      <c r="H752" s="131"/>
      <c r="I752" s="131"/>
      <c r="J752" s="131"/>
      <c r="K752" s="131"/>
      <c r="L752" s="131"/>
      <c r="M752" s="131"/>
      <c r="N752" s="131"/>
      <c r="O752" s="131"/>
      <c r="P752" s="131"/>
      <c r="Q752" s="131"/>
      <c r="R752" s="131"/>
      <c r="S752" s="132"/>
      <c r="T752" s="125"/>
      <c r="U752" s="10"/>
    </row>
    <row r="753" spans="1:21" s="126" customFormat="1" ht="14.7" thickBot="1" x14ac:dyDescent="0.6">
      <c r="A753" s="117"/>
      <c r="B753"/>
      <c r="C753" s="130"/>
      <c r="D753" s="131"/>
      <c r="E753" s="131"/>
      <c r="F753" s="131"/>
      <c r="G753" s="131"/>
      <c r="H753" s="131"/>
      <c r="I753" s="131"/>
      <c r="J753" s="131"/>
      <c r="K753" s="131"/>
      <c r="L753" s="131"/>
      <c r="M753" s="131"/>
      <c r="N753" s="131"/>
      <c r="O753" s="131"/>
      <c r="P753" s="131"/>
      <c r="Q753" s="131"/>
      <c r="R753" s="131"/>
      <c r="S753" s="131"/>
      <c r="T753" s="132"/>
      <c r="U753" s="10"/>
    </row>
    <row r="754" spans="1:21" s="126" customFormat="1" ht="14.7" thickBot="1" x14ac:dyDescent="0.6">
      <c r="A754" s="117"/>
      <c r="B754"/>
      <c r="C754"/>
      <c r="D754"/>
      <c r="E754"/>
      <c r="F754"/>
      <c r="G754"/>
      <c r="H754"/>
      <c r="I754"/>
      <c r="J754"/>
      <c r="K754"/>
      <c r="L754"/>
      <c r="M754"/>
      <c r="N754"/>
      <c r="O754"/>
      <c r="P754"/>
      <c r="Q754"/>
      <c r="R754"/>
      <c r="S754"/>
      <c r="T754"/>
      <c r="U754" s="10"/>
    </row>
    <row r="755" spans="1:21" s="126" customFormat="1" x14ac:dyDescent="0.55000000000000004">
      <c r="A755" s="117"/>
      <c r="B755"/>
      <c r="C755" s="121"/>
      <c r="D755" s="122"/>
      <c r="E755" s="122"/>
      <c r="F755" s="122"/>
      <c r="G755" s="122"/>
      <c r="H755" s="122"/>
      <c r="I755" s="122"/>
      <c r="J755" s="122"/>
      <c r="K755" s="122"/>
      <c r="L755" s="122"/>
      <c r="M755" s="122"/>
      <c r="N755" s="122"/>
      <c r="O755" s="122"/>
      <c r="P755" s="122"/>
      <c r="Q755" s="122"/>
      <c r="R755" s="122"/>
      <c r="S755" s="122"/>
      <c r="T755" s="123"/>
      <c r="U755" s="10"/>
    </row>
    <row r="756" spans="1:21" s="126" customFormat="1" ht="18.3" x14ac:dyDescent="0.7">
      <c r="A756" s="117"/>
      <c r="B756"/>
      <c r="C756" s="124"/>
      <c r="D756" s="1822">
        <f>'2 Customer data'!D105</f>
        <v>0</v>
      </c>
      <c r="E756" s="1822"/>
      <c r="F756" s="1822"/>
      <c r="G756" s="1822"/>
      <c r="H756" s="1822"/>
      <c r="I756" s="1822"/>
      <c r="J756" s="1822"/>
      <c r="K756" s="1822"/>
      <c r="L756" s="1822"/>
      <c r="M756" s="1822"/>
      <c r="N756" s="1822"/>
      <c r="O756" s="1822"/>
      <c r="P756" s="1822"/>
      <c r="Q756" s="1822"/>
      <c r="R756" s="1822"/>
      <c r="S756" s="1822"/>
      <c r="T756" s="125"/>
      <c r="U756" s="10"/>
    </row>
    <row r="757" spans="1:21" s="126" customFormat="1" ht="14.7" thickBot="1" x14ac:dyDescent="0.6">
      <c r="A757" s="117"/>
      <c r="B757"/>
      <c r="C757" s="124"/>
      <c r="D757"/>
      <c r="E757"/>
      <c r="F757"/>
      <c r="G757"/>
      <c r="H757"/>
      <c r="I757"/>
      <c r="J757"/>
      <c r="K757"/>
      <c r="L757"/>
      <c r="M757"/>
      <c r="N757"/>
      <c r="O757"/>
      <c r="P757"/>
      <c r="Q757"/>
      <c r="R757"/>
      <c r="S757"/>
      <c r="T757" s="125"/>
      <c r="U757" s="10"/>
    </row>
    <row r="758" spans="1:21" s="126" customFormat="1" x14ac:dyDescent="0.55000000000000004">
      <c r="A758" s="117"/>
      <c r="B758"/>
      <c r="C758" s="124"/>
      <c r="D758" s="121"/>
      <c r="E758" s="122"/>
      <c r="F758" s="122"/>
      <c r="G758" s="122"/>
      <c r="H758" s="122"/>
      <c r="I758" s="122"/>
      <c r="J758" s="122"/>
      <c r="K758" s="122"/>
      <c r="L758" s="122"/>
      <c r="M758" s="122"/>
      <c r="N758" s="122"/>
      <c r="O758" s="122"/>
      <c r="P758" s="122"/>
      <c r="Q758" s="122"/>
      <c r="R758" s="122"/>
      <c r="S758" s="123"/>
      <c r="T758" s="125"/>
      <c r="U758" s="10"/>
    </row>
    <row r="759" spans="1:21" s="126" customFormat="1" x14ac:dyDescent="0.55000000000000004">
      <c r="A759" s="117"/>
      <c r="B759"/>
      <c r="C759" s="124"/>
      <c r="D759" s="124"/>
      <c r="E759"/>
      <c r="F759" s="1" t="str">
        <f>'2 Customer data'!D105&amp;" "&amp;"information"</f>
        <v xml:space="preserve"> information</v>
      </c>
      <c r="G759"/>
      <c r="H759"/>
      <c r="I759"/>
      <c r="J759"/>
      <c r="K759"/>
      <c r="L759"/>
      <c r="M759"/>
      <c r="N759"/>
      <c r="O759"/>
      <c r="P759"/>
      <c r="Q759"/>
      <c r="R759"/>
      <c r="S759" s="125"/>
      <c r="T759" s="125"/>
      <c r="U759" s="10"/>
    </row>
    <row r="760" spans="1:21" s="126" customFormat="1" x14ac:dyDescent="0.55000000000000004">
      <c r="A760" s="117"/>
      <c r="B760"/>
      <c r="C760" s="124"/>
      <c r="D760" s="124"/>
      <c r="E760"/>
      <c r="F760"/>
      <c r="G760"/>
      <c r="H760"/>
      <c r="I760"/>
      <c r="J760"/>
      <c r="K760"/>
      <c r="L760"/>
      <c r="M760"/>
      <c r="N760"/>
      <c r="O760"/>
      <c r="P760"/>
      <c r="Q760"/>
      <c r="R760"/>
      <c r="S760" s="125"/>
      <c r="T760" s="125"/>
      <c r="U760" s="10"/>
    </row>
    <row r="761" spans="1:21" s="126" customFormat="1" ht="28.8" x14ac:dyDescent="0.55000000000000004">
      <c r="A761" s="117"/>
      <c r="B761"/>
      <c r="C761" s="124"/>
      <c r="D761" s="124"/>
      <c r="E761"/>
      <c r="F761"/>
      <c r="G761" s="56" t="s">
        <v>28</v>
      </c>
      <c r="H761" s="56" t="s">
        <v>345</v>
      </c>
      <c r="I761" s="56" t="s">
        <v>60</v>
      </c>
      <c r="J761" s="56" t="s">
        <v>249</v>
      </c>
      <c r="K761" s="56" t="s">
        <v>279</v>
      </c>
      <c r="L761" s="56" t="s">
        <v>357</v>
      </c>
      <c r="M761"/>
      <c r="N761" s="162"/>
      <c r="O761"/>
      <c r="P761"/>
      <c r="Q761"/>
      <c r="R761"/>
      <c r="S761" s="125"/>
      <c r="T761" s="125"/>
      <c r="U761" s="10"/>
    </row>
    <row r="762" spans="1:21" s="126" customFormat="1" x14ac:dyDescent="0.55000000000000004">
      <c r="A762" s="117"/>
      <c r="B762"/>
      <c r="C762" s="124"/>
      <c r="D762" s="124"/>
      <c r="E762"/>
      <c r="F762">
        <f>'2 Customer data'!D105</f>
        <v>0</v>
      </c>
      <c r="G762" s="94">
        <f>IFERROR(IF(VLOOKUP(F762,'2 Customer data'!$D$93:$N$112,7,FALSE)="",VLOOKUP(F762,'2 Customer data'!$D$93:$N$112,6,FALSE),VLOOKUP(F762,'2 Customer data'!$D$93:$N$112,7,FALSE)),0)</f>
        <v>0</v>
      </c>
      <c r="H762" s="26">
        <f>IFERROR(IF(VLOOKUP(F762,'2 Customer data'!$D$93:$N$112,9,FALSE)="",VLOOKUP(F762,'2 Customer data'!$D$93:$N$112,8,FALSE),VLOOKUP(F762,'2 Customer data'!$D$93:$N$112,9,FALSE)),0)</f>
        <v>0</v>
      </c>
      <c r="I762" s="26">
        <f ca="1">IFERROR(VLOOKUP($F762,'2 Electricity'!$D$21:$L$40,6,FALSE),0)</f>
        <v>0</v>
      </c>
      <c r="J762" s="26">
        <f ca="1">IFERROR(VLOOKUP($F762,'2 Electricity'!$D$21:$L$40,7,FALSE),0)</f>
        <v>0</v>
      </c>
      <c r="K762" s="26">
        <f ca="1">IFERROR(VLOOKUP($F762,'2 Electricity'!$D$21:$L$40,8,FALSE),0)</f>
        <v>0</v>
      </c>
      <c r="L762" s="26">
        <f ca="1">IFERROR(VLOOKUP(F762,'2 Electricity'!$D$157:$K$176,8,FALSE),0)</f>
        <v>0</v>
      </c>
      <c r="M762"/>
      <c r="N762" s="134"/>
      <c r="O762"/>
      <c r="P762"/>
      <c r="Q762"/>
      <c r="R762"/>
      <c r="S762" s="125"/>
      <c r="T762" s="125"/>
      <c r="U762" s="10"/>
    </row>
    <row r="763" spans="1:21" s="126" customFormat="1" ht="14.7" thickBot="1" x14ac:dyDescent="0.6">
      <c r="A763" s="117"/>
      <c r="B763"/>
      <c r="C763" s="124"/>
      <c r="D763" s="130"/>
      <c r="E763" s="131"/>
      <c r="F763" s="131"/>
      <c r="G763" s="131"/>
      <c r="H763" s="131"/>
      <c r="I763" s="131"/>
      <c r="J763" s="131"/>
      <c r="K763" s="131"/>
      <c r="L763" s="131"/>
      <c r="M763" s="131"/>
      <c r="N763" s="131"/>
      <c r="O763" s="131"/>
      <c r="P763" s="131"/>
      <c r="Q763" s="131"/>
      <c r="R763" s="131"/>
      <c r="S763" s="132"/>
      <c r="T763" s="125"/>
      <c r="U763" s="10"/>
    </row>
    <row r="764" spans="1:21" s="126" customFormat="1" ht="14.7" thickBot="1" x14ac:dyDescent="0.6">
      <c r="A764" s="117"/>
      <c r="B764"/>
      <c r="C764" s="124"/>
      <c r="D764"/>
      <c r="E764"/>
      <c r="F764"/>
      <c r="G764"/>
      <c r="H764"/>
      <c r="I764"/>
      <c r="J764"/>
      <c r="K764"/>
      <c r="L764"/>
      <c r="M764"/>
      <c r="N764"/>
      <c r="O764"/>
      <c r="P764"/>
      <c r="Q764"/>
      <c r="R764"/>
      <c r="S764"/>
      <c r="T764" s="125"/>
      <c r="U764" s="10"/>
    </row>
    <row r="765" spans="1:21" s="126" customFormat="1" x14ac:dyDescent="0.55000000000000004">
      <c r="A765" s="117"/>
      <c r="B765"/>
      <c r="C765" s="124"/>
      <c r="D765" s="121"/>
      <c r="E765" s="122"/>
      <c r="F765" s="122"/>
      <c r="G765" s="122"/>
      <c r="H765" s="122"/>
      <c r="I765" s="122"/>
      <c r="J765" s="122"/>
      <c r="K765" s="122"/>
      <c r="L765" s="122"/>
      <c r="M765" s="122"/>
      <c r="N765" s="122"/>
      <c r="O765" s="122"/>
      <c r="P765" s="122"/>
      <c r="Q765" s="122"/>
      <c r="R765" s="122"/>
      <c r="S765" s="123"/>
      <c r="T765" s="125"/>
      <c r="U765" s="10"/>
    </row>
    <row r="766" spans="1:21" s="126" customFormat="1" x14ac:dyDescent="0.55000000000000004">
      <c r="A766" s="117"/>
      <c r="B766"/>
      <c r="C766" s="124"/>
      <c r="D766" s="124"/>
      <c r="E766"/>
      <c r="F766" s="1" t="s">
        <v>85</v>
      </c>
      <c r="G766"/>
      <c r="H766"/>
      <c r="I766"/>
      <c r="J766"/>
      <c r="K766"/>
      <c r="L766"/>
      <c r="M766"/>
      <c r="N766"/>
      <c r="O766"/>
      <c r="P766"/>
      <c r="Q766"/>
      <c r="R766"/>
      <c r="S766" s="125"/>
      <c r="T766" s="125"/>
      <c r="U766" s="10"/>
    </row>
    <row r="767" spans="1:21" s="126" customFormat="1" x14ac:dyDescent="0.55000000000000004">
      <c r="A767" s="117"/>
      <c r="B767"/>
      <c r="C767" s="124"/>
      <c r="D767" s="124"/>
      <c r="E767"/>
      <c r="F767" s="120" t="s">
        <v>555</v>
      </c>
      <c r="G767"/>
      <c r="H767"/>
      <c r="I767"/>
      <c r="J767"/>
      <c r="K767"/>
      <c r="L767"/>
      <c r="M767"/>
      <c r="N767"/>
      <c r="O767"/>
      <c r="P767"/>
      <c r="Q767"/>
      <c r="R767"/>
      <c r="S767" s="125"/>
      <c r="T767" s="125"/>
      <c r="U767" s="10"/>
    </row>
    <row r="768" spans="1:21" s="126" customFormat="1" x14ac:dyDescent="0.55000000000000004">
      <c r="A768" s="117"/>
      <c r="B768"/>
      <c r="C768" s="124"/>
      <c r="D768" s="124"/>
      <c r="E768"/>
      <c r="F768"/>
      <c r="G768"/>
      <c r="H768"/>
      <c r="I768"/>
      <c r="J768"/>
      <c r="K768"/>
      <c r="L768"/>
      <c r="M768"/>
      <c r="N768"/>
      <c r="O768"/>
      <c r="P768"/>
      <c r="Q768"/>
      <c r="R768"/>
      <c r="S768" s="125"/>
      <c r="T768" s="125"/>
      <c r="U768" s="10"/>
    </row>
    <row r="769" spans="1:22" s="126" customFormat="1" ht="43.2" x14ac:dyDescent="0.55000000000000004">
      <c r="A769" s="117"/>
      <c r="B769"/>
      <c r="C769" s="124"/>
      <c r="D769" s="124"/>
      <c r="E769"/>
      <c r="F769"/>
      <c r="G769" s="56" t="s">
        <v>86</v>
      </c>
      <c r="H769" s="56" t="s">
        <v>73</v>
      </c>
      <c r="I769" s="56" t="s">
        <v>87</v>
      </c>
      <c r="J769" s="56" t="s">
        <v>75</v>
      </c>
      <c r="K769" s="56" t="s">
        <v>76</v>
      </c>
      <c r="L769"/>
      <c r="M769"/>
      <c r="N769"/>
      <c r="O769"/>
      <c r="P769"/>
      <c r="Q769"/>
      <c r="R769"/>
      <c r="S769" s="125"/>
      <c r="T769" s="125"/>
      <c r="U769" s="10"/>
    </row>
    <row r="770" spans="1:22" s="126" customFormat="1" x14ac:dyDescent="0.55000000000000004">
      <c r="A770" s="117"/>
      <c r="B770"/>
      <c r="C770" s="124"/>
      <c r="D770" s="124"/>
      <c r="E770"/>
      <c r="F770">
        <f>F762</f>
        <v>0</v>
      </c>
      <c r="G770" s="26">
        <f ca="1">SUM(I762,K762)</f>
        <v>0</v>
      </c>
      <c r="H770" s="64">
        <f ca="1">IFERROR(G770/G762,0)/12</f>
        <v>0</v>
      </c>
      <c r="I770" s="84"/>
      <c r="J770" s="26">
        <f>I770*G762*12</f>
        <v>0</v>
      </c>
      <c r="K770" s="21">
        <f>J770/12</f>
        <v>0</v>
      </c>
      <c r="L770"/>
      <c r="M770"/>
      <c r="N770"/>
      <c r="O770"/>
      <c r="P770"/>
      <c r="Q770"/>
      <c r="R770"/>
      <c r="S770" s="125"/>
      <c r="T770" s="125"/>
      <c r="U770" s="10"/>
    </row>
    <row r="771" spans="1:22" s="126" customFormat="1" x14ac:dyDescent="0.55000000000000004">
      <c r="A771" s="117"/>
      <c r="B771"/>
      <c r="C771" s="124"/>
      <c r="D771" s="124"/>
      <c r="E771" s="133"/>
      <c r="F771" s="58" t="str">
        <f>IF(I770&gt;I760,"Error: revenue from fixed charges exceeds total revenue required from tariff. Reduce fixed charge.","")</f>
        <v/>
      </c>
      <c r="G771" s="58" t="str">
        <f ca="1">IF(J770&gt;L762,"Error: revenue from fixed charges exceeds total revenue required from tariff. Reduce fixed charge.","")</f>
        <v/>
      </c>
      <c r="H771" s="134"/>
      <c r="I771" s="134"/>
      <c r="J771" s="135"/>
      <c r="K771"/>
      <c r="L771"/>
      <c r="M771"/>
      <c r="N771"/>
      <c r="O771"/>
      <c r="P771"/>
      <c r="Q771"/>
      <c r="R771"/>
      <c r="S771" s="125"/>
      <c r="T771" s="125"/>
      <c r="U771" s="10"/>
    </row>
    <row r="772" spans="1:22" s="126" customFormat="1" ht="14.7" thickBot="1" x14ac:dyDescent="0.6">
      <c r="A772" s="117"/>
      <c r="B772"/>
      <c r="C772" s="124"/>
      <c r="D772" s="130"/>
      <c r="E772" s="131"/>
      <c r="F772" s="131"/>
      <c r="G772" s="131"/>
      <c r="H772" s="131"/>
      <c r="I772" s="131"/>
      <c r="J772" s="131"/>
      <c r="K772" s="131"/>
      <c r="L772" s="131"/>
      <c r="M772" s="131"/>
      <c r="N772" s="131"/>
      <c r="O772" s="131"/>
      <c r="P772" s="131"/>
      <c r="Q772" s="131"/>
      <c r="R772" s="131"/>
      <c r="S772" s="132"/>
      <c r="T772" s="125"/>
      <c r="U772" s="10"/>
    </row>
    <row r="773" spans="1:22" s="126" customFormat="1" ht="14.7" thickBot="1" x14ac:dyDescent="0.6">
      <c r="A773" s="117"/>
      <c r="B773"/>
      <c r="C773" s="124"/>
      <c r="D773"/>
      <c r="E773"/>
      <c r="F773"/>
      <c r="G773"/>
      <c r="H773"/>
      <c r="I773"/>
      <c r="J773"/>
      <c r="K773"/>
      <c r="L773"/>
      <c r="M773"/>
      <c r="N773"/>
      <c r="O773"/>
      <c r="P773"/>
      <c r="Q773"/>
      <c r="R773"/>
      <c r="S773"/>
      <c r="T773" s="125"/>
      <c r="U773" s="10"/>
    </row>
    <row r="774" spans="1:22" s="126" customFormat="1" x14ac:dyDescent="0.55000000000000004">
      <c r="A774" s="117"/>
      <c r="B774"/>
      <c r="C774" s="124"/>
      <c r="D774" s="121"/>
      <c r="E774" s="122"/>
      <c r="F774" s="122"/>
      <c r="G774" s="122"/>
      <c r="H774" s="122"/>
      <c r="I774" s="122"/>
      <c r="J774" s="122"/>
      <c r="K774" s="122"/>
      <c r="L774" s="122"/>
      <c r="M774" s="122"/>
      <c r="N774" s="122"/>
      <c r="O774" s="122"/>
      <c r="P774" s="122"/>
      <c r="Q774" s="122"/>
      <c r="R774" s="122"/>
      <c r="S774" s="123"/>
      <c r="T774" s="125"/>
      <c r="U774" s="10"/>
    </row>
    <row r="775" spans="1:22" s="126" customFormat="1" x14ac:dyDescent="0.55000000000000004">
      <c r="A775" s="117"/>
      <c r="B775"/>
      <c r="C775" s="124"/>
      <c r="D775" s="124"/>
      <c r="E775"/>
      <c r="F775" s="1" t="s">
        <v>96</v>
      </c>
      <c r="G775"/>
      <c r="H775"/>
      <c r="I775"/>
      <c r="J775"/>
      <c r="K775"/>
      <c r="L775"/>
      <c r="M775"/>
      <c r="N775"/>
      <c r="O775"/>
      <c r="P775"/>
      <c r="Q775"/>
      <c r="R775"/>
      <c r="S775" s="125"/>
      <c r="T775" s="125"/>
      <c r="U775" s="10"/>
    </row>
    <row r="776" spans="1:22" s="126" customFormat="1" ht="14.55" customHeight="1" x14ac:dyDescent="0.55000000000000004">
      <c r="A776" s="117"/>
      <c r="B776"/>
      <c r="C776" s="124"/>
      <c r="D776" s="124"/>
      <c r="E776"/>
      <c r="F776" s="1804" t="s">
        <v>560</v>
      </c>
      <c r="G776" s="1804"/>
      <c r="H776" s="1804"/>
      <c r="I776" s="1804"/>
      <c r="J776" s="1804"/>
      <c r="K776" s="1804"/>
      <c r="L776" s="1804"/>
      <c r="M776" s="1804"/>
      <c r="N776" s="1804"/>
      <c r="O776" s="1804"/>
      <c r="P776" s="1804"/>
      <c r="Q776" s="119"/>
      <c r="R776"/>
      <c r="S776" s="125"/>
      <c r="T776" s="125"/>
      <c r="U776" s="10"/>
    </row>
    <row r="777" spans="1:22" s="126" customFormat="1" x14ac:dyDescent="0.55000000000000004">
      <c r="A777" s="117"/>
      <c r="B777"/>
      <c r="C777" s="124"/>
      <c r="D777" s="124"/>
      <c r="E777"/>
      <c r="F777" s="119"/>
      <c r="G777" s="119"/>
      <c r="H777" s="119"/>
      <c r="I777" s="119"/>
      <c r="J777" s="119"/>
      <c r="K777" s="119"/>
      <c r="L777" s="119"/>
      <c r="M777" s="119"/>
      <c r="N777" s="119"/>
      <c r="O777" s="119"/>
      <c r="P777" s="119"/>
      <c r="Q777" s="119"/>
      <c r="R777"/>
      <c r="S777" s="125"/>
      <c r="T777" s="125"/>
      <c r="U777" s="10"/>
    </row>
    <row r="778" spans="1:22" s="126" customFormat="1" x14ac:dyDescent="0.55000000000000004">
      <c r="A778" s="117"/>
      <c r="B778"/>
      <c r="C778" s="124"/>
      <c r="D778" s="124"/>
      <c r="E778"/>
      <c r="F778" s="1" t="s">
        <v>348</v>
      </c>
      <c r="G778" s="80" t="s">
        <v>89</v>
      </c>
      <c r="H778" s="119"/>
      <c r="I778" s="119"/>
      <c r="J778" s="119"/>
      <c r="K778" s="119"/>
      <c r="L778" s="119"/>
      <c r="M778" s="119"/>
      <c r="N778" s="119"/>
      <c r="O778" s="119"/>
      <c r="P778" s="119"/>
      <c r="Q778" s="119"/>
      <c r="R778"/>
      <c r="S778" s="125"/>
      <c r="T778" s="125"/>
      <c r="U778" s="10"/>
      <c r="V778" s="126" t="s">
        <v>89</v>
      </c>
    </row>
    <row r="779" spans="1:22" s="126" customFormat="1" ht="14.7" thickBot="1" x14ac:dyDescent="0.6">
      <c r="A779" s="117"/>
      <c r="B779"/>
      <c r="C779" s="124"/>
      <c r="D779" s="124"/>
      <c r="E779"/>
      <c r="F779"/>
      <c r="G779" s="134"/>
      <c r="H779" s="119"/>
      <c r="I779" s="119"/>
      <c r="J779" s="119"/>
      <c r="K779" s="119"/>
      <c r="L779" s="119"/>
      <c r="M779" s="119"/>
      <c r="N779" s="119"/>
      <c r="O779" s="119"/>
      <c r="P779" s="119"/>
      <c r="Q779" s="119"/>
      <c r="R779"/>
      <c r="S779" s="125"/>
      <c r="T779" s="125"/>
      <c r="U779" s="10"/>
      <c r="V779" s="126" t="s">
        <v>90</v>
      </c>
    </row>
    <row r="780" spans="1:22" s="126" customFormat="1" x14ac:dyDescent="0.55000000000000004">
      <c r="A780" s="117"/>
      <c r="B780"/>
      <c r="C780" s="124"/>
      <c r="D780" s="124"/>
      <c r="E780" s="121"/>
      <c r="F780" s="122"/>
      <c r="G780" s="122"/>
      <c r="H780" s="122"/>
      <c r="I780" s="122"/>
      <c r="J780" s="122"/>
      <c r="K780" s="122"/>
      <c r="L780" s="122"/>
      <c r="M780" s="122"/>
      <c r="N780" s="122"/>
      <c r="O780" s="122"/>
      <c r="P780" s="122"/>
      <c r="Q780" s="122"/>
      <c r="R780" s="123"/>
      <c r="S780" s="125"/>
      <c r="T780" s="125"/>
      <c r="U780" s="10"/>
    </row>
    <row r="781" spans="1:22" s="126" customFormat="1" x14ac:dyDescent="0.55000000000000004">
      <c r="A781" s="117"/>
      <c r="B781"/>
      <c r="C781" s="124"/>
      <c r="D781" s="124"/>
      <c r="E781" s="124"/>
      <c r="F781" s="1" t="s">
        <v>343</v>
      </c>
      <c r="G781" s="163"/>
      <c r="H781"/>
      <c r="I781"/>
      <c r="J781"/>
      <c r="K781"/>
      <c r="L781"/>
      <c r="M781"/>
      <c r="N781"/>
      <c r="O781"/>
      <c r="P781"/>
      <c r="Q781"/>
      <c r="R781" s="125"/>
      <c r="S781" s="125"/>
      <c r="T781" s="125"/>
      <c r="U781" s="10"/>
    </row>
    <row r="782" spans="1:22" s="126" customFormat="1" ht="14.55" customHeight="1" x14ac:dyDescent="0.55000000000000004">
      <c r="A782" s="117"/>
      <c r="B782"/>
      <c r="C782" s="124"/>
      <c r="D782" s="124"/>
      <c r="E782" s="124"/>
      <c r="F782" s="1804" t="s">
        <v>561</v>
      </c>
      <c r="G782" s="1804"/>
      <c r="H782" s="1804"/>
      <c r="I782" s="1804"/>
      <c r="J782" s="1804"/>
      <c r="K782" s="1804"/>
      <c r="L782" s="1804"/>
      <c r="M782" s="1804"/>
      <c r="N782" s="1804"/>
      <c r="O782" s="1804"/>
      <c r="P782" s="1804"/>
      <c r="Q782" s="1804"/>
      <c r="R782" s="125"/>
      <c r="S782" s="125"/>
      <c r="T782" s="125"/>
      <c r="U782" s="10"/>
    </row>
    <row r="783" spans="1:22" s="126" customFormat="1" x14ac:dyDescent="0.55000000000000004">
      <c r="A783" s="117"/>
      <c r="B783"/>
      <c r="C783" s="124"/>
      <c r="D783" s="124"/>
      <c r="E783" s="124"/>
      <c r="F783" s="1804"/>
      <c r="G783" s="1804"/>
      <c r="H783" s="1804"/>
      <c r="I783" s="1804"/>
      <c r="J783" s="1804"/>
      <c r="K783" s="1804"/>
      <c r="L783" s="1804"/>
      <c r="M783" s="1804"/>
      <c r="N783" s="1804"/>
      <c r="O783" s="1804"/>
      <c r="P783" s="1804"/>
      <c r="Q783" s="1804"/>
      <c r="R783" s="125"/>
      <c r="S783" s="125"/>
      <c r="T783" s="125"/>
      <c r="U783" s="10"/>
    </row>
    <row r="784" spans="1:22" s="126" customFormat="1" x14ac:dyDescent="0.55000000000000004">
      <c r="A784" s="117"/>
      <c r="B784"/>
      <c r="C784" s="124"/>
      <c r="D784" s="124"/>
      <c r="E784" s="124"/>
      <c r="F784" s="1"/>
      <c r="G784" s="163"/>
      <c r="H784"/>
      <c r="I784"/>
      <c r="J784"/>
      <c r="K784"/>
      <c r="L784"/>
      <c r="M784"/>
      <c r="N784"/>
      <c r="O784"/>
      <c r="P784"/>
      <c r="Q784"/>
      <c r="R784" s="125"/>
      <c r="S784" s="125"/>
      <c r="T784" s="125"/>
      <c r="U784" s="10"/>
    </row>
    <row r="785" spans="1:24" s="126" customFormat="1" x14ac:dyDescent="0.55000000000000004">
      <c r="A785" s="117"/>
      <c r="B785"/>
      <c r="C785" s="124"/>
      <c r="D785" s="124"/>
      <c r="E785" s="124"/>
      <c r="F785" s="164" t="s">
        <v>88</v>
      </c>
      <c r="G785" s="10"/>
      <c r="H785"/>
      <c r="I785" s="50">
        <v>5</v>
      </c>
      <c r="J785"/>
      <c r="K785"/>
      <c r="L785"/>
      <c r="M785"/>
      <c r="N785"/>
      <c r="O785"/>
      <c r="P785"/>
      <c r="Q785"/>
      <c r="R785" s="125"/>
      <c r="S785" s="125"/>
      <c r="T785" s="125"/>
      <c r="U785" s="10"/>
    </row>
    <row r="786" spans="1:24" s="126" customFormat="1" x14ac:dyDescent="0.55000000000000004">
      <c r="A786" s="117"/>
      <c r="B786"/>
      <c r="C786" s="124"/>
      <c r="D786" s="124"/>
      <c r="E786" s="124"/>
      <c r="F786" s="10" t="s">
        <v>612</v>
      </c>
      <c r="H786"/>
      <c r="I786" s="159" t="s">
        <v>578</v>
      </c>
      <c r="J786"/>
      <c r="K786"/>
      <c r="L786"/>
      <c r="M786"/>
      <c r="N786"/>
      <c r="O786"/>
      <c r="P786"/>
      <c r="Q786"/>
      <c r="R786" s="125"/>
      <c r="S786" s="125"/>
      <c r="T786" s="125"/>
      <c r="U786" s="10"/>
    </row>
    <row r="787" spans="1:24" s="126" customFormat="1" x14ac:dyDescent="0.55000000000000004">
      <c r="A787" s="117"/>
      <c r="B787"/>
      <c r="C787" s="124"/>
      <c r="D787" s="124"/>
      <c r="E787" s="124"/>
      <c r="F787"/>
      <c r="G787"/>
      <c r="H787"/>
      <c r="I787"/>
      <c r="J787"/>
      <c r="K787"/>
      <c r="L787"/>
      <c r="M787"/>
      <c r="N787"/>
      <c r="O787"/>
      <c r="P787"/>
      <c r="Q787"/>
      <c r="R787" s="125"/>
      <c r="S787" s="125"/>
      <c r="T787" s="125"/>
      <c r="U787" s="10"/>
    </row>
    <row r="788" spans="1:24" s="126" customFormat="1" ht="57.6" x14ac:dyDescent="0.55000000000000004">
      <c r="A788" s="117"/>
      <c r="B788"/>
      <c r="C788" s="124"/>
      <c r="D788" s="124"/>
      <c r="E788" s="124"/>
      <c r="F788" s="56" t="s">
        <v>91</v>
      </c>
      <c r="G788" s="56" t="s">
        <v>92</v>
      </c>
      <c r="H788" s="129" t="s">
        <v>80</v>
      </c>
      <c r="I788" s="56" t="s">
        <v>340</v>
      </c>
      <c r="J788" s="56" t="s">
        <v>356</v>
      </c>
      <c r="K788" s="165" t="s">
        <v>349</v>
      </c>
      <c r="L788" s="166" t="s">
        <v>350</v>
      </c>
      <c r="M788" s="162"/>
      <c r="N788" s="162"/>
      <c r="O788" s="162"/>
      <c r="P788" s="162"/>
      <c r="Q788" s="162"/>
      <c r="R788" s="167"/>
      <c r="S788" s="167"/>
      <c r="T788" s="167"/>
      <c r="U788" s="10"/>
      <c r="V788" s="168" t="s">
        <v>621</v>
      </c>
      <c r="W788" s="168" t="s">
        <v>622</v>
      </c>
    </row>
    <row r="789" spans="1:24" s="126" customFormat="1" x14ac:dyDescent="0.55000000000000004">
      <c r="A789" s="117"/>
      <c r="B789"/>
      <c r="C789" s="124"/>
      <c r="D789" s="124"/>
      <c r="E789" s="124"/>
      <c r="F789" s="89">
        <f>IF($I$785=X789,X789,1)</f>
        <v>1</v>
      </c>
      <c r="G789" s="91">
        <v>0</v>
      </c>
      <c r="H789" s="50"/>
      <c r="I789" s="169"/>
      <c r="J789" s="21">
        <f>IF(G778=V778,H762-SUMIF(F790:F793,"&lt;="&amp;$I$785,J790:J793),0)</f>
        <v>0</v>
      </c>
      <c r="K789" s="114">
        <f ca="1">IFERROR(IF(G778=V778,IF(F789&lt;=I785,IF(I786="No",IF(J770=0,L762/SUMPRODUCT(V789:V793,J789:J793),(L762-J770)/SUMPRODUCT(V789:V793,J789:J793)),0),0),0),0)</f>
        <v>0</v>
      </c>
      <c r="L789" s="31">
        <f ca="1">J789*K789</f>
        <v>0</v>
      </c>
      <c r="M789" s="170"/>
      <c r="N789" s="135"/>
      <c r="O789" s="171"/>
      <c r="P789"/>
      <c r="Q789"/>
      <c r="R789" s="125"/>
      <c r="S789" s="125"/>
      <c r="T789" s="125"/>
      <c r="U789" s="10"/>
      <c r="V789" s="96">
        <f>IF(F789&lt;=$I$785,1,0)</f>
        <v>1</v>
      </c>
      <c r="X789" s="126">
        <v>1</v>
      </c>
    </row>
    <row r="790" spans="1:24" s="126" customFormat="1" x14ac:dyDescent="0.55000000000000004">
      <c r="A790" s="117"/>
      <c r="B790"/>
      <c r="C790" s="124"/>
      <c r="D790" s="124"/>
      <c r="E790" s="124"/>
      <c r="F790" s="89">
        <f>IF($I$785&gt;=X790,X790,"")</f>
        <v>2</v>
      </c>
      <c r="G790" s="91">
        <f>IF($I$785&gt;=F790,H789+0.01,"")</f>
        <v>0.01</v>
      </c>
      <c r="H790" s="50"/>
      <c r="I790" s="61"/>
      <c r="J790" s="13"/>
      <c r="K790" s="114">
        <f ca="1">IFERROR(IF(F790&lt;=I785,IF(I786="No",K789*(1+I790),IF(J770=0,L762/SUMPRODUCT(W790:W793,J790:J793),(L762-J770)/SUMPRODUCT(W790:W793,J790:J793))),0),0)</f>
        <v>0</v>
      </c>
      <c r="L790" s="31">
        <f ca="1">J790*K790</f>
        <v>0</v>
      </c>
      <c r="M790" s="170"/>
      <c r="N790" s="135"/>
      <c r="O790" s="171"/>
      <c r="P790"/>
      <c r="Q790"/>
      <c r="R790" s="125"/>
      <c r="S790" s="125"/>
      <c r="T790" s="125"/>
      <c r="U790" s="10"/>
      <c r="V790" s="96">
        <f>IF(F790&lt;=$I$785,(1+I790),0)</f>
        <v>1</v>
      </c>
      <c r="W790" s="92">
        <f>IF(F790&lt;=I785,1,0)</f>
        <v>1</v>
      </c>
      <c r="X790" s="126">
        <v>2</v>
      </c>
    </row>
    <row r="791" spans="1:24" s="126" customFormat="1" x14ac:dyDescent="0.55000000000000004">
      <c r="A791" s="117"/>
      <c r="B791"/>
      <c r="C791" s="124"/>
      <c r="D791" s="124"/>
      <c r="E791" s="124"/>
      <c r="F791" s="89">
        <f>IF($I$785&gt;=X791,X791,"")</f>
        <v>3</v>
      </c>
      <c r="G791" s="91">
        <f>IF($I$785&gt;=F791,H790+0.01,"")</f>
        <v>0.01</v>
      </c>
      <c r="H791" s="50"/>
      <c r="I791" s="61"/>
      <c r="J791" s="13"/>
      <c r="K791" s="95">
        <f ca="1">IF(F791&lt;=$I$785,K790*(1+I791),0)</f>
        <v>0</v>
      </c>
      <c r="L791" s="31">
        <f ca="1">J791*K791</f>
        <v>0</v>
      </c>
      <c r="M791" s="170"/>
      <c r="N791" s="135"/>
      <c r="O791" s="171"/>
      <c r="P791"/>
      <c r="Q791"/>
      <c r="R791" s="125"/>
      <c r="S791" s="125"/>
      <c r="T791" s="125"/>
      <c r="U791" s="10"/>
      <c r="V791" s="96">
        <f>IF(F791&lt;=$I$785,V790*(1+I791),0)</f>
        <v>1</v>
      </c>
      <c r="W791" s="92">
        <f>IF(F791&lt;=I785,W790*(1+I791),0)</f>
        <v>1</v>
      </c>
      <c r="X791" s="126">
        <v>3</v>
      </c>
    </row>
    <row r="792" spans="1:24" s="126" customFormat="1" x14ac:dyDescent="0.55000000000000004">
      <c r="A792" s="117"/>
      <c r="B792"/>
      <c r="C792" s="124"/>
      <c r="D792" s="124"/>
      <c r="E792" s="124"/>
      <c r="F792" s="89">
        <f>IF($I$785&gt;=X792,X792,"")</f>
        <v>4</v>
      </c>
      <c r="G792" s="91">
        <f>IF($I$785&gt;=F792,H791+0.01,"")</f>
        <v>0.01</v>
      </c>
      <c r="H792" s="50"/>
      <c r="I792" s="61"/>
      <c r="J792" s="13"/>
      <c r="K792" s="95">
        <f ca="1">IF(F792&lt;=$I$785,K791*(1+I792),0)</f>
        <v>0</v>
      </c>
      <c r="L792" s="31">
        <f ca="1">J792*K792</f>
        <v>0</v>
      </c>
      <c r="M792" s="170"/>
      <c r="N792" s="135"/>
      <c r="O792" s="171"/>
      <c r="P792"/>
      <c r="Q792"/>
      <c r="R792" s="125"/>
      <c r="S792" s="125"/>
      <c r="T792" s="125"/>
      <c r="U792" s="10"/>
      <c r="V792" s="96">
        <f>IF(F792&lt;=$I$785,V791*(1+I792),0)</f>
        <v>1</v>
      </c>
      <c r="W792" s="92">
        <f>IF(F792&lt;=I785,W791*(1+I792),0)</f>
        <v>1</v>
      </c>
      <c r="X792" s="126">
        <v>4</v>
      </c>
    </row>
    <row r="793" spans="1:24" s="126" customFormat="1" x14ac:dyDescent="0.55000000000000004">
      <c r="A793" s="117"/>
      <c r="B793"/>
      <c r="C793" s="124"/>
      <c r="D793" s="124"/>
      <c r="E793" s="124"/>
      <c r="F793" s="89">
        <f>IF($I$785&gt;=X793,X793,"")</f>
        <v>5</v>
      </c>
      <c r="G793" s="91">
        <f>IF($I$785&gt;=F793,H792+0.01,"")</f>
        <v>0.01</v>
      </c>
      <c r="H793" s="89" t="s">
        <v>84</v>
      </c>
      <c r="I793" s="61"/>
      <c r="J793" s="13"/>
      <c r="K793" s="95">
        <f ca="1">IF(F793&lt;=$I$785,K792*(1+I793),0)</f>
        <v>0</v>
      </c>
      <c r="L793" s="31">
        <f ca="1">J793*K793</f>
        <v>0</v>
      </c>
      <c r="M793" s="170"/>
      <c r="N793" s="135"/>
      <c r="O793" s="171"/>
      <c r="P793"/>
      <c r="Q793"/>
      <c r="R793" s="125"/>
      <c r="S793" s="125"/>
      <c r="T793" s="125"/>
      <c r="U793" s="10"/>
      <c r="V793" s="96">
        <f>IF(F793&lt;=$I$785,V792*(1+I793),0)</f>
        <v>1</v>
      </c>
      <c r="W793" s="92">
        <f>IF(F793&lt;=I785,W792*(1+I793),0)</f>
        <v>1</v>
      </c>
      <c r="X793" s="126">
        <v>5</v>
      </c>
    </row>
    <row r="794" spans="1:24" s="126" customFormat="1" ht="14.7" thickBot="1" x14ac:dyDescent="0.6">
      <c r="A794" s="117"/>
      <c r="B794"/>
      <c r="C794" s="124"/>
      <c r="D794" s="124"/>
      <c r="E794" s="130"/>
      <c r="F794" s="149"/>
      <c r="G794" s="150"/>
      <c r="H794" s="149"/>
      <c r="I794" s="172"/>
      <c r="J794" s="173"/>
      <c r="K794" s="173"/>
      <c r="L794" s="173"/>
      <c r="M794" s="174"/>
      <c r="N794" s="152"/>
      <c r="O794" s="175"/>
      <c r="P794" s="131"/>
      <c r="Q794" s="131"/>
      <c r="R794" s="132"/>
      <c r="S794" s="125"/>
      <c r="T794" s="125"/>
      <c r="U794" s="10"/>
    </row>
    <row r="795" spans="1:24" s="126" customFormat="1" ht="14.7" thickBot="1" x14ac:dyDescent="0.6">
      <c r="A795" s="117"/>
      <c r="B795"/>
      <c r="C795" s="124"/>
      <c r="D795" s="124"/>
      <c r="E795"/>
      <c r="F795" s="163"/>
      <c r="G795" s="176"/>
      <c r="H795" s="163"/>
      <c r="I795" s="177"/>
      <c r="J795" s="178"/>
      <c r="K795" s="178"/>
      <c r="L795" s="178"/>
      <c r="M795" s="170"/>
      <c r="N795" s="135"/>
      <c r="O795" s="171"/>
      <c r="P795"/>
      <c r="Q795"/>
      <c r="R795"/>
      <c r="S795" s="125"/>
      <c r="T795" s="125"/>
      <c r="U795" s="10"/>
    </row>
    <row r="796" spans="1:24" s="126" customFormat="1" x14ac:dyDescent="0.55000000000000004">
      <c r="A796" s="117"/>
      <c r="B796"/>
      <c r="C796" s="124"/>
      <c r="D796" s="124"/>
      <c r="E796" s="121"/>
      <c r="F796" s="179"/>
      <c r="G796" s="180"/>
      <c r="H796" s="179"/>
      <c r="I796" s="181"/>
      <c r="J796" s="182"/>
      <c r="K796" s="182"/>
      <c r="L796" s="182"/>
      <c r="M796" s="183"/>
      <c r="N796" s="184"/>
      <c r="O796" s="185"/>
      <c r="P796" s="122"/>
      <c r="Q796" s="122"/>
      <c r="R796" s="123"/>
      <c r="S796" s="125"/>
      <c r="T796" s="125"/>
      <c r="U796" s="10"/>
    </row>
    <row r="797" spans="1:24" s="126" customFormat="1" x14ac:dyDescent="0.55000000000000004">
      <c r="A797" s="117"/>
      <c r="B797"/>
      <c r="C797" s="124"/>
      <c r="D797" s="124"/>
      <c r="E797" s="124"/>
      <c r="F797" s="186" t="s">
        <v>344</v>
      </c>
      <c r="G797" s="176"/>
      <c r="H797" s="163"/>
      <c r="I797" s="177"/>
      <c r="J797" s="178"/>
      <c r="K797" s="178"/>
      <c r="L797" s="178"/>
      <c r="M797" s="170"/>
      <c r="N797" s="135"/>
      <c r="O797" s="187"/>
      <c r="P797"/>
      <c r="Q797"/>
      <c r="R797" s="125"/>
      <c r="S797" s="125"/>
      <c r="T797" s="125"/>
      <c r="U797" s="10"/>
    </row>
    <row r="798" spans="1:24" s="126" customFormat="1" ht="14.55" customHeight="1" x14ac:dyDescent="0.55000000000000004">
      <c r="A798" s="117"/>
      <c r="B798"/>
      <c r="C798" s="124"/>
      <c r="D798" s="124"/>
      <c r="E798" s="124"/>
      <c r="F798" s="1804" t="s">
        <v>562</v>
      </c>
      <c r="G798" s="1804"/>
      <c r="H798" s="1804"/>
      <c r="I798" s="1804"/>
      <c r="J798" s="1804"/>
      <c r="K798" s="1804"/>
      <c r="L798" s="1804"/>
      <c r="M798" s="1804"/>
      <c r="N798" s="1804"/>
      <c r="O798" s="1804"/>
      <c r="P798" s="1804"/>
      <c r="Q798" s="1804"/>
      <c r="R798" s="125"/>
      <c r="S798" s="125"/>
      <c r="T798" s="125"/>
      <c r="U798" s="10"/>
    </row>
    <row r="799" spans="1:24" s="126" customFormat="1" x14ac:dyDescent="0.55000000000000004">
      <c r="A799" s="117"/>
      <c r="B799"/>
      <c r="C799" s="124"/>
      <c r="D799" s="124"/>
      <c r="E799" s="124"/>
      <c r="F799" s="1804"/>
      <c r="G799" s="1804"/>
      <c r="H799" s="1804"/>
      <c r="I799" s="1804"/>
      <c r="J799" s="1804"/>
      <c r="K799" s="1804"/>
      <c r="L799" s="1804"/>
      <c r="M799" s="1804"/>
      <c r="N799" s="1804"/>
      <c r="O799" s="1804"/>
      <c r="P799" s="1804"/>
      <c r="Q799" s="1804"/>
      <c r="R799" s="125"/>
      <c r="S799" s="125"/>
      <c r="T799" s="125"/>
      <c r="U799" s="10"/>
    </row>
    <row r="800" spans="1:24" s="126" customFormat="1" x14ac:dyDescent="0.55000000000000004">
      <c r="A800" s="117"/>
      <c r="B800"/>
      <c r="C800" s="124"/>
      <c r="D800" s="124"/>
      <c r="E800" s="124"/>
      <c r="F800" s="186"/>
      <c r="G800" s="176"/>
      <c r="H800" s="163"/>
      <c r="I800" s="177"/>
      <c r="J800" s="178"/>
      <c r="K800" s="178"/>
      <c r="L800" s="178"/>
      <c r="M800" s="170"/>
      <c r="N800" s="135"/>
      <c r="O800" s="187"/>
      <c r="P800"/>
      <c r="Q800"/>
      <c r="R800" s="125"/>
      <c r="S800" s="125"/>
      <c r="T800" s="125"/>
      <c r="U800" s="10"/>
    </row>
    <row r="801" spans="1:26" s="126" customFormat="1" x14ac:dyDescent="0.55000000000000004">
      <c r="A801" s="117"/>
      <c r="B801"/>
      <c r="C801" s="124"/>
      <c r="D801" s="124"/>
      <c r="E801" s="124"/>
      <c r="F801" s="164" t="s">
        <v>88</v>
      </c>
      <c r="G801" s="10"/>
      <c r="H801" s="163"/>
      <c r="I801" s="50">
        <v>5</v>
      </c>
      <c r="J801" s="178"/>
      <c r="K801" s="178"/>
      <c r="L801" s="178"/>
      <c r="M801" s="170"/>
      <c r="N801" s="135"/>
      <c r="O801" s="187"/>
      <c r="P801"/>
      <c r="Q801"/>
      <c r="R801" s="125"/>
      <c r="S801" s="125"/>
      <c r="T801" s="125"/>
      <c r="U801" s="10"/>
    </row>
    <row r="802" spans="1:26" s="126" customFormat="1" x14ac:dyDescent="0.55000000000000004">
      <c r="A802" s="117"/>
      <c r="B802"/>
      <c r="C802" s="124"/>
      <c r="D802" s="124"/>
      <c r="E802" s="124"/>
      <c r="F802" t="s">
        <v>346</v>
      </c>
      <c r="G802" s="10"/>
      <c r="H802" s="163"/>
      <c r="I802" s="13"/>
      <c r="J802" s="178"/>
      <c r="K802" s="178"/>
      <c r="L802" s="178"/>
      <c r="M802" s="170"/>
      <c r="N802" s="135"/>
      <c r="O802" s="187"/>
      <c r="P802"/>
      <c r="Q802"/>
      <c r="R802" s="125"/>
      <c r="S802" s="125"/>
      <c r="T802" s="125"/>
      <c r="U802" s="10"/>
    </row>
    <row r="803" spans="1:26" s="126" customFormat="1" x14ac:dyDescent="0.55000000000000004">
      <c r="A803" s="117"/>
      <c r="B803"/>
      <c r="C803" s="124"/>
      <c r="D803" s="124"/>
      <c r="E803" s="124"/>
      <c r="F803" t="s">
        <v>347</v>
      </c>
      <c r="G803" s="10"/>
      <c r="H803" s="163"/>
      <c r="I803" s="13"/>
      <c r="J803" s="178"/>
      <c r="K803" s="178"/>
      <c r="L803" s="178"/>
      <c r="M803" s="170"/>
      <c r="N803" s="135"/>
      <c r="O803" s="187"/>
      <c r="P803"/>
      <c r="Q803"/>
      <c r="R803" s="125"/>
      <c r="S803" s="125"/>
      <c r="T803" s="125"/>
      <c r="U803" s="10"/>
    </row>
    <row r="804" spans="1:26" s="126" customFormat="1" x14ac:dyDescent="0.55000000000000004">
      <c r="A804" s="117"/>
      <c r="B804"/>
      <c r="C804" s="124"/>
      <c r="D804" s="124"/>
      <c r="E804" s="124"/>
      <c r="F804" t="s">
        <v>366</v>
      </c>
      <c r="G804" s="10"/>
      <c r="H804"/>
      <c r="I804" s="93"/>
      <c r="J804"/>
      <c r="K804" s="178"/>
      <c r="L804" s="178"/>
      <c r="M804" s="170"/>
      <c r="N804" s="135"/>
      <c r="O804" s="187"/>
      <c r="P804"/>
      <c r="Q804"/>
      <c r="R804" s="125"/>
      <c r="S804" s="125"/>
      <c r="T804" s="125"/>
      <c r="U804" s="10"/>
    </row>
    <row r="805" spans="1:26" s="126" customFormat="1" x14ac:dyDescent="0.55000000000000004">
      <c r="A805" s="117"/>
      <c r="B805"/>
      <c r="C805" s="124"/>
      <c r="D805" s="124"/>
      <c r="E805" s="124"/>
      <c r="F805" s="10" t="s">
        <v>612</v>
      </c>
      <c r="H805"/>
      <c r="I805" s="159" t="s">
        <v>578</v>
      </c>
      <c r="J805"/>
      <c r="K805" s="178"/>
      <c r="L805" s="178"/>
      <c r="M805" s="170"/>
      <c r="N805" s="135"/>
      <c r="O805" s="187"/>
      <c r="P805"/>
      <c r="Q805"/>
      <c r="R805" s="125"/>
      <c r="S805" s="125"/>
      <c r="T805" s="125"/>
      <c r="U805" s="10"/>
    </row>
    <row r="806" spans="1:26" s="126" customFormat="1" x14ac:dyDescent="0.55000000000000004">
      <c r="A806" s="117"/>
      <c r="B806"/>
      <c r="C806" s="124"/>
      <c r="D806" s="124"/>
      <c r="E806" s="124"/>
      <c r="F806"/>
      <c r="G806"/>
      <c r="H806"/>
      <c r="I806" s="188"/>
      <c r="J806"/>
      <c r="K806" s="178"/>
      <c r="L806" s="178"/>
      <c r="M806" s="170"/>
      <c r="N806" s="135"/>
      <c r="O806" s="187"/>
      <c r="P806"/>
      <c r="Q806"/>
      <c r="R806" s="125"/>
      <c r="S806" s="125"/>
      <c r="T806" s="125"/>
      <c r="U806" s="10"/>
    </row>
    <row r="807" spans="1:26" s="126" customFormat="1" ht="57.6" x14ac:dyDescent="0.55000000000000004">
      <c r="A807" s="117"/>
      <c r="B807"/>
      <c r="C807" s="124"/>
      <c r="D807" s="124"/>
      <c r="E807" s="124"/>
      <c r="F807" s="56" t="s">
        <v>91</v>
      </c>
      <c r="G807" s="56" t="s">
        <v>92</v>
      </c>
      <c r="H807" s="129" t="s">
        <v>80</v>
      </c>
      <c r="I807" s="56" t="s">
        <v>367</v>
      </c>
      <c r="J807" s="56" t="s">
        <v>368</v>
      </c>
      <c r="K807" s="56" t="s">
        <v>341</v>
      </c>
      <c r="L807" s="56" t="s">
        <v>342</v>
      </c>
      <c r="M807" s="166" t="s">
        <v>351</v>
      </c>
      <c r="N807" s="56" t="s">
        <v>352</v>
      </c>
      <c r="O807" s="56" t="s">
        <v>353</v>
      </c>
      <c r="P807" s="56" t="s">
        <v>354</v>
      </c>
      <c r="Q807" s="56" t="s">
        <v>355</v>
      </c>
      <c r="R807" s="125"/>
      <c r="S807" s="125"/>
      <c r="T807" s="125"/>
      <c r="U807" s="10"/>
      <c r="V807" s="189" t="s">
        <v>616</v>
      </c>
      <c r="W807" s="168" t="s">
        <v>617</v>
      </c>
      <c r="X807" s="189" t="s">
        <v>618</v>
      </c>
      <c r="Y807" s="168" t="s">
        <v>619</v>
      </c>
    </row>
    <row r="808" spans="1:26" s="126" customFormat="1" x14ac:dyDescent="0.55000000000000004">
      <c r="A808" s="117"/>
      <c r="B808"/>
      <c r="C808" s="124"/>
      <c r="D808" s="124"/>
      <c r="E808" s="124"/>
      <c r="F808" s="89">
        <f>IF($I$801=Z808,Z808,1)</f>
        <v>1</v>
      </c>
      <c r="G808" s="91">
        <v>0</v>
      </c>
      <c r="H808" s="50"/>
      <c r="I808" s="169"/>
      <c r="J808" s="63"/>
      <c r="K808" s="21">
        <f>I802-SUMIF(F809:F812,"&lt;="&amp;$I$801,K809:K812)</f>
        <v>0</v>
      </c>
      <c r="L808" s="31">
        <f>I803-SUMIF(F809:F812,"&lt;="&amp;$I$801,L809:L812)</f>
        <v>0</v>
      </c>
      <c r="M808" s="44">
        <f>IFERROR(IF(G778=V778,0,IF(F808&lt;=I801,IF(I805="No",(L762-J770)/(SUMPRODUCT(V808:V812,K808:K812)+SUMPRODUCT(W808:W812,L808:L812)),0)*I804,0)),0)</f>
        <v>0</v>
      </c>
      <c r="N808" s="44">
        <f>IFERROR(IF(G778=V778,0,IF(F808&lt;=I801,IF(I805="No",(L762-J770)/(SUMPRODUCT(V808:V812,K808:K812)+SUMPRODUCT(W808:W812,L808:L812)),0),0)),0)</f>
        <v>0</v>
      </c>
      <c r="O808" s="97" t="str">
        <f>IFERROR(M808/N808,"")</f>
        <v/>
      </c>
      <c r="P808" s="26">
        <f t="shared" ref="P808:Q812" si="12">K808*M808</f>
        <v>0</v>
      </c>
      <c r="Q808" s="26">
        <f t="shared" si="12"/>
        <v>0</v>
      </c>
      <c r="R808" s="125"/>
      <c r="S808" s="125"/>
      <c r="T808" s="125"/>
      <c r="U808" s="10"/>
      <c r="V808" s="92">
        <f>IF(F808&lt;=$I$801,1*$I$804,0)</f>
        <v>0</v>
      </c>
      <c r="W808" s="96">
        <f>IF(F808&lt;=$I$801,1,0)</f>
        <v>1</v>
      </c>
      <c r="X808" s="92"/>
      <c r="Y808" s="96"/>
      <c r="Z808" s="126">
        <v>1</v>
      </c>
    </row>
    <row r="809" spans="1:26" s="126" customFormat="1" x14ac:dyDescent="0.55000000000000004">
      <c r="A809" s="117"/>
      <c r="B809"/>
      <c r="C809" s="124"/>
      <c r="D809" s="124"/>
      <c r="E809" s="124"/>
      <c r="F809" s="89">
        <f>IF($I$801&gt;=Z809,Z809,"")</f>
        <v>2</v>
      </c>
      <c r="G809" s="91">
        <f>IF($I$801&gt;=F809,H808+0.01,"")</f>
        <v>0.01</v>
      </c>
      <c r="H809" s="50"/>
      <c r="I809" s="61"/>
      <c r="J809" s="61"/>
      <c r="K809" s="13"/>
      <c r="L809" s="13"/>
      <c r="M809" s="44">
        <f>IF(F809&lt;=I801,IF(I805="No",M808*(1+I809),N809*I804),0)</f>
        <v>0</v>
      </c>
      <c r="N809" s="44">
        <f>IF(F809&lt;=I801,IF(I805="No",N808*(1+J809),(L762-J770)/(I804*SUMPRODUCT(X809:X812,K809:K812)+SUMPRODUCT(Y809:Y812,L809:L812))),0)</f>
        <v>0</v>
      </c>
      <c r="O809" s="97" t="str">
        <f>IFERROR(M809/N809,"")</f>
        <v/>
      </c>
      <c r="P809" s="26">
        <f t="shared" si="12"/>
        <v>0</v>
      </c>
      <c r="Q809" s="26">
        <f t="shared" si="12"/>
        <v>0</v>
      </c>
      <c r="R809" s="125"/>
      <c r="S809" s="125"/>
      <c r="T809" s="125"/>
      <c r="U809" s="10"/>
      <c r="V809" s="92">
        <f>IF(F809&lt;=$I$801,V808*(1+I809),0)</f>
        <v>0</v>
      </c>
      <c r="W809" s="96">
        <f>IF(F809&lt;=$I$801,(1+J809),0)</f>
        <v>1</v>
      </c>
      <c r="X809" s="92">
        <v>1</v>
      </c>
      <c r="Y809" s="96">
        <f>IF(F809&lt;=I801,1,0)</f>
        <v>1</v>
      </c>
      <c r="Z809" s="126">
        <v>2</v>
      </c>
    </row>
    <row r="810" spans="1:26" s="126" customFormat="1" x14ac:dyDescent="0.55000000000000004">
      <c r="A810" s="117"/>
      <c r="B810"/>
      <c r="C810" s="124"/>
      <c r="D810" s="124"/>
      <c r="E810" s="124"/>
      <c r="F810" s="89">
        <f>IF($I$801&gt;=Z810,Z810,"")</f>
        <v>3</v>
      </c>
      <c r="G810" s="91">
        <f>IF($I$801&gt;=F810,H809+0.01,"")</f>
        <v>0.01</v>
      </c>
      <c r="H810" s="50"/>
      <c r="I810" s="61"/>
      <c r="J810" s="61"/>
      <c r="K810" s="13"/>
      <c r="L810" s="13"/>
      <c r="M810" s="36">
        <f>IF(F810&lt;=$I$801,M809*(1+I810),0)</f>
        <v>0</v>
      </c>
      <c r="N810" s="36">
        <f>IF(F810&lt;=$I$801,N809*(1+J810),0)</f>
        <v>0</v>
      </c>
      <c r="O810" s="97" t="str">
        <f>IFERROR(M810/N810,"")</f>
        <v/>
      </c>
      <c r="P810" s="26">
        <f t="shared" si="12"/>
        <v>0</v>
      </c>
      <c r="Q810" s="26">
        <f t="shared" si="12"/>
        <v>0</v>
      </c>
      <c r="R810" s="125"/>
      <c r="S810" s="125"/>
      <c r="T810" s="125"/>
      <c r="U810" s="10"/>
      <c r="V810" s="92">
        <f>IF(F810&lt;=$I$801,V809*(1+I810),0)</f>
        <v>0</v>
      </c>
      <c r="W810" s="96">
        <f>IF(F810&lt;=$I$801,W809*(1+J810),0)</f>
        <v>1</v>
      </c>
      <c r="X810" s="92">
        <f>IF(F810&lt;=I801,X809*(1+I810),0)</f>
        <v>1</v>
      </c>
      <c r="Y810" s="96">
        <f>IF(F810&lt;=I801,Y809*(1+J810),0)</f>
        <v>1</v>
      </c>
      <c r="Z810" s="126">
        <v>3</v>
      </c>
    </row>
    <row r="811" spans="1:26" s="126" customFormat="1" x14ac:dyDescent="0.55000000000000004">
      <c r="A811" s="117"/>
      <c r="B811"/>
      <c r="C811" s="124"/>
      <c r="D811" s="124"/>
      <c r="E811" s="124"/>
      <c r="F811" s="89">
        <f>IF($I$801&gt;=Z811,Z811,"")</f>
        <v>4</v>
      </c>
      <c r="G811" s="91">
        <f>IF($I$801&gt;=F811,H810+0.01,"")</f>
        <v>0.01</v>
      </c>
      <c r="H811" s="50"/>
      <c r="I811" s="61"/>
      <c r="J811" s="61"/>
      <c r="K811" s="13"/>
      <c r="L811" s="13"/>
      <c r="M811" s="36">
        <f>IF(F811&lt;=$I$801,M810*(1+I811),0)</f>
        <v>0</v>
      </c>
      <c r="N811" s="36">
        <f>IF(F811&lt;=$I$801,N810*(1+J811),0)</f>
        <v>0</v>
      </c>
      <c r="O811" s="97" t="str">
        <f>IFERROR(M811/N811,"")</f>
        <v/>
      </c>
      <c r="P811" s="26">
        <f t="shared" si="12"/>
        <v>0</v>
      </c>
      <c r="Q811" s="26">
        <f t="shared" si="12"/>
        <v>0</v>
      </c>
      <c r="R811" s="125"/>
      <c r="S811" s="125"/>
      <c r="T811" s="125"/>
      <c r="U811" s="10"/>
      <c r="V811" s="92">
        <f>IF(F811&lt;=$I$801,V810*(1+I811),0)</f>
        <v>0</v>
      </c>
      <c r="W811" s="96">
        <f>IF(F811&lt;=$I$801,W810*(1+J811),0)</f>
        <v>1</v>
      </c>
      <c r="X811" s="92">
        <f>IF(F811&lt;=I801,X810*(1+I811),0)</f>
        <v>1</v>
      </c>
      <c r="Y811" s="96">
        <f>IF(F811&lt;=I801,Y810*(1+J811),0)</f>
        <v>1</v>
      </c>
      <c r="Z811" s="126">
        <v>4</v>
      </c>
    </row>
    <row r="812" spans="1:26" s="126" customFormat="1" x14ac:dyDescent="0.55000000000000004">
      <c r="A812" s="117"/>
      <c r="B812"/>
      <c r="C812" s="124"/>
      <c r="D812" s="124"/>
      <c r="E812" s="124"/>
      <c r="F812" s="89">
        <f>IF($I$801&gt;=Z812,Z812,"")</f>
        <v>5</v>
      </c>
      <c r="G812" s="91">
        <f>IF($I$801&gt;=F812,H811+0.01,"")</f>
        <v>0.01</v>
      </c>
      <c r="H812" s="89" t="s">
        <v>84</v>
      </c>
      <c r="I812" s="61"/>
      <c r="J812" s="61"/>
      <c r="K812" s="13"/>
      <c r="L812" s="13"/>
      <c r="M812" s="36">
        <f>IF(F812&lt;=$I$801,M811*(1+I812),0)</f>
        <v>0</v>
      </c>
      <c r="N812" s="36">
        <f>IF(F812&lt;=$I$801,N811*(1+J812),0)</f>
        <v>0</v>
      </c>
      <c r="O812" s="97" t="str">
        <f>IFERROR(M812/N812,"")</f>
        <v/>
      </c>
      <c r="P812" s="26">
        <f t="shared" si="12"/>
        <v>0</v>
      </c>
      <c r="Q812" s="26">
        <f t="shared" si="12"/>
        <v>0</v>
      </c>
      <c r="R812" s="125"/>
      <c r="S812" s="125"/>
      <c r="T812" s="125"/>
      <c r="U812" s="10"/>
      <c r="V812" s="92">
        <f>IF(F812&lt;=$I$801,V811*(1+I812),0)</f>
        <v>0</v>
      </c>
      <c r="W812" s="96">
        <f>IF(F812&lt;=$I$801,W811*(1+J812),0)</f>
        <v>1</v>
      </c>
      <c r="X812" s="92">
        <f>IF(F812&lt;=I801,X811*(1+I812),0)</f>
        <v>1</v>
      </c>
      <c r="Y812" s="96">
        <f>IF(F812&lt;=I801,Y811*(1+J812),0)</f>
        <v>1</v>
      </c>
      <c r="Z812" s="126">
        <v>5</v>
      </c>
    </row>
    <row r="813" spans="1:26" s="126" customFormat="1" ht="14.7" thickBot="1" x14ac:dyDescent="0.6">
      <c r="A813" s="117"/>
      <c r="B813"/>
      <c r="C813" s="124"/>
      <c r="D813" s="124"/>
      <c r="E813" s="130"/>
      <c r="F813" s="131"/>
      <c r="G813" s="131"/>
      <c r="H813" s="131"/>
      <c r="I813" s="131"/>
      <c r="J813" s="131"/>
      <c r="K813" s="131"/>
      <c r="L813" s="131"/>
      <c r="M813" s="131"/>
      <c r="N813" s="131"/>
      <c r="O813" s="131"/>
      <c r="P813" s="131"/>
      <c r="Q813" s="131"/>
      <c r="R813" s="132"/>
      <c r="S813" s="125"/>
      <c r="T813" s="125"/>
      <c r="U813" s="10"/>
    </row>
    <row r="814" spans="1:26" s="126" customFormat="1" ht="14.7" thickBot="1" x14ac:dyDescent="0.6">
      <c r="A814" s="117"/>
      <c r="B814"/>
      <c r="C814" s="124"/>
      <c r="D814" s="130"/>
      <c r="E814" s="131"/>
      <c r="F814" s="131"/>
      <c r="G814" s="131"/>
      <c r="H814" s="131"/>
      <c r="I814" s="131"/>
      <c r="J814" s="131"/>
      <c r="K814" s="131"/>
      <c r="L814" s="131"/>
      <c r="M814" s="131"/>
      <c r="N814" s="131"/>
      <c r="O814" s="131"/>
      <c r="P814" s="131"/>
      <c r="Q814" s="131"/>
      <c r="R814" s="131"/>
      <c r="S814" s="132"/>
      <c r="T814" s="125"/>
      <c r="U814" s="10"/>
    </row>
    <row r="815" spans="1:26" s="126" customFormat="1" ht="14.7" thickBot="1" x14ac:dyDescent="0.6">
      <c r="A815" s="117"/>
      <c r="B815"/>
      <c r="C815" s="130"/>
      <c r="D815" s="131"/>
      <c r="E815" s="131"/>
      <c r="F815" s="131"/>
      <c r="G815" s="131"/>
      <c r="H815" s="131"/>
      <c r="I815" s="131"/>
      <c r="J815" s="131"/>
      <c r="K815" s="131"/>
      <c r="L815" s="131"/>
      <c r="M815" s="131"/>
      <c r="N815" s="131"/>
      <c r="O815" s="131"/>
      <c r="P815" s="131"/>
      <c r="Q815" s="131"/>
      <c r="R815" s="131"/>
      <c r="S815" s="131"/>
      <c r="T815" s="132"/>
      <c r="U815" s="10"/>
    </row>
    <row r="816" spans="1:26" s="126" customFormat="1" ht="14.7" thickBot="1" x14ac:dyDescent="0.6">
      <c r="A816" s="117"/>
      <c r="B816"/>
      <c r="C816"/>
      <c r="D816"/>
      <c r="E816"/>
      <c r="F816"/>
      <c r="G816"/>
      <c r="H816"/>
      <c r="I816"/>
      <c r="J816"/>
      <c r="K816"/>
      <c r="L816"/>
      <c r="M816"/>
      <c r="N816"/>
      <c r="O816"/>
      <c r="P816"/>
      <c r="Q816"/>
      <c r="R816"/>
      <c r="S816"/>
      <c r="T816"/>
      <c r="U816" s="10"/>
    </row>
    <row r="817" spans="1:21" s="126" customFormat="1" x14ac:dyDescent="0.55000000000000004">
      <c r="A817" s="117"/>
      <c r="B817"/>
      <c r="C817" s="121"/>
      <c r="D817" s="122"/>
      <c r="E817" s="122"/>
      <c r="F817" s="122"/>
      <c r="G817" s="122"/>
      <c r="H817" s="122"/>
      <c r="I817" s="122"/>
      <c r="J817" s="122"/>
      <c r="K817" s="122"/>
      <c r="L817" s="122"/>
      <c r="M817" s="122"/>
      <c r="N817" s="122"/>
      <c r="O817" s="122"/>
      <c r="P817" s="122"/>
      <c r="Q817" s="122"/>
      <c r="R817" s="122"/>
      <c r="S817" s="122"/>
      <c r="T817" s="123"/>
      <c r="U817" s="10"/>
    </row>
    <row r="818" spans="1:21" s="126" customFormat="1" ht="18.3" x14ac:dyDescent="0.7">
      <c r="A818" s="117"/>
      <c r="B818"/>
      <c r="C818" s="124"/>
      <c r="D818" s="1822">
        <f>'2 Customer data'!D106</f>
        <v>0</v>
      </c>
      <c r="E818" s="1822"/>
      <c r="F818" s="1822"/>
      <c r="G818" s="1822"/>
      <c r="H818" s="1822"/>
      <c r="I818" s="1822"/>
      <c r="J818" s="1822"/>
      <c r="K818" s="1822"/>
      <c r="L818" s="1822"/>
      <c r="M818" s="1822"/>
      <c r="N818" s="1822"/>
      <c r="O818" s="1822"/>
      <c r="P818" s="1822"/>
      <c r="Q818" s="1822"/>
      <c r="R818" s="1822"/>
      <c r="S818" s="1822"/>
      <c r="T818" s="125"/>
      <c r="U818" s="10"/>
    </row>
    <row r="819" spans="1:21" s="126" customFormat="1" ht="14.7" thickBot="1" x14ac:dyDescent="0.6">
      <c r="A819" s="117"/>
      <c r="B819"/>
      <c r="C819" s="124"/>
      <c r="D819"/>
      <c r="E819"/>
      <c r="F819"/>
      <c r="G819"/>
      <c r="H819"/>
      <c r="I819"/>
      <c r="J819"/>
      <c r="K819"/>
      <c r="L819"/>
      <c r="M819"/>
      <c r="N819"/>
      <c r="O819"/>
      <c r="P819"/>
      <c r="Q819"/>
      <c r="R819"/>
      <c r="S819"/>
      <c r="T819" s="125"/>
      <c r="U819" s="10"/>
    </row>
    <row r="820" spans="1:21" s="126" customFormat="1" x14ac:dyDescent="0.55000000000000004">
      <c r="A820" s="117"/>
      <c r="B820"/>
      <c r="C820" s="124"/>
      <c r="D820" s="121"/>
      <c r="E820" s="122"/>
      <c r="F820" s="122"/>
      <c r="G820" s="122"/>
      <c r="H820" s="122"/>
      <c r="I820" s="122"/>
      <c r="J820" s="122"/>
      <c r="K820" s="122"/>
      <c r="L820" s="122"/>
      <c r="M820" s="122"/>
      <c r="N820" s="122"/>
      <c r="O820" s="122"/>
      <c r="P820" s="122"/>
      <c r="Q820" s="122"/>
      <c r="R820" s="122"/>
      <c r="S820" s="123"/>
      <c r="T820" s="125"/>
      <c r="U820" s="10"/>
    </row>
    <row r="821" spans="1:21" s="126" customFormat="1" x14ac:dyDescent="0.55000000000000004">
      <c r="A821" s="117"/>
      <c r="B821"/>
      <c r="C821" s="124"/>
      <c r="D821" s="124"/>
      <c r="E821"/>
      <c r="F821" s="1" t="str">
        <f>'2 Customer data'!D106&amp;" "&amp;"information"</f>
        <v xml:space="preserve"> information</v>
      </c>
      <c r="G821"/>
      <c r="H821"/>
      <c r="I821"/>
      <c r="J821"/>
      <c r="K821"/>
      <c r="L821"/>
      <c r="M821"/>
      <c r="N821"/>
      <c r="O821"/>
      <c r="P821"/>
      <c r="Q821"/>
      <c r="R821"/>
      <c r="S821" s="125"/>
      <c r="T821" s="125"/>
      <c r="U821" s="10"/>
    </row>
    <row r="822" spans="1:21" s="126" customFormat="1" x14ac:dyDescent="0.55000000000000004">
      <c r="A822" s="117"/>
      <c r="B822"/>
      <c r="C822" s="124"/>
      <c r="D822" s="124"/>
      <c r="E822"/>
      <c r="F822"/>
      <c r="G822"/>
      <c r="H822"/>
      <c r="I822"/>
      <c r="J822"/>
      <c r="K822"/>
      <c r="L822"/>
      <c r="M822"/>
      <c r="N822"/>
      <c r="O822"/>
      <c r="P822"/>
      <c r="Q822"/>
      <c r="R822"/>
      <c r="S822" s="125"/>
      <c r="T822" s="125"/>
      <c r="U822" s="10"/>
    </row>
    <row r="823" spans="1:21" s="126" customFormat="1" ht="28.8" x14ac:dyDescent="0.55000000000000004">
      <c r="A823" s="117"/>
      <c r="B823"/>
      <c r="C823" s="124"/>
      <c r="D823" s="124"/>
      <c r="E823"/>
      <c r="F823"/>
      <c r="G823" s="56" t="s">
        <v>28</v>
      </c>
      <c r="H823" s="56" t="s">
        <v>345</v>
      </c>
      <c r="I823" s="56" t="s">
        <v>60</v>
      </c>
      <c r="J823" s="56" t="s">
        <v>249</v>
      </c>
      <c r="K823" s="56" t="s">
        <v>279</v>
      </c>
      <c r="L823" s="56" t="s">
        <v>357</v>
      </c>
      <c r="M823"/>
      <c r="N823" s="162"/>
      <c r="O823"/>
      <c r="P823"/>
      <c r="Q823"/>
      <c r="R823"/>
      <c r="S823" s="125"/>
      <c r="T823" s="125"/>
      <c r="U823" s="10"/>
    </row>
    <row r="824" spans="1:21" s="126" customFormat="1" x14ac:dyDescent="0.55000000000000004">
      <c r="A824" s="117"/>
      <c r="B824"/>
      <c r="C824" s="124"/>
      <c r="D824" s="124"/>
      <c r="E824"/>
      <c r="F824">
        <f>'2 Customer data'!D106</f>
        <v>0</v>
      </c>
      <c r="G824" s="94">
        <f>IFERROR(IF(VLOOKUP(F824,'2 Customer data'!$D$93:$N$112,7,FALSE)="",VLOOKUP(F824,'2 Customer data'!$D$93:$N$112,6,FALSE),VLOOKUP(F824,'2 Customer data'!$D$93:$N$112,7,FALSE)),0)</f>
        <v>0</v>
      </c>
      <c r="H824" s="26">
        <f>IFERROR(IF(VLOOKUP(F824,'2 Customer data'!$D$93:$N$112,9,FALSE)="",VLOOKUP(F824,'2 Customer data'!$D$93:$N$112,8,FALSE),VLOOKUP(F824,'2 Customer data'!$D$93:$N$112,9,FALSE)),0)</f>
        <v>0</v>
      </c>
      <c r="I824" s="26">
        <f ca="1">IFERROR(VLOOKUP($F824,'2 Electricity'!$D$21:$L$40,6,FALSE),0)</f>
        <v>0</v>
      </c>
      <c r="J824" s="26">
        <f ca="1">IFERROR(VLOOKUP($F824,'2 Electricity'!$D$21:$L$40,7,FALSE),0)</f>
        <v>0</v>
      </c>
      <c r="K824" s="26">
        <f ca="1">IFERROR(VLOOKUP($F824,'2 Electricity'!$D$21:$L$40,8,FALSE),0)</f>
        <v>0</v>
      </c>
      <c r="L824" s="26">
        <f ca="1">IFERROR(VLOOKUP(F824,'2 Electricity'!$D$157:$K$176,8,FALSE),0)</f>
        <v>0</v>
      </c>
      <c r="M824"/>
      <c r="N824" s="134"/>
      <c r="O824"/>
      <c r="P824"/>
      <c r="Q824"/>
      <c r="R824"/>
      <c r="S824" s="125"/>
      <c r="T824" s="125"/>
      <c r="U824" s="10"/>
    </row>
    <row r="825" spans="1:21" s="126" customFormat="1" ht="14.7" thickBot="1" x14ac:dyDescent="0.6">
      <c r="A825" s="117"/>
      <c r="B825"/>
      <c r="C825" s="124"/>
      <c r="D825" s="130"/>
      <c r="E825" s="131"/>
      <c r="F825" s="131"/>
      <c r="G825" s="131"/>
      <c r="H825" s="131"/>
      <c r="I825" s="131"/>
      <c r="J825" s="131"/>
      <c r="K825" s="131"/>
      <c r="L825" s="131"/>
      <c r="M825" s="131"/>
      <c r="N825" s="131"/>
      <c r="O825" s="131"/>
      <c r="P825" s="131"/>
      <c r="Q825" s="131"/>
      <c r="R825" s="131"/>
      <c r="S825" s="132"/>
      <c r="T825" s="125"/>
      <c r="U825" s="10"/>
    </row>
    <row r="826" spans="1:21" s="126" customFormat="1" ht="14.7" thickBot="1" x14ac:dyDescent="0.6">
      <c r="A826" s="117"/>
      <c r="B826"/>
      <c r="C826" s="124"/>
      <c r="D826"/>
      <c r="E826"/>
      <c r="F826"/>
      <c r="G826"/>
      <c r="H826"/>
      <c r="I826"/>
      <c r="J826"/>
      <c r="K826"/>
      <c r="L826"/>
      <c r="M826"/>
      <c r="N826"/>
      <c r="O826"/>
      <c r="P826"/>
      <c r="Q826"/>
      <c r="R826"/>
      <c r="S826"/>
      <c r="T826" s="125"/>
      <c r="U826" s="10"/>
    </row>
    <row r="827" spans="1:21" s="126" customFormat="1" x14ac:dyDescent="0.55000000000000004">
      <c r="A827" s="117"/>
      <c r="B827"/>
      <c r="C827" s="124"/>
      <c r="D827" s="121"/>
      <c r="E827" s="122"/>
      <c r="F827" s="122"/>
      <c r="G827" s="122"/>
      <c r="H827" s="122"/>
      <c r="I827" s="122"/>
      <c r="J827" s="122"/>
      <c r="K827" s="122"/>
      <c r="L827" s="122"/>
      <c r="M827" s="122"/>
      <c r="N827" s="122"/>
      <c r="O827" s="122"/>
      <c r="P827" s="122"/>
      <c r="Q827" s="122"/>
      <c r="R827" s="122"/>
      <c r="S827" s="123"/>
      <c r="T827" s="125"/>
      <c r="U827" s="10"/>
    </row>
    <row r="828" spans="1:21" s="126" customFormat="1" x14ac:dyDescent="0.55000000000000004">
      <c r="A828" s="117"/>
      <c r="B828"/>
      <c r="C828" s="124"/>
      <c r="D828" s="124"/>
      <c r="E828"/>
      <c r="F828" s="1" t="s">
        <v>85</v>
      </c>
      <c r="G828"/>
      <c r="H828"/>
      <c r="I828"/>
      <c r="J828"/>
      <c r="K828"/>
      <c r="L828"/>
      <c r="M828"/>
      <c r="N828"/>
      <c r="O828"/>
      <c r="P828"/>
      <c r="Q828"/>
      <c r="R828"/>
      <c r="S828" s="125"/>
      <c r="T828" s="125"/>
      <c r="U828" s="10"/>
    </row>
    <row r="829" spans="1:21" s="126" customFormat="1" x14ac:dyDescent="0.55000000000000004">
      <c r="A829" s="117"/>
      <c r="B829"/>
      <c r="C829" s="124"/>
      <c r="D829" s="124"/>
      <c r="E829"/>
      <c r="F829" s="120" t="s">
        <v>555</v>
      </c>
      <c r="G829"/>
      <c r="H829"/>
      <c r="I829"/>
      <c r="J829"/>
      <c r="K829"/>
      <c r="L829"/>
      <c r="M829"/>
      <c r="N829"/>
      <c r="O829"/>
      <c r="P829"/>
      <c r="Q829"/>
      <c r="R829"/>
      <c r="S829" s="125"/>
      <c r="T829" s="125"/>
      <c r="U829" s="10"/>
    </row>
    <row r="830" spans="1:21" s="126" customFormat="1" x14ac:dyDescent="0.55000000000000004">
      <c r="A830" s="117"/>
      <c r="B830"/>
      <c r="C830" s="124"/>
      <c r="D830" s="124"/>
      <c r="E830"/>
      <c r="F830"/>
      <c r="G830"/>
      <c r="H830"/>
      <c r="I830"/>
      <c r="J830"/>
      <c r="K830"/>
      <c r="L830"/>
      <c r="M830"/>
      <c r="N830"/>
      <c r="O830"/>
      <c r="P830"/>
      <c r="Q830"/>
      <c r="R830"/>
      <c r="S830" s="125"/>
      <c r="T830" s="125"/>
      <c r="U830" s="10"/>
    </row>
    <row r="831" spans="1:21" s="126" customFormat="1" ht="43.2" x14ac:dyDescent="0.55000000000000004">
      <c r="A831" s="117"/>
      <c r="B831"/>
      <c r="C831" s="124"/>
      <c r="D831" s="124"/>
      <c r="E831"/>
      <c r="F831"/>
      <c r="G831" s="56" t="s">
        <v>86</v>
      </c>
      <c r="H831" s="56" t="s">
        <v>73</v>
      </c>
      <c r="I831" s="56" t="s">
        <v>87</v>
      </c>
      <c r="J831" s="56" t="s">
        <v>75</v>
      </c>
      <c r="K831" s="56" t="s">
        <v>76</v>
      </c>
      <c r="L831"/>
      <c r="M831"/>
      <c r="N831"/>
      <c r="O831"/>
      <c r="P831"/>
      <c r="Q831"/>
      <c r="R831"/>
      <c r="S831" s="125"/>
      <c r="T831" s="125"/>
      <c r="U831" s="10"/>
    </row>
    <row r="832" spans="1:21" s="126" customFormat="1" x14ac:dyDescent="0.55000000000000004">
      <c r="A832" s="117"/>
      <c r="B832"/>
      <c r="C832" s="124"/>
      <c r="D832" s="124"/>
      <c r="E832"/>
      <c r="F832">
        <f>F824</f>
        <v>0</v>
      </c>
      <c r="G832" s="26">
        <f ca="1">SUM(I824,K824)</f>
        <v>0</v>
      </c>
      <c r="H832" s="64">
        <f ca="1">IFERROR(G832/G824,0)/12</f>
        <v>0</v>
      </c>
      <c r="I832" s="84"/>
      <c r="J832" s="26">
        <f>I832*G824*12</f>
        <v>0</v>
      </c>
      <c r="K832" s="21">
        <f>J832/12</f>
        <v>0</v>
      </c>
      <c r="L832"/>
      <c r="M832"/>
      <c r="N832"/>
      <c r="O832"/>
      <c r="P832"/>
      <c r="Q832"/>
      <c r="R832"/>
      <c r="S832" s="125"/>
      <c r="T832" s="125"/>
      <c r="U832" s="10"/>
    </row>
    <row r="833" spans="1:22" s="126" customFormat="1" x14ac:dyDescent="0.55000000000000004">
      <c r="A833" s="117"/>
      <c r="B833"/>
      <c r="C833" s="124"/>
      <c r="D833" s="124"/>
      <c r="E833" s="133"/>
      <c r="F833" s="58" t="str">
        <f>IF(I832&gt;I822,"Error: revenue from fixed charges exceeds total revenue required from tariff. Reduce fixed charge.","")</f>
        <v/>
      </c>
      <c r="G833" s="58" t="str">
        <f ca="1">IF(J832&gt;L824,"Error: revenue from fixed charges exceeds total revenue required from tariff. Reduce fixed charge.","")</f>
        <v/>
      </c>
      <c r="H833" s="134"/>
      <c r="I833" s="134"/>
      <c r="J833" s="135"/>
      <c r="K833"/>
      <c r="L833"/>
      <c r="M833"/>
      <c r="N833"/>
      <c r="O833"/>
      <c r="P833"/>
      <c r="Q833"/>
      <c r="R833"/>
      <c r="S833" s="125"/>
      <c r="T833" s="125"/>
      <c r="U833" s="10"/>
    </row>
    <row r="834" spans="1:22" s="126" customFormat="1" ht="14.7" thickBot="1" x14ac:dyDescent="0.6">
      <c r="A834" s="117"/>
      <c r="B834"/>
      <c r="C834" s="124"/>
      <c r="D834" s="130"/>
      <c r="E834" s="131"/>
      <c r="F834" s="131"/>
      <c r="G834" s="131"/>
      <c r="H834" s="131"/>
      <c r="I834" s="131"/>
      <c r="J834" s="131"/>
      <c r="K834" s="131"/>
      <c r="L834" s="131"/>
      <c r="M834" s="131"/>
      <c r="N834" s="131"/>
      <c r="O834" s="131"/>
      <c r="P834" s="131"/>
      <c r="Q834" s="131"/>
      <c r="R834" s="131"/>
      <c r="S834" s="132"/>
      <c r="T834" s="125"/>
      <c r="U834" s="10"/>
    </row>
    <row r="835" spans="1:22" s="126" customFormat="1" ht="14.7" thickBot="1" x14ac:dyDescent="0.6">
      <c r="A835" s="117"/>
      <c r="B835"/>
      <c r="C835" s="124"/>
      <c r="D835"/>
      <c r="E835"/>
      <c r="F835"/>
      <c r="G835"/>
      <c r="H835"/>
      <c r="I835"/>
      <c r="J835"/>
      <c r="K835"/>
      <c r="L835"/>
      <c r="M835"/>
      <c r="N835"/>
      <c r="O835"/>
      <c r="P835"/>
      <c r="Q835"/>
      <c r="R835"/>
      <c r="S835"/>
      <c r="T835" s="125"/>
      <c r="U835" s="10"/>
    </row>
    <row r="836" spans="1:22" s="126" customFormat="1" x14ac:dyDescent="0.55000000000000004">
      <c r="A836" s="117"/>
      <c r="B836"/>
      <c r="C836" s="124"/>
      <c r="D836" s="121"/>
      <c r="E836" s="122"/>
      <c r="F836" s="122"/>
      <c r="G836" s="122"/>
      <c r="H836" s="122"/>
      <c r="I836" s="122"/>
      <c r="J836" s="122"/>
      <c r="K836" s="122"/>
      <c r="L836" s="122"/>
      <c r="M836" s="122"/>
      <c r="N836" s="122"/>
      <c r="O836" s="122"/>
      <c r="P836" s="122"/>
      <c r="Q836" s="122"/>
      <c r="R836" s="122"/>
      <c r="S836" s="123"/>
      <c r="T836" s="125"/>
      <c r="U836" s="10"/>
    </row>
    <row r="837" spans="1:22" s="126" customFormat="1" x14ac:dyDescent="0.55000000000000004">
      <c r="A837" s="117"/>
      <c r="B837"/>
      <c r="C837" s="124"/>
      <c r="D837" s="124"/>
      <c r="E837"/>
      <c r="F837" s="1" t="s">
        <v>96</v>
      </c>
      <c r="G837"/>
      <c r="H837"/>
      <c r="I837"/>
      <c r="J837"/>
      <c r="K837"/>
      <c r="L837"/>
      <c r="M837"/>
      <c r="N837"/>
      <c r="O837"/>
      <c r="P837"/>
      <c r="Q837"/>
      <c r="R837"/>
      <c r="S837" s="125"/>
      <c r="T837" s="125"/>
      <c r="U837" s="10"/>
    </row>
    <row r="838" spans="1:22" s="126" customFormat="1" ht="14.55" customHeight="1" x14ac:dyDescent="0.55000000000000004">
      <c r="A838" s="117"/>
      <c r="B838"/>
      <c r="C838" s="124"/>
      <c r="D838" s="124"/>
      <c r="E838"/>
      <c r="F838" s="1804" t="s">
        <v>560</v>
      </c>
      <c r="G838" s="1804"/>
      <c r="H838" s="1804"/>
      <c r="I838" s="1804"/>
      <c r="J838" s="1804"/>
      <c r="K838" s="1804"/>
      <c r="L838" s="1804"/>
      <c r="M838" s="1804"/>
      <c r="N838" s="1804"/>
      <c r="O838" s="1804"/>
      <c r="P838" s="1804"/>
      <c r="Q838" s="119"/>
      <c r="R838"/>
      <c r="S838" s="125"/>
      <c r="T838" s="125"/>
      <c r="U838" s="10"/>
    </row>
    <row r="839" spans="1:22" s="126" customFormat="1" x14ac:dyDescent="0.55000000000000004">
      <c r="A839" s="117"/>
      <c r="B839"/>
      <c r="C839" s="124"/>
      <c r="D839" s="124"/>
      <c r="E839"/>
      <c r="F839" s="119"/>
      <c r="G839" s="119"/>
      <c r="H839" s="119"/>
      <c r="I839" s="119"/>
      <c r="J839" s="119"/>
      <c r="K839" s="119"/>
      <c r="L839" s="119"/>
      <c r="M839" s="119"/>
      <c r="N839" s="119"/>
      <c r="O839" s="119"/>
      <c r="P839" s="119"/>
      <c r="Q839" s="119"/>
      <c r="R839"/>
      <c r="S839" s="125"/>
      <c r="T839" s="125"/>
      <c r="U839" s="10"/>
    </row>
    <row r="840" spans="1:22" s="126" customFormat="1" x14ac:dyDescent="0.55000000000000004">
      <c r="A840" s="117"/>
      <c r="B840"/>
      <c r="C840" s="124"/>
      <c r="D840" s="124"/>
      <c r="E840"/>
      <c r="F840" s="1" t="s">
        <v>348</v>
      </c>
      <c r="G840" s="80" t="s">
        <v>89</v>
      </c>
      <c r="H840" s="119"/>
      <c r="I840" s="119"/>
      <c r="J840" s="119"/>
      <c r="K840" s="119"/>
      <c r="L840" s="119"/>
      <c r="M840" s="119"/>
      <c r="N840" s="119"/>
      <c r="O840" s="119"/>
      <c r="P840" s="119"/>
      <c r="Q840" s="119"/>
      <c r="R840"/>
      <c r="S840" s="125"/>
      <c r="T840" s="125"/>
      <c r="U840" s="10"/>
      <c r="V840" s="126" t="s">
        <v>89</v>
      </c>
    </row>
    <row r="841" spans="1:22" s="126" customFormat="1" ht="14.7" thickBot="1" x14ac:dyDescent="0.6">
      <c r="A841" s="117"/>
      <c r="B841"/>
      <c r="C841" s="124"/>
      <c r="D841" s="124"/>
      <c r="E841"/>
      <c r="F841"/>
      <c r="G841" s="134"/>
      <c r="H841" s="119"/>
      <c r="I841" s="119"/>
      <c r="J841" s="119"/>
      <c r="K841" s="119"/>
      <c r="L841" s="119"/>
      <c r="M841" s="119"/>
      <c r="N841" s="119"/>
      <c r="O841" s="119"/>
      <c r="P841" s="119"/>
      <c r="Q841" s="119"/>
      <c r="R841"/>
      <c r="S841" s="125"/>
      <c r="T841" s="125"/>
      <c r="U841" s="10"/>
      <c r="V841" s="126" t="s">
        <v>90</v>
      </c>
    </row>
    <row r="842" spans="1:22" s="126" customFormat="1" x14ac:dyDescent="0.55000000000000004">
      <c r="A842" s="117"/>
      <c r="B842"/>
      <c r="C842" s="124"/>
      <c r="D842" s="124"/>
      <c r="E842" s="121"/>
      <c r="F842" s="122"/>
      <c r="G842" s="122"/>
      <c r="H842" s="122"/>
      <c r="I842" s="122"/>
      <c r="J842" s="122"/>
      <c r="K842" s="122"/>
      <c r="L842" s="122"/>
      <c r="M842" s="122"/>
      <c r="N842" s="122"/>
      <c r="O842" s="122"/>
      <c r="P842" s="122"/>
      <c r="Q842" s="122"/>
      <c r="R842" s="123"/>
      <c r="S842" s="125"/>
      <c r="T842" s="125"/>
      <c r="U842" s="10"/>
    </row>
    <row r="843" spans="1:22" s="126" customFormat="1" x14ac:dyDescent="0.55000000000000004">
      <c r="A843" s="117"/>
      <c r="B843"/>
      <c r="C843" s="124"/>
      <c r="D843" s="124"/>
      <c r="E843" s="124"/>
      <c r="F843" s="1" t="s">
        <v>343</v>
      </c>
      <c r="G843" s="163"/>
      <c r="H843"/>
      <c r="I843"/>
      <c r="J843"/>
      <c r="K843"/>
      <c r="L843"/>
      <c r="M843"/>
      <c r="N843"/>
      <c r="O843"/>
      <c r="P843"/>
      <c r="Q843"/>
      <c r="R843" s="125"/>
      <c r="S843" s="125"/>
      <c r="T843" s="125"/>
      <c r="U843" s="10"/>
    </row>
    <row r="844" spans="1:22" s="126" customFormat="1" ht="14.55" customHeight="1" x14ac:dyDescent="0.55000000000000004">
      <c r="A844" s="117"/>
      <c r="B844"/>
      <c r="C844" s="124"/>
      <c r="D844" s="124"/>
      <c r="E844" s="124"/>
      <c r="F844" s="1804" t="s">
        <v>561</v>
      </c>
      <c r="G844" s="1804"/>
      <c r="H844" s="1804"/>
      <c r="I844" s="1804"/>
      <c r="J844" s="1804"/>
      <c r="K844" s="1804"/>
      <c r="L844" s="1804"/>
      <c r="M844" s="1804"/>
      <c r="N844" s="1804"/>
      <c r="O844" s="1804"/>
      <c r="P844" s="1804"/>
      <c r="Q844" s="1804"/>
      <c r="R844" s="125"/>
      <c r="S844" s="125"/>
      <c r="T844" s="125"/>
      <c r="U844" s="10"/>
    </row>
    <row r="845" spans="1:22" s="126" customFormat="1" x14ac:dyDescent="0.55000000000000004">
      <c r="A845" s="117"/>
      <c r="B845"/>
      <c r="C845" s="124"/>
      <c r="D845" s="124"/>
      <c r="E845" s="124"/>
      <c r="F845" s="1804"/>
      <c r="G845" s="1804"/>
      <c r="H845" s="1804"/>
      <c r="I845" s="1804"/>
      <c r="J845" s="1804"/>
      <c r="K845" s="1804"/>
      <c r="L845" s="1804"/>
      <c r="M845" s="1804"/>
      <c r="N845" s="1804"/>
      <c r="O845" s="1804"/>
      <c r="P845" s="1804"/>
      <c r="Q845" s="1804"/>
      <c r="R845" s="125"/>
      <c r="S845" s="125"/>
      <c r="T845" s="125"/>
      <c r="U845" s="10"/>
    </row>
    <row r="846" spans="1:22" s="126" customFormat="1" x14ac:dyDescent="0.55000000000000004">
      <c r="A846" s="117"/>
      <c r="B846"/>
      <c r="C846" s="124"/>
      <c r="D846" s="124"/>
      <c r="E846" s="124"/>
      <c r="F846" s="1"/>
      <c r="G846" s="163"/>
      <c r="H846"/>
      <c r="I846"/>
      <c r="J846"/>
      <c r="K846"/>
      <c r="L846"/>
      <c r="M846"/>
      <c r="N846"/>
      <c r="O846"/>
      <c r="P846"/>
      <c r="Q846"/>
      <c r="R846" s="125"/>
      <c r="S846" s="125"/>
      <c r="T846" s="125"/>
      <c r="U846" s="10"/>
    </row>
    <row r="847" spans="1:22" s="126" customFormat="1" x14ac:dyDescent="0.55000000000000004">
      <c r="A847" s="117"/>
      <c r="B847"/>
      <c r="C847" s="124"/>
      <c r="D847" s="124"/>
      <c r="E847" s="124"/>
      <c r="F847" s="164" t="s">
        <v>88</v>
      </c>
      <c r="G847" s="10"/>
      <c r="H847"/>
      <c r="I847" s="50">
        <v>5</v>
      </c>
      <c r="J847"/>
      <c r="K847"/>
      <c r="L847"/>
      <c r="M847"/>
      <c r="N847"/>
      <c r="O847"/>
      <c r="P847"/>
      <c r="Q847"/>
      <c r="R847" s="125"/>
      <c r="S847" s="125"/>
      <c r="T847" s="125"/>
      <c r="U847" s="10"/>
    </row>
    <row r="848" spans="1:22" s="126" customFormat="1" x14ac:dyDescent="0.55000000000000004">
      <c r="A848" s="117"/>
      <c r="B848"/>
      <c r="C848" s="124"/>
      <c r="D848" s="124"/>
      <c r="E848" s="124"/>
      <c r="F848" s="10" t="s">
        <v>612</v>
      </c>
      <c r="H848"/>
      <c r="I848" s="159" t="s">
        <v>578</v>
      </c>
      <c r="J848"/>
      <c r="K848"/>
      <c r="L848"/>
      <c r="M848"/>
      <c r="N848"/>
      <c r="O848"/>
      <c r="P848"/>
      <c r="Q848"/>
      <c r="R848" s="125"/>
      <c r="S848" s="125"/>
      <c r="T848" s="125"/>
      <c r="U848" s="10"/>
    </row>
    <row r="849" spans="1:24" s="126" customFormat="1" x14ac:dyDescent="0.55000000000000004">
      <c r="A849" s="117"/>
      <c r="B849"/>
      <c r="C849" s="124"/>
      <c r="D849" s="124"/>
      <c r="E849" s="124"/>
      <c r="F849"/>
      <c r="G849"/>
      <c r="H849"/>
      <c r="I849"/>
      <c r="J849"/>
      <c r="K849"/>
      <c r="L849"/>
      <c r="M849"/>
      <c r="N849"/>
      <c r="O849"/>
      <c r="P849"/>
      <c r="Q849"/>
      <c r="R849" s="125"/>
      <c r="S849" s="125"/>
      <c r="T849" s="125"/>
      <c r="U849" s="10"/>
    </row>
    <row r="850" spans="1:24" s="126" customFormat="1" ht="57.6" x14ac:dyDescent="0.55000000000000004">
      <c r="A850" s="117"/>
      <c r="B850"/>
      <c r="C850" s="124"/>
      <c r="D850" s="124"/>
      <c r="E850" s="124"/>
      <c r="F850" s="56" t="s">
        <v>91</v>
      </c>
      <c r="G850" s="56" t="s">
        <v>92</v>
      </c>
      <c r="H850" s="129" t="s">
        <v>80</v>
      </c>
      <c r="I850" s="56" t="s">
        <v>340</v>
      </c>
      <c r="J850" s="56" t="s">
        <v>356</v>
      </c>
      <c r="K850" s="165" t="s">
        <v>349</v>
      </c>
      <c r="L850" s="166" t="s">
        <v>350</v>
      </c>
      <c r="M850" s="162"/>
      <c r="N850" s="162"/>
      <c r="O850" s="162"/>
      <c r="P850" s="162"/>
      <c r="Q850" s="162"/>
      <c r="R850" s="167"/>
      <c r="S850" s="167"/>
      <c r="T850" s="167"/>
      <c r="U850" s="10"/>
      <c r="V850" s="168" t="s">
        <v>621</v>
      </c>
      <c r="W850" s="168" t="s">
        <v>622</v>
      </c>
    </row>
    <row r="851" spans="1:24" s="126" customFormat="1" x14ac:dyDescent="0.55000000000000004">
      <c r="A851" s="117"/>
      <c r="B851"/>
      <c r="C851" s="124"/>
      <c r="D851" s="124"/>
      <c r="E851" s="124"/>
      <c r="F851" s="89">
        <f>IF($I$847=X851,X851,1)</f>
        <v>1</v>
      </c>
      <c r="G851" s="91">
        <v>0</v>
      </c>
      <c r="H851" s="50"/>
      <c r="I851" s="169"/>
      <c r="J851" s="21">
        <f>IF(G840=V840,H824-SUMIF(F852:F855,"&lt;="&amp;$I$847,J852:J855),0)</f>
        <v>0</v>
      </c>
      <c r="K851" s="114">
        <f ca="1">IFERROR(IF(G840=V840,IF(F851&lt;=I847,IF(I848="No",IF(J832=0,L824/SUMPRODUCT(V851:V855,J851:J855),(L824-J832)/SUMPRODUCT(V851:V855,J851:J855)),0),0),0),0)</f>
        <v>0</v>
      </c>
      <c r="L851" s="31">
        <f ca="1">J851*K851</f>
        <v>0</v>
      </c>
      <c r="M851" s="170"/>
      <c r="N851" s="135"/>
      <c r="O851" s="171"/>
      <c r="P851"/>
      <c r="Q851"/>
      <c r="R851" s="125"/>
      <c r="S851" s="125"/>
      <c r="T851" s="125"/>
      <c r="U851" s="10"/>
      <c r="V851" s="96">
        <f>IF(F851&lt;=$I$847,1,0)</f>
        <v>1</v>
      </c>
      <c r="X851" s="126">
        <v>1</v>
      </c>
    </row>
    <row r="852" spans="1:24" s="126" customFormat="1" x14ac:dyDescent="0.55000000000000004">
      <c r="A852" s="117"/>
      <c r="B852"/>
      <c r="C852" s="124"/>
      <c r="D852" s="124"/>
      <c r="E852" s="124"/>
      <c r="F852" s="89">
        <f>IF($I$847&gt;=X852,X852,"")</f>
        <v>2</v>
      </c>
      <c r="G852" s="91">
        <f>IF($I$847&gt;=F852,H851+0.01,"")</f>
        <v>0.01</v>
      </c>
      <c r="H852" s="50"/>
      <c r="I852" s="61"/>
      <c r="J852" s="13"/>
      <c r="K852" s="114">
        <f ca="1">IFERROR(IF(F852&lt;=I847,IF(I848="No",K851*(1+I852),IF(J832=0,L824/SUMPRODUCT(W852:W855,J852:J855),(L824-J832)/SUMPRODUCT(W852:W855,J852:J855))),0),0)</f>
        <v>0</v>
      </c>
      <c r="L852" s="31">
        <f ca="1">J852*K852</f>
        <v>0</v>
      </c>
      <c r="M852" s="170"/>
      <c r="N852" s="135"/>
      <c r="O852" s="171"/>
      <c r="P852"/>
      <c r="Q852"/>
      <c r="R852" s="125"/>
      <c r="S852" s="125"/>
      <c r="T852" s="125"/>
      <c r="U852" s="10"/>
      <c r="V852" s="96">
        <f>IF(F852&lt;=$I$847,(1+I852),0)</f>
        <v>1</v>
      </c>
      <c r="W852" s="92">
        <f>IF(F852&lt;=I847,1,0)</f>
        <v>1</v>
      </c>
      <c r="X852" s="126">
        <v>2</v>
      </c>
    </row>
    <row r="853" spans="1:24" s="126" customFormat="1" x14ac:dyDescent="0.55000000000000004">
      <c r="A853" s="117"/>
      <c r="B853"/>
      <c r="C853" s="124"/>
      <c r="D853" s="124"/>
      <c r="E853" s="124"/>
      <c r="F853" s="89">
        <f>IF($I$847&gt;=X853,X853,"")</f>
        <v>3</v>
      </c>
      <c r="G853" s="91">
        <f>IF($I$847&gt;=F853,H852+0.01,"")</f>
        <v>0.01</v>
      </c>
      <c r="H853" s="50"/>
      <c r="I853" s="61"/>
      <c r="J853" s="13"/>
      <c r="K853" s="95">
        <f ca="1">IF(F853&lt;=$I$847,K852*(1+I853),0)</f>
        <v>0</v>
      </c>
      <c r="L853" s="31">
        <f ca="1">J853*K853</f>
        <v>0</v>
      </c>
      <c r="M853" s="170"/>
      <c r="N853" s="135"/>
      <c r="O853" s="171"/>
      <c r="P853"/>
      <c r="Q853"/>
      <c r="R853" s="125"/>
      <c r="S853" s="125"/>
      <c r="T853" s="125"/>
      <c r="U853" s="10"/>
      <c r="V853" s="96">
        <f>IF(F853&lt;=$I$847,V852*(1+I853),0)</f>
        <v>1</v>
      </c>
      <c r="W853" s="92">
        <f>IF(F853&lt;=I847,W852*(1+I853),0)</f>
        <v>1</v>
      </c>
      <c r="X853" s="126">
        <v>3</v>
      </c>
    </row>
    <row r="854" spans="1:24" s="126" customFormat="1" x14ac:dyDescent="0.55000000000000004">
      <c r="A854" s="117"/>
      <c r="B854"/>
      <c r="C854" s="124"/>
      <c r="D854" s="124"/>
      <c r="E854" s="124"/>
      <c r="F854" s="89">
        <f>IF($I$847&gt;=X854,X854,"")</f>
        <v>4</v>
      </c>
      <c r="G854" s="91">
        <f>IF($I$847&gt;=F854,H853+0.01,"")</f>
        <v>0.01</v>
      </c>
      <c r="H854" s="50"/>
      <c r="I854" s="61"/>
      <c r="J854" s="13"/>
      <c r="K854" s="95">
        <f ca="1">IF(F854&lt;=$I$847,K853*(1+I854),0)</f>
        <v>0</v>
      </c>
      <c r="L854" s="31">
        <f ca="1">J854*K854</f>
        <v>0</v>
      </c>
      <c r="M854" s="170"/>
      <c r="N854" s="135"/>
      <c r="O854" s="171"/>
      <c r="P854"/>
      <c r="Q854"/>
      <c r="R854" s="125"/>
      <c r="S854" s="125"/>
      <c r="T854" s="125"/>
      <c r="U854" s="10"/>
      <c r="V854" s="96">
        <f>IF(F854&lt;=$I$847,V853*(1+I854),0)</f>
        <v>1</v>
      </c>
      <c r="W854" s="92">
        <f>IF(F854&lt;=I847,W853*(1+I854),0)</f>
        <v>1</v>
      </c>
      <c r="X854" s="126">
        <v>4</v>
      </c>
    </row>
    <row r="855" spans="1:24" s="126" customFormat="1" x14ac:dyDescent="0.55000000000000004">
      <c r="A855" s="117"/>
      <c r="B855"/>
      <c r="C855" s="124"/>
      <c r="D855" s="124"/>
      <c r="E855" s="124"/>
      <c r="F855" s="89">
        <f>IF($I$847&gt;=X855,X855,"")</f>
        <v>5</v>
      </c>
      <c r="G855" s="91">
        <f>IF($I$847&gt;=F855,H854+0.01,"")</f>
        <v>0.01</v>
      </c>
      <c r="H855" s="89" t="s">
        <v>84</v>
      </c>
      <c r="I855" s="61"/>
      <c r="J855" s="13"/>
      <c r="K855" s="95">
        <f ca="1">IF(F855&lt;=$I$847,K854*(1+I855),0)</f>
        <v>0</v>
      </c>
      <c r="L855" s="31">
        <f ca="1">J855*K855</f>
        <v>0</v>
      </c>
      <c r="M855" s="170"/>
      <c r="N855" s="135"/>
      <c r="O855" s="171"/>
      <c r="P855"/>
      <c r="Q855"/>
      <c r="R855" s="125"/>
      <c r="S855" s="125"/>
      <c r="T855" s="125"/>
      <c r="U855" s="10"/>
      <c r="V855" s="96">
        <f>IF(F855&lt;=$I$847,V854*(1+I855),0)</f>
        <v>1</v>
      </c>
      <c r="W855" s="92">
        <f>IF(F855&lt;=I847,W854*(1+I855),0)</f>
        <v>1</v>
      </c>
      <c r="X855" s="126">
        <v>5</v>
      </c>
    </row>
    <row r="856" spans="1:24" s="126" customFormat="1" ht="14.7" thickBot="1" x14ac:dyDescent="0.6">
      <c r="A856" s="117"/>
      <c r="B856"/>
      <c r="C856" s="124"/>
      <c r="D856" s="124"/>
      <c r="E856" s="130"/>
      <c r="F856" s="149"/>
      <c r="G856" s="150"/>
      <c r="H856" s="149"/>
      <c r="I856" s="172"/>
      <c r="J856" s="173"/>
      <c r="K856" s="173"/>
      <c r="L856" s="173"/>
      <c r="M856" s="174"/>
      <c r="N856" s="152"/>
      <c r="O856" s="175"/>
      <c r="P856" s="131"/>
      <c r="Q856" s="131"/>
      <c r="R856" s="132"/>
      <c r="S856" s="125"/>
      <c r="T856" s="125"/>
      <c r="U856" s="10"/>
    </row>
    <row r="857" spans="1:24" s="126" customFormat="1" ht="14.7" thickBot="1" x14ac:dyDescent="0.6">
      <c r="A857" s="117"/>
      <c r="B857"/>
      <c r="C857" s="124"/>
      <c r="D857" s="124"/>
      <c r="E857"/>
      <c r="F857" s="163"/>
      <c r="G857" s="176"/>
      <c r="H857" s="163"/>
      <c r="I857" s="177"/>
      <c r="J857" s="178"/>
      <c r="K857" s="178"/>
      <c r="L857" s="178"/>
      <c r="M857" s="170"/>
      <c r="N857" s="135"/>
      <c r="O857" s="171"/>
      <c r="P857"/>
      <c r="Q857"/>
      <c r="R857"/>
      <c r="S857" s="125"/>
      <c r="T857" s="125"/>
      <c r="U857" s="10"/>
    </row>
    <row r="858" spans="1:24" s="126" customFormat="1" x14ac:dyDescent="0.55000000000000004">
      <c r="A858" s="117"/>
      <c r="B858"/>
      <c r="C858" s="124"/>
      <c r="D858" s="124"/>
      <c r="E858" s="121"/>
      <c r="F858" s="179"/>
      <c r="G858" s="180"/>
      <c r="H858" s="179"/>
      <c r="I858" s="181"/>
      <c r="J858" s="182"/>
      <c r="K858" s="182"/>
      <c r="L858" s="182"/>
      <c r="M858" s="183"/>
      <c r="N858" s="184"/>
      <c r="O858" s="185"/>
      <c r="P858" s="122"/>
      <c r="Q858" s="122"/>
      <c r="R858" s="123"/>
      <c r="S858" s="125"/>
      <c r="T858" s="125"/>
      <c r="U858" s="10"/>
    </row>
    <row r="859" spans="1:24" s="126" customFormat="1" x14ac:dyDescent="0.55000000000000004">
      <c r="A859" s="117"/>
      <c r="B859"/>
      <c r="C859" s="124"/>
      <c r="D859" s="124"/>
      <c r="E859" s="124"/>
      <c r="F859" s="186" t="s">
        <v>344</v>
      </c>
      <c r="G859" s="176"/>
      <c r="H859" s="163"/>
      <c r="I859" s="177"/>
      <c r="J859" s="178"/>
      <c r="K859" s="178"/>
      <c r="L859" s="178"/>
      <c r="M859" s="170"/>
      <c r="N859" s="135"/>
      <c r="O859" s="187"/>
      <c r="P859"/>
      <c r="Q859"/>
      <c r="R859" s="125"/>
      <c r="S859" s="125"/>
      <c r="T859" s="125"/>
      <c r="U859" s="10"/>
    </row>
    <row r="860" spans="1:24" s="126" customFormat="1" ht="14.55" customHeight="1" x14ac:dyDescent="0.55000000000000004">
      <c r="A860" s="117"/>
      <c r="B860"/>
      <c r="C860" s="124"/>
      <c r="D860" s="124"/>
      <c r="E860" s="124"/>
      <c r="F860" s="1804" t="s">
        <v>562</v>
      </c>
      <c r="G860" s="1804"/>
      <c r="H860" s="1804"/>
      <c r="I860" s="1804"/>
      <c r="J860" s="1804"/>
      <c r="K860" s="1804"/>
      <c r="L860" s="1804"/>
      <c r="M860" s="1804"/>
      <c r="N860" s="1804"/>
      <c r="O860" s="1804"/>
      <c r="P860" s="1804"/>
      <c r="Q860" s="1804"/>
      <c r="R860" s="125"/>
      <c r="S860" s="125"/>
      <c r="T860" s="125"/>
      <c r="U860" s="10"/>
    </row>
    <row r="861" spans="1:24" s="126" customFormat="1" x14ac:dyDescent="0.55000000000000004">
      <c r="A861" s="117"/>
      <c r="B861"/>
      <c r="C861" s="124"/>
      <c r="D861" s="124"/>
      <c r="E861" s="124"/>
      <c r="F861" s="1804"/>
      <c r="G861" s="1804"/>
      <c r="H861" s="1804"/>
      <c r="I861" s="1804"/>
      <c r="J861" s="1804"/>
      <c r="K861" s="1804"/>
      <c r="L861" s="1804"/>
      <c r="M861" s="1804"/>
      <c r="N861" s="1804"/>
      <c r="O861" s="1804"/>
      <c r="P861" s="1804"/>
      <c r="Q861" s="1804"/>
      <c r="R861" s="125"/>
      <c r="S861" s="125"/>
      <c r="T861" s="125"/>
      <c r="U861" s="10"/>
    </row>
    <row r="862" spans="1:24" s="126" customFormat="1" x14ac:dyDescent="0.55000000000000004">
      <c r="A862" s="117"/>
      <c r="B862"/>
      <c r="C862" s="124"/>
      <c r="D862" s="124"/>
      <c r="E862" s="124"/>
      <c r="F862" s="186"/>
      <c r="G862" s="176"/>
      <c r="H862" s="163"/>
      <c r="I862" s="177"/>
      <c r="J862" s="178"/>
      <c r="K862" s="178"/>
      <c r="L862" s="178"/>
      <c r="M862" s="170"/>
      <c r="N862" s="135"/>
      <c r="O862" s="187"/>
      <c r="P862"/>
      <c r="Q862"/>
      <c r="R862" s="125"/>
      <c r="S862" s="125"/>
      <c r="T862" s="125"/>
      <c r="U862" s="10"/>
    </row>
    <row r="863" spans="1:24" s="126" customFormat="1" x14ac:dyDescent="0.55000000000000004">
      <c r="A863" s="117"/>
      <c r="B863"/>
      <c r="C863" s="124"/>
      <c r="D863" s="124"/>
      <c r="E863" s="124"/>
      <c r="F863" s="164" t="s">
        <v>88</v>
      </c>
      <c r="G863" s="10"/>
      <c r="H863" s="163"/>
      <c r="I863" s="50">
        <v>5</v>
      </c>
      <c r="J863" s="178"/>
      <c r="K863" s="178"/>
      <c r="L863" s="178"/>
      <c r="M863" s="170"/>
      <c r="N863" s="135"/>
      <c r="O863" s="187"/>
      <c r="P863"/>
      <c r="Q863"/>
      <c r="R863" s="125"/>
      <c r="S863" s="125"/>
      <c r="T863" s="125"/>
      <c r="U863" s="10"/>
    </row>
    <row r="864" spans="1:24" s="126" customFormat="1" x14ac:dyDescent="0.55000000000000004">
      <c r="A864" s="117"/>
      <c r="B864"/>
      <c r="C864" s="124"/>
      <c r="D864" s="124"/>
      <c r="E864" s="124"/>
      <c r="F864" t="s">
        <v>346</v>
      </c>
      <c r="G864" s="10"/>
      <c r="H864" s="163"/>
      <c r="I864" s="13"/>
      <c r="J864" s="178"/>
      <c r="K864" s="178"/>
      <c r="L864" s="178"/>
      <c r="M864" s="170"/>
      <c r="N864" s="135"/>
      <c r="O864" s="187"/>
      <c r="P864"/>
      <c r="Q864"/>
      <c r="R864" s="125"/>
      <c r="S864" s="125"/>
      <c r="T864" s="125"/>
      <c r="U864" s="10"/>
    </row>
    <row r="865" spans="1:26" s="126" customFormat="1" x14ac:dyDescent="0.55000000000000004">
      <c r="A865" s="117"/>
      <c r="B865"/>
      <c r="C865" s="124"/>
      <c r="D865" s="124"/>
      <c r="E865" s="124"/>
      <c r="F865" t="s">
        <v>347</v>
      </c>
      <c r="G865" s="10"/>
      <c r="H865" s="163"/>
      <c r="I865" s="13"/>
      <c r="J865" s="178"/>
      <c r="K865" s="178"/>
      <c r="L865" s="178"/>
      <c r="M865" s="170"/>
      <c r="N865" s="135"/>
      <c r="O865" s="187"/>
      <c r="P865"/>
      <c r="Q865"/>
      <c r="R865" s="125"/>
      <c r="S865" s="125"/>
      <c r="T865" s="125"/>
      <c r="U865" s="10"/>
    </row>
    <row r="866" spans="1:26" s="126" customFormat="1" x14ac:dyDescent="0.55000000000000004">
      <c r="A866" s="117"/>
      <c r="B866"/>
      <c r="C866" s="124"/>
      <c r="D866" s="124"/>
      <c r="E866" s="124"/>
      <c r="F866" t="s">
        <v>366</v>
      </c>
      <c r="G866" s="10"/>
      <c r="H866"/>
      <c r="I866" s="93"/>
      <c r="J866"/>
      <c r="K866" s="178"/>
      <c r="L866" s="178"/>
      <c r="M866" s="170"/>
      <c r="N866" s="135"/>
      <c r="O866" s="187"/>
      <c r="P866"/>
      <c r="Q866"/>
      <c r="R866" s="125"/>
      <c r="S866" s="125"/>
      <c r="T866" s="125"/>
      <c r="U866" s="10"/>
    </row>
    <row r="867" spans="1:26" s="126" customFormat="1" x14ac:dyDescent="0.55000000000000004">
      <c r="A867" s="117"/>
      <c r="B867"/>
      <c r="C867" s="124"/>
      <c r="D867" s="124"/>
      <c r="E867" s="124"/>
      <c r="F867" s="10" t="s">
        <v>612</v>
      </c>
      <c r="H867"/>
      <c r="I867" s="159" t="s">
        <v>578</v>
      </c>
      <c r="J867"/>
      <c r="K867" s="178"/>
      <c r="L867" s="178"/>
      <c r="M867" s="170"/>
      <c r="N867" s="135"/>
      <c r="O867" s="187"/>
      <c r="P867"/>
      <c r="Q867"/>
      <c r="R867" s="125"/>
      <c r="S867" s="125"/>
      <c r="T867" s="125"/>
      <c r="U867" s="10"/>
    </row>
    <row r="868" spans="1:26" s="126" customFormat="1" x14ac:dyDescent="0.55000000000000004">
      <c r="A868" s="117"/>
      <c r="B868"/>
      <c r="C868" s="124"/>
      <c r="D868" s="124"/>
      <c r="E868" s="124"/>
      <c r="F868"/>
      <c r="G868"/>
      <c r="H868"/>
      <c r="I868" s="188"/>
      <c r="J868"/>
      <c r="K868" s="178"/>
      <c r="L868" s="178"/>
      <c r="M868" s="170"/>
      <c r="N868" s="135"/>
      <c r="O868" s="187"/>
      <c r="P868"/>
      <c r="Q868"/>
      <c r="R868" s="125"/>
      <c r="S868" s="125"/>
      <c r="T868" s="125"/>
      <c r="U868" s="10"/>
    </row>
    <row r="869" spans="1:26" s="126" customFormat="1" ht="57.6" x14ac:dyDescent="0.55000000000000004">
      <c r="A869" s="117"/>
      <c r="B869"/>
      <c r="C869" s="124"/>
      <c r="D869" s="124"/>
      <c r="E869" s="124"/>
      <c r="F869" s="56" t="s">
        <v>91</v>
      </c>
      <c r="G869" s="56" t="s">
        <v>92</v>
      </c>
      <c r="H869" s="129" t="s">
        <v>80</v>
      </c>
      <c r="I869" s="56" t="s">
        <v>367</v>
      </c>
      <c r="J869" s="56" t="s">
        <v>368</v>
      </c>
      <c r="K869" s="56" t="s">
        <v>341</v>
      </c>
      <c r="L869" s="56" t="s">
        <v>342</v>
      </c>
      <c r="M869" s="166" t="s">
        <v>351</v>
      </c>
      <c r="N869" s="56" t="s">
        <v>352</v>
      </c>
      <c r="O869" s="56" t="s">
        <v>353</v>
      </c>
      <c r="P869" s="56" t="s">
        <v>354</v>
      </c>
      <c r="Q869" s="56" t="s">
        <v>355</v>
      </c>
      <c r="R869" s="125"/>
      <c r="S869" s="125"/>
      <c r="T869" s="125"/>
      <c r="U869" s="10"/>
      <c r="V869" s="189" t="s">
        <v>616</v>
      </c>
      <c r="W869" s="168" t="s">
        <v>617</v>
      </c>
      <c r="X869" s="189" t="s">
        <v>618</v>
      </c>
      <c r="Y869" s="168" t="s">
        <v>619</v>
      </c>
    </row>
    <row r="870" spans="1:26" s="126" customFormat="1" x14ac:dyDescent="0.55000000000000004">
      <c r="A870" s="117"/>
      <c r="B870"/>
      <c r="C870" s="124"/>
      <c r="D870" s="124"/>
      <c r="E870" s="124"/>
      <c r="F870" s="89">
        <f>IF($I$863=Z870,Z870,1)</f>
        <v>1</v>
      </c>
      <c r="G870" s="91">
        <v>0</v>
      </c>
      <c r="H870" s="50"/>
      <c r="I870" s="169"/>
      <c r="J870" s="63"/>
      <c r="K870" s="21">
        <f>I864-SUMIF(F871:F874,"&lt;="&amp;$I$863,K871:K874)</f>
        <v>0</v>
      </c>
      <c r="L870" s="31">
        <f>I865-SUMIF(F871:F874,"&lt;="&amp;$I$863,L871:L874)</f>
        <v>0</v>
      </c>
      <c r="M870" s="44">
        <f>IFERROR(IF(G840=V840,0,IF(F870&lt;=I863,IF(I867="No",(L824-J832)/(SUMPRODUCT(V870:V874,K870:K874)+SUMPRODUCT(W870:W874,L870:L874)),0)*I866,0)),0)</f>
        <v>0</v>
      </c>
      <c r="N870" s="44">
        <f>IFERROR(IF(G840=V840,0,IF(F870&lt;=I863,IF(I867="No",(L824-J832)/(SUMPRODUCT(V870:V874,K870:K874)+SUMPRODUCT(W870:W874,L870:L874)),0),0)),0)</f>
        <v>0</v>
      </c>
      <c r="O870" s="97" t="str">
        <f>IFERROR(M870/N870,"")</f>
        <v/>
      </c>
      <c r="P870" s="26">
        <f t="shared" ref="P870:Q874" si="13">K870*M870</f>
        <v>0</v>
      </c>
      <c r="Q870" s="26">
        <f t="shared" si="13"/>
        <v>0</v>
      </c>
      <c r="R870" s="125"/>
      <c r="S870" s="125"/>
      <c r="T870" s="125"/>
      <c r="U870" s="10"/>
      <c r="V870" s="92">
        <f>IF(F870&lt;=$I$863,1*$I$866,0)</f>
        <v>0</v>
      </c>
      <c r="W870" s="96">
        <f>IF(F870&lt;=$I$863,1,0)</f>
        <v>1</v>
      </c>
      <c r="X870" s="92"/>
      <c r="Y870" s="96"/>
      <c r="Z870" s="126">
        <v>1</v>
      </c>
    </row>
    <row r="871" spans="1:26" s="126" customFormat="1" x14ac:dyDescent="0.55000000000000004">
      <c r="A871" s="117"/>
      <c r="B871"/>
      <c r="C871" s="124"/>
      <c r="D871" s="124"/>
      <c r="E871" s="124"/>
      <c r="F871" s="89">
        <f>IF($I$863&gt;=Z871,Z871,"")</f>
        <v>2</v>
      </c>
      <c r="G871" s="91">
        <f>IF($I$863&gt;=F871,H870+0.01,"")</f>
        <v>0.01</v>
      </c>
      <c r="H871" s="50"/>
      <c r="I871" s="61"/>
      <c r="J871" s="61"/>
      <c r="K871" s="13"/>
      <c r="L871" s="13"/>
      <c r="M871" s="44">
        <f>IF(F871&lt;=I863,IF(I867="No",M870*(1+I871),N871*I866),0)</f>
        <v>0</v>
      </c>
      <c r="N871" s="44">
        <f>IF(F871&lt;=I863,IF(I867="No",N870*(1+J871),(L824-J832)/(I866*SUMPRODUCT(X871:X874,K871:K874)+SUMPRODUCT(Y871:Y874,L871:L874))),0)</f>
        <v>0</v>
      </c>
      <c r="O871" s="97" t="str">
        <f>IFERROR(M871/N871,"")</f>
        <v/>
      </c>
      <c r="P871" s="26">
        <f t="shared" si="13"/>
        <v>0</v>
      </c>
      <c r="Q871" s="26">
        <f t="shared" si="13"/>
        <v>0</v>
      </c>
      <c r="R871" s="125"/>
      <c r="S871" s="125"/>
      <c r="T871" s="125"/>
      <c r="U871" s="10"/>
      <c r="V871" s="92">
        <f>IF(F871&lt;=$I$863,V870*(1+I871),0)</f>
        <v>0</v>
      </c>
      <c r="W871" s="96">
        <f>IF(F871&lt;=$I$863,(1+J871),0)</f>
        <v>1</v>
      </c>
      <c r="X871" s="92">
        <v>1</v>
      </c>
      <c r="Y871" s="96">
        <f>IF(F871&lt;=I863,1,0)</f>
        <v>1</v>
      </c>
      <c r="Z871" s="126">
        <v>2</v>
      </c>
    </row>
    <row r="872" spans="1:26" s="126" customFormat="1" x14ac:dyDescent="0.55000000000000004">
      <c r="A872" s="117"/>
      <c r="B872"/>
      <c r="C872" s="124"/>
      <c r="D872" s="124"/>
      <c r="E872" s="124"/>
      <c r="F872" s="89">
        <f>IF($I$863&gt;=Z872,Z872,"")</f>
        <v>3</v>
      </c>
      <c r="G872" s="91">
        <f>IF($I$863&gt;=F872,H871+0.01,"")</f>
        <v>0.01</v>
      </c>
      <c r="H872" s="50"/>
      <c r="I872" s="61"/>
      <c r="J872" s="61"/>
      <c r="K872" s="13"/>
      <c r="L872" s="13"/>
      <c r="M872" s="36">
        <f>IF(F872&lt;=$I$863,M871*(1+I872),0)</f>
        <v>0</v>
      </c>
      <c r="N872" s="36">
        <f>IF(F872&lt;=$I$863,N871*(1+J872),0)</f>
        <v>0</v>
      </c>
      <c r="O872" s="97" t="str">
        <f>IFERROR(M872/N872,"")</f>
        <v/>
      </c>
      <c r="P872" s="26">
        <f t="shared" si="13"/>
        <v>0</v>
      </c>
      <c r="Q872" s="26">
        <f t="shared" si="13"/>
        <v>0</v>
      </c>
      <c r="R872" s="125"/>
      <c r="S872" s="125"/>
      <c r="T872" s="125"/>
      <c r="U872" s="10"/>
      <c r="V872" s="92">
        <f>IF(F872&lt;=$I$863,V871*(1+I872),0)</f>
        <v>0</v>
      </c>
      <c r="W872" s="96">
        <f>IF(F872&lt;=$I$863,W871*(1+J872),0)</f>
        <v>1</v>
      </c>
      <c r="X872" s="92">
        <f>IF(F872&lt;=I863,X871*(1+I872),0)</f>
        <v>1</v>
      </c>
      <c r="Y872" s="96">
        <f>IF(F872&lt;=I863,Y871*(1+J872),0)</f>
        <v>1</v>
      </c>
      <c r="Z872" s="126">
        <v>3</v>
      </c>
    </row>
    <row r="873" spans="1:26" s="126" customFormat="1" x14ac:dyDescent="0.55000000000000004">
      <c r="A873" s="117"/>
      <c r="B873"/>
      <c r="C873" s="124"/>
      <c r="D873" s="124"/>
      <c r="E873" s="124"/>
      <c r="F873" s="89">
        <f>IF($I$863&gt;=Z873,Z873,"")</f>
        <v>4</v>
      </c>
      <c r="G873" s="91">
        <f>IF($I$863&gt;=F873,H872+0.01,"")</f>
        <v>0.01</v>
      </c>
      <c r="H873" s="50"/>
      <c r="I873" s="61"/>
      <c r="J873" s="61"/>
      <c r="K873" s="13"/>
      <c r="L873" s="13"/>
      <c r="M873" s="36">
        <f>IF(F873&lt;=$I$863,M872*(1+I873),0)</f>
        <v>0</v>
      </c>
      <c r="N873" s="36">
        <f>IF(F873&lt;=$I$863,N872*(1+J873),0)</f>
        <v>0</v>
      </c>
      <c r="O873" s="97" t="str">
        <f>IFERROR(M873/N873,"")</f>
        <v/>
      </c>
      <c r="P873" s="26">
        <f t="shared" si="13"/>
        <v>0</v>
      </c>
      <c r="Q873" s="26">
        <f t="shared" si="13"/>
        <v>0</v>
      </c>
      <c r="R873" s="125"/>
      <c r="S873" s="125"/>
      <c r="T873" s="125"/>
      <c r="U873" s="10"/>
      <c r="V873" s="92">
        <f>IF(F873&lt;=$I$863,V872*(1+I873),0)</f>
        <v>0</v>
      </c>
      <c r="W873" s="96">
        <f>IF(F873&lt;=$I$863,W872*(1+J873),0)</f>
        <v>1</v>
      </c>
      <c r="X873" s="92">
        <f>IF(F873&lt;=I863,X872*(1+I873),0)</f>
        <v>1</v>
      </c>
      <c r="Y873" s="96">
        <f>IF(F873&lt;=I863,Y872*(1+J873),0)</f>
        <v>1</v>
      </c>
      <c r="Z873" s="126">
        <v>4</v>
      </c>
    </row>
    <row r="874" spans="1:26" s="126" customFormat="1" x14ac:dyDescent="0.55000000000000004">
      <c r="A874" s="117"/>
      <c r="B874"/>
      <c r="C874" s="124"/>
      <c r="D874" s="124"/>
      <c r="E874" s="124"/>
      <c r="F874" s="89">
        <f>IF($I$863&gt;=Z874,Z874,"")</f>
        <v>5</v>
      </c>
      <c r="G874" s="91">
        <f>IF($I$863&gt;=F874,H873+0.01,"")</f>
        <v>0.01</v>
      </c>
      <c r="H874" s="89" t="s">
        <v>84</v>
      </c>
      <c r="I874" s="61"/>
      <c r="J874" s="61"/>
      <c r="K874" s="13"/>
      <c r="L874" s="13"/>
      <c r="M874" s="36">
        <f>IF(F874&lt;=$I$863,M873*(1+I874),0)</f>
        <v>0</v>
      </c>
      <c r="N874" s="36">
        <f>IF(F874&lt;=$I$863,N873*(1+J874),0)</f>
        <v>0</v>
      </c>
      <c r="O874" s="97" t="str">
        <f>IFERROR(M874/N874,"")</f>
        <v/>
      </c>
      <c r="P874" s="26">
        <f t="shared" si="13"/>
        <v>0</v>
      </c>
      <c r="Q874" s="26">
        <f t="shared" si="13"/>
        <v>0</v>
      </c>
      <c r="R874" s="125"/>
      <c r="S874" s="125"/>
      <c r="T874" s="125"/>
      <c r="U874" s="10"/>
      <c r="V874" s="92">
        <f>IF(F874&lt;=$I$863,V873*(1+I874),0)</f>
        <v>0</v>
      </c>
      <c r="W874" s="96">
        <f>IF(F874&lt;=$I$863,W873*(1+J874),0)</f>
        <v>1</v>
      </c>
      <c r="X874" s="92">
        <f>IF(F874&lt;=I863,X873*(1+I874),0)</f>
        <v>1</v>
      </c>
      <c r="Y874" s="96">
        <f>IF(F874&lt;=I863,Y873*(1+J874),0)</f>
        <v>1</v>
      </c>
      <c r="Z874" s="126">
        <v>5</v>
      </c>
    </row>
    <row r="875" spans="1:26" s="126" customFormat="1" ht="14.7" thickBot="1" x14ac:dyDescent="0.6">
      <c r="A875" s="117"/>
      <c r="B875"/>
      <c r="C875" s="124"/>
      <c r="D875" s="124"/>
      <c r="E875" s="130"/>
      <c r="F875" s="131"/>
      <c r="G875" s="131"/>
      <c r="H875" s="131"/>
      <c r="I875" s="131"/>
      <c r="J875" s="131"/>
      <c r="K875" s="131"/>
      <c r="L875" s="131"/>
      <c r="M875" s="131"/>
      <c r="N875" s="131"/>
      <c r="O875" s="131"/>
      <c r="P875" s="131"/>
      <c r="Q875" s="131"/>
      <c r="R875" s="132"/>
      <c r="S875" s="125"/>
      <c r="T875" s="125"/>
      <c r="U875" s="10"/>
    </row>
    <row r="876" spans="1:26" s="126" customFormat="1" ht="14.7" thickBot="1" x14ac:dyDescent="0.6">
      <c r="A876" s="117"/>
      <c r="B876"/>
      <c r="C876" s="124"/>
      <c r="D876" s="130"/>
      <c r="E876" s="131"/>
      <c r="F876" s="131"/>
      <c r="G876" s="131"/>
      <c r="H876" s="131"/>
      <c r="I876" s="131"/>
      <c r="J876" s="131"/>
      <c r="K876" s="131"/>
      <c r="L876" s="131"/>
      <c r="M876" s="131"/>
      <c r="N876" s="131"/>
      <c r="O876" s="131"/>
      <c r="P876" s="131"/>
      <c r="Q876" s="131"/>
      <c r="R876" s="131"/>
      <c r="S876" s="132"/>
      <c r="T876" s="125"/>
      <c r="U876" s="10"/>
    </row>
    <row r="877" spans="1:26" s="126" customFormat="1" ht="14.7" thickBot="1" x14ac:dyDescent="0.6">
      <c r="A877" s="117"/>
      <c r="B877"/>
      <c r="C877" s="130"/>
      <c r="D877" s="131"/>
      <c r="E877" s="131"/>
      <c r="F877" s="131"/>
      <c r="G877" s="131"/>
      <c r="H877" s="131"/>
      <c r="I877" s="131"/>
      <c r="J877" s="131"/>
      <c r="K877" s="131"/>
      <c r="L877" s="131"/>
      <c r="M877" s="131"/>
      <c r="N877" s="131"/>
      <c r="O877" s="131"/>
      <c r="P877" s="131"/>
      <c r="Q877" s="131"/>
      <c r="R877" s="131"/>
      <c r="S877" s="131"/>
      <c r="T877" s="132"/>
      <c r="U877" s="10"/>
    </row>
    <row r="878" spans="1:26" s="126" customFormat="1" ht="14.7" thickBot="1" x14ac:dyDescent="0.6">
      <c r="A878" s="117"/>
      <c r="B878"/>
      <c r="C878"/>
      <c r="D878"/>
      <c r="E878"/>
      <c r="F878"/>
      <c r="G878"/>
      <c r="H878"/>
      <c r="I878"/>
      <c r="J878"/>
      <c r="K878"/>
      <c r="L878"/>
      <c r="M878"/>
      <c r="N878"/>
      <c r="O878"/>
      <c r="P878"/>
      <c r="Q878"/>
      <c r="R878"/>
      <c r="S878"/>
      <c r="T878"/>
      <c r="U878" s="10"/>
    </row>
    <row r="879" spans="1:26" s="126" customFormat="1" x14ac:dyDescent="0.55000000000000004">
      <c r="A879" s="117"/>
      <c r="B879"/>
      <c r="C879" s="121"/>
      <c r="D879" s="122"/>
      <c r="E879" s="122"/>
      <c r="F879" s="122"/>
      <c r="G879" s="122"/>
      <c r="H879" s="122"/>
      <c r="I879" s="122"/>
      <c r="J879" s="122"/>
      <c r="K879" s="122"/>
      <c r="L879" s="122"/>
      <c r="M879" s="122"/>
      <c r="N879" s="122"/>
      <c r="O879" s="122"/>
      <c r="P879" s="122"/>
      <c r="Q879" s="122"/>
      <c r="R879" s="122"/>
      <c r="S879" s="122"/>
      <c r="T879" s="123"/>
      <c r="U879" s="10"/>
    </row>
    <row r="880" spans="1:26" s="126" customFormat="1" ht="18.3" x14ac:dyDescent="0.7">
      <c r="A880" s="117"/>
      <c r="B880"/>
      <c r="C880" s="124"/>
      <c r="D880" s="1822">
        <f>'2 Customer data'!D107</f>
        <v>0</v>
      </c>
      <c r="E880" s="1822"/>
      <c r="F880" s="1822"/>
      <c r="G880" s="1822"/>
      <c r="H880" s="1822"/>
      <c r="I880" s="1822"/>
      <c r="J880" s="1822"/>
      <c r="K880" s="1822"/>
      <c r="L880" s="1822"/>
      <c r="M880" s="1822"/>
      <c r="N880" s="1822"/>
      <c r="O880" s="1822"/>
      <c r="P880" s="1822"/>
      <c r="Q880" s="1822"/>
      <c r="R880" s="1822"/>
      <c r="S880" s="1822"/>
      <c r="T880" s="125"/>
      <c r="U880" s="10"/>
    </row>
    <row r="881" spans="1:21" s="126" customFormat="1" ht="14.7" thickBot="1" x14ac:dyDescent="0.6">
      <c r="A881" s="117"/>
      <c r="B881"/>
      <c r="C881" s="124"/>
      <c r="D881"/>
      <c r="E881"/>
      <c r="F881"/>
      <c r="G881"/>
      <c r="H881"/>
      <c r="I881"/>
      <c r="J881"/>
      <c r="K881"/>
      <c r="L881"/>
      <c r="M881"/>
      <c r="N881"/>
      <c r="O881"/>
      <c r="P881"/>
      <c r="Q881"/>
      <c r="R881"/>
      <c r="S881"/>
      <c r="T881" s="125"/>
      <c r="U881" s="10"/>
    </row>
    <row r="882" spans="1:21" s="126" customFormat="1" x14ac:dyDescent="0.55000000000000004">
      <c r="A882" s="117"/>
      <c r="B882"/>
      <c r="C882" s="124"/>
      <c r="D882" s="121"/>
      <c r="E882" s="122"/>
      <c r="F882" s="122"/>
      <c r="G882" s="122"/>
      <c r="H882" s="122"/>
      <c r="I882" s="122"/>
      <c r="J882" s="122"/>
      <c r="K882" s="122"/>
      <c r="L882" s="122"/>
      <c r="M882" s="122"/>
      <c r="N882" s="122"/>
      <c r="O882" s="122"/>
      <c r="P882" s="122"/>
      <c r="Q882" s="122"/>
      <c r="R882" s="122"/>
      <c r="S882" s="123"/>
      <c r="T882" s="125"/>
      <c r="U882" s="10"/>
    </row>
    <row r="883" spans="1:21" s="126" customFormat="1" x14ac:dyDescent="0.55000000000000004">
      <c r="A883" s="117"/>
      <c r="B883"/>
      <c r="C883" s="124"/>
      <c r="D883" s="124"/>
      <c r="E883"/>
      <c r="F883" s="1" t="str">
        <f>'2 Customer data'!D107&amp;" "&amp;"information"</f>
        <v xml:space="preserve"> information</v>
      </c>
      <c r="G883"/>
      <c r="H883"/>
      <c r="I883"/>
      <c r="J883"/>
      <c r="K883"/>
      <c r="L883"/>
      <c r="M883"/>
      <c r="N883"/>
      <c r="O883"/>
      <c r="P883"/>
      <c r="Q883"/>
      <c r="R883"/>
      <c r="S883" s="125"/>
      <c r="T883" s="125"/>
      <c r="U883" s="10"/>
    </row>
    <row r="884" spans="1:21" s="126" customFormat="1" x14ac:dyDescent="0.55000000000000004">
      <c r="A884" s="117"/>
      <c r="B884"/>
      <c r="C884" s="124"/>
      <c r="D884" s="124"/>
      <c r="E884"/>
      <c r="F884"/>
      <c r="G884"/>
      <c r="H884"/>
      <c r="I884"/>
      <c r="J884"/>
      <c r="K884"/>
      <c r="L884"/>
      <c r="M884"/>
      <c r="N884"/>
      <c r="O884"/>
      <c r="P884"/>
      <c r="Q884"/>
      <c r="R884"/>
      <c r="S884" s="125"/>
      <c r="T884" s="125"/>
      <c r="U884" s="10"/>
    </row>
    <row r="885" spans="1:21" s="126" customFormat="1" ht="28.8" x14ac:dyDescent="0.55000000000000004">
      <c r="A885" s="117"/>
      <c r="B885"/>
      <c r="C885" s="124"/>
      <c r="D885" s="124"/>
      <c r="E885"/>
      <c r="F885"/>
      <c r="G885" s="56" t="s">
        <v>28</v>
      </c>
      <c r="H885" s="56" t="s">
        <v>345</v>
      </c>
      <c r="I885" s="56" t="s">
        <v>60</v>
      </c>
      <c r="J885" s="56" t="s">
        <v>249</v>
      </c>
      <c r="K885" s="56" t="s">
        <v>279</v>
      </c>
      <c r="L885" s="56" t="s">
        <v>357</v>
      </c>
      <c r="M885"/>
      <c r="N885" s="162"/>
      <c r="O885"/>
      <c r="P885"/>
      <c r="Q885"/>
      <c r="R885"/>
      <c r="S885" s="125"/>
      <c r="T885" s="125"/>
      <c r="U885" s="10"/>
    </row>
    <row r="886" spans="1:21" s="126" customFormat="1" x14ac:dyDescent="0.55000000000000004">
      <c r="A886" s="117"/>
      <c r="B886"/>
      <c r="C886" s="124"/>
      <c r="D886" s="124"/>
      <c r="E886"/>
      <c r="F886">
        <f>'2 Customer data'!D107</f>
        <v>0</v>
      </c>
      <c r="G886" s="94">
        <f>IFERROR(IF(VLOOKUP(F886,'2 Customer data'!$D$93:$N$112,7,FALSE)="",VLOOKUP(F886,'2 Customer data'!$D$93:$N$112,6,FALSE),VLOOKUP(F886,'2 Customer data'!$D$93:$N$112,7,FALSE)),0)</f>
        <v>0</v>
      </c>
      <c r="H886" s="26">
        <f>IFERROR(IF(VLOOKUP(F886,'2 Customer data'!$D$93:$N$112,9,FALSE)="",VLOOKUP(F886,'2 Customer data'!$D$93:$N$112,8,FALSE),VLOOKUP(F886,'2 Customer data'!$D$93:$N$112,9,FALSE)),0)</f>
        <v>0</v>
      </c>
      <c r="I886" s="26">
        <f ca="1">IFERROR(VLOOKUP($F886,'2 Electricity'!$D$21:$L$40,6,FALSE),0)</f>
        <v>0</v>
      </c>
      <c r="J886" s="26">
        <f ca="1">IFERROR(VLOOKUP($F886,'2 Electricity'!$D$21:$L$40,7,FALSE),0)</f>
        <v>0</v>
      </c>
      <c r="K886" s="26">
        <f ca="1">IFERROR(VLOOKUP($F886,'2 Electricity'!$D$21:$L$40,8,FALSE),0)</f>
        <v>0</v>
      </c>
      <c r="L886" s="26">
        <f ca="1">IFERROR(VLOOKUP(F886,'2 Electricity'!$D$157:$K$176,8,FALSE),0)</f>
        <v>0</v>
      </c>
      <c r="M886"/>
      <c r="N886" s="134"/>
      <c r="O886"/>
      <c r="P886"/>
      <c r="Q886"/>
      <c r="R886"/>
      <c r="S886" s="125"/>
      <c r="T886" s="125"/>
      <c r="U886" s="10"/>
    </row>
    <row r="887" spans="1:21" s="126" customFormat="1" ht="14.7" thickBot="1" x14ac:dyDescent="0.6">
      <c r="A887" s="117"/>
      <c r="B887"/>
      <c r="C887" s="124"/>
      <c r="D887" s="130"/>
      <c r="E887" s="131"/>
      <c r="F887" s="131"/>
      <c r="G887" s="131"/>
      <c r="H887" s="131"/>
      <c r="I887" s="131"/>
      <c r="J887" s="131"/>
      <c r="K887" s="131"/>
      <c r="L887" s="131"/>
      <c r="M887" s="131"/>
      <c r="N887" s="131"/>
      <c r="O887" s="131"/>
      <c r="P887" s="131"/>
      <c r="Q887" s="131"/>
      <c r="R887" s="131"/>
      <c r="S887" s="132"/>
      <c r="T887" s="125"/>
      <c r="U887" s="10"/>
    </row>
    <row r="888" spans="1:21" s="126" customFormat="1" ht="14.7" thickBot="1" x14ac:dyDescent="0.6">
      <c r="A888" s="117"/>
      <c r="B888"/>
      <c r="C888" s="124"/>
      <c r="D888"/>
      <c r="E888"/>
      <c r="F888"/>
      <c r="G888"/>
      <c r="H888"/>
      <c r="I888"/>
      <c r="J888"/>
      <c r="K888"/>
      <c r="L888"/>
      <c r="M888"/>
      <c r="N888"/>
      <c r="O888"/>
      <c r="P888"/>
      <c r="Q888"/>
      <c r="R888"/>
      <c r="S888"/>
      <c r="T888" s="125"/>
      <c r="U888" s="10"/>
    </row>
    <row r="889" spans="1:21" s="126" customFormat="1" x14ac:dyDescent="0.55000000000000004">
      <c r="A889" s="117"/>
      <c r="B889"/>
      <c r="C889" s="124"/>
      <c r="D889" s="121"/>
      <c r="E889" s="122"/>
      <c r="F889" s="122"/>
      <c r="G889" s="122"/>
      <c r="H889" s="122"/>
      <c r="I889" s="122"/>
      <c r="J889" s="122"/>
      <c r="K889" s="122"/>
      <c r="L889" s="122"/>
      <c r="M889" s="122"/>
      <c r="N889" s="122"/>
      <c r="O889" s="122"/>
      <c r="P889" s="122"/>
      <c r="Q889" s="122"/>
      <c r="R889" s="122"/>
      <c r="S889" s="123"/>
      <c r="T889" s="125"/>
      <c r="U889" s="10"/>
    </row>
    <row r="890" spans="1:21" s="126" customFormat="1" x14ac:dyDescent="0.55000000000000004">
      <c r="A890" s="117"/>
      <c r="B890"/>
      <c r="C890" s="124"/>
      <c r="D890" s="124"/>
      <c r="E890"/>
      <c r="F890" s="1" t="s">
        <v>85</v>
      </c>
      <c r="G890"/>
      <c r="H890"/>
      <c r="I890"/>
      <c r="J890"/>
      <c r="K890"/>
      <c r="L890"/>
      <c r="M890"/>
      <c r="N890"/>
      <c r="O890"/>
      <c r="P890"/>
      <c r="Q890"/>
      <c r="R890"/>
      <c r="S890" s="125"/>
      <c r="T890" s="125"/>
      <c r="U890" s="10"/>
    </row>
    <row r="891" spans="1:21" s="126" customFormat="1" x14ac:dyDescent="0.55000000000000004">
      <c r="A891" s="117"/>
      <c r="B891"/>
      <c r="C891" s="124"/>
      <c r="D891" s="124"/>
      <c r="E891"/>
      <c r="F891" s="120" t="s">
        <v>555</v>
      </c>
      <c r="G891"/>
      <c r="H891"/>
      <c r="I891"/>
      <c r="J891"/>
      <c r="K891"/>
      <c r="L891"/>
      <c r="M891"/>
      <c r="N891"/>
      <c r="O891"/>
      <c r="P891"/>
      <c r="Q891"/>
      <c r="R891"/>
      <c r="S891" s="125"/>
      <c r="T891" s="125"/>
      <c r="U891" s="10"/>
    </row>
    <row r="892" spans="1:21" s="126" customFormat="1" x14ac:dyDescent="0.55000000000000004">
      <c r="A892" s="117"/>
      <c r="B892"/>
      <c r="C892" s="124"/>
      <c r="D892" s="124"/>
      <c r="E892"/>
      <c r="F892"/>
      <c r="G892"/>
      <c r="H892"/>
      <c r="I892"/>
      <c r="J892"/>
      <c r="K892"/>
      <c r="L892"/>
      <c r="M892"/>
      <c r="N892"/>
      <c r="O892"/>
      <c r="P892"/>
      <c r="Q892"/>
      <c r="R892"/>
      <c r="S892" s="125"/>
      <c r="T892" s="125"/>
      <c r="U892" s="10"/>
    </row>
    <row r="893" spans="1:21" s="126" customFormat="1" ht="43.2" x14ac:dyDescent="0.55000000000000004">
      <c r="A893" s="117"/>
      <c r="B893"/>
      <c r="C893" s="124"/>
      <c r="D893" s="124"/>
      <c r="E893"/>
      <c r="F893"/>
      <c r="G893" s="56" t="s">
        <v>86</v>
      </c>
      <c r="H893" s="56" t="s">
        <v>73</v>
      </c>
      <c r="I893" s="56" t="s">
        <v>87</v>
      </c>
      <c r="J893" s="56" t="s">
        <v>75</v>
      </c>
      <c r="K893" s="56" t="s">
        <v>76</v>
      </c>
      <c r="L893"/>
      <c r="M893"/>
      <c r="N893"/>
      <c r="O893"/>
      <c r="P893"/>
      <c r="Q893"/>
      <c r="R893"/>
      <c r="S893" s="125"/>
      <c r="T893" s="125"/>
      <c r="U893" s="10"/>
    </row>
    <row r="894" spans="1:21" s="126" customFormat="1" x14ac:dyDescent="0.55000000000000004">
      <c r="A894" s="117"/>
      <c r="B894"/>
      <c r="C894" s="124"/>
      <c r="D894" s="124"/>
      <c r="E894"/>
      <c r="F894">
        <f>F886</f>
        <v>0</v>
      </c>
      <c r="G894" s="26">
        <f ca="1">SUM(I886,K886)</f>
        <v>0</v>
      </c>
      <c r="H894" s="64">
        <f ca="1">IFERROR(G894/G886,0)/12</f>
        <v>0</v>
      </c>
      <c r="I894" s="84"/>
      <c r="J894" s="26">
        <f>I894*G886*12</f>
        <v>0</v>
      </c>
      <c r="K894" s="21">
        <f>J894/12</f>
        <v>0</v>
      </c>
      <c r="L894"/>
      <c r="M894"/>
      <c r="N894"/>
      <c r="O894"/>
      <c r="P894"/>
      <c r="Q894"/>
      <c r="R894"/>
      <c r="S894" s="125"/>
      <c r="T894" s="125"/>
      <c r="U894" s="10"/>
    </row>
    <row r="895" spans="1:21" s="126" customFormat="1" x14ac:dyDescent="0.55000000000000004">
      <c r="A895" s="117"/>
      <c r="B895"/>
      <c r="C895" s="124"/>
      <c r="D895" s="124"/>
      <c r="E895" s="133"/>
      <c r="F895" s="58" t="str">
        <f>IF(I894&gt;I884,"Error: revenue from fixed charges exceeds total revenue required from tariff. Reduce fixed charge.","")</f>
        <v/>
      </c>
      <c r="G895" s="58" t="str">
        <f ca="1">IF(J894&gt;L886,"Error: revenue from fixed charges exceeds total revenue required from tariff. Reduce fixed charge.","")</f>
        <v/>
      </c>
      <c r="H895" s="134"/>
      <c r="I895" s="134"/>
      <c r="J895" s="135"/>
      <c r="K895"/>
      <c r="L895"/>
      <c r="M895"/>
      <c r="N895"/>
      <c r="O895"/>
      <c r="P895"/>
      <c r="Q895"/>
      <c r="R895"/>
      <c r="S895" s="125"/>
      <c r="T895" s="125"/>
      <c r="U895" s="10"/>
    </row>
    <row r="896" spans="1:21" s="126" customFormat="1" ht="14.7" thickBot="1" x14ac:dyDescent="0.6">
      <c r="A896" s="117"/>
      <c r="B896"/>
      <c r="C896" s="124"/>
      <c r="D896" s="130"/>
      <c r="E896" s="131"/>
      <c r="F896" s="131"/>
      <c r="G896" s="131"/>
      <c r="H896" s="131"/>
      <c r="I896" s="131"/>
      <c r="J896" s="131"/>
      <c r="K896" s="131"/>
      <c r="L896" s="131"/>
      <c r="M896" s="131"/>
      <c r="N896" s="131"/>
      <c r="O896" s="131"/>
      <c r="P896" s="131"/>
      <c r="Q896" s="131"/>
      <c r="R896" s="131"/>
      <c r="S896" s="132"/>
      <c r="T896" s="125"/>
      <c r="U896" s="10"/>
    </row>
    <row r="897" spans="1:23" s="126" customFormat="1" ht="14.7" thickBot="1" x14ac:dyDescent="0.6">
      <c r="A897" s="117"/>
      <c r="B897"/>
      <c r="C897" s="124"/>
      <c r="D897"/>
      <c r="E897"/>
      <c r="F897"/>
      <c r="G897"/>
      <c r="H897"/>
      <c r="I897"/>
      <c r="J897"/>
      <c r="K897"/>
      <c r="L897"/>
      <c r="M897"/>
      <c r="N897"/>
      <c r="O897"/>
      <c r="P897"/>
      <c r="Q897"/>
      <c r="R897"/>
      <c r="S897"/>
      <c r="T897" s="125"/>
      <c r="U897" s="10"/>
    </row>
    <row r="898" spans="1:23" s="126" customFormat="1" x14ac:dyDescent="0.55000000000000004">
      <c r="A898" s="117"/>
      <c r="B898"/>
      <c r="C898" s="124"/>
      <c r="D898" s="121"/>
      <c r="E898" s="122"/>
      <c r="F898" s="122"/>
      <c r="G898" s="122"/>
      <c r="H898" s="122"/>
      <c r="I898" s="122"/>
      <c r="J898" s="122"/>
      <c r="K898" s="122"/>
      <c r="L898" s="122"/>
      <c r="M898" s="122"/>
      <c r="N898" s="122"/>
      <c r="O898" s="122"/>
      <c r="P898" s="122"/>
      <c r="Q898" s="122"/>
      <c r="R898" s="122"/>
      <c r="S898" s="123"/>
      <c r="T898" s="125"/>
      <c r="U898" s="10"/>
    </row>
    <row r="899" spans="1:23" s="126" customFormat="1" x14ac:dyDescent="0.55000000000000004">
      <c r="A899" s="117"/>
      <c r="B899"/>
      <c r="C899" s="124"/>
      <c r="D899" s="124"/>
      <c r="E899"/>
      <c r="F899" s="1" t="s">
        <v>96</v>
      </c>
      <c r="G899"/>
      <c r="H899"/>
      <c r="I899"/>
      <c r="J899"/>
      <c r="K899"/>
      <c r="L899"/>
      <c r="M899"/>
      <c r="N899"/>
      <c r="O899"/>
      <c r="P899"/>
      <c r="Q899"/>
      <c r="R899"/>
      <c r="S899" s="125"/>
      <c r="T899" s="125"/>
      <c r="U899" s="10"/>
    </row>
    <row r="900" spans="1:23" s="126" customFormat="1" ht="14.55" customHeight="1" x14ac:dyDescent="0.55000000000000004">
      <c r="A900" s="117"/>
      <c r="B900"/>
      <c r="C900" s="124"/>
      <c r="D900" s="124"/>
      <c r="E900"/>
      <c r="F900" s="1804" t="s">
        <v>560</v>
      </c>
      <c r="G900" s="1804"/>
      <c r="H900" s="1804"/>
      <c r="I900" s="1804"/>
      <c r="J900" s="1804"/>
      <c r="K900" s="1804"/>
      <c r="L900" s="1804"/>
      <c r="M900" s="1804"/>
      <c r="N900" s="1804"/>
      <c r="O900" s="1804"/>
      <c r="P900" s="1804"/>
      <c r="Q900" s="119"/>
      <c r="R900"/>
      <c r="S900" s="125"/>
      <c r="T900" s="125"/>
      <c r="U900" s="10"/>
    </row>
    <row r="901" spans="1:23" s="126" customFormat="1" x14ac:dyDescent="0.55000000000000004">
      <c r="A901" s="117"/>
      <c r="B901"/>
      <c r="C901" s="124"/>
      <c r="D901" s="124"/>
      <c r="E901"/>
      <c r="F901" s="119"/>
      <c r="G901" s="119"/>
      <c r="H901" s="119"/>
      <c r="I901" s="119"/>
      <c r="J901" s="119"/>
      <c r="K901" s="119"/>
      <c r="L901" s="119"/>
      <c r="M901" s="119"/>
      <c r="N901" s="119"/>
      <c r="O901" s="119"/>
      <c r="P901" s="119"/>
      <c r="Q901" s="119"/>
      <c r="R901"/>
      <c r="S901" s="125"/>
      <c r="T901" s="125"/>
      <c r="U901" s="10"/>
    </row>
    <row r="902" spans="1:23" s="126" customFormat="1" x14ac:dyDescent="0.55000000000000004">
      <c r="A902" s="117"/>
      <c r="B902"/>
      <c r="C902" s="124"/>
      <c r="D902" s="124"/>
      <c r="E902"/>
      <c r="F902" s="1" t="s">
        <v>348</v>
      </c>
      <c r="G902" s="80" t="s">
        <v>89</v>
      </c>
      <c r="H902" s="119"/>
      <c r="I902" s="119"/>
      <c r="J902" s="119"/>
      <c r="K902" s="119"/>
      <c r="L902" s="119"/>
      <c r="M902" s="119"/>
      <c r="N902" s="119"/>
      <c r="O902" s="119"/>
      <c r="P902" s="119"/>
      <c r="Q902" s="119"/>
      <c r="R902"/>
      <c r="S902" s="125"/>
      <c r="T902" s="125"/>
      <c r="U902" s="10"/>
      <c r="V902" s="126" t="s">
        <v>89</v>
      </c>
    </row>
    <row r="903" spans="1:23" s="126" customFormat="1" ht="14.7" thickBot="1" x14ac:dyDescent="0.6">
      <c r="A903" s="117"/>
      <c r="B903"/>
      <c r="C903" s="124"/>
      <c r="D903" s="124"/>
      <c r="E903"/>
      <c r="F903"/>
      <c r="G903" s="134"/>
      <c r="H903" s="119"/>
      <c r="I903" s="119"/>
      <c r="J903" s="119"/>
      <c r="K903" s="119"/>
      <c r="L903" s="119"/>
      <c r="M903" s="119"/>
      <c r="N903" s="119"/>
      <c r="O903" s="119"/>
      <c r="P903" s="119"/>
      <c r="Q903" s="119"/>
      <c r="R903"/>
      <c r="S903" s="125"/>
      <c r="T903" s="125"/>
      <c r="U903" s="10"/>
      <c r="V903" s="126" t="s">
        <v>90</v>
      </c>
    </row>
    <row r="904" spans="1:23" s="126" customFormat="1" x14ac:dyDescent="0.55000000000000004">
      <c r="A904" s="117"/>
      <c r="B904"/>
      <c r="C904" s="124"/>
      <c r="D904" s="124"/>
      <c r="E904" s="121"/>
      <c r="F904" s="122"/>
      <c r="G904" s="122"/>
      <c r="H904" s="122"/>
      <c r="I904" s="122"/>
      <c r="J904" s="122"/>
      <c r="K904" s="122"/>
      <c r="L904" s="122"/>
      <c r="M904" s="122"/>
      <c r="N904" s="122"/>
      <c r="O904" s="122"/>
      <c r="P904" s="122"/>
      <c r="Q904" s="122"/>
      <c r="R904" s="123"/>
      <c r="S904" s="125"/>
      <c r="T904" s="125"/>
      <c r="U904" s="10"/>
    </row>
    <row r="905" spans="1:23" s="126" customFormat="1" x14ac:dyDescent="0.55000000000000004">
      <c r="A905" s="117"/>
      <c r="B905"/>
      <c r="C905" s="124"/>
      <c r="D905" s="124"/>
      <c r="E905" s="124"/>
      <c r="F905" s="1" t="s">
        <v>343</v>
      </c>
      <c r="G905" s="163"/>
      <c r="H905"/>
      <c r="I905"/>
      <c r="J905"/>
      <c r="K905"/>
      <c r="L905"/>
      <c r="M905"/>
      <c r="N905"/>
      <c r="O905"/>
      <c r="P905"/>
      <c r="Q905"/>
      <c r="R905" s="125"/>
      <c r="S905" s="125"/>
      <c r="T905" s="125"/>
      <c r="U905" s="10"/>
    </row>
    <row r="906" spans="1:23" s="126" customFormat="1" ht="14.55" customHeight="1" x14ac:dyDescent="0.55000000000000004">
      <c r="A906" s="117"/>
      <c r="B906"/>
      <c r="C906" s="124"/>
      <c r="D906" s="124"/>
      <c r="E906" s="124"/>
      <c r="F906" s="1804" t="s">
        <v>561</v>
      </c>
      <c r="G906" s="1804"/>
      <c r="H906" s="1804"/>
      <c r="I906" s="1804"/>
      <c r="J906" s="1804"/>
      <c r="K906" s="1804"/>
      <c r="L906" s="1804"/>
      <c r="M906" s="1804"/>
      <c r="N906" s="1804"/>
      <c r="O906" s="1804"/>
      <c r="P906" s="1804"/>
      <c r="Q906" s="1804"/>
      <c r="R906" s="125"/>
      <c r="S906" s="125"/>
      <c r="T906" s="125"/>
      <c r="U906" s="10"/>
    </row>
    <row r="907" spans="1:23" s="126" customFormat="1" x14ac:dyDescent="0.55000000000000004">
      <c r="A907" s="117"/>
      <c r="B907"/>
      <c r="C907" s="124"/>
      <c r="D907" s="124"/>
      <c r="E907" s="124"/>
      <c r="F907" s="1804"/>
      <c r="G907" s="1804"/>
      <c r="H907" s="1804"/>
      <c r="I907" s="1804"/>
      <c r="J907" s="1804"/>
      <c r="K907" s="1804"/>
      <c r="L907" s="1804"/>
      <c r="M907" s="1804"/>
      <c r="N907" s="1804"/>
      <c r="O907" s="1804"/>
      <c r="P907" s="1804"/>
      <c r="Q907" s="1804"/>
      <c r="R907" s="125"/>
      <c r="S907" s="125"/>
      <c r="T907" s="125"/>
      <c r="U907" s="10"/>
    </row>
    <row r="908" spans="1:23" s="126" customFormat="1" x14ac:dyDescent="0.55000000000000004">
      <c r="A908" s="117"/>
      <c r="B908"/>
      <c r="C908" s="124"/>
      <c r="D908" s="124"/>
      <c r="E908" s="124"/>
      <c r="F908" s="1"/>
      <c r="G908" s="163"/>
      <c r="H908"/>
      <c r="I908"/>
      <c r="J908"/>
      <c r="K908"/>
      <c r="L908"/>
      <c r="M908"/>
      <c r="N908"/>
      <c r="O908"/>
      <c r="P908"/>
      <c r="Q908"/>
      <c r="R908" s="125"/>
      <c r="S908" s="125"/>
      <c r="T908" s="125"/>
      <c r="U908" s="10"/>
    </row>
    <row r="909" spans="1:23" s="126" customFormat="1" x14ac:dyDescent="0.55000000000000004">
      <c r="A909" s="117"/>
      <c r="B909"/>
      <c r="C909" s="124"/>
      <c r="D909" s="124"/>
      <c r="E909" s="124"/>
      <c r="F909" s="164" t="s">
        <v>88</v>
      </c>
      <c r="G909" s="10"/>
      <c r="H909"/>
      <c r="I909" s="50">
        <v>5</v>
      </c>
      <c r="J909"/>
      <c r="K909"/>
      <c r="L909"/>
      <c r="M909"/>
      <c r="N909"/>
      <c r="O909"/>
      <c r="P909"/>
      <c r="Q909"/>
      <c r="R909" s="125"/>
      <c r="S909" s="125"/>
      <c r="T909" s="125"/>
      <c r="U909" s="10"/>
    </row>
    <row r="910" spans="1:23" s="126" customFormat="1" x14ac:dyDescent="0.55000000000000004">
      <c r="A910" s="117"/>
      <c r="B910"/>
      <c r="C910" s="124"/>
      <c r="D910" s="124"/>
      <c r="E910" s="124"/>
      <c r="F910" s="10" t="s">
        <v>612</v>
      </c>
      <c r="H910"/>
      <c r="I910" s="159" t="s">
        <v>578</v>
      </c>
      <c r="J910"/>
      <c r="K910"/>
      <c r="L910"/>
      <c r="M910"/>
      <c r="N910"/>
      <c r="O910"/>
      <c r="P910"/>
      <c r="Q910"/>
      <c r="R910" s="125"/>
      <c r="S910" s="125"/>
      <c r="T910" s="125"/>
      <c r="U910" s="10"/>
    </row>
    <row r="911" spans="1:23" s="126" customFormat="1" x14ac:dyDescent="0.55000000000000004">
      <c r="A911" s="117"/>
      <c r="B911"/>
      <c r="C911" s="124"/>
      <c r="D911" s="124"/>
      <c r="E911" s="124"/>
      <c r="F911"/>
      <c r="G911"/>
      <c r="H911"/>
      <c r="I911"/>
      <c r="J911"/>
      <c r="K911"/>
      <c r="L911"/>
      <c r="M911"/>
      <c r="N911"/>
      <c r="O911"/>
      <c r="P911"/>
      <c r="Q911"/>
      <c r="R911" s="125"/>
      <c r="S911" s="125"/>
      <c r="T911" s="125"/>
      <c r="U911" s="10"/>
    </row>
    <row r="912" spans="1:23" s="126" customFormat="1" ht="57.6" x14ac:dyDescent="0.55000000000000004">
      <c r="A912" s="117"/>
      <c r="B912"/>
      <c r="C912" s="124"/>
      <c r="D912" s="124"/>
      <c r="E912" s="124"/>
      <c r="F912" s="56" t="s">
        <v>91</v>
      </c>
      <c r="G912" s="56" t="s">
        <v>92</v>
      </c>
      <c r="H912" s="129" t="s">
        <v>80</v>
      </c>
      <c r="I912" s="56" t="s">
        <v>340</v>
      </c>
      <c r="J912" s="56" t="s">
        <v>356</v>
      </c>
      <c r="K912" s="165" t="s">
        <v>349</v>
      </c>
      <c r="L912" s="166" t="s">
        <v>350</v>
      </c>
      <c r="M912" s="162"/>
      <c r="N912" s="162"/>
      <c r="O912" s="162"/>
      <c r="P912" s="162"/>
      <c r="Q912" s="162"/>
      <c r="R912" s="167"/>
      <c r="S912" s="167"/>
      <c r="T912" s="167"/>
      <c r="U912" s="10"/>
      <c r="V912" s="168" t="s">
        <v>621</v>
      </c>
      <c r="W912" s="168" t="s">
        <v>622</v>
      </c>
    </row>
    <row r="913" spans="1:24" s="126" customFormat="1" x14ac:dyDescent="0.55000000000000004">
      <c r="A913" s="117"/>
      <c r="B913"/>
      <c r="C913" s="124"/>
      <c r="D913" s="124"/>
      <c r="E913" s="124"/>
      <c r="F913" s="89">
        <f>IF($I$909=X913,X913,1)</f>
        <v>1</v>
      </c>
      <c r="G913" s="91">
        <v>0</v>
      </c>
      <c r="H913" s="50"/>
      <c r="I913" s="169"/>
      <c r="J913" s="21">
        <f>IF(G902=V902,H886-SUMIF(F914:F917,"&lt;="&amp;$I$909,J914:J917),0)</f>
        <v>0</v>
      </c>
      <c r="K913" s="114">
        <f ca="1">IFERROR(IF(G902=V902,IF(F913&lt;=I909,IF(I910="No",IF(J894=0,L886/SUMPRODUCT(V913:V917,J913:J917),(L886-J894)/SUMPRODUCT(V913:V917,J913:J917)),0),0),0),0)</f>
        <v>0</v>
      </c>
      <c r="L913" s="31">
        <f ca="1">J913*K913</f>
        <v>0</v>
      </c>
      <c r="M913" s="170"/>
      <c r="N913" s="135"/>
      <c r="O913" s="171"/>
      <c r="P913"/>
      <c r="Q913"/>
      <c r="R913" s="125"/>
      <c r="S913" s="125"/>
      <c r="T913" s="125"/>
      <c r="U913" s="10"/>
      <c r="V913" s="96">
        <f>IF(F913&lt;=$I$909,1,0)</f>
        <v>1</v>
      </c>
      <c r="X913" s="126">
        <v>1</v>
      </c>
    </row>
    <row r="914" spans="1:24" s="126" customFormat="1" x14ac:dyDescent="0.55000000000000004">
      <c r="A914" s="117"/>
      <c r="B914"/>
      <c r="C914" s="124"/>
      <c r="D914" s="124"/>
      <c r="E914" s="124"/>
      <c r="F914" s="89">
        <f>IF($I$909&gt;=X914,X914,"")</f>
        <v>2</v>
      </c>
      <c r="G914" s="91">
        <f>IF($I$909&gt;=F914,H913+0.01,"")</f>
        <v>0.01</v>
      </c>
      <c r="H914" s="50"/>
      <c r="I914" s="61"/>
      <c r="J914" s="13"/>
      <c r="K914" s="114">
        <f ca="1">IFERROR(IF(F914&lt;=I909,IF(I910="No",K913*(1+I914),IF(J894=0,L886/SUMPRODUCT(W914:W917,J914:J917),(L886-J894)/SUMPRODUCT(W914:W917,J914:J917))),0),0)</f>
        <v>0</v>
      </c>
      <c r="L914" s="31">
        <f ca="1">J914*K914</f>
        <v>0</v>
      </c>
      <c r="M914" s="170"/>
      <c r="N914" s="135"/>
      <c r="O914" s="171"/>
      <c r="P914"/>
      <c r="Q914"/>
      <c r="R914" s="125"/>
      <c r="S914" s="125"/>
      <c r="T914" s="125"/>
      <c r="U914" s="10"/>
      <c r="V914" s="96">
        <f>IF(F914&lt;=$I$909,(1+I914),0)</f>
        <v>1</v>
      </c>
      <c r="W914" s="92">
        <f>IF(F914&lt;=I909,1,0)</f>
        <v>1</v>
      </c>
      <c r="X914" s="126">
        <v>2</v>
      </c>
    </row>
    <row r="915" spans="1:24" s="126" customFormat="1" x14ac:dyDescent="0.55000000000000004">
      <c r="A915" s="117"/>
      <c r="B915"/>
      <c r="C915" s="124"/>
      <c r="D915" s="124"/>
      <c r="E915" s="124"/>
      <c r="F915" s="89">
        <f>IF($I$909&gt;=X915,X915,"")</f>
        <v>3</v>
      </c>
      <c r="G915" s="91">
        <f>IF($I$909&gt;=F915,H914+0.01,"")</f>
        <v>0.01</v>
      </c>
      <c r="H915" s="50"/>
      <c r="I915" s="61"/>
      <c r="J915" s="13"/>
      <c r="K915" s="95">
        <f ca="1">IF(F915&lt;=$I$909,K914*(1+I915),0)</f>
        <v>0</v>
      </c>
      <c r="L915" s="31">
        <f ca="1">J915*K915</f>
        <v>0</v>
      </c>
      <c r="M915" s="170"/>
      <c r="N915" s="135"/>
      <c r="O915" s="171"/>
      <c r="P915"/>
      <c r="Q915"/>
      <c r="R915" s="125"/>
      <c r="S915" s="125"/>
      <c r="T915" s="125"/>
      <c r="U915" s="10"/>
      <c r="V915" s="96">
        <f>IF(F915&lt;=$I$909,V914*(1+I915),0)</f>
        <v>1</v>
      </c>
      <c r="W915" s="92">
        <f>IF(F915&lt;=I909,W914*(1+I915),0)</f>
        <v>1</v>
      </c>
      <c r="X915" s="126">
        <v>3</v>
      </c>
    </row>
    <row r="916" spans="1:24" s="126" customFormat="1" x14ac:dyDescent="0.55000000000000004">
      <c r="A916" s="117"/>
      <c r="B916"/>
      <c r="C916" s="124"/>
      <c r="D916" s="124"/>
      <c r="E916" s="124"/>
      <c r="F916" s="89">
        <f>IF($I$909&gt;=X916,X916,"")</f>
        <v>4</v>
      </c>
      <c r="G916" s="91">
        <f>IF($I$909&gt;=F916,H915+0.01,"")</f>
        <v>0.01</v>
      </c>
      <c r="H916" s="50"/>
      <c r="I916" s="61"/>
      <c r="J916" s="13"/>
      <c r="K916" s="95">
        <f ca="1">IF(F916&lt;=$I$909,K915*(1+I916),0)</f>
        <v>0</v>
      </c>
      <c r="L916" s="31">
        <f ca="1">J916*K916</f>
        <v>0</v>
      </c>
      <c r="M916" s="170"/>
      <c r="N916" s="135"/>
      <c r="O916" s="171"/>
      <c r="P916"/>
      <c r="Q916"/>
      <c r="R916" s="125"/>
      <c r="S916" s="125"/>
      <c r="T916" s="125"/>
      <c r="U916" s="10"/>
      <c r="V916" s="96">
        <f>IF(F916&lt;=$I$909,V915*(1+I916),0)</f>
        <v>1</v>
      </c>
      <c r="W916" s="92">
        <f>IF(F916&lt;=I909,W915*(1+I916),0)</f>
        <v>1</v>
      </c>
      <c r="X916" s="126">
        <v>4</v>
      </c>
    </row>
    <row r="917" spans="1:24" s="126" customFormat="1" x14ac:dyDescent="0.55000000000000004">
      <c r="A917" s="117"/>
      <c r="B917"/>
      <c r="C917" s="124"/>
      <c r="D917" s="124"/>
      <c r="E917" s="124"/>
      <c r="F917" s="89">
        <f>IF($I$909&gt;=X917,X917,"")</f>
        <v>5</v>
      </c>
      <c r="G917" s="91">
        <f>IF($I$909&gt;=F917,H916+0.01,"")</f>
        <v>0.01</v>
      </c>
      <c r="H917" s="89" t="s">
        <v>84</v>
      </c>
      <c r="I917" s="61"/>
      <c r="J917" s="13"/>
      <c r="K917" s="95">
        <f ca="1">IF(F917&lt;=$I$909,K916*(1+I917),0)</f>
        <v>0</v>
      </c>
      <c r="L917" s="31">
        <f ca="1">J917*K917</f>
        <v>0</v>
      </c>
      <c r="M917" s="170"/>
      <c r="N917" s="135"/>
      <c r="O917" s="171"/>
      <c r="P917"/>
      <c r="Q917"/>
      <c r="R917" s="125"/>
      <c r="S917" s="125"/>
      <c r="T917" s="125"/>
      <c r="U917" s="10"/>
      <c r="V917" s="96">
        <f>IF(F917&lt;=$I$909,V916*(1+I917),0)</f>
        <v>1</v>
      </c>
      <c r="W917" s="92">
        <f>IF(F917&lt;=I909,W916*(1+I917),0)</f>
        <v>1</v>
      </c>
      <c r="X917" s="126">
        <v>5</v>
      </c>
    </row>
    <row r="918" spans="1:24" s="126" customFormat="1" ht="14.7" thickBot="1" x14ac:dyDescent="0.6">
      <c r="A918" s="117"/>
      <c r="B918"/>
      <c r="C918" s="124"/>
      <c r="D918" s="124"/>
      <c r="E918" s="130"/>
      <c r="F918" s="149"/>
      <c r="G918" s="150"/>
      <c r="H918" s="149"/>
      <c r="I918" s="172"/>
      <c r="J918" s="173"/>
      <c r="K918" s="173"/>
      <c r="L918" s="173"/>
      <c r="M918" s="174"/>
      <c r="N918" s="152"/>
      <c r="O918" s="175"/>
      <c r="P918" s="131"/>
      <c r="Q918" s="131"/>
      <c r="R918" s="132"/>
      <c r="S918" s="125"/>
      <c r="T918" s="125"/>
      <c r="U918" s="10"/>
    </row>
    <row r="919" spans="1:24" s="126" customFormat="1" ht="14.7" thickBot="1" x14ac:dyDescent="0.6">
      <c r="A919" s="117"/>
      <c r="B919"/>
      <c r="C919" s="124"/>
      <c r="D919" s="124"/>
      <c r="E919"/>
      <c r="F919" s="163"/>
      <c r="G919" s="176"/>
      <c r="H919" s="163"/>
      <c r="I919" s="177"/>
      <c r="J919" s="178"/>
      <c r="K919" s="178"/>
      <c r="L919" s="178"/>
      <c r="M919" s="170"/>
      <c r="N919" s="135"/>
      <c r="O919" s="171"/>
      <c r="P919"/>
      <c r="Q919"/>
      <c r="R919"/>
      <c r="S919" s="125"/>
      <c r="T919" s="125"/>
      <c r="U919" s="10"/>
    </row>
    <row r="920" spans="1:24" s="126" customFormat="1" x14ac:dyDescent="0.55000000000000004">
      <c r="A920" s="117"/>
      <c r="B920"/>
      <c r="C920" s="124"/>
      <c r="D920" s="124"/>
      <c r="E920" s="121"/>
      <c r="F920" s="179"/>
      <c r="G920" s="180"/>
      <c r="H920" s="179"/>
      <c r="I920" s="181"/>
      <c r="J920" s="182"/>
      <c r="K920" s="182"/>
      <c r="L920" s="182"/>
      <c r="M920" s="183"/>
      <c r="N920" s="184"/>
      <c r="O920" s="185"/>
      <c r="P920" s="122"/>
      <c r="Q920" s="122"/>
      <c r="R920" s="123"/>
      <c r="S920" s="125"/>
      <c r="T920" s="125"/>
      <c r="U920" s="10"/>
    </row>
    <row r="921" spans="1:24" s="126" customFormat="1" x14ac:dyDescent="0.55000000000000004">
      <c r="A921" s="117"/>
      <c r="B921"/>
      <c r="C921" s="124"/>
      <c r="D921" s="124"/>
      <c r="E921" s="124"/>
      <c r="F921" s="186" t="s">
        <v>344</v>
      </c>
      <c r="G921" s="176"/>
      <c r="H921" s="163"/>
      <c r="I921" s="177"/>
      <c r="J921" s="178"/>
      <c r="K921" s="178"/>
      <c r="L921" s="178"/>
      <c r="M921" s="170"/>
      <c r="N921" s="135"/>
      <c r="O921" s="187"/>
      <c r="P921"/>
      <c r="Q921"/>
      <c r="R921" s="125"/>
      <c r="S921" s="125"/>
      <c r="T921" s="125"/>
      <c r="U921" s="10"/>
    </row>
    <row r="922" spans="1:24" s="126" customFormat="1" ht="14.55" customHeight="1" x14ac:dyDescent="0.55000000000000004">
      <c r="A922" s="117"/>
      <c r="B922"/>
      <c r="C922" s="124"/>
      <c r="D922" s="124"/>
      <c r="E922" s="124"/>
      <c r="F922" s="1804" t="s">
        <v>562</v>
      </c>
      <c r="G922" s="1804"/>
      <c r="H922" s="1804"/>
      <c r="I922" s="1804"/>
      <c r="J922" s="1804"/>
      <c r="K922" s="1804"/>
      <c r="L922" s="1804"/>
      <c r="M922" s="1804"/>
      <c r="N922" s="1804"/>
      <c r="O922" s="1804"/>
      <c r="P922" s="1804"/>
      <c r="Q922" s="1804"/>
      <c r="R922" s="125"/>
      <c r="S922" s="125"/>
      <c r="T922" s="125"/>
      <c r="U922" s="10"/>
    </row>
    <row r="923" spans="1:24" s="126" customFormat="1" x14ac:dyDescent="0.55000000000000004">
      <c r="A923" s="117"/>
      <c r="B923"/>
      <c r="C923" s="124"/>
      <c r="D923" s="124"/>
      <c r="E923" s="124"/>
      <c r="F923" s="1804"/>
      <c r="G923" s="1804"/>
      <c r="H923" s="1804"/>
      <c r="I923" s="1804"/>
      <c r="J923" s="1804"/>
      <c r="K923" s="1804"/>
      <c r="L923" s="1804"/>
      <c r="M923" s="1804"/>
      <c r="N923" s="1804"/>
      <c r="O923" s="1804"/>
      <c r="P923" s="1804"/>
      <c r="Q923" s="1804"/>
      <c r="R923" s="125"/>
      <c r="S923" s="125"/>
      <c r="T923" s="125"/>
      <c r="U923" s="10"/>
    </row>
    <row r="924" spans="1:24" s="126" customFormat="1" x14ac:dyDescent="0.55000000000000004">
      <c r="A924" s="117"/>
      <c r="B924"/>
      <c r="C924" s="124"/>
      <c r="D924" s="124"/>
      <c r="E924" s="124"/>
      <c r="F924" s="186"/>
      <c r="G924" s="176"/>
      <c r="H924" s="163"/>
      <c r="I924" s="177"/>
      <c r="J924" s="178"/>
      <c r="K924" s="178"/>
      <c r="L924" s="178"/>
      <c r="M924" s="170"/>
      <c r="N924" s="135"/>
      <c r="O924" s="187"/>
      <c r="P924"/>
      <c r="Q924"/>
      <c r="R924" s="125"/>
      <c r="S924" s="125"/>
      <c r="T924" s="125"/>
      <c r="U924" s="10"/>
    </row>
    <row r="925" spans="1:24" s="126" customFormat="1" x14ac:dyDescent="0.55000000000000004">
      <c r="A925" s="117"/>
      <c r="B925"/>
      <c r="C925" s="124"/>
      <c r="D925" s="124"/>
      <c r="E925" s="124"/>
      <c r="F925" s="164" t="s">
        <v>88</v>
      </c>
      <c r="G925" s="10"/>
      <c r="H925" s="163"/>
      <c r="I925" s="50">
        <v>5</v>
      </c>
      <c r="J925" s="178"/>
      <c r="K925" s="178"/>
      <c r="L925" s="178"/>
      <c r="M925" s="170"/>
      <c r="N925" s="135"/>
      <c r="O925" s="187"/>
      <c r="P925"/>
      <c r="Q925"/>
      <c r="R925" s="125"/>
      <c r="S925" s="125"/>
      <c r="T925" s="125"/>
      <c r="U925" s="10"/>
    </row>
    <row r="926" spans="1:24" s="126" customFormat="1" x14ac:dyDescent="0.55000000000000004">
      <c r="A926" s="117"/>
      <c r="B926"/>
      <c r="C926" s="124"/>
      <c r="D926" s="124"/>
      <c r="E926" s="124"/>
      <c r="F926" t="s">
        <v>346</v>
      </c>
      <c r="G926" s="10"/>
      <c r="H926" s="163"/>
      <c r="I926" s="13"/>
      <c r="J926" s="178"/>
      <c r="K926" s="178"/>
      <c r="L926" s="178"/>
      <c r="M926" s="170"/>
      <c r="N926" s="135"/>
      <c r="O926" s="187"/>
      <c r="P926"/>
      <c r="Q926"/>
      <c r="R926" s="125"/>
      <c r="S926" s="125"/>
      <c r="T926" s="125"/>
      <c r="U926" s="10"/>
    </row>
    <row r="927" spans="1:24" s="126" customFormat="1" x14ac:dyDescent="0.55000000000000004">
      <c r="A927" s="117"/>
      <c r="B927"/>
      <c r="C927" s="124"/>
      <c r="D927" s="124"/>
      <c r="E927" s="124"/>
      <c r="F927" t="s">
        <v>347</v>
      </c>
      <c r="G927" s="10"/>
      <c r="H927" s="163"/>
      <c r="I927" s="13"/>
      <c r="J927" s="178"/>
      <c r="K927" s="178"/>
      <c r="L927" s="178"/>
      <c r="M927" s="170"/>
      <c r="N927" s="135"/>
      <c r="O927" s="187"/>
      <c r="P927"/>
      <c r="Q927"/>
      <c r="R927" s="125"/>
      <c r="S927" s="125"/>
      <c r="T927" s="125"/>
      <c r="U927" s="10"/>
    </row>
    <row r="928" spans="1:24" s="126" customFormat="1" x14ac:dyDescent="0.55000000000000004">
      <c r="A928" s="117"/>
      <c r="B928"/>
      <c r="C928" s="124"/>
      <c r="D928" s="124"/>
      <c r="E928" s="124"/>
      <c r="F928" t="s">
        <v>366</v>
      </c>
      <c r="G928" s="10"/>
      <c r="H928"/>
      <c r="I928" s="93"/>
      <c r="J928"/>
      <c r="K928" s="178"/>
      <c r="L928" s="178"/>
      <c r="M928" s="170"/>
      <c r="N928" s="135"/>
      <c r="O928" s="187"/>
      <c r="P928"/>
      <c r="Q928"/>
      <c r="R928" s="125"/>
      <c r="S928" s="125"/>
      <c r="T928" s="125"/>
      <c r="U928" s="10"/>
    </row>
    <row r="929" spans="1:26" s="126" customFormat="1" x14ac:dyDescent="0.55000000000000004">
      <c r="A929" s="117"/>
      <c r="B929"/>
      <c r="C929" s="124"/>
      <c r="D929" s="124"/>
      <c r="E929" s="124"/>
      <c r="F929" s="10" t="s">
        <v>612</v>
      </c>
      <c r="H929"/>
      <c r="I929" s="159" t="s">
        <v>578</v>
      </c>
      <c r="J929"/>
      <c r="K929" s="178"/>
      <c r="L929" s="178"/>
      <c r="M929" s="170"/>
      <c r="N929" s="135"/>
      <c r="O929" s="187"/>
      <c r="P929"/>
      <c r="Q929"/>
      <c r="R929" s="125"/>
      <c r="S929" s="125"/>
      <c r="T929" s="125"/>
      <c r="U929" s="10"/>
    </row>
    <row r="930" spans="1:26" s="126" customFormat="1" x14ac:dyDescent="0.55000000000000004">
      <c r="A930" s="117"/>
      <c r="B930"/>
      <c r="C930" s="124"/>
      <c r="D930" s="124"/>
      <c r="E930" s="124"/>
      <c r="F930"/>
      <c r="G930"/>
      <c r="H930"/>
      <c r="I930" s="188"/>
      <c r="J930"/>
      <c r="K930" s="178"/>
      <c r="L930" s="178"/>
      <c r="M930" s="170"/>
      <c r="N930" s="135"/>
      <c r="O930" s="187"/>
      <c r="P930"/>
      <c r="Q930"/>
      <c r="R930" s="125"/>
      <c r="S930" s="125"/>
      <c r="T930" s="125"/>
      <c r="U930" s="10"/>
    </row>
    <row r="931" spans="1:26" s="126" customFormat="1" ht="57.6" x14ac:dyDescent="0.55000000000000004">
      <c r="A931" s="117"/>
      <c r="B931"/>
      <c r="C931" s="124"/>
      <c r="D931" s="124"/>
      <c r="E931" s="124"/>
      <c r="F931" s="56" t="s">
        <v>91</v>
      </c>
      <c r="G931" s="56" t="s">
        <v>92</v>
      </c>
      <c r="H931" s="129" t="s">
        <v>80</v>
      </c>
      <c r="I931" s="56" t="s">
        <v>367</v>
      </c>
      <c r="J931" s="56" t="s">
        <v>368</v>
      </c>
      <c r="K931" s="56" t="s">
        <v>341</v>
      </c>
      <c r="L931" s="56" t="s">
        <v>342</v>
      </c>
      <c r="M931" s="166" t="s">
        <v>351</v>
      </c>
      <c r="N931" s="56" t="s">
        <v>352</v>
      </c>
      <c r="O931" s="56" t="s">
        <v>353</v>
      </c>
      <c r="P931" s="56" t="s">
        <v>354</v>
      </c>
      <c r="Q931" s="56" t="s">
        <v>355</v>
      </c>
      <c r="R931" s="125"/>
      <c r="S931" s="125"/>
      <c r="T931" s="125"/>
      <c r="U931" s="10"/>
      <c r="V931" s="189" t="s">
        <v>616</v>
      </c>
      <c r="W931" s="168" t="s">
        <v>617</v>
      </c>
      <c r="X931" s="189" t="s">
        <v>618</v>
      </c>
      <c r="Y931" s="168" t="s">
        <v>619</v>
      </c>
    </row>
    <row r="932" spans="1:26" s="126" customFormat="1" x14ac:dyDescent="0.55000000000000004">
      <c r="A932" s="117"/>
      <c r="B932"/>
      <c r="C932" s="124"/>
      <c r="D932" s="124"/>
      <c r="E932" s="124"/>
      <c r="F932" s="89">
        <f>IF($I$925=Z932,Z932,1)</f>
        <v>1</v>
      </c>
      <c r="G932" s="91">
        <v>0</v>
      </c>
      <c r="H932" s="50"/>
      <c r="I932" s="169"/>
      <c r="J932" s="63"/>
      <c r="K932" s="21">
        <f>I926-SUMIF(F933:F936,"&lt;="&amp;$I$925,K933:K936)</f>
        <v>0</v>
      </c>
      <c r="L932" s="31">
        <f>I927-SUMIF(F933:F936,"&lt;="&amp;$I$925,L933:L936)</f>
        <v>0</v>
      </c>
      <c r="M932" s="44">
        <f>IFERROR(IF(G902=V902,0,IF(F932&lt;=I925,IF(I929="No",(L886-J894)/(SUMPRODUCT(V932:V936,K932:K936)+SUMPRODUCT(W932:W936,L932:L936)),0)*I928,0)),0)</f>
        <v>0</v>
      </c>
      <c r="N932" s="44">
        <f>IFERROR(IF(G902=V902,0,IF(F932&lt;=I925,IF(I929="No",(L886-J894)/(SUMPRODUCT(V932:V936,K932:K936)+SUMPRODUCT(W932:W936,L932:L936)),0),0)),0)</f>
        <v>0</v>
      </c>
      <c r="O932" s="97" t="str">
        <f>IFERROR(M932/N932,"")</f>
        <v/>
      </c>
      <c r="P932" s="26">
        <f t="shared" ref="P932:Q936" si="14">K932*M932</f>
        <v>0</v>
      </c>
      <c r="Q932" s="26">
        <f t="shared" si="14"/>
        <v>0</v>
      </c>
      <c r="R932" s="125"/>
      <c r="S932" s="125"/>
      <c r="T932" s="125"/>
      <c r="U932" s="10"/>
      <c r="V932" s="92">
        <f>IF(F932&lt;=$I$925,1*$I$928,0)</f>
        <v>0</v>
      </c>
      <c r="W932" s="96">
        <f>IF(F932&lt;=$I$925,1,0)</f>
        <v>1</v>
      </c>
      <c r="X932" s="92"/>
      <c r="Y932" s="96"/>
      <c r="Z932" s="126">
        <v>1</v>
      </c>
    </row>
    <row r="933" spans="1:26" s="126" customFormat="1" x14ac:dyDescent="0.55000000000000004">
      <c r="A933" s="117"/>
      <c r="B933"/>
      <c r="C933" s="124"/>
      <c r="D933" s="124"/>
      <c r="E933" s="124"/>
      <c r="F933" s="89">
        <f>IF($I$925&gt;=Z933,Z933,"")</f>
        <v>2</v>
      </c>
      <c r="G933" s="91">
        <f>IF($I$925&gt;=F933,H932+0.01,"")</f>
        <v>0.01</v>
      </c>
      <c r="H933" s="50"/>
      <c r="I933" s="61"/>
      <c r="J933" s="61"/>
      <c r="K933" s="13"/>
      <c r="L933" s="13"/>
      <c r="M933" s="44">
        <f>IF(F933&lt;=I925,IF(I929="No",M932*(1+I933),N933*I928),0)</f>
        <v>0</v>
      </c>
      <c r="N933" s="44">
        <f>IF(F933&lt;=I925,IF(I929="No",N932*(1+J933),(L886-J894)/(I928*SUMPRODUCT(X933:X936,K933:K936)+SUMPRODUCT(Y933:Y936,L933:L936))),0)</f>
        <v>0</v>
      </c>
      <c r="O933" s="97" t="str">
        <f>IFERROR(M933/N933,"")</f>
        <v/>
      </c>
      <c r="P933" s="26">
        <f t="shared" si="14"/>
        <v>0</v>
      </c>
      <c r="Q933" s="26">
        <f t="shared" si="14"/>
        <v>0</v>
      </c>
      <c r="R933" s="125"/>
      <c r="S933" s="125"/>
      <c r="T933" s="125"/>
      <c r="U933" s="10"/>
      <c r="V933" s="92">
        <f>IF(F933&lt;=$I$925,V932*(1+I933),0)</f>
        <v>0</v>
      </c>
      <c r="W933" s="96">
        <f>IF(F933&lt;=$I$925,(1+J933),0)</f>
        <v>1</v>
      </c>
      <c r="X933" s="92">
        <v>1</v>
      </c>
      <c r="Y933" s="96">
        <f>IF(F933&lt;=I925,1,0)</f>
        <v>1</v>
      </c>
      <c r="Z933" s="126">
        <v>2</v>
      </c>
    </row>
    <row r="934" spans="1:26" s="126" customFormat="1" x14ac:dyDescent="0.55000000000000004">
      <c r="A934" s="117"/>
      <c r="B934"/>
      <c r="C934" s="124"/>
      <c r="D934" s="124"/>
      <c r="E934" s="124"/>
      <c r="F934" s="89">
        <f>IF($I$925&gt;=Z934,Z934,"")</f>
        <v>3</v>
      </c>
      <c r="G934" s="91">
        <f>IF($I$925&gt;=F934,H933+0.01,"")</f>
        <v>0.01</v>
      </c>
      <c r="H934" s="50"/>
      <c r="I934" s="61"/>
      <c r="J934" s="61"/>
      <c r="K934" s="13"/>
      <c r="L934" s="13"/>
      <c r="M934" s="36">
        <f>IF(F934&lt;=$I$925,M933*(1+I934),0)</f>
        <v>0</v>
      </c>
      <c r="N934" s="36">
        <f>IF(F934&lt;=$I$925,N933*(1+J934),0)</f>
        <v>0</v>
      </c>
      <c r="O934" s="97" t="str">
        <f>IFERROR(M934/N934,"")</f>
        <v/>
      </c>
      <c r="P934" s="26">
        <f t="shared" si="14"/>
        <v>0</v>
      </c>
      <c r="Q934" s="26">
        <f t="shared" si="14"/>
        <v>0</v>
      </c>
      <c r="R934" s="125"/>
      <c r="S934" s="125"/>
      <c r="T934" s="125"/>
      <c r="U934" s="10"/>
      <c r="V934" s="92">
        <f>IF(F934&lt;=$I$925,V933*(1+I934),0)</f>
        <v>0</v>
      </c>
      <c r="W934" s="96">
        <f>IF(F934&lt;=$I$925,W933*(1+J934),0)</f>
        <v>1</v>
      </c>
      <c r="X934" s="92">
        <f>IF(F934&lt;=I925,X933*(1+I934),0)</f>
        <v>1</v>
      </c>
      <c r="Y934" s="96">
        <f>IF(F934&lt;=I925,Y933*(1+J934),0)</f>
        <v>1</v>
      </c>
      <c r="Z934" s="126">
        <v>3</v>
      </c>
    </row>
    <row r="935" spans="1:26" s="126" customFormat="1" x14ac:dyDescent="0.55000000000000004">
      <c r="A935" s="117"/>
      <c r="B935"/>
      <c r="C935" s="124"/>
      <c r="D935" s="124"/>
      <c r="E935" s="124"/>
      <c r="F935" s="89">
        <f>IF($I$925&gt;=Z935,Z935,"")</f>
        <v>4</v>
      </c>
      <c r="G935" s="91">
        <f>IF($I$925&gt;=F935,H934+0.01,"")</f>
        <v>0.01</v>
      </c>
      <c r="H935" s="50"/>
      <c r="I935" s="61"/>
      <c r="J935" s="61"/>
      <c r="K935" s="13"/>
      <c r="L935" s="13"/>
      <c r="M935" s="36">
        <f>IF(F935&lt;=$I$925,M934*(1+I935),0)</f>
        <v>0</v>
      </c>
      <c r="N935" s="36">
        <f>IF(F935&lt;=$I$925,N934*(1+J935),0)</f>
        <v>0</v>
      </c>
      <c r="O935" s="97" t="str">
        <f>IFERROR(M935/N935,"")</f>
        <v/>
      </c>
      <c r="P935" s="26">
        <f t="shared" si="14"/>
        <v>0</v>
      </c>
      <c r="Q935" s="26">
        <f t="shared" si="14"/>
        <v>0</v>
      </c>
      <c r="R935" s="125"/>
      <c r="S935" s="125"/>
      <c r="T935" s="125"/>
      <c r="U935" s="10"/>
      <c r="V935" s="92">
        <f>IF(F935&lt;=$I$925,V934*(1+I935),0)</f>
        <v>0</v>
      </c>
      <c r="W935" s="96">
        <f>IF(F935&lt;=$I$925,W934*(1+J935),0)</f>
        <v>1</v>
      </c>
      <c r="X935" s="92">
        <f>IF(F935&lt;=I925,X934*(1+I935),0)</f>
        <v>1</v>
      </c>
      <c r="Y935" s="96">
        <f>IF(F935&lt;=I925,Y934*(1+J935),0)</f>
        <v>1</v>
      </c>
      <c r="Z935" s="126">
        <v>4</v>
      </c>
    </row>
    <row r="936" spans="1:26" s="126" customFormat="1" x14ac:dyDescent="0.55000000000000004">
      <c r="A936" s="117"/>
      <c r="B936"/>
      <c r="C936" s="124"/>
      <c r="D936" s="124"/>
      <c r="E936" s="124"/>
      <c r="F936" s="89">
        <f>IF($I$925&gt;=Z936,Z936,"")</f>
        <v>5</v>
      </c>
      <c r="G936" s="91">
        <f>IF($I$925&gt;=F936,H935+0.01,"")</f>
        <v>0.01</v>
      </c>
      <c r="H936" s="89" t="s">
        <v>84</v>
      </c>
      <c r="I936" s="61"/>
      <c r="J936" s="61"/>
      <c r="K936" s="13"/>
      <c r="L936" s="13"/>
      <c r="M936" s="36">
        <f>IF(F936&lt;=$I$925,M935*(1+I936),0)</f>
        <v>0</v>
      </c>
      <c r="N936" s="36">
        <f>IF(F936&lt;=$I$925,N935*(1+J936),0)</f>
        <v>0</v>
      </c>
      <c r="O936" s="97" t="str">
        <f>IFERROR(M936/N936,"")</f>
        <v/>
      </c>
      <c r="P936" s="26">
        <f t="shared" si="14"/>
        <v>0</v>
      </c>
      <c r="Q936" s="26">
        <f t="shared" si="14"/>
        <v>0</v>
      </c>
      <c r="R936" s="125"/>
      <c r="S936" s="125"/>
      <c r="T936" s="125"/>
      <c r="U936" s="10"/>
      <c r="V936" s="92">
        <f>IF(F936&lt;=$I$925,V935*(1+I936),0)</f>
        <v>0</v>
      </c>
      <c r="W936" s="96">
        <f>IF(F936&lt;=$I$925,W935*(1+J936),0)</f>
        <v>1</v>
      </c>
      <c r="X936" s="92">
        <f>IF(F936&lt;=I925,X935*(1+I936),0)</f>
        <v>1</v>
      </c>
      <c r="Y936" s="96">
        <f>IF(F936&lt;=I925,Y935*(1+J936),0)</f>
        <v>1</v>
      </c>
      <c r="Z936" s="126">
        <v>5</v>
      </c>
    </row>
    <row r="937" spans="1:26" s="126" customFormat="1" ht="14.7" thickBot="1" x14ac:dyDescent="0.6">
      <c r="A937" s="117"/>
      <c r="B937"/>
      <c r="C937" s="124"/>
      <c r="D937" s="124"/>
      <c r="E937" s="130"/>
      <c r="F937" s="131"/>
      <c r="G937" s="131"/>
      <c r="H937" s="131"/>
      <c r="I937" s="131"/>
      <c r="J937" s="131"/>
      <c r="K937" s="131"/>
      <c r="L937" s="131"/>
      <c r="M937" s="131"/>
      <c r="N937" s="131"/>
      <c r="O937" s="131"/>
      <c r="P937" s="131"/>
      <c r="Q937" s="131"/>
      <c r="R937" s="132"/>
      <c r="S937" s="125"/>
      <c r="T937" s="125"/>
      <c r="U937" s="10"/>
    </row>
    <row r="938" spans="1:26" s="126" customFormat="1" ht="14.7" thickBot="1" x14ac:dyDescent="0.6">
      <c r="A938" s="117"/>
      <c r="B938"/>
      <c r="C938" s="124"/>
      <c r="D938" s="130"/>
      <c r="E938" s="131"/>
      <c r="F938" s="131"/>
      <c r="G938" s="131"/>
      <c r="H938" s="131"/>
      <c r="I938" s="131"/>
      <c r="J938" s="131"/>
      <c r="K938" s="131"/>
      <c r="L938" s="131"/>
      <c r="M938" s="131"/>
      <c r="N938" s="131"/>
      <c r="O938" s="131"/>
      <c r="P938" s="131"/>
      <c r="Q938" s="131"/>
      <c r="R938" s="131"/>
      <c r="S938" s="132"/>
      <c r="T938" s="125"/>
      <c r="U938" s="10"/>
    </row>
    <row r="939" spans="1:26" s="126" customFormat="1" ht="14.7" thickBot="1" x14ac:dyDescent="0.6">
      <c r="A939" s="117"/>
      <c r="B939"/>
      <c r="C939" s="130"/>
      <c r="D939" s="131"/>
      <c r="E939" s="131"/>
      <c r="F939" s="131"/>
      <c r="G939" s="131"/>
      <c r="H939" s="131"/>
      <c r="I939" s="131"/>
      <c r="J939" s="131"/>
      <c r="K939" s="131"/>
      <c r="L939" s="131"/>
      <c r="M939" s="131"/>
      <c r="N939" s="131"/>
      <c r="O939" s="131"/>
      <c r="P939" s="131"/>
      <c r="Q939" s="131"/>
      <c r="R939" s="131"/>
      <c r="S939" s="131"/>
      <c r="T939" s="132"/>
      <c r="U939" s="10"/>
    </row>
    <row r="940" spans="1:26" s="126" customFormat="1" ht="14.7" thickBot="1" x14ac:dyDescent="0.6">
      <c r="A940" s="117"/>
      <c r="B940"/>
      <c r="C940"/>
      <c r="D940"/>
      <c r="E940"/>
      <c r="F940"/>
      <c r="G940"/>
      <c r="H940"/>
      <c r="I940"/>
      <c r="J940"/>
      <c r="K940"/>
      <c r="L940"/>
      <c r="M940"/>
      <c r="N940"/>
      <c r="O940"/>
      <c r="P940"/>
      <c r="Q940"/>
      <c r="R940"/>
      <c r="S940"/>
      <c r="T940"/>
      <c r="U940" s="10"/>
    </row>
    <row r="941" spans="1:26" s="126" customFormat="1" x14ac:dyDescent="0.55000000000000004">
      <c r="A941" s="117"/>
      <c r="B941"/>
      <c r="C941" s="121"/>
      <c r="D941" s="122"/>
      <c r="E941" s="122"/>
      <c r="F941" s="122"/>
      <c r="G941" s="122"/>
      <c r="H941" s="122"/>
      <c r="I941" s="122"/>
      <c r="J941" s="122"/>
      <c r="K941" s="122"/>
      <c r="L941" s="122"/>
      <c r="M941" s="122"/>
      <c r="N941" s="122"/>
      <c r="O941" s="122"/>
      <c r="P941" s="122"/>
      <c r="Q941" s="122"/>
      <c r="R941" s="122"/>
      <c r="S941" s="122"/>
      <c r="T941" s="123"/>
      <c r="U941" s="10"/>
    </row>
    <row r="942" spans="1:26" s="126" customFormat="1" ht="18.3" x14ac:dyDescent="0.7">
      <c r="A942" s="117"/>
      <c r="B942"/>
      <c r="C942" s="124"/>
      <c r="D942" s="1822">
        <f>'2 Customer data'!D108</f>
        <v>0</v>
      </c>
      <c r="E942" s="1822"/>
      <c r="F942" s="1822"/>
      <c r="G942" s="1822"/>
      <c r="H942" s="1822"/>
      <c r="I942" s="1822"/>
      <c r="J942" s="1822"/>
      <c r="K942" s="1822"/>
      <c r="L942" s="1822"/>
      <c r="M942" s="1822"/>
      <c r="N942" s="1822"/>
      <c r="O942" s="1822"/>
      <c r="P942" s="1822"/>
      <c r="Q942" s="1822"/>
      <c r="R942" s="1822"/>
      <c r="S942" s="1822"/>
      <c r="T942" s="125"/>
      <c r="U942" s="10"/>
    </row>
    <row r="943" spans="1:26" s="126" customFormat="1" ht="14.7" thickBot="1" x14ac:dyDescent="0.6">
      <c r="A943" s="117"/>
      <c r="B943"/>
      <c r="C943" s="124"/>
      <c r="D943"/>
      <c r="E943"/>
      <c r="F943"/>
      <c r="G943"/>
      <c r="H943"/>
      <c r="I943"/>
      <c r="J943"/>
      <c r="K943"/>
      <c r="L943"/>
      <c r="M943"/>
      <c r="N943"/>
      <c r="O943"/>
      <c r="P943"/>
      <c r="Q943"/>
      <c r="R943"/>
      <c r="S943"/>
      <c r="T943" s="125"/>
      <c r="U943" s="10"/>
    </row>
    <row r="944" spans="1:26" s="126" customFormat="1" x14ac:dyDescent="0.55000000000000004">
      <c r="A944" s="117"/>
      <c r="B944"/>
      <c r="C944" s="124"/>
      <c r="D944" s="121"/>
      <c r="E944" s="122"/>
      <c r="F944" s="122"/>
      <c r="G944" s="122"/>
      <c r="H944" s="122"/>
      <c r="I944" s="122"/>
      <c r="J944" s="122"/>
      <c r="K944" s="122"/>
      <c r="L944" s="122"/>
      <c r="M944" s="122"/>
      <c r="N944" s="122"/>
      <c r="O944" s="122"/>
      <c r="P944" s="122"/>
      <c r="Q944" s="122"/>
      <c r="R944" s="122"/>
      <c r="S944" s="123"/>
      <c r="T944" s="125"/>
      <c r="U944" s="10"/>
    </row>
    <row r="945" spans="1:21" s="126" customFormat="1" x14ac:dyDescent="0.55000000000000004">
      <c r="A945" s="117"/>
      <c r="B945"/>
      <c r="C945" s="124"/>
      <c r="D945" s="124"/>
      <c r="E945"/>
      <c r="F945" s="1" t="str">
        <f>'2 Customer data'!D108&amp;" "&amp;"information"</f>
        <v xml:space="preserve"> information</v>
      </c>
      <c r="G945"/>
      <c r="H945"/>
      <c r="I945"/>
      <c r="J945"/>
      <c r="K945"/>
      <c r="L945"/>
      <c r="M945"/>
      <c r="N945"/>
      <c r="O945"/>
      <c r="P945"/>
      <c r="Q945"/>
      <c r="R945"/>
      <c r="S945" s="125"/>
      <c r="T945" s="125"/>
      <c r="U945" s="10"/>
    </row>
    <row r="946" spans="1:21" s="126" customFormat="1" x14ac:dyDescent="0.55000000000000004">
      <c r="A946" s="117"/>
      <c r="B946"/>
      <c r="C946" s="124"/>
      <c r="D946" s="124"/>
      <c r="E946"/>
      <c r="F946"/>
      <c r="G946"/>
      <c r="H946"/>
      <c r="I946"/>
      <c r="J946"/>
      <c r="K946"/>
      <c r="L946"/>
      <c r="M946"/>
      <c r="N946"/>
      <c r="O946"/>
      <c r="P946"/>
      <c r="Q946"/>
      <c r="R946"/>
      <c r="S946" s="125"/>
      <c r="T946" s="125"/>
      <c r="U946" s="10"/>
    </row>
    <row r="947" spans="1:21" s="126" customFormat="1" ht="28.8" x14ac:dyDescent="0.55000000000000004">
      <c r="A947" s="117"/>
      <c r="B947"/>
      <c r="C947" s="124"/>
      <c r="D947" s="124"/>
      <c r="E947"/>
      <c r="F947"/>
      <c r="G947" s="56" t="s">
        <v>28</v>
      </c>
      <c r="H947" s="56" t="s">
        <v>345</v>
      </c>
      <c r="I947" s="56" t="s">
        <v>60</v>
      </c>
      <c r="J947" s="56" t="s">
        <v>249</v>
      </c>
      <c r="K947" s="56" t="s">
        <v>279</v>
      </c>
      <c r="L947" s="56" t="s">
        <v>357</v>
      </c>
      <c r="M947"/>
      <c r="N947" s="162"/>
      <c r="O947"/>
      <c r="P947"/>
      <c r="Q947"/>
      <c r="R947"/>
      <c r="S947" s="125"/>
      <c r="T947" s="125"/>
      <c r="U947" s="10"/>
    </row>
    <row r="948" spans="1:21" s="126" customFormat="1" x14ac:dyDescent="0.55000000000000004">
      <c r="A948" s="117"/>
      <c r="B948"/>
      <c r="C948" s="124"/>
      <c r="D948" s="124"/>
      <c r="E948"/>
      <c r="F948">
        <f>'2 Customer data'!D108</f>
        <v>0</v>
      </c>
      <c r="G948" s="94">
        <f>IFERROR(IF(VLOOKUP(F948,'2 Customer data'!$D$93:$N$112,7,FALSE)="",VLOOKUP(F948,'2 Customer data'!$D$93:$N$112,6,FALSE),VLOOKUP(F948,'2 Customer data'!$D$93:$N$112,7,FALSE)),0)</f>
        <v>0</v>
      </c>
      <c r="H948" s="26">
        <f>IFERROR(IF(VLOOKUP(F948,'2 Customer data'!$D$93:$N$112,9,FALSE)="",VLOOKUP(F948,'2 Customer data'!$D$93:$N$112,8,FALSE),VLOOKUP(F948,'2 Customer data'!$D$93:$N$112,9,FALSE)),0)</f>
        <v>0</v>
      </c>
      <c r="I948" s="26">
        <f ca="1">IFERROR(VLOOKUP($F948,'2 Electricity'!$D$21:$L$40,6,FALSE),0)</f>
        <v>0</v>
      </c>
      <c r="J948" s="26">
        <f ca="1">IFERROR(VLOOKUP($F948,'2 Electricity'!$D$21:$L$40,7,FALSE),0)</f>
        <v>0</v>
      </c>
      <c r="K948" s="26">
        <f ca="1">IFERROR(VLOOKUP($F948,'2 Electricity'!$D$21:$L$40,8,FALSE),0)</f>
        <v>0</v>
      </c>
      <c r="L948" s="26">
        <f ca="1">IFERROR(VLOOKUP(F948,'2 Electricity'!$D$157:$K$176,8,FALSE),0)</f>
        <v>0</v>
      </c>
      <c r="M948"/>
      <c r="N948" s="134"/>
      <c r="O948"/>
      <c r="P948"/>
      <c r="Q948"/>
      <c r="R948"/>
      <c r="S948" s="125"/>
      <c r="T948" s="125"/>
      <c r="U948" s="10"/>
    </row>
    <row r="949" spans="1:21" s="126" customFormat="1" ht="14.7" thickBot="1" x14ac:dyDescent="0.6">
      <c r="A949" s="117"/>
      <c r="B949"/>
      <c r="C949" s="124"/>
      <c r="D949" s="130"/>
      <c r="E949" s="131"/>
      <c r="F949" s="131"/>
      <c r="G949" s="131"/>
      <c r="H949" s="131"/>
      <c r="I949" s="131"/>
      <c r="J949" s="131"/>
      <c r="K949" s="131"/>
      <c r="L949" s="131"/>
      <c r="M949" s="131"/>
      <c r="N949" s="131"/>
      <c r="O949" s="131"/>
      <c r="P949" s="131"/>
      <c r="Q949" s="131"/>
      <c r="R949" s="131"/>
      <c r="S949" s="132"/>
      <c r="T949" s="125"/>
      <c r="U949" s="10"/>
    </row>
    <row r="950" spans="1:21" s="126" customFormat="1" ht="14.7" thickBot="1" x14ac:dyDescent="0.6">
      <c r="A950" s="117"/>
      <c r="B950"/>
      <c r="C950" s="124"/>
      <c r="D950"/>
      <c r="E950"/>
      <c r="F950"/>
      <c r="G950"/>
      <c r="H950"/>
      <c r="I950"/>
      <c r="J950"/>
      <c r="K950"/>
      <c r="L950"/>
      <c r="M950"/>
      <c r="N950"/>
      <c r="O950"/>
      <c r="P950"/>
      <c r="Q950"/>
      <c r="R950"/>
      <c r="S950"/>
      <c r="T950" s="125"/>
      <c r="U950" s="10"/>
    </row>
    <row r="951" spans="1:21" s="126" customFormat="1" x14ac:dyDescent="0.55000000000000004">
      <c r="A951" s="117"/>
      <c r="B951"/>
      <c r="C951" s="124"/>
      <c r="D951" s="121"/>
      <c r="E951" s="122"/>
      <c r="F951" s="122"/>
      <c r="G951" s="122"/>
      <c r="H951" s="122"/>
      <c r="I951" s="122"/>
      <c r="J951" s="122"/>
      <c r="K951" s="122"/>
      <c r="L951" s="122"/>
      <c r="M951" s="122"/>
      <c r="N951" s="122"/>
      <c r="O951" s="122"/>
      <c r="P951" s="122"/>
      <c r="Q951" s="122"/>
      <c r="R951" s="122"/>
      <c r="S951" s="123"/>
      <c r="T951" s="125"/>
      <c r="U951" s="10"/>
    </row>
    <row r="952" spans="1:21" s="126" customFormat="1" x14ac:dyDescent="0.55000000000000004">
      <c r="A952" s="117"/>
      <c r="B952"/>
      <c r="C952" s="124"/>
      <c r="D952" s="124"/>
      <c r="E952"/>
      <c r="F952" s="1" t="s">
        <v>85</v>
      </c>
      <c r="G952"/>
      <c r="H952"/>
      <c r="I952"/>
      <c r="J952"/>
      <c r="K952"/>
      <c r="L952"/>
      <c r="M952"/>
      <c r="N952"/>
      <c r="O952"/>
      <c r="P952"/>
      <c r="Q952"/>
      <c r="R952"/>
      <c r="S952" s="125"/>
      <c r="T952" s="125"/>
      <c r="U952" s="10"/>
    </row>
    <row r="953" spans="1:21" s="126" customFormat="1" x14ac:dyDescent="0.55000000000000004">
      <c r="A953" s="117"/>
      <c r="B953"/>
      <c r="C953" s="124"/>
      <c r="D953" s="124"/>
      <c r="E953"/>
      <c r="F953" s="120" t="s">
        <v>555</v>
      </c>
      <c r="G953"/>
      <c r="H953"/>
      <c r="I953"/>
      <c r="J953"/>
      <c r="K953"/>
      <c r="L953"/>
      <c r="M953"/>
      <c r="N953"/>
      <c r="O953"/>
      <c r="P953"/>
      <c r="Q953"/>
      <c r="R953"/>
      <c r="S953" s="125"/>
      <c r="T953" s="125"/>
      <c r="U953" s="10"/>
    </row>
    <row r="954" spans="1:21" s="126" customFormat="1" x14ac:dyDescent="0.55000000000000004">
      <c r="A954" s="117"/>
      <c r="B954"/>
      <c r="C954" s="124"/>
      <c r="D954" s="124"/>
      <c r="E954"/>
      <c r="F954"/>
      <c r="G954"/>
      <c r="H954"/>
      <c r="I954"/>
      <c r="J954"/>
      <c r="K954"/>
      <c r="L954"/>
      <c r="M954"/>
      <c r="N954"/>
      <c r="O954"/>
      <c r="P954"/>
      <c r="Q954"/>
      <c r="R954"/>
      <c r="S954" s="125"/>
      <c r="T954" s="125"/>
      <c r="U954" s="10"/>
    </row>
    <row r="955" spans="1:21" s="126" customFormat="1" ht="43.2" x14ac:dyDescent="0.55000000000000004">
      <c r="A955" s="117"/>
      <c r="B955"/>
      <c r="C955" s="124"/>
      <c r="D955" s="124"/>
      <c r="E955"/>
      <c r="F955"/>
      <c r="G955" s="56" t="s">
        <v>86</v>
      </c>
      <c r="H955" s="56" t="s">
        <v>73</v>
      </c>
      <c r="I955" s="56" t="s">
        <v>87</v>
      </c>
      <c r="J955" s="56" t="s">
        <v>75</v>
      </c>
      <c r="K955" s="56" t="s">
        <v>76</v>
      </c>
      <c r="L955"/>
      <c r="M955"/>
      <c r="N955"/>
      <c r="O955"/>
      <c r="P955"/>
      <c r="Q955"/>
      <c r="R955"/>
      <c r="S955" s="125"/>
      <c r="T955" s="125"/>
      <c r="U955" s="10"/>
    </row>
    <row r="956" spans="1:21" s="126" customFormat="1" x14ac:dyDescent="0.55000000000000004">
      <c r="A956" s="117"/>
      <c r="B956"/>
      <c r="C956" s="124"/>
      <c r="D956" s="124"/>
      <c r="E956"/>
      <c r="F956">
        <f>F948</f>
        <v>0</v>
      </c>
      <c r="G956" s="26">
        <f ca="1">SUM(I948,K948)</f>
        <v>0</v>
      </c>
      <c r="H956" s="64">
        <f ca="1">IFERROR(G956/G948,0)/12</f>
        <v>0</v>
      </c>
      <c r="I956" s="84"/>
      <c r="J956" s="26">
        <f>I956*G948*12</f>
        <v>0</v>
      </c>
      <c r="K956" s="21">
        <f>J956/12</f>
        <v>0</v>
      </c>
      <c r="L956"/>
      <c r="M956"/>
      <c r="N956"/>
      <c r="O956"/>
      <c r="P956"/>
      <c r="Q956"/>
      <c r="R956"/>
      <c r="S956" s="125"/>
      <c r="T956" s="125"/>
      <c r="U956" s="10"/>
    </row>
    <row r="957" spans="1:21" s="126" customFormat="1" x14ac:dyDescent="0.55000000000000004">
      <c r="A957" s="117"/>
      <c r="B957"/>
      <c r="C957" s="124"/>
      <c r="D957" s="124"/>
      <c r="E957" s="133"/>
      <c r="F957" s="58" t="str">
        <f>IF(I956&gt;I946,"Error: revenue from fixed charges exceeds total revenue required from tariff. Reduce fixed charge.","")</f>
        <v/>
      </c>
      <c r="G957" s="58" t="str">
        <f ca="1">IF(J956&gt;L948,"Error: revenue from fixed charges exceeds total revenue required from tariff. Reduce fixed charge.","")</f>
        <v/>
      </c>
      <c r="H957" s="134"/>
      <c r="I957" s="134"/>
      <c r="J957" s="135"/>
      <c r="K957"/>
      <c r="L957"/>
      <c r="M957"/>
      <c r="N957"/>
      <c r="O957"/>
      <c r="P957"/>
      <c r="Q957"/>
      <c r="R957"/>
      <c r="S957" s="125"/>
      <c r="T957" s="125"/>
      <c r="U957" s="10"/>
    </row>
    <row r="958" spans="1:21" s="126" customFormat="1" ht="14.7" thickBot="1" x14ac:dyDescent="0.6">
      <c r="A958" s="117"/>
      <c r="B958"/>
      <c r="C958" s="124"/>
      <c r="D958" s="130"/>
      <c r="E958" s="131"/>
      <c r="F958" s="131"/>
      <c r="G958" s="131"/>
      <c r="H958" s="131"/>
      <c r="I958" s="131"/>
      <c r="J958" s="131"/>
      <c r="K958" s="131"/>
      <c r="L958" s="131"/>
      <c r="M958" s="131"/>
      <c r="N958" s="131"/>
      <c r="O958" s="131"/>
      <c r="P958" s="131"/>
      <c r="Q958" s="131"/>
      <c r="R958" s="131"/>
      <c r="S958" s="132"/>
      <c r="T958" s="125"/>
      <c r="U958" s="10"/>
    </row>
    <row r="959" spans="1:21" s="126" customFormat="1" ht="14.7" thickBot="1" x14ac:dyDescent="0.6">
      <c r="A959" s="117"/>
      <c r="B959"/>
      <c r="C959" s="124"/>
      <c r="D959"/>
      <c r="E959"/>
      <c r="F959"/>
      <c r="G959"/>
      <c r="H959"/>
      <c r="I959"/>
      <c r="J959"/>
      <c r="K959"/>
      <c r="L959"/>
      <c r="M959"/>
      <c r="N959"/>
      <c r="O959"/>
      <c r="P959"/>
      <c r="Q959"/>
      <c r="R959"/>
      <c r="S959"/>
      <c r="T959" s="125"/>
      <c r="U959" s="10"/>
    </row>
    <row r="960" spans="1:21" s="126" customFormat="1" x14ac:dyDescent="0.55000000000000004">
      <c r="A960" s="117"/>
      <c r="B960"/>
      <c r="C960" s="124"/>
      <c r="D960" s="121"/>
      <c r="E960" s="122"/>
      <c r="F960" s="122"/>
      <c r="G960" s="122"/>
      <c r="H960" s="122"/>
      <c r="I960" s="122"/>
      <c r="J960" s="122"/>
      <c r="K960" s="122"/>
      <c r="L960" s="122"/>
      <c r="M960" s="122"/>
      <c r="N960" s="122"/>
      <c r="O960" s="122"/>
      <c r="P960" s="122"/>
      <c r="Q960" s="122"/>
      <c r="R960" s="122"/>
      <c r="S960" s="123"/>
      <c r="T960" s="125"/>
      <c r="U960" s="10"/>
    </row>
    <row r="961" spans="1:24" s="126" customFormat="1" x14ac:dyDescent="0.55000000000000004">
      <c r="A961" s="117"/>
      <c r="B961"/>
      <c r="C961" s="124"/>
      <c r="D961" s="124"/>
      <c r="E961"/>
      <c r="F961" s="1" t="s">
        <v>96</v>
      </c>
      <c r="G961"/>
      <c r="H961"/>
      <c r="I961"/>
      <c r="J961"/>
      <c r="K961"/>
      <c r="L961"/>
      <c r="M961"/>
      <c r="N961"/>
      <c r="O961"/>
      <c r="P961"/>
      <c r="Q961"/>
      <c r="R961"/>
      <c r="S961" s="125"/>
      <c r="T961" s="125"/>
      <c r="U961" s="10"/>
    </row>
    <row r="962" spans="1:24" s="126" customFormat="1" ht="14.55" customHeight="1" x14ac:dyDescent="0.55000000000000004">
      <c r="A962" s="117"/>
      <c r="B962"/>
      <c r="C962" s="124"/>
      <c r="D962" s="124"/>
      <c r="E962"/>
      <c r="F962" s="1804" t="s">
        <v>560</v>
      </c>
      <c r="G962" s="1804"/>
      <c r="H962" s="1804"/>
      <c r="I962" s="1804"/>
      <c r="J962" s="1804"/>
      <c r="K962" s="1804"/>
      <c r="L962" s="1804"/>
      <c r="M962" s="1804"/>
      <c r="N962" s="1804"/>
      <c r="O962" s="1804"/>
      <c r="P962" s="1804"/>
      <c r="Q962" s="119"/>
      <c r="R962"/>
      <c r="S962" s="125"/>
      <c r="T962" s="125"/>
      <c r="U962" s="10"/>
    </row>
    <row r="963" spans="1:24" s="126" customFormat="1" x14ac:dyDescent="0.55000000000000004">
      <c r="A963" s="117"/>
      <c r="B963"/>
      <c r="C963" s="124"/>
      <c r="D963" s="124"/>
      <c r="E963"/>
      <c r="F963" s="119"/>
      <c r="G963" s="119"/>
      <c r="H963" s="119"/>
      <c r="I963" s="119"/>
      <c r="J963" s="119"/>
      <c r="K963" s="119"/>
      <c r="L963" s="119"/>
      <c r="M963" s="119"/>
      <c r="N963" s="119"/>
      <c r="O963" s="119"/>
      <c r="P963" s="119"/>
      <c r="Q963" s="119"/>
      <c r="R963"/>
      <c r="S963" s="125"/>
      <c r="T963" s="125"/>
      <c r="U963" s="10"/>
    </row>
    <row r="964" spans="1:24" s="126" customFormat="1" x14ac:dyDescent="0.55000000000000004">
      <c r="A964" s="117"/>
      <c r="B964"/>
      <c r="C964" s="124"/>
      <c r="D964" s="124"/>
      <c r="E964"/>
      <c r="F964" s="1" t="s">
        <v>348</v>
      </c>
      <c r="G964" s="80" t="s">
        <v>90</v>
      </c>
      <c r="H964" s="119"/>
      <c r="I964" s="119"/>
      <c r="J964" s="119"/>
      <c r="K964" s="119"/>
      <c r="L964" s="119"/>
      <c r="M964" s="119"/>
      <c r="N964" s="119"/>
      <c r="O964" s="119"/>
      <c r="P964" s="119"/>
      <c r="Q964" s="119"/>
      <c r="R964"/>
      <c r="S964" s="125"/>
      <c r="T964" s="125"/>
      <c r="U964" s="10"/>
      <c r="V964" s="126" t="s">
        <v>89</v>
      </c>
    </row>
    <row r="965" spans="1:24" s="126" customFormat="1" ht="14.7" thickBot="1" x14ac:dyDescent="0.6">
      <c r="A965" s="117"/>
      <c r="B965"/>
      <c r="C965" s="124"/>
      <c r="D965" s="124"/>
      <c r="E965"/>
      <c r="F965"/>
      <c r="G965" s="134"/>
      <c r="H965" s="119"/>
      <c r="I965" s="119"/>
      <c r="J965" s="119"/>
      <c r="K965" s="119"/>
      <c r="L965" s="119"/>
      <c r="M965" s="119"/>
      <c r="N965" s="119"/>
      <c r="O965" s="119"/>
      <c r="P965" s="119"/>
      <c r="Q965" s="119"/>
      <c r="R965"/>
      <c r="S965" s="125"/>
      <c r="T965" s="125"/>
      <c r="U965" s="10"/>
      <c r="V965" s="126" t="s">
        <v>90</v>
      </c>
    </row>
    <row r="966" spans="1:24" s="126" customFormat="1" x14ac:dyDescent="0.55000000000000004">
      <c r="A966" s="117"/>
      <c r="B966"/>
      <c r="C966" s="124"/>
      <c r="D966" s="124"/>
      <c r="E966" s="121"/>
      <c r="F966" s="122"/>
      <c r="G966" s="122"/>
      <c r="H966" s="122"/>
      <c r="I966" s="122"/>
      <c r="J966" s="122"/>
      <c r="K966" s="122"/>
      <c r="L966" s="122"/>
      <c r="M966" s="122"/>
      <c r="N966" s="122"/>
      <c r="O966" s="122"/>
      <c r="P966" s="122"/>
      <c r="Q966" s="122"/>
      <c r="R966" s="123"/>
      <c r="S966" s="125"/>
      <c r="T966" s="125"/>
      <c r="U966" s="10"/>
    </row>
    <row r="967" spans="1:24" s="126" customFormat="1" x14ac:dyDescent="0.55000000000000004">
      <c r="A967" s="117"/>
      <c r="B967"/>
      <c r="C967" s="124"/>
      <c r="D967" s="124"/>
      <c r="E967" s="124"/>
      <c r="F967" s="1" t="s">
        <v>343</v>
      </c>
      <c r="G967" s="163"/>
      <c r="H967"/>
      <c r="I967"/>
      <c r="J967"/>
      <c r="K967"/>
      <c r="L967"/>
      <c r="M967"/>
      <c r="N967"/>
      <c r="O967"/>
      <c r="P967"/>
      <c r="Q967"/>
      <c r="R967" s="125"/>
      <c r="S967" s="125"/>
      <c r="T967" s="125"/>
      <c r="U967" s="10"/>
    </row>
    <row r="968" spans="1:24" s="126" customFormat="1" ht="14.55" customHeight="1" x14ac:dyDescent="0.55000000000000004">
      <c r="A968" s="117"/>
      <c r="B968"/>
      <c r="C968" s="124"/>
      <c r="D968" s="124"/>
      <c r="E968" s="124"/>
      <c r="F968" s="1804" t="s">
        <v>561</v>
      </c>
      <c r="G968" s="1804"/>
      <c r="H968" s="1804"/>
      <c r="I968" s="1804"/>
      <c r="J968" s="1804"/>
      <c r="K968" s="1804"/>
      <c r="L968" s="1804"/>
      <c r="M968" s="1804"/>
      <c r="N968" s="1804"/>
      <c r="O968" s="1804"/>
      <c r="P968" s="1804"/>
      <c r="Q968" s="1804"/>
      <c r="R968" s="125"/>
      <c r="S968" s="125"/>
      <c r="T968" s="125"/>
      <c r="U968" s="10"/>
    </row>
    <row r="969" spans="1:24" s="126" customFormat="1" x14ac:dyDescent="0.55000000000000004">
      <c r="A969" s="117"/>
      <c r="B969"/>
      <c r="C969" s="124"/>
      <c r="D969" s="124"/>
      <c r="E969" s="124"/>
      <c r="F969" s="1804"/>
      <c r="G969" s="1804"/>
      <c r="H969" s="1804"/>
      <c r="I969" s="1804"/>
      <c r="J969" s="1804"/>
      <c r="K969" s="1804"/>
      <c r="L969" s="1804"/>
      <c r="M969" s="1804"/>
      <c r="N969" s="1804"/>
      <c r="O969" s="1804"/>
      <c r="P969" s="1804"/>
      <c r="Q969" s="1804"/>
      <c r="R969" s="125"/>
      <c r="S969" s="125"/>
      <c r="T969" s="125"/>
      <c r="U969" s="10"/>
    </row>
    <row r="970" spans="1:24" s="126" customFormat="1" x14ac:dyDescent="0.55000000000000004">
      <c r="A970" s="117"/>
      <c r="B970"/>
      <c r="C970" s="124"/>
      <c r="D970" s="124"/>
      <c r="E970" s="124"/>
      <c r="F970" s="1"/>
      <c r="G970" s="163"/>
      <c r="H970"/>
      <c r="I970"/>
      <c r="J970"/>
      <c r="K970"/>
      <c r="L970"/>
      <c r="M970"/>
      <c r="N970"/>
      <c r="O970"/>
      <c r="P970"/>
      <c r="Q970"/>
      <c r="R970" s="125"/>
      <c r="S970" s="125"/>
      <c r="T970" s="125"/>
      <c r="U970" s="10"/>
    </row>
    <row r="971" spans="1:24" s="126" customFormat="1" x14ac:dyDescent="0.55000000000000004">
      <c r="A971" s="117"/>
      <c r="B971"/>
      <c r="C971" s="124"/>
      <c r="D971" s="124"/>
      <c r="E971" s="124"/>
      <c r="F971" s="164" t="s">
        <v>88</v>
      </c>
      <c r="G971" s="10"/>
      <c r="H971"/>
      <c r="I971" s="50">
        <v>5</v>
      </c>
      <c r="J971"/>
      <c r="K971"/>
      <c r="L971"/>
      <c r="M971"/>
      <c r="N971"/>
      <c r="O971"/>
      <c r="P971"/>
      <c r="Q971"/>
      <c r="R971" s="125"/>
      <c r="S971" s="125"/>
      <c r="T971" s="125"/>
      <c r="U971" s="10"/>
    </row>
    <row r="972" spans="1:24" s="126" customFormat="1" x14ac:dyDescent="0.55000000000000004">
      <c r="A972" s="117"/>
      <c r="B972"/>
      <c r="C972" s="124"/>
      <c r="D972" s="124"/>
      <c r="E972" s="124"/>
      <c r="F972" s="10" t="s">
        <v>612</v>
      </c>
      <c r="H972"/>
      <c r="I972" s="159" t="s">
        <v>578</v>
      </c>
      <c r="J972"/>
      <c r="K972"/>
      <c r="L972"/>
      <c r="M972"/>
      <c r="N972"/>
      <c r="O972"/>
      <c r="P972"/>
      <c r="Q972"/>
      <c r="R972" s="125"/>
      <c r="S972" s="125"/>
      <c r="T972" s="125"/>
      <c r="U972" s="10"/>
    </row>
    <row r="973" spans="1:24" s="126" customFormat="1" x14ac:dyDescent="0.55000000000000004">
      <c r="A973" s="117"/>
      <c r="B973"/>
      <c r="C973" s="124"/>
      <c r="D973" s="124"/>
      <c r="E973" s="124"/>
      <c r="F973"/>
      <c r="G973"/>
      <c r="H973"/>
      <c r="I973"/>
      <c r="J973"/>
      <c r="K973"/>
      <c r="L973"/>
      <c r="M973"/>
      <c r="N973"/>
      <c r="O973"/>
      <c r="P973"/>
      <c r="Q973"/>
      <c r="R973" s="125"/>
      <c r="S973" s="125"/>
      <c r="T973" s="125"/>
      <c r="U973" s="10"/>
    </row>
    <row r="974" spans="1:24" s="126" customFormat="1" ht="57.6" x14ac:dyDescent="0.55000000000000004">
      <c r="A974" s="117"/>
      <c r="B974"/>
      <c r="C974" s="124"/>
      <c r="D974" s="124"/>
      <c r="E974" s="124"/>
      <c r="F974" s="56" t="s">
        <v>91</v>
      </c>
      <c r="G974" s="56" t="s">
        <v>92</v>
      </c>
      <c r="H974" s="129" t="s">
        <v>80</v>
      </c>
      <c r="I974" s="56" t="s">
        <v>340</v>
      </c>
      <c r="J974" s="56" t="s">
        <v>356</v>
      </c>
      <c r="K974" s="165" t="s">
        <v>349</v>
      </c>
      <c r="L974" s="166" t="s">
        <v>350</v>
      </c>
      <c r="M974" s="162"/>
      <c r="N974" s="162"/>
      <c r="O974" s="162"/>
      <c r="P974" s="162"/>
      <c r="Q974" s="162"/>
      <c r="R974" s="167"/>
      <c r="S974" s="167"/>
      <c r="T974" s="167"/>
      <c r="U974" s="10"/>
      <c r="V974" s="168" t="s">
        <v>621</v>
      </c>
      <c r="W974" s="168" t="s">
        <v>622</v>
      </c>
    </row>
    <row r="975" spans="1:24" s="126" customFormat="1" x14ac:dyDescent="0.55000000000000004">
      <c r="A975" s="117"/>
      <c r="B975"/>
      <c r="C975" s="124"/>
      <c r="D975" s="124"/>
      <c r="E975" s="124"/>
      <c r="F975" s="89">
        <f>IF($I$971=X975,X975,1)</f>
        <v>1</v>
      </c>
      <c r="G975" s="91">
        <v>0</v>
      </c>
      <c r="H975" s="50"/>
      <c r="I975" s="169"/>
      <c r="J975" s="21">
        <f>IF(G964=V964,H948-SUMIF(F976:F979,"&lt;="&amp;$I$971,J976:J979),0)</f>
        <v>0</v>
      </c>
      <c r="K975" s="114">
        <f>IFERROR(IF(G964=V964,IF(F975&lt;=I971,IF(I972="No",IF(J956=0,L948/SUMPRODUCT(V975:V979,J975:J979),(L948-J956)/SUMPRODUCT(V975:V979,J975:J979)),0),0),0),0)</f>
        <v>0</v>
      </c>
      <c r="L975" s="31">
        <f>J975*K975</f>
        <v>0</v>
      </c>
      <c r="M975" s="170"/>
      <c r="N975" s="135"/>
      <c r="O975" s="171"/>
      <c r="P975"/>
      <c r="Q975"/>
      <c r="R975" s="125"/>
      <c r="S975" s="125"/>
      <c r="T975" s="125"/>
      <c r="U975" s="10"/>
      <c r="V975" s="96">
        <f>IF(F975&lt;=$I$971,1,0)</f>
        <v>1</v>
      </c>
      <c r="X975" s="126">
        <v>1</v>
      </c>
    </row>
    <row r="976" spans="1:24" s="126" customFormat="1" x14ac:dyDescent="0.55000000000000004">
      <c r="A976" s="117"/>
      <c r="B976"/>
      <c r="C976" s="124"/>
      <c r="D976" s="124"/>
      <c r="E976" s="124"/>
      <c r="F976" s="89">
        <f>IF($I$971&gt;=X976,X976,"")</f>
        <v>2</v>
      </c>
      <c r="G976" s="91">
        <f>IF($I$971&gt;=F976,H975+0.01,"")</f>
        <v>0.01</v>
      </c>
      <c r="H976" s="50"/>
      <c r="I976" s="61"/>
      <c r="J976" s="13"/>
      <c r="K976" s="114">
        <f>IFERROR(IF(F976&lt;=I971,IF(I972="No",K975*(1+I976),IF(J956=0,L948/SUMPRODUCT(W976:W979,J976:J979),(L948-J956)/SUMPRODUCT(W976:W979,J976:J979))),0),0)</f>
        <v>0</v>
      </c>
      <c r="L976" s="31">
        <f>J976*K976</f>
        <v>0</v>
      </c>
      <c r="M976" s="170"/>
      <c r="N976" s="135"/>
      <c r="O976" s="171"/>
      <c r="P976"/>
      <c r="Q976"/>
      <c r="R976" s="125"/>
      <c r="S976" s="125"/>
      <c r="T976" s="125"/>
      <c r="U976" s="10"/>
      <c r="V976" s="96">
        <f>IF(F976&lt;=$I$971,(1+I976),0)</f>
        <v>1</v>
      </c>
      <c r="W976" s="92">
        <f>IF(F976&lt;=I971,1,0)</f>
        <v>1</v>
      </c>
      <c r="X976" s="126">
        <v>2</v>
      </c>
    </row>
    <row r="977" spans="1:24" s="126" customFormat="1" x14ac:dyDescent="0.55000000000000004">
      <c r="A977" s="117"/>
      <c r="B977"/>
      <c r="C977" s="124"/>
      <c r="D977" s="124"/>
      <c r="E977" s="124"/>
      <c r="F977" s="89">
        <f>IF($I$971&gt;=X977,X977,"")</f>
        <v>3</v>
      </c>
      <c r="G977" s="91">
        <f>IF($I$971&gt;=F977,H976+0.01,"")</f>
        <v>0.01</v>
      </c>
      <c r="H977" s="50"/>
      <c r="I977" s="61"/>
      <c r="J977" s="13"/>
      <c r="K977" s="95">
        <f>IF(F977&lt;=$I$971,K976*(1+I977),0)</f>
        <v>0</v>
      </c>
      <c r="L977" s="31">
        <f>J977*K977</f>
        <v>0</v>
      </c>
      <c r="M977" s="170"/>
      <c r="N977" s="135"/>
      <c r="O977" s="171"/>
      <c r="P977"/>
      <c r="Q977"/>
      <c r="R977" s="125"/>
      <c r="S977" s="125"/>
      <c r="T977" s="125"/>
      <c r="U977" s="10"/>
      <c r="V977" s="96">
        <f>IF(F977&lt;=$I$971,V976*(1+I977),0)</f>
        <v>1</v>
      </c>
      <c r="W977" s="92">
        <f>IF(F977&lt;=I971,W976*(1+I977),0)</f>
        <v>1</v>
      </c>
      <c r="X977" s="126">
        <v>3</v>
      </c>
    </row>
    <row r="978" spans="1:24" s="126" customFormat="1" x14ac:dyDescent="0.55000000000000004">
      <c r="A978" s="117"/>
      <c r="B978"/>
      <c r="C978" s="124"/>
      <c r="D978" s="124"/>
      <c r="E978" s="124"/>
      <c r="F978" s="89">
        <f>IF($I$971&gt;=X978,X978,"")</f>
        <v>4</v>
      </c>
      <c r="G978" s="91">
        <f>IF($I$971&gt;=F978,H977+0.01,"")</f>
        <v>0.01</v>
      </c>
      <c r="H978" s="50"/>
      <c r="I978" s="61"/>
      <c r="J978" s="13"/>
      <c r="K978" s="95">
        <f>IF(F978&lt;=$I$971,K977*(1+I978),0)</f>
        <v>0</v>
      </c>
      <c r="L978" s="31">
        <f>J978*K978</f>
        <v>0</v>
      </c>
      <c r="M978" s="170"/>
      <c r="N978" s="135"/>
      <c r="O978" s="171"/>
      <c r="P978"/>
      <c r="Q978"/>
      <c r="R978" s="125"/>
      <c r="S978" s="125"/>
      <c r="T978" s="125"/>
      <c r="U978" s="10"/>
      <c r="V978" s="96">
        <f>IF(F978&lt;=$I$971,V977*(1+I978),0)</f>
        <v>1</v>
      </c>
      <c r="W978" s="92">
        <f>IF(F978&lt;=I971,W977*(1+I978),0)</f>
        <v>1</v>
      </c>
      <c r="X978" s="126">
        <v>4</v>
      </c>
    </row>
    <row r="979" spans="1:24" s="126" customFormat="1" x14ac:dyDescent="0.55000000000000004">
      <c r="A979" s="117"/>
      <c r="B979"/>
      <c r="C979" s="124"/>
      <c r="D979" s="124"/>
      <c r="E979" s="124"/>
      <c r="F979" s="89">
        <f>IF($I$971&gt;=X979,X979,"")</f>
        <v>5</v>
      </c>
      <c r="G979" s="91">
        <f>IF($I$971&gt;=F979,H978+0.01,"")</f>
        <v>0.01</v>
      </c>
      <c r="H979" s="89" t="s">
        <v>84</v>
      </c>
      <c r="I979" s="61"/>
      <c r="J979" s="13"/>
      <c r="K979" s="95">
        <f>IF(F979&lt;=$I$971,K978*(1+I979),0)</f>
        <v>0</v>
      </c>
      <c r="L979" s="31">
        <f>J979*K979</f>
        <v>0</v>
      </c>
      <c r="M979" s="170"/>
      <c r="N979" s="135"/>
      <c r="O979" s="171"/>
      <c r="P979"/>
      <c r="Q979"/>
      <c r="R979" s="125"/>
      <c r="S979" s="125"/>
      <c r="T979" s="125"/>
      <c r="U979" s="10"/>
      <c r="V979" s="96">
        <f>IF(F979&lt;=$I$971,V978*(1+I979),0)</f>
        <v>1</v>
      </c>
      <c r="W979" s="92">
        <f>IF(F979&lt;=I971,W978*(1+I979),0)</f>
        <v>1</v>
      </c>
      <c r="X979" s="126">
        <v>5</v>
      </c>
    </row>
    <row r="980" spans="1:24" s="126" customFormat="1" ht="14.7" thickBot="1" x14ac:dyDescent="0.6">
      <c r="A980" s="117"/>
      <c r="B980"/>
      <c r="C980" s="124"/>
      <c r="D980" s="124"/>
      <c r="E980" s="130"/>
      <c r="F980" s="149"/>
      <c r="G980" s="150"/>
      <c r="H980" s="149"/>
      <c r="I980" s="172"/>
      <c r="J980" s="173"/>
      <c r="K980" s="173"/>
      <c r="L980" s="173"/>
      <c r="M980" s="174"/>
      <c r="N980" s="152"/>
      <c r="O980" s="175"/>
      <c r="P980" s="131"/>
      <c r="Q980" s="131"/>
      <c r="R980" s="132"/>
      <c r="S980" s="125"/>
      <c r="T980" s="125"/>
      <c r="U980" s="10"/>
    </row>
    <row r="981" spans="1:24" s="126" customFormat="1" ht="14.7" thickBot="1" x14ac:dyDescent="0.6">
      <c r="A981" s="117"/>
      <c r="B981"/>
      <c r="C981" s="124"/>
      <c r="D981" s="124"/>
      <c r="E981"/>
      <c r="F981" s="163"/>
      <c r="G981" s="176"/>
      <c r="H981" s="163"/>
      <c r="I981" s="177"/>
      <c r="J981" s="178"/>
      <c r="K981" s="178"/>
      <c r="L981" s="178"/>
      <c r="M981" s="170"/>
      <c r="N981" s="135"/>
      <c r="O981" s="171"/>
      <c r="P981"/>
      <c r="Q981"/>
      <c r="R981"/>
      <c r="S981" s="125"/>
      <c r="T981" s="125"/>
      <c r="U981" s="10"/>
    </row>
    <row r="982" spans="1:24" s="126" customFormat="1" x14ac:dyDescent="0.55000000000000004">
      <c r="A982" s="117"/>
      <c r="B982"/>
      <c r="C982" s="124"/>
      <c r="D982" s="124"/>
      <c r="E982" s="121"/>
      <c r="F982" s="179"/>
      <c r="G982" s="180"/>
      <c r="H982" s="179"/>
      <c r="I982" s="181"/>
      <c r="J982" s="182"/>
      <c r="K982" s="182"/>
      <c r="L982" s="182"/>
      <c r="M982" s="183"/>
      <c r="N982" s="184"/>
      <c r="O982" s="185"/>
      <c r="P982" s="122"/>
      <c r="Q982" s="122"/>
      <c r="R982" s="123"/>
      <c r="S982" s="125"/>
      <c r="T982" s="125"/>
      <c r="U982" s="10"/>
    </row>
    <row r="983" spans="1:24" s="126" customFormat="1" x14ac:dyDescent="0.55000000000000004">
      <c r="A983" s="117"/>
      <c r="B983"/>
      <c r="C983" s="124"/>
      <c r="D983" s="124"/>
      <c r="E983" s="124"/>
      <c r="F983" s="186" t="s">
        <v>344</v>
      </c>
      <c r="G983" s="176"/>
      <c r="H983" s="163"/>
      <c r="I983" s="177"/>
      <c r="J983" s="178"/>
      <c r="K983" s="178"/>
      <c r="L983" s="178"/>
      <c r="M983" s="170"/>
      <c r="N983" s="135"/>
      <c r="O983" s="187"/>
      <c r="P983"/>
      <c r="Q983"/>
      <c r="R983" s="125"/>
      <c r="S983" s="125"/>
      <c r="T983" s="125"/>
      <c r="U983" s="10"/>
    </row>
    <row r="984" spans="1:24" s="126" customFormat="1" ht="14.55" customHeight="1" x14ac:dyDescent="0.55000000000000004">
      <c r="A984" s="117"/>
      <c r="B984"/>
      <c r="C984" s="124"/>
      <c r="D984" s="124"/>
      <c r="E984" s="124"/>
      <c r="F984" s="1804" t="s">
        <v>562</v>
      </c>
      <c r="G984" s="1804"/>
      <c r="H984" s="1804"/>
      <c r="I984" s="1804"/>
      <c r="J984" s="1804"/>
      <c r="K984" s="1804"/>
      <c r="L984" s="1804"/>
      <c r="M984" s="1804"/>
      <c r="N984" s="1804"/>
      <c r="O984" s="1804"/>
      <c r="P984" s="1804"/>
      <c r="Q984" s="1804"/>
      <c r="R984" s="125"/>
      <c r="S984" s="125"/>
      <c r="T984" s="125"/>
      <c r="U984" s="10"/>
    </row>
    <row r="985" spans="1:24" s="126" customFormat="1" x14ac:dyDescent="0.55000000000000004">
      <c r="A985" s="117"/>
      <c r="B985"/>
      <c r="C985" s="124"/>
      <c r="D985" s="124"/>
      <c r="E985" s="124"/>
      <c r="F985" s="1804"/>
      <c r="G985" s="1804"/>
      <c r="H985" s="1804"/>
      <c r="I985" s="1804"/>
      <c r="J985" s="1804"/>
      <c r="K985" s="1804"/>
      <c r="L985" s="1804"/>
      <c r="M985" s="1804"/>
      <c r="N985" s="1804"/>
      <c r="O985" s="1804"/>
      <c r="P985" s="1804"/>
      <c r="Q985" s="1804"/>
      <c r="R985" s="125"/>
      <c r="S985" s="125"/>
      <c r="T985" s="125"/>
      <c r="U985" s="10"/>
    </row>
    <row r="986" spans="1:24" s="126" customFormat="1" x14ac:dyDescent="0.55000000000000004">
      <c r="A986" s="117"/>
      <c r="B986"/>
      <c r="C986" s="124"/>
      <c r="D986" s="124"/>
      <c r="E986" s="124"/>
      <c r="F986" s="186"/>
      <c r="G986" s="176"/>
      <c r="H986" s="163"/>
      <c r="I986" s="177"/>
      <c r="J986" s="178"/>
      <c r="K986" s="178"/>
      <c r="L986" s="178"/>
      <c r="M986" s="170"/>
      <c r="N986" s="135"/>
      <c r="O986" s="187"/>
      <c r="P986"/>
      <c r="Q986"/>
      <c r="R986" s="125"/>
      <c r="S986" s="125"/>
      <c r="T986" s="125"/>
      <c r="U986" s="10"/>
    </row>
    <row r="987" spans="1:24" s="126" customFormat="1" x14ac:dyDescent="0.55000000000000004">
      <c r="A987" s="117"/>
      <c r="B987"/>
      <c r="C987" s="124"/>
      <c r="D987" s="124"/>
      <c r="E987" s="124"/>
      <c r="F987" s="164" t="s">
        <v>88</v>
      </c>
      <c r="G987" s="10"/>
      <c r="H987" s="163"/>
      <c r="I987" s="50">
        <v>5</v>
      </c>
      <c r="J987" s="178"/>
      <c r="K987" s="178"/>
      <c r="L987" s="178"/>
      <c r="M987" s="170"/>
      <c r="N987" s="135"/>
      <c r="O987" s="187"/>
      <c r="P987"/>
      <c r="Q987"/>
      <c r="R987" s="125"/>
      <c r="S987" s="125"/>
      <c r="T987" s="125"/>
      <c r="U987" s="10"/>
    </row>
    <row r="988" spans="1:24" s="126" customFormat="1" x14ac:dyDescent="0.55000000000000004">
      <c r="A988" s="117"/>
      <c r="B988"/>
      <c r="C988" s="124"/>
      <c r="D988" s="124"/>
      <c r="E988" s="124"/>
      <c r="F988" t="s">
        <v>346</v>
      </c>
      <c r="G988" s="10"/>
      <c r="H988" s="163"/>
      <c r="I988" s="13"/>
      <c r="J988" s="178"/>
      <c r="K988" s="178"/>
      <c r="L988" s="178"/>
      <c r="M988" s="170"/>
      <c r="N988" s="135"/>
      <c r="O988" s="187"/>
      <c r="P988"/>
      <c r="Q988"/>
      <c r="R988" s="125"/>
      <c r="S988" s="125"/>
      <c r="T988" s="125"/>
      <c r="U988" s="10"/>
    </row>
    <row r="989" spans="1:24" s="126" customFormat="1" x14ac:dyDescent="0.55000000000000004">
      <c r="A989" s="117"/>
      <c r="B989"/>
      <c r="C989" s="124"/>
      <c r="D989" s="124"/>
      <c r="E989" s="124"/>
      <c r="F989" t="s">
        <v>347</v>
      </c>
      <c r="G989" s="10"/>
      <c r="H989" s="163"/>
      <c r="I989" s="13"/>
      <c r="J989" s="178"/>
      <c r="K989" s="178"/>
      <c r="L989" s="178"/>
      <c r="M989" s="170"/>
      <c r="N989" s="135"/>
      <c r="O989" s="187"/>
      <c r="P989"/>
      <c r="Q989"/>
      <c r="R989" s="125"/>
      <c r="S989" s="125"/>
      <c r="T989" s="125"/>
      <c r="U989" s="10"/>
    </row>
    <row r="990" spans="1:24" s="126" customFormat="1" x14ac:dyDescent="0.55000000000000004">
      <c r="A990" s="117"/>
      <c r="B990"/>
      <c r="C990" s="124"/>
      <c r="D990" s="124"/>
      <c r="E990" s="124"/>
      <c r="F990" t="s">
        <v>366</v>
      </c>
      <c r="G990" s="10"/>
      <c r="H990"/>
      <c r="I990" s="93"/>
      <c r="J990"/>
      <c r="K990" s="178"/>
      <c r="L990" s="178"/>
      <c r="M990" s="170"/>
      <c r="N990" s="135"/>
      <c r="O990" s="187"/>
      <c r="P990"/>
      <c r="Q990"/>
      <c r="R990" s="125"/>
      <c r="S990" s="125"/>
      <c r="T990" s="125"/>
      <c r="U990" s="10"/>
    </row>
    <row r="991" spans="1:24" s="126" customFormat="1" x14ac:dyDescent="0.55000000000000004">
      <c r="A991" s="117"/>
      <c r="B991"/>
      <c r="C991" s="124"/>
      <c r="D991" s="124"/>
      <c r="E991" s="124"/>
      <c r="F991" s="10" t="s">
        <v>612</v>
      </c>
      <c r="H991"/>
      <c r="I991" s="159" t="s">
        <v>578</v>
      </c>
      <c r="J991"/>
      <c r="K991" s="178"/>
      <c r="L991" s="178"/>
      <c r="M991" s="170"/>
      <c r="N991" s="135"/>
      <c r="O991" s="187"/>
      <c r="P991"/>
      <c r="Q991"/>
      <c r="R991" s="125"/>
      <c r="S991" s="125"/>
      <c r="T991" s="125"/>
      <c r="U991" s="10"/>
    </row>
    <row r="992" spans="1:24" s="126" customFormat="1" x14ac:dyDescent="0.55000000000000004">
      <c r="A992" s="117"/>
      <c r="B992"/>
      <c r="C992" s="124"/>
      <c r="D992" s="124"/>
      <c r="E992" s="124"/>
      <c r="F992"/>
      <c r="G992"/>
      <c r="H992"/>
      <c r="I992" s="188"/>
      <c r="J992"/>
      <c r="K992" s="178"/>
      <c r="L992" s="178"/>
      <c r="M992" s="170"/>
      <c r="N992" s="135"/>
      <c r="O992" s="187"/>
      <c r="P992"/>
      <c r="Q992"/>
      <c r="R992" s="125"/>
      <c r="S992" s="125"/>
      <c r="T992" s="125"/>
      <c r="U992" s="10"/>
    </row>
    <row r="993" spans="1:26" s="126" customFormat="1" ht="57.6" x14ac:dyDescent="0.55000000000000004">
      <c r="A993" s="117"/>
      <c r="B993"/>
      <c r="C993" s="124"/>
      <c r="D993" s="124"/>
      <c r="E993" s="124"/>
      <c r="F993" s="56" t="s">
        <v>91</v>
      </c>
      <c r="G993" s="56" t="s">
        <v>92</v>
      </c>
      <c r="H993" s="129" t="s">
        <v>80</v>
      </c>
      <c r="I993" s="56" t="s">
        <v>367</v>
      </c>
      <c r="J993" s="56" t="s">
        <v>368</v>
      </c>
      <c r="K993" s="56" t="s">
        <v>341</v>
      </c>
      <c r="L993" s="56" t="s">
        <v>342</v>
      </c>
      <c r="M993" s="166" t="s">
        <v>351</v>
      </c>
      <c r="N993" s="56" t="s">
        <v>352</v>
      </c>
      <c r="O993" s="56" t="s">
        <v>353</v>
      </c>
      <c r="P993" s="56" t="s">
        <v>354</v>
      </c>
      <c r="Q993" s="56" t="s">
        <v>355</v>
      </c>
      <c r="R993" s="125"/>
      <c r="S993" s="125"/>
      <c r="T993" s="125"/>
      <c r="U993" s="10"/>
      <c r="V993" s="189" t="s">
        <v>616</v>
      </c>
      <c r="W993" s="168" t="s">
        <v>617</v>
      </c>
      <c r="X993" s="189" t="s">
        <v>618</v>
      </c>
      <c r="Y993" s="168" t="s">
        <v>619</v>
      </c>
    </row>
    <row r="994" spans="1:26" s="126" customFormat="1" x14ac:dyDescent="0.55000000000000004">
      <c r="A994" s="117"/>
      <c r="B994"/>
      <c r="C994" s="124"/>
      <c r="D994" s="124"/>
      <c r="E994" s="124"/>
      <c r="F994" s="89">
        <f>IF($I$987=Z994,Z994,1)</f>
        <v>1</v>
      </c>
      <c r="G994" s="91">
        <v>0</v>
      </c>
      <c r="H994" s="50"/>
      <c r="I994" s="169"/>
      <c r="J994" s="63"/>
      <c r="K994" s="21">
        <f>I988-SUMIF(F995:F998,"&lt;="&amp;$I$987,K995:K998)</f>
        <v>0</v>
      </c>
      <c r="L994" s="31">
        <f>I989-SUMIF(F995:F998,"&lt;="&amp;$I$987,L995:L998)</f>
        <v>0</v>
      </c>
      <c r="M994" s="44">
        <f ca="1">IFERROR(IF(G964=V964,0,IF(F994&lt;=I987,IF(I991="No",(L948-J956)/(SUMPRODUCT(V994:V998,K994:K998)+SUMPRODUCT(W994:W998,L994:L998)),0)*I990,0)),0)</f>
        <v>0</v>
      </c>
      <c r="N994" s="44">
        <f ca="1">IFERROR(IF(G964=V964,0,IF(F994&lt;=I987,IF(I991="No",(L948-J956)/(SUMPRODUCT(V994:V998,K994:K998)+SUMPRODUCT(W994:W998,L994:L998)),0),0)),0)</f>
        <v>0</v>
      </c>
      <c r="O994" s="97" t="str">
        <f ca="1">IFERROR(M994/N994,"")</f>
        <v/>
      </c>
      <c r="P994" s="26">
        <f t="shared" ref="P994:Q998" ca="1" si="15">K994*M994</f>
        <v>0</v>
      </c>
      <c r="Q994" s="26">
        <f t="shared" ca="1" si="15"/>
        <v>0</v>
      </c>
      <c r="R994" s="125"/>
      <c r="S994" s="125"/>
      <c r="T994" s="125"/>
      <c r="U994" s="10"/>
      <c r="V994" s="92">
        <f>IF(F994&lt;=$I$987,1*$I$990,0)</f>
        <v>0</v>
      </c>
      <c r="W994" s="96">
        <f>IF(F994&lt;=$I$987,1,0)</f>
        <v>1</v>
      </c>
      <c r="X994" s="92"/>
      <c r="Y994" s="96"/>
      <c r="Z994" s="126">
        <v>1</v>
      </c>
    </row>
    <row r="995" spans="1:26" s="126" customFormat="1" x14ac:dyDescent="0.55000000000000004">
      <c r="A995" s="117"/>
      <c r="B995"/>
      <c r="C995" s="124"/>
      <c r="D995" s="124"/>
      <c r="E995" s="124"/>
      <c r="F995" s="89">
        <f>IF($I$987&gt;=Z995,Z995,"")</f>
        <v>2</v>
      </c>
      <c r="G995" s="91">
        <f>IF($I$987&gt;=F995,H994+0.01,"")</f>
        <v>0.01</v>
      </c>
      <c r="H995" s="50"/>
      <c r="I995" s="61"/>
      <c r="J995" s="61"/>
      <c r="K995" s="13"/>
      <c r="L995" s="13"/>
      <c r="M995" s="44">
        <f ca="1">IF(F995&lt;=I987,IF(I991="No",M994*(1+I995),N995*I990),0)</f>
        <v>0</v>
      </c>
      <c r="N995" s="44">
        <f ca="1">IF(F995&lt;=I987,IF(I991="No",N994*(1+J995),(L948-J956)/(I990*SUMPRODUCT(X995:X998,K995:K998)+SUMPRODUCT(Y995:Y998,L995:L998))),0)</f>
        <v>0</v>
      </c>
      <c r="O995" s="97" t="str">
        <f ca="1">IFERROR(M995/N995,"")</f>
        <v/>
      </c>
      <c r="P995" s="26">
        <f t="shared" ca="1" si="15"/>
        <v>0</v>
      </c>
      <c r="Q995" s="26">
        <f t="shared" ca="1" si="15"/>
        <v>0</v>
      </c>
      <c r="R995" s="125"/>
      <c r="S995" s="125"/>
      <c r="T995" s="125"/>
      <c r="U995" s="10"/>
      <c r="V995" s="92">
        <f>IF(F995&lt;=$I$987,V994*(1+I995),0)</f>
        <v>0</v>
      </c>
      <c r="W995" s="96">
        <f>IF(F995&lt;=$I$987,(1+J995),0)</f>
        <v>1</v>
      </c>
      <c r="X995" s="92">
        <v>1</v>
      </c>
      <c r="Y995" s="96">
        <f>IF(F995&lt;=I987,1,0)</f>
        <v>1</v>
      </c>
      <c r="Z995" s="126">
        <v>2</v>
      </c>
    </row>
    <row r="996" spans="1:26" s="126" customFormat="1" x14ac:dyDescent="0.55000000000000004">
      <c r="A996" s="117"/>
      <c r="B996"/>
      <c r="C996" s="124"/>
      <c r="D996" s="124"/>
      <c r="E996" s="124"/>
      <c r="F996" s="89">
        <f>IF($I$987&gt;=Z996,Z996,"")</f>
        <v>3</v>
      </c>
      <c r="G996" s="91">
        <f>IF($I$987&gt;=F996,H995+0.01,"")</f>
        <v>0.01</v>
      </c>
      <c r="H996" s="50"/>
      <c r="I996" s="61"/>
      <c r="J996" s="61"/>
      <c r="K996" s="13"/>
      <c r="L996" s="13"/>
      <c r="M996" s="36">
        <f ca="1">IF(F996&lt;=$I$987,M995*(1+I996),0)</f>
        <v>0</v>
      </c>
      <c r="N996" s="36">
        <f ca="1">IF(F996&lt;=$I$987,N995*(1+J996),0)</f>
        <v>0</v>
      </c>
      <c r="O996" s="97" t="str">
        <f ca="1">IFERROR(M996/N996,"")</f>
        <v/>
      </c>
      <c r="P996" s="26">
        <f t="shared" ca="1" si="15"/>
        <v>0</v>
      </c>
      <c r="Q996" s="26">
        <f t="shared" ca="1" si="15"/>
        <v>0</v>
      </c>
      <c r="R996" s="125"/>
      <c r="S996" s="125"/>
      <c r="T996" s="125"/>
      <c r="U996" s="10"/>
      <c r="V996" s="92">
        <f>IF(F996&lt;=$I$987,V995*(1+I996),0)</f>
        <v>0</v>
      </c>
      <c r="W996" s="96">
        <f>IF(F996&lt;=$I$987,W995*(1+J996),0)</f>
        <v>1</v>
      </c>
      <c r="X996" s="92">
        <f>IF(F996&lt;=I987,X995*(1+I996),0)</f>
        <v>1</v>
      </c>
      <c r="Y996" s="96">
        <f>IF(F996&lt;=I987,Y995*(1+J996),0)</f>
        <v>1</v>
      </c>
      <c r="Z996" s="126">
        <v>3</v>
      </c>
    </row>
    <row r="997" spans="1:26" s="126" customFormat="1" x14ac:dyDescent="0.55000000000000004">
      <c r="A997" s="117"/>
      <c r="B997"/>
      <c r="C997" s="124"/>
      <c r="D997" s="124"/>
      <c r="E997" s="124"/>
      <c r="F997" s="89">
        <f>IF($I$987&gt;=Z997,Z997,"")</f>
        <v>4</v>
      </c>
      <c r="G997" s="91">
        <f>IF($I$987&gt;=F997,H996+0.01,"")</f>
        <v>0.01</v>
      </c>
      <c r="H997" s="50"/>
      <c r="I997" s="61"/>
      <c r="J997" s="61"/>
      <c r="K997" s="13"/>
      <c r="L997" s="13"/>
      <c r="M997" s="36">
        <f ca="1">IF(F997&lt;=$I$987,M996*(1+I997),0)</f>
        <v>0</v>
      </c>
      <c r="N997" s="36">
        <f ca="1">IF(F997&lt;=$I$987,N996*(1+J997),0)</f>
        <v>0</v>
      </c>
      <c r="O997" s="97" t="str">
        <f ca="1">IFERROR(M997/N997,"")</f>
        <v/>
      </c>
      <c r="P997" s="26">
        <f t="shared" ca="1" si="15"/>
        <v>0</v>
      </c>
      <c r="Q997" s="26">
        <f t="shared" ca="1" si="15"/>
        <v>0</v>
      </c>
      <c r="R997" s="125"/>
      <c r="S997" s="125"/>
      <c r="T997" s="125"/>
      <c r="U997" s="10"/>
      <c r="V997" s="92">
        <f>IF(F997&lt;=$I$987,V996*(1+I997),0)</f>
        <v>0</v>
      </c>
      <c r="W997" s="96">
        <f>IF(F997&lt;=$I$987,W996*(1+J997),0)</f>
        <v>1</v>
      </c>
      <c r="X997" s="92">
        <f>IF(F997&lt;=I987,X996*(1+I997),0)</f>
        <v>1</v>
      </c>
      <c r="Y997" s="96">
        <f>IF(F997&lt;=I987,Y996*(1+J997),0)</f>
        <v>1</v>
      </c>
      <c r="Z997" s="126">
        <v>4</v>
      </c>
    </row>
    <row r="998" spans="1:26" s="126" customFormat="1" x14ac:dyDescent="0.55000000000000004">
      <c r="A998" s="117"/>
      <c r="B998"/>
      <c r="C998" s="124"/>
      <c r="D998" s="124"/>
      <c r="E998" s="124"/>
      <c r="F998" s="89">
        <f>IF($I$987&gt;=Z998,Z998,"")</f>
        <v>5</v>
      </c>
      <c r="G998" s="91">
        <f>IF($I$987&gt;=F998,H997+0.01,"")</f>
        <v>0.01</v>
      </c>
      <c r="H998" s="89" t="s">
        <v>84</v>
      </c>
      <c r="I998" s="61"/>
      <c r="J998" s="61"/>
      <c r="K998" s="13"/>
      <c r="L998" s="13"/>
      <c r="M998" s="36">
        <f ca="1">IF(F998&lt;=$I$987,M997*(1+I998),0)</f>
        <v>0</v>
      </c>
      <c r="N998" s="36">
        <f ca="1">IF(F998&lt;=$I$987,N997*(1+J998),0)</f>
        <v>0</v>
      </c>
      <c r="O998" s="97" t="str">
        <f ca="1">IFERROR(M998/N998,"")</f>
        <v/>
      </c>
      <c r="P998" s="26">
        <f t="shared" ca="1" si="15"/>
        <v>0</v>
      </c>
      <c r="Q998" s="26">
        <f t="shared" ca="1" si="15"/>
        <v>0</v>
      </c>
      <c r="R998" s="125"/>
      <c r="S998" s="125"/>
      <c r="T998" s="125"/>
      <c r="U998" s="10"/>
      <c r="V998" s="92">
        <f>IF(F998&lt;=$I$987,V997*(1+I998),0)</f>
        <v>0</v>
      </c>
      <c r="W998" s="96">
        <f>IF(F998&lt;=$I$987,W997*(1+J998),0)</f>
        <v>1</v>
      </c>
      <c r="X998" s="92">
        <f>IF(F998&lt;=I987,X997*(1+I998),0)</f>
        <v>1</v>
      </c>
      <c r="Y998" s="96">
        <f>IF(F998&lt;=I987,Y997*(1+J998),0)</f>
        <v>1</v>
      </c>
      <c r="Z998" s="126">
        <v>5</v>
      </c>
    </row>
    <row r="999" spans="1:26" s="126" customFormat="1" ht="14.7" thickBot="1" x14ac:dyDescent="0.6">
      <c r="A999" s="117"/>
      <c r="B999"/>
      <c r="C999" s="124"/>
      <c r="D999" s="124"/>
      <c r="E999" s="130"/>
      <c r="F999" s="131"/>
      <c r="G999" s="131"/>
      <c r="H999" s="131"/>
      <c r="I999" s="131"/>
      <c r="J999" s="131"/>
      <c r="K999" s="131"/>
      <c r="L999" s="131"/>
      <c r="M999" s="131"/>
      <c r="N999" s="131"/>
      <c r="O999" s="131"/>
      <c r="P999" s="131"/>
      <c r="Q999" s="131"/>
      <c r="R999" s="132"/>
      <c r="S999" s="125"/>
      <c r="T999" s="125"/>
      <c r="U999" s="10"/>
    </row>
    <row r="1000" spans="1:26" s="126" customFormat="1" ht="14.7" thickBot="1" x14ac:dyDescent="0.6">
      <c r="A1000" s="117"/>
      <c r="B1000"/>
      <c r="C1000" s="124"/>
      <c r="D1000" s="130"/>
      <c r="E1000" s="131"/>
      <c r="F1000" s="131"/>
      <c r="G1000" s="131"/>
      <c r="H1000" s="131"/>
      <c r="I1000" s="131"/>
      <c r="J1000" s="131"/>
      <c r="K1000" s="131"/>
      <c r="L1000" s="131"/>
      <c r="M1000" s="131"/>
      <c r="N1000" s="131"/>
      <c r="O1000" s="131"/>
      <c r="P1000" s="131"/>
      <c r="Q1000" s="131"/>
      <c r="R1000" s="131"/>
      <c r="S1000" s="132"/>
      <c r="T1000" s="125"/>
      <c r="U1000" s="10"/>
    </row>
    <row r="1001" spans="1:26" s="126" customFormat="1" ht="14.7" thickBot="1" x14ac:dyDescent="0.6">
      <c r="A1001" s="117"/>
      <c r="B1001"/>
      <c r="C1001" s="130"/>
      <c r="D1001" s="131"/>
      <c r="E1001" s="131"/>
      <c r="F1001" s="131"/>
      <c r="G1001" s="131"/>
      <c r="H1001" s="131"/>
      <c r="I1001" s="131"/>
      <c r="J1001" s="131"/>
      <c r="K1001" s="131"/>
      <c r="L1001" s="131"/>
      <c r="M1001" s="131"/>
      <c r="N1001" s="131"/>
      <c r="O1001" s="131"/>
      <c r="P1001" s="131"/>
      <c r="Q1001" s="131"/>
      <c r="R1001" s="131"/>
      <c r="S1001" s="131"/>
      <c r="T1001" s="132"/>
      <c r="U1001" s="10"/>
    </row>
    <row r="1002" spans="1:26" s="126" customFormat="1" ht="14.7" thickBot="1" x14ac:dyDescent="0.6">
      <c r="A1002" s="117"/>
      <c r="B1002"/>
      <c r="C1002"/>
      <c r="D1002"/>
      <c r="E1002"/>
      <c r="F1002"/>
      <c r="G1002"/>
      <c r="H1002"/>
      <c r="I1002"/>
      <c r="J1002"/>
      <c r="K1002"/>
      <c r="L1002"/>
      <c r="M1002"/>
      <c r="N1002"/>
      <c r="O1002"/>
      <c r="P1002"/>
      <c r="Q1002"/>
      <c r="R1002"/>
      <c r="S1002"/>
      <c r="T1002"/>
      <c r="U1002" s="10"/>
    </row>
    <row r="1003" spans="1:26" s="126" customFormat="1" x14ac:dyDescent="0.55000000000000004">
      <c r="A1003" s="117"/>
      <c r="B1003"/>
      <c r="C1003" s="121"/>
      <c r="D1003" s="122"/>
      <c r="E1003" s="122"/>
      <c r="F1003" s="122"/>
      <c r="G1003" s="122"/>
      <c r="H1003" s="122"/>
      <c r="I1003" s="122"/>
      <c r="J1003" s="122"/>
      <c r="K1003" s="122"/>
      <c r="L1003" s="122"/>
      <c r="M1003" s="122"/>
      <c r="N1003" s="122"/>
      <c r="O1003" s="122"/>
      <c r="P1003" s="122"/>
      <c r="Q1003" s="122"/>
      <c r="R1003" s="122"/>
      <c r="S1003" s="122"/>
      <c r="T1003" s="123"/>
      <c r="U1003" s="10"/>
    </row>
    <row r="1004" spans="1:26" s="126" customFormat="1" ht="18.3" x14ac:dyDescent="0.7">
      <c r="A1004" s="117"/>
      <c r="B1004"/>
      <c r="C1004" s="124"/>
      <c r="D1004" s="1822">
        <f>'2 Customer data'!D109</f>
        <v>0</v>
      </c>
      <c r="E1004" s="1822"/>
      <c r="F1004" s="1822"/>
      <c r="G1004" s="1822"/>
      <c r="H1004" s="1822"/>
      <c r="I1004" s="1822"/>
      <c r="J1004" s="1822"/>
      <c r="K1004" s="1822"/>
      <c r="L1004" s="1822"/>
      <c r="M1004" s="1822"/>
      <c r="N1004" s="1822"/>
      <c r="O1004" s="1822"/>
      <c r="P1004" s="1822"/>
      <c r="Q1004" s="1822"/>
      <c r="R1004" s="1822"/>
      <c r="S1004" s="1822"/>
      <c r="T1004" s="125"/>
      <c r="U1004" s="10"/>
    </row>
    <row r="1005" spans="1:26" s="126" customFormat="1" ht="14.7" thickBot="1" x14ac:dyDescent="0.6">
      <c r="A1005" s="117"/>
      <c r="B1005"/>
      <c r="C1005" s="124"/>
      <c r="D1005"/>
      <c r="E1005"/>
      <c r="F1005"/>
      <c r="G1005"/>
      <c r="H1005"/>
      <c r="I1005"/>
      <c r="J1005"/>
      <c r="K1005"/>
      <c r="L1005"/>
      <c r="M1005"/>
      <c r="N1005"/>
      <c r="O1005"/>
      <c r="P1005"/>
      <c r="Q1005"/>
      <c r="R1005"/>
      <c r="S1005"/>
      <c r="T1005" s="125"/>
      <c r="U1005" s="10"/>
    </row>
    <row r="1006" spans="1:26" s="126" customFormat="1" x14ac:dyDescent="0.55000000000000004">
      <c r="A1006" s="117"/>
      <c r="B1006"/>
      <c r="C1006" s="124"/>
      <c r="D1006" s="121"/>
      <c r="E1006" s="122"/>
      <c r="F1006" s="122"/>
      <c r="G1006" s="122"/>
      <c r="H1006" s="122"/>
      <c r="I1006" s="122"/>
      <c r="J1006" s="122"/>
      <c r="K1006" s="122"/>
      <c r="L1006" s="122"/>
      <c r="M1006" s="122"/>
      <c r="N1006" s="122"/>
      <c r="O1006" s="122"/>
      <c r="P1006" s="122"/>
      <c r="Q1006" s="122"/>
      <c r="R1006" s="122"/>
      <c r="S1006" s="123"/>
      <c r="T1006" s="125"/>
      <c r="U1006" s="10"/>
    </row>
    <row r="1007" spans="1:26" s="126" customFormat="1" x14ac:dyDescent="0.55000000000000004">
      <c r="A1007" s="117"/>
      <c r="B1007"/>
      <c r="C1007" s="124"/>
      <c r="D1007" s="124"/>
      <c r="E1007"/>
      <c r="F1007" s="1" t="str">
        <f>'2 Customer data'!D109&amp;" "&amp;"information"</f>
        <v xml:space="preserve"> information</v>
      </c>
      <c r="G1007"/>
      <c r="H1007"/>
      <c r="I1007"/>
      <c r="J1007"/>
      <c r="K1007"/>
      <c r="L1007"/>
      <c r="M1007"/>
      <c r="N1007"/>
      <c r="O1007"/>
      <c r="P1007"/>
      <c r="Q1007"/>
      <c r="R1007"/>
      <c r="S1007" s="125"/>
      <c r="T1007" s="125"/>
      <c r="U1007" s="10"/>
    </row>
    <row r="1008" spans="1:26" s="126" customFormat="1" x14ac:dyDescent="0.55000000000000004">
      <c r="A1008" s="117"/>
      <c r="B1008"/>
      <c r="C1008" s="124"/>
      <c r="D1008" s="124"/>
      <c r="E1008"/>
      <c r="F1008"/>
      <c r="G1008"/>
      <c r="H1008"/>
      <c r="I1008"/>
      <c r="J1008"/>
      <c r="K1008"/>
      <c r="L1008"/>
      <c r="M1008"/>
      <c r="N1008"/>
      <c r="O1008"/>
      <c r="P1008"/>
      <c r="Q1008"/>
      <c r="R1008"/>
      <c r="S1008" s="125"/>
      <c r="T1008" s="125"/>
      <c r="U1008" s="10"/>
    </row>
    <row r="1009" spans="1:21" s="126" customFormat="1" ht="28.8" x14ac:dyDescent="0.55000000000000004">
      <c r="A1009" s="117"/>
      <c r="B1009"/>
      <c r="C1009" s="124"/>
      <c r="D1009" s="124"/>
      <c r="E1009"/>
      <c r="F1009"/>
      <c r="G1009" s="56" t="s">
        <v>28</v>
      </c>
      <c r="H1009" s="56" t="s">
        <v>345</v>
      </c>
      <c r="I1009" s="56" t="s">
        <v>60</v>
      </c>
      <c r="J1009" s="56" t="s">
        <v>249</v>
      </c>
      <c r="K1009" s="56" t="s">
        <v>279</v>
      </c>
      <c r="L1009" s="56" t="s">
        <v>357</v>
      </c>
      <c r="M1009"/>
      <c r="N1009" s="162"/>
      <c r="O1009"/>
      <c r="P1009"/>
      <c r="Q1009"/>
      <c r="R1009"/>
      <c r="S1009" s="125"/>
      <c r="T1009" s="125"/>
      <c r="U1009" s="10"/>
    </row>
    <row r="1010" spans="1:21" s="126" customFormat="1" x14ac:dyDescent="0.55000000000000004">
      <c r="A1010" s="117"/>
      <c r="B1010"/>
      <c r="C1010" s="124"/>
      <c r="D1010" s="124"/>
      <c r="E1010"/>
      <c r="F1010">
        <f>'2 Customer data'!D109</f>
        <v>0</v>
      </c>
      <c r="G1010" s="94">
        <f>IFERROR(IF(VLOOKUP(F1010,'2 Customer data'!$D$93:$N$112,7,FALSE)="",VLOOKUP(F1010,'2 Customer data'!$D$93:$N$112,6,FALSE),VLOOKUP(F1010,'2 Customer data'!$D$93:$N$112,7,FALSE)),0)</f>
        <v>0</v>
      </c>
      <c r="H1010" s="26">
        <f>IFERROR(IF(VLOOKUP(F1010,'2 Customer data'!$D$93:$N$112,9,FALSE)="",VLOOKUP(F1010,'2 Customer data'!$D$93:$N$112,8,FALSE),VLOOKUP(F1010,'2 Customer data'!$D$93:$N$112,9,FALSE)),0)</f>
        <v>0</v>
      </c>
      <c r="I1010" s="26">
        <f ca="1">IFERROR(VLOOKUP($F1010,'2 Electricity'!$D$21:$L$40,6,FALSE),0)</f>
        <v>0</v>
      </c>
      <c r="J1010" s="26">
        <f ca="1">IFERROR(VLOOKUP($F1010,'2 Electricity'!$D$21:$L$40,7,FALSE),0)</f>
        <v>0</v>
      </c>
      <c r="K1010" s="26">
        <f ca="1">IFERROR(VLOOKUP($F1010,'2 Electricity'!$D$21:$L$40,8,FALSE),0)</f>
        <v>0</v>
      </c>
      <c r="L1010" s="26">
        <f ca="1">IFERROR(VLOOKUP(F1010,'2 Electricity'!$D$157:$K$176,8,FALSE),0)</f>
        <v>0</v>
      </c>
      <c r="M1010"/>
      <c r="N1010" s="134"/>
      <c r="O1010"/>
      <c r="P1010"/>
      <c r="Q1010"/>
      <c r="R1010"/>
      <c r="S1010" s="125"/>
      <c r="T1010" s="125"/>
      <c r="U1010" s="10"/>
    </row>
    <row r="1011" spans="1:21" s="126" customFormat="1" ht="14.7" thickBot="1" x14ac:dyDescent="0.6">
      <c r="A1011" s="117"/>
      <c r="B1011"/>
      <c r="C1011" s="124"/>
      <c r="D1011" s="130"/>
      <c r="E1011" s="131"/>
      <c r="F1011" s="131"/>
      <c r="G1011" s="131"/>
      <c r="H1011" s="131"/>
      <c r="I1011" s="131"/>
      <c r="J1011" s="131"/>
      <c r="K1011" s="131"/>
      <c r="L1011" s="131"/>
      <c r="M1011" s="131"/>
      <c r="N1011" s="131"/>
      <c r="O1011" s="131"/>
      <c r="P1011" s="131"/>
      <c r="Q1011" s="131"/>
      <c r="R1011" s="131"/>
      <c r="S1011" s="132"/>
      <c r="T1011" s="125"/>
      <c r="U1011" s="10"/>
    </row>
    <row r="1012" spans="1:21" s="126" customFormat="1" ht="14.7" thickBot="1" x14ac:dyDescent="0.6">
      <c r="A1012" s="117"/>
      <c r="B1012"/>
      <c r="C1012" s="124"/>
      <c r="D1012"/>
      <c r="E1012"/>
      <c r="F1012"/>
      <c r="G1012"/>
      <c r="H1012"/>
      <c r="I1012"/>
      <c r="J1012"/>
      <c r="K1012"/>
      <c r="L1012"/>
      <c r="M1012"/>
      <c r="N1012"/>
      <c r="O1012"/>
      <c r="P1012"/>
      <c r="Q1012"/>
      <c r="R1012"/>
      <c r="S1012"/>
      <c r="T1012" s="125"/>
      <c r="U1012" s="10"/>
    </row>
    <row r="1013" spans="1:21" s="126" customFormat="1" x14ac:dyDescent="0.55000000000000004">
      <c r="A1013" s="117"/>
      <c r="B1013"/>
      <c r="C1013" s="124"/>
      <c r="D1013" s="121"/>
      <c r="E1013" s="122"/>
      <c r="F1013" s="122"/>
      <c r="G1013" s="122"/>
      <c r="H1013" s="122"/>
      <c r="I1013" s="122"/>
      <c r="J1013" s="122"/>
      <c r="K1013" s="122"/>
      <c r="L1013" s="122"/>
      <c r="M1013" s="122"/>
      <c r="N1013" s="122"/>
      <c r="O1013" s="122"/>
      <c r="P1013" s="122"/>
      <c r="Q1013" s="122"/>
      <c r="R1013" s="122"/>
      <c r="S1013" s="123"/>
      <c r="T1013" s="125"/>
      <c r="U1013" s="10"/>
    </row>
    <row r="1014" spans="1:21" s="126" customFormat="1" x14ac:dyDescent="0.55000000000000004">
      <c r="A1014" s="117"/>
      <c r="B1014"/>
      <c r="C1014" s="124"/>
      <c r="D1014" s="124"/>
      <c r="E1014"/>
      <c r="F1014" s="1" t="s">
        <v>85</v>
      </c>
      <c r="G1014"/>
      <c r="H1014"/>
      <c r="I1014"/>
      <c r="J1014"/>
      <c r="K1014"/>
      <c r="L1014"/>
      <c r="M1014"/>
      <c r="N1014"/>
      <c r="O1014"/>
      <c r="P1014"/>
      <c r="Q1014"/>
      <c r="R1014"/>
      <c r="S1014" s="125"/>
      <c r="T1014" s="125"/>
      <c r="U1014" s="10"/>
    </row>
    <row r="1015" spans="1:21" s="126" customFormat="1" x14ac:dyDescent="0.55000000000000004">
      <c r="A1015" s="117"/>
      <c r="B1015"/>
      <c r="C1015" s="124"/>
      <c r="D1015" s="124"/>
      <c r="E1015"/>
      <c r="F1015" s="120" t="s">
        <v>555</v>
      </c>
      <c r="G1015"/>
      <c r="H1015"/>
      <c r="I1015"/>
      <c r="J1015"/>
      <c r="K1015"/>
      <c r="L1015"/>
      <c r="M1015"/>
      <c r="N1015"/>
      <c r="O1015"/>
      <c r="P1015"/>
      <c r="Q1015"/>
      <c r="R1015"/>
      <c r="S1015" s="125"/>
      <c r="T1015" s="125"/>
      <c r="U1015" s="10"/>
    </row>
    <row r="1016" spans="1:21" s="126" customFormat="1" x14ac:dyDescent="0.55000000000000004">
      <c r="A1016" s="117"/>
      <c r="B1016"/>
      <c r="C1016" s="124"/>
      <c r="D1016" s="124"/>
      <c r="E1016"/>
      <c r="F1016"/>
      <c r="G1016"/>
      <c r="H1016"/>
      <c r="I1016"/>
      <c r="J1016"/>
      <c r="K1016"/>
      <c r="L1016"/>
      <c r="M1016"/>
      <c r="N1016"/>
      <c r="O1016"/>
      <c r="P1016"/>
      <c r="Q1016"/>
      <c r="R1016"/>
      <c r="S1016" s="125"/>
      <c r="T1016" s="125"/>
      <c r="U1016" s="10"/>
    </row>
    <row r="1017" spans="1:21" s="126" customFormat="1" ht="43.2" x14ac:dyDescent="0.55000000000000004">
      <c r="A1017" s="117"/>
      <c r="B1017"/>
      <c r="C1017" s="124"/>
      <c r="D1017" s="124"/>
      <c r="E1017"/>
      <c r="F1017"/>
      <c r="G1017" s="56" t="s">
        <v>86</v>
      </c>
      <c r="H1017" s="56" t="s">
        <v>73</v>
      </c>
      <c r="I1017" s="56" t="s">
        <v>87</v>
      </c>
      <c r="J1017" s="56" t="s">
        <v>75</v>
      </c>
      <c r="K1017" s="56" t="s">
        <v>76</v>
      </c>
      <c r="L1017"/>
      <c r="M1017"/>
      <c r="N1017"/>
      <c r="O1017"/>
      <c r="P1017"/>
      <c r="Q1017"/>
      <c r="R1017"/>
      <c r="S1017" s="125"/>
      <c r="T1017" s="125"/>
      <c r="U1017" s="10"/>
    </row>
    <row r="1018" spans="1:21" s="126" customFormat="1" x14ac:dyDescent="0.55000000000000004">
      <c r="A1018" s="117"/>
      <c r="B1018"/>
      <c r="C1018" s="124"/>
      <c r="D1018" s="124"/>
      <c r="E1018"/>
      <c r="F1018">
        <f>F1010</f>
        <v>0</v>
      </c>
      <c r="G1018" s="26">
        <f ca="1">SUM(I1010,K1010)</f>
        <v>0</v>
      </c>
      <c r="H1018" s="64">
        <f ca="1">IFERROR(G1018/G1010,0)/12</f>
        <v>0</v>
      </c>
      <c r="I1018" s="84"/>
      <c r="J1018" s="26">
        <f>I1018*G1010*12</f>
        <v>0</v>
      </c>
      <c r="K1018" s="21">
        <f>J1018/12</f>
        <v>0</v>
      </c>
      <c r="L1018"/>
      <c r="M1018"/>
      <c r="N1018"/>
      <c r="O1018"/>
      <c r="P1018"/>
      <c r="Q1018"/>
      <c r="R1018"/>
      <c r="S1018" s="125"/>
      <c r="T1018" s="125"/>
      <c r="U1018" s="10"/>
    </row>
    <row r="1019" spans="1:21" s="126" customFormat="1" x14ac:dyDescent="0.55000000000000004">
      <c r="A1019" s="117"/>
      <c r="B1019"/>
      <c r="C1019" s="124"/>
      <c r="D1019" s="124"/>
      <c r="E1019" s="133"/>
      <c r="F1019" s="58" t="str">
        <f>IF(I1018&gt;I1008,"Error: revenue from fixed charges exceeds total revenue required from tariff. Reduce fixed charge.","")</f>
        <v/>
      </c>
      <c r="G1019" s="58" t="str">
        <f ca="1">IF(J1018&gt;L1010,"Error: revenue from fixed charges exceeds total revenue required from tariff. Reduce fixed charge.","")</f>
        <v/>
      </c>
      <c r="H1019" s="134"/>
      <c r="I1019" s="134"/>
      <c r="J1019" s="135"/>
      <c r="K1019"/>
      <c r="L1019"/>
      <c r="M1019"/>
      <c r="N1019"/>
      <c r="O1019"/>
      <c r="P1019"/>
      <c r="Q1019"/>
      <c r="R1019"/>
      <c r="S1019" s="125"/>
      <c r="T1019" s="125"/>
      <c r="U1019" s="10"/>
    </row>
    <row r="1020" spans="1:21" s="126" customFormat="1" ht="14.7" thickBot="1" x14ac:dyDescent="0.6">
      <c r="A1020" s="117"/>
      <c r="B1020"/>
      <c r="C1020" s="124"/>
      <c r="D1020" s="130"/>
      <c r="E1020" s="131"/>
      <c r="F1020" s="131"/>
      <c r="G1020" s="131"/>
      <c r="H1020" s="131"/>
      <c r="I1020" s="131"/>
      <c r="J1020" s="131"/>
      <c r="K1020" s="131"/>
      <c r="L1020" s="131"/>
      <c r="M1020" s="131"/>
      <c r="N1020" s="131"/>
      <c r="O1020" s="131"/>
      <c r="P1020" s="131"/>
      <c r="Q1020" s="131"/>
      <c r="R1020" s="131"/>
      <c r="S1020" s="132"/>
      <c r="T1020" s="125"/>
      <c r="U1020" s="10"/>
    </row>
    <row r="1021" spans="1:21" s="126" customFormat="1" ht="14.7" thickBot="1" x14ac:dyDescent="0.6">
      <c r="A1021" s="117"/>
      <c r="B1021"/>
      <c r="C1021" s="124"/>
      <c r="D1021"/>
      <c r="E1021"/>
      <c r="F1021"/>
      <c r="G1021"/>
      <c r="H1021"/>
      <c r="I1021"/>
      <c r="J1021"/>
      <c r="K1021"/>
      <c r="L1021"/>
      <c r="M1021"/>
      <c r="N1021"/>
      <c r="O1021"/>
      <c r="P1021"/>
      <c r="Q1021"/>
      <c r="R1021"/>
      <c r="S1021"/>
      <c r="T1021" s="125"/>
      <c r="U1021" s="10"/>
    </row>
    <row r="1022" spans="1:21" s="126" customFormat="1" x14ac:dyDescent="0.55000000000000004">
      <c r="A1022" s="117"/>
      <c r="B1022"/>
      <c r="C1022" s="124"/>
      <c r="D1022" s="121"/>
      <c r="E1022" s="122"/>
      <c r="F1022" s="122"/>
      <c r="G1022" s="122"/>
      <c r="H1022" s="122"/>
      <c r="I1022" s="122"/>
      <c r="J1022" s="122"/>
      <c r="K1022" s="122"/>
      <c r="L1022" s="122"/>
      <c r="M1022" s="122"/>
      <c r="N1022" s="122"/>
      <c r="O1022" s="122"/>
      <c r="P1022" s="122"/>
      <c r="Q1022" s="122"/>
      <c r="R1022" s="122"/>
      <c r="S1022" s="123"/>
      <c r="T1022" s="125"/>
      <c r="U1022" s="10"/>
    </row>
    <row r="1023" spans="1:21" s="126" customFormat="1" x14ac:dyDescent="0.55000000000000004">
      <c r="A1023" s="117"/>
      <c r="B1023"/>
      <c r="C1023" s="124"/>
      <c r="D1023" s="124"/>
      <c r="E1023"/>
      <c r="F1023" s="1" t="s">
        <v>96</v>
      </c>
      <c r="G1023"/>
      <c r="H1023"/>
      <c r="I1023"/>
      <c r="J1023"/>
      <c r="K1023"/>
      <c r="L1023"/>
      <c r="M1023"/>
      <c r="N1023"/>
      <c r="O1023"/>
      <c r="P1023"/>
      <c r="Q1023"/>
      <c r="R1023"/>
      <c r="S1023" s="125"/>
      <c r="T1023" s="125"/>
      <c r="U1023" s="10"/>
    </row>
    <row r="1024" spans="1:21" s="126" customFormat="1" ht="14.55" customHeight="1" x14ac:dyDescent="0.55000000000000004">
      <c r="A1024" s="117"/>
      <c r="B1024"/>
      <c r="C1024" s="124"/>
      <c r="D1024" s="124"/>
      <c r="E1024"/>
      <c r="F1024" s="1804" t="s">
        <v>560</v>
      </c>
      <c r="G1024" s="1804"/>
      <c r="H1024" s="1804"/>
      <c r="I1024" s="1804"/>
      <c r="J1024" s="1804"/>
      <c r="K1024" s="1804"/>
      <c r="L1024" s="1804"/>
      <c r="M1024" s="1804"/>
      <c r="N1024" s="1804"/>
      <c r="O1024" s="1804"/>
      <c r="P1024" s="1804"/>
      <c r="Q1024" s="119"/>
      <c r="R1024"/>
      <c r="S1024" s="125"/>
      <c r="T1024" s="125"/>
      <c r="U1024" s="10"/>
    </row>
    <row r="1025" spans="1:24" s="126" customFormat="1" x14ac:dyDescent="0.55000000000000004">
      <c r="A1025" s="117"/>
      <c r="B1025"/>
      <c r="C1025" s="124"/>
      <c r="D1025" s="124"/>
      <c r="E1025"/>
      <c r="F1025" s="119"/>
      <c r="G1025" s="119"/>
      <c r="H1025" s="119"/>
      <c r="I1025" s="119"/>
      <c r="J1025" s="119"/>
      <c r="K1025" s="119"/>
      <c r="L1025" s="119"/>
      <c r="M1025" s="119"/>
      <c r="N1025" s="119"/>
      <c r="O1025" s="119"/>
      <c r="P1025" s="119"/>
      <c r="Q1025" s="119"/>
      <c r="R1025"/>
      <c r="S1025" s="125"/>
      <c r="T1025" s="125"/>
      <c r="U1025" s="10"/>
    </row>
    <row r="1026" spans="1:24" s="126" customFormat="1" x14ac:dyDescent="0.55000000000000004">
      <c r="A1026" s="117"/>
      <c r="B1026"/>
      <c r="C1026" s="124"/>
      <c r="D1026" s="124"/>
      <c r="E1026"/>
      <c r="F1026" s="1" t="s">
        <v>348</v>
      </c>
      <c r="G1026" s="80" t="s">
        <v>90</v>
      </c>
      <c r="H1026" s="119"/>
      <c r="I1026" s="119"/>
      <c r="J1026" s="119"/>
      <c r="K1026" s="119"/>
      <c r="L1026" s="119"/>
      <c r="M1026" s="119"/>
      <c r="N1026" s="119"/>
      <c r="O1026" s="119"/>
      <c r="P1026" s="119"/>
      <c r="Q1026" s="119"/>
      <c r="R1026"/>
      <c r="S1026" s="125"/>
      <c r="T1026" s="125"/>
      <c r="U1026" s="10"/>
      <c r="V1026" s="126" t="s">
        <v>89</v>
      </c>
    </row>
    <row r="1027" spans="1:24" s="126" customFormat="1" ht="14.7" thickBot="1" x14ac:dyDescent="0.6">
      <c r="A1027" s="117"/>
      <c r="B1027"/>
      <c r="C1027" s="124"/>
      <c r="D1027" s="124"/>
      <c r="E1027"/>
      <c r="F1027"/>
      <c r="G1027" s="134"/>
      <c r="H1027" s="119"/>
      <c r="I1027" s="119"/>
      <c r="J1027" s="119"/>
      <c r="K1027" s="119"/>
      <c r="L1027" s="119"/>
      <c r="M1027" s="119"/>
      <c r="N1027" s="119"/>
      <c r="O1027" s="119"/>
      <c r="P1027" s="119"/>
      <c r="Q1027" s="119"/>
      <c r="R1027"/>
      <c r="S1027" s="125"/>
      <c r="T1027" s="125"/>
      <c r="U1027" s="10"/>
      <c r="V1027" s="126" t="s">
        <v>90</v>
      </c>
    </row>
    <row r="1028" spans="1:24" s="126" customFormat="1" x14ac:dyDescent="0.55000000000000004">
      <c r="A1028" s="117"/>
      <c r="B1028"/>
      <c r="C1028" s="124"/>
      <c r="D1028" s="124"/>
      <c r="E1028" s="121"/>
      <c r="F1028" s="122"/>
      <c r="G1028" s="122"/>
      <c r="H1028" s="122"/>
      <c r="I1028" s="122"/>
      <c r="J1028" s="122"/>
      <c r="K1028" s="122"/>
      <c r="L1028" s="122"/>
      <c r="M1028" s="122"/>
      <c r="N1028" s="122"/>
      <c r="O1028" s="122"/>
      <c r="P1028" s="122"/>
      <c r="Q1028" s="122"/>
      <c r="R1028" s="123"/>
      <c r="S1028" s="125"/>
      <c r="T1028" s="125"/>
      <c r="U1028" s="10"/>
    </row>
    <row r="1029" spans="1:24" s="126" customFormat="1" x14ac:dyDescent="0.55000000000000004">
      <c r="A1029" s="117"/>
      <c r="B1029"/>
      <c r="C1029" s="124"/>
      <c r="D1029" s="124"/>
      <c r="E1029" s="124"/>
      <c r="F1029" s="1" t="s">
        <v>343</v>
      </c>
      <c r="G1029" s="163"/>
      <c r="H1029"/>
      <c r="I1029"/>
      <c r="J1029"/>
      <c r="K1029"/>
      <c r="L1029"/>
      <c r="M1029"/>
      <c r="N1029"/>
      <c r="O1029"/>
      <c r="P1029"/>
      <c r="Q1029"/>
      <c r="R1029" s="125"/>
      <c r="S1029" s="125"/>
      <c r="T1029" s="125"/>
      <c r="U1029" s="10"/>
    </row>
    <row r="1030" spans="1:24" s="126" customFormat="1" ht="14.55" customHeight="1" x14ac:dyDescent="0.55000000000000004">
      <c r="A1030" s="117"/>
      <c r="B1030"/>
      <c r="C1030" s="124"/>
      <c r="D1030" s="124"/>
      <c r="E1030" s="124"/>
      <c r="F1030" s="1804" t="s">
        <v>561</v>
      </c>
      <c r="G1030" s="1804"/>
      <c r="H1030" s="1804"/>
      <c r="I1030" s="1804"/>
      <c r="J1030" s="1804"/>
      <c r="K1030" s="1804"/>
      <c r="L1030" s="1804"/>
      <c r="M1030" s="1804"/>
      <c r="N1030" s="1804"/>
      <c r="O1030" s="1804"/>
      <c r="P1030" s="1804"/>
      <c r="Q1030" s="1804"/>
      <c r="R1030" s="125"/>
      <c r="S1030" s="125"/>
      <c r="T1030" s="125"/>
      <c r="U1030" s="10"/>
    </row>
    <row r="1031" spans="1:24" s="126" customFormat="1" x14ac:dyDescent="0.55000000000000004">
      <c r="A1031" s="117"/>
      <c r="B1031"/>
      <c r="C1031" s="124"/>
      <c r="D1031" s="124"/>
      <c r="E1031" s="124"/>
      <c r="F1031" s="1804"/>
      <c r="G1031" s="1804"/>
      <c r="H1031" s="1804"/>
      <c r="I1031" s="1804"/>
      <c r="J1031" s="1804"/>
      <c r="K1031" s="1804"/>
      <c r="L1031" s="1804"/>
      <c r="M1031" s="1804"/>
      <c r="N1031" s="1804"/>
      <c r="O1031" s="1804"/>
      <c r="P1031" s="1804"/>
      <c r="Q1031" s="1804"/>
      <c r="R1031" s="125"/>
      <c r="S1031" s="125"/>
      <c r="T1031" s="125"/>
      <c r="U1031" s="10"/>
    </row>
    <row r="1032" spans="1:24" s="126" customFormat="1" x14ac:dyDescent="0.55000000000000004">
      <c r="A1032" s="117"/>
      <c r="B1032"/>
      <c r="C1032" s="124"/>
      <c r="D1032" s="124"/>
      <c r="E1032" s="124"/>
      <c r="F1032" s="1"/>
      <c r="G1032" s="163"/>
      <c r="H1032"/>
      <c r="I1032"/>
      <c r="J1032"/>
      <c r="K1032"/>
      <c r="L1032"/>
      <c r="M1032"/>
      <c r="N1032"/>
      <c r="O1032"/>
      <c r="P1032"/>
      <c r="Q1032"/>
      <c r="R1032" s="125"/>
      <c r="S1032" s="125"/>
      <c r="T1032" s="125"/>
      <c r="U1032" s="10"/>
    </row>
    <row r="1033" spans="1:24" s="126" customFormat="1" x14ac:dyDescent="0.55000000000000004">
      <c r="A1033" s="117"/>
      <c r="B1033"/>
      <c r="C1033" s="124"/>
      <c r="D1033" s="124"/>
      <c r="E1033" s="124"/>
      <c r="F1033" s="164" t="s">
        <v>88</v>
      </c>
      <c r="G1033" s="10"/>
      <c r="H1033"/>
      <c r="I1033" s="50">
        <v>5</v>
      </c>
      <c r="J1033"/>
      <c r="K1033"/>
      <c r="L1033"/>
      <c r="M1033"/>
      <c r="N1033"/>
      <c r="O1033"/>
      <c r="P1033"/>
      <c r="Q1033"/>
      <c r="R1033" s="125"/>
      <c r="S1033" s="125"/>
      <c r="T1033" s="125"/>
      <c r="U1033" s="10"/>
    </row>
    <row r="1034" spans="1:24" s="126" customFormat="1" x14ac:dyDescent="0.55000000000000004">
      <c r="A1034" s="117"/>
      <c r="B1034"/>
      <c r="C1034" s="124"/>
      <c r="D1034" s="124"/>
      <c r="E1034" s="124"/>
      <c r="F1034" s="10" t="s">
        <v>612</v>
      </c>
      <c r="H1034"/>
      <c r="I1034" s="159" t="s">
        <v>578</v>
      </c>
      <c r="J1034"/>
      <c r="K1034"/>
      <c r="L1034"/>
      <c r="M1034"/>
      <c r="N1034"/>
      <c r="O1034"/>
      <c r="P1034"/>
      <c r="Q1034"/>
      <c r="R1034" s="125"/>
      <c r="S1034" s="125"/>
      <c r="T1034" s="125"/>
      <c r="U1034" s="10"/>
    </row>
    <row r="1035" spans="1:24" s="126" customFormat="1" x14ac:dyDescent="0.55000000000000004">
      <c r="A1035" s="117"/>
      <c r="B1035"/>
      <c r="C1035" s="124"/>
      <c r="D1035" s="124"/>
      <c r="E1035" s="124"/>
      <c r="F1035"/>
      <c r="G1035"/>
      <c r="H1035"/>
      <c r="I1035"/>
      <c r="J1035"/>
      <c r="K1035"/>
      <c r="L1035"/>
      <c r="M1035"/>
      <c r="N1035"/>
      <c r="O1035"/>
      <c r="P1035"/>
      <c r="Q1035"/>
      <c r="R1035" s="125"/>
      <c r="S1035" s="125"/>
      <c r="T1035" s="125"/>
      <c r="U1035" s="10"/>
    </row>
    <row r="1036" spans="1:24" s="126" customFormat="1" ht="57.6" x14ac:dyDescent="0.55000000000000004">
      <c r="A1036" s="117"/>
      <c r="B1036"/>
      <c r="C1036" s="124"/>
      <c r="D1036" s="124"/>
      <c r="E1036" s="124"/>
      <c r="F1036" s="56" t="s">
        <v>91</v>
      </c>
      <c r="G1036" s="56" t="s">
        <v>92</v>
      </c>
      <c r="H1036" s="129" t="s">
        <v>80</v>
      </c>
      <c r="I1036" s="56" t="s">
        <v>340</v>
      </c>
      <c r="J1036" s="56" t="s">
        <v>356</v>
      </c>
      <c r="K1036" s="165" t="s">
        <v>349</v>
      </c>
      <c r="L1036" s="166" t="s">
        <v>350</v>
      </c>
      <c r="M1036" s="162"/>
      <c r="N1036" s="162"/>
      <c r="O1036" s="162"/>
      <c r="P1036" s="162"/>
      <c r="Q1036" s="162"/>
      <c r="R1036" s="167"/>
      <c r="S1036" s="167"/>
      <c r="T1036" s="167"/>
      <c r="U1036" s="10"/>
      <c r="V1036" s="168" t="s">
        <v>621</v>
      </c>
      <c r="W1036" s="168" t="s">
        <v>622</v>
      </c>
    </row>
    <row r="1037" spans="1:24" s="126" customFormat="1" x14ac:dyDescent="0.55000000000000004">
      <c r="A1037" s="117"/>
      <c r="B1037"/>
      <c r="C1037" s="124"/>
      <c r="D1037" s="124"/>
      <c r="E1037" s="124"/>
      <c r="F1037" s="89">
        <f>IF($I$1033=X1037,X1037,1)</f>
        <v>1</v>
      </c>
      <c r="G1037" s="91">
        <v>0</v>
      </c>
      <c r="H1037" s="50"/>
      <c r="I1037" s="169"/>
      <c r="J1037" s="21">
        <f>IF(G1026=V1026,H1010-SUMIF(F1038:F1041,"&lt;="&amp;$I$1033,J1038:J1041),0)</f>
        <v>0</v>
      </c>
      <c r="K1037" s="114">
        <f>IFERROR(IF(G1026=V1026,IF(F1037&lt;=I1033,IF(I1034="No",IF(J1018=0,L1010/SUMPRODUCT(V1037:V1041,J1037:J1041),(L1010-J1018)/SUMPRODUCT(V1037:V1041,J1037:J1041)),0),0),0),0)</f>
        <v>0</v>
      </c>
      <c r="L1037" s="31">
        <f>J1037*K1037</f>
        <v>0</v>
      </c>
      <c r="M1037" s="170"/>
      <c r="N1037" s="135"/>
      <c r="O1037" s="171"/>
      <c r="P1037"/>
      <c r="Q1037"/>
      <c r="R1037" s="125"/>
      <c r="S1037" s="125"/>
      <c r="T1037" s="125"/>
      <c r="U1037" s="10"/>
      <c r="V1037" s="96">
        <f>IF(F1037&lt;=$I$1033,1,0)</f>
        <v>1</v>
      </c>
      <c r="X1037" s="126">
        <v>1</v>
      </c>
    </row>
    <row r="1038" spans="1:24" s="126" customFormat="1" x14ac:dyDescent="0.55000000000000004">
      <c r="A1038" s="117"/>
      <c r="B1038"/>
      <c r="C1038" s="124"/>
      <c r="D1038" s="124"/>
      <c r="E1038" s="124"/>
      <c r="F1038" s="89">
        <f>IF($I$1033&gt;=X1038,X1038,"")</f>
        <v>2</v>
      </c>
      <c r="G1038" s="91">
        <f>IF($I$1033&gt;=F1038,H1037+0.01,"")</f>
        <v>0.01</v>
      </c>
      <c r="H1038" s="50"/>
      <c r="I1038" s="61"/>
      <c r="J1038" s="13"/>
      <c r="K1038" s="114">
        <f>IFERROR(IF(F1038&lt;=I1033,IF(I1034="No",K1037*(1+I1038),IF(J1018=0,L1010/SUMPRODUCT(W1038:W1041,J1038:J1041),(L1010-J1018)/SUMPRODUCT(W1038:W1041,J1038:J1041))),0),0)</f>
        <v>0</v>
      </c>
      <c r="L1038" s="31">
        <f>J1038*K1038</f>
        <v>0</v>
      </c>
      <c r="M1038" s="170"/>
      <c r="N1038" s="135"/>
      <c r="O1038" s="171"/>
      <c r="P1038"/>
      <c r="Q1038"/>
      <c r="R1038" s="125"/>
      <c r="S1038" s="125"/>
      <c r="T1038" s="125"/>
      <c r="U1038" s="10"/>
      <c r="V1038" s="96">
        <f>IF(F1038&lt;=$I$1033,(1+I1038),0)</f>
        <v>1</v>
      </c>
      <c r="W1038" s="92">
        <f>IF(F1038&lt;=I1033,1,0)</f>
        <v>1</v>
      </c>
      <c r="X1038" s="126">
        <v>2</v>
      </c>
    </row>
    <row r="1039" spans="1:24" s="126" customFormat="1" x14ac:dyDescent="0.55000000000000004">
      <c r="A1039" s="117"/>
      <c r="B1039"/>
      <c r="C1039" s="124"/>
      <c r="D1039" s="124"/>
      <c r="E1039" s="124"/>
      <c r="F1039" s="89">
        <f>IF($I$1033&gt;=X1039,X1039,"")</f>
        <v>3</v>
      </c>
      <c r="G1039" s="91">
        <f>IF($I$1033&gt;=F1039,H1038+0.01,"")</f>
        <v>0.01</v>
      </c>
      <c r="H1039" s="50"/>
      <c r="I1039" s="61"/>
      <c r="J1039" s="13"/>
      <c r="K1039" s="95">
        <f>IF(F1039&lt;=$I$1033,K1038*(1+I1039),0)</f>
        <v>0</v>
      </c>
      <c r="L1039" s="31">
        <f>J1039*K1039</f>
        <v>0</v>
      </c>
      <c r="M1039" s="170"/>
      <c r="N1039" s="135"/>
      <c r="O1039" s="171"/>
      <c r="P1039"/>
      <c r="Q1039"/>
      <c r="R1039" s="125"/>
      <c r="S1039" s="125"/>
      <c r="T1039" s="125"/>
      <c r="U1039" s="10"/>
      <c r="V1039" s="96">
        <f>IF(F1039&lt;=$I$1033,V1038*(1+I1039),0)</f>
        <v>1</v>
      </c>
      <c r="W1039" s="92">
        <f>IF(F1039&lt;=I1033,W1038*(1+I1039),0)</f>
        <v>1</v>
      </c>
      <c r="X1039" s="126">
        <v>3</v>
      </c>
    </row>
    <row r="1040" spans="1:24" s="126" customFormat="1" x14ac:dyDescent="0.55000000000000004">
      <c r="A1040" s="117"/>
      <c r="B1040"/>
      <c r="C1040" s="124"/>
      <c r="D1040" s="124"/>
      <c r="E1040" s="124"/>
      <c r="F1040" s="89">
        <f>IF($I$1033&gt;=X1040,X1040,"")</f>
        <v>4</v>
      </c>
      <c r="G1040" s="91">
        <f>IF($I$1033&gt;=F1040,H1039+0.01,"")</f>
        <v>0.01</v>
      </c>
      <c r="H1040" s="50"/>
      <c r="I1040" s="61"/>
      <c r="J1040" s="13"/>
      <c r="K1040" s="95">
        <f>IF(F1040&lt;=$I$1033,K1039*(1+I1040),0)</f>
        <v>0</v>
      </c>
      <c r="L1040" s="31">
        <f>J1040*K1040</f>
        <v>0</v>
      </c>
      <c r="M1040" s="170"/>
      <c r="N1040" s="135"/>
      <c r="O1040" s="171"/>
      <c r="P1040"/>
      <c r="Q1040"/>
      <c r="R1040" s="125"/>
      <c r="S1040" s="125"/>
      <c r="T1040" s="125"/>
      <c r="U1040" s="10"/>
      <c r="V1040" s="96">
        <f>IF(F1040&lt;=$I$1033,V1039*(1+I1040),0)</f>
        <v>1</v>
      </c>
      <c r="W1040" s="92">
        <f>IF(F1040&lt;=I1033,W1039*(1+I1040),0)</f>
        <v>1</v>
      </c>
      <c r="X1040" s="126">
        <v>4</v>
      </c>
    </row>
    <row r="1041" spans="1:26" s="126" customFormat="1" x14ac:dyDescent="0.55000000000000004">
      <c r="A1041" s="117"/>
      <c r="B1041"/>
      <c r="C1041" s="124"/>
      <c r="D1041" s="124"/>
      <c r="E1041" s="124"/>
      <c r="F1041" s="89">
        <f>IF($I$1033&gt;=X1041,X1041,"")</f>
        <v>5</v>
      </c>
      <c r="G1041" s="91">
        <f>IF($I$1033&gt;=F1041,H1040+0.01,"")</f>
        <v>0.01</v>
      </c>
      <c r="H1041" s="89" t="s">
        <v>84</v>
      </c>
      <c r="I1041" s="61"/>
      <c r="J1041" s="13"/>
      <c r="K1041" s="95">
        <f>IF(F1041&lt;=$I$1033,K1040*(1+I1041),0)</f>
        <v>0</v>
      </c>
      <c r="L1041" s="31">
        <f>J1041*K1041</f>
        <v>0</v>
      </c>
      <c r="M1041" s="170"/>
      <c r="N1041" s="135"/>
      <c r="O1041" s="171"/>
      <c r="P1041"/>
      <c r="Q1041"/>
      <c r="R1041" s="125"/>
      <c r="S1041" s="125"/>
      <c r="T1041" s="125"/>
      <c r="U1041" s="10"/>
      <c r="V1041" s="96">
        <f>IF(F1041&lt;=$I$1033,V1040*(1+I1041),0)</f>
        <v>1</v>
      </c>
      <c r="W1041" s="92">
        <f>IF(F1041&lt;=I1033,W1040*(1+I1041),0)</f>
        <v>1</v>
      </c>
      <c r="X1041" s="126">
        <v>5</v>
      </c>
    </row>
    <row r="1042" spans="1:26" s="126" customFormat="1" ht="14.7" thickBot="1" x14ac:dyDescent="0.6">
      <c r="A1042" s="117"/>
      <c r="B1042"/>
      <c r="C1042" s="124"/>
      <c r="D1042" s="124"/>
      <c r="E1042" s="130"/>
      <c r="F1042" s="149"/>
      <c r="G1042" s="150"/>
      <c r="H1042" s="149"/>
      <c r="I1042" s="172"/>
      <c r="J1042" s="173"/>
      <c r="K1042" s="173"/>
      <c r="L1042" s="173"/>
      <c r="M1042" s="174"/>
      <c r="N1042" s="152"/>
      <c r="O1042" s="175"/>
      <c r="P1042" s="131"/>
      <c r="Q1042" s="131"/>
      <c r="R1042" s="132"/>
      <c r="S1042" s="125"/>
      <c r="T1042" s="125"/>
      <c r="U1042" s="10"/>
    </row>
    <row r="1043" spans="1:26" s="126" customFormat="1" ht="14.7" thickBot="1" x14ac:dyDescent="0.6">
      <c r="A1043" s="117"/>
      <c r="B1043"/>
      <c r="C1043" s="124"/>
      <c r="D1043" s="124"/>
      <c r="E1043"/>
      <c r="F1043" s="163"/>
      <c r="G1043" s="176"/>
      <c r="H1043" s="163"/>
      <c r="I1043" s="177"/>
      <c r="J1043" s="178"/>
      <c r="K1043" s="178"/>
      <c r="L1043" s="178"/>
      <c r="M1043" s="170"/>
      <c r="N1043" s="135"/>
      <c r="O1043" s="171"/>
      <c r="P1043"/>
      <c r="Q1043"/>
      <c r="R1043"/>
      <c r="S1043" s="125"/>
      <c r="T1043" s="125"/>
      <c r="U1043" s="10"/>
    </row>
    <row r="1044" spans="1:26" s="126" customFormat="1" x14ac:dyDescent="0.55000000000000004">
      <c r="A1044" s="117"/>
      <c r="B1044"/>
      <c r="C1044" s="124"/>
      <c r="D1044" s="124"/>
      <c r="E1044" s="121"/>
      <c r="F1044" s="179"/>
      <c r="G1044" s="180"/>
      <c r="H1044" s="179"/>
      <c r="I1044" s="181"/>
      <c r="J1044" s="182"/>
      <c r="K1044" s="182"/>
      <c r="L1044" s="182"/>
      <c r="M1044" s="183"/>
      <c r="N1044" s="184"/>
      <c r="O1044" s="185"/>
      <c r="P1044" s="122"/>
      <c r="Q1044" s="122"/>
      <c r="R1044" s="123"/>
      <c r="S1044" s="125"/>
      <c r="T1044" s="125"/>
      <c r="U1044" s="10"/>
    </row>
    <row r="1045" spans="1:26" s="126" customFormat="1" x14ac:dyDescent="0.55000000000000004">
      <c r="A1045" s="117"/>
      <c r="B1045"/>
      <c r="C1045" s="124"/>
      <c r="D1045" s="124"/>
      <c r="E1045" s="124"/>
      <c r="F1045" s="186" t="s">
        <v>344</v>
      </c>
      <c r="G1045" s="176"/>
      <c r="H1045" s="163"/>
      <c r="I1045" s="177"/>
      <c r="J1045" s="178"/>
      <c r="K1045" s="178"/>
      <c r="L1045" s="178"/>
      <c r="M1045" s="170"/>
      <c r="N1045" s="135"/>
      <c r="O1045" s="187"/>
      <c r="P1045"/>
      <c r="Q1045"/>
      <c r="R1045" s="125"/>
      <c r="S1045" s="125"/>
      <c r="T1045" s="125"/>
      <c r="U1045" s="10"/>
    </row>
    <row r="1046" spans="1:26" s="126" customFormat="1" ht="14.55" customHeight="1" x14ac:dyDescent="0.55000000000000004">
      <c r="A1046" s="117"/>
      <c r="B1046"/>
      <c r="C1046" s="124"/>
      <c r="D1046" s="124"/>
      <c r="E1046" s="124"/>
      <c r="F1046" s="1804" t="s">
        <v>562</v>
      </c>
      <c r="G1046" s="1804"/>
      <c r="H1046" s="1804"/>
      <c r="I1046" s="1804"/>
      <c r="J1046" s="1804"/>
      <c r="K1046" s="1804"/>
      <c r="L1046" s="1804"/>
      <c r="M1046" s="1804"/>
      <c r="N1046" s="1804"/>
      <c r="O1046" s="1804"/>
      <c r="P1046" s="1804"/>
      <c r="Q1046" s="1804"/>
      <c r="R1046" s="125"/>
      <c r="S1046" s="125"/>
      <c r="T1046" s="125"/>
      <c r="U1046" s="10"/>
    </row>
    <row r="1047" spans="1:26" s="126" customFormat="1" x14ac:dyDescent="0.55000000000000004">
      <c r="A1047" s="117"/>
      <c r="B1047"/>
      <c r="C1047" s="124"/>
      <c r="D1047" s="124"/>
      <c r="E1047" s="124"/>
      <c r="F1047" s="1804"/>
      <c r="G1047" s="1804"/>
      <c r="H1047" s="1804"/>
      <c r="I1047" s="1804"/>
      <c r="J1047" s="1804"/>
      <c r="K1047" s="1804"/>
      <c r="L1047" s="1804"/>
      <c r="M1047" s="1804"/>
      <c r="N1047" s="1804"/>
      <c r="O1047" s="1804"/>
      <c r="P1047" s="1804"/>
      <c r="Q1047" s="1804"/>
      <c r="R1047" s="125"/>
      <c r="S1047" s="125"/>
      <c r="T1047" s="125"/>
      <c r="U1047" s="10"/>
    </row>
    <row r="1048" spans="1:26" s="126" customFormat="1" x14ac:dyDescent="0.55000000000000004">
      <c r="A1048" s="117"/>
      <c r="B1048"/>
      <c r="C1048" s="124"/>
      <c r="D1048" s="124"/>
      <c r="E1048" s="124"/>
      <c r="F1048" s="186"/>
      <c r="G1048" s="176"/>
      <c r="H1048" s="163"/>
      <c r="I1048" s="177"/>
      <c r="J1048" s="178"/>
      <c r="K1048" s="178"/>
      <c r="L1048" s="178"/>
      <c r="M1048" s="170"/>
      <c r="N1048" s="135"/>
      <c r="O1048" s="187"/>
      <c r="P1048"/>
      <c r="Q1048"/>
      <c r="R1048" s="125"/>
      <c r="S1048" s="125"/>
      <c r="T1048" s="125"/>
      <c r="U1048" s="10"/>
    </row>
    <row r="1049" spans="1:26" s="126" customFormat="1" x14ac:dyDescent="0.55000000000000004">
      <c r="A1049" s="117"/>
      <c r="B1049"/>
      <c r="C1049" s="124"/>
      <c r="D1049" s="124"/>
      <c r="E1049" s="124"/>
      <c r="F1049" s="164" t="s">
        <v>88</v>
      </c>
      <c r="G1049" s="10"/>
      <c r="H1049" s="163"/>
      <c r="I1049" s="50">
        <v>5</v>
      </c>
      <c r="J1049" s="178"/>
      <c r="K1049" s="178"/>
      <c r="L1049" s="178"/>
      <c r="M1049" s="170"/>
      <c r="N1049" s="135"/>
      <c r="O1049" s="187"/>
      <c r="P1049"/>
      <c r="Q1049"/>
      <c r="R1049" s="125"/>
      <c r="S1049" s="125"/>
      <c r="T1049" s="125"/>
      <c r="U1049" s="10"/>
    </row>
    <row r="1050" spans="1:26" s="126" customFormat="1" x14ac:dyDescent="0.55000000000000004">
      <c r="A1050" s="117"/>
      <c r="B1050"/>
      <c r="C1050" s="124"/>
      <c r="D1050" s="124"/>
      <c r="E1050" s="124"/>
      <c r="F1050" t="s">
        <v>346</v>
      </c>
      <c r="G1050" s="10"/>
      <c r="H1050" s="163"/>
      <c r="I1050" s="13"/>
      <c r="J1050" s="178"/>
      <c r="K1050" s="178"/>
      <c r="L1050" s="178"/>
      <c r="M1050" s="170"/>
      <c r="N1050" s="135"/>
      <c r="O1050" s="187"/>
      <c r="P1050"/>
      <c r="Q1050"/>
      <c r="R1050" s="125"/>
      <c r="S1050" s="125"/>
      <c r="T1050" s="125"/>
      <c r="U1050" s="10"/>
    </row>
    <row r="1051" spans="1:26" s="126" customFormat="1" x14ac:dyDescent="0.55000000000000004">
      <c r="A1051" s="117"/>
      <c r="B1051"/>
      <c r="C1051" s="124"/>
      <c r="D1051" s="124"/>
      <c r="E1051" s="124"/>
      <c r="F1051" t="s">
        <v>347</v>
      </c>
      <c r="G1051" s="10"/>
      <c r="H1051" s="163"/>
      <c r="I1051" s="13"/>
      <c r="J1051" s="178"/>
      <c r="K1051" s="178"/>
      <c r="L1051" s="178"/>
      <c r="M1051" s="170"/>
      <c r="N1051" s="135"/>
      <c r="O1051" s="187"/>
      <c r="P1051"/>
      <c r="Q1051"/>
      <c r="R1051" s="125"/>
      <c r="S1051" s="125"/>
      <c r="T1051" s="125"/>
      <c r="U1051" s="10"/>
    </row>
    <row r="1052" spans="1:26" s="126" customFormat="1" x14ac:dyDescent="0.55000000000000004">
      <c r="A1052" s="117"/>
      <c r="B1052"/>
      <c r="C1052" s="124"/>
      <c r="D1052" s="124"/>
      <c r="E1052" s="124"/>
      <c r="F1052" t="s">
        <v>366</v>
      </c>
      <c r="G1052" s="10"/>
      <c r="H1052"/>
      <c r="I1052" s="93"/>
      <c r="J1052"/>
      <c r="K1052" s="178"/>
      <c r="L1052" s="178"/>
      <c r="M1052" s="170"/>
      <c r="N1052" s="135"/>
      <c r="O1052" s="187"/>
      <c r="P1052"/>
      <c r="Q1052"/>
      <c r="R1052" s="125"/>
      <c r="S1052" s="125"/>
      <c r="T1052" s="125"/>
      <c r="U1052" s="10"/>
    </row>
    <row r="1053" spans="1:26" s="126" customFormat="1" x14ac:dyDescent="0.55000000000000004">
      <c r="A1053" s="117"/>
      <c r="B1053"/>
      <c r="C1053" s="124"/>
      <c r="D1053" s="124"/>
      <c r="E1053" s="124"/>
      <c r="F1053" s="10" t="s">
        <v>612</v>
      </c>
      <c r="H1053"/>
      <c r="I1053" s="159" t="s">
        <v>578</v>
      </c>
      <c r="J1053"/>
      <c r="K1053" s="178"/>
      <c r="L1053" s="178"/>
      <c r="M1053" s="170"/>
      <c r="N1053" s="135"/>
      <c r="O1053" s="187"/>
      <c r="P1053"/>
      <c r="Q1053"/>
      <c r="R1053" s="125"/>
      <c r="S1053" s="125"/>
      <c r="T1053" s="125"/>
      <c r="U1053" s="10"/>
    </row>
    <row r="1054" spans="1:26" s="126" customFormat="1" x14ac:dyDescent="0.55000000000000004">
      <c r="A1054" s="117"/>
      <c r="B1054"/>
      <c r="C1054" s="124"/>
      <c r="D1054" s="124"/>
      <c r="E1054" s="124"/>
      <c r="F1054"/>
      <c r="G1054"/>
      <c r="H1054"/>
      <c r="I1054" s="188"/>
      <c r="J1054"/>
      <c r="K1054" s="178"/>
      <c r="L1054" s="178"/>
      <c r="M1054" s="170"/>
      <c r="N1054" s="135"/>
      <c r="O1054" s="187"/>
      <c r="P1054"/>
      <c r="Q1054"/>
      <c r="R1054" s="125"/>
      <c r="S1054" s="125"/>
      <c r="T1054" s="125"/>
      <c r="U1054" s="10"/>
    </row>
    <row r="1055" spans="1:26" s="126" customFormat="1" ht="57.6" x14ac:dyDescent="0.55000000000000004">
      <c r="A1055" s="117"/>
      <c r="B1055"/>
      <c r="C1055" s="124"/>
      <c r="D1055" s="124"/>
      <c r="E1055" s="124"/>
      <c r="F1055" s="56" t="s">
        <v>91</v>
      </c>
      <c r="G1055" s="56" t="s">
        <v>92</v>
      </c>
      <c r="H1055" s="129" t="s">
        <v>80</v>
      </c>
      <c r="I1055" s="56" t="s">
        <v>367</v>
      </c>
      <c r="J1055" s="56" t="s">
        <v>368</v>
      </c>
      <c r="K1055" s="56" t="s">
        <v>341</v>
      </c>
      <c r="L1055" s="56" t="s">
        <v>342</v>
      </c>
      <c r="M1055" s="166" t="s">
        <v>351</v>
      </c>
      <c r="N1055" s="56" t="s">
        <v>352</v>
      </c>
      <c r="O1055" s="56" t="s">
        <v>353</v>
      </c>
      <c r="P1055" s="56" t="s">
        <v>354</v>
      </c>
      <c r="Q1055" s="56" t="s">
        <v>355</v>
      </c>
      <c r="R1055" s="125"/>
      <c r="S1055" s="125"/>
      <c r="T1055" s="125"/>
      <c r="U1055" s="10"/>
      <c r="V1055" s="189" t="s">
        <v>616</v>
      </c>
      <c r="W1055" s="168" t="s">
        <v>617</v>
      </c>
      <c r="X1055" s="189" t="s">
        <v>618</v>
      </c>
      <c r="Y1055" s="168" t="s">
        <v>619</v>
      </c>
    </row>
    <row r="1056" spans="1:26" s="126" customFormat="1" x14ac:dyDescent="0.55000000000000004">
      <c r="A1056" s="117"/>
      <c r="B1056"/>
      <c r="C1056" s="124"/>
      <c r="D1056" s="124"/>
      <c r="E1056" s="124"/>
      <c r="F1056" s="89">
        <f>IF($I$1049=Z1056,Z1056,1)</f>
        <v>1</v>
      </c>
      <c r="G1056" s="91">
        <v>0</v>
      </c>
      <c r="H1056" s="50"/>
      <c r="I1056" s="169"/>
      <c r="J1056" s="63"/>
      <c r="K1056" s="21">
        <f>I1050-SUMIF(F1057:F1060,"&lt;="&amp;$I$1049,K1057:K1060)</f>
        <v>0</v>
      </c>
      <c r="L1056" s="31">
        <f>I1051-SUMIF(F1057:F1060,"&lt;="&amp;$I$1049,L1057:L1060)</f>
        <v>0</v>
      </c>
      <c r="M1056" s="44">
        <f ca="1">IFERROR(IF(G1026=V1026,0,IF(F1056&lt;=I1049,IF(I1053="No",(L1010-J1018)/(SUMPRODUCT(V1056:V1060,K1056:K1060)+SUMPRODUCT(W1056:W1060,L1056:L1060)),0)*I1052,0)),0)</f>
        <v>0</v>
      </c>
      <c r="N1056" s="44">
        <f ca="1">IFERROR(IF(G1026=V1026,0,IF(F1056&lt;=I1049,IF(I1053="No",(L1010-J1018)/(SUMPRODUCT(V1056:V1060,K1056:K1060)+SUMPRODUCT(W1056:W1060,L1056:L1060)),0),0)),0)</f>
        <v>0</v>
      </c>
      <c r="O1056" s="97" t="str">
        <f ca="1">IFERROR(M1056/N1056,"")</f>
        <v/>
      </c>
      <c r="P1056" s="26">
        <f t="shared" ref="P1056:Q1060" ca="1" si="16">K1056*M1056</f>
        <v>0</v>
      </c>
      <c r="Q1056" s="26">
        <f t="shared" ca="1" si="16"/>
        <v>0</v>
      </c>
      <c r="R1056" s="125"/>
      <c r="S1056" s="125"/>
      <c r="T1056" s="125"/>
      <c r="U1056" s="10"/>
      <c r="V1056" s="92">
        <f>IF(F1056&lt;=$I$1049,1*$I$1052,0)</f>
        <v>0</v>
      </c>
      <c r="W1056" s="96">
        <f>IF(F1056&lt;=$I$1049,1,0)</f>
        <v>1</v>
      </c>
      <c r="X1056" s="92"/>
      <c r="Y1056" s="96"/>
      <c r="Z1056" s="126">
        <v>1</v>
      </c>
    </row>
    <row r="1057" spans="1:26" s="126" customFormat="1" x14ac:dyDescent="0.55000000000000004">
      <c r="A1057" s="117"/>
      <c r="B1057"/>
      <c r="C1057" s="124"/>
      <c r="D1057" s="124"/>
      <c r="E1057" s="124"/>
      <c r="F1057" s="89">
        <f>IF($I$1049&gt;=Z1057,Z1057,"")</f>
        <v>2</v>
      </c>
      <c r="G1057" s="91">
        <f>IF($I$1049&gt;=F1057,H1056+0.01,"")</f>
        <v>0.01</v>
      </c>
      <c r="H1057" s="50"/>
      <c r="I1057" s="61"/>
      <c r="J1057" s="61"/>
      <c r="K1057" s="13"/>
      <c r="L1057" s="13"/>
      <c r="M1057" s="44">
        <f ca="1">IF(F1057&lt;=I1049,IF(I1053="No",M1056*(1+I1057),N1057*I1052),0)</f>
        <v>0</v>
      </c>
      <c r="N1057" s="44">
        <f ca="1">IF(F1057&lt;=I1049,IF(I1053="No",N1056*(1+J1057),(L1010-J1018)/(I1052*SUMPRODUCT(X1057:X1060,K1057:K1060)+SUMPRODUCT(Y1057:Y1060,L1057:L1060))),0)</f>
        <v>0</v>
      </c>
      <c r="O1057" s="97" t="str">
        <f ca="1">IFERROR(M1057/N1057,"")</f>
        <v/>
      </c>
      <c r="P1057" s="26">
        <f t="shared" ca="1" si="16"/>
        <v>0</v>
      </c>
      <c r="Q1057" s="26">
        <f t="shared" ca="1" si="16"/>
        <v>0</v>
      </c>
      <c r="R1057" s="125"/>
      <c r="S1057" s="125"/>
      <c r="T1057" s="125"/>
      <c r="U1057" s="10"/>
      <c r="V1057" s="92">
        <f>IF(F1057&lt;=$I$1049,V1056*(1+I1057),0)</f>
        <v>0</v>
      </c>
      <c r="W1057" s="96">
        <f>IF(F1057&lt;=$I$1049,(1+J1057),0)</f>
        <v>1</v>
      </c>
      <c r="X1057" s="92">
        <v>1</v>
      </c>
      <c r="Y1057" s="96">
        <f>IF(F1057&lt;=I1049,1,0)</f>
        <v>1</v>
      </c>
      <c r="Z1057" s="126">
        <v>2</v>
      </c>
    </row>
    <row r="1058" spans="1:26" s="126" customFormat="1" x14ac:dyDescent="0.55000000000000004">
      <c r="A1058" s="117"/>
      <c r="B1058"/>
      <c r="C1058" s="124"/>
      <c r="D1058" s="124"/>
      <c r="E1058" s="124"/>
      <c r="F1058" s="89">
        <f>IF($I$1049&gt;=Z1058,Z1058,"")</f>
        <v>3</v>
      </c>
      <c r="G1058" s="91">
        <f>IF($I$1049&gt;=F1058,H1057+0.01,"")</f>
        <v>0.01</v>
      </c>
      <c r="H1058" s="50"/>
      <c r="I1058" s="61"/>
      <c r="J1058" s="61"/>
      <c r="K1058" s="13"/>
      <c r="L1058" s="13"/>
      <c r="M1058" s="36">
        <f ca="1">IF(F1058&lt;=$I$1049,M1057*(1+I1058),0)</f>
        <v>0</v>
      </c>
      <c r="N1058" s="36">
        <f ca="1">IF(F1058&lt;=$I$1049,N1057*(1+J1058),0)</f>
        <v>0</v>
      </c>
      <c r="O1058" s="97" t="str">
        <f ca="1">IFERROR(M1058/N1058,"")</f>
        <v/>
      </c>
      <c r="P1058" s="26">
        <f t="shared" ca="1" si="16"/>
        <v>0</v>
      </c>
      <c r="Q1058" s="26">
        <f t="shared" ca="1" si="16"/>
        <v>0</v>
      </c>
      <c r="R1058" s="125"/>
      <c r="S1058" s="125"/>
      <c r="T1058" s="125"/>
      <c r="U1058" s="10"/>
      <c r="V1058" s="92">
        <f>IF(F1058&lt;=$I$1049,V1057*(1+I1058),0)</f>
        <v>0</v>
      </c>
      <c r="W1058" s="96">
        <f>IF(F1058&lt;=$I$1049,W1057*(1+J1058),0)</f>
        <v>1</v>
      </c>
      <c r="X1058" s="92">
        <f>IF(F1058&lt;=I1049,X1057*(1+I1058),0)</f>
        <v>1</v>
      </c>
      <c r="Y1058" s="96">
        <f>IF(F1058&lt;=I1049,Y1057*(1+J1058),0)</f>
        <v>1</v>
      </c>
      <c r="Z1058" s="126">
        <v>3</v>
      </c>
    </row>
    <row r="1059" spans="1:26" s="126" customFormat="1" x14ac:dyDescent="0.55000000000000004">
      <c r="A1059" s="117"/>
      <c r="B1059"/>
      <c r="C1059" s="124"/>
      <c r="D1059" s="124"/>
      <c r="E1059" s="124"/>
      <c r="F1059" s="89">
        <f>IF($I$1049&gt;=Z1059,Z1059,"")</f>
        <v>4</v>
      </c>
      <c r="G1059" s="91">
        <f>IF($I$1049&gt;=F1059,H1058+0.01,"")</f>
        <v>0.01</v>
      </c>
      <c r="H1059" s="50"/>
      <c r="I1059" s="61"/>
      <c r="J1059" s="61"/>
      <c r="K1059" s="13"/>
      <c r="L1059" s="13"/>
      <c r="M1059" s="36">
        <f ca="1">IF(F1059&lt;=$I$1049,M1058*(1+I1059),0)</f>
        <v>0</v>
      </c>
      <c r="N1059" s="36">
        <f ca="1">IF(F1059&lt;=$I$1049,N1058*(1+J1059),0)</f>
        <v>0</v>
      </c>
      <c r="O1059" s="97" t="str">
        <f ca="1">IFERROR(M1059/N1059,"")</f>
        <v/>
      </c>
      <c r="P1059" s="26">
        <f t="shared" ca="1" si="16"/>
        <v>0</v>
      </c>
      <c r="Q1059" s="26">
        <f t="shared" ca="1" si="16"/>
        <v>0</v>
      </c>
      <c r="R1059" s="125"/>
      <c r="S1059" s="125"/>
      <c r="T1059" s="125"/>
      <c r="U1059" s="10"/>
      <c r="V1059" s="92">
        <f>IF(F1059&lt;=$I$1049,V1058*(1+I1059),0)</f>
        <v>0</v>
      </c>
      <c r="W1059" s="96">
        <f>IF(F1059&lt;=$I$1049,W1058*(1+J1059),0)</f>
        <v>1</v>
      </c>
      <c r="X1059" s="92">
        <f>IF(F1059&lt;=I1049,X1058*(1+I1059),0)</f>
        <v>1</v>
      </c>
      <c r="Y1059" s="96">
        <f>IF(F1059&lt;=I1049,Y1058*(1+J1059),0)</f>
        <v>1</v>
      </c>
      <c r="Z1059" s="126">
        <v>4</v>
      </c>
    </row>
    <row r="1060" spans="1:26" s="126" customFormat="1" x14ac:dyDescent="0.55000000000000004">
      <c r="A1060" s="117"/>
      <c r="B1060"/>
      <c r="C1060" s="124"/>
      <c r="D1060" s="124"/>
      <c r="E1060" s="124"/>
      <c r="F1060" s="89">
        <f>IF($I$1049&gt;=Z1060,Z1060,"")</f>
        <v>5</v>
      </c>
      <c r="G1060" s="91">
        <f>IF($I$1049&gt;=F1060,H1059+0.01,"")</f>
        <v>0.01</v>
      </c>
      <c r="H1060" s="89" t="s">
        <v>84</v>
      </c>
      <c r="I1060" s="61"/>
      <c r="J1060" s="61"/>
      <c r="K1060" s="13"/>
      <c r="L1060" s="13"/>
      <c r="M1060" s="36">
        <f ca="1">IF(F1060&lt;=$I$1049,M1059*(1+I1060),0)</f>
        <v>0</v>
      </c>
      <c r="N1060" s="36">
        <f ca="1">IF(F1060&lt;=$I$1049,N1059*(1+J1060),0)</f>
        <v>0</v>
      </c>
      <c r="O1060" s="97" t="str">
        <f ca="1">IFERROR(M1060/N1060,"")</f>
        <v/>
      </c>
      <c r="P1060" s="26">
        <f t="shared" ca="1" si="16"/>
        <v>0</v>
      </c>
      <c r="Q1060" s="26">
        <f t="shared" ca="1" si="16"/>
        <v>0</v>
      </c>
      <c r="R1060" s="125"/>
      <c r="S1060" s="125"/>
      <c r="T1060" s="125"/>
      <c r="U1060" s="10"/>
      <c r="V1060" s="92">
        <f>IF(F1060&lt;=$I$1049,V1059*(1+I1060),0)</f>
        <v>0</v>
      </c>
      <c r="W1060" s="96">
        <f>IF(F1060&lt;=$I$1049,W1059*(1+J1060),0)</f>
        <v>1</v>
      </c>
      <c r="X1060" s="92">
        <f>IF(F1060&lt;=I1049,X1059*(1+I1060),0)</f>
        <v>1</v>
      </c>
      <c r="Y1060" s="96">
        <f>IF(F1060&lt;=I1049,Y1059*(1+J1060),0)</f>
        <v>1</v>
      </c>
      <c r="Z1060" s="126">
        <v>5</v>
      </c>
    </row>
    <row r="1061" spans="1:26" s="126" customFormat="1" ht="14.7" thickBot="1" x14ac:dyDescent="0.6">
      <c r="A1061" s="117"/>
      <c r="B1061"/>
      <c r="C1061" s="124"/>
      <c r="D1061" s="124"/>
      <c r="E1061" s="130"/>
      <c r="F1061" s="131"/>
      <c r="G1061" s="131"/>
      <c r="H1061" s="131"/>
      <c r="I1061" s="131"/>
      <c r="J1061" s="131"/>
      <c r="K1061" s="131"/>
      <c r="L1061" s="131"/>
      <c r="M1061" s="131"/>
      <c r="N1061" s="131"/>
      <c r="O1061" s="131"/>
      <c r="P1061" s="131"/>
      <c r="Q1061" s="131"/>
      <c r="R1061" s="132"/>
      <c r="S1061" s="125"/>
      <c r="T1061" s="125"/>
      <c r="U1061" s="10"/>
    </row>
    <row r="1062" spans="1:26" s="126" customFormat="1" ht="14.7" thickBot="1" x14ac:dyDescent="0.6">
      <c r="A1062" s="117"/>
      <c r="B1062"/>
      <c r="C1062" s="124"/>
      <c r="D1062" s="130"/>
      <c r="E1062" s="131"/>
      <c r="F1062" s="131"/>
      <c r="G1062" s="131"/>
      <c r="H1062" s="131"/>
      <c r="I1062" s="131"/>
      <c r="J1062" s="131"/>
      <c r="K1062" s="131"/>
      <c r="L1062" s="131"/>
      <c r="M1062" s="131"/>
      <c r="N1062" s="131"/>
      <c r="O1062" s="131"/>
      <c r="P1062" s="131"/>
      <c r="Q1062" s="131"/>
      <c r="R1062" s="131"/>
      <c r="S1062" s="132"/>
      <c r="T1062" s="125"/>
      <c r="U1062" s="10"/>
    </row>
    <row r="1063" spans="1:26" s="126" customFormat="1" ht="14.7" thickBot="1" x14ac:dyDescent="0.6">
      <c r="A1063" s="117"/>
      <c r="B1063"/>
      <c r="C1063" s="130"/>
      <c r="D1063" s="131"/>
      <c r="E1063" s="131"/>
      <c r="F1063" s="131"/>
      <c r="G1063" s="131"/>
      <c r="H1063" s="131"/>
      <c r="I1063" s="131"/>
      <c r="J1063" s="131"/>
      <c r="K1063" s="131"/>
      <c r="L1063" s="131"/>
      <c r="M1063" s="131"/>
      <c r="N1063" s="131"/>
      <c r="O1063" s="131"/>
      <c r="P1063" s="131"/>
      <c r="Q1063" s="131"/>
      <c r="R1063" s="131"/>
      <c r="S1063" s="131"/>
      <c r="T1063" s="132"/>
      <c r="U1063" s="10"/>
    </row>
    <row r="1064" spans="1:26" s="126" customFormat="1" ht="14.7" thickBot="1" x14ac:dyDescent="0.6">
      <c r="A1064" s="117"/>
      <c r="B1064"/>
      <c r="C1064"/>
      <c r="D1064"/>
      <c r="E1064"/>
      <c r="F1064"/>
      <c r="G1064"/>
      <c r="H1064"/>
      <c r="I1064"/>
      <c r="J1064"/>
      <c r="K1064"/>
      <c r="L1064"/>
      <c r="M1064"/>
      <c r="N1064"/>
      <c r="O1064"/>
      <c r="P1064"/>
      <c r="Q1064"/>
      <c r="R1064"/>
      <c r="S1064"/>
      <c r="T1064"/>
      <c r="U1064" s="10"/>
    </row>
    <row r="1065" spans="1:26" s="126" customFormat="1" x14ac:dyDescent="0.55000000000000004">
      <c r="A1065" s="117"/>
      <c r="B1065"/>
      <c r="C1065" s="121"/>
      <c r="D1065" s="122"/>
      <c r="E1065" s="122"/>
      <c r="F1065" s="122"/>
      <c r="G1065" s="122"/>
      <c r="H1065" s="122"/>
      <c r="I1065" s="122"/>
      <c r="J1065" s="122"/>
      <c r="K1065" s="122"/>
      <c r="L1065" s="122"/>
      <c r="M1065" s="122"/>
      <c r="N1065" s="122"/>
      <c r="O1065" s="122"/>
      <c r="P1065" s="122"/>
      <c r="Q1065" s="122"/>
      <c r="R1065" s="122"/>
      <c r="S1065" s="122"/>
      <c r="T1065" s="123"/>
      <c r="U1065" s="10"/>
    </row>
    <row r="1066" spans="1:26" s="126" customFormat="1" ht="18.3" x14ac:dyDescent="0.7">
      <c r="A1066" s="117"/>
      <c r="B1066"/>
      <c r="C1066" s="124"/>
      <c r="D1066" s="1822">
        <f>'2 Customer data'!D110</f>
        <v>0</v>
      </c>
      <c r="E1066" s="1822"/>
      <c r="F1066" s="1822"/>
      <c r="G1066" s="1822"/>
      <c r="H1066" s="1822"/>
      <c r="I1066" s="1822"/>
      <c r="J1066" s="1822"/>
      <c r="K1066" s="1822"/>
      <c r="L1066" s="1822"/>
      <c r="M1066" s="1822"/>
      <c r="N1066" s="1822"/>
      <c r="O1066" s="1822"/>
      <c r="P1066" s="1822"/>
      <c r="Q1066" s="1822"/>
      <c r="R1066" s="1822"/>
      <c r="S1066" s="1822"/>
      <c r="T1066" s="125"/>
      <c r="U1066" s="10"/>
    </row>
    <row r="1067" spans="1:26" s="126" customFormat="1" ht="14.7" thickBot="1" x14ac:dyDescent="0.6">
      <c r="A1067" s="117"/>
      <c r="B1067"/>
      <c r="C1067" s="124"/>
      <c r="D1067"/>
      <c r="E1067"/>
      <c r="F1067"/>
      <c r="G1067"/>
      <c r="H1067"/>
      <c r="I1067"/>
      <c r="J1067"/>
      <c r="K1067"/>
      <c r="L1067"/>
      <c r="M1067"/>
      <c r="N1067"/>
      <c r="O1067"/>
      <c r="P1067"/>
      <c r="Q1067"/>
      <c r="R1067"/>
      <c r="S1067"/>
      <c r="T1067" s="125"/>
      <c r="U1067" s="10"/>
    </row>
    <row r="1068" spans="1:26" s="126" customFormat="1" x14ac:dyDescent="0.55000000000000004">
      <c r="A1068" s="117"/>
      <c r="B1068"/>
      <c r="C1068" s="124"/>
      <c r="D1068" s="121"/>
      <c r="E1068" s="122"/>
      <c r="F1068" s="122"/>
      <c r="G1068" s="122"/>
      <c r="H1068" s="122"/>
      <c r="I1068" s="122"/>
      <c r="J1068" s="122"/>
      <c r="K1068" s="122"/>
      <c r="L1068" s="122"/>
      <c r="M1068" s="122"/>
      <c r="N1068" s="122"/>
      <c r="O1068" s="122"/>
      <c r="P1068" s="122"/>
      <c r="Q1068" s="122"/>
      <c r="R1068" s="122"/>
      <c r="S1068" s="123"/>
      <c r="T1068" s="125"/>
      <c r="U1068" s="10"/>
    </row>
    <row r="1069" spans="1:26" s="126" customFormat="1" x14ac:dyDescent="0.55000000000000004">
      <c r="A1069" s="117"/>
      <c r="B1069"/>
      <c r="C1069" s="124"/>
      <c r="D1069" s="124"/>
      <c r="E1069"/>
      <c r="F1069" s="1" t="str">
        <f>'2 Customer data'!D220&amp;" "&amp;"information"</f>
        <v xml:space="preserve"> information</v>
      </c>
      <c r="G1069"/>
      <c r="H1069"/>
      <c r="I1069"/>
      <c r="J1069"/>
      <c r="K1069"/>
      <c r="L1069"/>
      <c r="M1069"/>
      <c r="N1069"/>
      <c r="O1069"/>
      <c r="P1069"/>
      <c r="Q1069"/>
      <c r="R1069"/>
      <c r="S1069" s="125"/>
      <c r="T1069" s="125"/>
      <c r="U1069" s="10"/>
    </row>
    <row r="1070" spans="1:26" s="126" customFormat="1" x14ac:dyDescent="0.55000000000000004">
      <c r="A1070" s="117"/>
      <c r="B1070"/>
      <c r="C1070" s="124"/>
      <c r="D1070" s="124"/>
      <c r="E1070"/>
      <c r="F1070"/>
      <c r="G1070"/>
      <c r="H1070"/>
      <c r="I1070"/>
      <c r="J1070"/>
      <c r="K1070"/>
      <c r="L1070"/>
      <c r="M1070"/>
      <c r="N1070"/>
      <c r="O1070"/>
      <c r="P1070"/>
      <c r="Q1070"/>
      <c r="R1070"/>
      <c r="S1070" s="125"/>
      <c r="T1070" s="125"/>
      <c r="U1070" s="10"/>
    </row>
    <row r="1071" spans="1:26" s="126" customFormat="1" ht="28.8" x14ac:dyDescent="0.55000000000000004">
      <c r="A1071" s="117"/>
      <c r="B1071"/>
      <c r="C1071" s="124"/>
      <c r="D1071" s="124"/>
      <c r="E1071"/>
      <c r="F1071"/>
      <c r="G1071" s="56" t="s">
        <v>28</v>
      </c>
      <c r="H1071" s="56" t="s">
        <v>345</v>
      </c>
      <c r="I1071" s="56" t="s">
        <v>60</v>
      </c>
      <c r="J1071" s="56" t="s">
        <v>249</v>
      </c>
      <c r="K1071" s="56" t="s">
        <v>279</v>
      </c>
      <c r="L1071" s="56" t="s">
        <v>357</v>
      </c>
      <c r="M1071"/>
      <c r="N1071" s="162"/>
      <c r="O1071"/>
      <c r="P1071"/>
      <c r="Q1071"/>
      <c r="R1071"/>
      <c r="S1071" s="125"/>
      <c r="T1071" s="125"/>
      <c r="U1071" s="10"/>
    </row>
    <row r="1072" spans="1:26" s="126" customFormat="1" x14ac:dyDescent="0.55000000000000004">
      <c r="A1072" s="117"/>
      <c r="B1072"/>
      <c r="C1072" s="124"/>
      <c r="D1072" s="124"/>
      <c r="E1072"/>
      <c r="F1072">
        <f>'2 Customer data'!D110</f>
        <v>0</v>
      </c>
      <c r="G1072" s="94">
        <f>IFERROR(IF(VLOOKUP(F1072,'2 Customer data'!$D$93:$N$112,7,FALSE)="",VLOOKUP(F1072,'2 Customer data'!$D$93:$N$112,6,FALSE),VLOOKUP(F1072,'2 Customer data'!$D$93:$N$112,7,FALSE)),0)</f>
        <v>0</v>
      </c>
      <c r="H1072" s="26">
        <f>IFERROR(IF(VLOOKUP(F1072,'2 Customer data'!$D$93:$N$112,9,FALSE)="",VLOOKUP(F1072,'2 Customer data'!$D$93:$N$112,8,FALSE),VLOOKUP(F1072,'2 Customer data'!$D$93:$N$112,9,FALSE)),0)</f>
        <v>0</v>
      </c>
      <c r="I1072" s="26">
        <f ca="1">IFERROR(VLOOKUP($F1072,'2 Electricity'!$D$21:$L$40,6,FALSE),0)</f>
        <v>0</v>
      </c>
      <c r="J1072" s="26">
        <f ca="1">IFERROR(VLOOKUP($F1072,'2 Electricity'!$D$21:$L$40,7,FALSE),0)</f>
        <v>0</v>
      </c>
      <c r="K1072" s="26">
        <f ca="1">IFERROR(VLOOKUP($F1072,'2 Electricity'!$D$21:$L$40,8,FALSE),0)</f>
        <v>0</v>
      </c>
      <c r="L1072" s="26">
        <f ca="1">IFERROR(VLOOKUP(F1072,'2 Electricity'!$D$157:$K$176,8,FALSE),0)</f>
        <v>0</v>
      </c>
      <c r="M1072"/>
      <c r="N1072" s="134"/>
      <c r="O1072"/>
      <c r="P1072"/>
      <c r="Q1072"/>
      <c r="R1072"/>
      <c r="S1072" s="125"/>
      <c r="T1072" s="125"/>
      <c r="U1072" s="10"/>
    </row>
    <row r="1073" spans="1:22" s="126" customFormat="1" ht="14.7" thickBot="1" x14ac:dyDescent="0.6">
      <c r="A1073" s="117"/>
      <c r="B1073"/>
      <c r="C1073" s="124"/>
      <c r="D1073" s="130"/>
      <c r="E1073" s="131"/>
      <c r="F1073" s="131"/>
      <c r="G1073" s="131"/>
      <c r="H1073" s="131"/>
      <c r="I1073" s="131"/>
      <c r="J1073" s="131"/>
      <c r="K1073" s="131"/>
      <c r="L1073" s="131"/>
      <c r="M1073" s="131"/>
      <c r="N1073" s="131"/>
      <c r="O1073" s="131"/>
      <c r="P1073" s="131"/>
      <c r="Q1073" s="131"/>
      <c r="R1073" s="131"/>
      <c r="S1073" s="132"/>
      <c r="T1073" s="125"/>
      <c r="U1073" s="10"/>
    </row>
    <row r="1074" spans="1:22" s="126" customFormat="1" ht="14.7" thickBot="1" x14ac:dyDescent="0.6">
      <c r="A1074" s="117"/>
      <c r="B1074"/>
      <c r="C1074" s="124"/>
      <c r="D1074"/>
      <c r="E1074"/>
      <c r="F1074"/>
      <c r="G1074"/>
      <c r="H1074"/>
      <c r="I1074"/>
      <c r="J1074"/>
      <c r="K1074"/>
      <c r="L1074"/>
      <c r="M1074"/>
      <c r="N1074"/>
      <c r="O1074"/>
      <c r="P1074"/>
      <c r="Q1074"/>
      <c r="R1074"/>
      <c r="S1074"/>
      <c r="T1074" s="125"/>
      <c r="U1074" s="10"/>
    </row>
    <row r="1075" spans="1:22" s="126" customFormat="1" x14ac:dyDescent="0.55000000000000004">
      <c r="A1075" s="117"/>
      <c r="B1075"/>
      <c r="C1075" s="124"/>
      <c r="D1075" s="121"/>
      <c r="E1075" s="122"/>
      <c r="F1075" s="122"/>
      <c r="G1075" s="122"/>
      <c r="H1075" s="122"/>
      <c r="I1075" s="122"/>
      <c r="J1075" s="122"/>
      <c r="K1075" s="122"/>
      <c r="L1075" s="122"/>
      <c r="M1075" s="122"/>
      <c r="N1075" s="122"/>
      <c r="O1075" s="122"/>
      <c r="P1075" s="122"/>
      <c r="Q1075" s="122"/>
      <c r="R1075" s="122"/>
      <c r="S1075" s="123"/>
      <c r="T1075" s="125"/>
      <c r="U1075" s="10"/>
    </row>
    <row r="1076" spans="1:22" s="126" customFormat="1" x14ac:dyDescent="0.55000000000000004">
      <c r="A1076" s="117"/>
      <c r="B1076"/>
      <c r="C1076" s="124"/>
      <c r="D1076" s="124"/>
      <c r="E1076"/>
      <c r="F1076" s="1" t="s">
        <v>85</v>
      </c>
      <c r="G1076"/>
      <c r="H1076"/>
      <c r="I1076"/>
      <c r="J1076"/>
      <c r="K1076"/>
      <c r="L1076"/>
      <c r="M1076"/>
      <c r="N1076"/>
      <c r="O1076"/>
      <c r="P1076"/>
      <c r="Q1076"/>
      <c r="R1076"/>
      <c r="S1076" s="125"/>
      <c r="T1076" s="125"/>
      <c r="U1076" s="10"/>
    </row>
    <row r="1077" spans="1:22" s="126" customFormat="1" x14ac:dyDescent="0.55000000000000004">
      <c r="A1077" s="117"/>
      <c r="B1077"/>
      <c r="C1077" s="124"/>
      <c r="D1077" s="124"/>
      <c r="E1077"/>
      <c r="F1077" s="120" t="s">
        <v>555</v>
      </c>
      <c r="G1077"/>
      <c r="H1077"/>
      <c r="I1077"/>
      <c r="J1077"/>
      <c r="K1077"/>
      <c r="L1077"/>
      <c r="M1077"/>
      <c r="N1077"/>
      <c r="O1077"/>
      <c r="P1077"/>
      <c r="Q1077"/>
      <c r="R1077"/>
      <c r="S1077" s="125"/>
      <c r="T1077" s="125"/>
      <c r="U1077" s="10"/>
    </row>
    <row r="1078" spans="1:22" s="126" customFormat="1" x14ac:dyDescent="0.55000000000000004">
      <c r="A1078" s="117"/>
      <c r="B1078"/>
      <c r="C1078" s="124"/>
      <c r="D1078" s="124"/>
      <c r="E1078"/>
      <c r="F1078"/>
      <c r="G1078"/>
      <c r="H1078"/>
      <c r="I1078"/>
      <c r="J1078"/>
      <c r="K1078"/>
      <c r="L1078"/>
      <c r="M1078"/>
      <c r="N1078"/>
      <c r="O1078"/>
      <c r="P1078"/>
      <c r="Q1078"/>
      <c r="R1078"/>
      <c r="S1078" s="125"/>
      <c r="T1078" s="125"/>
      <c r="U1078" s="10"/>
    </row>
    <row r="1079" spans="1:22" s="126" customFormat="1" ht="43.2" x14ac:dyDescent="0.55000000000000004">
      <c r="A1079" s="117"/>
      <c r="B1079"/>
      <c r="C1079" s="124"/>
      <c r="D1079" s="124"/>
      <c r="E1079"/>
      <c r="F1079"/>
      <c r="G1079" s="56" t="s">
        <v>86</v>
      </c>
      <c r="H1079" s="56" t="s">
        <v>73</v>
      </c>
      <c r="I1079" s="56" t="s">
        <v>87</v>
      </c>
      <c r="J1079" s="56" t="s">
        <v>75</v>
      </c>
      <c r="K1079" s="56" t="s">
        <v>76</v>
      </c>
      <c r="L1079"/>
      <c r="M1079"/>
      <c r="N1079"/>
      <c r="O1079"/>
      <c r="P1079"/>
      <c r="Q1079"/>
      <c r="R1079"/>
      <c r="S1079" s="125"/>
      <c r="T1079" s="125"/>
      <c r="U1079" s="10"/>
    </row>
    <row r="1080" spans="1:22" s="126" customFormat="1" x14ac:dyDescent="0.55000000000000004">
      <c r="A1080" s="117"/>
      <c r="B1080"/>
      <c r="C1080" s="124"/>
      <c r="D1080" s="124"/>
      <c r="E1080"/>
      <c r="F1080">
        <f>F1072</f>
        <v>0</v>
      </c>
      <c r="G1080" s="26">
        <f ca="1">SUM(I1072,K1072)</f>
        <v>0</v>
      </c>
      <c r="H1080" s="64">
        <f ca="1">IFERROR(G1080/G1072,0)/12</f>
        <v>0</v>
      </c>
      <c r="I1080" s="84"/>
      <c r="J1080" s="26">
        <f>I1080*G1072*12</f>
        <v>0</v>
      </c>
      <c r="K1080" s="21">
        <f>J1080/12</f>
        <v>0</v>
      </c>
      <c r="L1080"/>
      <c r="M1080"/>
      <c r="N1080"/>
      <c r="O1080"/>
      <c r="P1080"/>
      <c r="Q1080"/>
      <c r="R1080"/>
      <c r="S1080" s="125"/>
      <c r="T1080" s="125"/>
      <c r="U1080" s="10"/>
    </row>
    <row r="1081" spans="1:22" s="126" customFormat="1" x14ac:dyDescent="0.55000000000000004">
      <c r="A1081" s="117"/>
      <c r="B1081"/>
      <c r="C1081" s="124"/>
      <c r="D1081" s="124"/>
      <c r="E1081" s="133"/>
      <c r="F1081" s="58" t="str">
        <f>IF(I1080&gt;I1070,"Error: revenue from fixed charges exceeds total revenue required from tariff. Reduce fixed charge.","")</f>
        <v/>
      </c>
      <c r="G1081" s="58" t="str">
        <f ca="1">IF(J1080&gt;L1072,"Error: revenue from fixed charges exceeds total revenue required from tariff. Reduce fixed charge.","")</f>
        <v/>
      </c>
      <c r="H1081" s="134"/>
      <c r="I1081" s="134"/>
      <c r="J1081" s="135"/>
      <c r="K1081"/>
      <c r="L1081"/>
      <c r="M1081"/>
      <c r="N1081"/>
      <c r="O1081"/>
      <c r="P1081"/>
      <c r="Q1081"/>
      <c r="R1081"/>
      <c r="S1081" s="125"/>
      <c r="T1081" s="125"/>
      <c r="U1081" s="10"/>
    </row>
    <row r="1082" spans="1:22" s="126" customFormat="1" ht="14.7" thickBot="1" x14ac:dyDescent="0.6">
      <c r="A1082" s="117"/>
      <c r="B1082"/>
      <c r="C1082" s="124"/>
      <c r="D1082" s="130"/>
      <c r="E1082" s="131"/>
      <c r="F1082" s="131"/>
      <c r="G1082" s="131"/>
      <c r="H1082" s="131"/>
      <c r="I1082" s="131"/>
      <c r="J1082" s="131"/>
      <c r="K1082" s="131"/>
      <c r="L1082" s="131"/>
      <c r="M1082" s="131"/>
      <c r="N1082" s="131"/>
      <c r="O1082" s="131"/>
      <c r="P1082" s="131"/>
      <c r="Q1082" s="131"/>
      <c r="R1082" s="131"/>
      <c r="S1082" s="132"/>
      <c r="T1082" s="125"/>
      <c r="U1082" s="10"/>
    </row>
    <row r="1083" spans="1:22" s="126" customFormat="1" ht="14.7" thickBot="1" x14ac:dyDescent="0.6">
      <c r="A1083" s="117"/>
      <c r="B1083"/>
      <c r="C1083" s="124"/>
      <c r="D1083"/>
      <c r="E1083"/>
      <c r="F1083"/>
      <c r="G1083"/>
      <c r="H1083"/>
      <c r="I1083"/>
      <c r="J1083"/>
      <c r="K1083"/>
      <c r="L1083"/>
      <c r="M1083"/>
      <c r="N1083"/>
      <c r="O1083"/>
      <c r="P1083"/>
      <c r="Q1083"/>
      <c r="R1083"/>
      <c r="S1083"/>
      <c r="T1083" s="125"/>
      <c r="U1083" s="10"/>
    </row>
    <row r="1084" spans="1:22" s="126" customFormat="1" x14ac:dyDescent="0.55000000000000004">
      <c r="A1084" s="117"/>
      <c r="B1084"/>
      <c r="C1084" s="124"/>
      <c r="D1084" s="121"/>
      <c r="E1084" s="122"/>
      <c r="F1084" s="122"/>
      <c r="G1084" s="122"/>
      <c r="H1084" s="122"/>
      <c r="I1084" s="122"/>
      <c r="J1084" s="122"/>
      <c r="K1084" s="122"/>
      <c r="L1084" s="122"/>
      <c r="M1084" s="122"/>
      <c r="N1084" s="122"/>
      <c r="O1084" s="122"/>
      <c r="P1084" s="122"/>
      <c r="Q1084" s="122"/>
      <c r="R1084" s="122"/>
      <c r="S1084" s="123"/>
      <c r="T1084" s="125"/>
      <c r="U1084" s="10"/>
    </row>
    <row r="1085" spans="1:22" s="126" customFormat="1" x14ac:dyDescent="0.55000000000000004">
      <c r="A1085" s="117"/>
      <c r="B1085"/>
      <c r="C1085" s="124"/>
      <c r="D1085" s="124"/>
      <c r="E1085"/>
      <c r="F1085" s="1" t="s">
        <v>96</v>
      </c>
      <c r="G1085"/>
      <c r="H1085"/>
      <c r="I1085"/>
      <c r="J1085"/>
      <c r="K1085"/>
      <c r="L1085"/>
      <c r="M1085"/>
      <c r="N1085"/>
      <c r="O1085"/>
      <c r="P1085"/>
      <c r="Q1085"/>
      <c r="R1085"/>
      <c r="S1085" s="125"/>
      <c r="T1085" s="125"/>
      <c r="U1085" s="10"/>
    </row>
    <row r="1086" spans="1:22" s="126" customFormat="1" ht="14.55" customHeight="1" x14ac:dyDescent="0.55000000000000004">
      <c r="A1086" s="117"/>
      <c r="B1086"/>
      <c r="C1086" s="124"/>
      <c r="D1086" s="124"/>
      <c r="E1086"/>
      <c r="F1086" s="1804" t="s">
        <v>560</v>
      </c>
      <c r="G1086" s="1804"/>
      <c r="H1086" s="1804"/>
      <c r="I1086" s="1804"/>
      <c r="J1086" s="1804"/>
      <c r="K1086" s="1804"/>
      <c r="L1086" s="1804"/>
      <c r="M1086" s="1804"/>
      <c r="N1086" s="1804"/>
      <c r="O1086" s="1804"/>
      <c r="P1086" s="1804"/>
      <c r="Q1086" s="119"/>
      <c r="R1086"/>
      <c r="S1086" s="125"/>
      <c r="T1086" s="125"/>
      <c r="U1086" s="10"/>
    </row>
    <row r="1087" spans="1:22" s="126" customFormat="1" x14ac:dyDescent="0.55000000000000004">
      <c r="A1087" s="117"/>
      <c r="B1087"/>
      <c r="C1087" s="124"/>
      <c r="D1087" s="124"/>
      <c r="E1087"/>
      <c r="F1087" s="119"/>
      <c r="G1087" s="119"/>
      <c r="H1087" s="119"/>
      <c r="I1087" s="119"/>
      <c r="J1087" s="119"/>
      <c r="K1087" s="119"/>
      <c r="L1087" s="119"/>
      <c r="M1087" s="119"/>
      <c r="N1087" s="119"/>
      <c r="O1087" s="119"/>
      <c r="P1087" s="119"/>
      <c r="Q1087" s="119"/>
      <c r="R1087"/>
      <c r="S1087" s="125"/>
      <c r="T1087" s="125"/>
      <c r="U1087" s="10"/>
    </row>
    <row r="1088" spans="1:22" s="126" customFormat="1" x14ac:dyDescent="0.55000000000000004">
      <c r="A1088" s="117"/>
      <c r="B1088"/>
      <c r="C1088" s="124"/>
      <c r="D1088" s="124"/>
      <c r="E1088"/>
      <c r="F1088" s="1" t="s">
        <v>348</v>
      </c>
      <c r="G1088" s="80" t="s">
        <v>90</v>
      </c>
      <c r="H1088" s="119"/>
      <c r="I1088" s="119"/>
      <c r="J1088" s="119"/>
      <c r="K1088" s="119"/>
      <c r="L1088" s="119"/>
      <c r="M1088" s="119"/>
      <c r="N1088" s="119"/>
      <c r="O1088" s="119"/>
      <c r="P1088" s="119"/>
      <c r="Q1088" s="119"/>
      <c r="R1088"/>
      <c r="S1088" s="125"/>
      <c r="T1088" s="125"/>
      <c r="U1088" s="10"/>
      <c r="V1088" s="126" t="s">
        <v>89</v>
      </c>
    </row>
    <row r="1089" spans="1:24" s="126" customFormat="1" ht="14.7" thickBot="1" x14ac:dyDescent="0.6">
      <c r="A1089" s="117"/>
      <c r="B1089"/>
      <c r="C1089" s="124"/>
      <c r="D1089" s="124"/>
      <c r="E1089"/>
      <c r="F1089"/>
      <c r="G1089" s="134"/>
      <c r="H1089" s="119"/>
      <c r="I1089" s="119"/>
      <c r="J1089" s="119"/>
      <c r="K1089" s="119"/>
      <c r="L1089" s="119"/>
      <c r="M1089" s="119"/>
      <c r="N1089" s="119"/>
      <c r="O1089" s="119"/>
      <c r="P1089" s="119"/>
      <c r="Q1089" s="119"/>
      <c r="R1089"/>
      <c r="S1089" s="125"/>
      <c r="T1089" s="125"/>
      <c r="U1089" s="10"/>
      <c r="V1089" s="126" t="s">
        <v>90</v>
      </c>
    </row>
    <row r="1090" spans="1:24" s="126" customFormat="1" x14ac:dyDescent="0.55000000000000004">
      <c r="A1090" s="117"/>
      <c r="B1090"/>
      <c r="C1090" s="124"/>
      <c r="D1090" s="124"/>
      <c r="E1090" s="121"/>
      <c r="F1090" s="122"/>
      <c r="G1090" s="122"/>
      <c r="H1090" s="122"/>
      <c r="I1090" s="122"/>
      <c r="J1090" s="122"/>
      <c r="K1090" s="122"/>
      <c r="L1090" s="122"/>
      <c r="M1090" s="122"/>
      <c r="N1090" s="122"/>
      <c r="O1090" s="122"/>
      <c r="P1090" s="122"/>
      <c r="Q1090" s="122"/>
      <c r="R1090" s="123"/>
      <c r="S1090" s="125"/>
      <c r="T1090" s="125"/>
      <c r="U1090" s="10"/>
    </row>
    <row r="1091" spans="1:24" s="126" customFormat="1" x14ac:dyDescent="0.55000000000000004">
      <c r="A1091" s="117"/>
      <c r="B1091"/>
      <c r="C1091" s="124"/>
      <c r="D1091" s="124"/>
      <c r="E1091" s="124"/>
      <c r="F1091" s="1" t="s">
        <v>343</v>
      </c>
      <c r="G1091" s="163"/>
      <c r="H1091"/>
      <c r="I1091"/>
      <c r="J1091"/>
      <c r="K1091"/>
      <c r="L1091"/>
      <c r="M1091"/>
      <c r="N1091"/>
      <c r="O1091"/>
      <c r="P1091"/>
      <c r="Q1091"/>
      <c r="R1091" s="125"/>
      <c r="S1091" s="125"/>
      <c r="T1091" s="125"/>
      <c r="U1091" s="10"/>
    </row>
    <row r="1092" spans="1:24" s="126" customFormat="1" ht="14.55" customHeight="1" x14ac:dyDescent="0.55000000000000004">
      <c r="A1092" s="117"/>
      <c r="B1092"/>
      <c r="C1092" s="124"/>
      <c r="D1092" s="124"/>
      <c r="E1092" s="124"/>
      <c r="F1092" s="1804" t="s">
        <v>561</v>
      </c>
      <c r="G1092" s="1804"/>
      <c r="H1092" s="1804"/>
      <c r="I1092" s="1804"/>
      <c r="J1092" s="1804"/>
      <c r="K1092" s="1804"/>
      <c r="L1092" s="1804"/>
      <c r="M1092" s="1804"/>
      <c r="N1092" s="1804"/>
      <c r="O1092" s="1804"/>
      <c r="P1092" s="1804"/>
      <c r="Q1092" s="1804"/>
      <c r="R1092" s="125"/>
      <c r="S1092" s="125"/>
      <c r="T1092" s="125"/>
      <c r="U1092" s="10"/>
    </row>
    <row r="1093" spans="1:24" s="126" customFormat="1" x14ac:dyDescent="0.55000000000000004">
      <c r="A1093" s="117"/>
      <c r="B1093"/>
      <c r="C1093" s="124"/>
      <c r="D1093" s="124"/>
      <c r="E1093" s="124"/>
      <c r="F1093" s="1804"/>
      <c r="G1093" s="1804"/>
      <c r="H1093" s="1804"/>
      <c r="I1093" s="1804"/>
      <c r="J1093" s="1804"/>
      <c r="K1093" s="1804"/>
      <c r="L1093" s="1804"/>
      <c r="M1093" s="1804"/>
      <c r="N1093" s="1804"/>
      <c r="O1093" s="1804"/>
      <c r="P1093" s="1804"/>
      <c r="Q1093" s="1804"/>
      <c r="R1093" s="125"/>
      <c r="S1093" s="125"/>
      <c r="T1093" s="125"/>
      <c r="U1093" s="10"/>
    </row>
    <row r="1094" spans="1:24" s="126" customFormat="1" x14ac:dyDescent="0.55000000000000004">
      <c r="A1094" s="117"/>
      <c r="B1094"/>
      <c r="C1094" s="124"/>
      <c r="D1094" s="124"/>
      <c r="E1094" s="124"/>
      <c r="F1094" s="1"/>
      <c r="G1094" s="163"/>
      <c r="H1094"/>
      <c r="I1094"/>
      <c r="J1094"/>
      <c r="K1094"/>
      <c r="L1094"/>
      <c r="M1094"/>
      <c r="N1094"/>
      <c r="O1094"/>
      <c r="P1094"/>
      <c r="Q1094"/>
      <c r="R1094" s="125"/>
      <c r="S1094" s="125"/>
      <c r="T1094" s="125"/>
      <c r="U1094" s="10"/>
    </row>
    <row r="1095" spans="1:24" s="126" customFormat="1" x14ac:dyDescent="0.55000000000000004">
      <c r="A1095" s="117"/>
      <c r="B1095"/>
      <c r="C1095" s="124"/>
      <c r="D1095" s="124"/>
      <c r="E1095" s="124"/>
      <c r="F1095" s="164" t="s">
        <v>88</v>
      </c>
      <c r="G1095" s="10"/>
      <c r="H1095"/>
      <c r="I1095" s="50">
        <v>5</v>
      </c>
      <c r="J1095"/>
      <c r="K1095"/>
      <c r="L1095"/>
      <c r="M1095"/>
      <c r="N1095"/>
      <c r="O1095"/>
      <c r="P1095"/>
      <c r="Q1095"/>
      <c r="R1095" s="125"/>
      <c r="S1095" s="125"/>
      <c r="T1095" s="125"/>
      <c r="U1095" s="10"/>
    </row>
    <row r="1096" spans="1:24" s="126" customFormat="1" x14ac:dyDescent="0.55000000000000004">
      <c r="A1096" s="117"/>
      <c r="B1096"/>
      <c r="C1096" s="124"/>
      <c r="D1096" s="124"/>
      <c r="E1096" s="124"/>
      <c r="F1096" s="10" t="s">
        <v>612</v>
      </c>
      <c r="G1096" s="10"/>
      <c r="H1096" s="10"/>
      <c r="I1096" s="159" t="s">
        <v>578</v>
      </c>
      <c r="J1096"/>
      <c r="K1096"/>
      <c r="L1096"/>
      <c r="M1096"/>
      <c r="N1096"/>
      <c r="O1096"/>
      <c r="P1096"/>
      <c r="Q1096"/>
      <c r="R1096" s="125"/>
      <c r="S1096" s="125"/>
      <c r="T1096" s="125"/>
      <c r="U1096" s="10"/>
    </row>
    <row r="1097" spans="1:24" s="126" customFormat="1" x14ac:dyDescent="0.55000000000000004">
      <c r="A1097" s="117"/>
      <c r="B1097"/>
      <c r="C1097" s="124"/>
      <c r="D1097" s="124"/>
      <c r="E1097" s="124"/>
      <c r="F1097"/>
      <c r="G1097"/>
      <c r="H1097"/>
      <c r="I1097"/>
      <c r="J1097"/>
      <c r="K1097"/>
      <c r="L1097"/>
      <c r="M1097"/>
      <c r="N1097"/>
      <c r="O1097"/>
      <c r="P1097"/>
      <c r="Q1097"/>
      <c r="R1097" s="125"/>
      <c r="S1097" s="125"/>
      <c r="T1097" s="125"/>
      <c r="U1097" s="10"/>
    </row>
    <row r="1098" spans="1:24" s="126" customFormat="1" ht="57.6" x14ac:dyDescent="0.55000000000000004">
      <c r="A1098" s="117"/>
      <c r="B1098"/>
      <c r="C1098" s="124"/>
      <c r="D1098" s="124"/>
      <c r="E1098" s="124"/>
      <c r="F1098" s="56" t="s">
        <v>91</v>
      </c>
      <c r="G1098" s="56" t="s">
        <v>92</v>
      </c>
      <c r="H1098" s="129" t="s">
        <v>80</v>
      </c>
      <c r="I1098" s="56" t="s">
        <v>340</v>
      </c>
      <c r="J1098" s="56" t="s">
        <v>356</v>
      </c>
      <c r="K1098" s="165" t="s">
        <v>349</v>
      </c>
      <c r="L1098" s="166" t="s">
        <v>350</v>
      </c>
      <c r="M1098" s="162"/>
      <c r="N1098" s="162"/>
      <c r="O1098" s="162"/>
      <c r="P1098" s="162"/>
      <c r="Q1098" s="162"/>
      <c r="R1098" s="167"/>
      <c r="S1098" s="167"/>
      <c r="T1098" s="167"/>
      <c r="U1098" s="10"/>
      <c r="V1098" s="168" t="s">
        <v>621</v>
      </c>
      <c r="W1098" s="168" t="s">
        <v>622</v>
      </c>
    </row>
    <row r="1099" spans="1:24" s="126" customFormat="1" x14ac:dyDescent="0.55000000000000004">
      <c r="A1099" s="117"/>
      <c r="B1099"/>
      <c r="C1099" s="124"/>
      <c r="D1099" s="124"/>
      <c r="E1099" s="124"/>
      <c r="F1099" s="89">
        <f>IF($I$1095=X1099,X1099,1)</f>
        <v>1</v>
      </c>
      <c r="G1099" s="91">
        <v>0</v>
      </c>
      <c r="H1099" s="50"/>
      <c r="I1099" s="169"/>
      <c r="J1099" s="21">
        <f>IF(G1088=V1088,H1072-SUMIF(F1100:F1103,"&lt;="&amp;$I$1095,J1100:J1103),0)</f>
        <v>0</v>
      </c>
      <c r="K1099" s="114">
        <f>IFERROR(IF(G1088=V1088,IF(F1099&lt;=I1095,IF(I1096="No",IF(J1080=0,L1072/SUMPRODUCT(V1099:V1103,J1099:J1103),(L1072-J1080)/SUMPRODUCT(V1099:V1103,J1099:J1103)),0),0),0),0)</f>
        <v>0</v>
      </c>
      <c r="L1099" s="31">
        <f>J1099*K1099</f>
        <v>0</v>
      </c>
      <c r="M1099" s="170"/>
      <c r="N1099" s="135"/>
      <c r="O1099" s="171"/>
      <c r="P1099"/>
      <c r="Q1099"/>
      <c r="R1099" s="125"/>
      <c r="S1099" s="125"/>
      <c r="T1099" s="125"/>
      <c r="U1099" s="10"/>
      <c r="V1099" s="96">
        <f>IF(F1099&lt;=$I$1095,1,0)</f>
        <v>1</v>
      </c>
      <c r="X1099" s="126">
        <v>1</v>
      </c>
    </row>
    <row r="1100" spans="1:24" s="126" customFormat="1" x14ac:dyDescent="0.55000000000000004">
      <c r="A1100" s="117"/>
      <c r="B1100"/>
      <c r="C1100" s="124"/>
      <c r="D1100" s="124"/>
      <c r="E1100" s="124"/>
      <c r="F1100" s="89">
        <f>IF($I$1095&gt;=X1100,X1100,"")</f>
        <v>2</v>
      </c>
      <c r="G1100" s="91">
        <f>IF($I$1095&gt;=F1100,H1099+0.01,"")</f>
        <v>0.01</v>
      </c>
      <c r="H1100" s="50"/>
      <c r="I1100" s="61"/>
      <c r="J1100" s="13"/>
      <c r="K1100" s="114">
        <f>IFERROR(IF(F1100&lt;=I1095,IF(I1096="No",K1099*(1+I1100),IF(J1080=0,L1072/SUMPRODUCT(W1100:W1103,J1100:J1103),(L1072-J1080)/SUMPRODUCT(W1100:W1103,J1100:J1103))),0),0)</f>
        <v>0</v>
      </c>
      <c r="L1100" s="31">
        <f>J1100*K1100</f>
        <v>0</v>
      </c>
      <c r="M1100" s="170"/>
      <c r="N1100" s="135"/>
      <c r="O1100" s="171"/>
      <c r="P1100"/>
      <c r="Q1100"/>
      <c r="R1100" s="125"/>
      <c r="S1100" s="125"/>
      <c r="T1100" s="125"/>
      <c r="U1100" s="10"/>
      <c r="V1100" s="96">
        <f>IF(F1100&lt;=$I$1095,(1+I1100),0)</f>
        <v>1</v>
      </c>
      <c r="W1100" s="92">
        <f>IF(F1100&lt;=I1095,1,0)</f>
        <v>1</v>
      </c>
      <c r="X1100" s="126">
        <v>2</v>
      </c>
    </row>
    <row r="1101" spans="1:24" s="126" customFormat="1" x14ac:dyDescent="0.55000000000000004">
      <c r="A1101" s="117"/>
      <c r="B1101"/>
      <c r="C1101" s="124"/>
      <c r="D1101" s="124"/>
      <c r="E1101" s="124"/>
      <c r="F1101" s="89">
        <f>IF($I$1095&gt;=X1101,X1101,"")</f>
        <v>3</v>
      </c>
      <c r="G1101" s="91">
        <f>IF($I$1095&gt;=F1101,H1100+0.01,"")</f>
        <v>0.01</v>
      </c>
      <c r="H1101" s="50"/>
      <c r="I1101" s="61"/>
      <c r="J1101" s="13"/>
      <c r="K1101" s="95">
        <f>IF(F1101&lt;=$I$1095,K1100*(1+I1101),0)</f>
        <v>0</v>
      </c>
      <c r="L1101" s="31">
        <f>J1101*K1101</f>
        <v>0</v>
      </c>
      <c r="M1101" s="170"/>
      <c r="N1101" s="135"/>
      <c r="O1101" s="171"/>
      <c r="P1101"/>
      <c r="Q1101"/>
      <c r="R1101" s="125"/>
      <c r="S1101" s="125"/>
      <c r="T1101" s="125"/>
      <c r="U1101" s="10"/>
      <c r="V1101" s="96">
        <f>IF(F1101&lt;=$I$1095,V1100*(1+I1101),0)</f>
        <v>1</v>
      </c>
      <c r="W1101" s="92">
        <f>IF(F1101&lt;=I1095,W1100*(1+I1101),0)</f>
        <v>1</v>
      </c>
      <c r="X1101" s="126">
        <v>3</v>
      </c>
    </row>
    <row r="1102" spans="1:24" s="126" customFormat="1" x14ac:dyDescent="0.55000000000000004">
      <c r="A1102" s="117"/>
      <c r="B1102"/>
      <c r="C1102" s="124"/>
      <c r="D1102" s="124"/>
      <c r="E1102" s="124"/>
      <c r="F1102" s="89">
        <f>IF($I$1095&gt;=X1102,X1102,"")</f>
        <v>4</v>
      </c>
      <c r="G1102" s="91">
        <f>IF($I$1095&gt;=F1102,H1101+0.01,"")</f>
        <v>0.01</v>
      </c>
      <c r="H1102" s="50"/>
      <c r="I1102" s="61"/>
      <c r="J1102" s="13"/>
      <c r="K1102" s="95">
        <f>IF(F1102&lt;=$I$1095,K1101*(1+I1102),0)</f>
        <v>0</v>
      </c>
      <c r="L1102" s="31">
        <f>J1102*K1102</f>
        <v>0</v>
      </c>
      <c r="M1102" s="170"/>
      <c r="N1102" s="135"/>
      <c r="O1102" s="171"/>
      <c r="P1102"/>
      <c r="Q1102"/>
      <c r="R1102" s="125"/>
      <c r="S1102" s="125"/>
      <c r="T1102" s="125"/>
      <c r="U1102" s="10"/>
      <c r="V1102" s="96">
        <f>IF(F1102&lt;=$I$1095,V1101*(1+I1102),0)</f>
        <v>1</v>
      </c>
      <c r="W1102" s="92">
        <f>IF(F1102&lt;=I1095,W1101*(1+I1102),0)</f>
        <v>1</v>
      </c>
      <c r="X1102" s="126">
        <v>4</v>
      </c>
    </row>
    <row r="1103" spans="1:24" s="126" customFormat="1" x14ac:dyDescent="0.55000000000000004">
      <c r="A1103" s="117"/>
      <c r="B1103"/>
      <c r="C1103" s="124"/>
      <c r="D1103" s="124"/>
      <c r="E1103" s="124"/>
      <c r="F1103" s="89">
        <f>IF($I$1095&gt;=X1103,X1103,"")</f>
        <v>5</v>
      </c>
      <c r="G1103" s="91">
        <f>IF($I$1095&gt;=F1103,H1102+0.01,"")</f>
        <v>0.01</v>
      </c>
      <c r="H1103" s="89" t="s">
        <v>84</v>
      </c>
      <c r="I1103" s="61"/>
      <c r="J1103" s="13"/>
      <c r="K1103" s="95">
        <f>IF(F1103&lt;=$I$1095,K1102*(1+I1103),0)</f>
        <v>0</v>
      </c>
      <c r="L1103" s="31">
        <f>J1103*K1103</f>
        <v>0</v>
      </c>
      <c r="M1103" s="170"/>
      <c r="N1103" s="135"/>
      <c r="O1103" s="171"/>
      <c r="P1103"/>
      <c r="Q1103"/>
      <c r="R1103" s="125"/>
      <c r="S1103" s="125"/>
      <c r="T1103" s="125"/>
      <c r="U1103" s="10"/>
      <c r="V1103" s="96">
        <f>IF(F1103&lt;=$I$1095,V1102*(1+I1103),0)</f>
        <v>1</v>
      </c>
      <c r="W1103" s="92">
        <f>IF(F1103&lt;=I1095,W1102*(1+I1103),0)</f>
        <v>1</v>
      </c>
      <c r="X1103" s="126">
        <v>5</v>
      </c>
    </row>
    <row r="1104" spans="1:24" s="126" customFormat="1" ht="14.7" thickBot="1" x14ac:dyDescent="0.6">
      <c r="A1104" s="117"/>
      <c r="B1104"/>
      <c r="C1104" s="124"/>
      <c r="D1104" s="124"/>
      <c r="E1104" s="130"/>
      <c r="F1104" s="149"/>
      <c r="G1104" s="150"/>
      <c r="H1104" s="149"/>
      <c r="I1104" s="172"/>
      <c r="J1104" s="173"/>
      <c r="K1104" s="173"/>
      <c r="L1104" s="173"/>
      <c r="M1104" s="174"/>
      <c r="N1104" s="152"/>
      <c r="O1104" s="175"/>
      <c r="P1104" s="131"/>
      <c r="Q1104" s="131"/>
      <c r="R1104" s="132"/>
      <c r="S1104" s="125"/>
      <c r="T1104" s="125"/>
      <c r="U1104" s="10"/>
    </row>
    <row r="1105" spans="1:26" s="126" customFormat="1" ht="14.7" thickBot="1" x14ac:dyDescent="0.6">
      <c r="A1105" s="117"/>
      <c r="B1105"/>
      <c r="C1105" s="124"/>
      <c r="D1105" s="124"/>
      <c r="E1105"/>
      <c r="F1105" s="163"/>
      <c r="G1105" s="176"/>
      <c r="H1105" s="163"/>
      <c r="I1105" s="177"/>
      <c r="J1105" s="178"/>
      <c r="K1105" s="178"/>
      <c r="L1105" s="178"/>
      <c r="M1105" s="170"/>
      <c r="N1105" s="135"/>
      <c r="O1105" s="171"/>
      <c r="P1105"/>
      <c r="Q1105"/>
      <c r="R1105"/>
      <c r="S1105" s="125"/>
      <c r="T1105" s="125"/>
      <c r="U1105" s="10"/>
    </row>
    <row r="1106" spans="1:26" s="126" customFormat="1" x14ac:dyDescent="0.55000000000000004">
      <c r="A1106" s="117"/>
      <c r="B1106"/>
      <c r="C1106" s="124"/>
      <c r="D1106" s="124"/>
      <c r="E1106" s="121"/>
      <c r="F1106" s="179"/>
      <c r="G1106" s="180"/>
      <c r="H1106" s="179"/>
      <c r="I1106" s="181"/>
      <c r="J1106" s="182"/>
      <c r="K1106" s="182"/>
      <c r="L1106" s="182"/>
      <c r="M1106" s="183"/>
      <c r="N1106" s="184"/>
      <c r="O1106" s="185"/>
      <c r="P1106" s="122"/>
      <c r="Q1106" s="122"/>
      <c r="R1106" s="123"/>
      <c r="S1106" s="125"/>
      <c r="T1106" s="125"/>
      <c r="U1106" s="10"/>
    </row>
    <row r="1107" spans="1:26" s="126" customFormat="1" x14ac:dyDescent="0.55000000000000004">
      <c r="A1107" s="117"/>
      <c r="B1107"/>
      <c r="C1107" s="124"/>
      <c r="D1107" s="124"/>
      <c r="E1107" s="124"/>
      <c r="F1107" s="186" t="s">
        <v>344</v>
      </c>
      <c r="G1107" s="176"/>
      <c r="H1107" s="163"/>
      <c r="I1107" s="177"/>
      <c r="J1107" s="178"/>
      <c r="K1107" s="178"/>
      <c r="L1107" s="178"/>
      <c r="M1107" s="170"/>
      <c r="N1107" s="135"/>
      <c r="O1107" s="187"/>
      <c r="P1107"/>
      <c r="Q1107"/>
      <c r="R1107" s="125"/>
      <c r="S1107" s="125"/>
      <c r="T1107" s="125"/>
      <c r="U1107" s="10"/>
    </row>
    <row r="1108" spans="1:26" s="126" customFormat="1" ht="14.55" customHeight="1" x14ac:dyDescent="0.55000000000000004">
      <c r="A1108" s="117"/>
      <c r="B1108"/>
      <c r="C1108" s="124"/>
      <c r="D1108" s="124"/>
      <c r="E1108" s="124"/>
      <c r="F1108" s="1804" t="s">
        <v>562</v>
      </c>
      <c r="G1108" s="1804"/>
      <c r="H1108" s="1804"/>
      <c r="I1108" s="1804"/>
      <c r="J1108" s="1804"/>
      <c r="K1108" s="1804"/>
      <c r="L1108" s="1804"/>
      <c r="M1108" s="1804"/>
      <c r="N1108" s="1804"/>
      <c r="O1108" s="1804"/>
      <c r="P1108" s="1804"/>
      <c r="Q1108" s="1804"/>
      <c r="R1108" s="125"/>
      <c r="S1108" s="125"/>
      <c r="T1108" s="125"/>
      <c r="U1108" s="10"/>
    </row>
    <row r="1109" spans="1:26" s="126" customFormat="1" x14ac:dyDescent="0.55000000000000004">
      <c r="A1109" s="117"/>
      <c r="B1109"/>
      <c r="C1109" s="124"/>
      <c r="D1109" s="124"/>
      <c r="E1109" s="124"/>
      <c r="F1109" s="1804"/>
      <c r="G1109" s="1804"/>
      <c r="H1109" s="1804"/>
      <c r="I1109" s="1804"/>
      <c r="J1109" s="1804"/>
      <c r="K1109" s="1804"/>
      <c r="L1109" s="1804"/>
      <c r="M1109" s="1804"/>
      <c r="N1109" s="1804"/>
      <c r="O1109" s="1804"/>
      <c r="P1109" s="1804"/>
      <c r="Q1109" s="1804"/>
      <c r="R1109" s="125"/>
      <c r="S1109" s="125"/>
      <c r="T1109" s="125"/>
      <c r="U1109" s="10"/>
    </row>
    <row r="1110" spans="1:26" s="126" customFormat="1" x14ac:dyDescent="0.55000000000000004">
      <c r="A1110" s="117"/>
      <c r="B1110"/>
      <c r="C1110" s="124"/>
      <c r="D1110" s="124"/>
      <c r="E1110" s="124"/>
      <c r="F1110" s="186"/>
      <c r="G1110" s="176"/>
      <c r="H1110" s="163"/>
      <c r="I1110" s="177"/>
      <c r="J1110" s="178"/>
      <c r="K1110" s="178"/>
      <c r="L1110" s="178"/>
      <c r="M1110" s="170"/>
      <c r="N1110" s="135"/>
      <c r="O1110" s="187"/>
      <c r="P1110"/>
      <c r="Q1110"/>
      <c r="R1110" s="125"/>
      <c r="S1110" s="125"/>
      <c r="T1110" s="125"/>
      <c r="U1110" s="10"/>
    </row>
    <row r="1111" spans="1:26" s="126" customFormat="1" x14ac:dyDescent="0.55000000000000004">
      <c r="A1111" s="117"/>
      <c r="B1111"/>
      <c r="C1111" s="124"/>
      <c r="D1111" s="124"/>
      <c r="E1111" s="124"/>
      <c r="F1111" s="164" t="s">
        <v>88</v>
      </c>
      <c r="G1111" s="10"/>
      <c r="H1111" s="163"/>
      <c r="I1111" s="50">
        <v>5</v>
      </c>
      <c r="J1111" s="178"/>
      <c r="K1111" s="178"/>
      <c r="L1111" s="178"/>
      <c r="M1111" s="170"/>
      <c r="N1111" s="135"/>
      <c r="O1111" s="187"/>
      <c r="P1111"/>
      <c r="Q1111"/>
      <c r="R1111" s="125"/>
      <c r="S1111" s="125"/>
      <c r="T1111" s="125"/>
      <c r="U1111" s="10"/>
    </row>
    <row r="1112" spans="1:26" s="126" customFormat="1" x14ac:dyDescent="0.55000000000000004">
      <c r="A1112" s="117"/>
      <c r="B1112"/>
      <c r="C1112" s="124"/>
      <c r="D1112" s="124"/>
      <c r="E1112" s="124"/>
      <c r="F1112" t="s">
        <v>346</v>
      </c>
      <c r="G1112" s="10"/>
      <c r="H1112" s="163"/>
      <c r="I1112" s="13"/>
      <c r="J1112" s="178"/>
      <c r="K1112" s="178"/>
      <c r="L1112" s="178"/>
      <c r="M1112" s="170"/>
      <c r="N1112" s="135"/>
      <c r="O1112" s="187"/>
      <c r="P1112"/>
      <c r="Q1112"/>
      <c r="R1112" s="125"/>
      <c r="S1112" s="125"/>
      <c r="T1112" s="125"/>
      <c r="U1112" s="10"/>
    </row>
    <row r="1113" spans="1:26" s="126" customFormat="1" x14ac:dyDescent="0.55000000000000004">
      <c r="A1113" s="117"/>
      <c r="B1113"/>
      <c r="C1113" s="124"/>
      <c r="D1113" s="124"/>
      <c r="E1113" s="124"/>
      <c r="F1113" t="s">
        <v>347</v>
      </c>
      <c r="G1113" s="10"/>
      <c r="H1113" s="163"/>
      <c r="I1113" s="13"/>
      <c r="J1113" s="178"/>
      <c r="K1113" s="178"/>
      <c r="L1113" s="178"/>
      <c r="M1113" s="170"/>
      <c r="N1113" s="135"/>
      <c r="O1113" s="187"/>
      <c r="P1113"/>
      <c r="Q1113"/>
      <c r="R1113" s="125"/>
      <c r="S1113" s="125"/>
      <c r="T1113" s="125"/>
      <c r="U1113" s="10"/>
    </row>
    <row r="1114" spans="1:26" s="126" customFormat="1" x14ac:dyDescent="0.55000000000000004">
      <c r="A1114" s="117"/>
      <c r="B1114"/>
      <c r="C1114" s="124"/>
      <c r="D1114" s="124"/>
      <c r="E1114" s="124"/>
      <c r="F1114" t="s">
        <v>366</v>
      </c>
      <c r="G1114" s="10"/>
      <c r="H1114"/>
      <c r="I1114" s="93"/>
      <c r="J1114"/>
      <c r="K1114" s="178"/>
      <c r="L1114" s="178"/>
      <c r="M1114" s="170"/>
      <c r="N1114" s="135"/>
      <c r="O1114" s="187"/>
      <c r="P1114"/>
      <c r="Q1114"/>
      <c r="R1114" s="125"/>
      <c r="S1114" s="125"/>
      <c r="T1114" s="125"/>
      <c r="U1114" s="10"/>
    </row>
    <row r="1115" spans="1:26" s="126" customFormat="1" x14ac:dyDescent="0.55000000000000004">
      <c r="A1115" s="117"/>
      <c r="B1115"/>
      <c r="C1115" s="124"/>
      <c r="D1115" s="124"/>
      <c r="E1115" s="124"/>
      <c r="F1115" s="10" t="s">
        <v>612</v>
      </c>
      <c r="H1115"/>
      <c r="I1115" s="159" t="s">
        <v>578</v>
      </c>
      <c r="J1115"/>
      <c r="K1115" s="178"/>
      <c r="L1115" s="178"/>
      <c r="M1115" s="170"/>
      <c r="N1115" s="135"/>
      <c r="O1115" s="187"/>
      <c r="P1115"/>
      <c r="Q1115"/>
      <c r="R1115" s="125"/>
      <c r="S1115" s="125"/>
      <c r="T1115" s="125"/>
      <c r="U1115" s="10"/>
    </row>
    <row r="1116" spans="1:26" s="126" customFormat="1" x14ac:dyDescent="0.55000000000000004">
      <c r="A1116" s="117"/>
      <c r="B1116"/>
      <c r="C1116" s="124"/>
      <c r="D1116" s="124"/>
      <c r="E1116" s="124"/>
      <c r="F1116"/>
      <c r="G1116"/>
      <c r="H1116"/>
      <c r="I1116" s="188"/>
      <c r="J1116"/>
      <c r="K1116" s="178"/>
      <c r="L1116" s="178"/>
      <c r="M1116" s="170"/>
      <c r="N1116" s="135"/>
      <c r="O1116" s="187"/>
      <c r="P1116"/>
      <c r="Q1116"/>
      <c r="R1116" s="125"/>
      <c r="S1116" s="125"/>
      <c r="T1116" s="125"/>
      <c r="U1116" s="10"/>
    </row>
    <row r="1117" spans="1:26" s="126" customFormat="1" ht="57.6" x14ac:dyDescent="0.55000000000000004">
      <c r="A1117" s="117"/>
      <c r="B1117"/>
      <c r="C1117" s="124"/>
      <c r="D1117" s="124"/>
      <c r="E1117" s="124"/>
      <c r="F1117" s="56" t="s">
        <v>91</v>
      </c>
      <c r="G1117" s="56" t="s">
        <v>92</v>
      </c>
      <c r="H1117" s="129" t="s">
        <v>80</v>
      </c>
      <c r="I1117" s="56" t="s">
        <v>367</v>
      </c>
      <c r="J1117" s="56" t="s">
        <v>368</v>
      </c>
      <c r="K1117" s="56" t="s">
        <v>341</v>
      </c>
      <c r="L1117" s="56" t="s">
        <v>342</v>
      </c>
      <c r="M1117" s="166" t="s">
        <v>351</v>
      </c>
      <c r="N1117" s="56" t="s">
        <v>352</v>
      </c>
      <c r="O1117" s="56" t="s">
        <v>353</v>
      </c>
      <c r="P1117" s="56" t="s">
        <v>354</v>
      </c>
      <c r="Q1117" s="56" t="s">
        <v>355</v>
      </c>
      <c r="R1117" s="125"/>
      <c r="S1117" s="125"/>
      <c r="T1117" s="125"/>
      <c r="U1117" s="10"/>
      <c r="V1117" s="189" t="s">
        <v>616</v>
      </c>
      <c r="W1117" s="168" t="s">
        <v>617</v>
      </c>
      <c r="X1117" s="189" t="s">
        <v>618</v>
      </c>
      <c r="Y1117" s="168" t="s">
        <v>619</v>
      </c>
    </row>
    <row r="1118" spans="1:26" s="126" customFormat="1" x14ac:dyDescent="0.55000000000000004">
      <c r="A1118" s="117"/>
      <c r="B1118"/>
      <c r="C1118" s="124"/>
      <c r="D1118" s="124"/>
      <c r="E1118" s="124"/>
      <c r="F1118" s="89">
        <f>IF($I$1111=Z1118,Z1118,1)</f>
        <v>1</v>
      </c>
      <c r="G1118" s="91">
        <v>0</v>
      </c>
      <c r="H1118" s="50"/>
      <c r="I1118" s="169"/>
      <c r="J1118" s="63"/>
      <c r="K1118" s="21">
        <f>I1112-SUMIF(F1119:F1122,"&lt;="&amp;$I$1111,K1119:K1122)</f>
        <v>0</v>
      </c>
      <c r="L1118" s="31">
        <f>I1113-SUMIF(F1119:F1122,"&lt;="&amp;$I$1111,L1119:L1122)</f>
        <v>0</v>
      </c>
      <c r="M1118" s="44">
        <f ca="1">IFERROR(IF(G1088=V1088,0,IF(F1118&lt;=I1111,IF(I1115="No",(L1072-J1080)/(SUMPRODUCT(V1118:V1122,K1118:K1122)+SUMPRODUCT(W1118:W1122,L1118:L1122)),0)*I1114,0)),0)</f>
        <v>0</v>
      </c>
      <c r="N1118" s="44">
        <f ca="1">IFERROR(IF(G1088=V1088,0,IF(F1118&lt;=I1111,IF(I1115="No",(L1072-J1080)/(SUMPRODUCT(V1118:V1122,K1118:K1122)+SUMPRODUCT(W1118:W1122,L1118:L1122)),0),0)),0)</f>
        <v>0</v>
      </c>
      <c r="O1118" s="97" t="str">
        <f ca="1">IFERROR(M1118/N1118,"")</f>
        <v/>
      </c>
      <c r="P1118" s="26">
        <f t="shared" ref="P1118:Q1122" ca="1" si="17">K1118*M1118</f>
        <v>0</v>
      </c>
      <c r="Q1118" s="26">
        <f t="shared" ca="1" si="17"/>
        <v>0</v>
      </c>
      <c r="R1118" s="125"/>
      <c r="S1118" s="125"/>
      <c r="T1118" s="125"/>
      <c r="U1118" s="10"/>
      <c r="V1118" s="92">
        <f>IF(F1118&lt;=$I$1111,1*$I$1114,0)</f>
        <v>0</v>
      </c>
      <c r="W1118" s="96">
        <f>IF(F1118&lt;=$I$1111,1,0)</f>
        <v>1</v>
      </c>
      <c r="X1118" s="92"/>
      <c r="Y1118" s="96"/>
      <c r="Z1118" s="126">
        <v>1</v>
      </c>
    </row>
    <row r="1119" spans="1:26" s="126" customFormat="1" x14ac:dyDescent="0.55000000000000004">
      <c r="A1119" s="117"/>
      <c r="B1119"/>
      <c r="C1119" s="124"/>
      <c r="D1119" s="124"/>
      <c r="E1119" s="124"/>
      <c r="F1119" s="89">
        <f>IF($I$1111&gt;=Z1119,Z1119,"")</f>
        <v>2</v>
      </c>
      <c r="G1119" s="91">
        <f>IF($I$1111&gt;=F1119,H1118+0.01,"")</f>
        <v>0.01</v>
      </c>
      <c r="H1119" s="50"/>
      <c r="I1119" s="61"/>
      <c r="J1119" s="61"/>
      <c r="K1119" s="13"/>
      <c r="L1119" s="13"/>
      <c r="M1119" s="44">
        <f ca="1">IF(F1119&lt;=I1111,IF(I1115="No",M1118*(1+I1119),N1119*I1114),0)</f>
        <v>0</v>
      </c>
      <c r="N1119" s="44">
        <f ca="1">IF(F1119&lt;=I1111,IF(I1115="No",N1118*(1+J1119),(L1072-J1080)/(I1114*SUMPRODUCT(X1119:X1122,K1119:K1122)+SUMPRODUCT(Y1119:Y1122,L1119:L1122))),0)</f>
        <v>0</v>
      </c>
      <c r="O1119" s="97" t="str">
        <f ca="1">IFERROR(M1119/N1119,"")</f>
        <v/>
      </c>
      <c r="P1119" s="26">
        <f t="shared" ca="1" si="17"/>
        <v>0</v>
      </c>
      <c r="Q1119" s="26">
        <f t="shared" ca="1" si="17"/>
        <v>0</v>
      </c>
      <c r="R1119" s="125"/>
      <c r="S1119" s="125"/>
      <c r="T1119" s="125"/>
      <c r="U1119" s="10"/>
      <c r="V1119" s="92">
        <f>IF(F1119&lt;=$I$1111,V1118*(1+I1119),0)</f>
        <v>0</v>
      </c>
      <c r="W1119" s="96">
        <f>IF(F1119&lt;=$I$1111,(1+J1119),0)</f>
        <v>1</v>
      </c>
      <c r="X1119" s="92">
        <v>1</v>
      </c>
      <c r="Y1119" s="96">
        <f>IF(F1119&lt;=I1111,1,0)</f>
        <v>1</v>
      </c>
      <c r="Z1119" s="126">
        <v>2</v>
      </c>
    </row>
    <row r="1120" spans="1:26" s="126" customFormat="1" x14ac:dyDescent="0.55000000000000004">
      <c r="A1120" s="117"/>
      <c r="B1120"/>
      <c r="C1120" s="124"/>
      <c r="D1120" s="124"/>
      <c r="E1120" s="124"/>
      <c r="F1120" s="89">
        <f>IF($I$1111&gt;=Z1120,Z1120,"")</f>
        <v>3</v>
      </c>
      <c r="G1120" s="91">
        <f>IF($I$1111&gt;=F1120,H1119+0.01,"")</f>
        <v>0.01</v>
      </c>
      <c r="H1120" s="50"/>
      <c r="I1120" s="61"/>
      <c r="J1120" s="61"/>
      <c r="K1120" s="13"/>
      <c r="L1120" s="13"/>
      <c r="M1120" s="36">
        <f ca="1">IF(F1120&lt;=$I$1111,M1119*(1+I1120),0)</f>
        <v>0</v>
      </c>
      <c r="N1120" s="36">
        <f ca="1">IF(F1120&lt;=$I$1111,N1119*(1+J1120),0)</f>
        <v>0</v>
      </c>
      <c r="O1120" s="97" t="str">
        <f ca="1">IFERROR(M1120/N1120,"")</f>
        <v/>
      </c>
      <c r="P1120" s="26">
        <f t="shared" ca="1" si="17"/>
        <v>0</v>
      </c>
      <c r="Q1120" s="26">
        <f t="shared" ca="1" si="17"/>
        <v>0</v>
      </c>
      <c r="R1120" s="125"/>
      <c r="S1120" s="125"/>
      <c r="T1120" s="125"/>
      <c r="U1120" s="10"/>
      <c r="V1120" s="92">
        <f>IF(F1120&lt;=$I$1111,V1119*(1+I1120),0)</f>
        <v>0</v>
      </c>
      <c r="W1120" s="96">
        <f>IF(F1120&lt;=$I$1111,W1119*(1+J1120),0)</f>
        <v>1</v>
      </c>
      <c r="X1120" s="92">
        <f>IF(F1120&lt;=I1111,X1119*(1+I1120),0)</f>
        <v>1</v>
      </c>
      <c r="Y1120" s="96">
        <f>IF(F1120&lt;=I1111,Y1119*(1+J1120),0)</f>
        <v>1</v>
      </c>
      <c r="Z1120" s="126">
        <v>3</v>
      </c>
    </row>
    <row r="1121" spans="1:26" s="126" customFormat="1" x14ac:dyDescent="0.55000000000000004">
      <c r="A1121" s="117"/>
      <c r="B1121"/>
      <c r="C1121" s="124"/>
      <c r="D1121" s="124"/>
      <c r="E1121" s="124"/>
      <c r="F1121" s="89">
        <f>IF($I$1111&gt;=Z1121,Z1121,"")</f>
        <v>4</v>
      </c>
      <c r="G1121" s="91">
        <f>IF($I$1111&gt;=F1121,H1120+0.01,"")</f>
        <v>0.01</v>
      </c>
      <c r="H1121" s="50"/>
      <c r="I1121" s="61"/>
      <c r="J1121" s="61"/>
      <c r="K1121" s="13"/>
      <c r="L1121" s="13"/>
      <c r="M1121" s="36">
        <f ca="1">IF(F1121&lt;=$I$1111,M1120*(1+I1121),0)</f>
        <v>0</v>
      </c>
      <c r="N1121" s="36">
        <f ca="1">IF(F1121&lt;=$I$1111,N1120*(1+J1121),0)</f>
        <v>0</v>
      </c>
      <c r="O1121" s="97" t="str">
        <f ca="1">IFERROR(M1121/N1121,"")</f>
        <v/>
      </c>
      <c r="P1121" s="26">
        <f t="shared" ca="1" si="17"/>
        <v>0</v>
      </c>
      <c r="Q1121" s="26">
        <f t="shared" ca="1" si="17"/>
        <v>0</v>
      </c>
      <c r="R1121" s="125"/>
      <c r="S1121" s="125"/>
      <c r="T1121" s="125"/>
      <c r="U1121" s="10"/>
      <c r="V1121" s="92">
        <f>IF(F1121&lt;=$I$1111,V1120*(1+I1121),0)</f>
        <v>0</v>
      </c>
      <c r="W1121" s="96">
        <f>IF(F1121&lt;=$I$1111,W1120*(1+J1121),0)</f>
        <v>1</v>
      </c>
      <c r="X1121" s="92">
        <f>IF(F1121&lt;=I1111,X1120*(1+I1121),0)</f>
        <v>1</v>
      </c>
      <c r="Y1121" s="96">
        <f>IF(F1121&lt;=I1111,Y1120*(1+J1121),0)</f>
        <v>1</v>
      </c>
      <c r="Z1121" s="126">
        <v>4</v>
      </c>
    </row>
    <row r="1122" spans="1:26" s="126" customFormat="1" x14ac:dyDescent="0.55000000000000004">
      <c r="A1122" s="117"/>
      <c r="B1122"/>
      <c r="C1122" s="124"/>
      <c r="D1122" s="124"/>
      <c r="E1122" s="124"/>
      <c r="F1122" s="89">
        <f>IF($I$1111&gt;=Z1122,Z1122,"")</f>
        <v>5</v>
      </c>
      <c r="G1122" s="91">
        <f>IF($I$1111&gt;=F1122,H1121+0.01,"")</f>
        <v>0.01</v>
      </c>
      <c r="H1122" s="89" t="s">
        <v>84</v>
      </c>
      <c r="I1122" s="61"/>
      <c r="J1122" s="61"/>
      <c r="K1122" s="13"/>
      <c r="L1122" s="13"/>
      <c r="M1122" s="36">
        <f ca="1">IF(F1122&lt;=$I$1111,M1121*(1+I1122),0)</f>
        <v>0</v>
      </c>
      <c r="N1122" s="36">
        <f ca="1">IF(F1122&lt;=$I$1111,N1121*(1+J1122),0)</f>
        <v>0</v>
      </c>
      <c r="O1122" s="97" t="str">
        <f ca="1">IFERROR(M1122/N1122,"")</f>
        <v/>
      </c>
      <c r="P1122" s="26">
        <f t="shared" ca="1" si="17"/>
        <v>0</v>
      </c>
      <c r="Q1122" s="26">
        <f t="shared" ca="1" si="17"/>
        <v>0</v>
      </c>
      <c r="R1122" s="125"/>
      <c r="S1122" s="125"/>
      <c r="T1122" s="125"/>
      <c r="U1122" s="10"/>
      <c r="V1122" s="92">
        <f>IF(F1122&lt;=$I$1111,V1121*(1+I1122),0)</f>
        <v>0</v>
      </c>
      <c r="W1122" s="96">
        <f>IF(F1122&lt;=$I$1111,W1121*(1+J1122),0)</f>
        <v>1</v>
      </c>
      <c r="X1122" s="92">
        <f>IF(F1122&lt;=I1111,X1121*(1+I1122),0)</f>
        <v>1</v>
      </c>
      <c r="Y1122" s="96">
        <f>IF(F1122&lt;=I1111,Y1121*(1+J1122),0)</f>
        <v>1</v>
      </c>
      <c r="Z1122" s="126">
        <v>5</v>
      </c>
    </row>
    <row r="1123" spans="1:26" s="126" customFormat="1" ht="14.7" thickBot="1" x14ac:dyDescent="0.6">
      <c r="A1123" s="117"/>
      <c r="B1123"/>
      <c r="C1123" s="124"/>
      <c r="D1123" s="124"/>
      <c r="E1123" s="130"/>
      <c r="F1123" s="131"/>
      <c r="G1123" s="131"/>
      <c r="H1123" s="131"/>
      <c r="I1123" s="131"/>
      <c r="J1123" s="131"/>
      <c r="K1123" s="131"/>
      <c r="L1123" s="131"/>
      <c r="M1123" s="131"/>
      <c r="N1123" s="131"/>
      <c r="O1123" s="131"/>
      <c r="P1123" s="131"/>
      <c r="Q1123" s="131"/>
      <c r="R1123" s="132"/>
      <c r="S1123" s="125"/>
      <c r="T1123" s="125"/>
      <c r="U1123" s="10"/>
    </row>
    <row r="1124" spans="1:26" s="126" customFormat="1" ht="14.7" thickBot="1" x14ac:dyDescent="0.6">
      <c r="A1124" s="117"/>
      <c r="B1124"/>
      <c r="C1124" s="124"/>
      <c r="D1124" s="130"/>
      <c r="E1124" s="131"/>
      <c r="F1124" s="131"/>
      <c r="G1124" s="131"/>
      <c r="H1124" s="131"/>
      <c r="I1124" s="131"/>
      <c r="J1124" s="131"/>
      <c r="K1124" s="131"/>
      <c r="L1124" s="131"/>
      <c r="M1124" s="131"/>
      <c r="N1124" s="131"/>
      <c r="O1124" s="131"/>
      <c r="P1124" s="131"/>
      <c r="Q1124" s="131"/>
      <c r="R1124" s="131"/>
      <c r="S1124" s="132"/>
      <c r="T1124" s="125"/>
      <c r="U1124" s="10"/>
    </row>
    <row r="1125" spans="1:26" s="126" customFormat="1" ht="14.7" thickBot="1" x14ac:dyDescent="0.6">
      <c r="A1125" s="117"/>
      <c r="B1125"/>
      <c r="C1125" s="130"/>
      <c r="D1125" s="131"/>
      <c r="E1125" s="131"/>
      <c r="F1125" s="131"/>
      <c r="G1125" s="131"/>
      <c r="H1125" s="131"/>
      <c r="I1125" s="131"/>
      <c r="J1125" s="131"/>
      <c r="K1125" s="131"/>
      <c r="L1125" s="131"/>
      <c r="M1125" s="131"/>
      <c r="N1125" s="131"/>
      <c r="O1125" s="131"/>
      <c r="P1125" s="131"/>
      <c r="Q1125" s="131"/>
      <c r="R1125" s="131"/>
      <c r="S1125" s="131"/>
      <c r="T1125" s="132"/>
      <c r="U1125" s="10"/>
    </row>
    <row r="1126" spans="1:26" s="126" customFormat="1" ht="14.7" thickBot="1" x14ac:dyDescent="0.6">
      <c r="A1126" s="117"/>
      <c r="B1126"/>
      <c r="C1126"/>
      <c r="D1126"/>
      <c r="E1126"/>
      <c r="F1126"/>
      <c r="G1126"/>
      <c r="H1126"/>
      <c r="I1126"/>
      <c r="J1126"/>
      <c r="K1126"/>
      <c r="L1126"/>
      <c r="M1126"/>
      <c r="N1126"/>
      <c r="O1126"/>
      <c r="P1126"/>
      <c r="Q1126"/>
      <c r="R1126"/>
      <c r="S1126"/>
      <c r="T1126"/>
      <c r="U1126" s="10"/>
    </row>
    <row r="1127" spans="1:26" s="126" customFormat="1" x14ac:dyDescent="0.55000000000000004">
      <c r="A1127" s="117"/>
      <c r="B1127"/>
      <c r="C1127" s="121"/>
      <c r="D1127" s="122"/>
      <c r="E1127" s="122"/>
      <c r="F1127" s="122"/>
      <c r="G1127" s="122"/>
      <c r="H1127" s="122"/>
      <c r="I1127" s="122"/>
      <c r="J1127" s="122"/>
      <c r="K1127" s="122"/>
      <c r="L1127" s="122"/>
      <c r="M1127" s="122"/>
      <c r="N1127" s="122"/>
      <c r="O1127" s="122"/>
      <c r="P1127" s="122"/>
      <c r="Q1127" s="122"/>
      <c r="R1127" s="122"/>
      <c r="S1127" s="122"/>
      <c r="T1127" s="123"/>
      <c r="U1127" s="10"/>
    </row>
    <row r="1128" spans="1:26" s="126" customFormat="1" ht="18.3" x14ac:dyDescent="0.7">
      <c r="A1128" s="117"/>
      <c r="B1128"/>
      <c r="C1128" s="124"/>
      <c r="D1128" s="1822">
        <f>'2 Customer data'!D111</f>
        <v>0</v>
      </c>
      <c r="E1128" s="1822"/>
      <c r="F1128" s="1822"/>
      <c r="G1128" s="1822"/>
      <c r="H1128" s="1822"/>
      <c r="I1128" s="1822"/>
      <c r="J1128" s="1822"/>
      <c r="K1128" s="1822"/>
      <c r="L1128" s="1822"/>
      <c r="M1128" s="1822"/>
      <c r="N1128" s="1822"/>
      <c r="O1128" s="1822"/>
      <c r="P1128" s="1822"/>
      <c r="Q1128" s="1822"/>
      <c r="R1128" s="1822"/>
      <c r="S1128" s="1822"/>
      <c r="T1128" s="125"/>
      <c r="U1128" s="10"/>
    </row>
    <row r="1129" spans="1:26" s="126" customFormat="1" ht="14.7" thickBot="1" x14ac:dyDescent="0.6">
      <c r="A1129" s="117"/>
      <c r="B1129"/>
      <c r="C1129" s="124"/>
      <c r="D1129"/>
      <c r="E1129"/>
      <c r="F1129"/>
      <c r="G1129"/>
      <c r="H1129"/>
      <c r="I1129"/>
      <c r="J1129"/>
      <c r="K1129"/>
      <c r="L1129"/>
      <c r="M1129"/>
      <c r="N1129"/>
      <c r="O1129"/>
      <c r="P1129"/>
      <c r="Q1129"/>
      <c r="R1129"/>
      <c r="S1129"/>
      <c r="T1129" s="125"/>
      <c r="U1129" s="10"/>
    </row>
    <row r="1130" spans="1:26" s="126" customFormat="1" x14ac:dyDescent="0.55000000000000004">
      <c r="A1130" s="117"/>
      <c r="B1130"/>
      <c r="C1130" s="124"/>
      <c r="D1130" s="121"/>
      <c r="E1130" s="122"/>
      <c r="F1130" s="122"/>
      <c r="G1130" s="122"/>
      <c r="H1130" s="122"/>
      <c r="I1130" s="122"/>
      <c r="J1130" s="122"/>
      <c r="K1130" s="122"/>
      <c r="L1130" s="122"/>
      <c r="M1130" s="122"/>
      <c r="N1130" s="122"/>
      <c r="O1130" s="122"/>
      <c r="P1130" s="122"/>
      <c r="Q1130" s="122"/>
      <c r="R1130" s="122"/>
      <c r="S1130" s="123"/>
      <c r="T1130" s="125"/>
      <c r="U1130" s="10"/>
    </row>
    <row r="1131" spans="1:26" s="126" customFormat="1" x14ac:dyDescent="0.55000000000000004">
      <c r="A1131" s="117"/>
      <c r="B1131"/>
      <c r="C1131" s="124"/>
      <c r="D1131" s="124"/>
      <c r="E1131"/>
      <c r="F1131" s="1" t="str">
        <f>'2 Customer data'!D111&amp;" "&amp;"information"</f>
        <v xml:space="preserve"> information</v>
      </c>
      <c r="G1131"/>
      <c r="H1131"/>
      <c r="I1131"/>
      <c r="J1131"/>
      <c r="K1131"/>
      <c r="L1131"/>
      <c r="M1131"/>
      <c r="N1131"/>
      <c r="O1131"/>
      <c r="P1131"/>
      <c r="Q1131"/>
      <c r="R1131"/>
      <c r="S1131" s="125"/>
      <c r="T1131" s="125"/>
      <c r="U1131" s="10"/>
    </row>
    <row r="1132" spans="1:26" s="126" customFormat="1" x14ac:dyDescent="0.55000000000000004">
      <c r="A1132" s="117"/>
      <c r="B1132"/>
      <c r="C1132" s="124"/>
      <c r="D1132" s="124"/>
      <c r="E1132"/>
      <c r="F1132"/>
      <c r="G1132"/>
      <c r="H1132"/>
      <c r="I1132"/>
      <c r="J1132"/>
      <c r="K1132"/>
      <c r="L1132"/>
      <c r="M1132"/>
      <c r="N1132"/>
      <c r="O1132"/>
      <c r="P1132"/>
      <c r="Q1132"/>
      <c r="R1132"/>
      <c r="S1132" s="125"/>
      <c r="T1132" s="125"/>
      <c r="U1132" s="10"/>
    </row>
    <row r="1133" spans="1:26" s="126" customFormat="1" ht="28.8" x14ac:dyDescent="0.55000000000000004">
      <c r="A1133" s="117"/>
      <c r="B1133"/>
      <c r="C1133" s="124"/>
      <c r="D1133" s="124"/>
      <c r="E1133"/>
      <c r="F1133"/>
      <c r="G1133" s="56" t="s">
        <v>28</v>
      </c>
      <c r="H1133" s="56" t="s">
        <v>345</v>
      </c>
      <c r="I1133" s="56" t="s">
        <v>60</v>
      </c>
      <c r="J1133" s="56" t="s">
        <v>249</v>
      </c>
      <c r="K1133" s="56" t="s">
        <v>279</v>
      </c>
      <c r="L1133" s="56" t="s">
        <v>357</v>
      </c>
      <c r="M1133"/>
      <c r="N1133" s="162"/>
      <c r="O1133"/>
      <c r="P1133"/>
      <c r="Q1133"/>
      <c r="R1133"/>
      <c r="S1133" s="125"/>
      <c r="T1133" s="125"/>
      <c r="U1133" s="10"/>
    </row>
    <row r="1134" spans="1:26" s="126" customFormat="1" x14ac:dyDescent="0.55000000000000004">
      <c r="A1134" s="117"/>
      <c r="B1134"/>
      <c r="C1134" s="124"/>
      <c r="D1134" s="124"/>
      <c r="E1134"/>
      <c r="F1134">
        <f>'2 Customer data'!D111</f>
        <v>0</v>
      </c>
      <c r="G1134" s="94">
        <f>IFERROR(IF(VLOOKUP(F1134,'2 Customer data'!$D$93:$N$112,7,FALSE)="",VLOOKUP(F1134,'2 Customer data'!$D$93:$N$112,6,FALSE),VLOOKUP(F1134,'2 Customer data'!$D$93:$N$112,7,FALSE)),0)</f>
        <v>0</v>
      </c>
      <c r="H1134" s="26">
        <f>IFERROR(IF(VLOOKUP(F1134,'2 Customer data'!$D$93:$N$112,9,FALSE)="",VLOOKUP(F1134,'2 Customer data'!$D$93:$N$112,8,FALSE),VLOOKUP(F1134,'2 Customer data'!$D$93:$N$112,9,FALSE)),0)</f>
        <v>0</v>
      </c>
      <c r="I1134" s="26">
        <f ca="1">IFERROR(VLOOKUP($F1134,'2 Electricity'!$D$21:$L$40,6,FALSE),0)</f>
        <v>0</v>
      </c>
      <c r="J1134" s="26">
        <f ca="1">IFERROR(VLOOKUP($F1134,'2 Electricity'!$D$21:$L$40,7,FALSE),0)</f>
        <v>0</v>
      </c>
      <c r="K1134" s="26">
        <f ca="1">IFERROR(VLOOKUP($F1134,'2 Electricity'!$D$21:$L$40,8,FALSE),0)</f>
        <v>0</v>
      </c>
      <c r="L1134" s="26">
        <f ca="1">IFERROR(VLOOKUP(F1134,'2 Electricity'!$D$157:$K$176,8,FALSE),0)</f>
        <v>0</v>
      </c>
      <c r="M1134"/>
      <c r="N1134" s="134"/>
      <c r="O1134"/>
      <c r="P1134"/>
      <c r="Q1134"/>
      <c r="R1134"/>
      <c r="S1134" s="125"/>
      <c r="T1134" s="125"/>
      <c r="U1134" s="10"/>
    </row>
    <row r="1135" spans="1:26" s="126" customFormat="1" ht="14.7" thickBot="1" x14ac:dyDescent="0.6">
      <c r="A1135" s="117"/>
      <c r="B1135"/>
      <c r="C1135" s="124"/>
      <c r="D1135" s="130"/>
      <c r="E1135" s="131"/>
      <c r="F1135" s="131"/>
      <c r="G1135" s="131"/>
      <c r="H1135" s="131"/>
      <c r="I1135" s="131"/>
      <c r="J1135" s="131"/>
      <c r="K1135" s="131"/>
      <c r="L1135" s="131"/>
      <c r="M1135" s="131"/>
      <c r="N1135" s="131"/>
      <c r="O1135" s="131"/>
      <c r="P1135" s="131"/>
      <c r="Q1135" s="131"/>
      <c r="R1135" s="131"/>
      <c r="S1135" s="132"/>
      <c r="T1135" s="125"/>
      <c r="U1135" s="10"/>
    </row>
    <row r="1136" spans="1:26" s="126" customFormat="1" ht="14.7" thickBot="1" x14ac:dyDescent="0.6">
      <c r="A1136" s="117"/>
      <c r="B1136"/>
      <c r="C1136" s="124"/>
      <c r="D1136"/>
      <c r="E1136"/>
      <c r="F1136"/>
      <c r="G1136"/>
      <c r="H1136"/>
      <c r="I1136"/>
      <c r="J1136"/>
      <c r="K1136"/>
      <c r="L1136"/>
      <c r="M1136"/>
      <c r="N1136"/>
      <c r="O1136"/>
      <c r="P1136"/>
      <c r="Q1136"/>
      <c r="R1136"/>
      <c r="S1136"/>
      <c r="T1136" s="125"/>
      <c r="U1136" s="10"/>
    </row>
    <row r="1137" spans="1:22" s="126" customFormat="1" x14ac:dyDescent="0.55000000000000004">
      <c r="A1137" s="117"/>
      <c r="B1137"/>
      <c r="C1137" s="124"/>
      <c r="D1137" s="121"/>
      <c r="E1137" s="122"/>
      <c r="F1137" s="122"/>
      <c r="G1137" s="122"/>
      <c r="H1137" s="122"/>
      <c r="I1137" s="122"/>
      <c r="J1137" s="122"/>
      <c r="K1137" s="122"/>
      <c r="L1137" s="122"/>
      <c r="M1137" s="122"/>
      <c r="N1137" s="122"/>
      <c r="O1137" s="122"/>
      <c r="P1137" s="122"/>
      <c r="Q1137" s="122"/>
      <c r="R1137" s="122"/>
      <c r="S1137" s="123"/>
      <c r="T1137" s="125"/>
      <c r="U1137" s="10"/>
    </row>
    <row r="1138" spans="1:22" s="126" customFormat="1" x14ac:dyDescent="0.55000000000000004">
      <c r="A1138" s="117"/>
      <c r="B1138"/>
      <c r="C1138" s="124"/>
      <c r="D1138" s="124"/>
      <c r="E1138"/>
      <c r="F1138" s="1" t="s">
        <v>85</v>
      </c>
      <c r="G1138"/>
      <c r="H1138"/>
      <c r="I1138"/>
      <c r="J1138"/>
      <c r="K1138"/>
      <c r="L1138"/>
      <c r="M1138"/>
      <c r="N1138"/>
      <c r="O1138"/>
      <c r="P1138"/>
      <c r="Q1138"/>
      <c r="R1138"/>
      <c r="S1138" s="125"/>
      <c r="T1138" s="125"/>
      <c r="U1138" s="10"/>
    </row>
    <row r="1139" spans="1:22" s="126" customFormat="1" x14ac:dyDescent="0.55000000000000004">
      <c r="A1139" s="117"/>
      <c r="B1139"/>
      <c r="C1139" s="124"/>
      <c r="D1139" s="124"/>
      <c r="E1139"/>
      <c r="F1139" s="120" t="s">
        <v>555</v>
      </c>
      <c r="G1139"/>
      <c r="H1139"/>
      <c r="I1139"/>
      <c r="J1139"/>
      <c r="K1139"/>
      <c r="L1139"/>
      <c r="M1139"/>
      <c r="N1139"/>
      <c r="O1139"/>
      <c r="P1139"/>
      <c r="Q1139"/>
      <c r="R1139"/>
      <c r="S1139" s="125"/>
      <c r="T1139" s="125"/>
      <c r="U1139" s="10"/>
    </row>
    <row r="1140" spans="1:22" s="126" customFormat="1" x14ac:dyDescent="0.55000000000000004">
      <c r="A1140" s="117"/>
      <c r="B1140"/>
      <c r="C1140" s="124"/>
      <c r="D1140" s="124"/>
      <c r="E1140"/>
      <c r="F1140"/>
      <c r="G1140"/>
      <c r="H1140"/>
      <c r="I1140"/>
      <c r="J1140"/>
      <c r="K1140"/>
      <c r="L1140"/>
      <c r="M1140"/>
      <c r="N1140"/>
      <c r="O1140"/>
      <c r="P1140"/>
      <c r="Q1140"/>
      <c r="R1140"/>
      <c r="S1140" s="125"/>
      <c r="T1140" s="125"/>
      <c r="U1140" s="10"/>
    </row>
    <row r="1141" spans="1:22" s="126" customFormat="1" ht="43.2" x14ac:dyDescent="0.55000000000000004">
      <c r="A1141" s="117"/>
      <c r="B1141"/>
      <c r="C1141" s="124"/>
      <c r="D1141" s="124"/>
      <c r="E1141"/>
      <c r="F1141"/>
      <c r="G1141" s="56" t="s">
        <v>86</v>
      </c>
      <c r="H1141" s="56" t="s">
        <v>73</v>
      </c>
      <c r="I1141" s="56" t="s">
        <v>87</v>
      </c>
      <c r="J1141" s="56" t="s">
        <v>75</v>
      </c>
      <c r="K1141" s="56" t="s">
        <v>76</v>
      </c>
      <c r="L1141"/>
      <c r="M1141"/>
      <c r="N1141"/>
      <c r="O1141"/>
      <c r="P1141"/>
      <c r="Q1141"/>
      <c r="R1141"/>
      <c r="S1141" s="125"/>
      <c r="T1141" s="125"/>
      <c r="U1141" s="10"/>
    </row>
    <row r="1142" spans="1:22" s="126" customFormat="1" x14ac:dyDescent="0.55000000000000004">
      <c r="A1142" s="117"/>
      <c r="B1142"/>
      <c r="C1142" s="124"/>
      <c r="D1142" s="124"/>
      <c r="E1142"/>
      <c r="F1142">
        <f>F1134</f>
        <v>0</v>
      </c>
      <c r="G1142" s="26">
        <f ca="1">SUM(I1134,K1134)</f>
        <v>0</v>
      </c>
      <c r="H1142" s="64">
        <f ca="1">IFERROR(G1142/G1134,0)/12</f>
        <v>0</v>
      </c>
      <c r="I1142" s="84"/>
      <c r="J1142" s="26">
        <f>I1142*G1134*12</f>
        <v>0</v>
      </c>
      <c r="K1142" s="21">
        <f>J1142/12</f>
        <v>0</v>
      </c>
      <c r="L1142"/>
      <c r="M1142"/>
      <c r="N1142"/>
      <c r="O1142"/>
      <c r="P1142"/>
      <c r="Q1142"/>
      <c r="R1142"/>
      <c r="S1142" s="125"/>
      <c r="T1142" s="125"/>
      <c r="U1142" s="10"/>
    </row>
    <row r="1143" spans="1:22" s="126" customFormat="1" x14ac:dyDescent="0.55000000000000004">
      <c r="A1143" s="117"/>
      <c r="B1143"/>
      <c r="C1143" s="124"/>
      <c r="D1143" s="124"/>
      <c r="E1143" s="133"/>
      <c r="F1143" s="58" t="str">
        <f>IF(I1142&gt;I1132,"Error: revenue from fixed charges exceeds total revenue required from tariff. Reduce fixed charge.","")</f>
        <v/>
      </c>
      <c r="G1143" s="58" t="str">
        <f ca="1">IF(J1142&gt;L1134,"Error: revenue from fixed charges exceeds total revenue required from tariff. Reduce fixed charge.","")</f>
        <v/>
      </c>
      <c r="H1143" s="134"/>
      <c r="I1143" s="134"/>
      <c r="J1143" s="135"/>
      <c r="K1143"/>
      <c r="L1143"/>
      <c r="M1143"/>
      <c r="N1143"/>
      <c r="O1143"/>
      <c r="P1143"/>
      <c r="Q1143"/>
      <c r="R1143"/>
      <c r="S1143" s="125"/>
      <c r="T1143" s="125"/>
      <c r="U1143" s="10"/>
    </row>
    <row r="1144" spans="1:22" s="126" customFormat="1" ht="14.7" thickBot="1" x14ac:dyDescent="0.6">
      <c r="A1144" s="117"/>
      <c r="B1144"/>
      <c r="C1144" s="124"/>
      <c r="D1144" s="130"/>
      <c r="E1144" s="131"/>
      <c r="F1144" s="131"/>
      <c r="G1144" s="131"/>
      <c r="H1144" s="131"/>
      <c r="I1144" s="131"/>
      <c r="J1144" s="131"/>
      <c r="K1144" s="131"/>
      <c r="L1144" s="131"/>
      <c r="M1144" s="131"/>
      <c r="N1144" s="131"/>
      <c r="O1144" s="131"/>
      <c r="P1144" s="131"/>
      <c r="Q1144" s="131"/>
      <c r="R1144" s="131"/>
      <c r="S1144" s="132"/>
      <c r="T1144" s="125"/>
      <c r="U1144" s="10"/>
    </row>
    <row r="1145" spans="1:22" s="126" customFormat="1" ht="14.7" thickBot="1" x14ac:dyDescent="0.6">
      <c r="A1145" s="117"/>
      <c r="B1145"/>
      <c r="C1145" s="124"/>
      <c r="D1145"/>
      <c r="E1145"/>
      <c r="F1145"/>
      <c r="G1145"/>
      <c r="H1145"/>
      <c r="I1145"/>
      <c r="J1145"/>
      <c r="K1145"/>
      <c r="L1145"/>
      <c r="M1145"/>
      <c r="N1145"/>
      <c r="O1145"/>
      <c r="P1145"/>
      <c r="Q1145"/>
      <c r="R1145"/>
      <c r="S1145"/>
      <c r="T1145" s="125"/>
      <c r="U1145" s="10"/>
    </row>
    <row r="1146" spans="1:22" s="126" customFormat="1" x14ac:dyDescent="0.55000000000000004">
      <c r="A1146" s="117"/>
      <c r="B1146"/>
      <c r="C1146" s="124"/>
      <c r="D1146" s="121"/>
      <c r="E1146" s="122"/>
      <c r="F1146" s="122"/>
      <c r="G1146" s="122"/>
      <c r="H1146" s="122"/>
      <c r="I1146" s="122"/>
      <c r="J1146" s="122"/>
      <c r="K1146" s="122"/>
      <c r="L1146" s="122"/>
      <c r="M1146" s="122"/>
      <c r="N1146" s="122"/>
      <c r="O1146" s="122"/>
      <c r="P1146" s="122"/>
      <c r="Q1146" s="122"/>
      <c r="R1146" s="122"/>
      <c r="S1146" s="123"/>
      <c r="T1146" s="125"/>
      <c r="U1146" s="10"/>
    </row>
    <row r="1147" spans="1:22" s="126" customFormat="1" x14ac:dyDescent="0.55000000000000004">
      <c r="A1147" s="117"/>
      <c r="B1147"/>
      <c r="C1147" s="124"/>
      <c r="D1147" s="124"/>
      <c r="E1147"/>
      <c r="F1147" s="1" t="s">
        <v>96</v>
      </c>
      <c r="G1147"/>
      <c r="H1147"/>
      <c r="I1147"/>
      <c r="J1147"/>
      <c r="K1147"/>
      <c r="L1147"/>
      <c r="M1147"/>
      <c r="N1147"/>
      <c r="O1147"/>
      <c r="P1147"/>
      <c r="Q1147"/>
      <c r="R1147"/>
      <c r="S1147" s="125"/>
      <c r="T1147" s="125"/>
      <c r="U1147" s="10"/>
    </row>
    <row r="1148" spans="1:22" s="126" customFormat="1" ht="14.55" customHeight="1" x14ac:dyDescent="0.55000000000000004">
      <c r="A1148" s="117"/>
      <c r="B1148"/>
      <c r="C1148" s="124"/>
      <c r="D1148" s="124"/>
      <c r="E1148"/>
      <c r="F1148" s="1804" t="s">
        <v>560</v>
      </c>
      <c r="G1148" s="1804"/>
      <c r="H1148" s="1804"/>
      <c r="I1148" s="1804"/>
      <c r="J1148" s="1804"/>
      <c r="K1148" s="1804"/>
      <c r="L1148" s="1804"/>
      <c r="M1148" s="1804"/>
      <c r="N1148" s="1804"/>
      <c r="O1148" s="1804"/>
      <c r="P1148" s="1804"/>
      <c r="Q1148" s="119"/>
      <c r="R1148"/>
      <c r="S1148" s="125"/>
      <c r="T1148" s="125"/>
      <c r="U1148" s="10"/>
    </row>
    <row r="1149" spans="1:22" s="126" customFormat="1" x14ac:dyDescent="0.55000000000000004">
      <c r="A1149" s="117"/>
      <c r="B1149"/>
      <c r="C1149" s="124"/>
      <c r="D1149" s="124"/>
      <c r="E1149"/>
      <c r="F1149" s="119"/>
      <c r="G1149" s="119"/>
      <c r="H1149" s="119"/>
      <c r="I1149" s="119"/>
      <c r="J1149" s="119"/>
      <c r="K1149" s="119"/>
      <c r="L1149" s="119"/>
      <c r="M1149" s="119"/>
      <c r="N1149" s="119"/>
      <c r="O1149" s="119"/>
      <c r="P1149" s="119"/>
      <c r="Q1149" s="119"/>
      <c r="R1149"/>
      <c r="S1149" s="125"/>
      <c r="T1149" s="125"/>
      <c r="U1149" s="10"/>
    </row>
    <row r="1150" spans="1:22" s="126" customFormat="1" x14ac:dyDescent="0.55000000000000004">
      <c r="A1150" s="117"/>
      <c r="B1150"/>
      <c r="C1150" s="124"/>
      <c r="D1150" s="124"/>
      <c r="E1150"/>
      <c r="F1150" s="1" t="s">
        <v>348</v>
      </c>
      <c r="G1150" s="80" t="s">
        <v>90</v>
      </c>
      <c r="H1150" s="119"/>
      <c r="I1150" s="119"/>
      <c r="J1150" s="119"/>
      <c r="K1150" s="119"/>
      <c r="L1150" s="119"/>
      <c r="M1150" s="119"/>
      <c r="N1150" s="119"/>
      <c r="O1150" s="119"/>
      <c r="P1150" s="119"/>
      <c r="Q1150" s="119"/>
      <c r="R1150"/>
      <c r="S1150" s="125"/>
      <c r="T1150" s="125"/>
      <c r="U1150" s="10"/>
      <c r="V1150" s="126" t="s">
        <v>89</v>
      </c>
    </row>
    <row r="1151" spans="1:22" s="126" customFormat="1" ht="14.7" thickBot="1" x14ac:dyDescent="0.6">
      <c r="A1151" s="117"/>
      <c r="B1151"/>
      <c r="C1151" s="124"/>
      <c r="D1151" s="124"/>
      <c r="E1151"/>
      <c r="F1151"/>
      <c r="G1151" s="134"/>
      <c r="H1151" s="119"/>
      <c r="I1151" s="119"/>
      <c r="J1151" s="119"/>
      <c r="K1151" s="119"/>
      <c r="L1151" s="119"/>
      <c r="M1151" s="119"/>
      <c r="N1151" s="119"/>
      <c r="O1151" s="119"/>
      <c r="P1151" s="119"/>
      <c r="Q1151" s="119"/>
      <c r="R1151"/>
      <c r="S1151" s="125"/>
      <c r="T1151" s="125"/>
      <c r="U1151" s="10"/>
      <c r="V1151" s="126" t="s">
        <v>90</v>
      </c>
    </row>
    <row r="1152" spans="1:22" s="126" customFormat="1" x14ac:dyDescent="0.55000000000000004">
      <c r="A1152" s="117"/>
      <c r="B1152"/>
      <c r="C1152" s="124"/>
      <c r="D1152" s="124"/>
      <c r="E1152" s="121"/>
      <c r="F1152" s="122"/>
      <c r="G1152" s="122"/>
      <c r="H1152" s="122"/>
      <c r="I1152" s="122"/>
      <c r="J1152" s="122"/>
      <c r="K1152" s="122"/>
      <c r="L1152" s="122"/>
      <c r="M1152" s="122"/>
      <c r="N1152" s="122"/>
      <c r="O1152" s="122"/>
      <c r="P1152" s="122"/>
      <c r="Q1152" s="122"/>
      <c r="R1152" s="123"/>
      <c r="S1152" s="125"/>
      <c r="T1152" s="125"/>
      <c r="U1152" s="10"/>
    </row>
    <row r="1153" spans="1:24" s="126" customFormat="1" x14ac:dyDescent="0.55000000000000004">
      <c r="A1153" s="117"/>
      <c r="B1153"/>
      <c r="C1153" s="124"/>
      <c r="D1153" s="124"/>
      <c r="E1153" s="124"/>
      <c r="F1153" s="1" t="s">
        <v>343</v>
      </c>
      <c r="G1153" s="163"/>
      <c r="H1153"/>
      <c r="I1153"/>
      <c r="J1153"/>
      <c r="K1153"/>
      <c r="L1153"/>
      <c r="M1153"/>
      <c r="N1153"/>
      <c r="O1153"/>
      <c r="P1153"/>
      <c r="Q1153"/>
      <c r="R1153" s="125"/>
      <c r="S1153" s="125"/>
      <c r="T1153" s="125"/>
      <c r="U1153" s="10"/>
    </row>
    <row r="1154" spans="1:24" s="126" customFormat="1" ht="14.55" customHeight="1" x14ac:dyDescent="0.55000000000000004">
      <c r="A1154" s="117"/>
      <c r="B1154"/>
      <c r="C1154" s="124"/>
      <c r="D1154" s="124"/>
      <c r="E1154" s="124"/>
      <c r="F1154" s="1804" t="s">
        <v>561</v>
      </c>
      <c r="G1154" s="1804"/>
      <c r="H1154" s="1804"/>
      <c r="I1154" s="1804"/>
      <c r="J1154" s="1804"/>
      <c r="K1154" s="1804"/>
      <c r="L1154" s="1804"/>
      <c r="M1154" s="1804"/>
      <c r="N1154" s="1804"/>
      <c r="O1154" s="1804"/>
      <c r="P1154" s="1804"/>
      <c r="Q1154" s="1804"/>
      <c r="R1154" s="125"/>
      <c r="S1154" s="125"/>
      <c r="T1154" s="125"/>
      <c r="U1154" s="10"/>
    </row>
    <row r="1155" spans="1:24" s="126" customFormat="1" x14ac:dyDescent="0.55000000000000004">
      <c r="A1155" s="117"/>
      <c r="B1155"/>
      <c r="C1155" s="124"/>
      <c r="D1155" s="124"/>
      <c r="E1155" s="124"/>
      <c r="F1155" s="1804"/>
      <c r="G1155" s="1804"/>
      <c r="H1155" s="1804"/>
      <c r="I1155" s="1804"/>
      <c r="J1155" s="1804"/>
      <c r="K1155" s="1804"/>
      <c r="L1155" s="1804"/>
      <c r="M1155" s="1804"/>
      <c r="N1155" s="1804"/>
      <c r="O1155" s="1804"/>
      <c r="P1155" s="1804"/>
      <c r="Q1155" s="1804"/>
      <c r="R1155" s="125"/>
      <c r="S1155" s="125"/>
      <c r="T1155" s="125"/>
      <c r="U1155" s="10"/>
    </row>
    <row r="1156" spans="1:24" s="126" customFormat="1" x14ac:dyDescent="0.55000000000000004">
      <c r="A1156" s="117"/>
      <c r="B1156"/>
      <c r="C1156" s="124"/>
      <c r="D1156" s="124"/>
      <c r="E1156" s="124"/>
      <c r="F1156" s="1"/>
      <c r="G1156" s="163"/>
      <c r="H1156"/>
      <c r="I1156"/>
      <c r="J1156"/>
      <c r="K1156"/>
      <c r="L1156"/>
      <c r="M1156"/>
      <c r="N1156"/>
      <c r="O1156"/>
      <c r="P1156"/>
      <c r="Q1156"/>
      <c r="R1156" s="125"/>
      <c r="S1156" s="125"/>
      <c r="T1156" s="125"/>
      <c r="U1156" s="10"/>
    </row>
    <row r="1157" spans="1:24" s="126" customFormat="1" x14ac:dyDescent="0.55000000000000004">
      <c r="A1157" s="117"/>
      <c r="B1157"/>
      <c r="C1157" s="124"/>
      <c r="D1157" s="124"/>
      <c r="E1157" s="124"/>
      <c r="F1157" s="164" t="s">
        <v>88</v>
      </c>
      <c r="G1157" s="10"/>
      <c r="H1157"/>
      <c r="I1157" s="50">
        <v>5</v>
      </c>
      <c r="J1157"/>
      <c r="K1157"/>
      <c r="L1157"/>
      <c r="M1157"/>
      <c r="N1157"/>
      <c r="O1157"/>
      <c r="P1157"/>
      <c r="Q1157"/>
      <c r="R1157" s="125"/>
      <c r="S1157" s="125"/>
      <c r="T1157" s="125"/>
      <c r="U1157" s="10"/>
    </row>
    <row r="1158" spans="1:24" s="126" customFormat="1" x14ac:dyDescent="0.55000000000000004">
      <c r="A1158" s="117"/>
      <c r="B1158"/>
      <c r="C1158" s="124"/>
      <c r="D1158" s="124"/>
      <c r="E1158" s="124"/>
      <c r="F1158" s="10" t="s">
        <v>612</v>
      </c>
      <c r="H1158"/>
      <c r="I1158" s="159" t="s">
        <v>578</v>
      </c>
      <c r="J1158"/>
      <c r="K1158"/>
      <c r="L1158"/>
      <c r="M1158"/>
      <c r="N1158"/>
      <c r="O1158"/>
      <c r="P1158"/>
      <c r="Q1158"/>
      <c r="R1158" s="125"/>
      <c r="S1158" s="125"/>
      <c r="T1158" s="125"/>
      <c r="U1158" s="10"/>
    </row>
    <row r="1159" spans="1:24" s="126" customFormat="1" x14ac:dyDescent="0.55000000000000004">
      <c r="A1159" s="117"/>
      <c r="B1159"/>
      <c r="C1159" s="124"/>
      <c r="D1159" s="124"/>
      <c r="E1159" s="124"/>
      <c r="F1159"/>
      <c r="G1159"/>
      <c r="H1159"/>
      <c r="I1159"/>
      <c r="J1159"/>
      <c r="K1159"/>
      <c r="L1159"/>
      <c r="M1159"/>
      <c r="N1159"/>
      <c r="O1159"/>
      <c r="P1159"/>
      <c r="Q1159"/>
      <c r="R1159" s="125"/>
      <c r="S1159" s="125"/>
      <c r="T1159" s="125"/>
      <c r="U1159" s="10"/>
    </row>
    <row r="1160" spans="1:24" s="126" customFormat="1" ht="57.6" x14ac:dyDescent="0.55000000000000004">
      <c r="A1160" s="117"/>
      <c r="B1160"/>
      <c r="C1160" s="124"/>
      <c r="D1160" s="124"/>
      <c r="E1160" s="124"/>
      <c r="F1160" s="56" t="s">
        <v>91</v>
      </c>
      <c r="G1160" s="56" t="s">
        <v>92</v>
      </c>
      <c r="H1160" s="129" t="s">
        <v>80</v>
      </c>
      <c r="I1160" s="56" t="s">
        <v>340</v>
      </c>
      <c r="J1160" s="56" t="s">
        <v>356</v>
      </c>
      <c r="K1160" s="165" t="s">
        <v>349</v>
      </c>
      <c r="L1160" s="166" t="s">
        <v>350</v>
      </c>
      <c r="M1160" s="162"/>
      <c r="N1160" s="162"/>
      <c r="O1160" s="162"/>
      <c r="P1160" s="162"/>
      <c r="Q1160" s="162"/>
      <c r="R1160" s="167"/>
      <c r="S1160" s="167"/>
      <c r="T1160" s="167"/>
      <c r="U1160" s="10"/>
      <c r="V1160" s="168" t="s">
        <v>621</v>
      </c>
      <c r="W1160" s="168" t="s">
        <v>622</v>
      </c>
    </row>
    <row r="1161" spans="1:24" s="126" customFormat="1" x14ac:dyDescent="0.55000000000000004">
      <c r="A1161" s="117"/>
      <c r="B1161"/>
      <c r="C1161" s="124"/>
      <c r="D1161" s="124"/>
      <c r="E1161" s="124"/>
      <c r="F1161" s="89">
        <f>IF($I$1157=X1161,X1161,1)</f>
        <v>1</v>
      </c>
      <c r="G1161" s="91">
        <v>0</v>
      </c>
      <c r="H1161" s="50"/>
      <c r="I1161" s="169"/>
      <c r="J1161" s="21">
        <f>IF(G1150=V1150,H1134-SUMIF(F1162:F1165,"&lt;="&amp;$I$1157,J1162:J1165),0)</f>
        <v>0</v>
      </c>
      <c r="K1161" s="114">
        <f>IFERROR(IF(G1150=V1150,IF(F1161&lt;=I1157,IF(I1158="No",IF(J1142=0,L1134/SUMPRODUCT(V1161:V1165,J1161:J1165),(L1134-J1142)/SUMPRODUCT(V1161:V1165,J1161:J1165)),0),0),0),0)</f>
        <v>0</v>
      </c>
      <c r="L1161" s="31">
        <f>J1161*K1161</f>
        <v>0</v>
      </c>
      <c r="M1161" s="170"/>
      <c r="N1161" s="135"/>
      <c r="O1161" s="171"/>
      <c r="P1161"/>
      <c r="Q1161"/>
      <c r="R1161" s="125"/>
      <c r="S1161" s="125"/>
      <c r="T1161" s="125"/>
      <c r="U1161" s="10"/>
      <c r="V1161" s="96">
        <f>IF(F1161&lt;=$I$1157,1,0)</f>
        <v>1</v>
      </c>
      <c r="X1161" s="126">
        <v>1</v>
      </c>
    </row>
    <row r="1162" spans="1:24" s="126" customFormat="1" x14ac:dyDescent="0.55000000000000004">
      <c r="A1162" s="117"/>
      <c r="B1162"/>
      <c r="C1162" s="124"/>
      <c r="D1162" s="124"/>
      <c r="E1162" s="124"/>
      <c r="F1162" s="89">
        <f>IF($I$1157&gt;=X1162,X1162,"")</f>
        <v>2</v>
      </c>
      <c r="G1162" s="91">
        <f>IF($I$1157&gt;=F1162,H1161+0.01,"")</f>
        <v>0.01</v>
      </c>
      <c r="H1162" s="50"/>
      <c r="I1162" s="61"/>
      <c r="J1162" s="13"/>
      <c r="K1162" s="114">
        <f>IFERROR(IF(F1162&lt;=I1157,IF(I1158="No",K1161*(1+I1162),IF(J1142=0,L1134/SUMPRODUCT(W1162:W1165,J1162:J1165),(L1134-J1142)/SUMPRODUCT(W1162:W1165,J1162:J1165))),0),0)</f>
        <v>0</v>
      </c>
      <c r="L1162" s="31">
        <f>J1162*K1162</f>
        <v>0</v>
      </c>
      <c r="M1162" s="170"/>
      <c r="N1162" s="135"/>
      <c r="O1162" s="171"/>
      <c r="P1162"/>
      <c r="Q1162"/>
      <c r="R1162" s="125"/>
      <c r="S1162" s="125"/>
      <c r="T1162" s="125"/>
      <c r="U1162" s="10"/>
      <c r="V1162" s="96">
        <f>IF(F1162&lt;=$I$1157,(1+I1162),0)</f>
        <v>1</v>
      </c>
      <c r="W1162" s="92">
        <f>IF(F1162&lt;=I1157,1,0)</f>
        <v>1</v>
      </c>
      <c r="X1162" s="126">
        <v>2</v>
      </c>
    </row>
    <row r="1163" spans="1:24" s="126" customFormat="1" x14ac:dyDescent="0.55000000000000004">
      <c r="A1163" s="117"/>
      <c r="B1163"/>
      <c r="C1163" s="124"/>
      <c r="D1163" s="124"/>
      <c r="E1163" s="124"/>
      <c r="F1163" s="89">
        <f>IF($I$1157&gt;=X1163,X1163,"")</f>
        <v>3</v>
      </c>
      <c r="G1163" s="91">
        <f>IF($I$1157&gt;=F1163,H1162+0.01,"")</f>
        <v>0.01</v>
      </c>
      <c r="H1163" s="50"/>
      <c r="I1163" s="61"/>
      <c r="J1163" s="13"/>
      <c r="K1163" s="95">
        <f>IF(F1163&lt;=$I$1157,K1162*(1+I1163),0)</f>
        <v>0</v>
      </c>
      <c r="L1163" s="31">
        <f>J1163*K1163</f>
        <v>0</v>
      </c>
      <c r="M1163" s="170"/>
      <c r="N1163" s="135"/>
      <c r="O1163" s="171"/>
      <c r="P1163"/>
      <c r="Q1163"/>
      <c r="R1163" s="125"/>
      <c r="S1163" s="125"/>
      <c r="T1163" s="125"/>
      <c r="U1163" s="10"/>
      <c r="V1163" s="96">
        <f>IF(F1163&lt;=$I$1157,V1162*(1+I1163),0)</f>
        <v>1</v>
      </c>
      <c r="W1163" s="92">
        <f>IF(F1163&lt;=I1157,W1162*(1+I1163),0)</f>
        <v>1</v>
      </c>
      <c r="X1163" s="126">
        <v>3</v>
      </c>
    </row>
    <row r="1164" spans="1:24" s="126" customFormat="1" x14ac:dyDescent="0.55000000000000004">
      <c r="A1164" s="117"/>
      <c r="B1164"/>
      <c r="C1164" s="124"/>
      <c r="D1164" s="124"/>
      <c r="E1164" s="124"/>
      <c r="F1164" s="89">
        <f>IF($I$1157&gt;=X1164,X1164,"")</f>
        <v>4</v>
      </c>
      <c r="G1164" s="91">
        <f>IF($I$1157&gt;=F1164,H1163+0.01,"")</f>
        <v>0.01</v>
      </c>
      <c r="H1164" s="50"/>
      <c r="I1164" s="61"/>
      <c r="J1164" s="13"/>
      <c r="K1164" s="95">
        <f>IF(F1164&lt;=$I$1157,K1163*(1+I1164),0)</f>
        <v>0</v>
      </c>
      <c r="L1164" s="31">
        <f>J1164*K1164</f>
        <v>0</v>
      </c>
      <c r="M1164" s="170"/>
      <c r="N1164" s="135"/>
      <c r="O1164" s="171"/>
      <c r="P1164"/>
      <c r="Q1164"/>
      <c r="R1164" s="125"/>
      <c r="S1164" s="125"/>
      <c r="T1164" s="125"/>
      <c r="U1164" s="10"/>
      <c r="V1164" s="96">
        <f>IF(F1164&lt;=$I$1157,V1163*(1+I1164),0)</f>
        <v>1</v>
      </c>
      <c r="W1164" s="92">
        <f>IF(F1164&lt;=I1157,W1163*(1+I1164),0)</f>
        <v>1</v>
      </c>
      <c r="X1164" s="126">
        <v>4</v>
      </c>
    </row>
    <row r="1165" spans="1:24" s="126" customFormat="1" x14ac:dyDescent="0.55000000000000004">
      <c r="A1165" s="117"/>
      <c r="B1165"/>
      <c r="C1165" s="124"/>
      <c r="D1165" s="124"/>
      <c r="E1165" s="124"/>
      <c r="F1165" s="89">
        <f>IF($I$1157&gt;=X1165,X1165,"")</f>
        <v>5</v>
      </c>
      <c r="G1165" s="91">
        <f>IF($I$1157&gt;=F1165,H1164+0.01,"")</f>
        <v>0.01</v>
      </c>
      <c r="H1165" s="89" t="s">
        <v>84</v>
      </c>
      <c r="I1165" s="61"/>
      <c r="J1165" s="13"/>
      <c r="K1165" s="95">
        <f>IF(F1165&lt;=$I$1157,K1164*(1+I1165),0)</f>
        <v>0</v>
      </c>
      <c r="L1165" s="31">
        <f>J1165*K1165</f>
        <v>0</v>
      </c>
      <c r="M1165" s="170"/>
      <c r="N1165" s="135"/>
      <c r="O1165" s="171"/>
      <c r="P1165"/>
      <c r="Q1165"/>
      <c r="R1165" s="125"/>
      <c r="S1165" s="125"/>
      <c r="T1165" s="125"/>
      <c r="U1165" s="10"/>
      <c r="V1165" s="96">
        <f>IF(F1165&lt;=$I$1157,V1164*(1+I1165),0)</f>
        <v>1</v>
      </c>
      <c r="W1165" s="92">
        <f>IF(F1165&lt;=I1157,W1164*(1+I1165),0)</f>
        <v>1</v>
      </c>
      <c r="X1165" s="126">
        <v>5</v>
      </c>
    </row>
    <row r="1166" spans="1:24" s="126" customFormat="1" ht="14.7" thickBot="1" x14ac:dyDescent="0.6">
      <c r="A1166" s="117"/>
      <c r="B1166"/>
      <c r="C1166" s="124"/>
      <c r="D1166" s="124"/>
      <c r="E1166" s="130"/>
      <c r="F1166" s="149"/>
      <c r="G1166" s="150"/>
      <c r="H1166" s="149"/>
      <c r="I1166" s="172"/>
      <c r="J1166" s="173"/>
      <c r="K1166" s="173"/>
      <c r="L1166" s="173"/>
      <c r="M1166" s="174"/>
      <c r="N1166" s="152"/>
      <c r="O1166" s="175"/>
      <c r="P1166" s="131"/>
      <c r="Q1166" s="131"/>
      <c r="R1166" s="132"/>
      <c r="S1166" s="125"/>
      <c r="T1166" s="125"/>
      <c r="U1166" s="10"/>
    </row>
    <row r="1167" spans="1:24" s="126" customFormat="1" ht="14.7" thickBot="1" x14ac:dyDescent="0.6">
      <c r="A1167" s="117"/>
      <c r="B1167"/>
      <c r="C1167" s="124"/>
      <c r="D1167" s="124"/>
      <c r="E1167"/>
      <c r="F1167" s="163"/>
      <c r="G1167" s="176"/>
      <c r="H1167" s="163"/>
      <c r="I1167" s="177"/>
      <c r="J1167" s="178"/>
      <c r="K1167" s="178"/>
      <c r="L1167" s="178"/>
      <c r="M1167" s="170"/>
      <c r="N1167" s="135"/>
      <c r="O1167" s="171"/>
      <c r="P1167"/>
      <c r="Q1167"/>
      <c r="R1167"/>
      <c r="S1167" s="125"/>
      <c r="T1167" s="125"/>
      <c r="U1167" s="10"/>
    </row>
    <row r="1168" spans="1:24" s="126" customFormat="1" x14ac:dyDescent="0.55000000000000004">
      <c r="A1168" s="117"/>
      <c r="B1168"/>
      <c r="C1168" s="124"/>
      <c r="D1168" s="124"/>
      <c r="E1168" s="121"/>
      <c r="F1168" s="179"/>
      <c r="G1168" s="180"/>
      <c r="H1168" s="179"/>
      <c r="I1168" s="181"/>
      <c r="J1168" s="182"/>
      <c r="K1168" s="182"/>
      <c r="L1168" s="182"/>
      <c r="M1168" s="183"/>
      <c r="N1168" s="184"/>
      <c r="O1168" s="185"/>
      <c r="P1168" s="122"/>
      <c r="Q1168" s="122"/>
      <c r="R1168" s="123"/>
      <c r="S1168" s="125"/>
      <c r="T1168" s="125"/>
      <c r="U1168" s="10"/>
    </row>
    <row r="1169" spans="1:27" s="126" customFormat="1" x14ac:dyDescent="0.55000000000000004">
      <c r="A1169" s="117"/>
      <c r="B1169"/>
      <c r="C1169" s="124"/>
      <c r="D1169" s="124"/>
      <c r="E1169" s="124"/>
      <c r="F1169" s="186" t="s">
        <v>344</v>
      </c>
      <c r="G1169" s="176"/>
      <c r="H1169" s="163"/>
      <c r="I1169" s="177"/>
      <c r="J1169" s="178"/>
      <c r="K1169" s="178"/>
      <c r="L1169" s="178"/>
      <c r="M1169" s="170"/>
      <c r="N1169" s="135"/>
      <c r="O1169" s="187"/>
      <c r="P1169"/>
      <c r="Q1169"/>
      <c r="R1169" s="125"/>
      <c r="S1169" s="125"/>
      <c r="T1169" s="125"/>
      <c r="U1169" s="10"/>
    </row>
    <row r="1170" spans="1:27" s="126" customFormat="1" ht="14.55" customHeight="1" x14ac:dyDescent="0.55000000000000004">
      <c r="A1170" s="117"/>
      <c r="B1170"/>
      <c r="C1170" s="124"/>
      <c r="D1170" s="124"/>
      <c r="E1170" s="124"/>
      <c r="F1170" s="1804" t="s">
        <v>562</v>
      </c>
      <c r="G1170" s="1804"/>
      <c r="H1170" s="1804"/>
      <c r="I1170" s="1804"/>
      <c r="J1170" s="1804"/>
      <c r="K1170" s="1804"/>
      <c r="L1170" s="1804"/>
      <c r="M1170" s="1804"/>
      <c r="N1170" s="1804"/>
      <c r="O1170" s="1804"/>
      <c r="P1170" s="1804"/>
      <c r="Q1170" s="1804"/>
      <c r="R1170" s="125"/>
      <c r="S1170" s="125"/>
      <c r="T1170" s="125"/>
      <c r="U1170" s="10"/>
    </row>
    <row r="1171" spans="1:27" s="126" customFormat="1" x14ac:dyDescent="0.55000000000000004">
      <c r="A1171" s="117"/>
      <c r="B1171"/>
      <c r="C1171" s="124"/>
      <c r="D1171" s="124"/>
      <c r="E1171" s="124"/>
      <c r="F1171" s="1804"/>
      <c r="G1171" s="1804"/>
      <c r="H1171" s="1804"/>
      <c r="I1171" s="1804"/>
      <c r="J1171" s="1804"/>
      <c r="K1171" s="1804"/>
      <c r="L1171" s="1804"/>
      <c r="M1171" s="1804"/>
      <c r="N1171" s="1804"/>
      <c r="O1171" s="1804"/>
      <c r="P1171" s="1804"/>
      <c r="Q1171" s="1804"/>
      <c r="R1171" s="125"/>
      <c r="S1171" s="125"/>
      <c r="T1171" s="125"/>
      <c r="U1171" s="10"/>
    </row>
    <row r="1172" spans="1:27" s="126" customFormat="1" x14ac:dyDescent="0.55000000000000004">
      <c r="A1172" s="117"/>
      <c r="B1172"/>
      <c r="C1172" s="124"/>
      <c r="D1172" s="124"/>
      <c r="E1172" s="124"/>
      <c r="F1172" s="186"/>
      <c r="G1172" s="176"/>
      <c r="H1172" s="163"/>
      <c r="I1172" s="177"/>
      <c r="J1172" s="178"/>
      <c r="K1172" s="178"/>
      <c r="L1172" s="178"/>
      <c r="M1172" s="170"/>
      <c r="N1172" s="135"/>
      <c r="O1172" s="187"/>
      <c r="P1172"/>
      <c r="Q1172"/>
      <c r="R1172" s="125"/>
      <c r="S1172" s="125"/>
      <c r="T1172" s="125"/>
      <c r="U1172" s="10"/>
    </row>
    <row r="1173" spans="1:27" s="126" customFormat="1" x14ac:dyDescent="0.55000000000000004">
      <c r="A1173" s="117"/>
      <c r="B1173"/>
      <c r="C1173" s="124"/>
      <c r="D1173" s="124"/>
      <c r="E1173" s="124"/>
      <c r="F1173" s="164" t="s">
        <v>88</v>
      </c>
      <c r="G1173" s="10"/>
      <c r="H1173" s="163"/>
      <c r="I1173" s="50">
        <v>5</v>
      </c>
      <c r="J1173" s="178"/>
      <c r="K1173" s="178"/>
      <c r="L1173" s="178"/>
      <c r="M1173" s="170"/>
      <c r="N1173" s="135"/>
      <c r="O1173" s="187"/>
      <c r="P1173"/>
      <c r="Q1173"/>
      <c r="R1173" s="125"/>
      <c r="S1173" s="125"/>
      <c r="T1173" s="125"/>
      <c r="U1173" s="10"/>
    </row>
    <row r="1174" spans="1:27" s="126" customFormat="1" x14ac:dyDescent="0.55000000000000004">
      <c r="A1174" s="117"/>
      <c r="B1174"/>
      <c r="C1174" s="124"/>
      <c r="D1174" s="124"/>
      <c r="E1174" s="124"/>
      <c r="F1174" t="s">
        <v>346</v>
      </c>
      <c r="G1174" s="10"/>
      <c r="H1174" s="163"/>
      <c r="I1174" s="13"/>
      <c r="J1174" s="178"/>
      <c r="K1174" s="178"/>
      <c r="L1174" s="178"/>
      <c r="M1174" s="170"/>
      <c r="N1174" s="135"/>
      <c r="O1174" s="187"/>
      <c r="P1174"/>
      <c r="Q1174"/>
      <c r="R1174" s="125"/>
      <c r="S1174" s="125"/>
      <c r="T1174" s="125"/>
      <c r="U1174" s="10"/>
    </row>
    <row r="1175" spans="1:27" s="126" customFormat="1" x14ac:dyDescent="0.55000000000000004">
      <c r="A1175" s="117"/>
      <c r="B1175"/>
      <c r="C1175" s="124"/>
      <c r="D1175" s="124"/>
      <c r="E1175" s="124"/>
      <c r="F1175" t="s">
        <v>347</v>
      </c>
      <c r="G1175" s="10"/>
      <c r="H1175" s="163"/>
      <c r="I1175" s="13"/>
      <c r="J1175" s="178"/>
      <c r="K1175" s="178"/>
      <c r="L1175" s="178"/>
      <c r="M1175" s="170"/>
      <c r="N1175" s="135"/>
      <c r="O1175" s="187"/>
      <c r="P1175"/>
      <c r="Q1175"/>
      <c r="R1175" s="125"/>
      <c r="S1175" s="125"/>
      <c r="T1175" s="125"/>
      <c r="U1175" s="10"/>
    </row>
    <row r="1176" spans="1:27" s="126" customFormat="1" x14ac:dyDescent="0.55000000000000004">
      <c r="A1176" s="117"/>
      <c r="B1176"/>
      <c r="C1176" s="124"/>
      <c r="D1176" s="124"/>
      <c r="E1176" s="124"/>
      <c r="F1176" t="s">
        <v>366</v>
      </c>
      <c r="G1176" s="10"/>
      <c r="H1176"/>
      <c r="I1176" s="93"/>
      <c r="J1176"/>
      <c r="K1176" s="178"/>
      <c r="L1176" s="178"/>
      <c r="M1176" s="170"/>
      <c r="N1176" s="135"/>
      <c r="O1176" s="187"/>
      <c r="P1176"/>
      <c r="Q1176"/>
      <c r="R1176" s="125"/>
      <c r="S1176" s="125"/>
      <c r="T1176" s="125"/>
      <c r="U1176" s="10"/>
    </row>
    <row r="1177" spans="1:27" s="126" customFormat="1" x14ac:dyDescent="0.55000000000000004">
      <c r="A1177" s="117"/>
      <c r="B1177"/>
      <c r="C1177" s="124"/>
      <c r="D1177" s="124"/>
      <c r="E1177" s="124"/>
      <c r="F1177" s="10" t="s">
        <v>612</v>
      </c>
      <c r="H1177"/>
      <c r="I1177" s="159" t="s">
        <v>578</v>
      </c>
      <c r="J1177"/>
      <c r="K1177" s="178"/>
      <c r="L1177" s="178"/>
      <c r="M1177" s="170"/>
      <c r="N1177" s="135"/>
      <c r="O1177" s="187"/>
      <c r="P1177"/>
      <c r="Q1177"/>
      <c r="R1177" s="125"/>
      <c r="S1177" s="125"/>
      <c r="T1177" s="125"/>
      <c r="U1177" s="10"/>
    </row>
    <row r="1178" spans="1:27" s="126" customFormat="1" x14ac:dyDescent="0.55000000000000004">
      <c r="A1178" s="117"/>
      <c r="B1178"/>
      <c r="C1178" s="124"/>
      <c r="D1178" s="124"/>
      <c r="E1178" s="124"/>
      <c r="F1178"/>
      <c r="G1178"/>
      <c r="H1178"/>
      <c r="I1178" s="188"/>
      <c r="J1178"/>
      <c r="K1178" s="178"/>
      <c r="L1178" s="178"/>
      <c r="M1178" s="170"/>
      <c r="N1178" s="135"/>
      <c r="O1178" s="187"/>
      <c r="P1178"/>
      <c r="Q1178"/>
      <c r="R1178" s="125"/>
      <c r="S1178" s="125"/>
      <c r="T1178" s="125"/>
      <c r="U1178" s="10"/>
    </row>
    <row r="1179" spans="1:27" s="126" customFormat="1" ht="57.6" x14ac:dyDescent="0.55000000000000004">
      <c r="A1179" s="117"/>
      <c r="B1179"/>
      <c r="C1179" s="124"/>
      <c r="D1179" s="124"/>
      <c r="E1179" s="124"/>
      <c r="F1179" s="56" t="s">
        <v>91</v>
      </c>
      <c r="G1179" s="56" t="s">
        <v>92</v>
      </c>
      <c r="H1179" s="129" t="s">
        <v>80</v>
      </c>
      <c r="I1179" s="56" t="s">
        <v>367</v>
      </c>
      <c r="J1179" s="56" t="s">
        <v>368</v>
      </c>
      <c r="K1179" s="56" t="s">
        <v>341</v>
      </c>
      <c r="L1179" s="56" t="s">
        <v>342</v>
      </c>
      <c r="M1179" s="166" t="s">
        <v>351</v>
      </c>
      <c r="N1179" s="56" t="s">
        <v>352</v>
      </c>
      <c r="O1179" s="56" t="s">
        <v>353</v>
      </c>
      <c r="P1179" s="56" t="s">
        <v>354</v>
      </c>
      <c r="Q1179" s="56" t="s">
        <v>355</v>
      </c>
      <c r="R1179" s="125"/>
      <c r="S1179" s="125"/>
      <c r="T1179" s="125"/>
      <c r="V1179" s="189" t="s">
        <v>616</v>
      </c>
      <c r="W1179" s="168" t="s">
        <v>617</v>
      </c>
      <c r="X1179" s="189" t="s">
        <v>618</v>
      </c>
      <c r="Y1179" s="168" t="s">
        <v>619</v>
      </c>
      <c r="AA1179" s="10"/>
    </row>
    <row r="1180" spans="1:27" s="126" customFormat="1" x14ac:dyDescent="0.55000000000000004">
      <c r="A1180" s="117"/>
      <c r="B1180"/>
      <c r="C1180" s="124"/>
      <c r="D1180" s="124"/>
      <c r="E1180" s="124"/>
      <c r="F1180" s="89">
        <f>IF($I$1173=Z1180,Z1180,1)</f>
        <v>1</v>
      </c>
      <c r="G1180" s="91">
        <v>0</v>
      </c>
      <c r="H1180" s="50"/>
      <c r="I1180" s="169"/>
      <c r="J1180" s="63"/>
      <c r="K1180" s="21">
        <f>I1174-SUMIF(F1181:F1184,"&lt;="&amp;$I$1173,K1181:K1184)</f>
        <v>0</v>
      </c>
      <c r="L1180" s="31">
        <f>I1175-SUMIF(F1181:F1184,"&lt;="&amp;$I$1173,L1181:L1184)</f>
        <v>0</v>
      </c>
      <c r="M1180" s="44">
        <f ca="1">IFERROR(IF(G1150=V1150,0,IF(F1180&lt;=I1173,IF(I1177="No",(L1134-J1142)/(SUMPRODUCT(V1180:V1184,K1180:K1184)+SUMPRODUCT(W1180:W1184,L1180:L1184)),0)*I1176,0)),0)</f>
        <v>0</v>
      </c>
      <c r="N1180" s="44">
        <f ca="1">IFERROR(IF(G1150=V1150,0,IF(F1180&lt;=I1173,IF(I1177="No",(L1134-J1142)/(SUMPRODUCT(V1180:V1184,K1180:K1184)+SUMPRODUCT(W1180:W1184,L1180:L1184)),0),0)),0)</f>
        <v>0</v>
      </c>
      <c r="O1180" s="97" t="str">
        <f ca="1">IFERROR(M1180/N1180,"")</f>
        <v/>
      </c>
      <c r="P1180" s="26">
        <f t="shared" ref="P1180:Q1184" ca="1" si="18">K1180*M1180</f>
        <v>0</v>
      </c>
      <c r="Q1180" s="26">
        <f t="shared" ca="1" si="18"/>
        <v>0</v>
      </c>
      <c r="R1180" s="125"/>
      <c r="S1180" s="125"/>
      <c r="T1180" s="125"/>
      <c r="V1180" s="92">
        <f>IF(F1180&lt;=$I$1173,1*$I$1176,0)</f>
        <v>0</v>
      </c>
      <c r="W1180" s="96">
        <f>IF(F1180&lt;=$I$1173,1,0)</f>
        <v>1</v>
      </c>
      <c r="X1180" s="92"/>
      <c r="Y1180" s="96"/>
      <c r="Z1180" s="126">
        <v>1</v>
      </c>
      <c r="AA1180" s="10"/>
    </row>
    <row r="1181" spans="1:27" s="126" customFormat="1" x14ac:dyDescent="0.55000000000000004">
      <c r="A1181" s="117"/>
      <c r="B1181"/>
      <c r="C1181" s="124"/>
      <c r="D1181" s="124"/>
      <c r="E1181" s="124"/>
      <c r="F1181" s="89">
        <f>IF($I$1173&gt;=Z1181,Z1181,"")</f>
        <v>2</v>
      </c>
      <c r="G1181" s="91">
        <f>IF($I$1173&gt;=F1181,H1180+0.01,"")</f>
        <v>0.01</v>
      </c>
      <c r="H1181" s="50"/>
      <c r="I1181" s="61"/>
      <c r="J1181" s="61"/>
      <c r="K1181" s="13"/>
      <c r="L1181" s="13"/>
      <c r="M1181" s="44">
        <f ca="1">IF(F1181&lt;=I1173,IF(I1177="No",M1180*(1+I1181),N1181*I1176),0)</f>
        <v>0</v>
      </c>
      <c r="N1181" s="44">
        <f ca="1">IF(F1181&lt;=I1173,IF(I1177="No",N1180*(1+J1181),(L1134-J1142)/(I1176*SUMPRODUCT(X1181:X1184,K1181:K1184)+SUMPRODUCT(Y1181:Y1184,L1181:L1184))),0)</f>
        <v>0</v>
      </c>
      <c r="O1181" s="97" t="str">
        <f ca="1">IFERROR(M1181/N1181,"")</f>
        <v/>
      </c>
      <c r="P1181" s="26">
        <f t="shared" ca="1" si="18"/>
        <v>0</v>
      </c>
      <c r="Q1181" s="26">
        <f t="shared" ca="1" si="18"/>
        <v>0</v>
      </c>
      <c r="R1181" s="125"/>
      <c r="S1181" s="125"/>
      <c r="T1181" s="125"/>
      <c r="V1181" s="92">
        <f>IF(F1181&lt;=$I$1173,V1180*(1+I1181),0)</f>
        <v>0</v>
      </c>
      <c r="W1181" s="96">
        <f>IF(F1181&lt;=$I$1173,(1+J1181),0)</f>
        <v>1</v>
      </c>
      <c r="X1181" s="92">
        <v>1</v>
      </c>
      <c r="Y1181" s="96">
        <f>IF(F1181&lt;=I1173,1,0)</f>
        <v>1</v>
      </c>
      <c r="Z1181" s="126">
        <v>2</v>
      </c>
      <c r="AA1181" s="10"/>
    </row>
    <row r="1182" spans="1:27" s="126" customFormat="1" x14ac:dyDescent="0.55000000000000004">
      <c r="A1182" s="117"/>
      <c r="B1182"/>
      <c r="C1182" s="124"/>
      <c r="D1182" s="124"/>
      <c r="E1182" s="124"/>
      <c r="F1182" s="89">
        <f>IF($I$1173&gt;=Z1182,Z1182,"")</f>
        <v>3</v>
      </c>
      <c r="G1182" s="91">
        <f>IF($I$1173&gt;=F1182,H1181+0.01,"")</f>
        <v>0.01</v>
      </c>
      <c r="H1182" s="50"/>
      <c r="I1182" s="61"/>
      <c r="J1182" s="61"/>
      <c r="K1182" s="13"/>
      <c r="L1182" s="13"/>
      <c r="M1182" s="36">
        <f ca="1">IF(F1182&lt;=$I$1173,M1181*(1+I1182),0)</f>
        <v>0</v>
      </c>
      <c r="N1182" s="36">
        <f ca="1">IF(F1182&lt;=$I$1173,N1181*(1+J1182),0)</f>
        <v>0</v>
      </c>
      <c r="O1182" s="97" t="str">
        <f ca="1">IFERROR(M1182/N1182,"")</f>
        <v/>
      </c>
      <c r="P1182" s="26">
        <f t="shared" ca="1" si="18"/>
        <v>0</v>
      </c>
      <c r="Q1182" s="26">
        <f t="shared" ca="1" si="18"/>
        <v>0</v>
      </c>
      <c r="R1182" s="125"/>
      <c r="S1182" s="125"/>
      <c r="T1182" s="125"/>
      <c r="V1182" s="92">
        <f>IF(F1182&lt;=$I$1173,V1181*(1+I1182),0)</f>
        <v>0</v>
      </c>
      <c r="W1182" s="96">
        <f>IF(F1182&lt;=$I$1173,W1181*(1+J1182),0)</f>
        <v>1</v>
      </c>
      <c r="X1182" s="92">
        <f>IF(F1182&lt;=I1173,X1181*(1+I1182),0)</f>
        <v>1</v>
      </c>
      <c r="Y1182" s="96">
        <f>IF(F1182&lt;=I1173,Y1181*(1+J1182),0)</f>
        <v>1</v>
      </c>
      <c r="Z1182" s="126">
        <v>3</v>
      </c>
      <c r="AA1182" s="10"/>
    </row>
    <row r="1183" spans="1:27" s="126" customFormat="1" x14ac:dyDescent="0.55000000000000004">
      <c r="A1183" s="117"/>
      <c r="B1183"/>
      <c r="C1183" s="124"/>
      <c r="D1183" s="124"/>
      <c r="E1183" s="124"/>
      <c r="F1183" s="89">
        <f>IF($I$1173&gt;=Z1183,Z1183,"")</f>
        <v>4</v>
      </c>
      <c r="G1183" s="91">
        <f>IF($I$1173&gt;=F1183,H1182+0.01,"")</f>
        <v>0.01</v>
      </c>
      <c r="H1183" s="50"/>
      <c r="I1183" s="61"/>
      <c r="J1183" s="61"/>
      <c r="K1183" s="13"/>
      <c r="L1183" s="13"/>
      <c r="M1183" s="36">
        <f ca="1">IF(F1183&lt;=$I$1173,M1182*(1+I1183),0)</f>
        <v>0</v>
      </c>
      <c r="N1183" s="36">
        <f ca="1">IF(F1183&lt;=$I$1173,N1182*(1+J1183),0)</f>
        <v>0</v>
      </c>
      <c r="O1183" s="97" t="str">
        <f ca="1">IFERROR(M1183/N1183,"")</f>
        <v/>
      </c>
      <c r="P1183" s="26">
        <f t="shared" ca="1" si="18"/>
        <v>0</v>
      </c>
      <c r="Q1183" s="26">
        <f t="shared" ca="1" si="18"/>
        <v>0</v>
      </c>
      <c r="R1183" s="125"/>
      <c r="S1183" s="125"/>
      <c r="T1183" s="125"/>
      <c r="V1183" s="92">
        <f>IF(F1183&lt;=$I$1173,V1182*(1+I1183),0)</f>
        <v>0</v>
      </c>
      <c r="W1183" s="96">
        <f>IF(F1183&lt;=$I$1173,W1182*(1+J1183),0)</f>
        <v>1</v>
      </c>
      <c r="X1183" s="92">
        <f>IF(F1183&lt;=I1173,X1182*(1+I1183),0)</f>
        <v>1</v>
      </c>
      <c r="Y1183" s="96">
        <f>IF(F1183&lt;=I1173,Y1182*(1+J1183),0)</f>
        <v>1</v>
      </c>
      <c r="Z1183" s="126">
        <v>4</v>
      </c>
      <c r="AA1183" s="10"/>
    </row>
    <row r="1184" spans="1:27" s="126" customFormat="1" x14ac:dyDescent="0.55000000000000004">
      <c r="A1184" s="117"/>
      <c r="B1184"/>
      <c r="C1184" s="124"/>
      <c r="D1184" s="124"/>
      <c r="E1184" s="124"/>
      <c r="F1184" s="89">
        <f>IF($I$1173&gt;=Z1184,Z1184,"")</f>
        <v>5</v>
      </c>
      <c r="G1184" s="91">
        <f>IF($I$1173&gt;=F1184,H1183+0.01,"")</f>
        <v>0.01</v>
      </c>
      <c r="H1184" s="89" t="s">
        <v>84</v>
      </c>
      <c r="I1184" s="61"/>
      <c r="J1184" s="61"/>
      <c r="K1184" s="13"/>
      <c r="L1184" s="13"/>
      <c r="M1184" s="36">
        <f ca="1">IF(F1184&lt;=$I$1173,M1183*(1+I1184),0)</f>
        <v>0</v>
      </c>
      <c r="N1184" s="36">
        <f ca="1">IF(F1184&lt;=$I$1173,N1183*(1+J1184),0)</f>
        <v>0</v>
      </c>
      <c r="O1184" s="97" t="str">
        <f ca="1">IFERROR(M1184/N1184,"")</f>
        <v/>
      </c>
      <c r="P1184" s="26">
        <f t="shared" ca="1" si="18"/>
        <v>0</v>
      </c>
      <c r="Q1184" s="26">
        <f t="shared" ca="1" si="18"/>
        <v>0</v>
      </c>
      <c r="R1184" s="125"/>
      <c r="S1184" s="125"/>
      <c r="T1184" s="125"/>
      <c r="V1184" s="92">
        <f>IF(F1184&lt;=$I$1173,V1183*(1+I1184),0)</f>
        <v>0</v>
      </c>
      <c r="W1184" s="96">
        <f>IF(F1184&lt;=$I$1173,W1183*(1+J1184),0)</f>
        <v>1</v>
      </c>
      <c r="X1184" s="92">
        <f>IF(F1184&lt;=I1173,X1183*(1+I1184),0)</f>
        <v>1</v>
      </c>
      <c r="Y1184" s="96">
        <f>IF(F1184&lt;=I1173,Y1183*(1+J1184),0)</f>
        <v>1</v>
      </c>
      <c r="Z1184" s="126">
        <v>5</v>
      </c>
      <c r="AA1184" s="10"/>
    </row>
    <row r="1185" spans="1:27" s="126" customFormat="1" ht="14.7" thickBot="1" x14ac:dyDescent="0.6">
      <c r="A1185" s="117"/>
      <c r="B1185"/>
      <c r="C1185" s="124"/>
      <c r="D1185" s="124"/>
      <c r="E1185" s="130"/>
      <c r="F1185" s="131"/>
      <c r="G1185" s="131"/>
      <c r="H1185" s="131"/>
      <c r="I1185" s="131"/>
      <c r="J1185" s="131"/>
      <c r="K1185" s="131"/>
      <c r="L1185" s="131"/>
      <c r="M1185" s="131"/>
      <c r="N1185" s="131"/>
      <c r="O1185" s="131"/>
      <c r="P1185" s="131"/>
      <c r="Q1185" s="131"/>
      <c r="R1185" s="132"/>
      <c r="S1185" s="125"/>
      <c r="T1185" s="125"/>
      <c r="AA1185" s="10"/>
    </row>
    <row r="1186" spans="1:27" s="126" customFormat="1" ht="14.7" thickBot="1" x14ac:dyDescent="0.6">
      <c r="A1186" s="117"/>
      <c r="B1186"/>
      <c r="C1186" s="124"/>
      <c r="D1186" s="130"/>
      <c r="E1186" s="131"/>
      <c r="F1186" s="131"/>
      <c r="G1186" s="131"/>
      <c r="H1186" s="131"/>
      <c r="I1186" s="131"/>
      <c r="J1186" s="131"/>
      <c r="K1186" s="131"/>
      <c r="L1186" s="131"/>
      <c r="M1186" s="131"/>
      <c r="N1186" s="131"/>
      <c r="O1186" s="131"/>
      <c r="P1186" s="131"/>
      <c r="Q1186" s="131"/>
      <c r="R1186" s="131"/>
      <c r="S1186" s="132"/>
      <c r="T1186" s="125"/>
    </row>
    <row r="1187" spans="1:27" s="126" customFormat="1" ht="14.7" thickBot="1" x14ac:dyDescent="0.6">
      <c r="A1187" s="117"/>
      <c r="B1187"/>
      <c r="C1187" s="130"/>
      <c r="D1187" s="131"/>
      <c r="E1187" s="131"/>
      <c r="F1187" s="131"/>
      <c r="G1187" s="131"/>
      <c r="H1187" s="131"/>
      <c r="I1187" s="131"/>
      <c r="J1187" s="131"/>
      <c r="K1187" s="131"/>
      <c r="L1187" s="131"/>
      <c r="M1187" s="131"/>
      <c r="N1187" s="131"/>
      <c r="O1187" s="131"/>
      <c r="P1187" s="131"/>
      <c r="Q1187" s="131"/>
      <c r="R1187" s="131"/>
      <c r="S1187" s="131"/>
      <c r="T1187" s="132"/>
    </row>
    <row r="1188" spans="1:27" s="126" customFormat="1" ht="14.7" thickBot="1" x14ac:dyDescent="0.6">
      <c r="A1188" s="117"/>
      <c r="B1188"/>
      <c r="C1188"/>
      <c r="D1188"/>
      <c r="E1188"/>
      <c r="F1188"/>
      <c r="G1188"/>
      <c r="H1188"/>
      <c r="I1188"/>
      <c r="J1188"/>
      <c r="K1188"/>
      <c r="L1188"/>
      <c r="M1188"/>
      <c r="N1188"/>
      <c r="O1188"/>
      <c r="P1188"/>
      <c r="Q1188"/>
      <c r="R1188"/>
      <c r="S1188"/>
      <c r="T1188"/>
    </row>
    <row r="1189" spans="1:27" s="126" customFormat="1" x14ac:dyDescent="0.55000000000000004">
      <c r="A1189" s="117"/>
      <c r="B1189"/>
      <c r="C1189" s="121"/>
      <c r="D1189" s="122"/>
      <c r="E1189" s="122"/>
      <c r="F1189" s="122"/>
      <c r="G1189" s="122"/>
      <c r="H1189" s="122"/>
      <c r="I1189" s="122"/>
      <c r="J1189" s="122"/>
      <c r="K1189" s="122"/>
      <c r="L1189" s="122"/>
      <c r="M1189" s="122"/>
      <c r="N1189" s="122"/>
      <c r="O1189" s="122"/>
      <c r="P1189" s="122"/>
      <c r="Q1189" s="122"/>
      <c r="R1189" s="122"/>
      <c r="S1189" s="122"/>
      <c r="T1189" s="123"/>
    </row>
    <row r="1190" spans="1:27" s="126" customFormat="1" ht="18.3" x14ac:dyDescent="0.7">
      <c r="A1190" s="117"/>
      <c r="B1190"/>
      <c r="C1190" s="124"/>
      <c r="D1190" s="1822">
        <f>'2 Customer data'!D112</f>
        <v>0</v>
      </c>
      <c r="E1190" s="1822"/>
      <c r="F1190" s="1822"/>
      <c r="G1190" s="1822"/>
      <c r="H1190" s="1822"/>
      <c r="I1190" s="1822"/>
      <c r="J1190" s="1822"/>
      <c r="K1190" s="1822"/>
      <c r="L1190" s="1822"/>
      <c r="M1190" s="1822"/>
      <c r="N1190" s="1822"/>
      <c r="O1190" s="1822"/>
      <c r="P1190" s="1822"/>
      <c r="Q1190" s="1822"/>
      <c r="R1190" s="1822"/>
      <c r="S1190" s="1822"/>
      <c r="T1190" s="125"/>
    </row>
    <row r="1191" spans="1:27" s="126" customFormat="1" ht="14.7" thickBot="1" x14ac:dyDescent="0.6">
      <c r="A1191" s="117"/>
      <c r="B1191"/>
      <c r="C1191" s="124"/>
      <c r="D1191"/>
      <c r="E1191"/>
      <c r="F1191"/>
      <c r="G1191"/>
      <c r="H1191"/>
      <c r="I1191"/>
      <c r="J1191"/>
      <c r="K1191"/>
      <c r="L1191"/>
      <c r="M1191"/>
      <c r="N1191"/>
      <c r="O1191"/>
      <c r="P1191"/>
      <c r="Q1191"/>
      <c r="R1191"/>
      <c r="S1191"/>
      <c r="T1191" s="125"/>
    </row>
    <row r="1192" spans="1:27" s="126" customFormat="1" x14ac:dyDescent="0.55000000000000004">
      <c r="A1192" s="117"/>
      <c r="B1192"/>
      <c r="C1192" s="124"/>
      <c r="D1192" s="121"/>
      <c r="E1192" s="122"/>
      <c r="F1192" s="122"/>
      <c r="G1192" s="122"/>
      <c r="H1192" s="122"/>
      <c r="I1192" s="122"/>
      <c r="J1192" s="122"/>
      <c r="K1192" s="122"/>
      <c r="L1192" s="122"/>
      <c r="M1192" s="122"/>
      <c r="N1192" s="122"/>
      <c r="O1192" s="122"/>
      <c r="P1192" s="122"/>
      <c r="Q1192" s="122"/>
      <c r="R1192" s="122"/>
      <c r="S1192" s="123"/>
      <c r="T1192" s="125"/>
    </row>
    <row r="1193" spans="1:27" s="126" customFormat="1" x14ac:dyDescent="0.55000000000000004">
      <c r="A1193" s="117"/>
      <c r="B1193"/>
      <c r="C1193" s="124"/>
      <c r="D1193" s="124"/>
      <c r="E1193"/>
      <c r="F1193" s="1" t="str">
        <f>'2 Customer data'!D112&amp;" "&amp;"information"</f>
        <v xml:space="preserve"> information</v>
      </c>
      <c r="G1193"/>
      <c r="H1193"/>
      <c r="I1193"/>
      <c r="J1193"/>
      <c r="K1193"/>
      <c r="L1193"/>
      <c r="M1193"/>
      <c r="N1193"/>
      <c r="O1193"/>
      <c r="P1193"/>
      <c r="Q1193"/>
      <c r="R1193"/>
      <c r="S1193" s="125"/>
      <c r="T1193" s="125"/>
    </row>
    <row r="1194" spans="1:27" s="126" customFormat="1" x14ac:dyDescent="0.55000000000000004">
      <c r="A1194" s="117"/>
      <c r="B1194"/>
      <c r="C1194" s="124"/>
      <c r="D1194" s="124"/>
      <c r="E1194"/>
      <c r="F1194"/>
      <c r="G1194"/>
      <c r="H1194"/>
      <c r="I1194"/>
      <c r="J1194"/>
      <c r="K1194"/>
      <c r="L1194"/>
      <c r="M1194"/>
      <c r="N1194"/>
      <c r="O1194"/>
      <c r="P1194"/>
      <c r="Q1194"/>
      <c r="R1194"/>
      <c r="S1194" s="125"/>
      <c r="T1194" s="125"/>
    </row>
    <row r="1195" spans="1:27" s="126" customFormat="1" ht="28.8" x14ac:dyDescent="0.55000000000000004">
      <c r="A1195" s="117"/>
      <c r="B1195"/>
      <c r="C1195" s="124"/>
      <c r="D1195" s="124"/>
      <c r="E1195"/>
      <c r="F1195"/>
      <c r="G1195" s="56" t="s">
        <v>28</v>
      </c>
      <c r="H1195" s="56" t="s">
        <v>345</v>
      </c>
      <c r="I1195" s="56" t="s">
        <v>60</v>
      </c>
      <c r="J1195" s="56" t="s">
        <v>249</v>
      </c>
      <c r="K1195" s="56" t="s">
        <v>279</v>
      </c>
      <c r="L1195" s="56" t="s">
        <v>357</v>
      </c>
      <c r="M1195"/>
      <c r="N1195" s="162"/>
      <c r="O1195"/>
      <c r="P1195"/>
      <c r="Q1195"/>
      <c r="R1195"/>
      <c r="S1195" s="125"/>
      <c r="T1195" s="125"/>
    </row>
    <row r="1196" spans="1:27" s="126" customFormat="1" x14ac:dyDescent="0.55000000000000004">
      <c r="A1196" s="117"/>
      <c r="B1196"/>
      <c r="C1196" s="124"/>
      <c r="D1196" s="124"/>
      <c r="E1196"/>
      <c r="F1196">
        <f>'2 Customer data'!D112</f>
        <v>0</v>
      </c>
      <c r="G1196" s="94">
        <f>IFERROR(IF(VLOOKUP(F1196,'2 Customer data'!$D$93:$N$112,7,FALSE)="",VLOOKUP(F1196,'2 Customer data'!$D$93:$N$112,6,FALSE),VLOOKUP(F1196,'2 Customer data'!$D$93:$N$112,7,FALSE)),0)</f>
        <v>0</v>
      </c>
      <c r="H1196" s="26">
        <f>IFERROR(IF(VLOOKUP(F1196,'2 Customer data'!$D$93:$N$112,9,FALSE)="",VLOOKUP(F1196,'2 Customer data'!$D$93:$N$112,8,FALSE),VLOOKUP(F1196,'2 Customer data'!$D$93:$N$112,9,FALSE)),0)</f>
        <v>0</v>
      </c>
      <c r="I1196" s="26">
        <f ca="1">IFERROR(VLOOKUP($F1196,'2 Electricity'!$D$21:$L$40,6,FALSE),0)</f>
        <v>0</v>
      </c>
      <c r="J1196" s="26">
        <f ca="1">IFERROR(VLOOKUP($F1196,'2 Electricity'!$D$21:$L$40,7,FALSE),0)</f>
        <v>0</v>
      </c>
      <c r="K1196" s="26">
        <f ca="1">IFERROR(VLOOKUP($F1196,'2 Electricity'!$D$21:$L$40,8,FALSE),0)</f>
        <v>0</v>
      </c>
      <c r="L1196" s="26">
        <f ca="1">IFERROR(VLOOKUP(F1196,'2 Electricity'!$D$157:$K$176,8,FALSE),0)</f>
        <v>0</v>
      </c>
      <c r="M1196"/>
      <c r="N1196" s="134"/>
      <c r="O1196"/>
      <c r="P1196"/>
      <c r="Q1196"/>
      <c r="R1196"/>
      <c r="S1196" s="125"/>
      <c r="T1196" s="125"/>
    </row>
    <row r="1197" spans="1:27" s="126" customFormat="1" ht="14.7" thickBot="1" x14ac:dyDescent="0.6">
      <c r="A1197" s="117"/>
      <c r="B1197"/>
      <c r="C1197" s="124"/>
      <c r="D1197" s="130"/>
      <c r="E1197" s="131"/>
      <c r="F1197" s="131"/>
      <c r="G1197" s="131"/>
      <c r="H1197" s="131"/>
      <c r="I1197" s="131"/>
      <c r="J1197" s="131"/>
      <c r="K1197" s="131"/>
      <c r="L1197" s="131"/>
      <c r="M1197" s="131"/>
      <c r="N1197" s="131"/>
      <c r="O1197" s="131"/>
      <c r="P1197" s="131"/>
      <c r="Q1197" s="131"/>
      <c r="R1197" s="131"/>
      <c r="S1197" s="132"/>
      <c r="T1197" s="125"/>
    </row>
    <row r="1198" spans="1:27" s="126" customFormat="1" ht="14.7" thickBot="1" x14ac:dyDescent="0.6">
      <c r="A1198" s="117"/>
      <c r="B1198"/>
      <c r="C1198" s="124"/>
      <c r="D1198"/>
      <c r="E1198"/>
      <c r="F1198"/>
      <c r="G1198"/>
      <c r="H1198"/>
      <c r="I1198"/>
      <c r="J1198"/>
      <c r="K1198"/>
      <c r="L1198"/>
      <c r="M1198"/>
      <c r="N1198"/>
      <c r="O1198"/>
      <c r="P1198"/>
      <c r="Q1198"/>
      <c r="R1198"/>
      <c r="S1198"/>
      <c r="T1198" s="125"/>
    </row>
    <row r="1199" spans="1:27" s="126" customFormat="1" x14ac:dyDescent="0.55000000000000004">
      <c r="A1199" s="117"/>
      <c r="B1199"/>
      <c r="C1199" s="124"/>
      <c r="D1199" s="121"/>
      <c r="E1199" s="122"/>
      <c r="F1199" s="122"/>
      <c r="G1199" s="122"/>
      <c r="H1199" s="122"/>
      <c r="I1199" s="122"/>
      <c r="J1199" s="122"/>
      <c r="K1199" s="122"/>
      <c r="L1199" s="122"/>
      <c r="M1199" s="122"/>
      <c r="N1199" s="122"/>
      <c r="O1199" s="122"/>
      <c r="P1199" s="122"/>
      <c r="Q1199" s="122"/>
      <c r="R1199" s="122"/>
      <c r="S1199" s="123"/>
      <c r="T1199" s="125"/>
    </row>
    <row r="1200" spans="1:27" s="126" customFormat="1" x14ac:dyDescent="0.55000000000000004">
      <c r="A1200" s="117"/>
      <c r="B1200"/>
      <c r="C1200" s="124"/>
      <c r="D1200" s="124"/>
      <c r="E1200"/>
      <c r="F1200" s="1" t="s">
        <v>85</v>
      </c>
      <c r="G1200"/>
      <c r="H1200"/>
      <c r="I1200"/>
      <c r="J1200"/>
      <c r="K1200"/>
      <c r="L1200"/>
      <c r="M1200"/>
      <c r="N1200"/>
      <c r="O1200"/>
      <c r="P1200"/>
      <c r="Q1200"/>
      <c r="R1200"/>
      <c r="S1200" s="125"/>
      <c r="T1200" s="125"/>
    </row>
    <row r="1201" spans="1:22" s="126" customFormat="1" x14ac:dyDescent="0.55000000000000004">
      <c r="A1201" s="117"/>
      <c r="B1201"/>
      <c r="C1201" s="124"/>
      <c r="D1201" s="124"/>
      <c r="E1201"/>
      <c r="F1201" s="120" t="s">
        <v>555</v>
      </c>
      <c r="G1201"/>
      <c r="H1201"/>
      <c r="I1201"/>
      <c r="J1201"/>
      <c r="K1201"/>
      <c r="L1201"/>
      <c r="M1201"/>
      <c r="N1201"/>
      <c r="O1201"/>
      <c r="P1201"/>
      <c r="Q1201"/>
      <c r="R1201"/>
      <c r="S1201" s="125"/>
      <c r="T1201" s="125"/>
    </row>
    <row r="1202" spans="1:22" s="126" customFormat="1" x14ac:dyDescent="0.55000000000000004">
      <c r="A1202" s="117"/>
      <c r="B1202"/>
      <c r="C1202" s="124"/>
      <c r="D1202" s="124"/>
      <c r="E1202"/>
      <c r="F1202"/>
      <c r="G1202"/>
      <c r="H1202"/>
      <c r="I1202"/>
      <c r="J1202"/>
      <c r="K1202"/>
      <c r="L1202"/>
      <c r="M1202"/>
      <c r="N1202"/>
      <c r="O1202"/>
      <c r="P1202"/>
      <c r="Q1202"/>
      <c r="R1202"/>
      <c r="S1202" s="125"/>
      <c r="T1202" s="125"/>
    </row>
    <row r="1203" spans="1:22" s="126" customFormat="1" ht="43.2" x14ac:dyDescent="0.55000000000000004">
      <c r="A1203" s="117"/>
      <c r="B1203"/>
      <c r="C1203" s="124"/>
      <c r="D1203" s="124"/>
      <c r="E1203"/>
      <c r="F1203"/>
      <c r="G1203" s="56" t="s">
        <v>86</v>
      </c>
      <c r="H1203" s="56" t="s">
        <v>73</v>
      </c>
      <c r="I1203" s="56" t="s">
        <v>87</v>
      </c>
      <c r="J1203" s="56" t="s">
        <v>75</v>
      </c>
      <c r="K1203" s="56" t="s">
        <v>76</v>
      </c>
      <c r="L1203"/>
      <c r="M1203"/>
      <c r="N1203"/>
      <c r="O1203"/>
      <c r="P1203"/>
      <c r="Q1203"/>
      <c r="R1203"/>
      <c r="S1203" s="125"/>
      <c r="T1203" s="125"/>
    </row>
    <row r="1204" spans="1:22" s="126" customFormat="1" x14ac:dyDescent="0.55000000000000004">
      <c r="A1204" s="117"/>
      <c r="B1204"/>
      <c r="C1204" s="124"/>
      <c r="D1204" s="124"/>
      <c r="E1204"/>
      <c r="F1204">
        <f>F1196</f>
        <v>0</v>
      </c>
      <c r="G1204" s="26">
        <f ca="1">SUM(I1196,K1196)</f>
        <v>0</v>
      </c>
      <c r="H1204" s="64">
        <f ca="1">IFERROR(G1204/G1196,0)/12</f>
        <v>0</v>
      </c>
      <c r="I1204" s="84"/>
      <c r="J1204" s="26">
        <f>I1204*G1196*12</f>
        <v>0</v>
      </c>
      <c r="K1204" s="21">
        <f>J1204/12</f>
        <v>0</v>
      </c>
      <c r="L1204"/>
      <c r="M1204"/>
      <c r="N1204"/>
      <c r="O1204"/>
      <c r="P1204"/>
      <c r="Q1204"/>
      <c r="R1204"/>
      <c r="S1204" s="125"/>
      <c r="T1204" s="125"/>
    </row>
    <row r="1205" spans="1:22" s="126" customFormat="1" x14ac:dyDescent="0.55000000000000004">
      <c r="A1205" s="117"/>
      <c r="B1205"/>
      <c r="C1205" s="124"/>
      <c r="D1205" s="124"/>
      <c r="E1205" s="133"/>
      <c r="F1205" s="58" t="str">
        <f>IF(I1204&gt;I1194,"Error: revenue from fixed charges exceeds total revenue required from tariff. Reduce fixed charge.","")</f>
        <v/>
      </c>
      <c r="G1205" s="58" t="str">
        <f ca="1">IF(J1204&gt;L1196,"Error: revenue from fixed charges exceeds total revenue required from tariff. Reduce fixed charge.","")</f>
        <v/>
      </c>
      <c r="H1205" s="134"/>
      <c r="I1205" s="134"/>
      <c r="J1205" s="135"/>
      <c r="K1205"/>
      <c r="L1205"/>
      <c r="M1205"/>
      <c r="N1205"/>
      <c r="O1205"/>
      <c r="P1205"/>
      <c r="Q1205"/>
      <c r="R1205"/>
      <c r="S1205" s="125"/>
      <c r="T1205" s="125"/>
    </row>
    <row r="1206" spans="1:22" s="126" customFormat="1" ht="14.7" thickBot="1" x14ac:dyDescent="0.6">
      <c r="A1206" s="117"/>
      <c r="B1206"/>
      <c r="C1206" s="124"/>
      <c r="D1206" s="130"/>
      <c r="E1206" s="131"/>
      <c r="F1206" s="131"/>
      <c r="G1206" s="131"/>
      <c r="H1206" s="131"/>
      <c r="I1206" s="131"/>
      <c r="J1206" s="131"/>
      <c r="K1206" s="131"/>
      <c r="L1206" s="131"/>
      <c r="M1206" s="131"/>
      <c r="N1206" s="131"/>
      <c r="O1206" s="131"/>
      <c r="P1206" s="131"/>
      <c r="Q1206" s="131"/>
      <c r="R1206" s="131"/>
      <c r="S1206" s="132"/>
      <c r="T1206" s="125"/>
    </row>
    <row r="1207" spans="1:22" s="126" customFormat="1" ht="14.7" thickBot="1" x14ac:dyDescent="0.6">
      <c r="A1207" s="117"/>
      <c r="B1207"/>
      <c r="C1207" s="124"/>
      <c r="D1207"/>
      <c r="E1207"/>
      <c r="F1207"/>
      <c r="G1207"/>
      <c r="H1207"/>
      <c r="I1207"/>
      <c r="J1207"/>
      <c r="K1207"/>
      <c r="L1207"/>
      <c r="M1207"/>
      <c r="N1207"/>
      <c r="O1207"/>
      <c r="P1207"/>
      <c r="Q1207"/>
      <c r="R1207"/>
      <c r="S1207"/>
      <c r="T1207" s="125"/>
    </row>
    <row r="1208" spans="1:22" s="126" customFormat="1" x14ac:dyDescent="0.55000000000000004">
      <c r="A1208" s="117"/>
      <c r="B1208"/>
      <c r="C1208" s="124"/>
      <c r="D1208" s="121"/>
      <c r="E1208" s="122"/>
      <c r="F1208" s="122"/>
      <c r="G1208" s="122"/>
      <c r="H1208" s="122"/>
      <c r="I1208" s="122"/>
      <c r="J1208" s="122"/>
      <c r="K1208" s="122"/>
      <c r="L1208" s="122"/>
      <c r="M1208" s="122"/>
      <c r="N1208" s="122"/>
      <c r="O1208" s="122"/>
      <c r="P1208" s="122"/>
      <c r="Q1208" s="122"/>
      <c r="R1208" s="122"/>
      <c r="S1208" s="123"/>
      <c r="T1208" s="125"/>
    </row>
    <row r="1209" spans="1:22" s="126" customFormat="1" x14ac:dyDescent="0.55000000000000004">
      <c r="A1209" s="117"/>
      <c r="B1209"/>
      <c r="C1209" s="124"/>
      <c r="D1209" s="124"/>
      <c r="E1209"/>
      <c r="F1209" s="1" t="s">
        <v>96</v>
      </c>
      <c r="G1209"/>
      <c r="H1209"/>
      <c r="I1209"/>
      <c r="J1209"/>
      <c r="K1209"/>
      <c r="L1209"/>
      <c r="M1209"/>
      <c r="N1209"/>
      <c r="O1209"/>
      <c r="P1209"/>
      <c r="Q1209"/>
      <c r="R1209"/>
      <c r="S1209" s="125"/>
      <c r="T1209" s="125"/>
    </row>
    <row r="1210" spans="1:22" s="126" customFormat="1" ht="14.55" customHeight="1" x14ac:dyDescent="0.55000000000000004">
      <c r="A1210" s="117"/>
      <c r="B1210"/>
      <c r="C1210" s="124"/>
      <c r="D1210" s="124"/>
      <c r="E1210"/>
      <c r="F1210" s="1804" t="s">
        <v>560</v>
      </c>
      <c r="G1210" s="1804"/>
      <c r="H1210" s="1804"/>
      <c r="I1210" s="1804"/>
      <c r="J1210" s="1804"/>
      <c r="K1210" s="1804"/>
      <c r="L1210" s="1804"/>
      <c r="M1210" s="1804"/>
      <c r="N1210" s="1804"/>
      <c r="O1210" s="1804"/>
      <c r="P1210" s="1804"/>
      <c r="Q1210" s="119"/>
      <c r="R1210"/>
      <c r="S1210" s="125"/>
      <c r="T1210" s="125"/>
    </row>
    <row r="1211" spans="1:22" s="126" customFormat="1" x14ac:dyDescent="0.55000000000000004">
      <c r="A1211" s="117"/>
      <c r="B1211"/>
      <c r="C1211" s="124"/>
      <c r="D1211" s="124"/>
      <c r="E1211"/>
      <c r="F1211" s="119"/>
      <c r="G1211" s="119"/>
      <c r="H1211" s="119"/>
      <c r="I1211" s="119"/>
      <c r="J1211" s="119"/>
      <c r="K1211" s="119"/>
      <c r="L1211" s="119"/>
      <c r="M1211" s="119"/>
      <c r="N1211" s="119"/>
      <c r="O1211" s="119"/>
      <c r="P1211" s="119"/>
      <c r="Q1211" s="119"/>
      <c r="R1211"/>
      <c r="S1211" s="125"/>
      <c r="T1211" s="125"/>
    </row>
    <row r="1212" spans="1:22" s="126" customFormat="1" x14ac:dyDescent="0.55000000000000004">
      <c r="A1212" s="117"/>
      <c r="B1212"/>
      <c r="C1212" s="124"/>
      <c r="D1212" s="124"/>
      <c r="E1212"/>
      <c r="F1212" s="1" t="s">
        <v>348</v>
      </c>
      <c r="G1212" s="80" t="s">
        <v>90</v>
      </c>
      <c r="H1212" s="119"/>
      <c r="I1212" s="119"/>
      <c r="J1212" s="119"/>
      <c r="K1212" s="119"/>
      <c r="L1212" s="119"/>
      <c r="M1212" s="119"/>
      <c r="N1212" s="119"/>
      <c r="O1212" s="119"/>
      <c r="P1212" s="119"/>
      <c r="Q1212" s="119"/>
      <c r="R1212"/>
      <c r="S1212" s="125"/>
      <c r="T1212" s="125"/>
      <c r="V1212" s="126" t="s">
        <v>89</v>
      </c>
    </row>
    <row r="1213" spans="1:22" s="126" customFormat="1" ht="14.7" thickBot="1" x14ac:dyDescent="0.6">
      <c r="A1213" s="117"/>
      <c r="B1213"/>
      <c r="C1213" s="124"/>
      <c r="D1213" s="124"/>
      <c r="E1213"/>
      <c r="F1213"/>
      <c r="G1213" s="134"/>
      <c r="H1213" s="119"/>
      <c r="I1213" s="119"/>
      <c r="J1213" s="119"/>
      <c r="K1213" s="119"/>
      <c r="L1213" s="119"/>
      <c r="M1213" s="119"/>
      <c r="N1213" s="119"/>
      <c r="O1213" s="119"/>
      <c r="P1213" s="119"/>
      <c r="Q1213" s="119"/>
      <c r="R1213"/>
      <c r="S1213" s="125"/>
      <c r="T1213" s="125"/>
      <c r="V1213" s="126" t="s">
        <v>90</v>
      </c>
    </row>
    <row r="1214" spans="1:22" s="126" customFormat="1" x14ac:dyDescent="0.55000000000000004">
      <c r="A1214" s="117"/>
      <c r="B1214"/>
      <c r="C1214" s="124"/>
      <c r="D1214" s="124"/>
      <c r="E1214" s="121"/>
      <c r="F1214" s="122"/>
      <c r="G1214" s="122"/>
      <c r="H1214" s="122"/>
      <c r="I1214" s="122"/>
      <c r="J1214" s="122"/>
      <c r="K1214" s="122"/>
      <c r="L1214" s="122"/>
      <c r="M1214" s="122"/>
      <c r="N1214" s="122"/>
      <c r="O1214" s="122"/>
      <c r="P1214" s="122"/>
      <c r="Q1214" s="122"/>
      <c r="R1214" s="123"/>
      <c r="S1214" s="125"/>
      <c r="T1214" s="125"/>
    </row>
    <row r="1215" spans="1:22" s="126" customFormat="1" x14ac:dyDescent="0.55000000000000004">
      <c r="A1215" s="117"/>
      <c r="B1215"/>
      <c r="C1215" s="124"/>
      <c r="D1215" s="124"/>
      <c r="E1215" s="124"/>
      <c r="F1215" s="1" t="s">
        <v>343</v>
      </c>
      <c r="G1215" s="163"/>
      <c r="H1215"/>
      <c r="I1215"/>
      <c r="J1215"/>
      <c r="K1215"/>
      <c r="L1215"/>
      <c r="M1215"/>
      <c r="N1215"/>
      <c r="O1215"/>
      <c r="P1215"/>
      <c r="Q1215"/>
      <c r="R1215" s="125"/>
      <c r="S1215" s="125"/>
      <c r="T1215" s="125"/>
    </row>
    <row r="1216" spans="1:22" s="126" customFormat="1" ht="14.55" customHeight="1" x14ac:dyDescent="0.55000000000000004">
      <c r="A1216" s="117"/>
      <c r="B1216"/>
      <c r="C1216" s="124"/>
      <c r="D1216" s="124"/>
      <c r="E1216" s="124"/>
      <c r="F1216" s="1804" t="s">
        <v>561</v>
      </c>
      <c r="G1216" s="1804"/>
      <c r="H1216" s="1804"/>
      <c r="I1216" s="1804"/>
      <c r="J1216" s="1804"/>
      <c r="K1216" s="1804"/>
      <c r="L1216" s="1804"/>
      <c r="M1216" s="1804"/>
      <c r="N1216" s="1804"/>
      <c r="O1216" s="1804"/>
      <c r="P1216" s="1804"/>
      <c r="Q1216" s="1804"/>
      <c r="R1216" s="125"/>
      <c r="S1216" s="125"/>
      <c r="T1216" s="125"/>
    </row>
    <row r="1217" spans="1:24" s="126" customFormat="1" x14ac:dyDescent="0.55000000000000004">
      <c r="A1217" s="117"/>
      <c r="B1217"/>
      <c r="C1217" s="124"/>
      <c r="D1217" s="124"/>
      <c r="E1217" s="124"/>
      <c r="F1217" s="1804"/>
      <c r="G1217" s="1804"/>
      <c r="H1217" s="1804"/>
      <c r="I1217" s="1804"/>
      <c r="J1217" s="1804"/>
      <c r="K1217" s="1804"/>
      <c r="L1217" s="1804"/>
      <c r="M1217" s="1804"/>
      <c r="N1217" s="1804"/>
      <c r="O1217" s="1804"/>
      <c r="P1217" s="1804"/>
      <c r="Q1217" s="1804"/>
      <c r="R1217" s="125"/>
      <c r="S1217" s="125"/>
      <c r="T1217" s="125"/>
    </row>
    <row r="1218" spans="1:24" s="126" customFormat="1" x14ac:dyDescent="0.55000000000000004">
      <c r="A1218" s="117"/>
      <c r="B1218"/>
      <c r="C1218" s="124"/>
      <c r="D1218" s="124"/>
      <c r="E1218" s="124"/>
      <c r="F1218" s="1"/>
      <c r="G1218" s="163"/>
      <c r="H1218"/>
      <c r="I1218"/>
      <c r="J1218"/>
      <c r="K1218"/>
      <c r="L1218"/>
      <c r="M1218"/>
      <c r="N1218"/>
      <c r="O1218"/>
      <c r="P1218"/>
      <c r="Q1218"/>
      <c r="R1218" s="125"/>
      <c r="S1218" s="125"/>
      <c r="T1218" s="125"/>
    </row>
    <row r="1219" spans="1:24" s="126" customFormat="1" x14ac:dyDescent="0.55000000000000004">
      <c r="A1219" s="117"/>
      <c r="B1219"/>
      <c r="C1219" s="124"/>
      <c r="D1219" s="124"/>
      <c r="E1219" s="124"/>
      <c r="F1219" s="164" t="s">
        <v>88</v>
      </c>
      <c r="G1219" s="10"/>
      <c r="H1219"/>
      <c r="I1219" s="50">
        <v>5</v>
      </c>
      <c r="J1219"/>
      <c r="K1219"/>
      <c r="L1219"/>
      <c r="M1219"/>
      <c r="N1219"/>
      <c r="O1219"/>
      <c r="P1219"/>
      <c r="Q1219"/>
      <c r="R1219" s="125"/>
      <c r="S1219" s="125"/>
      <c r="T1219" s="125"/>
    </row>
    <row r="1220" spans="1:24" s="126" customFormat="1" x14ac:dyDescent="0.55000000000000004">
      <c r="A1220" s="117"/>
      <c r="B1220"/>
      <c r="C1220" s="124"/>
      <c r="D1220" s="124"/>
      <c r="E1220" s="124"/>
      <c r="F1220" s="10" t="s">
        <v>612</v>
      </c>
      <c r="H1220"/>
      <c r="I1220" s="159" t="s">
        <v>578</v>
      </c>
      <c r="J1220"/>
      <c r="K1220"/>
      <c r="L1220"/>
      <c r="M1220"/>
      <c r="N1220"/>
      <c r="O1220"/>
      <c r="P1220"/>
      <c r="Q1220"/>
      <c r="R1220" s="125"/>
      <c r="S1220" s="125"/>
      <c r="T1220" s="125"/>
    </row>
    <row r="1221" spans="1:24" s="126" customFormat="1" x14ac:dyDescent="0.55000000000000004">
      <c r="A1221" s="117"/>
      <c r="B1221"/>
      <c r="C1221" s="124"/>
      <c r="D1221" s="124"/>
      <c r="E1221" s="124"/>
      <c r="F1221"/>
      <c r="G1221"/>
      <c r="H1221"/>
      <c r="I1221"/>
      <c r="J1221"/>
      <c r="K1221"/>
      <c r="L1221"/>
      <c r="M1221"/>
      <c r="N1221"/>
      <c r="O1221"/>
      <c r="P1221"/>
      <c r="Q1221"/>
      <c r="R1221" s="125"/>
      <c r="S1221" s="125"/>
      <c r="T1221" s="125"/>
    </row>
    <row r="1222" spans="1:24" s="126" customFormat="1" ht="57.6" x14ac:dyDescent="0.55000000000000004">
      <c r="A1222" s="117"/>
      <c r="B1222"/>
      <c r="C1222" s="124"/>
      <c r="D1222" s="124"/>
      <c r="E1222" s="124"/>
      <c r="F1222" s="56" t="s">
        <v>91</v>
      </c>
      <c r="G1222" s="56" t="s">
        <v>92</v>
      </c>
      <c r="H1222" s="129" t="s">
        <v>80</v>
      </c>
      <c r="I1222" s="56" t="s">
        <v>340</v>
      </c>
      <c r="J1222" s="56" t="s">
        <v>356</v>
      </c>
      <c r="K1222" s="165" t="s">
        <v>349</v>
      </c>
      <c r="L1222" s="166" t="s">
        <v>350</v>
      </c>
      <c r="M1222" s="162"/>
      <c r="N1222" s="162"/>
      <c r="O1222" s="162"/>
      <c r="P1222" s="162"/>
      <c r="Q1222" s="162"/>
      <c r="R1222" s="167"/>
      <c r="S1222" s="167"/>
      <c r="T1222" s="167"/>
      <c r="V1222" s="168" t="s">
        <v>621</v>
      </c>
      <c r="W1222" s="168" t="s">
        <v>622</v>
      </c>
    </row>
    <row r="1223" spans="1:24" s="126" customFormat="1" x14ac:dyDescent="0.55000000000000004">
      <c r="A1223" s="117"/>
      <c r="B1223"/>
      <c r="C1223" s="124"/>
      <c r="D1223" s="124"/>
      <c r="E1223" s="124"/>
      <c r="F1223" s="89">
        <f>IF($I$1219=X1223,X1223,1)</f>
        <v>1</v>
      </c>
      <c r="G1223" s="91">
        <v>0</v>
      </c>
      <c r="H1223" s="50"/>
      <c r="I1223" s="169"/>
      <c r="J1223" s="21">
        <f>IF(G1212=V1212,H1196-SUMIF(F1224:F1227,"&lt;="&amp;$I$1219,J1224:J1227),0)</f>
        <v>0</v>
      </c>
      <c r="K1223" s="114">
        <f>IFERROR(IF(G1212=V1212,IF(F1223&lt;=I1219,IF(I1220="No",IF(J1204=0,L1196/SUMPRODUCT(V1223:V1227,J1223:J1227),(L1196-J1204)/SUMPRODUCT(V1223:V1227,J1223:J1227)),0),0),0),0)</f>
        <v>0</v>
      </c>
      <c r="L1223" s="31">
        <f>J1223*K1223</f>
        <v>0</v>
      </c>
      <c r="M1223" s="170"/>
      <c r="N1223" s="135"/>
      <c r="O1223" s="171"/>
      <c r="P1223"/>
      <c r="Q1223"/>
      <c r="R1223" s="125"/>
      <c r="S1223" s="125"/>
      <c r="T1223" s="125"/>
      <c r="V1223" s="96">
        <f>IF(F1223&lt;=$I$1219,1,0)</f>
        <v>1</v>
      </c>
      <c r="X1223" s="126">
        <v>1</v>
      </c>
    </row>
    <row r="1224" spans="1:24" s="126" customFormat="1" x14ac:dyDescent="0.55000000000000004">
      <c r="A1224" s="117"/>
      <c r="B1224"/>
      <c r="C1224" s="124"/>
      <c r="D1224" s="124"/>
      <c r="E1224" s="124"/>
      <c r="F1224" s="89">
        <f>IF($I$1219&gt;=X1224,X1224,"")</f>
        <v>2</v>
      </c>
      <c r="G1224" s="91">
        <f>IF($I$1219&gt;=F1224,H1223+0.01,"")</f>
        <v>0.01</v>
      </c>
      <c r="H1224" s="50"/>
      <c r="I1224" s="61"/>
      <c r="J1224" s="13"/>
      <c r="K1224" s="114">
        <f>IFERROR(IF(F1224&lt;=I1219,IF(I1220="No",K1223*(1+I1224),IF(J1204=0,L1196/SUMPRODUCT(W1224:W1227,J1224:J1227),(L1196-J1204)/SUMPRODUCT(W1224:W1227,J1224:J1227))),0),0)</f>
        <v>0</v>
      </c>
      <c r="L1224" s="31">
        <f>J1224*K1224</f>
        <v>0</v>
      </c>
      <c r="M1224" s="170"/>
      <c r="N1224" s="135"/>
      <c r="O1224" s="171"/>
      <c r="P1224"/>
      <c r="Q1224"/>
      <c r="R1224" s="125"/>
      <c r="S1224" s="125"/>
      <c r="T1224" s="125"/>
      <c r="V1224" s="96">
        <f>IF(F1224&lt;=$I$1219,(1+I1224),0)</f>
        <v>1</v>
      </c>
      <c r="W1224" s="92">
        <f>IF(F1224&lt;=I1219,1,0)</f>
        <v>1</v>
      </c>
      <c r="X1224" s="126">
        <v>2</v>
      </c>
    </row>
    <row r="1225" spans="1:24" s="126" customFormat="1" x14ac:dyDescent="0.55000000000000004">
      <c r="A1225" s="117"/>
      <c r="B1225"/>
      <c r="C1225" s="124"/>
      <c r="D1225" s="124"/>
      <c r="E1225" s="124"/>
      <c r="F1225" s="89">
        <f>IF($I$1219&gt;=X1225,X1225,"")</f>
        <v>3</v>
      </c>
      <c r="G1225" s="91">
        <f>IF($I$1219&gt;=F1225,H1224+0.01,"")</f>
        <v>0.01</v>
      </c>
      <c r="H1225" s="50"/>
      <c r="I1225" s="61"/>
      <c r="J1225" s="13"/>
      <c r="K1225" s="95">
        <f>IF(F1225&lt;=$I$1219,K1224*(1+I1225),0)</f>
        <v>0</v>
      </c>
      <c r="L1225" s="31">
        <f>J1225*K1225</f>
        <v>0</v>
      </c>
      <c r="M1225" s="170"/>
      <c r="N1225" s="135"/>
      <c r="O1225" s="171"/>
      <c r="P1225"/>
      <c r="Q1225"/>
      <c r="R1225" s="125"/>
      <c r="S1225" s="125"/>
      <c r="T1225" s="125"/>
      <c r="V1225" s="96">
        <f>IF(F1225&lt;=$I$1219,V1224*(1+I1225),0)</f>
        <v>1</v>
      </c>
      <c r="W1225" s="92">
        <f>IF(F1225&lt;=I1219,W1224*(1+I1225),0)</f>
        <v>1</v>
      </c>
      <c r="X1225" s="126">
        <v>3</v>
      </c>
    </row>
    <row r="1226" spans="1:24" s="126" customFormat="1" x14ac:dyDescent="0.55000000000000004">
      <c r="A1226" s="117"/>
      <c r="B1226"/>
      <c r="C1226" s="124"/>
      <c r="D1226" s="124"/>
      <c r="E1226" s="124"/>
      <c r="F1226" s="89">
        <f>IF($I$1219&gt;=X1226,X1226,"")</f>
        <v>4</v>
      </c>
      <c r="G1226" s="91">
        <f>IF($I$1219&gt;=F1226,H1225+0.01,"")</f>
        <v>0.01</v>
      </c>
      <c r="H1226" s="50"/>
      <c r="I1226" s="61"/>
      <c r="J1226" s="13"/>
      <c r="K1226" s="95">
        <f>IF(F1226&lt;=$I$1219,K1225*(1+I1226),0)</f>
        <v>0</v>
      </c>
      <c r="L1226" s="31">
        <f>J1226*K1226</f>
        <v>0</v>
      </c>
      <c r="M1226" s="170"/>
      <c r="N1226" s="135"/>
      <c r="O1226" s="171"/>
      <c r="P1226"/>
      <c r="Q1226"/>
      <c r="R1226" s="125"/>
      <c r="S1226" s="125"/>
      <c r="T1226" s="125"/>
      <c r="V1226" s="96">
        <f>IF(F1226&lt;=$I$1219,V1225*(1+I1226),0)</f>
        <v>1</v>
      </c>
      <c r="W1226" s="92">
        <f>IF(F1226&lt;=I1219,W1225*(1+I1226),0)</f>
        <v>1</v>
      </c>
      <c r="X1226" s="126">
        <v>4</v>
      </c>
    </row>
    <row r="1227" spans="1:24" s="126" customFormat="1" x14ac:dyDescent="0.55000000000000004">
      <c r="A1227" s="117"/>
      <c r="B1227"/>
      <c r="C1227" s="124"/>
      <c r="D1227" s="124"/>
      <c r="E1227" s="124"/>
      <c r="F1227" s="89">
        <f>IF($I$1219&gt;=X1227,X1227,"")</f>
        <v>5</v>
      </c>
      <c r="G1227" s="91">
        <f>IF($I$1219&gt;=F1227,H1226+0.01,"")</f>
        <v>0.01</v>
      </c>
      <c r="H1227" s="89" t="s">
        <v>84</v>
      </c>
      <c r="I1227" s="61"/>
      <c r="J1227" s="13"/>
      <c r="K1227" s="95">
        <f>IF(F1227&lt;=$I$1219,K1226*(1+I1227),0)</f>
        <v>0</v>
      </c>
      <c r="L1227" s="31">
        <f>J1227*K1227</f>
        <v>0</v>
      </c>
      <c r="M1227" s="170"/>
      <c r="N1227" s="135"/>
      <c r="O1227" s="171"/>
      <c r="P1227"/>
      <c r="Q1227"/>
      <c r="R1227" s="125"/>
      <c r="S1227" s="125"/>
      <c r="T1227" s="125"/>
      <c r="V1227" s="96">
        <f>IF(F1227&lt;=$I$1219,V1226*(1+I1227),0)</f>
        <v>1</v>
      </c>
      <c r="W1227" s="92">
        <f>IF(F1227&lt;=I1219,W1226*(1+I1227),0)</f>
        <v>1</v>
      </c>
      <c r="X1227" s="126">
        <v>5</v>
      </c>
    </row>
    <row r="1228" spans="1:24" s="126" customFormat="1" ht="14.7" thickBot="1" x14ac:dyDescent="0.6">
      <c r="A1228" s="117"/>
      <c r="B1228"/>
      <c r="C1228" s="124"/>
      <c r="D1228" s="124"/>
      <c r="E1228" s="130"/>
      <c r="F1228" s="149"/>
      <c r="G1228" s="150"/>
      <c r="H1228" s="149"/>
      <c r="I1228" s="172"/>
      <c r="J1228" s="173"/>
      <c r="K1228" s="173"/>
      <c r="L1228" s="173"/>
      <c r="M1228" s="174"/>
      <c r="N1228" s="152"/>
      <c r="O1228" s="175"/>
      <c r="P1228" s="131"/>
      <c r="Q1228" s="131"/>
      <c r="R1228" s="132"/>
      <c r="S1228" s="125"/>
      <c r="T1228" s="125"/>
    </row>
    <row r="1229" spans="1:24" s="126" customFormat="1" ht="14.7" thickBot="1" x14ac:dyDescent="0.6">
      <c r="A1229" s="117"/>
      <c r="B1229"/>
      <c r="C1229" s="124"/>
      <c r="D1229" s="124"/>
      <c r="E1229"/>
      <c r="F1229" s="163"/>
      <c r="G1229" s="176"/>
      <c r="H1229" s="163"/>
      <c r="I1229" s="177"/>
      <c r="J1229" s="178"/>
      <c r="K1229" s="178"/>
      <c r="L1229" s="178"/>
      <c r="M1229" s="170"/>
      <c r="N1229" s="135"/>
      <c r="O1229" s="171"/>
      <c r="P1229"/>
      <c r="Q1229"/>
      <c r="R1229"/>
      <c r="S1229" s="125"/>
      <c r="T1229" s="125"/>
    </row>
    <row r="1230" spans="1:24" s="126" customFormat="1" x14ac:dyDescent="0.55000000000000004">
      <c r="A1230" s="117"/>
      <c r="B1230"/>
      <c r="C1230" s="124"/>
      <c r="D1230" s="124"/>
      <c r="E1230" s="121"/>
      <c r="F1230" s="179"/>
      <c r="G1230" s="180"/>
      <c r="H1230" s="179"/>
      <c r="I1230" s="181"/>
      <c r="J1230" s="182"/>
      <c r="K1230" s="182"/>
      <c r="L1230" s="182"/>
      <c r="M1230" s="183"/>
      <c r="N1230" s="184"/>
      <c r="O1230" s="185"/>
      <c r="P1230" s="122"/>
      <c r="Q1230" s="122"/>
      <c r="R1230" s="123"/>
      <c r="S1230" s="125"/>
      <c r="T1230" s="125"/>
    </row>
    <row r="1231" spans="1:24" s="126" customFormat="1" x14ac:dyDescent="0.55000000000000004">
      <c r="A1231" s="117"/>
      <c r="B1231"/>
      <c r="C1231" s="124"/>
      <c r="D1231" s="124"/>
      <c r="E1231" s="124"/>
      <c r="F1231" s="186" t="s">
        <v>344</v>
      </c>
      <c r="G1231" s="176"/>
      <c r="H1231" s="163"/>
      <c r="I1231" s="177"/>
      <c r="J1231" s="178"/>
      <c r="K1231" s="178"/>
      <c r="L1231" s="178"/>
      <c r="M1231" s="170"/>
      <c r="N1231" s="135"/>
      <c r="O1231" s="187"/>
      <c r="P1231"/>
      <c r="Q1231"/>
      <c r="R1231" s="125"/>
      <c r="S1231" s="125"/>
      <c r="T1231" s="125"/>
    </row>
    <row r="1232" spans="1:24" s="126" customFormat="1" ht="14.55" customHeight="1" x14ac:dyDescent="0.55000000000000004">
      <c r="A1232" s="117"/>
      <c r="B1232"/>
      <c r="C1232" s="124"/>
      <c r="D1232" s="124"/>
      <c r="E1232" s="124"/>
      <c r="F1232" s="1804" t="s">
        <v>562</v>
      </c>
      <c r="G1232" s="1804"/>
      <c r="H1232" s="1804"/>
      <c r="I1232" s="1804"/>
      <c r="J1232" s="1804"/>
      <c r="K1232" s="1804"/>
      <c r="L1232" s="1804"/>
      <c r="M1232" s="1804"/>
      <c r="N1232" s="1804"/>
      <c r="O1232" s="1804"/>
      <c r="P1232" s="1804"/>
      <c r="Q1232" s="1804"/>
      <c r="R1232" s="125"/>
      <c r="S1232" s="125"/>
      <c r="T1232" s="125"/>
    </row>
    <row r="1233" spans="1:28" s="126" customFormat="1" x14ac:dyDescent="0.55000000000000004">
      <c r="A1233" s="117"/>
      <c r="B1233"/>
      <c r="C1233" s="124"/>
      <c r="D1233" s="124"/>
      <c r="E1233" s="124"/>
      <c r="F1233" s="1804"/>
      <c r="G1233" s="1804"/>
      <c r="H1233" s="1804"/>
      <c r="I1233" s="1804"/>
      <c r="J1233" s="1804"/>
      <c r="K1233" s="1804"/>
      <c r="L1233" s="1804"/>
      <c r="M1233" s="1804"/>
      <c r="N1233" s="1804"/>
      <c r="O1233" s="1804"/>
      <c r="P1233" s="1804"/>
      <c r="Q1233" s="1804"/>
      <c r="R1233" s="125"/>
      <c r="S1233" s="125"/>
      <c r="T1233" s="125"/>
    </row>
    <row r="1234" spans="1:28" s="126" customFormat="1" x14ac:dyDescent="0.55000000000000004">
      <c r="A1234" s="117"/>
      <c r="B1234"/>
      <c r="C1234" s="124"/>
      <c r="D1234" s="124"/>
      <c r="E1234" s="124"/>
      <c r="F1234" s="186"/>
      <c r="G1234" s="176"/>
      <c r="H1234" s="163"/>
      <c r="I1234" s="177"/>
      <c r="J1234" s="178"/>
      <c r="K1234" s="178"/>
      <c r="L1234" s="178"/>
      <c r="M1234" s="170"/>
      <c r="N1234" s="135"/>
      <c r="O1234" s="187"/>
      <c r="P1234"/>
      <c r="Q1234"/>
      <c r="R1234" s="125"/>
      <c r="S1234" s="125"/>
      <c r="T1234" s="125"/>
    </row>
    <row r="1235" spans="1:28" s="126" customFormat="1" x14ac:dyDescent="0.55000000000000004">
      <c r="A1235" s="117"/>
      <c r="B1235"/>
      <c r="C1235" s="124"/>
      <c r="D1235" s="124"/>
      <c r="E1235" s="124"/>
      <c r="F1235" s="164" t="s">
        <v>88</v>
      </c>
      <c r="G1235" s="10"/>
      <c r="H1235" s="163"/>
      <c r="I1235" s="50">
        <v>5</v>
      </c>
      <c r="J1235" s="178"/>
      <c r="K1235" s="178"/>
      <c r="L1235" s="178"/>
      <c r="M1235" s="170"/>
      <c r="N1235" s="135"/>
      <c r="O1235" s="187"/>
      <c r="P1235"/>
      <c r="Q1235"/>
      <c r="R1235" s="125"/>
      <c r="S1235" s="125"/>
      <c r="T1235" s="125"/>
    </row>
    <row r="1236" spans="1:28" s="126" customFormat="1" x14ac:dyDescent="0.55000000000000004">
      <c r="A1236" s="117"/>
      <c r="B1236"/>
      <c r="C1236" s="124"/>
      <c r="D1236" s="124"/>
      <c r="E1236" s="124"/>
      <c r="F1236" t="s">
        <v>346</v>
      </c>
      <c r="G1236" s="10"/>
      <c r="H1236" s="163"/>
      <c r="I1236" s="13"/>
      <c r="J1236" s="178"/>
      <c r="K1236" s="178"/>
      <c r="L1236" s="178"/>
      <c r="M1236" s="170"/>
      <c r="N1236" s="135"/>
      <c r="O1236" s="187"/>
      <c r="P1236"/>
      <c r="Q1236"/>
      <c r="R1236" s="125"/>
      <c r="S1236" s="125"/>
      <c r="T1236" s="125"/>
    </row>
    <row r="1237" spans="1:28" s="126" customFormat="1" x14ac:dyDescent="0.55000000000000004">
      <c r="A1237" s="117"/>
      <c r="B1237"/>
      <c r="C1237" s="124"/>
      <c r="D1237" s="124"/>
      <c r="E1237" s="124"/>
      <c r="F1237" t="s">
        <v>347</v>
      </c>
      <c r="G1237" s="10"/>
      <c r="H1237" s="163"/>
      <c r="I1237" s="13"/>
      <c r="J1237" s="178"/>
      <c r="K1237" s="178"/>
      <c r="L1237" s="178"/>
      <c r="M1237" s="170"/>
      <c r="N1237" s="135"/>
      <c r="O1237" s="187"/>
      <c r="P1237"/>
      <c r="Q1237"/>
      <c r="R1237" s="125"/>
      <c r="S1237" s="125"/>
      <c r="T1237" s="125"/>
    </row>
    <row r="1238" spans="1:28" s="126" customFormat="1" x14ac:dyDescent="0.55000000000000004">
      <c r="A1238" s="117"/>
      <c r="B1238"/>
      <c r="C1238" s="124"/>
      <c r="D1238" s="124"/>
      <c r="E1238" s="124"/>
      <c r="F1238" t="s">
        <v>366</v>
      </c>
      <c r="G1238" s="10"/>
      <c r="H1238"/>
      <c r="I1238" s="93"/>
      <c r="J1238"/>
      <c r="K1238" s="178"/>
      <c r="L1238" s="178"/>
      <c r="M1238" s="170"/>
      <c r="N1238" s="135"/>
      <c r="O1238" s="187"/>
      <c r="P1238"/>
      <c r="Q1238"/>
      <c r="R1238" s="125"/>
      <c r="S1238" s="125"/>
      <c r="T1238" s="125"/>
    </row>
    <row r="1239" spans="1:28" s="126" customFormat="1" x14ac:dyDescent="0.55000000000000004">
      <c r="A1239" s="117"/>
      <c r="B1239"/>
      <c r="C1239" s="124"/>
      <c r="D1239" s="124"/>
      <c r="E1239" s="124"/>
      <c r="F1239" s="10" t="s">
        <v>612</v>
      </c>
      <c r="H1239"/>
      <c r="I1239" s="159" t="s">
        <v>578</v>
      </c>
      <c r="J1239"/>
      <c r="K1239" s="178"/>
      <c r="L1239" s="178"/>
      <c r="M1239" s="170"/>
      <c r="N1239" s="135"/>
      <c r="O1239" s="187"/>
      <c r="P1239"/>
      <c r="Q1239"/>
      <c r="R1239" s="125"/>
      <c r="S1239" s="125"/>
      <c r="T1239" s="125"/>
    </row>
    <row r="1240" spans="1:28" s="126" customFormat="1" x14ac:dyDescent="0.55000000000000004">
      <c r="A1240" s="117"/>
      <c r="B1240"/>
      <c r="C1240" s="124"/>
      <c r="D1240" s="124"/>
      <c r="E1240" s="124"/>
      <c r="F1240"/>
      <c r="G1240"/>
      <c r="H1240"/>
      <c r="I1240" s="188"/>
      <c r="J1240"/>
      <c r="K1240" s="178"/>
      <c r="L1240" s="178"/>
      <c r="M1240" s="170"/>
      <c r="N1240" s="135"/>
      <c r="O1240" s="187"/>
      <c r="P1240"/>
      <c r="Q1240"/>
      <c r="R1240" s="125"/>
      <c r="S1240" s="125"/>
      <c r="T1240" s="125"/>
    </row>
    <row r="1241" spans="1:28" s="126" customFormat="1" ht="57.6" x14ac:dyDescent="0.55000000000000004">
      <c r="A1241" s="117"/>
      <c r="B1241"/>
      <c r="C1241" s="124"/>
      <c r="D1241" s="124"/>
      <c r="E1241" s="124"/>
      <c r="F1241" s="56" t="s">
        <v>91</v>
      </c>
      <c r="G1241" s="56" t="s">
        <v>92</v>
      </c>
      <c r="H1241" s="129" t="s">
        <v>80</v>
      </c>
      <c r="I1241" s="56" t="s">
        <v>367</v>
      </c>
      <c r="J1241" s="56" t="s">
        <v>368</v>
      </c>
      <c r="K1241" s="56" t="s">
        <v>341</v>
      </c>
      <c r="L1241" s="56" t="s">
        <v>342</v>
      </c>
      <c r="M1241" s="166" t="s">
        <v>351</v>
      </c>
      <c r="N1241" s="56" t="s">
        <v>352</v>
      </c>
      <c r="O1241" s="56" t="s">
        <v>353</v>
      </c>
      <c r="P1241" s="56" t="s">
        <v>354</v>
      </c>
      <c r="Q1241" s="56" t="s">
        <v>355</v>
      </c>
      <c r="R1241" s="125"/>
      <c r="S1241" s="125"/>
      <c r="T1241" s="125"/>
      <c r="V1241" s="189" t="s">
        <v>616</v>
      </c>
      <c r="W1241" s="168" t="s">
        <v>617</v>
      </c>
      <c r="X1241" s="189" t="s">
        <v>618</v>
      </c>
      <c r="Y1241" s="168" t="s">
        <v>619</v>
      </c>
      <c r="AA1241" s="10"/>
      <c r="AB1241" s="10"/>
    </row>
    <row r="1242" spans="1:28" s="126" customFormat="1" x14ac:dyDescent="0.55000000000000004">
      <c r="A1242" s="117"/>
      <c r="B1242"/>
      <c r="C1242" s="124"/>
      <c r="D1242" s="124"/>
      <c r="E1242" s="124"/>
      <c r="F1242" s="89">
        <f>IF($I$1235=Z1242,Z1242,1)</f>
        <v>1</v>
      </c>
      <c r="G1242" s="91">
        <v>0</v>
      </c>
      <c r="H1242" s="50"/>
      <c r="I1242" s="169"/>
      <c r="J1242" s="63"/>
      <c r="K1242" s="21">
        <f>I1236-SUMIF(F1243:F1246,"&lt;="&amp;$I$1235,K1243:K1246)</f>
        <v>0</v>
      </c>
      <c r="L1242" s="31">
        <f>I1237-SUMIF(F1243:F1246,"&lt;="&amp;$I$1235,L1243:L1246)</f>
        <v>0</v>
      </c>
      <c r="M1242" s="44">
        <f ca="1">IFERROR(IF(G1212=V1212,0,IF(F1242&lt;=I1235,IF(I1239="No",(L1196-J1204)/(SUMPRODUCT(V1242:V1246,K1242:K1246)+SUMPRODUCT(W1242:W1246,L1242:L1246)),0)*I1238,0)),0)</f>
        <v>0</v>
      </c>
      <c r="N1242" s="44">
        <f ca="1">IFERROR(IF(G1212=V1212,0,IF(F1242&lt;=I1235,IF(I1239="No",(L1196-J1204)/(SUMPRODUCT(V1242:V1246,K1242:K1246)+SUMPRODUCT(W1242:W1246,L1242:L1246)),0),0)),0)</f>
        <v>0</v>
      </c>
      <c r="O1242" s="97" t="str">
        <f ca="1">IFERROR(M1242/N1242,"")</f>
        <v/>
      </c>
      <c r="P1242" s="26">
        <f t="shared" ref="P1242:Q1246" ca="1" si="19">K1242*M1242</f>
        <v>0</v>
      </c>
      <c r="Q1242" s="26">
        <f t="shared" ca="1" si="19"/>
        <v>0</v>
      </c>
      <c r="R1242" s="125"/>
      <c r="S1242" s="125"/>
      <c r="T1242" s="125"/>
      <c r="V1242" s="92">
        <f>IF(F1242&lt;=$I$1235,1*$I$1238,0)</f>
        <v>0</v>
      </c>
      <c r="W1242" s="96">
        <f>IF(F1242&lt;=$I$1235,1,0)</f>
        <v>1</v>
      </c>
      <c r="X1242" s="92"/>
      <c r="Y1242" s="96"/>
      <c r="Z1242" s="126">
        <v>1</v>
      </c>
      <c r="AA1242" s="10"/>
      <c r="AB1242" s="10"/>
    </row>
    <row r="1243" spans="1:28" s="126" customFormat="1" x14ac:dyDescent="0.55000000000000004">
      <c r="A1243" s="117"/>
      <c r="B1243"/>
      <c r="C1243" s="124"/>
      <c r="D1243" s="124"/>
      <c r="E1243" s="124"/>
      <c r="F1243" s="89">
        <f>IF($I$1235&gt;=Z1243,Z1243,"")</f>
        <v>2</v>
      </c>
      <c r="G1243" s="91">
        <f>IF($I$1235&gt;=F1243,H1242+0.01,"")</f>
        <v>0.01</v>
      </c>
      <c r="H1243" s="50"/>
      <c r="I1243" s="61"/>
      <c r="J1243" s="61"/>
      <c r="K1243" s="13"/>
      <c r="L1243" s="13"/>
      <c r="M1243" s="44">
        <f ca="1">IF(F1243&lt;=I1235,IF(I1239="No",M1242*(1+I1243),N1243*I1238),0)</f>
        <v>0</v>
      </c>
      <c r="N1243" s="44">
        <f ca="1">IF(F1243&lt;=I1235,IF(I1239="No",N1242*(1+J1243),(L1196-J1204)/(I1238*SUMPRODUCT(X1243:X1246,K1243:K1246)+SUMPRODUCT(Y1243:Y1246,L1243:L1246))),0)</f>
        <v>0</v>
      </c>
      <c r="O1243" s="97" t="str">
        <f ca="1">IFERROR(M1243/N1243,"")</f>
        <v/>
      </c>
      <c r="P1243" s="26">
        <f t="shared" ca="1" si="19"/>
        <v>0</v>
      </c>
      <c r="Q1243" s="26">
        <f t="shared" ca="1" si="19"/>
        <v>0</v>
      </c>
      <c r="R1243" s="125"/>
      <c r="S1243" s="125"/>
      <c r="T1243" s="125"/>
      <c r="V1243" s="92">
        <f>IF(F1243&lt;=$I$1235,V1242*(1+I1243),0)</f>
        <v>0</v>
      </c>
      <c r="W1243" s="96">
        <f>IF(F1243&lt;=$I$1235,(1+J1243),0)</f>
        <v>1</v>
      </c>
      <c r="X1243" s="92">
        <v>1</v>
      </c>
      <c r="Y1243" s="96">
        <f>IF(F1243&lt;=I1235,1,0)</f>
        <v>1</v>
      </c>
      <c r="Z1243" s="126">
        <v>2</v>
      </c>
      <c r="AA1243" s="10"/>
      <c r="AB1243" s="10"/>
    </row>
    <row r="1244" spans="1:28" s="126" customFormat="1" x14ac:dyDescent="0.55000000000000004">
      <c r="A1244" s="117"/>
      <c r="B1244"/>
      <c r="C1244" s="124"/>
      <c r="D1244" s="124"/>
      <c r="E1244" s="124"/>
      <c r="F1244" s="89">
        <f>IF($I$1235&gt;=Z1244,Z1244,"")</f>
        <v>3</v>
      </c>
      <c r="G1244" s="91">
        <f>IF($I$1235&gt;=F1244,H1243+0.01,"")</f>
        <v>0.01</v>
      </c>
      <c r="H1244" s="50"/>
      <c r="I1244" s="61"/>
      <c r="J1244" s="61"/>
      <c r="K1244" s="13"/>
      <c r="L1244" s="13"/>
      <c r="M1244" s="36">
        <f ca="1">IF(F1244&lt;=$I$1235,M1243*(1+I1244),0)</f>
        <v>0</v>
      </c>
      <c r="N1244" s="36">
        <f ca="1">IF(F1244&lt;=$I$1235,N1243*(1+J1244),0)</f>
        <v>0</v>
      </c>
      <c r="O1244" s="97" t="str">
        <f ca="1">IFERROR(M1244/N1244,"")</f>
        <v/>
      </c>
      <c r="P1244" s="26">
        <f t="shared" ca="1" si="19"/>
        <v>0</v>
      </c>
      <c r="Q1244" s="26">
        <f t="shared" ca="1" si="19"/>
        <v>0</v>
      </c>
      <c r="R1244" s="125"/>
      <c r="S1244" s="125"/>
      <c r="T1244" s="125"/>
      <c r="V1244" s="92">
        <f>IF(F1244&lt;=$I$1235,V1243*(1+I1244),0)</f>
        <v>0</v>
      </c>
      <c r="W1244" s="96">
        <f>IF(F1244&lt;=$I$1235,W1243*(1+J1244),0)</f>
        <v>1</v>
      </c>
      <c r="X1244" s="92">
        <f>IF(F1244&lt;=I1235,X1243*(1+I1244),0)</f>
        <v>1</v>
      </c>
      <c r="Y1244" s="96">
        <f>IF(F1244&lt;=I1235,Y1243*(1+J1244),0)</f>
        <v>1</v>
      </c>
      <c r="Z1244" s="126">
        <v>3</v>
      </c>
      <c r="AA1244" s="10"/>
      <c r="AB1244" s="10"/>
    </row>
    <row r="1245" spans="1:28" s="126" customFormat="1" x14ac:dyDescent="0.55000000000000004">
      <c r="A1245" s="117"/>
      <c r="B1245"/>
      <c r="C1245" s="124"/>
      <c r="D1245" s="124"/>
      <c r="E1245" s="124"/>
      <c r="F1245" s="89">
        <f>IF($I$1235&gt;=Z1245,Z1245,"")</f>
        <v>4</v>
      </c>
      <c r="G1245" s="91">
        <f>IF($I$1235&gt;=F1245,H1244+0.01,"")</f>
        <v>0.01</v>
      </c>
      <c r="H1245" s="50"/>
      <c r="I1245" s="61"/>
      <c r="J1245" s="61"/>
      <c r="K1245" s="13"/>
      <c r="L1245" s="13"/>
      <c r="M1245" s="36">
        <f ca="1">IF(F1245&lt;=$I$1235,M1244*(1+I1245),0)</f>
        <v>0</v>
      </c>
      <c r="N1245" s="36">
        <f ca="1">IF(F1245&lt;=$I$1235,N1244*(1+J1245),0)</f>
        <v>0</v>
      </c>
      <c r="O1245" s="97" t="str">
        <f ca="1">IFERROR(M1245/N1245,"")</f>
        <v/>
      </c>
      <c r="P1245" s="26">
        <f t="shared" ca="1" si="19"/>
        <v>0</v>
      </c>
      <c r="Q1245" s="26">
        <f t="shared" ca="1" si="19"/>
        <v>0</v>
      </c>
      <c r="R1245" s="125"/>
      <c r="S1245" s="125"/>
      <c r="T1245" s="125"/>
      <c r="V1245" s="92">
        <f>IF(F1245&lt;=$I$1235,V1244*(1+I1245),0)</f>
        <v>0</v>
      </c>
      <c r="W1245" s="96">
        <f>IF(F1245&lt;=$I$1235,W1244*(1+J1245),0)</f>
        <v>1</v>
      </c>
      <c r="X1245" s="92">
        <f>IF(F1245&lt;=I1235,X1244*(1+I1245),0)</f>
        <v>1</v>
      </c>
      <c r="Y1245" s="96">
        <f>IF(F1245&lt;=I1235,Y1244*(1+J1245),0)</f>
        <v>1</v>
      </c>
      <c r="Z1245" s="126">
        <v>4</v>
      </c>
      <c r="AA1245" s="10"/>
      <c r="AB1245" s="10"/>
    </row>
    <row r="1246" spans="1:28" s="126" customFormat="1" x14ac:dyDescent="0.55000000000000004">
      <c r="A1246" s="117"/>
      <c r="B1246"/>
      <c r="C1246" s="124"/>
      <c r="D1246" s="124"/>
      <c r="E1246" s="124"/>
      <c r="F1246" s="89">
        <f>IF($I$1235&gt;=Z1246,Z1246,"")</f>
        <v>5</v>
      </c>
      <c r="G1246" s="91">
        <f>IF($I$1235&gt;=F1246,H1245+0.01,"")</f>
        <v>0.01</v>
      </c>
      <c r="H1246" s="89" t="s">
        <v>84</v>
      </c>
      <c r="I1246" s="61"/>
      <c r="J1246" s="61"/>
      <c r="K1246" s="13"/>
      <c r="L1246" s="13"/>
      <c r="M1246" s="36">
        <f ca="1">IF(F1246&lt;=$I$1235,M1245*(1+I1246),0)</f>
        <v>0</v>
      </c>
      <c r="N1246" s="36">
        <f ca="1">IF(F1246&lt;=$I$1235,N1245*(1+J1246),0)</f>
        <v>0</v>
      </c>
      <c r="O1246" s="97" t="str">
        <f ca="1">IFERROR(M1246/N1246,"")</f>
        <v/>
      </c>
      <c r="P1246" s="26">
        <f t="shared" ca="1" si="19"/>
        <v>0</v>
      </c>
      <c r="Q1246" s="26">
        <f t="shared" ca="1" si="19"/>
        <v>0</v>
      </c>
      <c r="R1246" s="125"/>
      <c r="S1246" s="125"/>
      <c r="T1246" s="125"/>
      <c r="V1246" s="92">
        <f>IF(F1246&lt;=$I$1235,V1245*(1+I1246),0)</f>
        <v>0</v>
      </c>
      <c r="W1246" s="96">
        <f>IF(F1246&lt;=$I$1235,W1245*(1+J1246),0)</f>
        <v>1</v>
      </c>
      <c r="X1246" s="92">
        <f>IF(F1246&lt;=I1235,X1245*(1+I1246),0)</f>
        <v>1</v>
      </c>
      <c r="Y1246" s="96">
        <f>IF(F1246&lt;=I1235,Y1245*(1+J1246),0)</f>
        <v>1</v>
      </c>
      <c r="Z1246" s="126">
        <v>5</v>
      </c>
      <c r="AA1246" s="10"/>
      <c r="AB1246" s="10"/>
    </row>
    <row r="1247" spans="1:28" ht="14.7" thickBot="1" x14ac:dyDescent="0.6">
      <c r="C1247" s="124"/>
      <c r="D1247" s="124"/>
      <c r="E1247" s="130"/>
      <c r="F1247" s="131"/>
      <c r="G1247" s="131"/>
      <c r="H1247" s="131"/>
      <c r="I1247" s="131"/>
      <c r="J1247" s="131"/>
      <c r="K1247" s="131"/>
      <c r="L1247" s="131"/>
      <c r="M1247" s="131"/>
      <c r="N1247" s="131"/>
      <c r="O1247" s="131"/>
      <c r="P1247" s="131"/>
      <c r="Q1247" s="131"/>
      <c r="R1247" s="132"/>
      <c r="S1247" s="125"/>
      <c r="T1247" s="125"/>
    </row>
    <row r="1248" spans="1:28" ht="14.7" thickBot="1" x14ac:dyDescent="0.6">
      <c r="C1248" s="124"/>
      <c r="D1248" s="130"/>
      <c r="E1248" s="131"/>
      <c r="F1248" s="131"/>
      <c r="G1248" s="131"/>
      <c r="H1248" s="131"/>
      <c r="I1248" s="131"/>
      <c r="J1248" s="131"/>
      <c r="K1248" s="131"/>
      <c r="L1248" s="131"/>
      <c r="M1248" s="131"/>
      <c r="N1248" s="131"/>
      <c r="O1248" s="131"/>
      <c r="P1248" s="131"/>
      <c r="Q1248" s="131"/>
      <c r="R1248" s="131"/>
      <c r="S1248" s="132"/>
      <c r="T1248" s="125"/>
    </row>
    <row r="1249" spans="3:20" ht="14.7" thickBot="1" x14ac:dyDescent="0.6">
      <c r="C1249" s="130"/>
      <c r="D1249" s="131"/>
      <c r="E1249" s="131"/>
      <c r="F1249" s="131"/>
      <c r="G1249" s="131"/>
      <c r="H1249" s="131"/>
      <c r="I1249" s="131"/>
      <c r="J1249" s="131"/>
      <c r="K1249" s="131"/>
      <c r="L1249" s="131"/>
      <c r="M1249" s="131"/>
      <c r="N1249" s="131"/>
      <c r="O1249" s="131"/>
      <c r="P1249" s="131"/>
      <c r="Q1249" s="131"/>
      <c r="R1249" s="131"/>
      <c r="S1249" s="131"/>
      <c r="T1249" s="132"/>
    </row>
  </sheetData>
  <sheetProtection sheet="1" objects="1" scenarios="1"/>
  <mergeCells count="83">
    <mergeCell ref="F1232:Q1233"/>
    <mergeCell ref="F466:P466"/>
    <mergeCell ref="F528:P528"/>
    <mergeCell ref="D508:S508"/>
    <mergeCell ref="F1216:Q1217"/>
    <mergeCell ref="F1170:Q1171"/>
    <mergeCell ref="F1210:P1210"/>
    <mergeCell ref="F1148:P1148"/>
    <mergeCell ref="F1086:P1086"/>
    <mergeCell ref="F962:P962"/>
    <mergeCell ref="F1024:P1024"/>
    <mergeCell ref="F1154:Q1155"/>
    <mergeCell ref="D1128:S1128"/>
    <mergeCell ref="D1190:S1190"/>
    <mergeCell ref="F1108:Q1109"/>
    <mergeCell ref="F1046:Q1047"/>
    <mergeCell ref="F1092:Q1093"/>
    <mergeCell ref="D384:S384"/>
    <mergeCell ref="D446:S446"/>
    <mergeCell ref="F968:Q969"/>
    <mergeCell ref="C7:T9"/>
    <mergeCell ref="F100:Q101"/>
    <mergeCell ref="F590:P590"/>
    <mergeCell ref="F652:P652"/>
    <mergeCell ref="F342:P342"/>
    <mergeCell ref="F404:P404"/>
    <mergeCell ref="F286:Q287"/>
    <mergeCell ref="F348:Q349"/>
    <mergeCell ref="F860:Q861"/>
    <mergeCell ref="F900:P900"/>
    <mergeCell ref="F906:Q907"/>
    <mergeCell ref="F302:Q303"/>
    <mergeCell ref="F550:Q551"/>
    <mergeCell ref="F798:Q799"/>
    <mergeCell ref="F596:Q597"/>
    <mergeCell ref="F658:Q659"/>
    <mergeCell ref="F720:Q721"/>
    <mergeCell ref="F782:Q783"/>
    <mergeCell ref="H1:H2"/>
    <mergeCell ref="F156:P156"/>
    <mergeCell ref="F218:P218"/>
    <mergeCell ref="F280:P280"/>
    <mergeCell ref="F32:P32"/>
    <mergeCell ref="F224:Q225"/>
    <mergeCell ref="F116:Q117"/>
    <mergeCell ref="F178:Q179"/>
    <mergeCell ref="J1:K2"/>
    <mergeCell ref="D12:S12"/>
    <mergeCell ref="D260:S260"/>
    <mergeCell ref="F94:P94"/>
    <mergeCell ref="F38:Q39"/>
    <mergeCell ref="F54:Q55"/>
    <mergeCell ref="F162:Q163"/>
    <mergeCell ref="F240:Q241"/>
    <mergeCell ref="D74:S74"/>
    <mergeCell ref="D136:S136"/>
    <mergeCell ref="D198:S198"/>
    <mergeCell ref="F410:Q411"/>
    <mergeCell ref="F364:Q365"/>
    <mergeCell ref="F426:Q427"/>
    <mergeCell ref="F488:Q489"/>
    <mergeCell ref="D322:S322"/>
    <mergeCell ref="D818:S818"/>
    <mergeCell ref="D880:S880"/>
    <mergeCell ref="F472:Q473"/>
    <mergeCell ref="D570:S570"/>
    <mergeCell ref="F776:P776"/>
    <mergeCell ref="F612:Q613"/>
    <mergeCell ref="F674:Q675"/>
    <mergeCell ref="F736:Q737"/>
    <mergeCell ref="D632:S632"/>
    <mergeCell ref="D694:S694"/>
    <mergeCell ref="D756:S756"/>
    <mergeCell ref="F714:P714"/>
    <mergeCell ref="F534:Q535"/>
    <mergeCell ref="D942:S942"/>
    <mergeCell ref="D1004:S1004"/>
    <mergeCell ref="D1066:S1066"/>
    <mergeCell ref="F844:Q845"/>
    <mergeCell ref="F838:P838"/>
    <mergeCell ref="F1030:Q1031"/>
    <mergeCell ref="F922:Q923"/>
    <mergeCell ref="F984:Q985"/>
  </mergeCells>
  <dataValidations count="62">
    <dataValidation type="list" allowBlank="1" showInputMessage="1" showErrorMessage="1" sqref="G967 G223 G99 G37 G161 G1091 G1029 G285 G347 G409 G471 G533 G595 G657 G719 G781 G843 G905 G1153 G1215" xr:uid="{06B08224-8493-46FF-872A-1D8279273109}">
      <formula1>$V$34:$V$34</formula1>
    </dataValidation>
    <dataValidation type="list" allowBlank="1" showInputMessage="1" showErrorMessage="1" sqref="G34" xr:uid="{D071F684-4D46-460A-BEAF-F1556D105078}">
      <formula1>$V$34:$V$35</formula1>
    </dataValidation>
    <dataValidation type="list" allowBlank="1" showInputMessage="1" showErrorMessage="1" sqref="G220" xr:uid="{25B339BE-21F2-4D59-9928-C195B8494EFA}">
      <formula1>$V$220:$V$221</formula1>
    </dataValidation>
    <dataValidation type="list" allowBlank="1" showInputMessage="1" showErrorMessage="1" sqref="G282" xr:uid="{6F0BAEC2-E343-46D4-9A4A-A17D6D4C046B}">
      <formula1>$V$282:$V$283</formula1>
    </dataValidation>
    <dataValidation type="list" allowBlank="1" showInputMessage="1" showErrorMessage="1" sqref="G344" xr:uid="{AC836910-7A1C-43BB-A996-A377E843E126}">
      <formula1>$V$344:$V$345</formula1>
    </dataValidation>
    <dataValidation type="list" allowBlank="1" showInputMessage="1" showErrorMessage="1" sqref="G406" xr:uid="{FB070013-66EA-4EA5-907F-CE9F46FAAA07}">
      <formula1>$V$406:$V$407</formula1>
    </dataValidation>
    <dataValidation type="list" allowBlank="1" showInputMessage="1" showErrorMessage="1" sqref="G468" xr:uid="{D5A8FBFE-FF2A-4016-A9D6-803A861A99EC}">
      <formula1>$V$468:$V$469</formula1>
    </dataValidation>
    <dataValidation type="list" allowBlank="1" showInputMessage="1" showErrorMessage="1" sqref="G530" xr:uid="{6CD32A5E-4F02-4ACA-B9B3-702599B01AEC}">
      <formula1>$V$530:$V$531</formula1>
    </dataValidation>
    <dataValidation type="list" allowBlank="1" showInputMessage="1" showErrorMessage="1" sqref="G592" xr:uid="{D1DE41DF-760B-4A0D-8130-4A31E9895F1C}">
      <formula1>$V$592:$V$593</formula1>
    </dataValidation>
    <dataValidation type="list" allowBlank="1" showInputMessage="1" showErrorMessage="1" sqref="G654" xr:uid="{F177F57C-BBBE-45F9-B56C-62DD4B5B6027}">
      <formula1>$V$654:$V$655</formula1>
    </dataValidation>
    <dataValidation type="list" allowBlank="1" showInputMessage="1" showErrorMessage="1" sqref="G716" xr:uid="{58853C00-D0BC-47E8-948E-AB841C2D2230}">
      <formula1>$V$716:$V$717</formula1>
    </dataValidation>
    <dataValidation type="list" allowBlank="1" showInputMessage="1" showErrorMessage="1" sqref="G778" xr:uid="{945E8AEE-EBC7-4149-976C-4190C48BB10E}">
      <formula1>$V$778:$V$779</formula1>
    </dataValidation>
    <dataValidation type="list" allowBlank="1" showInputMessage="1" showErrorMessage="1" sqref="G840" xr:uid="{B44AA58B-7197-44D2-A245-1CBA95570F8E}">
      <formula1>$V$840:$V$841</formula1>
    </dataValidation>
    <dataValidation type="list" allowBlank="1" showInputMessage="1" showErrorMessage="1" sqref="G902" xr:uid="{2B720EFD-C807-4920-98FC-B06DB196F057}">
      <formula1>$V$902:$V$903</formula1>
    </dataValidation>
    <dataValidation type="list" allowBlank="1" showInputMessage="1" showErrorMessage="1" sqref="G964" xr:uid="{8F35D1C6-88C4-40D4-A698-27E0F7E43DEF}">
      <formula1>$V$964:$V$965</formula1>
    </dataValidation>
    <dataValidation type="list" allowBlank="1" showInputMessage="1" showErrorMessage="1" sqref="G1026" xr:uid="{1588EE2C-9D70-47B8-86CE-346C0683A0D6}">
      <formula1>$V$1026:$V$1027</formula1>
    </dataValidation>
    <dataValidation type="list" allowBlank="1" showInputMessage="1" showErrorMessage="1" sqref="G1088" xr:uid="{A7BFF4A8-DCB9-4302-8708-019ED5FDFFB5}">
      <formula1>$V$1088:$V$1089</formula1>
    </dataValidation>
    <dataValidation type="list" allowBlank="1" showInputMessage="1" showErrorMessage="1" sqref="G1150" xr:uid="{470550E6-078C-449B-88A8-4F2433F95C71}">
      <formula1>$V$1150:$V$1151</formula1>
    </dataValidation>
    <dataValidation type="list" allowBlank="1" showInputMessage="1" showErrorMessage="1" sqref="G1212" xr:uid="{D6A7872C-7F93-415A-9C80-560C196B28D3}">
      <formula1>$V$1212:$V$1213</formula1>
    </dataValidation>
    <dataValidation type="list" allowBlank="1" showInputMessage="1" showErrorMessage="1" sqref="I57" xr:uid="{E3D00522-AD80-493B-934A-6B7766887604}">
      <formula1>$Z$64:$Z$68</formula1>
    </dataValidation>
    <dataValidation type="list" allowBlank="1" showInputMessage="1" showErrorMessage="1" sqref="I61 I42 I104 I123 I166 I185 I228 I247 I290 I309 I352 I371 I414 I433 I476 I495 I538 I557 I600 I619 I662 I681 I724 I743 I786 I805 I848 I867 I910 I929 I972 I991 I1034 I1053 I1096 I1115 I1158 I1177 I1220 I1239" xr:uid="{425730D6-D88A-4B71-A0BD-2616E85D79F1}">
      <formula1>"Yes, No"</formula1>
    </dataValidation>
    <dataValidation type="list" allowBlank="1" showInputMessage="1" showErrorMessage="1" sqref="I41" xr:uid="{434CCB52-9B2D-49DC-99A9-E6D3709EF8B2}">
      <formula1>$X$45:$X$49</formula1>
    </dataValidation>
    <dataValidation type="list" allowBlank="1" showInputMessage="1" showErrorMessage="1" sqref="I103" xr:uid="{04E942C2-1B5F-4C5E-87A7-4D06E4F717B7}">
      <formula1>$X$107:$X$111</formula1>
    </dataValidation>
    <dataValidation type="list" allowBlank="1" showInputMessage="1" showErrorMessage="1" sqref="I119" xr:uid="{DAB99352-251E-4103-BA55-F85B85639706}">
      <formula1>$Z$126:$Z$130</formula1>
    </dataValidation>
    <dataValidation type="list" allowBlank="1" showInputMessage="1" showErrorMessage="1" sqref="I165" xr:uid="{18BDF3F4-A3F1-4AC1-BF65-C7D6E123EAC2}">
      <formula1>$X$169:$X$173</formula1>
    </dataValidation>
    <dataValidation type="list" allowBlank="1" showInputMessage="1" showErrorMessage="1" sqref="I181" xr:uid="{832CAC87-2620-4D99-9FD2-7620A9C3ADFE}">
      <formula1>$Z$188:$Z$192</formula1>
    </dataValidation>
    <dataValidation type="list" allowBlank="1" showInputMessage="1" showErrorMessage="1" sqref="I227" xr:uid="{C7129EE1-FDDE-4148-BA89-80A16B267EDC}">
      <formula1>$X$231:$X$235</formula1>
    </dataValidation>
    <dataValidation type="list" allowBlank="1" showInputMessage="1" showErrorMessage="1" sqref="I243" xr:uid="{A56210C3-7993-4B85-9601-07AFD05DB75D}">
      <formula1>$Z$250:$Z$254</formula1>
    </dataValidation>
    <dataValidation type="list" allowBlank="1" showInputMessage="1" showErrorMessage="1" sqref="I289" xr:uid="{5161A0C6-8E33-410B-82D0-9B323E59D576}">
      <formula1>$X$293:$X$297</formula1>
    </dataValidation>
    <dataValidation type="list" allowBlank="1" showInputMessage="1" showErrorMessage="1" sqref="I305" xr:uid="{780009F3-C0EC-43D7-89A5-F33316F2B832}">
      <formula1>$Z$312:$Z$316</formula1>
    </dataValidation>
    <dataValidation type="list" allowBlank="1" showInputMessage="1" showErrorMessage="1" sqref="I351" xr:uid="{4576946C-6B7B-42A8-B7BB-760DA0830E5D}">
      <formula1>$X$355:$X$359</formula1>
    </dataValidation>
    <dataValidation type="list" allowBlank="1" showInputMessage="1" showErrorMessage="1" sqref="I367" xr:uid="{755B13C1-33EC-421E-B767-C7FFF6BBE1AB}">
      <formula1>$Z$374:$Z$378</formula1>
    </dataValidation>
    <dataValidation type="list" allowBlank="1" showInputMessage="1" showErrorMessage="1" sqref="I413" xr:uid="{60005C71-A2F9-47C0-8B6C-1D8851E0A899}">
      <formula1>$X$417:$X$421</formula1>
    </dataValidation>
    <dataValidation type="list" allowBlank="1" showInputMessage="1" showErrorMessage="1" sqref="I429" xr:uid="{D80F15F7-7DB4-49B7-A0E3-C2838A159A78}">
      <formula1>$Z$436:$Z$440</formula1>
    </dataValidation>
    <dataValidation type="list" allowBlank="1" showInputMessage="1" showErrorMessage="1" sqref="I475" xr:uid="{EF128C70-2C8B-491E-A70A-A9900423DF0B}">
      <formula1>$X$479:$X$483</formula1>
    </dataValidation>
    <dataValidation type="list" allowBlank="1" showInputMessage="1" showErrorMessage="1" sqref="I491" xr:uid="{C15A9C44-E0E5-4D52-96F7-6CDCDB23E2C3}">
      <formula1>$Z$498:$Z$502</formula1>
    </dataValidation>
    <dataValidation type="list" allowBlank="1" showInputMessage="1" showErrorMessage="1" sqref="I537" xr:uid="{CC5D19DE-8321-449D-A2EE-5236CC69F938}">
      <formula1>$X$541:$X$545</formula1>
    </dataValidation>
    <dataValidation type="list" allowBlank="1" showInputMessage="1" showErrorMessage="1" sqref="I553" xr:uid="{75FDEEFF-4F95-448E-97C2-3BB5D6A31737}">
      <formula1>$Z$560:$Z$564</formula1>
    </dataValidation>
    <dataValidation type="list" allowBlank="1" showInputMessage="1" showErrorMessage="1" sqref="I599" xr:uid="{71057916-9BA4-4B1E-B09D-8D88B7569923}">
      <formula1>$X$603:$X$607</formula1>
    </dataValidation>
    <dataValidation type="list" allowBlank="1" showInputMessage="1" showErrorMessage="1" sqref="I615" xr:uid="{0DDA9AE1-B676-47CC-9D0E-653DC226F3D7}">
      <formula1>$Z$622:$Z$626</formula1>
    </dataValidation>
    <dataValidation type="list" allowBlank="1" showInputMessage="1" showErrorMessage="1" sqref="I661" xr:uid="{DE1CE89B-C335-4AF6-A0D0-FAA5E29013D1}">
      <formula1>$X$665:$X$669</formula1>
    </dataValidation>
    <dataValidation type="list" allowBlank="1" showInputMessage="1" showErrorMessage="1" sqref="I677" xr:uid="{8333A290-40C8-4314-A327-4CF30DC40D7A}">
      <formula1>$Z$684:$Z$688</formula1>
    </dataValidation>
    <dataValidation type="list" allowBlank="1" showInputMessage="1" showErrorMessage="1" sqref="I723" xr:uid="{AE608F83-D110-4803-8120-9DAEB8ADB12D}">
      <formula1>$X$727:$X$731</formula1>
    </dataValidation>
    <dataValidation type="list" allowBlank="1" showInputMessage="1" showErrorMessage="1" sqref="I739" xr:uid="{8D834B09-3D6F-47E1-BB91-343304D66BBE}">
      <formula1>$Z$746:$Z$750</formula1>
    </dataValidation>
    <dataValidation type="list" allowBlank="1" showInputMessage="1" showErrorMessage="1" sqref="I785" xr:uid="{68C6832B-23E1-4025-B4E1-F6A2C003139A}">
      <formula1>$X$789:$X$793</formula1>
    </dataValidation>
    <dataValidation type="list" allowBlank="1" showInputMessage="1" showErrorMessage="1" sqref="I801" xr:uid="{82C1F39C-7BFF-4643-9266-6B097F36D4BF}">
      <formula1>$Z$808:$Z$812</formula1>
    </dataValidation>
    <dataValidation type="list" allowBlank="1" showInputMessage="1" showErrorMessage="1" sqref="I847" xr:uid="{83B8CC4F-8274-4D21-8B26-38786A092FD6}">
      <formula1>$X$851:$X$855</formula1>
    </dataValidation>
    <dataValidation type="list" allowBlank="1" showInputMessage="1" showErrorMessage="1" sqref="I863" xr:uid="{787AD5B3-E42B-4321-8EC7-FCFFF667504B}">
      <formula1>$Z$870:$Z$874</formula1>
    </dataValidation>
    <dataValidation type="list" allowBlank="1" showInputMessage="1" showErrorMessage="1" sqref="I909" xr:uid="{20860339-E600-4E49-8BBF-8ED3089E1F04}">
      <formula1>$X$913:$X$917</formula1>
    </dataValidation>
    <dataValidation type="list" allowBlank="1" showInputMessage="1" showErrorMessage="1" sqref="I925" xr:uid="{FF62E988-848F-400B-923D-76DE68DDC4AE}">
      <formula1>$Z$932:$Z$936</formula1>
    </dataValidation>
    <dataValidation type="list" allowBlank="1" showInputMessage="1" showErrorMessage="1" sqref="I971" xr:uid="{72F337A2-A120-4A36-8F06-4960AD1181FF}">
      <formula1>$X$975:$X$979</formula1>
    </dataValidation>
    <dataValidation type="list" allowBlank="1" showInputMessage="1" showErrorMessage="1" sqref="I987" xr:uid="{D1792B1F-696D-4FD6-8671-DD1376FC6B2B}">
      <formula1>$Z$994:$Z$998</formula1>
    </dataValidation>
    <dataValidation type="list" allowBlank="1" showInputMessage="1" showErrorMessage="1" sqref="I1033" xr:uid="{8B76E412-38F9-4672-B75F-34959DEC282E}">
      <formula1>$X$1037:$X$1041</formula1>
    </dataValidation>
    <dataValidation type="list" allowBlank="1" showInputMessage="1" showErrorMessage="1" sqref="I1049" xr:uid="{8592E7EE-93F4-492D-B5CE-3D4446D5E9A6}">
      <formula1>$Z$1056:$Z$1060</formula1>
    </dataValidation>
    <dataValidation type="list" allowBlank="1" showInputMessage="1" showErrorMessage="1" sqref="I1095" xr:uid="{FBA09C26-763A-4FCC-91C7-E647752249E6}">
      <formula1>$X$1099:$X$1103</formula1>
    </dataValidation>
    <dataValidation type="list" allowBlank="1" showInputMessage="1" showErrorMessage="1" sqref="I1111" xr:uid="{D9B6BB70-C2A3-40FB-A3FE-0FAD57CAE8E7}">
      <formula1>$Z$1118:$Z$1122</formula1>
    </dataValidation>
    <dataValidation type="list" allowBlank="1" showInputMessage="1" showErrorMessage="1" sqref="I1157" xr:uid="{A76F4F37-B993-459B-A61F-8779FF69458C}">
      <formula1>$X$1161:$X$1165</formula1>
    </dataValidation>
    <dataValidation type="list" allowBlank="1" showInputMessage="1" showErrorMessage="1" sqref="I1173" xr:uid="{980E79A7-23EC-44EE-897E-E6E656D4BE9D}">
      <formula1>$Z$1180:$Z$1184</formula1>
    </dataValidation>
    <dataValidation type="list" allowBlank="1" showInputMessage="1" showErrorMessage="1" sqref="I1219" xr:uid="{793A909C-5FAD-4FE8-BD8B-E9D1B638320D}">
      <formula1>$X$1223:$X$1227</formula1>
    </dataValidation>
    <dataValidation type="list" allowBlank="1" showInputMessage="1" showErrorMessage="1" sqref="I1235" xr:uid="{52C69390-D7FB-49D9-936E-D0B2F6632853}">
      <formula1>$Z$1242:$Z$1246</formula1>
    </dataValidation>
    <dataValidation type="list" allowBlank="1" showInputMessage="1" showErrorMessage="1" sqref="G96" xr:uid="{8C6C51FA-F5F3-46DA-B1CB-F4EA68E6AE93}">
      <formula1>$V$96:$V$97</formula1>
    </dataValidation>
    <dataValidation type="list" allowBlank="1" showInputMessage="1" showErrorMessage="1" sqref="G158" xr:uid="{1A1D134C-1D2F-42C2-9683-FA81CA2CCC51}">
      <formula1>$V$158:$V$159</formula1>
    </dataValidation>
  </dataValidations>
  <pageMargins left="0.7" right="0.7" top="0.75" bottom="0.75" header="0.3" footer="0.3"/>
  <pageSetup paperSize="9" orientation="portrait" r:id="rId1"/>
  <drawing r:id="rId2"/>
  <legacyDrawing r:id="rId3"/>
  <controls>
    <mc:AlternateContent xmlns:mc="http://schemas.openxmlformats.org/markup-compatibility/2006">
      <mc:Choice Requires="x14">
        <control shapeId="21601" r:id="rId4" name="cb3ECus">
          <controlPr defaultSize="0" autoLine="0" r:id="rId5">
            <anchor moveWithCells="1">
              <from>
                <xdr:col>6</xdr:col>
                <xdr:colOff>480060</xdr:colOff>
                <xdr:row>2</xdr:row>
                <xdr:rowOff>68580</xdr:rowOff>
              </from>
              <to>
                <xdr:col>8</xdr:col>
                <xdr:colOff>392430</xdr:colOff>
                <xdr:row>3</xdr:row>
                <xdr:rowOff>106680</xdr:rowOff>
              </to>
            </anchor>
          </controlPr>
        </control>
      </mc:Choice>
      <mc:Fallback>
        <control shapeId="21601" r:id="rId4" name="cb3ECus"/>
      </mc:Fallback>
    </mc:AlternateContent>
    <mc:AlternateContent xmlns:mc="http://schemas.openxmlformats.org/markup-compatibility/2006">
      <mc:Choice Requires="x14">
        <control shapeId="21602" r:id="rId6" name="cb3E">
          <controlPr defaultSize="0" autoLine="0" r:id="rId7">
            <anchor moveWithCells="1">
              <from>
                <xdr:col>8</xdr:col>
                <xdr:colOff>822960</xdr:colOff>
                <xdr:row>2</xdr:row>
                <xdr:rowOff>60960</xdr:rowOff>
              </from>
              <to>
                <xdr:col>10</xdr:col>
                <xdr:colOff>971550</xdr:colOff>
                <xdr:row>3</xdr:row>
                <xdr:rowOff>106680</xdr:rowOff>
              </to>
            </anchor>
          </controlPr>
        </control>
      </mc:Choice>
      <mc:Fallback>
        <control shapeId="21602" r:id="rId6" name="cb3E"/>
      </mc:Fallback>
    </mc:AlternateContent>
  </controls>
</worksheet>
</file>

<file path=xl/worksheets/sheet3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E582413-F48A-47E9-8AEC-408D6AD6102C}">
  <sheetPr codeName="Sheet23">
    <tabColor theme="9" tint="0.39997558519241921"/>
  </sheetPr>
  <dimension ref="A1:K367"/>
  <sheetViews>
    <sheetView showGridLines="0" zoomScaleNormal="100" workbookViewId="0">
      <pane ySplit="4" topLeftCell="A5" activePane="bottomLeft" state="frozen"/>
      <selection activeCell="I41" sqref="I41"/>
      <selection pane="bottomLeft" activeCell="G1" sqref="G1:I2"/>
    </sheetView>
  </sheetViews>
  <sheetFormatPr defaultColWidth="8.7890625" defaultRowHeight="14.4" x14ac:dyDescent="0.55000000000000004"/>
  <cols>
    <col min="1" max="1" width="3.7890625" style="117" customWidth="1"/>
    <col min="2" max="2" width="4.7890625" customWidth="1"/>
    <col min="3" max="3" width="4.20703125" customWidth="1"/>
    <col min="4" max="4" width="4.7890625" customWidth="1"/>
    <col min="5" max="5" width="27.7890625" customWidth="1"/>
    <col min="6" max="6" width="15.20703125" customWidth="1"/>
    <col min="7" max="7" width="16.20703125" customWidth="1"/>
    <col min="8" max="8" width="16.41796875" customWidth="1"/>
    <col min="9" max="9" width="17.20703125" customWidth="1"/>
    <col min="10" max="10" width="8.20703125" customWidth="1"/>
    <col min="11" max="11" width="5.20703125" customWidth="1"/>
  </cols>
  <sheetData>
    <row r="1" spans="1:11" x14ac:dyDescent="0.55000000000000004">
      <c r="A1"/>
      <c r="G1" s="1823" t="s">
        <v>212</v>
      </c>
      <c r="I1" s="1814" t="s">
        <v>206</v>
      </c>
    </row>
    <row r="2" spans="1:11" x14ac:dyDescent="0.55000000000000004">
      <c r="A2"/>
      <c r="G2" s="1823"/>
      <c r="I2" s="1814"/>
    </row>
    <row r="3" spans="1:11" x14ac:dyDescent="0.55000000000000004">
      <c r="A3"/>
    </row>
    <row r="4" spans="1:11" s="116" customFormat="1" ht="14.7" thickBot="1" x14ac:dyDescent="0.6"/>
    <row r="5" spans="1:11" s="117" customFormat="1" x14ac:dyDescent="0.55000000000000004"/>
    <row r="7" spans="1:11" ht="18.3" x14ac:dyDescent="0.7">
      <c r="B7" s="118"/>
      <c r="C7" s="1820" t="s">
        <v>448</v>
      </c>
      <c r="D7" s="1820"/>
      <c r="E7" s="1820"/>
      <c r="F7" s="1820"/>
      <c r="G7" s="1820"/>
      <c r="H7" s="1820"/>
      <c r="I7" s="1820"/>
      <c r="J7" s="1820"/>
    </row>
    <row r="8" spans="1:11" ht="14.7" thickBot="1" x14ac:dyDescent="0.6"/>
    <row r="9" spans="1:11" x14ac:dyDescent="0.55000000000000004">
      <c r="C9" s="121"/>
      <c r="D9" s="122"/>
      <c r="E9" s="122"/>
      <c r="F9" s="122"/>
      <c r="G9" s="122"/>
      <c r="H9" s="122"/>
      <c r="I9" s="122"/>
      <c r="J9" s="122"/>
      <c r="K9" s="123"/>
    </row>
    <row r="10" spans="1:11" ht="18.3" x14ac:dyDescent="0.7">
      <c r="C10" s="124"/>
      <c r="D10" s="1822" t="str">
        <f>'2 Customer data'!D129</f>
        <v>Residential</v>
      </c>
      <c r="E10" s="1822"/>
      <c r="F10" s="1822"/>
      <c r="G10" s="1822"/>
      <c r="H10" s="1822"/>
      <c r="I10" s="1822"/>
      <c r="J10" s="1822"/>
      <c r="K10" s="125"/>
    </row>
    <row r="11" spans="1:11" ht="14.7" thickBot="1" x14ac:dyDescent="0.6">
      <c r="C11" s="124"/>
      <c r="K11" s="125"/>
    </row>
    <row r="12" spans="1:11" x14ac:dyDescent="0.55000000000000004">
      <c r="C12" s="124"/>
      <c r="D12" s="121"/>
      <c r="E12" s="122"/>
      <c r="F12" s="122"/>
      <c r="G12" s="122"/>
      <c r="H12" s="122"/>
      <c r="I12" s="122"/>
      <c r="J12" s="123"/>
      <c r="K12" s="125"/>
    </row>
    <row r="13" spans="1:11" x14ac:dyDescent="0.55000000000000004">
      <c r="C13" s="124"/>
      <c r="D13" s="124"/>
      <c r="E13" s="1" t="str">
        <f>'2 Customer data'!D129&amp;" "&amp;"information"</f>
        <v>Residential information</v>
      </c>
      <c r="J13" s="125"/>
      <c r="K13" s="125"/>
    </row>
    <row r="14" spans="1:11" x14ac:dyDescent="0.55000000000000004">
      <c r="C14" s="124"/>
      <c r="D14" s="124"/>
      <c r="J14" s="125"/>
      <c r="K14" s="125"/>
    </row>
    <row r="15" spans="1:11" ht="43.2" x14ac:dyDescent="0.55000000000000004">
      <c r="C15" s="124"/>
      <c r="D15" s="124"/>
      <c r="F15" s="56" t="s">
        <v>28</v>
      </c>
      <c r="G15" s="56" t="s">
        <v>69</v>
      </c>
      <c r="H15" s="56" t="s">
        <v>71</v>
      </c>
      <c r="J15" s="167"/>
      <c r="K15" s="125"/>
    </row>
    <row r="16" spans="1:11" x14ac:dyDescent="0.55000000000000004">
      <c r="C16" s="124"/>
      <c r="D16" s="124"/>
      <c r="E16" t="str">
        <f>'2 Customer data'!D129</f>
        <v>Residential</v>
      </c>
      <c r="F16" s="26">
        <f>IFERROR(IF(VLOOKUP(E16,'2 Customer data'!$D$129:$H$148,5,FALSE)="",VLOOKUP(E16,'2 Customer data'!$D$129:$H$148,4,FALSE),VLOOKUP(E16,'2 Customer data'!$D$129:$H$148,5,FALSE)),0)</f>
        <v>17074</v>
      </c>
      <c r="G16" s="26">
        <f ca="1">IFERROR(VLOOKUP(E16,'2 Solid waste'!$D$16:$H$35,4,FALSE)*VLOOKUP('3 Solid waste'!E16,'2 Solid waste'!$D$153:$K$172,8,FALSE)/VLOOKUP('3 Solid waste'!E16,'2 Solid waste'!$D$16:$H$35,5,FALSE),0)</f>
        <v>68953751.543337643</v>
      </c>
      <c r="H16" s="26">
        <f ca="1">IFERROR(VLOOKUP(E16,'2 Solid waste'!$D$153:$K$172,8,FALSE),0)</f>
        <v>68953751.543337643</v>
      </c>
      <c r="J16" s="125"/>
      <c r="K16" s="125"/>
    </row>
    <row r="17" spans="3:11" ht="14.7" thickBot="1" x14ac:dyDescent="0.6">
      <c r="C17" s="124"/>
      <c r="D17" s="130"/>
      <c r="E17" s="131"/>
      <c r="F17" s="131"/>
      <c r="G17" s="131"/>
      <c r="H17" s="131"/>
      <c r="I17" s="131"/>
      <c r="J17" s="132"/>
      <c r="K17" s="125"/>
    </row>
    <row r="18" spans="3:11" ht="14.7" thickBot="1" x14ac:dyDescent="0.6">
      <c r="C18" s="124"/>
      <c r="K18" s="125"/>
    </row>
    <row r="19" spans="3:11" x14ac:dyDescent="0.55000000000000004">
      <c r="C19" s="124"/>
      <c r="D19" s="121"/>
      <c r="E19" s="122"/>
      <c r="F19" s="122"/>
      <c r="G19" s="122"/>
      <c r="H19" s="122"/>
      <c r="I19" s="122"/>
      <c r="J19" s="123"/>
      <c r="K19" s="125"/>
    </row>
    <row r="20" spans="3:11" x14ac:dyDescent="0.55000000000000004">
      <c r="C20" s="124"/>
      <c r="D20" s="124"/>
      <c r="E20" s="1" t="s">
        <v>97</v>
      </c>
      <c r="J20" s="125"/>
      <c r="K20" s="125"/>
    </row>
    <row r="21" spans="3:11" x14ac:dyDescent="0.55000000000000004">
      <c r="C21" s="124"/>
      <c r="D21" s="124"/>
      <c r="E21" s="1"/>
      <c r="J21" s="125"/>
      <c r="K21" s="125"/>
    </row>
    <row r="22" spans="3:11" ht="43.2" x14ac:dyDescent="0.55000000000000004">
      <c r="C22" s="124"/>
      <c r="D22" s="124"/>
      <c r="F22" s="56" t="str">
        <f>IF(F17=S19,"Fixed costs per customer category","Revenue required from Tariff")</f>
        <v>Fixed costs per customer category</v>
      </c>
      <c r="G22" s="56" t="s">
        <v>87</v>
      </c>
      <c r="H22" s="56" t="s">
        <v>75</v>
      </c>
      <c r="I22" s="56" t="s">
        <v>76</v>
      </c>
      <c r="J22" s="125"/>
      <c r="K22" s="125"/>
    </row>
    <row r="23" spans="3:11" x14ac:dyDescent="0.55000000000000004">
      <c r="C23" s="124"/>
      <c r="D23" s="124"/>
      <c r="E23" t="str">
        <f>E16</f>
        <v>Residential</v>
      </c>
      <c r="F23" s="26">
        <f ca="1">IFERROR(G16/F16,0)</f>
        <v>4038.5235763932087</v>
      </c>
      <c r="G23" s="64">
        <f ca="1">IFERROR(G16/F16/12,0)</f>
        <v>336.54363136610073</v>
      </c>
      <c r="H23" s="26">
        <f ca="1">G23*F16*12</f>
        <v>68953751.543337643</v>
      </c>
      <c r="I23" s="21">
        <f ca="1">IFERROR(H23/12,0)</f>
        <v>5746145.9619448036</v>
      </c>
      <c r="J23" s="125"/>
      <c r="K23" s="125"/>
    </row>
    <row r="24" spans="3:11" ht="14.7" thickBot="1" x14ac:dyDescent="0.6">
      <c r="C24" s="124"/>
      <c r="D24" s="130"/>
      <c r="E24" s="131"/>
      <c r="F24" s="131"/>
      <c r="G24" s="131"/>
      <c r="H24" s="131"/>
      <c r="I24" s="131"/>
      <c r="J24" s="132"/>
      <c r="K24" s="125"/>
    </row>
    <row r="25" spans="3:11" ht="14.7" thickBot="1" x14ac:dyDescent="0.6">
      <c r="C25" s="130"/>
      <c r="D25" s="131"/>
      <c r="E25" s="131"/>
      <c r="F25" s="131"/>
      <c r="G25" s="131"/>
      <c r="H25" s="131"/>
      <c r="I25" s="131"/>
      <c r="J25" s="131"/>
      <c r="K25" s="132"/>
    </row>
    <row r="26" spans="3:11" ht="14.7" thickBot="1" x14ac:dyDescent="0.6"/>
    <row r="27" spans="3:11" x14ac:dyDescent="0.55000000000000004">
      <c r="C27" s="121"/>
      <c r="D27" s="122"/>
      <c r="E27" s="122"/>
      <c r="F27" s="122"/>
      <c r="G27" s="122"/>
      <c r="H27" s="122"/>
      <c r="I27" s="122"/>
      <c r="J27" s="122"/>
      <c r="K27" s="123"/>
    </row>
    <row r="28" spans="3:11" ht="18.3" x14ac:dyDescent="0.7">
      <c r="C28" s="124"/>
      <c r="D28" s="1822" t="str">
        <f>'2 Customer data'!D130</f>
        <v>Commercial</v>
      </c>
      <c r="E28" s="1822"/>
      <c r="F28" s="1822"/>
      <c r="G28" s="1822"/>
      <c r="H28" s="1822"/>
      <c r="I28" s="1822"/>
      <c r="J28" s="1822"/>
      <c r="K28" s="125"/>
    </row>
    <row r="29" spans="3:11" ht="14.7" thickBot="1" x14ac:dyDescent="0.6">
      <c r="C29" s="124"/>
      <c r="K29" s="125"/>
    </row>
    <row r="30" spans="3:11" x14ac:dyDescent="0.55000000000000004">
      <c r="C30" s="124"/>
      <c r="D30" s="121"/>
      <c r="E30" s="122"/>
      <c r="F30" s="122"/>
      <c r="G30" s="122"/>
      <c r="H30" s="122"/>
      <c r="I30" s="122"/>
      <c r="J30" s="123"/>
      <c r="K30" s="125"/>
    </row>
    <row r="31" spans="3:11" x14ac:dyDescent="0.55000000000000004">
      <c r="C31" s="124"/>
      <c r="D31" s="124"/>
      <c r="E31" s="1" t="str">
        <f>'2 Customer data'!D130&amp;" "&amp;"information"</f>
        <v>Commercial information</v>
      </c>
      <c r="J31" s="125"/>
      <c r="K31" s="125"/>
    </row>
    <row r="32" spans="3:11" x14ac:dyDescent="0.55000000000000004">
      <c r="C32" s="124"/>
      <c r="D32" s="124"/>
      <c r="J32" s="125"/>
      <c r="K32" s="125"/>
    </row>
    <row r="33" spans="3:11" ht="43.2" x14ac:dyDescent="0.55000000000000004">
      <c r="C33" s="124"/>
      <c r="D33" s="124"/>
      <c r="F33" s="56" t="s">
        <v>28</v>
      </c>
      <c r="G33" s="56" t="s">
        <v>69</v>
      </c>
      <c r="H33" s="56" t="s">
        <v>71</v>
      </c>
      <c r="J33" s="167"/>
      <c r="K33" s="125"/>
    </row>
    <row r="34" spans="3:11" x14ac:dyDescent="0.55000000000000004">
      <c r="C34" s="124"/>
      <c r="D34" s="124"/>
      <c r="E34" t="str">
        <f>'2 Customer data'!D130</f>
        <v>Commercial</v>
      </c>
      <c r="F34" s="26">
        <f>IFERROR(IF(VLOOKUP(E34,'2 Customer data'!$D$129:$H$148,5,FALSE)="",VLOOKUP(E34,'2 Customer data'!$D$129:$H$148,4,FALSE),VLOOKUP(E34,'2 Customer data'!$D$129:$H$148,5,FALSE)),0)</f>
        <v>774</v>
      </c>
      <c r="G34" s="26">
        <f ca="1">IFERROR(VLOOKUP(E34,'2 Solid waste'!$D$16:$H$35,4,FALSE)*VLOOKUP('3 Solid waste'!E34,'2 Solid waste'!$D$153:$K$172,8,FALSE)/VLOOKUP('3 Solid waste'!E34,'2 Solid waste'!$D$16:$H$35,5,FALSE),0)</f>
        <v>3968399.7640194758</v>
      </c>
      <c r="H34" s="26">
        <f ca="1">IFERROR(VLOOKUP(E34,'2 Solid waste'!$D$153:$K$172,8,FALSE),0)</f>
        <v>3968399.7640194758</v>
      </c>
      <c r="J34" s="125"/>
      <c r="K34" s="125"/>
    </row>
    <row r="35" spans="3:11" ht="14.7" thickBot="1" x14ac:dyDescent="0.6">
      <c r="C35" s="124"/>
      <c r="D35" s="130"/>
      <c r="E35" s="131"/>
      <c r="F35" s="131"/>
      <c r="G35" s="131"/>
      <c r="H35" s="131"/>
      <c r="I35" s="131"/>
      <c r="J35" s="132"/>
      <c r="K35" s="125"/>
    </row>
    <row r="36" spans="3:11" ht="14.7" thickBot="1" x14ac:dyDescent="0.6">
      <c r="C36" s="124"/>
      <c r="K36" s="125"/>
    </row>
    <row r="37" spans="3:11" x14ac:dyDescent="0.55000000000000004">
      <c r="C37" s="124"/>
      <c r="D37" s="121"/>
      <c r="E37" s="122"/>
      <c r="F37" s="122"/>
      <c r="G37" s="122"/>
      <c r="H37" s="122"/>
      <c r="I37" s="122"/>
      <c r="J37" s="123"/>
      <c r="K37" s="125"/>
    </row>
    <row r="38" spans="3:11" x14ac:dyDescent="0.55000000000000004">
      <c r="C38" s="124"/>
      <c r="D38" s="124"/>
      <c r="E38" s="1" t="s">
        <v>97</v>
      </c>
      <c r="J38" s="125"/>
      <c r="K38" s="125"/>
    </row>
    <row r="39" spans="3:11" x14ac:dyDescent="0.55000000000000004">
      <c r="C39" s="124"/>
      <c r="D39" s="124"/>
      <c r="E39" s="1"/>
      <c r="J39" s="125"/>
      <c r="K39" s="125"/>
    </row>
    <row r="40" spans="3:11" ht="43.2" x14ac:dyDescent="0.55000000000000004">
      <c r="C40" s="124"/>
      <c r="D40" s="124"/>
      <c r="F40" s="56" t="str">
        <f>IF(F35=S37,"Fixed costs per customer category","Revenue required from Tariff")</f>
        <v>Fixed costs per customer category</v>
      </c>
      <c r="G40" s="56" t="s">
        <v>87</v>
      </c>
      <c r="H40" s="56" t="s">
        <v>75</v>
      </c>
      <c r="I40" s="56" t="s">
        <v>76</v>
      </c>
      <c r="J40" s="125"/>
      <c r="K40" s="125"/>
    </row>
    <row r="41" spans="3:11" x14ac:dyDescent="0.55000000000000004">
      <c r="C41" s="124"/>
      <c r="D41" s="124"/>
      <c r="E41" t="str">
        <f>E34</f>
        <v>Commercial</v>
      </c>
      <c r="F41" s="26">
        <f ca="1">IFERROR(G34/F34,0)</f>
        <v>5127.1314780613384</v>
      </c>
      <c r="G41" s="64">
        <f ca="1">IFERROR(G34/F34/12,0)</f>
        <v>427.26095650511155</v>
      </c>
      <c r="H41" s="26">
        <f ca="1">G41*F34*12</f>
        <v>3968399.7640194758</v>
      </c>
      <c r="I41" s="21">
        <f ca="1">IFERROR(H41/12,0)</f>
        <v>330699.98033495632</v>
      </c>
      <c r="J41" s="125"/>
      <c r="K41" s="125"/>
    </row>
    <row r="42" spans="3:11" ht="14.7" thickBot="1" x14ac:dyDescent="0.6">
      <c r="C42" s="124"/>
      <c r="D42" s="130"/>
      <c r="E42" s="131"/>
      <c r="F42" s="131"/>
      <c r="G42" s="131"/>
      <c r="H42" s="131"/>
      <c r="I42" s="131"/>
      <c r="J42" s="132"/>
      <c r="K42" s="125"/>
    </row>
    <row r="43" spans="3:11" ht="14.7" thickBot="1" x14ac:dyDescent="0.6">
      <c r="C43" s="130"/>
      <c r="D43" s="131"/>
      <c r="E43" s="131"/>
      <c r="F43" s="131"/>
      <c r="G43" s="131"/>
      <c r="H43" s="131"/>
      <c r="I43" s="131"/>
      <c r="J43" s="131"/>
      <c r="K43" s="132"/>
    </row>
    <row r="44" spans="3:11" ht="14.7" thickBot="1" x14ac:dyDescent="0.6"/>
    <row r="45" spans="3:11" x14ac:dyDescent="0.55000000000000004">
      <c r="C45" s="121"/>
      <c r="D45" s="122"/>
      <c r="E45" s="122"/>
      <c r="F45" s="122"/>
      <c r="G45" s="122"/>
      <c r="H45" s="122"/>
      <c r="I45" s="122"/>
      <c r="J45" s="122"/>
      <c r="K45" s="123"/>
    </row>
    <row r="46" spans="3:11" ht="18.3" x14ac:dyDescent="0.7">
      <c r="C46" s="124"/>
      <c r="D46" s="1822" t="str">
        <f>'2 Customer data'!D131</f>
        <v>Sport Clubs</v>
      </c>
      <c r="E46" s="1822"/>
      <c r="F46" s="1822"/>
      <c r="G46" s="1822"/>
      <c r="H46" s="1822"/>
      <c r="I46" s="1822"/>
      <c r="J46" s="1822"/>
      <c r="K46" s="125"/>
    </row>
    <row r="47" spans="3:11" ht="14.7" thickBot="1" x14ac:dyDescent="0.6">
      <c r="C47" s="124"/>
      <c r="K47" s="125"/>
    </row>
    <row r="48" spans="3:11" x14ac:dyDescent="0.55000000000000004">
      <c r="C48" s="124"/>
      <c r="D48" s="121"/>
      <c r="E48" s="122"/>
      <c r="F48" s="122"/>
      <c r="G48" s="122"/>
      <c r="H48" s="122"/>
      <c r="I48" s="122"/>
      <c r="J48" s="123"/>
      <c r="K48" s="125"/>
    </row>
    <row r="49" spans="3:11" x14ac:dyDescent="0.55000000000000004">
      <c r="C49" s="124"/>
      <c r="D49" s="124"/>
      <c r="E49" s="1" t="str">
        <f>'2 Customer data'!D131&amp;" "&amp;"information"</f>
        <v>Sport Clubs information</v>
      </c>
      <c r="J49" s="125"/>
      <c r="K49" s="125"/>
    </row>
    <row r="50" spans="3:11" x14ac:dyDescent="0.55000000000000004">
      <c r="C50" s="124"/>
      <c r="D50" s="124"/>
      <c r="J50" s="125"/>
      <c r="K50" s="125"/>
    </row>
    <row r="51" spans="3:11" ht="43.2" x14ac:dyDescent="0.55000000000000004">
      <c r="C51" s="124"/>
      <c r="D51" s="124"/>
      <c r="F51" s="56" t="s">
        <v>28</v>
      </c>
      <c r="G51" s="56" t="s">
        <v>69</v>
      </c>
      <c r="H51" s="56" t="s">
        <v>71</v>
      </c>
      <c r="J51" s="167"/>
      <c r="K51" s="125"/>
    </row>
    <row r="52" spans="3:11" x14ac:dyDescent="0.55000000000000004">
      <c r="C52" s="124"/>
      <c r="D52" s="124"/>
      <c r="E52" t="str">
        <f>'2 Customer data'!D131</f>
        <v>Sport Clubs</v>
      </c>
      <c r="F52" s="26">
        <f>IFERROR(IF(VLOOKUP(E52,'2 Customer data'!$D$129:$H$148,5,FALSE)="",VLOOKUP(E52,'2 Customer data'!$D$129:$H$148,4,FALSE),VLOOKUP(E52,'2 Customer data'!$D$129:$H$148,5,FALSE)),0)</f>
        <v>9</v>
      </c>
      <c r="G52" s="26">
        <f ca="1">IFERROR(VLOOKUP(E52,'2 Solid waste'!$D$16:$H$35,4,FALSE)*VLOOKUP('3 Solid waste'!E52,'2 Solid waste'!$D$153:$K$172,8,FALSE)/VLOOKUP('3 Solid waste'!E52,'2 Solid waste'!$D$16:$H$35,5,FALSE),0)</f>
        <v>46144.183302552039</v>
      </c>
      <c r="H52" s="26">
        <f ca="1">IFERROR(VLOOKUP(E52,'2 Solid waste'!$D$153:$K$172,8,FALSE),0)</f>
        <v>46144.183302552039</v>
      </c>
      <c r="J52" s="125"/>
      <c r="K52" s="125"/>
    </row>
    <row r="53" spans="3:11" ht="14.7" thickBot="1" x14ac:dyDescent="0.6">
      <c r="C53" s="124"/>
      <c r="D53" s="130"/>
      <c r="E53" s="131"/>
      <c r="F53" s="131"/>
      <c r="G53" s="131"/>
      <c r="H53" s="131"/>
      <c r="I53" s="131"/>
      <c r="J53" s="132"/>
      <c r="K53" s="125"/>
    </row>
    <row r="54" spans="3:11" ht="14.7" thickBot="1" x14ac:dyDescent="0.6">
      <c r="C54" s="124"/>
      <c r="K54" s="125"/>
    </row>
    <row r="55" spans="3:11" x14ac:dyDescent="0.55000000000000004">
      <c r="C55" s="124"/>
      <c r="D55" s="121"/>
      <c r="E55" s="122"/>
      <c r="F55" s="122"/>
      <c r="G55" s="122"/>
      <c r="H55" s="122"/>
      <c r="I55" s="122"/>
      <c r="J55" s="123"/>
      <c r="K55" s="125"/>
    </row>
    <row r="56" spans="3:11" x14ac:dyDescent="0.55000000000000004">
      <c r="C56" s="124"/>
      <c r="D56" s="124"/>
      <c r="E56" s="1" t="s">
        <v>97</v>
      </c>
      <c r="J56" s="125"/>
      <c r="K56" s="125"/>
    </row>
    <row r="57" spans="3:11" x14ac:dyDescent="0.55000000000000004">
      <c r="C57" s="124"/>
      <c r="D57" s="124"/>
      <c r="E57" s="1"/>
      <c r="J57" s="125"/>
      <c r="K57" s="125"/>
    </row>
    <row r="58" spans="3:11" ht="43.2" x14ac:dyDescent="0.55000000000000004">
      <c r="C58" s="124"/>
      <c r="D58" s="124"/>
      <c r="F58" s="56" t="str">
        <f>IF(F53=S55,"Fixed costs per customer category","Revenue required from Tariff")</f>
        <v>Fixed costs per customer category</v>
      </c>
      <c r="G58" s="56" t="s">
        <v>87</v>
      </c>
      <c r="H58" s="56" t="s">
        <v>75</v>
      </c>
      <c r="I58" s="56" t="s">
        <v>76</v>
      </c>
      <c r="J58" s="125"/>
      <c r="K58" s="125"/>
    </row>
    <row r="59" spans="3:11" x14ac:dyDescent="0.55000000000000004">
      <c r="C59" s="124"/>
      <c r="D59" s="124"/>
      <c r="E59" t="str">
        <f>E52</f>
        <v>Sport Clubs</v>
      </c>
      <c r="F59" s="26">
        <f ca="1">IFERROR(G52/F52,0)</f>
        <v>5127.1314780613375</v>
      </c>
      <c r="G59" s="64">
        <f ca="1">IFERROR(G52/F52/12,0)</f>
        <v>427.26095650511144</v>
      </c>
      <c r="H59" s="26">
        <f ca="1">G59*F52*12</f>
        <v>46144.183302552039</v>
      </c>
      <c r="I59" s="21">
        <f ca="1">IFERROR(H59/12,0)</f>
        <v>3845.3486085460031</v>
      </c>
      <c r="J59" s="125"/>
      <c r="K59" s="125"/>
    </row>
    <row r="60" spans="3:11" ht="14.7" thickBot="1" x14ac:dyDescent="0.6">
      <c r="C60" s="124"/>
      <c r="D60" s="130"/>
      <c r="E60" s="131"/>
      <c r="F60" s="131"/>
      <c r="G60" s="131"/>
      <c r="H60" s="131"/>
      <c r="I60" s="131"/>
      <c r="J60" s="132"/>
      <c r="K60" s="125"/>
    </row>
    <row r="61" spans="3:11" ht="14.7" thickBot="1" x14ac:dyDescent="0.6">
      <c r="C61" s="130"/>
      <c r="D61" s="131"/>
      <c r="E61" s="131"/>
      <c r="F61" s="131"/>
      <c r="G61" s="131"/>
      <c r="H61" s="131"/>
      <c r="I61" s="131"/>
      <c r="J61" s="131"/>
      <c r="K61" s="132"/>
    </row>
    <row r="62" spans="3:11" ht="14.7" thickBot="1" x14ac:dyDescent="0.6"/>
    <row r="63" spans="3:11" x14ac:dyDescent="0.55000000000000004">
      <c r="C63" s="121"/>
      <c r="D63" s="122"/>
      <c r="E63" s="122"/>
      <c r="F63" s="122"/>
      <c r="G63" s="122"/>
      <c r="H63" s="122"/>
      <c r="I63" s="122"/>
      <c r="J63" s="122"/>
      <c r="K63" s="123"/>
    </row>
    <row r="64" spans="3:11" ht="18.3" x14ac:dyDescent="0.7">
      <c r="C64" s="124"/>
      <c r="D64" s="1822" t="str">
        <f>'2 Customer data'!D132</f>
        <v>Old Age Homes</v>
      </c>
      <c r="E64" s="1822"/>
      <c r="F64" s="1822"/>
      <c r="G64" s="1822"/>
      <c r="H64" s="1822"/>
      <c r="I64" s="1822"/>
      <c r="J64" s="1822"/>
      <c r="K64" s="125"/>
    </row>
    <row r="65" spans="3:11" ht="14.7" thickBot="1" x14ac:dyDescent="0.6">
      <c r="C65" s="124"/>
      <c r="K65" s="125"/>
    </row>
    <row r="66" spans="3:11" x14ac:dyDescent="0.55000000000000004">
      <c r="C66" s="124"/>
      <c r="D66" s="121"/>
      <c r="E66" s="122"/>
      <c r="F66" s="122"/>
      <c r="G66" s="122"/>
      <c r="H66" s="122"/>
      <c r="I66" s="122"/>
      <c r="J66" s="123"/>
      <c r="K66" s="125"/>
    </row>
    <row r="67" spans="3:11" x14ac:dyDescent="0.55000000000000004">
      <c r="C67" s="124"/>
      <c r="D67" s="124"/>
      <c r="E67" s="1" t="str">
        <f>'2 Customer data'!D132&amp;" "&amp;"information"</f>
        <v>Old Age Homes information</v>
      </c>
      <c r="J67" s="125"/>
      <c r="K67" s="125"/>
    </row>
    <row r="68" spans="3:11" x14ac:dyDescent="0.55000000000000004">
      <c r="C68" s="124"/>
      <c r="D68" s="124"/>
      <c r="J68" s="125"/>
      <c r="K68" s="125"/>
    </row>
    <row r="69" spans="3:11" ht="43.2" x14ac:dyDescent="0.55000000000000004">
      <c r="C69" s="124"/>
      <c r="D69" s="124"/>
      <c r="F69" s="56" t="s">
        <v>28</v>
      </c>
      <c r="G69" s="56" t="s">
        <v>69</v>
      </c>
      <c r="H69" s="56" t="s">
        <v>71</v>
      </c>
      <c r="J69" s="167"/>
      <c r="K69" s="125"/>
    </row>
    <row r="70" spans="3:11" x14ac:dyDescent="0.55000000000000004">
      <c r="C70" s="124"/>
      <c r="D70" s="124"/>
      <c r="E70" t="str">
        <f>'2 Customer data'!D132</f>
        <v>Old Age Homes</v>
      </c>
      <c r="F70" s="26">
        <f>IFERROR(IF(VLOOKUP(E70,'2 Customer data'!$D$129:$H$148,5,FALSE)="",VLOOKUP(E70,'2 Customer data'!$D$129:$H$148,4,FALSE),VLOOKUP(E70,'2 Customer data'!$D$129:$H$148,5,FALSE)),0)</f>
        <v>8</v>
      </c>
      <c r="G70" s="26">
        <f ca="1">IFERROR(VLOOKUP(E70,'2 Solid waste'!$D$16:$H$35,4,FALSE)*VLOOKUP('3 Solid waste'!E70,'2 Solid waste'!$D$153:$K$172,8,FALSE)/VLOOKUP('3 Solid waste'!E70,'2 Solid waste'!$D$16:$H$35,5,FALSE),0)</f>
        <v>32308.188611145673</v>
      </c>
      <c r="H70" s="26">
        <f ca="1">IFERROR(VLOOKUP(E70,'2 Solid waste'!$D$153:$K$172,8,FALSE),0)</f>
        <v>32308.188611145673</v>
      </c>
      <c r="J70" s="125"/>
      <c r="K70" s="125"/>
    </row>
    <row r="71" spans="3:11" ht="14.7" thickBot="1" x14ac:dyDescent="0.6">
      <c r="C71" s="124"/>
      <c r="D71" s="130"/>
      <c r="E71" s="131"/>
      <c r="F71" s="131"/>
      <c r="G71" s="131"/>
      <c r="H71" s="131"/>
      <c r="I71" s="131"/>
      <c r="J71" s="132"/>
      <c r="K71" s="125"/>
    </row>
    <row r="72" spans="3:11" ht="14.7" thickBot="1" x14ac:dyDescent="0.6">
      <c r="C72" s="124"/>
      <c r="K72" s="125"/>
    </row>
    <row r="73" spans="3:11" x14ac:dyDescent="0.55000000000000004">
      <c r="C73" s="124"/>
      <c r="D73" s="121"/>
      <c r="E73" s="122"/>
      <c r="F73" s="122"/>
      <c r="G73" s="122"/>
      <c r="H73" s="122"/>
      <c r="I73" s="122"/>
      <c r="J73" s="123"/>
      <c r="K73" s="125"/>
    </row>
    <row r="74" spans="3:11" x14ac:dyDescent="0.55000000000000004">
      <c r="C74" s="124"/>
      <c r="D74" s="124"/>
      <c r="E74" s="1" t="s">
        <v>97</v>
      </c>
      <c r="J74" s="125"/>
      <c r="K74" s="125"/>
    </row>
    <row r="75" spans="3:11" x14ac:dyDescent="0.55000000000000004">
      <c r="C75" s="124"/>
      <c r="D75" s="124"/>
      <c r="E75" s="1"/>
      <c r="J75" s="125"/>
      <c r="K75" s="125"/>
    </row>
    <row r="76" spans="3:11" ht="43.2" x14ac:dyDescent="0.55000000000000004">
      <c r="C76" s="124"/>
      <c r="D76" s="124"/>
      <c r="F76" s="56" t="str">
        <f>IF(F71=S73,"Fixed costs per customer category","Revenue required from Tariff")</f>
        <v>Fixed costs per customer category</v>
      </c>
      <c r="G76" s="56" t="s">
        <v>87</v>
      </c>
      <c r="H76" s="56" t="s">
        <v>75</v>
      </c>
      <c r="I76" s="56" t="s">
        <v>76</v>
      </c>
      <c r="J76" s="125"/>
      <c r="K76" s="125"/>
    </row>
    <row r="77" spans="3:11" x14ac:dyDescent="0.55000000000000004">
      <c r="C77" s="124"/>
      <c r="D77" s="124"/>
      <c r="E77" t="str">
        <f>E70</f>
        <v>Old Age Homes</v>
      </c>
      <c r="F77" s="26">
        <f ca="1">IFERROR(G70/F70,0)</f>
        <v>4038.5235763932092</v>
      </c>
      <c r="G77" s="64">
        <f ca="1">IFERROR(G70/F70/12,0)</f>
        <v>336.54363136610078</v>
      </c>
      <c r="H77" s="26">
        <f ca="1">G77*F70*12</f>
        <v>32308.188611145677</v>
      </c>
      <c r="I77" s="21">
        <f ca="1">IFERROR(H77/12,0)</f>
        <v>2692.3490509288063</v>
      </c>
      <c r="J77" s="125"/>
      <c r="K77" s="125"/>
    </row>
    <row r="78" spans="3:11" ht="14.7" thickBot="1" x14ac:dyDescent="0.6">
      <c r="C78" s="124"/>
      <c r="D78" s="130"/>
      <c r="E78" s="131"/>
      <c r="F78" s="131"/>
      <c r="G78" s="131"/>
      <c r="H78" s="131"/>
      <c r="I78" s="131"/>
      <c r="J78" s="132"/>
      <c r="K78" s="125"/>
    </row>
    <row r="79" spans="3:11" ht="14.7" thickBot="1" x14ac:dyDescent="0.6">
      <c r="C79" s="130"/>
      <c r="D79" s="131"/>
      <c r="E79" s="131"/>
      <c r="F79" s="131"/>
      <c r="G79" s="131"/>
      <c r="H79" s="131"/>
      <c r="I79" s="131"/>
      <c r="J79" s="131"/>
      <c r="K79" s="132"/>
    </row>
    <row r="80" spans="3:11" ht="14.7" thickBot="1" x14ac:dyDescent="0.6"/>
    <row r="81" spans="3:11" x14ac:dyDescent="0.55000000000000004">
      <c r="C81" s="121"/>
      <c r="D81" s="122"/>
      <c r="E81" s="122"/>
      <c r="F81" s="122"/>
      <c r="G81" s="122"/>
      <c r="H81" s="122"/>
      <c r="I81" s="122"/>
      <c r="J81" s="122"/>
      <c r="K81" s="123"/>
    </row>
    <row r="82" spans="3:11" ht="18.3" x14ac:dyDescent="0.7">
      <c r="C82" s="124"/>
      <c r="D82" s="1822" t="str">
        <f>'2 Customer data'!D133</f>
        <v>Safe Houses</v>
      </c>
      <c r="E82" s="1822"/>
      <c r="F82" s="1822"/>
      <c r="G82" s="1822"/>
      <c r="H82" s="1822"/>
      <c r="I82" s="1822"/>
      <c r="J82" s="1822"/>
      <c r="K82" s="125"/>
    </row>
    <row r="83" spans="3:11" ht="14.7" thickBot="1" x14ac:dyDescent="0.6">
      <c r="C83" s="124"/>
      <c r="K83" s="125"/>
    </row>
    <row r="84" spans="3:11" x14ac:dyDescent="0.55000000000000004">
      <c r="C84" s="124"/>
      <c r="D84" s="121"/>
      <c r="E84" s="122"/>
      <c r="F84" s="122"/>
      <c r="G84" s="122"/>
      <c r="H84" s="122"/>
      <c r="I84" s="122"/>
      <c r="J84" s="123"/>
      <c r="K84" s="125"/>
    </row>
    <row r="85" spans="3:11" x14ac:dyDescent="0.55000000000000004">
      <c r="C85" s="124"/>
      <c r="D85" s="124"/>
      <c r="E85" s="1" t="str">
        <f>'2 Customer data'!D133&amp;" "&amp;"information"</f>
        <v>Safe Houses information</v>
      </c>
      <c r="J85" s="125"/>
      <c r="K85" s="125"/>
    </row>
    <row r="86" spans="3:11" x14ac:dyDescent="0.55000000000000004">
      <c r="C86" s="124"/>
      <c r="D86" s="124"/>
      <c r="J86" s="125"/>
      <c r="K86" s="125"/>
    </row>
    <row r="87" spans="3:11" ht="43.2" x14ac:dyDescent="0.55000000000000004">
      <c r="C87" s="124"/>
      <c r="D87" s="124"/>
      <c r="F87" s="56" t="s">
        <v>28</v>
      </c>
      <c r="G87" s="56" t="s">
        <v>69</v>
      </c>
      <c r="H87" s="56" t="s">
        <v>71</v>
      </c>
      <c r="I87" s="162"/>
      <c r="J87" s="167"/>
      <c r="K87" s="125"/>
    </row>
    <row r="88" spans="3:11" x14ac:dyDescent="0.55000000000000004">
      <c r="C88" s="124"/>
      <c r="D88" s="124"/>
      <c r="E88" t="str">
        <f>'2 Customer data'!D133</f>
        <v>Safe Houses</v>
      </c>
      <c r="F88" s="26">
        <f>IFERROR(IF(VLOOKUP(E88,'2 Customer data'!$D$129:$H$148,5,FALSE)="",VLOOKUP(E88,'2 Customer data'!$D$129:$H$148,4,FALSE),VLOOKUP(E88,'2 Customer data'!$D$129:$H$148,5,FALSE)),0)</f>
        <v>3</v>
      </c>
      <c r="G88" s="26">
        <f ca="1">IFERROR(VLOOKUP(E88,'2 Solid waste'!$D$16:$H$35,4,FALSE)*VLOOKUP('3 Solid waste'!E88,'2 Solid waste'!$D$153:$K$172,8,FALSE)/VLOOKUP('3 Solid waste'!E88,'2 Solid waste'!$D$16:$H$35,5,FALSE),0)</f>
        <v>12115.570729179626</v>
      </c>
      <c r="H88" s="26">
        <f ca="1">IFERROR(VLOOKUP(E88,'2 Solid waste'!$D$153:$K$172,8,FALSE),0)</f>
        <v>12115.570729179626</v>
      </c>
      <c r="I88" s="134"/>
      <c r="J88" s="125"/>
      <c r="K88" s="125"/>
    </row>
    <row r="89" spans="3:11" ht="14.7" thickBot="1" x14ac:dyDescent="0.6">
      <c r="C89" s="124"/>
      <c r="D89" s="130"/>
      <c r="E89" s="131"/>
      <c r="F89" s="131"/>
      <c r="G89" s="131"/>
      <c r="H89" s="131"/>
      <c r="I89" s="131"/>
      <c r="J89" s="132"/>
      <c r="K89" s="125"/>
    </row>
    <row r="90" spans="3:11" ht="14.7" thickBot="1" x14ac:dyDescent="0.6">
      <c r="C90" s="124"/>
      <c r="K90" s="125"/>
    </row>
    <row r="91" spans="3:11" x14ac:dyDescent="0.55000000000000004">
      <c r="C91" s="124"/>
      <c r="D91" s="121"/>
      <c r="E91" s="122"/>
      <c r="F91" s="122"/>
      <c r="G91" s="122"/>
      <c r="H91" s="122"/>
      <c r="I91" s="122"/>
      <c r="J91" s="123"/>
      <c r="K91" s="125"/>
    </row>
    <row r="92" spans="3:11" x14ac:dyDescent="0.55000000000000004">
      <c r="C92" s="124"/>
      <c r="D92" s="124"/>
      <c r="E92" s="1" t="s">
        <v>97</v>
      </c>
      <c r="J92" s="125"/>
      <c r="K92" s="125"/>
    </row>
    <row r="93" spans="3:11" x14ac:dyDescent="0.55000000000000004">
      <c r="C93" s="124"/>
      <c r="D93" s="124"/>
      <c r="E93" s="1"/>
      <c r="J93" s="125"/>
      <c r="K93" s="125"/>
    </row>
    <row r="94" spans="3:11" ht="43.2" x14ac:dyDescent="0.55000000000000004">
      <c r="C94" s="124"/>
      <c r="D94" s="124"/>
      <c r="F94" s="56" t="str">
        <f>IF(F89=S91,"Fixed costs per customer category","Revenue required from Tariff")</f>
        <v>Fixed costs per customer category</v>
      </c>
      <c r="G94" s="56" t="s">
        <v>87</v>
      </c>
      <c r="H94" s="56" t="s">
        <v>75</v>
      </c>
      <c r="I94" s="56" t="s">
        <v>76</v>
      </c>
      <c r="J94" s="125"/>
      <c r="K94" s="125"/>
    </row>
    <row r="95" spans="3:11" x14ac:dyDescent="0.55000000000000004">
      <c r="C95" s="124"/>
      <c r="D95" s="124"/>
      <c r="E95" t="str">
        <f>E88</f>
        <v>Safe Houses</v>
      </c>
      <c r="F95" s="26">
        <f ca="1">IFERROR(G88/F88,0)</f>
        <v>4038.5235763932087</v>
      </c>
      <c r="G95" s="64">
        <f ca="1">IFERROR(G88/F88/12,0)</f>
        <v>336.54363136610073</v>
      </c>
      <c r="H95" s="26">
        <f ca="1">G95*F88*12</f>
        <v>12115.570729179626</v>
      </c>
      <c r="I95" s="21">
        <f ca="1">IFERROR(H95/12,0)</f>
        <v>1009.6308940983022</v>
      </c>
      <c r="J95" s="125"/>
      <c r="K95" s="125"/>
    </row>
    <row r="96" spans="3:11" ht="14.7" thickBot="1" x14ac:dyDescent="0.6">
      <c r="C96" s="124"/>
      <c r="D96" s="130"/>
      <c r="E96" s="131"/>
      <c r="F96" s="131"/>
      <c r="G96" s="131"/>
      <c r="H96" s="131"/>
      <c r="I96" s="131"/>
      <c r="J96" s="132"/>
      <c r="K96" s="125"/>
    </row>
    <row r="97" spans="3:11" ht="14.7" thickBot="1" x14ac:dyDescent="0.6">
      <c r="C97" s="130"/>
      <c r="D97" s="131"/>
      <c r="E97" s="131"/>
      <c r="F97" s="131"/>
      <c r="G97" s="131"/>
      <c r="H97" s="131"/>
      <c r="I97" s="131"/>
      <c r="J97" s="131"/>
      <c r="K97" s="132"/>
    </row>
    <row r="98" spans="3:11" ht="14.7" thickBot="1" x14ac:dyDescent="0.6"/>
    <row r="99" spans="3:11" x14ac:dyDescent="0.55000000000000004">
      <c r="C99" s="121"/>
      <c r="D99" s="122"/>
      <c r="E99" s="122"/>
      <c r="F99" s="122"/>
      <c r="G99" s="122"/>
      <c r="H99" s="122"/>
      <c r="I99" s="122"/>
      <c r="J99" s="122"/>
      <c r="K99" s="123"/>
    </row>
    <row r="100" spans="3:11" ht="18.3" x14ac:dyDescent="0.7">
      <c r="C100" s="124"/>
      <c r="D100" s="1822">
        <f>'2 Customer data'!D134</f>
        <v>0</v>
      </c>
      <c r="E100" s="1822"/>
      <c r="F100" s="1822"/>
      <c r="G100" s="1822"/>
      <c r="H100" s="1822"/>
      <c r="I100" s="1822"/>
      <c r="J100" s="1822"/>
      <c r="K100" s="125"/>
    </row>
    <row r="101" spans="3:11" ht="14.7" thickBot="1" x14ac:dyDescent="0.6">
      <c r="C101" s="124"/>
      <c r="K101" s="125"/>
    </row>
    <row r="102" spans="3:11" x14ac:dyDescent="0.55000000000000004">
      <c r="C102" s="124"/>
      <c r="D102" s="121"/>
      <c r="E102" s="122"/>
      <c r="F102" s="122"/>
      <c r="G102" s="122"/>
      <c r="H102" s="122"/>
      <c r="I102" s="122"/>
      <c r="J102" s="123"/>
      <c r="K102" s="125"/>
    </row>
    <row r="103" spans="3:11" x14ac:dyDescent="0.55000000000000004">
      <c r="C103" s="124"/>
      <c r="D103" s="124"/>
      <c r="E103" s="1" t="str">
        <f>'2 Customer data'!D134&amp;" "&amp;"information"</f>
        <v xml:space="preserve"> information</v>
      </c>
      <c r="J103" s="125"/>
      <c r="K103" s="125"/>
    </row>
    <row r="104" spans="3:11" x14ac:dyDescent="0.55000000000000004">
      <c r="C104" s="124"/>
      <c r="D104" s="124"/>
      <c r="J104" s="125"/>
      <c r="K104" s="125"/>
    </row>
    <row r="105" spans="3:11" ht="43.2" x14ac:dyDescent="0.55000000000000004">
      <c r="C105" s="124"/>
      <c r="D105" s="124"/>
      <c r="F105" s="56" t="s">
        <v>28</v>
      </c>
      <c r="G105" s="56" t="s">
        <v>69</v>
      </c>
      <c r="H105" s="56" t="s">
        <v>71</v>
      </c>
      <c r="I105" s="162"/>
      <c r="J105" s="167"/>
      <c r="K105" s="125"/>
    </row>
    <row r="106" spans="3:11" x14ac:dyDescent="0.55000000000000004">
      <c r="C106" s="124"/>
      <c r="D106" s="124"/>
      <c r="E106">
        <f>'2 Customer data'!D134</f>
        <v>0</v>
      </c>
      <c r="F106" s="26">
        <f>IFERROR(IF(VLOOKUP(E106,'2 Customer data'!$D$129:$H$148,5,FALSE)="",VLOOKUP(E106,'2 Customer data'!$D$129:$H$148,4,FALSE),VLOOKUP(E106,'2 Customer data'!$D$129:$H$148,5,FALSE)),0)</f>
        <v>0</v>
      </c>
      <c r="G106" s="26">
        <f ca="1">IFERROR(VLOOKUP(E106,'2 Solid waste'!$D$16:$H$35,4,FALSE)*VLOOKUP('3 Solid waste'!E106,'2 Solid waste'!$D$153:$K$172,8,FALSE)/VLOOKUP('3 Solid waste'!E106,'2 Solid waste'!$D$16:$H$35,5,FALSE),0)</f>
        <v>0</v>
      </c>
      <c r="H106" s="26">
        <f ca="1">IFERROR(VLOOKUP(E106,'2 Solid waste'!$D$153:$K$172,8,FALSE),0)</f>
        <v>0</v>
      </c>
      <c r="I106" s="134"/>
      <c r="J106" s="125"/>
      <c r="K106" s="125"/>
    </row>
    <row r="107" spans="3:11" ht="14.7" thickBot="1" x14ac:dyDescent="0.6">
      <c r="C107" s="124"/>
      <c r="D107" s="130"/>
      <c r="E107" s="131"/>
      <c r="F107" s="131"/>
      <c r="G107" s="131"/>
      <c r="H107" s="131"/>
      <c r="I107" s="131"/>
      <c r="J107" s="132"/>
      <c r="K107" s="125"/>
    </row>
    <row r="108" spans="3:11" ht="14.7" thickBot="1" x14ac:dyDescent="0.6">
      <c r="C108" s="124"/>
      <c r="K108" s="125"/>
    </row>
    <row r="109" spans="3:11" x14ac:dyDescent="0.55000000000000004">
      <c r="C109" s="124"/>
      <c r="D109" s="121"/>
      <c r="E109" s="122"/>
      <c r="F109" s="122"/>
      <c r="G109" s="122"/>
      <c r="H109" s="122"/>
      <c r="I109" s="122"/>
      <c r="J109" s="123"/>
      <c r="K109" s="125"/>
    </row>
    <row r="110" spans="3:11" x14ac:dyDescent="0.55000000000000004">
      <c r="C110" s="124"/>
      <c r="D110" s="124"/>
      <c r="E110" s="1" t="s">
        <v>97</v>
      </c>
      <c r="J110" s="125"/>
      <c r="K110" s="125"/>
    </row>
    <row r="111" spans="3:11" x14ac:dyDescent="0.55000000000000004">
      <c r="C111" s="124"/>
      <c r="D111" s="124"/>
      <c r="E111" s="1"/>
      <c r="J111" s="125"/>
      <c r="K111" s="125"/>
    </row>
    <row r="112" spans="3:11" ht="43.2" x14ac:dyDescent="0.55000000000000004">
      <c r="C112" s="124"/>
      <c r="D112" s="124"/>
      <c r="F112" s="56" t="str">
        <f>IF(F107=S109,"Fixed costs per customer category","Revenue required from Tariff")</f>
        <v>Fixed costs per customer category</v>
      </c>
      <c r="G112" s="56" t="s">
        <v>87</v>
      </c>
      <c r="H112" s="56" t="s">
        <v>75</v>
      </c>
      <c r="I112" s="56" t="s">
        <v>76</v>
      </c>
      <c r="J112" s="125"/>
      <c r="K112" s="125"/>
    </row>
    <row r="113" spans="3:11" x14ac:dyDescent="0.55000000000000004">
      <c r="C113" s="124"/>
      <c r="D113" s="124"/>
      <c r="E113">
        <f>E106</f>
        <v>0</v>
      </c>
      <c r="F113" s="26">
        <f ca="1">IFERROR(G106/F106,0)</f>
        <v>0</v>
      </c>
      <c r="G113" s="64">
        <f ca="1">IFERROR(G106/F106/12,0)</f>
        <v>0</v>
      </c>
      <c r="H113" s="26">
        <f ca="1">G113*F106*12</f>
        <v>0</v>
      </c>
      <c r="I113" s="21">
        <f ca="1">IFERROR(H113/12,0)</f>
        <v>0</v>
      </c>
      <c r="J113" s="125"/>
      <c r="K113" s="125"/>
    </row>
    <row r="114" spans="3:11" ht="14.7" thickBot="1" x14ac:dyDescent="0.6">
      <c r="C114" s="124"/>
      <c r="D114" s="130"/>
      <c r="E114" s="131"/>
      <c r="F114" s="131"/>
      <c r="G114" s="131"/>
      <c r="H114" s="131"/>
      <c r="I114" s="131"/>
      <c r="J114" s="132"/>
      <c r="K114" s="125"/>
    </row>
    <row r="115" spans="3:11" ht="14.7" thickBot="1" x14ac:dyDescent="0.6">
      <c r="C115" s="130"/>
      <c r="D115" s="131"/>
      <c r="E115" s="131"/>
      <c r="F115" s="131"/>
      <c r="G115" s="131"/>
      <c r="H115" s="131"/>
      <c r="I115" s="131"/>
      <c r="J115" s="131"/>
      <c r="K115" s="132"/>
    </row>
    <row r="116" spans="3:11" ht="14.7" thickBot="1" x14ac:dyDescent="0.6"/>
    <row r="117" spans="3:11" x14ac:dyDescent="0.55000000000000004">
      <c r="C117" s="121"/>
      <c r="D117" s="122"/>
      <c r="E117" s="122"/>
      <c r="F117" s="122"/>
      <c r="G117" s="122"/>
      <c r="H117" s="122"/>
      <c r="I117" s="122"/>
      <c r="J117" s="122"/>
      <c r="K117" s="123"/>
    </row>
    <row r="118" spans="3:11" ht="18.3" x14ac:dyDescent="0.7">
      <c r="C118" s="124"/>
      <c r="D118" s="1822">
        <f>'2 Customer data'!D135</f>
        <v>0</v>
      </c>
      <c r="E118" s="1822"/>
      <c r="F118" s="1822"/>
      <c r="G118" s="1822"/>
      <c r="H118" s="1822"/>
      <c r="I118" s="1822"/>
      <c r="J118" s="1822"/>
      <c r="K118" s="125"/>
    </row>
    <row r="119" spans="3:11" ht="14.7" thickBot="1" x14ac:dyDescent="0.6">
      <c r="C119" s="124"/>
      <c r="K119" s="125"/>
    </row>
    <row r="120" spans="3:11" x14ac:dyDescent="0.55000000000000004">
      <c r="C120" s="124"/>
      <c r="D120" s="121"/>
      <c r="E120" s="122"/>
      <c r="F120" s="122"/>
      <c r="G120" s="122"/>
      <c r="H120" s="122"/>
      <c r="I120" s="122"/>
      <c r="J120" s="123"/>
      <c r="K120" s="125"/>
    </row>
    <row r="121" spans="3:11" x14ac:dyDescent="0.55000000000000004">
      <c r="C121" s="124"/>
      <c r="D121" s="124"/>
      <c r="E121" s="1" t="str">
        <f>'2 Customer data'!D135&amp;" "&amp;"information"</f>
        <v xml:space="preserve"> information</v>
      </c>
      <c r="J121" s="125"/>
      <c r="K121" s="125"/>
    </row>
    <row r="122" spans="3:11" x14ac:dyDescent="0.55000000000000004">
      <c r="C122" s="124"/>
      <c r="D122" s="124"/>
      <c r="J122" s="125"/>
      <c r="K122" s="125"/>
    </row>
    <row r="123" spans="3:11" ht="43.2" x14ac:dyDescent="0.55000000000000004">
      <c r="C123" s="124"/>
      <c r="D123" s="124"/>
      <c r="F123" s="56" t="s">
        <v>28</v>
      </c>
      <c r="G123" s="56" t="s">
        <v>69</v>
      </c>
      <c r="H123" s="56" t="s">
        <v>71</v>
      </c>
      <c r="I123" s="162"/>
      <c r="J123" s="167"/>
      <c r="K123" s="125"/>
    </row>
    <row r="124" spans="3:11" x14ac:dyDescent="0.55000000000000004">
      <c r="C124" s="124"/>
      <c r="D124" s="124"/>
      <c r="E124">
        <f>'2 Customer data'!D135</f>
        <v>0</v>
      </c>
      <c r="F124" s="26">
        <f>IFERROR(IF(VLOOKUP(E124,'2 Customer data'!$D$129:$H$148,5,FALSE)="",VLOOKUP(E124,'2 Customer data'!$D$129:$H$148,4,FALSE),VLOOKUP(E124,'2 Customer data'!$D$129:$H$148,5,FALSE)),0)</f>
        <v>0</v>
      </c>
      <c r="G124" s="26">
        <f ca="1">IFERROR(VLOOKUP(E124,'2 Solid waste'!$D$16:$H$35,4,FALSE)*VLOOKUP('3 Solid waste'!E124,'2 Solid waste'!$D$153:$K$172,8,FALSE)/VLOOKUP('3 Solid waste'!E124,'2 Solid waste'!$D$16:$H$35,5,FALSE),0)</f>
        <v>0</v>
      </c>
      <c r="H124" s="26">
        <f ca="1">IFERROR(VLOOKUP(E124,'2 Solid waste'!$D$153:$K$172,8,FALSE),0)</f>
        <v>0</v>
      </c>
      <c r="I124" s="134"/>
      <c r="J124" s="125"/>
      <c r="K124" s="125"/>
    </row>
    <row r="125" spans="3:11" ht="14.7" thickBot="1" x14ac:dyDescent="0.6">
      <c r="C125" s="124"/>
      <c r="D125" s="130"/>
      <c r="E125" s="131"/>
      <c r="F125" s="131"/>
      <c r="G125" s="131"/>
      <c r="H125" s="131"/>
      <c r="I125" s="131"/>
      <c r="J125" s="132"/>
      <c r="K125" s="125"/>
    </row>
    <row r="126" spans="3:11" ht="14.7" thickBot="1" x14ac:dyDescent="0.6">
      <c r="C126" s="124"/>
      <c r="K126" s="125"/>
    </row>
    <row r="127" spans="3:11" x14ac:dyDescent="0.55000000000000004">
      <c r="C127" s="124"/>
      <c r="D127" s="121"/>
      <c r="E127" s="122"/>
      <c r="F127" s="122"/>
      <c r="G127" s="122"/>
      <c r="H127" s="122"/>
      <c r="I127" s="122"/>
      <c r="J127" s="123"/>
      <c r="K127" s="125"/>
    </row>
    <row r="128" spans="3:11" x14ac:dyDescent="0.55000000000000004">
      <c r="C128" s="124"/>
      <c r="D128" s="124"/>
      <c r="E128" s="1" t="s">
        <v>97</v>
      </c>
      <c r="J128" s="125"/>
      <c r="K128" s="125"/>
    </row>
    <row r="129" spans="3:11" x14ac:dyDescent="0.55000000000000004">
      <c r="C129" s="124"/>
      <c r="D129" s="124"/>
      <c r="E129" s="1"/>
      <c r="J129" s="125"/>
      <c r="K129" s="125"/>
    </row>
    <row r="130" spans="3:11" ht="43.2" x14ac:dyDescent="0.55000000000000004">
      <c r="C130" s="124"/>
      <c r="D130" s="124"/>
      <c r="F130" s="56" t="str">
        <f>IF(F125=S127,"Fixed costs per customer category","Revenue required from Tariff")</f>
        <v>Fixed costs per customer category</v>
      </c>
      <c r="G130" s="56" t="s">
        <v>87</v>
      </c>
      <c r="H130" s="56" t="s">
        <v>75</v>
      </c>
      <c r="I130" s="56" t="s">
        <v>76</v>
      </c>
      <c r="J130" s="125"/>
      <c r="K130" s="125"/>
    </row>
    <row r="131" spans="3:11" x14ac:dyDescent="0.55000000000000004">
      <c r="C131" s="124"/>
      <c r="D131" s="124"/>
      <c r="E131">
        <f>E124</f>
        <v>0</v>
      </c>
      <c r="F131" s="26">
        <f ca="1">IFERROR(G124/F124,0)</f>
        <v>0</v>
      </c>
      <c r="G131" s="64">
        <f ca="1">IFERROR(G124/F124/12,0)</f>
        <v>0</v>
      </c>
      <c r="H131" s="26">
        <f ca="1">G131*F124*12</f>
        <v>0</v>
      </c>
      <c r="I131" s="21">
        <f ca="1">IFERROR(H131/12,0)</f>
        <v>0</v>
      </c>
      <c r="J131" s="125"/>
      <c r="K131" s="125"/>
    </row>
    <row r="132" spans="3:11" ht="14.7" thickBot="1" x14ac:dyDescent="0.6">
      <c r="C132" s="124"/>
      <c r="D132" s="130"/>
      <c r="E132" s="131"/>
      <c r="F132" s="131"/>
      <c r="G132" s="131"/>
      <c r="H132" s="131"/>
      <c r="I132" s="131"/>
      <c r="J132" s="132"/>
      <c r="K132" s="125"/>
    </row>
    <row r="133" spans="3:11" ht="14.7" thickBot="1" x14ac:dyDescent="0.6">
      <c r="C133" s="130"/>
      <c r="D133" s="131"/>
      <c r="E133" s="131"/>
      <c r="F133" s="131"/>
      <c r="G133" s="131"/>
      <c r="H133" s="131"/>
      <c r="I133" s="131"/>
      <c r="J133" s="131"/>
      <c r="K133" s="132"/>
    </row>
    <row r="134" spans="3:11" ht="14.7" thickBot="1" x14ac:dyDescent="0.6"/>
    <row r="135" spans="3:11" x14ac:dyDescent="0.55000000000000004">
      <c r="C135" s="121"/>
      <c r="D135" s="122"/>
      <c r="E135" s="122"/>
      <c r="F135" s="122"/>
      <c r="G135" s="122"/>
      <c r="H135" s="122"/>
      <c r="I135" s="122"/>
      <c r="J135" s="122"/>
      <c r="K135" s="123"/>
    </row>
    <row r="136" spans="3:11" ht="18.3" x14ac:dyDescent="0.7">
      <c r="C136" s="124"/>
      <c r="D136" s="1822">
        <f>'2 Customer data'!D136</f>
        <v>0</v>
      </c>
      <c r="E136" s="1822"/>
      <c r="F136" s="1822"/>
      <c r="G136" s="1822"/>
      <c r="H136" s="1822"/>
      <c r="I136" s="1822"/>
      <c r="J136" s="1822"/>
      <c r="K136" s="125"/>
    </row>
    <row r="137" spans="3:11" ht="14.7" thickBot="1" x14ac:dyDescent="0.6">
      <c r="C137" s="124"/>
      <c r="K137" s="125"/>
    </row>
    <row r="138" spans="3:11" x14ac:dyDescent="0.55000000000000004">
      <c r="C138" s="124"/>
      <c r="D138" s="121"/>
      <c r="E138" s="122"/>
      <c r="F138" s="122"/>
      <c r="G138" s="122"/>
      <c r="H138" s="122"/>
      <c r="I138" s="122"/>
      <c r="J138" s="123"/>
      <c r="K138" s="125"/>
    </row>
    <row r="139" spans="3:11" x14ac:dyDescent="0.55000000000000004">
      <c r="C139" s="124"/>
      <c r="D139" s="124"/>
      <c r="E139" s="1" t="str">
        <f>'2 Customer data'!D136&amp;" "&amp;"information"</f>
        <v xml:space="preserve"> information</v>
      </c>
      <c r="J139" s="125"/>
      <c r="K139" s="125"/>
    </row>
    <row r="140" spans="3:11" x14ac:dyDescent="0.55000000000000004">
      <c r="C140" s="124"/>
      <c r="D140" s="124"/>
      <c r="J140" s="125"/>
      <c r="K140" s="125"/>
    </row>
    <row r="141" spans="3:11" ht="43.2" x14ac:dyDescent="0.55000000000000004">
      <c r="C141" s="124"/>
      <c r="D141" s="124"/>
      <c r="F141" s="56" t="s">
        <v>28</v>
      </c>
      <c r="G141" s="56" t="s">
        <v>69</v>
      </c>
      <c r="H141" s="56" t="s">
        <v>71</v>
      </c>
      <c r="J141" s="167"/>
      <c r="K141" s="125"/>
    </row>
    <row r="142" spans="3:11" x14ac:dyDescent="0.55000000000000004">
      <c r="C142" s="124"/>
      <c r="D142" s="124"/>
      <c r="E142">
        <f>'2 Customer data'!D136</f>
        <v>0</v>
      </c>
      <c r="F142" s="26">
        <f>IFERROR(IF(VLOOKUP(E142,'2 Customer data'!$D$129:$H$148,5,FALSE)="",VLOOKUP(E142,'2 Customer data'!$D$129:$H$148,4,FALSE),VLOOKUP(E142,'2 Customer data'!$D$129:$H$148,5,FALSE)),0)</f>
        <v>0</v>
      </c>
      <c r="G142" s="26">
        <f ca="1">IFERROR(VLOOKUP(E142,'2 Solid waste'!$D$16:$H$35,4,FALSE)*VLOOKUP('3 Solid waste'!E142,'2 Solid waste'!$D$153:$K$172,8,FALSE)/VLOOKUP('3 Solid waste'!E142,'2 Solid waste'!$D$16:$H$35,5,FALSE),0)</f>
        <v>0</v>
      </c>
      <c r="H142" s="26">
        <f ca="1">IFERROR(VLOOKUP(E142,'2 Solid waste'!$D$153:$K$172,8,FALSE),0)</f>
        <v>0</v>
      </c>
      <c r="J142" s="125"/>
      <c r="K142" s="125"/>
    </row>
    <row r="143" spans="3:11" ht="14.7" thickBot="1" x14ac:dyDescent="0.6">
      <c r="C143" s="124"/>
      <c r="D143" s="130"/>
      <c r="E143" s="131"/>
      <c r="F143" s="131"/>
      <c r="G143" s="131"/>
      <c r="H143" s="131"/>
      <c r="I143" s="131"/>
      <c r="J143" s="132"/>
      <c r="K143" s="125"/>
    </row>
    <row r="144" spans="3:11" ht="14.7" thickBot="1" x14ac:dyDescent="0.6">
      <c r="C144" s="124"/>
      <c r="K144" s="125"/>
    </row>
    <row r="145" spans="3:11" x14ac:dyDescent="0.55000000000000004">
      <c r="C145" s="124"/>
      <c r="D145" s="121"/>
      <c r="E145" s="122"/>
      <c r="F145" s="122"/>
      <c r="G145" s="122"/>
      <c r="H145" s="122"/>
      <c r="I145" s="122"/>
      <c r="J145" s="123"/>
      <c r="K145" s="125"/>
    </row>
    <row r="146" spans="3:11" x14ac:dyDescent="0.55000000000000004">
      <c r="C146" s="124"/>
      <c r="D146" s="124"/>
      <c r="E146" s="1" t="s">
        <v>97</v>
      </c>
      <c r="J146" s="125"/>
      <c r="K146" s="125"/>
    </row>
    <row r="147" spans="3:11" x14ac:dyDescent="0.55000000000000004">
      <c r="C147" s="124"/>
      <c r="D147" s="124"/>
      <c r="E147" s="1"/>
      <c r="J147" s="125"/>
      <c r="K147" s="125"/>
    </row>
    <row r="148" spans="3:11" ht="43.2" x14ac:dyDescent="0.55000000000000004">
      <c r="C148" s="124"/>
      <c r="D148" s="124"/>
      <c r="F148" s="56" t="str">
        <f>IF(F143=S145,"Fixed costs per customer category","Revenue required from Tariff")</f>
        <v>Fixed costs per customer category</v>
      </c>
      <c r="G148" s="56" t="s">
        <v>87</v>
      </c>
      <c r="H148" s="56" t="s">
        <v>75</v>
      </c>
      <c r="I148" s="56" t="s">
        <v>76</v>
      </c>
      <c r="J148" s="125"/>
      <c r="K148" s="125"/>
    </row>
    <row r="149" spans="3:11" x14ac:dyDescent="0.55000000000000004">
      <c r="C149" s="124"/>
      <c r="D149" s="124"/>
      <c r="E149">
        <f>E142</f>
        <v>0</v>
      </c>
      <c r="F149" s="26">
        <f ca="1">IFERROR(G142/F142,0)</f>
        <v>0</v>
      </c>
      <c r="G149" s="64">
        <f ca="1">IFERROR(G142/F142/12,0)</f>
        <v>0</v>
      </c>
      <c r="H149" s="26">
        <f ca="1">G149*F142*12</f>
        <v>0</v>
      </c>
      <c r="I149" s="21">
        <f ca="1">IFERROR(H149/12,0)</f>
        <v>0</v>
      </c>
      <c r="J149" s="125"/>
      <c r="K149" s="125"/>
    </row>
    <row r="150" spans="3:11" ht="14.7" thickBot="1" x14ac:dyDescent="0.6">
      <c r="C150" s="124"/>
      <c r="D150" s="130"/>
      <c r="E150" s="131"/>
      <c r="F150" s="131"/>
      <c r="G150" s="131"/>
      <c r="H150" s="131"/>
      <c r="I150" s="131"/>
      <c r="J150" s="132"/>
      <c r="K150" s="125"/>
    </row>
    <row r="151" spans="3:11" ht="14.7" thickBot="1" x14ac:dyDescent="0.6">
      <c r="C151" s="130"/>
      <c r="D151" s="131"/>
      <c r="E151" s="131"/>
      <c r="F151" s="131"/>
      <c r="G151" s="131"/>
      <c r="H151" s="131"/>
      <c r="I151" s="131"/>
      <c r="J151" s="131"/>
      <c r="K151" s="132"/>
    </row>
    <row r="152" spans="3:11" ht="14.7" thickBot="1" x14ac:dyDescent="0.6"/>
    <row r="153" spans="3:11" x14ac:dyDescent="0.55000000000000004">
      <c r="C153" s="121"/>
      <c r="D153" s="122"/>
      <c r="E153" s="122"/>
      <c r="F153" s="122"/>
      <c r="G153" s="122"/>
      <c r="H153" s="122"/>
      <c r="I153" s="122"/>
      <c r="J153" s="122"/>
      <c r="K153" s="123"/>
    </row>
    <row r="154" spans="3:11" ht="18.3" x14ac:dyDescent="0.7">
      <c r="C154" s="124"/>
      <c r="D154" s="1822">
        <f>'2 Customer data'!D137</f>
        <v>0</v>
      </c>
      <c r="E154" s="1822"/>
      <c r="F154" s="1822"/>
      <c r="G154" s="1822"/>
      <c r="H154" s="1822"/>
      <c r="I154" s="1822"/>
      <c r="J154" s="1822"/>
      <c r="K154" s="125"/>
    </row>
    <row r="155" spans="3:11" ht="14.7" thickBot="1" x14ac:dyDescent="0.6">
      <c r="C155" s="124"/>
      <c r="K155" s="125"/>
    </row>
    <row r="156" spans="3:11" x14ac:dyDescent="0.55000000000000004">
      <c r="C156" s="124"/>
      <c r="D156" s="121"/>
      <c r="E156" s="122"/>
      <c r="F156" s="122"/>
      <c r="G156" s="122"/>
      <c r="H156" s="122"/>
      <c r="I156" s="122"/>
      <c r="J156" s="123"/>
      <c r="K156" s="125"/>
    </row>
    <row r="157" spans="3:11" x14ac:dyDescent="0.55000000000000004">
      <c r="C157" s="124"/>
      <c r="D157" s="124"/>
      <c r="E157" s="1" t="str">
        <f>'2 Customer data'!D137&amp;" "&amp;"information"</f>
        <v xml:space="preserve"> information</v>
      </c>
      <c r="J157" s="125"/>
      <c r="K157" s="125"/>
    </row>
    <row r="158" spans="3:11" x14ac:dyDescent="0.55000000000000004">
      <c r="C158" s="124"/>
      <c r="D158" s="124"/>
      <c r="J158" s="125"/>
      <c r="K158" s="125"/>
    </row>
    <row r="159" spans="3:11" ht="43.2" x14ac:dyDescent="0.55000000000000004">
      <c r="C159" s="124"/>
      <c r="D159" s="124"/>
      <c r="F159" s="56" t="s">
        <v>28</v>
      </c>
      <c r="G159" s="56" t="s">
        <v>69</v>
      </c>
      <c r="H159" s="56" t="s">
        <v>71</v>
      </c>
      <c r="J159" s="167"/>
      <c r="K159" s="125"/>
    </row>
    <row r="160" spans="3:11" x14ac:dyDescent="0.55000000000000004">
      <c r="C160" s="124"/>
      <c r="D160" s="124"/>
      <c r="E160">
        <f>'2 Customer data'!D137</f>
        <v>0</v>
      </c>
      <c r="F160" s="26">
        <f>IFERROR(IF(VLOOKUP(E160,'2 Customer data'!$D$129:$H$148,5,FALSE)="",VLOOKUP(E160,'2 Customer data'!$D$129:$H$148,4,FALSE),VLOOKUP(E160,'2 Customer data'!$D$129:$H$148,5,FALSE)),0)</f>
        <v>0</v>
      </c>
      <c r="G160" s="26">
        <f ca="1">IFERROR(VLOOKUP(E160,'2 Solid waste'!$D$16:$H$35,4,FALSE)*VLOOKUP('3 Solid waste'!E160,'2 Solid waste'!$D$153:$K$172,8,FALSE)/VLOOKUP('3 Solid waste'!E160,'2 Solid waste'!$D$16:$H$35,5,FALSE),0)</f>
        <v>0</v>
      </c>
      <c r="H160" s="26">
        <f ca="1">IFERROR(VLOOKUP(E160,'2 Solid waste'!$D$153:$K$172,8,FALSE),0)</f>
        <v>0</v>
      </c>
      <c r="J160" s="125"/>
      <c r="K160" s="125"/>
    </row>
    <row r="161" spans="3:11" ht="14.7" thickBot="1" x14ac:dyDescent="0.6">
      <c r="C161" s="124"/>
      <c r="D161" s="130"/>
      <c r="E161" s="131"/>
      <c r="F161" s="131"/>
      <c r="G161" s="131"/>
      <c r="H161" s="131"/>
      <c r="I161" s="131"/>
      <c r="J161" s="132"/>
      <c r="K161" s="125"/>
    </row>
    <row r="162" spans="3:11" ht="14.7" thickBot="1" x14ac:dyDescent="0.6">
      <c r="C162" s="124"/>
      <c r="K162" s="125"/>
    </row>
    <row r="163" spans="3:11" x14ac:dyDescent="0.55000000000000004">
      <c r="C163" s="124"/>
      <c r="D163" s="121"/>
      <c r="E163" s="122"/>
      <c r="F163" s="122"/>
      <c r="G163" s="122"/>
      <c r="H163" s="122"/>
      <c r="I163" s="122"/>
      <c r="J163" s="123"/>
      <c r="K163" s="125"/>
    </row>
    <row r="164" spans="3:11" x14ac:dyDescent="0.55000000000000004">
      <c r="C164" s="124"/>
      <c r="D164" s="124"/>
      <c r="E164" s="1" t="s">
        <v>97</v>
      </c>
      <c r="J164" s="125"/>
      <c r="K164" s="125"/>
    </row>
    <row r="165" spans="3:11" x14ac:dyDescent="0.55000000000000004">
      <c r="C165" s="124"/>
      <c r="D165" s="124"/>
      <c r="E165" s="1"/>
      <c r="J165" s="125"/>
      <c r="K165" s="125"/>
    </row>
    <row r="166" spans="3:11" ht="43.2" x14ac:dyDescent="0.55000000000000004">
      <c r="C166" s="124"/>
      <c r="D166" s="124"/>
      <c r="F166" s="56" t="str">
        <f>IF(F161=S163,"Fixed costs per customer category","Revenue required from Tariff")</f>
        <v>Fixed costs per customer category</v>
      </c>
      <c r="G166" s="56" t="s">
        <v>87</v>
      </c>
      <c r="H166" s="56" t="s">
        <v>75</v>
      </c>
      <c r="I166" s="56" t="s">
        <v>76</v>
      </c>
      <c r="J166" s="125"/>
      <c r="K166" s="125"/>
    </row>
    <row r="167" spans="3:11" x14ac:dyDescent="0.55000000000000004">
      <c r="C167" s="124"/>
      <c r="D167" s="124"/>
      <c r="E167">
        <f>E160</f>
        <v>0</v>
      </c>
      <c r="F167" s="26">
        <f ca="1">IFERROR(G160/F160,0)</f>
        <v>0</v>
      </c>
      <c r="G167" s="64">
        <f ca="1">IFERROR(G160/F160/12,0)</f>
        <v>0</v>
      </c>
      <c r="H167" s="26">
        <f ca="1">G167*F160*12</f>
        <v>0</v>
      </c>
      <c r="I167" s="21">
        <f ca="1">IFERROR(H167/12,0)</f>
        <v>0</v>
      </c>
      <c r="J167" s="125"/>
      <c r="K167" s="125"/>
    </row>
    <row r="168" spans="3:11" ht="14.7" thickBot="1" x14ac:dyDescent="0.6">
      <c r="C168" s="124"/>
      <c r="D168" s="130"/>
      <c r="E168" s="131"/>
      <c r="F168" s="131"/>
      <c r="G168" s="131"/>
      <c r="H168" s="131"/>
      <c r="I168" s="131"/>
      <c r="J168" s="132"/>
      <c r="K168" s="125"/>
    </row>
    <row r="169" spans="3:11" ht="14.7" thickBot="1" x14ac:dyDescent="0.6">
      <c r="C169" s="130"/>
      <c r="D169" s="131"/>
      <c r="E169" s="131"/>
      <c r="F169" s="131"/>
      <c r="G169" s="131"/>
      <c r="H169" s="131"/>
      <c r="I169" s="131"/>
      <c r="J169" s="131"/>
      <c r="K169" s="132"/>
    </row>
    <row r="170" spans="3:11" ht="14.7" thickBot="1" x14ac:dyDescent="0.6"/>
    <row r="171" spans="3:11" x14ac:dyDescent="0.55000000000000004">
      <c r="C171" s="121"/>
      <c r="D171" s="122"/>
      <c r="E171" s="122"/>
      <c r="F171" s="122"/>
      <c r="G171" s="122"/>
      <c r="H171" s="122"/>
      <c r="I171" s="122"/>
      <c r="J171" s="122"/>
      <c r="K171" s="123"/>
    </row>
    <row r="172" spans="3:11" ht="18.3" x14ac:dyDescent="0.7">
      <c r="C172" s="124"/>
      <c r="D172" s="1822">
        <f>'2 Customer data'!D138</f>
        <v>0</v>
      </c>
      <c r="E172" s="1822"/>
      <c r="F172" s="1822"/>
      <c r="G172" s="1822"/>
      <c r="H172" s="1822"/>
      <c r="I172" s="1822"/>
      <c r="J172" s="1822"/>
      <c r="K172" s="125"/>
    </row>
    <row r="173" spans="3:11" ht="14.7" thickBot="1" x14ac:dyDescent="0.6">
      <c r="C173" s="124"/>
      <c r="K173" s="125"/>
    </row>
    <row r="174" spans="3:11" x14ac:dyDescent="0.55000000000000004">
      <c r="C174" s="124"/>
      <c r="D174" s="121"/>
      <c r="E174" s="122"/>
      <c r="F174" s="122"/>
      <c r="G174" s="122"/>
      <c r="H174" s="122"/>
      <c r="I174" s="122"/>
      <c r="J174" s="123"/>
      <c r="K174" s="125"/>
    </row>
    <row r="175" spans="3:11" x14ac:dyDescent="0.55000000000000004">
      <c r="C175" s="124"/>
      <c r="D175" s="124"/>
      <c r="E175" s="1" t="str">
        <f>'2 Customer data'!D138&amp;" "&amp;"information"</f>
        <v xml:space="preserve"> information</v>
      </c>
      <c r="J175" s="125"/>
      <c r="K175" s="125"/>
    </row>
    <row r="176" spans="3:11" x14ac:dyDescent="0.55000000000000004">
      <c r="C176" s="124"/>
      <c r="D176" s="124"/>
      <c r="J176" s="125"/>
      <c r="K176" s="125"/>
    </row>
    <row r="177" spans="3:11" ht="43.2" x14ac:dyDescent="0.55000000000000004">
      <c r="C177" s="124"/>
      <c r="D177" s="124"/>
      <c r="F177" s="56" t="s">
        <v>28</v>
      </c>
      <c r="G177" s="56" t="s">
        <v>69</v>
      </c>
      <c r="H177" s="56" t="s">
        <v>71</v>
      </c>
      <c r="J177" s="167"/>
      <c r="K177" s="125"/>
    </row>
    <row r="178" spans="3:11" x14ac:dyDescent="0.55000000000000004">
      <c r="C178" s="124"/>
      <c r="D178" s="124"/>
      <c r="E178">
        <f>'2 Customer data'!D138</f>
        <v>0</v>
      </c>
      <c r="F178" s="26">
        <f>IFERROR(IF(VLOOKUP(E178,'2 Customer data'!$D$129:$H$148,5,FALSE)="",VLOOKUP(E178,'2 Customer data'!$D$129:$H$148,4,FALSE),VLOOKUP(E178,'2 Customer data'!$D$129:$H$148,5,FALSE)),0)</f>
        <v>0</v>
      </c>
      <c r="G178" s="26">
        <f ca="1">IFERROR(VLOOKUP(E178,'2 Solid waste'!$D$16:$H$35,4,FALSE)*VLOOKUP('3 Solid waste'!E178,'2 Solid waste'!$D$153:$K$172,8,FALSE)/VLOOKUP('3 Solid waste'!E178,'2 Solid waste'!$D$16:$H$35,5,FALSE),0)</f>
        <v>0</v>
      </c>
      <c r="H178" s="26">
        <f ca="1">IFERROR(VLOOKUP(E178,'2 Solid waste'!$D$153:$K$172,8,FALSE),0)</f>
        <v>0</v>
      </c>
      <c r="J178" s="125"/>
      <c r="K178" s="125"/>
    </row>
    <row r="179" spans="3:11" ht="14.7" thickBot="1" x14ac:dyDescent="0.6">
      <c r="C179" s="124"/>
      <c r="D179" s="130"/>
      <c r="E179" s="131"/>
      <c r="F179" s="131"/>
      <c r="G179" s="131"/>
      <c r="H179" s="131"/>
      <c r="I179" s="131"/>
      <c r="J179" s="132"/>
      <c r="K179" s="125"/>
    </row>
    <row r="180" spans="3:11" ht="14.7" thickBot="1" x14ac:dyDescent="0.6">
      <c r="C180" s="124"/>
      <c r="K180" s="125"/>
    </row>
    <row r="181" spans="3:11" x14ac:dyDescent="0.55000000000000004">
      <c r="C181" s="124"/>
      <c r="D181" s="121"/>
      <c r="E181" s="122"/>
      <c r="F181" s="122"/>
      <c r="G181" s="122"/>
      <c r="H181" s="122"/>
      <c r="I181" s="122"/>
      <c r="J181" s="123"/>
      <c r="K181" s="125"/>
    </row>
    <row r="182" spans="3:11" x14ac:dyDescent="0.55000000000000004">
      <c r="C182" s="124"/>
      <c r="D182" s="124"/>
      <c r="E182" s="1" t="s">
        <v>97</v>
      </c>
      <c r="J182" s="125"/>
      <c r="K182" s="125"/>
    </row>
    <row r="183" spans="3:11" x14ac:dyDescent="0.55000000000000004">
      <c r="C183" s="124"/>
      <c r="D183" s="124"/>
      <c r="E183" s="1"/>
      <c r="J183" s="125"/>
      <c r="K183" s="125"/>
    </row>
    <row r="184" spans="3:11" ht="43.2" x14ac:dyDescent="0.55000000000000004">
      <c r="C184" s="124"/>
      <c r="D184" s="124"/>
      <c r="F184" s="56" t="str">
        <f>IF(F179=S181,"Fixed costs per customer category","Revenue required from Tariff")</f>
        <v>Fixed costs per customer category</v>
      </c>
      <c r="G184" s="56" t="s">
        <v>87</v>
      </c>
      <c r="H184" s="56" t="s">
        <v>75</v>
      </c>
      <c r="I184" s="56" t="s">
        <v>76</v>
      </c>
      <c r="J184" s="125"/>
      <c r="K184" s="125"/>
    </row>
    <row r="185" spans="3:11" x14ac:dyDescent="0.55000000000000004">
      <c r="C185" s="124"/>
      <c r="D185" s="124"/>
      <c r="E185">
        <f>E178</f>
        <v>0</v>
      </c>
      <c r="F185" s="26">
        <f ca="1">IFERROR(G178/F178,0)</f>
        <v>0</v>
      </c>
      <c r="G185" s="64">
        <f ca="1">IFERROR(G178/F178/12,0)</f>
        <v>0</v>
      </c>
      <c r="H185" s="26">
        <f ca="1">G185*F178*12</f>
        <v>0</v>
      </c>
      <c r="I185" s="21">
        <f ca="1">IFERROR(H185/12,0)</f>
        <v>0</v>
      </c>
      <c r="J185" s="125"/>
      <c r="K185" s="125"/>
    </row>
    <row r="186" spans="3:11" ht="14.7" thickBot="1" x14ac:dyDescent="0.6">
      <c r="C186" s="124"/>
      <c r="D186" s="130"/>
      <c r="E186" s="131"/>
      <c r="F186" s="131"/>
      <c r="G186" s="131"/>
      <c r="H186" s="131"/>
      <c r="I186" s="131"/>
      <c r="J186" s="132"/>
      <c r="K186" s="125"/>
    </row>
    <row r="187" spans="3:11" ht="14.7" thickBot="1" x14ac:dyDescent="0.6">
      <c r="C187" s="130"/>
      <c r="D187" s="131"/>
      <c r="E187" s="131"/>
      <c r="F187" s="131"/>
      <c r="G187" s="131"/>
      <c r="H187" s="131"/>
      <c r="I187" s="131"/>
      <c r="J187" s="131"/>
      <c r="K187" s="132"/>
    </row>
    <row r="188" spans="3:11" ht="14.7" thickBot="1" x14ac:dyDescent="0.6"/>
    <row r="189" spans="3:11" x14ac:dyDescent="0.55000000000000004">
      <c r="C189" s="121"/>
      <c r="D189" s="122"/>
      <c r="E189" s="122"/>
      <c r="F189" s="122"/>
      <c r="G189" s="122"/>
      <c r="H189" s="122"/>
      <c r="I189" s="122"/>
      <c r="J189" s="122"/>
      <c r="K189" s="123"/>
    </row>
    <row r="190" spans="3:11" ht="18.3" x14ac:dyDescent="0.7">
      <c r="C190" s="124"/>
      <c r="D190" s="1822">
        <f>'2 Customer data'!D139</f>
        <v>0</v>
      </c>
      <c r="E190" s="1822"/>
      <c r="F190" s="1822"/>
      <c r="G190" s="1822"/>
      <c r="H190" s="1822"/>
      <c r="I190" s="1822"/>
      <c r="J190" s="1822"/>
      <c r="K190" s="125"/>
    </row>
    <row r="191" spans="3:11" ht="14.7" thickBot="1" x14ac:dyDescent="0.6">
      <c r="C191" s="124"/>
      <c r="K191" s="125"/>
    </row>
    <row r="192" spans="3:11" x14ac:dyDescent="0.55000000000000004">
      <c r="C192" s="124"/>
      <c r="D192" s="121"/>
      <c r="E192" s="122"/>
      <c r="F192" s="122"/>
      <c r="G192" s="122"/>
      <c r="H192" s="122"/>
      <c r="I192" s="122"/>
      <c r="J192" s="123"/>
      <c r="K192" s="125"/>
    </row>
    <row r="193" spans="3:11" x14ac:dyDescent="0.55000000000000004">
      <c r="C193" s="124"/>
      <c r="D193" s="124"/>
      <c r="E193" s="1" t="str">
        <f>'2 Customer data'!D139&amp;" "&amp;"information"</f>
        <v xml:space="preserve"> information</v>
      </c>
      <c r="J193" s="125"/>
      <c r="K193" s="125"/>
    </row>
    <row r="194" spans="3:11" x14ac:dyDescent="0.55000000000000004">
      <c r="C194" s="124"/>
      <c r="D194" s="124"/>
      <c r="J194" s="125"/>
      <c r="K194" s="125"/>
    </row>
    <row r="195" spans="3:11" ht="43.2" x14ac:dyDescent="0.55000000000000004">
      <c r="C195" s="124"/>
      <c r="D195" s="124"/>
      <c r="F195" s="56" t="s">
        <v>28</v>
      </c>
      <c r="G195" s="56" t="s">
        <v>69</v>
      </c>
      <c r="H195" s="56" t="s">
        <v>71</v>
      </c>
      <c r="J195" s="167"/>
      <c r="K195" s="125"/>
    </row>
    <row r="196" spans="3:11" x14ac:dyDescent="0.55000000000000004">
      <c r="C196" s="124"/>
      <c r="D196" s="124"/>
      <c r="E196">
        <f>'2 Customer data'!D139</f>
        <v>0</v>
      </c>
      <c r="F196" s="26">
        <f>IFERROR(IF(VLOOKUP(E196,'2 Customer data'!$D$129:$H$148,5,FALSE)="",VLOOKUP(E196,'2 Customer data'!$D$129:$H$148,4,FALSE),VLOOKUP(E196,'2 Customer data'!$D$129:$H$148,5,FALSE)),0)</f>
        <v>0</v>
      </c>
      <c r="G196" s="26">
        <f ca="1">IFERROR(VLOOKUP(E196,'2 Solid waste'!$D$16:$H$35,4,FALSE)*VLOOKUP('3 Solid waste'!E196,'2 Solid waste'!$D$153:$K$172,8,FALSE)/VLOOKUP('3 Solid waste'!E196,'2 Solid waste'!$D$16:$H$35,5,FALSE),0)</f>
        <v>0</v>
      </c>
      <c r="H196" s="26">
        <f ca="1">IFERROR(VLOOKUP(E196,'2 Solid waste'!$D$153:$K$172,8,FALSE),0)</f>
        <v>0</v>
      </c>
      <c r="J196" s="125"/>
      <c r="K196" s="125"/>
    </row>
    <row r="197" spans="3:11" ht="14.7" thickBot="1" x14ac:dyDescent="0.6">
      <c r="C197" s="124"/>
      <c r="D197" s="130"/>
      <c r="E197" s="131"/>
      <c r="F197" s="131"/>
      <c r="G197" s="131"/>
      <c r="H197" s="131"/>
      <c r="I197" s="131"/>
      <c r="J197" s="132"/>
      <c r="K197" s="125"/>
    </row>
    <row r="198" spans="3:11" ht="14.7" thickBot="1" x14ac:dyDescent="0.6">
      <c r="C198" s="124"/>
      <c r="K198" s="125"/>
    </row>
    <row r="199" spans="3:11" x14ac:dyDescent="0.55000000000000004">
      <c r="C199" s="124"/>
      <c r="D199" s="121"/>
      <c r="E199" s="122"/>
      <c r="F199" s="122"/>
      <c r="G199" s="122"/>
      <c r="H199" s="122"/>
      <c r="I199" s="122"/>
      <c r="J199" s="123"/>
      <c r="K199" s="125"/>
    </row>
    <row r="200" spans="3:11" x14ac:dyDescent="0.55000000000000004">
      <c r="C200" s="124"/>
      <c r="D200" s="124"/>
      <c r="E200" s="1" t="s">
        <v>97</v>
      </c>
      <c r="J200" s="125"/>
      <c r="K200" s="125"/>
    </row>
    <row r="201" spans="3:11" x14ac:dyDescent="0.55000000000000004">
      <c r="C201" s="124"/>
      <c r="D201" s="124"/>
      <c r="E201" s="1"/>
      <c r="J201" s="125"/>
      <c r="K201" s="125"/>
    </row>
    <row r="202" spans="3:11" ht="43.2" x14ac:dyDescent="0.55000000000000004">
      <c r="C202" s="124"/>
      <c r="D202" s="124"/>
      <c r="F202" s="56" t="str">
        <f>IF(F197=S199,"Fixed costs per customer category","Revenue required from Tariff")</f>
        <v>Fixed costs per customer category</v>
      </c>
      <c r="G202" s="56" t="s">
        <v>87</v>
      </c>
      <c r="H202" s="56" t="s">
        <v>75</v>
      </c>
      <c r="I202" s="56" t="s">
        <v>76</v>
      </c>
      <c r="J202" s="125"/>
      <c r="K202" s="125"/>
    </row>
    <row r="203" spans="3:11" x14ac:dyDescent="0.55000000000000004">
      <c r="C203" s="124"/>
      <c r="D203" s="124"/>
      <c r="E203">
        <f>E196</f>
        <v>0</v>
      </c>
      <c r="F203" s="26">
        <f ca="1">IFERROR(G196/F196,0)</f>
        <v>0</v>
      </c>
      <c r="G203" s="64">
        <f ca="1">IFERROR(G196/F196/12,0)</f>
        <v>0</v>
      </c>
      <c r="H203" s="26">
        <f ca="1">G203*F196*12</f>
        <v>0</v>
      </c>
      <c r="I203" s="21">
        <f ca="1">IFERROR(H203/12,0)</f>
        <v>0</v>
      </c>
      <c r="J203" s="125"/>
      <c r="K203" s="125"/>
    </row>
    <row r="204" spans="3:11" ht="14.7" thickBot="1" x14ac:dyDescent="0.6">
      <c r="C204" s="124"/>
      <c r="D204" s="130"/>
      <c r="E204" s="131"/>
      <c r="F204" s="131"/>
      <c r="G204" s="131"/>
      <c r="H204" s="131"/>
      <c r="I204" s="131"/>
      <c r="J204" s="132"/>
      <c r="K204" s="125"/>
    </row>
    <row r="205" spans="3:11" ht="14.7" thickBot="1" x14ac:dyDescent="0.6">
      <c r="C205" s="130"/>
      <c r="D205" s="131"/>
      <c r="E205" s="131"/>
      <c r="F205" s="131"/>
      <c r="G205" s="131"/>
      <c r="H205" s="131"/>
      <c r="I205" s="131"/>
      <c r="J205" s="131"/>
      <c r="K205" s="132"/>
    </row>
    <row r="206" spans="3:11" ht="14.7" thickBot="1" x14ac:dyDescent="0.6"/>
    <row r="207" spans="3:11" x14ac:dyDescent="0.55000000000000004">
      <c r="C207" s="121"/>
      <c r="D207" s="122"/>
      <c r="E207" s="122"/>
      <c r="F207" s="122"/>
      <c r="G207" s="122"/>
      <c r="H207" s="122"/>
      <c r="I207" s="122"/>
      <c r="J207" s="122"/>
      <c r="K207" s="123"/>
    </row>
    <row r="208" spans="3:11" ht="18.3" x14ac:dyDescent="0.7">
      <c r="C208" s="124"/>
      <c r="D208" s="1822">
        <f>'2 Customer data'!D140</f>
        <v>0</v>
      </c>
      <c r="E208" s="1822"/>
      <c r="F208" s="1822"/>
      <c r="G208" s="1822"/>
      <c r="H208" s="1822"/>
      <c r="I208" s="1822"/>
      <c r="J208" s="1822"/>
      <c r="K208" s="125"/>
    </row>
    <row r="209" spans="3:11" ht="14.7" thickBot="1" x14ac:dyDescent="0.6">
      <c r="C209" s="124"/>
      <c r="K209" s="125"/>
    </row>
    <row r="210" spans="3:11" x14ac:dyDescent="0.55000000000000004">
      <c r="C210" s="124"/>
      <c r="D210" s="121"/>
      <c r="E210" s="122"/>
      <c r="F210" s="122"/>
      <c r="G210" s="122"/>
      <c r="H210" s="122"/>
      <c r="I210" s="122"/>
      <c r="J210" s="123"/>
      <c r="K210" s="125"/>
    </row>
    <row r="211" spans="3:11" x14ac:dyDescent="0.55000000000000004">
      <c r="C211" s="124"/>
      <c r="D211" s="124"/>
      <c r="E211" s="1" t="str">
        <f>'2 Customer data'!D140&amp;" "&amp;"information"</f>
        <v xml:space="preserve"> information</v>
      </c>
      <c r="J211" s="125"/>
      <c r="K211" s="125"/>
    </row>
    <row r="212" spans="3:11" x14ac:dyDescent="0.55000000000000004">
      <c r="C212" s="124"/>
      <c r="D212" s="124"/>
      <c r="J212" s="125"/>
      <c r="K212" s="125"/>
    </row>
    <row r="213" spans="3:11" ht="43.2" x14ac:dyDescent="0.55000000000000004">
      <c r="C213" s="124"/>
      <c r="D213" s="124"/>
      <c r="F213" s="56" t="s">
        <v>28</v>
      </c>
      <c r="G213" s="56" t="s">
        <v>69</v>
      </c>
      <c r="H213" s="56" t="s">
        <v>71</v>
      </c>
      <c r="J213" s="167"/>
      <c r="K213" s="125"/>
    </row>
    <row r="214" spans="3:11" x14ac:dyDescent="0.55000000000000004">
      <c r="C214" s="124"/>
      <c r="D214" s="124"/>
      <c r="E214">
        <f>'2 Customer data'!D140</f>
        <v>0</v>
      </c>
      <c r="F214" s="26">
        <f>IFERROR(IF(VLOOKUP(E214,'2 Customer data'!$D$129:$H$148,5,FALSE)="",VLOOKUP(E214,'2 Customer data'!$D$129:$H$148,4,FALSE),VLOOKUP(E214,'2 Customer data'!$D$129:$H$148,5,FALSE)),0)</f>
        <v>0</v>
      </c>
      <c r="G214" s="26">
        <f ca="1">IFERROR(VLOOKUP(E214,'2 Solid waste'!$D$16:$H$35,4,FALSE)*VLOOKUP('3 Solid waste'!E214,'2 Solid waste'!$D$153:$K$172,8,FALSE)/VLOOKUP('3 Solid waste'!E214,'2 Solid waste'!$D$16:$H$35,5,FALSE),0)</f>
        <v>0</v>
      </c>
      <c r="H214" s="26">
        <f ca="1">IFERROR(VLOOKUP(E214,'2 Solid waste'!$D$153:$K$172,8,FALSE),0)</f>
        <v>0</v>
      </c>
      <c r="J214" s="125"/>
      <c r="K214" s="125"/>
    </row>
    <row r="215" spans="3:11" ht="14.7" thickBot="1" x14ac:dyDescent="0.6">
      <c r="C215" s="124"/>
      <c r="D215" s="130"/>
      <c r="E215" s="131"/>
      <c r="F215" s="131"/>
      <c r="G215" s="131"/>
      <c r="H215" s="131"/>
      <c r="I215" s="131"/>
      <c r="J215" s="132"/>
      <c r="K215" s="125"/>
    </row>
    <row r="216" spans="3:11" ht="14.7" thickBot="1" x14ac:dyDescent="0.6">
      <c r="C216" s="124"/>
      <c r="K216" s="125"/>
    </row>
    <row r="217" spans="3:11" x14ac:dyDescent="0.55000000000000004">
      <c r="C217" s="124"/>
      <c r="D217" s="121"/>
      <c r="E217" s="122"/>
      <c r="F217" s="122"/>
      <c r="G217" s="122"/>
      <c r="H217" s="122"/>
      <c r="I217" s="122"/>
      <c r="J217" s="123"/>
      <c r="K217" s="125"/>
    </row>
    <row r="218" spans="3:11" x14ac:dyDescent="0.55000000000000004">
      <c r="C218" s="124"/>
      <c r="D218" s="124"/>
      <c r="E218" s="1" t="s">
        <v>97</v>
      </c>
      <c r="J218" s="125"/>
      <c r="K218" s="125"/>
    </row>
    <row r="219" spans="3:11" x14ac:dyDescent="0.55000000000000004">
      <c r="C219" s="124"/>
      <c r="D219" s="124"/>
      <c r="E219" s="1"/>
      <c r="J219" s="125"/>
      <c r="K219" s="125"/>
    </row>
    <row r="220" spans="3:11" ht="43.2" x14ac:dyDescent="0.55000000000000004">
      <c r="C220" s="124"/>
      <c r="D220" s="124"/>
      <c r="F220" s="56" t="str">
        <f>IF(F215=S217,"Fixed costs per customer category","Revenue required from Tariff")</f>
        <v>Fixed costs per customer category</v>
      </c>
      <c r="G220" s="56" t="s">
        <v>87</v>
      </c>
      <c r="H220" s="56" t="s">
        <v>75</v>
      </c>
      <c r="I220" s="56" t="s">
        <v>76</v>
      </c>
      <c r="J220" s="125"/>
      <c r="K220" s="125"/>
    </row>
    <row r="221" spans="3:11" x14ac:dyDescent="0.55000000000000004">
      <c r="C221" s="124"/>
      <c r="D221" s="124"/>
      <c r="E221">
        <f>E214</f>
        <v>0</v>
      </c>
      <c r="F221" s="26">
        <f ca="1">IFERROR(G214/F214,0)</f>
        <v>0</v>
      </c>
      <c r="G221" s="64">
        <f ca="1">IFERROR(G214/F214/12,0)</f>
        <v>0</v>
      </c>
      <c r="H221" s="26">
        <f ca="1">G221*F214*12</f>
        <v>0</v>
      </c>
      <c r="I221" s="21">
        <f ca="1">IFERROR(H221/12,0)</f>
        <v>0</v>
      </c>
      <c r="J221" s="125"/>
      <c r="K221" s="125"/>
    </row>
    <row r="222" spans="3:11" ht="14.7" thickBot="1" x14ac:dyDescent="0.6">
      <c r="C222" s="124"/>
      <c r="D222" s="130"/>
      <c r="E222" s="131"/>
      <c r="F222" s="131"/>
      <c r="G222" s="131"/>
      <c r="H222" s="131"/>
      <c r="I222" s="131"/>
      <c r="J222" s="132"/>
      <c r="K222" s="125"/>
    </row>
    <row r="223" spans="3:11" ht="14.7" thickBot="1" x14ac:dyDescent="0.6">
      <c r="C223" s="130"/>
      <c r="D223" s="131"/>
      <c r="E223" s="131"/>
      <c r="F223" s="131"/>
      <c r="G223" s="131"/>
      <c r="H223" s="131"/>
      <c r="I223" s="131"/>
      <c r="J223" s="131"/>
      <c r="K223" s="132"/>
    </row>
    <row r="224" spans="3:11" ht="14.7" thickBot="1" x14ac:dyDescent="0.6"/>
    <row r="225" spans="3:11" x14ac:dyDescent="0.55000000000000004">
      <c r="C225" s="121"/>
      <c r="D225" s="122"/>
      <c r="E225" s="122"/>
      <c r="F225" s="122"/>
      <c r="G225" s="122"/>
      <c r="H225" s="122"/>
      <c r="I225" s="122"/>
      <c r="J225" s="122"/>
      <c r="K225" s="123"/>
    </row>
    <row r="226" spans="3:11" ht="18.3" x14ac:dyDescent="0.7">
      <c r="C226" s="124"/>
      <c r="D226" s="1822">
        <f>'2 Customer data'!D141</f>
        <v>0</v>
      </c>
      <c r="E226" s="1822"/>
      <c r="F226" s="1822"/>
      <c r="G226" s="1822"/>
      <c r="H226" s="1822"/>
      <c r="I226" s="1822"/>
      <c r="J226" s="1822"/>
      <c r="K226" s="125"/>
    </row>
    <row r="227" spans="3:11" ht="14.7" thickBot="1" x14ac:dyDescent="0.6">
      <c r="C227" s="124"/>
      <c r="K227" s="125"/>
    </row>
    <row r="228" spans="3:11" x14ac:dyDescent="0.55000000000000004">
      <c r="C228" s="124"/>
      <c r="D228" s="121"/>
      <c r="E228" s="122"/>
      <c r="F228" s="122"/>
      <c r="G228" s="122"/>
      <c r="H228" s="122"/>
      <c r="I228" s="122"/>
      <c r="J228" s="123"/>
      <c r="K228" s="125"/>
    </row>
    <row r="229" spans="3:11" x14ac:dyDescent="0.55000000000000004">
      <c r="C229" s="124"/>
      <c r="D229" s="124"/>
      <c r="E229" s="1" t="str">
        <f>'2 Customer data'!D141&amp;" "&amp;"information"</f>
        <v xml:space="preserve"> information</v>
      </c>
      <c r="J229" s="125"/>
      <c r="K229" s="125"/>
    </row>
    <row r="230" spans="3:11" x14ac:dyDescent="0.55000000000000004">
      <c r="C230" s="124"/>
      <c r="D230" s="124"/>
      <c r="J230" s="125"/>
      <c r="K230" s="125"/>
    </row>
    <row r="231" spans="3:11" ht="43.2" x14ac:dyDescent="0.55000000000000004">
      <c r="C231" s="124"/>
      <c r="D231" s="124"/>
      <c r="F231" s="56" t="s">
        <v>28</v>
      </c>
      <c r="G231" s="56" t="s">
        <v>69</v>
      </c>
      <c r="H231" s="56" t="s">
        <v>71</v>
      </c>
      <c r="J231" s="167"/>
      <c r="K231" s="125"/>
    </row>
    <row r="232" spans="3:11" x14ac:dyDescent="0.55000000000000004">
      <c r="C232" s="124"/>
      <c r="D232" s="124"/>
      <c r="E232">
        <f>'2 Customer data'!D141</f>
        <v>0</v>
      </c>
      <c r="F232" s="26">
        <f>IFERROR(IF(VLOOKUP(E232,'2 Customer data'!$D$129:$H$148,5,FALSE)="",VLOOKUP(E232,'2 Customer data'!$D$129:$H$148,4,FALSE),VLOOKUP(E232,'2 Customer data'!$D$129:$H$148,5,FALSE)),0)</f>
        <v>0</v>
      </c>
      <c r="G232" s="26">
        <f ca="1">IFERROR(VLOOKUP(E232,'2 Solid waste'!$D$16:$H$35,4,FALSE)*VLOOKUP('3 Solid waste'!E232,'2 Solid waste'!$D$153:$K$172,8,FALSE)/VLOOKUP('3 Solid waste'!E232,'2 Solid waste'!$D$16:$H$35,5,FALSE),0)</f>
        <v>0</v>
      </c>
      <c r="H232" s="26">
        <f ca="1">IFERROR(VLOOKUP(E232,'2 Solid waste'!$D$153:$K$172,8,FALSE),0)</f>
        <v>0</v>
      </c>
      <c r="J232" s="125"/>
      <c r="K232" s="125"/>
    </row>
    <row r="233" spans="3:11" ht="14.7" thickBot="1" x14ac:dyDescent="0.6">
      <c r="C233" s="124"/>
      <c r="D233" s="130"/>
      <c r="E233" s="131"/>
      <c r="F233" s="131"/>
      <c r="G233" s="131"/>
      <c r="H233" s="131"/>
      <c r="I233" s="131"/>
      <c r="J233" s="132"/>
      <c r="K233" s="125"/>
    </row>
    <row r="234" spans="3:11" ht="14.7" thickBot="1" x14ac:dyDescent="0.6">
      <c r="C234" s="124"/>
      <c r="K234" s="125"/>
    </row>
    <row r="235" spans="3:11" x14ac:dyDescent="0.55000000000000004">
      <c r="C235" s="124"/>
      <c r="D235" s="121"/>
      <c r="E235" s="122"/>
      <c r="F235" s="122"/>
      <c r="G235" s="122"/>
      <c r="H235" s="122"/>
      <c r="I235" s="122"/>
      <c r="J235" s="123"/>
      <c r="K235" s="125"/>
    </row>
    <row r="236" spans="3:11" x14ac:dyDescent="0.55000000000000004">
      <c r="C236" s="124"/>
      <c r="D236" s="124"/>
      <c r="E236" s="1" t="s">
        <v>97</v>
      </c>
      <c r="J236" s="125"/>
      <c r="K236" s="125"/>
    </row>
    <row r="237" spans="3:11" x14ac:dyDescent="0.55000000000000004">
      <c r="C237" s="124"/>
      <c r="D237" s="124"/>
      <c r="E237" s="1"/>
      <c r="J237" s="125"/>
      <c r="K237" s="125"/>
    </row>
    <row r="238" spans="3:11" ht="43.2" x14ac:dyDescent="0.55000000000000004">
      <c r="C238" s="124"/>
      <c r="D238" s="124"/>
      <c r="F238" s="56" t="str">
        <f>IF(F233=S235,"Fixed costs per customer category","Revenue required from Tariff")</f>
        <v>Fixed costs per customer category</v>
      </c>
      <c r="G238" s="56" t="s">
        <v>87</v>
      </c>
      <c r="H238" s="56" t="s">
        <v>75</v>
      </c>
      <c r="I238" s="56" t="s">
        <v>76</v>
      </c>
      <c r="J238" s="125"/>
      <c r="K238" s="125"/>
    </row>
    <row r="239" spans="3:11" x14ac:dyDescent="0.55000000000000004">
      <c r="C239" s="124"/>
      <c r="D239" s="124"/>
      <c r="E239">
        <f>E232</f>
        <v>0</v>
      </c>
      <c r="F239" s="26">
        <f ca="1">IFERROR(G232/F232,0)</f>
        <v>0</v>
      </c>
      <c r="G239" s="64">
        <f ca="1">IFERROR(G232/F232/12,0)</f>
        <v>0</v>
      </c>
      <c r="H239" s="26">
        <f ca="1">G239*F232*12</f>
        <v>0</v>
      </c>
      <c r="I239" s="21">
        <f ca="1">IFERROR(H239/12,0)</f>
        <v>0</v>
      </c>
      <c r="J239" s="125"/>
      <c r="K239" s="125"/>
    </row>
    <row r="240" spans="3:11" ht="14.7" thickBot="1" x14ac:dyDescent="0.6">
      <c r="C240" s="124"/>
      <c r="D240" s="130"/>
      <c r="E240" s="131"/>
      <c r="F240" s="131"/>
      <c r="G240" s="131"/>
      <c r="H240" s="131"/>
      <c r="I240" s="131"/>
      <c r="J240" s="132"/>
      <c r="K240" s="125"/>
    </row>
    <row r="241" spans="3:11" ht="14.7" thickBot="1" x14ac:dyDescent="0.6">
      <c r="C241" s="130"/>
      <c r="D241" s="131"/>
      <c r="E241" s="131"/>
      <c r="F241" s="131"/>
      <c r="G241" s="131"/>
      <c r="H241" s="131"/>
      <c r="I241" s="131"/>
      <c r="J241" s="131"/>
      <c r="K241" s="132"/>
    </row>
    <row r="242" spans="3:11" ht="14.7" thickBot="1" x14ac:dyDescent="0.6"/>
    <row r="243" spans="3:11" x14ac:dyDescent="0.55000000000000004">
      <c r="C243" s="121"/>
      <c r="D243" s="122"/>
      <c r="E243" s="122"/>
      <c r="F243" s="122"/>
      <c r="G243" s="122"/>
      <c r="H243" s="122"/>
      <c r="I243" s="122"/>
      <c r="J243" s="122"/>
      <c r="K243" s="123"/>
    </row>
    <row r="244" spans="3:11" ht="18.3" x14ac:dyDescent="0.7">
      <c r="C244" s="124"/>
      <c r="D244" s="1822">
        <f>'2 Customer data'!D142</f>
        <v>0</v>
      </c>
      <c r="E244" s="1822"/>
      <c r="F244" s="1822"/>
      <c r="G244" s="1822"/>
      <c r="H244" s="1822"/>
      <c r="I244" s="1822"/>
      <c r="J244" s="1822"/>
      <c r="K244" s="125"/>
    </row>
    <row r="245" spans="3:11" ht="14.7" thickBot="1" x14ac:dyDescent="0.6">
      <c r="C245" s="124"/>
      <c r="K245" s="125"/>
    </row>
    <row r="246" spans="3:11" x14ac:dyDescent="0.55000000000000004">
      <c r="C246" s="124"/>
      <c r="D246" s="121"/>
      <c r="E246" s="122"/>
      <c r="F246" s="122"/>
      <c r="G246" s="122"/>
      <c r="H246" s="122"/>
      <c r="I246" s="122"/>
      <c r="J246" s="123"/>
      <c r="K246" s="125"/>
    </row>
    <row r="247" spans="3:11" x14ac:dyDescent="0.55000000000000004">
      <c r="C247" s="124"/>
      <c r="D247" s="124"/>
      <c r="E247" s="1" t="str">
        <f>'2 Customer data'!D142&amp;" "&amp;"information"</f>
        <v xml:space="preserve"> information</v>
      </c>
      <c r="J247" s="125"/>
      <c r="K247" s="125"/>
    </row>
    <row r="248" spans="3:11" x14ac:dyDescent="0.55000000000000004">
      <c r="C248" s="124"/>
      <c r="D248" s="124"/>
      <c r="J248" s="125"/>
      <c r="K248" s="125"/>
    </row>
    <row r="249" spans="3:11" ht="43.2" x14ac:dyDescent="0.55000000000000004">
      <c r="C249" s="124"/>
      <c r="D249" s="124"/>
      <c r="F249" s="56" t="s">
        <v>28</v>
      </c>
      <c r="G249" s="56" t="s">
        <v>69</v>
      </c>
      <c r="H249" s="56" t="s">
        <v>71</v>
      </c>
      <c r="J249" s="167"/>
      <c r="K249" s="125"/>
    </row>
    <row r="250" spans="3:11" x14ac:dyDescent="0.55000000000000004">
      <c r="C250" s="124"/>
      <c r="D250" s="124"/>
      <c r="E250">
        <f>'2 Customer data'!D142</f>
        <v>0</v>
      </c>
      <c r="F250" s="26">
        <f>IFERROR(IF(VLOOKUP(E250,'2 Customer data'!$D$129:$H$148,5,FALSE)="",VLOOKUP(E250,'2 Customer data'!$D$129:$H$148,4,FALSE),VLOOKUP(E250,'2 Customer data'!$D$129:$H$148,5,FALSE)),0)</f>
        <v>0</v>
      </c>
      <c r="G250" s="26">
        <f ca="1">IFERROR(VLOOKUP(E250,'2 Solid waste'!$D$16:$H$35,4,FALSE)*VLOOKUP('3 Solid waste'!E250,'2 Solid waste'!$D$153:$K$172,8,FALSE)/VLOOKUP('3 Solid waste'!E250,'2 Solid waste'!$D$16:$H$35,5,FALSE),0)</f>
        <v>0</v>
      </c>
      <c r="H250" s="26">
        <f ca="1">IFERROR(VLOOKUP(E250,'2 Solid waste'!$D$153:$K$172,8,FALSE),0)</f>
        <v>0</v>
      </c>
      <c r="J250" s="125"/>
      <c r="K250" s="125"/>
    </row>
    <row r="251" spans="3:11" ht="14.7" thickBot="1" x14ac:dyDescent="0.6">
      <c r="C251" s="124"/>
      <c r="D251" s="130"/>
      <c r="E251" s="131"/>
      <c r="F251" s="131"/>
      <c r="G251" s="131"/>
      <c r="H251" s="131"/>
      <c r="I251" s="131"/>
      <c r="J251" s="132"/>
      <c r="K251" s="125"/>
    </row>
    <row r="252" spans="3:11" ht="14.7" thickBot="1" x14ac:dyDescent="0.6">
      <c r="C252" s="124"/>
      <c r="K252" s="125"/>
    </row>
    <row r="253" spans="3:11" x14ac:dyDescent="0.55000000000000004">
      <c r="C253" s="124"/>
      <c r="D253" s="121"/>
      <c r="E253" s="122"/>
      <c r="F253" s="122"/>
      <c r="G253" s="122"/>
      <c r="H253" s="122"/>
      <c r="I253" s="122"/>
      <c r="J253" s="123"/>
      <c r="K253" s="125"/>
    </row>
    <row r="254" spans="3:11" x14ac:dyDescent="0.55000000000000004">
      <c r="C254" s="124"/>
      <c r="D254" s="124"/>
      <c r="E254" s="1" t="s">
        <v>97</v>
      </c>
      <c r="J254" s="125"/>
      <c r="K254" s="125"/>
    </row>
    <row r="255" spans="3:11" x14ac:dyDescent="0.55000000000000004">
      <c r="C255" s="124"/>
      <c r="D255" s="124"/>
      <c r="E255" s="1"/>
      <c r="J255" s="125"/>
      <c r="K255" s="125"/>
    </row>
    <row r="256" spans="3:11" ht="43.2" x14ac:dyDescent="0.55000000000000004">
      <c r="C256" s="124"/>
      <c r="D256" s="124"/>
      <c r="F256" s="56" t="str">
        <f>IF(F251=S253,"Fixed costs per customer category","Revenue required from Tariff")</f>
        <v>Fixed costs per customer category</v>
      </c>
      <c r="G256" s="56" t="s">
        <v>87</v>
      </c>
      <c r="H256" s="56" t="s">
        <v>75</v>
      </c>
      <c r="I256" s="56" t="s">
        <v>76</v>
      </c>
      <c r="J256" s="125"/>
      <c r="K256" s="125"/>
    </row>
    <row r="257" spans="3:11" x14ac:dyDescent="0.55000000000000004">
      <c r="C257" s="124"/>
      <c r="D257" s="124"/>
      <c r="E257">
        <f>E250</f>
        <v>0</v>
      </c>
      <c r="F257" s="26">
        <f ca="1">IFERROR(G250/F250,0)</f>
        <v>0</v>
      </c>
      <c r="G257" s="64">
        <f ca="1">IFERROR(G250/F250/12,0)</f>
        <v>0</v>
      </c>
      <c r="H257" s="26">
        <f ca="1">G257*F250*12</f>
        <v>0</v>
      </c>
      <c r="I257" s="21">
        <f ca="1">IFERROR(H257/12,0)</f>
        <v>0</v>
      </c>
      <c r="J257" s="125"/>
      <c r="K257" s="125"/>
    </row>
    <row r="258" spans="3:11" ht="14.7" thickBot="1" x14ac:dyDescent="0.6">
      <c r="C258" s="124"/>
      <c r="D258" s="130"/>
      <c r="E258" s="131"/>
      <c r="F258" s="131"/>
      <c r="G258" s="131"/>
      <c r="H258" s="131"/>
      <c r="I258" s="131"/>
      <c r="J258" s="132"/>
      <c r="K258" s="125"/>
    </row>
    <row r="259" spans="3:11" ht="14.7" thickBot="1" x14ac:dyDescent="0.6">
      <c r="C259" s="130"/>
      <c r="D259" s="131"/>
      <c r="E259" s="131"/>
      <c r="F259" s="131"/>
      <c r="G259" s="131"/>
      <c r="H259" s="131"/>
      <c r="I259" s="131"/>
      <c r="J259" s="131"/>
      <c r="K259" s="132"/>
    </row>
    <row r="260" spans="3:11" ht="14.7" thickBot="1" x14ac:dyDescent="0.6"/>
    <row r="261" spans="3:11" x14ac:dyDescent="0.55000000000000004">
      <c r="C261" s="121"/>
      <c r="D261" s="122"/>
      <c r="E261" s="122"/>
      <c r="F261" s="122"/>
      <c r="G261" s="122"/>
      <c r="H261" s="122"/>
      <c r="I261" s="122"/>
      <c r="J261" s="122"/>
      <c r="K261" s="123"/>
    </row>
    <row r="262" spans="3:11" ht="18.3" x14ac:dyDescent="0.7">
      <c r="C262" s="124"/>
      <c r="D262" s="1822">
        <f>'2 Customer data'!D143</f>
        <v>0</v>
      </c>
      <c r="E262" s="1822"/>
      <c r="F262" s="1822"/>
      <c r="G262" s="1822"/>
      <c r="H262" s="1822"/>
      <c r="I262" s="1822"/>
      <c r="J262" s="1822"/>
      <c r="K262" s="125"/>
    </row>
    <row r="263" spans="3:11" ht="14.7" thickBot="1" x14ac:dyDescent="0.6">
      <c r="C263" s="124"/>
      <c r="K263" s="125"/>
    </row>
    <row r="264" spans="3:11" x14ac:dyDescent="0.55000000000000004">
      <c r="C264" s="124"/>
      <c r="D264" s="121"/>
      <c r="E264" s="122"/>
      <c r="F264" s="122"/>
      <c r="G264" s="122"/>
      <c r="H264" s="122"/>
      <c r="I264" s="122"/>
      <c r="J264" s="123"/>
      <c r="K264" s="125"/>
    </row>
    <row r="265" spans="3:11" x14ac:dyDescent="0.55000000000000004">
      <c r="C265" s="124"/>
      <c r="D265" s="124"/>
      <c r="E265" s="1" t="str">
        <f>'2 Customer data'!D143&amp;" "&amp;"information"</f>
        <v xml:space="preserve"> information</v>
      </c>
      <c r="J265" s="125"/>
      <c r="K265" s="125"/>
    </row>
    <row r="266" spans="3:11" x14ac:dyDescent="0.55000000000000004">
      <c r="C266" s="124"/>
      <c r="D266" s="124"/>
      <c r="J266" s="125"/>
      <c r="K266" s="125"/>
    </row>
    <row r="267" spans="3:11" ht="43.2" x14ac:dyDescent="0.55000000000000004">
      <c r="C267" s="124"/>
      <c r="D267" s="124"/>
      <c r="F267" s="56" t="s">
        <v>28</v>
      </c>
      <c r="G267" s="56" t="s">
        <v>69</v>
      </c>
      <c r="H267" s="56" t="s">
        <v>71</v>
      </c>
      <c r="J267" s="167"/>
      <c r="K267" s="125"/>
    </row>
    <row r="268" spans="3:11" x14ac:dyDescent="0.55000000000000004">
      <c r="C268" s="124"/>
      <c r="D268" s="124"/>
      <c r="E268">
        <f>'2 Customer data'!D143</f>
        <v>0</v>
      </c>
      <c r="F268" s="26">
        <f>IFERROR(IF(VLOOKUP(E268,'2 Customer data'!$D$129:$H$148,5,FALSE)="",VLOOKUP(E268,'2 Customer data'!$D$129:$H$148,4,FALSE),VLOOKUP(E268,'2 Customer data'!$D$129:$H$148,5,FALSE)),0)</f>
        <v>0</v>
      </c>
      <c r="G268" s="26">
        <f ca="1">IFERROR(VLOOKUP(E268,'2 Solid waste'!$D$16:$H$35,4,FALSE)*VLOOKUP('3 Solid waste'!E268,'2 Solid waste'!$D$153:$K$172,8,FALSE)/VLOOKUP('3 Solid waste'!E268,'2 Solid waste'!$D$16:$H$35,5,FALSE),0)</f>
        <v>0</v>
      </c>
      <c r="H268" s="26">
        <f ca="1">IFERROR(VLOOKUP(E268,'2 Solid waste'!$D$153:$K$172,8,FALSE),0)</f>
        <v>0</v>
      </c>
      <c r="J268" s="125"/>
      <c r="K268" s="125"/>
    </row>
    <row r="269" spans="3:11" ht="14.7" thickBot="1" x14ac:dyDescent="0.6">
      <c r="C269" s="124"/>
      <c r="D269" s="130"/>
      <c r="E269" s="131"/>
      <c r="F269" s="131"/>
      <c r="G269" s="131"/>
      <c r="H269" s="131"/>
      <c r="I269" s="131"/>
      <c r="J269" s="132"/>
      <c r="K269" s="125"/>
    </row>
    <row r="270" spans="3:11" ht="14.7" thickBot="1" x14ac:dyDescent="0.6">
      <c r="C270" s="124"/>
      <c r="K270" s="125"/>
    </row>
    <row r="271" spans="3:11" x14ac:dyDescent="0.55000000000000004">
      <c r="C271" s="124"/>
      <c r="D271" s="121"/>
      <c r="E271" s="122"/>
      <c r="F271" s="122"/>
      <c r="G271" s="122"/>
      <c r="H271" s="122"/>
      <c r="I271" s="122"/>
      <c r="J271" s="123"/>
      <c r="K271" s="125"/>
    </row>
    <row r="272" spans="3:11" x14ac:dyDescent="0.55000000000000004">
      <c r="C272" s="124"/>
      <c r="D272" s="124"/>
      <c r="E272" s="1" t="s">
        <v>97</v>
      </c>
      <c r="J272" s="125"/>
      <c r="K272" s="125"/>
    </row>
    <row r="273" spans="3:11" x14ac:dyDescent="0.55000000000000004">
      <c r="C273" s="124"/>
      <c r="D273" s="124"/>
      <c r="E273" s="1"/>
      <c r="J273" s="125"/>
      <c r="K273" s="125"/>
    </row>
    <row r="274" spans="3:11" ht="43.2" x14ac:dyDescent="0.55000000000000004">
      <c r="C274" s="124"/>
      <c r="D274" s="124"/>
      <c r="F274" s="56" t="str">
        <f>IF(F269=S271,"Fixed costs per customer category","Revenue required from Tariff")</f>
        <v>Fixed costs per customer category</v>
      </c>
      <c r="G274" s="56" t="s">
        <v>87</v>
      </c>
      <c r="H274" s="56" t="s">
        <v>75</v>
      </c>
      <c r="I274" s="56" t="s">
        <v>76</v>
      </c>
      <c r="J274" s="125"/>
      <c r="K274" s="125"/>
    </row>
    <row r="275" spans="3:11" x14ac:dyDescent="0.55000000000000004">
      <c r="C275" s="124"/>
      <c r="D275" s="124"/>
      <c r="E275">
        <f>E268</f>
        <v>0</v>
      </c>
      <c r="F275" s="26">
        <f ca="1">IFERROR(G268/F268,0)</f>
        <v>0</v>
      </c>
      <c r="G275" s="64">
        <f ca="1">IFERROR(G268/F268/12,0)</f>
        <v>0</v>
      </c>
      <c r="H275" s="26">
        <f ca="1">G275*F268*12</f>
        <v>0</v>
      </c>
      <c r="I275" s="21">
        <f ca="1">IFERROR(H275/12,0)</f>
        <v>0</v>
      </c>
      <c r="J275" s="125"/>
      <c r="K275" s="125"/>
    </row>
    <row r="276" spans="3:11" ht="14.7" thickBot="1" x14ac:dyDescent="0.6">
      <c r="C276" s="124"/>
      <c r="D276" s="130"/>
      <c r="E276" s="131"/>
      <c r="F276" s="131"/>
      <c r="G276" s="131"/>
      <c r="H276" s="131"/>
      <c r="I276" s="131"/>
      <c r="J276" s="132"/>
      <c r="K276" s="125"/>
    </row>
    <row r="277" spans="3:11" ht="14.7" thickBot="1" x14ac:dyDescent="0.6">
      <c r="C277" s="130"/>
      <c r="D277" s="131"/>
      <c r="E277" s="131"/>
      <c r="F277" s="131"/>
      <c r="G277" s="131"/>
      <c r="H277" s="131"/>
      <c r="I277" s="131"/>
      <c r="J277" s="131"/>
      <c r="K277" s="132"/>
    </row>
    <row r="278" spans="3:11" ht="14.7" thickBot="1" x14ac:dyDescent="0.6"/>
    <row r="279" spans="3:11" x14ac:dyDescent="0.55000000000000004">
      <c r="C279" s="121"/>
      <c r="D279" s="122"/>
      <c r="E279" s="122"/>
      <c r="F279" s="122"/>
      <c r="G279" s="122"/>
      <c r="H279" s="122"/>
      <c r="I279" s="122"/>
      <c r="J279" s="122"/>
      <c r="K279" s="123"/>
    </row>
    <row r="280" spans="3:11" ht="18.3" x14ac:dyDescent="0.7">
      <c r="C280" s="124"/>
      <c r="D280" s="1822">
        <f>'2 Customer data'!D144</f>
        <v>0</v>
      </c>
      <c r="E280" s="1822"/>
      <c r="F280" s="1822"/>
      <c r="G280" s="1822"/>
      <c r="H280" s="1822"/>
      <c r="I280" s="1822"/>
      <c r="J280" s="1822"/>
      <c r="K280" s="125"/>
    </row>
    <row r="281" spans="3:11" ht="14.7" thickBot="1" x14ac:dyDescent="0.6">
      <c r="C281" s="124"/>
      <c r="K281" s="125"/>
    </row>
    <row r="282" spans="3:11" x14ac:dyDescent="0.55000000000000004">
      <c r="C282" s="124"/>
      <c r="D282" s="121"/>
      <c r="E282" s="122"/>
      <c r="F282" s="122"/>
      <c r="G282" s="122"/>
      <c r="H282" s="122"/>
      <c r="I282" s="122"/>
      <c r="J282" s="123"/>
      <c r="K282" s="125"/>
    </row>
    <row r="283" spans="3:11" x14ac:dyDescent="0.55000000000000004">
      <c r="C283" s="124"/>
      <c r="D283" s="124"/>
      <c r="E283" s="1" t="str">
        <f>'2 Customer data'!D144&amp;" "&amp;"information"</f>
        <v xml:space="preserve"> information</v>
      </c>
      <c r="J283" s="125"/>
      <c r="K283" s="125"/>
    </row>
    <row r="284" spans="3:11" x14ac:dyDescent="0.55000000000000004">
      <c r="C284" s="124"/>
      <c r="D284" s="124"/>
      <c r="J284" s="125"/>
      <c r="K284" s="125"/>
    </row>
    <row r="285" spans="3:11" ht="43.2" x14ac:dyDescent="0.55000000000000004">
      <c r="C285" s="124"/>
      <c r="D285" s="124"/>
      <c r="F285" s="56" t="s">
        <v>28</v>
      </c>
      <c r="G285" s="56" t="s">
        <v>69</v>
      </c>
      <c r="H285" s="56" t="s">
        <v>71</v>
      </c>
      <c r="J285" s="167"/>
      <c r="K285" s="125"/>
    </row>
    <row r="286" spans="3:11" x14ac:dyDescent="0.55000000000000004">
      <c r="C286" s="124"/>
      <c r="D286" s="124"/>
      <c r="E286">
        <f>'2 Customer data'!D144</f>
        <v>0</v>
      </c>
      <c r="F286" s="26">
        <f>IFERROR(IF(VLOOKUP(E286,'2 Customer data'!$D$129:$H$148,6,FALSE)="",VLOOKUP(E286,'2 Customer data'!$D$129:$H$148,5,FALSE),VLOOKUP(E286,'2 Customer data'!$D$129:$H$148,6,FALSE)),0)</f>
        <v>0</v>
      </c>
      <c r="G286" s="26">
        <f ca="1">IFERROR(VLOOKUP(E286,'2 Solid waste'!$D$16:$H$35,4,FALSE)*VLOOKUP('3 Solid waste'!E286,'2 Solid waste'!$D$153:$K$172,8,FALSE)/VLOOKUP('3 Solid waste'!E286,'2 Solid waste'!$D$16:$H$35,5,FALSE),0)</f>
        <v>0</v>
      </c>
      <c r="H286" s="26">
        <f ca="1">IFERROR(VLOOKUP(E286,'2 Solid waste'!$D$153:$K$172,8,FALSE),0)</f>
        <v>0</v>
      </c>
      <c r="J286" s="125"/>
      <c r="K286" s="125"/>
    </row>
    <row r="287" spans="3:11" ht="14.7" thickBot="1" x14ac:dyDescent="0.6">
      <c r="C287" s="124"/>
      <c r="D287" s="130"/>
      <c r="E287" s="131"/>
      <c r="F287" s="131"/>
      <c r="G287" s="131"/>
      <c r="H287" s="131"/>
      <c r="I287" s="131"/>
      <c r="J287" s="132"/>
      <c r="K287" s="125"/>
    </row>
    <row r="288" spans="3:11" ht="14.7" thickBot="1" x14ac:dyDescent="0.6">
      <c r="C288" s="124"/>
      <c r="K288" s="125"/>
    </row>
    <row r="289" spans="3:11" x14ac:dyDescent="0.55000000000000004">
      <c r="C289" s="124"/>
      <c r="D289" s="121"/>
      <c r="E289" s="122"/>
      <c r="F289" s="122"/>
      <c r="G289" s="122"/>
      <c r="H289" s="122"/>
      <c r="I289" s="122"/>
      <c r="J289" s="123"/>
      <c r="K289" s="125"/>
    </row>
    <row r="290" spans="3:11" x14ac:dyDescent="0.55000000000000004">
      <c r="C290" s="124"/>
      <c r="D290" s="124"/>
      <c r="E290" s="1" t="s">
        <v>97</v>
      </c>
      <c r="J290" s="125"/>
      <c r="K290" s="125"/>
    </row>
    <row r="291" spans="3:11" x14ac:dyDescent="0.55000000000000004">
      <c r="C291" s="124"/>
      <c r="D291" s="124"/>
      <c r="E291" s="1"/>
      <c r="J291" s="125"/>
      <c r="K291" s="125"/>
    </row>
    <row r="292" spans="3:11" ht="43.2" x14ac:dyDescent="0.55000000000000004">
      <c r="C292" s="124"/>
      <c r="D292" s="124"/>
      <c r="F292" s="56" t="str">
        <f>IF(F287=S289,"Fixed costs per customer category","Revenue required from Tariff")</f>
        <v>Fixed costs per customer category</v>
      </c>
      <c r="G292" s="56" t="s">
        <v>87</v>
      </c>
      <c r="H292" s="56" t="s">
        <v>75</v>
      </c>
      <c r="I292" s="56" t="s">
        <v>76</v>
      </c>
      <c r="J292" s="125"/>
      <c r="K292" s="125"/>
    </row>
    <row r="293" spans="3:11" x14ac:dyDescent="0.55000000000000004">
      <c r="C293" s="124"/>
      <c r="D293" s="124"/>
      <c r="E293">
        <f>E286</f>
        <v>0</v>
      </c>
      <c r="F293" s="26">
        <f ca="1">IFERROR(G286/F286,0)</f>
        <v>0</v>
      </c>
      <c r="G293" s="64">
        <f ca="1">IFERROR(G286/F286/12,0)</f>
        <v>0</v>
      </c>
      <c r="H293" s="26">
        <f ca="1">G293*F286*12</f>
        <v>0</v>
      </c>
      <c r="I293" s="21">
        <f ca="1">IFERROR(H293/12,0)</f>
        <v>0</v>
      </c>
      <c r="J293" s="125"/>
      <c r="K293" s="125"/>
    </row>
    <row r="294" spans="3:11" ht="14.7" thickBot="1" x14ac:dyDescent="0.6">
      <c r="C294" s="124"/>
      <c r="D294" s="130"/>
      <c r="E294" s="131"/>
      <c r="F294" s="131"/>
      <c r="G294" s="131"/>
      <c r="H294" s="131"/>
      <c r="I294" s="131"/>
      <c r="J294" s="132"/>
      <c r="K294" s="125"/>
    </row>
    <row r="295" spans="3:11" ht="14.7" thickBot="1" x14ac:dyDescent="0.6">
      <c r="C295" s="130"/>
      <c r="D295" s="131"/>
      <c r="E295" s="131"/>
      <c r="F295" s="131"/>
      <c r="G295" s="131"/>
      <c r="H295" s="131"/>
      <c r="I295" s="131"/>
      <c r="J295" s="131"/>
      <c r="K295" s="132"/>
    </row>
    <row r="296" spans="3:11" ht="14.7" thickBot="1" x14ac:dyDescent="0.6"/>
    <row r="297" spans="3:11" x14ac:dyDescent="0.55000000000000004">
      <c r="C297" s="121"/>
      <c r="D297" s="122"/>
      <c r="E297" s="122"/>
      <c r="F297" s="122"/>
      <c r="G297" s="122"/>
      <c r="H297" s="122"/>
      <c r="I297" s="122"/>
      <c r="J297" s="122"/>
      <c r="K297" s="123"/>
    </row>
    <row r="298" spans="3:11" ht="18.3" x14ac:dyDescent="0.7">
      <c r="C298" s="124"/>
      <c r="D298" s="1822">
        <f>'2 Customer data'!D145</f>
        <v>0</v>
      </c>
      <c r="E298" s="1822"/>
      <c r="F298" s="1822"/>
      <c r="G298" s="1822"/>
      <c r="H298" s="1822"/>
      <c r="I298" s="1822"/>
      <c r="J298" s="1822"/>
      <c r="K298" s="125"/>
    </row>
    <row r="299" spans="3:11" ht="14.7" thickBot="1" x14ac:dyDescent="0.6">
      <c r="C299" s="124"/>
      <c r="K299" s="125"/>
    </row>
    <row r="300" spans="3:11" x14ac:dyDescent="0.55000000000000004">
      <c r="C300" s="124"/>
      <c r="D300" s="121"/>
      <c r="E300" s="122"/>
      <c r="F300" s="122"/>
      <c r="G300" s="122"/>
      <c r="H300" s="122"/>
      <c r="I300" s="122"/>
      <c r="J300" s="123"/>
      <c r="K300" s="125"/>
    </row>
    <row r="301" spans="3:11" x14ac:dyDescent="0.55000000000000004">
      <c r="C301" s="124"/>
      <c r="D301" s="124"/>
      <c r="E301" s="1" t="str">
        <f>'2 Customer data'!D145&amp;" "&amp;"information"</f>
        <v xml:space="preserve"> information</v>
      </c>
      <c r="J301" s="125"/>
      <c r="K301" s="125"/>
    </row>
    <row r="302" spans="3:11" x14ac:dyDescent="0.55000000000000004">
      <c r="C302" s="124"/>
      <c r="D302" s="124"/>
      <c r="J302" s="125"/>
      <c r="K302" s="125"/>
    </row>
    <row r="303" spans="3:11" ht="43.2" x14ac:dyDescent="0.55000000000000004">
      <c r="C303" s="124"/>
      <c r="D303" s="124"/>
      <c r="F303" s="56" t="s">
        <v>28</v>
      </c>
      <c r="G303" s="56" t="s">
        <v>69</v>
      </c>
      <c r="H303" s="56" t="s">
        <v>71</v>
      </c>
      <c r="J303" s="167"/>
      <c r="K303" s="125"/>
    </row>
    <row r="304" spans="3:11" x14ac:dyDescent="0.55000000000000004">
      <c r="C304" s="124"/>
      <c r="D304" s="124"/>
      <c r="E304">
        <f>'2 Customer data'!D145</f>
        <v>0</v>
      </c>
      <c r="F304" s="26">
        <f>IFERROR(IF(VLOOKUP(E304,'2 Customer data'!$D$129:$H$148,5,FALSE)="",VLOOKUP(E304,'2 Customer data'!$D$129:$H$148,4,FALSE),VLOOKUP(E304,'2 Customer data'!$D$129:$H$148,5,FALSE)),0)</f>
        <v>0</v>
      </c>
      <c r="G304" s="26">
        <f ca="1">IFERROR(VLOOKUP(E304,'2 Solid waste'!$D$16:$H$35,4,FALSE)*VLOOKUP('3 Solid waste'!E304,'2 Solid waste'!$D$153:$K$172,8,FALSE)/VLOOKUP('3 Solid waste'!E304,'2 Solid waste'!$D$16:$H$35,5,FALSE),0)</f>
        <v>0</v>
      </c>
      <c r="H304" s="26">
        <f ca="1">IFERROR(VLOOKUP(E304,'2 Solid waste'!$D$153:$K$172,8,FALSE),0)</f>
        <v>0</v>
      </c>
      <c r="J304" s="125"/>
      <c r="K304" s="125"/>
    </row>
    <row r="305" spans="3:11" ht="14.7" thickBot="1" x14ac:dyDescent="0.6">
      <c r="C305" s="124"/>
      <c r="D305" s="130"/>
      <c r="E305" s="131"/>
      <c r="F305" s="131"/>
      <c r="G305" s="131"/>
      <c r="H305" s="131"/>
      <c r="I305" s="131"/>
      <c r="J305" s="132"/>
      <c r="K305" s="125"/>
    </row>
    <row r="306" spans="3:11" ht="14.7" thickBot="1" x14ac:dyDescent="0.6">
      <c r="C306" s="124"/>
      <c r="K306" s="125"/>
    </row>
    <row r="307" spans="3:11" x14ac:dyDescent="0.55000000000000004">
      <c r="C307" s="124"/>
      <c r="D307" s="121"/>
      <c r="E307" s="122"/>
      <c r="F307" s="122"/>
      <c r="G307" s="122"/>
      <c r="H307" s="122"/>
      <c r="I307" s="122"/>
      <c r="J307" s="123"/>
      <c r="K307" s="125"/>
    </row>
    <row r="308" spans="3:11" x14ac:dyDescent="0.55000000000000004">
      <c r="C308" s="124"/>
      <c r="D308" s="124"/>
      <c r="E308" s="1" t="s">
        <v>97</v>
      </c>
      <c r="J308" s="125"/>
      <c r="K308" s="125"/>
    </row>
    <row r="309" spans="3:11" x14ac:dyDescent="0.55000000000000004">
      <c r="C309" s="124"/>
      <c r="D309" s="124"/>
      <c r="E309" s="1"/>
      <c r="J309" s="125"/>
      <c r="K309" s="125"/>
    </row>
    <row r="310" spans="3:11" ht="43.2" x14ac:dyDescent="0.55000000000000004">
      <c r="C310" s="124"/>
      <c r="D310" s="124"/>
      <c r="F310" s="56" t="str">
        <f>IF(F305=S307,"Fixed costs per customer category","Revenue required from Tariff")</f>
        <v>Fixed costs per customer category</v>
      </c>
      <c r="G310" s="56" t="s">
        <v>87</v>
      </c>
      <c r="H310" s="56" t="s">
        <v>75</v>
      </c>
      <c r="I310" s="56" t="s">
        <v>76</v>
      </c>
      <c r="J310" s="125"/>
      <c r="K310" s="125"/>
    </row>
    <row r="311" spans="3:11" x14ac:dyDescent="0.55000000000000004">
      <c r="C311" s="124"/>
      <c r="D311" s="124"/>
      <c r="E311">
        <f>E304</f>
        <v>0</v>
      </c>
      <c r="F311" s="26">
        <f ca="1">IFERROR(G304/F304,0)</f>
        <v>0</v>
      </c>
      <c r="G311" s="64">
        <f ca="1">IFERROR(G304/F304/12,0)</f>
        <v>0</v>
      </c>
      <c r="H311" s="26">
        <f ca="1">G311*F304*12</f>
        <v>0</v>
      </c>
      <c r="I311" s="21">
        <f ca="1">IFERROR(H311/12,0)</f>
        <v>0</v>
      </c>
      <c r="J311" s="125"/>
      <c r="K311" s="125"/>
    </row>
    <row r="312" spans="3:11" ht="14.7" thickBot="1" x14ac:dyDescent="0.6">
      <c r="C312" s="124"/>
      <c r="D312" s="130"/>
      <c r="E312" s="131"/>
      <c r="F312" s="131"/>
      <c r="G312" s="131"/>
      <c r="H312" s="131"/>
      <c r="I312" s="131"/>
      <c r="J312" s="132"/>
      <c r="K312" s="125"/>
    </row>
    <row r="313" spans="3:11" ht="14.7" thickBot="1" x14ac:dyDescent="0.6">
      <c r="C313" s="130"/>
      <c r="D313" s="131"/>
      <c r="E313" s="131"/>
      <c r="F313" s="131"/>
      <c r="G313" s="131"/>
      <c r="H313" s="131"/>
      <c r="I313" s="131"/>
      <c r="J313" s="131"/>
      <c r="K313" s="132"/>
    </row>
    <row r="314" spans="3:11" ht="14.7" thickBot="1" x14ac:dyDescent="0.6"/>
    <row r="315" spans="3:11" x14ac:dyDescent="0.55000000000000004">
      <c r="C315" s="121"/>
      <c r="D315" s="122"/>
      <c r="E315" s="122"/>
      <c r="F315" s="122"/>
      <c r="G315" s="122"/>
      <c r="H315" s="122"/>
      <c r="I315" s="122"/>
      <c r="J315" s="122"/>
      <c r="K315" s="123"/>
    </row>
    <row r="316" spans="3:11" ht="18.3" x14ac:dyDescent="0.7">
      <c r="C316" s="124"/>
      <c r="D316" s="1822">
        <f>'2 Customer data'!D146</f>
        <v>0</v>
      </c>
      <c r="E316" s="1822"/>
      <c r="F316" s="1822"/>
      <c r="G316" s="1822"/>
      <c r="H316" s="1822"/>
      <c r="I316" s="1822"/>
      <c r="J316" s="1822"/>
      <c r="K316" s="125"/>
    </row>
    <row r="317" spans="3:11" ht="14.7" thickBot="1" x14ac:dyDescent="0.6">
      <c r="C317" s="124"/>
      <c r="K317" s="125"/>
    </row>
    <row r="318" spans="3:11" x14ac:dyDescent="0.55000000000000004">
      <c r="C318" s="124"/>
      <c r="D318" s="121"/>
      <c r="E318" s="122"/>
      <c r="F318" s="122"/>
      <c r="G318" s="122"/>
      <c r="H318" s="122"/>
      <c r="I318" s="122"/>
      <c r="J318" s="123"/>
      <c r="K318" s="125"/>
    </row>
    <row r="319" spans="3:11" x14ac:dyDescent="0.55000000000000004">
      <c r="C319" s="124"/>
      <c r="D319" s="124"/>
      <c r="E319" s="1" t="str">
        <f>'2 Customer data'!D146&amp;" "&amp;"information"</f>
        <v xml:space="preserve"> information</v>
      </c>
      <c r="J319" s="125"/>
      <c r="K319" s="125"/>
    </row>
    <row r="320" spans="3:11" x14ac:dyDescent="0.55000000000000004">
      <c r="C320" s="124"/>
      <c r="D320" s="124"/>
      <c r="J320" s="125"/>
      <c r="K320" s="125"/>
    </row>
    <row r="321" spans="3:11" ht="43.2" x14ac:dyDescent="0.55000000000000004">
      <c r="C321" s="124"/>
      <c r="D321" s="124"/>
      <c r="F321" s="56" t="s">
        <v>28</v>
      </c>
      <c r="G321" s="56" t="s">
        <v>69</v>
      </c>
      <c r="H321" s="56" t="s">
        <v>71</v>
      </c>
      <c r="J321" s="167"/>
      <c r="K321" s="125"/>
    </row>
    <row r="322" spans="3:11" x14ac:dyDescent="0.55000000000000004">
      <c r="C322" s="124"/>
      <c r="D322" s="124"/>
      <c r="E322">
        <f>'2 Customer data'!D146</f>
        <v>0</v>
      </c>
      <c r="F322" s="26">
        <f>IFERROR(IF(VLOOKUP(E322,'2 Customer data'!$D$129:$H$148,5,FALSE)="",VLOOKUP(E322,'2 Customer data'!$D$129:$H$148,4,FALSE),VLOOKUP(E322,'2 Customer data'!$D$129:$H$148,5,FALSE)),0)</f>
        <v>0</v>
      </c>
      <c r="G322" s="26">
        <f ca="1">IFERROR(VLOOKUP(E322,'2 Solid waste'!$D$16:$H$35,4,FALSE)*VLOOKUP('3 Solid waste'!E322,'2 Solid waste'!$D$153:$K$172,8,FALSE)/VLOOKUP('3 Solid waste'!E322,'2 Solid waste'!$D$16:$H$35,5,FALSE),0)</f>
        <v>0</v>
      </c>
      <c r="H322" s="26">
        <f ca="1">IFERROR(VLOOKUP(E322,'2 Solid waste'!$D$153:$K$172,8,FALSE),0)</f>
        <v>0</v>
      </c>
      <c r="J322" s="125"/>
      <c r="K322" s="125"/>
    </row>
    <row r="323" spans="3:11" ht="14.7" thickBot="1" x14ac:dyDescent="0.6">
      <c r="C323" s="124"/>
      <c r="D323" s="130"/>
      <c r="E323" s="131"/>
      <c r="F323" s="131"/>
      <c r="G323" s="131"/>
      <c r="H323" s="131"/>
      <c r="I323" s="131"/>
      <c r="J323" s="132"/>
      <c r="K323" s="125"/>
    </row>
    <row r="324" spans="3:11" ht="14.7" thickBot="1" x14ac:dyDescent="0.6">
      <c r="C324" s="124"/>
      <c r="K324" s="125"/>
    </row>
    <row r="325" spans="3:11" x14ac:dyDescent="0.55000000000000004">
      <c r="C325" s="124"/>
      <c r="D325" s="121"/>
      <c r="E325" s="122"/>
      <c r="F325" s="122"/>
      <c r="G325" s="122"/>
      <c r="H325" s="122"/>
      <c r="I325" s="122"/>
      <c r="J325" s="123"/>
      <c r="K325" s="125"/>
    </row>
    <row r="326" spans="3:11" x14ac:dyDescent="0.55000000000000004">
      <c r="C326" s="124"/>
      <c r="D326" s="124"/>
      <c r="E326" s="1" t="s">
        <v>97</v>
      </c>
      <c r="J326" s="125"/>
      <c r="K326" s="125"/>
    </row>
    <row r="327" spans="3:11" x14ac:dyDescent="0.55000000000000004">
      <c r="C327" s="124"/>
      <c r="D327" s="124"/>
      <c r="E327" s="1"/>
      <c r="J327" s="125"/>
      <c r="K327" s="125"/>
    </row>
    <row r="328" spans="3:11" ht="43.2" x14ac:dyDescent="0.55000000000000004">
      <c r="C328" s="124"/>
      <c r="D328" s="124"/>
      <c r="F328" s="56" t="str">
        <f>IF(F323=S325,"Fixed costs per customer category","Revenue required from Tariff")</f>
        <v>Fixed costs per customer category</v>
      </c>
      <c r="G328" s="56" t="s">
        <v>87</v>
      </c>
      <c r="H328" s="56" t="s">
        <v>75</v>
      </c>
      <c r="I328" s="56" t="s">
        <v>76</v>
      </c>
      <c r="J328" s="125"/>
      <c r="K328" s="125"/>
    </row>
    <row r="329" spans="3:11" x14ac:dyDescent="0.55000000000000004">
      <c r="C329" s="124"/>
      <c r="D329" s="124"/>
      <c r="E329">
        <f>E322</f>
        <v>0</v>
      </c>
      <c r="F329" s="26">
        <f ca="1">IFERROR(G322/F322,0)</f>
        <v>0</v>
      </c>
      <c r="G329" s="64">
        <f ca="1">IFERROR(G322/F322/12,0)</f>
        <v>0</v>
      </c>
      <c r="H329" s="26">
        <f ca="1">G329*F322*12</f>
        <v>0</v>
      </c>
      <c r="I329" s="21">
        <f ca="1">IFERROR(H329/12,0)</f>
        <v>0</v>
      </c>
      <c r="J329" s="125"/>
      <c r="K329" s="125"/>
    </row>
    <row r="330" spans="3:11" ht="14.7" thickBot="1" x14ac:dyDescent="0.6">
      <c r="C330" s="124"/>
      <c r="D330" s="130"/>
      <c r="E330" s="131"/>
      <c r="F330" s="131"/>
      <c r="G330" s="131"/>
      <c r="H330" s="131"/>
      <c r="I330" s="131"/>
      <c r="J330" s="132"/>
      <c r="K330" s="125"/>
    </row>
    <row r="331" spans="3:11" ht="14.7" thickBot="1" x14ac:dyDescent="0.6">
      <c r="C331" s="130"/>
      <c r="D331" s="131"/>
      <c r="E331" s="131"/>
      <c r="F331" s="131"/>
      <c r="G331" s="131"/>
      <c r="H331" s="131"/>
      <c r="I331" s="131"/>
      <c r="J331" s="131"/>
      <c r="K331" s="132"/>
    </row>
    <row r="332" spans="3:11" ht="14.7" thickBot="1" x14ac:dyDescent="0.6"/>
    <row r="333" spans="3:11" x14ac:dyDescent="0.55000000000000004">
      <c r="C333" s="121"/>
      <c r="D333" s="122"/>
      <c r="E333" s="122"/>
      <c r="F333" s="122"/>
      <c r="G333" s="122"/>
      <c r="H333" s="122"/>
      <c r="I333" s="122"/>
      <c r="J333" s="122"/>
      <c r="K333" s="123"/>
    </row>
    <row r="334" spans="3:11" ht="18.3" x14ac:dyDescent="0.7">
      <c r="C334" s="124"/>
      <c r="D334" s="1822">
        <f>'2 Customer data'!D147</f>
        <v>0</v>
      </c>
      <c r="E334" s="1822"/>
      <c r="F334" s="1822"/>
      <c r="G334" s="1822"/>
      <c r="H334" s="1822"/>
      <c r="I334" s="1822"/>
      <c r="J334" s="1822"/>
      <c r="K334" s="125"/>
    </row>
    <row r="335" spans="3:11" ht="14.7" thickBot="1" x14ac:dyDescent="0.6">
      <c r="C335" s="124"/>
      <c r="K335" s="125"/>
    </row>
    <row r="336" spans="3:11" x14ac:dyDescent="0.55000000000000004">
      <c r="C336" s="124"/>
      <c r="D336" s="121"/>
      <c r="E336" s="122"/>
      <c r="F336" s="122"/>
      <c r="G336" s="122"/>
      <c r="H336" s="122"/>
      <c r="I336" s="122"/>
      <c r="J336" s="123"/>
      <c r="K336" s="125"/>
    </row>
    <row r="337" spans="3:11" x14ac:dyDescent="0.55000000000000004">
      <c r="C337" s="124"/>
      <c r="D337" s="124"/>
      <c r="E337" s="1" t="str">
        <f>'2 Customer data'!D147&amp;" "&amp;"information"</f>
        <v xml:space="preserve"> information</v>
      </c>
      <c r="J337" s="125"/>
      <c r="K337" s="125"/>
    </row>
    <row r="338" spans="3:11" x14ac:dyDescent="0.55000000000000004">
      <c r="C338" s="124"/>
      <c r="D338" s="124"/>
      <c r="J338" s="125"/>
      <c r="K338" s="125"/>
    </row>
    <row r="339" spans="3:11" ht="43.2" x14ac:dyDescent="0.55000000000000004">
      <c r="C339" s="124"/>
      <c r="D339" s="124"/>
      <c r="F339" s="56" t="s">
        <v>28</v>
      </c>
      <c r="G339" s="56" t="s">
        <v>69</v>
      </c>
      <c r="H339" s="56" t="s">
        <v>71</v>
      </c>
      <c r="J339" s="167"/>
      <c r="K339" s="125"/>
    </row>
    <row r="340" spans="3:11" x14ac:dyDescent="0.55000000000000004">
      <c r="C340" s="124"/>
      <c r="D340" s="124"/>
      <c r="E340">
        <f>'2 Customer data'!D147</f>
        <v>0</v>
      </c>
      <c r="F340" s="26">
        <f>IFERROR(IF(VLOOKUP(E340,'2 Customer data'!$D$129:$H$148,5,FALSE)="",VLOOKUP(E340,'2 Customer data'!$D$129:$H$148,4,FALSE),VLOOKUP(E340,'2 Customer data'!$D$129:$H$148,5,FALSE)),0)</f>
        <v>0</v>
      </c>
      <c r="G340" s="26">
        <f ca="1">IFERROR(VLOOKUP(E340,'2 Solid waste'!$D$16:$H$35,4,FALSE)*VLOOKUP('3 Solid waste'!E340,'2 Solid waste'!$D$153:$K$172,8,FALSE)/VLOOKUP('3 Solid waste'!E340,'2 Solid waste'!$D$16:$H$35,5,FALSE),0)</f>
        <v>0</v>
      </c>
      <c r="H340" s="26">
        <f ca="1">IFERROR(VLOOKUP(E340,'2 Solid waste'!$D$153:$K$172,8,FALSE),0)</f>
        <v>0</v>
      </c>
      <c r="J340" s="125"/>
      <c r="K340" s="125"/>
    </row>
    <row r="341" spans="3:11" ht="14.7" thickBot="1" x14ac:dyDescent="0.6">
      <c r="C341" s="124"/>
      <c r="D341" s="130"/>
      <c r="E341" s="131"/>
      <c r="F341" s="131"/>
      <c r="G341" s="131"/>
      <c r="H341" s="131"/>
      <c r="I341" s="131"/>
      <c r="J341" s="132"/>
      <c r="K341" s="125"/>
    </row>
    <row r="342" spans="3:11" ht="14.7" thickBot="1" x14ac:dyDescent="0.6">
      <c r="C342" s="124"/>
      <c r="K342" s="125"/>
    </row>
    <row r="343" spans="3:11" x14ac:dyDescent="0.55000000000000004">
      <c r="C343" s="124"/>
      <c r="D343" s="121"/>
      <c r="E343" s="122"/>
      <c r="F343" s="122"/>
      <c r="G343" s="122"/>
      <c r="H343" s="122"/>
      <c r="I343" s="122"/>
      <c r="J343" s="123"/>
      <c r="K343" s="125"/>
    </row>
    <row r="344" spans="3:11" x14ac:dyDescent="0.55000000000000004">
      <c r="C344" s="124"/>
      <c r="D344" s="124"/>
      <c r="E344" s="1" t="s">
        <v>97</v>
      </c>
      <c r="J344" s="125"/>
      <c r="K344" s="125"/>
    </row>
    <row r="345" spans="3:11" x14ac:dyDescent="0.55000000000000004">
      <c r="C345" s="124"/>
      <c r="D345" s="124"/>
      <c r="E345" s="1"/>
      <c r="J345" s="125"/>
      <c r="K345" s="125"/>
    </row>
    <row r="346" spans="3:11" ht="43.2" x14ac:dyDescent="0.55000000000000004">
      <c r="C346" s="124"/>
      <c r="D346" s="124"/>
      <c r="F346" s="56" t="str">
        <f>IF(F341=S343,"Fixed costs per customer category","Revenue required from Tariff")</f>
        <v>Fixed costs per customer category</v>
      </c>
      <c r="G346" s="56" t="s">
        <v>87</v>
      </c>
      <c r="H346" s="56" t="s">
        <v>75</v>
      </c>
      <c r="I346" s="56" t="s">
        <v>76</v>
      </c>
      <c r="J346" s="125"/>
      <c r="K346" s="125"/>
    </row>
    <row r="347" spans="3:11" x14ac:dyDescent="0.55000000000000004">
      <c r="C347" s="124"/>
      <c r="D347" s="124"/>
      <c r="E347">
        <f>E340</f>
        <v>0</v>
      </c>
      <c r="F347" s="26">
        <f ca="1">IFERROR(G340/F340,0)</f>
        <v>0</v>
      </c>
      <c r="G347" s="64">
        <f ca="1">IFERROR(G340/F340/12,0)</f>
        <v>0</v>
      </c>
      <c r="H347" s="26">
        <f ca="1">G347*F340*12</f>
        <v>0</v>
      </c>
      <c r="I347" s="21">
        <f ca="1">IFERROR(H347/12,0)</f>
        <v>0</v>
      </c>
      <c r="J347" s="125"/>
      <c r="K347" s="125"/>
    </row>
    <row r="348" spans="3:11" ht="14.7" thickBot="1" x14ac:dyDescent="0.6">
      <c r="C348" s="124"/>
      <c r="D348" s="130"/>
      <c r="E348" s="131"/>
      <c r="F348" s="131"/>
      <c r="G348" s="131"/>
      <c r="H348" s="131"/>
      <c r="I348" s="131"/>
      <c r="J348" s="132"/>
      <c r="K348" s="125"/>
    </row>
    <row r="349" spans="3:11" ht="14.7" thickBot="1" x14ac:dyDescent="0.6">
      <c r="C349" s="130"/>
      <c r="D349" s="131"/>
      <c r="E349" s="131"/>
      <c r="F349" s="131"/>
      <c r="G349" s="131"/>
      <c r="H349" s="131"/>
      <c r="I349" s="131"/>
      <c r="J349" s="131"/>
      <c r="K349" s="132"/>
    </row>
    <row r="350" spans="3:11" ht="14.7" thickBot="1" x14ac:dyDescent="0.6"/>
    <row r="351" spans="3:11" x14ac:dyDescent="0.55000000000000004">
      <c r="C351" s="121"/>
      <c r="D351" s="122"/>
      <c r="E351" s="122"/>
      <c r="F351" s="122"/>
      <c r="G351" s="122"/>
      <c r="H351" s="122"/>
      <c r="I351" s="122"/>
      <c r="J351" s="122"/>
      <c r="K351" s="123"/>
    </row>
    <row r="352" spans="3:11" ht="18.3" x14ac:dyDescent="0.7">
      <c r="C352" s="124"/>
      <c r="D352" s="1822">
        <f>'2 Customer data'!D148</f>
        <v>0</v>
      </c>
      <c r="E352" s="1822"/>
      <c r="F352" s="1822"/>
      <c r="G352" s="1822"/>
      <c r="H352" s="1822"/>
      <c r="I352" s="1822"/>
      <c r="J352" s="1822"/>
      <c r="K352" s="125"/>
    </row>
    <row r="353" spans="3:11" ht="14.7" thickBot="1" x14ac:dyDescent="0.6">
      <c r="C353" s="124"/>
      <c r="K353" s="125"/>
    </row>
    <row r="354" spans="3:11" x14ac:dyDescent="0.55000000000000004">
      <c r="C354" s="124"/>
      <c r="D354" s="121"/>
      <c r="E354" s="122"/>
      <c r="F354" s="122"/>
      <c r="G354" s="122"/>
      <c r="H354" s="122"/>
      <c r="I354" s="122"/>
      <c r="J354" s="123"/>
      <c r="K354" s="125"/>
    </row>
    <row r="355" spans="3:11" x14ac:dyDescent="0.55000000000000004">
      <c r="C355" s="124"/>
      <c r="D355" s="124"/>
      <c r="E355" s="1" t="str">
        <f>'2 Customer data'!D148&amp;" "&amp;"information"</f>
        <v xml:space="preserve"> information</v>
      </c>
      <c r="J355" s="125"/>
      <c r="K355" s="125"/>
    </row>
    <row r="356" spans="3:11" x14ac:dyDescent="0.55000000000000004">
      <c r="C356" s="124"/>
      <c r="D356" s="124"/>
      <c r="J356" s="125"/>
      <c r="K356" s="125"/>
    </row>
    <row r="357" spans="3:11" ht="43.2" x14ac:dyDescent="0.55000000000000004">
      <c r="C357" s="124"/>
      <c r="D357" s="124"/>
      <c r="F357" s="56" t="s">
        <v>28</v>
      </c>
      <c r="G357" s="56" t="s">
        <v>69</v>
      </c>
      <c r="H357" s="56" t="s">
        <v>71</v>
      </c>
      <c r="J357" s="167"/>
      <c r="K357" s="125"/>
    </row>
    <row r="358" spans="3:11" x14ac:dyDescent="0.55000000000000004">
      <c r="C358" s="124"/>
      <c r="D358" s="124"/>
      <c r="E358">
        <f>'2 Customer data'!D148</f>
        <v>0</v>
      </c>
      <c r="F358" s="26">
        <f>IFERROR(IF(VLOOKUP(E358,'2 Customer data'!$D$129:$H$148,5,FALSE)="",VLOOKUP(E358,'2 Customer data'!$D$129:$H$148,4,FALSE),VLOOKUP(E358,'2 Customer data'!$D$129:$H$148,5,FALSE)),0)</f>
        <v>0</v>
      </c>
      <c r="G358" s="26">
        <f ca="1">IFERROR(VLOOKUP(E358,'2 Solid waste'!$D$16:$H$35,4,FALSE)*VLOOKUP('3 Solid waste'!E358,'2 Solid waste'!$D$153:$K$172,8,FALSE)/VLOOKUP('3 Solid waste'!E358,'2 Solid waste'!$D$16:$H$35,5,FALSE),0)</f>
        <v>0</v>
      </c>
      <c r="H358" s="26">
        <f ca="1">IFERROR(VLOOKUP(E358,'2 Solid waste'!$D$153:$K$172,8,FALSE),0)</f>
        <v>0</v>
      </c>
      <c r="J358" s="125"/>
      <c r="K358" s="125"/>
    </row>
    <row r="359" spans="3:11" ht="14.7" thickBot="1" x14ac:dyDescent="0.6">
      <c r="C359" s="124"/>
      <c r="D359" s="130"/>
      <c r="E359" s="131"/>
      <c r="F359" s="131"/>
      <c r="G359" s="131"/>
      <c r="H359" s="131"/>
      <c r="I359" s="131"/>
      <c r="J359" s="132"/>
      <c r="K359" s="125"/>
    </row>
    <row r="360" spans="3:11" ht="14.7" thickBot="1" x14ac:dyDescent="0.6">
      <c r="C360" s="124"/>
      <c r="K360" s="125"/>
    </row>
    <row r="361" spans="3:11" x14ac:dyDescent="0.55000000000000004">
      <c r="C361" s="124"/>
      <c r="D361" s="121"/>
      <c r="E361" s="122"/>
      <c r="F361" s="122"/>
      <c r="G361" s="122"/>
      <c r="H361" s="122"/>
      <c r="I361" s="122"/>
      <c r="J361" s="123"/>
      <c r="K361" s="125"/>
    </row>
    <row r="362" spans="3:11" x14ac:dyDescent="0.55000000000000004">
      <c r="C362" s="124"/>
      <c r="D362" s="124"/>
      <c r="E362" s="1" t="s">
        <v>97</v>
      </c>
      <c r="J362" s="125"/>
      <c r="K362" s="125"/>
    </row>
    <row r="363" spans="3:11" x14ac:dyDescent="0.55000000000000004">
      <c r="C363" s="124"/>
      <c r="D363" s="124"/>
      <c r="E363" s="1"/>
      <c r="J363" s="125"/>
      <c r="K363" s="125"/>
    </row>
    <row r="364" spans="3:11" ht="43.2" x14ac:dyDescent="0.55000000000000004">
      <c r="C364" s="124"/>
      <c r="D364" s="124"/>
      <c r="F364" s="56" t="str">
        <f>IF(F359=S361,"Fixed costs per customer category","Revenue required from Tariff")</f>
        <v>Fixed costs per customer category</v>
      </c>
      <c r="G364" s="56" t="s">
        <v>87</v>
      </c>
      <c r="H364" s="56" t="s">
        <v>75</v>
      </c>
      <c r="I364" s="56" t="s">
        <v>76</v>
      </c>
      <c r="J364" s="125"/>
      <c r="K364" s="125"/>
    </row>
    <row r="365" spans="3:11" x14ac:dyDescent="0.55000000000000004">
      <c r="C365" s="124"/>
      <c r="D365" s="124"/>
      <c r="E365">
        <f>E358</f>
        <v>0</v>
      </c>
      <c r="F365" s="26">
        <f ca="1">IFERROR(G358/F358,0)</f>
        <v>0</v>
      </c>
      <c r="G365" s="64">
        <f ca="1">IFERROR(G358/F358/12,0)</f>
        <v>0</v>
      </c>
      <c r="H365" s="26">
        <f ca="1">G365*F358*12</f>
        <v>0</v>
      </c>
      <c r="I365" s="21">
        <f ca="1">IFERROR(H365/12,0)</f>
        <v>0</v>
      </c>
      <c r="J365" s="125"/>
      <c r="K365" s="125"/>
    </row>
    <row r="366" spans="3:11" ht="14.7" thickBot="1" x14ac:dyDescent="0.6">
      <c r="C366" s="124"/>
      <c r="D366" s="130"/>
      <c r="E366" s="131"/>
      <c r="F366" s="131"/>
      <c r="G366" s="131"/>
      <c r="H366" s="131"/>
      <c r="I366" s="131"/>
      <c r="J366" s="132"/>
      <c r="K366" s="125"/>
    </row>
    <row r="367" spans="3:11" ht="14.7" thickBot="1" x14ac:dyDescent="0.6">
      <c r="C367" s="130"/>
      <c r="D367" s="131"/>
      <c r="E367" s="131"/>
      <c r="F367" s="131"/>
      <c r="G367" s="131"/>
      <c r="H367" s="131"/>
      <c r="I367" s="131"/>
      <c r="J367" s="131"/>
      <c r="K367" s="132"/>
    </row>
  </sheetData>
  <sheetProtection sheet="1" objects="1" scenarios="1"/>
  <mergeCells count="23">
    <mergeCell ref="D316:J316"/>
    <mergeCell ref="D334:J334"/>
    <mergeCell ref="D352:J352"/>
    <mergeCell ref="D208:J208"/>
    <mergeCell ref="D226:J226"/>
    <mergeCell ref="D244:J244"/>
    <mergeCell ref="D262:J262"/>
    <mergeCell ref="D280:J280"/>
    <mergeCell ref="D46:J46"/>
    <mergeCell ref="D64:J64"/>
    <mergeCell ref="D82:J82"/>
    <mergeCell ref="D100:J100"/>
    <mergeCell ref="D298:J298"/>
    <mergeCell ref="D118:J118"/>
    <mergeCell ref="D136:J136"/>
    <mergeCell ref="D154:J154"/>
    <mergeCell ref="D172:J172"/>
    <mergeCell ref="D190:J190"/>
    <mergeCell ref="G1:G2"/>
    <mergeCell ref="I1:I2"/>
    <mergeCell ref="C7:J7"/>
    <mergeCell ref="D10:J10"/>
    <mergeCell ref="D28:J28"/>
  </mergeCells>
  <conditionalFormatting sqref="E22:I23 E40:I41 E58:I59 E76:I77 E94:I95 E112:I113 E130:I131 E148:I149 E166:I167 E184:I185 E202:I203 E220:I221 E238:I239 E256:I257 E274:I275 E292:I293 E310:I311 E328:I329 E346:I347 E364:I365">
    <cfRule type="expression" dxfId="0" priority="268">
      <formula>AND($F$19&lt;&gt;$S$19,$F$19&lt;&gt;$S$21)</formula>
    </cfRule>
  </conditionalFormatting>
  <pageMargins left="0.7" right="0.7" top="0.75" bottom="0.75" header="0.3" footer="0.3"/>
  <pageSetup paperSize="9" orientation="portrait" r:id="rId1"/>
  <drawing r:id="rId2"/>
  <legacyDrawing r:id="rId3"/>
  <controls>
    <mc:AlternateContent xmlns:mc="http://schemas.openxmlformats.org/markup-compatibility/2006">
      <mc:Choice Requires="x14">
        <control shapeId="22529" r:id="rId4" name="cb3SWCus">
          <controlPr defaultSize="0" autoLine="0" autoPict="0" r:id="rId5">
            <anchor moveWithCells="1">
              <from>
                <xdr:col>5</xdr:col>
                <xdr:colOff>480060</xdr:colOff>
                <xdr:row>2</xdr:row>
                <xdr:rowOff>60960</xdr:rowOff>
              </from>
              <to>
                <xdr:col>7</xdr:col>
                <xdr:colOff>419100</xdr:colOff>
                <xdr:row>3</xdr:row>
                <xdr:rowOff>137160</xdr:rowOff>
              </to>
            </anchor>
          </controlPr>
        </control>
      </mc:Choice>
      <mc:Fallback>
        <control shapeId="22529" r:id="rId4" name="cb3SWCus"/>
      </mc:Fallback>
    </mc:AlternateContent>
    <mc:AlternateContent xmlns:mc="http://schemas.openxmlformats.org/markup-compatibility/2006">
      <mc:Choice Requires="x14">
        <control shapeId="22530" r:id="rId6" name="cb3SW">
          <controlPr defaultSize="0" autoLine="0" r:id="rId7">
            <anchor moveWithCells="1">
              <from>
                <xdr:col>7</xdr:col>
                <xdr:colOff>586740</xdr:colOff>
                <xdr:row>2</xdr:row>
                <xdr:rowOff>68580</xdr:rowOff>
              </from>
              <to>
                <xdr:col>9</xdr:col>
                <xdr:colOff>163830</xdr:colOff>
                <xdr:row>3</xdr:row>
                <xdr:rowOff>121920</xdr:rowOff>
              </to>
            </anchor>
          </controlPr>
        </control>
      </mc:Choice>
      <mc:Fallback>
        <control shapeId="22530" r:id="rId6" name="cb3SW"/>
      </mc:Fallback>
    </mc:AlternateContent>
  </controls>
</worksheet>
</file>

<file path=xl/worksheets/sheet3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5240A01-A9F8-4E23-AA83-594B5DDEB922}">
  <sheetPr codeName="Sheet3">
    <tabColor rgb="FFFFFF8F"/>
  </sheetPr>
  <dimension ref="B1:S1366"/>
  <sheetViews>
    <sheetView showGridLines="0" zoomScaleNormal="100" workbookViewId="0">
      <pane ySplit="4" topLeftCell="A5" activePane="bottomLeft" state="frozen"/>
      <selection pane="bottomLeft" activeCell="C7" sqref="C7"/>
    </sheetView>
  </sheetViews>
  <sheetFormatPr defaultColWidth="8.7890625" defaultRowHeight="14.4" x14ac:dyDescent="0.55000000000000004"/>
  <cols>
    <col min="1" max="1" width="3.41796875" style="117" customWidth="1"/>
    <col min="2" max="2" width="2.20703125" customWidth="1"/>
    <col min="3" max="3" width="4.7890625" customWidth="1"/>
    <col min="4" max="4" width="43.7890625" customWidth="1"/>
    <col min="5" max="5" width="15.7890625" customWidth="1"/>
    <col min="6" max="7" width="14.7890625" customWidth="1"/>
    <col min="8" max="8" width="3" customWidth="1"/>
    <col min="9" max="9" width="14.7890625" style="223" customWidth="1"/>
    <col min="10" max="10" width="20.20703125" style="223" customWidth="1"/>
    <col min="11" max="11" width="22.7890625" style="223" customWidth="1"/>
    <col min="12" max="12" width="8.7890625" style="223"/>
    <col min="13" max="13" width="16" style="224" bestFit="1" customWidth="1"/>
    <col min="14" max="14" width="10.20703125" style="224" bestFit="1" customWidth="1"/>
    <col min="15" max="15" width="8.7890625" style="224"/>
    <col min="16" max="16" width="11.20703125" style="117" bestFit="1" customWidth="1"/>
    <col min="17" max="17" width="10.7890625" style="117" bestFit="1" customWidth="1"/>
    <col min="18" max="19" width="11.20703125" style="117" bestFit="1" customWidth="1"/>
    <col min="20" max="16384" width="8.7890625" style="117"/>
  </cols>
  <sheetData>
    <row r="1" spans="2:19" customFormat="1" x14ac:dyDescent="0.55000000000000004">
      <c r="E1" s="1823" t="s">
        <v>212</v>
      </c>
      <c r="G1" s="1814" t="s">
        <v>206</v>
      </c>
    </row>
    <row r="2" spans="2:19" customFormat="1" x14ac:dyDescent="0.55000000000000004">
      <c r="E2" s="1823"/>
      <c r="G2" s="1814"/>
    </row>
    <row r="3" spans="2:19" customFormat="1" x14ac:dyDescent="0.55000000000000004"/>
    <row r="4" spans="2:19" s="219" customFormat="1" ht="21" customHeight="1" x14ac:dyDescent="0.55000000000000004"/>
    <row r="5" spans="2:19" x14ac:dyDescent="0.55000000000000004">
      <c r="B5" s="117"/>
      <c r="C5" s="117"/>
      <c r="D5" s="117"/>
      <c r="E5" s="117"/>
      <c r="F5" s="117"/>
      <c r="G5" s="117"/>
      <c r="H5" s="117"/>
      <c r="I5" s="117"/>
      <c r="J5" s="117"/>
      <c r="K5" s="117"/>
      <c r="L5" s="117"/>
      <c r="M5" s="117"/>
      <c r="N5" s="117"/>
      <c r="O5" s="117"/>
    </row>
    <row r="6" spans="2:19" ht="14.7" thickBot="1" x14ac:dyDescent="0.6">
      <c r="I6" s="117"/>
      <c r="J6" s="117"/>
      <c r="K6" s="117"/>
      <c r="L6" s="117"/>
      <c r="M6" s="117"/>
      <c r="N6" s="117"/>
      <c r="O6" s="117"/>
    </row>
    <row r="7" spans="2:19" x14ac:dyDescent="0.55000000000000004">
      <c r="C7" s="121"/>
      <c r="D7" s="122"/>
      <c r="E7" s="122"/>
      <c r="F7" s="122"/>
      <c r="G7" s="123"/>
      <c r="I7" s="117"/>
      <c r="J7" s="117"/>
      <c r="K7" s="117"/>
      <c r="L7" s="117"/>
      <c r="M7" s="117"/>
      <c r="N7" s="117"/>
      <c r="O7" s="117"/>
    </row>
    <row r="8" spans="2:19" ht="15.6" x14ac:dyDescent="0.6">
      <c r="C8" s="124"/>
      <c r="D8" s="98" t="str">
        <f>'2 Customer data'!D21</f>
        <v>Domestic: Conventional</v>
      </c>
      <c r="G8" s="125"/>
      <c r="I8" s="117"/>
      <c r="J8" s="117"/>
      <c r="K8" s="117"/>
      <c r="L8" s="117"/>
      <c r="M8" s="117"/>
      <c r="N8" s="117"/>
      <c r="O8" s="117"/>
    </row>
    <row r="9" spans="2:19" x14ac:dyDescent="0.55000000000000004">
      <c r="C9" s="124"/>
      <c r="E9" s="220" t="s">
        <v>250</v>
      </c>
      <c r="G9" s="125"/>
      <c r="I9" s="117"/>
      <c r="J9" s="117"/>
      <c r="K9" s="117"/>
      <c r="L9" s="117"/>
      <c r="M9" s="117"/>
      <c r="N9" s="117"/>
      <c r="O9" s="117"/>
    </row>
    <row r="10" spans="2:19" x14ac:dyDescent="0.55000000000000004">
      <c r="C10" s="124"/>
      <c r="D10" t="s">
        <v>369</v>
      </c>
      <c r="E10" s="26">
        <f ca="1">VLOOKUP(D8,'2 Water'!$D$19:$J$38,5,FALSE)</f>
        <v>55038171.563603692</v>
      </c>
      <c r="G10" s="125"/>
      <c r="I10" s="117"/>
      <c r="J10" s="117"/>
      <c r="K10" s="117"/>
      <c r="L10" s="117"/>
      <c r="M10" s="117"/>
      <c r="N10" s="117"/>
      <c r="O10" s="117"/>
    </row>
    <row r="11" spans="2:19" x14ac:dyDescent="0.55000000000000004">
      <c r="C11" s="124"/>
      <c r="D11" t="s">
        <v>370</v>
      </c>
      <c r="E11" s="99">
        <f ca="1">VLOOKUP(D8,'2 Water'!$D$19:$J$38,6,FALSE)</f>
        <v>43826499.750479095</v>
      </c>
      <c r="G11" s="125"/>
      <c r="I11" s="117"/>
      <c r="J11" s="117"/>
      <c r="K11" s="117"/>
      <c r="L11" s="117"/>
      <c r="M11" s="117"/>
      <c r="N11" s="117"/>
      <c r="O11" s="117"/>
    </row>
    <row r="12" spans="2:19" ht="14.7" thickBot="1" x14ac:dyDescent="0.6">
      <c r="C12" s="124"/>
      <c r="D12" s="1" t="s">
        <v>39</v>
      </c>
      <c r="E12" s="37">
        <f ca="1">VLOOKUP(D8,'2 Water'!$D$19:$J$38,7,FALSE)</f>
        <v>98864671.314082786</v>
      </c>
      <c r="G12" s="125"/>
      <c r="I12" s="117"/>
      <c r="J12" s="117"/>
      <c r="K12" s="117"/>
      <c r="L12" s="117"/>
      <c r="M12" s="117"/>
      <c r="N12" s="117"/>
      <c r="O12" s="117"/>
    </row>
    <row r="13" spans="2:19" ht="14.7" thickTop="1" x14ac:dyDescent="0.55000000000000004">
      <c r="C13" s="124"/>
      <c r="G13" s="125"/>
      <c r="I13" s="117"/>
      <c r="J13" s="117"/>
      <c r="K13" s="117"/>
      <c r="L13" s="117"/>
      <c r="M13" s="117"/>
      <c r="N13" s="117"/>
      <c r="O13" s="117"/>
    </row>
    <row r="14" spans="2:19" x14ac:dyDescent="0.55000000000000004">
      <c r="C14" s="124"/>
      <c r="D14" t="s">
        <v>189</v>
      </c>
      <c r="E14" s="64">
        <f ca="1">IF(VLOOKUP(D8,'2 Water'!$D$126:$K$145,7,FALSE)="",VLOOKUP(D8,'2 Water'!$D$126:$K$145,6,FALSE),VLOOKUP(D8,'2 Water'!$D$126:$K$145,7,FALSE))+VLOOKUP(D8,'2 Water'!$D$158:$J$177,5,FALSE)</f>
        <v>0</v>
      </c>
      <c r="G14" s="125"/>
      <c r="I14" s="117"/>
      <c r="J14" s="117"/>
      <c r="K14" s="117"/>
      <c r="L14" s="117"/>
      <c r="M14" s="117"/>
      <c r="N14" s="117"/>
      <c r="O14" s="117"/>
      <c r="S14" s="221"/>
    </row>
    <row r="15" spans="2:19" x14ac:dyDescent="0.55000000000000004">
      <c r="C15" s="124"/>
      <c r="G15" s="125"/>
      <c r="I15" s="117"/>
      <c r="J15" s="117"/>
      <c r="K15" s="117"/>
      <c r="L15" s="117"/>
      <c r="M15" s="117"/>
      <c r="N15" s="117"/>
      <c r="O15" s="117"/>
      <c r="S15" s="222"/>
    </row>
    <row r="16" spans="2:19" x14ac:dyDescent="0.55000000000000004">
      <c r="C16" s="124"/>
      <c r="D16" t="s">
        <v>371</v>
      </c>
      <c r="E16" s="64">
        <f ca="1">IF(VLOOKUP(D8,'2 Water'!$D$54:$M$73,5,FALSE)="",VLOOKUP(D8,'2 Water'!$D$54:$M$73,4,FALSE),VLOOKUP(D8,'2 Water'!$D$54:$M$73,5,FALSE))</f>
        <v>0</v>
      </c>
      <c r="G16" s="125"/>
      <c r="I16" s="117"/>
      <c r="J16" s="117"/>
      <c r="K16" s="117"/>
      <c r="L16" s="117"/>
      <c r="M16" s="117"/>
      <c r="N16" s="117"/>
      <c r="O16" s="117"/>
      <c r="S16" s="222"/>
    </row>
    <row r="17" spans="3:19" x14ac:dyDescent="0.55000000000000004">
      <c r="C17" s="124"/>
      <c r="D17" t="s">
        <v>372</v>
      </c>
      <c r="E17" s="26">
        <f ca="1">IF(VLOOKUP(D8,'2 Water'!$D$54:$M$73,7,FALSE)="",VLOOKUP(D8,'2 Water'!$D$54:$M$73,6,FALSE),VLOOKUP(D8,'2 Water'!$D$54:$M$73,7,FALSE))</f>
        <v>7125096.3884540787</v>
      </c>
      <c r="G17" s="125"/>
      <c r="I17" s="117"/>
      <c r="J17" s="117"/>
      <c r="K17" s="117"/>
      <c r="L17" s="117"/>
      <c r="M17" s="117"/>
      <c r="N17" s="117"/>
      <c r="O17" s="117"/>
      <c r="S17" s="221"/>
    </row>
    <row r="18" spans="3:19" x14ac:dyDescent="0.55000000000000004">
      <c r="C18" s="124"/>
      <c r="D18" t="s">
        <v>373</v>
      </c>
      <c r="E18" s="26">
        <f ca="1">IF(VLOOKUP(D8,'2 Water'!$D$54:$M$73,9,FALSE)="",VLOOKUP(D8,'2 Water'!$D$54:$M$73,8,FALSE),VLOOKUP(D8,'2 Water'!$D$54:$M$73,9,FALSE))</f>
        <v>0</v>
      </c>
      <c r="G18" s="125"/>
      <c r="I18" s="117"/>
      <c r="J18" s="117"/>
      <c r="K18" s="117"/>
      <c r="L18" s="117"/>
      <c r="M18" s="117"/>
      <c r="N18" s="117"/>
      <c r="O18" s="117"/>
    </row>
    <row r="19" spans="3:19" x14ac:dyDescent="0.55000000000000004">
      <c r="C19" s="124"/>
      <c r="D19" t="s">
        <v>374</v>
      </c>
      <c r="E19" s="26">
        <f ca="1">IF(VLOOKUP(D8,'2 Water'!$D$90:$I$109,5,FALSE)="",VLOOKUP(D8,'2 Water'!$D$90:$I$109,4,FALSE),VLOOKUP(D8,'2 Water'!$D$90:$I$109,5,FALSE))</f>
        <v>15014509.182449212</v>
      </c>
      <c r="G19" s="125"/>
      <c r="I19" s="117"/>
      <c r="J19" s="117"/>
      <c r="K19" s="117"/>
      <c r="L19" s="117"/>
      <c r="M19" s="117"/>
      <c r="N19" s="117"/>
      <c r="O19" s="117"/>
    </row>
    <row r="20" spans="3:19" ht="14.7" thickBot="1" x14ac:dyDescent="0.6">
      <c r="C20" s="124"/>
      <c r="D20" s="1" t="s">
        <v>145</v>
      </c>
      <c r="E20" s="37">
        <f ca="1">SUM(E16:E19)</f>
        <v>22139605.57090329</v>
      </c>
      <c r="G20" s="125"/>
      <c r="I20" s="117"/>
      <c r="J20" s="117"/>
      <c r="K20" s="117"/>
      <c r="L20" s="117"/>
      <c r="M20" s="117"/>
      <c r="N20" s="117"/>
      <c r="O20" s="117"/>
    </row>
    <row r="21" spans="3:19" ht="14.7" thickTop="1" x14ac:dyDescent="0.55000000000000004">
      <c r="C21" s="124"/>
      <c r="D21" s="1"/>
      <c r="E21" s="15"/>
      <c r="G21" s="125"/>
      <c r="I21" s="117"/>
      <c r="J21" s="117"/>
      <c r="K21" s="117"/>
      <c r="L21" s="117"/>
      <c r="M21" s="117"/>
      <c r="N21" s="117"/>
      <c r="O21" s="117"/>
    </row>
    <row r="22" spans="3:19" x14ac:dyDescent="0.55000000000000004">
      <c r="C22" s="124"/>
      <c r="D22" t="s">
        <v>384</v>
      </c>
      <c r="E22" s="26">
        <f ca="1">IF(VLOOKUP(D8,'2 Water'!$D$126:$K$145,5,FALSE)="",VLOOKUP(D8,'2 Water'!$D$126:$K$145,4,FALSE),VLOOKUP(D8,'2 Water'!$D$126:$K$145,5,FALSE))+VLOOKUP(D8,'2 Water'!$D$158:$J$177,7,FALSE)</f>
        <v>0</v>
      </c>
      <c r="G22" s="125"/>
      <c r="I22" s="117"/>
      <c r="J22" s="117"/>
      <c r="K22" s="117"/>
      <c r="L22" s="117"/>
      <c r="M22" s="117"/>
      <c r="N22" s="117"/>
      <c r="O22" s="117"/>
    </row>
    <row r="23" spans="3:19" x14ac:dyDescent="0.55000000000000004">
      <c r="C23" s="124"/>
      <c r="G23" s="125"/>
      <c r="I23" s="117"/>
      <c r="J23" s="117"/>
      <c r="K23" s="117"/>
      <c r="L23" s="117"/>
      <c r="M23" s="117"/>
      <c r="N23" s="117"/>
      <c r="O23" s="117"/>
    </row>
    <row r="24" spans="3:19" ht="14.7" thickBot="1" x14ac:dyDescent="0.6">
      <c r="C24" s="124"/>
      <c r="D24" s="1" t="s">
        <v>375</v>
      </c>
      <c r="E24" s="39">
        <f ca="1">VLOOKUP(D8,'2 Water'!$D$158:$K$177,8,FALSE)</f>
        <v>76725065.7431795</v>
      </c>
      <c r="G24" s="125"/>
      <c r="I24" s="117"/>
      <c r="J24" s="117"/>
      <c r="K24" s="117"/>
      <c r="L24" s="117"/>
      <c r="M24" s="117"/>
      <c r="N24" s="117"/>
      <c r="O24" s="117"/>
    </row>
    <row r="25" spans="3:19" ht="14.7" thickTop="1" x14ac:dyDescent="0.55000000000000004">
      <c r="C25" s="124"/>
      <c r="G25" s="125"/>
      <c r="I25" s="117"/>
      <c r="J25" s="117"/>
      <c r="K25" s="117"/>
      <c r="L25" s="117"/>
      <c r="M25" s="117"/>
      <c r="N25" s="117"/>
      <c r="O25" s="117"/>
    </row>
    <row r="26" spans="3:19" x14ac:dyDescent="0.55000000000000004">
      <c r="C26" s="124"/>
      <c r="G26" s="125"/>
      <c r="I26" s="117"/>
      <c r="J26" s="117"/>
      <c r="K26" s="117"/>
      <c r="L26" s="117"/>
      <c r="M26" s="117"/>
      <c r="N26" s="117"/>
      <c r="O26" s="117"/>
    </row>
    <row r="27" spans="3:19" x14ac:dyDescent="0.55000000000000004">
      <c r="C27" s="124"/>
      <c r="G27" s="125"/>
      <c r="I27" s="117"/>
      <c r="J27" s="117"/>
      <c r="K27" s="117"/>
      <c r="L27" s="117"/>
      <c r="M27" s="117"/>
      <c r="N27" s="117"/>
      <c r="O27" s="117"/>
    </row>
    <row r="28" spans="3:19" x14ac:dyDescent="0.55000000000000004">
      <c r="C28" s="124"/>
      <c r="G28" s="125"/>
      <c r="M28" s="117"/>
      <c r="N28" s="117"/>
      <c r="O28" s="117"/>
    </row>
    <row r="29" spans="3:19" x14ac:dyDescent="0.55000000000000004">
      <c r="C29" s="124"/>
      <c r="G29" s="125"/>
      <c r="I29" s="224"/>
      <c r="J29" s="224"/>
      <c r="K29" s="224"/>
      <c r="L29" s="224"/>
      <c r="N29" s="117"/>
      <c r="O29" s="117"/>
    </row>
    <row r="30" spans="3:19" x14ac:dyDescent="0.55000000000000004">
      <c r="C30" s="124"/>
      <c r="G30" s="125"/>
      <c r="I30" s="225" t="s">
        <v>385</v>
      </c>
      <c r="J30" s="110"/>
      <c r="K30" s="110"/>
      <c r="L30" s="224"/>
    </row>
    <row r="31" spans="3:19" x14ac:dyDescent="0.55000000000000004">
      <c r="C31" s="124"/>
      <c r="G31" s="125"/>
      <c r="I31" s="110"/>
      <c r="J31" s="102" t="s">
        <v>390</v>
      </c>
      <c r="K31" s="102" t="s">
        <v>391</v>
      </c>
      <c r="L31" s="224"/>
    </row>
    <row r="32" spans="3:19" x14ac:dyDescent="0.55000000000000004">
      <c r="C32" s="124"/>
      <c r="G32" s="125"/>
      <c r="I32" s="110" t="s">
        <v>369</v>
      </c>
      <c r="J32" s="100">
        <f ca="1">E10/1000</f>
        <v>55038.17156360369</v>
      </c>
      <c r="K32" s="102"/>
      <c r="L32" s="224"/>
    </row>
    <row r="33" spans="3:12" x14ac:dyDescent="0.55000000000000004">
      <c r="C33" s="124"/>
      <c r="G33" s="125"/>
      <c r="I33" s="110" t="s">
        <v>370</v>
      </c>
      <c r="J33" s="100">
        <f ca="1">E11/1000</f>
        <v>43826.499750479095</v>
      </c>
      <c r="K33" s="110"/>
      <c r="L33" s="224"/>
    </row>
    <row r="34" spans="3:12" x14ac:dyDescent="0.55000000000000004">
      <c r="C34" s="124"/>
      <c r="G34" s="125"/>
      <c r="I34" s="110" t="s">
        <v>471</v>
      </c>
      <c r="J34" s="100">
        <f ca="1">E14/1000</f>
        <v>0</v>
      </c>
      <c r="K34" s="110"/>
      <c r="L34" s="224"/>
    </row>
    <row r="35" spans="3:12" x14ac:dyDescent="0.55000000000000004">
      <c r="C35" s="124"/>
      <c r="G35" s="125"/>
      <c r="I35" s="110" t="s">
        <v>563</v>
      </c>
      <c r="J35" s="100"/>
      <c r="K35" s="101">
        <f ca="1">E24/1000</f>
        <v>76725.065743179497</v>
      </c>
      <c r="L35" s="224"/>
    </row>
    <row r="36" spans="3:12" x14ac:dyDescent="0.55000000000000004">
      <c r="C36" s="124"/>
      <c r="G36" s="125"/>
      <c r="I36" s="110" t="s">
        <v>564</v>
      </c>
      <c r="J36" s="100"/>
      <c r="K36" s="101">
        <f ca="1">E19/1000</f>
        <v>15014.509182449212</v>
      </c>
      <c r="L36" s="224"/>
    </row>
    <row r="37" spans="3:12" x14ac:dyDescent="0.55000000000000004">
      <c r="C37" s="124"/>
      <c r="G37" s="125"/>
      <c r="I37" s="110" t="s">
        <v>565</v>
      </c>
      <c r="J37" s="100"/>
      <c r="K37" s="101">
        <f ca="1">SUM(E16:E18)/1000</f>
        <v>7125.0963884540788</v>
      </c>
      <c r="L37" s="224"/>
    </row>
    <row r="38" spans="3:12" x14ac:dyDescent="0.55000000000000004">
      <c r="C38" s="124"/>
      <c r="G38" s="125"/>
      <c r="I38" s="110" t="s">
        <v>566</v>
      </c>
      <c r="J38" s="100"/>
      <c r="K38" s="101">
        <f ca="1">E22/1000</f>
        <v>0</v>
      </c>
      <c r="L38" s="224"/>
    </row>
    <row r="39" spans="3:12" x14ac:dyDescent="0.55000000000000004">
      <c r="C39" s="124"/>
      <c r="G39" s="125"/>
      <c r="I39" s="224"/>
      <c r="J39" s="224"/>
      <c r="K39" s="224"/>
      <c r="L39" s="224"/>
    </row>
    <row r="40" spans="3:12" x14ac:dyDescent="0.55000000000000004">
      <c r="C40" s="124"/>
      <c r="E40" s="220" t="s">
        <v>250</v>
      </c>
      <c r="G40" s="125"/>
      <c r="I40" s="224"/>
      <c r="J40" s="224"/>
      <c r="K40" s="224"/>
      <c r="L40" s="224"/>
    </row>
    <row r="41" spans="3:12" x14ac:dyDescent="0.55000000000000004">
      <c r="C41" s="124"/>
      <c r="D41" t="s">
        <v>376</v>
      </c>
      <c r="E41" s="64">
        <f ca="1">VLOOKUP(D8,'2 Water'!$D$158:$M$177,10,FALSE)</f>
        <v>51.933252774731272</v>
      </c>
      <c r="G41" s="125"/>
      <c r="I41" s="224"/>
      <c r="J41" s="224"/>
      <c r="K41" s="224"/>
      <c r="L41" s="224"/>
    </row>
    <row r="42" spans="3:12" x14ac:dyDescent="0.55000000000000004">
      <c r="C42" s="124"/>
      <c r="D42" t="s">
        <v>377</v>
      </c>
      <c r="E42" s="64">
        <f ca="1">VLOOKUP(D8,'2 Water'!$D$158:$M$177,9,FALSE)</f>
        <v>40.303398377159546</v>
      </c>
      <c r="G42" s="125"/>
      <c r="I42" s="224"/>
      <c r="J42" s="224"/>
      <c r="K42" s="224"/>
      <c r="L42" s="224"/>
    </row>
    <row r="43" spans="3:12" x14ac:dyDescent="0.55000000000000004">
      <c r="C43" s="124"/>
      <c r="D43" t="s">
        <v>378</v>
      </c>
      <c r="E43" s="64">
        <f ca="1">IFERROR(IF(E14=0,E22,E14)/E12,0)</f>
        <v>0</v>
      </c>
      <c r="G43" s="125"/>
      <c r="I43" s="224"/>
      <c r="J43" s="224"/>
      <c r="K43" s="224"/>
      <c r="L43" s="224"/>
    </row>
    <row r="44" spans="3:12" x14ac:dyDescent="0.55000000000000004">
      <c r="C44" s="124"/>
      <c r="G44" s="125"/>
      <c r="I44" s="224"/>
      <c r="J44" s="224"/>
      <c r="K44" s="224"/>
      <c r="L44" s="224"/>
    </row>
    <row r="45" spans="3:12" x14ac:dyDescent="0.55000000000000004">
      <c r="C45" s="124"/>
      <c r="D45" t="s">
        <v>379</v>
      </c>
      <c r="E45" s="64">
        <f ca="1">'3 Water'!H26</f>
        <v>293.79212399782381</v>
      </c>
      <c r="G45" s="125"/>
      <c r="I45" s="224"/>
      <c r="J45" s="224"/>
      <c r="K45" s="224"/>
      <c r="L45" s="224"/>
    </row>
    <row r="46" spans="3:12" x14ac:dyDescent="0.55000000000000004">
      <c r="C46" s="124"/>
      <c r="D46" t="s">
        <v>380</v>
      </c>
      <c r="E46" s="97">
        <f ca="1">IFERROR('3 Water'!I26/'3 Water'!H18,0)</f>
        <v>0.99999999999999989</v>
      </c>
      <c r="G46" s="125"/>
      <c r="I46" s="224"/>
      <c r="J46" s="224"/>
      <c r="K46" s="224"/>
      <c r="L46" s="224"/>
    </row>
    <row r="47" spans="3:12" x14ac:dyDescent="0.55000000000000004">
      <c r="C47" s="124"/>
      <c r="D47" s="226"/>
      <c r="E47" s="227"/>
      <c r="F47" s="227"/>
      <c r="G47" s="228"/>
      <c r="I47" s="224"/>
      <c r="J47" s="224"/>
      <c r="K47" s="224"/>
      <c r="L47" s="224"/>
    </row>
    <row r="48" spans="3:12" x14ac:dyDescent="0.55000000000000004">
      <c r="C48" s="124"/>
      <c r="D48" s="1" t="s">
        <v>381</v>
      </c>
      <c r="G48" s="125"/>
      <c r="I48" s="224"/>
      <c r="J48" s="224"/>
      <c r="K48" s="224"/>
      <c r="L48" s="224"/>
    </row>
    <row r="49" spans="3:13" x14ac:dyDescent="0.55000000000000004">
      <c r="C49" s="124"/>
      <c r="D49" s="1"/>
      <c r="G49" s="125"/>
      <c r="I49" s="224"/>
      <c r="J49" s="224"/>
      <c r="K49" s="224"/>
      <c r="L49" s="224"/>
    </row>
    <row r="50" spans="3:13" ht="28.8" x14ac:dyDescent="0.55000000000000004">
      <c r="C50" s="124"/>
      <c r="G50" s="125"/>
      <c r="I50" s="229" t="s">
        <v>383</v>
      </c>
      <c r="J50" s="229" t="s">
        <v>382</v>
      </c>
      <c r="K50" s="229" t="s">
        <v>100</v>
      </c>
      <c r="L50" s="230" t="s">
        <v>392</v>
      </c>
      <c r="M50" s="231" t="s">
        <v>567</v>
      </c>
    </row>
    <row r="51" spans="3:13" x14ac:dyDescent="0.55000000000000004">
      <c r="C51" s="124"/>
      <c r="G51" s="125"/>
      <c r="I51" s="102">
        <v>1</v>
      </c>
      <c r="J51" s="102">
        <f>IFERROR(VLOOKUP(I51,'3 Water'!$E$39:$J$48,3,FALSE),0)</f>
        <v>6</v>
      </c>
      <c r="K51" s="103">
        <f ca="1">IFERROR(VLOOKUP(I51,'3 Water'!$E$39:$J$48,6,FALSE),0)</f>
        <v>7.1277396182581754</v>
      </c>
      <c r="L51" s="104">
        <f ca="1">$E$41</f>
        <v>51.933252774731272</v>
      </c>
      <c r="M51" s="104">
        <f ca="1">IFERROR('3 Water'!I18/'3 Water'!G18,0)</f>
        <v>23.021901145481433</v>
      </c>
    </row>
    <row r="52" spans="3:13" x14ac:dyDescent="0.55000000000000004">
      <c r="C52" s="124"/>
      <c r="G52" s="125"/>
      <c r="I52" s="102">
        <v>2</v>
      </c>
      <c r="J52" s="102">
        <f>IFERROR(VLOOKUP(I52,'3 Water'!$E$39:$J$48,3,FALSE),0)</f>
        <v>15</v>
      </c>
      <c r="K52" s="103">
        <f ca="1">IFERROR(VLOOKUP(I52,'3 Water'!$E$39:$J$48,6,FALSE),0)</f>
        <v>8.4802745919998603</v>
      </c>
      <c r="L52" s="104">
        <f t="shared" ref="L52:L60" ca="1" si="0">$E$41</f>
        <v>51.933252774731272</v>
      </c>
      <c r="M52" s="104">
        <f ca="1">$M51</f>
        <v>23.021901145481433</v>
      </c>
    </row>
    <row r="53" spans="3:13" x14ac:dyDescent="0.55000000000000004">
      <c r="C53" s="124"/>
      <c r="G53" s="125"/>
      <c r="I53" s="102">
        <v>3</v>
      </c>
      <c r="J53" s="102">
        <f>IFERROR(VLOOKUP(I53,'3 Water'!$E$39:$J$48,3,FALSE),0)</f>
        <v>30</v>
      </c>
      <c r="K53" s="103">
        <f ca="1">IFERROR(VLOOKUP(I53,'3 Water'!$E$39:$J$48,6,FALSE),0)</f>
        <v>17.535077314438666</v>
      </c>
      <c r="L53" s="104">
        <f t="shared" ca="1" si="0"/>
        <v>51.933252774731272</v>
      </c>
      <c r="M53" s="104">
        <f t="shared" ref="M53:M60" ca="1" si="1">$M52</f>
        <v>23.021901145481433</v>
      </c>
    </row>
    <row r="54" spans="3:13" x14ac:dyDescent="0.55000000000000004">
      <c r="C54" s="124"/>
      <c r="G54" s="125"/>
      <c r="I54" s="102">
        <v>4</v>
      </c>
      <c r="J54" s="102">
        <f>IFERROR(VLOOKUP(I54,'3 Water'!$E$39:$J$48,3,FALSE),0)</f>
        <v>40</v>
      </c>
      <c r="K54" s="103">
        <f ca="1">IFERROR(VLOOKUP(I54,'3 Water'!$E$39:$J$48,6,FALSE),0)</f>
        <v>21.909869641010221</v>
      </c>
      <c r="L54" s="104">
        <f t="shared" ca="1" si="0"/>
        <v>51.933252774731272</v>
      </c>
      <c r="M54" s="104">
        <f t="shared" ca="1" si="1"/>
        <v>23.021901145481433</v>
      </c>
    </row>
    <row r="55" spans="3:13" x14ac:dyDescent="0.55000000000000004">
      <c r="C55" s="124"/>
      <c r="G55" s="125"/>
      <c r="I55" s="102">
        <v>5</v>
      </c>
      <c r="J55" s="102" t="str">
        <f>IFERROR(VLOOKUP(I55,'3 Water'!$E$39:$J$48,3,FALSE),0)</f>
        <v>more</v>
      </c>
      <c r="K55" s="103">
        <f ca="1">IFERROR(VLOOKUP(I55,'3 Water'!$E$39:$J$48,6,FALSE),0)</f>
        <v>28.935869902836501</v>
      </c>
      <c r="L55" s="104">
        <f t="shared" ca="1" si="0"/>
        <v>51.933252774731272</v>
      </c>
      <c r="M55" s="104">
        <f t="shared" ca="1" si="1"/>
        <v>23.021901145481433</v>
      </c>
    </row>
    <row r="56" spans="3:13" x14ac:dyDescent="0.55000000000000004">
      <c r="C56" s="124"/>
      <c r="G56" s="125"/>
      <c r="I56" s="102">
        <v>6</v>
      </c>
      <c r="J56" s="102">
        <f>IFERROR(VLOOKUP(I56,'3 Water'!$E$39:$J$48,3,FALSE),0)</f>
        <v>0</v>
      </c>
      <c r="K56" s="103">
        <f>IFERROR(VLOOKUP(I56,'3 Water'!$E$39:$J$48,6,FALSE),0)</f>
        <v>0</v>
      </c>
      <c r="L56" s="104">
        <f t="shared" ca="1" si="0"/>
        <v>51.933252774731272</v>
      </c>
      <c r="M56" s="104">
        <f t="shared" ca="1" si="1"/>
        <v>23.021901145481433</v>
      </c>
    </row>
    <row r="57" spans="3:13" x14ac:dyDescent="0.55000000000000004">
      <c r="C57" s="124"/>
      <c r="G57" s="125"/>
      <c r="I57" s="102">
        <v>7</v>
      </c>
      <c r="J57" s="102">
        <f>IFERROR(VLOOKUP(I57,'3 Water'!$E$39:$J$48,3,FALSE),0)</f>
        <v>0</v>
      </c>
      <c r="K57" s="103">
        <f>IFERROR(VLOOKUP(I57,'3 Water'!$E$39:$J$48,6,FALSE),0)</f>
        <v>0</v>
      </c>
      <c r="L57" s="104">
        <f t="shared" ca="1" si="0"/>
        <v>51.933252774731272</v>
      </c>
      <c r="M57" s="104">
        <f t="shared" ca="1" si="1"/>
        <v>23.021901145481433</v>
      </c>
    </row>
    <row r="58" spans="3:13" x14ac:dyDescent="0.55000000000000004">
      <c r="C58" s="124"/>
      <c r="G58" s="125"/>
      <c r="I58" s="102">
        <v>8</v>
      </c>
      <c r="J58" s="102">
        <f>IFERROR(VLOOKUP(I58,'3 Water'!$E$39:$J$48,3,FALSE),0)</f>
        <v>0</v>
      </c>
      <c r="K58" s="103">
        <f>IFERROR(VLOOKUP(I58,'3 Water'!$E$39:$J$48,6,FALSE),0)</f>
        <v>0</v>
      </c>
      <c r="L58" s="104">
        <f t="shared" ca="1" si="0"/>
        <v>51.933252774731272</v>
      </c>
      <c r="M58" s="104">
        <f t="shared" ca="1" si="1"/>
        <v>23.021901145481433</v>
      </c>
    </row>
    <row r="59" spans="3:13" x14ac:dyDescent="0.55000000000000004">
      <c r="C59" s="124"/>
      <c r="G59" s="125"/>
      <c r="I59" s="102">
        <v>9</v>
      </c>
      <c r="J59" s="102">
        <f>IFERROR(VLOOKUP(I59,'3 Water'!$E$39:$J$48,3,FALSE),0)</f>
        <v>0</v>
      </c>
      <c r="K59" s="103">
        <f>IFERROR(VLOOKUP(I59,'3 Water'!$E$39:$J$48,6,FALSE),0)</f>
        <v>0</v>
      </c>
      <c r="L59" s="104">
        <f t="shared" ca="1" si="0"/>
        <v>51.933252774731272</v>
      </c>
      <c r="M59" s="104">
        <f t="shared" ca="1" si="1"/>
        <v>23.021901145481433</v>
      </c>
    </row>
    <row r="60" spans="3:13" x14ac:dyDescent="0.55000000000000004">
      <c r="C60" s="124"/>
      <c r="G60" s="125"/>
      <c r="I60" s="102">
        <v>10</v>
      </c>
      <c r="J60" s="102">
        <f>IFERROR(VLOOKUP(I60,'3 Water'!$E$39:$J$48,3,FALSE),0)</f>
        <v>0</v>
      </c>
      <c r="K60" s="103">
        <f>IFERROR(VLOOKUP(I60,'3 Water'!$E$39:$J$48,6,FALSE),0)</f>
        <v>0</v>
      </c>
      <c r="L60" s="104">
        <f t="shared" ca="1" si="0"/>
        <v>51.933252774731272</v>
      </c>
      <c r="M60" s="104">
        <f t="shared" ca="1" si="1"/>
        <v>23.021901145481433</v>
      </c>
    </row>
    <row r="61" spans="3:13" x14ac:dyDescent="0.55000000000000004">
      <c r="C61" s="124"/>
      <c r="G61" s="125"/>
      <c r="I61" s="224"/>
      <c r="J61" s="224"/>
      <c r="K61" s="224"/>
      <c r="L61" s="224"/>
    </row>
    <row r="62" spans="3:13" x14ac:dyDescent="0.55000000000000004">
      <c r="C62" s="124"/>
      <c r="G62" s="125"/>
      <c r="I62" s="224"/>
      <c r="J62" s="224"/>
      <c r="K62" s="224"/>
      <c r="L62" s="224"/>
    </row>
    <row r="63" spans="3:13" x14ac:dyDescent="0.55000000000000004">
      <c r="C63" s="124"/>
      <c r="G63" s="125"/>
      <c r="I63" s="224"/>
      <c r="J63" s="224"/>
      <c r="K63" s="224"/>
      <c r="L63" s="224"/>
    </row>
    <row r="64" spans="3:13" ht="14.7" thickBot="1" x14ac:dyDescent="0.6">
      <c r="C64" s="130"/>
      <c r="D64" s="131"/>
      <c r="E64" s="131"/>
      <c r="F64" s="131"/>
      <c r="G64" s="132"/>
      <c r="I64" s="224"/>
      <c r="J64" s="224"/>
      <c r="K64" s="224"/>
      <c r="L64" s="224"/>
    </row>
    <row r="65" spans="3:12" ht="14.7" thickBot="1" x14ac:dyDescent="0.6">
      <c r="I65" s="224"/>
      <c r="J65" s="224"/>
      <c r="K65" s="224"/>
      <c r="L65" s="224"/>
    </row>
    <row r="66" spans="3:12" ht="14.7" thickBot="1" x14ac:dyDescent="0.6">
      <c r="H66" s="134"/>
      <c r="I66" s="224"/>
      <c r="J66" s="224"/>
      <c r="K66" s="224"/>
      <c r="L66" s="224"/>
    </row>
    <row r="67" spans="3:12" x14ac:dyDescent="0.55000000000000004">
      <c r="C67" s="121"/>
      <c r="D67" s="122"/>
      <c r="E67" s="122"/>
      <c r="F67" s="122"/>
      <c r="G67" s="123"/>
      <c r="I67" s="224"/>
      <c r="J67" s="224"/>
      <c r="K67" s="224"/>
      <c r="L67" s="224"/>
    </row>
    <row r="68" spans="3:12" ht="15.6" x14ac:dyDescent="0.6">
      <c r="C68" s="124"/>
      <c r="D68" s="98" t="str">
        <f>'2 Customer data'!D22</f>
        <v>Domestic: Prepaid</v>
      </c>
      <c r="G68" s="125"/>
      <c r="I68" s="224"/>
      <c r="J68" s="224"/>
      <c r="K68" s="224"/>
      <c r="L68" s="224"/>
    </row>
    <row r="69" spans="3:12" x14ac:dyDescent="0.55000000000000004">
      <c r="C69" s="124"/>
      <c r="E69" s="220" t="s">
        <v>250</v>
      </c>
      <c r="G69" s="125"/>
      <c r="I69" s="224"/>
      <c r="J69" s="224"/>
      <c r="K69" s="224"/>
      <c r="L69" s="224"/>
    </row>
    <row r="70" spans="3:12" x14ac:dyDescent="0.55000000000000004">
      <c r="C70" s="124"/>
      <c r="D70" t="s">
        <v>369</v>
      </c>
      <c r="E70" s="26">
        <f ca="1">VLOOKUP(D68,'2 Water'!$D$19:$J$38,5,FALSE)</f>
        <v>6604146.1043361053</v>
      </c>
      <c r="G70" s="125"/>
      <c r="I70" s="224"/>
      <c r="J70" s="224"/>
      <c r="K70" s="224"/>
      <c r="L70" s="224"/>
    </row>
    <row r="71" spans="3:12" x14ac:dyDescent="0.55000000000000004">
      <c r="C71" s="124"/>
      <c r="D71" t="s">
        <v>370</v>
      </c>
      <c r="E71" s="99">
        <f ca="1">VLOOKUP(D68,'2 Water'!$D$19:$J$38,6,FALSE)</f>
        <v>4140070.1065891962</v>
      </c>
      <c r="G71" s="125"/>
      <c r="I71" s="224"/>
      <c r="J71" s="224"/>
      <c r="K71" s="224"/>
      <c r="L71" s="224"/>
    </row>
    <row r="72" spans="3:12" ht="14.7" thickBot="1" x14ac:dyDescent="0.6">
      <c r="C72" s="124"/>
      <c r="D72" s="1" t="s">
        <v>39</v>
      </c>
      <c r="E72" s="37">
        <f ca="1">VLOOKUP(D68,'2 Water'!$D$19:$J$38,7,FALSE)</f>
        <v>10744216.210925302</v>
      </c>
      <c r="G72" s="125"/>
      <c r="I72" s="224"/>
      <c r="J72" s="224"/>
      <c r="K72" s="224"/>
      <c r="L72" s="224"/>
    </row>
    <row r="73" spans="3:12" ht="14.7" thickTop="1" x14ac:dyDescent="0.55000000000000004">
      <c r="C73" s="124"/>
      <c r="G73" s="125"/>
      <c r="I73" s="224"/>
      <c r="J73" s="224"/>
      <c r="K73" s="224"/>
      <c r="L73" s="224"/>
    </row>
    <row r="74" spans="3:12" x14ac:dyDescent="0.55000000000000004">
      <c r="C74" s="124"/>
      <c r="D74" t="s">
        <v>189</v>
      </c>
      <c r="E74" s="64">
        <f ca="1">IF(VLOOKUP(D68,'2 Water'!$D$126:$K$145,7,FALSE)="",VLOOKUP(D68,'2 Water'!$D$126:$K$145,6,FALSE),VLOOKUP(D68,'2 Water'!$D$126:$K$145,7,FALSE))+VLOOKUP(D68,'2 Water'!$D$158:$J$177,5,FALSE)</f>
        <v>0</v>
      </c>
      <c r="G74" s="125"/>
      <c r="I74" s="224"/>
      <c r="J74" s="224"/>
      <c r="K74" s="224"/>
      <c r="L74" s="224"/>
    </row>
    <row r="75" spans="3:12" x14ac:dyDescent="0.55000000000000004">
      <c r="C75" s="124"/>
      <c r="G75" s="125"/>
      <c r="I75" s="224"/>
      <c r="J75" s="224"/>
      <c r="K75" s="224"/>
      <c r="L75" s="224"/>
    </row>
    <row r="76" spans="3:12" x14ac:dyDescent="0.55000000000000004">
      <c r="C76" s="124"/>
      <c r="D76" t="s">
        <v>371</v>
      </c>
      <c r="E76" s="64">
        <f ca="1">IF(VLOOKUP(D68,'2 Water'!$D$54:$M$73,5,FALSE)="",VLOOKUP(D68,'2 Water'!$D$54:$M$73,4,FALSE),VLOOKUP(D68,'2 Water'!$D$54:$M$73,5,FALSE))</f>
        <v>0</v>
      </c>
      <c r="G76" s="125"/>
      <c r="I76" s="224"/>
      <c r="J76" s="224"/>
      <c r="K76" s="224"/>
      <c r="L76" s="224"/>
    </row>
    <row r="77" spans="3:12" x14ac:dyDescent="0.55000000000000004">
      <c r="C77" s="124"/>
      <c r="D77" t="s">
        <v>372</v>
      </c>
      <c r="E77" s="26">
        <f ca="1">IF(VLOOKUP(D68,'2 Water'!$D$54:$M$73,7,FALSE)="",VLOOKUP(D68,'2 Water'!$D$54:$M$73,6,FALSE),VLOOKUP(D68,'2 Water'!$D$54:$M$73,7,FALSE))</f>
        <v>774326.91682179249</v>
      </c>
      <c r="G77" s="125"/>
      <c r="I77" s="224"/>
      <c r="J77" s="224"/>
      <c r="K77" s="224"/>
      <c r="L77" s="224"/>
    </row>
    <row r="78" spans="3:12" x14ac:dyDescent="0.55000000000000004">
      <c r="C78" s="124"/>
      <c r="D78" t="s">
        <v>373</v>
      </c>
      <c r="E78" s="26">
        <f ca="1">IF(VLOOKUP(D68,'2 Water'!$D$54:$M$73,9,FALSE)="",VLOOKUP(D68,'2 Water'!$D$54:$M$73,8,FALSE),VLOOKUP(D68,'2 Water'!$D$54:$M$73,9,FALSE))</f>
        <v>0</v>
      </c>
      <c r="G78" s="125"/>
      <c r="I78" s="224"/>
      <c r="J78" s="224"/>
      <c r="K78" s="224"/>
      <c r="L78" s="224"/>
    </row>
    <row r="79" spans="3:12" x14ac:dyDescent="0.55000000000000004">
      <c r="C79" s="124"/>
      <c r="D79" t="s">
        <v>374</v>
      </c>
      <c r="E79" s="26">
        <f ca="1">IF(VLOOKUP(D68,'2 Water'!$D$90:$I$109,5,FALSE)="",VLOOKUP(D68,'2 Water'!$D$90:$I$109,4,FALSE),VLOOKUP(D68,'2 Water'!$D$90:$I$109,5,FALSE))</f>
        <v>1631716.6770793532</v>
      </c>
      <c r="G79" s="125"/>
      <c r="I79" s="224"/>
      <c r="J79" s="224"/>
      <c r="K79" s="224"/>
      <c r="L79" s="224"/>
    </row>
    <row r="80" spans="3:12" ht="14.7" thickBot="1" x14ac:dyDescent="0.6">
      <c r="C80" s="124"/>
      <c r="D80" s="1" t="s">
        <v>145</v>
      </c>
      <c r="E80" s="37">
        <f ca="1">SUM(E76:E79)</f>
        <v>2406043.5939011457</v>
      </c>
      <c r="G80" s="125"/>
      <c r="I80" s="224"/>
      <c r="J80" s="224"/>
      <c r="K80" s="224"/>
      <c r="L80" s="224"/>
    </row>
    <row r="81" spans="3:12" ht="14.7" thickTop="1" x14ac:dyDescent="0.55000000000000004">
      <c r="C81" s="124"/>
      <c r="D81" s="1"/>
      <c r="E81" s="15"/>
      <c r="G81" s="125"/>
      <c r="I81" s="224"/>
      <c r="J81" s="224"/>
      <c r="K81" s="224"/>
      <c r="L81" s="224"/>
    </row>
    <row r="82" spans="3:12" x14ac:dyDescent="0.55000000000000004">
      <c r="C82" s="124"/>
      <c r="D82" t="s">
        <v>384</v>
      </c>
      <c r="E82" s="26">
        <f ca="1">IF(VLOOKUP(D68,'2 Water'!$D$126:$K$145,5,FALSE)="",VLOOKUP(D68,'2 Water'!$D$126:$K$145,4,FALSE),VLOOKUP(D68,'2 Water'!$D$126:$K$145,5,FALSE))+VLOOKUP(D68,'2 Water'!$D$158:$J$177,7,FALSE)</f>
        <v>0</v>
      </c>
      <c r="G82" s="125"/>
      <c r="I82" s="224"/>
      <c r="J82" s="224"/>
      <c r="K82" s="224"/>
      <c r="L82" s="224"/>
    </row>
    <row r="83" spans="3:12" x14ac:dyDescent="0.55000000000000004">
      <c r="C83" s="124"/>
      <c r="G83" s="125"/>
      <c r="I83" s="224"/>
      <c r="J83" s="224"/>
      <c r="K83" s="224"/>
      <c r="L83" s="224"/>
    </row>
    <row r="84" spans="3:12" ht="14.7" thickBot="1" x14ac:dyDescent="0.6">
      <c r="C84" s="124"/>
      <c r="D84" s="1" t="s">
        <v>375</v>
      </c>
      <c r="E84" s="37">
        <f ca="1">VLOOKUP(D68,'2 Water'!$D$158:$K$177,8,FALSE)</f>
        <v>8338172.6170241553</v>
      </c>
      <c r="G84" s="125"/>
      <c r="I84" s="224"/>
      <c r="J84" s="224"/>
      <c r="K84" s="224"/>
      <c r="L84" s="224"/>
    </row>
    <row r="85" spans="3:12" ht="14.7" thickTop="1" x14ac:dyDescent="0.55000000000000004">
      <c r="C85" s="124"/>
      <c r="G85" s="125"/>
      <c r="I85" s="224"/>
      <c r="J85" s="224"/>
      <c r="K85" s="224"/>
      <c r="L85" s="224"/>
    </row>
    <row r="86" spans="3:12" x14ac:dyDescent="0.55000000000000004">
      <c r="C86" s="124"/>
      <c r="G86" s="125"/>
      <c r="I86" s="224"/>
      <c r="J86" s="224"/>
      <c r="K86" s="224"/>
      <c r="L86" s="224"/>
    </row>
    <row r="87" spans="3:12" x14ac:dyDescent="0.55000000000000004">
      <c r="C87" s="124"/>
      <c r="G87" s="125"/>
      <c r="I87" s="225" t="s">
        <v>385</v>
      </c>
      <c r="J87" s="110"/>
      <c r="K87" s="110"/>
      <c r="L87" s="224"/>
    </row>
    <row r="88" spans="3:12" x14ac:dyDescent="0.55000000000000004">
      <c r="C88" s="124"/>
      <c r="G88" s="125"/>
      <c r="I88" s="110"/>
      <c r="J88" s="102" t="s">
        <v>390</v>
      </c>
      <c r="K88" s="102" t="s">
        <v>391</v>
      </c>
      <c r="L88" s="224"/>
    </row>
    <row r="89" spans="3:12" x14ac:dyDescent="0.55000000000000004">
      <c r="C89" s="124"/>
      <c r="G89" s="125"/>
      <c r="I89" s="110" t="s">
        <v>369</v>
      </c>
      <c r="J89" s="100">
        <f ca="1">E70/1000</f>
        <v>6604.1461043361051</v>
      </c>
      <c r="K89" s="102"/>
      <c r="L89" s="224"/>
    </row>
    <row r="90" spans="3:12" x14ac:dyDescent="0.55000000000000004">
      <c r="C90" s="124"/>
      <c r="G90" s="125"/>
      <c r="I90" s="110" t="s">
        <v>370</v>
      </c>
      <c r="J90" s="100">
        <f ca="1">E71/1000</f>
        <v>4140.0701065891963</v>
      </c>
      <c r="K90" s="110"/>
      <c r="L90" s="224"/>
    </row>
    <row r="91" spans="3:12" x14ac:dyDescent="0.55000000000000004">
      <c r="C91" s="124"/>
      <c r="G91" s="125"/>
      <c r="I91" s="110" t="s">
        <v>471</v>
      </c>
      <c r="J91" s="100">
        <f ca="1">E74/1000</f>
        <v>0</v>
      </c>
      <c r="K91" s="110"/>
      <c r="L91" s="224"/>
    </row>
    <row r="92" spans="3:12" x14ac:dyDescent="0.55000000000000004">
      <c r="C92" s="124"/>
      <c r="G92" s="125"/>
      <c r="I92" s="110" t="s">
        <v>563</v>
      </c>
      <c r="J92" s="100"/>
      <c r="K92" s="101">
        <f ca="1">E84/1000</f>
        <v>8338.1726170241545</v>
      </c>
      <c r="L92" s="224"/>
    </row>
    <row r="93" spans="3:12" x14ac:dyDescent="0.55000000000000004">
      <c r="C93" s="124"/>
      <c r="G93" s="125"/>
      <c r="I93" s="110" t="s">
        <v>564</v>
      </c>
      <c r="J93" s="100"/>
      <c r="K93" s="101">
        <f ca="1">E79/1000</f>
        <v>1631.7166770793533</v>
      </c>
      <c r="L93" s="224"/>
    </row>
    <row r="94" spans="3:12" x14ac:dyDescent="0.55000000000000004">
      <c r="C94" s="124"/>
      <c r="G94" s="125"/>
      <c r="I94" s="110" t="s">
        <v>565</v>
      </c>
      <c r="J94" s="100"/>
      <c r="K94" s="101">
        <f ca="1">SUM(E76:E78)/1000</f>
        <v>774.32691682179245</v>
      </c>
      <c r="L94" s="224"/>
    </row>
    <row r="95" spans="3:12" x14ac:dyDescent="0.55000000000000004">
      <c r="C95" s="124"/>
      <c r="G95" s="125"/>
      <c r="I95" s="110" t="s">
        <v>566</v>
      </c>
      <c r="J95" s="100"/>
      <c r="K95" s="101">
        <f ca="1">E82/1000</f>
        <v>0</v>
      </c>
      <c r="L95" s="224"/>
    </row>
    <row r="96" spans="3:12" x14ac:dyDescent="0.55000000000000004">
      <c r="C96" s="124"/>
      <c r="G96" s="125"/>
      <c r="I96" s="110"/>
      <c r="J96" s="110"/>
      <c r="K96" s="110"/>
      <c r="L96" s="224"/>
    </row>
    <row r="97" spans="3:12" x14ac:dyDescent="0.55000000000000004">
      <c r="C97" s="124"/>
      <c r="G97" s="125"/>
      <c r="I97" s="224"/>
      <c r="J97" s="224"/>
      <c r="K97" s="224"/>
      <c r="L97" s="224"/>
    </row>
    <row r="98" spans="3:12" x14ac:dyDescent="0.55000000000000004">
      <c r="C98" s="124"/>
      <c r="G98" s="125"/>
      <c r="I98" s="224"/>
      <c r="J98" s="224"/>
      <c r="K98" s="224"/>
      <c r="L98" s="224"/>
    </row>
    <row r="99" spans="3:12" x14ac:dyDescent="0.55000000000000004">
      <c r="C99" s="124"/>
      <c r="G99" s="125"/>
      <c r="I99" s="224"/>
      <c r="J99" s="224"/>
      <c r="K99" s="224"/>
      <c r="L99" s="224"/>
    </row>
    <row r="100" spans="3:12" x14ac:dyDescent="0.55000000000000004">
      <c r="C100" s="124"/>
      <c r="G100" s="125"/>
      <c r="I100" s="224"/>
      <c r="J100" s="224"/>
      <c r="K100" s="224"/>
      <c r="L100" s="224"/>
    </row>
    <row r="101" spans="3:12" x14ac:dyDescent="0.55000000000000004">
      <c r="C101" s="124"/>
      <c r="G101" s="125"/>
      <c r="I101" s="224"/>
      <c r="J101" s="224"/>
      <c r="K101" s="224"/>
      <c r="L101" s="224"/>
    </row>
    <row r="102" spans="3:12" x14ac:dyDescent="0.55000000000000004">
      <c r="C102" s="124"/>
      <c r="G102" s="125"/>
      <c r="I102" s="224"/>
      <c r="J102" s="224"/>
      <c r="K102" s="224"/>
      <c r="L102" s="224"/>
    </row>
    <row r="103" spans="3:12" x14ac:dyDescent="0.55000000000000004">
      <c r="C103" s="124"/>
      <c r="D103" t="s">
        <v>387</v>
      </c>
      <c r="E103" s="64">
        <f ca="1">VLOOKUP(D68,'2 Water'!$D$158:$M$177,10,FALSE)</f>
        <v>59.745916645209405</v>
      </c>
      <c r="G103" s="125"/>
      <c r="I103" s="224"/>
      <c r="J103" s="224"/>
      <c r="K103" s="224"/>
      <c r="L103" s="224"/>
    </row>
    <row r="104" spans="3:12" x14ac:dyDescent="0.55000000000000004">
      <c r="C104" s="124"/>
      <c r="D104" t="s">
        <v>388</v>
      </c>
      <c r="E104" s="64">
        <f ca="1">VLOOKUP(D68,'2 Water'!$D$158:$M$177,9,FALSE)</f>
        <v>46.366506068960589</v>
      </c>
      <c r="G104" s="125"/>
      <c r="I104" s="224"/>
      <c r="J104" s="224"/>
      <c r="K104" s="224"/>
      <c r="L104" s="224"/>
    </row>
    <row r="105" spans="3:12" x14ac:dyDescent="0.55000000000000004">
      <c r="C105" s="124"/>
      <c r="D105" t="s">
        <v>378</v>
      </c>
      <c r="E105" s="97">
        <f ca="1">IFERROR(IF(E74=0,E82,E74)/E72,0)</f>
        <v>0</v>
      </c>
      <c r="G105" s="125"/>
      <c r="I105" s="224"/>
      <c r="J105" s="224"/>
      <c r="K105" s="224"/>
      <c r="L105" s="224"/>
    </row>
    <row r="106" spans="3:12" x14ac:dyDescent="0.55000000000000004">
      <c r="C106" s="124"/>
      <c r="G106" s="125"/>
      <c r="I106" s="224"/>
      <c r="J106" s="224"/>
      <c r="K106" s="224"/>
      <c r="L106" s="224"/>
    </row>
    <row r="107" spans="3:12" x14ac:dyDescent="0.55000000000000004">
      <c r="C107" s="124"/>
      <c r="D107" t="s">
        <v>389</v>
      </c>
      <c r="E107" s="64">
        <f ca="1">'3 Water'!H67</f>
        <v>293.79212399782381</v>
      </c>
      <c r="G107" s="125"/>
      <c r="I107" s="224"/>
      <c r="J107" s="224"/>
      <c r="K107" s="224"/>
      <c r="L107" s="224"/>
    </row>
    <row r="108" spans="3:12" x14ac:dyDescent="0.55000000000000004">
      <c r="C108" s="124"/>
      <c r="D108" t="s">
        <v>380</v>
      </c>
      <c r="E108" s="97">
        <f ca="1">IFERROR('3 Water'!I67/'3 Water'!H59,0)</f>
        <v>1</v>
      </c>
      <c r="G108" s="125"/>
      <c r="I108" s="224"/>
      <c r="J108" s="224"/>
      <c r="K108" s="224"/>
      <c r="L108" s="224"/>
    </row>
    <row r="109" spans="3:12" x14ac:dyDescent="0.55000000000000004">
      <c r="C109" s="124"/>
      <c r="G109" s="125"/>
      <c r="I109" s="224"/>
      <c r="J109" s="224"/>
      <c r="K109" s="224"/>
      <c r="L109" s="224"/>
    </row>
    <row r="110" spans="3:12" x14ac:dyDescent="0.55000000000000004">
      <c r="C110" s="124"/>
      <c r="D110" s="1" t="s">
        <v>381</v>
      </c>
      <c r="G110" s="125"/>
      <c r="I110" s="224"/>
      <c r="J110" s="224"/>
      <c r="K110" s="224"/>
      <c r="L110" s="224"/>
    </row>
    <row r="111" spans="3:12" x14ac:dyDescent="0.55000000000000004">
      <c r="C111" s="124"/>
      <c r="D111" s="1"/>
      <c r="G111" s="125"/>
      <c r="I111" s="224"/>
      <c r="J111" s="224"/>
      <c r="K111" s="224"/>
      <c r="L111" s="224"/>
    </row>
    <row r="112" spans="3:12" x14ac:dyDescent="0.55000000000000004">
      <c r="C112" s="124"/>
      <c r="D112" s="1"/>
      <c r="G112" s="125"/>
      <c r="I112" s="102" t="s">
        <v>383</v>
      </c>
      <c r="J112" s="102" t="s">
        <v>382</v>
      </c>
      <c r="K112" s="102" t="s">
        <v>100</v>
      </c>
      <c r="L112" s="224"/>
    </row>
    <row r="113" spans="3:14" x14ac:dyDescent="0.55000000000000004">
      <c r="C113" s="124"/>
      <c r="D113" s="117"/>
      <c r="E113" s="117"/>
      <c r="F113" s="117"/>
      <c r="G113" s="125"/>
      <c r="I113" s="102">
        <v>1</v>
      </c>
      <c r="J113" s="102">
        <f>IFERROR(VLOOKUP(I113,'3 Water'!$E$80:$J$89,3,FALSE),0)</f>
        <v>0</v>
      </c>
      <c r="K113" s="103">
        <f ca="1">IFERROR(VLOOKUP(I113,'3 Water'!$E$80:$J$89,6,FALSE),0)</f>
        <v>9.6424905692326135</v>
      </c>
      <c r="L113" s="224"/>
      <c r="M113" s="230" t="s">
        <v>392</v>
      </c>
      <c r="N113" s="231" t="s">
        <v>567</v>
      </c>
    </row>
    <row r="114" spans="3:14" x14ac:dyDescent="0.55000000000000004">
      <c r="C114" s="124"/>
      <c r="D114" s="117"/>
      <c r="E114" s="117"/>
      <c r="F114" s="117"/>
      <c r="G114" s="125"/>
      <c r="I114" s="102">
        <v>2</v>
      </c>
      <c r="J114" s="102">
        <f>IFERROR(VLOOKUP(I114,'3 Water'!$E$80:$J$89,3,FALSE),0)</f>
        <v>0</v>
      </c>
      <c r="K114" s="103">
        <f>IFERROR(VLOOKUP(I114,'3 Water'!$E$80:$J$89,6,FALSE),0)</f>
        <v>0</v>
      </c>
      <c r="L114" s="224"/>
      <c r="M114" s="104">
        <f ca="1">$E$103</f>
        <v>59.745916645209405</v>
      </c>
      <c r="N114" s="105">
        <f ca="1">IFERROR('3 Water'!I59/'3 Water'!G59,0)</f>
        <v>23.021901145481429</v>
      </c>
    </row>
    <row r="115" spans="3:14" x14ac:dyDescent="0.55000000000000004">
      <c r="C115" s="124"/>
      <c r="D115" s="117"/>
      <c r="E115" s="117"/>
      <c r="F115" s="117"/>
      <c r="G115" s="125"/>
      <c r="I115" s="102">
        <v>3</v>
      </c>
      <c r="J115" s="102">
        <f>IFERROR(VLOOKUP(I115,'3 Water'!$E$80:$J$89,3,FALSE),0)</f>
        <v>0</v>
      </c>
      <c r="K115" s="103">
        <f>IFERROR(VLOOKUP(I115,'3 Water'!$E$80:$J$89,6,FALSE),0)</f>
        <v>0</v>
      </c>
      <c r="L115" s="224"/>
      <c r="M115" s="104">
        <f t="shared" ref="M115:M123" ca="1" si="2">$E$103</f>
        <v>59.745916645209405</v>
      </c>
      <c r="N115" s="104">
        <f t="shared" ref="N115:N123" ca="1" si="3">$N$114</f>
        <v>23.021901145481429</v>
      </c>
    </row>
    <row r="116" spans="3:14" x14ac:dyDescent="0.55000000000000004">
      <c r="C116" s="124"/>
      <c r="D116" s="117"/>
      <c r="E116" s="117"/>
      <c r="F116" s="117"/>
      <c r="G116" s="125"/>
      <c r="I116" s="102">
        <v>4</v>
      </c>
      <c r="J116" s="102">
        <f>IFERROR(VLOOKUP(I116,'3 Water'!$E$80:$J$89,3,FALSE),0)</f>
        <v>0</v>
      </c>
      <c r="K116" s="103">
        <f>IFERROR(VLOOKUP(I116,'3 Water'!$E$80:$J$89,6,FALSE),0)</f>
        <v>0</v>
      </c>
      <c r="L116" s="224"/>
      <c r="M116" s="104">
        <f t="shared" ca="1" si="2"/>
        <v>59.745916645209405</v>
      </c>
      <c r="N116" s="104">
        <f t="shared" ca="1" si="3"/>
        <v>23.021901145481429</v>
      </c>
    </row>
    <row r="117" spans="3:14" x14ac:dyDescent="0.55000000000000004">
      <c r="C117" s="124"/>
      <c r="D117" s="117"/>
      <c r="E117" s="117"/>
      <c r="F117" s="117"/>
      <c r="G117" s="125"/>
      <c r="I117" s="102">
        <v>5</v>
      </c>
      <c r="J117" s="102">
        <f>IFERROR(VLOOKUP(I117,'3 Water'!$E$80:$J$89,3,FALSE),0)</f>
        <v>0</v>
      </c>
      <c r="K117" s="103">
        <f>IFERROR(VLOOKUP(I117,'3 Water'!$E$80:$J$89,6,FALSE),0)</f>
        <v>0</v>
      </c>
      <c r="L117" s="224"/>
      <c r="M117" s="104">
        <f t="shared" ca="1" si="2"/>
        <v>59.745916645209405</v>
      </c>
      <c r="N117" s="104">
        <f t="shared" ca="1" si="3"/>
        <v>23.021901145481429</v>
      </c>
    </row>
    <row r="118" spans="3:14" x14ac:dyDescent="0.55000000000000004">
      <c r="C118" s="124"/>
      <c r="D118" s="117"/>
      <c r="E118" s="117"/>
      <c r="F118" s="117"/>
      <c r="G118" s="125"/>
      <c r="I118" s="102">
        <v>6</v>
      </c>
      <c r="J118" s="102">
        <f>IFERROR(VLOOKUP(I118,'3 Water'!$E$80:$J$89,3,FALSE),0)</f>
        <v>0</v>
      </c>
      <c r="K118" s="103">
        <f>IFERROR(VLOOKUP(I118,'3 Water'!$E$80:$J$89,6,FALSE),0)</f>
        <v>0</v>
      </c>
      <c r="L118" s="224"/>
      <c r="M118" s="104">
        <f t="shared" ca="1" si="2"/>
        <v>59.745916645209405</v>
      </c>
      <c r="N118" s="104">
        <f t="shared" ca="1" si="3"/>
        <v>23.021901145481429</v>
      </c>
    </row>
    <row r="119" spans="3:14" x14ac:dyDescent="0.55000000000000004">
      <c r="C119" s="124"/>
      <c r="D119" s="117"/>
      <c r="E119" s="117"/>
      <c r="F119" s="117"/>
      <c r="G119" s="125"/>
      <c r="I119" s="102">
        <v>7</v>
      </c>
      <c r="J119" s="102">
        <f>IFERROR(VLOOKUP(I119,'3 Water'!$E$80:$J$89,3,FALSE),0)</f>
        <v>0</v>
      </c>
      <c r="K119" s="103">
        <f>IFERROR(VLOOKUP(I119,'3 Water'!$E$80:$J$89,6,FALSE),0)</f>
        <v>0</v>
      </c>
      <c r="L119" s="224"/>
      <c r="M119" s="104">
        <f t="shared" ca="1" si="2"/>
        <v>59.745916645209405</v>
      </c>
      <c r="N119" s="104">
        <f t="shared" ca="1" si="3"/>
        <v>23.021901145481429</v>
      </c>
    </row>
    <row r="120" spans="3:14" x14ac:dyDescent="0.55000000000000004">
      <c r="C120" s="124"/>
      <c r="D120" s="117"/>
      <c r="E120" s="117"/>
      <c r="F120" s="117"/>
      <c r="G120" s="125"/>
      <c r="I120" s="102">
        <v>8</v>
      </c>
      <c r="J120" s="102">
        <f>IFERROR(VLOOKUP(I120,'3 Water'!$E$80:$J$89,3,FALSE),0)</f>
        <v>0</v>
      </c>
      <c r="K120" s="103">
        <f>IFERROR(VLOOKUP(I120,'3 Water'!$E$80:$J$89,6,FALSE),0)</f>
        <v>0</v>
      </c>
      <c r="L120" s="224"/>
      <c r="M120" s="104">
        <f t="shared" ca="1" si="2"/>
        <v>59.745916645209405</v>
      </c>
      <c r="N120" s="104">
        <f t="shared" ca="1" si="3"/>
        <v>23.021901145481429</v>
      </c>
    </row>
    <row r="121" spans="3:14" x14ac:dyDescent="0.55000000000000004">
      <c r="C121" s="124"/>
      <c r="D121" s="117"/>
      <c r="E121" s="117"/>
      <c r="F121" s="117"/>
      <c r="G121" s="125"/>
      <c r="I121" s="102">
        <v>9</v>
      </c>
      <c r="J121" s="102">
        <f>IFERROR(VLOOKUP(I121,'3 Water'!$E$80:$J$89,3,FALSE),0)</f>
        <v>0</v>
      </c>
      <c r="K121" s="103">
        <f>IFERROR(VLOOKUP(I121,'3 Water'!$E$80:$J$89,6,FALSE),0)</f>
        <v>0</v>
      </c>
      <c r="L121" s="224"/>
      <c r="M121" s="104">
        <f t="shared" ca="1" si="2"/>
        <v>59.745916645209405</v>
      </c>
      <c r="N121" s="104">
        <f t="shared" ca="1" si="3"/>
        <v>23.021901145481429</v>
      </c>
    </row>
    <row r="122" spans="3:14" x14ac:dyDescent="0.55000000000000004">
      <c r="C122" s="124"/>
      <c r="D122" s="117"/>
      <c r="E122" s="117"/>
      <c r="F122" s="117"/>
      <c r="G122" s="125"/>
      <c r="I122" s="102">
        <v>10</v>
      </c>
      <c r="J122" s="102">
        <f>IFERROR(VLOOKUP(I122,'3 Water'!$E$80:$J$89,3,FALSE),0)</f>
        <v>0</v>
      </c>
      <c r="K122" s="103">
        <f>IFERROR(VLOOKUP(I122,'3 Water'!$E$80:$J$89,6,FALSE),0)</f>
        <v>0</v>
      </c>
      <c r="L122" s="224"/>
      <c r="M122" s="104">
        <f t="shared" ca="1" si="2"/>
        <v>59.745916645209405</v>
      </c>
      <c r="N122" s="104">
        <f t="shared" ca="1" si="3"/>
        <v>23.021901145481429</v>
      </c>
    </row>
    <row r="123" spans="3:14" x14ac:dyDescent="0.55000000000000004">
      <c r="C123" s="124"/>
      <c r="D123" s="117"/>
      <c r="E123" s="117"/>
      <c r="F123" s="117"/>
      <c r="G123" s="125"/>
      <c r="I123" s="110"/>
      <c r="J123" s="110"/>
      <c r="K123" s="110"/>
      <c r="L123" s="224"/>
      <c r="M123" s="104">
        <f t="shared" ca="1" si="2"/>
        <v>59.745916645209405</v>
      </c>
      <c r="N123" s="104">
        <f t="shared" ca="1" si="3"/>
        <v>23.021901145481429</v>
      </c>
    </row>
    <row r="124" spans="3:14" x14ac:dyDescent="0.55000000000000004">
      <c r="C124" s="124"/>
      <c r="G124" s="125"/>
      <c r="I124" s="224"/>
      <c r="J124" s="224"/>
      <c r="K124" s="224"/>
      <c r="L124" s="224"/>
    </row>
    <row r="125" spans="3:14" x14ac:dyDescent="0.55000000000000004">
      <c r="C125" s="124"/>
      <c r="G125" s="125"/>
      <c r="I125" s="224"/>
      <c r="J125" s="224"/>
      <c r="K125" s="224"/>
      <c r="L125" s="224"/>
    </row>
    <row r="126" spans="3:14" x14ac:dyDescent="0.55000000000000004">
      <c r="C126" s="124"/>
      <c r="G126" s="125"/>
      <c r="I126" s="224"/>
      <c r="J126" s="224"/>
      <c r="K126" s="224"/>
      <c r="L126" s="224"/>
    </row>
    <row r="127" spans="3:14" x14ac:dyDescent="0.55000000000000004">
      <c r="C127" s="124"/>
      <c r="G127" s="125"/>
      <c r="I127" s="224"/>
      <c r="J127" s="224"/>
      <c r="K127" s="224"/>
      <c r="L127" s="224"/>
    </row>
    <row r="128" spans="3:14" x14ac:dyDescent="0.55000000000000004">
      <c r="C128" s="124"/>
      <c r="G128" s="125"/>
      <c r="I128" s="224"/>
      <c r="J128" s="224"/>
      <c r="K128" s="224"/>
      <c r="L128" s="224"/>
    </row>
    <row r="129" spans="3:12" ht="14.7" thickBot="1" x14ac:dyDescent="0.6">
      <c r="C129" s="130"/>
      <c r="D129" s="131"/>
      <c r="E129" s="131"/>
      <c r="F129" s="131"/>
      <c r="G129" s="132"/>
      <c r="I129" s="224"/>
      <c r="J129" s="224"/>
      <c r="K129" s="224"/>
      <c r="L129" s="224"/>
    </row>
    <row r="130" spans="3:12" x14ac:dyDescent="0.55000000000000004">
      <c r="I130" s="224"/>
      <c r="J130" s="224"/>
      <c r="K130" s="224"/>
      <c r="L130" s="224"/>
    </row>
    <row r="131" spans="3:12" ht="14.7" thickBot="1" x14ac:dyDescent="0.6">
      <c r="I131" s="224"/>
      <c r="J131" s="224"/>
      <c r="K131" s="224"/>
      <c r="L131" s="224"/>
    </row>
    <row r="132" spans="3:12" x14ac:dyDescent="0.55000000000000004">
      <c r="C132" s="121"/>
      <c r="D132" s="122"/>
      <c r="E132" s="122"/>
      <c r="F132" s="122"/>
      <c r="G132" s="123"/>
      <c r="I132" s="224"/>
      <c r="J132" s="224"/>
      <c r="K132" s="224"/>
      <c r="L132" s="224"/>
    </row>
    <row r="133" spans="3:12" ht="15.6" x14ac:dyDescent="0.6">
      <c r="C133" s="124"/>
      <c r="D133" s="98" t="str">
        <f>'2 Customer data'!D23</f>
        <v>Sport Clubs</v>
      </c>
      <c r="G133" s="125"/>
      <c r="I133" s="224"/>
      <c r="J133" s="224"/>
      <c r="K133" s="224"/>
      <c r="L133" s="224"/>
    </row>
    <row r="134" spans="3:12" x14ac:dyDescent="0.55000000000000004">
      <c r="C134" s="124"/>
      <c r="G134" s="125"/>
      <c r="I134" s="224"/>
      <c r="J134" s="224"/>
      <c r="K134" s="224"/>
      <c r="L134" s="224"/>
    </row>
    <row r="135" spans="3:12" x14ac:dyDescent="0.55000000000000004">
      <c r="C135" s="124"/>
      <c r="E135" s="220" t="s">
        <v>250</v>
      </c>
      <c r="G135" s="125"/>
      <c r="I135" s="224"/>
      <c r="J135" s="224"/>
      <c r="K135" s="224"/>
      <c r="L135" s="224"/>
    </row>
    <row r="136" spans="3:12" x14ac:dyDescent="0.55000000000000004">
      <c r="C136" s="124"/>
      <c r="D136" t="s">
        <v>369</v>
      </c>
      <c r="E136" s="26">
        <f ca="1">VLOOKUP(D133,'2 Water'!$D$19:$J$38,5,FALSE)</f>
        <v>32586.24722534262</v>
      </c>
      <c r="G136" s="125"/>
      <c r="I136" s="224"/>
      <c r="J136" s="224"/>
      <c r="K136" s="224"/>
      <c r="L136" s="224"/>
    </row>
    <row r="137" spans="3:12" x14ac:dyDescent="0.55000000000000004">
      <c r="C137" s="124"/>
      <c r="D137" t="s">
        <v>370</v>
      </c>
      <c r="E137" s="99">
        <f ca="1">VLOOKUP(D133,'2 Water'!$D$19:$J$38,6,FALSE)</f>
        <v>43835.035051263076</v>
      </c>
      <c r="G137" s="125"/>
      <c r="I137" s="224"/>
      <c r="J137" s="224"/>
      <c r="K137" s="224"/>
      <c r="L137" s="224"/>
    </row>
    <row r="138" spans="3:12" ht="14.7" thickBot="1" x14ac:dyDescent="0.6">
      <c r="C138" s="124"/>
      <c r="D138" s="1" t="s">
        <v>39</v>
      </c>
      <c r="E138" s="37">
        <f ca="1">VLOOKUP(D133,'2 Water'!$D$19:$J$38,7,FALSE)</f>
        <v>76421.282276605692</v>
      </c>
      <c r="G138" s="125"/>
      <c r="I138" s="224"/>
      <c r="J138" s="224"/>
      <c r="K138" s="224"/>
      <c r="L138" s="224"/>
    </row>
    <row r="139" spans="3:12" ht="14.7" thickTop="1" x14ac:dyDescent="0.55000000000000004">
      <c r="C139" s="124"/>
      <c r="G139" s="125"/>
      <c r="I139" s="224"/>
      <c r="J139" s="224"/>
      <c r="K139" s="224"/>
      <c r="L139" s="224"/>
    </row>
    <row r="140" spans="3:12" x14ac:dyDescent="0.55000000000000004">
      <c r="C140" s="124"/>
      <c r="D140" t="s">
        <v>189</v>
      </c>
      <c r="E140" s="64">
        <f ca="1">IF(VLOOKUP(D133,'2 Water'!$D$126:$K$145,7,FALSE)="",VLOOKUP(D133,'2 Water'!$D$126:$K$145,6,FALSE),VLOOKUP(D133,'2 Water'!$D$126:$K$145,7,FALSE))+VLOOKUP(D133,'2 Water'!$D$158:$J$177,5,FALSE)</f>
        <v>0</v>
      </c>
      <c r="G140" s="125"/>
      <c r="I140" s="224"/>
      <c r="J140" s="224"/>
      <c r="K140" s="224"/>
      <c r="L140" s="224"/>
    </row>
    <row r="141" spans="3:12" x14ac:dyDescent="0.55000000000000004">
      <c r="C141" s="124"/>
      <c r="G141" s="125"/>
      <c r="I141" s="224"/>
      <c r="J141" s="224"/>
      <c r="K141" s="224"/>
      <c r="L141" s="224"/>
    </row>
    <row r="142" spans="3:12" x14ac:dyDescent="0.55000000000000004">
      <c r="C142" s="124"/>
      <c r="D142" t="s">
        <v>371</v>
      </c>
      <c r="E142" s="64">
        <f ca="1">IF(VLOOKUP(D133,'2 Water'!$D$54:$M$73,5,FALSE)="",VLOOKUP(D133,'2 Water'!$D$54:$M$73,4,FALSE),VLOOKUP(D133,'2 Water'!$D$54:$M$73,5,FALSE))</f>
        <v>0</v>
      </c>
      <c r="G142" s="125"/>
      <c r="I142" s="224"/>
      <c r="J142" s="224"/>
      <c r="K142" s="224"/>
      <c r="L142" s="224"/>
    </row>
    <row r="143" spans="3:12" x14ac:dyDescent="0.55000000000000004">
      <c r="C143" s="124"/>
      <c r="D143" t="s">
        <v>372</v>
      </c>
      <c r="E143" s="26">
        <f ca="1">IF(VLOOKUP(D133,'2 Water'!$D$54:$M$73,7,FALSE)="",VLOOKUP(D133,'2 Water'!$D$54:$M$73,6,FALSE),VLOOKUP(D133,'2 Water'!$D$54:$M$73,7,FALSE))</f>
        <v>5507.6196088309889</v>
      </c>
      <c r="G143" s="125"/>
      <c r="I143" s="224"/>
      <c r="J143" s="224"/>
      <c r="K143" s="224"/>
      <c r="L143" s="224"/>
    </row>
    <row r="144" spans="3:12" x14ac:dyDescent="0.55000000000000004">
      <c r="C144" s="124"/>
      <c r="D144" t="s">
        <v>373</v>
      </c>
      <c r="E144" s="26">
        <f ca="1">IF(VLOOKUP(D133,'2 Water'!$D$54:$M$73,9,FALSE)="",VLOOKUP(D133,'2 Water'!$D$54:$M$73,8,FALSE),VLOOKUP(D133,'2 Water'!$D$54:$M$73,9,FALSE))</f>
        <v>0</v>
      </c>
      <c r="G144" s="125"/>
      <c r="I144" s="224"/>
      <c r="J144" s="224"/>
      <c r="K144" s="224"/>
      <c r="L144" s="224"/>
    </row>
    <row r="145" spans="3:12" x14ac:dyDescent="0.55000000000000004">
      <c r="C145" s="124"/>
      <c r="D145" t="s">
        <v>374</v>
      </c>
      <c r="E145" s="26">
        <f ca="1">IF(VLOOKUP(D133,'2 Water'!$D$90:$I$109,5,FALSE)="",VLOOKUP(D133,'2 Water'!$D$90:$I$109,4,FALSE),VLOOKUP(D133,'2 Water'!$D$90:$I$109,5,FALSE))</f>
        <v>0</v>
      </c>
      <c r="G145" s="125"/>
      <c r="I145" s="224"/>
      <c r="J145" s="224"/>
      <c r="K145" s="224"/>
      <c r="L145" s="224"/>
    </row>
    <row r="146" spans="3:12" ht="14.7" thickBot="1" x14ac:dyDescent="0.6">
      <c r="C146" s="124"/>
      <c r="D146" s="1" t="s">
        <v>145</v>
      </c>
      <c r="E146" s="37">
        <f ca="1">SUM(E142:E145)</f>
        <v>5507.6196088309889</v>
      </c>
      <c r="G146" s="125"/>
      <c r="I146" s="224"/>
      <c r="J146" s="224"/>
      <c r="K146" s="224"/>
      <c r="L146" s="224"/>
    </row>
    <row r="147" spans="3:12" ht="14.7" thickTop="1" x14ac:dyDescent="0.55000000000000004">
      <c r="C147" s="124"/>
      <c r="D147" s="1"/>
      <c r="E147" s="15"/>
      <c r="G147" s="125"/>
      <c r="I147" s="224"/>
      <c r="J147" s="224"/>
      <c r="K147" s="224"/>
      <c r="L147" s="224"/>
    </row>
    <row r="148" spans="3:12" x14ac:dyDescent="0.55000000000000004">
      <c r="C148" s="124"/>
      <c r="D148" t="s">
        <v>384</v>
      </c>
      <c r="E148" s="26">
        <f ca="1">IF(VLOOKUP(D133,'2 Water'!$D$126:$K$145,5,FALSE)="",VLOOKUP(D133,'2 Water'!$D$126:$K$145,4,FALSE),VLOOKUP(D133,'2 Water'!$D$126:$K$145,5,FALSE))+VLOOKUP(D133,'2 Water'!$D$158:$J$177,7,FALSE)</f>
        <v>0</v>
      </c>
      <c r="G148" s="125"/>
      <c r="I148" s="224"/>
      <c r="J148" s="224"/>
      <c r="K148" s="224"/>
      <c r="L148" s="224"/>
    </row>
    <row r="149" spans="3:12" x14ac:dyDescent="0.55000000000000004">
      <c r="C149" s="124"/>
      <c r="G149" s="125"/>
      <c r="I149" s="224"/>
      <c r="J149" s="224"/>
      <c r="K149" s="224"/>
      <c r="L149" s="224"/>
    </row>
    <row r="150" spans="3:12" ht="14.7" thickBot="1" x14ac:dyDescent="0.6">
      <c r="C150" s="124"/>
      <c r="D150" s="1" t="s">
        <v>375</v>
      </c>
      <c r="E150" s="37">
        <f ca="1">VLOOKUP(D133,'2 Water'!$D$158:$K$177,8,FALSE)</f>
        <v>70913.662667774697</v>
      </c>
      <c r="G150" s="125"/>
      <c r="I150" s="224"/>
      <c r="J150" s="224"/>
      <c r="K150" s="224"/>
      <c r="L150" s="224"/>
    </row>
    <row r="151" spans="3:12" ht="14.7" thickTop="1" x14ac:dyDescent="0.55000000000000004">
      <c r="C151" s="124"/>
      <c r="G151" s="125"/>
      <c r="I151" s="224"/>
      <c r="J151" s="224"/>
      <c r="K151" s="224"/>
      <c r="L151" s="224"/>
    </row>
    <row r="152" spans="3:12" x14ac:dyDescent="0.55000000000000004">
      <c r="C152" s="124"/>
      <c r="G152" s="125"/>
      <c r="I152" s="224"/>
      <c r="J152" s="224"/>
      <c r="K152" s="224"/>
      <c r="L152" s="224"/>
    </row>
    <row r="153" spans="3:12" x14ac:dyDescent="0.55000000000000004">
      <c r="C153" s="124"/>
      <c r="G153" s="125"/>
      <c r="I153" s="224"/>
      <c r="J153" s="224"/>
      <c r="K153" s="224"/>
      <c r="L153" s="224"/>
    </row>
    <row r="154" spans="3:12" x14ac:dyDescent="0.55000000000000004">
      <c r="C154" s="124"/>
      <c r="G154" s="125"/>
      <c r="I154" s="224"/>
      <c r="J154" s="224"/>
      <c r="K154" s="224"/>
      <c r="L154" s="224"/>
    </row>
    <row r="155" spans="3:12" x14ac:dyDescent="0.55000000000000004">
      <c r="C155" s="124"/>
      <c r="G155" s="125"/>
      <c r="I155" s="232" t="s">
        <v>385</v>
      </c>
      <c r="J155" s="224"/>
      <c r="K155" s="224"/>
      <c r="L155" s="224"/>
    </row>
    <row r="156" spans="3:12" x14ac:dyDescent="0.55000000000000004">
      <c r="C156" s="124"/>
      <c r="G156" s="125"/>
      <c r="I156" s="110"/>
      <c r="J156" s="102" t="s">
        <v>390</v>
      </c>
      <c r="K156" s="102" t="s">
        <v>391</v>
      </c>
      <c r="L156" s="224"/>
    </row>
    <row r="157" spans="3:12" x14ac:dyDescent="0.55000000000000004">
      <c r="C157" s="124"/>
      <c r="G157" s="125"/>
      <c r="I157" s="110" t="s">
        <v>369</v>
      </c>
      <c r="J157" s="100">
        <f ca="1">E136/1000</f>
        <v>32.586247225342618</v>
      </c>
      <c r="K157" s="102"/>
      <c r="L157" s="224"/>
    </row>
    <row r="158" spans="3:12" x14ac:dyDescent="0.55000000000000004">
      <c r="C158" s="124"/>
      <c r="G158" s="125"/>
      <c r="I158" s="110" t="s">
        <v>370</v>
      </c>
      <c r="J158" s="100">
        <f ca="1">E137/1000</f>
        <v>43.835035051263077</v>
      </c>
      <c r="K158" s="110"/>
      <c r="L158" s="224"/>
    </row>
    <row r="159" spans="3:12" x14ac:dyDescent="0.55000000000000004">
      <c r="C159" s="124"/>
      <c r="G159" s="125"/>
      <c r="I159" s="110" t="s">
        <v>471</v>
      </c>
      <c r="J159" s="100">
        <f ca="1">E140/1000</f>
        <v>0</v>
      </c>
      <c r="K159" s="110"/>
      <c r="L159" s="224"/>
    </row>
    <row r="160" spans="3:12" x14ac:dyDescent="0.55000000000000004">
      <c r="C160" s="124"/>
      <c r="G160" s="125"/>
      <c r="I160" s="110" t="s">
        <v>563</v>
      </c>
      <c r="J160" s="100"/>
      <c r="K160" s="101">
        <f ca="1">E150/1000</f>
        <v>70.913662667774702</v>
      </c>
      <c r="L160" s="224"/>
    </row>
    <row r="161" spans="3:12" x14ac:dyDescent="0.55000000000000004">
      <c r="C161" s="124"/>
      <c r="G161" s="125"/>
      <c r="I161" s="110" t="s">
        <v>564</v>
      </c>
      <c r="J161" s="100"/>
      <c r="K161" s="101">
        <f ca="1">E145/1000</f>
        <v>0</v>
      </c>
      <c r="L161" s="224"/>
    </row>
    <row r="162" spans="3:12" x14ac:dyDescent="0.55000000000000004">
      <c r="C162" s="124"/>
      <c r="G162" s="125"/>
      <c r="I162" s="110" t="s">
        <v>565</v>
      </c>
      <c r="J162" s="100"/>
      <c r="K162" s="101">
        <f ca="1">SUM(E142:E144)/1000</f>
        <v>5.5076196088309892</v>
      </c>
      <c r="L162" s="224"/>
    </row>
    <row r="163" spans="3:12" x14ac:dyDescent="0.55000000000000004">
      <c r="C163" s="124"/>
      <c r="G163" s="125"/>
      <c r="I163" s="110" t="s">
        <v>566</v>
      </c>
      <c r="J163" s="100"/>
      <c r="K163" s="101">
        <f ca="1">E148/1000</f>
        <v>0</v>
      </c>
      <c r="L163" s="224"/>
    </row>
    <row r="164" spans="3:12" x14ac:dyDescent="0.55000000000000004">
      <c r="C164" s="124"/>
      <c r="G164" s="125"/>
      <c r="I164" s="224"/>
      <c r="J164" s="224"/>
      <c r="K164" s="224"/>
      <c r="L164" s="224"/>
    </row>
    <row r="165" spans="3:12" x14ac:dyDescent="0.55000000000000004">
      <c r="C165" s="124"/>
      <c r="G165" s="125"/>
      <c r="I165" s="224"/>
      <c r="J165" s="224"/>
      <c r="K165" s="224"/>
      <c r="L165" s="224"/>
    </row>
    <row r="166" spans="3:12" x14ac:dyDescent="0.55000000000000004">
      <c r="C166" s="124"/>
      <c r="G166" s="125"/>
      <c r="I166" s="224"/>
      <c r="J166" s="224"/>
      <c r="K166" s="224"/>
      <c r="L166" s="224"/>
    </row>
    <row r="167" spans="3:12" x14ac:dyDescent="0.55000000000000004">
      <c r="C167" s="124"/>
      <c r="G167" s="125"/>
      <c r="I167" s="224"/>
      <c r="J167" s="224"/>
      <c r="K167" s="224"/>
      <c r="L167" s="224"/>
    </row>
    <row r="168" spans="3:12" x14ac:dyDescent="0.55000000000000004">
      <c r="C168" s="124"/>
      <c r="G168" s="125"/>
      <c r="I168" s="224"/>
      <c r="J168" s="224"/>
      <c r="K168" s="224"/>
      <c r="L168" s="224"/>
    </row>
    <row r="169" spans="3:12" x14ac:dyDescent="0.55000000000000004">
      <c r="C169" s="124"/>
      <c r="E169" s="220"/>
      <c r="G169" s="125"/>
      <c r="I169" s="224"/>
      <c r="J169" s="224"/>
      <c r="K169" s="224"/>
      <c r="L169" s="224"/>
    </row>
    <row r="170" spans="3:12" x14ac:dyDescent="0.55000000000000004">
      <c r="C170" s="124"/>
      <c r="D170" t="s">
        <v>387</v>
      </c>
      <c r="E170" s="64">
        <f ca="1">VLOOKUP(D133,'2 Water'!$D$158:$M$177,10,FALSE)</f>
        <v>40.136005456034269</v>
      </c>
      <c r="G170" s="125"/>
      <c r="I170" s="224"/>
      <c r="J170" s="224"/>
      <c r="K170" s="224"/>
      <c r="L170" s="224"/>
    </row>
    <row r="171" spans="3:12" x14ac:dyDescent="0.55000000000000004">
      <c r="C171" s="124"/>
      <c r="D171" t="s">
        <v>388</v>
      </c>
      <c r="E171" s="64">
        <f ca="1">VLOOKUP(D133,'2 Water'!$D$158:$M$177,9,FALSE)</f>
        <v>37.243436212434027</v>
      </c>
      <c r="G171" s="125"/>
      <c r="I171" s="224"/>
      <c r="J171" s="224"/>
      <c r="K171" s="224"/>
      <c r="L171" s="224"/>
    </row>
    <row r="172" spans="3:12" x14ac:dyDescent="0.55000000000000004">
      <c r="C172" s="124"/>
      <c r="D172" t="s">
        <v>378</v>
      </c>
      <c r="E172" s="97">
        <f ca="1">IFERROR(IF(E140=0,E148,E140)/E138,0)</f>
        <v>0</v>
      </c>
      <c r="G172" s="125"/>
      <c r="I172" s="224"/>
      <c r="J172" s="224"/>
      <c r="K172" s="224"/>
      <c r="L172" s="224"/>
    </row>
    <row r="173" spans="3:12" x14ac:dyDescent="0.55000000000000004">
      <c r="C173" s="124"/>
      <c r="G173" s="125"/>
      <c r="I173" s="224"/>
      <c r="J173" s="224"/>
      <c r="K173" s="224"/>
      <c r="L173" s="224"/>
    </row>
    <row r="174" spans="3:12" x14ac:dyDescent="0.55000000000000004">
      <c r="C174" s="124"/>
      <c r="D174" t="s">
        <v>389</v>
      </c>
      <c r="E174" s="64">
        <f ca="1">'3 Water'!H108</f>
        <v>293.79212399782381</v>
      </c>
      <c r="G174" s="125"/>
      <c r="I174" s="224"/>
      <c r="J174" s="224"/>
      <c r="K174" s="224"/>
      <c r="L174" s="224"/>
    </row>
    <row r="175" spans="3:12" x14ac:dyDescent="0.55000000000000004">
      <c r="C175" s="124"/>
      <c r="D175" t="s">
        <v>380</v>
      </c>
      <c r="E175" s="97">
        <f ca="1">IFERROR('3 Water'!I108/'3 Water'!H100,0)</f>
        <v>1.0000000000000002</v>
      </c>
      <c r="G175" s="125"/>
      <c r="I175" s="224"/>
      <c r="J175" s="224"/>
      <c r="K175" s="224"/>
      <c r="L175" s="224"/>
    </row>
    <row r="176" spans="3:12" x14ac:dyDescent="0.55000000000000004">
      <c r="C176" s="124"/>
      <c r="G176" s="125"/>
      <c r="I176" s="224"/>
      <c r="J176" s="224"/>
      <c r="K176" s="224"/>
      <c r="L176" s="224"/>
    </row>
    <row r="177" spans="3:13" x14ac:dyDescent="0.55000000000000004">
      <c r="C177" s="124"/>
      <c r="D177" s="1" t="s">
        <v>381</v>
      </c>
      <c r="G177" s="125"/>
      <c r="I177" s="224"/>
      <c r="J177" s="224"/>
      <c r="K177" s="224"/>
      <c r="L177" s="224"/>
    </row>
    <row r="178" spans="3:13" x14ac:dyDescent="0.55000000000000004">
      <c r="C178" s="124"/>
      <c r="G178" s="125"/>
      <c r="I178" s="224"/>
      <c r="J178" s="224"/>
      <c r="K178" s="224"/>
      <c r="L178" s="224"/>
    </row>
    <row r="179" spans="3:13" x14ac:dyDescent="0.55000000000000004">
      <c r="C179" s="124"/>
      <c r="G179" s="125"/>
      <c r="I179" s="224"/>
      <c r="J179" s="224"/>
      <c r="K179" s="224"/>
      <c r="L179" s="224"/>
    </row>
    <row r="180" spans="3:13" ht="28.8" x14ac:dyDescent="0.55000000000000004">
      <c r="C180" s="124"/>
      <c r="G180" s="125"/>
      <c r="I180" s="102" t="s">
        <v>383</v>
      </c>
      <c r="J180" s="102" t="s">
        <v>382</v>
      </c>
      <c r="K180" s="102" t="s">
        <v>100</v>
      </c>
      <c r="L180" s="230" t="s">
        <v>392</v>
      </c>
      <c r="M180" s="231" t="s">
        <v>567</v>
      </c>
    </row>
    <row r="181" spans="3:13" x14ac:dyDescent="0.55000000000000004">
      <c r="C181" s="124"/>
      <c r="G181" s="125"/>
      <c r="I181" s="102">
        <v>1</v>
      </c>
      <c r="J181" s="102">
        <f>IFERROR(VLOOKUP(I181,'3 Water'!$E$121:$J$130,3,FALSE),0)</f>
        <v>500</v>
      </c>
      <c r="K181" s="103">
        <f ca="1">IFERROR(VLOOKUP(I181,'3 Water'!$E$121:$J$130,6,FALSE),0)</f>
        <v>20.12933190188118</v>
      </c>
      <c r="L181" s="104">
        <f ca="1">$E$170</f>
        <v>40.136005456034269</v>
      </c>
      <c r="M181" s="105">
        <f ca="1">IFERROR('3 Water'!I100/'3 Water'!G100,0)</f>
        <v>23.021901145481429</v>
      </c>
    </row>
    <row r="182" spans="3:13" x14ac:dyDescent="0.55000000000000004">
      <c r="C182" s="124"/>
      <c r="G182" s="125"/>
      <c r="I182" s="102">
        <v>2</v>
      </c>
      <c r="J182" s="102" t="str">
        <f>IFERROR(VLOOKUP(I182,'3 Water'!$E$121:$J$130,3,FALSE),0)</f>
        <v>more</v>
      </c>
      <c r="K182" s="103">
        <f ca="1">IFERROR(VLOOKUP(I182,'3 Water'!$E$121:$J$130,6,FALSE),0)</f>
        <v>22.299022653553777</v>
      </c>
      <c r="L182" s="104">
        <f t="shared" ref="L182:L190" ca="1" si="4">$E$170</f>
        <v>40.136005456034269</v>
      </c>
      <c r="M182" s="104">
        <f t="shared" ref="M182:M190" ca="1" si="5">$M$181</f>
        <v>23.021901145481429</v>
      </c>
    </row>
    <row r="183" spans="3:13" x14ac:dyDescent="0.55000000000000004">
      <c r="C183" s="124"/>
      <c r="G183" s="125"/>
      <c r="I183" s="102">
        <v>3</v>
      </c>
      <c r="J183" s="102">
        <f>IFERROR(VLOOKUP(I183,'3 Water'!$E$121:$J$130,3,FALSE),0)</f>
        <v>0</v>
      </c>
      <c r="K183" s="103">
        <f>IFERROR(VLOOKUP(I183,'3 Water'!$E$121:$J$130,6,FALSE),0)</f>
        <v>0</v>
      </c>
      <c r="L183" s="104">
        <f t="shared" ca="1" si="4"/>
        <v>40.136005456034269</v>
      </c>
      <c r="M183" s="104">
        <f t="shared" ca="1" si="5"/>
        <v>23.021901145481429</v>
      </c>
    </row>
    <row r="184" spans="3:13" x14ac:dyDescent="0.55000000000000004">
      <c r="C184" s="124"/>
      <c r="G184" s="125"/>
      <c r="I184" s="102">
        <v>4</v>
      </c>
      <c r="J184" s="102">
        <f>IFERROR(VLOOKUP(I184,'3 Water'!$E$121:$J$130,3,FALSE),0)</f>
        <v>0</v>
      </c>
      <c r="K184" s="103">
        <f>IFERROR(VLOOKUP(I184,'3 Water'!$E$121:$J$130,6,FALSE),0)</f>
        <v>0</v>
      </c>
      <c r="L184" s="104">
        <f t="shared" ca="1" si="4"/>
        <v>40.136005456034269</v>
      </c>
      <c r="M184" s="104">
        <f t="shared" ca="1" si="5"/>
        <v>23.021901145481429</v>
      </c>
    </row>
    <row r="185" spans="3:13" x14ac:dyDescent="0.55000000000000004">
      <c r="C185" s="124"/>
      <c r="G185" s="125"/>
      <c r="I185" s="102">
        <v>5</v>
      </c>
      <c r="J185" s="102">
        <f>IFERROR(VLOOKUP(I185,'3 Water'!$E$121:$J$130,3,FALSE),0)</f>
        <v>0</v>
      </c>
      <c r="K185" s="103">
        <f>IFERROR(VLOOKUP(I185,'3 Water'!$E$121:$J$130,6,FALSE),0)</f>
        <v>0</v>
      </c>
      <c r="L185" s="104">
        <f t="shared" ca="1" si="4"/>
        <v>40.136005456034269</v>
      </c>
      <c r="M185" s="104">
        <f t="shared" ca="1" si="5"/>
        <v>23.021901145481429</v>
      </c>
    </row>
    <row r="186" spans="3:13" x14ac:dyDescent="0.55000000000000004">
      <c r="C186" s="124"/>
      <c r="G186" s="125"/>
      <c r="I186" s="102">
        <v>6</v>
      </c>
      <c r="J186" s="102">
        <f>IFERROR(VLOOKUP(I186,'3 Water'!$E$121:$J$130,3,FALSE),0)</f>
        <v>0</v>
      </c>
      <c r="K186" s="103">
        <f>IFERROR(VLOOKUP(I186,'3 Water'!$E$121:$J$130,6,FALSE),0)</f>
        <v>0</v>
      </c>
      <c r="L186" s="104">
        <f t="shared" ca="1" si="4"/>
        <v>40.136005456034269</v>
      </c>
      <c r="M186" s="104">
        <f t="shared" ca="1" si="5"/>
        <v>23.021901145481429</v>
      </c>
    </row>
    <row r="187" spans="3:13" x14ac:dyDescent="0.55000000000000004">
      <c r="C187" s="124"/>
      <c r="G187" s="125"/>
      <c r="I187" s="102">
        <v>7</v>
      </c>
      <c r="J187" s="102">
        <f>IFERROR(VLOOKUP(I187,'3 Water'!$E$121:$J$130,3,FALSE),0)</f>
        <v>0</v>
      </c>
      <c r="K187" s="103">
        <f>IFERROR(VLOOKUP(I187,'3 Water'!$E$121:$J$130,6,FALSE),0)</f>
        <v>0</v>
      </c>
      <c r="L187" s="104">
        <f t="shared" ca="1" si="4"/>
        <v>40.136005456034269</v>
      </c>
      <c r="M187" s="104">
        <f t="shared" ca="1" si="5"/>
        <v>23.021901145481429</v>
      </c>
    </row>
    <row r="188" spans="3:13" x14ac:dyDescent="0.55000000000000004">
      <c r="C188" s="124"/>
      <c r="G188" s="125"/>
      <c r="I188" s="102">
        <v>8</v>
      </c>
      <c r="J188" s="102">
        <f>IFERROR(VLOOKUP(I188,'3 Water'!$E$121:$J$130,3,FALSE),0)</f>
        <v>0</v>
      </c>
      <c r="K188" s="103">
        <f>IFERROR(VLOOKUP(I188,'3 Water'!$E$121:$J$130,6,FALSE),0)</f>
        <v>0</v>
      </c>
      <c r="L188" s="104">
        <f t="shared" ca="1" si="4"/>
        <v>40.136005456034269</v>
      </c>
      <c r="M188" s="104">
        <f t="shared" ca="1" si="5"/>
        <v>23.021901145481429</v>
      </c>
    </row>
    <row r="189" spans="3:13" x14ac:dyDescent="0.55000000000000004">
      <c r="C189" s="124"/>
      <c r="G189" s="125"/>
      <c r="I189" s="102">
        <v>9</v>
      </c>
      <c r="J189" s="102">
        <f>IFERROR(VLOOKUP(I189,'3 Water'!$E$121:$J$130,3,FALSE),0)</f>
        <v>0</v>
      </c>
      <c r="K189" s="103">
        <f>IFERROR(VLOOKUP(I189,'3 Water'!$E$121:$J$130,6,FALSE),0)</f>
        <v>0</v>
      </c>
      <c r="L189" s="104">
        <f t="shared" ca="1" si="4"/>
        <v>40.136005456034269</v>
      </c>
      <c r="M189" s="104">
        <f t="shared" ca="1" si="5"/>
        <v>23.021901145481429</v>
      </c>
    </row>
    <row r="190" spans="3:13" x14ac:dyDescent="0.55000000000000004">
      <c r="C190" s="124"/>
      <c r="G190" s="125"/>
      <c r="I190" s="102">
        <v>10</v>
      </c>
      <c r="J190" s="102">
        <f>IFERROR(VLOOKUP(I190,'3 Water'!$E$121:$J$130,3,FALSE),0)</f>
        <v>0</v>
      </c>
      <c r="K190" s="103">
        <f>IFERROR(VLOOKUP(I190,'3 Water'!$E$121:$J$130,6,FALSE),0)</f>
        <v>0</v>
      </c>
      <c r="L190" s="104">
        <f t="shared" ca="1" si="4"/>
        <v>40.136005456034269</v>
      </c>
      <c r="M190" s="104">
        <f t="shared" ca="1" si="5"/>
        <v>23.021901145481429</v>
      </c>
    </row>
    <row r="191" spans="3:13" x14ac:dyDescent="0.55000000000000004">
      <c r="C191" s="124"/>
      <c r="G191" s="125"/>
      <c r="I191" s="224"/>
      <c r="J191" s="224"/>
      <c r="K191" s="224"/>
      <c r="L191" s="224"/>
    </row>
    <row r="192" spans="3:13" x14ac:dyDescent="0.55000000000000004">
      <c r="C192" s="124"/>
      <c r="G192" s="125"/>
      <c r="I192" s="224"/>
      <c r="J192" s="224"/>
      <c r="K192" s="224"/>
      <c r="L192" s="224"/>
    </row>
    <row r="193" spans="3:12" x14ac:dyDescent="0.55000000000000004">
      <c r="C193" s="124"/>
      <c r="G193" s="125"/>
      <c r="I193" s="224"/>
      <c r="J193" s="224"/>
      <c r="K193" s="224"/>
      <c r="L193" s="224"/>
    </row>
    <row r="194" spans="3:12" x14ac:dyDescent="0.55000000000000004">
      <c r="C194" s="124"/>
      <c r="G194" s="125"/>
      <c r="I194" s="224"/>
      <c r="J194" s="224"/>
      <c r="K194" s="224"/>
      <c r="L194" s="224"/>
    </row>
    <row r="195" spans="3:12" x14ac:dyDescent="0.55000000000000004">
      <c r="C195" s="124"/>
      <c r="G195" s="125"/>
      <c r="I195" s="224"/>
      <c r="J195" s="224"/>
      <c r="K195" s="224"/>
      <c r="L195" s="224"/>
    </row>
    <row r="196" spans="3:12" ht="14.7" thickBot="1" x14ac:dyDescent="0.6">
      <c r="C196" s="130"/>
      <c r="D196" s="131"/>
      <c r="E196" s="131"/>
      <c r="F196" s="131"/>
      <c r="G196" s="132"/>
      <c r="I196" s="224"/>
      <c r="J196" s="224"/>
      <c r="K196" s="224"/>
      <c r="L196" s="224"/>
    </row>
    <row r="197" spans="3:12" x14ac:dyDescent="0.55000000000000004">
      <c r="I197" s="224"/>
      <c r="J197" s="224"/>
      <c r="K197" s="224"/>
      <c r="L197" s="224"/>
    </row>
    <row r="198" spans="3:12" ht="14.7" thickBot="1" x14ac:dyDescent="0.6">
      <c r="I198" s="224"/>
      <c r="J198" s="224"/>
      <c r="K198" s="224"/>
      <c r="L198" s="224"/>
    </row>
    <row r="199" spans="3:12" x14ac:dyDescent="0.55000000000000004">
      <c r="C199" s="121"/>
      <c r="D199" s="122"/>
      <c r="E199" s="122"/>
      <c r="F199" s="122"/>
      <c r="G199" s="123"/>
      <c r="I199" s="224"/>
      <c r="J199" s="224"/>
      <c r="K199" s="224"/>
      <c r="L199" s="224"/>
    </row>
    <row r="200" spans="3:12" ht="15.6" x14ac:dyDescent="0.6">
      <c r="C200" s="124"/>
      <c r="D200" s="98" t="str">
        <f>'2 Customer data'!D24</f>
        <v>Schools</v>
      </c>
      <c r="G200" s="125"/>
      <c r="I200" s="224"/>
      <c r="J200" s="224"/>
      <c r="K200" s="224"/>
      <c r="L200" s="224"/>
    </row>
    <row r="201" spans="3:12" x14ac:dyDescent="0.55000000000000004">
      <c r="C201" s="124"/>
      <c r="G201" s="125"/>
      <c r="I201" s="224"/>
      <c r="J201" s="224"/>
      <c r="K201" s="224"/>
      <c r="L201" s="224"/>
    </row>
    <row r="202" spans="3:12" x14ac:dyDescent="0.55000000000000004">
      <c r="C202" s="124"/>
      <c r="E202" s="220" t="s">
        <v>250</v>
      </c>
      <c r="G202" s="125"/>
      <c r="I202" s="224"/>
      <c r="J202" s="224"/>
      <c r="K202" s="224"/>
      <c r="L202" s="224"/>
    </row>
    <row r="203" spans="3:12" x14ac:dyDescent="0.55000000000000004">
      <c r="C203" s="124"/>
      <c r="D203" t="s">
        <v>369</v>
      </c>
      <c r="E203" s="26">
        <f ca="1">VLOOKUP(D200,'2 Water'!$D$19:$J$38,5,FALSE)</f>
        <v>126724.29476522133</v>
      </c>
      <c r="G203" s="125"/>
      <c r="I203" s="224"/>
      <c r="J203" s="224"/>
      <c r="K203" s="224"/>
      <c r="L203" s="224"/>
    </row>
    <row r="204" spans="3:12" x14ac:dyDescent="0.55000000000000004">
      <c r="C204" s="124"/>
      <c r="D204" t="s">
        <v>370</v>
      </c>
      <c r="E204" s="99">
        <f ca="1">VLOOKUP(D200,'2 Water'!$D$19:$J$38,6,FALSE)</f>
        <v>2020099.9971844212</v>
      </c>
      <c r="G204" s="125"/>
      <c r="I204" s="224"/>
      <c r="J204" s="224"/>
      <c r="K204" s="224"/>
      <c r="L204" s="224"/>
    </row>
    <row r="205" spans="3:12" ht="14.7" thickBot="1" x14ac:dyDescent="0.6">
      <c r="C205" s="124"/>
      <c r="D205" s="1" t="s">
        <v>39</v>
      </c>
      <c r="E205" s="37">
        <f ca="1">VLOOKUP(D200,'2 Water'!$D$19:$J$38,7,FALSE)</f>
        <v>2146824.2919496424</v>
      </c>
      <c r="G205" s="125"/>
      <c r="I205" s="224"/>
      <c r="J205" s="224"/>
      <c r="K205" s="224"/>
      <c r="L205" s="224"/>
    </row>
    <row r="206" spans="3:12" ht="14.7" thickTop="1" x14ac:dyDescent="0.55000000000000004">
      <c r="C206" s="124"/>
      <c r="G206" s="125"/>
      <c r="I206" s="224"/>
      <c r="J206" s="224"/>
      <c r="K206" s="224"/>
      <c r="L206" s="224"/>
    </row>
    <row r="207" spans="3:12" x14ac:dyDescent="0.55000000000000004">
      <c r="C207" s="124"/>
      <c r="D207" t="s">
        <v>189</v>
      </c>
      <c r="E207" s="26">
        <f ca="1">IF(VLOOKUP(D200,'2 Water'!$D$126:$K$145,7,FALSE)="",VLOOKUP(D200,'2 Water'!$D$126:$K$145,6,FALSE),VLOOKUP(D200,'2 Water'!$D$126:$K$145,7,FALSE))+VLOOKUP(D200,'2 Water'!$D$158:$J$177,5,FALSE)</f>
        <v>0</v>
      </c>
      <c r="G207" s="125"/>
      <c r="I207" s="224"/>
      <c r="J207" s="224"/>
      <c r="K207" s="224"/>
      <c r="L207" s="224"/>
    </row>
    <row r="208" spans="3:12" x14ac:dyDescent="0.55000000000000004">
      <c r="C208" s="124"/>
      <c r="G208" s="125"/>
      <c r="I208" s="224"/>
      <c r="J208" s="224"/>
      <c r="K208" s="224"/>
      <c r="L208" s="224"/>
    </row>
    <row r="209" spans="3:12" x14ac:dyDescent="0.55000000000000004">
      <c r="C209" s="124"/>
      <c r="D209" t="s">
        <v>371</v>
      </c>
      <c r="E209" s="64">
        <f ca="1">IF(VLOOKUP(D200,'2 Water'!$D$54:$M$73,5,FALSE)="",VLOOKUP(D200,'2 Water'!$D$54:$M$73,4,FALSE),VLOOKUP(D200,'2 Water'!$D$54:$M$73,5,FALSE))</f>
        <v>0</v>
      </c>
      <c r="G209" s="125"/>
      <c r="I209" s="224"/>
      <c r="J209" s="224"/>
      <c r="K209" s="224"/>
      <c r="L209" s="224"/>
    </row>
    <row r="210" spans="3:12" x14ac:dyDescent="0.55000000000000004">
      <c r="C210" s="124"/>
      <c r="D210" t="s">
        <v>372</v>
      </c>
      <c r="E210" s="26">
        <f ca="1">IF(VLOOKUP(D200,'2 Water'!$D$54:$M$73,7,FALSE)="",VLOOKUP(D200,'2 Water'!$D$54:$M$73,6,FALSE),VLOOKUP(D200,'2 Water'!$D$54:$M$73,7,FALSE))</f>
        <v>154719.87926426245</v>
      </c>
      <c r="G210" s="125"/>
      <c r="I210" s="224"/>
      <c r="J210" s="224"/>
      <c r="K210" s="224"/>
      <c r="L210" s="224"/>
    </row>
    <row r="211" spans="3:12" x14ac:dyDescent="0.55000000000000004">
      <c r="C211" s="124"/>
      <c r="D211" t="s">
        <v>373</v>
      </c>
      <c r="E211" s="26">
        <f ca="1">IF(VLOOKUP(D200,'2 Water'!$D$54:$M$73,9,FALSE)="",VLOOKUP(D200,'2 Water'!$D$54:$M$73,8,FALSE),VLOOKUP(D200,'2 Water'!$D$54:$M$73,9,FALSE))</f>
        <v>0</v>
      </c>
      <c r="G211" s="125"/>
      <c r="I211" s="224"/>
      <c r="J211" s="224"/>
      <c r="K211" s="224"/>
      <c r="L211" s="224"/>
    </row>
    <row r="212" spans="3:12" x14ac:dyDescent="0.55000000000000004">
      <c r="C212" s="124"/>
      <c r="D212" t="s">
        <v>374</v>
      </c>
      <c r="E212" s="26">
        <f ca="1">IF(VLOOKUP(D200,'2 Water'!$D$90:$I$109,5,FALSE)="",VLOOKUP(D200,'2 Water'!$D$90:$I$109,4,FALSE),VLOOKUP(D200,'2 Water'!$D$90:$I$109,5,FALSE))</f>
        <v>0</v>
      </c>
      <c r="G212" s="125"/>
      <c r="I212" s="224"/>
      <c r="J212" s="224"/>
      <c r="K212" s="224"/>
      <c r="L212" s="224"/>
    </row>
    <row r="213" spans="3:12" ht="14.7" thickBot="1" x14ac:dyDescent="0.6">
      <c r="C213" s="124"/>
      <c r="D213" s="1" t="s">
        <v>145</v>
      </c>
      <c r="E213" s="37">
        <f ca="1">SUM(E209:E212)</f>
        <v>154719.87926426245</v>
      </c>
      <c r="F213" s="135"/>
      <c r="G213" s="125"/>
      <c r="I213" s="224"/>
      <c r="J213" s="224"/>
      <c r="K213" s="224"/>
      <c r="L213" s="224"/>
    </row>
    <row r="214" spans="3:12" ht="14.7" thickTop="1" x14ac:dyDescent="0.55000000000000004">
      <c r="C214" s="124"/>
      <c r="D214" s="1"/>
      <c r="E214" s="15"/>
      <c r="G214" s="125"/>
      <c r="I214" s="224"/>
      <c r="J214" s="224"/>
      <c r="K214" s="224"/>
      <c r="L214" s="224"/>
    </row>
    <row r="215" spans="3:12" x14ac:dyDescent="0.55000000000000004">
      <c r="C215" s="124"/>
      <c r="D215" t="s">
        <v>384</v>
      </c>
      <c r="E215" s="26">
        <f ca="1">IF(VLOOKUP(D200,'2 Water'!$D$126:$K$145,5,FALSE)="",VLOOKUP(D200,'2 Water'!$D$126:$K$145,4,FALSE),VLOOKUP(D200,'2 Water'!$D$126:$K$145,5,FALSE))+VLOOKUP(D200,'2 Water'!$D$158:$J$177,7,FALSE)</f>
        <v>0</v>
      </c>
      <c r="G215" s="125"/>
      <c r="I215" s="224"/>
      <c r="J215" s="224"/>
      <c r="K215" s="224"/>
      <c r="L215" s="224"/>
    </row>
    <row r="216" spans="3:12" x14ac:dyDescent="0.55000000000000004">
      <c r="C216" s="124"/>
      <c r="G216" s="125"/>
      <c r="I216" s="224"/>
      <c r="J216" s="224"/>
      <c r="K216" s="224"/>
      <c r="L216" s="224"/>
    </row>
    <row r="217" spans="3:12" ht="14.7" thickBot="1" x14ac:dyDescent="0.6">
      <c r="C217" s="124"/>
      <c r="D217" s="1" t="s">
        <v>375</v>
      </c>
      <c r="E217" s="37">
        <f ca="1">VLOOKUP(D200,'2 Water'!$D$158:$K$177,8,FALSE)</f>
        <v>1992104.4126853799</v>
      </c>
      <c r="G217" s="125"/>
      <c r="I217" s="224"/>
      <c r="J217" s="224"/>
      <c r="K217" s="224"/>
      <c r="L217" s="224"/>
    </row>
    <row r="218" spans="3:12" ht="14.7" thickTop="1" x14ac:dyDescent="0.55000000000000004">
      <c r="C218" s="124"/>
      <c r="G218" s="125"/>
      <c r="I218" s="224"/>
      <c r="J218" s="224"/>
      <c r="K218" s="224"/>
      <c r="L218" s="224"/>
    </row>
    <row r="219" spans="3:12" x14ac:dyDescent="0.55000000000000004">
      <c r="C219" s="124"/>
      <c r="G219" s="125"/>
      <c r="I219" s="224"/>
      <c r="J219" s="224"/>
      <c r="K219" s="224"/>
      <c r="L219" s="224"/>
    </row>
    <row r="220" spans="3:12" x14ac:dyDescent="0.55000000000000004">
      <c r="C220" s="124"/>
      <c r="G220" s="125"/>
      <c r="I220" s="224"/>
      <c r="J220" s="224"/>
      <c r="K220" s="224"/>
      <c r="L220" s="224"/>
    </row>
    <row r="221" spans="3:12" x14ac:dyDescent="0.55000000000000004">
      <c r="C221" s="124"/>
      <c r="G221" s="125"/>
      <c r="I221" s="232" t="s">
        <v>385</v>
      </c>
      <c r="J221" s="224"/>
      <c r="K221" s="224"/>
      <c r="L221" s="224"/>
    </row>
    <row r="222" spans="3:12" x14ac:dyDescent="0.55000000000000004">
      <c r="C222" s="124"/>
      <c r="G222" s="125"/>
      <c r="I222" s="110"/>
      <c r="J222" s="102" t="s">
        <v>390</v>
      </c>
      <c r="K222" s="102" t="s">
        <v>391</v>
      </c>
      <c r="L222" s="224"/>
    </row>
    <row r="223" spans="3:12" x14ac:dyDescent="0.55000000000000004">
      <c r="C223" s="124"/>
      <c r="G223" s="125"/>
      <c r="I223" s="110" t="s">
        <v>369</v>
      </c>
      <c r="J223" s="100">
        <f ca="1">E203/1000</f>
        <v>126.72429476522133</v>
      </c>
      <c r="K223" s="102"/>
      <c r="L223" s="224"/>
    </row>
    <row r="224" spans="3:12" x14ac:dyDescent="0.55000000000000004">
      <c r="C224" s="124"/>
      <c r="G224" s="125"/>
      <c r="I224" s="110" t="s">
        <v>370</v>
      </c>
      <c r="J224" s="100">
        <f ca="1">E204/1000</f>
        <v>2020.0999971844212</v>
      </c>
      <c r="K224" s="110"/>
      <c r="L224" s="224"/>
    </row>
    <row r="225" spans="3:12" x14ac:dyDescent="0.55000000000000004">
      <c r="C225" s="124"/>
      <c r="G225" s="125"/>
      <c r="I225" s="110" t="s">
        <v>471</v>
      </c>
      <c r="J225" s="100">
        <f ca="1">E207/1000</f>
        <v>0</v>
      </c>
      <c r="K225" s="110"/>
      <c r="L225" s="224"/>
    </row>
    <row r="226" spans="3:12" x14ac:dyDescent="0.55000000000000004">
      <c r="C226" s="124"/>
      <c r="G226" s="125"/>
      <c r="I226" s="110" t="s">
        <v>563</v>
      </c>
      <c r="J226" s="100"/>
      <c r="K226" s="101">
        <f ca="1">E217/1000</f>
        <v>1992.1044126853799</v>
      </c>
      <c r="L226" s="224"/>
    </row>
    <row r="227" spans="3:12" x14ac:dyDescent="0.55000000000000004">
      <c r="C227" s="124"/>
      <c r="G227" s="125"/>
      <c r="I227" s="110" t="s">
        <v>564</v>
      </c>
      <c r="J227" s="100"/>
      <c r="K227" s="101">
        <f ca="1">E212/1000</f>
        <v>0</v>
      </c>
      <c r="L227" s="224"/>
    </row>
    <row r="228" spans="3:12" x14ac:dyDescent="0.55000000000000004">
      <c r="C228" s="124"/>
      <c r="G228" s="125"/>
      <c r="I228" s="110" t="s">
        <v>565</v>
      </c>
      <c r="J228" s="100"/>
      <c r="K228" s="101">
        <f ca="1">SUM(E209:E211)/1000</f>
        <v>154.71987926426246</v>
      </c>
      <c r="L228" s="224"/>
    </row>
    <row r="229" spans="3:12" x14ac:dyDescent="0.55000000000000004">
      <c r="C229" s="124"/>
      <c r="G229" s="125"/>
      <c r="I229" s="110" t="s">
        <v>566</v>
      </c>
      <c r="J229" s="100"/>
      <c r="K229" s="101">
        <f ca="1">E215/1000</f>
        <v>0</v>
      </c>
      <c r="L229" s="224"/>
    </row>
    <row r="230" spans="3:12" x14ac:dyDescent="0.55000000000000004">
      <c r="C230" s="124"/>
      <c r="G230" s="125"/>
      <c r="I230" s="224"/>
      <c r="J230" s="224"/>
      <c r="K230" s="224"/>
      <c r="L230" s="224"/>
    </row>
    <row r="231" spans="3:12" x14ac:dyDescent="0.55000000000000004">
      <c r="C231" s="124"/>
      <c r="G231" s="125"/>
      <c r="I231" s="224"/>
      <c r="J231" s="224"/>
      <c r="K231" s="224"/>
      <c r="L231" s="224"/>
    </row>
    <row r="232" spans="3:12" x14ac:dyDescent="0.55000000000000004">
      <c r="C232" s="124"/>
      <c r="G232" s="125"/>
      <c r="I232" s="224"/>
      <c r="J232" s="224"/>
      <c r="K232" s="224"/>
      <c r="L232" s="224"/>
    </row>
    <row r="233" spans="3:12" x14ac:dyDescent="0.55000000000000004">
      <c r="C233" s="124"/>
      <c r="G233" s="125"/>
      <c r="I233" s="224"/>
      <c r="J233" s="224"/>
      <c r="K233" s="224"/>
      <c r="L233" s="224"/>
    </row>
    <row r="234" spans="3:12" x14ac:dyDescent="0.55000000000000004">
      <c r="C234" s="124"/>
      <c r="G234" s="125"/>
      <c r="I234" s="224"/>
      <c r="J234" s="224"/>
      <c r="K234" s="224"/>
      <c r="L234" s="224"/>
    </row>
    <row r="235" spans="3:12" x14ac:dyDescent="0.55000000000000004">
      <c r="C235" s="124"/>
      <c r="G235" s="125"/>
      <c r="I235" s="224"/>
      <c r="J235" s="224"/>
      <c r="K235" s="224"/>
      <c r="L235" s="224"/>
    </row>
    <row r="236" spans="3:12" x14ac:dyDescent="0.55000000000000004">
      <c r="C236" s="124"/>
      <c r="E236" s="220"/>
      <c r="G236" s="125"/>
      <c r="I236" s="224"/>
      <c r="J236" s="224"/>
      <c r="K236" s="224"/>
      <c r="L236" s="224"/>
    </row>
    <row r="237" spans="3:12" x14ac:dyDescent="0.55000000000000004">
      <c r="C237" s="124"/>
      <c r="D237" t="s">
        <v>387</v>
      </c>
      <c r="E237" s="64">
        <f ca="1">VLOOKUP(D200,'2 Water'!$D$158:$M$177,10,FALSE)</f>
        <v>24.466104002212301</v>
      </c>
      <c r="G237" s="125"/>
      <c r="I237" s="224"/>
      <c r="J237" s="224"/>
      <c r="K237" s="224"/>
      <c r="L237" s="224"/>
    </row>
    <row r="238" spans="3:12" x14ac:dyDescent="0.55000000000000004">
      <c r="C238" s="124"/>
      <c r="D238" t="s">
        <v>388</v>
      </c>
      <c r="E238" s="64">
        <f ca="1">VLOOKUP(D200,'2 Water'!$D$158:$M$177,9,FALSE)</f>
        <v>22.702851801515678</v>
      </c>
      <c r="G238" s="125"/>
      <c r="I238" s="224"/>
      <c r="J238" s="224"/>
      <c r="K238" s="224"/>
      <c r="L238" s="224"/>
    </row>
    <row r="239" spans="3:12" x14ac:dyDescent="0.55000000000000004">
      <c r="C239" s="124"/>
      <c r="D239" t="s">
        <v>378</v>
      </c>
      <c r="E239" s="97">
        <f ca="1">IFERROR(IF(E207=0,E215,E207)/E205,0)</f>
        <v>0</v>
      </c>
      <c r="G239" s="125"/>
      <c r="I239" s="224"/>
      <c r="J239" s="224"/>
      <c r="K239" s="224"/>
      <c r="L239" s="224"/>
    </row>
    <row r="240" spans="3:12" x14ac:dyDescent="0.55000000000000004">
      <c r="C240" s="124"/>
      <c r="G240" s="125"/>
      <c r="I240" s="224"/>
      <c r="J240" s="224"/>
      <c r="K240" s="224"/>
      <c r="L240" s="224"/>
    </row>
    <row r="241" spans="3:13" x14ac:dyDescent="0.55000000000000004">
      <c r="C241" s="124"/>
      <c r="D241" t="s">
        <v>389</v>
      </c>
      <c r="E241" s="64">
        <f ca="1">'3 Water'!H149</f>
        <v>293.79212399782381</v>
      </c>
      <c r="G241" s="125"/>
      <c r="I241" s="224"/>
      <c r="J241" s="224"/>
      <c r="K241" s="224"/>
      <c r="L241" s="224"/>
    </row>
    <row r="242" spans="3:13" x14ac:dyDescent="0.55000000000000004">
      <c r="C242" s="124"/>
      <c r="D242" t="s">
        <v>380</v>
      </c>
      <c r="E242" s="97">
        <f ca="1">IFERROR('3 Water'!I149/'3 Water'!H141,0)</f>
        <v>0.99999999999999978</v>
      </c>
      <c r="G242" s="125"/>
      <c r="I242" s="224"/>
      <c r="J242" s="224"/>
      <c r="K242" s="224"/>
      <c r="L242" s="224"/>
    </row>
    <row r="243" spans="3:13" x14ac:dyDescent="0.55000000000000004">
      <c r="C243" s="124"/>
      <c r="G243" s="125"/>
      <c r="I243" s="224"/>
      <c r="J243" s="224"/>
      <c r="K243" s="224"/>
      <c r="L243" s="224"/>
    </row>
    <row r="244" spans="3:13" x14ac:dyDescent="0.55000000000000004">
      <c r="C244" s="124"/>
      <c r="D244" s="1" t="s">
        <v>381</v>
      </c>
      <c r="G244" s="125"/>
      <c r="I244" s="224"/>
      <c r="J244" s="224"/>
      <c r="K244" s="224"/>
      <c r="L244" s="224"/>
    </row>
    <row r="245" spans="3:13" x14ac:dyDescent="0.55000000000000004">
      <c r="C245" s="124"/>
      <c r="G245" s="125"/>
      <c r="I245" s="224"/>
      <c r="J245" s="224"/>
      <c r="K245" s="224"/>
      <c r="L245" s="224"/>
    </row>
    <row r="246" spans="3:13" x14ac:dyDescent="0.55000000000000004">
      <c r="C246" s="124"/>
      <c r="G246" s="125"/>
      <c r="I246" s="224"/>
      <c r="J246" s="224"/>
      <c r="K246" s="224"/>
      <c r="L246" s="224"/>
    </row>
    <row r="247" spans="3:13" ht="28.8" x14ac:dyDescent="0.55000000000000004">
      <c r="C247" s="124"/>
      <c r="G247" s="125"/>
      <c r="I247" s="102" t="s">
        <v>383</v>
      </c>
      <c r="J247" s="102" t="s">
        <v>382</v>
      </c>
      <c r="K247" s="102" t="s">
        <v>100</v>
      </c>
      <c r="L247" s="230" t="s">
        <v>392</v>
      </c>
      <c r="M247" s="231" t="s">
        <v>567</v>
      </c>
    </row>
    <row r="248" spans="3:13" x14ac:dyDescent="0.55000000000000004">
      <c r="C248" s="124"/>
      <c r="G248" s="125"/>
      <c r="I248" s="102">
        <v>1</v>
      </c>
      <c r="J248" s="102">
        <f>IFERROR(VLOOKUP(I248,'3 Water'!$E$162:$J$171,3,FALSE),0)</f>
        <v>500</v>
      </c>
      <c r="K248" s="103">
        <f ca="1">IFERROR(VLOOKUP(I248,'3 Water'!$E$162:$J$171,6,FALSE),0)</f>
        <v>20.643822973475459</v>
      </c>
      <c r="L248" s="104">
        <f ca="1">$E$170</f>
        <v>40.136005456034269</v>
      </c>
      <c r="M248" s="105">
        <f ca="1">IFERROR('3 Water'!I141/'3 Water'!G141,0)</f>
        <v>23.021901145481429</v>
      </c>
    </row>
    <row r="249" spans="3:13" x14ac:dyDescent="0.55000000000000004">
      <c r="C249" s="124"/>
      <c r="G249" s="125"/>
      <c r="I249" s="102">
        <v>2</v>
      </c>
      <c r="J249" s="102" t="str">
        <f>IFERROR(VLOOKUP(I249,'3 Water'!$E$162:$J$171,3,FALSE),0)</f>
        <v>more</v>
      </c>
      <c r="K249" s="103">
        <f ca="1">IFERROR(VLOOKUP(I249,'3 Water'!$E$162:$J$171,6,FALSE),0)</f>
        <v>22.868969441477713</v>
      </c>
      <c r="L249" s="104">
        <f t="shared" ref="L249:L257" ca="1" si="6">$E$170</f>
        <v>40.136005456034269</v>
      </c>
      <c r="M249" s="104">
        <f t="shared" ref="M249:M257" ca="1" si="7">$M$181</f>
        <v>23.021901145481429</v>
      </c>
    </row>
    <row r="250" spans="3:13" x14ac:dyDescent="0.55000000000000004">
      <c r="C250" s="124"/>
      <c r="G250" s="125"/>
      <c r="I250" s="102">
        <v>3</v>
      </c>
      <c r="J250" s="102">
        <f>IFERROR(VLOOKUP(I250,'3 Water'!$E$162:$J$171,3,FALSE),0)</f>
        <v>0</v>
      </c>
      <c r="K250" s="103">
        <f>IFERROR(VLOOKUP(I250,'3 Water'!$E$162:$J$171,6,FALSE),0)</f>
        <v>0</v>
      </c>
      <c r="L250" s="104">
        <f t="shared" ca="1" si="6"/>
        <v>40.136005456034269</v>
      </c>
      <c r="M250" s="104">
        <f t="shared" ca="1" si="7"/>
        <v>23.021901145481429</v>
      </c>
    </row>
    <row r="251" spans="3:13" x14ac:dyDescent="0.55000000000000004">
      <c r="C251" s="124"/>
      <c r="G251" s="125"/>
      <c r="I251" s="102">
        <v>4</v>
      </c>
      <c r="J251" s="102">
        <f>IFERROR(VLOOKUP(I251,'3 Water'!$E$162:$J$171,3,FALSE),0)</f>
        <v>0</v>
      </c>
      <c r="K251" s="103">
        <f>IFERROR(VLOOKUP(I251,'3 Water'!$E$162:$J$171,6,FALSE),0)</f>
        <v>0</v>
      </c>
      <c r="L251" s="104">
        <f t="shared" ca="1" si="6"/>
        <v>40.136005456034269</v>
      </c>
      <c r="M251" s="104">
        <f t="shared" ca="1" si="7"/>
        <v>23.021901145481429</v>
      </c>
    </row>
    <row r="252" spans="3:13" x14ac:dyDescent="0.55000000000000004">
      <c r="C252" s="124"/>
      <c r="G252" s="125"/>
      <c r="I252" s="102">
        <v>5</v>
      </c>
      <c r="J252" s="102">
        <f>IFERROR(VLOOKUP(I252,'3 Water'!$E$162:$J$171,3,FALSE),0)</f>
        <v>0</v>
      </c>
      <c r="K252" s="103">
        <f>IFERROR(VLOOKUP(I252,'3 Water'!$E$162:$J$171,6,FALSE),0)</f>
        <v>0</v>
      </c>
      <c r="L252" s="104">
        <f t="shared" ca="1" si="6"/>
        <v>40.136005456034269</v>
      </c>
      <c r="M252" s="104">
        <f t="shared" ca="1" si="7"/>
        <v>23.021901145481429</v>
      </c>
    </row>
    <row r="253" spans="3:13" x14ac:dyDescent="0.55000000000000004">
      <c r="C253" s="124"/>
      <c r="G253" s="125"/>
      <c r="I253" s="102">
        <v>6</v>
      </c>
      <c r="J253" s="102">
        <f>IFERROR(VLOOKUP(I253,'3 Water'!$E$162:$J$171,3,FALSE),0)</f>
        <v>0</v>
      </c>
      <c r="K253" s="103">
        <f>IFERROR(VLOOKUP(I253,'3 Water'!$E$162:$J$171,6,FALSE),0)</f>
        <v>0</v>
      </c>
      <c r="L253" s="104">
        <f t="shared" ca="1" si="6"/>
        <v>40.136005456034269</v>
      </c>
      <c r="M253" s="104">
        <f t="shared" ca="1" si="7"/>
        <v>23.021901145481429</v>
      </c>
    </row>
    <row r="254" spans="3:13" x14ac:dyDescent="0.55000000000000004">
      <c r="C254" s="124"/>
      <c r="G254" s="125"/>
      <c r="I254" s="102">
        <v>7</v>
      </c>
      <c r="J254" s="102">
        <f>IFERROR(VLOOKUP(I254,'3 Water'!$E$162:$J$171,3,FALSE),0)</f>
        <v>0</v>
      </c>
      <c r="K254" s="103">
        <f>IFERROR(VLOOKUP(I254,'3 Water'!$E$162:$J$171,6,FALSE),0)</f>
        <v>0</v>
      </c>
      <c r="L254" s="104">
        <f t="shared" ca="1" si="6"/>
        <v>40.136005456034269</v>
      </c>
      <c r="M254" s="104">
        <f t="shared" ca="1" si="7"/>
        <v>23.021901145481429</v>
      </c>
    </row>
    <row r="255" spans="3:13" x14ac:dyDescent="0.55000000000000004">
      <c r="C255" s="124"/>
      <c r="G255" s="125"/>
      <c r="I255" s="102">
        <v>8</v>
      </c>
      <c r="J255" s="102">
        <f>IFERROR(VLOOKUP(I255,'3 Water'!$E$162:$J$171,3,FALSE),0)</f>
        <v>0</v>
      </c>
      <c r="K255" s="103">
        <f>IFERROR(VLOOKUP(I255,'3 Water'!$E$162:$J$171,6,FALSE),0)</f>
        <v>0</v>
      </c>
      <c r="L255" s="104">
        <f t="shared" ca="1" si="6"/>
        <v>40.136005456034269</v>
      </c>
      <c r="M255" s="104">
        <f t="shared" ca="1" si="7"/>
        <v>23.021901145481429</v>
      </c>
    </row>
    <row r="256" spans="3:13" x14ac:dyDescent="0.55000000000000004">
      <c r="C256" s="124"/>
      <c r="G256" s="125"/>
      <c r="I256" s="102">
        <v>9</v>
      </c>
      <c r="J256" s="102">
        <f>IFERROR(VLOOKUP(I256,'3 Water'!$E$162:$J$171,3,FALSE),0)</f>
        <v>0</v>
      </c>
      <c r="K256" s="103">
        <f>IFERROR(VLOOKUP(I256,'3 Water'!$E$162:$J$171,6,FALSE),0)</f>
        <v>0</v>
      </c>
      <c r="L256" s="104">
        <f t="shared" ca="1" si="6"/>
        <v>40.136005456034269</v>
      </c>
      <c r="M256" s="104">
        <f t="shared" ca="1" si="7"/>
        <v>23.021901145481429</v>
      </c>
    </row>
    <row r="257" spans="3:13" x14ac:dyDescent="0.55000000000000004">
      <c r="C257" s="124"/>
      <c r="G257" s="125"/>
      <c r="I257" s="102">
        <v>10</v>
      </c>
      <c r="J257" s="102">
        <f>IFERROR(VLOOKUP(I257,'3 Water'!$E$162:$J$171,3,FALSE),0)</f>
        <v>0</v>
      </c>
      <c r="K257" s="103">
        <f>IFERROR(VLOOKUP(I257,'3 Water'!$E$162:$J$171,6,FALSE),0)</f>
        <v>0</v>
      </c>
      <c r="L257" s="104">
        <f t="shared" ca="1" si="6"/>
        <v>40.136005456034269</v>
      </c>
      <c r="M257" s="104">
        <f t="shared" ca="1" si="7"/>
        <v>23.021901145481429</v>
      </c>
    </row>
    <row r="258" spans="3:13" x14ac:dyDescent="0.55000000000000004">
      <c r="C258" s="124"/>
      <c r="G258" s="125"/>
      <c r="I258" s="224"/>
      <c r="J258" s="224"/>
      <c r="K258" s="224"/>
      <c r="L258" s="224"/>
    </row>
    <row r="259" spans="3:13" x14ac:dyDescent="0.55000000000000004">
      <c r="C259" s="124"/>
      <c r="G259" s="125"/>
      <c r="I259" s="224"/>
      <c r="J259" s="224"/>
      <c r="K259" s="224"/>
      <c r="L259" s="224"/>
    </row>
    <row r="260" spans="3:13" x14ac:dyDescent="0.55000000000000004">
      <c r="C260" s="124"/>
      <c r="G260" s="125"/>
      <c r="I260" s="224"/>
      <c r="J260" s="224"/>
      <c r="K260" s="224"/>
      <c r="L260" s="224"/>
    </row>
    <row r="261" spans="3:13" x14ac:dyDescent="0.55000000000000004">
      <c r="C261" s="124"/>
      <c r="G261" s="125"/>
      <c r="I261" s="224"/>
      <c r="J261" s="224"/>
      <c r="K261" s="224"/>
      <c r="L261" s="224"/>
    </row>
    <row r="262" spans="3:13" x14ac:dyDescent="0.55000000000000004">
      <c r="C262" s="124"/>
      <c r="G262" s="125"/>
      <c r="I262" s="224"/>
      <c r="J262" s="224"/>
      <c r="K262" s="224"/>
      <c r="L262" s="224"/>
    </row>
    <row r="263" spans="3:13" ht="14.7" thickBot="1" x14ac:dyDescent="0.6">
      <c r="C263" s="130"/>
      <c r="D263" s="131"/>
      <c r="E263" s="131"/>
      <c r="F263" s="131"/>
      <c r="G263" s="132"/>
      <c r="I263" s="224"/>
      <c r="J263" s="224"/>
      <c r="K263" s="224"/>
      <c r="L263" s="224"/>
    </row>
    <row r="264" spans="3:13" x14ac:dyDescent="0.55000000000000004">
      <c r="I264" s="224"/>
      <c r="J264" s="224"/>
      <c r="K264" s="224"/>
      <c r="L264" s="224"/>
    </row>
    <row r="265" spans="3:13" ht="14.7" thickBot="1" x14ac:dyDescent="0.6">
      <c r="I265" s="224"/>
      <c r="J265" s="224"/>
      <c r="K265" s="224"/>
      <c r="L265" s="224"/>
    </row>
    <row r="266" spans="3:13" x14ac:dyDescent="0.55000000000000004">
      <c r="C266" s="121"/>
      <c r="D266" s="122"/>
      <c r="E266" s="122"/>
      <c r="F266" s="122"/>
      <c r="G266" s="123"/>
      <c r="I266" s="224"/>
      <c r="J266" s="224"/>
      <c r="K266" s="224"/>
      <c r="L266" s="224"/>
    </row>
    <row r="267" spans="3:13" ht="15.6" x14ac:dyDescent="0.6">
      <c r="C267" s="124"/>
      <c r="D267" s="98" t="str">
        <f>'2 Customer data'!D25</f>
        <v>Industrial</v>
      </c>
      <c r="G267" s="125"/>
      <c r="I267" s="224"/>
      <c r="J267" s="224"/>
      <c r="K267" s="224"/>
      <c r="L267" s="224"/>
    </row>
    <row r="268" spans="3:13" x14ac:dyDescent="0.55000000000000004">
      <c r="C268" s="124"/>
      <c r="G268" s="125"/>
      <c r="I268" s="224"/>
      <c r="J268" s="224"/>
      <c r="K268" s="224"/>
      <c r="L268" s="224"/>
    </row>
    <row r="269" spans="3:13" x14ac:dyDescent="0.55000000000000004">
      <c r="C269" s="124"/>
      <c r="E269" s="220" t="s">
        <v>250</v>
      </c>
      <c r="G269" s="125"/>
      <c r="I269" s="224"/>
      <c r="J269" s="224"/>
      <c r="K269" s="224"/>
      <c r="L269" s="224"/>
    </row>
    <row r="270" spans="3:13" x14ac:dyDescent="0.55000000000000004">
      <c r="C270" s="124"/>
      <c r="D270" t="s">
        <v>369</v>
      </c>
      <c r="E270" s="26">
        <f ca="1">VLOOKUP(D267,'2 Water'!$D$19:$J$38,5,FALSE)</f>
        <v>7241.3882722983608</v>
      </c>
      <c r="G270" s="125"/>
      <c r="I270" s="224"/>
      <c r="J270" s="224"/>
      <c r="K270" s="224"/>
      <c r="L270" s="224"/>
    </row>
    <row r="271" spans="3:13" x14ac:dyDescent="0.55000000000000004">
      <c r="C271" s="124"/>
      <c r="D271" t="s">
        <v>370</v>
      </c>
      <c r="E271" s="99">
        <f ca="1">VLOOKUP(D267,'2 Water'!$D$19:$J$38,6,FALSE)</f>
        <v>10350104.335995561</v>
      </c>
      <c r="G271" s="125"/>
      <c r="I271" s="224"/>
      <c r="J271" s="224"/>
      <c r="K271" s="224"/>
      <c r="L271" s="224"/>
    </row>
    <row r="272" spans="3:13" ht="14.7" thickBot="1" x14ac:dyDescent="0.6">
      <c r="C272" s="124"/>
      <c r="D272" s="1" t="s">
        <v>39</v>
      </c>
      <c r="E272" s="37">
        <f ca="1">VLOOKUP(D267,'2 Water'!$D$19:$J$38,7,FALSE)</f>
        <v>10357345.724267859</v>
      </c>
      <c r="G272" s="125"/>
      <c r="I272" s="224"/>
      <c r="J272" s="224"/>
      <c r="K272" s="224"/>
      <c r="L272" s="224"/>
    </row>
    <row r="273" spans="3:12" ht="14.7" thickTop="1" x14ac:dyDescent="0.55000000000000004">
      <c r="C273" s="124"/>
      <c r="G273" s="125"/>
      <c r="I273" s="224"/>
      <c r="J273" s="224"/>
      <c r="K273" s="224"/>
      <c r="L273" s="224"/>
    </row>
    <row r="274" spans="3:12" x14ac:dyDescent="0.55000000000000004">
      <c r="C274" s="124"/>
      <c r="D274" t="s">
        <v>189</v>
      </c>
      <c r="E274" s="26">
        <f ca="1">IF(VLOOKUP(D267,'2 Water'!$D$126:$K$145,7,FALSE)="",VLOOKUP(D267,'2 Water'!$D$126:$K$145,6,FALSE),VLOOKUP(D267,'2 Water'!$D$126:$K$145,7,FALSE))+VLOOKUP(D267,'2 Water'!$D$158:$J$177,5,FALSE)</f>
        <v>0</v>
      </c>
      <c r="G274" s="125"/>
      <c r="I274" s="224"/>
      <c r="J274" s="224"/>
      <c r="K274" s="224"/>
      <c r="L274" s="224"/>
    </row>
    <row r="275" spans="3:12" x14ac:dyDescent="0.55000000000000004">
      <c r="C275" s="124"/>
      <c r="G275" s="125"/>
      <c r="I275" s="224"/>
      <c r="J275" s="224"/>
      <c r="K275" s="224"/>
      <c r="L275" s="224"/>
    </row>
    <row r="276" spans="3:12" x14ac:dyDescent="0.55000000000000004">
      <c r="C276" s="124"/>
      <c r="D276" t="s">
        <v>371</v>
      </c>
      <c r="E276" s="64">
        <f ca="1">IF(VLOOKUP(D267,'2 Water'!$D$54:$M$73,5,FALSE)="",VLOOKUP(D267,'2 Water'!$D$54:$M$73,4,FALSE),VLOOKUP(D267,'2 Water'!$D$54:$M$73,5,FALSE))</f>
        <v>0</v>
      </c>
      <c r="G276" s="125"/>
      <c r="I276" s="224"/>
      <c r="J276" s="224"/>
      <c r="K276" s="224"/>
      <c r="L276" s="224"/>
    </row>
    <row r="277" spans="3:12" x14ac:dyDescent="0.55000000000000004">
      <c r="C277" s="124"/>
      <c r="D277" t="s">
        <v>372</v>
      </c>
      <c r="E277" s="26">
        <f ca="1">IF(VLOOKUP(D267,'2 Water'!$D$54:$M$73,7,FALSE)="",VLOOKUP(D267,'2 Water'!$D$54:$M$73,6,FALSE),VLOOKUP(D267,'2 Water'!$D$54:$M$73,7,FALSE))</f>
        <v>746445.47575043817</v>
      </c>
      <c r="G277" s="125"/>
      <c r="I277" s="224"/>
      <c r="J277" s="224"/>
      <c r="K277" s="224"/>
      <c r="L277" s="224"/>
    </row>
    <row r="278" spans="3:12" x14ac:dyDescent="0.55000000000000004">
      <c r="C278" s="124"/>
      <c r="D278" t="s">
        <v>373</v>
      </c>
      <c r="E278" s="26">
        <f ca="1">IF(VLOOKUP(D267,'2 Water'!$D$54:$M$73,9,FALSE)="",VLOOKUP(D267,'2 Water'!$D$54:$M$73,8,FALSE),VLOOKUP(D267,'2 Water'!$D$54:$M$73,9,FALSE))</f>
        <v>0</v>
      </c>
      <c r="G278" s="125"/>
      <c r="I278" s="224"/>
      <c r="J278" s="224"/>
      <c r="K278" s="224"/>
      <c r="L278" s="224"/>
    </row>
    <row r="279" spans="3:12" x14ac:dyDescent="0.55000000000000004">
      <c r="C279" s="124"/>
      <c r="D279" t="s">
        <v>374</v>
      </c>
      <c r="E279" s="26">
        <f ca="1">IF(VLOOKUP(D267,'2 Water'!$D$90:$I$109,5,FALSE)="",VLOOKUP(D267,'2 Water'!$D$90:$I$109,4,FALSE),VLOOKUP(D267,'2 Water'!$D$90:$I$109,5,FALSE))</f>
        <v>0</v>
      </c>
      <c r="G279" s="125"/>
      <c r="I279" s="224"/>
      <c r="J279" s="224"/>
      <c r="K279" s="224"/>
      <c r="L279" s="224"/>
    </row>
    <row r="280" spans="3:12" ht="14.7" thickBot="1" x14ac:dyDescent="0.6">
      <c r="C280" s="124"/>
      <c r="D280" s="1" t="s">
        <v>145</v>
      </c>
      <c r="E280" s="37">
        <f ca="1">SUM(E276:E279)</f>
        <v>746445.47575043817</v>
      </c>
      <c r="F280" s="135"/>
      <c r="G280" s="125"/>
      <c r="I280" s="224"/>
      <c r="J280" s="224"/>
      <c r="K280" s="224"/>
      <c r="L280" s="224"/>
    </row>
    <row r="281" spans="3:12" ht="14.7" thickTop="1" x14ac:dyDescent="0.55000000000000004">
      <c r="C281" s="124"/>
      <c r="D281" s="1"/>
      <c r="E281" s="15"/>
      <c r="G281" s="125"/>
      <c r="I281" s="224"/>
      <c r="J281" s="224"/>
      <c r="K281" s="224"/>
      <c r="L281" s="224"/>
    </row>
    <row r="282" spans="3:12" x14ac:dyDescent="0.55000000000000004">
      <c r="C282" s="124"/>
      <c r="D282" t="s">
        <v>384</v>
      </c>
      <c r="E282" s="26">
        <f ca="1">IF(VLOOKUP(D267,'2 Water'!$D$126:$K$145,5,FALSE)="",VLOOKUP(D267,'2 Water'!$D$126:$K$145,4,FALSE),VLOOKUP(D267,'2 Water'!$D$126:$K$145,5,FALSE))+VLOOKUP(D267,'2 Water'!$D$158:$J$177,7,FALSE)</f>
        <v>0</v>
      </c>
      <c r="G282" s="125"/>
      <c r="I282" s="224"/>
      <c r="J282" s="224"/>
      <c r="K282" s="224"/>
      <c r="L282" s="224"/>
    </row>
    <row r="283" spans="3:12" x14ac:dyDescent="0.55000000000000004">
      <c r="C283" s="124"/>
      <c r="G283" s="125"/>
      <c r="I283" s="224"/>
      <c r="J283" s="224"/>
      <c r="K283" s="224"/>
      <c r="L283" s="224"/>
    </row>
    <row r="284" spans="3:12" ht="14.7" thickBot="1" x14ac:dyDescent="0.6">
      <c r="C284" s="124"/>
      <c r="D284" s="1" t="s">
        <v>375</v>
      </c>
      <c r="E284" s="37">
        <f ca="1">VLOOKUP(D267,'2 Water'!$D$158:$K$177,8,FALSE)</f>
        <v>9610900.2485174201</v>
      </c>
      <c r="G284" s="125"/>
      <c r="I284" s="224"/>
      <c r="J284" s="224"/>
      <c r="K284" s="224"/>
      <c r="L284" s="224"/>
    </row>
    <row r="285" spans="3:12" ht="14.7" thickTop="1" x14ac:dyDescent="0.55000000000000004">
      <c r="C285" s="124"/>
      <c r="G285" s="125"/>
      <c r="I285" s="224"/>
      <c r="J285" s="224"/>
      <c r="K285" s="224"/>
      <c r="L285" s="224"/>
    </row>
    <row r="286" spans="3:12" x14ac:dyDescent="0.55000000000000004">
      <c r="C286" s="124"/>
      <c r="G286" s="125"/>
      <c r="I286" s="224"/>
      <c r="J286" s="224"/>
      <c r="K286" s="224"/>
      <c r="L286" s="224"/>
    </row>
    <row r="287" spans="3:12" x14ac:dyDescent="0.55000000000000004">
      <c r="C287" s="124"/>
      <c r="G287" s="125"/>
      <c r="I287" s="224"/>
      <c r="J287" s="224"/>
      <c r="K287" s="224"/>
      <c r="L287" s="224"/>
    </row>
    <row r="288" spans="3:12" x14ac:dyDescent="0.55000000000000004">
      <c r="C288" s="124"/>
      <c r="G288" s="125"/>
      <c r="I288" s="224"/>
      <c r="J288" s="224"/>
      <c r="K288" s="224"/>
      <c r="L288" s="224"/>
    </row>
    <row r="289" spans="3:12" x14ac:dyDescent="0.55000000000000004">
      <c r="C289" s="124"/>
      <c r="G289" s="125"/>
      <c r="I289" s="232" t="s">
        <v>385</v>
      </c>
      <c r="J289" s="224"/>
      <c r="K289" s="224"/>
      <c r="L289" s="224"/>
    </row>
    <row r="290" spans="3:12" x14ac:dyDescent="0.55000000000000004">
      <c r="C290" s="124"/>
      <c r="G290" s="125"/>
      <c r="I290" s="110"/>
      <c r="J290" s="102" t="s">
        <v>390</v>
      </c>
      <c r="K290" s="102" t="s">
        <v>391</v>
      </c>
      <c r="L290" s="224"/>
    </row>
    <row r="291" spans="3:12" x14ac:dyDescent="0.55000000000000004">
      <c r="C291" s="124"/>
      <c r="G291" s="125"/>
      <c r="I291" s="110" t="s">
        <v>369</v>
      </c>
      <c r="J291" s="100">
        <f ca="1">E270/1000</f>
        <v>7.2413882722983605</v>
      </c>
      <c r="K291" s="102"/>
      <c r="L291" s="224"/>
    </row>
    <row r="292" spans="3:12" x14ac:dyDescent="0.55000000000000004">
      <c r="C292" s="124"/>
      <c r="G292" s="125"/>
      <c r="I292" s="110" t="s">
        <v>370</v>
      </c>
      <c r="J292" s="100">
        <f ca="1">E271/1000</f>
        <v>10350.10433599556</v>
      </c>
      <c r="K292" s="110"/>
      <c r="L292" s="224"/>
    </row>
    <row r="293" spans="3:12" x14ac:dyDescent="0.55000000000000004">
      <c r="C293" s="124"/>
      <c r="G293" s="125"/>
      <c r="I293" s="110" t="s">
        <v>471</v>
      </c>
      <c r="J293" s="100">
        <f ca="1">E274/1000</f>
        <v>0</v>
      </c>
      <c r="K293" s="110"/>
      <c r="L293" s="224"/>
    </row>
    <row r="294" spans="3:12" x14ac:dyDescent="0.55000000000000004">
      <c r="C294" s="124"/>
      <c r="G294" s="125"/>
      <c r="I294" s="110" t="s">
        <v>563</v>
      </c>
      <c r="J294" s="100"/>
      <c r="K294" s="101">
        <f ca="1">E284/1000</f>
        <v>9610.9002485174206</v>
      </c>
      <c r="L294" s="224"/>
    </row>
    <row r="295" spans="3:12" x14ac:dyDescent="0.55000000000000004">
      <c r="C295" s="124"/>
      <c r="G295" s="125"/>
      <c r="I295" s="110" t="s">
        <v>564</v>
      </c>
      <c r="J295" s="100"/>
      <c r="K295" s="101">
        <f ca="1">E279/1000</f>
        <v>0</v>
      </c>
      <c r="L295" s="224"/>
    </row>
    <row r="296" spans="3:12" x14ac:dyDescent="0.55000000000000004">
      <c r="C296" s="124"/>
      <c r="G296" s="125"/>
      <c r="I296" s="110" t="s">
        <v>565</v>
      </c>
      <c r="J296" s="100"/>
      <c r="K296" s="101">
        <f ca="1">SUM(E276:E278)/1000</f>
        <v>746.44547575043816</v>
      </c>
      <c r="L296" s="224"/>
    </row>
    <row r="297" spans="3:12" x14ac:dyDescent="0.55000000000000004">
      <c r="C297" s="124"/>
      <c r="G297" s="125"/>
      <c r="I297" s="110" t="s">
        <v>566</v>
      </c>
      <c r="J297" s="100"/>
      <c r="K297" s="101">
        <f ca="1">E282/1000</f>
        <v>0</v>
      </c>
      <c r="L297" s="224"/>
    </row>
    <row r="298" spans="3:12" x14ac:dyDescent="0.55000000000000004">
      <c r="C298" s="124"/>
      <c r="G298" s="125"/>
      <c r="I298" s="224"/>
      <c r="J298" s="224"/>
      <c r="K298" s="224"/>
      <c r="L298" s="224"/>
    </row>
    <row r="299" spans="3:12" x14ac:dyDescent="0.55000000000000004">
      <c r="C299" s="124"/>
      <c r="G299" s="125"/>
      <c r="I299" s="224"/>
      <c r="J299" s="224"/>
      <c r="K299" s="224"/>
      <c r="L299" s="224"/>
    </row>
    <row r="300" spans="3:12" x14ac:dyDescent="0.55000000000000004">
      <c r="C300" s="124"/>
      <c r="G300" s="125"/>
      <c r="I300" s="224"/>
      <c r="J300" s="224"/>
      <c r="K300" s="224"/>
      <c r="L300" s="224"/>
    </row>
    <row r="301" spans="3:12" x14ac:dyDescent="0.55000000000000004">
      <c r="C301" s="124"/>
      <c r="G301" s="125"/>
      <c r="I301" s="224"/>
      <c r="J301" s="224"/>
      <c r="K301" s="224"/>
      <c r="L301" s="224"/>
    </row>
    <row r="302" spans="3:12" x14ac:dyDescent="0.55000000000000004">
      <c r="C302" s="124"/>
      <c r="G302" s="125"/>
      <c r="I302" s="224"/>
      <c r="J302" s="224"/>
      <c r="K302" s="224"/>
      <c r="L302" s="224"/>
    </row>
    <row r="303" spans="3:12" x14ac:dyDescent="0.55000000000000004">
      <c r="C303" s="124"/>
      <c r="E303" s="220"/>
      <c r="G303" s="125"/>
      <c r="I303" s="224"/>
      <c r="J303" s="224"/>
      <c r="K303" s="224"/>
      <c r="L303" s="224"/>
    </row>
    <row r="304" spans="3:12" x14ac:dyDescent="0.55000000000000004">
      <c r="C304" s="124"/>
      <c r="D304" t="s">
        <v>387</v>
      </c>
      <c r="E304" s="64">
        <f ca="1">VLOOKUP(D267,'2 Water'!$D$158:$M$177,10,FALSE)</f>
        <v>23.038008280206739</v>
      </c>
      <c r="G304" s="125"/>
      <c r="I304" s="224"/>
      <c r="J304" s="224"/>
      <c r="K304" s="224"/>
      <c r="L304" s="224"/>
    </row>
    <row r="305" spans="3:13" x14ac:dyDescent="0.55000000000000004">
      <c r="C305" s="124"/>
      <c r="D305" t="s">
        <v>388</v>
      </c>
      <c r="E305" s="64">
        <f ca="1">VLOOKUP(D267,'2 Water'!$D$158:$M$177,9,FALSE)</f>
        <v>21.377677775764003</v>
      </c>
      <c r="G305" s="125"/>
      <c r="I305" s="224"/>
      <c r="J305" s="224"/>
      <c r="K305" s="224"/>
      <c r="L305" s="224"/>
    </row>
    <row r="306" spans="3:13" x14ac:dyDescent="0.55000000000000004">
      <c r="C306" s="124"/>
      <c r="D306" t="s">
        <v>378</v>
      </c>
      <c r="E306" s="97">
        <f ca="1">IFERROR(IF(E274=0,E282,E274)/E272,0)</f>
        <v>0</v>
      </c>
      <c r="G306" s="125"/>
      <c r="I306" s="224"/>
      <c r="J306" s="224"/>
      <c r="K306" s="224"/>
      <c r="L306" s="224"/>
    </row>
    <row r="307" spans="3:13" x14ac:dyDescent="0.55000000000000004">
      <c r="C307" s="124"/>
      <c r="G307" s="125"/>
      <c r="I307" s="224"/>
      <c r="J307" s="224"/>
      <c r="K307" s="224"/>
      <c r="L307" s="224"/>
    </row>
    <row r="308" spans="3:13" x14ac:dyDescent="0.55000000000000004">
      <c r="C308" s="124"/>
      <c r="D308" t="s">
        <v>389</v>
      </c>
      <c r="E308" s="64">
        <f ca="1">'3 Water'!H190</f>
        <v>293.79212399782381</v>
      </c>
      <c r="G308" s="125"/>
      <c r="I308" s="224"/>
      <c r="J308" s="224"/>
      <c r="K308" s="224"/>
      <c r="L308" s="224"/>
    </row>
    <row r="309" spans="3:13" x14ac:dyDescent="0.55000000000000004">
      <c r="C309" s="124"/>
      <c r="D309" t="s">
        <v>380</v>
      </c>
      <c r="E309" s="97">
        <f ca="1">IFERROR('3 Water'!I190/'3 Water'!H182,0)</f>
        <v>1.0000000000000002</v>
      </c>
      <c r="G309" s="125"/>
      <c r="I309" s="224"/>
      <c r="J309" s="224"/>
      <c r="K309" s="224"/>
      <c r="L309" s="224"/>
    </row>
    <row r="310" spans="3:13" x14ac:dyDescent="0.55000000000000004">
      <c r="C310" s="124"/>
      <c r="G310" s="125"/>
      <c r="I310" s="224"/>
      <c r="J310" s="224"/>
      <c r="K310" s="224"/>
      <c r="L310" s="224"/>
    </row>
    <row r="311" spans="3:13" x14ac:dyDescent="0.55000000000000004">
      <c r="C311" s="124"/>
      <c r="D311" s="1" t="s">
        <v>381</v>
      </c>
      <c r="G311" s="125"/>
      <c r="I311" s="224"/>
      <c r="J311" s="224"/>
      <c r="K311" s="224"/>
      <c r="L311" s="224"/>
    </row>
    <row r="312" spans="3:13" x14ac:dyDescent="0.55000000000000004">
      <c r="C312" s="124"/>
      <c r="G312" s="125"/>
      <c r="I312" s="224"/>
      <c r="J312" s="224"/>
      <c r="K312" s="224"/>
      <c r="L312" s="224"/>
    </row>
    <row r="313" spans="3:13" x14ac:dyDescent="0.55000000000000004">
      <c r="C313" s="124"/>
      <c r="G313" s="125"/>
      <c r="I313" s="224"/>
      <c r="J313" s="224"/>
      <c r="K313" s="224"/>
      <c r="L313" s="224"/>
    </row>
    <row r="314" spans="3:13" ht="28.8" x14ac:dyDescent="0.55000000000000004">
      <c r="C314" s="124"/>
      <c r="G314" s="125"/>
      <c r="I314" s="102" t="s">
        <v>383</v>
      </c>
      <c r="J314" s="102" t="s">
        <v>382</v>
      </c>
      <c r="K314" s="102" t="s">
        <v>100</v>
      </c>
      <c r="L314" s="230" t="s">
        <v>392</v>
      </c>
      <c r="M314" s="231" t="s">
        <v>567</v>
      </c>
    </row>
    <row r="315" spans="3:13" x14ac:dyDescent="0.55000000000000004">
      <c r="C315" s="124"/>
      <c r="G315" s="125"/>
      <c r="I315" s="102">
        <v>1</v>
      </c>
      <c r="J315" s="102">
        <f>IFERROR(VLOOKUP(I315,'3 Water'!$E$203:$J$212,3,FALSE),0)</f>
        <v>30</v>
      </c>
      <c r="K315" s="103">
        <f ca="1">IFERROR(VLOOKUP(I315,'3 Water'!$E$203:$J$212,6,FALSE),0)</f>
        <v>10.775169552364734</v>
      </c>
      <c r="L315" s="104">
        <f ca="1">$E$304</f>
        <v>23.038008280206739</v>
      </c>
      <c r="M315" s="105">
        <f ca="1">IFERROR('3 Water'!I182/'3 Water'!G182,0)</f>
        <v>23.021901145481429</v>
      </c>
    </row>
    <row r="316" spans="3:13" x14ac:dyDescent="0.55000000000000004">
      <c r="C316" s="124"/>
      <c r="G316" s="125"/>
      <c r="I316" s="102">
        <v>2</v>
      </c>
      <c r="J316" s="102">
        <f>IFERROR(VLOOKUP(I316,'3 Water'!$E$203:$J$212,3,FALSE),0)</f>
        <v>40</v>
      </c>
      <c r="K316" s="103">
        <f ca="1">IFERROR(VLOOKUP(I316,'3 Water'!$E$203:$J$212,6,FALSE),0)</f>
        <v>14.546285306587965</v>
      </c>
      <c r="L316" s="104">
        <f t="shared" ref="L316:L324" ca="1" si="8">$E$304</f>
        <v>23.038008280206739</v>
      </c>
      <c r="M316" s="104">
        <f t="shared" ref="M316:M324" ca="1" si="9">$M$315</f>
        <v>23.021901145481429</v>
      </c>
    </row>
    <row r="317" spans="3:13" x14ac:dyDescent="0.55000000000000004">
      <c r="C317" s="124"/>
      <c r="G317" s="125"/>
      <c r="I317" s="102">
        <v>3</v>
      </c>
      <c r="J317" s="102" t="str">
        <f>IFERROR(VLOOKUP(I317,'3 Water'!$E$203:$J$212,3,FALSE),0)</f>
        <v>more</v>
      </c>
      <c r="K317" s="103">
        <f ca="1">IFERROR(VLOOKUP(I317,'3 Water'!$E$203:$J$212,6,FALSE),0)</f>
        <v>21.379980692834373</v>
      </c>
      <c r="L317" s="104">
        <f t="shared" ca="1" si="8"/>
        <v>23.038008280206739</v>
      </c>
      <c r="M317" s="104">
        <f t="shared" ca="1" si="9"/>
        <v>23.021901145481429</v>
      </c>
    </row>
    <row r="318" spans="3:13" x14ac:dyDescent="0.55000000000000004">
      <c r="C318" s="124"/>
      <c r="G318" s="125"/>
      <c r="I318" s="102">
        <v>4</v>
      </c>
      <c r="J318" s="102">
        <f>IFERROR(VLOOKUP(I318,'3 Water'!$E$203:$J$212,3,FALSE),0)</f>
        <v>0</v>
      </c>
      <c r="K318" s="103">
        <f>IFERROR(VLOOKUP(I318,'3 Water'!$E$203:$J$212,6,FALSE),0)</f>
        <v>0</v>
      </c>
      <c r="L318" s="104">
        <f t="shared" ca="1" si="8"/>
        <v>23.038008280206739</v>
      </c>
      <c r="M318" s="104">
        <f t="shared" ca="1" si="9"/>
        <v>23.021901145481429</v>
      </c>
    </row>
    <row r="319" spans="3:13" x14ac:dyDescent="0.55000000000000004">
      <c r="C319" s="124"/>
      <c r="G319" s="125"/>
      <c r="I319" s="102">
        <v>5</v>
      </c>
      <c r="J319" s="102">
        <f>IFERROR(VLOOKUP(I319,'3 Water'!$E$203:$J$212,3,FALSE),0)</f>
        <v>0</v>
      </c>
      <c r="K319" s="103">
        <f>IFERROR(VLOOKUP(I319,'3 Water'!$E$203:$J$212,6,FALSE),0)</f>
        <v>0</v>
      </c>
      <c r="L319" s="104">
        <f t="shared" ca="1" si="8"/>
        <v>23.038008280206739</v>
      </c>
      <c r="M319" s="104">
        <f t="shared" ca="1" si="9"/>
        <v>23.021901145481429</v>
      </c>
    </row>
    <row r="320" spans="3:13" x14ac:dyDescent="0.55000000000000004">
      <c r="C320" s="124"/>
      <c r="G320" s="125"/>
      <c r="I320" s="102">
        <v>6</v>
      </c>
      <c r="J320" s="102">
        <f>IFERROR(VLOOKUP(I320,'3 Water'!$E$203:$J$212,3,FALSE),0)</f>
        <v>0</v>
      </c>
      <c r="K320" s="103">
        <f>IFERROR(VLOOKUP(I320,'3 Water'!$E$203:$J$212,6,FALSE),0)</f>
        <v>0</v>
      </c>
      <c r="L320" s="104">
        <f t="shared" ca="1" si="8"/>
        <v>23.038008280206739</v>
      </c>
      <c r="M320" s="104">
        <f t="shared" ca="1" si="9"/>
        <v>23.021901145481429</v>
      </c>
    </row>
    <row r="321" spans="3:13" x14ac:dyDescent="0.55000000000000004">
      <c r="C321" s="124"/>
      <c r="G321" s="125"/>
      <c r="I321" s="102">
        <v>7</v>
      </c>
      <c r="J321" s="102">
        <f>IFERROR(VLOOKUP(I321,'3 Water'!$E$203:$J$212,3,FALSE),0)</f>
        <v>0</v>
      </c>
      <c r="K321" s="103">
        <f>IFERROR(VLOOKUP(I321,'3 Water'!$E$203:$J$212,6,FALSE),0)</f>
        <v>0</v>
      </c>
      <c r="L321" s="104">
        <f t="shared" ca="1" si="8"/>
        <v>23.038008280206739</v>
      </c>
      <c r="M321" s="104">
        <f t="shared" ca="1" si="9"/>
        <v>23.021901145481429</v>
      </c>
    </row>
    <row r="322" spans="3:13" x14ac:dyDescent="0.55000000000000004">
      <c r="C322" s="124"/>
      <c r="G322" s="125"/>
      <c r="I322" s="102">
        <v>8</v>
      </c>
      <c r="J322" s="102">
        <f>IFERROR(VLOOKUP(I322,'3 Water'!$E$203:$J$212,3,FALSE),0)</f>
        <v>0</v>
      </c>
      <c r="K322" s="103">
        <f>IFERROR(VLOOKUP(I322,'3 Water'!$E$203:$J$212,6,FALSE),0)</f>
        <v>0</v>
      </c>
      <c r="L322" s="104">
        <f t="shared" ca="1" si="8"/>
        <v>23.038008280206739</v>
      </c>
      <c r="M322" s="104">
        <f t="shared" ca="1" si="9"/>
        <v>23.021901145481429</v>
      </c>
    </row>
    <row r="323" spans="3:13" x14ac:dyDescent="0.55000000000000004">
      <c r="C323" s="124"/>
      <c r="G323" s="125"/>
      <c r="I323" s="102">
        <v>9</v>
      </c>
      <c r="J323" s="102">
        <f>IFERROR(VLOOKUP(I323,'3 Water'!$E$203:$J$212,3,FALSE),0)</f>
        <v>0</v>
      </c>
      <c r="K323" s="103">
        <f>IFERROR(VLOOKUP(I323,'3 Water'!$E$203:$J$212,6,FALSE),0)</f>
        <v>0</v>
      </c>
      <c r="L323" s="104">
        <f t="shared" ca="1" si="8"/>
        <v>23.038008280206739</v>
      </c>
      <c r="M323" s="104">
        <f t="shared" ca="1" si="9"/>
        <v>23.021901145481429</v>
      </c>
    </row>
    <row r="324" spans="3:13" x14ac:dyDescent="0.55000000000000004">
      <c r="C324" s="124"/>
      <c r="G324" s="125"/>
      <c r="I324" s="102">
        <v>10</v>
      </c>
      <c r="J324" s="102">
        <f>IFERROR(VLOOKUP(I324,'3 Water'!$E$203:$J$212,3,FALSE),0)</f>
        <v>0</v>
      </c>
      <c r="K324" s="103">
        <f>IFERROR(VLOOKUP(I324,'3 Water'!$E$203:$J$212,6,FALSE),0)</f>
        <v>0</v>
      </c>
      <c r="L324" s="104">
        <f t="shared" ca="1" si="8"/>
        <v>23.038008280206739</v>
      </c>
      <c r="M324" s="104">
        <f t="shared" ca="1" si="9"/>
        <v>23.021901145481429</v>
      </c>
    </row>
    <row r="325" spans="3:13" x14ac:dyDescent="0.55000000000000004">
      <c r="C325" s="124"/>
      <c r="G325" s="125"/>
      <c r="I325" s="224"/>
      <c r="J325" s="224"/>
      <c r="K325" s="224"/>
      <c r="L325" s="224"/>
    </row>
    <row r="326" spans="3:13" x14ac:dyDescent="0.55000000000000004">
      <c r="C326" s="124"/>
      <c r="G326" s="125"/>
      <c r="I326" s="224"/>
      <c r="J326" s="224"/>
      <c r="K326" s="224"/>
      <c r="L326" s="224"/>
    </row>
    <row r="327" spans="3:13" x14ac:dyDescent="0.55000000000000004">
      <c r="C327" s="124"/>
      <c r="G327" s="125"/>
      <c r="I327" s="224"/>
      <c r="J327" s="224"/>
      <c r="K327" s="224"/>
      <c r="L327" s="224"/>
    </row>
    <row r="328" spans="3:13" x14ac:dyDescent="0.55000000000000004">
      <c r="C328" s="124"/>
      <c r="G328" s="125"/>
      <c r="I328" s="224"/>
      <c r="J328" s="224"/>
      <c r="K328" s="224"/>
      <c r="L328" s="224"/>
    </row>
    <row r="329" spans="3:13" x14ac:dyDescent="0.55000000000000004">
      <c r="C329" s="124"/>
      <c r="G329" s="125"/>
      <c r="I329" s="224"/>
      <c r="J329" s="224"/>
      <c r="K329" s="224"/>
      <c r="L329" s="224"/>
    </row>
    <row r="330" spans="3:13" ht="14.7" thickBot="1" x14ac:dyDescent="0.6">
      <c r="C330" s="130"/>
      <c r="D330" s="131"/>
      <c r="E330" s="131"/>
      <c r="F330" s="131"/>
      <c r="G330" s="132"/>
      <c r="I330" s="224"/>
      <c r="J330" s="224"/>
      <c r="K330" s="224"/>
      <c r="L330" s="224"/>
    </row>
    <row r="331" spans="3:13" x14ac:dyDescent="0.55000000000000004">
      <c r="I331" s="224"/>
      <c r="J331" s="224"/>
      <c r="K331" s="224"/>
      <c r="L331" s="224"/>
    </row>
    <row r="332" spans="3:13" ht="14.7" thickBot="1" x14ac:dyDescent="0.6">
      <c r="I332" s="224"/>
      <c r="J332" s="224"/>
      <c r="K332" s="224"/>
      <c r="L332" s="224"/>
    </row>
    <row r="333" spans="3:13" x14ac:dyDescent="0.55000000000000004">
      <c r="C333" s="121"/>
      <c r="D333" s="122"/>
      <c r="E333" s="122"/>
      <c r="F333" s="122"/>
      <c r="G333" s="123"/>
      <c r="I333" s="224"/>
      <c r="J333" s="224"/>
      <c r="K333" s="224"/>
      <c r="L333" s="224"/>
    </row>
    <row r="334" spans="3:13" ht="15.6" x14ac:dyDescent="0.6">
      <c r="C334" s="124"/>
      <c r="D334" s="98" t="str">
        <f>'2 Customer data'!D26</f>
        <v>Commercial</v>
      </c>
      <c r="G334" s="125"/>
      <c r="I334" s="224"/>
      <c r="J334" s="224"/>
      <c r="K334" s="224"/>
      <c r="L334" s="224"/>
    </row>
    <row r="335" spans="3:13" x14ac:dyDescent="0.55000000000000004">
      <c r="C335" s="124"/>
      <c r="G335" s="125"/>
      <c r="I335" s="224"/>
      <c r="J335" s="224"/>
      <c r="K335" s="224"/>
      <c r="L335" s="224"/>
    </row>
    <row r="336" spans="3:13" x14ac:dyDescent="0.55000000000000004">
      <c r="C336" s="124"/>
      <c r="E336" s="220" t="s">
        <v>250</v>
      </c>
      <c r="G336" s="125"/>
      <c r="I336" s="224"/>
      <c r="J336" s="224"/>
      <c r="K336" s="224"/>
      <c r="L336" s="224"/>
    </row>
    <row r="337" spans="3:12" x14ac:dyDescent="0.55000000000000004">
      <c r="C337" s="124"/>
      <c r="D337" t="s">
        <v>369</v>
      </c>
      <c r="E337" s="26">
        <f ca="1">VLOOKUP(D334,'2 Water'!$D$19:$J$38,5,FALSE)</f>
        <v>2610520.4721635594</v>
      </c>
      <c r="G337" s="125"/>
      <c r="I337" s="224"/>
      <c r="J337" s="224"/>
      <c r="K337" s="224"/>
      <c r="L337" s="224"/>
    </row>
    <row r="338" spans="3:12" x14ac:dyDescent="0.55000000000000004">
      <c r="C338" s="124"/>
      <c r="D338" t="s">
        <v>370</v>
      </c>
      <c r="E338" s="99">
        <f ca="1">VLOOKUP(D334,'2 Water'!$D$19:$J$38,6,FALSE)</f>
        <v>9210133.3462454807</v>
      </c>
      <c r="G338" s="125"/>
      <c r="I338" s="224"/>
      <c r="J338" s="224"/>
      <c r="K338" s="224"/>
      <c r="L338" s="224"/>
    </row>
    <row r="339" spans="3:12" ht="14.7" thickBot="1" x14ac:dyDescent="0.6">
      <c r="C339" s="124"/>
      <c r="D339" s="1" t="s">
        <v>39</v>
      </c>
      <c r="E339" s="37">
        <f ca="1">VLOOKUP(D334,'2 Water'!$D$19:$J$38,7,FALSE)</f>
        <v>11820653.818409041</v>
      </c>
      <c r="G339" s="125"/>
      <c r="I339" s="224"/>
      <c r="J339" s="224"/>
      <c r="K339" s="224"/>
      <c r="L339" s="224"/>
    </row>
    <row r="340" spans="3:12" ht="14.7" thickTop="1" x14ac:dyDescent="0.55000000000000004">
      <c r="C340" s="124"/>
      <c r="G340" s="125"/>
      <c r="I340" s="224"/>
      <c r="J340" s="224"/>
      <c r="K340" s="224"/>
      <c r="L340" s="224"/>
    </row>
    <row r="341" spans="3:12" x14ac:dyDescent="0.55000000000000004">
      <c r="C341" s="124"/>
      <c r="D341" t="s">
        <v>189</v>
      </c>
      <c r="E341" s="26">
        <f ca="1">IF(VLOOKUP(D334,'2 Water'!$D$126:$K$145,7,FALSE)="",VLOOKUP(D334,'2 Water'!$D$126:$K$145,6,FALSE),VLOOKUP(D334,'2 Water'!$D$126:$K$145,7,FALSE))+VLOOKUP(D334,'2 Water'!$D$158:$J$177,5,FALSE)</f>
        <v>0</v>
      </c>
      <c r="G341" s="125"/>
      <c r="I341" s="224"/>
      <c r="J341" s="224"/>
      <c r="K341" s="224"/>
      <c r="L341" s="224"/>
    </row>
    <row r="342" spans="3:12" x14ac:dyDescent="0.55000000000000004">
      <c r="C342" s="124"/>
      <c r="G342" s="125"/>
      <c r="I342" s="224"/>
      <c r="J342" s="224"/>
      <c r="K342" s="224"/>
      <c r="L342" s="224"/>
    </row>
    <row r="343" spans="3:12" x14ac:dyDescent="0.55000000000000004">
      <c r="C343" s="124"/>
      <c r="D343" t="s">
        <v>371</v>
      </c>
      <c r="E343" s="64">
        <f ca="1">IF(VLOOKUP(D334,'2 Water'!$D$54:$M$73,5,FALSE)="",VLOOKUP(D334,'2 Water'!$D$54:$M$73,4,FALSE),VLOOKUP(D334,'2 Water'!$D$54:$M$73,5,FALSE))</f>
        <v>0</v>
      </c>
      <c r="G343" s="125"/>
      <c r="I343" s="224"/>
      <c r="J343" s="224"/>
      <c r="K343" s="224"/>
      <c r="L343" s="224"/>
    </row>
    <row r="344" spans="3:12" x14ac:dyDescent="0.55000000000000004">
      <c r="C344" s="124"/>
      <c r="D344" t="s">
        <v>372</v>
      </c>
      <c r="E344" s="26">
        <f ca="1">IF(VLOOKUP(D334,'2 Water'!$D$54:$M$73,7,FALSE)="",VLOOKUP(D334,'2 Water'!$D$54:$M$73,6,FALSE),VLOOKUP(D334,'2 Water'!$D$54:$M$73,7,FALSE))</f>
        <v>851904.89900222805</v>
      </c>
      <c r="G344" s="125"/>
      <c r="I344" s="224"/>
      <c r="J344" s="224"/>
      <c r="K344" s="224"/>
      <c r="L344" s="224"/>
    </row>
    <row r="345" spans="3:12" x14ac:dyDescent="0.55000000000000004">
      <c r="C345" s="124"/>
      <c r="D345" t="s">
        <v>373</v>
      </c>
      <c r="E345" s="26">
        <f ca="1">IF(VLOOKUP(D334,'2 Water'!$D$54:$M$73,9,FALSE)="",VLOOKUP(D334,'2 Water'!$D$54:$M$73,8,FALSE),VLOOKUP(D334,'2 Water'!$D$54:$M$73,9,FALSE))</f>
        <v>0</v>
      </c>
      <c r="G345" s="125"/>
      <c r="I345" s="224"/>
      <c r="J345" s="224"/>
      <c r="K345" s="224"/>
      <c r="L345" s="224"/>
    </row>
    <row r="346" spans="3:12" x14ac:dyDescent="0.55000000000000004">
      <c r="C346" s="124"/>
      <c r="D346" t="s">
        <v>374</v>
      </c>
      <c r="E346" s="26">
        <f ca="1">IF(VLOOKUP(D334,'2 Water'!$D$90:$I$109,5,FALSE)="",VLOOKUP(D334,'2 Water'!$D$90:$I$109,4,FALSE),VLOOKUP(D334,'2 Water'!$D$90:$I$109,5,FALSE))</f>
        <v>0</v>
      </c>
      <c r="G346" s="125"/>
      <c r="I346" s="224"/>
      <c r="J346" s="224"/>
      <c r="K346" s="224"/>
      <c r="L346" s="224"/>
    </row>
    <row r="347" spans="3:12" ht="14.7" thickBot="1" x14ac:dyDescent="0.6">
      <c r="C347" s="124"/>
      <c r="D347" s="1" t="s">
        <v>145</v>
      </c>
      <c r="E347" s="37">
        <f ca="1">SUM(E343:E346)</f>
        <v>851904.89900222805</v>
      </c>
      <c r="F347" s="135"/>
      <c r="G347" s="125"/>
      <c r="I347" s="224"/>
      <c r="J347" s="224"/>
      <c r="K347" s="224"/>
      <c r="L347" s="224"/>
    </row>
    <row r="348" spans="3:12" ht="14.7" thickTop="1" x14ac:dyDescent="0.55000000000000004">
      <c r="C348" s="124"/>
      <c r="D348" s="1"/>
      <c r="E348" s="15"/>
      <c r="G348" s="125"/>
      <c r="I348" s="224"/>
      <c r="J348" s="224"/>
      <c r="K348" s="224"/>
      <c r="L348" s="224"/>
    </row>
    <row r="349" spans="3:12" x14ac:dyDescent="0.55000000000000004">
      <c r="C349" s="124"/>
      <c r="D349" t="s">
        <v>384</v>
      </c>
      <c r="E349" s="26">
        <f ca="1">IF(VLOOKUP(D334,'2 Water'!$D$126:$K$145,5,FALSE)="",VLOOKUP(D334,'2 Water'!$D$126:$K$145,4,FALSE),VLOOKUP(D334,'2 Water'!$D$126:$K$145,5,FALSE))+VLOOKUP(D334,'2 Water'!$D$158:$J$177,7,FALSE)</f>
        <v>0</v>
      </c>
      <c r="G349" s="125"/>
      <c r="I349" s="224"/>
      <c r="J349" s="224"/>
      <c r="K349" s="224"/>
      <c r="L349" s="224"/>
    </row>
    <row r="350" spans="3:12" x14ac:dyDescent="0.55000000000000004">
      <c r="C350" s="124"/>
      <c r="G350" s="125"/>
      <c r="I350" s="224"/>
      <c r="J350" s="224"/>
      <c r="K350" s="224"/>
      <c r="L350" s="224"/>
    </row>
    <row r="351" spans="3:12" ht="14.7" thickBot="1" x14ac:dyDescent="0.6">
      <c r="C351" s="124"/>
      <c r="D351" s="1" t="s">
        <v>375</v>
      </c>
      <c r="E351" s="37">
        <f ca="1">VLOOKUP(D334,'2 Water'!$D$158:$K$177,8,FALSE)</f>
        <v>10968748.919406813</v>
      </c>
      <c r="G351" s="125"/>
      <c r="I351" s="224"/>
      <c r="J351" s="224"/>
      <c r="K351" s="224"/>
      <c r="L351" s="224"/>
    </row>
    <row r="352" spans="3:12" ht="14.7" thickTop="1" x14ac:dyDescent="0.55000000000000004">
      <c r="C352" s="124"/>
      <c r="G352" s="125"/>
      <c r="I352" s="224"/>
      <c r="J352" s="224"/>
      <c r="K352" s="224"/>
      <c r="L352" s="224"/>
    </row>
    <row r="353" spans="3:12" x14ac:dyDescent="0.55000000000000004">
      <c r="C353" s="124"/>
      <c r="G353" s="125"/>
      <c r="I353" s="224"/>
      <c r="J353" s="224"/>
      <c r="K353" s="224"/>
      <c r="L353" s="224"/>
    </row>
    <row r="354" spans="3:12" x14ac:dyDescent="0.55000000000000004">
      <c r="C354" s="124"/>
      <c r="G354" s="125"/>
      <c r="I354" s="224"/>
      <c r="J354" s="224"/>
      <c r="K354" s="224"/>
      <c r="L354" s="224"/>
    </row>
    <row r="355" spans="3:12" x14ac:dyDescent="0.55000000000000004">
      <c r="C355" s="124"/>
      <c r="G355" s="125"/>
      <c r="I355" s="232" t="s">
        <v>385</v>
      </c>
      <c r="J355" s="224"/>
      <c r="K355" s="224"/>
      <c r="L355" s="224"/>
    </row>
    <row r="356" spans="3:12" x14ac:dyDescent="0.55000000000000004">
      <c r="C356" s="124"/>
      <c r="G356" s="125"/>
      <c r="I356" s="110"/>
      <c r="J356" s="102" t="s">
        <v>390</v>
      </c>
      <c r="K356" s="102" t="s">
        <v>391</v>
      </c>
      <c r="L356" s="224"/>
    </row>
    <row r="357" spans="3:12" x14ac:dyDescent="0.55000000000000004">
      <c r="C357" s="124"/>
      <c r="G357" s="125"/>
      <c r="I357" s="110" t="s">
        <v>369</v>
      </c>
      <c r="J357" s="100">
        <f ca="1">E337/1000</f>
        <v>2610.5204721635596</v>
      </c>
      <c r="K357" s="102"/>
      <c r="L357" s="224"/>
    </row>
    <row r="358" spans="3:12" x14ac:dyDescent="0.55000000000000004">
      <c r="C358" s="124"/>
      <c r="G358" s="125"/>
      <c r="I358" s="110" t="s">
        <v>370</v>
      </c>
      <c r="J358" s="100">
        <f ca="1">E338/1000</f>
        <v>9210.1333462454804</v>
      </c>
      <c r="K358" s="110"/>
      <c r="L358" s="224"/>
    </row>
    <row r="359" spans="3:12" x14ac:dyDescent="0.55000000000000004">
      <c r="C359" s="124"/>
      <c r="G359" s="125"/>
      <c r="I359" s="110" t="s">
        <v>471</v>
      </c>
      <c r="J359" s="100">
        <f ca="1">E341/1000</f>
        <v>0</v>
      </c>
      <c r="K359" s="110"/>
      <c r="L359" s="224"/>
    </row>
    <row r="360" spans="3:12" x14ac:dyDescent="0.55000000000000004">
      <c r="C360" s="124"/>
      <c r="G360" s="125"/>
      <c r="I360" s="110" t="s">
        <v>563</v>
      </c>
      <c r="J360" s="100"/>
      <c r="K360" s="101">
        <f ca="1">E351/1000</f>
        <v>10968.748919406813</v>
      </c>
      <c r="L360" s="224"/>
    </row>
    <row r="361" spans="3:12" x14ac:dyDescent="0.55000000000000004">
      <c r="C361" s="124"/>
      <c r="G361" s="125"/>
      <c r="I361" s="110" t="s">
        <v>564</v>
      </c>
      <c r="J361" s="100"/>
      <c r="K361" s="101">
        <f ca="1">E346/1000</f>
        <v>0</v>
      </c>
      <c r="L361" s="224"/>
    </row>
    <row r="362" spans="3:12" x14ac:dyDescent="0.55000000000000004">
      <c r="C362" s="124"/>
      <c r="G362" s="125"/>
      <c r="I362" s="110" t="s">
        <v>565</v>
      </c>
      <c r="J362" s="100"/>
      <c r="K362" s="101">
        <f ca="1">SUM(E343:E345)/1000</f>
        <v>851.90489900222803</v>
      </c>
      <c r="L362" s="224"/>
    </row>
    <row r="363" spans="3:12" x14ac:dyDescent="0.55000000000000004">
      <c r="C363" s="124"/>
      <c r="G363" s="125"/>
      <c r="I363" s="110" t="s">
        <v>566</v>
      </c>
      <c r="J363" s="100"/>
      <c r="K363" s="101">
        <f ca="1">E349/1000</f>
        <v>0</v>
      </c>
      <c r="L363" s="224"/>
    </row>
    <row r="364" spans="3:12" x14ac:dyDescent="0.55000000000000004">
      <c r="C364" s="124"/>
      <c r="G364" s="125"/>
      <c r="I364" s="224"/>
      <c r="J364" s="224"/>
      <c r="K364" s="224"/>
      <c r="L364" s="224"/>
    </row>
    <row r="365" spans="3:12" x14ac:dyDescent="0.55000000000000004">
      <c r="C365" s="124"/>
      <c r="G365" s="125"/>
      <c r="I365" s="224"/>
      <c r="J365" s="224"/>
      <c r="K365" s="224"/>
      <c r="L365" s="224"/>
    </row>
    <row r="366" spans="3:12" x14ac:dyDescent="0.55000000000000004">
      <c r="C366" s="124"/>
      <c r="G366" s="125"/>
      <c r="I366" s="224"/>
      <c r="J366" s="224"/>
      <c r="K366" s="224"/>
      <c r="L366" s="224"/>
    </row>
    <row r="367" spans="3:12" x14ac:dyDescent="0.55000000000000004">
      <c r="C367" s="124"/>
      <c r="G367" s="125"/>
      <c r="I367" s="224"/>
      <c r="J367" s="224"/>
      <c r="K367" s="224"/>
      <c r="L367" s="224"/>
    </row>
    <row r="368" spans="3:12" x14ac:dyDescent="0.55000000000000004">
      <c r="C368" s="124"/>
      <c r="G368" s="125"/>
      <c r="I368" s="224"/>
      <c r="J368" s="224"/>
      <c r="K368" s="224"/>
      <c r="L368" s="224"/>
    </row>
    <row r="369" spans="3:13" x14ac:dyDescent="0.55000000000000004">
      <c r="C369" s="124"/>
      <c r="G369" s="125"/>
      <c r="I369" s="224"/>
      <c r="J369" s="224"/>
      <c r="K369" s="224"/>
      <c r="L369" s="224"/>
    </row>
    <row r="370" spans="3:13" x14ac:dyDescent="0.55000000000000004">
      <c r="C370" s="124"/>
      <c r="D370" t="s">
        <v>387</v>
      </c>
      <c r="E370" s="64">
        <f ca="1">VLOOKUP(D334,'2 Water'!$D$158:$M$177,10,FALSE)</f>
        <v>29.547229497312998</v>
      </c>
      <c r="G370" s="125"/>
      <c r="I370" s="224"/>
      <c r="J370" s="224"/>
      <c r="K370" s="224"/>
      <c r="L370" s="224"/>
    </row>
    <row r="371" spans="3:13" x14ac:dyDescent="0.55000000000000004">
      <c r="C371" s="124"/>
      <c r="D371" t="s">
        <v>388</v>
      </c>
      <c r="E371" s="64">
        <f ca="1">VLOOKUP(D334,'2 Water'!$D$158:$M$177,9,FALSE)</f>
        <v>27.417784718082338</v>
      </c>
      <c r="G371" s="125"/>
      <c r="I371" s="224"/>
      <c r="J371" s="224"/>
      <c r="K371" s="224"/>
      <c r="L371" s="224"/>
    </row>
    <row r="372" spans="3:13" x14ac:dyDescent="0.55000000000000004">
      <c r="C372" s="124"/>
      <c r="D372" t="s">
        <v>378</v>
      </c>
      <c r="E372" s="97">
        <f ca="1">IFERROR(IF(E341=0,E349,E341)/E339,0)</f>
        <v>0</v>
      </c>
      <c r="G372" s="125"/>
      <c r="I372" s="224"/>
      <c r="J372" s="224"/>
      <c r="K372" s="224"/>
      <c r="L372" s="224"/>
    </row>
    <row r="373" spans="3:13" x14ac:dyDescent="0.55000000000000004">
      <c r="C373" s="124"/>
      <c r="G373" s="125"/>
      <c r="I373" s="224"/>
      <c r="J373" s="224"/>
      <c r="K373" s="224"/>
      <c r="L373" s="224"/>
    </row>
    <row r="374" spans="3:13" x14ac:dyDescent="0.55000000000000004">
      <c r="C374" s="124"/>
      <c r="D374" t="s">
        <v>389</v>
      </c>
      <c r="E374" s="64">
        <f ca="1">'3 Water'!H231</f>
        <v>293.79212399782381</v>
      </c>
      <c r="G374" s="125"/>
      <c r="I374" s="224"/>
      <c r="J374" s="224"/>
      <c r="K374" s="224"/>
      <c r="L374" s="224"/>
    </row>
    <row r="375" spans="3:13" x14ac:dyDescent="0.55000000000000004">
      <c r="C375" s="124"/>
      <c r="D375" t="s">
        <v>380</v>
      </c>
      <c r="E375" s="97">
        <f ca="1">IFERROR('3 Water'!I231/'3 Water'!H223,0)</f>
        <v>0.99999999999999978</v>
      </c>
      <c r="G375" s="125"/>
      <c r="I375" s="224"/>
      <c r="J375" s="224"/>
      <c r="K375" s="224"/>
      <c r="L375" s="224"/>
    </row>
    <row r="376" spans="3:13" x14ac:dyDescent="0.55000000000000004">
      <c r="C376" s="124"/>
      <c r="G376" s="125"/>
      <c r="I376" s="224"/>
      <c r="J376" s="224"/>
      <c r="K376" s="224"/>
      <c r="L376" s="224"/>
    </row>
    <row r="377" spans="3:13" x14ac:dyDescent="0.55000000000000004">
      <c r="C377" s="124"/>
      <c r="D377" s="1" t="s">
        <v>381</v>
      </c>
      <c r="G377" s="125"/>
      <c r="I377" s="224"/>
      <c r="J377" s="224"/>
      <c r="K377" s="224"/>
      <c r="L377" s="224"/>
    </row>
    <row r="378" spans="3:13" x14ac:dyDescent="0.55000000000000004">
      <c r="C378" s="124"/>
      <c r="G378" s="125"/>
      <c r="I378" s="224"/>
      <c r="J378" s="224"/>
      <c r="K378" s="224"/>
      <c r="L378" s="224"/>
    </row>
    <row r="379" spans="3:13" x14ac:dyDescent="0.55000000000000004">
      <c r="C379" s="124"/>
      <c r="G379" s="125"/>
      <c r="I379" s="224"/>
      <c r="J379" s="224"/>
      <c r="K379" s="224"/>
      <c r="L379" s="224"/>
    </row>
    <row r="380" spans="3:13" ht="28.8" x14ac:dyDescent="0.55000000000000004">
      <c r="C380" s="124"/>
      <c r="G380" s="125"/>
      <c r="I380" s="102" t="s">
        <v>383</v>
      </c>
      <c r="J380" s="102" t="s">
        <v>382</v>
      </c>
      <c r="K380" s="102" t="s">
        <v>100</v>
      </c>
      <c r="L380" s="230" t="s">
        <v>392</v>
      </c>
      <c r="M380" s="231" t="s">
        <v>567</v>
      </c>
    </row>
    <row r="381" spans="3:13" x14ac:dyDescent="0.55000000000000004">
      <c r="C381" s="124"/>
      <c r="G381" s="125"/>
      <c r="I381" s="102">
        <v>1</v>
      </c>
      <c r="J381" s="102">
        <f>IFERROR(VLOOKUP(I381,'3 Water'!$E$244:$J$253,3,FALSE),0)</f>
        <v>30</v>
      </c>
      <c r="K381" s="103">
        <f ca="1">IFERROR(VLOOKUP(I381,'3 Water'!$E$244:$J$253,6,FALSE),0)</f>
        <v>12.70779674269545</v>
      </c>
      <c r="L381" s="104">
        <f ca="1">$E$370</f>
        <v>29.547229497312998</v>
      </c>
      <c r="M381" s="105">
        <f ca="1">IFERROR('3 Water'!I223/'3 Water'!G223,0)</f>
        <v>23.021901145481429</v>
      </c>
    </row>
    <row r="382" spans="3:13" x14ac:dyDescent="0.55000000000000004">
      <c r="C382" s="124"/>
      <c r="G382" s="125"/>
      <c r="I382" s="102">
        <v>2</v>
      </c>
      <c r="J382" s="102">
        <f>IFERROR(VLOOKUP(I382,'3 Water'!$E$244:$J$253,3,FALSE),0)</f>
        <v>40</v>
      </c>
      <c r="K382" s="103">
        <f ca="1">IFERROR(VLOOKUP(I382,'3 Water'!$E$244:$J$253,6,FALSE),0)</f>
        <v>17.350693555367585</v>
      </c>
      <c r="L382" s="104">
        <f t="shared" ref="L382:L390" ca="1" si="10">$E$370</f>
        <v>29.547229497312998</v>
      </c>
      <c r="M382" s="104">
        <f t="shared" ref="M382:M390" ca="1" si="11">$M$381</f>
        <v>23.021901145481429</v>
      </c>
    </row>
    <row r="383" spans="3:13" x14ac:dyDescent="0.55000000000000004">
      <c r="C383" s="124"/>
      <c r="G383" s="125"/>
      <c r="I383" s="102">
        <v>3</v>
      </c>
      <c r="J383" s="102" t="str">
        <f>IFERROR(VLOOKUP(I383,'3 Water'!$E$244:$J$253,3,FALSE),0)</f>
        <v>more</v>
      </c>
      <c r="K383" s="103">
        <f ca="1">IFERROR(VLOOKUP(I383,'3 Water'!$E$244:$J$253,6,FALSE),0)</f>
        <v>25.41996944845657</v>
      </c>
      <c r="L383" s="104">
        <f t="shared" ca="1" si="10"/>
        <v>29.547229497312998</v>
      </c>
      <c r="M383" s="104">
        <f t="shared" ca="1" si="11"/>
        <v>23.021901145481429</v>
      </c>
    </row>
    <row r="384" spans="3:13" x14ac:dyDescent="0.55000000000000004">
      <c r="C384" s="124"/>
      <c r="G384" s="125"/>
      <c r="I384" s="102">
        <v>4</v>
      </c>
      <c r="J384" s="102">
        <f>IFERROR(VLOOKUP(I384,'3 Water'!$E$244:$J$253,3,FALSE),0)</f>
        <v>0</v>
      </c>
      <c r="K384" s="103">
        <f>IFERROR(VLOOKUP(I384,'3 Water'!$E$244:$J$253,6,FALSE),0)</f>
        <v>0</v>
      </c>
      <c r="L384" s="104">
        <f t="shared" ca="1" si="10"/>
        <v>29.547229497312998</v>
      </c>
      <c r="M384" s="104">
        <f t="shared" ca="1" si="11"/>
        <v>23.021901145481429</v>
      </c>
    </row>
    <row r="385" spans="3:13" x14ac:dyDescent="0.55000000000000004">
      <c r="C385" s="124"/>
      <c r="G385" s="125"/>
      <c r="I385" s="102">
        <v>5</v>
      </c>
      <c r="J385" s="102">
        <f>IFERROR(VLOOKUP(I385,'3 Water'!$E$244:$J$253,3,FALSE),0)</f>
        <v>0</v>
      </c>
      <c r="K385" s="103">
        <f>IFERROR(VLOOKUP(I385,'3 Water'!$E$244:$J$253,6,FALSE),0)</f>
        <v>0</v>
      </c>
      <c r="L385" s="104">
        <f t="shared" ca="1" si="10"/>
        <v>29.547229497312998</v>
      </c>
      <c r="M385" s="104">
        <f t="shared" ca="1" si="11"/>
        <v>23.021901145481429</v>
      </c>
    </row>
    <row r="386" spans="3:13" x14ac:dyDescent="0.55000000000000004">
      <c r="C386" s="124"/>
      <c r="G386" s="125"/>
      <c r="I386" s="102">
        <v>6</v>
      </c>
      <c r="J386" s="102">
        <f>IFERROR(VLOOKUP(I386,'3 Water'!$E$244:$J$253,3,FALSE),0)</f>
        <v>0</v>
      </c>
      <c r="K386" s="103">
        <f>IFERROR(VLOOKUP(I386,'3 Water'!$E$244:$J$253,6,FALSE),0)</f>
        <v>0</v>
      </c>
      <c r="L386" s="104">
        <f t="shared" ca="1" si="10"/>
        <v>29.547229497312998</v>
      </c>
      <c r="M386" s="104">
        <f t="shared" ca="1" si="11"/>
        <v>23.021901145481429</v>
      </c>
    </row>
    <row r="387" spans="3:13" x14ac:dyDescent="0.55000000000000004">
      <c r="C387" s="124"/>
      <c r="G387" s="125"/>
      <c r="I387" s="102">
        <v>7</v>
      </c>
      <c r="J387" s="102">
        <f>IFERROR(VLOOKUP(I387,'3 Water'!$E$244:$J$253,3,FALSE),0)</f>
        <v>0</v>
      </c>
      <c r="K387" s="103">
        <f>IFERROR(VLOOKUP(I387,'3 Water'!$E$244:$J$253,6,FALSE),0)</f>
        <v>0</v>
      </c>
      <c r="L387" s="104">
        <f t="shared" ca="1" si="10"/>
        <v>29.547229497312998</v>
      </c>
      <c r="M387" s="104">
        <f t="shared" ca="1" si="11"/>
        <v>23.021901145481429</v>
      </c>
    </row>
    <row r="388" spans="3:13" x14ac:dyDescent="0.55000000000000004">
      <c r="C388" s="124"/>
      <c r="G388" s="125"/>
      <c r="I388" s="102">
        <v>8</v>
      </c>
      <c r="J388" s="102">
        <f>IFERROR(VLOOKUP(I388,'3 Water'!$E$244:$J$253,3,FALSE),0)</f>
        <v>0</v>
      </c>
      <c r="K388" s="103">
        <f>IFERROR(VLOOKUP(I388,'3 Water'!$E$244:$J$253,6,FALSE),0)</f>
        <v>0</v>
      </c>
      <c r="L388" s="104">
        <f t="shared" ca="1" si="10"/>
        <v>29.547229497312998</v>
      </c>
      <c r="M388" s="104">
        <f t="shared" ca="1" si="11"/>
        <v>23.021901145481429</v>
      </c>
    </row>
    <row r="389" spans="3:13" x14ac:dyDescent="0.55000000000000004">
      <c r="C389" s="124"/>
      <c r="G389" s="125"/>
      <c r="I389" s="102">
        <v>9</v>
      </c>
      <c r="J389" s="102">
        <f>IFERROR(VLOOKUP(I389,'3 Water'!$E$244:$J$253,3,FALSE),0)</f>
        <v>0</v>
      </c>
      <c r="K389" s="103">
        <f>IFERROR(VLOOKUP(I389,'3 Water'!$E$244:$J$253,6,FALSE),0)</f>
        <v>0</v>
      </c>
      <c r="L389" s="104">
        <f t="shared" ca="1" si="10"/>
        <v>29.547229497312998</v>
      </c>
      <c r="M389" s="104">
        <f t="shared" ca="1" si="11"/>
        <v>23.021901145481429</v>
      </c>
    </row>
    <row r="390" spans="3:13" x14ac:dyDescent="0.55000000000000004">
      <c r="C390" s="124"/>
      <c r="G390" s="125"/>
      <c r="I390" s="102">
        <v>10</v>
      </c>
      <c r="J390" s="102">
        <f>IFERROR(VLOOKUP(I390,'3 Water'!$E$244:$J$253,3,FALSE),0)</f>
        <v>0</v>
      </c>
      <c r="K390" s="103">
        <f>IFERROR(VLOOKUP(I390,'3 Water'!$E$244:$J$253,6,FALSE),0)</f>
        <v>0</v>
      </c>
      <c r="L390" s="104">
        <f t="shared" ca="1" si="10"/>
        <v>29.547229497312998</v>
      </c>
      <c r="M390" s="104">
        <f t="shared" ca="1" si="11"/>
        <v>23.021901145481429</v>
      </c>
    </row>
    <row r="391" spans="3:13" x14ac:dyDescent="0.55000000000000004">
      <c r="C391" s="124"/>
      <c r="G391" s="125"/>
      <c r="I391" s="224"/>
      <c r="J391" s="224"/>
      <c r="K391" s="224"/>
      <c r="L391" s="224"/>
    </row>
    <row r="392" spans="3:13" x14ac:dyDescent="0.55000000000000004">
      <c r="C392" s="124"/>
      <c r="G392" s="125"/>
      <c r="I392" s="224"/>
      <c r="J392" s="224"/>
      <c r="K392" s="224"/>
      <c r="L392" s="224"/>
    </row>
    <row r="393" spans="3:13" x14ac:dyDescent="0.55000000000000004">
      <c r="C393" s="124"/>
      <c r="G393" s="125"/>
      <c r="I393" s="224"/>
      <c r="J393" s="224"/>
      <c r="K393" s="224"/>
      <c r="L393" s="224"/>
    </row>
    <row r="394" spans="3:13" x14ac:dyDescent="0.55000000000000004">
      <c r="C394" s="124"/>
      <c r="G394" s="125"/>
      <c r="I394" s="224"/>
      <c r="J394" s="224"/>
      <c r="K394" s="224"/>
      <c r="L394" s="224"/>
    </row>
    <row r="395" spans="3:13" x14ac:dyDescent="0.55000000000000004">
      <c r="C395" s="124"/>
      <c r="G395" s="125"/>
      <c r="I395" s="224"/>
      <c r="J395" s="224"/>
      <c r="K395" s="224"/>
      <c r="L395" s="224"/>
    </row>
    <row r="396" spans="3:13" ht="14.7" thickBot="1" x14ac:dyDescent="0.6">
      <c r="C396" s="130"/>
      <c r="D396" s="131"/>
      <c r="E396" s="131"/>
      <c r="F396" s="131"/>
      <c r="G396" s="132"/>
      <c r="I396" s="224"/>
      <c r="J396" s="224"/>
      <c r="K396" s="224"/>
      <c r="L396" s="224"/>
    </row>
    <row r="397" spans="3:13" x14ac:dyDescent="0.55000000000000004">
      <c r="I397" s="224"/>
      <c r="J397" s="224"/>
      <c r="K397" s="224"/>
      <c r="L397" s="224"/>
    </row>
    <row r="398" spans="3:13" ht="14.7" thickBot="1" x14ac:dyDescent="0.6">
      <c r="I398" s="224"/>
      <c r="J398" s="224"/>
      <c r="K398" s="224"/>
      <c r="L398" s="224"/>
    </row>
    <row r="399" spans="3:13" x14ac:dyDescent="0.55000000000000004">
      <c r="C399" s="121"/>
      <c r="D399" s="122"/>
      <c r="E399" s="122"/>
      <c r="F399" s="122"/>
      <c r="G399" s="123"/>
      <c r="I399" s="224"/>
      <c r="J399" s="224"/>
      <c r="K399" s="224"/>
      <c r="L399" s="224"/>
    </row>
    <row r="400" spans="3:13" ht="15.6" x14ac:dyDescent="0.6">
      <c r="C400" s="124"/>
      <c r="D400" s="98" t="str">
        <f>'2 Customer data'!D27</f>
        <v>Old Age Homes</v>
      </c>
      <c r="G400" s="125"/>
      <c r="I400" s="224"/>
      <c r="J400" s="224"/>
      <c r="K400" s="224"/>
      <c r="L400" s="224"/>
    </row>
    <row r="401" spans="3:12" x14ac:dyDescent="0.55000000000000004">
      <c r="C401" s="124"/>
      <c r="G401" s="125"/>
      <c r="I401" s="224"/>
      <c r="J401" s="224"/>
      <c r="K401" s="224"/>
      <c r="L401" s="224"/>
    </row>
    <row r="402" spans="3:12" x14ac:dyDescent="0.55000000000000004">
      <c r="C402" s="124"/>
      <c r="E402" s="220" t="s">
        <v>250</v>
      </c>
      <c r="G402" s="125"/>
      <c r="I402" s="224"/>
      <c r="J402" s="224"/>
      <c r="K402" s="224"/>
      <c r="L402" s="224"/>
    </row>
    <row r="403" spans="3:12" x14ac:dyDescent="0.55000000000000004">
      <c r="C403" s="124"/>
      <c r="D403" t="s">
        <v>369</v>
      </c>
      <c r="E403" s="26">
        <f ca="1">VLOOKUP(D400,'2 Water'!$D$19:$J$38,5,FALSE)</f>
        <v>28965.553089193443</v>
      </c>
      <c r="G403" s="125"/>
      <c r="I403" s="224"/>
      <c r="J403" s="224"/>
      <c r="K403" s="224"/>
      <c r="L403" s="224"/>
    </row>
    <row r="404" spans="3:12" x14ac:dyDescent="0.55000000000000004">
      <c r="C404" s="124"/>
      <c r="D404" t="s">
        <v>370</v>
      </c>
      <c r="E404" s="99">
        <f ca="1">VLOOKUP(D400,'2 Water'!$D$19:$J$38,6,FALSE)</f>
        <v>369878.79630094906</v>
      </c>
      <c r="G404" s="125"/>
      <c r="I404" s="224"/>
      <c r="J404" s="224"/>
      <c r="K404" s="224"/>
      <c r="L404" s="224"/>
    </row>
    <row r="405" spans="3:12" ht="14.7" thickBot="1" x14ac:dyDescent="0.6">
      <c r="C405" s="124"/>
      <c r="D405" s="1" t="s">
        <v>39</v>
      </c>
      <c r="E405" s="37">
        <f ca="1">VLOOKUP(D400,'2 Water'!$D$19:$J$38,7,FALSE)</f>
        <v>398844.34939014248</v>
      </c>
      <c r="G405" s="125"/>
      <c r="I405" s="224"/>
      <c r="J405" s="224"/>
      <c r="K405" s="224"/>
      <c r="L405" s="224"/>
    </row>
    <row r="406" spans="3:12" ht="14.7" thickTop="1" x14ac:dyDescent="0.55000000000000004">
      <c r="C406" s="124"/>
      <c r="G406" s="125"/>
      <c r="I406" s="224"/>
      <c r="J406" s="224"/>
      <c r="K406" s="224"/>
      <c r="L406" s="224"/>
    </row>
    <row r="407" spans="3:12" x14ac:dyDescent="0.55000000000000004">
      <c r="C407" s="124"/>
      <c r="D407" t="s">
        <v>189</v>
      </c>
      <c r="E407" s="26">
        <f ca="1">IF(VLOOKUP(D400,'2 Water'!$D$126:$K$145,7,FALSE)="",VLOOKUP(D400,'2 Water'!$D$126:$K$145,6,FALSE),VLOOKUP(D400,'2 Water'!$D$126:$K$145,7,FALSE))+VLOOKUP(D400,'2 Water'!$D$158:$J$177,5,FALSE)</f>
        <v>0</v>
      </c>
      <c r="G407" s="125"/>
      <c r="I407" s="224"/>
      <c r="J407" s="224"/>
      <c r="K407" s="224"/>
      <c r="L407" s="224"/>
    </row>
    <row r="408" spans="3:12" x14ac:dyDescent="0.55000000000000004">
      <c r="C408" s="124"/>
      <c r="G408" s="125"/>
      <c r="I408" s="224"/>
      <c r="J408" s="224"/>
      <c r="K408" s="224"/>
      <c r="L408" s="224"/>
    </row>
    <row r="409" spans="3:12" x14ac:dyDescent="0.55000000000000004">
      <c r="C409" s="124"/>
      <c r="D409" t="s">
        <v>371</v>
      </c>
      <c r="E409" s="64">
        <f ca="1">IF(VLOOKUP(D400,'2 Water'!$D$54:$M$73,5,FALSE)="",VLOOKUP(D400,'2 Water'!$D$54:$M$73,4,FALSE),VLOOKUP(D400,'2 Water'!$D$54:$M$73,5,FALSE))</f>
        <v>0</v>
      </c>
      <c r="G409" s="125"/>
      <c r="I409" s="224"/>
      <c r="J409" s="224"/>
      <c r="K409" s="224"/>
      <c r="L409" s="224"/>
    </row>
    <row r="410" spans="3:12" x14ac:dyDescent="0.55000000000000004">
      <c r="C410" s="124"/>
      <c r="D410" t="s">
        <v>372</v>
      </c>
      <c r="E410" s="26">
        <f ca="1">IF(VLOOKUP(D400,'2 Water'!$D$54:$M$73,7,FALSE)="",VLOOKUP(D400,'2 Water'!$D$54:$M$73,6,FALSE),VLOOKUP(D400,'2 Water'!$D$54:$M$73,7,FALSE))</f>
        <v>28744.387612101633</v>
      </c>
      <c r="G410" s="125"/>
      <c r="I410" s="224"/>
      <c r="J410" s="224"/>
      <c r="K410" s="224"/>
      <c r="L410" s="224"/>
    </row>
    <row r="411" spans="3:12" x14ac:dyDescent="0.55000000000000004">
      <c r="C411" s="124"/>
      <c r="D411" t="s">
        <v>373</v>
      </c>
      <c r="E411" s="26">
        <f ca="1">IF(VLOOKUP(D400,'2 Water'!$D$54:$M$73,9,FALSE)="",VLOOKUP(D400,'2 Water'!$D$54:$M$73,8,FALSE),VLOOKUP(D400,'2 Water'!$D$54:$M$73,9,FALSE))</f>
        <v>0</v>
      </c>
      <c r="G411" s="125"/>
      <c r="I411" s="224"/>
      <c r="J411" s="224"/>
      <c r="K411" s="224"/>
      <c r="L411" s="224"/>
    </row>
    <row r="412" spans="3:12" x14ac:dyDescent="0.55000000000000004">
      <c r="C412" s="124"/>
      <c r="D412" t="s">
        <v>374</v>
      </c>
      <c r="E412" s="26">
        <f ca="1">IF(VLOOKUP(D400,'2 Water'!$D$90:$I$109,5,FALSE)="",VLOOKUP(D400,'2 Water'!$D$90:$I$109,4,FALSE),VLOOKUP(D400,'2 Water'!$D$90:$I$109,5,FALSE))</f>
        <v>60572.21519769774</v>
      </c>
      <c r="G412" s="125"/>
      <c r="I412" s="224"/>
      <c r="J412" s="224"/>
      <c r="K412" s="224"/>
      <c r="L412" s="224"/>
    </row>
    <row r="413" spans="3:12" ht="14.7" thickBot="1" x14ac:dyDescent="0.6">
      <c r="C413" s="124"/>
      <c r="D413" s="1" t="s">
        <v>145</v>
      </c>
      <c r="E413" s="37">
        <f ca="1">SUM(E409:E412)</f>
        <v>89316.602809799369</v>
      </c>
      <c r="F413" s="135"/>
      <c r="G413" s="125"/>
      <c r="I413" s="224"/>
      <c r="J413" s="224"/>
      <c r="K413" s="224"/>
      <c r="L413" s="224"/>
    </row>
    <row r="414" spans="3:12" ht="14.7" thickTop="1" x14ac:dyDescent="0.55000000000000004">
      <c r="C414" s="124"/>
      <c r="D414" s="1"/>
      <c r="E414" s="15"/>
      <c r="G414" s="125"/>
      <c r="I414" s="224"/>
      <c r="J414" s="224"/>
      <c r="K414" s="224"/>
      <c r="L414" s="224"/>
    </row>
    <row r="415" spans="3:12" x14ac:dyDescent="0.55000000000000004">
      <c r="C415" s="124"/>
      <c r="D415" t="s">
        <v>384</v>
      </c>
      <c r="E415" s="26">
        <f ca="1">IF(VLOOKUP(D400,'2 Water'!$D$126:$K$145,5,FALSE)="",VLOOKUP(D400,'2 Water'!$D$126:$K$145,4,FALSE),VLOOKUP(D400,'2 Water'!$D$126:$K$145,5,FALSE))+VLOOKUP(D400,'2 Water'!$D$158:$J$177,7,FALSE)</f>
        <v>0</v>
      </c>
      <c r="G415" s="125"/>
      <c r="I415" s="224"/>
      <c r="J415" s="224"/>
      <c r="K415" s="224"/>
      <c r="L415" s="224"/>
    </row>
    <row r="416" spans="3:12" x14ac:dyDescent="0.55000000000000004">
      <c r="C416" s="124"/>
      <c r="G416" s="125"/>
      <c r="I416" s="224"/>
      <c r="J416" s="224"/>
      <c r="K416" s="224"/>
      <c r="L416" s="224"/>
    </row>
    <row r="417" spans="3:12" ht="14.7" thickBot="1" x14ac:dyDescent="0.6">
      <c r="C417" s="124"/>
      <c r="D417" s="1" t="s">
        <v>375</v>
      </c>
      <c r="E417" s="37">
        <f ca="1">VLOOKUP(D400,'2 Water'!$D$158:$K$177,8,FALSE)</f>
        <v>309527.74658034311</v>
      </c>
      <c r="G417" s="125"/>
      <c r="I417" s="224"/>
      <c r="J417" s="224"/>
      <c r="K417" s="224"/>
      <c r="L417" s="224"/>
    </row>
    <row r="418" spans="3:12" ht="14.7" thickTop="1" x14ac:dyDescent="0.55000000000000004">
      <c r="C418" s="124"/>
      <c r="G418" s="125"/>
      <c r="I418" s="224"/>
      <c r="J418" s="224"/>
      <c r="K418" s="224"/>
      <c r="L418" s="224"/>
    </row>
    <row r="419" spans="3:12" x14ac:dyDescent="0.55000000000000004">
      <c r="C419" s="124"/>
      <c r="G419" s="125"/>
      <c r="I419" s="224"/>
      <c r="J419" s="224"/>
      <c r="K419" s="224"/>
      <c r="L419" s="224"/>
    </row>
    <row r="420" spans="3:12" x14ac:dyDescent="0.55000000000000004">
      <c r="C420" s="124"/>
      <c r="G420" s="125"/>
      <c r="I420" s="224"/>
      <c r="J420" s="224"/>
      <c r="K420" s="224"/>
      <c r="L420" s="224"/>
    </row>
    <row r="421" spans="3:12" x14ac:dyDescent="0.55000000000000004">
      <c r="C421" s="124"/>
      <c r="G421" s="125"/>
      <c r="I421" s="224"/>
      <c r="J421" s="224"/>
      <c r="K421" s="224"/>
      <c r="L421" s="224"/>
    </row>
    <row r="422" spans="3:12" x14ac:dyDescent="0.55000000000000004">
      <c r="C422" s="124"/>
      <c r="G422" s="125"/>
      <c r="I422" s="232" t="s">
        <v>385</v>
      </c>
      <c r="J422" s="224"/>
      <c r="K422" s="224"/>
      <c r="L422" s="224"/>
    </row>
    <row r="423" spans="3:12" x14ac:dyDescent="0.55000000000000004">
      <c r="C423" s="124"/>
      <c r="G423" s="125"/>
      <c r="I423" s="110"/>
      <c r="J423" s="102" t="s">
        <v>390</v>
      </c>
      <c r="K423" s="102" t="s">
        <v>391</v>
      </c>
      <c r="L423" s="224"/>
    </row>
    <row r="424" spans="3:12" x14ac:dyDescent="0.55000000000000004">
      <c r="C424" s="124"/>
      <c r="G424" s="125"/>
      <c r="I424" s="110" t="s">
        <v>369</v>
      </c>
      <c r="J424" s="100">
        <f ca="1">E403/1000</f>
        <v>28.965553089193442</v>
      </c>
      <c r="K424" s="102"/>
      <c r="L424" s="224"/>
    </row>
    <row r="425" spans="3:12" x14ac:dyDescent="0.55000000000000004">
      <c r="C425" s="124"/>
      <c r="G425" s="125"/>
      <c r="I425" s="110" t="s">
        <v>370</v>
      </c>
      <c r="J425" s="100">
        <f ca="1">E404/1000</f>
        <v>369.87879630094909</v>
      </c>
      <c r="K425" s="110"/>
      <c r="L425" s="224"/>
    </row>
    <row r="426" spans="3:12" x14ac:dyDescent="0.55000000000000004">
      <c r="C426" s="124"/>
      <c r="G426" s="125"/>
      <c r="I426" s="110" t="s">
        <v>471</v>
      </c>
      <c r="J426" s="100">
        <f ca="1">E407/1000</f>
        <v>0</v>
      </c>
      <c r="K426" s="110"/>
      <c r="L426" s="224"/>
    </row>
    <row r="427" spans="3:12" x14ac:dyDescent="0.55000000000000004">
      <c r="C427" s="124"/>
      <c r="G427" s="125"/>
      <c r="I427" s="110" t="s">
        <v>563</v>
      </c>
      <c r="J427" s="100"/>
      <c r="K427" s="101">
        <f ca="1">E417/1000</f>
        <v>309.52774658034309</v>
      </c>
      <c r="L427" s="224"/>
    </row>
    <row r="428" spans="3:12" x14ac:dyDescent="0.55000000000000004">
      <c r="C428" s="124"/>
      <c r="G428" s="125"/>
      <c r="I428" s="110" t="s">
        <v>564</v>
      </c>
      <c r="J428" s="100"/>
      <c r="K428" s="101">
        <f ca="1">E412/1000</f>
        <v>60.572215197697737</v>
      </c>
      <c r="L428" s="224"/>
    </row>
    <row r="429" spans="3:12" x14ac:dyDescent="0.55000000000000004">
      <c r="C429" s="124"/>
      <c r="G429" s="125"/>
      <c r="I429" s="110" t="s">
        <v>565</v>
      </c>
      <c r="J429" s="100"/>
      <c r="K429" s="101">
        <f ca="1">SUM(E409:E411)/1000</f>
        <v>28.744387612101633</v>
      </c>
      <c r="L429" s="224"/>
    </row>
    <row r="430" spans="3:12" x14ac:dyDescent="0.55000000000000004">
      <c r="C430" s="124"/>
      <c r="G430" s="125"/>
      <c r="I430" s="110" t="s">
        <v>566</v>
      </c>
      <c r="J430" s="100"/>
      <c r="K430" s="101">
        <f ca="1">E415/1000</f>
        <v>0</v>
      </c>
      <c r="L430" s="224"/>
    </row>
    <row r="431" spans="3:12" x14ac:dyDescent="0.55000000000000004">
      <c r="C431" s="124"/>
      <c r="G431" s="125"/>
      <c r="I431" s="224"/>
      <c r="J431" s="224"/>
      <c r="K431" s="224"/>
      <c r="L431" s="224"/>
    </row>
    <row r="432" spans="3:12" x14ac:dyDescent="0.55000000000000004">
      <c r="C432" s="124"/>
      <c r="G432" s="125"/>
      <c r="I432" s="224"/>
      <c r="J432" s="224"/>
      <c r="K432" s="224"/>
      <c r="L432" s="224"/>
    </row>
    <row r="433" spans="3:13" x14ac:dyDescent="0.55000000000000004">
      <c r="C433" s="124"/>
      <c r="G433" s="125"/>
      <c r="I433" s="224"/>
      <c r="J433" s="224"/>
      <c r="K433" s="224"/>
      <c r="L433" s="224"/>
    </row>
    <row r="434" spans="3:13" x14ac:dyDescent="0.55000000000000004">
      <c r="C434" s="124"/>
      <c r="G434" s="125"/>
      <c r="I434" s="224"/>
      <c r="J434" s="224"/>
      <c r="K434" s="224"/>
      <c r="L434" s="224"/>
    </row>
    <row r="435" spans="3:13" x14ac:dyDescent="0.55000000000000004">
      <c r="C435" s="124"/>
      <c r="G435" s="125"/>
      <c r="I435" s="224"/>
      <c r="J435" s="224"/>
      <c r="K435" s="224"/>
      <c r="L435" s="224"/>
    </row>
    <row r="436" spans="3:13" x14ac:dyDescent="0.55000000000000004">
      <c r="C436" s="124"/>
      <c r="E436" s="220"/>
      <c r="G436" s="125"/>
      <c r="I436" s="224"/>
      <c r="J436" s="224"/>
      <c r="K436" s="224"/>
      <c r="L436" s="224"/>
    </row>
    <row r="437" spans="3:13" x14ac:dyDescent="0.55000000000000004">
      <c r="C437" s="124"/>
      <c r="D437" t="s">
        <v>387</v>
      </c>
      <c r="E437" s="64">
        <f ca="1">VLOOKUP(D400,'2 Water'!$D$158:$M$177,10,FALSE)</f>
        <v>24.824767669630692</v>
      </c>
      <c r="G437" s="125"/>
      <c r="I437" s="224"/>
      <c r="J437" s="224"/>
      <c r="K437" s="224"/>
      <c r="L437" s="224"/>
    </row>
    <row r="438" spans="3:13" x14ac:dyDescent="0.55000000000000004">
      <c r="C438" s="124"/>
      <c r="D438" t="s">
        <v>388</v>
      </c>
      <c r="E438" s="64">
        <f ca="1">VLOOKUP(D400,'2 Water'!$D$158:$M$177,9,FALSE)</f>
        <v>19.26554659207428</v>
      </c>
      <c r="G438" s="125"/>
      <c r="I438" s="224"/>
      <c r="J438" s="224"/>
      <c r="K438" s="224"/>
      <c r="L438" s="224"/>
    </row>
    <row r="439" spans="3:13" x14ac:dyDescent="0.55000000000000004">
      <c r="C439" s="124"/>
      <c r="D439" t="s">
        <v>378</v>
      </c>
      <c r="E439" s="97">
        <f ca="1">IFERROR(IF(E407=0,E415,E407)/E405,0)</f>
        <v>0</v>
      </c>
      <c r="G439" s="125"/>
      <c r="I439" s="224"/>
      <c r="J439" s="224"/>
      <c r="K439" s="224"/>
      <c r="L439" s="224"/>
    </row>
    <row r="440" spans="3:13" x14ac:dyDescent="0.55000000000000004">
      <c r="C440" s="124"/>
      <c r="G440" s="125"/>
      <c r="I440" s="224"/>
      <c r="J440" s="224"/>
      <c r="K440" s="224"/>
      <c r="L440" s="224"/>
    </row>
    <row r="441" spans="3:13" x14ac:dyDescent="0.55000000000000004">
      <c r="C441" s="124"/>
      <c r="D441" t="s">
        <v>389</v>
      </c>
      <c r="E441" s="64">
        <f ca="1">'3 Water'!H272</f>
        <v>293.79212399782381</v>
      </c>
      <c r="G441" s="125"/>
      <c r="I441" s="224"/>
      <c r="J441" s="224"/>
      <c r="K441" s="224"/>
      <c r="L441" s="224"/>
    </row>
    <row r="442" spans="3:13" x14ac:dyDescent="0.55000000000000004">
      <c r="C442" s="124"/>
      <c r="D442" t="s">
        <v>380</v>
      </c>
      <c r="E442" s="97">
        <f ca="1">IFERROR('3 Water'!I272/'3 Water'!H264,0)</f>
        <v>1.0000000000000002</v>
      </c>
      <c r="G442" s="125"/>
      <c r="I442" s="224"/>
      <c r="J442" s="224"/>
      <c r="K442" s="224"/>
      <c r="L442" s="224"/>
    </row>
    <row r="443" spans="3:13" x14ac:dyDescent="0.55000000000000004">
      <c r="C443" s="124"/>
      <c r="G443" s="125"/>
      <c r="I443" s="224"/>
      <c r="J443" s="224"/>
      <c r="K443" s="224"/>
      <c r="L443" s="224"/>
    </row>
    <row r="444" spans="3:13" x14ac:dyDescent="0.55000000000000004">
      <c r="C444" s="124"/>
      <c r="D444" s="1" t="s">
        <v>381</v>
      </c>
      <c r="G444" s="125"/>
      <c r="I444" s="224"/>
      <c r="J444" s="224"/>
      <c r="K444" s="224"/>
      <c r="L444" s="224"/>
    </row>
    <row r="445" spans="3:13" x14ac:dyDescent="0.55000000000000004">
      <c r="C445" s="124"/>
      <c r="G445" s="125"/>
      <c r="I445" s="224"/>
      <c r="J445" s="224"/>
      <c r="K445" s="224"/>
      <c r="L445" s="224"/>
    </row>
    <row r="446" spans="3:13" x14ac:dyDescent="0.55000000000000004">
      <c r="C446" s="124"/>
      <c r="G446" s="125"/>
      <c r="I446" s="224"/>
      <c r="J446" s="224"/>
      <c r="K446" s="224"/>
      <c r="L446" s="224"/>
    </row>
    <row r="447" spans="3:13" ht="28.8" x14ac:dyDescent="0.55000000000000004">
      <c r="C447" s="124"/>
      <c r="G447" s="125"/>
      <c r="I447" s="102" t="s">
        <v>383</v>
      </c>
      <c r="J447" s="102" t="s">
        <v>382</v>
      </c>
      <c r="K447" s="102" t="s">
        <v>100</v>
      </c>
      <c r="L447" s="230" t="s">
        <v>392</v>
      </c>
      <c r="M447" s="231" t="s">
        <v>567</v>
      </c>
    </row>
    <row r="448" spans="3:13" x14ac:dyDescent="0.55000000000000004">
      <c r="C448" s="124"/>
      <c r="G448" s="125"/>
      <c r="I448" s="102">
        <v>1</v>
      </c>
      <c r="J448" s="102">
        <f>IFERROR(VLOOKUP(I448,'3 Water'!$E$285:$J$294,3,FALSE),0)</f>
        <v>6</v>
      </c>
      <c r="K448" s="103">
        <f ca="1">IFERROR(VLOOKUP(I448,'3 Water'!$E$285:$J$294,6,FALSE),0)</f>
        <v>541.64310940482926</v>
      </c>
      <c r="L448" s="104">
        <f ca="1">$E$437</f>
        <v>24.824767669630692</v>
      </c>
      <c r="M448" s="105">
        <f ca="1">IFERROR('3 Water'!I264/'3 Water'!G264,0)</f>
        <v>23.021901145481429</v>
      </c>
    </row>
    <row r="449" spans="3:13" x14ac:dyDescent="0.55000000000000004">
      <c r="C449" s="124"/>
      <c r="G449" s="125"/>
      <c r="I449" s="102">
        <v>2</v>
      </c>
      <c r="J449" s="102">
        <f>IFERROR(VLOOKUP(I449,'3 Water'!$E$285:$J$294,3,FALSE),0)</f>
        <v>15</v>
      </c>
      <c r="K449" s="103">
        <f ca="1">IFERROR(VLOOKUP(I449,'3 Water'!$E$285:$J$294,6,FALSE),0)</f>
        <v>644.42341396023755</v>
      </c>
      <c r="L449" s="104">
        <f t="shared" ref="L449:L457" ca="1" si="12">$E$437</f>
        <v>24.824767669630692</v>
      </c>
      <c r="M449" s="104">
        <f t="shared" ref="M449:M457" ca="1" si="13">$M$448</f>
        <v>23.021901145481429</v>
      </c>
    </row>
    <row r="450" spans="3:13" x14ac:dyDescent="0.55000000000000004">
      <c r="C450" s="124"/>
      <c r="G450" s="125"/>
      <c r="I450" s="102">
        <v>3</v>
      </c>
      <c r="J450" s="102">
        <f>IFERROR(VLOOKUP(I450,'3 Water'!$E$285:$J$294,3,FALSE),0)</f>
        <v>30</v>
      </c>
      <c r="K450" s="103">
        <f ca="1">IFERROR(VLOOKUP(I450,'3 Water'!$E$285:$J$294,6,FALSE),0)</f>
        <v>1332.505718351091</v>
      </c>
      <c r="L450" s="104">
        <f t="shared" ca="1" si="12"/>
        <v>24.824767669630692</v>
      </c>
      <c r="M450" s="104">
        <f t="shared" ca="1" si="13"/>
        <v>23.021901145481429</v>
      </c>
    </row>
    <row r="451" spans="3:13" x14ac:dyDescent="0.55000000000000004">
      <c r="C451" s="124"/>
      <c r="G451" s="125"/>
      <c r="I451" s="102">
        <v>4</v>
      </c>
      <c r="J451" s="102">
        <f>IFERROR(VLOOKUP(I451,'3 Water'!$E$285:$J$294,3,FALSE),0)</f>
        <v>40</v>
      </c>
      <c r="K451" s="103">
        <f ca="1">IFERROR(VLOOKUP(I451,'3 Water'!$E$285:$J$294,6,FALSE),0)</f>
        <v>1664.9499777758851</v>
      </c>
      <c r="L451" s="104">
        <f t="shared" ca="1" si="12"/>
        <v>24.824767669630692</v>
      </c>
      <c r="M451" s="104">
        <f t="shared" ca="1" si="13"/>
        <v>23.021901145481429</v>
      </c>
    </row>
    <row r="452" spans="3:13" x14ac:dyDescent="0.55000000000000004">
      <c r="C452" s="124"/>
      <c r="G452" s="125"/>
      <c r="I452" s="102">
        <v>5</v>
      </c>
      <c r="J452" s="102" t="str">
        <f>IFERROR(VLOOKUP(I452,'3 Water'!$E$285:$J$294,3,FALSE),0)</f>
        <v>more</v>
      </c>
      <c r="K452" s="103">
        <f ca="1">IFERROR(VLOOKUP(I452,'3 Water'!$E$285:$J$294,6,FALSE),0)</f>
        <v>2198.8618253336263</v>
      </c>
      <c r="L452" s="104">
        <f t="shared" ca="1" si="12"/>
        <v>24.824767669630692</v>
      </c>
      <c r="M452" s="104">
        <f t="shared" ca="1" si="13"/>
        <v>23.021901145481429</v>
      </c>
    </row>
    <row r="453" spans="3:13" x14ac:dyDescent="0.55000000000000004">
      <c r="C453" s="124"/>
      <c r="G453" s="125"/>
      <c r="I453" s="102">
        <v>6</v>
      </c>
      <c r="J453" s="102">
        <f>IFERROR(VLOOKUP(I453,'3 Water'!$E$285:$J$294,3,FALSE),0)</f>
        <v>0</v>
      </c>
      <c r="K453" s="103">
        <f>IFERROR(VLOOKUP(I453,'3 Water'!$E$285:$J$294,6,FALSE),0)</f>
        <v>0</v>
      </c>
      <c r="L453" s="104">
        <f t="shared" ca="1" si="12"/>
        <v>24.824767669630692</v>
      </c>
      <c r="M453" s="104">
        <f t="shared" ca="1" si="13"/>
        <v>23.021901145481429</v>
      </c>
    </row>
    <row r="454" spans="3:13" x14ac:dyDescent="0.55000000000000004">
      <c r="C454" s="124"/>
      <c r="G454" s="125"/>
      <c r="I454" s="102">
        <v>7</v>
      </c>
      <c r="J454" s="102">
        <f>IFERROR(VLOOKUP(I454,'3 Water'!$E$285:$J$294,3,FALSE),0)</f>
        <v>0</v>
      </c>
      <c r="K454" s="103">
        <f>IFERROR(VLOOKUP(I454,'3 Water'!$E$285:$J$294,6,FALSE),0)</f>
        <v>0</v>
      </c>
      <c r="L454" s="104">
        <f t="shared" ca="1" si="12"/>
        <v>24.824767669630692</v>
      </c>
      <c r="M454" s="104">
        <f t="shared" ca="1" si="13"/>
        <v>23.021901145481429</v>
      </c>
    </row>
    <row r="455" spans="3:13" x14ac:dyDescent="0.55000000000000004">
      <c r="C455" s="124"/>
      <c r="G455" s="125"/>
      <c r="I455" s="102">
        <v>8</v>
      </c>
      <c r="J455" s="102">
        <f>IFERROR(VLOOKUP(I455,'3 Water'!$E$285:$J$294,3,FALSE),0)</f>
        <v>0</v>
      </c>
      <c r="K455" s="103">
        <f>IFERROR(VLOOKUP(I455,'3 Water'!$E$285:$J$294,6,FALSE),0)</f>
        <v>0</v>
      </c>
      <c r="L455" s="104">
        <f t="shared" ca="1" si="12"/>
        <v>24.824767669630692</v>
      </c>
      <c r="M455" s="104">
        <f t="shared" ca="1" si="13"/>
        <v>23.021901145481429</v>
      </c>
    </row>
    <row r="456" spans="3:13" x14ac:dyDescent="0.55000000000000004">
      <c r="C456" s="124"/>
      <c r="G456" s="125"/>
      <c r="I456" s="102">
        <v>9</v>
      </c>
      <c r="J456" s="102">
        <f>IFERROR(VLOOKUP(I456,'3 Water'!$E$285:$J$294,3,FALSE),0)</f>
        <v>0</v>
      </c>
      <c r="K456" s="103">
        <f>IFERROR(VLOOKUP(I456,'3 Water'!$E$285:$J$294,6,FALSE),0)</f>
        <v>0</v>
      </c>
      <c r="L456" s="104">
        <f t="shared" ca="1" si="12"/>
        <v>24.824767669630692</v>
      </c>
      <c r="M456" s="104">
        <f t="shared" ca="1" si="13"/>
        <v>23.021901145481429</v>
      </c>
    </row>
    <row r="457" spans="3:13" x14ac:dyDescent="0.55000000000000004">
      <c r="C457" s="124"/>
      <c r="G457" s="125"/>
      <c r="I457" s="102">
        <v>10</v>
      </c>
      <c r="J457" s="102">
        <f>IFERROR(VLOOKUP(I457,'3 Water'!$E$285:$J$294,3,FALSE),0)</f>
        <v>0</v>
      </c>
      <c r="K457" s="103">
        <f>IFERROR(VLOOKUP(I457,'3 Water'!$E$285:$J$294,6,FALSE),0)</f>
        <v>0</v>
      </c>
      <c r="L457" s="104">
        <f t="shared" ca="1" si="12"/>
        <v>24.824767669630692</v>
      </c>
      <c r="M457" s="104">
        <f t="shared" ca="1" si="13"/>
        <v>23.021901145481429</v>
      </c>
    </row>
    <row r="458" spans="3:13" x14ac:dyDescent="0.55000000000000004">
      <c r="C458" s="124"/>
      <c r="G458" s="125"/>
      <c r="I458" s="224"/>
      <c r="J458" s="224"/>
      <c r="K458" s="224"/>
      <c r="L458" s="224"/>
    </row>
    <row r="459" spans="3:13" x14ac:dyDescent="0.55000000000000004">
      <c r="C459" s="124"/>
      <c r="G459" s="125"/>
      <c r="I459" s="224"/>
      <c r="J459" s="224"/>
      <c r="K459" s="224"/>
      <c r="L459" s="224"/>
    </row>
    <row r="460" spans="3:13" x14ac:dyDescent="0.55000000000000004">
      <c r="C460" s="124"/>
      <c r="G460" s="125"/>
      <c r="I460" s="224"/>
      <c r="J460" s="224"/>
      <c r="K460" s="224"/>
      <c r="L460" s="224"/>
    </row>
    <row r="461" spans="3:13" x14ac:dyDescent="0.55000000000000004">
      <c r="C461" s="124"/>
      <c r="G461" s="125"/>
      <c r="I461" s="224"/>
      <c r="J461" s="224"/>
      <c r="K461" s="224"/>
      <c r="L461" s="224"/>
    </row>
    <row r="462" spans="3:13" x14ac:dyDescent="0.55000000000000004">
      <c r="C462" s="124"/>
      <c r="G462" s="125"/>
      <c r="I462" s="224"/>
      <c r="J462" s="224"/>
      <c r="K462" s="224"/>
      <c r="L462" s="224"/>
    </row>
    <row r="463" spans="3:13" ht="14.7" thickBot="1" x14ac:dyDescent="0.6">
      <c r="C463" s="130"/>
      <c r="D463" s="131"/>
      <c r="E463" s="131"/>
      <c r="F463" s="131"/>
      <c r="G463" s="132"/>
      <c r="I463" s="224"/>
      <c r="J463" s="224"/>
      <c r="K463" s="224"/>
      <c r="L463" s="224"/>
    </row>
    <row r="464" spans="3:13" x14ac:dyDescent="0.55000000000000004">
      <c r="I464" s="224"/>
      <c r="J464" s="224"/>
      <c r="K464" s="224"/>
      <c r="L464" s="224"/>
    </row>
    <row r="465" spans="3:12" ht="14.7" thickBot="1" x14ac:dyDescent="0.6">
      <c r="I465" s="224"/>
      <c r="J465" s="224"/>
      <c r="K465" s="224"/>
      <c r="L465" s="224"/>
    </row>
    <row r="466" spans="3:12" x14ac:dyDescent="0.55000000000000004">
      <c r="C466" s="121"/>
      <c r="D466" s="122"/>
      <c r="E466" s="122"/>
      <c r="F466" s="122"/>
      <c r="G466" s="123"/>
      <c r="I466" s="224"/>
      <c r="J466" s="224"/>
      <c r="K466" s="224"/>
      <c r="L466" s="224"/>
    </row>
    <row r="467" spans="3:12" ht="15.6" x14ac:dyDescent="0.6">
      <c r="C467" s="124"/>
      <c r="D467" s="98" t="str">
        <f>'2 Customer data'!D28</f>
        <v>Safe Houses</v>
      </c>
      <c r="G467" s="125"/>
      <c r="I467" s="224"/>
      <c r="J467" s="224"/>
      <c r="K467" s="224"/>
      <c r="L467" s="224"/>
    </row>
    <row r="468" spans="3:12" x14ac:dyDescent="0.55000000000000004">
      <c r="C468" s="124"/>
      <c r="G468" s="125"/>
      <c r="I468" s="224"/>
      <c r="J468" s="224"/>
      <c r="K468" s="224"/>
      <c r="L468" s="224"/>
    </row>
    <row r="469" spans="3:12" x14ac:dyDescent="0.55000000000000004">
      <c r="C469" s="124"/>
      <c r="E469" s="220" t="s">
        <v>250</v>
      </c>
      <c r="G469" s="125"/>
      <c r="I469" s="224"/>
      <c r="J469" s="224"/>
      <c r="K469" s="224"/>
      <c r="L469" s="224"/>
    </row>
    <row r="470" spans="3:12" x14ac:dyDescent="0.55000000000000004">
      <c r="C470" s="124"/>
      <c r="D470" t="s">
        <v>369</v>
      </c>
      <c r="E470" s="26">
        <f ca="1">VLOOKUP(D467,'2 Water'!$D$19:$J$38,5,FALSE)</f>
        <v>10862.082408447541</v>
      </c>
      <c r="G470" s="125"/>
      <c r="I470" s="224"/>
      <c r="J470" s="224"/>
      <c r="K470" s="224"/>
      <c r="L470" s="224"/>
    </row>
    <row r="471" spans="3:12" x14ac:dyDescent="0.55000000000000004">
      <c r="C471" s="124"/>
      <c r="D471" t="s">
        <v>370</v>
      </c>
      <c r="E471" s="99">
        <f ca="1">VLOOKUP(D467,'2 Water'!$D$19:$J$38,6,FALSE)</f>
        <v>86866.191358328244</v>
      </c>
      <c r="G471" s="125"/>
      <c r="I471" s="224"/>
      <c r="J471" s="224"/>
      <c r="K471" s="224"/>
      <c r="L471" s="224"/>
    </row>
    <row r="472" spans="3:12" ht="14.7" thickBot="1" x14ac:dyDescent="0.6">
      <c r="C472" s="124"/>
      <c r="D472" s="1" t="s">
        <v>39</v>
      </c>
      <c r="E472" s="37">
        <f ca="1">VLOOKUP(D467,'2 Water'!$D$19:$J$38,7,FALSE)</f>
        <v>97728.27376677579</v>
      </c>
      <c r="G472" s="125"/>
      <c r="I472" s="224"/>
      <c r="J472" s="224"/>
      <c r="K472" s="224"/>
      <c r="L472" s="224"/>
    </row>
    <row r="473" spans="3:12" ht="14.7" thickTop="1" x14ac:dyDescent="0.55000000000000004">
      <c r="C473" s="124"/>
      <c r="G473" s="125"/>
      <c r="I473" s="224"/>
      <c r="J473" s="224"/>
      <c r="K473" s="224"/>
      <c r="L473" s="224"/>
    </row>
    <row r="474" spans="3:12" x14ac:dyDescent="0.55000000000000004">
      <c r="C474" s="124"/>
      <c r="D474" t="s">
        <v>189</v>
      </c>
      <c r="E474" s="26">
        <f ca="1">IF(VLOOKUP(D467,'2 Water'!$D$126:$K$145,7,FALSE)="",VLOOKUP(D467,'2 Water'!$D$126:$K$145,6,FALSE),VLOOKUP(D467,'2 Water'!$D$126:$K$145,7,FALSE))+VLOOKUP(D467,'2 Water'!$D$158:$J$177,5,FALSE)</f>
        <v>0</v>
      </c>
      <c r="G474" s="125"/>
      <c r="I474" s="224"/>
      <c r="J474" s="224"/>
      <c r="K474" s="224"/>
      <c r="L474" s="224"/>
    </row>
    <row r="475" spans="3:12" x14ac:dyDescent="0.55000000000000004">
      <c r="C475" s="124"/>
      <c r="G475" s="125"/>
      <c r="I475" s="224"/>
      <c r="J475" s="224"/>
      <c r="K475" s="224"/>
      <c r="L475" s="224"/>
    </row>
    <row r="476" spans="3:12" x14ac:dyDescent="0.55000000000000004">
      <c r="C476" s="124"/>
      <c r="D476" t="s">
        <v>371</v>
      </c>
      <c r="E476" s="64">
        <f ca="1">IF(VLOOKUP(D467,'2 Water'!$D$54:$M$73,5,FALSE)="",VLOOKUP(D467,'2 Water'!$D$54:$M$73,4,FALSE),VLOOKUP(D467,'2 Water'!$D$54:$M$73,5,FALSE))</f>
        <v>0</v>
      </c>
      <c r="G476" s="125"/>
      <c r="I476" s="224"/>
      <c r="J476" s="224"/>
      <c r="K476" s="224"/>
      <c r="L476" s="224"/>
    </row>
    <row r="477" spans="3:12" x14ac:dyDescent="0.55000000000000004">
      <c r="C477" s="124"/>
      <c r="D477" t="s">
        <v>372</v>
      </c>
      <c r="E477" s="26">
        <f ca="1">IF(VLOOKUP(D467,'2 Water'!$D$54:$M$73,7,FALSE)="",VLOOKUP(D467,'2 Water'!$D$54:$M$73,6,FALSE),VLOOKUP(D467,'2 Water'!$D$54:$M$73,7,FALSE))</f>
        <v>7043.1971422163406</v>
      </c>
      <c r="G477" s="125"/>
      <c r="I477" s="224"/>
      <c r="J477" s="224"/>
      <c r="K477" s="224"/>
      <c r="L477" s="224"/>
    </row>
    <row r="478" spans="3:12" x14ac:dyDescent="0.55000000000000004">
      <c r="C478" s="124"/>
      <c r="D478" t="s">
        <v>373</v>
      </c>
      <c r="E478" s="26">
        <f ca="1">IF(VLOOKUP(D467,'2 Water'!$D$54:$M$73,9,FALSE)="",VLOOKUP(D467,'2 Water'!$D$54:$M$73,8,FALSE),VLOOKUP(D467,'2 Water'!$D$54:$M$73,9,FALSE))</f>
        <v>0</v>
      </c>
      <c r="G478" s="125"/>
      <c r="I478" s="224"/>
      <c r="J478" s="224"/>
      <c r="K478" s="224"/>
      <c r="L478" s="224"/>
    </row>
    <row r="479" spans="3:12" x14ac:dyDescent="0.55000000000000004">
      <c r="C479" s="124"/>
      <c r="D479" t="s">
        <v>374</v>
      </c>
      <c r="E479" s="26">
        <f ca="1">IF(VLOOKUP(D467,'2 Water'!$D$90:$I$109,5,FALSE)="",VLOOKUP(D467,'2 Water'!$D$90:$I$109,4,FALSE),VLOOKUP(D467,'2 Water'!$D$90:$I$109,5,FALSE))</f>
        <v>14841.925273736786</v>
      </c>
      <c r="G479" s="125"/>
      <c r="I479" s="224"/>
      <c r="J479" s="224"/>
      <c r="K479" s="224"/>
      <c r="L479" s="224"/>
    </row>
    <row r="480" spans="3:12" ht="14.7" thickBot="1" x14ac:dyDescent="0.6">
      <c r="C480" s="124"/>
      <c r="D480" s="1" t="s">
        <v>145</v>
      </c>
      <c r="E480" s="37">
        <f ca="1">SUM(E476:E479)</f>
        <v>21885.122415953127</v>
      </c>
      <c r="F480" s="135"/>
      <c r="G480" s="125"/>
      <c r="I480" s="224"/>
      <c r="J480" s="224"/>
      <c r="K480" s="224"/>
      <c r="L480" s="224"/>
    </row>
    <row r="481" spans="3:12" ht="14.7" thickTop="1" x14ac:dyDescent="0.55000000000000004">
      <c r="C481" s="124"/>
      <c r="D481" s="1"/>
      <c r="E481" s="15"/>
      <c r="G481" s="125"/>
      <c r="I481" s="224"/>
      <c r="J481" s="224"/>
      <c r="K481" s="224"/>
      <c r="L481" s="224"/>
    </row>
    <row r="482" spans="3:12" x14ac:dyDescent="0.55000000000000004">
      <c r="C482" s="124"/>
      <c r="D482" t="s">
        <v>384</v>
      </c>
      <c r="E482" s="26">
        <f ca="1">IF(VLOOKUP(D467,'2 Water'!$D$126:$K$145,5,FALSE)="",VLOOKUP(D467,'2 Water'!$D$126:$K$145,4,FALSE),VLOOKUP(D467,'2 Water'!$D$126:$K$145,5,FALSE))+VLOOKUP(D467,'2 Water'!$D$158:$J$177,7,FALSE)</f>
        <v>0</v>
      </c>
      <c r="G482" s="125"/>
      <c r="I482" s="224"/>
      <c r="J482" s="224"/>
      <c r="K482" s="224"/>
      <c r="L482" s="224"/>
    </row>
    <row r="483" spans="3:12" x14ac:dyDescent="0.55000000000000004">
      <c r="C483" s="124"/>
      <c r="G483" s="125"/>
      <c r="I483" s="224"/>
      <c r="J483" s="224"/>
      <c r="K483" s="224"/>
      <c r="L483" s="224"/>
    </row>
    <row r="484" spans="3:12" ht="14.7" thickBot="1" x14ac:dyDescent="0.6">
      <c r="C484" s="124"/>
      <c r="D484" s="1" t="s">
        <v>375</v>
      </c>
      <c r="E484" s="37">
        <f ca="1">VLOOKUP(D467,'2 Water'!$D$158:$K$177,8,FALSE)</f>
        <v>75843.151350822649</v>
      </c>
      <c r="G484" s="125"/>
      <c r="I484" s="224"/>
      <c r="J484" s="224"/>
      <c r="K484" s="224"/>
      <c r="L484" s="224"/>
    </row>
    <row r="485" spans="3:12" ht="14.7" thickTop="1" x14ac:dyDescent="0.55000000000000004">
      <c r="C485" s="124"/>
      <c r="D485" s="1"/>
      <c r="E485" s="187"/>
      <c r="G485" s="125"/>
      <c r="I485" s="224"/>
      <c r="J485" s="224"/>
      <c r="K485" s="224"/>
      <c r="L485" s="224"/>
    </row>
    <row r="486" spans="3:12" x14ac:dyDescent="0.55000000000000004">
      <c r="C486" s="124"/>
      <c r="D486" s="1"/>
      <c r="E486" s="187"/>
      <c r="G486" s="125"/>
      <c r="I486" s="224"/>
      <c r="J486" s="224"/>
      <c r="K486" s="224"/>
      <c r="L486" s="224"/>
    </row>
    <row r="487" spans="3:12" x14ac:dyDescent="0.55000000000000004">
      <c r="C487" s="124"/>
      <c r="G487" s="125"/>
      <c r="I487" s="224"/>
      <c r="J487" s="224"/>
      <c r="K487" s="224"/>
      <c r="L487" s="224"/>
    </row>
    <row r="488" spans="3:12" x14ac:dyDescent="0.55000000000000004">
      <c r="C488" s="124"/>
      <c r="G488" s="125"/>
      <c r="I488" s="224"/>
      <c r="J488" s="224"/>
      <c r="K488" s="224"/>
      <c r="L488" s="224"/>
    </row>
    <row r="489" spans="3:12" x14ac:dyDescent="0.55000000000000004">
      <c r="C489" s="124"/>
      <c r="G489" s="125"/>
      <c r="I489" s="224"/>
      <c r="J489" s="224"/>
      <c r="K489" s="224"/>
      <c r="L489" s="224"/>
    </row>
    <row r="490" spans="3:12" x14ac:dyDescent="0.55000000000000004">
      <c r="C490" s="124"/>
      <c r="G490" s="125"/>
      <c r="I490" s="232" t="s">
        <v>385</v>
      </c>
      <c r="J490" s="224"/>
      <c r="K490" s="224"/>
      <c r="L490" s="224"/>
    </row>
    <row r="491" spans="3:12" x14ac:dyDescent="0.55000000000000004">
      <c r="C491" s="124"/>
      <c r="G491" s="125"/>
      <c r="I491" s="110"/>
      <c r="J491" s="102" t="s">
        <v>390</v>
      </c>
      <c r="K491" s="102" t="s">
        <v>391</v>
      </c>
      <c r="L491" s="224"/>
    </row>
    <row r="492" spans="3:12" x14ac:dyDescent="0.55000000000000004">
      <c r="C492" s="124"/>
      <c r="G492" s="125"/>
      <c r="I492" s="110" t="s">
        <v>369</v>
      </c>
      <c r="J492" s="100">
        <f ca="1">E470/1000</f>
        <v>10.862082408447542</v>
      </c>
      <c r="K492" s="102"/>
      <c r="L492" s="224"/>
    </row>
    <row r="493" spans="3:12" x14ac:dyDescent="0.55000000000000004">
      <c r="C493" s="124"/>
      <c r="G493" s="125"/>
      <c r="I493" s="110" t="s">
        <v>370</v>
      </c>
      <c r="J493" s="100">
        <f ca="1">E471/1000</f>
        <v>86.866191358328237</v>
      </c>
      <c r="K493" s="110"/>
      <c r="L493" s="224"/>
    </row>
    <row r="494" spans="3:12" x14ac:dyDescent="0.55000000000000004">
      <c r="C494" s="124"/>
      <c r="G494" s="125"/>
      <c r="I494" s="110" t="s">
        <v>471</v>
      </c>
      <c r="J494" s="100">
        <f ca="1">E474/1000</f>
        <v>0</v>
      </c>
      <c r="K494" s="110"/>
      <c r="L494" s="224"/>
    </row>
    <row r="495" spans="3:12" x14ac:dyDescent="0.55000000000000004">
      <c r="C495" s="124"/>
      <c r="G495" s="125"/>
      <c r="I495" s="110" t="s">
        <v>563</v>
      </c>
      <c r="J495" s="100"/>
      <c r="K495" s="101">
        <f ca="1">E484/1000</f>
        <v>75.843151350822652</v>
      </c>
      <c r="L495" s="224"/>
    </row>
    <row r="496" spans="3:12" x14ac:dyDescent="0.55000000000000004">
      <c r="C496" s="124"/>
      <c r="G496" s="125"/>
      <c r="I496" s="110" t="s">
        <v>564</v>
      </c>
      <c r="J496" s="100"/>
      <c r="K496" s="101">
        <f ca="1">E479/1000</f>
        <v>14.841925273736786</v>
      </c>
      <c r="L496" s="224"/>
    </row>
    <row r="497" spans="3:12" x14ac:dyDescent="0.55000000000000004">
      <c r="C497" s="124"/>
      <c r="G497" s="125"/>
      <c r="I497" s="110" t="s">
        <v>565</v>
      </c>
      <c r="J497" s="100"/>
      <c r="K497" s="101">
        <f ca="1">SUM(E476:E478)/1000</f>
        <v>7.0431971422163402</v>
      </c>
      <c r="L497" s="224"/>
    </row>
    <row r="498" spans="3:12" x14ac:dyDescent="0.55000000000000004">
      <c r="C498" s="124"/>
      <c r="G498" s="125"/>
      <c r="I498" s="110" t="s">
        <v>566</v>
      </c>
      <c r="J498" s="100"/>
      <c r="K498" s="101">
        <f ca="1">E482/1000</f>
        <v>0</v>
      </c>
      <c r="L498" s="224"/>
    </row>
    <row r="499" spans="3:12" x14ac:dyDescent="0.55000000000000004">
      <c r="C499" s="124"/>
      <c r="G499" s="125"/>
      <c r="I499" s="224"/>
      <c r="J499" s="224"/>
      <c r="K499" s="224"/>
      <c r="L499" s="224"/>
    </row>
    <row r="500" spans="3:12" x14ac:dyDescent="0.55000000000000004">
      <c r="C500" s="124"/>
      <c r="G500" s="125"/>
      <c r="I500" s="224"/>
      <c r="J500" s="224"/>
      <c r="K500" s="224"/>
      <c r="L500" s="224"/>
    </row>
    <row r="501" spans="3:12" x14ac:dyDescent="0.55000000000000004">
      <c r="C501" s="124"/>
      <c r="G501" s="125"/>
      <c r="I501" s="224"/>
      <c r="J501" s="224"/>
      <c r="K501" s="224"/>
      <c r="L501" s="224"/>
    </row>
    <row r="502" spans="3:12" x14ac:dyDescent="0.55000000000000004">
      <c r="C502" s="124"/>
      <c r="G502" s="125"/>
      <c r="I502" s="224"/>
      <c r="J502" s="224"/>
      <c r="K502" s="224"/>
      <c r="L502" s="224"/>
    </row>
    <row r="503" spans="3:12" x14ac:dyDescent="0.55000000000000004">
      <c r="C503" s="124"/>
      <c r="G503" s="125"/>
      <c r="I503" s="224"/>
      <c r="J503" s="224"/>
      <c r="K503" s="224"/>
      <c r="L503" s="224"/>
    </row>
    <row r="504" spans="3:12" x14ac:dyDescent="0.55000000000000004">
      <c r="C504" s="124"/>
      <c r="G504" s="125"/>
      <c r="I504" s="224"/>
      <c r="J504" s="224"/>
      <c r="K504" s="224"/>
      <c r="L504" s="224"/>
    </row>
    <row r="505" spans="3:12" x14ac:dyDescent="0.55000000000000004">
      <c r="C505" s="124"/>
      <c r="E505" s="220"/>
      <c r="G505" s="125"/>
      <c r="I505" s="224"/>
      <c r="J505" s="224"/>
      <c r="K505" s="224"/>
      <c r="L505" s="224"/>
    </row>
    <row r="506" spans="3:12" x14ac:dyDescent="0.55000000000000004">
      <c r="C506" s="124"/>
      <c r="D506" t="s">
        <v>387</v>
      </c>
      <c r="E506" s="64">
        <f ca="1">VLOOKUP(D467,'2 Water'!$D$158:$M$177,10,FALSE)</f>
        <v>25.900648141649548</v>
      </c>
      <c r="G506" s="125"/>
      <c r="I506" s="224"/>
      <c r="J506" s="224"/>
      <c r="K506" s="224"/>
      <c r="L506" s="224"/>
    </row>
    <row r="507" spans="3:12" x14ac:dyDescent="0.55000000000000004">
      <c r="C507" s="124"/>
      <c r="D507" t="s">
        <v>388</v>
      </c>
      <c r="E507" s="64">
        <f ca="1">VLOOKUP(D467,'2 Water'!$D$158:$M$177,9,FALSE)</f>
        <v>20.100496011824095</v>
      </c>
      <c r="G507" s="125"/>
      <c r="I507" s="224"/>
      <c r="J507" s="224"/>
      <c r="K507" s="224"/>
      <c r="L507" s="224"/>
    </row>
    <row r="508" spans="3:12" x14ac:dyDescent="0.55000000000000004">
      <c r="C508" s="124"/>
      <c r="D508" t="s">
        <v>378</v>
      </c>
      <c r="E508" s="97">
        <f ca="1">IFERROR(IF(E474=0,E482,E474)/E472,0)</f>
        <v>0</v>
      </c>
      <c r="G508" s="125"/>
      <c r="I508" s="224"/>
      <c r="J508" s="224"/>
      <c r="K508" s="224"/>
      <c r="L508" s="224"/>
    </row>
    <row r="509" spans="3:12" x14ac:dyDescent="0.55000000000000004">
      <c r="C509" s="124"/>
      <c r="G509" s="125"/>
      <c r="I509" s="224"/>
      <c r="J509" s="224"/>
      <c r="K509" s="224"/>
      <c r="L509" s="224"/>
    </row>
    <row r="510" spans="3:12" x14ac:dyDescent="0.55000000000000004">
      <c r="C510" s="124"/>
      <c r="D510" t="s">
        <v>389</v>
      </c>
      <c r="E510" s="64">
        <f ca="1">'3 Water'!H313</f>
        <v>293.79212399782381</v>
      </c>
      <c r="G510" s="125"/>
      <c r="I510" s="224"/>
      <c r="J510" s="224"/>
      <c r="K510" s="224"/>
      <c r="L510" s="224"/>
    </row>
    <row r="511" spans="3:12" x14ac:dyDescent="0.55000000000000004">
      <c r="C511" s="124"/>
      <c r="D511" t="s">
        <v>380</v>
      </c>
      <c r="E511" s="97">
        <f ca="1">IFERROR('3 Water'!I313/'3 Water'!H305,0)</f>
        <v>0.99999999999999978</v>
      </c>
      <c r="G511" s="125"/>
      <c r="I511" s="224"/>
      <c r="J511" s="224"/>
      <c r="K511" s="224"/>
      <c r="L511" s="224"/>
    </row>
    <row r="512" spans="3:12" x14ac:dyDescent="0.55000000000000004">
      <c r="C512" s="124"/>
      <c r="G512" s="125"/>
      <c r="I512" s="224"/>
      <c r="J512" s="224"/>
      <c r="K512" s="224"/>
      <c r="L512" s="224"/>
    </row>
    <row r="513" spans="3:13" x14ac:dyDescent="0.55000000000000004">
      <c r="C513" s="124"/>
      <c r="D513" s="1" t="s">
        <v>381</v>
      </c>
      <c r="G513" s="125"/>
      <c r="I513" s="224"/>
      <c r="J513" s="224"/>
      <c r="K513" s="224"/>
      <c r="L513" s="224"/>
    </row>
    <row r="514" spans="3:13" x14ac:dyDescent="0.55000000000000004">
      <c r="C514" s="124"/>
      <c r="G514" s="125"/>
      <c r="I514" s="224"/>
      <c r="J514" s="224"/>
      <c r="K514" s="224"/>
      <c r="L514" s="224"/>
    </row>
    <row r="515" spans="3:13" x14ac:dyDescent="0.55000000000000004">
      <c r="C515" s="124"/>
      <c r="G515" s="125"/>
      <c r="I515" s="224"/>
      <c r="J515" s="224"/>
      <c r="K515" s="224"/>
      <c r="L515" s="224"/>
    </row>
    <row r="516" spans="3:13" ht="28.8" x14ac:dyDescent="0.55000000000000004">
      <c r="C516" s="124"/>
      <c r="G516" s="125"/>
      <c r="I516" s="102" t="s">
        <v>383</v>
      </c>
      <c r="J516" s="102" t="s">
        <v>382</v>
      </c>
      <c r="K516" s="102" t="s">
        <v>100</v>
      </c>
      <c r="L516" s="230" t="s">
        <v>392</v>
      </c>
      <c r="M516" s="231" t="s">
        <v>567</v>
      </c>
    </row>
    <row r="517" spans="3:13" x14ac:dyDescent="0.55000000000000004">
      <c r="C517" s="124"/>
      <c r="G517" s="125"/>
      <c r="I517" s="102">
        <v>1</v>
      </c>
      <c r="J517" s="102">
        <f>IFERROR(VLOOKUP(I517,'3 Water'!$E$326:$J$335,3,FALSE),0)</f>
        <v>6</v>
      </c>
      <c r="K517" s="103">
        <f ca="1">IFERROR(VLOOKUP(I517,'3 Water'!$E$326:$J$335,6,FALSE),0)</f>
        <v>6.1160624154569856</v>
      </c>
      <c r="L517" s="104">
        <f t="shared" ref="L517:L526" ca="1" si="14">$E$506</f>
        <v>25.900648141649548</v>
      </c>
      <c r="M517" s="106">
        <f ca="1">IFERROR('3 Water'!I305/'3 Water'!G305,0)</f>
        <v>23.021901145481433</v>
      </c>
    </row>
    <row r="518" spans="3:13" x14ac:dyDescent="0.55000000000000004">
      <c r="C518" s="124"/>
      <c r="G518" s="125"/>
      <c r="I518" s="102">
        <v>2</v>
      </c>
      <c r="J518" s="102">
        <f>IFERROR(VLOOKUP(I518,'3 Water'!$E$326:$J$335,3,FALSE),0)</f>
        <v>15</v>
      </c>
      <c r="K518" s="103">
        <f ca="1">IFERROR(VLOOKUP(I518,'3 Water'!$E$326:$J$335,6,FALSE),0)</f>
        <v>7.8897205159395103</v>
      </c>
      <c r="L518" s="104">
        <f t="shared" ca="1" si="14"/>
        <v>25.900648141649548</v>
      </c>
      <c r="M518" s="104">
        <f t="shared" ref="M518:M526" ca="1" si="15">$M$517</f>
        <v>23.021901145481433</v>
      </c>
    </row>
    <row r="519" spans="3:13" x14ac:dyDescent="0.55000000000000004">
      <c r="C519" s="124"/>
      <c r="G519" s="125"/>
      <c r="I519" s="102">
        <v>3</v>
      </c>
      <c r="J519" s="102">
        <f>IFERROR(VLOOKUP(I519,'3 Water'!$E$326:$J$335,3,FALSE),0)</f>
        <v>30</v>
      </c>
      <c r="K519" s="103">
        <f ca="1">IFERROR(VLOOKUP(I519,'3 Water'!$E$326:$J$335,6,FALSE),0)</f>
        <v>13.833309971280608</v>
      </c>
      <c r="L519" s="104">
        <f t="shared" ca="1" si="14"/>
        <v>25.900648141649548</v>
      </c>
      <c r="M519" s="104">
        <f t="shared" ca="1" si="15"/>
        <v>23.021901145481433</v>
      </c>
    </row>
    <row r="520" spans="3:13" x14ac:dyDescent="0.55000000000000004">
      <c r="C520" s="124"/>
      <c r="G520" s="125"/>
      <c r="I520" s="102">
        <v>4</v>
      </c>
      <c r="J520" s="102">
        <f>IFERROR(VLOOKUP(I520,'3 Water'!$E$326:$J$335,3,FALSE),0)</f>
        <v>40</v>
      </c>
      <c r="K520" s="103">
        <f ca="1">IFERROR(VLOOKUP(I520,'3 Water'!$E$326:$J$335,6,FALSE),0)</f>
        <v>16.360194592701202</v>
      </c>
      <c r="L520" s="104">
        <f t="shared" ca="1" si="14"/>
        <v>25.900648141649548</v>
      </c>
      <c r="M520" s="104">
        <f t="shared" ca="1" si="15"/>
        <v>23.021901145481433</v>
      </c>
    </row>
    <row r="521" spans="3:13" x14ac:dyDescent="0.55000000000000004">
      <c r="C521" s="124"/>
      <c r="G521" s="125"/>
      <c r="I521" s="102">
        <v>5</v>
      </c>
      <c r="J521" s="102" t="str">
        <f>IFERROR(VLOOKUP(I521,'3 Water'!$E$326:$J$335,3,FALSE),0)</f>
        <v>more</v>
      </c>
      <c r="K521" s="103">
        <f ca="1">IFERROR(VLOOKUP(I521,'3 Water'!$E$326:$J$335,6,FALSE),0)</f>
        <v>19.951257305799118</v>
      </c>
      <c r="L521" s="104">
        <f t="shared" ca="1" si="14"/>
        <v>25.900648141649548</v>
      </c>
      <c r="M521" s="104">
        <f t="shared" ca="1" si="15"/>
        <v>23.021901145481433</v>
      </c>
    </row>
    <row r="522" spans="3:13" x14ac:dyDescent="0.55000000000000004">
      <c r="C522" s="124"/>
      <c r="G522" s="125"/>
      <c r="I522" s="102">
        <v>6</v>
      </c>
      <c r="J522" s="102">
        <f>IFERROR(VLOOKUP(I522,'3 Water'!$E$326:$J$335,3,FALSE),0)</f>
        <v>0</v>
      </c>
      <c r="K522" s="103">
        <f>IFERROR(VLOOKUP(I522,'3 Water'!$E$326:$J$335,6,FALSE),0)</f>
        <v>0</v>
      </c>
      <c r="L522" s="104">
        <f t="shared" ca="1" si="14"/>
        <v>25.900648141649548</v>
      </c>
      <c r="M522" s="104">
        <f t="shared" ca="1" si="15"/>
        <v>23.021901145481433</v>
      </c>
    </row>
    <row r="523" spans="3:13" x14ac:dyDescent="0.55000000000000004">
      <c r="C523" s="124"/>
      <c r="G523" s="125"/>
      <c r="I523" s="102">
        <v>7</v>
      </c>
      <c r="J523" s="102">
        <f>IFERROR(VLOOKUP(I523,'3 Water'!$E$326:$J$335,3,FALSE),0)</f>
        <v>0</v>
      </c>
      <c r="K523" s="103">
        <f>IFERROR(VLOOKUP(I523,'3 Water'!$E$326:$J$335,6,FALSE),0)</f>
        <v>0</v>
      </c>
      <c r="L523" s="104">
        <f t="shared" ca="1" si="14"/>
        <v>25.900648141649548</v>
      </c>
      <c r="M523" s="104">
        <f t="shared" ca="1" si="15"/>
        <v>23.021901145481433</v>
      </c>
    </row>
    <row r="524" spans="3:13" x14ac:dyDescent="0.55000000000000004">
      <c r="C524" s="124"/>
      <c r="G524" s="125"/>
      <c r="I524" s="102">
        <v>8</v>
      </c>
      <c r="J524" s="102">
        <f>IFERROR(VLOOKUP(I524,'3 Water'!$E$326:$J$335,3,FALSE),0)</f>
        <v>0</v>
      </c>
      <c r="K524" s="103">
        <f>IFERROR(VLOOKUP(I524,'3 Water'!$E$326:$J$335,6,FALSE),0)</f>
        <v>0</v>
      </c>
      <c r="L524" s="104">
        <f t="shared" ca="1" si="14"/>
        <v>25.900648141649548</v>
      </c>
      <c r="M524" s="104">
        <f t="shared" ca="1" si="15"/>
        <v>23.021901145481433</v>
      </c>
    </row>
    <row r="525" spans="3:13" x14ac:dyDescent="0.55000000000000004">
      <c r="C525" s="124"/>
      <c r="G525" s="125"/>
      <c r="I525" s="102">
        <v>9</v>
      </c>
      <c r="J525" s="102">
        <f>IFERROR(VLOOKUP(I525,'3 Water'!$E$326:$J$335,3,FALSE),0)</f>
        <v>0</v>
      </c>
      <c r="K525" s="103">
        <f>IFERROR(VLOOKUP(I525,'3 Water'!$E$326:$J$335,6,FALSE),0)</f>
        <v>0</v>
      </c>
      <c r="L525" s="104">
        <f t="shared" ca="1" si="14"/>
        <v>25.900648141649548</v>
      </c>
      <c r="M525" s="104">
        <f t="shared" ca="1" si="15"/>
        <v>23.021901145481433</v>
      </c>
    </row>
    <row r="526" spans="3:13" x14ac:dyDescent="0.55000000000000004">
      <c r="C526" s="124"/>
      <c r="G526" s="125"/>
      <c r="I526" s="102">
        <v>10</v>
      </c>
      <c r="J526" s="102">
        <f>IFERROR(VLOOKUP(I526,'3 Water'!$E$326:$J$335,3,FALSE),0)</f>
        <v>0</v>
      </c>
      <c r="K526" s="103">
        <f>IFERROR(VLOOKUP(I526,'3 Water'!$E$326:$J$335,6,FALSE),0)</f>
        <v>0</v>
      </c>
      <c r="L526" s="104">
        <f t="shared" ca="1" si="14"/>
        <v>25.900648141649548</v>
      </c>
      <c r="M526" s="104">
        <f t="shared" ca="1" si="15"/>
        <v>23.021901145481433</v>
      </c>
    </row>
    <row r="527" spans="3:13" x14ac:dyDescent="0.55000000000000004">
      <c r="C527" s="124"/>
      <c r="G527" s="125"/>
      <c r="I527" s="224"/>
      <c r="J527" s="224"/>
      <c r="K527" s="224"/>
      <c r="L527" s="224"/>
    </row>
    <row r="528" spans="3:13" x14ac:dyDescent="0.55000000000000004">
      <c r="C528" s="124"/>
      <c r="G528" s="125"/>
      <c r="I528" s="224"/>
      <c r="J528" s="224"/>
      <c r="K528" s="224"/>
      <c r="L528" s="224"/>
    </row>
    <row r="529" spans="3:12" x14ac:dyDescent="0.55000000000000004">
      <c r="C529" s="124"/>
      <c r="G529" s="125"/>
      <c r="I529" s="224"/>
      <c r="J529" s="224"/>
      <c r="K529" s="224"/>
      <c r="L529" s="224"/>
    </row>
    <row r="530" spans="3:12" x14ac:dyDescent="0.55000000000000004">
      <c r="C530" s="124"/>
      <c r="G530" s="125"/>
      <c r="I530" s="224"/>
      <c r="J530" s="224"/>
      <c r="K530" s="224"/>
      <c r="L530" s="224"/>
    </row>
    <row r="531" spans="3:12" x14ac:dyDescent="0.55000000000000004">
      <c r="C531" s="124"/>
      <c r="G531" s="125"/>
      <c r="I531" s="224"/>
      <c r="J531" s="224"/>
      <c r="K531" s="224"/>
      <c r="L531" s="224"/>
    </row>
    <row r="532" spans="3:12" ht="14.7" thickBot="1" x14ac:dyDescent="0.6">
      <c r="C532" s="130"/>
      <c r="D532" s="131"/>
      <c r="E532" s="131"/>
      <c r="F532" s="131"/>
      <c r="G532" s="132"/>
      <c r="I532" s="224"/>
      <c r="J532" s="224"/>
      <c r="K532" s="224"/>
      <c r="L532" s="224"/>
    </row>
    <row r="533" spans="3:12" x14ac:dyDescent="0.55000000000000004">
      <c r="I533" s="224"/>
      <c r="J533" s="224"/>
      <c r="K533" s="224"/>
      <c r="L533" s="224"/>
    </row>
    <row r="534" spans="3:12" ht="14.7" thickBot="1" x14ac:dyDescent="0.6">
      <c r="I534" s="224"/>
      <c r="J534" s="224"/>
      <c r="K534" s="224"/>
      <c r="L534" s="224"/>
    </row>
    <row r="535" spans="3:12" x14ac:dyDescent="0.55000000000000004">
      <c r="C535" s="121"/>
      <c r="D535" s="122"/>
      <c r="E535" s="122"/>
      <c r="F535" s="122"/>
      <c r="G535" s="123"/>
      <c r="I535" s="224"/>
      <c r="J535" s="224"/>
      <c r="K535" s="224"/>
      <c r="L535" s="224"/>
    </row>
    <row r="536" spans="3:12" ht="15.6" x14ac:dyDescent="0.6">
      <c r="C536" s="124"/>
      <c r="D536" s="98" t="str">
        <f>'2 Customer data'!D29</f>
        <v>Proefplaas</v>
      </c>
      <c r="G536" s="125"/>
      <c r="I536" s="224"/>
      <c r="J536" s="224"/>
      <c r="K536" s="224"/>
      <c r="L536" s="224"/>
    </row>
    <row r="537" spans="3:12" x14ac:dyDescent="0.55000000000000004">
      <c r="C537" s="124"/>
      <c r="G537" s="125"/>
      <c r="I537" s="224"/>
      <c r="J537" s="224"/>
      <c r="K537" s="224"/>
      <c r="L537" s="224"/>
    </row>
    <row r="538" spans="3:12" x14ac:dyDescent="0.55000000000000004">
      <c r="C538" s="124"/>
      <c r="E538" s="220" t="s">
        <v>250</v>
      </c>
      <c r="G538" s="125"/>
      <c r="I538" s="224"/>
      <c r="J538" s="224"/>
      <c r="K538" s="224"/>
      <c r="L538" s="224"/>
    </row>
    <row r="539" spans="3:12" x14ac:dyDescent="0.55000000000000004">
      <c r="C539" s="124"/>
      <c r="D539" t="s">
        <v>369</v>
      </c>
      <c r="E539" s="26">
        <f ca="1">VLOOKUP(D536,'2 Water'!$D$19:$J$38,5,FALSE)</f>
        <v>3620.6941361491804</v>
      </c>
      <c r="G539" s="125"/>
      <c r="I539" s="224"/>
      <c r="J539" s="224"/>
      <c r="K539" s="224"/>
      <c r="L539" s="224"/>
    </row>
    <row r="540" spans="3:12" x14ac:dyDescent="0.55000000000000004">
      <c r="C540" s="124"/>
      <c r="D540" t="s">
        <v>370</v>
      </c>
      <c r="E540" s="99">
        <f ca="1">VLOOKUP(D536,'2 Water'!$D$19:$J$38,6,FALSE)</f>
        <v>154628.44079571764</v>
      </c>
      <c r="G540" s="125"/>
      <c r="I540" s="224"/>
      <c r="J540" s="224"/>
      <c r="K540" s="224"/>
      <c r="L540" s="224"/>
    </row>
    <row r="541" spans="3:12" ht="14.7" thickBot="1" x14ac:dyDescent="0.6">
      <c r="C541" s="124"/>
      <c r="D541" s="1" t="s">
        <v>39</v>
      </c>
      <c r="E541" s="37">
        <f ca="1">VLOOKUP(D536,'2 Water'!$D$19:$J$38,7,FALSE)</f>
        <v>158249.13493186684</v>
      </c>
      <c r="G541" s="125"/>
      <c r="I541" s="224"/>
      <c r="J541" s="224"/>
      <c r="K541" s="224"/>
      <c r="L541" s="224"/>
    </row>
    <row r="542" spans="3:12" ht="14.7" thickTop="1" x14ac:dyDescent="0.55000000000000004">
      <c r="C542" s="124"/>
      <c r="G542" s="125"/>
      <c r="I542" s="224"/>
      <c r="J542" s="224"/>
      <c r="K542" s="224"/>
      <c r="L542" s="224"/>
    </row>
    <row r="543" spans="3:12" x14ac:dyDescent="0.55000000000000004">
      <c r="C543" s="124"/>
      <c r="D543" t="s">
        <v>189</v>
      </c>
      <c r="E543" s="26">
        <f ca="1">IF(VLOOKUP(D536,'2 Water'!$D$126:$K$145,7,FALSE)="",VLOOKUP(D536,'2 Water'!$D$126:$K$145,6,FALSE),VLOOKUP(D536,'2 Water'!$D$126:$K$145,7,FALSE))+VLOOKUP(D536,'2 Water'!$D$158:$J$177,5,FALSE)</f>
        <v>0</v>
      </c>
      <c r="G543" s="125"/>
      <c r="I543" s="224"/>
      <c r="J543" s="224"/>
      <c r="K543" s="224"/>
      <c r="L543" s="224"/>
    </row>
    <row r="544" spans="3:12" x14ac:dyDescent="0.55000000000000004">
      <c r="C544" s="124"/>
      <c r="G544" s="125"/>
      <c r="I544" s="224"/>
      <c r="J544" s="224"/>
      <c r="K544" s="224"/>
      <c r="L544" s="224"/>
    </row>
    <row r="545" spans="3:12" x14ac:dyDescent="0.55000000000000004">
      <c r="C545" s="124"/>
      <c r="D545" t="s">
        <v>371</v>
      </c>
      <c r="E545" s="64">
        <f ca="1">IF(VLOOKUP(D536,'2 Water'!$D$54:$M$73,5,FALSE)="",VLOOKUP(D536,'2 Water'!$D$54:$M$73,4,FALSE),VLOOKUP(D536,'2 Water'!$D$54:$M$73,5,FALSE))</f>
        <v>0</v>
      </c>
      <c r="G545" s="125"/>
      <c r="I545" s="224"/>
      <c r="J545" s="224"/>
      <c r="K545" s="224"/>
      <c r="L545" s="224"/>
    </row>
    <row r="546" spans="3:12" x14ac:dyDescent="0.55000000000000004">
      <c r="C546" s="124"/>
      <c r="D546" t="s">
        <v>372</v>
      </c>
      <c r="E546" s="26">
        <f ca="1">IF(VLOOKUP(D536,'2 Water'!$D$54:$M$73,7,FALSE)="",VLOOKUP(D536,'2 Water'!$D$54:$M$73,6,FALSE),VLOOKUP(D536,'2 Water'!$D$54:$M$73,7,FALSE))</f>
        <v>11404.886344050528</v>
      </c>
      <c r="G546" s="125"/>
      <c r="I546" s="224"/>
      <c r="J546" s="224"/>
      <c r="K546" s="224"/>
      <c r="L546" s="224"/>
    </row>
    <row r="547" spans="3:12" x14ac:dyDescent="0.55000000000000004">
      <c r="C547" s="124"/>
      <c r="D547" t="s">
        <v>373</v>
      </c>
      <c r="E547" s="26">
        <f ca="1">IF(VLOOKUP(D536,'2 Water'!$D$54:$M$73,9,FALSE)="",VLOOKUP(D536,'2 Water'!$D$54:$M$73,8,FALSE),VLOOKUP(D536,'2 Water'!$D$54:$M$73,9,FALSE))</f>
        <v>0</v>
      </c>
      <c r="G547" s="125"/>
      <c r="I547" s="224"/>
      <c r="J547" s="224"/>
      <c r="K547" s="224"/>
      <c r="L547" s="224"/>
    </row>
    <row r="548" spans="3:12" x14ac:dyDescent="0.55000000000000004">
      <c r="C548" s="124"/>
      <c r="D548" t="s">
        <v>374</v>
      </c>
      <c r="E548" s="26">
        <f ca="1">IF(VLOOKUP(D536,'2 Water'!$D$90:$I$109,5,FALSE)="",VLOOKUP(D536,'2 Water'!$D$90:$I$109,4,FALSE),VLOOKUP(D536,'2 Water'!$D$90:$I$109,5,FALSE))</f>
        <v>0</v>
      </c>
      <c r="G548" s="125"/>
      <c r="I548" s="224"/>
      <c r="J548" s="224"/>
      <c r="K548" s="224"/>
      <c r="L548" s="224"/>
    </row>
    <row r="549" spans="3:12" ht="14.7" thickBot="1" x14ac:dyDescent="0.6">
      <c r="C549" s="124"/>
      <c r="D549" s="1" t="s">
        <v>145</v>
      </c>
      <c r="E549" s="37">
        <f ca="1">SUM(E545:E548)</f>
        <v>11404.886344050528</v>
      </c>
      <c r="F549" s="135"/>
      <c r="G549" s="125"/>
      <c r="I549" s="224"/>
      <c r="J549" s="224"/>
      <c r="K549" s="224"/>
      <c r="L549" s="224"/>
    </row>
    <row r="550" spans="3:12" ht="14.7" thickTop="1" x14ac:dyDescent="0.55000000000000004">
      <c r="C550" s="124"/>
      <c r="D550" s="1"/>
      <c r="E550" s="15"/>
      <c r="G550" s="125"/>
      <c r="I550" s="224"/>
      <c r="J550" s="224"/>
      <c r="K550" s="224"/>
      <c r="L550" s="224"/>
    </row>
    <row r="551" spans="3:12" x14ac:dyDescent="0.55000000000000004">
      <c r="C551" s="124"/>
      <c r="D551" t="s">
        <v>384</v>
      </c>
      <c r="E551" s="26">
        <f ca="1">IF(VLOOKUP(D536,'2 Water'!$D$126:$K$145,5,FALSE)="",VLOOKUP(D536,'2 Water'!$D$126:$K$145,4,FALSE),VLOOKUP(D536,'2 Water'!$D$126:$K$145,5,FALSE))+VLOOKUP(D536,'2 Water'!$D$158:$J$177,7,FALSE)</f>
        <v>0</v>
      </c>
      <c r="G551" s="125"/>
      <c r="I551" s="224"/>
      <c r="J551" s="224"/>
      <c r="K551" s="224"/>
      <c r="L551" s="224"/>
    </row>
    <row r="552" spans="3:12" x14ac:dyDescent="0.55000000000000004">
      <c r="C552" s="124"/>
      <c r="G552" s="125"/>
      <c r="I552" s="224"/>
      <c r="J552" s="224"/>
      <c r="K552" s="224"/>
      <c r="L552" s="224"/>
    </row>
    <row r="553" spans="3:12" ht="14.7" thickBot="1" x14ac:dyDescent="0.6">
      <c r="C553" s="124"/>
      <c r="D553" s="1" t="s">
        <v>375</v>
      </c>
      <c r="E553" s="37">
        <f ca="1">VLOOKUP(D536,'2 Water'!$D$158:$K$177,8,FALSE)</f>
        <v>146844.24858781631</v>
      </c>
      <c r="G553" s="125"/>
      <c r="I553" s="224"/>
      <c r="J553" s="224"/>
      <c r="K553" s="224"/>
      <c r="L553" s="224"/>
    </row>
    <row r="554" spans="3:12" ht="14.7" thickTop="1" x14ac:dyDescent="0.55000000000000004">
      <c r="C554" s="124"/>
      <c r="G554" s="125"/>
      <c r="I554" s="224"/>
      <c r="J554" s="224"/>
      <c r="K554" s="224"/>
      <c r="L554" s="224"/>
    </row>
    <row r="555" spans="3:12" x14ac:dyDescent="0.55000000000000004">
      <c r="C555" s="124"/>
      <c r="G555" s="125"/>
      <c r="I555" s="224"/>
      <c r="J555" s="224"/>
      <c r="K555" s="224"/>
      <c r="L555" s="224"/>
    </row>
    <row r="556" spans="3:12" x14ac:dyDescent="0.55000000000000004">
      <c r="C556" s="124"/>
      <c r="G556" s="125"/>
      <c r="I556" s="232" t="s">
        <v>385</v>
      </c>
      <c r="J556" s="224"/>
      <c r="K556" s="224"/>
      <c r="L556" s="224"/>
    </row>
    <row r="557" spans="3:12" x14ac:dyDescent="0.55000000000000004">
      <c r="C557" s="124"/>
      <c r="G557" s="125"/>
      <c r="I557" s="110"/>
      <c r="J557" s="102" t="s">
        <v>390</v>
      </c>
      <c r="K557" s="102" t="s">
        <v>391</v>
      </c>
      <c r="L557" s="224"/>
    </row>
    <row r="558" spans="3:12" x14ac:dyDescent="0.55000000000000004">
      <c r="C558" s="124"/>
      <c r="G558" s="125"/>
      <c r="I558" s="110" t="s">
        <v>369</v>
      </c>
      <c r="J558" s="100">
        <f ca="1">E539/1000</f>
        <v>3.6206941361491802</v>
      </c>
      <c r="K558" s="102"/>
      <c r="L558" s="224"/>
    </row>
    <row r="559" spans="3:12" x14ac:dyDescent="0.55000000000000004">
      <c r="C559" s="124"/>
      <c r="G559" s="125"/>
      <c r="I559" s="110" t="s">
        <v>370</v>
      </c>
      <c r="J559" s="100">
        <f ca="1">E540/1000</f>
        <v>154.62844079571764</v>
      </c>
      <c r="K559" s="110"/>
      <c r="L559" s="224"/>
    </row>
    <row r="560" spans="3:12" x14ac:dyDescent="0.55000000000000004">
      <c r="C560" s="124"/>
      <c r="G560" s="125"/>
      <c r="I560" s="110" t="s">
        <v>471</v>
      </c>
      <c r="J560" s="100">
        <f ca="1">E543/1000</f>
        <v>0</v>
      </c>
      <c r="K560" s="110"/>
      <c r="L560" s="224"/>
    </row>
    <row r="561" spans="3:12" x14ac:dyDescent="0.55000000000000004">
      <c r="C561" s="124"/>
      <c r="G561" s="125"/>
      <c r="I561" s="110" t="s">
        <v>563</v>
      </c>
      <c r="J561" s="100"/>
      <c r="K561" s="101">
        <f ca="1">E553/1000</f>
        <v>146.84424858781631</v>
      </c>
      <c r="L561" s="224"/>
    </row>
    <row r="562" spans="3:12" x14ac:dyDescent="0.55000000000000004">
      <c r="C562" s="124"/>
      <c r="G562" s="125"/>
      <c r="I562" s="110" t="s">
        <v>564</v>
      </c>
      <c r="J562" s="100"/>
      <c r="K562" s="101">
        <f ca="1">E548/1000</f>
        <v>0</v>
      </c>
      <c r="L562" s="224"/>
    </row>
    <row r="563" spans="3:12" x14ac:dyDescent="0.55000000000000004">
      <c r="C563" s="124"/>
      <c r="G563" s="125"/>
      <c r="I563" s="110" t="s">
        <v>565</v>
      </c>
      <c r="J563" s="100"/>
      <c r="K563" s="101">
        <f ca="1">SUM(E545:E547)/1000</f>
        <v>11.404886344050528</v>
      </c>
      <c r="L563" s="224"/>
    </row>
    <row r="564" spans="3:12" x14ac:dyDescent="0.55000000000000004">
      <c r="C564" s="124"/>
      <c r="G564" s="125"/>
      <c r="I564" s="110" t="s">
        <v>566</v>
      </c>
      <c r="J564" s="100"/>
      <c r="K564" s="101">
        <f ca="1">E551/1000</f>
        <v>0</v>
      </c>
      <c r="L564" s="224"/>
    </row>
    <row r="565" spans="3:12" x14ac:dyDescent="0.55000000000000004">
      <c r="C565" s="124"/>
      <c r="G565" s="125"/>
      <c r="I565" s="224"/>
      <c r="J565" s="224"/>
      <c r="K565" s="224"/>
      <c r="L565" s="224"/>
    </row>
    <row r="566" spans="3:12" x14ac:dyDescent="0.55000000000000004">
      <c r="C566" s="124"/>
      <c r="G566" s="125"/>
      <c r="I566" s="224"/>
      <c r="J566" s="224"/>
      <c r="K566" s="224"/>
      <c r="L566" s="224"/>
    </row>
    <row r="567" spans="3:12" x14ac:dyDescent="0.55000000000000004">
      <c r="C567" s="124"/>
      <c r="G567" s="125"/>
      <c r="I567" s="224"/>
      <c r="J567" s="224"/>
      <c r="K567" s="224"/>
      <c r="L567" s="224"/>
    </row>
    <row r="568" spans="3:12" x14ac:dyDescent="0.55000000000000004">
      <c r="C568" s="124"/>
      <c r="G568" s="125"/>
      <c r="I568" s="224"/>
      <c r="J568" s="224"/>
      <c r="K568" s="224"/>
      <c r="L568" s="224"/>
    </row>
    <row r="569" spans="3:12" x14ac:dyDescent="0.55000000000000004">
      <c r="C569" s="124"/>
      <c r="G569" s="125"/>
      <c r="I569" s="224"/>
      <c r="J569" s="224"/>
      <c r="K569" s="224"/>
      <c r="L569" s="224"/>
    </row>
    <row r="570" spans="3:12" x14ac:dyDescent="0.55000000000000004">
      <c r="C570" s="124"/>
      <c r="G570" s="125"/>
      <c r="I570" s="224"/>
      <c r="J570" s="224"/>
      <c r="K570" s="224"/>
      <c r="L570" s="224"/>
    </row>
    <row r="571" spans="3:12" x14ac:dyDescent="0.55000000000000004">
      <c r="C571" s="124"/>
      <c r="G571" s="125"/>
      <c r="I571" s="224"/>
      <c r="J571" s="224"/>
      <c r="K571" s="224"/>
      <c r="L571" s="224"/>
    </row>
    <row r="572" spans="3:12" x14ac:dyDescent="0.55000000000000004">
      <c r="C572" s="124"/>
      <c r="E572" s="220"/>
      <c r="G572" s="125"/>
      <c r="I572" s="224"/>
      <c r="J572" s="224"/>
      <c r="K572" s="224"/>
      <c r="L572" s="224"/>
    </row>
    <row r="573" spans="3:12" x14ac:dyDescent="0.55000000000000004">
      <c r="C573" s="124"/>
      <c r="D573" t="s">
        <v>387</v>
      </c>
      <c r="E573" s="64">
        <f ca="1">VLOOKUP(D536,'2 Water'!$D$158:$M$177,10,FALSE)</f>
        <v>23.560969262908632</v>
      </c>
      <c r="G573" s="125"/>
      <c r="I573" s="224"/>
      <c r="J573" s="224"/>
      <c r="K573" s="224"/>
      <c r="L573" s="224"/>
    </row>
    <row r="574" spans="3:12" x14ac:dyDescent="0.55000000000000004">
      <c r="C574" s="124"/>
      <c r="D574" t="s">
        <v>388</v>
      </c>
      <c r="E574" s="64">
        <f ca="1">VLOOKUP(D536,'2 Water'!$D$158:$M$177,9,FALSE)</f>
        <v>21.862949386118579</v>
      </c>
      <c r="G574" s="125"/>
      <c r="I574" s="224"/>
      <c r="J574" s="224"/>
      <c r="K574" s="224"/>
      <c r="L574" s="224"/>
    </row>
    <row r="575" spans="3:12" x14ac:dyDescent="0.55000000000000004">
      <c r="C575" s="124"/>
      <c r="D575" t="s">
        <v>378</v>
      </c>
      <c r="E575" s="97">
        <f ca="1">IFERROR(IF(E543=0,E551,E543)/E541,0)</f>
        <v>0</v>
      </c>
      <c r="G575" s="125"/>
      <c r="I575" s="224"/>
      <c r="J575" s="224"/>
      <c r="K575" s="224"/>
      <c r="L575" s="224"/>
    </row>
    <row r="576" spans="3:12" x14ac:dyDescent="0.55000000000000004">
      <c r="C576" s="124"/>
      <c r="G576" s="125"/>
      <c r="I576" s="224"/>
      <c r="J576" s="224"/>
      <c r="K576" s="224"/>
      <c r="L576" s="224"/>
    </row>
    <row r="577" spans="3:13" x14ac:dyDescent="0.55000000000000004">
      <c r="C577" s="124"/>
      <c r="D577" t="s">
        <v>389</v>
      </c>
      <c r="E577" s="64">
        <f ca="1">'3 Water'!H354</f>
        <v>293.79212399782381</v>
      </c>
      <c r="G577" s="125"/>
      <c r="I577" s="224"/>
      <c r="J577" s="224"/>
      <c r="K577" s="224"/>
      <c r="L577" s="224"/>
    </row>
    <row r="578" spans="3:13" x14ac:dyDescent="0.55000000000000004">
      <c r="C578" s="124"/>
      <c r="D578" t="s">
        <v>380</v>
      </c>
      <c r="E578" s="97">
        <f ca="1">IFERROR('3 Water'!I354/'3 Water'!H346,0)</f>
        <v>1.0000000000000002</v>
      </c>
      <c r="G578" s="125"/>
      <c r="I578" s="224"/>
      <c r="J578" s="224"/>
      <c r="K578" s="224"/>
      <c r="L578" s="224"/>
    </row>
    <row r="579" spans="3:13" x14ac:dyDescent="0.55000000000000004">
      <c r="C579" s="124"/>
      <c r="G579" s="125"/>
      <c r="I579" s="224"/>
      <c r="J579" s="224"/>
      <c r="K579" s="224"/>
      <c r="L579" s="224"/>
    </row>
    <row r="580" spans="3:13" x14ac:dyDescent="0.55000000000000004">
      <c r="C580" s="124"/>
      <c r="D580" s="1" t="s">
        <v>381</v>
      </c>
      <c r="G580" s="125"/>
      <c r="I580" s="224"/>
      <c r="J580" s="224"/>
      <c r="K580" s="224"/>
      <c r="L580" s="224"/>
    </row>
    <row r="581" spans="3:13" x14ac:dyDescent="0.55000000000000004">
      <c r="C581" s="124"/>
      <c r="G581" s="125"/>
      <c r="I581" s="224"/>
      <c r="J581" s="224"/>
      <c r="K581" s="224"/>
      <c r="L581" s="224"/>
    </row>
    <row r="582" spans="3:13" x14ac:dyDescent="0.55000000000000004">
      <c r="C582" s="124"/>
      <c r="G582" s="125"/>
      <c r="I582" s="224"/>
      <c r="J582" s="224"/>
      <c r="K582" s="224"/>
      <c r="L582" s="224"/>
    </row>
    <row r="583" spans="3:13" ht="28.8" x14ac:dyDescent="0.55000000000000004">
      <c r="C583" s="124"/>
      <c r="G583" s="125"/>
      <c r="I583" s="102" t="s">
        <v>383</v>
      </c>
      <c r="J583" s="102" t="s">
        <v>382</v>
      </c>
      <c r="K583" s="102" t="s">
        <v>100</v>
      </c>
      <c r="L583" s="230" t="s">
        <v>392</v>
      </c>
      <c r="M583" s="231" t="s">
        <v>567</v>
      </c>
    </row>
    <row r="584" spans="3:13" x14ac:dyDescent="0.55000000000000004">
      <c r="C584" s="124"/>
      <c r="G584" s="125"/>
      <c r="I584" s="102">
        <v>1</v>
      </c>
      <c r="J584" s="102">
        <f>IFERROR(VLOOKUP(I584,'3 Water'!$E$367:$J$376,3,FALSE),0)</f>
        <v>167</v>
      </c>
      <c r="K584" s="103">
        <f ca="1">IFERROR(VLOOKUP(I584,'3 Water'!$E$367:$J$376,6,FALSE),0)</f>
        <v>9.0273960603057333</v>
      </c>
      <c r="L584" s="104">
        <f t="shared" ref="L584:L593" ca="1" si="16">$E$573</f>
        <v>23.560969262908632</v>
      </c>
      <c r="M584" s="106">
        <f ca="1">IFERROR('3 Water'!I346/'3 Water'!G346,0)</f>
        <v>23.021901145481429</v>
      </c>
    </row>
    <row r="585" spans="3:13" x14ac:dyDescent="0.55000000000000004">
      <c r="C585" s="124"/>
      <c r="G585" s="125"/>
      <c r="I585" s="102">
        <v>2</v>
      </c>
      <c r="J585" s="102">
        <f>IFERROR(VLOOKUP(I585,'3 Water'!$E$367:$J$376,3,FALSE),0)</f>
        <v>222</v>
      </c>
      <c r="K585" s="103">
        <f ca="1">IFERROR(VLOOKUP(I585,'3 Water'!$E$367:$J$376,6,FALSE),0)</f>
        <v>10.87683740263537</v>
      </c>
      <c r="L585" s="104">
        <f t="shared" ca="1" si="16"/>
        <v>23.560969262908632</v>
      </c>
      <c r="M585" s="104">
        <f t="shared" ref="M585:M593" ca="1" si="17">$M$584</f>
        <v>23.021901145481429</v>
      </c>
    </row>
    <row r="586" spans="3:13" x14ac:dyDescent="0.55000000000000004">
      <c r="C586" s="124"/>
      <c r="G586" s="125"/>
      <c r="I586" s="102">
        <v>3</v>
      </c>
      <c r="J586" s="102" t="str">
        <f>IFERROR(VLOOKUP(I586,'3 Water'!$E$367:$J$376,3,FALSE),0)</f>
        <v>more</v>
      </c>
      <c r="K586" s="103">
        <f ca="1">IFERROR(VLOOKUP(I586,'3 Water'!$E$367:$J$376,6,FALSE),0)</f>
        <v>29.462206957521733</v>
      </c>
      <c r="L586" s="104">
        <f t="shared" ca="1" si="16"/>
        <v>23.560969262908632</v>
      </c>
      <c r="M586" s="104">
        <f t="shared" ca="1" si="17"/>
        <v>23.021901145481429</v>
      </c>
    </row>
    <row r="587" spans="3:13" x14ac:dyDescent="0.55000000000000004">
      <c r="C587" s="124"/>
      <c r="G587" s="125"/>
      <c r="I587" s="102">
        <v>4</v>
      </c>
      <c r="J587" s="102">
        <f>IFERROR(VLOOKUP(I587,'3 Water'!$E$367:$J$376,3,FALSE),0)</f>
        <v>0</v>
      </c>
      <c r="K587" s="103">
        <f>IFERROR(VLOOKUP(I587,'3 Water'!$E$367:$J$376,6,FALSE),0)</f>
        <v>0</v>
      </c>
      <c r="L587" s="104">
        <f t="shared" ca="1" si="16"/>
        <v>23.560969262908632</v>
      </c>
      <c r="M587" s="104">
        <f t="shared" ca="1" si="17"/>
        <v>23.021901145481429</v>
      </c>
    </row>
    <row r="588" spans="3:13" x14ac:dyDescent="0.55000000000000004">
      <c r="C588" s="124"/>
      <c r="G588" s="125"/>
      <c r="I588" s="102">
        <v>5</v>
      </c>
      <c r="J588" s="102">
        <f>IFERROR(VLOOKUP(I588,'3 Water'!$E$367:$J$376,3,FALSE),0)</f>
        <v>0</v>
      </c>
      <c r="K588" s="103">
        <f>IFERROR(VLOOKUP(I588,'3 Water'!$E$367:$J$376,6,FALSE),0)</f>
        <v>0</v>
      </c>
      <c r="L588" s="104">
        <f t="shared" ca="1" si="16"/>
        <v>23.560969262908632</v>
      </c>
      <c r="M588" s="104">
        <f t="shared" ca="1" si="17"/>
        <v>23.021901145481429</v>
      </c>
    </row>
    <row r="589" spans="3:13" x14ac:dyDescent="0.55000000000000004">
      <c r="C589" s="124"/>
      <c r="G589" s="125"/>
      <c r="I589" s="102">
        <v>6</v>
      </c>
      <c r="J589" s="102">
        <f>IFERROR(VLOOKUP(I589,'3 Water'!$E$367:$J$376,3,FALSE),0)</f>
        <v>0</v>
      </c>
      <c r="K589" s="103">
        <f>IFERROR(VLOOKUP(I589,'3 Water'!$E$367:$J$376,6,FALSE),0)</f>
        <v>0</v>
      </c>
      <c r="L589" s="104">
        <f t="shared" ca="1" si="16"/>
        <v>23.560969262908632</v>
      </c>
      <c r="M589" s="104">
        <f t="shared" ca="1" si="17"/>
        <v>23.021901145481429</v>
      </c>
    </row>
    <row r="590" spans="3:13" x14ac:dyDescent="0.55000000000000004">
      <c r="C590" s="124"/>
      <c r="G590" s="125"/>
      <c r="I590" s="102">
        <v>7</v>
      </c>
      <c r="J590" s="102">
        <f>IFERROR(VLOOKUP(I590,'3 Water'!$E$367:$J$376,3,FALSE),0)</f>
        <v>0</v>
      </c>
      <c r="K590" s="103">
        <f>IFERROR(VLOOKUP(I590,'3 Water'!$E$367:$J$376,6,FALSE),0)</f>
        <v>0</v>
      </c>
      <c r="L590" s="104">
        <f t="shared" ca="1" si="16"/>
        <v>23.560969262908632</v>
      </c>
      <c r="M590" s="104">
        <f t="shared" ca="1" si="17"/>
        <v>23.021901145481429</v>
      </c>
    </row>
    <row r="591" spans="3:13" x14ac:dyDescent="0.55000000000000004">
      <c r="C591" s="124"/>
      <c r="G591" s="125"/>
      <c r="I591" s="102">
        <v>8</v>
      </c>
      <c r="J591" s="102">
        <f>IFERROR(VLOOKUP(I591,'3 Water'!$E$367:$J$376,3,FALSE),0)</f>
        <v>0</v>
      </c>
      <c r="K591" s="103">
        <f>IFERROR(VLOOKUP(I591,'3 Water'!$E$367:$J$376,6,FALSE),0)</f>
        <v>0</v>
      </c>
      <c r="L591" s="104">
        <f t="shared" ca="1" si="16"/>
        <v>23.560969262908632</v>
      </c>
      <c r="M591" s="104">
        <f t="shared" ca="1" si="17"/>
        <v>23.021901145481429</v>
      </c>
    </row>
    <row r="592" spans="3:13" x14ac:dyDescent="0.55000000000000004">
      <c r="C592" s="124"/>
      <c r="G592" s="125"/>
      <c r="I592" s="102">
        <v>9</v>
      </c>
      <c r="J592" s="102">
        <f>IFERROR(VLOOKUP(I592,'3 Water'!$E$367:$J$376,3,FALSE),0)</f>
        <v>0</v>
      </c>
      <c r="K592" s="103">
        <f>IFERROR(VLOOKUP(I592,'3 Water'!$E$367:$J$376,6,FALSE),0)</f>
        <v>0</v>
      </c>
      <c r="L592" s="104">
        <f t="shared" ca="1" si="16"/>
        <v>23.560969262908632</v>
      </c>
      <c r="M592" s="104">
        <f t="shared" ca="1" si="17"/>
        <v>23.021901145481429</v>
      </c>
    </row>
    <row r="593" spans="3:13" x14ac:dyDescent="0.55000000000000004">
      <c r="C593" s="124"/>
      <c r="G593" s="125"/>
      <c r="I593" s="102">
        <v>10</v>
      </c>
      <c r="J593" s="102">
        <f>IFERROR(VLOOKUP(I593,'3 Water'!$E$367:$J$376,3,FALSE),0)</f>
        <v>0</v>
      </c>
      <c r="K593" s="103">
        <f>IFERROR(VLOOKUP(I593,'3 Water'!$E$367:$J$376,6,FALSE),0)</f>
        <v>0</v>
      </c>
      <c r="L593" s="104">
        <f t="shared" ca="1" si="16"/>
        <v>23.560969262908632</v>
      </c>
      <c r="M593" s="104">
        <f t="shared" ca="1" si="17"/>
        <v>23.021901145481429</v>
      </c>
    </row>
    <row r="594" spans="3:13" x14ac:dyDescent="0.55000000000000004">
      <c r="C594" s="124"/>
      <c r="G594" s="125"/>
      <c r="I594" s="224"/>
      <c r="J594" s="224"/>
      <c r="K594" s="224"/>
      <c r="L594" s="224"/>
    </row>
    <row r="595" spans="3:13" x14ac:dyDescent="0.55000000000000004">
      <c r="C595" s="124"/>
      <c r="G595" s="125"/>
      <c r="I595" s="224"/>
      <c r="J595" s="224"/>
      <c r="K595" s="224"/>
      <c r="L595" s="224"/>
    </row>
    <row r="596" spans="3:13" x14ac:dyDescent="0.55000000000000004">
      <c r="C596" s="124"/>
      <c r="G596" s="125"/>
      <c r="I596" s="224"/>
      <c r="J596" s="224"/>
      <c r="K596" s="224"/>
      <c r="L596" s="224"/>
    </row>
    <row r="597" spans="3:13" x14ac:dyDescent="0.55000000000000004">
      <c r="C597" s="124"/>
      <c r="G597" s="125"/>
      <c r="I597" s="224"/>
      <c r="J597" s="224"/>
      <c r="K597" s="224"/>
      <c r="L597" s="224"/>
    </row>
    <row r="598" spans="3:13" x14ac:dyDescent="0.55000000000000004">
      <c r="C598" s="124"/>
      <c r="G598" s="125"/>
      <c r="I598" s="224"/>
      <c r="J598" s="224"/>
      <c r="K598" s="224"/>
      <c r="L598" s="224"/>
    </row>
    <row r="599" spans="3:13" ht="14.7" thickBot="1" x14ac:dyDescent="0.6">
      <c r="C599" s="130"/>
      <c r="D599" s="131"/>
      <c r="E599" s="131"/>
      <c r="F599" s="131"/>
      <c r="G599" s="132"/>
      <c r="I599" s="224"/>
      <c r="J599" s="224"/>
      <c r="K599" s="224"/>
      <c r="L599" s="224"/>
    </row>
    <row r="600" spans="3:13" x14ac:dyDescent="0.55000000000000004">
      <c r="I600" s="224"/>
      <c r="J600" s="224"/>
      <c r="K600" s="224"/>
      <c r="L600" s="224"/>
    </row>
    <row r="601" spans="3:13" ht="14.7" thickBot="1" x14ac:dyDescent="0.6">
      <c r="I601" s="224"/>
      <c r="J601" s="224"/>
      <c r="K601" s="224"/>
      <c r="L601" s="224"/>
    </row>
    <row r="602" spans="3:13" x14ac:dyDescent="0.55000000000000004">
      <c r="C602" s="121"/>
      <c r="D602" s="122"/>
      <c r="E602" s="122"/>
      <c r="F602" s="122"/>
      <c r="G602" s="123"/>
      <c r="I602" s="224"/>
      <c r="J602" s="224"/>
      <c r="K602" s="224"/>
      <c r="L602" s="224"/>
    </row>
    <row r="603" spans="3:13" ht="15.6" x14ac:dyDescent="0.6">
      <c r="C603" s="124"/>
      <c r="D603" s="98">
        <f>'2 Customer data'!D30</f>
        <v>0</v>
      </c>
      <c r="G603" s="125"/>
      <c r="I603" s="224"/>
      <c r="J603" s="224"/>
      <c r="K603" s="224"/>
      <c r="L603" s="224"/>
    </row>
    <row r="604" spans="3:13" x14ac:dyDescent="0.55000000000000004">
      <c r="C604" s="124"/>
      <c r="G604" s="125"/>
      <c r="I604" s="224"/>
      <c r="J604" s="224"/>
      <c r="K604" s="224"/>
      <c r="L604" s="224"/>
    </row>
    <row r="605" spans="3:13" x14ac:dyDescent="0.55000000000000004">
      <c r="C605" s="124"/>
      <c r="E605" s="220" t="s">
        <v>250</v>
      </c>
      <c r="G605" s="125"/>
      <c r="I605" s="224"/>
      <c r="J605" s="224"/>
      <c r="K605" s="224"/>
      <c r="L605" s="224"/>
    </row>
    <row r="606" spans="3:13" x14ac:dyDescent="0.55000000000000004">
      <c r="C606" s="124"/>
      <c r="D606" t="s">
        <v>369</v>
      </c>
      <c r="E606" s="26">
        <f ca="1">VLOOKUP(D603,'2 Water'!$D$19:$J$38,5,FALSE)</f>
        <v>0</v>
      </c>
      <c r="G606" s="125"/>
      <c r="I606" s="224"/>
      <c r="J606" s="224"/>
      <c r="K606" s="224"/>
      <c r="L606" s="224"/>
    </row>
    <row r="607" spans="3:13" x14ac:dyDescent="0.55000000000000004">
      <c r="C607" s="124"/>
      <c r="D607" t="s">
        <v>370</v>
      </c>
      <c r="E607" s="99">
        <f ca="1">VLOOKUP(D603,'2 Water'!$D$19:$J$38,6,FALSE)</f>
        <v>0</v>
      </c>
      <c r="G607" s="125"/>
      <c r="I607" s="224"/>
      <c r="J607" s="224"/>
      <c r="K607" s="224"/>
      <c r="L607" s="224"/>
    </row>
    <row r="608" spans="3:13" ht="14.7" thickBot="1" x14ac:dyDescent="0.6">
      <c r="C608" s="124"/>
      <c r="D608" s="1" t="s">
        <v>39</v>
      </c>
      <c r="E608" s="37">
        <f ca="1">VLOOKUP(D603,'2 Water'!$D$19:$J$38,7,FALSE)</f>
        <v>0</v>
      </c>
      <c r="G608" s="125"/>
      <c r="I608" s="224"/>
      <c r="J608" s="224"/>
      <c r="K608" s="224"/>
      <c r="L608" s="224"/>
    </row>
    <row r="609" spans="3:12" ht="14.7" thickTop="1" x14ac:dyDescent="0.55000000000000004">
      <c r="C609" s="124"/>
      <c r="G609" s="125"/>
      <c r="I609" s="224"/>
      <c r="J609" s="224"/>
      <c r="K609" s="224"/>
      <c r="L609" s="224"/>
    </row>
    <row r="610" spans="3:12" x14ac:dyDescent="0.55000000000000004">
      <c r="C610" s="124"/>
      <c r="D610" t="s">
        <v>189</v>
      </c>
      <c r="E610" s="26">
        <f ca="1">IF(VLOOKUP(D603,'2 Water'!$D$126:$K$145,7,FALSE)="",VLOOKUP(D603,'2 Water'!$D$126:$K$145,6,FALSE),VLOOKUP(D603,'2 Water'!$D$126:$K$145,7,FALSE))+VLOOKUP(D603,'2 Water'!$D$158:$J$177,5,FALSE)</f>
        <v>0</v>
      </c>
      <c r="G610" s="125"/>
      <c r="I610" s="224"/>
      <c r="J610" s="224"/>
      <c r="K610" s="224"/>
      <c r="L610" s="224"/>
    </row>
    <row r="611" spans="3:12" x14ac:dyDescent="0.55000000000000004">
      <c r="C611" s="124"/>
      <c r="G611" s="125"/>
      <c r="I611" s="224"/>
      <c r="J611" s="224"/>
      <c r="K611" s="224"/>
      <c r="L611" s="224"/>
    </row>
    <row r="612" spans="3:12" x14ac:dyDescent="0.55000000000000004">
      <c r="C612" s="124"/>
      <c r="D612" t="s">
        <v>371</v>
      </c>
      <c r="E612" s="64">
        <f ca="1">IF(VLOOKUP(D603,'2 Water'!$D$54:$M$73,5,FALSE)="",VLOOKUP(D603,'2 Water'!$D$54:$M$73,4,FALSE),VLOOKUP(D603,'2 Water'!$D$54:$M$73,5,FALSE))</f>
        <v>0</v>
      </c>
      <c r="G612" s="125"/>
      <c r="I612" s="224"/>
      <c r="J612" s="224"/>
      <c r="K612" s="224"/>
      <c r="L612" s="224"/>
    </row>
    <row r="613" spans="3:12" x14ac:dyDescent="0.55000000000000004">
      <c r="C613" s="124"/>
      <c r="D613" t="s">
        <v>372</v>
      </c>
      <c r="E613" s="26">
        <f ca="1">IF(VLOOKUP(D603,'2 Water'!$D$54:$M$73,7,FALSE)="",VLOOKUP(D603,'2 Water'!$D$54:$M$73,6,FALSE),VLOOKUP(D603,'2 Water'!$D$54:$M$73,7,FALSE))</f>
        <v>0</v>
      </c>
      <c r="G613" s="125"/>
      <c r="I613" s="224"/>
      <c r="J613" s="224"/>
      <c r="K613" s="224"/>
      <c r="L613" s="224"/>
    </row>
    <row r="614" spans="3:12" x14ac:dyDescent="0.55000000000000004">
      <c r="C614" s="124"/>
      <c r="D614" t="s">
        <v>373</v>
      </c>
      <c r="E614" s="26">
        <f ca="1">IF(VLOOKUP(D603,'2 Water'!$D$54:$M$73,9,FALSE)="",VLOOKUP(D603,'2 Water'!$D$54:$M$73,8,FALSE),VLOOKUP(D603,'2 Water'!$D$54:$M$73,9,FALSE))</f>
        <v>0</v>
      </c>
      <c r="G614" s="125"/>
      <c r="I614" s="224"/>
      <c r="J614" s="224"/>
      <c r="K614" s="224"/>
      <c r="L614" s="224"/>
    </row>
    <row r="615" spans="3:12" x14ac:dyDescent="0.55000000000000004">
      <c r="C615" s="124"/>
      <c r="D615" t="s">
        <v>374</v>
      </c>
      <c r="E615" s="26">
        <f ca="1">IF(VLOOKUP(D603,'2 Water'!$D$90:$I$109,5,FALSE)="",VLOOKUP(D603,'2 Water'!$D$90:$I$109,4,FALSE),VLOOKUP(D603,'2 Water'!$D$90:$I$109,5,FALSE))</f>
        <v>0</v>
      </c>
      <c r="G615" s="125"/>
      <c r="I615" s="224"/>
      <c r="J615" s="224"/>
      <c r="K615" s="224"/>
      <c r="L615" s="224"/>
    </row>
    <row r="616" spans="3:12" ht="14.7" thickBot="1" x14ac:dyDescent="0.6">
      <c r="C616" s="124"/>
      <c r="D616" s="1" t="s">
        <v>145</v>
      </c>
      <c r="E616" s="37">
        <f ca="1">SUM(E612:E615)</f>
        <v>0</v>
      </c>
      <c r="F616" s="135"/>
      <c r="G616" s="125"/>
      <c r="I616" s="224"/>
      <c r="J616" s="224"/>
      <c r="K616" s="224"/>
      <c r="L616" s="224"/>
    </row>
    <row r="617" spans="3:12" ht="14.7" thickTop="1" x14ac:dyDescent="0.55000000000000004">
      <c r="C617" s="124"/>
      <c r="D617" s="1"/>
      <c r="E617" s="15"/>
      <c r="G617" s="125"/>
      <c r="I617" s="224"/>
      <c r="J617" s="224"/>
      <c r="K617" s="224"/>
      <c r="L617" s="224"/>
    </row>
    <row r="618" spans="3:12" x14ac:dyDescent="0.55000000000000004">
      <c r="C618" s="124"/>
      <c r="D618" t="s">
        <v>384</v>
      </c>
      <c r="E618" s="26">
        <f ca="1">IF(VLOOKUP(D603,'2 Water'!$D$126:$K$145,5,FALSE)="",VLOOKUP(D603,'2 Water'!$D$126:$K$145,4,FALSE),VLOOKUP(D603,'2 Water'!$D$126:$K$145,5,FALSE))+VLOOKUP(D603,'2 Water'!$D$158:$J$177,7,FALSE)</f>
        <v>0</v>
      </c>
      <c r="G618" s="125"/>
      <c r="I618" s="224"/>
      <c r="J618" s="224"/>
      <c r="K618" s="224"/>
      <c r="L618" s="224"/>
    </row>
    <row r="619" spans="3:12" x14ac:dyDescent="0.55000000000000004">
      <c r="C619" s="124"/>
      <c r="G619" s="125"/>
      <c r="I619" s="224"/>
      <c r="J619" s="224"/>
      <c r="K619" s="224"/>
      <c r="L619" s="224"/>
    </row>
    <row r="620" spans="3:12" ht="14.7" thickBot="1" x14ac:dyDescent="0.6">
      <c r="C620" s="124"/>
      <c r="D620" s="1" t="s">
        <v>375</v>
      </c>
      <c r="E620" s="37">
        <f ca="1">VLOOKUP(D603,'2 Water'!$D$158:$K$177,8,FALSE)</f>
        <v>0</v>
      </c>
      <c r="G620" s="125"/>
      <c r="I620" s="224"/>
      <c r="J620" s="224"/>
      <c r="K620" s="224"/>
      <c r="L620" s="224"/>
    </row>
    <row r="621" spans="3:12" ht="14.7" thickTop="1" x14ac:dyDescent="0.55000000000000004">
      <c r="C621" s="124"/>
      <c r="G621" s="125"/>
      <c r="I621" s="224"/>
      <c r="J621" s="224"/>
      <c r="K621" s="224"/>
      <c r="L621" s="224"/>
    </row>
    <row r="622" spans="3:12" x14ac:dyDescent="0.55000000000000004">
      <c r="C622" s="124"/>
      <c r="G622" s="125"/>
      <c r="I622" s="224"/>
      <c r="J622" s="224"/>
      <c r="K622" s="224"/>
      <c r="L622" s="224"/>
    </row>
    <row r="623" spans="3:12" x14ac:dyDescent="0.55000000000000004">
      <c r="C623" s="124"/>
      <c r="G623" s="125"/>
      <c r="I623" s="224"/>
      <c r="J623" s="224"/>
      <c r="K623" s="224"/>
      <c r="L623" s="224"/>
    </row>
    <row r="624" spans="3:12" x14ac:dyDescent="0.55000000000000004">
      <c r="C624" s="124"/>
      <c r="G624" s="125"/>
      <c r="I624" s="224"/>
      <c r="J624" s="224"/>
      <c r="K624" s="224"/>
      <c r="L624" s="224"/>
    </row>
    <row r="625" spans="3:12" x14ac:dyDescent="0.55000000000000004">
      <c r="C625" s="124"/>
      <c r="G625" s="125"/>
      <c r="I625" s="232" t="s">
        <v>385</v>
      </c>
      <c r="J625" s="224"/>
      <c r="K625" s="224"/>
      <c r="L625" s="224"/>
    </row>
    <row r="626" spans="3:12" x14ac:dyDescent="0.55000000000000004">
      <c r="C626" s="124"/>
      <c r="G626" s="125"/>
      <c r="I626" s="110"/>
      <c r="J626" s="102" t="s">
        <v>390</v>
      </c>
      <c r="K626" s="102" t="s">
        <v>391</v>
      </c>
      <c r="L626" s="224"/>
    </row>
    <row r="627" spans="3:12" x14ac:dyDescent="0.55000000000000004">
      <c r="C627" s="124"/>
      <c r="G627" s="125"/>
      <c r="I627" s="110" t="s">
        <v>369</v>
      </c>
      <c r="J627" s="100">
        <f ca="1">E606/1000</f>
        <v>0</v>
      </c>
      <c r="K627" s="102"/>
      <c r="L627" s="224"/>
    </row>
    <row r="628" spans="3:12" x14ac:dyDescent="0.55000000000000004">
      <c r="C628" s="124"/>
      <c r="G628" s="125"/>
      <c r="I628" s="110" t="s">
        <v>370</v>
      </c>
      <c r="J628" s="100">
        <f ca="1">E607/1000</f>
        <v>0</v>
      </c>
      <c r="K628" s="110"/>
      <c r="L628" s="224"/>
    </row>
    <row r="629" spans="3:12" x14ac:dyDescent="0.55000000000000004">
      <c r="C629" s="124"/>
      <c r="G629" s="125"/>
      <c r="I629" s="110" t="s">
        <v>471</v>
      </c>
      <c r="J629" s="100">
        <f ca="1">E610/1000</f>
        <v>0</v>
      </c>
      <c r="K629" s="110"/>
      <c r="L629" s="224"/>
    </row>
    <row r="630" spans="3:12" x14ac:dyDescent="0.55000000000000004">
      <c r="C630" s="124"/>
      <c r="G630" s="125"/>
      <c r="I630" s="110" t="s">
        <v>563</v>
      </c>
      <c r="J630" s="100"/>
      <c r="K630" s="101">
        <f ca="1">E620/1000</f>
        <v>0</v>
      </c>
      <c r="L630" s="224"/>
    </row>
    <row r="631" spans="3:12" x14ac:dyDescent="0.55000000000000004">
      <c r="C631" s="124"/>
      <c r="G631" s="125"/>
      <c r="I631" s="110" t="s">
        <v>564</v>
      </c>
      <c r="J631" s="100"/>
      <c r="K631" s="101">
        <f ca="1">E615/1000</f>
        <v>0</v>
      </c>
      <c r="L631" s="224"/>
    </row>
    <row r="632" spans="3:12" x14ac:dyDescent="0.55000000000000004">
      <c r="C632" s="124"/>
      <c r="G632" s="125"/>
      <c r="I632" s="110" t="s">
        <v>565</v>
      </c>
      <c r="J632" s="100"/>
      <c r="K632" s="101">
        <f ca="1">SUM(E612:E614)/1000</f>
        <v>0</v>
      </c>
      <c r="L632" s="224"/>
    </row>
    <row r="633" spans="3:12" x14ac:dyDescent="0.55000000000000004">
      <c r="C633" s="124"/>
      <c r="G633" s="125"/>
      <c r="I633" s="110" t="s">
        <v>566</v>
      </c>
      <c r="J633" s="100"/>
      <c r="K633" s="101">
        <f ca="1">E618/1000</f>
        <v>0</v>
      </c>
      <c r="L633" s="224"/>
    </row>
    <row r="634" spans="3:12" x14ac:dyDescent="0.55000000000000004">
      <c r="C634" s="124"/>
      <c r="G634" s="125"/>
      <c r="I634" s="224"/>
      <c r="J634" s="224"/>
      <c r="K634" s="224"/>
      <c r="L634" s="224"/>
    </row>
    <row r="635" spans="3:12" x14ac:dyDescent="0.55000000000000004">
      <c r="C635" s="124"/>
      <c r="G635" s="125"/>
      <c r="I635" s="224"/>
      <c r="J635" s="224"/>
      <c r="K635" s="224"/>
      <c r="L635" s="224"/>
    </row>
    <row r="636" spans="3:12" x14ac:dyDescent="0.55000000000000004">
      <c r="C636" s="124"/>
      <c r="G636" s="125"/>
      <c r="I636" s="224"/>
      <c r="J636" s="224"/>
      <c r="K636" s="224"/>
      <c r="L636" s="224"/>
    </row>
    <row r="637" spans="3:12" x14ac:dyDescent="0.55000000000000004">
      <c r="C637" s="124"/>
      <c r="G637" s="125"/>
      <c r="I637" s="224"/>
      <c r="J637" s="224"/>
      <c r="K637" s="224"/>
      <c r="L637" s="224"/>
    </row>
    <row r="638" spans="3:12" x14ac:dyDescent="0.55000000000000004">
      <c r="C638" s="124"/>
      <c r="G638" s="125"/>
      <c r="I638" s="224"/>
      <c r="J638" s="224"/>
      <c r="K638" s="224"/>
      <c r="L638" s="224"/>
    </row>
    <row r="639" spans="3:12" x14ac:dyDescent="0.55000000000000004">
      <c r="C639" s="124"/>
      <c r="E639" s="220"/>
      <c r="G639" s="125"/>
      <c r="I639" s="224"/>
      <c r="J639" s="224"/>
      <c r="K639" s="224"/>
      <c r="L639" s="224"/>
    </row>
    <row r="640" spans="3:12" x14ac:dyDescent="0.55000000000000004">
      <c r="C640" s="124"/>
      <c r="D640" t="s">
        <v>387</v>
      </c>
      <c r="E640" s="64">
        <f ca="1">VLOOKUP(D603,'2 Water'!$D$158:$M$177,10,FALSE)</f>
        <v>0</v>
      </c>
      <c r="G640" s="125"/>
      <c r="I640" s="224"/>
      <c r="J640" s="224"/>
      <c r="K640" s="224"/>
      <c r="L640" s="224"/>
    </row>
    <row r="641" spans="3:13" x14ac:dyDescent="0.55000000000000004">
      <c r="C641" s="124"/>
      <c r="D641" t="s">
        <v>388</v>
      </c>
      <c r="E641" s="64">
        <f ca="1">VLOOKUP(D603,'2 Water'!$D$158:$M$177,9,FALSE)</f>
        <v>0</v>
      </c>
      <c r="G641" s="125"/>
      <c r="I641" s="224"/>
      <c r="J641" s="224"/>
      <c r="K641" s="224"/>
      <c r="L641" s="224"/>
    </row>
    <row r="642" spans="3:13" x14ac:dyDescent="0.55000000000000004">
      <c r="C642" s="124"/>
      <c r="D642" t="s">
        <v>378</v>
      </c>
      <c r="E642" s="97">
        <f ca="1">IFERROR(IF(E610=0,E618,E610)/E608,0)</f>
        <v>0</v>
      </c>
      <c r="G642" s="125"/>
      <c r="I642" s="224"/>
      <c r="J642" s="224"/>
      <c r="K642" s="224"/>
      <c r="L642" s="224"/>
    </row>
    <row r="643" spans="3:13" x14ac:dyDescent="0.55000000000000004">
      <c r="C643" s="124"/>
      <c r="G643" s="125"/>
      <c r="I643" s="224"/>
      <c r="J643" s="224"/>
      <c r="K643" s="224"/>
      <c r="L643" s="224"/>
    </row>
    <row r="644" spans="3:13" x14ac:dyDescent="0.55000000000000004">
      <c r="C644" s="124"/>
      <c r="D644" t="s">
        <v>389</v>
      </c>
      <c r="E644" s="64">
        <f>'3 Water'!H395</f>
        <v>0</v>
      </c>
      <c r="G644" s="125"/>
      <c r="I644" s="224"/>
      <c r="J644" s="224"/>
      <c r="K644" s="224"/>
      <c r="L644" s="224"/>
    </row>
    <row r="645" spans="3:13" x14ac:dyDescent="0.55000000000000004">
      <c r="C645" s="124"/>
      <c r="D645" t="s">
        <v>380</v>
      </c>
      <c r="E645" s="97">
        <f ca="1">IFERROR('3 Water'!I395/'3 Water'!H387,0)</f>
        <v>0</v>
      </c>
      <c r="G645" s="125"/>
      <c r="I645" s="224"/>
      <c r="J645" s="224"/>
      <c r="K645" s="224"/>
      <c r="L645" s="224"/>
    </row>
    <row r="646" spans="3:13" x14ac:dyDescent="0.55000000000000004">
      <c r="C646" s="124"/>
      <c r="G646" s="125"/>
      <c r="I646" s="224"/>
      <c r="J646" s="224"/>
      <c r="K646" s="224"/>
      <c r="L646" s="224"/>
    </row>
    <row r="647" spans="3:13" x14ac:dyDescent="0.55000000000000004">
      <c r="C647" s="124"/>
      <c r="D647" s="1" t="s">
        <v>381</v>
      </c>
      <c r="G647" s="125"/>
      <c r="I647" s="224"/>
      <c r="J647" s="224"/>
      <c r="K647" s="224"/>
      <c r="L647" s="224"/>
    </row>
    <row r="648" spans="3:13" x14ac:dyDescent="0.55000000000000004">
      <c r="C648" s="124"/>
      <c r="G648" s="125"/>
      <c r="I648" s="224"/>
      <c r="J648" s="224"/>
      <c r="K648" s="224"/>
      <c r="L648" s="224"/>
    </row>
    <row r="649" spans="3:13" x14ac:dyDescent="0.55000000000000004">
      <c r="C649" s="124"/>
      <c r="G649" s="125"/>
      <c r="I649" s="224"/>
      <c r="J649" s="224"/>
      <c r="K649" s="224"/>
      <c r="L649" s="224"/>
    </row>
    <row r="650" spans="3:13" ht="28.8" x14ac:dyDescent="0.55000000000000004">
      <c r="C650" s="124"/>
      <c r="G650" s="125"/>
      <c r="I650" s="102" t="s">
        <v>383</v>
      </c>
      <c r="J650" s="102" t="s">
        <v>382</v>
      </c>
      <c r="K650" s="102" t="s">
        <v>100</v>
      </c>
      <c r="L650" s="230" t="s">
        <v>392</v>
      </c>
      <c r="M650" s="231" t="s">
        <v>567</v>
      </c>
    </row>
    <row r="651" spans="3:13" x14ac:dyDescent="0.55000000000000004">
      <c r="C651" s="124"/>
      <c r="G651" s="125"/>
      <c r="I651" s="102">
        <v>1</v>
      </c>
      <c r="J651" s="102">
        <f>IFERROR(VLOOKUP(I651,'3 Water'!$E$408:$J$417,3,FALSE),0)</f>
        <v>0</v>
      </c>
      <c r="K651" s="103">
        <f>IFERROR(VLOOKUP(I651,'3 Water'!$E$408:$J$417,6,FALSE),0)</f>
        <v>0</v>
      </c>
      <c r="L651" s="104">
        <f t="shared" ref="L651:L660" ca="1" si="18">$E$640</f>
        <v>0</v>
      </c>
      <c r="M651" s="106">
        <f ca="1">IFERROR('3 Water'!I387/'3 Water'!G387,0)</f>
        <v>0</v>
      </c>
    </row>
    <row r="652" spans="3:13" x14ac:dyDescent="0.55000000000000004">
      <c r="C652" s="124"/>
      <c r="G652" s="125"/>
      <c r="I652" s="102">
        <v>2</v>
      </c>
      <c r="J652" s="102">
        <f>IFERROR(VLOOKUP(I652,'3 Water'!$E$408:$J$417,3,FALSE),0)</f>
        <v>0</v>
      </c>
      <c r="K652" s="103">
        <f ca="1">IFERROR(VLOOKUP(I652,'3 Water'!$E$408:$J$417,6,FALSE),0)</f>
        <v>0</v>
      </c>
      <c r="L652" s="104">
        <f t="shared" ca="1" si="18"/>
        <v>0</v>
      </c>
      <c r="M652" s="104">
        <f t="shared" ref="M652:M660" ca="1" si="19">$M$651</f>
        <v>0</v>
      </c>
    </row>
    <row r="653" spans="3:13" x14ac:dyDescent="0.55000000000000004">
      <c r="C653" s="124"/>
      <c r="G653" s="125"/>
      <c r="I653" s="102">
        <v>3</v>
      </c>
      <c r="J653" s="102">
        <f>IFERROR(VLOOKUP(I653,'3 Water'!$E$408:$J$417,3,FALSE),0)</f>
        <v>0</v>
      </c>
      <c r="K653" s="103">
        <f ca="1">IFERROR(VLOOKUP(I653,'3 Water'!$E$408:$J$417,6,FALSE),0)</f>
        <v>0</v>
      </c>
      <c r="L653" s="104">
        <f t="shared" ca="1" si="18"/>
        <v>0</v>
      </c>
      <c r="M653" s="104">
        <f t="shared" ca="1" si="19"/>
        <v>0</v>
      </c>
    </row>
    <row r="654" spans="3:13" x14ac:dyDescent="0.55000000000000004">
      <c r="C654" s="124"/>
      <c r="G654" s="125"/>
      <c r="I654" s="102">
        <v>4</v>
      </c>
      <c r="J654" s="102">
        <f>IFERROR(VLOOKUP(I654,'3 Water'!$E$408:$J$417,3,FALSE),0)</f>
        <v>0</v>
      </c>
      <c r="K654" s="103">
        <f ca="1">IFERROR(VLOOKUP(I654,'3 Water'!$E$408:$J$417,6,FALSE),0)</f>
        <v>0</v>
      </c>
      <c r="L654" s="104">
        <f t="shared" ca="1" si="18"/>
        <v>0</v>
      </c>
      <c r="M654" s="104">
        <f t="shared" ca="1" si="19"/>
        <v>0</v>
      </c>
    </row>
    <row r="655" spans="3:13" x14ac:dyDescent="0.55000000000000004">
      <c r="C655" s="124"/>
      <c r="G655" s="125"/>
      <c r="I655" s="102">
        <v>5</v>
      </c>
      <c r="J655" s="102">
        <f>IFERROR(VLOOKUP(I655,'3 Water'!$E$408:$J$417,3,FALSE),0)</f>
        <v>0</v>
      </c>
      <c r="K655" s="103">
        <f ca="1">IFERROR(VLOOKUP(I655,'3 Water'!$E$408:$J$417,6,FALSE),0)</f>
        <v>0</v>
      </c>
      <c r="L655" s="104">
        <f t="shared" ca="1" si="18"/>
        <v>0</v>
      </c>
      <c r="M655" s="104">
        <f t="shared" ca="1" si="19"/>
        <v>0</v>
      </c>
    </row>
    <row r="656" spans="3:13" x14ac:dyDescent="0.55000000000000004">
      <c r="C656" s="124"/>
      <c r="G656" s="125"/>
      <c r="I656" s="102">
        <v>6</v>
      </c>
      <c r="J656" s="102">
        <f>IFERROR(VLOOKUP(I656,'3 Water'!$E$408:$J$417,3,FALSE),0)</f>
        <v>0</v>
      </c>
      <c r="K656" s="103">
        <f ca="1">IFERROR(VLOOKUP(I656,'3 Water'!$E$408:$J$417,6,FALSE),0)</f>
        <v>0</v>
      </c>
      <c r="L656" s="104">
        <f t="shared" ca="1" si="18"/>
        <v>0</v>
      </c>
      <c r="M656" s="104">
        <f t="shared" ca="1" si="19"/>
        <v>0</v>
      </c>
    </row>
    <row r="657" spans="3:13" x14ac:dyDescent="0.55000000000000004">
      <c r="C657" s="124"/>
      <c r="G657" s="125"/>
      <c r="I657" s="102">
        <v>7</v>
      </c>
      <c r="J657" s="102">
        <f>IFERROR(VLOOKUP(I657,'3 Water'!$E$408:$J$417,3,FALSE),0)</f>
        <v>0</v>
      </c>
      <c r="K657" s="103">
        <f ca="1">IFERROR(VLOOKUP(I657,'3 Water'!$E$408:$J$417,6,FALSE),0)</f>
        <v>0</v>
      </c>
      <c r="L657" s="104">
        <f t="shared" ca="1" si="18"/>
        <v>0</v>
      </c>
      <c r="M657" s="104">
        <f t="shared" ca="1" si="19"/>
        <v>0</v>
      </c>
    </row>
    <row r="658" spans="3:13" x14ac:dyDescent="0.55000000000000004">
      <c r="C658" s="124"/>
      <c r="G658" s="125"/>
      <c r="I658" s="102">
        <v>8</v>
      </c>
      <c r="J658" s="102">
        <f>IFERROR(VLOOKUP(I658,'3 Water'!$E$408:$J$417,3,FALSE),0)</f>
        <v>0</v>
      </c>
      <c r="K658" s="103">
        <f ca="1">IFERROR(VLOOKUP(I658,'3 Water'!$E$408:$J$417,6,FALSE),0)</f>
        <v>0</v>
      </c>
      <c r="L658" s="104">
        <f t="shared" ca="1" si="18"/>
        <v>0</v>
      </c>
      <c r="M658" s="104">
        <f t="shared" ca="1" si="19"/>
        <v>0</v>
      </c>
    </row>
    <row r="659" spans="3:13" x14ac:dyDescent="0.55000000000000004">
      <c r="C659" s="124"/>
      <c r="G659" s="125"/>
      <c r="I659" s="102">
        <v>9</v>
      </c>
      <c r="J659" s="102">
        <f>IFERROR(VLOOKUP(I659,'3 Water'!$E$408:$J$417,3,FALSE),0)</f>
        <v>0</v>
      </c>
      <c r="K659" s="103">
        <f ca="1">IFERROR(VLOOKUP(I659,'3 Water'!$E$408:$J$417,6,FALSE),0)</f>
        <v>0</v>
      </c>
      <c r="L659" s="104">
        <f t="shared" ca="1" si="18"/>
        <v>0</v>
      </c>
      <c r="M659" s="104">
        <f t="shared" ca="1" si="19"/>
        <v>0</v>
      </c>
    </row>
    <row r="660" spans="3:13" x14ac:dyDescent="0.55000000000000004">
      <c r="C660" s="124"/>
      <c r="G660" s="125"/>
      <c r="I660" s="102">
        <v>10</v>
      </c>
      <c r="J660" s="102" t="str">
        <f>IFERROR(VLOOKUP(I660,'3 Water'!$E$408:$J$417,3,FALSE),0)</f>
        <v>More</v>
      </c>
      <c r="K660" s="103">
        <f ca="1">IFERROR(VLOOKUP(I660,'3 Water'!$E$408:$J$417,6,FALSE),0)</f>
        <v>0</v>
      </c>
      <c r="L660" s="104">
        <f t="shared" ca="1" si="18"/>
        <v>0</v>
      </c>
      <c r="M660" s="104">
        <f t="shared" ca="1" si="19"/>
        <v>0</v>
      </c>
    </row>
    <row r="661" spans="3:13" x14ac:dyDescent="0.55000000000000004">
      <c r="C661" s="124"/>
      <c r="G661" s="125"/>
      <c r="I661" s="224"/>
      <c r="J661" s="224"/>
      <c r="K661" s="224"/>
      <c r="L661" s="224"/>
    </row>
    <row r="662" spans="3:13" x14ac:dyDescent="0.55000000000000004">
      <c r="C662" s="124"/>
      <c r="G662" s="125"/>
      <c r="I662" s="224"/>
      <c r="J662" s="224"/>
      <c r="K662" s="224"/>
      <c r="L662" s="224"/>
    </row>
    <row r="663" spans="3:13" x14ac:dyDescent="0.55000000000000004">
      <c r="C663" s="124"/>
      <c r="G663" s="125"/>
      <c r="I663" s="224"/>
      <c r="J663" s="224"/>
      <c r="K663" s="224"/>
      <c r="L663" s="224"/>
    </row>
    <row r="664" spans="3:13" x14ac:dyDescent="0.55000000000000004">
      <c r="C664" s="124"/>
      <c r="G664" s="125"/>
      <c r="I664" s="224"/>
      <c r="J664" s="224"/>
      <c r="K664" s="224"/>
      <c r="L664" s="224"/>
    </row>
    <row r="665" spans="3:13" x14ac:dyDescent="0.55000000000000004">
      <c r="C665" s="124"/>
      <c r="G665" s="125"/>
      <c r="I665" s="224"/>
      <c r="J665" s="224"/>
      <c r="K665" s="224"/>
      <c r="L665" s="224"/>
    </row>
    <row r="666" spans="3:13" ht="14.7" thickBot="1" x14ac:dyDescent="0.6">
      <c r="C666" s="130"/>
      <c r="D666" s="131"/>
      <c r="E666" s="131"/>
      <c r="F666" s="131"/>
      <c r="G666" s="132"/>
      <c r="I666" s="224"/>
      <c r="J666" s="224"/>
      <c r="K666" s="224"/>
      <c r="L666" s="224"/>
    </row>
    <row r="667" spans="3:13" x14ac:dyDescent="0.55000000000000004">
      <c r="I667" s="224"/>
      <c r="J667" s="224"/>
      <c r="K667" s="224"/>
      <c r="L667" s="224"/>
    </row>
    <row r="668" spans="3:13" ht="14.7" thickBot="1" x14ac:dyDescent="0.6">
      <c r="I668" s="224"/>
      <c r="J668" s="224"/>
      <c r="K668" s="224"/>
      <c r="L668" s="224"/>
    </row>
    <row r="669" spans="3:13" x14ac:dyDescent="0.55000000000000004">
      <c r="C669" s="121"/>
      <c r="D669" s="122"/>
      <c r="E669" s="122"/>
      <c r="F669" s="122"/>
      <c r="G669" s="123"/>
      <c r="I669" s="224"/>
      <c r="J669" s="224"/>
      <c r="K669" s="224"/>
      <c r="L669" s="224"/>
    </row>
    <row r="670" spans="3:13" ht="15.6" x14ac:dyDescent="0.6">
      <c r="C670" s="124"/>
      <c r="D670" s="98">
        <f>'2 Customer data'!D31</f>
        <v>0</v>
      </c>
      <c r="G670" s="125"/>
      <c r="I670" s="224"/>
      <c r="J670" s="224"/>
      <c r="K670" s="224"/>
      <c r="L670" s="224"/>
    </row>
    <row r="671" spans="3:13" x14ac:dyDescent="0.55000000000000004">
      <c r="C671" s="124"/>
      <c r="G671" s="125"/>
      <c r="I671" s="224"/>
      <c r="J671" s="224"/>
      <c r="K671" s="224"/>
      <c r="L671" s="224"/>
    </row>
    <row r="672" spans="3:13" x14ac:dyDescent="0.55000000000000004">
      <c r="C672" s="124"/>
      <c r="E672" s="220" t="s">
        <v>250</v>
      </c>
      <c r="G672" s="125"/>
      <c r="I672" s="224"/>
      <c r="J672" s="224"/>
      <c r="K672" s="224"/>
      <c r="L672" s="224"/>
    </row>
    <row r="673" spans="3:12" x14ac:dyDescent="0.55000000000000004">
      <c r="C673" s="124"/>
      <c r="D673" t="s">
        <v>369</v>
      </c>
      <c r="E673" s="26">
        <f ca="1">VLOOKUP(D670,'2 Water'!$D$19:$J$38,5,FALSE)</f>
        <v>0</v>
      </c>
      <c r="G673" s="125"/>
      <c r="I673" s="224"/>
      <c r="J673" s="224"/>
      <c r="K673" s="224"/>
      <c r="L673" s="224"/>
    </row>
    <row r="674" spans="3:12" x14ac:dyDescent="0.55000000000000004">
      <c r="C674" s="124"/>
      <c r="D674" t="s">
        <v>370</v>
      </c>
      <c r="E674" s="99">
        <f ca="1">VLOOKUP(D670,'2 Water'!$D$19:$J$38,6,FALSE)</f>
        <v>0</v>
      </c>
      <c r="G674" s="125"/>
      <c r="I674" s="224"/>
      <c r="J674" s="224"/>
      <c r="K674" s="224"/>
      <c r="L674" s="224"/>
    </row>
    <row r="675" spans="3:12" ht="14.7" thickBot="1" x14ac:dyDescent="0.6">
      <c r="C675" s="124"/>
      <c r="D675" s="1" t="s">
        <v>39</v>
      </c>
      <c r="E675" s="37">
        <f ca="1">VLOOKUP(D670,'2 Water'!$D$19:$J$38,7,FALSE)</f>
        <v>0</v>
      </c>
      <c r="G675" s="125"/>
      <c r="I675" s="224"/>
      <c r="J675" s="224"/>
      <c r="K675" s="224"/>
      <c r="L675" s="224"/>
    </row>
    <row r="676" spans="3:12" ht="14.7" thickTop="1" x14ac:dyDescent="0.55000000000000004">
      <c r="C676" s="124"/>
      <c r="G676" s="125"/>
      <c r="I676" s="224"/>
      <c r="J676" s="224"/>
      <c r="K676" s="224"/>
      <c r="L676" s="224"/>
    </row>
    <row r="677" spans="3:12" x14ac:dyDescent="0.55000000000000004">
      <c r="C677" s="124"/>
      <c r="D677" t="s">
        <v>189</v>
      </c>
      <c r="E677" s="26">
        <f ca="1">IF(VLOOKUP(D670,'2 Water'!$D$126:$K$145,7,FALSE)="",VLOOKUP(D670,'2 Water'!$D$126:$K$145,6,FALSE),VLOOKUP(D670,'2 Water'!$D$126:$K$145,7,FALSE))+VLOOKUP(D670,'2 Water'!$D$158:$J$177,5,FALSE)</f>
        <v>0</v>
      </c>
      <c r="G677" s="125"/>
      <c r="I677" s="224"/>
      <c r="J677" s="224"/>
      <c r="K677" s="224"/>
      <c r="L677" s="224"/>
    </row>
    <row r="678" spans="3:12" x14ac:dyDescent="0.55000000000000004">
      <c r="C678" s="124"/>
      <c r="G678" s="125"/>
      <c r="I678" s="224"/>
      <c r="J678" s="224"/>
      <c r="K678" s="224"/>
      <c r="L678" s="224"/>
    </row>
    <row r="679" spans="3:12" x14ac:dyDescent="0.55000000000000004">
      <c r="C679" s="124"/>
      <c r="D679" t="s">
        <v>371</v>
      </c>
      <c r="E679" s="64">
        <f ca="1">IF(VLOOKUP(D670,'2 Water'!$D$54:$M$73,5,FALSE)="",VLOOKUP(D670,'2 Water'!$D$54:$M$73,4,FALSE),VLOOKUP(D670,'2 Water'!$D$54:$M$73,5,FALSE))</f>
        <v>0</v>
      </c>
      <c r="G679" s="125"/>
      <c r="I679" s="224"/>
      <c r="J679" s="224"/>
      <c r="K679" s="224"/>
      <c r="L679" s="224"/>
    </row>
    <row r="680" spans="3:12" x14ac:dyDescent="0.55000000000000004">
      <c r="C680" s="124"/>
      <c r="D680" t="s">
        <v>372</v>
      </c>
      <c r="E680" s="26">
        <f ca="1">IF(VLOOKUP(D670,'2 Water'!$D$54:$M$73,7,FALSE)="",VLOOKUP(D670,'2 Water'!$D$54:$M$73,6,FALSE),VLOOKUP(D670,'2 Water'!$D$54:$M$73,7,FALSE))</f>
        <v>0</v>
      </c>
      <c r="G680" s="125"/>
      <c r="I680" s="224"/>
      <c r="J680" s="224"/>
      <c r="K680" s="224"/>
      <c r="L680" s="224"/>
    </row>
    <row r="681" spans="3:12" x14ac:dyDescent="0.55000000000000004">
      <c r="C681" s="124"/>
      <c r="D681" t="s">
        <v>373</v>
      </c>
      <c r="E681" s="26">
        <f ca="1">IF(VLOOKUP(D670,'2 Water'!$D$54:$M$73,9,FALSE)="",VLOOKUP(D670,'2 Water'!$D$54:$M$73,8,FALSE),VLOOKUP(D670,'2 Water'!$D$54:$M$73,9,FALSE))</f>
        <v>0</v>
      </c>
      <c r="G681" s="125"/>
      <c r="I681" s="224"/>
      <c r="J681" s="224"/>
      <c r="K681" s="224"/>
      <c r="L681" s="224"/>
    </row>
    <row r="682" spans="3:12" x14ac:dyDescent="0.55000000000000004">
      <c r="C682" s="124"/>
      <c r="D682" t="s">
        <v>374</v>
      </c>
      <c r="E682" s="26">
        <f ca="1">IF(VLOOKUP(D670,'2 Water'!$D$90:$I$109,5,FALSE)="",VLOOKUP(D670,'2 Water'!$D$90:$I$109,4,FALSE),VLOOKUP(D670,'2 Water'!$D$90:$I$109,5,FALSE))</f>
        <v>0</v>
      </c>
      <c r="G682" s="125"/>
      <c r="I682" s="224"/>
      <c r="J682" s="224"/>
      <c r="K682" s="224"/>
      <c r="L682" s="224"/>
    </row>
    <row r="683" spans="3:12" ht="14.7" thickBot="1" x14ac:dyDescent="0.6">
      <c r="C683" s="124"/>
      <c r="D683" s="1" t="s">
        <v>145</v>
      </c>
      <c r="E683" s="37">
        <f ca="1">SUM(E679:E682)</f>
        <v>0</v>
      </c>
      <c r="F683" s="135"/>
      <c r="G683" s="125"/>
      <c r="I683" s="224"/>
      <c r="J683" s="224"/>
      <c r="K683" s="224"/>
      <c r="L683" s="224"/>
    </row>
    <row r="684" spans="3:12" ht="14.7" thickTop="1" x14ac:dyDescent="0.55000000000000004">
      <c r="C684" s="124"/>
      <c r="D684" s="1"/>
      <c r="E684" s="15"/>
      <c r="G684" s="125"/>
      <c r="I684" s="224"/>
      <c r="J684" s="224"/>
      <c r="K684" s="224"/>
      <c r="L684" s="224"/>
    </row>
    <row r="685" spans="3:12" x14ac:dyDescent="0.55000000000000004">
      <c r="C685" s="124"/>
      <c r="D685" t="s">
        <v>384</v>
      </c>
      <c r="E685" s="26">
        <f ca="1">IF(VLOOKUP(D670,'2 Water'!$D$126:$K$145,5,FALSE)="",VLOOKUP(D670,'2 Water'!$D$126:$K$145,4,FALSE),VLOOKUP(D670,'2 Water'!$D$126:$K$145,5,FALSE))+VLOOKUP(D670,'2 Water'!$D$158:$J$177,7,FALSE)</f>
        <v>0</v>
      </c>
      <c r="G685" s="125"/>
      <c r="I685" s="224"/>
      <c r="J685" s="224"/>
      <c r="K685" s="224"/>
      <c r="L685" s="224"/>
    </row>
    <row r="686" spans="3:12" x14ac:dyDescent="0.55000000000000004">
      <c r="C686" s="124"/>
      <c r="G686" s="125"/>
      <c r="I686" s="224"/>
      <c r="J686" s="224"/>
      <c r="K686" s="224"/>
      <c r="L686" s="224"/>
    </row>
    <row r="687" spans="3:12" ht="14.7" thickBot="1" x14ac:dyDescent="0.6">
      <c r="C687" s="124"/>
      <c r="D687" s="1" t="s">
        <v>375</v>
      </c>
      <c r="E687" s="37">
        <f ca="1">VLOOKUP(D670,'2 Water'!$D$158:$K$177,8,FALSE)</f>
        <v>0</v>
      </c>
      <c r="G687" s="125"/>
      <c r="I687" s="224"/>
      <c r="J687" s="224"/>
      <c r="K687" s="224"/>
      <c r="L687" s="224"/>
    </row>
    <row r="688" spans="3:12" ht="14.7" thickTop="1" x14ac:dyDescent="0.55000000000000004">
      <c r="C688" s="124"/>
      <c r="G688" s="125"/>
      <c r="I688" s="224"/>
      <c r="J688" s="224"/>
      <c r="K688" s="224"/>
      <c r="L688" s="224"/>
    </row>
    <row r="689" spans="3:12" x14ac:dyDescent="0.55000000000000004">
      <c r="C689" s="124"/>
      <c r="G689" s="125"/>
      <c r="I689" s="224"/>
      <c r="J689" s="224"/>
      <c r="K689" s="224"/>
      <c r="L689" s="224"/>
    </row>
    <row r="690" spans="3:12" x14ac:dyDescent="0.55000000000000004">
      <c r="C690" s="124"/>
      <c r="G690" s="125"/>
      <c r="I690" s="232" t="s">
        <v>385</v>
      </c>
      <c r="J690" s="224"/>
      <c r="K690" s="224"/>
      <c r="L690" s="224"/>
    </row>
    <row r="691" spans="3:12" x14ac:dyDescent="0.55000000000000004">
      <c r="C691" s="124"/>
      <c r="G691" s="125"/>
      <c r="I691" s="110"/>
      <c r="J691" s="102" t="s">
        <v>390</v>
      </c>
      <c r="K691" s="102" t="s">
        <v>391</v>
      </c>
      <c r="L691" s="224"/>
    </row>
    <row r="692" spans="3:12" x14ac:dyDescent="0.55000000000000004">
      <c r="C692" s="124"/>
      <c r="G692" s="125"/>
      <c r="I692" s="110" t="s">
        <v>369</v>
      </c>
      <c r="J692" s="100">
        <f ca="1">E673/1000</f>
        <v>0</v>
      </c>
      <c r="K692" s="102"/>
      <c r="L692" s="224"/>
    </row>
    <row r="693" spans="3:12" x14ac:dyDescent="0.55000000000000004">
      <c r="C693" s="124"/>
      <c r="G693" s="125"/>
      <c r="I693" s="110" t="s">
        <v>370</v>
      </c>
      <c r="J693" s="100">
        <f ca="1">E674/1000</f>
        <v>0</v>
      </c>
      <c r="K693" s="110"/>
      <c r="L693" s="224"/>
    </row>
    <row r="694" spans="3:12" x14ac:dyDescent="0.55000000000000004">
      <c r="C694" s="124"/>
      <c r="G694" s="125"/>
      <c r="I694" s="110" t="s">
        <v>471</v>
      </c>
      <c r="J694" s="100">
        <f ca="1">E677/1000</f>
        <v>0</v>
      </c>
      <c r="K694" s="110"/>
      <c r="L694" s="224"/>
    </row>
    <row r="695" spans="3:12" x14ac:dyDescent="0.55000000000000004">
      <c r="C695" s="124"/>
      <c r="G695" s="125"/>
      <c r="I695" s="110" t="s">
        <v>563</v>
      </c>
      <c r="J695" s="100"/>
      <c r="K695" s="101">
        <f ca="1">E687/1000</f>
        <v>0</v>
      </c>
      <c r="L695" s="224"/>
    </row>
    <row r="696" spans="3:12" x14ac:dyDescent="0.55000000000000004">
      <c r="C696" s="124"/>
      <c r="G696" s="125"/>
      <c r="I696" s="110" t="s">
        <v>564</v>
      </c>
      <c r="J696" s="100"/>
      <c r="K696" s="101">
        <f ca="1">E682/1000</f>
        <v>0</v>
      </c>
      <c r="L696" s="224"/>
    </row>
    <row r="697" spans="3:12" x14ac:dyDescent="0.55000000000000004">
      <c r="C697" s="124"/>
      <c r="G697" s="125"/>
      <c r="I697" s="110" t="s">
        <v>565</v>
      </c>
      <c r="J697" s="100"/>
      <c r="K697" s="101">
        <f ca="1">SUM(E679:E681)/1000</f>
        <v>0</v>
      </c>
      <c r="L697" s="224"/>
    </row>
    <row r="698" spans="3:12" x14ac:dyDescent="0.55000000000000004">
      <c r="C698" s="124"/>
      <c r="G698" s="125"/>
      <c r="I698" s="110" t="s">
        <v>566</v>
      </c>
      <c r="J698" s="100"/>
      <c r="K698" s="101">
        <f ca="1">E685/1000</f>
        <v>0</v>
      </c>
      <c r="L698" s="224"/>
    </row>
    <row r="699" spans="3:12" x14ac:dyDescent="0.55000000000000004">
      <c r="C699" s="124"/>
      <c r="G699" s="125"/>
      <c r="I699" s="110"/>
      <c r="J699" s="110"/>
      <c r="K699" s="110"/>
      <c r="L699" s="224"/>
    </row>
    <row r="700" spans="3:12" x14ac:dyDescent="0.55000000000000004">
      <c r="C700" s="124"/>
      <c r="G700" s="125"/>
      <c r="I700" s="224"/>
      <c r="J700" s="224"/>
      <c r="K700" s="224"/>
      <c r="L700" s="224"/>
    </row>
    <row r="701" spans="3:12" x14ac:dyDescent="0.55000000000000004">
      <c r="C701" s="124"/>
      <c r="G701" s="125"/>
      <c r="I701" s="224"/>
      <c r="J701" s="224"/>
      <c r="K701" s="224"/>
      <c r="L701" s="224"/>
    </row>
    <row r="702" spans="3:12" x14ac:dyDescent="0.55000000000000004">
      <c r="C702" s="124"/>
      <c r="G702" s="125"/>
      <c r="I702" s="224"/>
      <c r="J702" s="224"/>
      <c r="K702" s="224"/>
      <c r="L702" s="224"/>
    </row>
    <row r="703" spans="3:12" x14ac:dyDescent="0.55000000000000004">
      <c r="C703" s="124"/>
      <c r="G703" s="125"/>
      <c r="I703" s="224"/>
      <c r="J703" s="224"/>
      <c r="K703" s="224"/>
      <c r="L703" s="224"/>
    </row>
    <row r="704" spans="3:12" x14ac:dyDescent="0.55000000000000004">
      <c r="C704" s="124"/>
      <c r="G704" s="125"/>
      <c r="I704" s="224"/>
      <c r="J704" s="224"/>
      <c r="K704" s="224"/>
      <c r="L704" s="224"/>
    </row>
    <row r="705" spans="3:13" x14ac:dyDescent="0.55000000000000004">
      <c r="C705" s="124"/>
      <c r="G705" s="125"/>
      <c r="I705" s="224"/>
      <c r="J705" s="224"/>
      <c r="K705" s="224"/>
      <c r="L705" s="224"/>
    </row>
    <row r="706" spans="3:13" x14ac:dyDescent="0.55000000000000004">
      <c r="C706" s="124"/>
      <c r="E706" s="220"/>
      <c r="G706" s="125"/>
      <c r="I706" s="224"/>
      <c r="J706" s="224"/>
      <c r="K706" s="224"/>
      <c r="L706" s="224"/>
    </row>
    <row r="707" spans="3:13" x14ac:dyDescent="0.55000000000000004">
      <c r="C707" s="124"/>
      <c r="D707" t="s">
        <v>387</v>
      </c>
      <c r="E707" s="64">
        <f ca="1">VLOOKUP(D670,'2 Water'!$D$158:$M$177,10,FALSE)</f>
        <v>0</v>
      </c>
      <c r="G707" s="125"/>
      <c r="I707" s="224"/>
      <c r="J707" s="224"/>
      <c r="K707" s="224"/>
      <c r="L707" s="224"/>
    </row>
    <row r="708" spans="3:13" x14ac:dyDescent="0.55000000000000004">
      <c r="C708" s="124"/>
      <c r="D708" t="s">
        <v>388</v>
      </c>
      <c r="E708" s="64">
        <f ca="1">VLOOKUP(D670,'2 Water'!$D$158:$M$177,9,FALSE)</f>
        <v>0</v>
      </c>
      <c r="G708" s="125"/>
      <c r="I708" s="224"/>
      <c r="J708" s="224"/>
      <c r="K708" s="224"/>
      <c r="L708" s="224"/>
    </row>
    <row r="709" spans="3:13" x14ac:dyDescent="0.55000000000000004">
      <c r="C709" s="124"/>
      <c r="D709" t="s">
        <v>378</v>
      </c>
      <c r="E709" s="97">
        <f ca="1">IFERROR(IF(E677=0,E685,E677)/E675,0)</f>
        <v>0</v>
      </c>
      <c r="G709" s="125"/>
      <c r="I709" s="224"/>
      <c r="J709" s="224"/>
      <c r="K709" s="224"/>
      <c r="L709" s="224"/>
    </row>
    <row r="710" spans="3:13" x14ac:dyDescent="0.55000000000000004">
      <c r="C710" s="124"/>
      <c r="G710" s="125"/>
      <c r="I710" s="224"/>
      <c r="J710" s="224"/>
      <c r="K710" s="224"/>
      <c r="L710" s="224"/>
    </row>
    <row r="711" spans="3:13" x14ac:dyDescent="0.55000000000000004">
      <c r="C711" s="124"/>
      <c r="D711" t="s">
        <v>389</v>
      </c>
      <c r="E711" s="64">
        <f>'3 Water'!H436</f>
        <v>0</v>
      </c>
      <c r="G711" s="125"/>
      <c r="I711" s="224"/>
      <c r="J711" s="224"/>
      <c r="K711" s="224"/>
      <c r="L711" s="224"/>
    </row>
    <row r="712" spans="3:13" x14ac:dyDescent="0.55000000000000004">
      <c r="C712" s="124"/>
      <c r="D712" t="s">
        <v>380</v>
      </c>
      <c r="E712" s="97">
        <f ca="1">IFERROR('3 Water'!I436/'3 Water'!H428,0)</f>
        <v>0</v>
      </c>
      <c r="G712" s="125"/>
      <c r="I712" s="224"/>
      <c r="J712" s="224"/>
      <c r="K712" s="224"/>
      <c r="L712" s="224"/>
    </row>
    <row r="713" spans="3:13" x14ac:dyDescent="0.55000000000000004">
      <c r="C713" s="124"/>
      <c r="G713" s="125"/>
      <c r="I713" s="224"/>
      <c r="J713" s="224"/>
      <c r="K713" s="224"/>
      <c r="L713" s="224"/>
    </row>
    <row r="714" spans="3:13" x14ac:dyDescent="0.55000000000000004">
      <c r="C714" s="124"/>
      <c r="D714" s="1" t="s">
        <v>381</v>
      </c>
      <c r="G714" s="125"/>
      <c r="I714" s="224"/>
      <c r="J714" s="224"/>
      <c r="K714" s="224"/>
      <c r="L714" s="224"/>
    </row>
    <row r="715" spans="3:13" x14ac:dyDescent="0.55000000000000004">
      <c r="C715" s="124"/>
      <c r="G715" s="125"/>
      <c r="I715" s="224"/>
      <c r="J715" s="224"/>
      <c r="K715" s="224"/>
      <c r="L715" s="224"/>
    </row>
    <row r="716" spans="3:13" x14ac:dyDescent="0.55000000000000004">
      <c r="C716" s="124"/>
      <c r="G716" s="125"/>
      <c r="I716" s="224"/>
      <c r="J716" s="224"/>
      <c r="K716" s="224"/>
      <c r="L716" s="224"/>
    </row>
    <row r="717" spans="3:13" ht="28.8" x14ac:dyDescent="0.55000000000000004">
      <c r="C717" s="124"/>
      <c r="G717" s="125"/>
      <c r="I717" s="102" t="s">
        <v>383</v>
      </c>
      <c r="J717" s="102" t="s">
        <v>382</v>
      </c>
      <c r="K717" s="102" t="s">
        <v>100</v>
      </c>
      <c r="L717" s="230" t="s">
        <v>392</v>
      </c>
      <c r="M717" s="231" t="s">
        <v>567</v>
      </c>
    </row>
    <row r="718" spans="3:13" x14ac:dyDescent="0.55000000000000004">
      <c r="C718" s="124"/>
      <c r="G718" s="125"/>
      <c r="I718" s="102">
        <v>1</v>
      </c>
      <c r="J718" s="102">
        <f>IFERROR(VLOOKUP(I718,'3 Water'!$E$449:$J$458,3,FALSE),0)</f>
        <v>0</v>
      </c>
      <c r="K718" s="103">
        <f>IFERROR(VLOOKUP(I718,'3 Water'!$E$449:$J$458,6,FALSE),0)</f>
        <v>0</v>
      </c>
      <c r="L718" s="104">
        <f t="shared" ref="L718:L727" ca="1" si="20">$E$707</f>
        <v>0</v>
      </c>
      <c r="M718" s="106">
        <f ca="1">IFERROR('3 Water'!I428/'3 Water'!G428,0)</f>
        <v>0</v>
      </c>
    </row>
    <row r="719" spans="3:13" x14ac:dyDescent="0.55000000000000004">
      <c r="C719" s="124"/>
      <c r="G719" s="125"/>
      <c r="I719" s="102">
        <v>2</v>
      </c>
      <c r="J719" s="102">
        <f>IFERROR(VLOOKUP(I719,'3 Water'!$E$449:$J$458,3,FALSE),0)</f>
        <v>0</v>
      </c>
      <c r="K719" s="103">
        <f ca="1">IFERROR(VLOOKUP(I719,'3 Water'!$E$449:$J$458,6,FALSE),0)</f>
        <v>0</v>
      </c>
      <c r="L719" s="104">
        <f t="shared" ca="1" si="20"/>
        <v>0</v>
      </c>
      <c r="M719" s="104">
        <f t="shared" ref="M719:M727" ca="1" si="21">$M$718</f>
        <v>0</v>
      </c>
    </row>
    <row r="720" spans="3:13" x14ac:dyDescent="0.55000000000000004">
      <c r="C720" s="124"/>
      <c r="G720" s="125"/>
      <c r="I720" s="102">
        <v>3</v>
      </c>
      <c r="J720" s="102">
        <f>IFERROR(VLOOKUP(I720,'3 Water'!$E$449:$J$458,3,FALSE),0)</f>
        <v>0</v>
      </c>
      <c r="K720" s="103">
        <f ca="1">IFERROR(VLOOKUP(I720,'3 Water'!$E$449:$J$458,6,FALSE),0)</f>
        <v>0</v>
      </c>
      <c r="L720" s="104">
        <f t="shared" ca="1" si="20"/>
        <v>0</v>
      </c>
      <c r="M720" s="104">
        <f t="shared" ca="1" si="21"/>
        <v>0</v>
      </c>
    </row>
    <row r="721" spans="3:13" x14ac:dyDescent="0.55000000000000004">
      <c r="C721" s="124"/>
      <c r="G721" s="125"/>
      <c r="I721" s="102">
        <v>4</v>
      </c>
      <c r="J721" s="102">
        <f>IFERROR(VLOOKUP(I721,'3 Water'!$E$449:$J$458,3,FALSE),0)</f>
        <v>0</v>
      </c>
      <c r="K721" s="103">
        <f ca="1">IFERROR(VLOOKUP(I721,'3 Water'!$E$449:$J$458,6,FALSE),0)</f>
        <v>0</v>
      </c>
      <c r="L721" s="104">
        <f t="shared" ca="1" si="20"/>
        <v>0</v>
      </c>
      <c r="M721" s="104">
        <f t="shared" ca="1" si="21"/>
        <v>0</v>
      </c>
    </row>
    <row r="722" spans="3:13" x14ac:dyDescent="0.55000000000000004">
      <c r="C722" s="124"/>
      <c r="G722" s="125"/>
      <c r="I722" s="102">
        <v>5</v>
      </c>
      <c r="J722" s="102">
        <f>IFERROR(VLOOKUP(I722,'3 Water'!$E$449:$J$458,3,FALSE),0)</f>
        <v>0</v>
      </c>
      <c r="K722" s="103">
        <f ca="1">IFERROR(VLOOKUP(I722,'3 Water'!$E$449:$J$458,6,FALSE),0)</f>
        <v>0</v>
      </c>
      <c r="L722" s="104">
        <f t="shared" ca="1" si="20"/>
        <v>0</v>
      </c>
      <c r="M722" s="104">
        <f t="shared" ca="1" si="21"/>
        <v>0</v>
      </c>
    </row>
    <row r="723" spans="3:13" x14ac:dyDescent="0.55000000000000004">
      <c r="C723" s="124"/>
      <c r="G723" s="125"/>
      <c r="I723" s="102">
        <v>6</v>
      </c>
      <c r="J723" s="102">
        <f>IFERROR(VLOOKUP(I723,'3 Water'!$E$449:$J$458,3,FALSE),0)</f>
        <v>0</v>
      </c>
      <c r="K723" s="103">
        <f ca="1">IFERROR(VLOOKUP(I723,'3 Water'!$E$449:$J$458,6,FALSE),0)</f>
        <v>0</v>
      </c>
      <c r="L723" s="104">
        <f t="shared" ca="1" si="20"/>
        <v>0</v>
      </c>
      <c r="M723" s="104">
        <f t="shared" ca="1" si="21"/>
        <v>0</v>
      </c>
    </row>
    <row r="724" spans="3:13" x14ac:dyDescent="0.55000000000000004">
      <c r="C724" s="124"/>
      <c r="G724" s="125"/>
      <c r="I724" s="102">
        <v>7</v>
      </c>
      <c r="J724" s="102">
        <f>IFERROR(VLOOKUP(I724,'3 Water'!$E$449:$J$458,3,FALSE),0)</f>
        <v>0</v>
      </c>
      <c r="K724" s="103">
        <f ca="1">IFERROR(VLOOKUP(I724,'3 Water'!$E$449:$J$458,6,FALSE),0)</f>
        <v>0</v>
      </c>
      <c r="L724" s="104">
        <f t="shared" ca="1" si="20"/>
        <v>0</v>
      </c>
      <c r="M724" s="104">
        <f t="shared" ca="1" si="21"/>
        <v>0</v>
      </c>
    </row>
    <row r="725" spans="3:13" x14ac:dyDescent="0.55000000000000004">
      <c r="C725" s="124"/>
      <c r="G725" s="125"/>
      <c r="I725" s="102">
        <v>8</v>
      </c>
      <c r="J725" s="102">
        <f>IFERROR(VLOOKUP(I725,'3 Water'!$E$449:$J$458,3,FALSE),0)</f>
        <v>0</v>
      </c>
      <c r="K725" s="103">
        <f ca="1">IFERROR(VLOOKUP(I725,'3 Water'!$E$449:$J$458,6,FALSE),0)</f>
        <v>0</v>
      </c>
      <c r="L725" s="104">
        <f t="shared" ca="1" si="20"/>
        <v>0</v>
      </c>
      <c r="M725" s="104">
        <f t="shared" ca="1" si="21"/>
        <v>0</v>
      </c>
    </row>
    <row r="726" spans="3:13" x14ac:dyDescent="0.55000000000000004">
      <c r="C726" s="124"/>
      <c r="G726" s="125"/>
      <c r="I726" s="102">
        <v>9</v>
      </c>
      <c r="J726" s="102">
        <f>IFERROR(VLOOKUP(I726,'3 Water'!$E$449:$J$458,3,FALSE),0)</f>
        <v>0</v>
      </c>
      <c r="K726" s="103">
        <f ca="1">IFERROR(VLOOKUP(I726,'3 Water'!$E$449:$J$458,6,FALSE),0)</f>
        <v>0</v>
      </c>
      <c r="L726" s="104">
        <f t="shared" ca="1" si="20"/>
        <v>0</v>
      </c>
      <c r="M726" s="104">
        <f t="shared" ca="1" si="21"/>
        <v>0</v>
      </c>
    </row>
    <row r="727" spans="3:13" x14ac:dyDescent="0.55000000000000004">
      <c r="C727" s="124"/>
      <c r="G727" s="125"/>
      <c r="I727" s="102">
        <v>10</v>
      </c>
      <c r="J727" s="102" t="str">
        <f>IFERROR(VLOOKUP(I727,'3 Water'!$E$449:$J$458,3,FALSE),0)</f>
        <v>More</v>
      </c>
      <c r="K727" s="103">
        <f ca="1">IFERROR(VLOOKUP(I727,'3 Water'!$E$449:$J$458,6,FALSE),0)</f>
        <v>0</v>
      </c>
      <c r="L727" s="104">
        <f t="shared" ca="1" si="20"/>
        <v>0</v>
      </c>
      <c r="M727" s="104">
        <f t="shared" ca="1" si="21"/>
        <v>0</v>
      </c>
    </row>
    <row r="728" spans="3:13" x14ac:dyDescent="0.55000000000000004">
      <c r="C728" s="124"/>
      <c r="G728" s="125"/>
      <c r="I728" s="224"/>
      <c r="J728" s="224"/>
      <c r="K728" s="224"/>
      <c r="L728" s="224"/>
    </row>
    <row r="729" spans="3:13" x14ac:dyDescent="0.55000000000000004">
      <c r="C729" s="124"/>
      <c r="G729" s="125"/>
      <c r="I729" s="224"/>
      <c r="J729" s="224"/>
      <c r="K729" s="224"/>
      <c r="L729" s="224"/>
    </row>
    <row r="730" spans="3:13" x14ac:dyDescent="0.55000000000000004">
      <c r="C730" s="124"/>
      <c r="G730" s="125"/>
      <c r="I730" s="224"/>
      <c r="J730" s="224"/>
      <c r="K730" s="224"/>
      <c r="L730" s="224"/>
    </row>
    <row r="731" spans="3:13" x14ac:dyDescent="0.55000000000000004">
      <c r="C731" s="124"/>
      <c r="G731" s="125"/>
      <c r="I731" s="224"/>
      <c r="J731" s="224"/>
      <c r="K731" s="224"/>
      <c r="L731" s="224"/>
    </row>
    <row r="732" spans="3:13" x14ac:dyDescent="0.55000000000000004">
      <c r="C732" s="124"/>
      <c r="G732" s="125"/>
      <c r="I732" s="224"/>
      <c r="J732" s="224"/>
      <c r="K732" s="224"/>
      <c r="L732" s="224"/>
    </row>
    <row r="733" spans="3:13" ht="14.7" thickBot="1" x14ac:dyDescent="0.6">
      <c r="C733" s="130"/>
      <c r="D733" s="131"/>
      <c r="E733" s="131"/>
      <c r="F733" s="131"/>
      <c r="G733" s="132"/>
      <c r="I733" s="224"/>
      <c r="J733" s="224"/>
      <c r="K733" s="224"/>
      <c r="L733" s="224"/>
    </row>
    <row r="734" spans="3:13" x14ac:dyDescent="0.55000000000000004">
      <c r="I734" s="224"/>
      <c r="J734" s="224"/>
      <c r="K734" s="224"/>
      <c r="L734" s="224"/>
    </row>
    <row r="735" spans="3:13" ht="14.7" thickBot="1" x14ac:dyDescent="0.6">
      <c r="I735" s="224"/>
      <c r="J735" s="224"/>
      <c r="K735" s="224"/>
      <c r="L735" s="224"/>
    </row>
    <row r="736" spans="3:13" x14ac:dyDescent="0.55000000000000004">
      <c r="C736" s="121"/>
      <c r="D736" s="122"/>
      <c r="E736" s="122"/>
      <c r="F736" s="122"/>
      <c r="G736" s="123"/>
      <c r="I736" s="224"/>
      <c r="J736" s="224"/>
      <c r="K736" s="224"/>
      <c r="L736" s="224"/>
    </row>
    <row r="737" spans="3:12" ht="15.6" x14ac:dyDescent="0.6">
      <c r="C737" s="124"/>
      <c r="D737" s="98">
        <f>'2 Customer data'!D32</f>
        <v>0</v>
      </c>
      <c r="G737" s="125"/>
      <c r="I737" s="224"/>
      <c r="J737" s="224"/>
      <c r="K737" s="224"/>
      <c r="L737" s="224"/>
    </row>
    <row r="738" spans="3:12" x14ac:dyDescent="0.55000000000000004">
      <c r="C738" s="124"/>
      <c r="G738" s="125"/>
      <c r="I738" s="224"/>
      <c r="J738" s="224"/>
      <c r="K738" s="224"/>
      <c r="L738" s="224"/>
    </row>
    <row r="739" spans="3:12" x14ac:dyDescent="0.55000000000000004">
      <c r="C739" s="124"/>
      <c r="E739" s="220" t="s">
        <v>250</v>
      </c>
      <c r="G739" s="125"/>
      <c r="I739" s="224"/>
      <c r="J739" s="224"/>
      <c r="K739" s="224"/>
      <c r="L739" s="224"/>
    </row>
    <row r="740" spans="3:12" x14ac:dyDescent="0.55000000000000004">
      <c r="C740" s="124"/>
      <c r="D740" t="s">
        <v>369</v>
      </c>
      <c r="E740" s="26">
        <f ca="1">VLOOKUP(D737,'2 Water'!$D$19:$J$38,5,FALSE)</f>
        <v>0</v>
      </c>
      <c r="G740" s="125"/>
      <c r="I740" s="224"/>
      <c r="J740" s="224"/>
      <c r="K740" s="224"/>
      <c r="L740" s="224"/>
    </row>
    <row r="741" spans="3:12" x14ac:dyDescent="0.55000000000000004">
      <c r="C741" s="124"/>
      <c r="D741" t="s">
        <v>370</v>
      </c>
      <c r="E741" s="99">
        <f ca="1">VLOOKUP(D737,'2 Water'!$D$19:$J$38,6,FALSE)</f>
        <v>0</v>
      </c>
      <c r="G741" s="125"/>
      <c r="I741" s="224"/>
      <c r="J741" s="224"/>
      <c r="K741" s="224"/>
      <c r="L741" s="224"/>
    </row>
    <row r="742" spans="3:12" ht="14.7" thickBot="1" x14ac:dyDescent="0.6">
      <c r="C742" s="124"/>
      <c r="D742" s="1" t="s">
        <v>39</v>
      </c>
      <c r="E742" s="37">
        <f ca="1">VLOOKUP(D737,'2 Water'!$D$19:$J$38,7,FALSE)</f>
        <v>0</v>
      </c>
      <c r="G742" s="125"/>
      <c r="I742" s="224"/>
      <c r="J742" s="224"/>
      <c r="K742" s="224"/>
      <c r="L742" s="224"/>
    </row>
    <row r="743" spans="3:12" ht="14.7" thickTop="1" x14ac:dyDescent="0.55000000000000004">
      <c r="C743" s="124"/>
      <c r="G743" s="125"/>
      <c r="I743" s="224"/>
      <c r="J743" s="224"/>
      <c r="K743" s="224"/>
      <c r="L743" s="224"/>
    </row>
    <row r="744" spans="3:12" x14ac:dyDescent="0.55000000000000004">
      <c r="C744" s="124"/>
      <c r="D744" t="s">
        <v>189</v>
      </c>
      <c r="E744" s="26">
        <f ca="1">IF(VLOOKUP(D737,'2 Water'!$D$126:$K$145,7,FALSE)="",VLOOKUP(D737,'2 Water'!$D$126:$K$145,6,FALSE),VLOOKUP(D737,'2 Water'!$D$126:$K$145,7,FALSE))+VLOOKUP(D737,'2 Water'!$D$158:$J$177,5,FALSE)</f>
        <v>0</v>
      </c>
      <c r="G744" s="125"/>
      <c r="I744" s="224"/>
      <c r="J744" s="224"/>
      <c r="K744" s="224"/>
      <c r="L744" s="224"/>
    </row>
    <row r="745" spans="3:12" x14ac:dyDescent="0.55000000000000004">
      <c r="C745" s="124"/>
      <c r="G745" s="125"/>
      <c r="I745" s="224"/>
      <c r="J745" s="224"/>
      <c r="K745" s="224"/>
      <c r="L745" s="224"/>
    </row>
    <row r="746" spans="3:12" x14ac:dyDescent="0.55000000000000004">
      <c r="C746" s="124"/>
      <c r="D746" t="s">
        <v>371</v>
      </c>
      <c r="E746" s="64">
        <f ca="1">IF(VLOOKUP(D737,'2 Water'!$D$54:$M$73,5,FALSE)="",VLOOKUP(D737,'2 Water'!$D$54:$M$73,4,FALSE),VLOOKUP(D737,'2 Water'!$D$54:$M$73,5,FALSE))</f>
        <v>0</v>
      </c>
      <c r="G746" s="125"/>
      <c r="I746" s="224"/>
      <c r="J746" s="224"/>
      <c r="K746" s="224"/>
      <c r="L746" s="224"/>
    </row>
    <row r="747" spans="3:12" x14ac:dyDescent="0.55000000000000004">
      <c r="C747" s="124"/>
      <c r="D747" t="s">
        <v>372</v>
      </c>
      <c r="E747" s="26">
        <f ca="1">IF(VLOOKUP(D737,'2 Water'!$D$54:$M$73,7,FALSE)="",VLOOKUP(D737,'2 Water'!$D$54:$M$73,6,FALSE),VLOOKUP(D737,'2 Water'!$D$54:$M$73,7,FALSE))</f>
        <v>0</v>
      </c>
      <c r="G747" s="125"/>
      <c r="I747" s="224"/>
      <c r="J747" s="224"/>
      <c r="K747" s="224"/>
      <c r="L747" s="224"/>
    </row>
    <row r="748" spans="3:12" x14ac:dyDescent="0.55000000000000004">
      <c r="C748" s="124"/>
      <c r="D748" t="s">
        <v>373</v>
      </c>
      <c r="E748" s="26">
        <f ca="1">IF(VLOOKUP(D737,'2 Water'!$D$54:$M$73,9,FALSE)="",VLOOKUP(D737,'2 Water'!$D$54:$M$73,8,FALSE),VLOOKUP(D737,'2 Water'!$D$54:$M$73,9,FALSE))</f>
        <v>0</v>
      </c>
      <c r="G748" s="125"/>
      <c r="I748" s="224"/>
      <c r="J748" s="224"/>
      <c r="K748" s="224"/>
      <c r="L748" s="224"/>
    </row>
    <row r="749" spans="3:12" x14ac:dyDescent="0.55000000000000004">
      <c r="C749" s="124"/>
      <c r="D749" t="s">
        <v>374</v>
      </c>
      <c r="E749" s="26">
        <f ca="1">IF(VLOOKUP(D737,'2 Water'!$D$90:$I$109,5,FALSE)="",VLOOKUP(D737,'2 Water'!$D$90:$I$109,4,FALSE),VLOOKUP(D737,'2 Water'!$D$90:$I$109,5,FALSE))</f>
        <v>0</v>
      </c>
      <c r="G749" s="125"/>
      <c r="I749" s="224"/>
      <c r="J749" s="224"/>
      <c r="K749" s="224"/>
      <c r="L749" s="224"/>
    </row>
    <row r="750" spans="3:12" ht="14.7" thickBot="1" x14ac:dyDescent="0.6">
      <c r="C750" s="124"/>
      <c r="D750" s="1" t="s">
        <v>145</v>
      </c>
      <c r="E750" s="37">
        <f ca="1">SUM(E746:E749)</f>
        <v>0</v>
      </c>
      <c r="F750" s="135"/>
      <c r="G750" s="125"/>
      <c r="I750" s="224"/>
      <c r="J750" s="224"/>
      <c r="K750" s="224"/>
      <c r="L750" s="224"/>
    </row>
    <row r="751" spans="3:12" ht="14.7" thickTop="1" x14ac:dyDescent="0.55000000000000004">
      <c r="C751" s="124"/>
      <c r="D751" s="1"/>
      <c r="E751" s="15"/>
      <c r="G751" s="125"/>
      <c r="I751" s="224"/>
      <c r="J751" s="224"/>
      <c r="K751" s="224"/>
      <c r="L751" s="224"/>
    </row>
    <row r="752" spans="3:12" x14ac:dyDescent="0.55000000000000004">
      <c r="C752" s="124"/>
      <c r="D752" t="s">
        <v>384</v>
      </c>
      <c r="E752" s="26">
        <f ca="1">IF(VLOOKUP(D737,'2 Water'!$D$126:$K$145,5,FALSE)="",VLOOKUP(D737,'2 Water'!$D$126:$K$145,4,FALSE),VLOOKUP(D737,'2 Water'!$D$126:$K$145,5,FALSE))+VLOOKUP(D737,'2 Water'!$D$158:$J$177,7,FALSE)</f>
        <v>0</v>
      </c>
      <c r="G752" s="125"/>
      <c r="I752" s="224"/>
      <c r="J752" s="224"/>
      <c r="K752" s="224"/>
      <c r="L752" s="224"/>
    </row>
    <row r="753" spans="3:12" x14ac:dyDescent="0.55000000000000004">
      <c r="C753" s="124"/>
      <c r="G753" s="125"/>
      <c r="I753" s="224"/>
      <c r="J753" s="224"/>
      <c r="K753" s="224"/>
      <c r="L753" s="224"/>
    </row>
    <row r="754" spans="3:12" ht="14.7" thickBot="1" x14ac:dyDescent="0.6">
      <c r="C754" s="124"/>
      <c r="D754" s="1" t="s">
        <v>375</v>
      </c>
      <c r="E754" s="37">
        <f ca="1">VLOOKUP(D737,'2 Water'!$D$158:$K$177,8,FALSE)</f>
        <v>0</v>
      </c>
      <c r="G754" s="125"/>
      <c r="I754" s="224"/>
      <c r="J754" s="224"/>
      <c r="K754" s="224"/>
      <c r="L754" s="224"/>
    </row>
    <row r="755" spans="3:12" ht="14.7" thickTop="1" x14ac:dyDescent="0.55000000000000004">
      <c r="C755" s="124"/>
      <c r="G755" s="125"/>
      <c r="I755" s="224"/>
      <c r="J755" s="224"/>
      <c r="K755" s="224"/>
      <c r="L755" s="224"/>
    </row>
    <row r="756" spans="3:12" x14ac:dyDescent="0.55000000000000004">
      <c r="C756" s="124"/>
      <c r="G756" s="125"/>
      <c r="I756" s="232" t="s">
        <v>385</v>
      </c>
      <c r="J756" s="224"/>
      <c r="K756" s="224"/>
      <c r="L756" s="224"/>
    </row>
    <row r="757" spans="3:12" x14ac:dyDescent="0.55000000000000004">
      <c r="C757" s="124"/>
      <c r="G757" s="125"/>
      <c r="I757" s="110"/>
      <c r="J757" s="102" t="s">
        <v>390</v>
      </c>
      <c r="K757" s="102" t="s">
        <v>391</v>
      </c>
      <c r="L757" s="224"/>
    </row>
    <row r="758" spans="3:12" x14ac:dyDescent="0.55000000000000004">
      <c r="C758" s="124"/>
      <c r="G758" s="125"/>
      <c r="I758" s="110" t="s">
        <v>369</v>
      </c>
      <c r="J758" s="100">
        <f ca="1">E740/1000</f>
        <v>0</v>
      </c>
      <c r="K758" s="102"/>
      <c r="L758" s="224"/>
    </row>
    <row r="759" spans="3:12" x14ac:dyDescent="0.55000000000000004">
      <c r="C759" s="124"/>
      <c r="G759" s="125"/>
      <c r="I759" s="110" t="s">
        <v>370</v>
      </c>
      <c r="J759" s="100">
        <f ca="1">E741/1000</f>
        <v>0</v>
      </c>
      <c r="K759" s="110"/>
      <c r="L759" s="224"/>
    </row>
    <row r="760" spans="3:12" x14ac:dyDescent="0.55000000000000004">
      <c r="C760" s="124"/>
      <c r="G760" s="125"/>
      <c r="I760" s="110" t="s">
        <v>471</v>
      </c>
      <c r="J760" s="100">
        <f ca="1">E744/1000</f>
        <v>0</v>
      </c>
      <c r="K760" s="110"/>
      <c r="L760" s="224"/>
    </row>
    <row r="761" spans="3:12" x14ac:dyDescent="0.55000000000000004">
      <c r="C761" s="124"/>
      <c r="G761" s="125"/>
      <c r="I761" s="110" t="s">
        <v>563</v>
      </c>
      <c r="J761" s="100"/>
      <c r="K761" s="101">
        <f ca="1">E754/1000</f>
        <v>0</v>
      </c>
      <c r="L761" s="224"/>
    </row>
    <row r="762" spans="3:12" x14ac:dyDescent="0.55000000000000004">
      <c r="C762" s="124"/>
      <c r="G762" s="125"/>
      <c r="I762" s="110" t="s">
        <v>564</v>
      </c>
      <c r="J762" s="100"/>
      <c r="K762" s="101">
        <f ca="1">E749/1000</f>
        <v>0</v>
      </c>
      <c r="L762" s="224"/>
    </row>
    <row r="763" spans="3:12" x14ac:dyDescent="0.55000000000000004">
      <c r="C763" s="124"/>
      <c r="G763" s="125"/>
      <c r="I763" s="110" t="s">
        <v>565</v>
      </c>
      <c r="J763" s="100"/>
      <c r="K763" s="101">
        <f ca="1">SUM(E746:E748)/1000</f>
        <v>0</v>
      </c>
      <c r="L763" s="224"/>
    </row>
    <row r="764" spans="3:12" x14ac:dyDescent="0.55000000000000004">
      <c r="C764" s="124"/>
      <c r="G764" s="125"/>
      <c r="I764" s="110" t="s">
        <v>566</v>
      </c>
      <c r="J764" s="100"/>
      <c r="K764" s="101">
        <f ca="1">E752/1000</f>
        <v>0</v>
      </c>
      <c r="L764" s="224"/>
    </row>
    <row r="765" spans="3:12" x14ac:dyDescent="0.55000000000000004">
      <c r="C765" s="124"/>
      <c r="G765" s="125"/>
      <c r="I765" s="224"/>
      <c r="J765" s="224"/>
      <c r="K765" s="224"/>
      <c r="L765" s="224"/>
    </row>
    <row r="766" spans="3:12" x14ac:dyDescent="0.55000000000000004">
      <c r="C766" s="124"/>
      <c r="G766" s="125"/>
      <c r="I766" s="224"/>
      <c r="J766" s="224"/>
      <c r="K766" s="224"/>
      <c r="L766" s="224"/>
    </row>
    <row r="767" spans="3:12" x14ac:dyDescent="0.55000000000000004">
      <c r="C767" s="124"/>
      <c r="G767" s="125"/>
      <c r="I767" s="224"/>
      <c r="J767" s="224"/>
      <c r="K767" s="224"/>
      <c r="L767" s="224"/>
    </row>
    <row r="768" spans="3:12" x14ac:dyDescent="0.55000000000000004">
      <c r="C768" s="124"/>
      <c r="G768" s="125"/>
      <c r="I768" s="224"/>
      <c r="J768" s="224"/>
      <c r="K768" s="224"/>
      <c r="L768" s="224"/>
    </row>
    <row r="769" spans="3:13" x14ac:dyDescent="0.55000000000000004">
      <c r="C769" s="124"/>
      <c r="G769" s="125"/>
      <c r="I769" s="224"/>
      <c r="J769" s="224"/>
      <c r="K769" s="224"/>
      <c r="L769" s="224"/>
    </row>
    <row r="770" spans="3:13" x14ac:dyDescent="0.55000000000000004">
      <c r="C770" s="124"/>
      <c r="G770" s="125"/>
      <c r="I770" s="224"/>
      <c r="J770" s="224"/>
      <c r="K770" s="224"/>
      <c r="L770" s="224"/>
    </row>
    <row r="771" spans="3:13" x14ac:dyDescent="0.55000000000000004">
      <c r="C771" s="124"/>
      <c r="G771" s="125"/>
      <c r="I771" s="224"/>
      <c r="J771" s="224"/>
      <c r="K771" s="224"/>
      <c r="L771" s="224"/>
    </row>
    <row r="772" spans="3:13" x14ac:dyDescent="0.55000000000000004">
      <c r="C772" s="124"/>
      <c r="G772" s="125"/>
      <c r="I772" s="224"/>
      <c r="J772" s="224"/>
      <c r="K772" s="224"/>
      <c r="L772" s="224"/>
    </row>
    <row r="773" spans="3:13" x14ac:dyDescent="0.55000000000000004">
      <c r="C773" s="124"/>
      <c r="E773" s="220"/>
      <c r="G773" s="125"/>
      <c r="I773" s="224"/>
      <c r="J773" s="224"/>
      <c r="K773" s="224"/>
      <c r="L773" s="224"/>
    </row>
    <row r="774" spans="3:13" x14ac:dyDescent="0.55000000000000004">
      <c r="C774" s="124"/>
      <c r="D774" t="s">
        <v>387</v>
      </c>
      <c r="E774" s="64">
        <f ca="1">VLOOKUP(D737,'2 Water'!$D$158:$M$177,10,FALSE)</f>
        <v>0</v>
      </c>
      <c r="G774" s="125"/>
      <c r="I774" s="224"/>
      <c r="J774" s="224"/>
      <c r="K774" s="224"/>
      <c r="L774" s="224"/>
    </row>
    <row r="775" spans="3:13" x14ac:dyDescent="0.55000000000000004">
      <c r="C775" s="124"/>
      <c r="D775" t="s">
        <v>388</v>
      </c>
      <c r="E775" s="64">
        <f ca="1">VLOOKUP(D737,'2 Water'!$D$158:$M$177,9,FALSE)</f>
        <v>0</v>
      </c>
      <c r="G775" s="125"/>
      <c r="I775" s="224"/>
      <c r="J775" s="224"/>
      <c r="K775" s="224"/>
      <c r="L775" s="224"/>
    </row>
    <row r="776" spans="3:13" x14ac:dyDescent="0.55000000000000004">
      <c r="C776" s="124"/>
      <c r="D776" t="s">
        <v>378</v>
      </c>
      <c r="E776" s="97">
        <f ca="1">IFERROR(IF(E744=0,E752,E744)/E742,0)</f>
        <v>0</v>
      </c>
      <c r="G776" s="125"/>
      <c r="I776" s="224"/>
      <c r="J776" s="224"/>
      <c r="K776" s="224"/>
      <c r="L776" s="224"/>
    </row>
    <row r="777" spans="3:13" x14ac:dyDescent="0.55000000000000004">
      <c r="C777" s="124"/>
      <c r="G777" s="125"/>
      <c r="I777" s="224"/>
      <c r="J777" s="224"/>
      <c r="K777" s="224"/>
      <c r="L777" s="224"/>
    </row>
    <row r="778" spans="3:13" x14ac:dyDescent="0.55000000000000004">
      <c r="C778" s="124"/>
      <c r="D778" t="s">
        <v>389</v>
      </c>
      <c r="E778" s="64">
        <f>'3 Water'!H477</f>
        <v>0</v>
      </c>
      <c r="G778" s="125"/>
      <c r="I778" s="224"/>
      <c r="J778" s="224"/>
      <c r="K778" s="224"/>
      <c r="L778" s="224"/>
    </row>
    <row r="779" spans="3:13" x14ac:dyDescent="0.55000000000000004">
      <c r="C779" s="124"/>
      <c r="D779" t="s">
        <v>380</v>
      </c>
      <c r="E779" s="97">
        <f ca="1">IFERROR('3 Water'!I477/'3 Water'!H469,0)</f>
        <v>0</v>
      </c>
      <c r="G779" s="125"/>
      <c r="I779" s="224"/>
      <c r="J779" s="224"/>
      <c r="K779" s="224"/>
      <c r="L779" s="224"/>
    </row>
    <row r="780" spans="3:13" x14ac:dyDescent="0.55000000000000004">
      <c r="C780" s="124"/>
      <c r="G780" s="125"/>
      <c r="I780" s="224"/>
      <c r="J780" s="224"/>
      <c r="K780" s="224"/>
      <c r="L780" s="224"/>
    </row>
    <row r="781" spans="3:13" x14ac:dyDescent="0.55000000000000004">
      <c r="C781" s="124"/>
      <c r="D781" s="1" t="s">
        <v>381</v>
      </c>
      <c r="G781" s="125"/>
      <c r="I781" s="224"/>
      <c r="J781" s="224"/>
      <c r="K781" s="224"/>
      <c r="L781" s="224"/>
    </row>
    <row r="782" spans="3:13" x14ac:dyDescent="0.55000000000000004">
      <c r="C782" s="124"/>
      <c r="G782" s="125"/>
      <c r="I782" s="224"/>
      <c r="J782" s="224"/>
      <c r="K782" s="224"/>
      <c r="L782" s="224"/>
    </row>
    <row r="783" spans="3:13" x14ac:dyDescent="0.55000000000000004">
      <c r="C783" s="124"/>
      <c r="G783" s="125"/>
      <c r="I783" s="224"/>
      <c r="J783" s="224"/>
      <c r="K783" s="224"/>
      <c r="L783" s="224"/>
    </row>
    <row r="784" spans="3:13" ht="28.8" x14ac:dyDescent="0.55000000000000004">
      <c r="C784" s="124"/>
      <c r="G784" s="125"/>
      <c r="I784" s="102" t="s">
        <v>383</v>
      </c>
      <c r="J784" s="102" t="s">
        <v>382</v>
      </c>
      <c r="K784" s="102" t="s">
        <v>100</v>
      </c>
      <c r="L784" s="230" t="s">
        <v>392</v>
      </c>
      <c r="M784" s="231" t="s">
        <v>567</v>
      </c>
    </row>
    <row r="785" spans="3:13" x14ac:dyDescent="0.55000000000000004">
      <c r="C785" s="124"/>
      <c r="G785" s="125"/>
      <c r="I785" s="102">
        <v>1</v>
      </c>
      <c r="J785" s="102">
        <f>IFERROR(VLOOKUP(I785,'3 Water'!$E$490:$J$499,3,FALSE),0)</f>
        <v>0</v>
      </c>
      <c r="K785" s="103">
        <f>IFERROR(VLOOKUP(I785,'3 Water'!$E$490:$J$499,6,FALSE),0)</f>
        <v>0</v>
      </c>
      <c r="L785" s="104">
        <f t="shared" ref="L785:L794" ca="1" si="22">$E$774</f>
        <v>0</v>
      </c>
      <c r="M785" s="106">
        <f ca="1">IFERROR('3 Water'!I469/'3 Water'!G469,0)</f>
        <v>0</v>
      </c>
    </row>
    <row r="786" spans="3:13" x14ac:dyDescent="0.55000000000000004">
      <c r="C786" s="124"/>
      <c r="G786" s="125"/>
      <c r="I786" s="102">
        <v>2</v>
      </c>
      <c r="J786" s="102">
        <f>IFERROR(VLOOKUP(I786,'3 Water'!$E$490:$J$499,3,FALSE),0)</f>
        <v>0</v>
      </c>
      <c r="K786" s="103">
        <f ca="1">IFERROR(VLOOKUP(I786,'3 Water'!$E$490:$J$499,6,FALSE),0)</f>
        <v>0</v>
      </c>
      <c r="L786" s="104">
        <f t="shared" ca="1" si="22"/>
        <v>0</v>
      </c>
      <c r="M786" s="104">
        <f t="shared" ref="M786:M794" ca="1" si="23">$M$785</f>
        <v>0</v>
      </c>
    </row>
    <row r="787" spans="3:13" x14ac:dyDescent="0.55000000000000004">
      <c r="C787" s="124"/>
      <c r="G787" s="125"/>
      <c r="I787" s="102">
        <v>3</v>
      </c>
      <c r="J787" s="102">
        <f>IFERROR(VLOOKUP(I787,'3 Water'!$E$490:$J$499,3,FALSE),0)</f>
        <v>0</v>
      </c>
      <c r="K787" s="103">
        <f ca="1">IFERROR(VLOOKUP(I787,'3 Water'!$E$490:$J$499,6,FALSE),0)</f>
        <v>0</v>
      </c>
      <c r="L787" s="104">
        <f t="shared" ca="1" si="22"/>
        <v>0</v>
      </c>
      <c r="M787" s="104">
        <f t="shared" ca="1" si="23"/>
        <v>0</v>
      </c>
    </row>
    <row r="788" spans="3:13" x14ac:dyDescent="0.55000000000000004">
      <c r="C788" s="124"/>
      <c r="G788" s="125"/>
      <c r="I788" s="102">
        <v>4</v>
      </c>
      <c r="J788" s="102">
        <f>IFERROR(VLOOKUP(I788,'3 Water'!$E$490:$J$499,3,FALSE),0)</f>
        <v>0</v>
      </c>
      <c r="K788" s="103">
        <f ca="1">IFERROR(VLOOKUP(I788,'3 Water'!$E$490:$J$499,6,FALSE),0)</f>
        <v>0</v>
      </c>
      <c r="L788" s="104">
        <f t="shared" ca="1" si="22"/>
        <v>0</v>
      </c>
      <c r="M788" s="104">
        <f t="shared" ca="1" si="23"/>
        <v>0</v>
      </c>
    </row>
    <row r="789" spans="3:13" x14ac:dyDescent="0.55000000000000004">
      <c r="C789" s="124"/>
      <c r="G789" s="125"/>
      <c r="I789" s="102">
        <v>5</v>
      </c>
      <c r="J789" s="102">
        <f>IFERROR(VLOOKUP(I789,'3 Water'!$E$490:$J$499,3,FALSE),0)</f>
        <v>0</v>
      </c>
      <c r="K789" s="103">
        <f ca="1">IFERROR(VLOOKUP(I789,'3 Water'!$E$490:$J$499,6,FALSE),0)</f>
        <v>0</v>
      </c>
      <c r="L789" s="104">
        <f t="shared" ca="1" si="22"/>
        <v>0</v>
      </c>
      <c r="M789" s="104">
        <f t="shared" ca="1" si="23"/>
        <v>0</v>
      </c>
    </row>
    <row r="790" spans="3:13" x14ac:dyDescent="0.55000000000000004">
      <c r="C790" s="124"/>
      <c r="G790" s="125"/>
      <c r="I790" s="102">
        <v>6</v>
      </c>
      <c r="J790" s="102">
        <f>IFERROR(VLOOKUP(I790,'3 Water'!$E$490:$J$499,3,FALSE),0)</f>
        <v>0</v>
      </c>
      <c r="K790" s="103">
        <f ca="1">IFERROR(VLOOKUP(I790,'3 Water'!$E$490:$J$499,6,FALSE),0)</f>
        <v>0</v>
      </c>
      <c r="L790" s="104">
        <f t="shared" ca="1" si="22"/>
        <v>0</v>
      </c>
      <c r="M790" s="104">
        <f t="shared" ca="1" si="23"/>
        <v>0</v>
      </c>
    </row>
    <row r="791" spans="3:13" x14ac:dyDescent="0.55000000000000004">
      <c r="C791" s="124"/>
      <c r="G791" s="125"/>
      <c r="I791" s="102">
        <v>7</v>
      </c>
      <c r="J791" s="102">
        <f>IFERROR(VLOOKUP(I791,'3 Water'!$E$490:$J$499,3,FALSE),0)</f>
        <v>0</v>
      </c>
      <c r="K791" s="103">
        <f ca="1">IFERROR(VLOOKUP(I791,'3 Water'!$E$490:$J$499,6,FALSE),0)</f>
        <v>0</v>
      </c>
      <c r="L791" s="104">
        <f t="shared" ca="1" si="22"/>
        <v>0</v>
      </c>
      <c r="M791" s="104">
        <f t="shared" ca="1" si="23"/>
        <v>0</v>
      </c>
    </row>
    <row r="792" spans="3:13" x14ac:dyDescent="0.55000000000000004">
      <c r="C792" s="124"/>
      <c r="G792" s="125"/>
      <c r="I792" s="102">
        <v>8</v>
      </c>
      <c r="J792" s="102">
        <f>IFERROR(VLOOKUP(I792,'3 Water'!$E$490:$J$499,3,FALSE),0)</f>
        <v>0</v>
      </c>
      <c r="K792" s="103">
        <f ca="1">IFERROR(VLOOKUP(I792,'3 Water'!$E$490:$J$499,6,FALSE),0)</f>
        <v>0</v>
      </c>
      <c r="L792" s="104">
        <f t="shared" ca="1" si="22"/>
        <v>0</v>
      </c>
      <c r="M792" s="104">
        <f t="shared" ca="1" si="23"/>
        <v>0</v>
      </c>
    </row>
    <row r="793" spans="3:13" x14ac:dyDescent="0.55000000000000004">
      <c r="C793" s="124"/>
      <c r="G793" s="125"/>
      <c r="I793" s="102">
        <v>9</v>
      </c>
      <c r="J793" s="102">
        <f>IFERROR(VLOOKUP(I793,'3 Water'!$E$490:$J$499,3,FALSE),0)</f>
        <v>0</v>
      </c>
      <c r="K793" s="103">
        <f ca="1">IFERROR(VLOOKUP(I793,'3 Water'!$E$490:$J$499,6,FALSE),0)</f>
        <v>0</v>
      </c>
      <c r="L793" s="104">
        <f t="shared" ca="1" si="22"/>
        <v>0</v>
      </c>
      <c r="M793" s="104">
        <f t="shared" ca="1" si="23"/>
        <v>0</v>
      </c>
    </row>
    <row r="794" spans="3:13" x14ac:dyDescent="0.55000000000000004">
      <c r="C794" s="124"/>
      <c r="G794" s="125"/>
      <c r="I794" s="102">
        <v>10</v>
      </c>
      <c r="J794" s="102" t="str">
        <f>IFERROR(VLOOKUP(I794,'3 Water'!$E$490:$J$499,3,FALSE),0)</f>
        <v>More</v>
      </c>
      <c r="K794" s="103">
        <f ca="1">IFERROR(VLOOKUP(I794,'3 Water'!$E$490:$J$499,6,FALSE),0)</f>
        <v>0</v>
      </c>
      <c r="L794" s="104">
        <f t="shared" ca="1" si="22"/>
        <v>0</v>
      </c>
      <c r="M794" s="104">
        <f t="shared" ca="1" si="23"/>
        <v>0</v>
      </c>
    </row>
    <row r="795" spans="3:13" x14ac:dyDescent="0.55000000000000004">
      <c r="C795" s="124"/>
      <c r="G795" s="125"/>
      <c r="I795" s="224"/>
      <c r="J795" s="224"/>
      <c r="K795" s="224"/>
      <c r="L795" s="224"/>
    </row>
    <row r="796" spans="3:13" x14ac:dyDescent="0.55000000000000004">
      <c r="C796" s="124"/>
      <c r="G796" s="125"/>
      <c r="I796" s="224"/>
      <c r="J796" s="224"/>
      <c r="K796" s="224"/>
      <c r="L796" s="224"/>
    </row>
    <row r="797" spans="3:13" x14ac:dyDescent="0.55000000000000004">
      <c r="C797" s="124"/>
      <c r="G797" s="125"/>
      <c r="I797" s="224"/>
      <c r="J797" s="224"/>
      <c r="K797" s="224"/>
      <c r="L797" s="224"/>
    </row>
    <row r="798" spans="3:13" x14ac:dyDescent="0.55000000000000004">
      <c r="C798" s="124"/>
      <c r="G798" s="125"/>
      <c r="I798" s="224"/>
      <c r="J798" s="224"/>
      <c r="K798" s="224"/>
      <c r="L798" s="224"/>
    </row>
    <row r="799" spans="3:13" x14ac:dyDescent="0.55000000000000004">
      <c r="C799" s="124"/>
      <c r="G799" s="125"/>
      <c r="I799" s="224"/>
      <c r="J799" s="224"/>
      <c r="K799" s="224"/>
      <c r="L799" s="224"/>
    </row>
    <row r="800" spans="3:13" ht="14.7" thickBot="1" x14ac:dyDescent="0.6">
      <c r="C800" s="130"/>
      <c r="D800" s="131"/>
      <c r="E800" s="131"/>
      <c r="F800" s="131"/>
      <c r="G800" s="132"/>
      <c r="I800" s="224"/>
      <c r="J800" s="224"/>
      <c r="K800" s="224"/>
      <c r="L800" s="224"/>
    </row>
    <row r="801" spans="3:12" x14ac:dyDescent="0.55000000000000004">
      <c r="I801" s="224"/>
      <c r="J801" s="224"/>
      <c r="K801" s="224"/>
      <c r="L801" s="224"/>
    </row>
    <row r="802" spans="3:12" ht="14.7" thickBot="1" x14ac:dyDescent="0.6">
      <c r="I802" s="224"/>
      <c r="J802" s="224"/>
      <c r="K802" s="224"/>
      <c r="L802" s="224"/>
    </row>
    <row r="803" spans="3:12" x14ac:dyDescent="0.55000000000000004">
      <c r="C803" s="121"/>
      <c r="D803" s="122"/>
      <c r="E803" s="122"/>
      <c r="F803" s="122"/>
      <c r="G803" s="123"/>
      <c r="I803" s="224"/>
      <c r="J803" s="224"/>
      <c r="K803" s="224"/>
      <c r="L803" s="224"/>
    </row>
    <row r="804" spans="3:12" ht="15.6" x14ac:dyDescent="0.6">
      <c r="C804" s="124"/>
      <c r="D804" s="98">
        <f>'2 Customer data'!D33</f>
        <v>0</v>
      </c>
      <c r="G804" s="125"/>
      <c r="I804" s="224"/>
      <c r="J804" s="224"/>
      <c r="K804" s="224"/>
      <c r="L804" s="224"/>
    </row>
    <row r="805" spans="3:12" x14ac:dyDescent="0.55000000000000004">
      <c r="C805" s="124"/>
      <c r="G805" s="125"/>
      <c r="I805" s="224"/>
      <c r="J805" s="224"/>
      <c r="K805" s="224"/>
      <c r="L805" s="224"/>
    </row>
    <row r="806" spans="3:12" x14ac:dyDescent="0.55000000000000004">
      <c r="C806" s="124"/>
      <c r="E806" s="220" t="s">
        <v>250</v>
      </c>
      <c r="G806" s="125"/>
      <c r="I806" s="224"/>
      <c r="J806" s="224"/>
      <c r="K806" s="224"/>
      <c r="L806" s="224"/>
    </row>
    <row r="807" spans="3:12" x14ac:dyDescent="0.55000000000000004">
      <c r="C807" s="124"/>
      <c r="D807" t="s">
        <v>369</v>
      </c>
      <c r="E807" s="26">
        <f ca="1">VLOOKUP(D804,'2 Water'!$D$19:$J$38,5,FALSE)</f>
        <v>0</v>
      </c>
      <c r="G807" s="125"/>
      <c r="I807" s="224"/>
      <c r="J807" s="224"/>
      <c r="K807" s="224"/>
      <c r="L807" s="224"/>
    </row>
    <row r="808" spans="3:12" x14ac:dyDescent="0.55000000000000004">
      <c r="C808" s="124"/>
      <c r="D808" t="s">
        <v>370</v>
      </c>
      <c r="E808" s="99">
        <f ca="1">VLOOKUP(D804,'2 Water'!$D$19:$J$38,6,FALSE)</f>
        <v>0</v>
      </c>
      <c r="G808" s="125"/>
      <c r="I808" s="224"/>
      <c r="J808" s="224"/>
      <c r="K808" s="224"/>
      <c r="L808" s="224"/>
    </row>
    <row r="809" spans="3:12" ht="14.7" thickBot="1" x14ac:dyDescent="0.6">
      <c r="C809" s="124"/>
      <c r="D809" s="1" t="s">
        <v>39</v>
      </c>
      <c r="E809" s="37">
        <f ca="1">VLOOKUP(D804,'2 Water'!$D$19:$J$38,7,FALSE)</f>
        <v>0</v>
      </c>
      <c r="G809" s="125"/>
      <c r="I809" s="224"/>
      <c r="J809" s="224"/>
      <c r="K809" s="224"/>
      <c r="L809" s="224"/>
    </row>
    <row r="810" spans="3:12" ht="14.7" thickTop="1" x14ac:dyDescent="0.55000000000000004">
      <c r="C810" s="124"/>
      <c r="G810" s="125"/>
      <c r="I810" s="224"/>
      <c r="J810" s="224"/>
      <c r="K810" s="224"/>
      <c r="L810" s="224"/>
    </row>
    <row r="811" spans="3:12" x14ac:dyDescent="0.55000000000000004">
      <c r="C811" s="124"/>
      <c r="D811" t="s">
        <v>189</v>
      </c>
      <c r="E811" s="26">
        <f ca="1">IF(VLOOKUP(D804,'2 Water'!$D$126:$K$145,7,FALSE)="",VLOOKUP(D804,'2 Water'!$D$126:$K$145,6,FALSE),VLOOKUP(D804,'2 Water'!$D$126:$K$145,7,FALSE))+VLOOKUP(D804,'2 Water'!$D$158:$J$177,5,FALSE)</f>
        <v>0</v>
      </c>
      <c r="G811" s="125"/>
      <c r="I811" s="224"/>
      <c r="J811" s="224"/>
      <c r="K811" s="224"/>
      <c r="L811" s="224"/>
    </row>
    <row r="812" spans="3:12" x14ac:dyDescent="0.55000000000000004">
      <c r="C812" s="124"/>
      <c r="G812" s="125"/>
      <c r="I812" s="224"/>
      <c r="J812" s="224"/>
      <c r="K812" s="224"/>
      <c r="L812" s="224"/>
    </row>
    <row r="813" spans="3:12" x14ac:dyDescent="0.55000000000000004">
      <c r="C813" s="124"/>
      <c r="D813" t="s">
        <v>371</v>
      </c>
      <c r="E813" s="64">
        <f ca="1">IF(VLOOKUP(D804,'2 Water'!$D$54:$M$73,5,FALSE)="",VLOOKUP(D804,'2 Water'!$D$54:$M$73,4,FALSE),VLOOKUP(D804,'2 Water'!$D$54:$M$73,5,FALSE))</f>
        <v>0</v>
      </c>
      <c r="G813" s="125"/>
      <c r="I813" s="224"/>
      <c r="J813" s="224"/>
      <c r="K813" s="224"/>
      <c r="L813" s="224"/>
    </row>
    <row r="814" spans="3:12" x14ac:dyDescent="0.55000000000000004">
      <c r="C814" s="124"/>
      <c r="D814" t="s">
        <v>372</v>
      </c>
      <c r="E814" s="26">
        <f ca="1">IF(VLOOKUP(D804,'2 Water'!$D$54:$M$73,7,FALSE)="",VLOOKUP(D804,'2 Water'!$D$54:$M$73,6,FALSE),VLOOKUP(D804,'2 Water'!$D$54:$M$73,7,FALSE))</f>
        <v>0</v>
      </c>
      <c r="G814" s="125"/>
      <c r="I814" s="224"/>
      <c r="J814" s="224"/>
      <c r="K814" s="224"/>
      <c r="L814" s="224"/>
    </row>
    <row r="815" spans="3:12" x14ac:dyDescent="0.55000000000000004">
      <c r="C815" s="124"/>
      <c r="D815" t="s">
        <v>373</v>
      </c>
      <c r="E815" s="26">
        <f ca="1">IF(VLOOKUP(D804,'2 Water'!$D$54:$M$73,9,FALSE)="",VLOOKUP(D804,'2 Water'!$D$54:$M$73,8,FALSE),VLOOKUP(D804,'2 Water'!$D$54:$M$73,9,FALSE))</f>
        <v>0</v>
      </c>
      <c r="G815" s="125"/>
      <c r="I815" s="224"/>
      <c r="J815" s="224"/>
      <c r="K815" s="224"/>
      <c r="L815" s="224"/>
    </row>
    <row r="816" spans="3:12" x14ac:dyDescent="0.55000000000000004">
      <c r="C816" s="124"/>
      <c r="D816" t="s">
        <v>374</v>
      </c>
      <c r="E816" s="26">
        <f ca="1">IF(VLOOKUP(D804,'2 Water'!$D$90:$I$109,5,FALSE)="",VLOOKUP(D804,'2 Water'!$D$90:$I$109,4,FALSE),VLOOKUP(D804,'2 Water'!$D$90:$I$109,5,FALSE))</f>
        <v>0</v>
      </c>
      <c r="G816" s="125"/>
      <c r="I816" s="224"/>
      <c r="J816" s="224"/>
      <c r="K816" s="224"/>
      <c r="L816" s="224"/>
    </row>
    <row r="817" spans="3:12" ht="14.7" thickBot="1" x14ac:dyDescent="0.6">
      <c r="C817" s="124"/>
      <c r="D817" s="1" t="s">
        <v>145</v>
      </c>
      <c r="E817" s="37">
        <f ca="1">SUM(E813:E816)</f>
        <v>0</v>
      </c>
      <c r="F817" s="135"/>
      <c r="G817" s="125"/>
      <c r="I817" s="224"/>
      <c r="J817" s="224"/>
      <c r="K817" s="224"/>
      <c r="L817" s="224"/>
    </row>
    <row r="818" spans="3:12" ht="14.7" thickTop="1" x14ac:dyDescent="0.55000000000000004">
      <c r="C818" s="124"/>
      <c r="D818" s="1"/>
      <c r="E818" s="15"/>
      <c r="G818" s="125"/>
      <c r="I818" s="224"/>
      <c r="J818" s="224"/>
      <c r="K818" s="224"/>
      <c r="L818" s="224"/>
    </row>
    <row r="819" spans="3:12" x14ac:dyDescent="0.55000000000000004">
      <c r="C819" s="124"/>
      <c r="D819" t="s">
        <v>384</v>
      </c>
      <c r="E819" s="26">
        <f ca="1">IF(VLOOKUP(D804,'2 Water'!$D$126:$K$145,5,FALSE)="",VLOOKUP(D804,'2 Water'!$D$126:$K$145,4,FALSE),VLOOKUP(D804,'2 Water'!$D$126:$K$145,5,FALSE))+VLOOKUP(D804,'2 Water'!$D$158:$J$177,7,FALSE)</f>
        <v>0</v>
      </c>
      <c r="G819" s="125"/>
      <c r="I819" s="224"/>
      <c r="J819" s="224"/>
      <c r="K819" s="224"/>
      <c r="L819" s="224"/>
    </row>
    <row r="820" spans="3:12" x14ac:dyDescent="0.55000000000000004">
      <c r="C820" s="124"/>
      <c r="G820" s="125"/>
      <c r="I820" s="224"/>
      <c r="J820" s="224"/>
      <c r="K820" s="224"/>
      <c r="L820" s="224"/>
    </row>
    <row r="821" spans="3:12" ht="14.7" thickBot="1" x14ac:dyDescent="0.6">
      <c r="C821" s="124"/>
      <c r="D821" s="1" t="s">
        <v>375</v>
      </c>
      <c r="E821" s="37">
        <f ca="1">VLOOKUP(D804,'2 Water'!$D$158:$K$177,8,FALSE)</f>
        <v>0</v>
      </c>
      <c r="G821" s="125"/>
      <c r="I821" s="224"/>
      <c r="J821" s="224"/>
      <c r="K821" s="224"/>
      <c r="L821" s="224"/>
    </row>
    <row r="822" spans="3:12" ht="14.7" thickTop="1" x14ac:dyDescent="0.55000000000000004">
      <c r="C822" s="124"/>
      <c r="G822" s="125"/>
      <c r="I822" s="224"/>
      <c r="J822" s="224"/>
      <c r="K822" s="224"/>
      <c r="L822" s="224"/>
    </row>
    <row r="823" spans="3:12" x14ac:dyDescent="0.55000000000000004">
      <c r="C823" s="124"/>
      <c r="G823" s="125"/>
      <c r="I823" s="224"/>
      <c r="J823" s="224"/>
      <c r="K823" s="224"/>
      <c r="L823" s="224"/>
    </row>
    <row r="824" spans="3:12" x14ac:dyDescent="0.55000000000000004">
      <c r="C824" s="124"/>
      <c r="G824" s="125"/>
      <c r="I824" s="232" t="s">
        <v>385</v>
      </c>
      <c r="J824" s="224"/>
      <c r="K824" s="224"/>
      <c r="L824" s="224"/>
    </row>
    <row r="825" spans="3:12" x14ac:dyDescent="0.55000000000000004">
      <c r="C825" s="124"/>
      <c r="G825" s="125"/>
      <c r="I825" s="110"/>
      <c r="J825" s="102" t="s">
        <v>390</v>
      </c>
      <c r="K825" s="102" t="s">
        <v>391</v>
      </c>
      <c r="L825" s="224"/>
    </row>
    <row r="826" spans="3:12" x14ac:dyDescent="0.55000000000000004">
      <c r="C826" s="124"/>
      <c r="G826" s="125"/>
      <c r="I826" s="110" t="s">
        <v>369</v>
      </c>
      <c r="J826" s="100">
        <f ca="1">E807/1000</f>
        <v>0</v>
      </c>
      <c r="K826" s="102"/>
      <c r="L826" s="224"/>
    </row>
    <row r="827" spans="3:12" x14ac:dyDescent="0.55000000000000004">
      <c r="C827" s="124"/>
      <c r="G827" s="125"/>
      <c r="I827" s="110" t="s">
        <v>370</v>
      </c>
      <c r="J827" s="100">
        <f ca="1">E808/1000</f>
        <v>0</v>
      </c>
      <c r="K827" s="110"/>
      <c r="L827" s="224"/>
    </row>
    <row r="828" spans="3:12" x14ac:dyDescent="0.55000000000000004">
      <c r="C828" s="124"/>
      <c r="G828" s="125"/>
      <c r="I828" s="110" t="s">
        <v>471</v>
      </c>
      <c r="J828" s="100">
        <f ca="1">E811/1000</f>
        <v>0</v>
      </c>
      <c r="K828" s="110"/>
      <c r="L828" s="224"/>
    </row>
    <row r="829" spans="3:12" x14ac:dyDescent="0.55000000000000004">
      <c r="C829" s="124"/>
      <c r="G829" s="125"/>
      <c r="I829" s="110" t="s">
        <v>563</v>
      </c>
      <c r="J829" s="100"/>
      <c r="K829" s="101">
        <f ca="1">E821/1000</f>
        <v>0</v>
      </c>
      <c r="L829" s="224"/>
    </row>
    <row r="830" spans="3:12" x14ac:dyDescent="0.55000000000000004">
      <c r="C830" s="124"/>
      <c r="G830" s="125"/>
      <c r="I830" s="110" t="s">
        <v>564</v>
      </c>
      <c r="J830" s="100"/>
      <c r="K830" s="101">
        <f ca="1">E816/1000</f>
        <v>0</v>
      </c>
      <c r="L830" s="224"/>
    </row>
    <row r="831" spans="3:12" x14ac:dyDescent="0.55000000000000004">
      <c r="C831" s="124"/>
      <c r="G831" s="125"/>
      <c r="I831" s="110" t="s">
        <v>565</v>
      </c>
      <c r="J831" s="100"/>
      <c r="K831" s="101">
        <f ca="1">SUM(E813:E815)/1000</f>
        <v>0</v>
      </c>
      <c r="L831" s="224"/>
    </row>
    <row r="832" spans="3:12" x14ac:dyDescent="0.55000000000000004">
      <c r="C832" s="124"/>
      <c r="G832" s="125"/>
      <c r="I832" s="110" t="s">
        <v>566</v>
      </c>
      <c r="J832" s="100"/>
      <c r="K832" s="101">
        <f ca="1">E819/1000</f>
        <v>0</v>
      </c>
      <c r="L832" s="224"/>
    </row>
    <row r="833" spans="3:12" x14ac:dyDescent="0.55000000000000004">
      <c r="C833" s="124"/>
      <c r="G833" s="125"/>
      <c r="I833" s="224"/>
      <c r="J833" s="224"/>
      <c r="K833" s="224"/>
      <c r="L833" s="224"/>
    </row>
    <row r="834" spans="3:12" x14ac:dyDescent="0.55000000000000004">
      <c r="C834" s="124"/>
      <c r="G834" s="125"/>
      <c r="I834" s="224"/>
      <c r="J834" s="224"/>
      <c r="K834" s="224"/>
      <c r="L834" s="224"/>
    </row>
    <row r="835" spans="3:12" x14ac:dyDescent="0.55000000000000004">
      <c r="C835" s="124"/>
      <c r="G835" s="125"/>
      <c r="I835" s="224"/>
      <c r="J835" s="224"/>
      <c r="K835" s="224"/>
      <c r="L835" s="224"/>
    </row>
    <row r="836" spans="3:12" x14ac:dyDescent="0.55000000000000004">
      <c r="C836" s="124"/>
      <c r="G836" s="125"/>
      <c r="I836" s="224"/>
      <c r="J836" s="224"/>
      <c r="K836" s="224"/>
      <c r="L836" s="224"/>
    </row>
    <row r="837" spans="3:12" x14ac:dyDescent="0.55000000000000004">
      <c r="C837" s="124"/>
      <c r="G837" s="125"/>
      <c r="I837" s="224"/>
      <c r="J837" s="224"/>
      <c r="K837" s="224"/>
      <c r="L837" s="224"/>
    </row>
    <row r="838" spans="3:12" x14ac:dyDescent="0.55000000000000004">
      <c r="C838" s="124"/>
      <c r="G838" s="125"/>
      <c r="I838" s="224"/>
      <c r="J838" s="224"/>
      <c r="K838" s="224"/>
      <c r="L838" s="224"/>
    </row>
    <row r="839" spans="3:12" x14ac:dyDescent="0.55000000000000004">
      <c r="C839" s="124"/>
      <c r="G839" s="125"/>
      <c r="I839" s="224"/>
      <c r="J839" s="224"/>
      <c r="K839" s="224"/>
      <c r="L839" s="224"/>
    </row>
    <row r="840" spans="3:12" x14ac:dyDescent="0.55000000000000004">
      <c r="C840" s="124"/>
      <c r="E840" s="220"/>
      <c r="G840" s="125"/>
      <c r="I840" s="224"/>
      <c r="J840" s="224"/>
      <c r="K840" s="224"/>
      <c r="L840" s="224"/>
    </row>
    <row r="841" spans="3:12" x14ac:dyDescent="0.55000000000000004">
      <c r="C841" s="124"/>
      <c r="D841" t="s">
        <v>387</v>
      </c>
      <c r="E841" s="64">
        <f ca="1">VLOOKUP(D804,'2 Water'!$D$158:$M$177,10,FALSE)</f>
        <v>0</v>
      </c>
      <c r="G841" s="125"/>
      <c r="I841" s="224"/>
      <c r="J841" s="224"/>
      <c r="K841" s="224"/>
      <c r="L841" s="224"/>
    </row>
    <row r="842" spans="3:12" x14ac:dyDescent="0.55000000000000004">
      <c r="C842" s="124"/>
      <c r="D842" t="s">
        <v>388</v>
      </c>
      <c r="E842" s="64">
        <f ca="1">VLOOKUP(D804,'2 Water'!$D$158:$M$177,9,FALSE)</f>
        <v>0</v>
      </c>
      <c r="G842" s="125"/>
      <c r="I842" s="224"/>
      <c r="J842" s="224"/>
      <c r="K842" s="224"/>
      <c r="L842" s="224"/>
    </row>
    <row r="843" spans="3:12" x14ac:dyDescent="0.55000000000000004">
      <c r="C843" s="124"/>
      <c r="D843" t="s">
        <v>378</v>
      </c>
      <c r="E843" s="97">
        <f ca="1">IFERROR(IF(E811=0,E819,E811)/E809,0)</f>
        <v>0</v>
      </c>
      <c r="G843" s="125"/>
      <c r="I843" s="224"/>
      <c r="J843" s="224"/>
      <c r="K843" s="224"/>
      <c r="L843" s="224"/>
    </row>
    <row r="844" spans="3:12" x14ac:dyDescent="0.55000000000000004">
      <c r="C844" s="124"/>
      <c r="G844" s="125"/>
      <c r="I844" s="224"/>
      <c r="J844" s="224"/>
      <c r="K844" s="224"/>
      <c r="L844" s="224"/>
    </row>
    <row r="845" spans="3:12" x14ac:dyDescent="0.55000000000000004">
      <c r="C845" s="124"/>
      <c r="D845" t="s">
        <v>389</v>
      </c>
      <c r="E845" s="64">
        <f>'3 Water'!H518</f>
        <v>0</v>
      </c>
      <c r="G845" s="125"/>
      <c r="I845" s="224"/>
      <c r="J845" s="224"/>
      <c r="K845" s="224"/>
      <c r="L845" s="224"/>
    </row>
    <row r="846" spans="3:12" x14ac:dyDescent="0.55000000000000004">
      <c r="C846" s="124"/>
      <c r="D846" t="s">
        <v>380</v>
      </c>
      <c r="E846" s="97">
        <f ca="1">IFERROR('3 Water'!I518/'3 Water'!H510,0)</f>
        <v>0</v>
      </c>
      <c r="G846" s="125"/>
      <c r="I846" s="224"/>
      <c r="J846" s="224"/>
      <c r="K846" s="224"/>
      <c r="L846" s="224"/>
    </row>
    <row r="847" spans="3:12" x14ac:dyDescent="0.55000000000000004">
      <c r="C847" s="124"/>
      <c r="G847" s="125"/>
      <c r="I847" s="224"/>
      <c r="J847" s="224"/>
      <c r="K847" s="224"/>
      <c r="L847" s="224"/>
    </row>
    <row r="848" spans="3:12" x14ac:dyDescent="0.55000000000000004">
      <c r="C848" s="124"/>
      <c r="D848" s="1" t="s">
        <v>381</v>
      </c>
      <c r="G848" s="125"/>
      <c r="I848" s="224"/>
      <c r="J848" s="224"/>
      <c r="K848" s="224"/>
      <c r="L848" s="224"/>
    </row>
    <row r="849" spans="3:13" x14ac:dyDescent="0.55000000000000004">
      <c r="C849" s="124"/>
      <c r="D849" s="1"/>
      <c r="G849" s="125"/>
      <c r="I849" s="224"/>
      <c r="J849" s="224"/>
      <c r="K849" s="224"/>
      <c r="L849" s="224"/>
    </row>
    <row r="850" spans="3:13" x14ac:dyDescent="0.55000000000000004">
      <c r="C850" s="124"/>
      <c r="G850" s="125"/>
      <c r="I850" s="224"/>
      <c r="J850" s="224"/>
      <c r="K850" s="224"/>
      <c r="L850" s="224"/>
    </row>
    <row r="851" spans="3:13" ht="28.8" x14ac:dyDescent="0.55000000000000004">
      <c r="C851" s="124"/>
      <c r="G851" s="125"/>
      <c r="I851" s="102" t="s">
        <v>383</v>
      </c>
      <c r="J851" s="102" t="s">
        <v>382</v>
      </c>
      <c r="K851" s="102" t="s">
        <v>100</v>
      </c>
      <c r="L851" s="230" t="s">
        <v>392</v>
      </c>
      <c r="M851" s="231" t="s">
        <v>567</v>
      </c>
    </row>
    <row r="852" spans="3:13" x14ac:dyDescent="0.55000000000000004">
      <c r="C852" s="124"/>
      <c r="G852" s="125"/>
      <c r="I852" s="102">
        <v>1</v>
      </c>
      <c r="J852" s="102">
        <f>IFERROR(VLOOKUP(I852,'3 Water'!$E$531:$J$540,3,FALSE),0)</f>
        <v>0</v>
      </c>
      <c r="K852" s="103">
        <f>IFERROR(VLOOKUP(I852,'3 Water'!$E$531:$J$540,6,FALSE),0)</f>
        <v>0</v>
      </c>
      <c r="L852" s="104">
        <f t="shared" ref="L852:L861" ca="1" si="24">$E$841</f>
        <v>0</v>
      </c>
      <c r="M852" s="106">
        <f ca="1">IFERROR('3 Water'!I510/'3 Water'!G510,0)</f>
        <v>0</v>
      </c>
    </row>
    <row r="853" spans="3:13" x14ac:dyDescent="0.55000000000000004">
      <c r="C853" s="124"/>
      <c r="G853" s="125"/>
      <c r="I853" s="102">
        <v>2</v>
      </c>
      <c r="J853" s="102">
        <f>IFERROR(VLOOKUP(I853,'3 Water'!$E$531:$J$540,3,FALSE),0)</f>
        <v>0</v>
      </c>
      <c r="K853" s="103">
        <f ca="1">IFERROR(VLOOKUP(I853,'3 Water'!$E$531:$J$540,6,FALSE),0)</f>
        <v>0</v>
      </c>
      <c r="L853" s="104">
        <f t="shared" ca="1" si="24"/>
        <v>0</v>
      </c>
      <c r="M853" s="104">
        <f t="shared" ref="M853:M861" ca="1" si="25">$M$852</f>
        <v>0</v>
      </c>
    </row>
    <row r="854" spans="3:13" x14ac:dyDescent="0.55000000000000004">
      <c r="C854" s="124"/>
      <c r="G854" s="125"/>
      <c r="I854" s="102">
        <v>3</v>
      </c>
      <c r="J854" s="102">
        <f>IFERROR(VLOOKUP(I854,'3 Water'!$E$531:$J$540,3,FALSE),0)</f>
        <v>0</v>
      </c>
      <c r="K854" s="103">
        <f ca="1">IFERROR(VLOOKUP(I854,'3 Water'!$E$531:$J$540,6,FALSE),0)</f>
        <v>0</v>
      </c>
      <c r="L854" s="104">
        <f t="shared" ca="1" si="24"/>
        <v>0</v>
      </c>
      <c r="M854" s="104">
        <f t="shared" ca="1" si="25"/>
        <v>0</v>
      </c>
    </row>
    <row r="855" spans="3:13" x14ac:dyDescent="0.55000000000000004">
      <c r="C855" s="124"/>
      <c r="G855" s="125"/>
      <c r="I855" s="102">
        <v>4</v>
      </c>
      <c r="J855" s="102">
        <f>IFERROR(VLOOKUP(I855,'3 Water'!$E$531:$J$540,3,FALSE),0)</f>
        <v>0</v>
      </c>
      <c r="K855" s="103">
        <f ca="1">IFERROR(VLOOKUP(I855,'3 Water'!$E$531:$J$540,6,FALSE),0)</f>
        <v>0</v>
      </c>
      <c r="L855" s="104">
        <f t="shared" ca="1" si="24"/>
        <v>0</v>
      </c>
      <c r="M855" s="104">
        <f t="shared" ca="1" si="25"/>
        <v>0</v>
      </c>
    </row>
    <row r="856" spans="3:13" x14ac:dyDescent="0.55000000000000004">
      <c r="C856" s="124"/>
      <c r="G856" s="125"/>
      <c r="I856" s="102">
        <v>5</v>
      </c>
      <c r="J856" s="102">
        <f>IFERROR(VLOOKUP(I856,'3 Water'!$E$531:$J$540,3,FALSE),0)</f>
        <v>0</v>
      </c>
      <c r="K856" s="103">
        <f ca="1">IFERROR(VLOOKUP(I856,'3 Water'!$E$531:$J$540,6,FALSE),0)</f>
        <v>0</v>
      </c>
      <c r="L856" s="104">
        <f t="shared" ca="1" si="24"/>
        <v>0</v>
      </c>
      <c r="M856" s="104">
        <f t="shared" ca="1" si="25"/>
        <v>0</v>
      </c>
    </row>
    <row r="857" spans="3:13" x14ac:dyDescent="0.55000000000000004">
      <c r="C857" s="124"/>
      <c r="G857" s="125"/>
      <c r="I857" s="102">
        <v>6</v>
      </c>
      <c r="J857" s="102">
        <f>IFERROR(VLOOKUP(I857,'3 Water'!$E$531:$J$540,3,FALSE),0)</f>
        <v>0</v>
      </c>
      <c r="K857" s="103">
        <f ca="1">IFERROR(VLOOKUP(I857,'3 Water'!$E$531:$J$540,6,FALSE),0)</f>
        <v>0</v>
      </c>
      <c r="L857" s="104">
        <f t="shared" ca="1" si="24"/>
        <v>0</v>
      </c>
      <c r="M857" s="104">
        <f t="shared" ca="1" si="25"/>
        <v>0</v>
      </c>
    </row>
    <row r="858" spans="3:13" x14ac:dyDescent="0.55000000000000004">
      <c r="C858" s="124"/>
      <c r="G858" s="125"/>
      <c r="I858" s="102">
        <v>7</v>
      </c>
      <c r="J858" s="102">
        <f>IFERROR(VLOOKUP(I858,'3 Water'!$E$531:$J$540,3,FALSE),0)</f>
        <v>0</v>
      </c>
      <c r="K858" s="103">
        <f ca="1">IFERROR(VLOOKUP(I858,'3 Water'!$E$531:$J$540,6,FALSE),0)</f>
        <v>0</v>
      </c>
      <c r="L858" s="104">
        <f t="shared" ca="1" si="24"/>
        <v>0</v>
      </c>
      <c r="M858" s="104">
        <f t="shared" ca="1" si="25"/>
        <v>0</v>
      </c>
    </row>
    <row r="859" spans="3:13" x14ac:dyDescent="0.55000000000000004">
      <c r="C859" s="124"/>
      <c r="G859" s="125"/>
      <c r="I859" s="102">
        <v>8</v>
      </c>
      <c r="J859" s="102">
        <f>IFERROR(VLOOKUP(I859,'3 Water'!$E$531:$J$540,3,FALSE),0)</f>
        <v>0</v>
      </c>
      <c r="K859" s="103">
        <f ca="1">IFERROR(VLOOKUP(I859,'3 Water'!$E$531:$J$540,6,FALSE),0)</f>
        <v>0</v>
      </c>
      <c r="L859" s="104">
        <f t="shared" ca="1" si="24"/>
        <v>0</v>
      </c>
      <c r="M859" s="104">
        <f t="shared" ca="1" si="25"/>
        <v>0</v>
      </c>
    </row>
    <row r="860" spans="3:13" x14ac:dyDescent="0.55000000000000004">
      <c r="C860" s="124"/>
      <c r="G860" s="125"/>
      <c r="I860" s="102">
        <v>9</v>
      </c>
      <c r="J860" s="102">
        <f>IFERROR(VLOOKUP(I860,'3 Water'!$E$531:$J$540,3,FALSE),0)</f>
        <v>0</v>
      </c>
      <c r="K860" s="103">
        <f ca="1">IFERROR(VLOOKUP(I860,'3 Water'!$E$531:$J$540,6,FALSE),0)</f>
        <v>0</v>
      </c>
      <c r="L860" s="104">
        <f t="shared" ca="1" si="24"/>
        <v>0</v>
      </c>
      <c r="M860" s="104">
        <f t="shared" ca="1" si="25"/>
        <v>0</v>
      </c>
    </row>
    <row r="861" spans="3:13" x14ac:dyDescent="0.55000000000000004">
      <c r="C861" s="124"/>
      <c r="G861" s="125"/>
      <c r="I861" s="102">
        <v>10</v>
      </c>
      <c r="J861" s="102" t="str">
        <f>IFERROR(VLOOKUP(I861,'3 Water'!$E$531:$J$540,3,FALSE),0)</f>
        <v>More</v>
      </c>
      <c r="K861" s="103">
        <f ca="1">IFERROR(VLOOKUP(I861,'3 Water'!$E$531:$J$540,6,FALSE),0)</f>
        <v>0</v>
      </c>
      <c r="L861" s="104">
        <f t="shared" ca="1" si="24"/>
        <v>0</v>
      </c>
      <c r="M861" s="104">
        <f t="shared" ca="1" si="25"/>
        <v>0</v>
      </c>
    </row>
    <row r="862" spans="3:13" x14ac:dyDescent="0.55000000000000004">
      <c r="C862" s="124"/>
      <c r="G862" s="125"/>
      <c r="I862" s="224"/>
      <c r="J862" s="224"/>
      <c r="K862" s="224"/>
      <c r="L862" s="224"/>
    </row>
    <row r="863" spans="3:13" x14ac:dyDescent="0.55000000000000004">
      <c r="C863" s="124"/>
      <c r="G863" s="125"/>
      <c r="I863" s="224"/>
      <c r="J863" s="224"/>
      <c r="K863" s="224"/>
      <c r="L863" s="224"/>
    </row>
    <row r="864" spans="3:13" x14ac:dyDescent="0.55000000000000004">
      <c r="C864" s="124"/>
      <c r="G864" s="125"/>
      <c r="I864" s="224"/>
      <c r="J864" s="224"/>
      <c r="K864" s="224"/>
      <c r="L864" s="224"/>
    </row>
    <row r="865" spans="3:12" x14ac:dyDescent="0.55000000000000004">
      <c r="C865" s="124"/>
      <c r="G865" s="125"/>
      <c r="I865" s="224"/>
      <c r="J865" s="224"/>
      <c r="K865" s="224"/>
      <c r="L865" s="224"/>
    </row>
    <row r="866" spans="3:12" x14ac:dyDescent="0.55000000000000004">
      <c r="C866" s="124"/>
      <c r="G866" s="125"/>
      <c r="I866" s="224"/>
      <c r="J866" s="224"/>
      <c r="K866" s="224"/>
      <c r="L866" s="224"/>
    </row>
    <row r="867" spans="3:12" ht="14.7" thickBot="1" x14ac:dyDescent="0.6">
      <c r="C867" s="130"/>
      <c r="D867" s="131"/>
      <c r="E867" s="131"/>
      <c r="F867" s="131"/>
      <c r="G867" s="132"/>
      <c r="I867" s="224"/>
      <c r="J867" s="224"/>
      <c r="K867" s="224"/>
      <c r="L867" s="224"/>
    </row>
    <row r="868" spans="3:12" x14ac:dyDescent="0.55000000000000004">
      <c r="I868" s="224"/>
      <c r="J868" s="224"/>
      <c r="K868" s="224"/>
      <c r="L868" s="224"/>
    </row>
    <row r="869" spans="3:12" ht="14.7" thickBot="1" x14ac:dyDescent="0.6">
      <c r="I869" s="224"/>
      <c r="J869" s="224"/>
      <c r="K869" s="224"/>
      <c r="L869" s="224"/>
    </row>
    <row r="870" spans="3:12" x14ac:dyDescent="0.55000000000000004">
      <c r="C870" s="121"/>
      <c r="D870" s="122"/>
      <c r="E870" s="122"/>
      <c r="F870" s="122"/>
      <c r="G870" s="123"/>
      <c r="I870" s="224"/>
      <c r="J870" s="224"/>
      <c r="K870" s="224"/>
      <c r="L870" s="224"/>
    </row>
    <row r="871" spans="3:12" ht="15.6" x14ac:dyDescent="0.6">
      <c r="C871" s="124"/>
      <c r="D871" s="98">
        <f>'2 Customer data'!D34</f>
        <v>0</v>
      </c>
      <c r="G871" s="125"/>
      <c r="I871" s="224"/>
      <c r="J871" s="224"/>
      <c r="K871" s="224"/>
      <c r="L871" s="224"/>
    </row>
    <row r="872" spans="3:12" x14ac:dyDescent="0.55000000000000004">
      <c r="C872" s="124"/>
      <c r="G872" s="125"/>
      <c r="I872" s="224"/>
      <c r="J872" s="224"/>
      <c r="K872" s="224"/>
      <c r="L872" s="224"/>
    </row>
    <row r="873" spans="3:12" x14ac:dyDescent="0.55000000000000004">
      <c r="C873" s="124"/>
      <c r="E873" s="220" t="s">
        <v>250</v>
      </c>
      <c r="G873" s="125"/>
      <c r="I873" s="224"/>
      <c r="J873" s="224"/>
      <c r="K873" s="224"/>
      <c r="L873" s="224"/>
    </row>
    <row r="874" spans="3:12" x14ac:dyDescent="0.55000000000000004">
      <c r="C874" s="124"/>
      <c r="D874" t="s">
        <v>369</v>
      </c>
      <c r="E874" s="26">
        <f ca="1">VLOOKUP(D871,'2 Water'!$D$19:$J$38,5,FALSE)</f>
        <v>0</v>
      </c>
      <c r="G874" s="125"/>
      <c r="I874" s="224"/>
      <c r="J874" s="224"/>
      <c r="K874" s="224"/>
      <c r="L874" s="224"/>
    </row>
    <row r="875" spans="3:12" x14ac:dyDescent="0.55000000000000004">
      <c r="C875" s="124"/>
      <c r="D875" t="s">
        <v>370</v>
      </c>
      <c r="E875" s="99">
        <f ca="1">VLOOKUP(D871,'2 Water'!$D$19:$J$38,6,FALSE)</f>
        <v>0</v>
      </c>
      <c r="G875" s="125"/>
      <c r="I875" s="224"/>
      <c r="J875" s="224"/>
      <c r="K875" s="224"/>
      <c r="L875" s="224"/>
    </row>
    <row r="876" spans="3:12" ht="14.7" thickBot="1" x14ac:dyDescent="0.6">
      <c r="C876" s="124"/>
      <c r="D876" s="1" t="s">
        <v>39</v>
      </c>
      <c r="E876" s="37">
        <f ca="1">VLOOKUP(D871,'2 Water'!$D$19:$J$38,7,FALSE)</f>
        <v>0</v>
      </c>
      <c r="G876" s="125"/>
      <c r="I876" s="224"/>
      <c r="J876" s="224"/>
      <c r="K876" s="224"/>
      <c r="L876" s="224"/>
    </row>
    <row r="877" spans="3:12" ht="14.7" thickTop="1" x14ac:dyDescent="0.55000000000000004">
      <c r="C877" s="124"/>
      <c r="G877" s="125"/>
      <c r="I877" s="224"/>
      <c r="J877" s="224"/>
      <c r="K877" s="224"/>
      <c r="L877" s="224"/>
    </row>
    <row r="878" spans="3:12" x14ac:dyDescent="0.55000000000000004">
      <c r="C878" s="124"/>
      <c r="D878" t="s">
        <v>189</v>
      </c>
      <c r="E878" s="26">
        <f ca="1">IF(VLOOKUP(D871,'2 Water'!$D$126:$K$145,7,FALSE)="",VLOOKUP(D871,'2 Water'!$D$126:$K$145,6,FALSE),VLOOKUP(D871,'2 Water'!$D$126:$K$145,7,FALSE))+VLOOKUP(D871,'2 Water'!$D$158:$J$177,5,FALSE)</f>
        <v>0</v>
      </c>
      <c r="G878" s="125"/>
      <c r="I878" s="224"/>
      <c r="J878" s="224"/>
      <c r="K878" s="224"/>
      <c r="L878" s="224"/>
    </row>
    <row r="879" spans="3:12" x14ac:dyDescent="0.55000000000000004">
      <c r="C879" s="124"/>
      <c r="G879" s="125"/>
      <c r="I879" s="224"/>
      <c r="J879" s="224"/>
      <c r="K879" s="224"/>
      <c r="L879" s="224"/>
    </row>
    <row r="880" spans="3:12" x14ac:dyDescent="0.55000000000000004">
      <c r="C880" s="124"/>
      <c r="D880" t="s">
        <v>371</v>
      </c>
      <c r="E880" s="64">
        <f ca="1">IF(VLOOKUP(D871,'2 Water'!$D$54:$M$73,5,FALSE)="",VLOOKUP(D871,'2 Water'!$D$54:$M$73,4,FALSE),VLOOKUP(D871,'2 Water'!$D$54:$M$73,5,FALSE))</f>
        <v>0</v>
      </c>
      <c r="G880" s="125"/>
      <c r="I880" s="224"/>
      <c r="J880" s="224"/>
      <c r="K880" s="224"/>
      <c r="L880" s="224"/>
    </row>
    <row r="881" spans="3:12" x14ac:dyDescent="0.55000000000000004">
      <c r="C881" s="124"/>
      <c r="D881" t="s">
        <v>372</v>
      </c>
      <c r="E881" s="26">
        <f ca="1">IF(VLOOKUP(D871,'2 Water'!$D$54:$M$73,7,FALSE)="",VLOOKUP(D871,'2 Water'!$D$54:$M$73,6,FALSE),VLOOKUP(D871,'2 Water'!$D$54:$M$73,7,FALSE))</f>
        <v>0</v>
      </c>
      <c r="G881" s="125"/>
      <c r="I881" s="224"/>
      <c r="J881" s="224"/>
      <c r="K881" s="224"/>
      <c r="L881" s="224"/>
    </row>
    <row r="882" spans="3:12" x14ac:dyDescent="0.55000000000000004">
      <c r="C882" s="124"/>
      <c r="D882" t="s">
        <v>373</v>
      </c>
      <c r="E882" s="26">
        <f ca="1">IF(VLOOKUP(D871,'2 Water'!$D$54:$M$73,9,FALSE)="",VLOOKUP(D871,'2 Water'!$D$54:$M$73,8,FALSE),VLOOKUP(D871,'2 Water'!$D$54:$M$73,9,FALSE))</f>
        <v>0</v>
      </c>
      <c r="G882" s="125"/>
      <c r="I882" s="224"/>
      <c r="J882" s="224"/>
      <c r="K882" s="224"/>
      <c r="L882" s="224"/>
    </row>
    <row r="883" spans="3:12" x14ac:dyDescent="0.55000000000000004">
      <c r="C883" s="124"/>
      <c r="D883" t="s">
        <v>374</v>
      </c>
      <c r="E883" s="26">
        <f ca="1">IF(VLOOKUP(D871,'2 Water'!$D$90:$I$109,5,FALSE)="",VLOOKUP(D871,'2 Water'!$D$90:$I$109,4,FALSE),VLOOKUP(D871,'2 Water'!$D$90:$I$109,5,FALSE))</f>
        <v>0</v>
      </c>
      <c r="G883" s="125"/>
      <c r="I883" s="224"/>
      <c r="J883" s="224"/>
      <c r="K883" s="224"/>
      <c r="L883" s="224"/>
    </row>
    <row r="884" spans="3:12" ht="14.7" thickBot="1" x14ac:dyDescent="0.6">
      <c r="C884" s="124"/>
      <c r="D884" s="1" t="s">
        <v>145</v>
      </c>
      <c r="E884" s="37">
        <f ca="1">SUM(E880:E883)</f>
        <v>0</v>
      </c>
      <c r="F884" s="135"/>
      <c r="G884" s="125"/>
      <c r="I884" s="224"/>
      <c r="J884" s="224"/>
      <c r="K884" s="224"/>
      <c r="L884" s="224"/>
    </row>
    <row r="885" spans="3:12" ht="14.7" thickTop="1" x14ac:dyDescent="0.55000000000000004">
      <c r="C885" s="124"/>
      <c r="D885" s="1"/>
      <c r="E885" s="15"/>
      <c r="G885" s="125"/>
      <c r="I885" s="224"/>
      <c r="J885" s="224"/>
      <c r="K885" s="224"/>
      <c r="L885" s="224"/>
    </row>
    <row r="886" spans="3:12" x14ac:dyDescent="0.55000000000000004">
      <c r="C886" s="124"/>
      <c r="D886" t="s">
        <v>384</v>
      </c>
      <c r="E886" s="26">
        <f ca="1">IF(VLOOKUP(D871,'2 Water'!$D$126:$K$145,5,FALSE)="",VLOOKUP(D871,'2 Water'!$D$126:$K$145,4,FALSE),VLOOKUP(D871,'2 Water'!$D$126:$K$145,5,FALSE))+VLOOKUP(D871,'2 Water'!$D$158:$J$177,7,FALSE)</f>
        <v>0</v>
      </c>
      <c r="G886" s="125"/>
      <c r="I886" s="224"/>
      <c r="J886" s="224"/>
      <c r="K886" s="224"/>
      <c r="L886" s="224"/>
    </row>
    <row r="887" spans="3:12" x14ac:dyDescent="0.55000000000000004">
      <c r="C887" s="124"/>
      <c r="G887" s="125"/>
      <c r="I887" s="224"/>
      <c r="J887" s="224"/>
      <c r="K887" s="224"/>
      <c r="L887" s="224"/>
    </row>
    <row r="888" spans="3:12" ht="14.7" thickBot="1" x14ac:dyDescent="0.6">
      <c r="C888" s="124"/>
      <c r="D888" s="1" t="s">
        <v>375</v>
      </c>
      <c r="E888" s="37">
        <f ca="1">VLOOKUP(D871,'2 Water'!$D$158:$K$177,8,FALSE)</f>
        <v>0</v>
      </c>
      <c r="G888" s="125"/>
      <c r="I888" s="224"/>
      <c r="J888" s="224"/>
      <c r="K888" s="224"/>
      <c r="L888" s="224"/>
    </row>
    <row r="889" spans="3:12" ht="14.7" thickTop="1" x14ac:dyDescent="0.55000000000000004">
      <c r="C889" s="124"/>
      <c r="G889" s="125"/>
      <c r="I889" s="224"/>
      <c r="J889" s="224"/>
      <c r="K889" s="224"/>
      <c r="L889" s="224"/>
    </row>
    <row r="890" spans="3:12" x14ac:dyDescent="0.55000000000000004">
      <c r="C890" s="124"/>
      <c r="G890" s="125"/>
      <c r="I890" s="224"/>
      <c r="J890" s="224"/>
      <c r="K890" s="224"/>
      <c r="L890" s="224"/>
    </row>
    <row r="891" spans="3:12" x14ac:dyDescent="0.55000000000000004">
      <c r="C891" s="124"/>
      <c r="G891" s="125"/>
      <c r="I891" s="224"/>
      <c r="J891" s="224"/>
      <c r="K891" s="224"/>
      <c r="L891" s="224"/>
    </row>
    <row r="892" spans="3:12" x14ac:dyDescent="0.55000000000000004">
      <c r="C892" s="124"/>
      <c r="G892" s="125"/>
      <c r="I892" s="224"/>
      <c r="J892" s="224"/>
      <c r="K892" s="224"/>
      <c r="L892" s="224"/>
    </row>
    <row r="893" spans="3:12" x14ac:dyDescent="0.55000000000000004">
      <c r="C893" s="124"/>
      <c r="G893" s="125"/>
      <c r="I893" s="224"/>
      <c r="J893" s="224"/>
      <c r="K893" s="224"/>
      <c r="L893" s="224"/>
    </row>
    <row r="894" spans="3:12" x14ac:dyDescent="0.55000000000000004">
      <c r="C894" s="124"/>
      <c r="G894" s="125"/>
      <c r="I894" s="224"/>
      <c r="J894" s="224"/>
      <c r="K894" s="224"/>
      <c r="L894" s="224"/>
    </row>
    <row r="895" spans="3:12" x14ac:dyDescent="0.55000000000000004">
      <c r="C895" s="124"/>
      <c r="G895" s="125"/>
      <c r="I895" s="224"/>
      <c r="J895" s="224"/>
      <c r="K895" s="224"/>
      <c r="L895" s="224"/>
    </row>
    <row r="896" spans="3:12" x14ac:dyDescent="0.55000000000000004">
      <c r="C896" s="124"/>
      <c r="G896" s="125"/>
      <c r="I896" s="232" t="s">
        <v>385</v>
      </c>
      <c r="J896" s="224"/>
      <c r="K896" s="224"/>
      <c r="L896" s="224"/>
    </row>
    <row r="897" spans="3:12" x14ac:dyDescent="0.55000000000000004">
      <c r="C897" s="124"/>
      <c r="G897" s="125"/>
      <c r="I897" s="110"/>
      <c r="J897" s="102" t="s">
        <v>390</v>
      </c>
      <c r="K897" s="102" t="s">
        <v>391</v>
      </c>
      <c r="L897" s="224"/>
    </row>
    <row r="898" spans="3:12" x14ac:dyDescent="0.55000000000000004">
      <c r="C898" s="124"/>
      <c r="G898" s="125"/>
      <c r="I898" s="110" t="s">
        <v>369</v>
      </c>
      <c r="J898" s="100">
        <f ca="1">E874/1000</f>
        <v>0</v>
      </c>
      <c r="K898" s="102"/>
      <c r="L898" s="224"/>
    </row>
    <row r="899" spans="3:12" x14ac:dyDescent="0.55000000000000004">
      <c r="C899" s="124"/>
      <c r="G899" s="125"/>
      <c r="I899" s="110" t="s">
        <v>370</v>
      </c>
      <c r="J899" s="100">
        <f ca="1">E875/1000</f>
        <v>0</v>
      </c>
      <c r="K899" s="110"/>
      <c r="L899" s="224"/>
    </row>
    <row r="900" spans="3:12" x14ac:dyDescent="0.55000000000000004">
      <c r="C900" s="124"/>
      <c r="G900" s="125"/>
      <c r="I900" s="110" t="s">
        <v>471</v>
      </c>
      <c r="J900" s="100">
        <f ca="1">E878/1000</f>
        <v>0</v>
      </c>
      <c r="K900" s="110"/>
      <c r="L900" s="224"/>
    </row>
    <row r="901" spans="3:12" x14ac:dyDescent="0.55000000000000004">
      <c r="C901" s="124"/>
      <c r="G901" s="125"/>
      <c r="I901" s="110" t="s">
        <v>563</v>
      </c>
      <c r="J901" s="100"/>
      <c r="K901" s="101">
        <f ca="1">E888/1000</f>
        <v>0</v>
      </c>
      <c r="L901" s="224"/>
    </row>
    <row r="902" spans="3:12" x14ac:dyDescent="0.55000000000000004">
      <c r="C902" s="124"/>
      <c r="G902" s="125"/>
      <c r="I902" s="110" t="s">
        <v>564</v>
      </c>
      <c r="J902" s="100"/>
      <c r="K902" s="101">
        <f ca="1">E883/1000</f>
        <v>0</v>
      </c>
      <c r="L902" s="224"/>
    </row>
    <row r="903" spans="3:12" x14ac:dyDescent="0.55000000000000004">
      <c r="C903" s="124"/>
      <c r="G903" s="125"/>
      <c r="I903" s="110" t="s">
        <v>565</v>
      </c>
      <c r="J903" s="100"/>
      <c r="K903" s="101">
        <f ca="1">SUM(E880:E882)/1000</f>
        <v>0</v>
      </c>
      <c r="L903" s="224"/>
    </row>
    <row r="904" spans="3:12" x14ac:dyDescent="0.55000000000000004">
      <c r="C904" s="124"/>
      <c r="G904" s="125"/>
      <c r="I904" s="110" t="s">
        <v>566</v>
      </c>
      <c r="J904" s="100"/>
      <c r="K904" s="101">
        <f ca="1">E886/1000</f>
        <v>0</v>
      </c>
      <c r="L904" s="224"/>
    </row>
    <row r="905" spans="3:12" x14ac:dyDescent="0.55000000000000004">
      <c r="C905" s="124"/>
      <c r="G905" s="125"/>
      <c r="I905" s="224"/>
      <c r="J905" s="224"/>
      <c r="K905" s="224"/>
      <c r="L905" s="224"/>
    </row>
    <row r="906" spans="3:12" x14ac:dyDescent="0.55000000000000004">
      <c r="C906" s="124"/>
      <c r="G906" s="125"/>
      <c r="I906" s="224"/>
      <c r="J906" s="224"/>
      <c r="K906" s="224"/>
      <c r="L906" s="224"/>
    </row>
    <row r="907" spans="3:12" x14ac:dyDescent="0.55000000000000004">
      <c r="C907" s="124"/>
      <c r="E907" s="220"/>
      <c r="G907" s="125"/>
      <c r="I907" s="224"/>
      <c r="J907" s="224"/>
      <c r="K907" s="224"/>
      <c r="L907" s="224"/>
    </row>
    <row r="908" spans="3:12" x14ac:dyDescent="0.55000000000000004">
      <c r="C908" s="124"/>
      <c r="D908" t="s">
        <v>387</v>
      </c>
      <c r="E908" s="64">
        <f ca="1">VLOOKUP(D871,'2 Water'!$D$158:$M$177,10,FALSE)</f>
        <v>0</v>
      </c>
      <c r="G908" s="125"/>
      <c r="I908" s="224"/>
      <c r="J908" s="224"/>
      <c r="K908" s="224"/>
      <c r="L908" s="224"/>
    </row>
    <row r="909" spans="3:12" x14ac:dyDescent="0.55000000000000004">
      <c r="C909" s="124"/>
      <c r="D909" t="s">
        <v>388</v>
      </c>
      <c r="E909" s="64">
        <f ca="1">VLOOKUP(D871,'2 Water'!$D$158:$M$177,9,FALSE)</f>
        <v>0</v>
      </c>
      <c r="G909" s="125"/>
      <c r="I909" s="224"/>
      <c r="J909" s="224"/>
      <c r="K909" s="224"/>
      <c r="L909" s="224"/>
    </row>
    <row r="910" spans="3:12" x14ac:dyDescent="0.55000000000000004">
      <c r="C910" s="124"/>
      <c r="D910" t="s">
        <v>378</v>
      </c>
      <c r="E910" s="97">
        <f ca="1">IFERROR(IF(E878=0,E886,E878)/E876,0)</f>
        <v>0</v>
      </c>
      <c r="G910" s="125"/>
      <c r="I910" s="224"/>
      <c r="J910" s="224"/>
      <c r="K910" s="224"/>
      <c r="L910" s="224"/>
    </row>
    <row r="911" spans="3:12" x14ac:dyDescent="0.55000000000000004">
      <c r="C911" s="124"/>
      <c r="G911" s="125"/>
      <c r="I911" s="224"/>
      <c r="J911" s="224"/>
      <c r="K911" s="224"/>
      <c r="L911" s="224"/>
    </row>
    <row r="912" spans="3:12" x14ac:dyDescent="0.55000000000000004">
      <c r="C912" s="124"/>
      <c r="D912" t="s">
        <v>389</v>
      </c>
      <c r="E912" s="64">
        <f>'3 Water'!H559</f>
        <v>0</v>
      </c>
      <c r="G912" s="125"/>
      <c r="I912" s="224"/>
      <c r="J912" s="224"/>
      <c r="K912" s="224"/>
      <c r="L912" s="224"/>
    </row>
    <row r="913" spans="3:13" x14ac:dyDescent="0.55000000000000004">
      <c r="C913" s="124"/>
      <c r="D913" t="s">
        <v>380</v>
      </c>
      <c r="E913" s="97">
        <f ca="1">IFERROR('3 Water'!I559/'3 Water'!H551,0)</f>
        <v>0</v>
      </c>
      <c r="G913" s="125"/>
      <c r="I913" s="224"/>
      <c r="J913" s="224"/>
      <c r="K913" s="224"/>
      <c r="L913" s="224"/>
    </row>
    <row r="914" spans="3:13" x14ac:dyDescent="0.55000000000000004">
      <c r="C914" s="124"/>
      <c r="G914" s="125"/>
      <c r="I914" s="224"/>
      <c r="J914" s="224"/>
      <c r="K914" s="224"/>
      <c r="L914" s="224"/>
    </row>
    <row r="915" spans="3:13" x14ac:dyDescent="0.55000000000000004">
      <c r="C915" s="124"/>
      <c r="D915" s="1" t="s">
        <v>381</v>
      </c>
      <c r="G915" s="125"/>
      <c r="I915" s="224"/>
      <c r="J915" s="224"/>
      <c r="K915" s="224"/>
      <c r="L915" s="224"/>
    </row>
    <row r="916" spans="3:13" x14ac:dyDescent="0.55000000000000004">
      <c r="C916" s="124"/>
      <c r="G916" s="125"/>
      <c r="I916" s="224"/>
      <c r="J916" s="224"/>
      <c r="K916" s="224"/>
      <c r="L916" s="224"/>
    </row>
    <row r="917" spans="3:13" x14ac:dyDescent="0.55000000000000004">
      <c r="C917" s="124"/>
      <c r="G917" s="125"/>
      <c r="I917" s="224"/>
      <c r="J917" s="224"/>
      <c r="K917" s="224"/>
      <c r="L917" s="224"/>
    </row>
    <row r="918" spans="3:13" ht="28.8" x14ac:dyDescent="0.55000000000000004">
      <c r="C918" s="124"/>
      <c r="G918" s="125"/>
      <c r="I918" s="102" t="s">
        <v>383</v>
      </c>
      <c r="J918" s="102" t="s">
        <v>382</v>
      </c>
      <c r="K918" s="102" t="s">
        <v>100</v>
      </c>
      <c r="L918" s="230" t="s">
        <v>392</v>
      </c>
      <c r="M918" s="231" t="s">
        <v>567</v>
      </c>
    </row>
    <row r="919" spans="3:13" x14ac:dyDescent="0.55000000000000004">
      <c r="C919" s="124"/>
      <c r="G919" s="125"/>
      <c r="I919" s="102">
        <v>1</v>
      </c>
      <c r="J919" s="102">
        <f>IFERROR(VLOOKUP(I919,'3 Water'!$E$572:$J$581,3,FALSE),0)</f>
        <v>0</v>
      </c>
      <c r="K919" s="103">
        <f>IFERROR(VLOOKUP(I919,'3 Water'!$E$572:$J$581,6,FALSE),0)</f>
        <v>0</v>
      </c>
      <c r="L919" s="104">
        <f t="shared" ref="L919:L928" ca="1" si="26">$E$908</f>
        <v>0</v>
      </c>
      <c r="M919" s="106">
        <f ca="1">IFERROR('3 Water'!I551/'3 Water'!G551,0)</f>
        <v>0</v>
      </c>
    </row>
    <row r="920" spans="3:13" x14ac:dyDescent="0.55000000000000004">
      <c r="C920" s="124"/>
      <c r="G920" s="125"/>
      <c r="I920" s="102">
        <v>2</v>
      </c>
      <c r="J920" s="102">
        <f>IFERROR(VLOOKUP(I920,'3 Water'!$E$572:$J$581,3,FALSE),0)</f>
        <v>0</v>
      </c>
      <c r="K920" s="103">
        <f ca="1">IFERROR(VLOOKUP(I920,'3 Water'!$E$572:$J$581,6,FALSE),0)</f>
        <v>0</v>
      </c>
      <c r="L920" s="104">
        <f t="shared" ca="1" si="26"/>
        <v>0</v>
      </c>
      <c r="M920" s="104">
        <f t="shared" ref="M920:M928" ca="1" si="27">$M$919</f>
        <v>0</v>
      </c>
    </row>
    <row r="921" spans="3:13" x14ac:dyDescent="0.55000000000000004">
      <c r="C921" s="124"/>
      <c r="G921" s="125"/>
      <c r="I921" s="102">
        <v>3</v>
      </c>
      <c r="J921" s="102">
        <f>IFERROR(VLOOKUP(I921,'3 Water'!$E$572:$J$581,3,FALSE),0)</f>
        <v>0</v>
      </c>
      <c r="K921" s="103">
        <f ca="1">IFERROR(VLOOKUP(I921,'3 Water'!$E$572:$J$581,6,FALSE),0)</f>
        <v>0</v>
      </c>
      <c r="L921" s="104">
        <f t="shared" ca="1" si="26"/>
        <v>0</v>
      </c>
      <c r="M921" s="104">
        <f t="shared" ca="1" si="27"/>
        <v>0</v>
      </c>
    </row>
    <row r="922" spans="3:13" x14ac:dyDescent="0.55000000000000004">
      <c r="C922" s="124"/>
      <c r="G922" s="125"/>
      <c r="I922" s="102">
        <v>4</v>
      </c>
      <c r="J922" s="102">
        <f>IFERROR(VLOOKUP(I922,'3 Water'!$E$572:$J$581,3,FALSE),0)</f>
        <v>0</v>
      </c>
      <c r="K922" s="103">
        <f ca="1">IFERROR(VLOOKUP(I922,'3 Water'!$E$572:$J$581,6,FALSE),0)</f>
        <v>0</v>
      </c>
      <c r="L922" s="104">
        <f t="shared" ca="1" si="26"/>
        <v>0</v>
      </c>
      <c r="M922" s="104">
        <f t="shared" ca="1" si="27"/>
        <v>0</v>
      </c>
    </row>
    <row r="923" spans="3:13" x14ac:dyDescent="0.55000000000000004">
      <c r="C923" s="124"/>
      <c r="G923" s="125"/>
      <c r="I923" s="102">
        <v>5</v>
      </c>
      <c r="J923" s="102">
        <f>IFERROR(VLOOKUP(I923,'3 Water'!$E$572:$J$581,3,FALSE),0)</f>
        <v>0</v>
      </c>
      <c r="K923" s="103">
        <f ca="1">IFERROR(VLOOKUP(I923,'3 Water'!$E$572:$J$581,6,FALSE),0)</f>
        <v>0</v>
      </c>
      <c r="L923" s="104">
        <f t="shared" ca="1" si="26"/>
        <v>0</v>
      </c>
      <c r="M923" s="104">
        <f t="shared" ca="1" si="27"/>
        <v>0</v>
      </c>
    </row>
    <row r="924" spans="3:13" x14ac:dyDescent="0.55000000000000004">
      <c r="C924" s="124"/>
      <c r="G924" s="125"/>
      <c r="I924" s="102">
        <v>6</v>
      </c>
      <c r="J924" s="102">
        <f>IFERROR(VLOOKUP(I924,'3 Water'!$E$572:$J$581,3,FALSE),0)</f>
        <v>0</v>
      </c>
      <c r="K924" s="103">
        <f ca="1">IFERROR(VLOOKUP(I924,'3 Water'!$E$572:$J$581,6,FALSE),0)</f>
        <v>0</v>
      </c>
      <c r="L924" s="104">
        <f t="shared" ca="1" si="26"/>
        <v>0</v>
      </c>
      <c r="M924" s="104">
        <f t="shared" ca="1" si="27"/>
        <v>0</v>
      </c>
    </row>
    <row r="925" spans="3:13" x14ac:dyDescent="0.55000000000000004">
      <c r="C925" s="124"/>
      <c r="G925" s="125"/>
      <c r="I925" s="102">
        <v>7</v>
      </c>
      <c r="J925" s="102">
        <f>IFERROR(VLOOKUP(I925,'3 Water'!$E$572:$J$581,3,FALSE),0)</f>
        <v>0</v>
      </c>
      <c r="K925" s="103">
        <f ca="1">IFERROR(VLOOKUP(I925,'3 Water'!$E$572:$J$581,6,FALSE),0)</f>
        <v>0</v>
      </c>
      <c r="L925" s="104">
        <f t="shared" ca="1" si="26"/>
        <v>0</v>
      </c>
      <c r="M925" s="104">
        <f t="shared" ca="1" si="27"/>
        <v>0</v>
      </c>
    </row>
    <row r="926" spans="3:13" x14ac:dyDescent="0.55000000000000004">
      <c r="C926" s="124"/>
      <c r="G926" s="125"/>
      <c r="I926" s="102">
        <v>8</v>
      </c>
      <c r="J926" s="102">
        <f>IFERROR(VLOOKUP(I926,'3 Water'!$E$572:$J$581,3,FALSE),0)</f>
        <v>0</v>
      </c>
      <c r="K926" s="103">
        <f ca="1">IFERROR(VLOOKUP(I926,'3 Water'!$E$572:$J$581,6,FALSE),0)</f>
        <v>0</v>
      </c>
      <c r="L926" s="104">
        <f t="shared" ca="1" si="26"/>
        <v>0</v>
      </c>
      <c r="M926" s="104">
        <f t="shared" ca="1" si="27"/>
        <v>0</v>
      </c>
    </row>
    <row r="927" spans="3:13" x14ac:dyDescent="0.55000000000000004">
      <c r="C927" s="124"/>
      <c r="G927" s="125"/>
      <c r="I927" s="102">
        <v>9</v>
      </c>
      <c r="J927" s="102">
        <f>IFERROR(VLOOKUP(I927,'3 Water'!$E$572:$J$581,3,FALSE),0)</f>
        <v>0</v>
      </c>
      <c r="K927" s="103">
        <f ca="1">IFERROR(VLOOKUP(I927,'3 Water'!$E$572:$J$581,6,FALSE),0)</f>
        <v>0</v>
      </c>
      <c r="L927" s="104">
        <f t="shared" ca="1" si="26"/>
        <v>0</v>
      </c>
      <c r="M927" s="104">
        <f t="shared" ca="1" si="27"/>
        <v>0</v>
      </c>
    </row>
    <row r="928" spans="3:13" x14ac:dyDescent="0.55000000000000004">
      <c r="C928" s="124"/>
      <c r="G928" s="125"/>
      <c r="I928" s="102">
        <v>10</v>
      </c>
      <c r="J928" s="102" t="str">
        <f>IFERROR(VLOOKUP(I928,'3 Water'!$E$572:$J$581,3,FALSE),0)</f>
        <v>More</v>
      </c>
      <c r="K928" s="103">
        <f ca="1">IFERROR(VLOOKUP(I928,'3 Water'!$E$572:$J$581,6,FALSE),0)</f>
        <v>0</v>
      </c>
      <c r="L928" s="104">
        <f t="shared" ca="1" si="26"/>
        <v>0</v>
      </c>
      <c r="M928" s="104">
        <f t="shared" ca="1" si="27"/>
        <v>0</v>
      </c>
    </row>
    <row r="929" spans="3:12" x14ac:dyDescent="0.55000000000000004">
      <c r="C929" s="124"/>
      <c r="G929" s="125"/>
      <c r="I929" s="224"/>
      <c r="J929" s="224"/>
      <c r="K929" s="224"/>
      <c r="L929" s="224"/>
    </row>
    <row r="930" spans="3:12" x14ac:dyDescent="0.55000000000000004">
      <c r="C930" s="124"/>
      <c r="G930" s="125"/>
      <c r="I930" s="224"/>
      <c r="J930" s="224"/>
      <c r="K930" s="224"/>
      <c r="L930" s="224"/>
    </row>
    <row r="931" spans="3:12" x14ac:dyDescent="0.55000000000000004">
      <c r="C931" s="124"/>
      <c r="G931" s="125"/>
      <c r="I931" s="224"/>
      <c r="J931" s="224"/>
      <c r="K931" s="224"/>
      <c r="L931" s="224"/>
    </row>
    <row r="932" spans="3:12" x14ac:dyDescent="0.55000000000000004">
      <c r="C932" s="124"/>
      <c r="G932" s="125"/>
      <c r="I932" s="224"/>
      <c r="J932" s="224"/>
      <c r="K932" s="224"/>
      <c r="L932" s="224"/>
    </row>
    <row r="933" spans="3:12" x14ac:dyDescent="0.55000000000000004">
      <c r="C933" s="124"/>
      <c r="G933" s="125"/>
      <c r="I933" s="224"/>
      <c r="J933" s="224"/>
      <c r="K933" s="224"/>
      <c r="L933" s="224"/>
    </row>
    <row r="934" spans="3:12" ht="14.7" thickBot="1" x14ac:dyDescent="0.6">
      <c r="C934" s="130"/>
      <c r="D934" s="131"/>
      <c r="E934" s="131"/>
      <c r="F934" s="131"/>
      <c r="G934" s="132"/>
      <c r="I934" s="224"/>
      <c r="J934" s="224"/>
      <c r="K934" s="224"/>
      <c r="L934" s="224"/>
    </row>
    <row r="935" spans="3:12" x14ac:dyDescent="0.55000000000000004">
      <c r="I935" s="224"/>
      <c r="J935" s="224"/>
      <c r="K935" s="224"/>
      <c r="L935" s="224"/>
    </row>
    <row r="936" spans="3:12" ht="14.7" thickBot="1" x14ac:dyDescent="0.6">
      <c r="I936" s="224"/>
      <c r="J936" s="224"/>
      <c r="K936" s="224"/>
      <c r="L936" s="224"/>
    </row>
    <row r="937" spans="3:12" x14ac:dyDescent="0.55000000000000004">
      <c r="C937" s="121"/>
      <c r="D937" s="122"/>
      <c r="E937" s="122"/>
      <c r="F937" s="122"/>
      <c r="G937" s="123"/>
      <c r="I937" s="224"/>
      <c r="J937" s="224"/>
      <c r="K937" s="224"/>
      <c r="L937" s="224"/>
    </row>
    <row r="938" spans="3:12" ht="15.6" x14ac:dyDescent="0.6">
      <c r="C938" s="124"/>
      <c r="D938" s="98">
        <f>'2 Customer data'!D35</f>
        <v>0</v>
      </c>
      <c r="G938" s="125"/>
      <c r="I938" s="224"/>
      <c r="J938" s="224"/>
      <c r="K938" s="224"/>
      <c r="L938" s="224"/>
    </row>
    <row r="939" spans="3:12" x14ac:dyDescent="0.55000000000000004">
      <c r="C939" s="124"/>
      <c r="G939" s="125"/>
      <c r="I939" s="224"/>
      <c r="J939" s="224"/>
      <c r="K939" s="224"/>
      <c r="L939" s="224"/>
    </row>
    <row r="940" spans="3:12" x14ac:dyDescent="0.55000000000000004">
      <c r="C940" s="124"/>
      <c r="E940" s="220" t="s">
        <v>250</v>
      </c>
      <c r="G940" s="125"/>
      <c r="I940" s="224"/>
      <c r="J940" s="224"/>
      <c r="K940" s="224"/>
      <c r="L940" s="224"/>
    </row>
    <row r="941" spans="3:12" x14ac:dyDescent="0.55000000000000004">
      <c r="C941" s="124"/>
      <c r="D941" t="s">
        <v>369</v>
      </c>
      <c r="E941" s="26">
        <f ca="1">VLOOKUP(D938,'2 Water'!$D$19:$J$38,5,FALSE)</f>
        <v>0</v>
      </c>
      <c r="G941" s="125"/>
      <c r="I941" s="224"/>
      <c r="J941" s="224"/>
      <c r="K941" s="224"/>
      <c r="L941" s="224"/>
    </row>
    <row r="942" spans="3:12" x14ac:dyDescent="0.55000000000000004">
      <c r="C942" s="124"/>
      <c r="D942" t="s">
        <v>370</v>
      </c>
      <c r="E942" s="99">
        <f ca="1">VLOOKUP(D938,'2 Water'!$D$19:$J$38,6,FALSE)</f>
        <v>0</v>
      </c>
      <c r="G942" s="125"/>
      <c r="I942" s="224"/>
      <c r="J942" s="224"/>
      <c r="K942" s="224"/>
      <c r="L942" s="224"/>
    </row>
    <row r="943" spans="3:12" ht="14.7" thickBot="1" x14ac:dyDescent="0.6">
      <c r="C943" s="124"/>
      <c r="D943" s="1" t="s">
        <v>39</v>
      </c>
      <c r="E943" s="37">
        <f ca="1">VLOOKUP(D938,'2 Water'!$D$19:$J$38,7,FALSE)</f>
        <v>0</v>
      </c>
      <c r="G943" s="125"/>
      <c r="I943" s="224"/>
      <c r="J943" s="224"/>
      <c r="K943" s="224"/>
      <c r="L943" s="224"/>
    </row>
    <row r="944" spans="3:12" ht="14.7" thickTop="1" x14ac:dyDescent="0.55000000000000004">
      <c r="C944" s="124"/>
      <c r="G944" s="125"/>
      <c r="I944" s="224"/>
      <c r="J944" s="224"/>
      <c r="K944" s="224"/>
      <c r="L944" s="224"/>
    </row>
    <row r="945" spans="3:12" x14ac:dyDescent="0.55000000000000004">
      <c r="C945" s="124"/>
      <c r="D945" t="s">
        <v>189</v>
      </c>
      <c r="E945" s="26">
        <f ca="1">IF(VLOOKUP(D938,'2 Water'!$D$126:$K$145,7,FALSE)="",VLOOKUP(D938,'2 Water'!$D$126:$K$145,6,FALSE),VLOOKUP(D938,'2 Water'!$D$126:$K$145,7,FALSE))+VLOOKUP(D938,'2 Water'!$D$158:$J$177,5,FALSE)</f>
        <v>0</v>
      </c>
      <c r="G945" s="125"/>
      <c r="I945" s="224"/>
      <c r="J945" s="224"/>
      <c r="K945" s="224"/>
      <c r="L945" s="224"/>
    </row>
    <row r="946" spans="3:12" x14ac:dyDescent="0.55000000000000004">
      <c r="C946" s="124"/>
      <c r="G946" s="125"/>
      <c r="I946" s="224"/>
      <c r="J946" s="224"/>
      <c r="K946" s="224"/>
      <c r="L946" s="224"/>
    </row>
    <row r="947" spans="3:12" x14ac:dyDescent="0.55000000000000004">
      <c r="C947" s="124"/>
      <c r="D947" t="s">
        <v>371</v>
      </c>
      <c r="E947" s="64">
        <f ca="1">IF(VLOOKUP(D938,'2 Water'!$D$54:$M$73,5,FALSE)="",VLOOKUP(D938,'2 Water'!$D$54:$M$73,4,FALSE),VLOOKUP(D938,'2 Water'!$D$54:$M$73,5,FALSE))</f>
        <v>0</v>
      </c>
      <c r="G947" s="125"/>
      <c r="I947" s="224"/>
      <c r="J947" s="224"/>
      <c r="K947" s="224"/>
      <c r="L947" s="224"/>
    </row>
    <row r="948" spans="3:12" x14ac:dyDescent="0.55000000000000004">
      <c r="C948" s="124"/>
      <c r="D948" t="s">
        <v>372</v>
      </c>
      <c r="E948" s="26">
        <f ca="1">IF(VLOOKUP(D938,'2 Water'!$D$54:$M$73,7,FALSE)="",VLOOKUP(D938,'2 Water'!$D$54:$M$73,6,FALSE),VLOOKUP(D938,'2 Water'!$D$54:$M$73,7,FALSE))</f>
        <v>0</v>
      </c>
      <c r="G948" s="125"/>
      <c r="I948" s="224"/>
      <c r="J948" s="224"/>
      <c r="K948" s="224"/>
      <c r="L948" s="224"/>
    </row>
    <row r="949" spans="3:12" x14ac:dyDescent="0.55000000000000004">
      <c r="C949" s="124"/>
      <c r="D949" t="s">
        <v>373</v>
      </c>
      <c r="E949" s="26">
        <f ca="1">IF(VLOOKUP(D938,'2 Water'!$D$54:$M$73,9,FALSE)="",VLOOKUP(D938,'2 Water'!$D$54:$M$73,8,FALSE),VLOOKUP(D938,'2 Water'!$D$54:$M$73,9,FALSE))</f>
        <v>0</v>
      </c>
      <c r="G949" s="125"/>
      <c r="I949" s="224"/>
      <c r="J949" s="224"/>
      <c r="K949" s="224"/>
      <c r="L949" s="224"/>
    </row>
    <row r="950" spans="3:12" x14ac:dyDescent="0.55000000000000004">
      <c r="C950" s="124"/>
      <c r="D950" t="s">
        <v>374</v>
      </c>
      <c r="E950" s="26">
        <f ca="1">IF(VLOOKUP(D938,'2 Water'!$D$90:$I$109,5,FALSE)="",VLOOKUP(D938,'2 Water'!$D$90:$I$109,4,FALSE),VLOOKUP(D938,'2 Water'!$D$90:$I$109,5,FALSE))</f>
        <v>0</v>
      </c>
      <c r="G950" s="125"/>
      <c r="I950" s="224"/>
      <c r="J950" s="224"/>
      <c r="K950" s="224"/>
      <c r="L950" s="224"/>
    </row>
    <row r="951" spans="3:12" ht="14.7" thickBot="1" x14ac:dyDescent="0.6">
      <c r="C951" s="124"/>
      <c r="D951" s="1" t="s">
        <v>145</v>
      </c>
      <c r="E951" s="37">
        <f ca="1">SUM(E947:E950)</f>
        <v>0</v>
      </c>
      <c r="F951" s="135"/>
      <c r="G951" s="125"/>
      <c r="I951" s="224"/>
      <c r="J951" s="224"/>
      <c r="K951" s="224"/>
      <c r="L951" s="224"/>
    </row>
    <row r="952" spans="3:12" ht="14.7" thickTop="1" x14ac:dyDescent="0.55000000000000004">
      <c r="C952" s="124"/>
      <c r="D952" s="1"/>
      <c r="E952" s="15"/>
      <c r="G952" s="125"/>
      <c r="I952" s="224"/>
      <c r="J952" s="224"/>
      <c r="K952" s="224"/>
      <c r="L952" s="224"/>
    </row>
    <row r="953" spans="3:12" x14ac:dyDescent="0.55000000000000004">
      <c r="C953" s="124"/>
      <c r="D953" t="s">
        <v>384</v>
      </c>
      <c r="E953" s="26">
        <f ca="1">IF(VLOOKUP(D938,'2 Water'!$D$126:$K$145,5,FALSE)="",VLOOKUP(D938,'2 Water'!$D$126:$K$145,4,FALSE),VLOOKUP(D938,'2 Water'!$D$126:$K$145,5,FALSE))+VLOOKUP(D938,'2 Water'!$D$158:$J$177,7,FALSE)</f>
        <v>0</v>
      </c>
      <c r="G953" s="125"/>
      <c r="I953" s="224"/>
      <c r="J953" s="224"/>
      <c r="K953" s="224"/>
      <c r="L953" s="224"/>
    </row>
    <row r="954" spans="3:12" x14ac:dyDescent="0.55000000000000004">
      <c r="C954" s="124"/>
      <c r="G954" s="125"/>
      <c r="I954" s="224"/>
      <c r="J954" s="224"/>
      <c r="K954" s="224"/>
      <c r="L954" s="224"/>
    </row>
    <row r="955" spans="3:12" ht="14.7" thickBot="1" x14ac:dyDescent="0.6">
      <c r="C955" s="124"/>
      <c r="D955" s="1" t="s">
        <v>375</v>
      </c>
      <c r="E955" s="37">
        <f ca="1">VLOOKUP(D938,'2 Water'!$D$158:$K$177,8,FALSE)</f>
        <v>0</v>
      </c>
      <c r="G955" s="125"/>
      <c r="I955" s="224"/>
      <c r="J955" s="224"/>
      <c r="K955" s="224"/>
      <c r="L955" s="224"/>
    </row>
    <row r="956" spans="3:12" ht="14.7" thickTop="1" x14ac:dyDescent="0.55000000000000004">
      <c r="C956" s="124"/>
      <c r="G956" s="125"/>
      <c r="I956" s="224"/>
      <c r="J956" s="224"/>
      <c r="K956" s="224"/>
      <c r="L956" s="224"/>
    </row>
    <row r="957" spans="3:12" x14ac:dyDescent="0.55000000000000004">
      <c r="C957" s="124"/>
      <c r="G957" s="125"/>
      <c r="I957" s="224"/>
      <c r="J957" s="224"/>
      <c r="K957" s="224"/>
      <c r="L957" s="224"/>
    </row>
    <row r="958" spans="3:12" x14ac:dyDescent="0.55000000000000004">
      <c r="C958" s="124"/>
      <c r="G958" s="125"/>
      <c r="I958" s="224"/>
      <c r="J958" s="224"/>
      <c r="K958" s="224"/>
      <c r="L958" s="224"/>
    </row>
    <row r="959" spans="3:12" x14ac:dyDescent="0.55000000000000004">
      <c r="C959" s="124"/>
      <c r="G959" s="125"/>
      <c r="I959" s="224"/>
      <c r="J959" s="224"/>
      <c r="K959" s="224"/>
      <c r="L959" s="224"/>
    </row>
    <row r="960" spans="3:12" x14ac:dyDescent="0.55000000000000004">
      <c r="C960" s="124"/>
      <c r="G960" s="125"/>
      <c r="I960" s="224"/>
      <c r="J960" s="224"/>
      <c r="K960" s="224"/>
      <c r="L960" s="224"/>
    </row>
    <row r="961" spans="3:12" x14ac:dyDescent="0.55000000000000004">
      <c r="C961" s="124"/>
      <c r="G961" s="125"/>
      <c r="I961" s="224"/>
      <c r="J961" s="224"/>
      <c r="K961" s="224"/>
      <c r="L961" s="224"/>
    </row>
    <row r="962" spans="3:12" x14ac:dyDescent="0.55000000000000004">
      <c r="C962" s="124"/>
      <c r="G962" s="125"/>
      <c r="I962" s="232" t="s">
        <v>385</v>
      </c>
      <c r="J962" s="224"/>
      <c r="K962" s="224"/>
      <c r="L962" s="224"/>
    </row>
    <row r="963" spans="3:12" x14ac:dyDescent="0.55000000000000004">
      <c r="C963" s="124"/>
      <c r="G963" s="125"/>
      <c r="I963" s="110"/>
      <c r="J963" s="102" t="s">
        <v>390</v>
      </c>
      <c r="K963" s="102" t="s">
        <v>391</v>
      </c>
      <c r="L963" s="224"/>
    </row>
    <row r="964" spans="3:12" x14ac:dyDescent="0.55000000000000004">
      <c r="C964" s="124"/>
      <c r="G964" s="125"/>
      <c r="I964" s="110" t="s">
        <v>369</v>
      </c>
      <c r="J964" s="100">
        <f ca="1">E941/1000</f>
        <v>0</v>
      </c>
      <c r="K964" s="102"/>
      <c r="L964" s="224"/>
    </row>
    <row r="965" spans="3:12" x14ac:dyDescent="0.55000000000000004">
      <c r="C965" s="124"/>
      <c r="G965" s="125"/>
      <c r="I965" s="110" t="s">
        <v>370</v>
      </c>
      <c r="J965" s="100">
        <f ca="1">E942/1000</f>
        <v>0</v>
      </c>
      <c r="K965" s="110"/>
      <c r="L965" s="224"/>
    </row>
    <row r="966" spans="3:12" x14ac:dyDescent="0.55000000000000004">
      <c r="C966" s="124"/>
      <c r="G966" s="125"/>
      <c r="I966" s="110" t="s">
        <v>471</v>
      </c>
      <c r="J966" s="100">
        <f ca="1">E945/1000</f>
        <v>0</v>
      </c>
      <c r="K966" s="110"/>
      <c r="L966" s="224"/>
    </row>
    <row r="967" spans="3:12" x14ac:dyDescent="0.55000000000000004">
      <c r="C967" s="124"/>
      <c r="G967" s="125"/>
      <c r="I967" s="110" t="s">
        <v>563</v>
      </c>
      <c r="J967" s="100"/>
      <c r="K967" s="101">
        <f ca="1">E955/1000</f>
        <v>0</v>
      </c>
      <c r="L967" s="224"/>
    </row>
    <row r="968" spans="3:12" x14ac:dyDescent="0.55000000000000004">
      <c r="C968" s="124"/>
      <c r="G968" s="125"/>
      <c r="I968" s="110" t="s">
        <v>564</v>
      </c>
      <c r="J968" s="100"/>
      <c r="K968" s="101">
        <f ca="1">E950/1000</f>
        <v>0</v>
      </c>
      <c r="L968" s="224"/>
    </row>
    <row r="969" spans="3:12" x14ac:dyDescent="0.55000000000000004">
      <c r="C969" s="124"/>
      <c r="G969" s="125"/>
      <c r="I969" s="110" t="s">
        <v>565</v>
      </c>
      <c r="J969" s="100"/>
      <c r="K969" s="101">
        <f ca="1">SUM(E947:E949)/1000</f>
        <v>0</v>
      </c>
      <c r="L969" s="224"/>
    </row>
    <row r="970" spans="3:12" x14ac:dyDescent="0.55000000000000004">
      <c r="C970" s="124"/>
      <c r="G970" s="125"/>
      <c r="I970" s="110" t="s">
        <v>566</v>
      </c>
      <c r="J970" s="100"/>
      <c r="K970" s="101">
        <f ca="1">E953/1000</f>
        <v>0</v>
      </c>
      <c r="L970" s="224"/>
    </row>
    <row r="971" spans="3:12" x14ac:dyDescent="0.55000000000000004">
      <c r="C971" s="124"/>
      <c r="G971" s="125"/>
      <c r="I971" s="224"/>
      <c r="J971" s="224"/>
      <c r="K971" s="224"/>
      <c r="L971" s="224"/>
    </row>
    <row r="972" spans="3:12" x14ac:dyDescent="0.55000000000000004">
      <c r="C972" s="124"/>
      <c r="G972" s="125"/>
      <c r="I972" s="224"/>
      <c r="J972" s="224"/>
      <c r="K972" s="224"/>
      <c r="L972" s="224"/>
    </row>
    <row r="973" spans="3:12" x14ac:dyDescent="0.55000000000000004">
      <c r="C973" s="124"/>
      <c r="G973" s="125"/>
      <c r="I973" s="224"/>
      <c r="J973" s="224"/>
      <c r="K973" s="224"/>
      <c r="L973" s="224"/>
    </row>
    <row r="974" spans="3:12" x14ac:dyDescent="0.55000000000000004">
      <c r="C974" s="124"/>
      <c r="E974" s="220"/>
      <c r="G974" s="125"/>
      <c r="I974" s="224"/>
      <c r="J974" s="224"/>
      <c r="K974" s="224"/>
      <c r="L974" s="224"/>
    </row>
    <row r="975" spans="3:12" x14ac:dyDescent="0.55000000000000004">
      <c r="C975" s="124"/>
      <c r="D975" t="s">
        <v>387</v>
      </c>
      <c r="E975" s="64">
        <f ca="1">VLOOKUP(D938,'2 Water'!$D$158:$M$177,10,FALSE)</f>
        <v>0</v>
      </c>
      <c r="G975" s="125"/>
      <c r="I975" s="224"/>
      <c r="J975" s="224"/>
      <c r="K975" s="224"/>
      <c r="L975" s="224"/>
    </row>
    <row r="976" spans="3:12" x14ac:dyDescent="0.55000000000000004">
      <c r="C976" s="124"/>
      <c r="D976" t="s">
        <v>388</v>
      </c>
      <c r="E976" s="64">
        <f ca="1">VLOOKUP(D938,'2 Water'!$D$158:$M$177,9,FALSE)</f>
        <v>0</v>
      </c>
      <c r="G976" s="125"/>
      <c r="I976" s="224"/>
      <c r="J976" s="224"/>
      <c r="K976" s="224"/>
      <c r="L976" s="224"/>
    </row>
    <row r="977" spans="3:13" x14ac:dyDescent="0.55000000000000004">
      <c r="C977" s="124"/>
      <c r="D977" t="s">
        <v>378</v>
      </c>
      <c r="E977" s="97">
        <f ca="1">IFERROR(IF(E945=0,E953,E945)/E943,0)</f>
        <v>0</v>
      </c>
      <c r="G977" s="125"/>
      <c r="I977" s="224"/>
      <c r="J977" s="224"/>
      <c r="K977" s="224"/>
      <c r="L977" s="224"/>
    </row>
    <row r="978" spans="3:13" x14ac:dyDescent="0.55000000000000004">
      <c r="C978" s="124"/>
      <c r="G978" s="125"/>
      <c r="I978" s="224"/>
      <c r="J978" s="224"/>
      <c r="K978" s="224"/>
      <c r="L978" s="224"/>
    </row>
    <row r="979" spans="3:13" x14ac:dyDescent="0.55000000000000004">
      <c r="C979" s="124"/>
      <c r="D979" t="s">
        <v>389</v>
      </c>
      <c r="E979" s="64">
        <f>'3 Water'!H600</f>
        <v>0</v>
      </c>
      <c r="G979" s="125"/>
      <c r="I979" s="224"/>
      <c r="J979" s="224"/>
      <c r="K979" s="224"/>
      <c r="L979" s="224"/>
    </row>
    <row r="980" spans="3:13" x14ac:dyDescent="0.55000000000000004">
      <c r="C980" s="124"/>
      <c r="D980" t="s">
        <v>380</v>
      </c>
      <c r="E980" s="97">
        <f ca="1">IFERROR('3 Water'!I600/'3 Water'!H592,0)</f>
        <v>0</v>
      </c>
      <c r="G980" s="125"/>
      <c r="I980" s="224"/>
      <c r="J980" s="224"/>
      <c r="K980" s="224"/>
      <c r="L980" s="224"/>
    </row>
    <row r="981" spans="3:13" x14ac:dyDescent="0.55000000000000004">
      <c r="C981" s="124"/>
      <c r="G981" s="125"/>
      <c r="I981" s="224"/>
      <c r="J981" s="224"/>
      <c r="K981" s="224"/>
      <c r="L981" s="224"/>
    </row>
    <row r="982" spans="3:13" x14ac:dyDescent="0.55000000000000004">
      <c r="C982" s="124"/>
      <c r="D982" s="1" t="s">
        <v>381</v>
      </c>
      <c r="G982" s="125"/>
      <c r="I982" s="224"/>
      <c r="J982" s="224"/>
      <c r="K982" s="224"/>
      <c r="L982" s="224"/>
    </row>
    <row r="983" spans="3:13" x14ac:dyDescent="0.55000000000000004">
      <c r="C983" s="124"/>
      <c r="G983" s="125"/>
      <c r="I983" s="224"/>
      <c r="J983" s="224"/>
      <c r="K983" s="224"/>
      <c r="L983" s="224"/>
    </row>
    <row r="984" spans="3:13" x14ac:dyDescent="0.55000000000000004">
      <c r="C984" s="124"/>
      <c r="G984" s="125"/>
      <c r="I984" s="224"/>
      <c r="J984" s="224"/>
      <c r="K984" s="224"/>
      <c r="L984" s="224"/>
    </row>
    <row r="985" spans="3:13" ht="28.8" x14ac:dyDescent="0.55000000000000004">
      <c r="C985" s="124"/>
      <c r="G985" s="125"/>
      <c r="I985" s="102" t="s">
        <v>383</v>
      </c>
      <c r="J985" s="102" t="s">
        <v>382</v>
      </c>
      <c r="K985" s="102" t="s">
        <v>100</v>
      </c>
      <c r="L985" s="230" t="s">
        <v>392</v>
      </c>
      <c r="M985" s="231" t="s">
        <v>567</v>
      </c>
    </row>
    <row r="986" spans="3:13" x14ac:dyDescent="0.55000000000000004">
      <c r="C986" s="124"/>
      <c r="G986" s="125"/>
      <c r="I986" s="102">
        <v>1</v>
      </c>
      <c r="J986" s="102">
        <f>IFERROR(VLOOKUP(I986,'3 Water'!$E$613:$J$622,3,FALSE),0)</f>
        <v>0</v>
      </c>
      <c r="K986" s="103">
        <f>IFERROR(VLOOKUP(I986,'3 Water'!$E$613:$J$622,6,FALSE),0)</f>
        <v>0</v>
      </c>
      <c r="L986" s="104">
        <f t="shared" ref="L986:L995" ca="1" si="28">$E$975</f>
        <v>0</v>
      </c>
      <c r="M986" s="106">
        <f ca="1">IFERROR('3 Water'!I592/'3 Water'!G592,0)</f>
        <v>0</v>
      </c>
    </row>
    <row r="987" spans="3:13" x14ac:dyDescent="0.55000000000000004">
      <c r="C987" s="124"/>
      <c r="G987" s="125"/>
      <c r="I987" s="102">
        <v>2</v>
      </c>
      <c r="J987" s="102">
        <f>IFERROR(VLOOKUP(I987,'3 Water'!$E$613:$J$622,3,FALSE),0)</f>
        <v>0</v>
      </c>
      <c r="K987" s="103">
        <f ca="1">IFERROR(VLOOKUP(I987,'3 Water'!$E$613:$J$622,6,FALSE),0)</f>
        <v>0</v>
      </c>
      <c r="L987" s="104">
        <f t="shared" ca="1" si="28"/>
        <v>0</v>
      </c>
      <c r="M987" s="104">
        <f t="shared" ref="M987:M995" ca="1" si="29">$M$986</f>
        <v>0</v>
      </c>
    </row>
    <row r="988" spans="3:13" x14ac:dyDescent="0.55000000000000004">
      <c r="C988" s="124"/>
      <c r="G988" s="125"/>
      <c r="I988" s="102">
        <v>3</v>
      </c>
      <c r="J988" s="102">
        <f>IFERROR(VLOOKUP(I988,'3 Water'!$E$613:$J$622,3,FALSE),0)</f>
        <v>0</v>
      </c>
      <c r="K988" s="103">
        <f ca="1">IFERROR(VLOOKUP(I988,'3 Water'!$E$613:$J$622,6,FALSE),0)</f>
        <v>0</v>
      </c>
      <c r="L988" s="104">
        <f t="shared" ca="1" si="28"/>
        <v>0</v>
      </c>
      <c r="M988" s="104">
        <f t="shared" ca="1" si="29"/>
        <v>0</v>
      </c>
    </row>
    <row r="989" spans="3:13" x14ac:dyDescent="0.55000000000000004">
      <c r="C989" s="124"/>
      <c r="G989" s="125"/>
      <c r="I989" s="102">
        <v>4</v>
      </c>
      <c r="J989" s="102">
        <f>IFERROR(VLOOKUP(I989,'3 Water'!$E$613:$J$622,3,FALSE),0)</f>
        <v>0</v>
      </c>
      <c r="K989" s="103">
        <f ca="1">IFERROR(VLOOKUP(I989,'3 Water'!$E$613:$J$622,6,FALSE),0)</f>
        <v>0</v>
      </c>
      <c r="L989" s="104">
        <f t="shared" ca="1" si="28"/>
        <v>0</v>
      </c>
      <c r="M989" s="104">
        <f t="shared" ca="1" si="29"/>
        <v>0</v>
      </c>
    </row>
    <row r="990" spans="3:13" x14ac:dyDescent="0.55000000000000004">
      <c r="C990" s="124"/>
      <c r="G990" s="125"/>
      <c r="I990" s="102">
        <v>5</v>
      </c>
      <c r="J990" s="102">
        <f>IFERROR(VLOOKUP(I990,'3 Water'!$E$613:$J$622,3,FALSE),0)</f>
        <v>0</v>
      </c>
      <c r="K990" s="103">
        <f ca="1">IFERROR(VLOOKUP(I990,'3 Water'!$E$613:$J$622,6,FALSE),0)</f>
        <v>0</v>
      </c>
      <c r="L990" s="104">
        <f t="shared" ca="1" si="28"/>
        <v>0</v>
      </c>
      <c r="M990" s="104">
        <f t="shared" ca="1" si="29"/>
        <v>0</v>
      </c>
    </row>
    <row r="991" spans="3:13" x14ac:dyDescent="0.55000000000000004">
      <c r="C991" s="124"/>
      <c r="G991" s="125"/>
      <c r="I991" s="102">
        <v>6</v>
      </c>
      <c r="J991" s="102">
        <f>IFERROR(VLOOKUP(I991,'3 Water'!$E$613:$J$622,3,FALSE),0)</f>
        <v>0</v>
      </c>
      <c r="K991" s="103">
        <f ca="1">IFERROR(VLOOKUP(I991,'3 Water'!$E$613:$J$622,6,FALSE),0)</f>
        <v>0</v>
      </c>
      <c r="L991" s="104">
        <f t="shared" ca="1" si="28"/>
        <v>0</v>
      </c>
      <c r="M991" s="104">
        <f t="shared" ca="1" si="29"/>
        <v>0</v>
      </c>
    </row>
    <row r="992" spans="3:13" x14ac:dyDescent="0.55000000000000004">
      <c r="C992" s="124"/>
      <c r="G992" s="125"/>
      <c r="I992" s="102">
        <v>7</v>
      </c>
      <c r="J992" s="102">
        <f>IFERROR(VLOOKUP(I992,'3 Water'!$E$613:$J$622,3,FALSE),0)</f>
        <v>0</v>
      </c>
      <c r="K992" s="103">
        <f ca="1">IFERROR(VLOOKUP(I992,'3 Water'!$E$613:$J$622,6,FALSE),0)</f>
        <v>0</v>
      </c>
      <c r="L992" s="104">
        <f t="shared" ca="1" si="28"/>
        <v>0</v>
      </c>
      <c r="M992" s="104">
        <f t="shared" ca="1" si="29"/>
        <v>0</v>
      </c>
    </row>
    <row r="993" spans="3:13" x14ac:dyDescent="0.55000000000000004">
      <c r="C993" s="124"/>
      <c r="G993" s="125"/>
      <c r="I993" s="102">
        <v>8</v>
      </c>
      <c r="J993" s="102">
        <f>IFERROR(VLOOKUP(I993,'3 Water'!$E$613:$J$622,3,FALSE),0)</f>
        <v>0</v>
      </c>
      <c r="K993" s="103">
        <f ca="1">IFERROR(VLOOKUP(I993,'3 Water'!$E$613:$J$622,6,FALSE),0)</f>
        <v>0</v>
      </c>
      <c r="L993" s="104">
        <f t="shared" ca="1" si="28"/>
        <v>0</v>
      </c>
      <c r="M993" s="104">
        <f t="shared" ca="1" si="29"/>
        <v>0</v>
      </c>
    </row>
    <row r="994" spans="3:13" x14ac:dyDescent="0.55000000000000004">
      <c r="C994" s="124"/>
      <c r="G994" s="125"/>
      <c r="I994" s="102">
        <v>9</v>
      </c>
      <c r="J994" s="102">
        <f>IFERROR(VLOOKUP(I994,'3 Water'!$E$613:$J$622,3,FALSE),0)</f>
        <v>0</v>
      </c>
      <c r="K994" s="103">
        <f ca="1">IFERROR(VLOOKUP(I994,'3 Water'!$E$613:$J$622,6,FALSE),0)</f>
        <v>0</v>
      </c>
      <c r="L994" s="104">
        <f t="shared" ca="1" si="28"/>
        <v>0</v>
      </c>
      <c r="M994" s="104">
        <f t="shared" ca="1" si="29"/>
        <v>0</v>
      </c>
    </row>
    <row r="995" spans="3:13" x14ac:dyDescent="0.55000000000000004">
      <c r="C995" s="124"/>
      <c r="G995" s="125"/>
      <c r="I995" s="102">
        <v>10</v>
      </c>
      <c r="J995" s="102" t="str">
        <f>IFERROR(VLOOKUP(I995,'3 Water'!$E$613:$J$622,3,FALSE),0)</f>
        <v>More</v>
      </c>
      <c r="K995" s="103">
        <f ca="1">IFERROR(VLOOKUP(I995,'3 Water'!$E$613:$J$622,6,FALSE),0)</f>
        <v>0</v>
      </c>
      <c r="L995" s="104">
        <f t="shared" ca="1" si="28"/>
        <v>0</v>
      </c>
      <c r="M995" s="104">
        <f t="shared" ca="1" si="29"/>
        <v>0</v>
      </c>
    </row>
    <row r="996" spans="3:13" x14ac:dyDescent="0.55000000000000004">
      <c r="C996" s="124"/>
      <c r="G996" s="125"/>
      <c r="I996" s="224"/>
      <c r="J996" s="224"/>
      <c r="K996" s="224"/>
      <c r="L996" s="224"/>
    </row>
    <row r="997" spans="3:13" x14ac:dyDescent="0.55000000000000004">
      <c r="C997" s="124"/>
      <c r="G997" s="125"/>
      <c r="I997" s="224"/>
      <c r="J997" s="224"/>
      <c r="K997" s="224"/>
      <c r="L997" s="224"/>
    </row>
    <row r="998" spans="3:13" x14ac:dyDescent="0.55000000000000004">
      <c r="C998" s="124"/>
      <c r="G998" s="125"/>
      <c r="I998" s="224"/>
      <c r="J998" s="224"/>
      <c r="K998" s="224"/>
      <c r="L998" s="224"/>
    </row>
    <row r="999" spans="3:13" x14ac:dyDescent="0.55000000000000004">
      <c r="C999" s="124"/>
      <c r="G999" s="125"/>
      <c r="I999" s="224"/>
      <c r="J999" s="224"/>
      <c r="K999" s="224"/>
      <c r="L999" s="224"/>
    </row>
    <row r="1000" spans="3:13" x14ac:dyDescent="0.55000000000000004">
      <c r="C1000" s="124"/>
      <c r="G1000" s="125"/>
      <c r="I1000" s="224"/>
      <c r="J1000" s="224"/>
      <c r="K1000" s="224"/>
      <c r="L1000" s="224"/>
    </row>
    <row r="1001" spans="3:13" ht="14.7" thickBot="1" x14ac:dyDescent="0.6">
      <c r="C1001" s="130"/>
      <c r="D1001" s="131"/>
      <c r="E1001" s="131"/>
      <c r="F1001" s="131"/>
      <c r="G1001" s="132"/>
      <c r="I1001" s="224"/>
      <c r="J1001" s="224"/>
      <c r="K1001" s="224"/>
      <c r="L1001" s="224"/>
    </row>
    <row r="1002" spans="3:13" x14ac:dyDescent="0.55000000000000004">
      <c r="I1002" s="224"/>
      <c r="J1002" s="224"/>
      <c r="K1002" s="224"/>
      <c r="L1002" s="224"/>
    </row>
    <row r="1003" spans="3:13" ht="14.7" thickBot="1" x14ac:dyDescent="0.6">
      <c r="I1003" s="224"/>
      <c r="J1003" s="224"/>
      <c r="K1003" s="224"/>
      <c r="L1003" s="224"/>
    </row>
    <row r="1004" spans="3:13" x14ac:dyDescent="0.55000000000000004">
      <c r="C1004" s="121"/>
      <c r="D1004" s="122"/>
      <c r="E1004" s="122"/>
      <c r="F1004" s="122"/>
      <c r="G1004" s="123"/>
      <c r="I1004" s="224"/>
      <c r="J1004" s="224"/>
      <c r="K1004" s="224"/>
      <c r="L1004" s="224"/>
    </row>
    <row r="1005" spans="3:13" ht="15.6" x14ac:dyDescent="0.6">
      <c r="C1005" s="124"/>
      <c r="D1005" s="98">
        <f>'2 Customer data'!D36</f>
        <v>0</v>
      </c>
      <c r="G1005" s="125"/>
      <c r="I1005" s="224"/>
      <c r="J1005" s="224"/>
      <c r="K1005" s="224"/>
      <c r="L1005" s="224"/>
    </row>
    <row r="1006" spans="3:13" x14ac:dyDescent="0.55000000000000004">
      <c r="C1006" s="124"/>
      <c r="G1006" s="125"/>
      <c r="I1006" s="224"/>
      <c r="J1006" s="224"/>
      <c r="K1006" s="224"/>
      <c r="L1006" s="224"/>
    </row>
    <row r="1007" spans="3:13" x14ac:dyDescent="0.55000000000000004">
      <c r="C1007" s="124"/>
      <c r="E1007" s="220" t="s">
        <v>250</v>
      </c>
      <c r="G1007" s="125"/>
      <c r="I1007" s="224"/>
      <c r="J1007" s="224"/>
      <c r="K1007" s="224"/>
      <c r="L1007" s="224"/>
    </row>
    <row r="1008" spans="3:13" x14ac:dyDescent="0.55000000000000004">
      <c r="C1008" s="124"/>
      <c r="D1008" t="s">
        <v>369</v>
      </c>
      <c r="E1008" s="26">
        <f ca="1">VLOOKUP(D1005,'2 Water'!$D$19:$J$38,5,FALSE)</f>
        <v>0</v>
      </c>
      <c r="G1008" s="125"/>
      <c r="I1008" s="224"/>
      <c r="J1008" s="224"/>
      <c r="K1008" s="224"/>
      <c r="L1008" s="224"/>
    </row>
    <row r="1009" spans="3:12" x14ac:dyDescent="0.55000000000000004">
      <c r="C1009" s="124"/>
      <c r="D1009" t="s">
        <v>370</v>
      </c>
      <c r="E1009" s="99">
        <f ca="1">VLOOKUP(D1005,'2 Water'!$D$19:$J$38,6,FALSE)</f>
        <v>0</v>
      </c>
      <c r="G1009" s="125"/>
      <c r="I1009" s="224"/>
      <c r="J1009" s="224"/>
      <c r="K1009" s="224"/>
      <c r="L1009" s="224"/>
    </row>
    <row r="1010" spans="3:12" ht="14.7" thickBot="1" x14ac:dyDescent="0.6">
      <c r="C1010" s="124"/>
      <c r="D1010" s="1" t="s">
        <v>39</v>
      </c>
      <c r="E1010" s="37">
        <f ca="1">VLOOKUP(D1005,'2 Water'!$D$19:$J$38,7,FALSE)</f>
        <v>0</v>
      </c>
      <c r="G1010" s="125"/>
      <c r="I1010" s="224"/>
      <c r="J1010" s="224"/>
      <c r="K1010" s="224"/>
      <c r="L1010" s="224"/>
    </row>
    <row r="1011" spans="3:12" ht="14.7" thickTop="1" x14ac:dyDescent="0.55000000000000004">
      <c r="C1011" s="124"/>
      <c r="G1011" s="125"/>
      <c r="I1011" s="224"/>
      <c r="J1011" s="224"/>
      <c r="K1011" s="224"/>
      <c r="L1011" s="224"/>
    </row>
    <row r="1012" spans="3:12" x14ac:dyDescent="0.55000000000000004">
      <c r="C1012" s="124"/>
      <c r="D1012" t="s">
        <v>189</v>
      </c>
      <c r="E1012" s="26">
        <f ca="1">IF(VLOOKUP(D1005,'2 Water'!$D$126:$K$145,7,FALSE)="",VLOOKUP(D1005,'2 Water'!$D$126:$K$145,6,FALSE),VLOOKUP(D1005,'2 Water'!$D$126:$K$145,7,FALSE))+VLOOKUP(D1005,'2 Water'!$D$158:$J$177,5,FALSE)</f>
        <v>0</v>
      </c>
      <c r="G1012" s="125"/>
      <c r="I1012" s="224"/>
      <c r="J1012" s="224"/>
      <c r="K1012" s="224"/>
      <c r="L1012" s="224"/>
    </row>
    <row r="1013" spans="3:12" x14ac:dyDescent="0.55000000000000004">
      <c r="C1013" s="124"/>
      <c r="G1013" s="125"/>
      <c r="I1013" s="224"/>
      <c r="J1013" s="224"/>
      <c r="K1013" s="224"/>
      <c r="L1013" s="224"/>
    </row>
    <row r="1014" spans="3:12" x14ac:dyDescent="0.55000000000000004">
      <c r="C1014" s="124"/>
      <c r="D1014" t="s">
        <v>371</v>
      </c>
      <c r="E1014" s="64">
        <f ca="1">IF(VLOOKUP(D1005,'2 Water'!$D$54:$M$73,5,FALSE)="",VLOOKUP(D1005,'2 Water'!$D$54:$M$73,4,FALSE),VLOOKUP(D1005,'2 Water'!$D$54:$M$73,5,FALSE))</f>
        <v>0</v>
      </c>
      <c r="G1014" s="125"/>
      <c r="I1014" s="224"/>
      <c r="J1014" s="224"/>
      <c r="K1014" s="224"/>
      <c r="L1014" s="224"/>
    </row>
    <row r="1015" spans="3:12" x14ac:dyDescent="0.55000000000000004">
      <c r="C1015" s="124"/>
      <c r="D1015" t="s">
        <v>372</v>
      </c>
      <c r="E1015" s="26">
        <f ca="1">IF(VLOOKUP(D1005,'2 Water'!$D$54:$M$73,7,FALSE)="",VLOOKUP(D1005,'2 Water'!$D$54:$M$73,6,FALSE),VLOOKUP(D1005,'2 Water'!$D$54:$M$73,7,FALSE))</f>
        <v>0</v>
      </c>
      <c r="G1015" s="125"/>
      <c r="I1015" s="224"/>
      <c r="J1015" s="224"/>
      <c r="K1015" s="224"/>
      <c r="L1015" s="224"/>
    </row>
    <row r="1016" spans="3:12" x14ac:dyDescent="0.55000000000000004">
      <c r="C1016" s="124"/>
      <c r="D1016" t="s">
        <v>373</v>
      </c>
      <c r="E1016" s="26">
        <f ca="1">IF(VLOOKUP(D1005,'2 Water'!$D$54:$M$73,9,FALSE)="",VLOOKUP(D1005,'2 Water'!$D$54:$M$73,8,FALSE),VLOOKUP(D1005,'2 Water'!$D$54:$M$73,9,FALSE))</f>
        <v>0</v>
      </c>
      <c r="G1016" s="125"/>
      <c r="I1016" s="224"/>
      <c r="J1016" s="224"/>
      <c r="K1016" s="224"/>
      <c r="L1016" s="224"/>
    </row>
    <row r="1017" spans="3:12" x14ac:dyDescent="0.55000000000000004">
      <c r="C1017" s="124"/>
      <c r="D1017" t="s">
        <v>374</v>
      </c>
      <c r="E1017" s="26">
        <f ca="1">IF(VLOOKUP(D1005,'2 Water'!$D$90:$I$109,5,FALSE)="",VLOOKUP(D1005,'2 Water'!$D$90:$I$109,4,FALSE),VLOOKUP(D1005,'2 Water'!$D$90:$I$109,5,FALSE))</f>
        <v>0</v>
      </c>
      <c r="G1017" s="125"/>
      <c r="I1017" s="224"/>
      <c r="J1017" s="224"/>
      <c r="K1017" s="224"/>
      <c r="L1017" s="224"/>
    </row>
    <row r="1018" spans="3:12" ht="14.7" thickBot="1" x14ac:dyDescent="0.6">
      <c r="C1018" s="124"/>
      <c r="D1018" s="1" t="s">
        <v>145</v>
      </c>
      <c r="E1018" s="37">
        <f ca="1">SUM(E1014:E1017)</f>
        <v>0</v>
      </c>
      <c r="F1018" s="135"/>
      <c r="G1018" s="125"/>
      <c r="I1018" s="224"/>
      <c r="J1018" s="224"/>
      <c r="K1018" s="224"/>
      <c r="L1018" s="224"/>
    </row>
    <row r="1019" spans="3:12" ht="14.7" thickTop="1" x14ac:dyDescent="0.55000000000000004">
      <c r="C1019" s="124"/>
      <c r="D1019" s="1"/>
      <c r="E1019" s="15"/>
      <c r="G1019" s="125"/>
      <c r="I1019" s="224"/>
      <c r="J1019" s="224"/>
      <c r="K1019" s="224"/>
      <c r="L1019" s="224"/>
    </row>
    <row r="1020" spans="3:12" x14ac:dyDescent="0.55000000000000004">
      <c r="C1020" s="124"/>
      <c r="D1020" t="s">
        <v>384</v>
      </c>
      <c r="E1020" s="26">
        <f ca="1">IF(VLOOKUP(D1005,'2 Water'!$D$126:$K$145,5,FALSE)="",VLOOKUP(D1005,'2 Water'!$D$126:$K$145,4,FALSE),VLOOKUP(D1005,'2 Water'!$D$126:$K$145,5,FALSE))+VLOOKUP(D1005,'2 Water'!$D$158:$J$177,7,FALSE)</f>
        <v>0</v>
      </c>
      <c r="G1020" s="125"/>
      <c r="I1020" s="224"/>
      <c r="J1020" s="224"/>
      <c r="K1020" s="224"/>
      <c r="L1020" s="224"/>
    </row>
    <row r="1021" spans="3:12" x14ac:dyDescent="0.55000000000000004">
      <c r="C1021" s="124"/>
      <c r="G1021" s="125"/>
      <c r="I1021" s="224"/>
      <c r="J1021" s="224"/>
      <c r="K1021" s="224"/>
      <c r="L1021" s="224"/>
    </row>
    <row r="1022" spans="3:12" ht="14.7" thickBot="1" x14ac:dyDescent="0.6">
      <c r="C1022" s="124"/>
      <c r="D1022" s="1" t="s">
        <v>375</v>
      </c>
      <c r="E1022" s="37">
        <f ca="1">VLOOKUP(D1005,'2 Water'!$D$158:$K$177,8,FALSE)</f>
        <v>0</v>
      </c>
      <c r="G1022" s="125"/>
      <c r="I1022" s="224"/>
      <c r="J1022" s="224"/>
      <c r="K1022" s="224"/>
      <c r="L1022" s="224"/>
    </row>
    <row r="1023" spans="3:12" ht="14.7" thickTop="1" x14ac:dyDescent="0.55000000000000004">
      <c r="C1023" s="124"/>
      <c r="G1023" s="125"/>
      <c r="I1023" s="224"/>
      <c r="J1023" s="224"/>
      <c r="K1023" s="224"/>
      <c r="L1023" s="224"/>
    </row>
    <row r="1024" spans="3:12" x14ac:dyDescent="0.55000000000000004">
      <c r="C1024" s="124"/>
      <c r="G1024" s="125"/>
      <c r="I1024" s="224"/>
      <c r="J1024" s="224"/>
      <c r="K1024" s="224"/>
      <c r="L1024" s="224"/>
    </row>
    <row r="1025" spans="3:12" x14ac:dyDescent="0.55000000000000004">
      <c r="C1025" s="124"/>
      <c r="G1025" s="125"/>
      <c r="I1025" s="224"/>
      <c r="J1025" s="224"/>
      <c r="K1025" s="224"/>
      <c r="L1025" s="224"/>
    </row>
    <row r="1026" spans="3:12" x14ac:dyDescent="0.55000000000000004">
      <c r="C1026" s="124"/>
      <c r="G1026" s="125"/>
      <c r="I1026" s="224"/>
      <c r="J1026" s="224"/>
      <c r="K1026" s="224"/>
      <c r="L1026" s="224"/>
    </row>
    <row r="1027" spans="3:12" x14ac:dyDescent="0.55000000000000004">
      <c r="C1027" s="124"/>
      <c r="G1027" s="125"/>
      <c r="I1027" s="224"/>
      <c r="J1027" s="224"/>
      <c r="K1027" s="224"/>
      <c r="L1027" s="224"/>
    </row>
    <row r="1028" spans="3:12" x14ac:dyDescent="0.55000000000000004">
      <c r="C1028" s="124"/>
      <c r="G1028" s="125"/>
      <c r="I1028" s="224"/>
      <c r="J1028" s="224"/>
      <c r="K1028" s="224"/>
      <c r="L1028" s="224"/>
    </row>
    <row r="1029" spans="3:12" x14ac:dyDescent="0.55000000000000004">
      <c r="C1029" s="124"/>
      <c r="G1029" s="125"/>
      <c r="I1029" s="232" t="s">
        <v>385</v>
      </c>
      <c r="J1029" s="224"/>
      <c r="K1029" s="224"/>
      <c r="L1029" s="224"/>
    </row>
    <row r="1030" spans="3:12" x14ac:dyDescent="0.55000000000000004">
      <c r="C1030" s="124"/>
      <c r="G1030" s="125"/>
      <c r="I1030" s="110"/>
      <c r="J1030" s="102" t="s">
        <v>390</v>
      </c>
      <c r="K1030" s="102" t="s">
        <v>391</v>
      </c>
      <c r="L1030" s="224"/>
    </row>
    <row r="1031" spans="3:12" x14ac:dyDescent="0.55000000000000004">
      <c r="C1031" s="124"/>
      <c r="G1031" s="125"/>
      <c r="I1031" s="110" t="s">
        <v>369</v>
      </c>
      <c r="J1031" s="100">
        <f ca="1">E1008/1000</f>
        <v>0</v>
      </c>
      <c r="K1031" s="102"/>
      <c r="L1031" s="224"/>
    </row>
    <row r="1032" spans="3:12" x14ac:dyDescent="0.55000000000000004">
      <c r="C1032" s="124"/>
      <c r="G1032" s="125"/>
      <c r="I1032" s="110" t="s">
        <v>370</v>
      </c>
      <c r="J1032" s="100">
        <f ca="1">E1009/1000</f>
        <v>0</v>
      </c>
      <c r="K1032" s="110"/>
      <c r="L1032" s="224"/>
    </row>
    <row r="1033" spans="3:12" x14ac:dyDescent="0.55000000000000004">
      <c r="C1033" s="124"/>
      <c r="G1033" s="125"/>
      <c r="I1033" s="110" t="s">
        <v>471</v>
      </c>
      <c r="J1033" s="100">
        <f ca="1">E1012/1000</f>
        <v>0</v>
      </c>
      <c r="K1033" s="110"/>
      <c r="L1033" s="224"/>
    </row>
    <row r="1034" spans="3:12" x14ac:dyDescent="0.55000000000000004">
      <c r="C1034" s="124"/>
      <c r="G1034" s="125"/>
      <c r="I1034" s="110" t="s">
        <v>563</v>
      </c>
      <c r="J1034" s="100"/>
      <c r="K1034" s="101">
        <f ca="1">E1022/1000</f>
        <v>0</v>
      </c>
      <c r="L1034" s="224"/>
    </row>
    <row r="1035" spans="3:12" x14ac:dyDescent="0.55000000000000004">
      <c r="C1035" s="124"/>
      <c r="G1035" s="125"/>
      <c r="I1035" s="110" t="s">
        <v>564</v>
      </c>
      <c r="J1035" s="100"/>
      <c r="K1035" s="101">
        <f ca="1">E1017/1000</f>
        <v>0</v>
      </c>
      <c r="L1035" s="224"/>
    </row>
    <row r="1036" spans="3:12" x14ac:dyDescent="0.55000000000000004">
      <c r="C1036" s="124"/>
      <c r="G1036" s="125"/>
      <c r="I1036" s="110" t="s">
        <v>565</v>
      </c>
      <c r="J1036" s="100"/>
      <c r="K1036" s="101">
        <f ca="1">SUM(E1014:E1016)/1000</f>
        <v>0</v>
      </c>
      <c r="L1036" s="224"/>
    </row>
    <row r="1037" spans="3:12" x14ac:dyDescent="0.55000000000000004">
      <c r="C1037" s="124"/>
      <c r="G1037" s="125"/>
      <c r="I1037" s="110" t="s">
        <v>566</v>
      </c>
      <c r="J1037" s="100"/>
      <c r="K1037" s="101">
        <f ca="1">E1020/1000</f>
        <v>0</v>
      </c>
      <c r="L1037" s="224"/>
    </row>
    <row r="1038" spans="3:12" x14ac:dyDescent="0.55000000000000004">
      <c r="C1038" s="124"/>
      <c r="G1038" s="125"/>
      <c r="I1038" s="224"/>
      <c r="J1038" s="224"/>
      <c r="K1038" s="224"/>
      <c r="L1038" s="224"/>
    </row>
    <row r="1039" spans="3:12" x14ac:dyDescent="0.55000000000000004">
      <c r="C1039" s="124"/>
      <c r="G1039" s="125"/>
      <c r="I1039" s="224"/>
      <c r="J1039" s="224"/>
      <c r="K1039" s="224"/>
      <c r="L1039" s="224"/>
    </row>
    <row r="1040" spans="3:12" x14ac:dyDescent="0.55000000000000004">
      <c r="C1040" s="124"/>
      <c r="G1040" s="125"/>
      <c r="I1040" s="224"/>
      <c r="J1040" s="224"/>
      <c r="K1040" s="224"/>
      <c r="L1040" s="224"/>
    </row>
    <row r="1041" spans="3:13" x14ac:dyDescent="0.55000000000000004">
      <c r="C1041" s="124"/>
      <c r="E1041" s="220"/>
      <c r="G1041" s="125"/>
      <c r="I1041" s="224"/>
      <c r="J1041" s="224"/>
      <c r="K1041" s="224"/>
      <c r="L1041" s="224"/>
    </row>
    <row r="1042" spans="3:13" x14ac:dyDescent="0.55000000000000004">
      <c r="C1042" s="124"/>
      <c r="D1042" t="s">
        <v>387</v>
      </c>
      <c r="E1042" s="64">
        <f ca="1">VLOOKUP(D1005,'2 Water'!$D$158:$M$177,10,FALSE)</f>
        <v>0</v>
      </c>
      <c r="G1042" s="125"/>
      <c r="I1042" s="224"/>
      <c r="J1042" s="224"/>
      <c r="K1042" s="224"/>
      <c r="L1042" s="224"/>
    </row>
    <row r="1043" spans="3:13" x14ac:dyDescent="0.55000000000000004">
      <c r="C1043" s="124"/>
      <c r="D1043" t="s">
        <v>388</v>
      </c>
      <c r="E1043" s="64">
        <f ca="1">VLOOKUP(D1005,'2 Water'!$D$158:$M$177,9,FALSE)</f>
        <v>0</v>
      </c>
      <c r="G1043" s="125"/>
      <c r="I1043" s="224"/>
      <c r="J1043" s="224"/>
      <c r="K1043" s="224"/>
      <c r="L1043" s="224"/>
    </row>
    <row r="1044" spans="3:13" x14ac:dyDescent="0.55000000000000004">
      <c r="C1044" s="124"/>
      <c r="D1044" t="s">
        <v>378</v>
      </c>
      <c r="E1044" s="97">
        <f ca="1">IFERROR(IF(E1012=0,E1020,E1012)/E1010,0)</f>
        <v>0</v>
      </c>
      <c r="G1044" s="125"/>
      <c r="I1044" s="224"/>
      <c r="J1044" s="224"/>
      <c r="K1044" s="224"/>
      <c r="L1044" s="224"/>
    </row>
    <row r="1045" spans="3:13" x14ac:dyDescent="0.55000000000000004">
      <c r="C1045" s="124"/>
      <c r="G1045" s="125"/>
      <c r="I1045" s="224"/>
      <c r="J1045" s="224"/>
      <c r="K1045" s="224"/>
      <c r="L1045" s="224"/>
    </row>
    <row r="1046" spans="3:13" x14ac:dyDescent="0.55000000000000004">
      <c r="C1046" s="124"/>
      <c r="D1046" t="s">
        <v>389</v>
      </c>
      <c r="E1046" s="64">
        <f>'3 Water'!H641</f>
        <v>0</v>
      </c>
      <c r="G1046" s="125"/>
      <c r="I1046" s="224"/>
      <c r="J1046" s="224"/>
      <c r="K1046" s="224"/>
      <c r="L1046" s="224"/>
    </row>
    <row r="1047" spans="3:13" x14ac:dyDescent="0.55000000000000004">
      <c r="C1047" s="124"/>
      <c r="D1047" t="s">
        <v>380</v>
      </c>
      <c r="E1047" s="97">
        <f ca="1">IFERROR('3 Water'!I641/'3 Water'!H633,0)</f>
        <v>0</v>
      </c>
      <c r="G1047" s="125"/>
      <c r="I1047" s="224"/>
      <c r="J1047" s="224"/>
      <c r="K1047" s="224"/>
      <c r="L1047" s="224"/>
    </row>
    <row r="1048" spans="3:13" x14ac:dyDescent="0.55000000000000004">
      <c r="C1048" s="124"/>
      <c r="G1048" s="125"/>
      <c r="I1048" s="224"/>
      <c r="J1048" s="224"/>
      <c r="K1048" s="224"/>
      <c r="L1048" s="224"/>
    </row>
    <row r="1049" spans="3:13" x14ac:dyDescent="0.55000000000000004">
      <c r="C1049" s="124"/>
      <c r="D1049" s="1" t="s">
        <v>381</v>
      </c>
      <c r="G1049" s="125"/>
      <c r="I1049" s="224"/>
      <c r="J1049" s="224"/>
      <c r="K1049" s="224"/>
      <c r="L1049" s="224"/>
    </row>
    <row r="1050" spans="3:13" x14ac:dyDescent="0.55000000000000004">
      <c r="C1050" s="124"/>
      <c r="D1050" s="1"/>
      <c r="G1050" s="125"/>
      <c r="I1050" s="224"/>
      <c r="J1050" s="224"/>
      <c r="K1050" s="224"/>
      <c r="L1050" s="224"/>
    </row>
    <row r="1051" spans="3:13" x14ac:dyDescent="0.55000000000000004">
      <c r="C1051" s="124"/>
      <c r="G1051" s="125"/>
      <c r="I1051" s="224"/>
      <c r="J1051" s="224"/>
      <c r="K1051" s="224"/>
      <c r="L1051" s="224"/>
    </row>
    <row r="1052" spans="3:13" ht="28.8" x14ac:dyDescent="0.55000000000000004">
      <c r="C1052" s="124"/>
      <c r="G1052" s="125"/>
      <c r="I1052" s="102" t="s">
        <v>383</v>
      </c>
      <c r="J1052" s="102" t="s">
        <v>382</v>
      </c>
      <c r="K1052" s="102" t="s">
        <v>100</v>
      </c>
      <c r="L1052" s="230" t="s">
        <v>392</v>
      </c>
      <c r="M1052" s="231" t="s">
        <v>567</v>
      </c>
    </row>
    <row r="1053" spans="3:13" x14ac:dyDescent="0.55000000000000004">
      <c r="C1053" s="124"/>
      <c r="G1053" s="125"/>
      <c r="I1053" s="102">
        <v>1</v>
      </c>
      <c r="J1053" s="102">
        <f>IFERROR(VLOOKUP(I1053,'3 Water'!$E$654:$J$663,3,FALSE),0)</f>
        <v>0</v>
      </c>
      <c r="K1053" s="103">
        <f>IFERROR(VLOOKUP(I1053,'3 Water'!$E$654:$J$663,6,FALSE),0)</f>
        <v>0</v>
      </c>
      <c r="L1053" s="104">
        <f t="shared" ref="L1053:L1062" ca="1" si="30">$E$1042</f>
        <v>0</v>
      </c>
      <c r="M1053" s="106">
        <f ca="1">IFERROR('3 Water'!I633/'3 Water'!G633,0)</f>
        <v>0</v>
      </c>
    </row>
    <row r="1054" spans="3:13" x14ac:dyDescent="0.55000000000000004">
      <c r="C1054" s="124"/>
      <c r="G1054" s="125"/>
      <c r="I1054" s="102">
        <v>2</v>
      </c>
      <c r="J1054" s="102">
        <f>IFERROR(VLOOKUP(I1054,'3 Water'!$E$654:$J$663,3,FALSE),0)</f>
        <v>0</v>
      </c>
      <c r="K1054" s="103">
        <f ca="1">IFERROR(VLOOKUP(I1054,'3 Water'!$E$654:$J$663,6,FALSE),0)</f>
        <v>0</v>
      </c>
      <c r="L1054" s="104">
        <f t="shared" ca="1" si="30"/>
        <v>0</v>
      </c>
      <c r="M1054" s="104">
        <f t="shared" ref="M1054:M1062" ca="1" si="31">$M$1053</f>
        <v>0</v>
      </c>
    </row>
    <row r="1055" spans="3:13" x14ac:dyDescent="0.55000000000000004">
      <c r="C1055" s="124"/>
      <c r="G1055" s="125"/>
      <c r="I1055" s="102">
        <v>3</v>
      </c>
      <c r="J1055" s="102">
        <f>IFERROR(VLOOKUP(I1055,'3 Water'!$E$654:$J$663,3,FALSE),0)</f>
        <v>0</v>
      </c>
      <c r="K1055" s="103">
        <f ca="1">IFERROR(VLOOKUP(I1055,'3 Water'!$E$654:$J$663,6,FALSE),0)</f>
        <v>0</v>
      </c>
      <c r="L1055" s="104">
        <f t="shared" ca="1" si="30"/>
        <v>0</v>
      </c>
      <c r="M1055" s="104">
        <f t="shared" ca="1" si="31"/>
        <v>0</v>
      </c>
    </row>
    <row r="1056" spans="3:13" x14ac:dyDescent="0.55000000000000004">
      <c r="C1056" s="124"/>
      <c r="G1056" s="125"/>
      <c r="I1056" s="102">
        <v>4</v>
      </c>
      <c r="J1056" s="102">
        <f>IFERROR(VLOOKUP(I1056,'3 Water'!$E$654:$J$663,3,FALSE),0)</f>
        <v>0</v>
      </c>
      <c r="K1056" s="103">
        <f ca="1">IFERROR(VLOOKUP(I1056,'3 Water'!$E$654:$J$663,6,FALSE),0)</f>
        <v>0</v>
      </c>
      <c r="L1056" s="104">
        <f t="shared" ca="1" si="30"/>
        <v>0</v>
      </c>
      <c r="M1056" s="104">
        <f t="shared" ca="1" si="31"/>
        <v>0</v>
      </c>
    </row>
    <row r="1057" spans="3:13" x14ac:dyDescent="0.55000000000000004">
      <c r="C1057" s="124"/>
      <c r="G1057" s="125"/>
      <c r="I1057" s="102">
        <v>5</v>
      </c>
      <c r="J1057" s="102">
        <f>IFERROR(VLOOKUP(I1057,'3 Water'!$E$654:$J$663,3,FALSE),0)</f>
        <v>0</v>
      </c>
      <c r="K1057" s="103">
        <f ca="1">IFERROR(VLOOKUP(I1057,'3 Water'!$E$654:$J$663,6,FALSE),0)</f>
        <v>0</v>
      </c>
      <c r="L1057" s="104">
        <f t="shared" ca="1" si="30"/>
        <v>0</v>
      </c>
      <c r="M1057" s="104">
        <f t="shared" ca="1" si="31"/>
        <v>0</v>
      </c>
    </row>
    <row r="1058" spans="3:13" x14ac:dyDescent="0.55000000000000004">
      <c r="C1058" s="124"/>
      <c r="G1058" s="125"/>
      <c r="I1058" s="102">
        <v>6</v>
      </c>
      <c r="J1058" s="102">
        <f>IFERROR(VLOOKUP(I1058,'3 Water'!$E$654:$J$663,3,FALSE),0)</f>
        <v>0</v>
      </c>
      <c r="K1058" s="103">
        <f ca="1">IFERROR(VLOOKUP(I1058,'3 Water'!$E$654:$J$663,6,FALSE),0)</f>
        <v>0</v>
      </c>
      <c r="L1058" s="104">
        <f t="shared" ca="1" si="30"/>
        <v>0</v>
      </c>
      <c r="M1058" s="104">
        <f t="shared" ca="1" si="31"/>
        <v>0</v>
      </c>
    </row>
    <row r="1059" spans="3:13" x14ac:dyDescent="0.55000000000000004">
      <c r="C1059" s="124"/>
      <c r="G1059" s="125"/>
      <c r="I1059" s="102">
        <v>7</v>
      </c>
      <c r="J1059" s="102">
        <f>IFERROR(VLOOKUP(I1059,'3 Water'!$E$654:$J$663,3,FALSE),0)</f>
        <v>0</v>
      </c>
      <c r="K1059" s="103">
        <f ca="1">IFERROR(VLOOKUP(I1059,'3 Water'!$E$654:$J$663,6,FALSE),0)</f>
        <v>0</v>
      </c>
      <c r="L1059" s="104">
        <f t="shared" ca="1" si="30"/>
        <v>0</v>
      </c>
      <c r="M1059" s="104">
        <f t="shared" ca="1" si="31"/>
        <v>0</v>
      </c>
    </row>
    <row r="1060" spans="3:13" x14ac:dyDescent="0.55000000000000004">
      <c r="C1060" s="124"/>
      <c r="G1060" s="125"/>
      <c r="I1060" s="102">
        <v>8</v>
      </c>
      <c r="J1060" s="102">
        <f>IFERROR(VLOOKUP(I1060,'3 Water'!$E$654:$J$663,3,FALSE),0)</f>
        <v>0</v>
      </c>
      <c r="K1060" s="103">
        <f ca="1">IFERROR(VLOOKUP(I1060,'3 Water'!$E$654:$J$663,6,FALSE),0)</f>
        <v>0</v>
      </c>
      <c r="L1060" s="104">
        <f t="shared" ca="1" si="30"/>
        <v>0</v>
      </c>
      <c r="M1060" s="104">
        <f t="shared" ca="1" si="31"/>
        <v>0</v>
      </c>
    </row>
    <row r="1061" spans="3:13" x14ac:dyDescent="0.55000000000000004">
      <c r="C1061" s="124"/>
      <c r="G1061" s="125"/>
      <c r="I1061" s="102">
        <v>9</v>
      </c>
      <c r="J1061" s="102">
        <f>IFERROR(VLOOKUP(I1061,'3 Water'!$E$654:$J$663,3,FALSE),0)</f>
        <v>0</v>
      </c>
      <c r="K1061" s="103">
        <f ca="1">IFERROR(VLOOKUP(I1061,'3 Water'!$E$654:$J$663,6,FALSE),0)</f>
        <v>0</v>
      </c>
      <c r="L1061" s="104">
        <f t="shared" ca="1" si="30"/>
        <v>0</v>
      </c>
      <c r="M1061" s="104">
        <f t="shared" ca="1" si="31"/>
        <v>0</v>
      </c>
    </row>
    <row r="1062" spans="3:13" x14ac:dyDescent="0.55000000000000004">
      <c r="C1062" s="124"/>
      <c r="G1062" s="125"/>
      <c r="I1062" s="102">
        <v>10</v>
      </c>
      <c r="J1062" s="102" t="str">
        <f>IFERROR(VLOOKUP(I1062,'3 Water'!$E$654:$J$663,3,FALSE),0)</f>
        <v>More</v>
      </c>
      <c r="K1062" s="103">
        <f ca="1">IFERROR(VLOOKUP(I1062,'3 Water'!$E$654:$J$663,6,FALSE),0)</f>
        <v>0</v>
      </c>
      <c r="L1062" s="104">
        <f t="shared" ca="1" si="30"/>
        <v>0</v>
      </c>
      <c r="M1062" s="104">
        <f t="shared" ca="1" si="31"/>
        <v>0</v>
      </c>
    </row>
    <row r="1063" spans="3:13" x14ac:dyDescent="0.55000000000000004">
      <c r="C1063" s="124"/>
      <c r="G1063" s="125"/>
      <c r="I1063" s="224"/>
      <c r="J1063" s="224"/>
      <c r="K1063" s="224"/>
      <c r="L1063" s="224"/>
    </row>
    <row r="1064" spans="3:13" x14ac:dyDescent="0.55000000000000004">
      <c r="C1064" s="124"/>
      <c r="G1064" s="125"/>
      <c r="I1064" s="224"/>
      <c r="J1064" s="224"/>
      <c r="K1064" s="224"/>
      <c r="L1064" s="224"/>
    </row>
    <row r="1065" spans="3:13" x14ac:dyDescent="0.55000000000000004">
      <c r="C1065" s="124"/>
      <c r="G1065" s="125"/>
      <c r="I1065" s="224"/>
      <c r="J1065" s="224"/>
      <c r="K1065" s="224"/>
      <c r="L1065" s="224"/>
    </row>
    <row r="1066" spans="3:13" x14ac:dyDescent="0.55000000000000004">
      <c r="C1066" s="124"/>
      <c r="G1066" s="125"/>
      <c r="I1066" s="224"/>
      <c r="J1066" s="224"/>
      <c r="K1066" s="224"/>
      <c r="L1066" s="224"/>
    </row>
    <row r="1067" spans="3:13" x14ac:dyDescent="0.55000000000000004">
      <c r="C1067" s="124"/>
      <c r="G1067" s="125"/>
      <c r="I1067" s="224"/>
      <c r="J1067" s="224"/>
      <c r="K1067" s="224"/>
      <c r="L1067" s="224"/>
    </row>
    <row r="1068" spans="3:13" ht="14.7" thickBot="1" x14ac:dyDescent="0.6">
      <c r="C1068" s="130"/>
      <c r="D1068" s="131"/>
      <c r="E1068" s="131"/>
      <c r="F1068" s="131"/>
      <c r="G1068" s="132"/>
      <c r="I1068" s="224"/>
      <c r="J1068" s="224"/>
      <c r="K1068" s="224"/>
      <c r="L1068" s="224"/>
    </row>
    <row r="1069" spans="3:13" x14ac:dyDescent="0.55000000000000004">
      <c r="I1069" s="224"/>
      <c r="J1069" s="224"/>
      <c r="K1069" s="224"/>
      <c r="L1069" s="224"/>
    </row>
    <row r="1070" spans="3:13" ht="14.7" thickBot="1" x14ac:dyDescent="0.6">
      <c r="I1070" s="224"/>
      <c r="J1070" s="224"/>
      <c r="K1070" s="224"/>
      <c r="L1070" s="224"/>
    </row>
    <row r="1071" spans="3:13" x14ac:dyDescent="0.55000000000000004">
      <c r="C1071" s="121"/>
      <c r="D1071" s="122"/>
      <c r="E1071" s="122"/>
      <c r="F1071" s="122"/>
      <c r="G1071" s="123"/>
      <c r="I1071" s="224"/>
      <c r="J1071" s="224"/>
      <c r="K1071" s="224"/>
      <c r="L1071" s="224"/>
    </row>
    <row r="1072" spans="3:13" ht="15.6" x14ac:dyDescent="0.6">
      <c r="C1072" s="124"/>
      <c r="D1072" s="98">
        <f>'2 Customer data'!D37</f>
        <v>0</v>
      </c>
      <c r="G1072" s="125"/>
      <c r="I1072" s="224"/>
      <c r="J1072" s="224"/>
      <c r="K1072" s="224"/>
      <c r="L1072" s="224"/>
    </row>
    <row r="1073" spans="3:12" x14ac:dyDescent="0.55000000000000004">
      <c r="C1073" s="124"/>
      <c r="G1073" s="125"/>
      <c r="I1073" s="224"/>
      <c r="J1073" s="224"/>
      <c r="K1073" s="224"/>
      <c r="L1073" s="224"/>
    </row>
    <row r="1074" spans="3:12" x14ac:dyDescent="0.55000000000000004">
      <c r="C1074" s="124"/>
      <c r="E1074" s="220" t="s">
        <v>250</v>
      </c>
      <c r="G1074" s="125"/>
      <c r="I1074" s="224"/>
      <c r="J1074" s="224"/>
      <c r="K1074" s="224"/>
      <c r="L1074" s="224"/>
    </row>
    <row r="1075" spans="3:12" x14ac:dyDescent="0.55000000000000004">
      <c r="C1075" s="124"/>
      <c r="D1075" t="s">
        <v>369</v>
      </c>
      <c r="E1075" s="26">
        <f ca="1">VLOOKUP(D1072,'2 Water'!$D$19:$J$38,5,FALSE)</f>
        <v>0</v>
      </c>
      <c r="G1075" s="125"/>
      <c r="I1075" s="224"/>
      <c r="J1075" s="224"/>
      <c r="K1075" s="224"/>
      <c r="L1075" s="224"/>
    </row>
    <row r="1076" spans="3:12" x14ac:dyDescent="0.55000000000000004">
      <c r="C1076" s="124"/>
      <c r="D1076" t="s">
        <v>370</v>
      </c>
      <c r="E1076" s="99">
        <f ca="1">VLOOKUP(D1072,'2 Water'!$D$19:$J$38,6,FALSE)</f>
        <v>0</v>
      </c>
      <c r="G1076" s="125"/>
      <c r="I1076" s="224"/>
      <c r="J1076" s="224"/>
      <c r="K1076" s="224"/>
      <c r="L1076" s="224"/>
    </row>
    <row r="1077" spans="3:12" ht="14.7" thickBot="1" x14ac:dyDescent="0.6">
      <c r="C1077" s="124"/>
      <c r="D1077" s="1" t="s">
        <v>39</v>
      </c>
      <c r="E1077" s="37">
        <f ca="1">VLOOKUP(D1072,'2 Water'!$D$19:$J$38,7,FALSE)</f>
        <v>0</v>
      </c>
      <c r="G1077" s="125"/>
      <c r="I1077" s="224"/>
      <c r="J1077" s="224"/>
      <c r="K1077" s="224"/>
      <c r="L1077" s="224"/>
    </row>
    <row r="1078" spans="3:12" ht="14.7" thickTop="1" x14ac:dyDescent="0.55000000000000004">
      <c r="C1078" s="124"/>
      <c r="G1078" s="125"/>
      <c r="I1078" s="224"/>
      <c r="J1078" s="224"/>
      <c r="K1078" s="224"/>
      <c r="L1078" s="224"/>
    </row>
    <row r="1079" spans="3:12" x14ac:dyDescent="0.55000000000000004">
      <c r="C1079" s="124"/>
      <c r="D1079" t="s">
        <v>189</v>
      </c>
      <c r="E1079" s="26">
        <f ca="1">IF(VLOOKUP(D1072,'2 Water'!$D$126:$K$145,7,FALSE)="",VLOOKUP(D1072,'2 Water'!$D$126:$K$145,6,FALSE),VLOOKUP(D1072,'2 Water'!$D$126:$K$145,7,FALSE))+VLOOKUP(D1072,'2 Water'!$D$158:$J$177,5,FALSE)</f>
        <v>0</v>
      </c>
      <c r="G1079" s="125"/>
      <c r="I1079" s="224"/>
      <c r="J1079" s="224"/>
      <c r="K1079" s="224"/>
      <c r="L1079" s="224"/>
    </row>
    <row r="1080" spans="3:12" x14ac:dyDescent="0.55000000000000004">
      <c r="C1080" s="124"/>
      <c r="G1080" s="125"/>
      <c r="I1080" s="224"/>
      <c r="J1080" s="224"/>
      <c r="K1080" s="224"/>
      <c r="L1080" s="224"/>
    </row>
    <row r="1081" spans="3:12" x14ac:dyDescent="0.55000000000000004">
      <c r="C1081" s="124"/>
      <c r="D1081" t="s">
        <v>371</v>
      </c>
      <c r="E1081" s="64">
        <f ca="1">IF(VLOOKUP(D1072,'2 Water'!$D$54:$M$73,5,FALSE)="",VLOOKUP(D1072,'2 Water'!$D$54:$M$73,4,FALSE),VLOOKUP(D1072,'2 Water'!$D$54:$M$73,5,FALSE))</f>
        <v>0</v>
      </c>
      <c r="G1081" s="125"/>
      <c r="I1081" s="224"/>
      <c r="J1081" s="224"/>
      <c r="K1081" s="224"/>
      <c r="L1081" s="224"/>
    </row>
    <row r="1082" spans="3:12" x14ac:dyDescent="0.55000000000000004">
      <c r="C1082" s="124"/>
      <c r="D1082" t="s">
        <v>372</v>
      </c>
      <c r="E1082" s="26">
        <f ca="1">IF(VLOOKUP(D1072,'2 Water'!$D$54:$M$73,7,FALSE)="",VLOOKUP(D1072,'2 Water'!$D$54:$M$73,6,FALSE),VLOOKUP(D1072,'2 Water'!$D$54:$M$73,7,FALSE))</f>
        <v>0</v>
      </c>
      <c r="G1082" s="125"/>
      <c r="I1082" s="224"/>
      <c r="J1082" s="224"/>
      <c r="K1082" s="224"/>
      <c r="L1082" s="224"/>
    </row>
    <row r="1083" spans="3:12" x14ac:dyDescent="0.55000000000000004">
      <c r="C1083" s="124"/>
      <c r="D1083" t="s">
        <v>373</v>
      </c>
      <c r="E1083" s="26">
        <f ca="1">IF(VLOOKUP(D1072,'2 Water'!$D$54:$M$73,9,FALSE)="",VLOOKUP(D1072,'2 Water'!$D$54:$M$73,8,FALSE),VLOOKUP(D1072,'2 Water'!$D$54:$M$73,9,FALSE))</f>
        <v>0</v>
      </c>
      <c r="G1083" s="125"/>
      <c r="I1083" s="224"/>
      <c r="J1083" s="224"/>
      <c r="K1083" s="224"/>
      <c r="L1083" s="224"/>
    </row>
    <row r="1084" spans="3:12" x14ac:dyDescent="0.55000000000000004">
      <c r="C1084" s="124"/>
      <c r="D1084" t="s">
        <v>374</v>
      </c>
      <c r="E1084" s="26">
        <f ca="1">IF(VLOOKUP(D1072,'2 Water'!$D$90:$I$109,5,FALSE)="",VLOOKUP(D1072,'2 Water'!$D$90:$I$109,4,FALSE),VLOOKUP(D1072,'2 Water'!$D$90:$I$109,5,FALSE))</f>
        <v>0</v>
      </c>
      <c r="G1084" s="125"/>
      <c r="I1084" s="224"/>
      <c r="J1084" s="224"/>
      <c r="K1084" s="224"/>
      <c r="L1084" s="224"/>
    </row>
    <row r="1085" spans="3:12" ht="14.7" thickBot="1" x14ac:dyDescent="0.6">
      <c r="C1085" s="124"/>
      <c r="D1085" s="1" t="s">
        <v>145</v>
      </c>
      <c r="E1085" s="37">
        <f ca="1">SUM(E1081:E1084)</f>
        <v>0</v>
      </c>
      <c r="F1085" s="135"/>
      <c r="G1085" s="125"/>
      <c r="I1085" s="224"/>
      <c r="J1085" s="224"/>
      <c r="K1085" s="224"/>
      <c r="L1085" s="224"/>
    </row>
    <row r="1086" spans="3:12" ht="14.7" thickTop="1" x14ac:dyDescent="0.55000000000000004">
      <c r="C1086" s="124"/>
      <c r="D1086" s="1"/>
      <c r="E1086" s="15"/>
      <c r="G1086" s="125"/>
      <c r="I1086" s="224"/>
      <c r="J1086" s="224"/>
      <c r="K1086" s="224"/>
      <c r="L1086" s="224"/>
    </row>
    <row r="1087" spans="3:12" x14ac:dyDescent="0.55000000000000004">
      <c r="C1087" s="124"/>
      <c r="D1087" t="s">
        <v>384</v>
      </c>
      <c r="E1087" s="26">
        <f ca="1">IF(VLOOKUP(D1072,'2 Water'!$D$126:$K$145,5,FALSE)="",VLOOKUP(D1072,'2 Water'!$D$126:$K$145,4,FALSE),VLOOKUP(D1072,'2 Water'!$D$126:$K$145,5,FALSE))+VLOOKUP(D1072,'2 Water'!$D$158:$J$177,7,FALSE)</f>
        <v>0</v>
      </c>
      <c r="G1087" s="125"/>
      <c r="I1087" s="224"/>
      <c r="J1087" s="224"/>
      <c r="K1087" s="224"/>
      <c r="L1087" s="224"/>
    </row>
    <row r="1088" spans="3:12" x14ac:dyDescent="0.55000000000000004">
      <c r="C1088" s="124"/>
      <c r="G1088" s="125"/>
      <c r="I1088" s="224"/>
      <c r="J1088" s="224"/>
      <c r="K1088" s="224"/>
      <c r="L1088" s="224"/>
    </row>
    <row r="1089" spans="3:12" ht="14.7" thickBot="1" x14ac:dyDescent="0.6">
      <c r="C1089" s="124"/>
      <c r="D1089" s="1" t="s">
        <v>375</v>
      </c>
      <c r="E1089" s="37">
        <f ca="1">VLOOKUP(D1072,'2 Water'!$D$158:$K$177,8,FALSE)</f>
        <v>0</v>
      </c>
      <c r="G1089" s="125"/>
      <c r="I1089" s="224"/>
      <c r="J1089" s="224"/>
      <c r="K1089" s="224"/>
      <c r="L1089" s="224"/>
    </row>
    <row r="1090" spans="3:12" ht="14.7" thickTop="1" x14ac:dyDescent="0.55000000000000004">
      <c r="C1090" s="124"/>
      <c r="G1090" s="125"/>
      <c r="I1090" s="224"/>
      <c r="J1090" s="224"/>
      <c r="K1090" s="224"/>
      <c r="L1090" s="224"/>
    </row>
    <row r="1091" spans="3:12" x14ac:dyDescent="0.55000000000000004">
      <c r="C1091" s="124"/>
      <c r="G1091" s="125"/>
      <c r="I1091" s="224"/>
      <c r="J1091" s="224"/>
      <c r="K1091" s="224"/>
      <c r="L1091" s="224"/>
    </row>
    <row r="1092" spans="3:12" x14ac:dyDescent="0.55000000000000004">
      <c r="C1092" s="124"/>
      <c r="G1092" s="125"/>
      <c r="I1092" s="224"/>
      <c r="J1092" s="224"/>
      <c r="K1092" s="224"/>
      <c r="L1092" s="224"/>
    </row>
    <row r="1093" spans="3:12" x14ac:dyDescent="0.55000000000000004">
      <c r="C1093" s="124"/>
      <c r="G1093" s="125"/>
      <c r="I1093" s="224"/>
      <c r="J1093" s="224"/>
      <c r="K1093" s="224"/>
      <c r="L1093" s="224"/>
    </row>
    <row r="1094" spans="3:12" x14ac:dyDescent="0.55000000000000004">
      <c r="C1094" s="124"/>
      <c r="G1094" s="125"/>
      <c r="I1094" s="232" t="s">
        <v>385</v>
      </c>
      <c r="J1094" s="224"/>
      <c r="K1094" s="224"/>
      <c r="L1094" s="224"/>
    </row>
    <row r="1095" spans="3:12" x14ac:dyDescent="0.55000000000000004">
      <c r="C1095" s="124"/>
      <c r="G1095" s="125"/>
      <c r="I1095" s="110"/>
      <c r="J1095" s="102" t="s">
        <v>390</v>
      </c>
      <c r="K1095" s="102" t="s">
        <v>391</v>
      </c>
      <c r="L1095" s="224"/>
    </row>
    <row r="1096" spans="3:12" x14ac:dyDescent="0.55000000000000004">
      <c r="C1096" s="124"/>
      <c r="G1096" s="125"/>
      <c r="I1096" s="110" t="s">
        <v>369</v>
      </c>
      <c r="J1096" s="100">
        <f ca="1">E1075/1000</f>
        <v>0</v>
      </c>
      <c r="K1096" s="102"/>
      <c r="L1096" s="224"/>
    </row>
    <row r="1097" spans="3:12" x14ac:dyDescent="0.55000000000000004">
      <c r="C1097" s="124"/>
      <c r="G1097" s="125"/>
      <c r="I1097" s="110" t="s">
        <v>370</v>
      </c>
      <c r="J1097" s="100">
        <f ca="1">E1076/1000</f>
        <v>0</v>
      </c>
      <c r="K1097" s="110"/>
      <c r="L1097" s="224"/>
    </row>
    <row r="1098" spans="3:12" x14ac:dyDescent="0.55000000000000004">
      <c r="C1098" s="124"/>
      <c r="G1098" s="125"/>
      <c r="I1098" s="110" t="s">
        <v>471</v>
      </c>
      <c r="J1098" s="100">
        <f ca="1">E1079/1000</f>
        <v>0</v>
      </c>
      <c r="K1098" s="110"/>
      <c r="L1098" s="224"/>
    </row>
    <row r="1099" spans="3:12" x14ac:dyDescent="0.55000000000000004">
      <c r="C1099" s="124"/>
      <c r="G1099" s="125"/>
      <c r="I1099" s="110" t="s">
        <v>563</v>
      </c>
      <c r="J1099" s="100"/>
      <c r="K1099" s="101">
        <f ca="1">E1089/1000</f>
        <v>0</v>
      </c>
      <c r="L1099" s="224"/>
    </row>
    <row r="1100" spans="3:12" x14ac:dyDescent="0.55000000000000004">
      <c r="C1100" s="124"/>
      <c r="G1100" s="125"/>
      <c r="I1100" s="110" t="s">
        <v>564</v>
      </c>
      <c r="J1100" s="100"/>
      <c r="K1100" s="101">
        <f ca="1">E1084/1000</f>
        <v>0</v>
      </c>
      <c r="L1100" s="224"/>
    </row>
    <row r="1101" spans="3:12" x14ac:dyDescent="0.55000000000000004">
      <c r="C1101" s="124"/>
      <c r="G1101" s="125"/>
      <c r="I1101" s="110" t="s">
        <v>565</v>
      </c>
      <c r="J1101" s="100"/>
      <c r="K1101" s="101">
        <f ca="1">SUM(E1081:E1083)/1000</f>
        <v>0</v>
      </c>
      <c r="L1101" s="224"/>
    </row>
    <row r="1102" spans="3:12" x14ac:dyDescent="0.55000000000000004">
      <c r="C1102" s="124"/>
      <c r="G1102" s="125"/>
      <c r="I1102" s="110" t="s">
        <v>566</v>
      </c>
      <c r="J1102" s="100"/>
      <c r="K1102" s="101">
        <f ca="1">E1087/1000</f>
        <v>0</v>
      </c>
      <c r="L1102" s="224"/>
    </row>
    <row r="1103" spans="3:12" x14ac:dyDescent="0.55000000000000004">
      <c r="C1103" s="124"/>
      <c r="G1103" s="125"/>
      <c r="I1103" s="224"/>
      <c r="J1103" s="224"/>
      <c r="K1103" s="224"/>
      <c r="L1103" s="224"/>
    </row>
    <row r="1104" spans="3:12" x14ac:dyDescent="0.55000000000000004">
      <c r="C1104" s="124"/>
      <c r="G1104" s="125"/>
      <c r="I1104" s="224"/>
      <c r="J1104" s="224"/>
      <c r="K1104" s="224"/>
      <c r="L1104" s="224"/>
    </row>
    <row r="1105" spans="3:13" x14ac:dyDescent="0.55000000000000004">
      <c r="C1105" s="124"/>
      <c r="G1105" s="125"/>
      <c r="I1105" s="224"/>
      <c r="J1105" s="224"/>
      <c r="K1105" s="224"/>
      <c r="L1105" s="224"/>
    </row>
    <row r="1106" spans="3:13" x14ac:dyDescent="0.55000000000000004">
      <c r="C1106" s="124"/>
      <c r="G1106" s="125"/>
      <c r="I1106" s="224"/>
      <c r="J1106" s="224"/>
      <c r="K1106" s="224"/>
      <c r="L1106" s="224"/>
    </row>
    <row r="1107" spans="3:13" x14ac:dyDescent="0.55000000000000004">
      <c r="C1107" s="124"/>
      <c r="G1107" s="125"/>
      <c r="I1107" s="224"/>
      <c r="J1107" s="224"/>
      <c r="K1107" s="224"/>
      <c r="L1107" s="224"/>
    </row>
    <row r="1108" spans="3:13" x14ac:dyDescent="0.55000000000000004">
      <c r="C1108" s="124"/>
      <c r="E1108" s="220"/>
      <c r="G1108" s="125"/>
      <c r="I1108" s="224"/>
      <c r="J1108" s="224"/>
      <c r="K1108" s="224"/>
      <c r="L1108" s="224"/>
    </row>
    <row r="1109" spans="3:13" x14ac:dyDescent="0.55000000000000004">
      <c r="C1109" s="124"/>
      <c r="D1109" t="s">
        <v>387</v>
      </c>
      <c r="E1109" s="64">
        <f ca="1">VLOOKUP(D1072,'2 Water'!$D$158:$M$177,10,FALSE)</f>
        <v>0</v>
      </c>
      <c r="G1109" s="125"/>
      <c r="I1109" s="224"/>
      <c r="J1109" s="224"/>
      <c r="K1109" s="224"/>
      <c r="L1109" s="224"/>
    </row>
    <row r="1110" spans="3:13" x14ac:dyDescent="0.55000000000000004">
      <c r="C1110" s="124"/>
      <c r="D1110" t="s">
        <v>388</v>
      </c>
      <c r="E1110" s="64">
        <f ca="1">VLOOKUP(D1072,'2 Water'!$D$158:$M$177,9,FALSE)</f>
        <v>0</v>
      </c>
      <c r="G1110" s="125"/>
      <c r="I1110" s="224"/>
      <c r="J1110" s="224"/>
      <c r="K1110" s="224"/>
      <c r="L1110" s="224"/>
    </row>
    <row r="1111" spans="3:13" x14ac:dyDescent="0.55000000000000004">
      <c r="C1111" s="124"/>
      <c r="D1111" t="s">
        <v>378</v>
      </c>
      <c r="E1111" s="97">
        <f ca="1">IFERROR(IF(E1079=0,E1087,E1079)/E1077,0)</f>
        <v>0</v>
      </c>
      <c r="G1111" s="125"/>
      <c r="I1111" s="224"/>
      <c r="J1111" s="224"/>
      <c r="K1111" s="224"/>
      <c r="L1111" s="224"/>
    </row>
    <row r="1112" spans="3:13" x14ac:dyDescent="0.55000000000000004">
      <c r="C1112" s="124"/>
      <c r="G1112" s="125"/>
      <c r="I1112" s="224"/>
      <c r="J1112" s="224"/>
      <c r="K1112" s="224"/>
      <c r="L1112" s="224"/>
    </row>
    <row r="1113" spans="3:13" x14ac:dyDescent="0.55000000000000004">
      <c r="C1113" s="124"/>
      <c r="D1113" t="s">
        <v>389</v>
      </c>
      <c r="E1113" s="64">
        <f>'3 Water'!H682</f>
        <v>0</v>
      </c>
      <c r="G1113" s="125"/>
      <c r="I1113" s="224"/>
      <c r="J1113" s="224"/>
      <c r="K1113" s="224"/>
      <c r="L1113" s="224"/>
    </row>
    <row r="1114" spans="3:13" x14ac:dyDescent="0.55000000000000004">
      <c r="C1114" s="124"/>
      <c r="D1114" t="s">
        <v>380</v>
      </c>
      <c r="E1114" s="97">
        <f ca="1">IFERROR('3 Water'!I682/'3 Water'!H674,0)</f>
        <v>0</v>
      </c>
      <c r="G1114" s="125"/>
      <c r="I1114" s="224"/>
      <c r="J1114" s="224"/>
      <c r="K1114" s="224"/>
      <c r="L1114" s="224"/>
    </row>
    <row r="1115" spans="3:13" x14ac:dyDescent="0.55000000000000004">
      <c r="C1115" s="124"/>
      <c r="G1115" s="125"/>
      <c r="I1115" s="224"/>
      <c r="J1115" s="224"/>
      <c r="K1115" s="224"/>
      <c r="L1115" s="224"/>
    </row>
    <row r="1116" spans="3:13" x14ac:dyDescent="0.55000000000000004">
      <c r="C1116" s="124"/>
      <c r="D1116" s="1" t="s">
        <v>381</v>
      </c>
      <c r="G1116" s="125"/>
      <c r="I1116" s="224"/>
      <c r="J1116" s="224"/>
      <c r="K1116" s="224"/>
      <c r="L1116" s="224"/>
    </row>
    <row r="1117" spans="3:13" x14ac:dyDescent="0.55000000000000004">
      <c r="C1117" s="124"/>
      <c r="G1117" s="125"/>
      <c r="I1117" s="224"/>
      <c r="J1117" s="224"/>
      <c r="K1117" s="224"/>
      <c r="L1117" s="224"/>
    </row>
    <row r="1118" spans="3:13" x14ac:dyDescent="0.55000000000000004">
      <c r="C1118" s="124"/>
      <c r="G1118" s="125"/>
      <c r="I1118" s="224"/>
      <c r="J1118" s="224"/>
      <c r="K1118" s="224"/>
      <c r="L1118" s="224"/>
    </row>
    <row r="1119" spans="3:13" ht="28.8" x14ac:dyDescent="0.55000000000000004">
      <c r="C1119" s="124"/>
      <c r="G1119" s="125"/>
      <c r="I1119" s="102" t="s">
        <v>383</v>
      </c>
      <c r="J1119" s="102" t="s">
        <v>382</v>
      </c>
      <c r="K1119" s="102" t="s">
        <v>100</v>
      </c>
      <c r="L1119" s="230" t="s">
        <v>392</v>
      </c>
      <c r="M1119" s="231" t="s">
        <v>567</v>
      </c>
    </row>
    <row r="1120" spans="3:13" x14ac:dyDescent="0.55000000000000004">
      <c r="C1120" s="124"/>
      <c r="G1120" s="125"/>
      <c r="I1120" s="102">
        <v>1</v>
      </c>
      <c r="J1120" s="102">
        <f>IFERROR(VLOOKUP(I1120,'3 Water'!$E$695:$J$704,3,FALSE),0)</f>
        <v>0</v>
      </c>
      <c r="K1120" s="103">
        <f>IFERROR(VLOOKUP(I1120,'3 Water'!$E$695:$J$704,6,FALSE),0)</f>
        <v>0</v>
      </c>
      <c r="L1120" s="104">
        <f t="shared" ref="L1120:L1129" ca="1" si="32">$E$1109</f>
        <v>0</v>
      </c>
      <c r="M1120" s="106">
        <f ca="1">IFERROR('3 Water'!I674/'3 Water'!G674,0)</f>
        <v>0</v>
      </c>
    </row>
    <row r="1121" spans="3:13" x14ac:dyDescent="0.55000000000000004">
      <c r="C1121" s="124"/>
      <c r="G1121" s="125"/>
      <c r="I1121" s="102">
        <v>2</v>
      </c>
      <c r="J1121" s="102">
        <f>IFERROR(VLOOKUP(I1121,'3 Water'!$E$695:$J$704,3,FALSE),0)</f>
        <v>0</v>
      </c>
      <c r="K1121" s="103">
        <f ca="1">IFERROR(VLOOKUP(I1121,'3 Water'!$E$695:$J$704,6,FALSE),0)</f>
        <v>0</v>
      </c>
      <c r="L1121" s="104">
        <f t="shared" ca="1" si="32"/>
        <v>0</v>
      </c>
      <c r="M1121" s="104">
        <f t="shared" ref="M1121:M1129" ca="1" si="33">$M$1120</f>
        <v>0</v>
      </c>
    </row>
    <row r="1122" spans="3:13" x14ac:dyDescent="0.55000000000000004">
      <c r="C1122" s="124"/>
      <c r="G1122" s="125"/>
      <c r="I1122" s="102">
        <v>3</v>
      </c>
      <c r="J1122" s="102">
        <f>IFERROR(VLOOKUP(I1122,'3 Water'!$E$695:$J$704,3,FALSE),0)</f>
        <v>0</v>
      </c>
      <c r="K1122" s="103">
        <f ca="1">IFERROR(VLOOKUP(I1122,'3 Water'!$E$695:$J$704,6,FALSE),0)</f>
        <v>0</v>
      </c>
      <c r="L1122" s="104">
        <f t="shared" ca="1" si="32"/>
        <v>0</v>
      </c>
      <c r="M1122" s="104">
        <f t="shared" ca="1" si="33"/>
        <v>0</v>
      </c>
    </row>
    <row r="1123" spans="3:13" x14ac:dyDescent="0.55000000000000004">
      <c r="C1123" s="124"/>
      <c r="G1123" s="125"/>
      <c r="I1123" s="102">
        <v>4</v>
      </c>
      <c r="J1123" s="102">
        <f>IFERROR(VLOOKUP(I1123,'3 Water'!$E$695:$J$704,3,FALSE),0)</f>
        <v>0</v>
      </c>
      <c r="K1123" s="103">
        <f ca="1">IFERROR(VLOOKUP(I1123,'3 Water'!$E$695:$J$704,6,FALSE),0)</f>
        <v>0</v>
      </c>
      <c r="L1123" s="104">
        <f t="shared" ca="1" si="32"/>
        <v>0</v>
      </c>
      <c r="M1123" s="104">
        <f t="shared" ca="1" si="33"/>
        <v>0</v>
      </c>
    </row>
    <row r="1124" spans="3:13" x14ac:dyDescent="0.55000000000000004">
      <c r="C1124" s="124"/>
      <c r="G1124" s="125"/>
      <c r="I1124" s="102">
        <v>5</v>
      </c>
      <c r="J1124" s="102">
        <f>IFERROR(VLOOKUP(I1124,'3 Water'!$E$695:$J$704,3,FALSE),0)</f>
        <v>0</v>
      </c>
      <c r="K1124" s="103">
        <f ca="1">IFERROR(VLOOKUP(I1124,'3 Water'!$E$695:$J$704,6,FALSE),0)</f>
        <v>0</v>
      </c>
      <c r="L1124" s="104">
        <f t="shared" ca="1" si="32"/>
        <v>0</v>
      </c>
      <c r="M1124" s="104">
        <f t="shared" ca="1" si="33"/>
        <v>0</v>
      </c>
    </row>
    <row r="1125" spans="3:13" x14ac:dyDescent="0.55000000000000004">
      <c r="C1125" s="124"/>
      <c r="G1125" s="125"/>
      <c r="I1125" s="102">
        <v>6</v>
      </c>
      <c r="J1125" s="102">
        <f>IFERROR(VLOOKUP(I1125,'3 Water'!$E$695:$J$704,3,FALSE),0)</f>
        <v>0</v>
      </c>
      <c r="K1125" s="103">
        <f ca="1">IFERROR(VLOOKUP(I1125,'3 Water'!$E$695:$J$704,6,FALSE),0)</f>
        <v>0</v>
      </c>
      <c r="L1125" s="104">
        <f t="shared" ca="1" si="32"/>
        <v>0</v>
      </c>
      <c r="M1125" s="104">
        <f t="shared" ca="1" si="33"/>
        <v>0</v>
      </c>
    </row>
    <row r="1126" spans="3:13" x14ac:dyDescent="0.55000000000000004">
      <c r="C1126" s="124"/>
      <c r="G1126" s="125"/>
      <c r="I1126" s="102">
        <v>7</v>
      </c>
      <c r="J1126" s="102">
        <f>IFERROR(VLOOKUP(I1126,'3 Water'!$E$695:$J$704,3,FALSE),0)</f>
        <v>0</v>
      </c>
      <c r="K1126" s="103">
        <f ca="1">IFERROR(VLOOKUP(I1126,'3 Water'!$E$695:$J$704,6,FALSE),0)</f>
        <v>0</v>
      </c>
      <c r="L1126" s="104">
        <f t="shared" ca="1" si="32"/>
        <v>0</v>
      </c>
      <c r="M1126" s="104">
        <f t="shared" ca="1" si="33"/>
        <v>0</v>
      </c>
    </row>
    <row r="1127" spans="3:13" x14ac:dyDescent="0.55000000000000004">
      <c r="C1127" s="124"/>
      <c r="G1127" s="125"/>
      <c r="I1127" s="102">
        <v>8</v>
      </c>
      <c r="J1127" s="102">
        <f>IFERROR(VLOOKUP(I1127,'3 Water'!$E$695:$J$704,3,FALSE),0)</f>
        <v>0</v>
      </c>
      <c r="K1127" s="103">
        <f ca="1">IFERROR(VLOOKUP(I1127,'3 Water'!$E$695:$J$704,6,FALSE),0)</f>
        <v>0</v>
      </c>
      <c r="L1127" s="104">
        <f t="shared" ca="1" si="32"/>
        <v>0</v>
      </c>
      <c r="M1127" s="104">
        <f t="shared" ca="1" si="33"/>
        <v>0</v>
      </c>
    </row>
    <row r="1128" spans="3:13" x14ac:dyDescent="0.55000000000000004">
      <c r="C1128" s="124"/>
      <c r="G1128" s="125"/>
      <c r="I1128" s="102">
        <v>9</v>
      </c>
      <c r="J1128" s="102">
        <f>IFERROR(VLOOKUP(I1128,'3 Water'!$E$695:$J$704,3,FALSE),0)</f>
        <v>0</v>
      </c>
      <c r="K1128" s="103">
        <f ca="1">IFERROR(VLOOKUP(I1128,'3 Water'!$E$695:$J$704,6,FALSE),0)</f>
        <v>0</v>
      </c>
      <c r="L1128" s="104">
        <f t="shared" ca="1" si="32"/>
        <v>0</v>
      </c>
      <c r="M1128" s="104">
        <f t="shared" ca="1" si="33"/>
        <v>0</v>
      </c>
    </row>
    <row r="1129" spans="3:13" x14ac:dyDescent="0.55000000000000004">
      <c r="C1129" s="124"/>
      <c r="G1129" s="125"/>
      <c r="I1129" s="102">
        <v>10</v>
      </c>
      <c r="J1129" s="102" t="str">
        <f>IFERROR(VLOOKUP(I1129,'3 Water'!$E$695:$J$704,3,FALSE),0)</f>
        <v>More</v>
      </c>
      <c r="K1129" s="103">
        <f ca="1">IFERROR(VLOOKUP(I1129,'3 Water'!$E$695:$J$704,6,FALSE),0)</f>
        <v>0</v>
      </c>
      <c r="L1129" s="104">
        <f t="shared" ca="1" si="32"/>
        <v>0</v>
      </c>
      <c r="M1129" s="104">
        <f t="shared" ca="1" si="33"/>
        <v>0</v>
      </c>
    </row>
    <row r="1130" spans="3:13" x14ac:dyDescent="0.55000000000000004">
      <c r="C1130" s="124"/>
      <c r="G1130" s="125"/>
      <c r="I1130" s="224"/>
      <c r="J1130" s="224"/>
      <c r="K1130" s="224"/>
      <c r="L1130" s="224"/>
    </row>
    <row r="1131" spans="3:13" x14ac:dyDescent="0.55000000000000004">
      <c r="C1131" s="124"/>
      <c r="G1131" s="125"/>
      <c r="I1131" s="224"/>
      <c r="J1131" s="224"/>
      <c r="K1131" s="224"/>
      <c r="L1131" s="224"/>
    </row>
    <row r="1132" spans="3:13" x14ac:dyDescent="0.55000000000000004">
      <c r="C1132" s="124"/>
      <c r="G1132" s="125"/>
      <c r="I1132" s="224"/>
      <c r="J1132" s="224"/>
      <c r="K1132" s="224"/>
      <c r="L1132" s="224"/>
    </row>
    <row r="1133" spans="3:13" x14ac:dyDescent="0.55000000000000004">
      <c r="C1133" s="124"/>
      <c r="G1133" s="125"/>
      <c r="I1133" s="224"/>
      <c r="J1133" s="224"/>
      <c r="K1133" s="224"/>
      <c r="L1133" s="224"/>
    </row>
    <row r="1134" spans="3:13" x14ac:dyDescent="0.55000000000000004">
      <c r="C1134" s="124"/>
      <c r="G1134" s="125"/>
      <c r="I1134" s="224"/>
      <c r="J1134" s="224"/>
      <c r="K1134" s="224"/>
      <c r="L1134" s="224"/>
    </row>
    <row r="1135" spans="3:13" ht="14.7" thickBot="1" x14ac:dyDescent="0.6">
      <c r="C1135" s="130"/>
      <c r="D1135" s="131"/>
      <c r="E1135" s="131"/>
      <c r="F1135" s="131"/>
      <c r="G1135" s="132"/>
      <c r="I1135" s="224"/>
      <c r="J1135" s="224"/>
      <c r="K1135" s="224"/>
      <c r="L1135" s="224"/>
    </row>
    <row r="1136" spans="3:13" x14ac:dyDescent="0.55000000000000004">
      <c r="I1136" s="224"/>
      <c r="J1136" s="224"/>
      <c r="K1136" s="224"/>
      <c r="L1136" s="224"/>
    </row>
    <row r="1137" spans="3:12" ht="14.7" thickBot="1" x14ac:dyDescent="0.6">
      <c r="I1137" s="224"/>
      <c r="J1137" s="224"/>
      <c r="K1137" s="224"/>
      <c r="L1137" s="224"/>
    </row>
    <row r="1138" spans="3:12" x14ac:dyDescent="0.55000000000000004">
      <c r="C1138" s="121"/>
      <c r="D1138" s="122"/>
      <c r="E1138" s="122"/>
      <c r="F1138" s="122"/>
      <c r="G1138" s="123"/>
      <c r="I1138" s="224"/>
      <c r="J1138" s="224"/>
      <c r="K1138" s="224"/>
      <c r="L1138" s="224"/>
    </row>
    <row r="1139" spans="3:12" ht="15.6" x14ac:dyDescent="0.6">
      <c r="C1139" s="124"/>
      <c r="D1139" s="98">
        <f>'2 Customer data'!D38</f>
        <v>0</v>
      </c>
      <c r="G1139" s="125"/>
      <c r="I1139" s="224"/>
      <c r="J1139" s="224"/>
      <c r="K1139" s="224"/>
      <c r="L1139" s="224"/>
    </row>
    <row r="1140" spans="3:12" x14ac:dyDescent="0.55000000000000004">
      <c r="C1140" s="124"/>
      <c r="G1140" s="125"/>
      <c r="I1140" s="224"/>
      <c r="J1140" s="224"/>
      <c r="K1140" s="224"/>
      <c r="L1140" s="224"/>
    </row>
    <row r="1141" spans="3:12" x14ac:dyDescent="0.55000000000000004">
      <c r="C1141" s="124"/>
      <c r="E1141" s="220" t="s">
        <v>250</v>
      </c>
      <c r="G1141" s="125"/>
      <c r="I1141" s="224"/>
      <c r="J1141" s="224"/>
      <c r="K1141" s="224"/>
      <c r="L1141" s="224"/>
    </row>
    <row r="1142" spans="3:12" x14ac:dyDescent="0.55000000000000004">
      <c r="C1142" s="124"/>
      <c r="D1142" t="s">
        <v>369</v>
      </c>
      <c r="E1142" s="26">
        <f ca="1">VLOOKUP(D1139,'2 Water'!$D$19:$J$38,5,FALSE)</f>
        <v>0</v>
      </c>
      <c r="G1142" s="125"/>
      <c r="I1142" s="224"/>
      <c r="J1142" s="224"/>
      <c r="K1142" s="224"/>
      <c r="L1142" s="224"/>
    </row>
    <row r="1143" spans="3:12" x14ac:dyDescent="0.55000000000000004">
      <c r="C1143" s="124"/>
      <c r="D1143" t="s">
        <v>370</v>
      </c>
      <c r="E1143" s="99">
        <f ca="1">VLOOKUP(D1139,'2 Water'!$D$19:$J$38,6,FALSE)</f>
        <v>0</v>
      </c>
      <c r="G1143" s="125"/>
      <c r="I1143" s="224"/>
      <c r="J1143" s="224"/>
      <c r="K1143" s="224"/>
      <c r="L1143" s="224"/>
    </row>
    <row r="1144" spans="3:12" ht="14.7" thickBot="1" x14ac:dyDescent="0.6">
      <c r="C1144" s="124"/>
      <c r="D1144" s="1" t="s">
        <v>39</v>
      </c>
      <c r="E1144" s="37">
        <f ca="1">VLOOKUP(D1139,'2 Water'!$D$19:$J$38,7,FALSE)</f>
        <v>0</v>
      </c>
      <c r="G1144" s="125"/>
      <c r="I1144" s="224"/>
      <c r="J1144" s="224"/>
      <c r="K1144" s="224"/>
      <c r="L1144" s="224"/>
    </row>
    <row r="1145" spans="3:12" ht="14.7" thickTop="1" x14ac:dyDescent="0.55000000000000004">
      <c r="C1145" s="124"/>
      <c r="G1145" s="125"/>
      <c r="I1145" s="224"/>
      <c r="J1145" s="224"/>
      <c r="K1145" s="224"/>
      <c r="L1145" s="224"/>
    </row>
    <row r="1146" spans="3:12" x14ac:dyDescent="0.55000000000000004">
      <c r="C1146" s="124"/>
      <c r="D1146" t="s">
        <v>189</v>
      </c>
      <c r="E1146" s="26">
        <f ca="1">IF(VLOOKUP(D1139,'2 Water'!$D$126:$K$145,7,FALSE)="",VLOOKUP(D1139,'2 Water'!$D$126:$K$145,6,FALSE),VLOOKUP(D1139,'2 Water'!$D$126:$K$145,7,FALSE))+VLOOKUP(D1139,'2 Water'!$D$158:$J$177,5,FALSE)</f>
        <v>0</v>
      </c>
      <c r="G1146" s="125"/>
      <c r="I1146" s="224"/>
      <c r="J1146" s="224"/>
      <c r="K1146" s="224"/>
      <c r="L1146" s="224"/>
    </row>
    <row r="1147" spans="3:12" x14ac:dyDescent="0.55000000000000004">
      <c r="C1147" s="124"/>
      <c r="G1147" s="125"/>
      <c r="I1147" s="224"/>
      <c r="J1147" s="224"/>
      <c r="K1147" s="224"/>
      <c r="L1147" s="224"/>
    </row>
    <row r="1148" spans="3:12" x14ac:dyDescent="0.55000000000000004">
      <c r="C1148" s="124"/>
      <c r="D1148" t="s">
        <v>371</v>
      </c>
      <c r="E1148" s="64">
        <f ca="1">IF(VLOOKUP(D1139,'2 Water'!$D$54:$M$73,5,FALSE)="",VLOOKUP(D1139,'2 Water'!$D$54:$M$73,4,FALSE),VLOOKUP(D1139,'2 Water'!$D$54:$M$73,5,FALSE))</f>
        <v>0</v>
      </c>
      <c r="G1148" s="125"/>
      <c r="I1148" s="224"/>
      <c r="J1148" s="224"/>
      <c r="K1148" s="224"/>
      <c r="L1148" s="224"/>
    </row>
    <row r="1149" spans="3:12" x14ac:dyDescent="0.55000000000000004">
      <c r="C1149" s="124"/>
      <c r="D1149" t="s">
        <v>372</v>
      </c>
      <c r="E1149" s="26">
        <f ca="1">IF(VLOOKUP(D1139,'2 Water'!$D$54:$M$73,7,FALSE)="",VLOOKUP(D1139,'2 Water'!$D$54:$M$73,6,FALSE),VLOOKUP(D1139,'2 Water'!$D$54:$M$73,7,FALSE))</f>
        <v>0</v>
      </c>
      <c r="G1149" s="125"/>
      <c r="I1149" s="224"/>
      <c r="J1149" s="224"/>
      <c r="K1149" s="224"/>
      <c r="L1149" s="224"/>
    </row>
    <row r="1150" spans="3:12" x14ac:dyDescent="0.55000000000000004">
      <c r="C1150" s="124"/>
      <c r="D1150" t="s">
        <v>373</v>
      </c>
      <c r="E1150" s="26">
        <f ca="1">IF(VLOOKUP(D1139,'2 Water'!$D$54:$M$73,9,FALSE)="",VLOOKUP(D1139,'2 Water'!$D$54:$M$73,8,FALSE),VLOOKUP(D1139,'2 Water'!$D$54:$M$73,9,FALSE))</f>
        <v>0</v>
      </c>
      <c r="G1150" s="125"/>
      <c r="I1150" s="224"/>
      <c r="J1150" s="224"/>
      <c r="K1150" s="224"/>
      <c r="L1150" s="224"/>
    </row>
    <row r="1151" spans="3:12" x14ac:dyDescent="0.55000000000000004">
      <c r="C1151" s="124"/>
      <c r="D1151" t="s">
        <v>374</v>
      </c>
      <c r="E1151" s="26">
        <f ca="1">IF(VLOOKUP(D1139,'2 Water'!$D$90:$I$109,5,FALSE)="",VLOOKUP(D1139,'2 Water'!$D$90:$I$109,4,FALSE),VLOOKUP(D1139,'2 Water'!$D$90:$I$109,5,FALSE))</f>
        <v>0</v>
      </c>
      <c r="G1151" s="125"/>
      <c r="I1151" s="224"/>
      <c r="J1151" s="224"/>
      <c r="K1151" s="224"/>
      <c r="L1151" s="224"/>
    </row>
    <row r="1152" spans="3:12" ht="14.7" thickBot="1" x14ac:dyDescent="0.6">
      <c r="C1152" s="124"/>
      <c r="D1152" s="1" t="s">
        <v>145</v>
      </c>
      <c r="E1152" s="37">
        <f ca="1">SUM(E1148:E1151)</f>
        <v>0</v>
      </c>
      <c r="F1152" s="135"/>
      <c r="G1152" s="125"/>
      <c r="I1152" s="224"/>
      <c r="J1152" s="224"/>
      <c r="K1152" s="224"/>
      <c r="L1152" s="224"/>
    </row>
    <row r="1153" spans="3:12" ht="14.7" thickTop="1" x14ac:dyDescent="0.55000000000000004">
      <c r="C1153" s="124"/>
      <c r="D1153" s="1"/>
      <c r="E1153" s="15"/>
      <c r="G1153" s="125"/>
      <c r="I1153" s="224"/>
      <c r="J1153" s="224"/>
      <c r="K1153" s="224"/>
      <c r="L1153" s="224"/>
    </row>
    <row r="1154" spans="3:12" x14ac:dyDescent="0.55000000000000004">
      <c r="C1154" s="124"/>
      <c r="D1154" t="s">
        <v>384</v>
      </c>
      <c r="E1154" s="26">
        <f ca="1">IF(VLOOKUP(D1139,'2 Water'!$D$126:$K$145,5,FALSE)="",VLOOKUP(D1139,'2 Water'!$D$126:$K$145,4,FALSE),VLOOKUP(D1139,'2 Water'!$D$126:$K$145,5,FALSE))+VLOOKUP(D1139,'2 Water'!$D$158:$J$177,7,FALSE)</f>
        <v>0</v>
      </c>
      <c r="G1154" s="125"/>
      <c r="I1154" s="224"/>
      <c r="J1154" s="224"/>
      <c r="K1154" s="224"/>
      <c r="L1154" s="224"/>
    </row>
    <row r="1155" spans="3:12" x14ac:dyDescent="0.55000000000000004">
      <c r="C1155" s="124"/>
      <c r="G1155" s="125"/>
      <c r="I1155" s="224"/>
      <c r="J1155" s="224"/>
      <c r="K1155" s="224"/>
      <c r="L1155" s="224"/>
    </row>
    <row r="1156" spans="3:12" ht="14.7" thickBot="1" x14ac:dyDescent="0.6">
      <c r="C1156" s="124"/>
      <c r="D1156" s="1" t="s">
        <v>375</v>
      </c>
      <c r="E1156" s="37">
        <f ca="1">VLOOKUP(D1139,'2 Water'!$D$158:$K$177,8,FALSE)</f>
        <v>0</v>
      </c>
      <c r="G1156" s="125"/>
      <c r="I1156" s="224"/>
      <c r="J1156" s="224"/>
      <c r="K1156" s="224"/>
      <c r="L1156" s="224"/>
    </row>
    <row r="1157" spans="3:12" ht="14.7" thickTop="1" x14ac:dyDescent="0.55000000000000004">
      <c r="C1157" s="124"/>
      <c r="G1157" s="125"/>
      <c r="I1157" s="224"/>
      <c r="J1157" s="224"/>
      <c r="K1157" s="224"/>
      <c r="L1157" s="224"/>
    </row>
    <row r="1158" spans="3:12" x14ac:dyDescent="0.55000000000000004">
      <c r="C1158" s="124"/>
      <c r="G1158" s="125"/>
      <c r="I1158" s="224"/>
      <c r="J1158" s="224"/>
      <c r="K1158" s="224"/>
      <c r="L1158" s="224"/>
    </row>
    <row r="1159" spans="3:12" x14ac:dyDescent="0.55000000000000004">
      <c r="C1159" s="124"/>
      <c r="G1159" s="125"/>
      <c r="I1159" s="232" t="s">
        <v>385</v>
      </c>
      <c r="J1159" s="224"/>
      <c r="K1159" s="224"/>
      <c r="L1159" s="224"/>
    </row>
    <row r="1160" spans="3:12" x14ac:dyDescent="0.55000000000000004">
      <c r="C1160" s="124"/>
      <c r="G1160" s="125"/>
      <c r="I1160" s="110"/>
      <c r="J1160" s="102" t="s">
        <v>390</v>
      </c>
      <c r="K1160" s="102" t="s">
        <v>391</v>
      </c>
      <c r="L1160" s="224"/>
    </row>
    <row r="1161" spans="3:12" x14ac:dyDescent="0.55000000000000004">
      <c r="C1161" s="124"/>
      <c r="G1161" s="125"/>
      <c r="I1161" s="110" t="s">
        <v>369</v>
      </c>
      <c r="J1161" s="100">
        <f ca="1">E1142/1000</f>
        <v>0</v>
      </c>
      <c r="K1161" s="102"/>
      <c r="L1161" s="224"/>
    </row>
    <row r="1162" spans="3:12" x14ac:dyDescent="0.55000000000000004">
      <c r="C1162" s="124"/>
      <c r="G1162" s="125"/>
      <c r="I1162" s="110" t="s">
        <v>370</v>
      </c>
      <c r="J1162" s="100">
        <f ca="1">E1143/1000</f>
        <v>0</v>
      </c>
      <c r="K1162" s="110"/>
      <c r="L1162" s="224"/>
    </row>
    <row r="1163" spans="3:12" x14ac:dyDescent="0.55000000000000004">
      <c r="C1163" s="124"/>
      <c r="G1163" s="125"/>
      <c r="I1163" s="110" t="s">
        <v>471</v>
      </c>
      <c r="J1163" s="100">
        <f ca="1">E1146/1000</f>
        <v>0</v>
      </c>
      <c r="K1163" s="110"/>
      <c r="L1163" s="224"/>
    </row>
    <row r="1164" spans="3:12" x14ac:dyDescent="0.55000000000000004">
      <c r="C1164" s="124"/>
      <c r="G1164" s="125"/>
      <c r="I1164" s="110" t="s">
        <v>563</v>
      </c>
      <c r="J1164" s="100"/>
      <c r="K1164" s="101">
        <f ca="1">E1156/1000</f>
        <v>0</v>
      </c>
      <c r="L1164" s="224"/>
    </row>
    <row r="1165" spans="3:12" x14ac:dyDescent="0.55000000000000004">
      <c r="C1165" s="124"/>
      <c r="G1165" s="125"/>
      <c r="I1165" s="110" t="s">
        <v>564</v>
      </c>
      <c r="J1165" s="100"/>
      <c r="K1165" s="101">
        <f ca="1">E1151/1000</f>
        <v>0</v>
      </c>
      <c r="L1165" s="224"/>
    </row>
    <row r="1166" spans="3:12" x14ac:dyDescent="0.55000000000000004">
      <c r="C1166" s="124"/>
      <c r="G1166" s="125"/>
      <c r="I1166" s="110" t="s">
        <v>565</v>
      </c>
      <c r="J1166" s="100"/>
      <c r="K1166" s="101">
        <f ca="1">SUM(E1148:E1150)/1000</f>
        <v>0</v>
      </c>
      <c r="L1166" s="224"/>
    </row>
    <row r="1167" spans="3:12" x14ac:dyDescent="0.55000000000000004">
      <c r="C1167" s="124"/>
      <c r="G1167" s="125"/>
      <c r="I1167" s="110" t="s">
        <v>566</v>
      </c>
      <c r="J1167" s="100"/>
      <c r="K1167" s="101">
        <f ca="1">E1154/1000</f>
        <v>0</v>
      </c>
      <c r="L1167" s="224"/>
    </row>
    <row r="1168" spans="3:12" x14ac:dyDescent="0.55000000000000004">
      <c r="C1168" s="124"/>
      <c r="G1168" s="125"/>
      <c r="I1168" s="224"/>
      <c r="J1168" s="224"/>
      <c r="K1168" s="224"/>
      <c r="L1168" s="224"/>
    </row>
    <row r="1169" spans="3:12" x14ac:dyDescent="0.55000000000000004">
      <c r="C1169" s="124"/>
      <c r="G1169" s="125"/>
      <c r="I1169" s="224"/>
      <c r="J1169" s="224"/>
      <c r="K1169" s="224"/>
      <c r="L1169" s="224"/>
    </row>
    <row r="1170" spans="3:12" x14ac:dyDescent="0.55000000000000004">
      <c r="C1170" s="124"/>
      <c r="G1170" s="125"/>
      <c r="I1170" s="224"/>
      <c r="J1170" s="224"/>
      <c r="K1170" s="224"/>
      <c r="L1170" s="224"/>
    </row>
    <row r="1171" spans="3:12" x14ac:dyDescent="0.55000000000000004">
      <c r="C1171" s="124"/>
      <c r="G1171" s="125"/>
      <c r="I1171" s="224"/>
      <c r="J1171" s="224"/>
      <c r="K1171" s="224"/>
      <c r="L1171" s="224"/>
    </row>
    <row r="1172" spans="3:12" x14ac:dyDescent="0.55000000000000004">
      <c r="C1172" s="124"/>
      <c r="G1172" s="125"/>
      <c r="I1172" s="224"/>
      <c r="J1172" s="224"/>
      <c r="K1172" s="224"/>
      <c r="L1172" s="224"/>
    </row>
    <row r="1173" spans="3:12" x14ac:dyDescent="0.55000000000000004">
      <c r="C1173" s="124"/>
      <c r="G1173" s="125"/>
      <c r="I1173" s="224"/>
      <c r="J1173" s="224"/>
      <c r="K1173" s="224"/>
      <c r="L1173" s="224"/>
    </row>
    <row r="1174" spans="3:12" x14ac:dyDescent="0.55000000000000004">
      <c r="C1174" s="124"/>
      <c r="G1174" s="125"/>
      <c r="I1174" s="224"/>
      <c r="J1174" s="224"/>
      <c r="K1174" s="224"/>
      <c r="L1174" s="224"/>
    </row>
    <row r="1175" spans="3:12" x14ac:dyDescent="0.55000000000000004">
      <c r="C1175" s="124"/>
      <c r="E1175" s="220"/>
      <c r="G1175" s="125"/>
      <c r="I1175" s="224"/>
      <c r="J1175" s="224"/>
      <c r="K1175" s="224"/>
      <c r="L1175" s="224"/>
    </row>
    <row r="1176" spans="3:12" x14ac:dyDescent="0.55000000000000004">
      <c r="C1176" s="124"/>
      <c r="D1176" t="s">
        <v>387</v>
      </c>
      <c r="E1176" s="64">
        <f ca="1">VLOOKUP(D1139,'2 Water'!$D$158:$M$177,10,FALSE)</f>
        <v>0</v>
      </c>
      <c r="G1176" s="125"/>
      <c r="I1176" s="224"/>
      <c r="J1176" s="224"/>
      <c r="K1176" s="224"/>
      <c r="L1176" s="224"/>
    </row>
    <row r="1177" spans="3:12" x14ac:dyDescent="0.55000000000000004">
      <c r="C1177" s="124"/>
      <c r="D1177" t="s">
        <v>388</v>
      </c>
      <c r="E1177" s="64">
        <f ca="1">VLOOKUP(D1139,'2 Water'!$D$158:$M$177,9,FALSE)</f>
        <v>0</v>
      </c>
      <c r="G1177" s="125"/>
      <c r="I1177" s="224"/>
      <c r="J1177" s="224"/>
      <c r="K1177" s="224"/>
      <c r="L1177" s="224"/>
    </row>
    <row r="1178" spans="3:12" x14ac:dyDescent="0.55000000000000004">
      <c r="C1178" s="124"/>
      <c r="D1178" t="s">
        <v>378</v>
      </c>
      <c r="E1178" s="97">
        <f ca="1">IFERROR(IF(E1146=0,E1154,E1146)/E1144,0)</f>
        <v>0</v>
      </c>
      <c r="G1178" s="125"/>
      <c r="I1178" s="224"/>
      <c r="J1178" s="224"/>
      <c r="K1178" s="224"/>
      <c r="L1178" s="224"/>
    </row>
    <row r="1179" spans="3:12" x14ac:dyDescent="0.55000000000000004">
      <c r="C1179" s="124"/>
      <c r="G1179" s="125"/>
      <c r="I1179" s="224"/>
      <c r="J1179" s="224"/>
      <c r="K1179" s="224"/>
      <c r="L1179" s="224"/>
    </row>
    <row r="1180" spans="3:12" x14ac:dyDescent="0.55000000000000004">
      <c r="C1180" s="124"/>
      <c r="D1180" t="s">
        <v>389</v>
      </c>
      <c r="E1180" s="64">
        <f>'3 Water'!H723</f>
        <v>0</v>
      </c>
      <c r="G1180" s="125"/>
      <c r="I1180" s="224"/>
      <c r="J1180" s="224"/>
      <c r="K1180" s="224"/>
      <c r="L1180" s="224"/>
    </row>
    <row r="1181" spans="3:12" x14ac:dyDescent="0.55000000000000004">
      <c r="C1181" s="124"/>
      <c r="D1181" t="s">
        <v>380</v>
      </c>
      <c r="E1181" s="97">
        <f ca="1">IFERROR('3 Water'!I723/'3 Water'!H715,0)</f>
        <v>0</v>
      </c>
      <c r="G1181" s="125"/>
      <c r="I1181" s="224"/>
      <c r="J1181" s="224"/>
      <c r="K1181" s="224"/>
      <c r="L1181" s="224"/>
    </row>
    <row r="1182" spans="3:12" x14ac:dyDescent="0.55000000000000004">
      <c r="C1182" s="124"/>
      <c r="G1182" s="125"/>
      <c r="I1182" s="224"/>
      <c r="J1182" s="224"/>
      <c r="K1182" s="224"/>
      <c r="L1182" s="224"/>
    </row>
    <row r="1183" spans="3:12" x14ac:dyDescent="0.55000000000000004">
      <c r="C1183" s="124"/>
      <c r="D1183" s="1" t="s">
        <v>381</v>
      </c>
      <c r="G1183" s="125"/>
      <c r="I1183" s="224"/>
      <c r="J1183" s="224"/>
      <c r="K1183" s="224"/>
      <c r="L1183" s="224"/>
    </row>
    <row r="1184" spans="3:12" x14ac:dyDescent="0.55000000000000004">
      <c r="C1184" s="124"/>
      <c r="G1184" s="125"/>
      <c r="I1184" s="224"/>
      <c r="J1184" s="224"/>
      <c r="K1184" s="224"/>
      <c r="L1184" s="224"/>
    </row>
    <row r="1185" spans="3:13" x14ac:dyDescent="0.55000000000000004">
      <c r="C1185" s="124"/>
      <c r="G1185" s="125"/>
      <c r="I1185" s="224"/>
      <c r="J1185" s="224"/>
      <c r="K1185" s="224"/>
      <c r="L1185" s="224"/>
    </row>
    <row r="1186" spans="3:13" ht="28.8" x14ac:dyDescent="0.55000000000000004">
      <c r="C1186" s="124"/>
      <c r="G1186" s="125"/>
      <c r="I1186" s="102" t="s">
        <v>383</v>
      </c>
      <c r="J1186" s="102" t="s">
        <v>382</v>
      </c>
      <c r="K1186" s="102" t="s">
        <v>100</v>
      </c>
      <c r="L1186" s="230" t="s">
        <v>392</v>
      </c>
      <c r="M1186" s="231" t="s">
        <v>567</v>
      </c>
    </row>
    <row r="1187" spans="3:13" x14ac:dyDescent="0.55000000000000004">
      <c r="C1187" s="124"/>
      <c r="G1187" s="125"/>
      <c r="I1187" s="102">
        <v>1</v>
      </c>
      <c r="J1187" s="102">
        <f>IFERROR(VLOOKUP(I1187,'3 Water'!$E$736:$J$745,3,FALSE),0)</f>
        <v>0</v>
      </c>
      <c r="K1187" s="103">
        <f>IFERROR(VLOOKUP(I1187,'3 Water'!$E$736:$J$745,6,FALSE),0)</f>
        <v>0</v>
      </c>
      <c r="L1187" s="104">
        <f t="shared" ref="L1187:L1196" ca="1" si="34">$E$1176</f>
        <v>0</v>
      </c>
      <c r="M1187" s="106">
        <f ca="1">IFERROR('3 Water'!I715/'3 Water'!G715,0)</f>
        <v>0</v>
      </c>
    </row>
    <row r="1188" spans="3:13" x14ac:dyDescent="0.55000000000000004">
      <c r="C1188" s="124"/>
      <c r="G1188" s="125"/>
      <c r="I1188" s="102">
        <v>2</v>
      </c>
      <c r="J1188" s="102">
        <f>IFERROR(VLOOKUP(I1188,'3 Water'!$E$736:$J$745,3,FALSE),0)</f>
        <v>0</v>
      </c>
      <c r="K1188" s="103">
        <f ca="1">IFERROR(VLOOKUP(I1188,'3 Water'!$E$736:$J$745,6,FALSE),0)</f>
        <v>0</v>
      </c>
      <c r="L1188" s="104">
        <f t="shared" ca="1" si="34"/>
        <v>0</v>
      </c>
      <c r="M1188" s="104">
        <f t="shared" ref="M1188:M1196" ca="1" si="35">$M$1187</f>
        <v>0</v>
      </c>
    </row>
    <row r="1189" spans="3:13" x14ac:dyDescent="0.55000000000000004">
      <c r="C1189" s="124"/>
      <c r="G1189" s="125"/>
      <c r="I1189" s="102">
        <v>3</v>
      </c>
      <c r="J1189" s="102">
        <f>IFERROR(VLOOKUP(I1189,'3 Water'!$E$736:$J$745,3,FALSE),0)</f>
        <v>0</v>
      </c>
      <c r="K1189" s="103">
        <f ca="1">IFERROR(VLOOKUP(I1189,'3 Water'!$E$736:$J$745,6,FALSE),0)</f>
        <v>0</v>
      </c>
      <c r="L1189" s="104">
        <f t="shared" ca="1" si="34"/>
        <v>0</v>
      </c>
      <c r="M1189" s="104">
        <f t="shared" ca="1" si="35"/>
        <v>0</v>
      </c>
    </row>
    <row r="1190" spans="3:13" x14ac:dyDescent="0.55000000000000004">
      <c r="C1190" s="124"/>
      <c r="G1190" s="125"/>
      <c r="I1190" s="102">
        <v>4</v>
      </c>
      <c r="J1190" s="102">
        <f>IFERROR(VLOOKUP(I1190,'3 Water'!$E$736:$J$745,3,FALSE),0)</f>
        <v>0</v>
      </c>
      <c r="K1190" s="103">
        <f ca="1">IFERROR(VLOOKUP(I1190,'3 Water'!$E$736:$J$745,6,FALSE),0)</f>
        <v>0</v>
      </c>
      <c r="L1190" s="104">
        <f t="shared" ca="1" si="34"/>
        <v>0</v>
      </c>
      <c r="M1190" s="104">
        <f t="shared" ca="1" si="35"/>
        <v>0</v>
      </c>
    </row>
    <row r="1191" spans="3:13" x14ac:dyDescent="0.55000000000000004">
      <c r="C1191" s="124"/>
      <c r="G1191" s="125"/>
      <c r="I1191" s="102">
        <v>5</v>
      </c>
      <c r="J1191" s="102">
        <f>IFERROR(VLOOKUP(I1191,'3 Water'!$E$736:$J$745,3,FALSE),0)</f>
        <v>0</v>
      </c>
      <c r="K1191" s="103">
        <f ca="1">IFERROR(VLOOKUP(I1191,'3 Water'!$E$736:$J$745,6,FALSE),0)</f>
        <v>0</v>
      </c>
      <c r="L1191" s="104">
        <f t="shared" ca="1" si="34"/>
        <v>0</v>
      </c>
      <c r="M1191" s="104">
        <f t="shared" ca="1" si="35"/>
        <v>0</v>
      </c>
    </row>
    <row r="1192" spans="3:13" x14ac:dyDescent="0.55000000000000004">
      <c r="C1192" s="124"/>
      <c r="G1192" s="125"/>
      <c r="I1192" s="102">
        <v>6</v>
      </c>
      <c r="J1192" s="102">
        <f>IFERROR(VLOOKUP(I1192,'3 Water'!$E$736:$J$745,3,FALSE),0)</f>
        <v>0</v>
      </c>
      <c r="K1192" s="103">
        <f ca="1">IFERROR(VLOOKUP(I1192,'3 Water'!$E$736:$J$745,6,FALSE),0)</f>
        <v>0</v>
      </c>
      <c r="L1192" s="104">
        <f t="shared" ca="1" si="34"/>
        <v>0</v>
      </c>
      <c r="M1192" s="104">
        <f t="shared" ca="1" si="35"/>
        <v>0</v>
      </c>
    </row>
    <row r="1193" spans="3:13" x14ac:dyDescent="0.55000000000000004">
      <c r="C1193" s="124"/>
      <c r="G1193" s="125"/>
      <c r="I1193" s="102">
        <v>7</v>
      </c>
      <c r="J1193" s="102">
        <f>IFERROR(VLOOKUP(I1193,'3 Water'!$E$736:$J$745,3,FALSE),0)</f>
        <v>0</v>
      </c>
      <c r="K1193" s="103">
        <f ca="1">IFERROR(VLOOKUP(I1193,'3 Water'!$E$736:$J$745,6,FALSE),0)</f>
        <v>0</v>
      </c>
      <c r="L1193" s="104">
        <f t="shared" ca="1" si="34"/>
        <v>0</v>
      </c>
      <c r="M1193" s="104">
        <f t="shared" ca="1" si="35"/>
        <v>0</v>
      </c>
    </row>
    <row r="1194" spans="3:13" x14ac:dyDescent="0.55000000000000004">
      <c r="C1194" s="124"/>
      <c r="G1194" s="125"/>
      <c r="I1194" s="102">
        <v>8</v>
      </c>
      <c r="J1194" s="102">
        <f>IFERROR(VLOOKUP(I1194,'3 Water'!$E$736:$J$745,3,FALSE),0)</f>
        <v>0</v>
      </c>
      <c r="K1194" s="103">
        <f ca="1">IFERROR(VLOOKUP(I1194,'3 Water'!$E$736:$J$745,6,FALSE),0)</f>
        <v>0</v>
      </c>
      <c r="L1194" s="104">
        <f t="shared" ca="1" si="34"/>
        <v>0</v>
      </c>
      <c r="M1194" s="104">
        <f t="shared" ca="1" si="35"/>
        <v>0</v>
      </c>
    </row>
    <row r="1195" spans="3:13" x14ac:dyDescent="0.55000000000000004">
      <c r="C1195" s="124"/>
      <c r="G1195" s="125"/>
      <c r="I1195" s="102">
        <v>9</v>
      </c>
      <c r="J1195" s="102">
        <f>IFERROR(VLOOKUP(I1195,'3 Water'!$E$736:$J$745,3,FALSE),0)</f>
        <v>0</v>
      </c>
      <c r="K1195" s="103">
        <f ca="1">IFERROR(VLOOKUP(I1195,'3 Water'!$E$736:$J$745,6,FALSE),0)</f>
        <v>0</v>
      </c>
      <c r="L1195" s="104">
        <f t="shared" ca="1" si="34"/>
        <v>0</v>
      </c>
      <c r="M1195" s="104">
        <f t="shared" ca="1" si="35"/>
        <v>0</v>
      </c>
    </row>
    <row r="1196" spans="3:13" x14ac:dyDescent="0.55000000000000004">
      <c r="C1196" s="124"/>
      <c r="G1196" s="125"/>
      <c r="I1196" s="102">
        <v>10</v>
      </c>
      <c r="J1196" s="102" t="str">
        <f>IFERROR(VLOOKUP(I1196,'3 Water'!$E$736:$J$745,3,FALSE),0)</f>
        <v>More</v>
      </c>
      <c r="K1196" s="103">
        <f ca="1">IFERROR(VLOOKUP(I1196,'3 Water'!$E$736:$J$745,6,FALSE),0)</f>
        <v>0</v>
      </c>
      <c r="L1196" s="104">
        <f t="shared" ca="1" si="34"/>
        <v>0</v>
      </c>
      <c r="M1196" s="104">
        <f t="shared" ca="1" si="35"/>
        <v>0</v>
      </c>
    </row>
    <row r="1197" spans="3:13" x14ac:dyDescent="0.55000000000000004">
      <c r="C1197" s="124"/>
      <c r="G1197" s="125"/>
      <c r="I1197" s="224"/>
      <c r="J1197" s="224"/>
      <c r="K1197" s="224"/>
      <c r="L1197" s="224"/>
    </row>
    <row r="1198" spans="3:13" x14ac:dyDescent="0.55000000000000004">
      <c r="C1198" s="124"/>
      <c r="G1198" s="125"/>
      <c r="I1198" s="224"/>
      <c r="J1198" s="224"/>
      <c r="K1198" s="224"/>
      <c r="L1198" s="224"/>
    </row>
    <row r="1199" spans="3:13" x14ac:dyDescent="0.55000000000000004">
      <c r="C1199" s="124"/>
      <c r="G1199" s="125"/>
      <c r="I1199" s="224"/>
      <c r="J1199" s="224"/>
      <c r="K1199" s="224"/>
      <c r="L1199" s="224"/>
    </row>
    <row r="1200" spans="3:13" x14ac:dyDescent="0.55000000000000004">
      <c r="C1200" s="124"/>
      <c r="G1200" s="125"/>
      <c r="I1200" s="224"/>
      <c r="J1200" s="224"/>
      <c r="K1200" s="224"/>
      <c r="L1200" s="224"/>
    </row>
    <row r="1201" spans="3:12" x14ac:dyDescent="0.55000000000000004">
      <c r="C1201" s="124"/>
      <c r="G1201" s="125"/>
      <c r="I1201" s="224"/>
      <c r="J1201" s="224"/>
      <c r="K1201" s="224"/>
      <c r="L1201" s="224"/>
    </row>
    <row r="1202" spans="3:12" ht="14.7" thickBot="1" x14ac:dyDescent="0.6">
      <c r="C1202" s="130"/>
      <c r="D1202" s="131"/>
      <c r="E1202" s="131"/>
      <c r="F1202" s="131"/>
      <c r="G1202" s="132"/>
      <c r="I1202" s="224"/>
      <c r="J1202" s="224"/>
      <c r="K1202" s="224"/>
      <c r="L1202" s="224"/>
    </row>
    <row r="1203" spans="3:12" x14ac:dyDescent="0.55000000000000004">
      <c r="I1203" s="224"/>
      <c r="J1203" s="224"/>
      <c r="K1203" s="224"/>
      <c r="L1203" s="224"/>
    </row>
    <row r="1204" spans="3:12" ht="14.7" thickBot="1" x14ac:dyDescent="0.6">
      <c r="I1204" s="224"/>
      <c r="J1204" s="224"/>
      <c r="K1204" s="224"/>
      <c r="L1204" s="224"/>
    </row>
    <row r="1205" spans="3:12" x14ac:dyDescent="0.55000000000000004">
      <c r="C1205" s="121"/>
      <c r="D1205" s="122"/>
      <c r="E1205" s="122"/>
      <c r="F1205" s="122"/>
      <c r="G1205" s="123"/>
      <c r="I1205" s="224"/>
      <c r="J1205" s="224"/>
      <c r="K1205" s="224"/>
      <c r="L1205" s="224"/>
    </row>
    <row r="1206" spans="3:12" ht="15.6" x14ac:dyDescent="0.6">
      <c r="C1206" s="124"/>
      <c r="D1206" s="98">
        <f>'2 Customer data'!D39</f>
        <v>0</v>
      </c>
      <c r="G1206" s="125"/>
      <c r="I1206" s="224"/>
      <c r="J1206" s="224"/>
      <c r="K1206" s="224"/>
      <c r="L1206" s="224"/>
    </row>
    <row r="1207" spans="3:12" x14ac:dyDescent="0.55000000000000004">
      <c r="C1207" s="124"/>
      <c r="G1207" s="125"/>
      <c r="I1207" s="224"/>
      <c r="J1207" s="224"/>
      <c r="K1207" s="224"/>
      <c r="L1207" s="224"/>
    </row>
    <row r="1208" spans="3:12" x14ac:dyDescent="0.55000000000000004">
      <c r="C1208" s="124"/>
      <c r="E1208" s="220" t="s">
        <v>250</v>
      </c>
      <c r="G1208" s="125"/>
      <c r="I1208" s="224"/>
      <c r="J1208" s="224"/>
      <c r="K1208" s="224"/>
      <c r="L1208" s="224"/>
    </row>
    <row r="1209" spans="3:12" x14ac:dyDescent="0.55000000000000004">
      <c r="C1209" s="124"/>
      <c r="D1209" t="s">
        <v>369</v>
      </c>
      <c r="E1209" s="26">
        <f ca="1">VLOOKUP(D1206,'2 Water'!$D$19:$J$38,5,FALSE)</f>
        <v>0</v>
      </c>
      <c r="G1209" s="125"/>
      <c r="I1209" s="224"/>
      <c r="J1209" s="224"/>
      <c r="K1209" s="224"/>
      <c r="L1209" s="224"/>
    </row>
    <row r="1210" spans="3:12" x14ac:dyDescent="0.55000000000000004">
      <c r="C1210" s="124"/>
      <c r="D1210" t="s">
        <v>370</v>
      </c>
      <c r="E1210" s="99">
        <f ca="1">VLOOKUP(D1206,'2 Water'!$D$19:$J$38,6,FALSE)</f>
        <v>0</v>
      </c>
      <c r="G1210" s="125"/>
      <c r="I1210" s="224"/>
      <c r="J1210" s="224"/>
      <c r="K1210" s="224"/>
      <c r="L1210" s="224"/>
    </row>
    <row r="1211" spans="3:12" ht="14.7" thickBot="1" x14ac:dyDescent="0.6">
      <c r="C1211" s="124"/>
      <c r="D1211" s="1" t="s">
        <v>39</v>
      </c>
      <c r="E1211" s="37">
        <f ca="1">VLOOKUP(D1206,'2 Water'!$D$19:$J$38,7,FALSE)</f>
        <v>0</v>
      </c>
      <c r="G1211" s="125"/>
      <c r="I1211" s="224"/>
      <c r="J1211" s="224"/>
      <c r="K1211" s="224"/>
      <c r="L1211" s="224"/>
    </row>
    <row r="1212" spans="3:12" ht="14.7" thickTop="1" x14ac:dyDescent="0.55000000000000004">
      <c r="C1212" s="124"/>
      <c r="G1212" s="125"/>
      <c r="I1212" s="224"/>
      <c r="J1212" s="224"/>
      <c r="K1212" s="224"/>
      <c r="L1212" s="224"/>
    </row>
    <row r="1213" spans="3:12" x14ac:dyDescent="0.55000000000000004">
      <c r="C1213" s="124"/>
      <c r="D1213" t="s">
        <v>189</v>
      </c>
      <c r="E1213" s="26">
        <f ca="1">IF(VLOOKUP(D1206,'2 Water'!$D$126:$K$145,7,FALSE)="",VLOOKUP(D1206,'2 Water'!$D$126:$K$145,6,FALSE),VLOOKUP(D1206,'2 Water'!$D$126:$K$145,7,FALSE))+VLOOKUP(D1206,'2 Water'!$D$158:$J$177,5,FALSE)</f>
        <v>0</v>
      </c>
      <c r="G1213" s="125"/>
      <c r="I1213" s="224"/>
      <c r="J1213" s="224"/>
      <c r="K1213" s="224"/>
      <c r="L1213" s="224"/>
    </row>
    <row r="1214" spans="3:12" x14ac:dyDescent="0.55000000000000004">
      <c r="C1214" s="124"/>
      <c r="G1214" s="125"/>
      <c r="I1214" s="224"/>
      <c r="J1214" s="224"/>
      <c r="K1214" s="224"/>
      <c r="L1214" s="224"/>
    </row>
    <row r="1215" spans="3:12" x14ac:dyDescent="0.55000000000000004">
      <c r="C1215" s="124"/>
      <c r="D1215" t="s">
        <v>371</v>
      </c>
      <c r="E1215" s="64">
        <f ca="1">IF(VLOOKUP(D1206,'2 Water'!$D$54:$M$73,5,FALSE)="",VLOOKUP(D1206,'2 Water'!$D$54:$M$73,4,FALSE),VLOOKUP(D1206,'2 Water'!$D$54:$M$73,5,FALSE))</f>
        <v>0</v>
      </c>
      <c r="G1215" s="125"/>
      <c r="I1215" s="224"/>
      <c r="J1215" s="224"/>
      <c r="K1215" s="224"/>
      <c r="L1215" s="224"/>
    </row>
    <row r="1216" spans="3:12" x14ac:dyDescent="0.55000000000000004">
      <c r="C1216" s="124"/>
      <c r="D1216" t="s">
        <v>372</v>
      </c>
      <c r="E1216" s="26">
        <f ca="1">IF(VLOOKUP(D1206,'2 Water'!$D$54:$M$73,7,FALSE)="",VLOOKUP(D1206,'2 Water'!$D$54:$M$73,6,FALSE),VLOOKUP(D1206,'2 Water'!$D$54:$M$73,7,FALSE))</f>
        <v>0</v>
      </c>
      <c r="G1216" s="125"/>
      <c r="I1216" s="224"/>
      <c r="J1216" s="224"/>
      <c r="K1216" s="224"/>
      <c r="L1216" s="224"/>
    </row>
    <row r="1217" spans="3:12" x14ac:dyDescent="0.55000000000000004">
      <c r="C1217" s="124"/>
      <c r="D1217" t="s">
        <v>373</v>
      </c>
      <c r="E1217" s="26">
        <f ca="1">IF(VLOOKUP(D1206,'2 Water'!$D$54:$M$73,9,FALSE)="",VLOOKUP(D1206,'2 Water'!$D$54:$M$73,8,FALSE),VLOOKUP(D1206,'2 Water'!$D$54:$M$73,9,FALSE))</f>
        <v>0</v>
      </c>
      <c r="G1217" s="125"/>
      <c r="I1217" s="224"/>
      <c r="J1217" s="224"/>
      <c r="K1217" s="224"/>
      <c r="L1217" s="224"/>
    </row>
    <row r="1218" spans="3:12" x14ac:dyDescent="0.55000000000000004">
      <c r="C1218" s="124"/>
      <c r="D1218" t="s">
        <v>374</v>
      </c>
      <c r="E1218" s="26">
        <f ca="1">IF(VLOOKUP(D1206,'2 Water'!$D$90:$I$109,5,FALSE)="",VLOOKUP(D1206,'2 Water'!$D$90:$I$109,4,FALSE),VLOOKUP(D1206,'2 Water'!$D$90:$I$109,5,FALSE))</f>
        <v>0</v>
      </c>
      <c r="G1218" s="125"/>
      <c r="I1218" s="224"/>
      <c r="J1218" s="224"/>
      <c r="K1218" s="224"/>
      <c r="L1218" s="224"/>
    </row>
    <row r="1219" spans="3:12" ht="14.7" thickBot="1" x14ac:dyDescent="0.6">
      <c r="C1219" s="124"/>
      <c r="D1219" s="1" t="s">
        <v>145</v>
      </c>
      <c r="E1219" s="37">
        <f ca="1">SUM(E1215:E1218)</f>
        <v>0</v>
      </c>
      <c r="F1219" s="135"/>
      <c r="G1219" s="125"/>
      <c r="I1219" s="224"/>
      <c r="J1219" s="224"/>
      <c r="K1219" s="224"/>
      <c r="L1219" s="224"/>
    </row>
    <row r="1220" spans="3:12" ht="14.7" thickTop="1" x14ac:dyDescent="0.55000000000000004">
      <c r="C1220" s="124"/>
      <c r="D1220" s="1"/>
      <c r="E1220" s="15"/>
      <c r="G1220" s="125"/>
      <c r="I1220" s="224"/>
      <c r="J1220" s="224"/>
      <c r="K1220" s="224"/>
      <c r="L1220" s="224"/>
    </row>
    <row r="1221" spans="3:12" x14ac:dyDescent="0.55000000000000004">
      <c r="C1221" s="124"/>
      <c r="D1221" t="s">
        <v>384</v>
      </c>
      <c r="E1221" s="26">
        <f ca="1">IF(VLOOKUP(D1206,'2 Water'!$D$126:$K$145,5,FALSE)="",VLOOKUP(D1206,'2 Water'!$D$126:$K$145,4,FALSE),VLOOKUP(D1206,'2 Water'!$D$126:$K$145,5,FALSE))+VLOOKUP(D1206,'2 Water'!$D$158:$J$177,7,FALSE)</f>
        <v>0</v>
      </c>
      <c r="G1221" s="125"/>
      <c r="I1221" s="224"/>
      <c r="J1221" s="224"/>
      <c r="K1221" s="224"/>
      <c r="L1221" s="224"/>
    </row>
    <row r="1222" spans="3:12" x14ac:dyDescent="0.55000000000000004">
      <c r="C1222" s="124"/>
      <c r="G1222" s="125"/>
      <c r="I1222" s="224"/>
      <c r="J1222" s="224"/>
      <c r="K1222" s="224"/>
      <c r="L1222" s="224"/>
    </row>
    <row r="1223" spans="3:12" ht="14.7" thickBot="1" x14ac:dyDescent="0.6">
      <c r="C1223" s="124"/>
      <c r="D1223" s="1" t="s">
        <v>375</v>
      </c>
      <c r="E1223" s="37">
        <f ca="1">VLOOKUP(D1206,'2 Water'!$D$158:$K$177,8,FALSE)</f>
        <v>0</v>
      </c>
      <c r="G1223" s="125"/>
      <c r="I1223" s="224"/>
      <c r="J1223" s="224"/>
      <c r="K1223" s="224"/>
      <c r="L1223" s="224"/>
    </row>
    <row r="1224" spans="3:12" ht="14.7" thickTop="1" x14ac:dyDescent="0.55000000000000004">
      <c r="C1224" s="124"/>
      <c r="G1224" s="125"/>
      <c r="I1224" s="224"/>
      <c r="J1224" s="224"/>
      <c r="K1224" s="224"/>
      <c r="L1224" s="224"/>
    </row>
    <row r="1225" spans="3:12" x14ac:dyDescent="0.55000000000000004">
      <c r="C1225" s="124"/>
      <c r="G1225" s="125"/>
      <c r="I1225" s="224"/>
      <c r="J1225" s="224"/>
      <c r="K1225" s="224"/>
      <c r="L1225" s="224"/>
    </row>
    <row r="1226" spans="3:12" x14ac:dyDescent="0.55000000000000004">
      <c r="C1226" s="124"/>
      <c r="G1226" s="125"/>
      <c r="I1226" s="224"/>
      <c r="J1226" s="224"/>
      <c r="K1226" s="224"/>
      <c r="L1226" s="224"/>
    </row>
    <row r="1227" spans="3:12" x14ac:dyDescent="0.55000000000000004">
      <c r="C1227" s="124"/>
      <c r="G1227" s="125"/>
      <c r="I1227" s="224"/>
      <c r="J1227" s="224"/>
      <c r="K1227" s="224"/>
      <c r="L1227" s="224"/>
    </row>
    <row r="1228" spans="3:12" x14ac:dyDescent="0.55000000000000004">
      <c r="C1228" s="124"/>
      <c r="G1228" s="125"/>
      <c r="I1228" s="232" t="s">
        <v>385</v>
      </c>
      <c r="J1228" s="224"/>
      <c r="K1228" s="224"/>
      <c r="L1228" s="224"/>
    </row>
    <row r="1229" spans="3:12" x14ac:dyDescent="0.55000000000000004">
      <c r="C1229" s="124"/>
      <c r="G1229" s="125"/>
      <c r="I1229" s="110"/>
      <c r="J1229" s="102" t="s">
        <v>390</v>
      </c>
      <c r="K1229" s="102" t="s">
        <v>391</v>
      </c>
      <c r="L1229" s="224"/>
    </row>
    <row r="1230" spans="3:12" x14ac:dyDescent="0.55000000000000004">
      <c r="C1230" s="124"/>
      <c r="G1230" s="125"/>
      <c r="I1230" s="110" t="s">
        <v>369</v>
      </c>
      <c r="J1230" s="100">
        <f ca="1">E1209/1000</f>
        <v>0</v>
      </c>
      <c r="K1230" s="102"/>
      <c r="L1230" s="224"/>
    </row>
    <row r="1231" spans="3:12" x14ac:dyDescent="0.55000000000000004">
      <c r="C1231" s="124"/>
      <c r="G1231" s="125"/>
      <c r="I1231" s="110" t="s">
        <v>370</v>
      </c>
      <c r="J1231" s="100">
        <f ca="1">E1210/1000</f>
        <v>0</v>
      </c>
      <c r="K1231" s="110"/>
      <c r="L1231" s="224"/>
    </row>
    <row r="1232" spans="3:12" x14ac:dyDescent="0.55000000000000004">
      <c r="C1232" s="124"/>
      <c r="G1232" s="125"/>
      <c r="I1232" s="110" t="s">
        <v>471</v>
      </c>
      <c r="J1232" s="100">
        <f ca="1">E1213/1000</f>
        <v>0</v>
      </c>
      <c r="K1232" s="110"/>
      <c r="L1232" s="224"/>
    </row>
    <row r="1233" spans="3:12" x14ac:dyDescent="0.55000000000000004">
      <c r="C1233" s="124"/>
      <c r="G1233" s="125"/>
      <c r="I1233" s="110" t="s">
        <v>563</v>
      </c>
      <c r="J1233" s="100"/>
      <c r="K1233" s="101">
        <f ca="1">E1223/1000</f>
        <v>0</v>
      </c>
      <c r="L1233" s="224"/>
    </row>
    <row r="1234" spans="3:12" x14ac:dyDescent="0.55000000000000004">
      <c r="C1234" s="124"/>
      <c r="G1234" s="125"/>
      <c r="I1234" s="110" t="s">
        <v>564</v>
      </c>
      <c r="J1234" s="100"/>
      <c r="K1234" s="101">
        <f ca="1">E1218/1000</f>
        <v>0</v>
      </c>
      <c r="L1234" s="224"/>
    </row>
    <row r="1235" spans="3:12" x14ac:dyDescent="0.55000000000000004">
      <c r="C1235" s="124"/>
      <c r="G1235" s="125"/>
      <c r="I1235" s="110" t="s">
        <v>565</v>
      </c>
      <c r="J1235" s="100"/>
      <c r="K1235" s="101">
        <f ca="1">SUM(E1215:E1217)/1000</f>
        <v>0</v>
      </c>
      <c r="L1235" s="224"/>
    </row>
    <row r="1236" spans="3:12" x14ac:dyDescent="0.55000000000000004">
      <c r="C1236" s="124"/>
      <c r="G1236" s="125"/>
      <c r="I1236" s="110" t="s">
        <v>566</v>
      </c>
      <c r="J1236" s="100"/>
      <c r="K1236" s="101">
        <f ca="1">E1221/1000</f>
        <v>0</v>
      </c>
      <c r="L1236" s="224"/>
    </row>
    <row r="1237" spans="3:12" x14ac:dyDescent="0.55000000000000004">
      <c r="C1237" s="124"/>
      <c r="G1237" s="125"/>
      <c r="I1237" s="224"/>
      <c r="J1237" s="224"/>
      <c r="K1237" s="224"/>
      <c r="L1237" s="224"/>
    </row>
    <row r="1238" spans="3:12" x14ac:dyDescent="0.55000000000000004">
      <c r="C1238" s="124"/>
      <c r="G1238" s="125"/>
      <c r="I1238" s="224"/>
      <c r="J1238" s="224"/>
      <c r="K1238" s="224"/>
      <c r="L1238" s="224"/>
    </row>
    <row r="1239" spans="3:12" x14ac:dyDescent="0.55000000000000004">
      <c r="C1239" s="124"/>
      <c r="G1239" s="125"/>
      <c r="I1239" s="224"/>
      <c r="J1239" s="224"/>
      <c r="K1239" s="224"/>
      <c r="L1239" s="224"/>
    </row>
    <row r="1240" spans="3:12" x14ac:dyDescent="0.55000000000000004">
      <c r="C1240" s="124"/>
      <c r="G1240" s="125"/>
      <c r="I1240" s="224"/>
      <c r="J1240" s="224"/>
      <c r="K1240" s="224"/>
      <c r="L1240" s="224"/>
    </row>
    <row r="1241" spans="3:12" x14ac:dyDescent="0.55000000000000004">
      <c r="C1241" s="124"/>
      <c r="G1241" s="125"/>
      <c r="I1241" s="224"/>
      <c r="J1241" s="224"/>
      <c r="K1241" s="224"/>
      <c r="L1241" s="224"/>
    </row>
    <row r="1242" spans="3:12" x14ac:dyDescent="0.55000000000000004">
      <c r="C1242" s="124"/>
      <c r="E1242" s="220"/>
      <c r="G1242" s="125"/>
      <c r="I1242" s="224"/>
      <c r="J1242" s="224"/>
      <c r="K1242" s="224"/>
      <c r="L1242" s="224"/>
    </row>
    <row r="1243" spans="3:12" x14ac:dyDescent="0.55000000000000004">
      <c r="C1243" s="124"/>
      <c r="D1243" t="s">
        <v>387</v>
      </c>
      <c r="E1243" s="64">
        <f ca="1">VLOOKUP(D1206,'2 Water'!$D$158:$M$177,10,FALSE)</f>
        <v>0</v>
      </c>
      <c r="G1243" s="125"/>
      <c r="I1243" s="224"/>
      <c r="J1243" s="224"/>
      <c r="K1243" s="224"/>
      <c r="L1243" s="224"/>
    </row>
    <row r="1244" spans="3:12" x14ac:dyDescent="0.55000000000000004">
      <c r="C1244" s="124"/>
      <c r="D1244" t="s">
        <v>388</v>
      </c>
      <c r="E1244" s="64">
        <f ca="1">VLOOKUP(D1206,'2 Water'!$D$158:$M$177,9,FALSE)</f>
        <v>0</v>
      </c>
      <c r="G1244" s="125"/>
      <c r="I1244" s="224"/>
      <c r="J1244" s="224"/>
      <c r="K1244" s="224"/>
      <c r="L1244" s="224"/>
    </row>
    <row r="1245" spans="3:12" x14ac:dyDescent="0.55000000000000004">
      <c r="C1245" s="124"/>
      <c r="D1245" t="s">
        <v>378</v>
      </c>
      <c r="E1245" s="97">
        <f ca="1">IFERROR(IF(E1213=0,E1221,E1213)/E1211,0)</f>
        <v>0</v>
      </c>
      <c r="G1245" s="125"/>
      <c r="I1245" s="224"/>
      <c r="J1245" s="224"/>
      <c r="K1245" s="224"/>
      <c r="L1245" s="224"/>
    </row>
    <row r="1246" spans="3:12" x14ac:dyDescent="0.55000000000000004">
      <c r="C1246" s="124"/>
      <c r="G1246" s="125"/>
      <c r="I1246" s="224"/>
      <c r="J1246" s="224"/>
      <c r="K1246" s="224"/>
      <c r="L1246" s="224"/>
    </row>
    <row r="1247" spans="3:12" x14ac:dyDescent="0.55000000000000004">
      <c r="C1247" s="124"/>
      <c r="D1247" t="s">
        <v>389</v>
      </c>
      <c r="E1247" s="64">
        <f>'3 Water'!H764</f>
        <v>0</v>
      </c>
      <c r="G1247" s="125"/>
      <c r="I1247" s="224"/>
      <c r="J1247" s="224"/>
      <c r="K1247" s="224"/>
      <c r="L1247" s="224"/>
    </row>
    <row r="1248" spans="3:12" x14ac:dyDescent="0.55000000000000004">
      <c r="C1248" s="124"/>
      <c r="D1248" t="s">
        <v>380</v>
      </c>
      <c r="E1248" s="97">
        <f ca="1">IFERROR('3 Water'!I764/'3 Water'!H756,0)</f>
        <v>0</v>
      </c>
      <c r="G1248" s="125"/>
      <c r="I1248" s="224"/>
      <c r="J1248" s="224"/>
      <c r="K1248" s="224"/>
      <c r="L1248" s="224"/>
    </row>
    <row r="1249" spans="3:13" x14ac:dyDescent="0.55000000000000004">
      <c r="C1249" s="124"/>
      <c r="G1249" s="125"/>
      <c r="I1249" s="224"/>
      <c r="J1249" s="224"/>
      <c r="K1249" s="224"/>
      <c r="L1249" s="224"/>
    </row>
    <row r="1250" spans="3:13" x14ac:dyDescent="0.55000000000000004">
      <c r="C1250" s="124"/>
      <c r="D1250" s="1" t="s">
        <v>381</v>
      </c>
      <c r="G1250" s="125"/>
      <c r="I1250" s="224"/>
      <c r="J1250" s="224"/>
      <c r="K1250" s="224"/>
      <c r="L1250" s="224"/>
    </row>
    <row r="1251" spans="3:13" x14ac:dyDescent="0.55000000000000004">
      <c r="C1251" s="124"/>
      <c r="D1251" s="1"/>
      <c r="G1251" s="125"/>
      <c r="I1251" s="224"/>
      <c r="J1251" s="224"/>
      <c r="K1251" s="224"/>
      <c r="L1251" s="224"/>
    </row>
    <row r="1252" spans="3:13" x14ac:dyDescent="0.55000000000000004">
      <c r="C1252" s="124"/>
      <c r="G1252" s="125"/>
      <c r="I1252" s="224"/>
      <c r="J1252" s="224"/>
      <c r="K1252" s="224"/>
      <c r="L1252" s="224"/>
    </row>
    <row r="1253" spans="3:13" ht="28.8" x14ac:dyDescent="0.55000000000000004">
      <c r="C1253" s="124"/>
      <c r="G1253" s="125"/>
      <c r="I1253" s="102" t="s">
        <v>383</v>
      </c>
      <c r="J1253" s="102" t="s">
        <v>382</v>
      </c>
      <c r="K1253" s="102" t="s">
        <v>100</v>
      </c>
      <c r="L1253" s="230" t="s">
        <v>392</v>
      </c>
      <c r="M1253" s="231" t="s">
        <v>567</v>
      </c>
    </row>
    <row r="1254" spans="3:13" x14ac:dyDescent="0.55000000000000004">
      <c r="C1254" s="124"/>
      <c r="G1254" s="125"/>
      <c r="I1254" s="102">
        <v>1</v>
      </c>
      <c r="J1254" s="102">
        <f>IFERROR(VLOOKUP(I1254,'3 Water'!$E$777:$J$786,3,FALSE),0)</f>
        <v>0</v>
      </c>
      <c r="K1254" s="103">
        <f>IFERROR(VLOOKUP(I1254,'3 Water'!$E$777:$J$786,6,FALSE),0)</f>
        <v>0</v>
      </c>
      <c r="L1254" s="104">
        <f t="shared" ref="L1254:L1263" ca="1" si="36">$E$1243</f>
        <v>0</v>
      </c>
      <c r="M1254" s="106">
        <f ca="1">IFERROR('3 Water'!I756/'3 Water'!G756,0)</f>
        <v>0</v>
      </c>
    </row>
    <row r="1255" spans="3:13" x14ac:dyDescent="0.55000000000000004">
      <c r="C1255" s="124"/>
      <c r="G1255" s="125"/>
      <c r="I1255" s="102">
        <v>2</v>
      </c>
      <c r="J1255" s="102">
        <f>IFERROR(VLOOKUP(I1255,'3 Water'!$E$777:$J$786,3,FALSE),0)</f>
        <v>0</v>
      </c>
      <c r="K1255" s="103">
        <f ca="1">IFERROR(VLOOKUP(I1255,'3 Water'!$E$777:$J$786,6,FALSE),0)</f>
        <v>0</v>
      </c>
      <c r="L1255" s="104">
        <f t="shared" ca="1" si="36"/>
        <v>0</v>
      </c>
      <c r="M1255" s="104">
        <f t="shared" ref="M1255:M1263" ca="1" si="37">$M$1254</f>
        <v>0</v>
      </c>
    </row>
    <row r="1256" spans="3:13" x14ac:dyDescent="0.55000000000000004">
      <c r="C1256" s="124"/>
      <c r="G1256" s="125"/>
      <c r="I1256" s="102">
        <v>3</v>
      </c>
      <c r="J1256" s="102">
        <f>IFERROR(VLOOKUP(I1256,'3 Water'!$E$777:$J$786,3,FALSE),0)</f>
        <v>0</v>
      </c>
      <c r="K1256" s="103">
        <f ca="1">IFERROR(VLOOKUP(I1256,'3 Water'!$E$777:$J$786,6,FALSE),0)</f>
        <v>0</v>
      </c>
      <c r="L1256" s="104">
        <f t="shared" ca="1" si="36"/>
        <v>0</v>
      </c>
      <c r="M1256" s="104">
        <f t="shared" ca="1" si="37"/>
        <v>0</v>
      </c>
    </row>
    <row r="1257" spans="3:13" x14ac:dyDescent="0.55000000000000004">
      <c r="C1257" s="124"/>
      <c r="G1257" s="125"/>
      <c r="I1257" s="102">
        <v>4</v>
      </c>
      <c r="J1257" s="102">
        <f>IFERROR(VLOOKUP(I1257,'3 Water'!$E$777:$J$786,3,FALSE),0)</f>
        <v>0</v>
      </c>
      <c r="K1257" s="103">
        <f ca="1">IFERROR(VLOOKUP(I1257,'3 Water'!$E$777:$J$786,6,FALSE),0)</f>
        <v>0</v>
      </c>
      <c r="L1257" s="104">
        <f t="shared" ca="1" si="36"/>
        <v>0</v>
      </c>
      <c r="M1257" s="104">
        <f t="shared" ca="1" si="37"/>
        <v>0</v>
      </c>
    </row>
    <row r="1258" spans="3:13" x14ac:dyDescent="0.55000000000000004">
      <c r="C1258" s="124"/>
      <c r="G1258" s="125"/>
      <c r="I1258" s="102">
        <v>5</v>
      </c>
      <c r="J1258" s="102">
        <f>IFERROR(VLOOKUP(I1258,'3 Water'!$E$777:$J$786,3,FALSE),0)</f>
        <v>0</v>
      </c>
      <c r="K1258" s="103">
        <f ca="1">IFERROR(VLOOKUP(I1258,'3 Water'!$E$777:$J$786,6,FALSE),0)</f>
        <v>0</v>
      </c>
      <c r="L1258" s="104">
        <f t="shared" ca="1" si="36"/>
        <v>0</v>
      </c>
      <c r="M1258" s="104">
        <f t="shared" ca="1" si="37"/>
        <v>0</v>
      </c>
    </row>
    <row r="1259" spans="3:13" x14ac:dyDescent="0.55000000000000004">
      <c r="C1259" s="124"/>
      <c r="G1259" s="125"/>
      <c r="I1259" s="102">
        <v>6</v>
      </c>
      <c r="J1259" s="102">
        <f>IFERROR(VLOOKUP(I1259,'3 Water'!$E$777:$J$786,3,FALSE),0)</f>
        <v>0</v>
      </c>
      <c r="K1259" s="103">
        <f ca="1">IFERROR(VLOOKUP(I1259,'3 Water'!$E$777:$J$786,6,FALSE),0)</f>
        <v>0</v>
      </c>
      <c r="L1259" s="104">
        <f t="shared" ca="1" si="36"/>
        <v>0</v>
      </c>
      <c r="M1259" s="104">
        <f t="shared" ca="1" si="37"/>
        <v>0</v>
      </c>
    </row>
    <row r="1260" spans="3:13" x14ac:dyDescent="0.55000000000000004">
      <c r="C1260" s="124"/>
      <c r="G1260" s="125"/>
      <c r="I1260" s="102">
        <v>7</v>
      </c>
      <c r="J1260" s="102">
        <f>IFERROR(VLOOKUP(I1260,'3 Water'!$E$777:$J$786,3,FALSE),0)</f>
        <v>0</v>
      </c>
      <c r="K1260" s="103">
        <f ca="1">IFERROR(VLOOKUP(I1260,'3 Water'!$E$777:$J$786,6,FALSE),0)</f>
        <v>0</v>
      </c>
      <c r="L1260" s="104">
        <f t="shared" ca="1" si="36"/>
        <v>0</v>
      </c>
      <c r="M1260" s="104">
        <f t="shared" ca="1" si="37"/>
        <v>0</v>
      </c>
    </row>
    <row r="1261" spans="3:13" x14ac:dyDescent="0.55000000000000004">
      <c r="C1261" s="124"/>
      <c r="G1261" s="125"/>
      <c r="I1261" s="102">
        <v>8</v>
      </c>
      <c r="J1261" s="102">
        <f>IFERROR(VLOOKUP(I1261,'3 Water'!$E$777:$J$786,3,FALSE),0)</f>
        <v>0</v>
      </c>
      <c r="K1261" s="103">
        <f ca="1">IFERROR(VLOOKUP(I1261,'3 Water'!$E$777:$J$786,6,FALSE),0)</f>
        <v>0</v>
      </c>
      <c r="L1261" s="104">
        <f t="shared" ca="1" si="36"/>
        <v>0</v>
      </c>
      <c r="M1261" s="104">
        <f t="shared" ca="1" si="37"/>
        <v>0</v>
      </c>
    </row>
    <row r="1262" spans="3:13" x14ac:dyDescent="0.55000000000000004">
      <c r="C1262" s="124"/>
      <c r="G1262" s="125"/>
      <c r="I1262" s="102">
        <v>9</v>
      </c>
      <c r="J1262" s="102">
        <f>IFERROR(VLOOKUP(I1262,'3 Water'!$E$777:$J$786,3,FALSE),0)</f>
        <v>0</v>
      </c>
      <c r="K1262" s="103">
        <f ca="1">IFERROR(VLOOKUP(I1262,'3 Water'!$E$777:$J$786,6,FALSE),0)</f>
        <v>0</v>
      </c>
      <c r="L1262" s="104">
        <f t="shared" ca="1" si="36"/>
        <v>0</v>
      </c>
      <c r="M1262" s="104">
        <f t="shared" ca="1" si="37"/>
        <v>0</v>
      </c>
    </row>
    <row r="1263" spans="3:13" x14ac:dyDescent="0.55000000000000004">
      <c r="C1263" s="124"/>
      <c r="G1263" s="125"/>
      <c r="I1263" s="102">
        <v>10</v>
      </c>
      <c r="J1263" s="102" t="str">
        <f>IFERROR(VLOOKUP(I1263,'3 Water'!$E$777:$J$786,3,FALSE),0)</f>
        <v>More</v>
      </c>
      <c r="K1263" s="103">
        <f ca="1">IFERROR(VLOOKUP(I1263,'3 Water'!$E$777:$J$786,6,FALSE),0)</f>
        <v>0</v>
      </c>
      <c r="L1263" s="104">
        <f t="shared" ca="1" si="36"/>
        <v>0</v>
      </c>
      <c r="M1263" s="104">
        <f t="shared" ca="1" si="37"/>
        <v>0</v>
      </c>
    </row>
    <row r="1264" spans="3:13" x14ac:dyDescent="0.55000000000000004">
      <c r="C1264" s="124"/>
      <c r="G1264" s="125"/>
      <c r="I1264" s="224"/>
      <c r="J1264" s="224"/>
      <c r="K1264" s="224"/>
      <c r="L1264" s="224"/>
    </row>
    <row r="1265" spans="3:12" x14ac:dyDescent="0.55000000000000004">
      <c r="C1265" s="124"/>
      <c r="G1265" s="125"/>
      <c r="I1265" s="224"/>
      <c r="J1265" s="224"/>
      <c r="K1265" s="224"/>
      <c r="L1265" s="224"/>
    </row>
    <row r="1266" spans="3:12" x14ac:dyDescent="0.55000000000000004">
      <c r="C1266" s="124"/>
      <c r="G1266" s="125"/>
      <c r="I1266" s="224"/>
      <c r="J1266" s="224"/>
      <c r="K1266" s="224"/>
      <c r="L1266" s="224"/>
    </row>
    <row r="1267" spans="3:12" x14ac:dyDescent="0.55000000000000004">
      <c r="C1267" s="124"/>
      <c r="G1267" s="125"/>
      <c r="I1267" s="224"/>
      <c r="J1267" s="224"/>
      <c r="K1267" s="224"/>
      <c r="L1267" s="224"/>
    </row>
    <row r="1268" spans="3:12" x14ac:dyDescent="0.55000000000000004">
      <c r="C1268" s="124"/>
      <c r="G1268" s="125"/>
      <c r="I1268" s="224"/>
      <c r="J1268" s="224"/>
      <c r="K1268" s="224"/>
      <c r="L1268" s="224"/>
    </row>
    <row r="1269" spans="3:12" ht="14.7" thickBot="1" x14ac:dyDescent="0.6">
      <c r="C1269" s="130"/>
      <c r="D1269" s="131"/>
      <c r="E1269" s="131"/>
      <c r="F1269" s="131"/>
      <c r="G1269" s="132"/>
      <c r="I1269" s="224"/>
      <c r="J1269" s="224"/>
      <c r="K1269" s="224"/>
      <c r="L1269" s="224"/>
    </row>
    <row r="1270" spans="3:12" x14ac:dyDescent="0.55000000000000004">
      <c r="I1270" s="224"/>
      <c r="J1270" s="224"/>
      <c r="K1270" s="224"/>
      <c r="L1270" s="224"/>
    </row>
    <row r="1271" spans="3:12" ht="14.7" thickBot="1" x14ac:dyDescent="0.6">
      <c r="I1271" s="224"/>
      <c r="J1271" s="224"/>
      <c r="K1271" s="224"/>
      <c r="L1271" s="224"/>
    </row>
    <row r="1272" spans="3:12" x14ac:dyDescent="0.55000000000000004">
      <c r="C1272" s="121"/>
      <c r="D1272" s="122"/>
      <c r="E1272" s="122"/>
      <c r="F1272" s="122"/>
      <c r="G1272" s="123"/>
      <c r="I1272" s="224"/>
      <c r="J1272" s="224"/>
      <c r="K1272" s="224"/>
      <c r="L1272" s="224"/>
    </row>
    <row r="1273" spans="3:12" ht="15.6" x14ac:dyDescent="0.6">
      <c r="C1273" s="124"/>
      <c r="D1273" s="98">
        <f>'2 Customer data'!D40</f>
        <v>0</v>
      </c>
      <c r="G1273" s="125"/>
      <c r="I1273" s="224"/>
      <c r="J1273" s="224"/>
      <c r="K1273" s="224"/>
      <c r="L1273" s="224"/>
    </row>
    <row r="1274" spans="3:12" x14ac:dyDescent="0.55000000000000004">
      <c r="C1274" s="124"/>
      <c r="G1274" s="125"/>
      <c r="I1274" s="224"/>
      <c r="J1274" s="224"/>
      <c r="K1274" s="224"/>
      <c r="L1274" s="224"/>
    </row>
    <row r="1275" spans="3:12" x14ac:dyDescent="0.55000000000000004">
      <c r="C1275" s="124"/>
      <c r="E1275" s="220" t="s">
        <v>250</v>
      </c>
      <c r="G1275" s="125"/>
      <c r="I1275" s="224"/>
      <c r="J1275" s="224"/>
      <c r="K1275" s="224"/>
      <c r="L1275" s="224"/>
    </row>
    <row r="1276" spans="3:12" x14ac:dyDescent="0.55000000000000004">
      <c r="C1276" s="124"/>
      <c r="D1276" t="s">
        <v>369</v>
      </c>
      <c r="E1276" s="26">
        <f ca="1">VLOOKUP(D1273,'2 Water'!$D$19:$J$38,5,FALSE)</f>
        <v>0</v>
      </c>
      <c r="G1276" s="125"/>
      <c r="I1276" s="224"/>
      <c r="J1276" s="224"/>
      <c r="K1276" s="224"/>
      <c r="L1276" s="224"/>
    </row>
    <row r="1277" spans="3:12" x14ac:dyDescent="0.55000000000000004">
      <c r="C1277" s="124"/>
      <c r="D1277" t="s">
        <v>370</v>
      </c>
      <c r="E1277" s="99">
        <f ca="1">VLOOKUP(D1273,'2 Water'!$D$19:$J$38,6,FALSE)</f>
        <v>0</v>
      </c>
      <c r="G1277" s="125"/>
      <c r="I1277" s="224"/>
      <c r="J1277" s="224"/>
      <c r="K1277" s="224"/>
      <c r="L1277" s="224"/>
    </row>
    <row r="1278" spans="3:12" ht="14.7" thickBot="1" x14ac:dyDescent="0.6">
      <c r="C1278" s="124"/>
      <c r="D1278" s="1" t="s">
        <v>39</v>
      </c>
      <c r="E1278" s="37">
        <f ca="1">VLOOKUP(D1273,'2 Water'!$D$19:$J$38,7,FALSE)</f>
        <v>0</v>
      </c>
      <c r="G1278" s="125"/>
      <c r="I1278" s="224"/>
      <c r="J1278" s="224"/>
      <c r="K1278" s="224"/>
      <c r="L1278" s="224"/>
    </row>
    <row r="1279" spans="3:12" ht="14.7" thickTop="1" x14ac:dyDescent="0.55000000000000004">
      <c r="C1279" s="124"/>
      <c r="G1279" s="125"/>
      <c r="I1279" s="224"/>
      <c r="J1279" s="224"/>
      <c r="K1279" s="224"/>
      <c r="L1279" s="224"/>
    </row>
    <row r="1280" spans="3:12" x14ac:dyDescent="0.55000000000000004">
      <c r="C1280" s="124"/>
      <c r="D1280" t="s">
        <v>189</v>
      </c>
      <c r="E1280" s="26">
        <f ca="1">IF(VLOOKUP(D1273,'2 Water'!$D$126:$K$145,7,FALSE)="",VLOOKUP(D1273,'2 Water'!$D$126:$K$145,6,FALSE),VLOOKUP(D1273,'2 Water'!$D$126:$K$145,7,FALSE))+VLOOKUP(D1273,'2 Water'!$D$158:$J$177,5,FALSE)</f>
        <v>0</v>
      </c>
      <c r="G1280" s="125"/>
      <c r="I1280" s="224"/>
      <c r="J1280" s="224"/>
      <c r="K1280" s="224"/>
      <c r="L1280" s="224"/>
    </row>
    <row r="1281" spans="3:12" x14ac:dyDescent="0.55000000000000004">
      <c r="C1281" s="124"/>
      <c r="G1281" s="125"/>
      <c r="I1281" s="224"/>
      <c r="J1281" s="224"/>
      <c r="K1281" s="224"/>
      <c r="L1281" s="224"/>
    </row>
    <row r="1282" spans="3:12" x14ac:dyDescent="0.55000000000000004">
      <c r="C1282" s="124"/>
      <c r="D1282" t="s">
        <v>371</v>
      </c>
      <c r="E1282" s="64">
        <f ca="1">IF(VLOOKUP(D1273,'2 Water'!$D$54:$M$73,5,FALSE)="",VLOOKUP(D1273,'2 Water'!$D$54:$M$73,4,FALSE),VLOOKUP(D1273,'2 Water'!$D$54:$M$73,5,FALSE))</f>
        <v>0</v>
      </c>
      <c r="G1282" s="125"/>
      <c r="I1282" s="224"/>
      <c r="J1282" s="224"/>
      <c r="K1282" s="224"/>
      <c r="L1282" s="224"/>
    </row>
    <row r="1283" spans="3:12" x14ac:dyDescent="0.55000000000000004">
      <c r="C1283" s="124"/>
      <c r="D1283" t="s">
        <v>372</v>
      </c>
      <c r="E1283" s="26">
        <f ca="1">IF(VLOOKUP(D1273,'2 Water'!$D$54:$M$73,7,FALSE)="",VLOOKUP(D1273,'2 Water'!$D$54:$M$73,6,FALSE),VLOOKUP(D1273,'2 Water'!$D$54:$M$73,7,FALSE))</f>
        <v>0</v>
      </c>
      <c r="G1283" s="125"/>
      <c r="I1283" s="224"/>
      <c r="J1283" s="224"/>
      <c r="K1283" s="224"/>
      <c r="L1283" s="224"/>
    </row>
    <row r="1284" spans="3:12" x14ac:dyDescent="0.55000000000000004">
      <c r="C1284" s="124"/>
      <c r="D1284" t="s">
        <v>373</v>
      </c>
      <c r="E1284" s="26">
        <f ca="1">IF(VLOOKUP(D1273,'2 Water'!$D$54:$M$73,9,FALSE)="",VLOOKUP(D1273,'2 Water'!$D$54:$M$73,8,FALSE),VLOOKUP(D1273,'2 Water'!$D$54:$M$73,9,FALSE))</f>
        <v>0</v>
      </c>
      <c r="G1284" s="125"/>
      <c r="I1284" s="224"/>
      <c r="J1284" s="224"/>
      <c r="K1284" s="224"/>
      <c r="L1284" s="224"/>
    </row>
    <row r="1285" spans="3:12" x14ac:dyDescent="0.55000000000000004">
      <c r="C1285" s="124"/>
      <c r="D1285" t="s">
        <v>374</v>
      </c>
      <c r="E1285" s="26">
        <f ca="1">IF(VLOOKUP(D1273,'2 Water'!$D$90:$I$109,5,FALSE)="",VLOOKUP(D1273,'2 Water'!$D$90:$I$109,4,FALSE),VLOOKUP(D1273,'2 Water'!$D$90:$I$109,5,FALSE))</f>
        <v>0</v>
      </c>
      <c r="G1285" s="125"/>
      <c r="I1285" s="224"/>
      <c r="J1285" s="224"/>
      <c r="K1285" s="224"/>
      <c r="L1285" s="224"/>
    </row>
    <row r="1286" spans="3:12" ht="14.7" thickBot="1" x14ac:dyDescent="0.6">
      <c r="C1286" s="124"/>
      <c r="D1286" s="1" t="s">
        <v>145</v>
      </c>
      <c r="E1286" s="37">
        <f ca="1">SUM(E1282:E1285)</f>
        <v>0</v>
      </c>
      <c r="F1286" s="135"/>
      <c r="G1286" s="125"/>
      <c r="I1286" s="224"/>
      <c r="J1286" s="224"/>
      <c r="K1286" s="224"/>
      <c r="L1286" s="224"/>
    </row>
    <row r="1287" spans="3:12" ht="14.7" thickTop="1" x14ac:dyDescent="0.55000000000000004">
      <c r="C1287" s="124"/>
      <c r="D1287" s="1"/>
      <c r="E1287" s="15"/>
      <c r="G1287" s="125"/>
      <c r="I1287" s="224"/>
      <c r="J1287" s="224"/>
      <c r="K1287" s="224"/>
      <c r="L1287" s="224"/>
    </row>
    <row r="1288" spans="3:12" x14ac:dyDescent="0.55000000000000004">
      <c r="C1288" s="124"/>
      <c r="D1288" t="s">
        <v>384</v>
      </c>
      <c r="E1288" s="26">
        <f ca="1">IF(VLOOKUP(D1273,'2 Water'!$D$126:$K$145,5,FALSE)="",VLOOKUP(D1273,'2 Water'!$D$126:$K$145,4,FALSE),VLOOKUP(D1273,'2 Water'!$D$126:$K$145,5,FALSE))+VLOOKUP(D1273,'2 Water'!$D$158:$J$177,7,FALSE)</f>
        <v>0</v>
      </c>
      <c r="G1288" s="125"/>
      <c r="I1288" s="224"/>
      <c r="J1288" s="224"/>
      <c r="K1288" s="224"/>
      <c r="L1288" s="224"/>
    </row>
    <row r="1289" spans="3:12" x14ac:dyDescent="0.55000000000000004">
      <c r="C1289" s="124"/>
      <c r="G1289" s="125"/>
      <c r="I1289" s="224"/>
      <c r="J1289" s="224"/>
      <c r="K1289" s="224"/>
      <c r="L1289" s="224"/>
    </row>
    <row r="1290" spans="3:12" ht="14.7" thickBot="1" x14ac:dyDescent="0.6">
      <c r="C1290" s="124"/>
      <c r="D1290" s="1" t="s">
        <v>375</v>
      </c>
      <c r="E1290" s="37">
        <f ca="1">VLOOKUP(D1273,'2 Water'!$D$158:$K$177,8,FALSE)</f>
        <v>0</v>
      </c>
      <c r="G1290" s="125"/>
      <c r="I1290" s="224"/>
      <c r="J1290" s="224"/>
      <c r="K1290" s="224"/>
      <c r="L1290" s="224"/>
    </row>
    <row r="1291" spans="3:12" ht="14.7" thickTop="1" x14ac:dyDescent="0.55000000000000004">
      <c r="C1291" s="124"/>
      <c r="G1291" s="125"/>
      <c r="I1291" s="224"/>
      <c r="J1291" s="224"/>
      <c r="K1291" s="224"/>
      <c r="L1291" s="224"/>
    </row>
    <row r="1292" spans="3:12" x14ac:dyDescent="0.55000000000000004">
      <c r="C1292" s="124"/>
      <c r="G1292" s="125"/>
      <c r="I1292" s="224"/>
      <c r="J1292" s="224"/>
      <c r="K1292" s="224"/>
      <c r="L1292" s="224"/>
    </row>
    <row r="1293" spans="3:12" x14ac:dyDescent="0.55000000000000004">
      <c r="C1293" s="124"/>
      <c r="G1293" s="125"/>
      <c r="I1293" s="224"/>
      <c r="J1293" s="224"/>
      <c r="K1293" s="224"/>
      <c r="L1293" s="224"/>
    </row>
    <row r="1294" spans="3:12" x14ac:dyDescent="0.55000000000000004">
      <c r="C1294" s="124"/>
      <c r="G1294" s="125"/>
      <c r="I1294" s="232" t="s">
        <v>385</v>
      </c>
      <c r="J1294" s="224"/>
      <c r="K1294" s="224"/>
      <c r="L1294" s="224"/>
    </row>
    <row r="1295" spans="3:12" x14ac:dyDescent="0.55000000000000004">
      <c r="C1295" s="124"/>
      <c r="G1295" s="125"/>
      <c r="I1295" s="110"/>
      <c r="J1295" s="102" t="s">
        <v>390</v>
      </c>
      <c r="K1295" s="102" t="s">
        <v>391</v>
      </c>
      <c r="L1295" s="224"/>
    </row>
    <row r="1296" spans="3:12" x14ac:dyDescent="0.55000000000000004">
      <c r="C1296" s="124"/>
      <c r="G1296" s="125"/>
      <c r="I1296" s="110" t="s">
        <v>369</v>
      </c>
      <c r="J1296" s="100">
        <f ca="1">E1276/1000</f>
        <v>0</v>
      </c>
      <c r="K1296" s="102"/>
      <c r="L1296" s="224"/>
    </row>
    <row r="1297" spans="3:12" x14ac:dyDescent="0.55000000000000004">
      <c r="C1297" s="124"/>
      <c r="G1297" s="125"/>
      <c r="I1297" s="110" t="s">
        <v>370</v>
      </c>
      <c r="J1297" s="100">
        <f ca="1">E1277/1000</f>
        <v>0</v>
      </c>
      <c r="K1297" s="110"/>
      <c r="L1297" s="224"/>
    </row>
    <row r="1298" spans="3:12" x14ac:dyDescent="0.55000000000000004">
      <c r="C1298" s="124"/>
      <c r="G1298" s="125"/>
      <c r="I1298" s="110" t="s">
        <v>471</v>
      </c>
      <c r="J1298" s="100">
        <f ca="1">E1280/1000</f>
        <v>0</v>
      </c>
      <c r="K1298" s="110"/>
      <c r="L1298" s="224"/>
    </row>
    <row r="1299" spans="3:12" x14ac:dyDescent="0.55000000000000004">
      <c r="C1299" s="124"/>
      <c r="G1299" s="125"/>
      <c r="I1299" s="110" t="s">
        <v>563</v>
      </c>
      <c r="J1299" s="100"/>
      <c r="K1299" s="101">
        <f ca="1">E1290/1000</f>
        <v>0</v>
      </c>
      <c r="L1299" s="224"/>
    </row>
    <row r="1300" spans="3:12" x14ac:dyDescent="0.55000000000000004">
      <c r="C1300" s="124"/>
      <c r="G1300" s="125"/>
      <c r="I1300" s="110" t="s">
        <v>564</v>
      </c>
      <c r="J1300" s="100"/>
      <c r="K1300" s="101">
        <f ca="1">E1285/1000</f>
        <v>0</v>
      </c>
      <c r="L1300" s="224"/>
    </row>
    <row r="1301" spans="3:12" x14ac:dyDescent="0.55000000000000004">
      <c r="C1301" s="124"/>
      <c r="G1301" s="125"/>
      <c r="I1301" s="110" t="s">
        <v>565</v>
      </c>
      <c r="J1301" s="100"/>
      <c r="K1301" s="101">
        <f ca="1">SUM(E1282:E1284)/1000</f>
        <v>0</v>
      </c>
      <c r="L1301" s="224"/>
    </row>
    <row r="1302" spans="3:12" x14ac:dyDescent="0.55000000000000004">
      <c r="C1302" s="124"/>
      <c r="G1302" s="125"/>
      <c r="I1302" s="110" t="s">
        <v>566</v>
      </c>
      <c r="J1302" s="100"/>
      <c r="K1302" s="101">
        <f ca="1">E1288/1000</f>
        <v>0</v>
      </c>
      <c r="L1302" s="224"/>
    </row>
    <row r="1303" spans="3:12" x14ac:dyDescent="0.55000000000000004">
      <c r="C1303" s="124"/>
      <c r="G1303" s="125"/>
      <c r="I1303" s="224"/>
      <c r="J1303" s="224"/>
      <c r="K1303" s="224"/>
      <c r="L1303" s="224"/>
    </row>
    <row r="1304" spans="3:12" x14ac:dyDescent="0.55000000000000004">
      <c r="C1304" s="124"/>
      <c r="G1304" s="125"/>
      <c r="I1304" s="224"/>
      <c r="J1304" s="224"/>
      <c r="K1304" s="224"/>
      <c r="L1304" s="224"/>
    </row>
    <row r="1305" spans="3:12" x14ac:dyDescent="0.55000000000000004">
      <c r="C1305" s="124"/>
      <c r="G1305" s="125"/>
      <c r="I1305" s="224"/>
      <c r="J1305" s="224"/>
      <c r="K1305" s="224"/>
      <c r="L1305" s="224"/>
    </row>
    <row r="1306" spans="3:12" x14ac:dyDescent="0.55000000000000004">
      <c r="C1306" s="124"/>
      <c r="G1306" s="125"/>
      <c r="I1306" s="224"/>
      <c r="J1306" s="224"/>
      <c r="K1306" s="224"/>
      <c r="L1306" s="224"/>
    </row>
    <row r="1307" spans="3:12" x14ac:dyDescent="0.55000000000000004">
      <c r="C1307" s="124"/>
      <c r="G1307" s="125"/>
      <c r="I1307" s="224"/>
      <c r="J1307" s="224"/>
      <c r="K1307" s="224"/>
      <c r="L1307" s="224"/>
    </row>
    <row r="1308" spans="3:12" x14ac:dyDescent="0.55000000000000004">
      <c r="C1308" s="124"/>
      <c r="G1308" s="125"/>
      <c r="I1308" s="224"/>
      <c r="J1308" s="224"/>
      <c r="K1308" s="224"/>
      <c r="L1308" s="224"/>
    </row>
    <row r="1309" spans="3:12" x14ac:dyDescent="0.55000000000000004">
      <c r="C1309" s="124"/>
      <c r="E1309" s="220"/>
      <c r="G1309" s="125"/>
      <c r="I1309" s="224"/>
      <c r="J1309" s="224"/>
      <c r="K1309" s="224"/>
      <c r="L1309" s="224"/>
    </row>
    <row r="1310" spans="3:12" x14ac:dyDescent="0.55000000000000004">
      <c r="C1310" s="124"/>
      <c r="D1310" t="s">
        <v>387</v>
      </c>
      <c r="E1310" s="64">
        <f ca="1">VLOOKUP(D1273,'2 Water'!$D$158:$M$177,10,FALSE)</f>
        <v>0</v>
      </c>
      <c r="G1310" s="125"/>
      <c r="I1310" s="224"/>
      <c r="J1310" s="224"/>
      <c r="K1310" s="224"/>
      <c r="L1310" s="224"/>
    </row>
    <row r="1311" spans="3:12" x14ac:dyDescent="0.55000000000000004">
      <c r="C1311" s="124"/>
      <c r="D1311" t="s">
        <v>388</v>
      </c>
      <c r="E1311" s="64">
        <f ca="1">VLOOKUP(D1273,'2 Water'!$D$158:$M$177,9,FALSE)</f>
        <v>0</v>
      </c>
      <c r="G1311" s="125"/>
      <c r="I1311" s="224"/>
      <c r="J1311" s="224"/>
      <c r="K1311" s="224"/>
      <c r="L1311" s="224"/>
    </row>
    <row r="1312" spans="3:12" x14ac:dyDescent="0.55000000000000004">
      <c r="C1312" s="124"/>
      <c r="D1312" t="s">
        <v>378</v>
      </c>
      <c r="E1312" s="97">
        <f ca="1">IFERROR(IF(E1280=0,E1288,E1280)/E1278,0)</f>
        <v>0</v>
      </c>
      <c r="G1312" s="125"/>
      <c r="I1312" s="224"/>
      <c r="J1312" s="224"/>
      <c r="K1312" s="224"/>
      <c r="L1312" s="224"/>
    </row>
    <row r="1313" spans="3:13" x14ac:dyDescent="0.55000000000000004">
      <c r="C1313" s="124"/>
      <c r="G1313" s="125"/>
      <c r="I1313" s="224"/>
      <c r="J1313" s="224"/>
      <c r="K1313" s="224"/>
      <c r="L1313" s="224"/>
    </row>
    <row r="1314" spans="3:13" x14ac:dyDescent="0.55000000000000004">
      <c r="C1314" s="124"/>
      <c r="D1314" t="s">
        <v>389</v>
      </c>
      <c r="E1314" s="64">
        <f>'3 Water'!H805</f>
        <v>0</v>
      </c>
      <c r="G1314" s="125"/>
      <c r="I1314" s="224"/>
      <c r="J1314" s="224"/>
      <c r="K1314" s="224"/>
      <c r="L1314" s="224"/>
    </row>
    <row r="1315" spans="3:13" x14ac:dyDescent="0.55000000000000004">
      <c r="C1315" s="124"/>
      <c r="D1315" t="s">
        <v>380</v>
      </c>
      <c r="E1315" s="97">
        <f ca="1">IFERROR('3 Water'!I805/'3 Water'!H797,0)</f>
        <v>0</v>
      </c>
      <c r="G1315" s="125"/>
      <c r="I1315" s="224"/>
      <c r="J1315" s="224"/>
      <c r="K1315" s="224"/>
      <c r="L1315" s="224"/>
    </row>
    <row r="1316" spans="3:13" x14ac:dyDescent="0.55000000000000004">
      <c r="C1316" s="124"/>
      <c r="G1316" s="125"/>
      <c r="I1316" s="224"/>
      <c r="J1316" s="224"/>
      <c r="K1316" s="224"/>
      <c r="L1316" s="224"/>
    </row>
    <row r="1317" spans="3:13" x14ac:dyDescent="0.55000000000000004">
      <c r="C1317" s="124"/>
      <c r="D1317" s="1" t="s">
        <v>381</v>
      </c>
      <c r="G1317" s="125"/>
      <c r="I1317" s="224"/>
      <c r="J1317" s="224"/>
      <c r="K1317" s="224"/>
      <c r="L1317" s="224"/>
    </row>
    <row r="1318" spans="3:13" x14ac:dyDescent="0.55000000000000004">
      <c r="C1318" s="124"/>
      <c r="D1318" s="1"/>
      <c r="G1318" s="125"/>
      <c r="I1318" s="224"/>
      <c r="J1318" s="224"/>
      <c r="K1318" s="224"/>
      <c r="L1318" s="224"/>
    </row>
    <row r="1319" spans="3:13" x14ac:dyDescent="0.55000000000000004">
      <c r="C1319" s="124"/>
      <c r="G1319" s="125"/>
      <c r="I1319" s="224"/>
      <c r="J1319" s="224"/>
      <c r="K1319" s="224"/>
      <c r="L1319" s="224"/>
    </row>
    <row r="1320" spans="3:13" ht="28.8" x14ac:dyDescent="0.55000000000000004">
      <c r="C1320" s="124"/>
      <c r="G1320" s="125"/>
      <c r="I1320" s="102" t="s">
        <v>383</v>
      </c>
      <c r="J1320" s="102" t="s">
        <v>382</v>
      </c>
      <c r="K1320" s="102" t="s">
        <v>100</v>
      </c>
      <c r="L1320" s="230" t="s">
        <v>392</v>
      </c>
      <c r="M1320" s="231" t="s">
        <v>567</v>
      </c>
    </row>
    <row r="1321" spans="3:13" x14ac:dyDescent="0.55000000000000004">
      <c r="C1321" s="124"/>
      <c r="G1321" s="125"/>
      <c r="I1321" s="102">
        <v>1</v>
      </c>
      <c r="J1321" s="102">
        <f>IFERROR(VLOOKUP(I1321,'3 Water'!$E$818:$J$827,3,FALSE),0)</f>
        <v>0</v>
      </c>
      <c r="K1321" s="103">
        <f>IFERROR(VLOOKUP(I1321,'3 Water'!$E$818:$J$827,6,FALSE),0)</f>
        <v>0</v>
      </c>
      <c r="L1321" s="104">
        <f t="shared" ref="L1321:L1330" ca="1" si="38">$E$1310</f>
        <v>0</v>
      </c>
      <c r="M1321" s="106">
        <f ca="1">IFERROR('3 Water'!I797/'3 Water'!G797,0)</f>
        <v>0</v>
      </c>
    </row>
    <row r="1322" spans="3:13" x14ac:dyDescent="0.55000000000000004">
      <c r="C1322" s="124"/>
      <c r="G1322" s="125"/>
      <c r="I1322" s="102">
        <v>2</v>
      </c>
      <c r="J1322" s="102">
        <f>IFERROR(VLOOKUP(I1322,'3 Water'!$E$818:$J$827,3,FALSE),0)</f>
        <v>0</v>
      </c>
      <c r="K1322" s="103">
        <f ca="1">IFERROR(VLOOKUP(I1322,'3 Water'!$E$818:$J$827,6,FALSE),0)</f>
        <v>0</v>
      </c>
      <c r="L1322" s="104">
        <f t="shared" ca="1" si="38"/>
        <v>0</v>
      </c>
      <c r="M1322" s="104">
        <f t="shared" ref="M1322:M1330" ca="1" si="39">$M$1321</f>
        <v>0</v>
      </c>
    </row>
    <row r="1323" spans="3:13" x14ac:dyDescent="0.55000000000000004">
      <c r="C1323" s="124"/>
      <c r="G1323" s="125"/>
      <c r="I1323" s="102">
        <v>3</v>
      </c>
      <c r="J1323" s="102">
        <f>IFERROR(VLOOKUP(I1323,'3 Water'!$E$818:$J$827,3,FALSE),0)</f>
        <v>0</v>
      </c>
      <c r="K1323" s="103">
        <f ca="1">IFERROR(VLOOKUP(I1323,'3 Water'!$E$818:$J$827,6,FALSE),0)</f>
        <v>0</v>
      </c>
      <c r="L1323" s="104">
        <f t="shared" ca="1" si="38"/>
        <v>0</v>
      </c>
      <c r="M1323" s="104">
        <f t="shared" ca="1" si="39"/>
        <v>0</v>
      </c>
    </row>
    <row r="1324" spans="3:13" x14ac:dyDescent="0.55000000000000004">
      <c r="C1324" s="124"/>
      <c r="G1324" s="125"/>
      <c r="I1324" s="102">
        <v>4</v>
      </c>
      <c r="J1324" s="102">
        <f>IFERROR(VLOOKUP(I1324,'3 Water'!$E$818:$J$827,3,FALSE),0)</f>
        <v>0</v>
      </c>
      <c r="K1324" s="103">
        <f>IFERROR(VLOOKUP(I1324,'3 Water'!$E$818:$J$827,6,FALSE),0)</f>
        <v>0</v>
      </c>
      <c r="L1324" s="104">
        <f t="shared" ca="1" si="38"/>
        <v>0</v>
      </c>
      <c r="M1324" s="104">
        <f t="shared" ca="1" si="39"/>
        <v>0</v>
      </c>
    </row>
    <row r="1325" spans="3:13" x14ac:dyDescent="0.55000000000000004">
      <c r="C1325" s="124"/>
      <c r="G1325" s="125"/>
      <c r="I1325" s="102">
        <v>5</v>
      </c>
      <c r="J1325" s="102">
        <f>IFERROR(VLOOKUP(I1325,'3 Water'!$E$818:$J$827,3,FALSE),0)</f>
        <v>0</v>
      </c>
      <c r="K1325" s="103">
        <f>IFERROR(VLOOKUP(I1325,'3 Water'!$E$818:$J$827,6,FALSE),0)</f>
        <v>0</v>
      </c>
      <c r="L1325" s="104">
        <f t="shared" ca="1" si="38"/>
        <v>0</v>
      </c>
      <c r="M1325" s="104">
        <f t="shared" ca="1" si="39"/>
        <v>0</v>
      </c>
    </row>
    <row r="1326" spans="3:13" x14ac:dyDescent="0.55000000000000004">
      <c r="C1326" s="124"/>
      <c r="G1326" s="125"/>
      <c r="I1326" s="102">
        <v>6</v>
      </c>
      <c r="J1326" s="102">
        <f>IFERROR(VLOOKUP(I1326,'3 Water'!$E$818:$J$827,3,FALSE),0)</f>
        <v>0</v>
      </c>
      <c r="K1326" s="103">
        <f>IFERROR(VLOOKUP(I1326,'3 Water'!$E$818:$J$827,6,FALSE),0)</f>
        <v>0</v>
      </c>
      <c r="L1326" s="104">
        <f t="shared" ca="1" si="38"/>
        <v>0</v>
      </c>
      <c r="M1326" s="104">
        <f t="shared" ca="1" si="39"/>
        <v>0</v>
      </c>
    </row>
    <row r="1327" spans="3:13" x14ac:dyDescent="0.55000000000000004">
      <c r="C1327" s="124"/>
      <c r="G1327" s="125"/>
      <c r="I1327" s="102">
        <v>7</v>
      </c>
      <c r="J1327" s="102">
        <f>IFERROR(VLOOKUP(I1327,'3 Water'!$E$818:$J$827,3,FALSE),0)</f>
        <v>0</v>
      </c>
      <c r="K1327" s="103">
        <f>IFERROR(VLOOKUP(I1327,'3 Water'!$E$818:$J$827,6,FALSE),0)</f>
        <v>0</v>
      </c>
      <c r="L1327" s="104">
        <f t="shared" ca="1" si="38"/>
        <v>0</v>
      </c>
      <c r="M1327" s="104">
        <f t="shared" ca="1" si="39"/>
        <v>0</v>
      </c>
    </row>
    <row r="1328" spans="3:13" x14ac:dyDescent="0.55000000000000004">
      <c r="C1328" s="124"/>
      <c r="G1328" s="125"/>
      <c r="I1328" s="102">
        <v>8</v>
      </c>
      <c r="J1328" s="102">
        <f>IFERROR(VLOOKUP(I1328,'3 Water'!$E$818:$J$827,3,FALSE),0)</f>
        <v>0</v>
      </c>
      <c r="K1328" s="103">
        <f>IFERROR(VLOOKUP(I1328,'3 Water'!$E$818:$J$827,6,FALSE),0)</f>
        <v>0</v>
      </c>
      <c r="L1328" s="104">
        <f t="shared" ca="1" si="38"/>
        <v>0</v>
      </c>
      <c r="M1328" s="104">
        <f t="shared" ca="1" si="39"/>
        <v>0</v>
      </c>
    </row>
    <row r="1329" spans="3:13" x14ac:dyDescent="0.55000000000000004">
      <c r="C1329" s="124"/>
      <c r="G1329" s="125"/>
      <c r="I1329" s="102">
        <v>9</v>
      </c>
      <c r="J1329" s="102">
        <f>IFERROR(VLOOKUP(I1329,'3 Water'!$E$818:$J$827,3,FALSE),0)</f>
        <v>0</v>
      </c>
      <c r="K1329" s="103">
        <f>IFERROR(VLOOKUP(I1329,'3 Water'!$E$818:$J$827,6,FALSE),0)</f>
        <v>0</v>
      </c>
      <c r="L1329" s="104">
        <f t="shared" ca="1" si="38"/>
        <v>0</v>
      </c>
      <c r="M1329" s="104">
        <f t="shared" ca="1" si="39"/>
        <v>0</v>
      </c>
    </row>
    <row r="1330" spans="3:13" x14ac:dyDescent="0.55000000000000004">
      <c r="C1330" s="124"/>
      <c r="G1330" s="125"/>
      <c r="I1330" s="102">
        <v>10</v>
      </c>
      <c r="J1330" s="102">
        <f>IFERROR(VLOOKUP(I1330,'3 Water'!$E$818:$J$827,3,FALSE),0)</f>
        <v>0</v>
      </c>
      <c r="K1330" s="103">
        <f>IFERROR(VLOOKUP(I1330,'3 Water'!$E$818:$J$827,6,FALSE),0)</f>
        <v>0</v>
      </c>
      <c r="L1330" s="104">
        <f t="shared" ca="1" si="38"/>
        <v>0</v>
      </c>
      <c r="M1330" s="104">
        <f t="shared" ca="1" si="39"/>
        <v>0</v>
      </c>
    </row>
    <row r="1331" spans="3:13" x14ac:dyDescent="0.55000000000000004">
      <c r="C1331" s="124"/>
      <c r="G1331" s="125"/>
      <c r="I1331" s="224"/>
      <c r="J1331" s="224"/>
      <c r="K1331" s="224"/>
      <c r="L1331" s="224"/>
    </row>
    <row r="1332" spans="3:13" x14ac:dyDescent="0.55000000000000004">
      <c r="C1332" s="124"/>
      <c r="G1332" s="125"/>
      <c r="I1332" s="224"/>
      <c r="J1332" s="224"/>
      <c r="K1332" s="224"/>
      <c r="L1332" s="224"/>
    </row>
    <row r="1333" spans="3:13" x14ac:dyDescent="0.55000000000000004">
      <c r="C1333" s="124"/>
      <c r="G1333" s="125"/>
      <c r="I1333" s="224"/>
      <c r="J1333" s="224"/>
      <c r="K1333" s="224"/>
      <c r="L1333" s="224"/>
    </row>
    <row r="1334" spans="3:13" x14ac:dyDescent="0.55000000000000004">
      <c r="C1334" s="124"/>
      <c r="G1334" s="125"/>
      <c r="I1334" s="224"/>
      <c r="J1334" s="224"/>
      <c r="K1334" s="224"/>
      <c r="L1334" s="224"/>
    </row>
    <row r="1335" spans="3:13" x14ac:dyDescent="0.55000000000000004">
      <c r="C1335" s="124"/>
      <c r="G1335" s="125"/>
      <c r="I1335" s="224"/>
      <c r="J1335" s="224"/>
      <c r="K1335" s="224"/>
      <c r="L1335" s="224"/>
    </row>
    <row r="1336" spans="3:13" ht="14.7" thickBot="1" x14ac:dyDescent="0.6">
      <c r="C1336" s="130"/>
      <c r="D1336" s="131"/>
      <c r="E1336" s="131"/>
      <c r="F1336" s="131"/>
      <c r="G1336" s="132"/>
      <c r="I1336" s="224"/>
      <c r="J1336" s="224"/>
      <c r="K1336" s="224"/>
      <c r="L1336" s="224"/>
    </row>
    <row r="1337" spans="3:13" x14ac:dyDescent="0.55000000000000004">
      <c r="I1337" s="224"/>
      <c r="J1337" s="224"/>
      <c r="K1337" s="224"/>
      <c r="L1337" s="224"/>
    </row>
    <row r="1338" spans="3:13" x14ac:dyDescent="0.55000000000000004">
      <c r="I1338" s="224"/>
      <c r="J1338" s="224"/>
      <c r="K1338" s="224"/>
      <c r="L1338" s="224"/>
    </row>
    <row r="1339" spans="3:13" x14ac:dyDescent="0.55000000000000004">
      <c r="I1339" s="224"/>
      <c r="J1339" s="224"/>
      <c r="K1339" s="224"/>
      <c r="L1339" s="224"/>
    </row>
    <row r="1340" spans="3:13" x14ac:dyDescent="0.55000000000000004">
      <c r="I1340" s="224"/>
      <c r="J1340" s="224"/>
      <c r="K1340" s="224"/>
      <c r="L1340" s="224"/>
    </row>
    <row r="1341" spans="3:13" x14ac:dyDescent="0.55000000000000004">
      <c r="I1341" s="224"/>
      <c r="J1341" s="224"/>
      <c r="K1341" s="224"/>
      <c r="L1341" s="224"/>
    </row>
    <row r="1342" spans="3:13" x14ac:dyDescent="0.55000000000000004">
      <c r="I1342" s="224"/>
      <c r="J1342" s="224"/>
      <c r="K1342" s="224"/>
      <c r="L1342" s="224"/>
    </row>
    <row r="1343" spans="3:13" x14ac:dyDescent="0.55000000000000004">
      <c r="I1343" s="224"/>
      <c r="J1343" s="224"/>
      <c r="K1343" s="224"/>
      <c r="L1343" s="224"/>
    </row>
    <row r="1344" spans="3:13" x14ac:dyDescent="0.55000000000000004">
      <c r="I1344" s="224"/>
      <c r="J1344" s="224"/>
      <c r="K1344" s="224"/>
      <c r="L1344" s="224"/>
    </row>
    <row r="1345" spans="9:12" x14ac:dyDescent="0.55000000000000004">
      <c r="I1345" s="224"/>
      <c r="J1345" s="224"/>
      <c r="K1345" s="224"/>
      <c r="L1345" s="224"/>
    </row>
    <row r="1346" spans="9:12" x14ac:dyDescent="0.55000000000000004">
      <c r="I1346" s="224"/>
      <c r="J1346" s="224"/>
      <c r="K1346" s="224"/>
      <c r="L1346" s="224"/>
    </row>
    <row r="1347" spans="9:12" x14ac:dyDescent="0.55000000000000004">
      <c r="I1347" s="224"/>
      <c r="J1347" s="224"/>
      <c r="K1347" s="224"/>
      <c r="L1347" s="224"/>
    </row>
    <row r="1348" spans="9:12" x14ac:dyDescent="0.55000000000000004">
      <c r="I1348" s="224"/>
      <c r="J1348" s="224"/>
      <c r="K1348" s="224"/>
      <c r="L1348" s="224"/>
    </row>
    <row r="1349" spans="9:12" x14ac:dyDescent="0.55000000000000004">
      <c r="I1349" s="224"/>
      <c r="J1349" s="224"/>
      <c r="K1349" s="224"/>
      <c r="L1349" s="224"/>
    </row>
    <row r="1350" spans="9:12" x14ac:dyDescent="0.55000000000000004">
      <c r="I1350" s="224"/>
      <c r="J1350" s="224"/>
      <c r="K1350" s="224"/>
      <c r="L1350" s="224"/>
    </row>
    <row r="1351" spans="9:12" x14ac:dyDescent="0.55000000000000004">
      <c r="I1351" s="224"/>
      <c r="J1351" s="224"/>
      <c r="K1351" s="224"/>
      <c r="L1351" s="224"/>
    </row>
    <row r="1352" spans="9:12" x14ac:dyDescent="0.55000000000000004">
      <c r="I1352" s="224"/>
      <c r="J1352" s="224"/>
      <c r="K1352" s="224"/>
      <c r="L1352" s="224"/>
    </row>
    <row r="1353" spans="9:12" x14ac:dyDescent="0.55000000000000004">
      <c r="I1353" s="224"/>
      <c r="J1353" s="224"/>
      <c r="K1353" s="224"/>
      <c r="L1353" s="224"/>
    </row>
    <row r="1354" spans="9:12" x14ac:dyDescent="0.55000000000000004">
      <c r="I1354" s="224"/>
      <c r="J1354" s="224"/>
      <c r="K1354" s="224"/>
      <c r="L1354" s="224"/>
    </row>
    <row r="1355" spans="9:12" x14ac:dyDescent="0.55000000000000004">
      <c r="I1355" s="224"/>
      <c r="J1355" s="224"/>
      <c r="K1355" s="224"/>
      <c r="L1355" s="224"/>
    </row>
    <row r="1356" spans="9:12" x14ac:dyDescent="0.55000000000000004">
      <c r="I1356" s="224"/>
      <c r="J1356" s="224"/>
      <c r="K1356" s="224"/>
      <c r="L1356" s="224"/>
    </row>
    <row r="1357" spans="9:12" x14ac:dyDescent="0.55000000000000004">
      <c r="I1357" s="224"/>
      <c r="J1357" s="224"/>
      <c r="K1357" s="224"/>
      <c r="L1357" s="224"/>
    </row>
    <row r="1358" spans="9:12" x14ac:dyDescent="0.55000000000000004">
      <c r="I1358" s="224"/>
      <c r="J1358" s="224"/>
      <c r="K1358" s="224"/>
      <c r="L1358" s="224"/>
    </row>
    <row r="1359" spans="9:12" x14ac:dyDescent="0.55000000000000004">
      <c r="I1359" s="224"/>
      <c r="J1359" s="224"/>
      <c r="K1359" s="224"/>
      <c r="L1359" s="224"/>
    </row>
    <row r="1360" spans="9:12" x14ac:dyDescent="0.55000000000000004">
      <c r="I1360" s="224"/>
      <c r="J1360" s="224"/>
      <c r="K1360" s="224"/>
      <c r="L1360" s="224"/>
    </row>
    <row r="1361" spans="9:12" x14ac:dyDescent="0.55000000000000004">
      <c r="I1361" s="224"/>
      <c r="J1361" s="224"/>
      <c r="K1361" s="224"/>
      <c r="L1361" s="224"/>
    </row>
    <row r="1362" spans="9:12" x14ac:dyDescent="0.55000000000000004">
      <c r="I1362" s="224"/>
      <c r="J1362" s="224"/>
      <c r="K1362" s="224"/>
      <c r="L1362" s="224"/>
    </row>
    <row r="1363" spans="9:12" x14ac:dyDescent="0.55000000000000004">
      <c r="I1363" s="224"/>
      <c r="J1363" s="224"/>
      <c r="K1363" s="224"/>
      <c r="L1363" s="224"/>
    </row>
    <row r="1364" spans="9:12" x14ac:dyDescent="0.55000000000000004">
      <c r="I1364" s="224"/>
      <c r="J1364" s="224"/>
      <c r="K1364" s="224"/>
      <c r="L1364" s="224"/>
    </row>
    <row r="1365" spans="9:12" x14ac:dyDescent="0.55000000000000004">
      <c r="I1365" s="224"/>
      <c r="J1365" s="224"/>
      <c r="K1365" s="224"/>
      <c r="L1365" s="224"/>
    </row>
    <row r="1366" spans="9:12" x14ac:dyDescent="0.55000000000000004">
      <c r="I1366" s="224"/>
      <c r="J1366" s="224"/>
      <c r="K1366" s="224"/>
      <c r="L1366" s="224"/>
    </row>
  </sheetData>
  <sheetProtection sheet="1" objects="1" scenarios="1"/>
  <mergeCells count="2">
    <mergeCell ref="E1:E2"/>
    <mergeCell ref="G1:G2"/>
  </mergeCells>
  <pageMargins left="0.70866141732283472" right="0.70866141732283472" top="0.74803149606299213" bottom="0.74803149606299213" header="0.31496062992125984" footer="0.31496062992125984"/>
  <pageSetup paperSize="9" scale="70" fitToHeight="0" orientation="portrait" r:id="rId1"/>
  <rowBreaks count="19" manualBreakCount="19">
    <brk id="65" min="1" max="7" man="1"/>
    <brk id="130" min="1" max="7" man="1"/>
    <brk id="197" min="1" max="7" man="1"/>
    <brk id="264" min="1" max="7" man="1"/>
    <brk id="331" min="1" max="7" man="1"/>
    <brk id="397" min="1" max="7" man="1"/>
    <brk id="464" min="1" max="7" man="1"/>
    <brk id="533" min="1" max="7" man="1"/>
    <brk id="600" min="1" max="7" man="1"/>
    <brk id="667" min="1" max="7" man="1"/>
    <brk id="734" min="1" max="7" man="1"/>
    <brk id="801" min="1" max="7" man="1"/>
    <brk id="868" min="1" max="7" man="1"/>
    <brk id="935" min="1" max="7" man="1"/>
    <brk id="1002" min="1" max="7" man="1"/>
    <brk id="1069" min="1" max="7" man="1"/>
    <brk id="1136" min="1" max="7" man="1"/>
    <brk id="1203" min="1" max="7" man="1"/>
    <brk id="1270" min="1" max="7" man="1"/>
  </rowBreaks>
  <colBreaks count="1" manualBreakCount="1">
    <brk id="8" min="5" max="1870" man="1"/>
  </colBreaks>
  <drawing r:id="rId2"/>
  <legacyDrawing r:id="rId3"/>
  <controls>
    <mc:AlternateContent xmlns:mc="http://schemas.openxmlformats.org/markup-compatibility/2006">
      <mc:Choice Requires="x14">
        <control shapeId="23553" r:id="rId4" name="cbWRCus">
          <controlPr defaultSize="0" autoLine="0" autoPict="0" r:id="rId5">
            <anchor moveWithCells="1">
              <from>
                <xdr:col>3</xdr:col>
                <xdr:colOff>2651760</xdr:colOff>
                <xdr:row>2</xdr:row>
                <xdr:rowOff>91440</xdr:rowOff>
              </from>
              <to>
                <xdr:col>5</xdr:col>
                <xdr:colOff>556260</xdr:colOff>
                <xdr:row>3</xdr:row>
                <xdr:rowOff>137160</xdr:rowOff>
              </to>
            </anchor>
          </controlPr>
        </control>
      </mc:Choice>
      <mc:Fallback>
        <control shapeId="23553" r:id="rId4" name="cbWRCus"/>
      </mc:Fallback>
    </mc:AlternateContent>
    <mc:AlternateContent xmlns:mc="http://schemas.openxmlformats.org/markup-compatibility/2006">
      <mc:Choice Requires="x14">
        <control shapeId="23554" r:id="rId6" name="cbWR">
          <controlPr defaultSize="0" autoLine="0" autoPict="0" r:id="rId7">
            <anchor moveWithCells="1">
              <from>
                <xdr:col>5</xdr:col>
                <xdr:colOff>678180</xdr:colOff>
                <xdr:row>2</xdr:row>
                <xdr:rowOff>76200</xdr:rowOff>
              </from>
              <to>
                <xdr:col>8</xdr:col>
                <xdr:colOff>251460</xdr:colOff>
                <xdr:row>3</xdr:row>
                <xdr:rowOff>99060</xdr:rowOff>
              </to>
            </anchor>
          </controlPr>
        </control>
      </mc:Choice>
      <mc:Fallback>
        <control shapeId="23554" r:id="rId6" name="cbWR"/>
      </mc:Fallback>
    </mc:AlternateContent>
  </controls>
</worksheet>
</file>

<file path=xl/worksheets/sheet3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2207818-0BDE-46A1-B439-C006A49C2A47}">
  <sheetPr codeName="Sheet17">
    <tabColor rgb="FFFFFF8F"/>
  </sheetPr>
  <dimension ref="B1:Q1333"/>
  <sheetViews>
    <sheetView showGridLines="0" zoomScaleNormal="100" workbookViewId="0">
      <pane ySplit="4" topLeftCell="A10" activePane="bottomLeft" state="frozen"/>
      <selection pane="bottomLeft" activeCell="D8" sqref="D8"/>
    </sheetView>
  </sheetViews>
  <sheetFormatPr defaultColWidth="8.7890625" defaultRowHeight="14.4" x14ac:dyDescent="0.55000000000000004"/>
  <cols>
    <col min="1" max="1" width="3.20703125" style="117" customWidth="1"/>
    <col min="2" max="2" width="4.41796875" customWidth="1"/>
    <col min="3" max="3" width="4.7890625" customWidth="1"/>
    <col min="4" max="4" width="43.7890625" customWidth="1"/>
    <col min="5" max="5" width="15.7890625" customWidth="1"/>
    <col min="6" max="7" width="14.7890625" customWidth="1"/>
    <col min="8" max="8" width="2.7890625" customWidth="1"/>
    <col min="9" max="9" width="11.7890625" style="224" customWidth="1"/>
    <col min="10" max="10" width="14.7890625" style="224" customWidth="1"/>
    <col min="11" max="17" width="8.7890625" style="224"/>
    <col min="18" max="16384" width="8.7890625" style="117"/>
  </cols>
  <sheetData>
    <row r="1" spans="2:8" customFormat="1" x14ac:dyDescent="0.55000000000000004">
      <c r="E1" s="1823" t="s">
        <v>212</v>
      </c>
      <c r="G1" s="1814" t="s">
        <v>206</v>
      </c>
    </row>
    <row r="2" spans="2:8" customFormat="1" x14ac:dyDescent="0.55000000000000004">
      <c r="E2" s="1823"/>
      <c r="G2" s="1814"/>
    </row>
    <row r="3" spans="2:8" customFormat="1" x14ac:dyDescent="0.55000000000000004"/>
    <row r="4" spans="2:8" customFormat="1" x14ac:dyDescent="0.55000000000000004"/>
    <row r="5" spans="2:8" s="117" customFormat="1" x14ac:dyDescent="0.55000000000000004"/>
    <row r="6" spans="2:8" s="117" customFormat="1" ht="14.7" thickBot="1" x14ac:dyDescent="0.6">
      <c r="B6"/>
      <c r="C6"/>
      <c r="D6"/>
      <c r="E6"/>
      <c r="F6"/>
      <c r="G6"/>
      <c r="H6"/>
    </row>
    <row r="7" spans="2:8" s="117" customFormat="1" x14ac:dyDescent="0.55000000000000004">
      <c r="B7"/>
      <c r="C7" s="121"/>
      <c r="D7" s="122"/>
      <c r="E7" s="122"/>
      <c r="F7" s="122"/>
      <c r="G7" s="123"/>
      <c r="H7"/>
    </row>
    <row r="8" spans="2:8" s="117" customFormat="1" ht="15.6" x14ac:dyDescent="0.6">
      <c r="B8"/>
      <c r="C8" s="124"/>
      <c r="D8" s="98" t="str">
        <f>'2 Customer data'!D57</f>
        <v>Domestic</v>
      </c>
      <c r="E8"/>
      <c r="F8"/>
      <c r="G8" s="125"/>
      <c r="H8"/>
    </row>
    <row r="9" spans="2:8" s="117" customFormat="1" x14ac:dyDescent="0.55000000000000004">
      <c r="B9"/>
      <c r="C9" s="124"/>
      <c r="D9"/>
      <c r="E9"/>
      <c r="F9"/>
      <c r="G9" s="125"/>
      <c r="H9"/>
    </row>
    <row r="10" spans="2:8" s="117" customFormat="1" x14ac:dyDescent="0.55000000000000004">
      <c r="B10"/>
      <c r="C10" s="124"/>
      <c r="D10"/>
      <c r="E10" s="220" t="s">
        <v>250</v>
      </c>
      <c r="F10"/>
      <c r="G10" s="125"/>
      <c r="H10"/>
    </row>
    <row r="11" spans="2:8" s="117" customFormat="1" x14ac:dyDescent="0.55000000000000004">
      <c r="B11"/>
      <c r="C11" s="124"/>
      <c r="D11" t="s">
        <v>369</v>
      </c>
      <c r="E11" s="26">
        <f ca="1">VLOOKUP(D8,'2 Sanitation'!$D$19:$J$38,5,FALSE)</f>
        <v>62182642.27634757</v>
      </c>
      <c r="F11"/>
      <c r="G11" s="125"/>
      <c r="H11"/>
    </row>
    <row r="12" spans="2:8" s="117" customFormat="1" x14ac:dyDescent="0.55000000000000004">
      <c r="B12"/>
      <c r="C12" s="124"/>
      <c r="D12" t="s">
        <v>370</v>
      </c>
      <c r="E12" s="99">
        <f ca="1">VLOOKUP(D8,'2 Sanitation'!$D$19:$J$38,6,FALSE)</f>
        <v>7970182.2353746491</v>
      </c>
      <c r="F12"/>
      <c r="G12" s="125"/>
      <c r="H12"/>
    </row>
    <row r="13" spans="2:8" s="117" customFormat="1" ht="14.7" thickBot="1" x14ac:dyDescent="0.6">
      <c r="B13"/>
      <c r="C13" s="124"/>
      <c r="D13" s="1" t="s">
        <v>39</v>
      </c>
      <c r="E13" s="37">
        <f ca="1">VLOOKUP(D8,'2 Sanitation'!$D$19:$J$38,7,FALSE)</f>
        <v>70152824.511722222</v>
      </c>
      <c r="F13"/>
      <c r="G13" s="125"/>
      <c r="H13"/>
    </row>
    <row r="14" spans="2:8" s="117" customFormat="1" ht="14.7" thickTop="1" x14ac:dyDescent="0.55000000000000004">
      <c r="B14"/>
      <c r="C14" s="124"/>
      <c r="D14"/>
      <c r="E14"/>
      <c r="F14"/>
      <c r="G14" s="125"/>
      <c r="H14"/>
    </row>
    <row r="15" spans="2:8" s="117" customFormat="1" x14ac:dyDescent="0.55000000000000004">
      <c r="B15"/>
      <c r="C15" s="124"/>
      <c r="D15" t="s">
        <v>189</v>
      </c>
      <c r="E15" s="26">
        <f ca="1">IF(VLOOKUP(D8,'2 Sanitation'!$D$122:$K$141,7,FALSE)="",VLOOKUP(D8,'2 Sanitation'!$D$122:$K$141,6,FALSE),VLOOKUP(D8,'2 Sanitation'!$D$122:$K$141,7,FALSE))+VLOOKUP(D8,'2 Sanitation'!$D$153:$J$172,5,FALSE)</f>
        <v>0</v>
      </c>
      <c r="F15"/>
      <c r="G15" s="125"/>
      <c r="H15"/>
    </row>
    <row r="16" spans="2:8" s="117" customFormat="1" x14ac:dyDescent="0.55000000000000004">
      <c r="B16"/>
      <c r="C16" s="124"/>
      <c r="D16"/>
      <c r="E16"/>
      <c r="F16"/>
      <c r="G16" s="125"/>
      <c r="H16"/>
    </row>
    <row r="17" spans="3:17" x14ac:dyDescent="0.55000000000000004">
      <c r="C17" s="124"/>
      <c r="D17" t="s">
        <v>371</v>
      </c>
      <c r="E17" s="64">
        <f ca="1">IF(VLOOKUP(D8,'2 Sanitation'!$D$53:$M$72,5,FALSE)="",VLOOKUP(D8,'2 Sanitation'!$D$53:$M$72,4,FALSE),VLOOKUP(D8,'2 Sanitation'!$D$53:$M$72,5,FALSE))</f>
        <v>0</v>
      </c>
      <c r="G17" s="125"/>
      <c r="I17" s="117"/>
      <c r="J17" s="117"/>
      <c r="K17" s="117"/>
      <c r="L17" s="117"/>
      <c r="M17" s="117"/>
      <c r="N17" s="117"/>
      <c r="O17" s="117"/>
      <c r="P17" s="117"/>
      <c r="Q17" s="117"/>
    </row>
    <row r="18" spans="3:17" x14ac:dyDescent="0.55000000000000004">
      <c r="C18" s="124"/>
      <c r="D18" t="s">
        <v>372</v>
      </c>
      <c r="E18" s="26">
        <f ca="1">IF(VLOOKUP(D8,'2 Sanitation'!$D$53:$M$72,7,FALSE)="",VLOOKUP(D8,'2 Sanitation'!$D$53:$M$72,6,FALSE),VLOOKUP(D8,'2 Sanitation'!$D$53:$M$72,7,FALSE))</f>
        <v>10332418.424842734</v>
      </c>
      <c r="G18" s="125"/>
      <c r="I18" s="117"/>
      <c r="J18" s="117"/>
      <c r="K18" s="117"/>
      <c r="L18" s="117"/>
      <c r="M18" s="117"/>
      <c r="N18" s="117"/>
      <c r="O18" s="117"/>
      <c r="P18" s="117"/>
      <c r="Q18" s="117"/>
    </row>
    <row r="19" spans="3:17" x14ac:dyDescent="0.55000000000000004">
      <c r="C19" s="124"/>
      <c r="D19" t="s">
        <v>373</v>
      </c>
      <c r="E19" s="26">
        <f ca="1">IF(VLOOKUP(D8,'2 Sanitation'!$D$53:$M$72,9,FALSE)="",VLOOKUP(D8,'2 Sanitation'!$D$53:$M$72,8,FALSE),VLOOKUP(D8,'2 Sanitation'!$D$53:$M$72,9,FALSE))</f>
        <v>0</v>
      </c>
      <c r="G19" s="125"/>
      <c r="I19" s="117"/>
      <c r="J19" s="117"/>
      <c r="K19" s="117"/>
      <c r="L19" s="117"/>
      <c r="M19" s="117"/>
      <c r="N19" s="117"/>
      <c r="O19" s="117"/>
      <c r="P19" s="117"/>
      <c r="Q19" s="117"/>
    </row>
    <row r="20" spans="3:17" x14ac:dyDescent="0.55000000000000004">
      <c r="C20" s="124"/>
      <c r="D20" t="s">
        <v>374</v>
      </c>
      <c r="E20" s="26">
        <f ca="1">IF(VLOOKUP(D8,'2 Sanitation'!$D$88:$I$107,5,FALSE)="",VLOOKUP(D8,'2 Sanitation'!$D$88:$I$107,4,FALSE),VLOOKUP(D8,'2 Sanitation'!$D$88:$I$107,5,FALSE))</f>
        <v>15438142.202261301</v>
      </c>
      <c r="G20" s="125"/>
      <c r="I20" s="117"/>
      <c r="J20" s="117"/>
      <c r="K20" s="117"/>
      <c r="L20" s="117"/>
      <c r="M20" s="117"/>
      <c r="N20" s="117"/>
      <c r="O20" s="117"/>
      <c r="P20" s="117"/>
      <c r="Q20" s="117"/>
    </row>
    <row r="21" spans="3:17" ht="14.7" thickBot="1" x14ac:dyDescent="0.6">
      <c r="C21" s="124"/>
      <c r="D21" s="1" t="s">
        <v>145</v>
      </c>
      <c r="E21" s="37">
        <f ca="1">SUM(E17:E20)</f>
        <v>25770560.627104037</v>
      </c>
      <c r="G21" s="125"/>
      <c r="I21" s="117"/>
      <c r="J21" s="117"/>
      <c r="K21" s="117"/>
      <c r="L21" s="117"/>
      <c r="M21" s="117"/>
      <c r="N21" s="117"/>
      <c r="O21" s="117"/>
      <c r="P21" s="117"/>
      <c r="Q21" s="117"/>
    </row>
    <row r="22" spans="3:17" ht="14.7" thickTop="1" x14ac:dyDescent="0.55000000000000004">
      <c r="C22" s="124"/>
      <c r="D22" s="1"/>
      <c r="E22" s="15"/>
      <c r="G22" s="125"/>
      <c r="I22" s="117"/>
      <c r="J22" s="117"/>
      <c r="K22" s="117"/>
      <c r="L22" s="117"/>
      <c r="M22" s="117"/>
      <c r="N22" s="117"/>
      <c r="O22" s="117"/>
      <c r="P22" s="117"/>
      <c r="Q22" s="117"/>
    </row>
    <row r="23" spans="3:17" x14ac:dyDescent="0.55000000000000004">
      <c r="C23" s="124"/>
      <c r="D23" t="s">
        <v>384</v>
      </c>
      <c r="E23" s="26">
        <f ca="1">IF(VLOOKUP(D8,'2 Sanitation'!$D$122:$K$141,5,FALSE)="",VLOOKUP(D8,'2 Sanitation'!$D$122:$K$141,4,FALSE),VLOOKUP(D8,'2 Sanitation'!$D$122:$K$141,5,FALSE))+VLOOKUP(D8,'2 Sanitation'!$D$153:$J$172,7,FALSE)</f>
        <v>0</v>
      </c>
      <c r="G23" s="125"/>
      <c r="I23" s="117"/>
      <c r="J23" s="117"/>
      <c r="K23" s="117"/>
      <c r="L23" s="117"/>
      <c r="M23" s="117"/>
      <c r="N23" s="117"/>
      <c r="O23" s="117"/>
      <c r="P23" s="117"/>
      <c r="Q23" s="117"/>
    </row>
    <row r="24" spans="3:17" x14ac:dyDescent="0.55000000000000004">
      <c r="C24" s="124"/>
      <c r="G24" s="125"/>
      <c r="I24" s="117"/>
      <c r="J24" s="117"/>
      <c r="K24" s="117"/>
      <c r="L24" s="117"/>
      <c r="M24" s="117"/>
      <c r="N24" s="117"/>
      <c r="O24" s="117"/>
      <c r="P24" s="117"/>
      <c r="Q24" s="117"/>
    </row>
    <row r="25" spans="3:17" ht="14.7" thickBot="1" x14ac:dyDescent="0.6">
      <c r="C25" s="124"/>
      <c r="D25" s="1" t="s">
        <v>375</v>
      </c>
      <c r="E25" s="37">
        <f ca="1">VLOOKUP(D8,'2 Sanitation'!$D$153:$K$172,8,FALSE)</f>
        <v>44382263.884618193</v>
      </c>
      <c r="G25" s="125"/>
      <c r="I25" s="117"/>
      <c r="J25" s="117"/>
      <c r="K25" s="117"/>
      <c r="L25" s="117"/>
      <c r="M25" s="117"/>
      <c r="N25" s="117"/>
      <c r="O25" s="117"/>
      <c r="P25" s="117"/>
      <c r="Q25" s="117"/>
    </row>
    <row r="26" spans="3:17" ht="14.7" thickTop="1" x14ac:dyDescent="0.55000000000000004">
      <c r="C26" s="124"/>
      <c r="G26" s="125"/>
      <c r="I26" s="117"/>
      <c r="J26" s="117"/>
      <c r="K26" s="117"/>
      <c r="L26" s="117"/>
      <c r="M26" s="117"/>
      <c r="N26" s="117"/>
      <c r="O26" s="117"/>
      <c r="P26" s="117"/>
      <c r="Q26" s="117"/>
    </row>
    <row r="27" spans="3:17" x14ac:dyDescent="0.55000000000000004">
      <c r="C27" s="124"/>
      <c r="G27" s="125"/>
      <c r="I27" s="117"/>
      <c r="J27" s="117"/>
      <c r="K27" s="117"/>
      <c r="L27" s="117"/>
      <c r="M27" s="117"/>
      <c r="N27" s="117"/>
      <c r="O27" s="117"/>
      <c r="P27" s="117"/>
      <c r="Q27" s="117"/>
    </row>
    <row r="28" spans="3:17" x14ac:dyDescent="0.55000000000000004">
      <c r="C28" s="124"/>
      <c r="G28" s="125"/>
      <c r="I28" s="117"/>
      <c r="J28" s="117"/>
      <c r="K28" s="117"/>
      <c r="L28" s="117"/>
      <c r="M28" s="117"/>
      <c r="N28" s="117"/>
      <c r="O28" s="117"/>
      <c r="P28" s="117"/>
      <c r="Q28" s="117"/>
    </row>
    <row r="29" spans="3:17" x14ac:dyDescent="0.55000000000000004">
      <c r="C29" s="124"/>
      <c r="G29" s="125"/>
    </row>
    <row r="30" spans="3:17" x14ac:dyDescent="0.55000000000000004">
      <c r="C30" s="124"/>
      <c r="G30" s="125"/>
    </row>
    <row r="31" spans="3:17" x14ac:dyDescent="0.55000000000000004">
      <c r="C31" s="124"/>
      <c r="G31" s="125"/>
      <c r="L31" s="110"/>
    </row>
    <row r="32" spans="3:17" x14ac:dyDescent="0.55000000000000004">
      <c r="C32" s="124"/>
      <c r="G32" s="125"/>
      <c r="I32" s="232" t="s">
        <v>385</v>
      </c>
    </row>
    <row r="33" spans="3:11" x14ac:dyDescent="0.55000000000000004">
      <c r="C33" s="124"/>
      <c r="G33" s="125"/>
      <c r="I33" s="110"/>
      <c r="J33" s="102" t="s">
        <v>390</v>
      </c>
      <c r="K33" s="102" t="s">
        <v>391</v>
      </c>
    </row>
    <row r="34" spans="3:11" x14ac:dyDescent="0.55000000000000004">
      <c r="C34" s="124"/>
      <c r="G34" s="125"/>
      <c r="I34" s="110" t="s">
        <v>369</v>
      </c>
      <c r="J34" s="100">
        <f ca="1">E11/1000</f>
        <v>62182.642276347571</v>
      </c>
      <c r="K34" s="102"/>
    </row>
    <row r="35" spans="3:11" x14ac:dyDescent="0.55000000000000004">
      <c r="C35" s="124"/>
      <c r="G35" s="125"/>
      <c r="I35" s="110" t="s">
        <v>370</v>
      </c>
      <c r="J35" s="100">
        <f ca="1">E12/1000</f>
        <v>7970.1822353746493</v>
      </c>
      <c r="K35" s="110"/>
    </row>
    <row r="36" spans="3:11" x14ac:dyDescent="0.55000000000000004">
      <c r="C36" s="124"/>
      <c r="G36" s="125"/>
      <c r="I36" s="110" t="s">
        <v>471</v>
      </c>
      <c r="J36" s="100">
        <f ca="1">E15/1000</f>
        <v>0</v>
      </c>
      <c r="K36" s="110"/>
    </row>
    <row r="37" spans="3:11" x14ac:dyDescent="0.55000000000000004">
      <c r="C37" s="124"/>
      <c r="G37" s="125"/>
      <c r="I37" s="110" t="s">
        <v>563</v>
      </c>
      <c r="J37" s="100"/>
      <c r="K37" s="101">
        <f ca="1">E25/1000</f>
        <v>44382.263884618194</v>
      </c>
    </row>
    <row r="38" spans="3:11" x14ac:dyDescent="0.55000000000000004">
      <c r="C38" s="124"/>
      <c r="G38" s="125"/>
      <c r="I38" s="110" t="s">
        <v>564</v>
      </c>
      <c r="J38" s="100"/>
      <c r="K38" s="101">
        <f ca="1">E20/1000</f>
        <v>15438.142202261301</v>
      </c>
    </row>
    <row r="39" spans="3:11" x14ac:dyDescent="0.55000000000000004">
      <c r="C39" s="124"/>
      <c r="G39" s="125"/>
      <c r="I39" s="110" t="s">
        <v>565</v>
      </c>
      <c r="J39" s="100"/>
      <c r="K39" s="101">
        <f ca="1">SUM(E17:E19)/1000</f>
        <v>10332.418424842734</v>
      </c>
    </row>
    <row r="40" spans="3:11" x14ac:dyDescent="0.55000000000000004">
      <c r="C40" s="124"/>
      <c r="G40" s="125"/>
      <c r="I40" s="110" t="s">
        <v>566</v>
      </c>
      <c r="J40" s="100"/>
      <c r="K40" s="101">
        <f ca="1">E23/1000</f>
        <v>0</v>
      </c>
    </row>
    <row r="41" spans="3:11" x14ac:dyDescent="0.55000000000000004">
      <c r="C41" s="124"/>
      <c r="G41" s="125"/>
    </row>
    <row r="42" spans="3:11" x14ac:dyDescent="0.55000000000000004">
      <c r="C42" s="124"/>
      <c r="G42" s="125"/>
    </row>
    <row r="43" spans="3:11" x14ac:dyDescent="0.55000000000000004">
      <c r="C43" s="124"/>
      <c r="E43" s="220" t="s">
        <v>250</v>
      </c>
      <c r="G43" s="125"/>
    </row>
    <row r="44" spans="3:11" x14ac:dyDescent="0.55000000000000004">
      <c r="C44" s="124"/>
      <c r="D44" t="s">
        <v>376</v>
      </c>
      <c r="E44" s="64">
        <f ca="1">VLOOKUP(D8,'2 Sanitation'!$D$153:$M$172,10,FALSE)</f>
        <v>48.100505825433274</v>
      </c>
      <c r="G44" s="125"/>
    </row>
    <row r="45" spans="3:11" x14ac:dyDescent="0.55000000000000004">
      <c r="C45" s="124"/>
      <c r="D45" t="s">
        <v>377</v>
      </c>
      <c r="E45" s="64">
        <f ca="1">VLOOKUP(D8,'2 Sanitation'!$D$153:$M$172,9,FALSE)</f>
        <v>30.430839490593527</v>
      </c>
      <c r="G45" s="125"/>
    </row>
    <row r="46" spans="3:11" x14ac:dyDescent="0.55000000000000004">
      <c r="C46" s="124"/>
      <c r="D46" t="s">
        <v>378</v>
      </c>
      <c r="E46" s="64">
        <f ca="1">IFERROR(IF(E15=0,E23,E15)/E13,0)</f>
        <v>0</v>
      </c>
      <c r="G46" s="125"/>
    </row>
    <row r="47" spans="3:11" x14ac:dyDescent="0.55000000000000004">
      <c r="C47" s="124"/>
      <c r="G47" s="125"/>
    </row>
    <row r="48" spans="3:11" x14ac:dyDescent="0.55000000000000004">
      <c r="C48" s="124"/>
      <c r="D48" t="s">
        <v>379</v>
      </c>
      <c r="E48" s="64">
        <f>'3 Sanitation'!H26</f>
        <v>0</v>
      </c>
      <c r="G48" s="125"/>
    </row>
    <row r="49" spans="3:13" x14ac:dyDescent="0.55000000000000004">
      <c r="C49" s="124"/>
      <c r="D49" t="s">
        <v>380</v>
      </c>
      <c r="E49" s="97">
        <f ca="1">IFERROR('3 Sanitation'!I26/'3 Sanitation'!F26,0)</f>
        <v>0</v>
      </c>
      <c r="G49" s="125"/>
    </row>
    <row r="50" spans="3:13" x14ac:dyDescent="0.55000000000000004">
      <c r="C50" s="124"/>
      <c r="G50" s="125"/>
    </row>
    <row r="51" spans="3:13" x14ac:dyDescent="0.55000000000000004">
      <c r="C51" s="124"/>
      <c r="D51" s="1" t="s">
        <v>381</v>
      </c>
      <c r="G51" s="125"/>
    </row>
    <row r="52" spans="3:13" x14ac:dyDescent="0.55000000000000004">
      <c r="C52" s="124"/>
      <c r="G52" s="125"/>
    </row>
    <row r="53" spans="3:13" x14ac:dyDescent="0.55000000000000004">
      <c r="C53" s="124"/>
      <c r="G53" s="125"/>
    </row>
    <row r="54" spans="3:13" ht="28.8" x14ac:dyDescent="0.55000000000000004">
      <c r="C54" s="124"/>
      <c r="G54" s="125"/>
      <c r="I54" s="229" t="s">
        <v>383</v>
      </c>
      <c r="J54" s="229" t="s">
        <v>382</v>
      </c>
      <c r="K54" s="229" t="s">
        <v>100</v>
      </c>
      <c r="L54" s="230" t="s">
        <v>392</v>
      </c>
      <c r="M54" s="233" t="s">
        <v>581</v>
      </c>
    </row>
    <row r="55" spans="3:13" x14ac:dyDescent="0.55000000000000004">
      <c r="C55" s="124"/>
      <c r="G55" s="125"/>
      <c r="I55" s="102">
        <v>1</v>
      </c>
      <c r="J55" s="102">
        <f>IFERROR(VLOOKUP(I55,'3 Sanitation'!$E$39:$L$48,4,FALSE),0)</f>
        <v>0</v>
      </c>
      <c r="K55" s="103">
        <f ca="1">IFERROR(VLOOKUP(I55,'3 Sanitation'!$E$39:$L$48,8,FALSE),0)</f>
        <v>30.430839490593527</v>
      </c>
      <c r="L55" s="104">
        <f ca="1">$E$44</f>
        <v>48.100505825433274</v>
      </c>
      <c r="M55" s="105">
        <f ca="1">IFERROR('3 Sanitation'!H18/SUM('3 Sanitation'!K39:K48),0)</f>
        <v>5.4647806372834458</v>
      </c>
    </row>
    <row r="56" spans="3:13" x14ac:dyDescent="0.55000000000000004">
      <c r="C56" s="124"/>
      <c r="G56" s="125"/>
      <c r="I56" s="102">
        <v>2</v>
      </c>
      <c r="J56" s="102">
        <f>IFERROR(VLOOKUP(I56,'3 Sanitation'!$E$39:$L$48,4,FALSE),0)</f>
        <v>0</v>
      </c>
      <c r="K56" s="103">
        <f>IFERROR(VLOOKUP(I56,'3 Sanitation'!$E$39:$L$48,8,FALSE),0)</f>
        <v>0</v>
      </c>
      <c r="L56" s="104">
        <f t="shared" ref="L56:L64" ca="1" si="0">$E$44</f>
        <v>48.100505825433274</v>
      </c>
      <c r="M56" s="104">
        <f t="shared" ref="M56:M64" ca="1" si="1">$M$55</f>
        <v>5.4647806372834458</v>
      </c>
    </row>
    <row r="57" spans="3:13" x14ac:dyDescent="0.55000000000000004">
      <c r="C57" s="124"/>
      <c r="G57" s="125"/>
      <c r="I57" s="102">
        <v>3</v>
      </c>
      <c r="J57" s="102">
        <f>IFERROR(VLOOKUP(I57,'3 Sanitation'!$E$39:$L$48,4,FALSE),0)</f>
        <v>0</v>
      </c>
      <c r="K57" s="103">
        <f>IFERROR(VLOOKUP(I57,'3 Sanitation'!$E$39:$L$48,8,FALSE),0)</f>
        <v>0</v>
      </c>
      <c r="L57" s="104">
        <f t="shared" ca="1" si="0"/>
        <v>48.100505825433274</v>
      </c>
      <c r="M57" s="104">
        <f t="shared" ca="1" si="1"/>
        <v>5.4647806372834458</v>
      </c>
    </row>
    <row r="58" spans="3:13" x14ac:dyDescent="0.55000000000000004">
      <c r="C58" s="124"/>
      <c r="G58" s="125"/>
      <c r="I58" s="102">
        <v>4</v>
      </c>
      <c r="J58" s="102">
        <f>IFERROR(VLOOKUP(I58,'3 Sanitation'!$E$39:$L$48,4,FALSE),0)</f>
        <v>0</v>
      </c>
      <c r="K58" s="103">
        <f>IFERROR(VLOOKUP(I58,'3 Sanitation'!$E$39:$L$48,8,FALSE),0)</f>
        <v>0</v>
      </c>
      <c r="L58" s="104">
        <f t="shared" ca="1" si="0"/>
        <v>48.100505825433274</v>
      </c>
      <c r="M58" s="104">
        <f t="shared" ca="1" si="1"/>
        <v>5.4647806372834458</v>
      </c>
    </row>
    <row r="59" spans="3:13" x14ac:dyDescent="0.55000000000000004">
      <c r="C59" s="124"/>
      <c r="G59" s="125"/>
      <c r="I59" s="102">
        <v>5</v>
      </c>
      <c r="J59" s="102">
        <f>IFERROR(VLOOKUP(I59,'3 Sanitation'!$E$39:$L$48,4,FALSE),0)</f>
        <v>0</v>
      </c>
      <c r="K59" s="103">
        <f>IFERROR(VLOOKUP(I59,'3 Sanitation'!$E$39:$L$48,8,FALSE),0)</f>
        <v>0</v>
      </c>
      <c r="L59" s="104">
        <f t="shared" ca="1" si="0"/>
        <v>48.100505825433274</v>
      </c>
      <c r="M59" s="104">
        <f t="shared" ca="1" si="1"/>
        <v>5.4647806372834458</v>
      </c>
    </row>
    <row r="60" spans="3:13" x14ac:dyDescent="0.55000000000000004">
      <c r="C60" s="124"/>
      <c r="G60" s="125"/>
      <c r="I60" s="102">
        <v>6</v>
      </c>
      <c r="J60" s="102">
        <f>IFERROR(VLOOKUP(I60,'3 Sanitation'!$E$39:$L$48,4,FALSE),0)</f>
        <v>0</v>
      </c>
      <c r="K60" s="103">
        <f>IFERROR(VLOOKUP(I60,'3 Sanitation'!$E$39:$L$48,8,FALSE),0)</f>
        <v>0</v>
      </c>
      <c r="L60" s="104">
        <f t="shared" ca="1" si="0"/>
        <v>48.100505825433274</v>
      </c>
      <c r="M60" s="104">
        <f t="shared" ca="1" si="1"/>
        <v>5.4647806372834458</v>
      </c>
    </row>
    <row r="61" spans="3:13" x14ac:dyDescent="0.55000000000000004">
      <c r="C61" s="124"/>
      <c r="G61" s="125"/>
      <c r="I61" s="102">
        <v>7</v>
      </c>
      <c r="J61" s="102">
        <f>IFERROR(VLOOKUP(I61,'3 Sanitation'!$E$39:$L$48,4,FALSE),0)</f>
        <v>0</v>
      </c>
      <c r="K61" s="103">
        <f>IFERROR(VLOOKUP(I61,'3 Sanitation'!$E$39:$L$48,8,FALSE),0)</f>
        <v>0</v>
      </c>
      <c r="L61" s="104">
        <f t="shared" ca="1" si="0"/>
        <v>48.100505825433274</v>
      </c>
      <c r="M61" s="104">
        <f t="shared" ca="1" si="1"/>
        <v>5.4647806372834458</v>
      </c>
    </row>
    <row r="62" spans="3:13" x14ac:dyDescent="0.55000000000000004">
      <c r="C62" s="124"/>
      <c r="G62" s="125"/>
      <c r="I62" s="102">
        <v>8</v>
      </c>
      <c r="J62" s="102">
        <f>IFERROR(VLOOKUP(I62,'3 Sanitation'!$E$39:$L$48,4,FALSE),0)</f>
        <v>0</v>
      </c>
      <c r="K62" s="103">
        <f>IFERROR(VLOOKUP(I62,'3 Sanitation'!$E$39:$L$48,8,FALSE),0)</f>
        <v>0</v>
      </c>
      <c r="L62" s="104">
        <f t="shared" ca="1" si="0"/>
        <v>48.100505825433274</v>
      </c>
      <c r="M62" s="104">
        <f t="shared" ca="1" si="1"/>
        <v>5.4647806372834458</v>
      </c>
    </row>
    <row r="63" spans="3:13" x14ac:dyDescent="0.55000000000000004">
      <c r="C63" s="124"/>
      <c r="G63" s="125"/>
      <c r="I63" s="102">
        <v>9</v>
      </c>
      <c r="J63" s="102">
        <f>IFERROR(VLOOKUP(I63,'3 Sanitation'!$E$39:$L$48,4,FALSE),0)</f>
        <v>0</v>
      </c>
      <c r="K63" s="103">
        <f>IFERROR(VLOOKUP(I63,'3 Sanitation'!$E$39:$L$48,8,FALSE),0)</f>
        <v>0</v>
      </c>
      <c r="L63" s="104">
        <f t="shared" ca="1" si="0"/>
        <v>48.100505825433274</v>
      </c>
      <c r="M63" s="104">
        <f t="shared" ca="1" si="1"/>
        <v>5.4647806372834458</v>
      </c>
    </row>
    <row r="64" spans="3:13" x14ac:dyDescent="0.55000000000000004">
      <c r="C64" s="124"/>
      <c r="G64" s="125"/>
      <c r="I64" s="102">
        <v>10</v>
      </c>
      <c r="J64" s="102">
        <f>IFERROR(VLOOKUP(I64,'3 Sanitation'!$E$39:$L$48,4,FALSE),0)</f>
        <v>0</v>
      </c>
      <c r="K64" s="103">
        <f>IFERROR(VLOOKUP(I64,'3 Sanitation'!$E$39:$L$48,8,FALSE),0)</f>
        <v>0</v>
      </c>
      <c r="L64" s="104">
        <f t="shared" ca="1" si="0"/>
        <v>48.100505825433274</v>
      </c>
      <c r="M64" s="104">
        <f t="shared" ca="1" si="1"/>
        <v>5.4647806372834458</v>
      </c>
    </row>
    <row r="65" spans="3:7" x14ac:dyDescent="0.55000000000000004">
      <c r="C65" s="124"/>
      <c r="G65" s="125"/>
    </row>
    <row r="66" spans="3:7" x14ac:dyDescent="0.55000000000000004">
      <c r="C66" s="124"/>
      <c r="G66" s="125"/>
    </row>
    <row r="67" spans="3:7" x14ac:dyDescent="0.55000000000000004">
      <c r="C67" s="124"/>
      <c r="G67" s="125"/>
    </row>
    <row r="68" spans="3:7" x14ac:dyDescent="0.55000000000000004">
      <c r="C68" s="124"/>
      <c r="G68" s="125"/>
    </row>
    <row r="69" spans="3:7" ht="14.7" thickBot="1" x14ac:dyDescent="0.6">
      <c r="C69" s="130"/>
      <c r="D69" s="131"/>
      <c r="E69" s="131"/>
      <c r="F69" s="131"/>
      <c r="G69" s="132"/>
    </row>
    <row r="71" spans="3:7" ht="14.7" thickBot="1" x14ac:dyDescent="0.6"/>
    <row r="72" spans="3:7" x14ac:dyDescent="0.55000000000000004">
      <c r="C72" s="121"/>
      <c r="D72" s="122"/>
      <c r="E72" s="122"/>
      <c r="F72" s="122"/>
      <c r="G72" s="123"/>
    </row>
    <row r="73" spans="3:7" ht="15.6" x14ac:dyDescent="0.6">
      <c r="C73" s="124"/>
      <c r="D73" s="98" t="str">
        <f>'2 Customer data'!D58</f>
        <v>Commercial</v>
      </c>
      <c r="G73" s="125"/>
    </row>
    <row r="74" spans="3:7" x14ac:dyDescent="0.55000000000000004">
      <c r="C74" s="124"/>
      <c r="G74" s="125"/>
    </row>
    <row r="75" spans="3:7" x14ac:dyDescent="0.55000000000000004">
      <c r="C75" s="124"/>
      <c r="E75" s="220" t="s">
        <v>250</v>
      </c>
      <c r="G75" s="125"/>
    </row>
    <row r="76" spans="3:7" x14ac:dyDescent="0.55000000000000004">
      <c r="C76" s="124"/>
      <c r="D76" t="s">
        <v>369</v>
      </c>
      <c r="E76" s="26">
        <f ca="1">VLOOKUP(D73,'2 Sanitation'!$D$19:$J$38,5,FALSE)</f>
        <v>2672361.1153658675</v>
      </c>
      <c r="G76" s="125"/>
    </row>
    <row r="77" spans="3:7" x14ac:dyDescent="0.55000000000000004">
      <c r="C77" s="124"/>
      <c r="D77" t="s">
        <v>370</v>
      </c>
      <c r="E77" s="99">
        <f ca="1">VLOOKUP(D73,'2 Sanitation'!$D$19:$J$38,6,FALSE)</f>
        <v>3250152.332327561</v>
      </c>
      <c r="G77" s="125"/>
    </row>
    <row r="78" spans="3:7" ht="14.7" thickBot="1" x14ac:dyDescent="0.6">
      <c r="C78" s="124"/>
      <c r="D78" s="1" t="s">
        <v>39</v>
      </c>
      <c r="E78" s="37">
        <f ca="1">VLOOKUP(D73,'2 Sanitation'!$D$19:$J$38,7,FALSE)</f>
        <v>5922513.447693428</v>
      </c>
      <c r="G78" s="125"/>
    </row>
    <row r="79" spans="3:7" ht="14.7" thickTop="1" x14ac:dyDescent="0.55000000000000004">
      <c r="C79" s="124"/>
      <c r="G79" s="125"/>
    </row>
    <row r="80" spans="3:7" x14ac:dyDescent="0.55000000000000004">
      <c r="C80" s="124"/>
      <c r="D80" t="s">
        <v>189</v>
      </c>
      <c r="E80" s="26">
        <f ca="1">IF(VLOOKUP(D73,'2 Sanitation'!$D$122:$K$141,7,FALSE)="",VLOOKUP(D73,'2 Sanitation'!$D$122:$K$141,6,FALSE),VLOOKUP(D73,'2 Sanitation'!$D$122:$K$141,7,FALSE))+VLOOKUP(D73,'2 Sanitation'!$D$153:$J$172,5,FALSE)</f>
        <v>0</v>
      </c>
      <c r="G80" s="125"/>
    </row>
    <row r="81" spans="3:9" x14ac:dyDescent="0.55000000000000004">
      <c r="C81" s="124"/>
      <c r="G81" s="125"/>
    </row>
    <row r="82" spans="3:9" x14ac:dyDescent="0.55000000000000004">
      <c r="C82" s="124"/>
      <c r="D82" t="s">
        <v>371</v>
      </c>
      <c r="E82" s="64">
        <f ca="1">IF(VLOOKUP(D73,'2 Sanitation'!$D$53:$M$72,5,FALSE)="",VLOOKUP(D73,'2 Sanitation'!$D$53:$M$72,4,FALSE),VLOOKUP(D73,'2 Sanitation'!$D$53:$M$72,5,FALSE))</f>
        <v>0</v>
      </c>
      <c r="G82" s="125"/>
    </row>
    <row r="83" spans="3:9" x14ac:dyDescent="0.55000000000000004">
      <c r="C83" s="124"/>
      <c r="D83" t="s">
        <v>372</v>
      </c>
      <c r="E83" s="26">
        <f ca="1">IF(VLOOKUP(D73,'2 Sanitation'!$D$53:$M$72,7,FALSE)="",VLOOKUP(D73,'2 Sanitation'!$D$53:$M$72,6,FALSE),VLOOKUP(D73,'2 Sanitation'!$D$53:$M$72,7,FALSE))</f>
        <v>872293.988078858</v>
      </c>
      <c r="G83" s="125"/>
    </row>
    <row r="84" spans="3:9" x14ac:dyDescent="0.55000000000000004">
      <c r="C84" s="124"/>
      <c r="D84" t="s">
        <v>373</v>
      </c>
      <c r="E84" s="26">
        <f ca="1">IF(VLOOKUP(D73,'2 Sanitation'!$D$53:$M$72,9,FALSE)="",VLOOKUP(D73,'2 Sanitation'!$D$53:$M$72,8,FALSE),VLOOKUP(D73,'2 Sanitation'!$D$53:$M$72,9,FALSE))</f>
        <v>0</v>
      </c>
      <c r="G84" s="125"/>
    </row>
    <row r="85" spans="3:9" x14ac:dyDescent="0.55000000000000004">
      <c r="C85" s="124"/>
      <c r="D85" t="s">
        <v>374</v>
      </c>
      <c r="E85" s="26">
        <f ca="1">IF(VLOOKUP(D73,'2 Sanitation'!$D$88:$I$107,5,FALSE)="",VLOOKUP(D73,'2 Sanitation'!$D$88:$I$107,4,FALSE),VLOOKUP(D73,'2 Sanitation'!$D$88:$I$107,5,FALSE))</f>
        <v>0</v>
      </c>
      <c r="G85" s="125"/>
    </row>
    <row r="86" spans="3:9" ht="14.7" thickBot="1" x14ac:dyDescent="0.6">
      <c r="C86" s="124"/>
      <c r="D86" s="1" t="s">
        <v>145</v>
      </c>
      <c r="E86" s="37">
        <f ca="1">SUM(E82:E85)</f>
        <v>872293.988078858</v>
      </c>
      <c r="G86" s="125"/>
    </row>
    <row r="87" spans="3:9" ht="14.7" thickTop="1" x14ac:dyDescent="0.55000000000000004">
      <c r="C87" s="124"/>
      <c r="D87" s="1"/>
      <c r="E87" s="15"/>
      <c r="G87" s="125"/>
    </row>
    <row r="88" spans="3:9" x14ac:dyDescent="0.55000000000000004">
      <c r="C88" s="124"/>
      <c r="D88" t="s">
        <v>384</v>
      </c>
      <c r="E88" s="26">
        <f ca="1">IF(VLOOKUP(D73,'2 Sanitation'!$D$122:$K$141,5,FALSE)="",VLOOKUP(D73,'2 Sanitation'!$D$122:$K$141,4,FALSE),VLOOKUP(D73,'2 Sanitation'!$D$122:$K$141,5,FALSE))+VLOOKUP(D73,'2 Sanitation'!$D$153:$J$172,7,FALSE)</f>
        <v>0</v>
      </c>
      <c r="G88" s="125"/>
    </row>
    <row r="89" spans="3:9" x14ac:dyDescent="0.55000000000000004">
      <c r="C89" s="124"/>
      <c r="G89" s="125"/>
    </row>
    <row r="90" spans="3:9" ht="14.7" thickBot="1" x14ac:dyDescent="0.6">
      <c r="C90" s="124"/>
      <c r="D90" s="1" t="s">
        <v>375</v>
      </c>
      <c r="E90" s="37">
        <f ca="1">VLOOKUP(D73,'2 Sanitation'!$D$153:$K$172,8,FALSE)</f>
        <v>5050219.4596145703</v>
      </c>
      <c r="G90" s="125"/>
    </row>
    <row r="91" spans="3:9" ht="14.7" thickTop="1" x14ac:dyDescent="0.55000000000000004">
      <c r="C91" s="124"/>
      <c r="G91" s="125"/>
    </row>
    <row r="92" spans="3:9" x14ac:dyDescent="0.55000000000000004">
      <c r="C92" s="124"/>
      <c r="G92" s="125"/>
    </row>
    <row r="93" spans="3:9" x14ac:dyDescent="0.55000000000000004">
      <c r="C93" s="124"/>
      <c r="G93" s="125"/>
    </row>
    <row r="94" spans="3:9" x14ac:dyDescent="0.55000000000000004">
      <c r="C94" s="124"/>
      <c r="G94" s="125"/>
    </row>
    <row r="95" spans="3:9" x14ac:dyDescent="0.55000000000000004">
      <c r="C95" s="124"/>
      <c r="G95" s="125"/>
    </row>
    <row r="96" spans="3:9" x14ac:dyDescent="0.55000000000000004">
      <c r="C96" s="124"/>
      <c r="G96" s="125"/>
      <c r="I96" s="232" t="s">
        <v>385</v>
      </c>
    </row>
    <row r="97" spans="3:11" x14ac:dyDescent="0.55000000000000004">
      <c r="C97" s="124"/>
      <c r="G97" s="125"/>
      <c r="I97" s="110"/>
      <c r="J97" s="102" t="s">
        <v>390</v>
      </c>
      <c r="K97" s="102" t="s">
        <v>391</v>
      </c>
    </row>
    <row r="98" spans="3:11" x14ac:dyDescent="0.55000000000000004">
      <c r="C98" s="124"/>
      <c r="G98" s="125"/>
      <c r="I98" s="110" t="s">
        <v>369</v>
      </c>
      <c r="J98" s="100">
        <f ca="1">E76/1000</f>
        <v>2672.3611153658676</v>
      </c>
      <c r="K98" s="102"/>
    </row>
    <row r="99" spans="3:11" x14ac:dyDescent="0.55000000000000004">
      <c r="C99" s="124"/>
      <c r="G99" s="125"/>
      <c r="I99" s="110" t="s">
        <v>370</v>
      </c>
      <c r="J99" s="100">
        <f ca="1">E77/1000</f>
        <v>3250.152332327561</v>
      </c>
      <c r="K99" s="110"/>
    </row>
    <row r="100" spans="3:11" x14ac:dyDescent="0.55000000000000004">
      <c r="C100" s="124"/>
      <c r="G100" s="125"/>
      <c r="I100" s="110" t="s">
        <v>471</v>
      </c>
      <c r="J100" s="100">
        <f ca="1">E80/1000</f>
        <v>0</v>
      </c>
      <c r="K100" s="110"/>
    </row>
    <row r="101" spans="3:11" x14ac:dyDescent="0.55000000000000004">
      <c r="C101" s="124"/>
      <c r="G101" s="125"/>
      <c r="I101" s="110" t="s">
        <v>563</v>
      </c>
      <c r="J101" s="100"/>
      <c r="K101" s="101">
        <f ca="1">E90/1000</f>
        <v>5050.21945961457</v>
      </c>
    </row>
    <row r="102" spans="3:11" x14ac:dyDescent="0.55000000000000004">
      <c r="C102" s="124"/>
      <c r="G102" s="125"/>
      <c r="I102" s="110" t="s">
        <v>564</v>
      </c>
      <c r="J102" s="100"/>
      <c r="K102" s="101">
        <f ca="1">E85/1000</f>
        <v>0</v>
      </c>
    </row>
    <row r="103" spans="3:11" x14ac:dyDescent="0.55000000000000004">
      <c r="C103" s="124"/>
      <c r="G103" s="125"/>
      <c r="I103" s="110" t="s">
        <v>565</v>
      </c>
      <c r="J103" s="100"/>
      <c r="K103" s="101">
        <f ca="1">SUM(E82:E84)/1000</f>
        <v>872.29398807885798</v>
      </c>
    </row>
    <row r="104" spans="3:11" x14ac:dyDescent="0.55000000000000004">
      <c r="C104" s="124"/>
      <c r="G104" s="125"/>
      <c r="I104" s="110" t="s">
        <v>566</v>
      </c>
      <c r="J104" s="100"/>
      <c r="K104" s="101">
        <f ca="1">E88/1000</f>
        <v>0</v>
      </c>
    </row>
    <row r="105" spans="3:11" x14ac:dyDescent="0.55000000000000004">
      <c r="C105" s="124"/>
      <c r="G105" s="125"/>
    </row>
    <row r="106" spans="3:11" x14ac:dyDescent="0.55000000000000004">
      <c r="C106" s="124"/>
      <c r="G106" s="125"/>
    </row>
    <row r="107" spans="3:11" x14ac:dyDescent="0.55000000000000004">
      <c r="C107" s="124"/>
      <c r="G107" s="125"/>
    </row>
    <row r="108" spans="3:11" x14ac:dyDescent="0.55000000000000004">
      <c r="C108" s="124"/>
      <c r="E108" s="220" t="s">
        <v>250</v>
      </c>
      <c r="G108" s="125"/>
    </row>
    <row r="109" spans="3:11" x14ac:dyDescent="0.55000000000000004">
      <c r="C109" s="124"/>
      <c r="D109" t="s">
        <v>376</v>
      </c>
      <c r="E109" s="64">
        <f ca="1">VLOOKUP(D73,'2 Sanitation'!$D$153:$M$172,10,FALSE)</f>
        <v>9.9580676545790894</v>
      </c>
      <c r="G109" s="125"/>
    </row>
    <row r="110" spans="3:11" x14ac:dyDescent="0.55000000000000004">
      <c r="C110" s="124"/>
      <c r="D110" t="s">
        <v>377</v>
      </c>
      <c r="E110" s="64">
        <f ca="1">VLOOKUP(D73,'2 Sanitation'!$D$153:$M$172,9,FALSE)</f>
        <v>8.4913993853234313</v>
      </c>
      <c r="G110" s="125"/>
    </row>
    <row r="111" spans="3:11" x14ac:dyDescent="0.55000000000000004">
      <c r="C111" s="124"/>
      <c r="D111" t="s">
        <v>378</v>
      </c>
      <c r="E111" s="64">
        <f ca="1">IFERROR(IF(E80=0,E88,E80)/E78,0)</f>
        <v>0</v>
      </c>
      <c r="G111" s="125"/>
    </row>
    <row r="112" spans="3:11" x14ac:dyDescent="0.55000000000000004">
      <c r="C112" s="124"/>
      <c r="G112" s="125"/>
    </row>
    <row r="113" spans="3:14" x14ac:dyDescent="0.55000000000000004">
      <c r="C113" s="124"/>
      <c r="D113" t="s">
        <v>379</v>
      </c>
      <c r="E113" s="64">
        <f>'3 Sanitation'!H67</f>
        <v>0</v>
      </c>
      <c r="G113" s="125"/>
    </row>
    <row r="114" spans="3:14" x14ac:dyDescent="0.55000000000000004">
      <c r="C114" s="124"/>
      <c r="D114" t="s">
        <v>380</v>
      </c>
      <c r="E114" s="97">
        <f ca="1">IFERROR('3 Sanitation'!I67/'3 Sanitation'!F67,0)</f>
        <v>0</v>
      </c>
      <c r="G114" s="125"/>
    </row>
    <row r="115" spans="3:14" x14ac:dyDescent="0.55000000000000004">
      <c r="C115" s="124"/>
      <c r="G115" s="125"/>
    </row>
    <row r="116" spans="3:14" x14ac:dyDescent="0.55000000000000004">
      <c r="C116" s="124"/>
      <c r="D116" s="1" t="s">
        <v>381</v>
      </c>
      <c r="G116" s="125"/>
    </row>
    <row r="117" spans="3:14" x14ac:dyDescent="0.55000000000000004">
      <c r="C117" s="124"/>
      <c r="G117" s="125"/>
    </row>
    <row r="118" spans="3:14" x14ac:dyDescent="0.55000000000000004">
      <c r="C118" s="124"/>
      <c r="G118" s="125"/>
    </row>
    <row r="119" spans="3:14" ht="28.8" x14ac:dyDescent="0.55000000000000004">
      <c r="C119" s="124"/>
      <c r="G119" s="125"/>
      <c r="I119" s="229" t="s">
        <v>383</v>
      </c>
      <c r="J119" s="229" t="s">
        <v>382</v>
      </c>
      <c r="K119" s="229" t="s">
        <v>100</v>
      </c>
      <c r="L119" s="108" t="s">
        <v>392</v>
      </c>
      <c r="M119" s="234" t="s">
        <v>581</v>
      </c>
      <c r="N119" s="110"/>
    </row>
    <row r="120" spans="3:14" x14ac:dyDescent="0.55000000000000004">
      <c r="C120" s="124"/>
      <c r="G120" s="125"/>
      <c r="I120" s="102">
        <v>1</v>
      </c>
      <c r="J120" s="102">
        <f>IFERROR(VLOOKUP(I120,'3 Sanitation'!$E$80:$L$89,4,FALSE),0)</f>
        <v>0</v>
      </c>
      <c r="K120" s="103">
        <f ca="1">IFERROR(VLOOKUP(I120,'3 Sanitation'!$E$80:$L$89,8,FALSE),0)</f>
        <v>8.4913993853234313</v>
      </c>
      <c r="L120" s="107">
        <f ca="1">$E$109</f>
        <v>9.9580676545790894</v>
      </c>
      <c r="M120" s="105">
        <f ca="1">IFERROR('3 Sanitation'!H59/SUM('3 Sanitation'!K80:K89),0)</f>
        <v>5.4647806372834458</v>
      </c>
      <c r="N120" s="110"/>
    </row>
    <row r="121" spans="3:14" x14ac:dyDescent="0.55000000000000004">
      <c r="C121" s="124"/>
      <c r="G121" s="125"/>
      <c r="I121" s="102">
        <v>2</v>
      </c>
      <c r="J121" s="102">
        <f>IFERROR(VLOOKUP(I121,'3 Sanitation'!$E$80:$L$89,4,FALSE),0)</f>
        <v>0</v>
      </c>
      <c r="K121" s="103">
        <f>IFERROR(VLOOKUP(I121,'3 Sanitation'!$E$80:$L$89,8,FALSE),0)</f>
        <v>0</v>
      </c>
      <c r="L121" s="107">
        <f t="shared" ref="L121:L129" ca="1" si="2">$E$109</f>
        <v>9.9580676545790894</v>
      </c>
      <c r="M121" s="107">
        <f t="shared" ref="M121:M129" ca="1" si="3">$M$120</f>
        <v>5.4647806372834458</v>
      </c>
      <c r="N121" s="110"/>
    </row>
    <row r="122" spans="3:14" x14ac:dyDescent="0.55000000000000004">
      <c r="C122" s="124"/>
      <c r="G122" s="125"/>
      <c r="I122" s="102">
        <v>3</v>
      </c>
      <c r="J122" s="102">
        <f>IFERROR(VLOOKUP(I122,'3 Sanitation'!$E$80:$L$89,4,FALSE),0)</f>
        <v>0</v>
      </c>
      <c r="K122" s="103">
        <f>IFERROR(VLOOKUP(I122,'3 Sanitation'!$E$80:$L$89,8,FALSE),0)</f>
        <v>0</v>
      </c>
      <c r="L122" s="107">
        <f t="shared" ca="1" si="2"/>
        <v>9.9580676545790894</v>
      </c>
      <c r="M122" s="107">
        <f t="shared" ca="1" si="3"/>
        <v>5.4647806372834458</v>
      </c>
      <c r="N122" s="110"/>
    </row>
    <row r="123" spans="3:14" x14ac:dyDescent="0.55000000000000004">
      <c r="C123" s="124"/>
      <c r="G123" s="125"/>
      <c r="I123" s="102">
        <v>4</v>
      </c>
      <c r="J123" s="102">
        <f>IFERROR(VLOOKUP(I123,'3 Sanitation'!$E$80:$L$89,4,FALSE),0)</f>
        <v>0</v>
      </c>
      <c r="K123" s="103">
        <f>IFERROR(VLOOKUP(I123,'3 Sanitation'!$E$80:$L$89,8,FALSE),0)</f>
        <v>0</v>
      </c>
      <c r="L123" s="107">
        <f t="shared" ca="1" si="2"/>
        <v>9.9580676545790894</v>
      </c>
      <c r="M123" s="107">
        <f t="shared" ca="1" si="3"/>
        <v>5.4647806372834458</v>
      </c>
      <c r="N123" s="110"/>
    </row>
    <row r="124" spans="3:14" x14ac:dyDescent="0.55000000000000004">
      <c r="C124" s="124"/>
      <c r="G124" s="125"/>
      <c r="I124" s="102">
        <v>5</v>
      </c>
      <c r="J124" s="102">
        <f>IFERROR(VLOOKUP(I124,'3 Sanitation'!$E$80:$L$89,4,FALSE),0)</f>
        <v>0</v>
      </c>
      <c r="K124" s="103">
        <f>IFERROR(VLOOKUP(I124,'3 Sanitation'!$E$80:$L$89,8,FALSE),0)</f>
        <v>0</v>
      </c>
      <c r="L124" s="107">
        <f t="shared" ca="1" si="2"/>
        <v>9.9580676545790894</v>
      </c>
      <c r="M124" s="107">
        <f t="shared" ca="1" si="3"/>
        <v>5.4647806372834458</v>
      </c>
      <c r="N124" s="110"/>
    </row>
    <row r="125" spans="3:14" x14ac:dyDescent="0.55000000000000004">
      <c r="C125" s="124"/>
      <c r="G125" s="125"/>
      <c r="I125" s="102">
        <v>6</v>
      </c>
      <c r="J125" s="102">
        <f>IFERROR(VLOOKUP(I125,'3 Sanitation'!$E$80:$L$89,4,FALSE),0)</f>
        <v>0</v>
      </c>
      <c r="K125" s="103">
        <f>IFERROR(VLOOKUP(I125,'3 Sanitation'!$E$80:$L$89,8,FALSE),0)</f>
        <v>0</v>
      </c>
      <c r="L125" s="107">
        <f t="shared" ca="1" si="2"/>
        <v>9.9580676545790894</v>
      </c>
      <c r="M125" s="107">
        <f t="shared" ca="1" si="3"/>
        <v>5.4647806372834458</v>
      </c>
      <c r="N125" s="110"/>
    </row>
    <row r="126" spans="3:14" x14ac:dyDescent="0.55000000000000004">
      <c r="C126" s="124"/>
      <c r="G126" s="125"/>
      <c r="I126" s="102">
        <v>7</v>
      </c>
      <c r="J126" s="102">
        <f>IFERROR(VLOOKUP(I126,'3 Sanitation'!$E$80:$L$89,4,FALSE),0)</f>
        <v>0</v>
      </c>
      <c r="K126" s="103">
        <f>IFERROR(VLOOKUP(I126,'3 Sanitation'!$E$80:$L$89,8,FALSE),0)</f>
        <v>0</v>
      </c>
      <c r="L126" s="107">
        <f t="shared" ca="1" si="2"/>
        <v>9.9580676545790894</v>
      </c>
      <c r="M126" s="107">
        <f t="shared" ca="1" si="3"/>
        <v>5.4647806372834458</v>
      </c>
      <c r="N126" s="110"/>
    </row>
    <row r="127" spans="3:14" x14ac:dyDescent="0.55000000000000004">
      <c r="C127" s="124"/>
      <c r="G127" s="125"/>
      <c r="I127" s="102">
        <v>8</v>
      </c>
      <c r="J127" s="102">
        <f>IFERROR(VLOOKUP(I127,'3 Sanitation'!$E$80:$L$89,4,FALSE),0)</f>
        <v>0</v>
      </c>
      <c r="K127" s="103">
        <f>IFERROR(VLOOKUP(I127,'3 Sanitation'!$E$80:$L$89,8,FALSE),0)</f>
        <v>0</v>
      </c>
      <c r="L127" s="107">
        <f t="shared" ca="1" si="2"/>
        <v>9.9580676545790894</v>
      </c>
      <c r="M127" s="107">
        <f t="shared" ca="1" si="3"/>
        <v>5.4647806372834458</v>
      </c>
      <c r="N127" s="110"/>
    </row>
    <row r="128" spans="3:14" x14ac:dyDescent="0.55000000000000004">
      <c r="C128" s="124"/>
      <c r="G128" s="125"/>
      <c r="I128" s="102">
        <v>9</v>
      </c>
      <c r="J128" s="102">
        <f>IFERROR(VLOOKUP(I128,'3 Sanitation'!$E$80:$L$89,4,FALSE),0)</f>
        <v>0</v>
      </c>
      <c r="K128" s="103">
        <f>IFERROR(VLOOKUP(I128,'3 Sanitation'!$E$80:$L$89,8,FALSE),0)</f>
        <v>0</v>
      </c>
      <c r="L128" s="107">
        <f t="shared" ca="1" si="2"/>
        <v>9.9580676545790894</v>
      </c>
      <c r="M128" s="107">
        <f t="shared" ca="1" si="3"/>
        <v>5.4647806372834458</v>
      </c>
      <c r="N128" s="110"/>
    </row>
    <row r="129" spans="3:14" x14ac:dyDescent="0.55000000000000004">
      <c r="C129" s="124"/>
      <c r="G129" s="125"/>
      <c r="I129" s="102">
        <v>10</v>
      </c>
      <c r="J129" s="102">
        <f>IFERROR(VLOOKUP(I129,'3 Sanitation'!$E$80:$L$89,4,FALSE),0)</f>
        <v>0</v>
      </c>
      <c r="K129" s="103">
        <f>IFERROR(VLOOKUP(I129,'3 Sanitation'!$E$80:$L$89,8,FALSE),0)</f>
        <v>0</v>
      </c>
      <c r="L129" s="107">
        <f t="shared" ca="1" si="2"/>
        <v>9.9580676545790894</v>
      </c>
      <c r="M129" s="107">
        <f t="shared" ca="1" si="3"/>
        <v>5.4647806372834458</v>
      </c>
      <c r="N129" s="110"/>
    </row>
    <row r="130" spans="3:14" x14ac:dyDescent="0.55000000000000004">
      <c r="C130" s="124"/>
      <c r="G130" s="125"/>
    </row>
    <row r="131" spans="3:14" x14ac:dyDescent="0.55000000000000004">
      <c r="C131" s="124"/>
      <c r="G131" s="125"/>
    </row>
    <row r="132" spans="3:14" x14ac:dyDescent="0.55000000000000004">
      <c r="C132" s="124"/>
      <c r="G132" s="125"/>
    </row>
    <row r="133" spans="3:14" x14ac:dyDescent="0.55000000000000004">
      <c r="C133" s="124"/>
      <c r="G133" s="125"/>
    </row>
    <row r="134" spans="3:14" ht="14.7" thickBot="1" x14ac:dyDescent="0.6">
      <c r="C134" s="130"/>
      <c r="D134" s="131"/>
      <c r="E134" s="131"/>
      <c r="F134" s="131"/>
      <c r="G134" s="132"/>
    </row>
    <row r="136" spans="3:14" ht="14.7" thickBot="1" x14ac:dyDescent="0.6"/>
    <row r="137" spans="3:14" x14ac:dyDescent="0.55000000000000004">
      <c r="C137" s="121"/>
      <c r="D137" s="122"/>
      <c r="E137" s="122"/>
      <c r="F137" s="122"/>
      <c r="G137" s="123"/>
    </row>
    <row r="138" spans="3:14" ht="15.6" x14ac:dyDescent="0.6">
      <c r="C138" s="124"/>
      <c r="D138" s="98" t="str">
        <f>'2 Customer data'!D59</f>
        <v>Old Age Homes</v>
      </c>
      <c r="G138" s="125"/>
    </row>
    <row r="139" spans="3:14" x14ac:dyDescent="0.55000000000000004">
      <c r="C139" s="124"/>
      <c r="G139" s="125"/>
    </row>
    <row r="140" spans="3:14" x14ac:dyDescent="0.55000000000000004">
      <c r="C140" s="124"/>
      <c r="E140" s="220" t="s">
        <v>250</v>
      </c>
      <c r="G140" s="125"/>
    </row>
    <row r="141" spans="3:14" x14ac:dyDescent="0.55000000000000004">
      <c r="C141" s="124"/>
      <c r="D141" t="s">
        <v>369</v>
      </c>
      <c r="E141" s="26">
        <f ca="1">VLOOKUP(D138,'2 Sanitation'!$D$19:$J$38,5,FALSE)</f>
        <v>63273.174040696031</v>
      </c>
      <c r="G141" s="125"/>
    </row>
    <row r="142" spans="3:14" x14ac:dyDescent="0.55000000000000004">
      <c r="C142" s="124"/>
      <c r="D142" t="s">
        <v>370</v>
      </c>
      <c r="E142" s="99">
        <f ca="1">VLOOKUP(D138,'2 Sanitation'!$D$19:$J$38,6,FALSE)</f>
        <v>61459.500237438166</v>
      </c>
      <c r="G142" s="125"/>
    </row>
    <row r="143" spans="3:14" ht="14.7" thickBot="1" x14ac:dyDescent="0.6">
      <c r="C143" s="124"/>
      <c r="D143" s="1" t="s">
        <v>39</v>
      </c>
      <c r="E143" s="37">
        <f ca="1">VLOOKUP(D138,'2 Sanitation'!$D$19:$J$38,7,FALSE)</f>
        <v>124732.67427813419</v>
      </c>
      <c r="G143" s="125"/>
    </row>
    <row r="144" spans="3:14" ht="14.7" thickTop="1" x14ac:dyDescent="0.55000000000000004">
      <c r="C144" s="124"/>
      <c r="G144" s="125"/>
    </row>
    <row r="145" spans="3:7" x14ac:dyDescent="0.55000000000000004">
      <c r="C145" s="124"/>
      <c r="D145" t="s">
        <v>189</v>
      </c>
      <c r="E145" s="26">
        <f ca="1">IF(VLOOKUP(D138,'2 Sanitation'!$D$122:$K$141,7,FALSE)="",VLOOKUP(D138,'2 Sanitation'!$D$122:$K$141,6,FALSE),VLOOKUP(D138,'2 Sanitation'!$D$122:$K$141,7,FALSE))+VLOOKUP(D138,'2 Sanitation'!$D$153:$J$172,5,FALSE)</f>
        <v>0</v>
      </c>
      <c r="G145" s="125"/>
    </row>
    <row r="146" spans="3:7" x14ac:dyDescent="0.55000000000000004">
      <c r="C146" s="124"/>
      <c r="G146" s="125"/>
    </row>
    <row r="147" spans="3:7" x14ac:dyDescent="0.55000000000000004">
      <c r="C147" s="124"/>
      <c r="D147" t="s">
        <v>371</v>
      </c>
      <c r="E147" s="64">
        <f ca="1">IF(VLOOKUP(D138,'2 Sanitation'!$D$53:$M$72,5,FALSE)="",VLOOKUP(D138,'2 Sanitation'!$D$53:$M$72,4,FALSE),VLOOKUP(D138,'2 Sanitation'!$D$53:$M$72,5,FALSE))</f>
        <v>0</v>
      </c>
      <c r="G147" s="125"/>
    </row>
    <row r="148" spans="3:7" x14ac:dyDescent="0.55000000000000004">
      <c r="C148" s="124"/>
      <c r="D148" t="s">
        <v>372</v>
      </c>
      <c r="E148" s="26">
        <f ca="1">IF(VLOOKUP(D138,'2 Sanitation'!$D$53:$M$72,7,FALSE)="",VLOOKUP(D138,'2 Sanitation'!$D$53:$M$72,6,FALSE),VLOOKUP(D138,'2 Sanitation'!$D$53:$M$72,7,FALSE))</f>
        <v>18371.18021778225</v>
      </c>
      <c r="G148" s="125"/>
    </row>
    <row r="149" spans="3:7" x14ac:dyDescent="0.55000000000000004">
      <c r="C149" s="124"/>
      <c r="D149" t="s">
        <v>373</v>
      </c>
      <c r="E149" s="26">
        <f ca="1">IF(VLOOKUP(D138,'2 Sanitation'!$D$53:$M$72,9,FALSE)="",VLOOKUP(D138,'2 Sanitation'!$D$53:$M$72,8,FALSE),VLOOKUP(D138,'2 Sanitation'!$D$53:$M$72,9,FALSE))</f>
        <v>0</v>
      </c>
      <c r="G149" s="125"/>
    </row>
    <row r="150" spans="3:7" x14ac:dyDescent="0.55000000000000004">
      <c r="C150" s="124"/>
      <c r="D150" t="s">
        <v>374</v>
      </c>
      <c r="E150" s="26">
        <f ca="1">IF(VLOOKUP(D138,'2 Sanitation'!$D$88:$I$107,5,FALSE)="",VLOOKUP(D138,'2 Sanitation'!$D$88:$I$107,4,FALSE),VLOOKUP(D138,'2 Sanitation'!$D$88:$I$107,5,FALSE))</f>
        <v>27449.226402173015</v>
      </c>
      <c r="G150" s="125"/>
    </row>
    <row r="151" spans="3:7" ht="14.7" thickBot="1" x14ac:dyDescent="0.6">
      <c r="C151" s="124"/>
      <c r="D151" s="1" t="s">
        <v>145</v>
      </c>
      <c r="E151" s="37">
        <f ca="1">SUM(E147:E150)</f>
        <v>45820.406619955262</v>
      </c>
      <c r="G151" s="125"/>
    </row>
    <row r="152" spans="3:7" ht="14.7" thickTop="1" x14ac:dyDescent="0.55000000000000004">
      <c r="C152" s="124"/>
      <c r="D152" s="1"/>
      <c r="E152" s="15"/>
      <c r="G152" s="125"/>
    </row>
    <row r="153" spans="3:7" x14ac:dyDescent="0.55000000000000004">
      <c r="C153" s="124"/>
      <c r="D153" t="s">
        <v>384</v>
      </c>
      <c r="E153" s="26">
        <f ca="1">IF(VLOOKUP(D138,'2 Sanitation'!$D$122:$K$141,5,FALSE)="",VLOOKUP(D138,'2 Sanitation'!$D$122:$K$141,4,FALSE),VLOOKUP(D138,'2 Sanitation'!$D$122:$K$141,5,FALSE))+VLOOKUP(D138,'2 Sanitation'!$D$153:$J$172,7,FALSE)</f>
        <v>0</v>
      </c>
      <c r="G153" s="125"/>
    </row>
    <row r="154" spans="3:7" x14ac:dyDescent="0.55000000000000004">
      <c r="C154" s="124"/>
      <c r="G154" s="125"/>
    </row>
    <row r="155" spans="3:7" ht="14.7" thickBot="1" x14ac:dyDescent="0.6">
      <c r="C155" s="124"/>
      <c r="D155" s="1" t="s">
        <v>375</v>
      </c>
      <c r="E155" s="37">
        <f ca="1">VLOOKUP(D138,'2 Sanitation'!$D$153:$K$172,8,FALSE)</f>
        <v>78912.267658178927</v>
      </c>
      <c r="G155" s="125"/>
    </row>
    <row r="156" spans="3:7" ht="14.7" thickTop="1" x14ac:dyDescent="0.55000000000000004">
      <c r="C156" s="124"/>
      <c r="G156" s="125"/>
    </row>
    <row r="157" spans="3:7" x14ac:dyDescent="0.55000000000000004">
      <c r="C157" s="124"/>
      <c r="G157" s="125"/>
    </row>
    <row r="158" spans="3:7" x14ac:dyDescent="0.55000000000000004">
      <c r="C158" s="124"/>
      <c r="G158" s="125"/>
    </row>
    <row r="159" spans="3:7" x14ac:dyDescent="0.55000000000000004">
      <c r="C159" s="124"/>
      <c r="G159" s="125"/>
    </row>
    <row r="160" spans="3:7" x14ac:dyDescent="0.55000000000000004">
      <c r="C160" s="124"/>
      <c r="G160" s="125"/>
    </row>
    <row r="161" spans="3:11" x14ac:dyDescent="0.55000000000000004">
      <c r="C161" s="124"/>
      <c r="G161" s="125"/>
      <c r="I161" s="232" t="s">
        <v>385</v>
      </c>
    </row>
    <row r="162" spans="3:11" x14ac:dyDescent="0.55000000000000004">
      <c r="C162" s="124"/>
      <c r="G162" s="125"/>
      <c r="I162" s="110"/>
      <c r="J162" s="102" t="s">
        <v>390</v>
      </c>
      <c r="K162" s="102" t="s">
        <v>391</v>
      </c>
    </row>
    <row r="163" spans="3:11" x14ac:dyDescent="0.55000000000000004">
      <c r="C163" s="124"/>
      <c r="G163" s="125"/>
      <c r="I163" s="110" t="s">
        <v>369</v>
      </c>
      <c r="J163" s="100">
        <f ca="1">E141/1000</f>
        <v>63.273174040696034</v>
      </c>
      <c r="K163" s="102"/>
    </row>
    <row r="164" spans="3:11" x14ac:dyDescent="0.55000000000000004">
      <c r="C164" s="124"/>
      <c r="G164" s="125"/>
      <c r="I164" s="110" t="s">
        <v>370</v>
      </c>
      <c r="J164" s="100">
        <f ca="1">E142/1000</f>
        <v>61.459500237438164</v>
      </c>
      <c r="K164" s="110"/>
    </row>
    <row r="165" spans="3:11" x14ac:dyDescent="0.55000000000000004">
      <c r="C165" s="124"/>
      <c r="G165" s="125"/>
      <c r="I165" s="110" t="s">
        <v>471</v>
      </c>
      <c r="J165" s="100">
        <f ca="1">E145/1000</f>
        <v>0</v>
      </c>
      <c r="K165" s="110"/>
    </row>
    <row r="166" spans="3:11" x14ac:dyDescent="0.55000000000000004">
      <c r="C166" s="124"/>
      <c r="G166" s="125"/>
      <c r="I166" s="110" t="s">
        <v>563</v>
      </c>
      <c r="J166" s="100"/>
      <c r="K166" s="101">
        <f ca="1">E155/1000</f>
        <v>78.912267658178934</v>
      </c>
    </row>
    <row r="167" spans="3:11" x14ac:dyDescent="0.55000000000000004">
      <c r="C167" s="124"/>
      <c r="G167" s="125"/>
      <c r="I167" s="110" t="s">
        <v>564</v>
      </c>
      <c r="J167" s="100"/>
      <c r="K167" s="101">
        <f ca="1">E150/1000</f>
        <v>27.449226402173014</v>
      </c>
    </row>
    <row r="168" spans="3:11" x14ac:dyDescent="0.55000000000000004">
      <c r="C168" s="124"/>
      <c r="G168" s="125"/>
      <c r="I168" s="110" t="s">
        <v>565</v>
      </c>
      <c r="J168" s="100"/>
      <c r="K168" s="101">
        <f ca="1">SUM(E147:E149)/1000</f>
        <v>18.37118021778225</v>
      </c>
    </row>
    <row r="169" spans="3:11" x14ac:dyDescent="0.55000000000000004">
      <c r="C169" s="124"/>
      <c r="G169" s="125"/>
      <c r="I169" s="110" t="s">
        <v>566</v>
      </c>
      <c r="J169" s="100"/>
      <c r="K169" s="101">
        <f ca="1">E153/1000</f>
        <v>0</v>
      </c>
    </row>
    <row r="170" spans="3:11" x14ac:dyDescent="0.55000000000000004">
      <c r="C170" s="124"/>
      <c r="G170" s="125"/>
    </row>
    <row r="171" spans="3:11" x14ac:dyDescent="0.55000000000000004">
      <c r="C171" s="124"/>
      <c r="G171" s="125"/>
    </row>
    <row r="172" spans="3:11" x14ac:dyDescent="0.55000000000000004">
      <c r="C172" s="124"/>
      <c r="G172" s="125"/>
    </row>
    <row r="173" spans="3:11" x14ac:dyDescent="0.55000000000000004">
      <c r="C173" s="124"/>
      <c r="E173" s="220" t="s">
        <v>250</v>
      </c>
      <c r="G173" s="125"/>
    </row>
    <row r="174" spans="3:11" x14ac:dyDescent="0.55000000000000004">
      <c r="C174" s="124"/>
      <c r="D174" t="s">
        <v>376</v>
      </c>
      <c r="E174" s="64">
        <f ca="1">VLOOKUP(D138,'2 Sanitation'!$D$153:$M$172,10,FALSE)</f>
        <v>11.090827302505632</v>
      </c>
      <c r="G174" s="125"/>
    </row>
    <row r="175" spans="3:11" x14ac:dyDescent="0.55000000000000004">
      <c r="C175" s="124"/>
      <c r="D175" t="s">
        <v>377</v>
      </c>
      <c r="E175" s="64">
        <f ca="1">VLOOKUP(D138,'2 Sanitation'!$D$153:$M$172,9,FALSE)</f>
        <v>7.0166244547471166</v>
      </c>
      <c r="G175" s="125"/>
    </row>
    <row r="176" spans="3:11" x14ac:dyDescent="0.55000000000000004">
      <c r="C176" s="124"/>
      <c r="D176" t="s">
        <v>378</v>
      </c>
      <c r="E176" s="64">
        <f ca="1">IFERROR(IF(E145=0,E153,E145)/E143,0)</f>
        <v>0</v>
      </c>
      <c r="G176" s="125"/>
    </row>
    <row r="177" spans="3:13" x14ac:dyDescent="0.55000000000000004">
      <c r="C177" s="124"/>
      <c r="G177" s="125"/>
    </row>
    <row r="178" spans="3:13" x14ac:dyDescent="0.55000000000000004">
      <c r="C178" s="124"/>
      <c r="D178" t="s">
        <v>379</v>
      </c>
      <c r="E178" s="64">
        <f>'3 Sanitation'!H108</f>
        <v>0</v>
      </c>
      <c r="G178" s="125"/>
    </row>
    <row r="179" spans="3:13" x14ac:dyDescent="0.55000000000000004">
      <c r="C179" s="124"/>
      <c r="D179" t="s">
        <v>380</v>
      </c>
      <c r="E179" s="97">
        <f ca="1">IFERROR('3 Sanitation'!I108/'3 Sanitation'!F108,0)</f>
        <v>0</v>
      </c>
      <c r="G179" s="125"/>
    </row>
    <row r="180" spans="3:13" x14ac:dyDescent="0.55000000000000004">
      <c r="C180" s="124"/>
      <c r="G180" s="125"/>
    </row>
    <row r="181" spans="3:13" x14ac:dyDescent="0.55000000000000004">
      <c r="C181" s="124"/>
      <c r="D181" s="1" t="s">
        <v>381</v>
      </c>
      <c r="G181" s="125"/>
    </row>
    <row r="182" spans="3:13" x14ac:dyDescent="0.55000000000000004">
      <c r="C182" s="124"/>
      <c r="G182" s="125"/>
    </row>
    <row r="183" spans="3:13" x14ac:dyDescent="0.55000000000000004">
      <c r="C183" s="124"/>
      <c r="G183" s="125"/>
    </row>
    <row r="184" spans="3:13" ht="28.8" x14ac:dyDescent="0.55000000000000004">
      <c r="C184" s="124"/>
      <c r="G184" s="125"/>
      <c r="I184" s="229" t="s">
        <v>383</v>
      </c>
      <c r="J184" s="229" t="s">
        <v>382</v>
      </c>
      <c r="K184" s="229" t="s">
        <v>100</v>
      </c>
      <c r="L184" s="230" t="s">
        <v>392</v>
      </c>
      <c r="M184" s="233" t="s">
        <v>581</v>
      </c>
    </row>
    <row r="185" spans="3:13" x14ac:dyDescent="0.55000000000000004">
      <c r="C185" s="124"/>
      <c r="G185" s="125"/>
      <c r="I185" s="102">
        <v>1</v>
      </c>
      <c r="J185" s="102">
        <f>IFERROR(VLOOKUP(I185,'3 Sanitation'!$E$121:$L$130,4,FALSE),0)</f>
        <v>0</v>
      </c>
      <c r="K185" s="103">
        <f ca="1">IFERROR(VLOOKUP(I185,'3 Sanitation'!$E$121:$L$130,8,FALSE),0)</f>
        <v>7.0166244547471166</v>
      </c>
      <c r="L185" s="104">
        <f ca="1">$E$174</f>
        <v>11.090827302505632</v>
      </c>
      <c r="M185" s="105">
        <f ca="1">IFERROR('3 Sanitation'!H100/SUM('3 Sanitation'!K121:K130),0)</f>
        <v>5.4647806372834458</v>
      </c>
    </row>
    <row r="186" spans="3:13" x14ac:dyDescent="0.55000000000000004">
      <c r="C186" s="124"/>
      <c r="G186" s="125"/>
      <c r="I186" s="102">
        <v>2</v>
      </c>
      <c r="J186" s="102">
        <f>IFERROR(VLOOKUP(I186,'3 Sanitation'!$E$121:$L$130,4,FALSE),0)</f>
        <v>0</v>
      </c>
      <c r="K186" s="103">
        <f>IFERROR(VLOOKUP(I186,'3 Sanitation'!$E$121:$L$130,8,FALSE),0)</f>
        <v>0</v>
      </c>
      <c r="L186" s="104">
        <f t="shared" ref="L186:L194" ca="1" si="4">$E$174</f>
        <v>11.090827302505632</v>
      </c>
      <c r="M186" s="104">
        <f t="shared" ref="M186:M194" ca="1" si="5">$M$185</f>
        <v>5.4647806372834458</v>
      </c>
    </row>
    <row r="187" spans="3:13" x14ac:dyDescent="0.55000000000000004">
      <c r="C187" s="124"/>
      <c r="G187" s="125"/>
      <c r="I187" s="102">
        <v>3</v>
      </c>
      <c r="J187" s="102">
        <f>IFERROR(VLOOKUP(I187,'3 Sanitation'!$E$121:$L$130,4,FALSE),0)</f>
        <v>0</v>
      </c>
      <c r="K187" s="103">
        <f>IFERROR(VLOOKUP(I187,'3 Sanitation'!$E$121:$L$130,8,FALSE),0)</f>
        <v>0</v>
      </c>
      <c r="L187" s="104">
        <f t="shared" ca="1" si="4"/>
        <v>11.090827302505632</v>
      </c>
      <c r="M187" s="104">
        <f t="shared" ca="1" si="5"/>
        <v>5.4647806372834458</v>
      </c>
    </row>
    <row r="188" spans="3:13" x14ac:dyDescent="0.55000000000000004">
      <c r="C188" s="124"/>
      <c r="G188" s="125"/>
      <c r="I188" s="102">
        <v>4</v>
      </c>
      <c r="J188" s="102">
        <f>IFERROR(VLOOKUP(I188,'3 Sanitation'!$E$121:$L$130,4,FALSE),0)</f>
        <v>0</v>
      </c>
      <c r="K188" s="103">
        <f>IFERROR(VLOOKUP(I188,'3 Sanitation'!$E$121:$L$130,8,FALSE),0)</f>
        <v>0</v>
      </c>
      <c r="L188" s="104">
        <f t="shared" ca="1" si="4"/>
        <v>11.090827302505632</v>
      </c>
      <c r="M188" s="104">
        <f t="shared" ca="1" si="5"/>
        <v>5.4647806372834458</v>
      </c>
    </row>
    <row r="189" spans="3:13" x14ac:dyDescent="0.55000000000000004">
      <c r="C189" s="124"/>
      <c r="G189" s="125"/>
      <c r="I189" s="102">
        <v>5</v>
      </c>
      <c r="J189" s="102">
        <f>IFERROR(VLOOKUP(I189,'3 Sanitation'!$E$121:$L$130,4,FALSE),0)</f>
        <v>0</v>
      </c>
      <c r="K189" s="103">
        <f>IFERROR(VLOOKUP(I189,'3 Sanitation'!$E$121:$L$130,8,FALSE),0)</f>
        <v>0</v>
      </c>
      <c r="L189" s="104">
        <f t="shared" ca="1" si="4"/>
        <v>11.090827302505632</v>
      </c>
      <c r="M189" s="104">
        <f t="shared" ca="1" si="5"/>
        <v>5.4647806372834458</v>
      </c>
    </row>
    <row r="190" spans="3:13" x14ac:dyDescent="0.55000000000000004">
      <c r="C190" s="124"/>
      <c r="G190" s="125"/>
      <c r="I190" s="102">
        <v>6</v>
      </c>
      <c r="J190" s="102">
        <f>IFERROR(VLOOKUP(I190,'3 Sanitation'!$E$121:$L$130,4,FALSE),0)</f>
        <v>0</v>
      </c>
      <c r="K190" s="103">
        <f>IFERROR(VLOOKUP(I190,'3 Sanitation'!$E$121:$L$130,8,FALSE),0)</f>
        <v>0</v>
      </c>
      <c r="L190" s="104">
        <f t="shared" ca="1" si="4"/>
        <v>11.090827302505632</v>
      </c>
      <c r="M190" s="104">
        <f t="shared" ca="1" si="5"/>
        <v>5.4647806372834458</v>
      </c>
    </row>
    <row r="191" spans="3:13" x14ac:dyDescent="0.55000000000000004">
      <c r="C191" s="124"/>
      <c r="G191" s="125"/>
      <c r="I191" s="102">
        <v>7</v>
      </c>
      <c r="J191" s="102">
        <f>IFERROR(VLOOKUP(I191,'3 Sanitation'!$E$121:$L$130,4,FALSE),0)</f>
        <v>0</v>
      </c>
      <c r="K191" s="103">
        <f>IFERROR(VLOOKUP(I191,'3 Sanitation'!$E$121:$L$130,8,FALSE),0)</f>
        <v>0</v>
      </c>
      <c r="L191" s="104">
        <f t="shared" ca="1" si="4"/>
        <v>11.090827302505632</v>
      </c>
      <c r="M191" s="104">
        <f t="shared" ca="1" si="5"/>
        <v>5.4647806372834458</v>
      </c>
    </row>
    <row r="192" spans="3:13" x14ac:dyDescent="0.55000000000000004">
      <c r="C192" s="124"/>
      <c r="G192" s="125"/>
      <c r="I192" s="102">
        <v>8</v>
      </c>
      <c r="J192" s="102">
        <f>IFERROR(VLOOKUP(I192,'3 Sanitation'!$E$121:$L$130,4,FALSE),0)</f>
        <v>0</v>
      </c>
      <c r="K192" s="103">
        <f>IFERROR(VLOOKUP(I192,'3 Sanitation'!$E$121:$L$130,8,FALSE),0)</f>
        <v>0</v>
      </c>
      <c r="L192" s="104">
        <f t="shared" ca="1" si="4"/>
        <v>11.090827302505632</v>
      </c>
      <c r="M192" s="104">
        <f t="shared" ca="1" si="5"/>
        <v>5.4647806372834458</v>
      </c>
    </row>
    <row r="193" spans="3:13" x14ac:dyDescent="0.55000000000000004">
      <c r="C193" s="124"/>
      <c r="G193" s="125"/>
      <c r="I193" s="102">
        <v>9</v>
      </c>
      <c r="J193" s="102">
        <f>IFERROR(VLOOKUP(I193,'3 Sanitation'!$E$121:$L$130,4,FALSE),0)</f>
        <v>0</v>
      </c>
      <c r="K193" s="103">
        <f>IFERROR(VLOOKUP(I193,'3 Sanitation'!$E$121:$L$130,8,FALSE),0)</f>
        <v>0</v>
      </c>
      <c r="L193" s="104">
        <f t="shared" ca="1" si="4"/>
        <v>11.090827302505632</v>
      </c>
      <c r="M193" s="104">
        <f t="shared" ca="1" si="5"/>
        <v>5.4647806372834458</v>
      </c>
    </row>
    <row r="194" spans="3:13" x14ac:dyDescent="0.55000000000000004">
      <c r="C194" s="124"/>
      <c r="G194" s="125"/>
      <c r="I194" s="102">
        <v>10</v>
      </c>
      <c r="J194" s="102">
        <f>IFERROR(VLOOKUP(I194,'3 Sanitation'!$E$121:$L$130,4,FALSE),0)</f>
        <v>0</v>
      </c>
      <c r="K194" s="103">
        <f>IFERROR(VLOOKUP(I194,'3 Sanitation'!$E$121:$L$130,8,FALSE),0)</f>
        <v>0</v>
      </c>
      <c r="L194" s="104">
        <f t="shared" ca="1" si="4"/>
        <v>11.090827302505632</v>
      </c>
      <c r="M194" s="104">
        <f t="shared" ca="1" si="5"/>
        <v>5.4647806372834458</v>
      </c>
    </row>
    <row r="195" spans="3:13" x14ac:dyDescent="0.55000000000000004">
      <c r="C195" s="124"/>
      <c r="G195" s="125"/>
    </row>
    <row r="196" spans="3:13" x14ac:dyDescent="0.55000000000000004">
      <c r="C196" s="124"/>
      <c r="G196" s="125"/>
    </row>
    <row r="197" spans="3:13" x14ac:dyDescent="0.55000000000000004">
      <c r="C197" s="124"/>
      <c r="G197" s="125"/>
    </row>
    <row r="198" spans="3:13" x14ac:dyDescent="0.55000000000000004">
      <c r="C198" s="124"/>
      <c r="G198" s="125"/>
    </row>
    <row r="199" spans="3:13" ht="14.7" thickBot="1" x14ac:dyDescent="0.6">
      <c r="C199" s="130"/>
      <c r="D199" s="131"/>
      <c r="E199" s="131"/>
      <c r="F199" s="131"/>
      <c r="G199" s="132"/>
    </row>
    <row r="201" spans="3:13" ht="14.7" thickBot="1" x14ac:dyDescent="0.6"/>
    <row r="202" spans="3:13" x14ac:dyDescent="0.55000000000000004">
      <c r="C202" s="121"/>
      <c r="D202" s="122"/>
      <c r="E202" s="122"/>
      <c r="F202" s="122"/>
      <c r="G202" s="123"/>
    </row>
    <row r="203" spans="3:13" ht="15.6" x14ac:dyDescent="0.6">
      <c r="C203" s="124"/>
      <c r="D203" s="98" t="str">
        <f>'2 Customer data'!D60</f>
        <v>Safe Houses</v>
      </c>
      <c r="G203" s="125"/>
    </row>
    <row r="204" spans="3:13" x14ac:dyDescent="0.55000000000000004">
      <c r="C204" s="124"/>
      <c r="G204" s="125"/>
    </row>
    <row r="205" spans="3:13" x14ac:dyDescent="0.55000000000000004">
      <c r="C205" s="124"/>
      <c r="E205" s="220" t="s">
        <v>250</v>
      </c>
      <c r="G205" s="125"/>
    </row>
    <row r="206" spans="3:13" x14ac:dyDescent="0.55000000000000004">
      <c r="C206" s="124"/>
      <c r="D206" t="s">
        <v>369</v>
      </c>
      <c r="E206" s="26">
        <f ca="1">VLOOKUP(D203,'2 Sanitation'!$D$19:$J$38,5,FALSE)</f>
        <v>11165.854242475769</v>
      </c>
      <c r="G206" s="125"/>
    </row>
    <row r="207" spans="3:13" x14ac:dyDescent="0.55000000000000004">
      <c r="C207" s="124"/>
      <c r="D207" t="s">
        <v>370</v>
      </c>
      <c r="E207" s="99">
        <f ca="1">VLOOKUP(D203,'2 Sanitation'!$D$19:$J$38,6,FALSE)</f>
        <v>14433.789559725634</v>
      </c>
      <c r="G207" s="125"/>
    </row>
    <row r="208" spans="3:13" ht="14.7" thickBot="1" x14ac:dyDescent="0.6">
      <c r="C208" s="124"/>
      <c r="D208" s="1" t="s">
        <v>39</v>
      </c>
      <c r="E208" s="37">
        <f ca="1">VLOOKUP(D203,'2 Sanitation'!$D$19:$J$38,7,FALSE)</f>
        <v>25599.643802201404</v>
      </c>
      <c r="G208" s="125"/>
    </row>
    <row r="209" spans="3:7" ht="14.7" thickTop="1" x14ac:dyDescent="0.55000000000000004">
      <c r="C209" s="124"/>
      <c r="G209" s="125"/>
    </row>
    <row r="210" spans="3:7" x14ac:dyDescent="0.55000000000000004">
      <c r="C210" s="124"/>
      <c r="D210" t="s">
        <v>189</v>
      </c>
      <c r="E210" s="26">
        <f ca="1">IF(VLOOKUP(D203,'2 Sanitation'!$D$122:$K$141,7,FALSE)="",VLOOKUP(D203,'2 Sanitation'!$D$122:$K$141,6,FALSE),VLOOKUP(D203,'2 Sanitation'!$D$122:$K$141,7,FALSE))+VLOOKUP(D203,'2 Sanitation'!$D$153:$J$172,5,FALSE)</f>
        <v>0</v>
      </c>
      <c r="G210" s="125"/>
    </row>
    <row r="211" spans="3:7" x14ac:dyDescent="0.55000000000000004">
      <c r="C211" s="124"/>
      <c r="G211" s="125"/>
    </row>
    <row r="212" spans="3:7" x14ac:dyDescent="0.55000000000000004">
      <c r="C212" s="124"/>
      <c r="D212" t="s">
        <v>371</v>
      </c>
      <c r="E212" s="64">
        <f ca="1">IF(VLOOKUP(D203,'2 Sanitation'!$D$53:$M$72,5,FALSE)="",VLOOKUP(D203,'2 Sanitation'!$D$53:$M$72,4,FALSE),VLOOKUP(D203,'2 Sanitation'!$D$53:$M$72,5,FALSE))</f>
        <v>0</v>
      </c>
      <c r="G212" s="125"/>
    </row>
    <row r="213" spans="3:7" x14ac:dyDescent="0.55000000000000004">
      <c r="C213" s="124"/>
      <c r="D213" t="s">
        <v>372</v>
      </c>
      <c r="E213" s="26">
        <f ca="1">IF(VLOOKUP(D203,'2 Sanitation'!$D$53:$M$72,7,FALSE)="",VLOOKUP(D203,'2 Sanitation'!$D$53:$M$72,6,FALSE),VLOOKUP(D203,'2 Sanitation'!$D$53:$M$72,7,FALSE))</f>
        <v>3770.4288192570079</v>
      </c>
      <c r="G213" s="125"/>
    </row>
    <row r="214" spans="3:7" x14ac:dyDescent="0.55000000000000004">
      <c r="C214" s="124"/>
      <c r="D214" t="s">
        <v>373</v>
      </c>
      <c r="E214" s="26">
        <f ca="1">IF(VLOOKUP(D203,'2 Sanitation'!$D$53:$M$72,9,FALSE)="",VLOOKUP(D203,'2 Sanitation'!$D$53:$M$72,8,FALSE),VLOOKUP(D203,'2 Sanitation'!$D$53:$M$72,9,FALSE))</f>
        <v>0</v>
      </c>
      <c r="G214" s="125"/>
    </row>
    <row r="215" spans="3:7" x14ac:dyDescent="0.55000000000000004">
      <c r="C215" s="124"/>
      <c r="D215" t="s">
        <v>374</v>
      </c>
      <c r="E215" s="26">
        <f ca="1">IF(VLOOKUP(D203,'2 Sanitation'!$D$88:$I$107,5,FALSE)="",VLOOKUP(D203,'2 Sanitation'!$D$88:$I$107,4,FALSE),VLOOKUP(D203,'2 Sanitation'!$D$88:$I$107,5,FALSE))</f>
        <v>5633.5713365266483</v>
      </c>
      <c r="G215" s="125"/>
    </row>
    <row r="216" spans="3:7" ht="14.7" thickBot="1" x14ac:dyDescent="0.6">
      <c r="C216" s="124"/>
      <c r="D216" s="1" t="s">
        <v>145</v>
      </c>
      <c r="E216" s="37">
        <f ca="1">SUM(E212:E215)</f>
        <v>9404.0001557836567</v>
      </c>
      <c r="G216" s="125"/>
    </row>
    <row r="217" spans="3:7" ht="14.7" thickTop="1" x14ac:dyDescent="0.55000000000000004">
      <c r="C217" s="124"/>
      <c r="D217" s="1"/>
      <c r="E217" s="15"/>
      <c r="G217" s="125"/>
    </row>
    <row r="218" spans="3:7" x14ac:dyDescent="0.55000000000000004">
      <c r="C218" s="124"/>
      <c r="D218" t="s">
        <v>384</v>
      </c>
      <c r="E218" s="26">
        <f ca="1">IF(VLOOKUP(D203,'2 Sanitation'!$D$122:$K$141,5,FALSE)="",VLOOKUP(D203,'2 Sanitation'!$D$122:$K$141,4,FALSE),VLOOKUP(D203,'2 Sanitation'!$D$122:$K$141,5,FALSE))+VLOOKUP(D203,'2 Sanitation'!$D$153:$J$172,7,FALSE)</f>
        <v>0</v>
      </c>
      <c r="G218" s="125"/>
    </row>
    <row r="219" spans="3:7" x14ac:dyDescent="0.55000000000000004">
      <c r="C219" s="124"/>
      <c r="G219" s="125"/>
    </row>
    <row r="220" spans="3:7" ht="14.7" thickBot="1" x14ac:dyDescent="0.6">
      <c r="C220" s="124"/>
      <c r="D220" s="1" t="s">
        <v>375</v>
      </c>
      <c r="E220" s="37">
        <f ca="1">VLOOKUP(D203,'2 Sanitation'!$D$153:$K$172,8,FALSE)</f>
        <v>16195.643646417746</v>
      </c>
      <c r="G220" s="125"/>
    </row>
    <row r="221" spans="3:7" ht="14.7" thickTop="1" x14ac:dyDescent="0.55000000000000004">
      <c r="C221" s="124"/>
      <c r="G221" s="125"/>
    </row>
    <row r="222" spans="3:7" x14ac:dyDescent="0.55000000000000004">
      <c r="C222" s="124"/>
      <c r="G222" s="125"/>
    </row>
    <row r="223" spans="3:7" x14ac:dyDescent="0.55000000000000004">
      <c r="C223" s="124"/>
      <c r="G223" s="125"/>
    </row>
    <row r="224" spans="3:7" x14ac:dyDescent="0.55000000000000004">
      <c r="C224" s="124"/>
      <c r="G224" s="125"/>
    </row>
    <row r="225" spans="3:11" x14ac:dyDescent="0.55000000000000004">
      <c r="C225" s="124"/>
      <c r="G225" s="125"/>
    </row>
    <row r="226" spans="3:11" x14ac:dyDescent="0.55000000000000004">
      <c r="C226" s="124"/>
      <c r="G226" s="125"/>
      <c r="I226" s="232" t="s">
        <v>385</v>
      </c>
    </row>
    <row r="227" spans="3:11" x14ac:dyDescent="0.55000000000000004">
      <c r="C227" s="124"/>
      <c r="G227" s="125"/>
      <c r="I227" s="110"/>
      <c r="J227" s="102" t="s">
        <v>390</v>
      </c>
      <c r="K227" s="102" t="s">
        <v>391</v>
      </c>
    </row>
    <row r="228" spans="3:11" x14ac:dyDescent="0.55000000000000004">
      <c r="C228" s="124"/>
      <c r="G228" s="125"/>
      <c r="I228" s="110" t="s">
        <v>369</v>
      </c>
      <c r="J228" s="100">
        <f ca="1">E206/1000</f>
        <v>11.165854242475769</v>
      </c>
      <c r="K228" s="102"/>
    </row>
    <row r="229" spans="3:11" x14ac:dyDescent="0.55000000000000004">
      <c r="C229" s="124"/>
      <c r="G229" s="125"/>
      <c r="I229" s="110" t="s">
        <v>370</v>
      </c>
      <c r="J229" s="100">
        <f ca="1">E207/1000</f>
        <v>14.433789559725634</v>
      </c>
      <c r="K229" s="110"/>
    </row>
    <row r="230" spans="3:11" x14ac:dyDescent="0.55000000000000004">
      <c r="C230" s="124"/>
      <c r="G230" s="125"/>
      <c r="I230" s="110" t="s">
        <v>471</v>
      </c>
      <c r="J230" s="100">
        <f ca="1">E210/1000</f>
        <v>0</v>
      </c>
      <c r="K230" s="110"/>
    </row>
    <row r="231" spans="3:11" x14ac:dyDescent="0.55000000000000004">
      <c r="C231" s="124"/>
      <c r="G231" s="125"/>
      <c r="I231" s="110" t="s">
        <v>563</v>
      </c>
      <c r="J231" s="100"/>
      <c r="K231" s="101">
        <f ca="1">E220/1000</f>
        <v>16.195643646417746</v>
      </c>
    </row>
    <row r="232" spans="3:11" x14ac:dyDescent="0.55000000000000004">
      <c r="C232" s="124"/>
      <c r="G232" s="125"/>
      <c r="I232" s="110" t="s">
        <v>564</v>
      </c>
      <c r="J232" s="100"/>
      <c r="K232" s="101">
        <f ca="1">E215/1000</f>
        <v>5.6335713365266482</v>
      </c>
    </row>
    <row r="233" spans="3:11" x14ac:dyDescent="0.55000000000000004">
      <c r="C233" s="124"/>
      <c r="G233" s="125"/>
      <c r="I233" s="110" t="s">
        <v>565</v>
      </c>
      <c r="J233" s="100"/>
      <c r="K233" s="101">
        <f ca="1">SUM(E212:E214)/1000</f>
        <v>3.7704288192570079</v>
      </c>
    </row>
    <row r="234" spans="3:11" x14ac:dyDescent="0.55000000000000004">
      <c r="C234" s="124"/>
      <c r="G234" s="125"/>
      <c r="I234" s="110" t="s">
        <v>566</v>
      </c>
      <c r="J234" s="100"/>
      <c r="K234" s="101">
        <f ca="1">E218/1000</f>
        <v>0</v>
      </c>
    </row>
    <row r="235" spans="3:11" x14ac:dyDescent="0.55000000000000004">
      <c r="C235" s="124"/>
      <c r="G235" s="125"/>
    </row>
    <row r="236" spans="3:11" x14ac:dyDescent="0.55000000000000004">
      <c r="C236" s="124"/>
      <c r="G236" s="125"/>
    </row>
    <row r="237" spans="3:11" x14ac:dyDescent="0.55000000000000004">
      <c r="C237" s="124"/>
      <c r="G237" s="125"/>
    </row>
    <row r="238" spans="3:11" x14ac:dyDescent="0.55000000000000004">
      <c r="C238" s="124"/>
      <c r="E238" s="220" t="s">
        <v>250</v>
      </c>
      <c r="G238" s="125"/>
    </row>
    <row r="239" spans="3:11" x14ac:dyDescent="0.55000000000000004">
      <c r="C239" s="124"/>
      <c r="D239" t="s">
        <v>376</v>
      </c>
      <c r="E239" s="64">
        <f ca="1">VLOOKUP(D203,'2 Sanitation'!$D$153:$M$172,10,FALSE)</f>
        <v>9.6922874753539521</v>
      </c>
      <c r="G239" s="125"/>
    </row>
    <row r="240" spans="3:11" x14ac:dyDescent="0.55000000000000004">
      <c r="C240" s="124"/>
      <c r="D240" t="s">
        <v>377</v>
      </c>
      <c r="E240" s="64">
        <f ca="1">VLOOKUP(D203,'2 Sanitation'!$D$153:$M$172,9,FALSE)</f>
        <v>6.1318366490697764</v>
      </c>
      <c r="G240" s="125"/>
    </row>
    <row r="241" spans="3:13" x14ac:dyDescent="0.55000000000000004">
      <c r="C241" s="124"/>
      <c r="D241" t="s">
        <v>378</v>
      </c>
      <c r="E241" s="64">
        <f ca="1">IFERROR(IF(E210=0,E218,E210)/E208,0)</f>
        <v>0</v>
      </c>
      <c r="G241" s="125"/>
    </row>
    <row r="242" spans="3:13" x14ac:dyDescent="0.55000000000000004">
      <c r="C242" s="124"/>
      <c r="G242" s="125"/>
    </row>
    <row r="243" spans="3:13" x14ac:dyDescent="0.55000000000000004">
      <c r="C243" s="124"/>
      <c r="D243" t="s">
        <v>379</v>
      </c>
      <c r="E243" s="64">
        <f>'3 Sanitation'!H149</f>
        <v>0</v>
      </c>
      <c r="G243" s="125"/>
    </row>
    <row r="244" spans="3:13" x14ac:dyDescent="0.55000000000000004">
      <c r="C244" s="124"/>
      <c r="D244" t="s">
        <v>380</v>
      </c>
      <c r="E244" s="97">
        <f ca="1">IFERROR('3 Sanitation'!I149/'3 Sanitation'!F149,0)</f>
        <v>0</v>
      </c>
      <c r="G244" s="125"/>
    </row>
    <row r="245" spans="3:13" x14ac:dyDescent="0.55000000000000004">
      <c r="C245" s="124"/>
      <c r="G245" s="125"/>
    </row>
    <row r="246" spans="3:13" x14ac:dyDescent="0.55000000000000004">
      <c r="C246" s="124"/>
      <c r="D246" s="1" t="s">
        <v>381</v>
      </c>
      <c r="G246" s="125"/>
    </row>
    <row r="247" spans="3:13" x14ac:dyDescent="0.55000000000000004">
      <c r="C247" s="124"/>
      <c r="G247" s="125"/>
    </row>
    <row r="248" spans="3:13" x14ac:dyDescent="0.55000000000000004">
      <c r="C248" s="124"/>
      <c r="G248" s="125"/>
    </row>
    <row r="249" spans="3:13" ht="28.8" x14ac:dyDescent="0.55000000000000004">
      <c r="C249" s="124"/>
      <c r="G249" s="125"/>
      <c r="I249" s="229" t="s">
        <v>383</v>
      </c>
      <c r="J249" s="229" t="s">
        <v>382</v>
      </c>
      <c r="K249" s="229" t="s">
        <v>100</v>
      </c>
      <c r="L249" s="230" t="s">
        <v>392</v>
      </c>
      <c r="M249" s="233" t="s">
        <v>581</v>
      </c>
    </row>
    <row r="250" spans="3:13" x14ac:dyDescent="0.55000000000000004">
      <c r="C250" s="124"/>
      <c r="G250" s="125"/>
      <c r="I250" s="102">
        <v>1</v>
      </c>
      <c r="J250" s="102">
        <f>IFERROR(VLOOKUP(I250,'3 Sanitation'!$E$162:$L$171,4,FALSE),0)</f>
        <v>0</v>
      </c>
      <c r="K250" s="103">
        <f ca="1">IFERROR(VLOOKUP(I250,'3 Sanitation'!$E$162:$L$171,8,FALSE),0)</f>
        <v>6.1318366490697764</v>
      </c>
      <c r="L250" s="104">
        <f ca="1">$E$239</f>
        <v>9.6922874753539521</v>
      </c>
      <c r="M250" s="105">
        <f ca="1">IFERROR('3 Sanitation'!H141/SUM('3 Sanitation'!K162:K171),0)</f>
        <v>5.4647806372834458</v>
      </c>
    </row>
    <row r="251" spans="3:13" x14ac:dyDescent="0.55000000000000004">
      <c r="C251" s="124"/>
      <c r="G251" s="125"/>
      <c r="I251" s="102">
        <v>2</v>
      </c>
      <c r="J251" s="102">
        <f>IFERROR(VLOOKUP(I251,'3 Sanitation'!$E$162:$L$171,4,FALSE),0)</f>
        <v>0</v>
      </c>
      <c r="K251" s="103">
        <f>IFERROR(VLOOKUP(I251,'3 Sanitation'!$E$162:$L$171,8,FALSE),0)</f>
        <v>0</v>
      </c>
      <c r="L251" s="104">
        <f t="shared" ref="L251:L259" ca="1" si="6">$E$239</f>
        <v>9.6922874753539521</v>
      </c>
      <c r="M251" s="104">
        <f ca="1">$M$250</f>
        <v>5.4647806372834458</v>
      </c>
    </row>
    <row r="252" spans="3:13" x14ac:dyDescent="0.55000000000000004">
      <c r="C252" s="124"/>
      <c r="G252" s="125"/>
      <c r="I252" s="102">
        <v>3</v>
      </c>
      <c r="J252" s="102">
        <f>IFERROR(VLOOKUP(I252,'3 Sanitation'!$E$162:$L$171,4,FALSE),0)</f>
        <v>0</v>
      </c>
      <c r="K252" s="103">
        <f>IFERROR(VLOOKUP(I252,'3 Sanitation'!$E$162:$L$171,8,FALSE),0)</f>
        <v>0</v>
      </c>
      <c r="L252" s="104">
        <f t="shared" ca="1" si="6"/>
        <v>9.6922874753539521</v>
      </c>
      <c r="M252" s="104">
        <f t="shared" ref="M252:M259" ca="1" si="7">$M$250</f>
        <v>5.4647806372834458</v>
      </c>
    </row>
    <row r="253" spans="3:13" x14ac:dyDescent="0.55000000000000004">
      <c r="C253" s="124"/>
      <c r="G253" s="125"/>
      <c r="I253" s="102">
        <v>4</v>
      </c>
      <c r="J253" s="102">
        <f>IFERROR(VLOOKUP(I253,'3 Sanitation'!$E$162:$L$171,4,FALSE),0)</f>
        <v>0</v>
      </c>
      <c r="K253" s="103">
        <f>IFERROR(VLOOKUP(I253,'3 Sanitation'!$E$162:$L$171,8,FALSE),0)</f>
        <v>0</v>
      </c>
      <c r="L253" s="104">
        <f t="shared" ca="1" si="6"/>
        <v>9.6922874753539521</v>
      </c>
      <c r="M253" s="104">
        <f t="shared" ca="1" si="7"/>
        <v>5.4647806372834458</v>
      </c>
    </row>
    <row r="254" spans="3:13" x14ac:dyDescent="0.55000000000000004">
      <c r="C254" s="124"/>
      <c r="G254" s="125"/>
      <c r="I254" s="102">
        <v>5</v>
      </c>
      <c r="J254" s="102">
        <f>IFERROR(VLOOKUP(I254,'3 Sanitation'!$E$162:$L$171,4,FALSE),0)</f>
        <v>0</v>
      </c>
      <c r="K254" s="103">
        <f>IFERROR(VLOOKUP(I254,'3 Sanitation'!$E$162:$L$171,8,FALSE),0)</f>
        <v>0</v>
      </c>
      <c r="L254" s="104">
        <f t="shared" ca="1" si="6"/>
        <v>9.6922874753539521</v>
      </c>
      <c r="M254" s="104">
        <f t="shared" ca="1" si="7"/>
        <v>5.4647806372834458</v>
      </c>
    </row>
    <row r="255" spans="3:13" x14ac:dyDescent="0.55000000000000004">
      <c r="C255" s="124"/>
      <c r="G255" s="125"/>
      <c r="I255" s="102">
        <v>6</v>
      </c>
      <c r="J255" s="102">
        <f>IFERROR(VLOOKUP(I255,'3 Sanitation'!$E$162:$L$171,4,FALSE),0)</f>
        <v>0</v>
      </c>
      <c r="K255" s="103">
        <f>IFERROR(VLOOKUP(I255,'3 Sanitation'!$E$162:$L$171,8,FALSE),0)</f>
        <v>0</v>
      </c>
      <c r="L255" s="104">
        <f t="shared" ca="1" si="6"/>
        <v>9.6922874753539521</v>
      </c>
      <c r="M255" s="104">
        <f t="shared" ca="1" si="7"/>
        <v>5.4647806372834458</v>
      </c>
    </row>
    <row r="256" spans="3:13" x14ac:dyDescent="0.55000000000000004">
      <c r="C256" s="124"/>
      <c r="G256" s="125"/>
      <c r="I256" s="102">
        <v>7</v>
      </c>
      <c r="J256" s="102">
        <f>IFERROR(VLOOKUP(I256,'3 Sanitation'!$E$162:$L$171,4,FALSE),0)</f>
        <v>0</v>
      </c>
      <c r="K256" s="103">
        <f>IFERROR(VLOOKUP(I256,'3 Sanitation'!$E$162:$L$171,8,FALSE),0)</f>
        <v>0</v>
      </c>
      <c r="L256" s="104">
        <f t="shared" ca="1" si="6"/>
        <v>9.6922874753539521</v>
      </c>
      <c r="M256" s="104">
        <f t="shared" ca="1" si="7"/>
        <v>5.4647806372834458</v>
      </c>
    </row>
    <row r="257" spans="3:13" x14ac:dyDescent="0.55000000000000004">
      <c r="C257" s="124"/>
      <c r="G257" s="125"/>
      <c r="I257" s="102">
        <v>8</v>
      </c>
      <c r="J257" s="102">
        <f>IFERROR(VLOOKUP(I257,'3 Sanitation'!$E$162:$L$171,4,FALSE),0)</f>
        <v>0</v>
      </c>
      <c r="K257" s="103">
        <f>IFERROR(VLOOKUP(I257,'3 Sanitation'!$E$162:$L$171,8,FALSE),0)</f>
        <v>0</v>
      </c>
      <c r="L257" s="104">
        <f t="shared" ca="1" si="6"/>
        <v>9.6922874753539521</v>
      </c>
      <c r="M257" s="104">
        <f t="shared" ca="1" si="7"/>
        <v>5.4647806372834458</v>
      </c>
    </row>
    <row r="258" spans="3:13" x14ac:dyDescent="0.55000000000000004">
      <c r="C258" s="124"/>
      <c r="G258" s="125"/>
      <c r="I258" s="102">
        <v>9</v>
      </c>
      <c r="J258" s="102">
        <f>IFERROR(VLOOKUP(I258,'3 Sanitation'!$E$162:$L$171,4,FALSE),0)</f>
        <v>0</v>
      </c>
      <c r="K258" s="103">
        <f>IFERROR(VLOOKUP(I258,'3 Sanitation'!$E$162:$L$171,8,FALSE),0)</f>
        <v>0</v>
      </c>
      <c r="L258" s="104">
        <f t="shared" ca="1" si="6"/>
        <v>9.6922874753539521</v>
      </c>
      <c r="M258" s="104">
        <f t="shared" ca="1" si="7"/>
        <v>5.4647806372834458</v>
      </c>
    </row>
    <row r="259" spans="3:13" x14ac:dyDescent="0.55000000000000004">
      <c r="C259" s="124"/>
      <c r="G259" s="125"/>
      <c r="I259" s="102">
        <v>10</v>
      </c>
      <c r="J259" s="102">
        <f>IFERROR(VLOOKUP(I259,'3 Sanitation'!$E$162:$L$171,4,FALSE),0)</f>
        <v>0</v>
      </c>
      <c r="K259" s="103">
        <f>IFERROR(VLOOKUP(I259,'3 Sanitation'!$E$162:$L$171,8,FALSE),0)</f>
        <v>0</v>
      </c>
      <c r="L259" s="104">
        <f t="shared" ca="1" si="6"/>
        <v>9.6922874753539521</v>
      </c>
      <c r="M259" s="104">
        <f t="shared" ca="1" si="7"/>
        <v>5.4647806372834458</v>
      </c>
    </row>
    <row r="260" spans="3:13" x14ac:dyDescent="0.55000000000000004">
      <c r="C260" s="124"/>
      <c r="G260" s="125"/>
    </row>
    <row r="261" spans="3:13" x14ac:dyDescent="0.55000000000000004">
      <c r="C261" s="124"/>
      <c r="G261" s="125"/>
    </row>
    <row r="262" spans="3:13" x14ac:dyDescent="0.55000000000000004">
      <c r="C262" s="124"/>
      <c r="G262" s="125"/>
    </row>
    <row r="263" spans="3:13" x14ac:dyDescent="0.55000000000000004">
      <c r="C263" s="124"/>
      <c r="G263" s="125"/>
    </row>
    <row r="264" spans="3:13" ht="14.7" thickBot="1" x14ac:dyDescent="0.6">
      <c r="C264" s="130"/>
      <c r="D264" s="131"/>
      <c r="E264" s="131"/>
      <c r="F264" s="131"/>
      <c r="G264" s="132"/>
    </row>
    <row r="266" spans="3:13" ht="14.7" thickBot="1" x14ac:dyDescent="0.6"/>
    <row r="267" spans="3:13" x14ac:dyDescent="0.55000000000000004">
      <c r="C267" s="121"/>
      <c r="D267" s="122"/>
      <c r="E267" s="122"/>
      <c r="F267" s="122"/>
      <c r="G267" s="123"/>
    </row>
    <row r="268" spans="3:13" ht="15.6" x14ac:dyDescent="0.6">
      <c r="C268" s="124"/>
      <c r="D268" s="98" t="str">
        <f>'2 Customer data'!D61</f>
        <v>Schools</v>
      </c>
      <c r="G268" s="125"/>
    </row>
    <row r="269" spans="3:13" x14ac:dyDescent="0.55000000000000004">
      <c r="C269" s="124"/>
      <c r="G269" s="125"/>
    </row>
    <row r="270" spans="3:13" x14ac:dyDescent="0.55000000000000004">
      <c r="C270" s="124"/>
      <c r="E270" s="220" t="s">
        <v>250</v>
      </c>
      <c r="G270" s="125"/>
    </row>
    <row r="271" spans="3:13" x14ac:dyDescent="0.55000000000000004">
      <c r="C271" s="124"/>
      <c r="D271" t="s">
        <v>369</v>
      </c>
      <c r="E271" s="26">
        <f ca="1">VLOOKUP(D268,'2 Sanitation'!$D$19:$J$38,5,FALSE)</f>
        <v>219595.13343535681</v>
      </c>
      <c r="G271" s="125"/>
    </row>
    <row r="272" spans="3:13" x14ac:dyDescent="0.55000000000000004">
      <c r="C272" s="124"/>
      <c r="D272" t="s">
        <v>370</v>
      </c>
      <c r="E272" s="99">
        <f ca="1">VLOOKUP(D268,'2 Sanitation'!$D$19:$J$38,6,FALSE)</f>
        <v>335662.21556422376</v>
      </c>
      <c r="G272" s="125"/>
    </row>
    <row r="273" spans="3:7" ht="14.7" thickBot="1" x14ac:dyDescent="0.6">
      <c r="C273" s="124"/>
      <c r="D273" s="1" t="s">
        <v>39</v>
      </c>
      <c r="E273" s="37">
        <f ca="1">VLOOKUP(D268,'2 Sanitation'!$D$19:$J$38,7,FALSE)</f>
        <v>555257.3489995806</v>
      </c>
      <c r="G273" s="125"/>
    </row>
    <row r="274" spans="3:7" ht="14.7" thickTop="1" x14ac:dyDescent="0.55000000000000004">
      <c r="C274" s="124"/>
      <c r="G274" s="125"/>
    </row>
    <row r="275" spans="3:7" x14ac:dyDescent="0.55000000000000004">
      <c r="C275" s="124"/>
      <c r="D275" t="s">
        <v>189</v>
      </c>
      <c r="E275" s="26">
        <f ca="1">IF(VLOOKUP(D268,'2 Sanitation'!$D$122:$K$141,7,FALSE)="",VLOOKUP(D268,'2 Sanitation'!$D$122:$K$141,6,FALSE),VLOOKUP(D268,'2 Sanitation'!$D$122:$K$141,7,FALSE))+VLOOKUP(D268,'2 Sanitation'!$D$153:$J$172,5,FALSE)</f>
        <v>0</v>
      </c>
      <c r="G275" s="125"/>
    </row>
    <row r="276" spans="3:7" x14ac:dyDescent="0.55000000000000004">
      <c r="C276" s="124"/>
      <c r="G276" s="125"/>
    </row>
    <row r="277" spans="3:7" x14ac:dyDescent="0.55000000000000004">
      <c r="C277" s="124"/>
      <c r="D277" t="s">
        <v>371</v>
      </c>
      <c r="E277" s="64">
        <f ca="1">IF(VLOOKUP(D268,'2 Sanitation'!$D$53:$M$72,5,FALSE)="",VLOOKUP(D268,'2 Sanitation'!$D$53:$M$72,4,FALSE),VLOOKUP(D268,'2 Sanitation'!$D$53:$M$72,5,FALSE))</f>
        <v>0</v>
      </c>
      <c r="G277" s="125"/>
    </row>
    <row r="278" spans="3:7" x14ac:dyDescent="0.55000000000000004">
      <c r="C278" s="124"/>
      <c r="D278" t="s">
        <v>372</v>
      </c>
      <c r="E278" s="26">
        <f ca="1">IF(VLOOKUP(D268,'2 Sanitation'!$D$53:$M$72,7,FALSE)="",VLOOKUP(D268,'2 Sanitation'!$D$53:$M$72,6,FALSE),VLOOKUP(D268,'2 Sanitation'!$D$53:$M$72,7,FALSE))</f>
        <v>81780.75941010681</v>
      </c>
      <c r="G278" s="125"/>
    </row>
    <row r="279" spans="3:7" x14ac:dyDescent="0.55000000000000004">
      <c r="C279" s="124"/>
      <c r="D279" t="s">
        <v>373</v>
      </c>
      <c r="E279" s="26">
        <f ca="1">IF(VLOOKUP(D268,'2 Sanitation'!$D$53:$M$72,9,FALSE)="",VLOOKUP(D268,'2 Sanitation'!$D$53:$M$72,8,FALSE),VLOOKUP(D268,'2 Sanitation'!$D$53:$M$72,9,FALSE))</f>
        <v>0</v>
      </c>
      <c r="G279" s="125"/>
    </row>
    <row r="280" spans="3:7" x14ac:dyDescent="0.55000000000000004">
      <c r="C280" s="124"/>
      <c r="D280" t="s">
        <v>374</v>
      </c>
      <c r="E280" s="26">
        <f ca="1">IF(VLOOKUP(D268,'2 Sanitation'!$D$88:$I$107,5,FALSE)="",VLOOKUP(D268,'2 Sanitation'!$D$88:$I$107,4,FALSE),VLOOKUP(D268,'2 Sanitation'!$D$88:$I$107,5,FALSE))</f>
        <v>0</v>
      </c>
      <c r="G280" s="125"/>
    </row>
    <row r="281" spans="3:7" ht="14.7" thickBot="1" x14ac:dyDescent="0.6">
      <c r="C281" s="124"/>
      <c r="D281" s="1" t="s">
        <v>145</v>
      </c>
      <c r="E281" s="37">
        <f ca="1">SUM(E277:E280)</f>
        <v>81780.75941010681</v>
      </c>
      <c r="G281" s="125"/>
    </row>
    <row r="282" spans="3:7" ht="14.7" thickTop="1" x14ac:dyDescent="0.55000000000000004">
      <c r="C282" s="124"/>
      <c r="D282" s="1"/>
      <c r="E282" s="15"/>
      <c r="G282" s="125"/>
    </row>
    <row r="283" spans="3:7" x14ac:dyDescent="0.55000000000000004">
      <c r="C283" s="124"/>
      <c r="D283" t="s">
        <v>384</v>
      </c>
      <c r="E283" s="26">
        <f ca="1">IF(VLOOKUP(D268,'2 Sanitation'!$D$122:$K$141,5,FALSE)="",VLOOKUP(D268,'2 Sanitation'!$D$122:$K$141,4,FALSE),VLOOKUP(D268,'2 Sanitation'!$D$122:$K$141,5,FALSE))+VLOOKUP(D268,'2 Sanitation'!$D$153:$J$172,7,FALSE)</f>
        <v>0</v>
      </c>
      <c r="G283" s="125"/>
    </row>
    <row r="284" spans="3:7" x14ac:dyDescent="0.55000000000000004">
      <c r="C284" s="124"/>
      <c r="G284" s="125"/>
    </row>
    <row r="285" spans="3:7" ht="14.7" thickBot="1" x14ac:dyDescent="0.6">
      <c r="C285" s="124"/>
      <c r="D285" s="1" t="s">
        <v>375</v>
      </c>
      <c r="E285" s="37">
        <f ca="1">VLOOKUP(D268,'2 Sanitation'!$D$153:$K$172,8,FALSE)</f>
        <v>473476.58958947379</v>
      </c>
      <c r="G285" s="125"/>
    </row>
    <row r="286" spans="3:7" ht="14.7" thickTop="1" x14ac:dyDescent="0.55000000000000004">
      <c r="C286" s="124"/>
      <c r="G286" s="125"/>
    </row>
    <row r="287" spans="3:7" x14ac:dyDescent="0.55000000000000004">
      <c r="C287" s="124"/>
      <c r="G287" s="125"/>
    </row>
    <row r="288" spans="3:7" x14ac:dyDescent="0.55000000000000004">
      <c r="C288" s="124"/>
      <c r="G288" s="125"/>
    </row>
    <row r="289" spans="3:11" x14ac:dyDescent="0.55000000000000004">
      <c r="C289" s="124"/>
      <c r="G289" s="125"/>
      <c r="I289" s="232" t="s">
        <v>385</v>
      </c>
    </row>
    <row r="290" spans="3:11" x14ac:dyDescent="0.55000000000000004">
      <c r="C290" s="124"/>
      <c r="G290" s="125"/>
      <c r="I290" s="110"/>
      <c r="J290" s="102" t="s">
        <v>390</v>
      </c>
      <c r="K290" s="102" t="s">
        <v>391</v>
      </c>
    </row>
    <row r="291" spans="3:11" x14ac:dyDescent="0.55000000000000004">
      <c r="C291" s="124"/>
      <c r="G291" s="125"/>
      <c r="I291" s="110" t="s">
        <v>369</v>
      </c>
      <c r="J291" s="100">
        <f ca="1">E271/1000</f>
        <v>219.59513343535681</v>
      </c>
      <c r="K291" s="102"/>
    </row>
    <row r="292" spans="3:11" x14ac:dyDescent="0.55000000000000004">
      <c r="C292" s="124"/>
      <c r="G292" s="125"/>
      <c r="I292" s="110" t="s">
        <v>370</v>
      </c>
      <c r="J292" s="100">
        <f ca="1">E272/1000</f>
        <v>335.66221556422374</v>
      </c>
      <c r="K292" s="110"/>
    </row>
    <row r="293" spans="3:11" x14ac:dyDescent="0.55000000000000004">
      <c r="C293" s="124"/>
      <c r="G293" s="125"/>
      <c r="I293" s="110" t="s">
        <v>471</v>
      </c>
      <c r="J293" s="100">
        <f ca="1">E275/1000</f>
        <v>0</v>
      </c>
      <c r="K293" s="110"/>
    </row>
    <row r="294" spans="3:11" x14ac:dyDescent="0.55000000000000004">
      <c r="C294" s="124"/>
      <c r="G294" s="125"/>
      <c r="I294" s="110" t="s">
        <v>563</v>
      </c>
      <c r="J294" s="100"/>
      <c r="K294" s="101">
        <f ca="1">E285/1000</f>
        <v>473.4765895894738</v>
      </c>
    </row>
    <row r="295" spans="3:11" x14ac:dyDescent="0.55000000000000004">
      <c r="C295" s="124"/>
      <c r="G295" s="125"/>
      <c r="I295" s="110" t="s">
        <v>564</v>
      </c>
      <c r="J295" s="100"/>
      <c r="K295" s="101">
        <f ca="1">E280/1000</f>
        <v>0</v>
      </c>
    </row>
    <row r="296" spans="3:11" x14ac:dyDescent="0.55000000000000004">
      <c r="C296" s="124"/>
      <c r="G296" s="125"/>
      <c r="I296" s="110" t="s">
        <v>565</v>
      </c>
      <c r="J296" s="100"/>
      <c r="K296" s="101">
        <f ca="1">SUM(E277:E279)/1000</f>
        <v>81.78075941010681</v>
      </c>
    </row>
    <row r="297" spans="3:11" x14ac:dyDescent="0.55000000000000004">
      <c r="C297" s="124"/>
      <c r="G297" s="125"/>
      <c r="I297" s="110" t="s">
        <v>566</v>
      </c>
      <c r="J297" s="100"/>
      <c r="K297" s="101">
        <f ca="1">E283/1000</f>
        <v>0</v>
      </c>
    </row>
    <row r="298" spans="3:11" x14ac:dyDescent="0.55000000000000004">
      <c r="C298" s="124"/>
      <c r="G298" s="125"/>
    </row>
    <row r="299" spans="3:11" x14ac:dyDescent="0.55000000000000004">
      <c r="C299" s="124"/>
      <c r="G299" s="125"/>
    </row>
    <row r="300" spans="3:11" x14ac:dyDescent="0.55000000000000004">
      <c r="C300" s="124"/>
      <c r="G300" s="125"/>
    </row>
    <row r="301" spans="3:11" x14ac:dyDescent="0.55000000000000004">
      <c r="C301" s="124"/>
      <c r="G301" s="125"/>
    </row>
    <row r="302" spans="3:11" x14ac:dyDescent="0.55000000000000004">
      <c r="C302" s="124"/>
      <c r="G302" s="125"/>
    </row>
    <row r="303" spans="3:11" x14ac:dyDescent="0.55000000000000004">
      <c r="C303" s="124"/>
      <c r="G303" s="125"/>
    </row>
    <row r="304" spans="3:11" x14ac:dyDescent="0.55000000000000004">
      <c r="C304" s="124"/>
      <c r="E304" s="220" t="s">
        <v>250</v>
      </c>
      <c r="G304" s="125"/>
    </row>
    <row r="305" spans="3:13" x14ac:dyDescent="0.55000000000000004">
      <c r="C305" s="124"/>
      <c r="D305" t="s">
        <v>376</v>
      </c>
      <c r="E305" s="64">
        <f ca="1">VLOOKUP(D268,'2 Sanitation'!$D$153:$M$172,10,FALSE)</f>
        <v>9.0399201006932124</v>
      </c>
      <c r="G305" s="125"/>
    </row>
    <row r="306" spans="3:13" x14ac:dyDescent="0.55000000000000004">
      <c r="C306" s="124"/>
      <c r="D306" t="s">
        <v>377</v>
      </c>
      <c r="E306" s="64">
        <f ca="1">VLOOKUP(D268,'2 Sanitation'!$D$153:$M$172,9,FALSE)</f>
        <v>7.7084806660357916</v>
      </c>
      <c r="G306" s="125"/>
    </row>
    <row r="307" spans="3:13" x14ac:dyDescent="0.55000000000000004">
      <c r="C307" s="124"/>
      <c r="D307" t="s">
        <v>378</v>
      </c>
      <c r="E307" s="64">
        <f ca="1">IFERROR(IF(E275=0,E283,E275)/E273,0)</f>
        <v>0</v>
      </c>
      <c r="G307" s="125"/>
    </row>
    <row r="308" spans="3:13" x14ac:dyDescent="0.55000000000000004">
      <c r="C308" s="124"/>
      <c r="G308" s="125"/>
    </row>
    <row r="309" spans="3:13" x14ac:dyDescent="0.55000000000000004">
      <c r="C309" s="124"/>
      <c r="D309" t="s">
        <v>379</v>
      </c>
      <c r="E309" s="64">
        <f>'3 Sanitation'!H190</f>
        <v>0</v>
      </c>
      <c r="G309" s="125"/>
    </row>
    <row r="310" spans="3:13" x14ac:dyDescent="0.55000000000000004">
      <c r="C310" s="124"/>
      <c r="D310" t="s">
        <v>380</v>
      </c>
      <c r="E310" s="97">
        <f ca="1">IFERROR('3 Sanitation'!I190/'3 Sanitation'!F190,0)</f>
        <v>0</v>
      </c>
      <c r="G310" s="125"/>
    </row>
    <row r="311" spans="3:13" x14ac:dyDescent="0.55000000000000004">
      <c r="C311" s="124"/>
      <c r="G311" s="125"/>
    </row>
    <row r="312" spans="3:13" x14ac:dyDescent="0.55000000000000004">
      <c r="C312" s="124"/>
      <c r="D312" s="1" t="s">
        <v>381</v>
      </c>
      <c r="G312" s="125"/>
    </row>
    <row r="313" spans="3:13" x14ac:dyDescent="0.55000000000000004">
      <c r="C313" s="124"/>
      <c r="G313" s="125"/>
    </row>
    <row r="314" spans="3:13" x14ac:dyDescent="0.55000000000000004">
      <c r="C314" s="124"/>
      <c r="G314" s="125"/>
    </row>
    <row r="315" spans="3:13" ht="28.8" x14ac:dyDescent="0.55000000000000004">
      <c r="C315" s="124"/>
      <c r="G315" s="125"/>
      <c r="I315" s="229" t="s">
        <v>383</v>
      </c>
      <c r="J315" s="229" t="s">
        <v>382</v>
      </c>
      <c r="K315" s="229" t="s">
        <v>100</v>
      </c>
      <c r="L315" s="230" t="s">
        <v>392</v>
      </c>
      <c r="M315" s="233" t="s">
        <v>581</v>
      </c>
    </row>
    <row r="316" spans="3:13" x14ac:dyDescent="0.55000000000000004">
      <c r="C316" s="124"/>
      <c r="G316" s="125"/>
      <c r="I316" s="102">
        <v>1</v>
      </c>
      <c r="J316" s="102">
        <f>IFERROR(VLOOKUP(I316,'3 Sanitation'!$E$203:$L$212,4,FALSE),0)</f>
        <v>0</v>
      </c>
      <c r="K316" s="103">
        <f ca="1">IFERROR(VLOOKUP(I316,'3 Sanitation'!$E$203:$L$212,8,FALSE),0)</f>
        <v>7.7084806660357916</v>
      </c>
      <c r="L316" s="104">
        <f ca="1">$E$305</f>
        <v>9.0399201006932124</v>
      </c>
      <c r="M316" s="105">
        <f ca="1">IFERROR('3 Sanitation'!H182/SUM('3 Sanitation'!K203:K212),0)</f>
        <v>5.4647806372834458</v>
      </c>
    </row>
    <row r="317" spans="3:13" x14ac:dyDescent="0.55000000000000004">
      <c r="C317" s="124"/>
      <c r="G317" s="125"/>
      <c r="I317" s="102">
        <v>2</v>
      </c>
      <c r="J317" s="102">
        <f>IFERROR(VLOOKUP(I317,'3 Sanitation'!$E$203:$L$212,4,FALSE),0)</f>
        <v>0</v>
      </c>
      <c r="K317" s="103">
        <f>IFERROR(VLOOKUP(I317,'3 Sanitation'!$E$203:$L$212,8,FALSE),0)</f>
        <v>0</v>
      </c>
      <c r="L317" s="104">
        <f t="shared" ref="L317:L325" ca="1" si="8">$E$305</f>
        <v>9.0399201006932124</v>
      </c>
      <c r="M317" s="104">
        <f t="shared" ref="M317:M325" ca="1" si="9">$M$316</f>
        <v>5.4647806372834458</v>
      </c>
    </row>
    <row r="318" spans="3:13" x14ac:dyDescent="0.55000000000000004">
      <c r="C318" s="124"/>
      <c r="G318" s="125"/>
      <c r="I318" s="102">
        <v>3</v>
      </c>
      <c r="J318" s="102">
        <f>IFERROR(VLOOKUP(I318,'3 Sanitation'!$E$203:$L$212,4,FALSE),0)</f>
        <v>0</v>
      </c>
      <c r="K318" s="103">
        <f>IFERROR(VLOOKUP(I318,'3 Sanitation'!$E$203:$L$212,8,FALSE),0)</f>
        <v>0</v>
      </c>
      <c r="L318" s="104">
        <f t="shared" ca="1" si="8"/>
        <v>9.0399201006932124</v>
      </c>
      <c r="M318" s="104">
        <f t="shared" ca="1" si="9"/>
        <v>5.4647806372834458</v>
      </c>
    </row>
    <row r="319" spans="3:13" x14ac:dyDescent="0.55000000000000004">
      <c r="C319" s="124"/>
      <c r="G319" s="125"/>
      <c r="I319" s="102">
        <v>4</v>
      </c>
      <c r="J319" s="102">
        <f>IFERROR(VLOOKUP(I319,'3 Sanitation'!$E$203:$L$212,4,FALSE),0)</f>
        <v>0</v>
      </c>
      <c r="K319" s="103">
        <f>IFERROR(VLOOKUP(I319,'3 Sanitation'!$E$203:$L$212,8,FALSE),0)</f>
        <v>0</v>
      </c>
      <c r="L319" s="104">
        <f t="shared" ca="1" si="8"/>
        <v>9.0399201006932124</v>
      </c>
      <c r="M319" s="104">
        <f t="shared" ca="1" si="9"/>
        <v>5.4647806372834458</v>
      </c>
    </row>
    <row r="320" spans="3:13" x14ac:dyDescent="0.55000000000000004">
      <c r="C320" s="124"/>
      <c r="G320" s="125"/>
      <c r="I320" s="102">
        <v>5</v>
      </c>
      <c r="J320" s="102">
        <f>IFERROR(VLOOKUP(I320,'3 Sanitation'!$E$203:$L$212,4,FALSE),0)</f>
        <v>0</v>
      </c>
      <c r="K320" s="103">
        <f>IFERROR(VLOOKUP(I320,'3 Sanitation'!$E$203:$L$212,8,FALSE),0)</f>
        <v>0</v>
      </c>
      <c r="L320" s="104">
        <f t="shared" ca="1" si="8"/>
        <v>9.0399201006932124</v>
      </c>
      <c r="M320" s="104">
        <f t="shared" ca="1" si="9"/>
        <v>5.4647806372834458</v>
      </c>
    </row>
    <row r="321" spans="3:13" x14ac:dyDescent="0.55000000000000004">
      <c r="C321" s="124"/>
      <c r="G321" s="125"/>
      <c r="I321" s="102">
        <v>6</v>
      </c>
      <c r="J321" s="102">
        <f>IFERROR(VLOOKUP(I321,'3 Sanitation'!$E$203:$L$212,4,FALSE),0)</f>
        <v>0</v>
      </c>
      <c r="K321" s="103">
        <f>IFERROR(VLOOKUP(I321,'3 Sanitation'!$E$203:$L$212,8,FALSE),0)</f>
        <v>0</v>
      </c>
      <c r="L321" s="104">
        <f t="shared" ca="1" si="8"/>
        <v>9.0399201006932124</v>
      </c>
      <c r="M321" s="104">
        <f t="shared" ca="1" si="9"/>
        <v>5.4647806372834458</v>
      </c>
    </row>
    <row r="322" spans="3:13" x14ac:dyDescent="0.55000000000000004">
      <c r="C322" s="124"/>
      <c r="G322" s="125"/>
      <c r="I322" s="102">
        <v>7</v>
      </c>
      <c r="J322" s="102">
        <f>IFERROR(VLOOKUP(I322,'3 Sanitation'!$E$203:$L$212,4,FALSE),0)</f>
        <v>0</v>
      </c>
      <c r="K322" s="103">
        <f>IFERROR(VLOOKUP(I322,'3 Sanitation'!$E$203:$L$212,8,FALSE),0)</f>
        <v>0</v>
      </c>
      <c r="L322" s="104">
        <f t="shared" ca="1" si="8"/>
        <v>9.0399201006932124</v>
      </c>
      <c r="M322" s="104">
        <f t="shared" ca="1" si="9"/>
        <v>5.4647806372834458</v>
      </c>
    </row>
    <row r="323" spans="3:13" x14ac:dyDescent="0.55000000000000004">
      <c r="C323" s="124"/>
      <c r="G323" s="125"/>
      <c r="I323" s="102">
        <v>8</v>
      </c>
      <c r="J323" s="102">
        <f>IFERROR(VLOOKUP(I323,'3 Sanitation'!$E$203:$L$212,4,FALSE),0)</f>
        <v>0</v>
      </c>
      <c r="K323" s="103">
        <f>IFERROR(VLOOKUP(I323,'3 Sanitation'!$E$203:$L$212,8,FALSE),0)</f>
        <v>0</v>
      </c>
      <c r="L323" s="104">
        <f t="shared" ca="1" si="8"/>
        <v>9.0399201006932124</v>
      </c>
      <c r="M323" s="104">
        <f t="shared" ca="1" si="9"/>
        <v>5.4647806372834458</v>
      </c>
    </row>
    <row r="324" spans="3:13" x14ac:dyDescent="0.55000000000000004">
      <c r="C324" s="124"/>
      <c r="G324" s="125"/>
      <c r="I324" s="102">
        <v>9</v>
      </c>
      <c r="J324" s="102">
        <f>IFERROR(VLOOKUP(I324,'3 Sanitation'!$E$203:$L$212,4,FALSE),0)</f>
        <v>0</v>
      </c>
      <c r="K324" s="103">
        <f>IFERROR(VLOOKUP(I324,'3 Sanitation'!$E$203:$L$212,8,FALSE),0)</f>
        <v>0</v>
      </c>
      <c r="L324" s="104">
        <f t="shared" ca="1" si="8"/>
        <v>9.0399201006932124</v>
      </c>
      <c r="M324" s="104">
        <f t="shared" ca="1" si="9"/>
        <v>5.4647806372834458</v>
      </c>
    </row>
    <row r="325" spans="3:13" x14ac:dyDescent="0.55000000000000004">
      <c r="C325" s="124"/>
      <c r="G325" s="125"/>
      <c r="I325" s="102">
        <v>10</v>
      </c>
      <c r="J325" s="102">
        <f>IFERROR(VLOOKUP(I325,'3 Sanitation'!$E$203:$L$212,4,FALSE),0)</f>
        <v>0</v>
      </c>
      <c r="K325" s="103">
        <f>IFERROR(VLOOKUP(I325,'3 Sanitation'!$E$203:$L$212,8,FALSE),0)</f>
        <v>0</v>
      </c>
      <c r="L325" s="104">
        <f t="shared" ca="1" si="8"/>
        <v>9.0399201006932124</v>
      </c>
      <c r="M325" s="104">
        <f t="shared" ca="1" si="9"/>
        <v>5.4647806372834458</v>
      </c>
    </row>
    <row r="326" spans="3:13" x14ac:dyDescent="0.55000000000000004">
      <c r="C326" s="124"/>
      <c r="G326" s="125"/>
    </row>
    <row r="327" spans="3:13" x14ac:dyDescent="0.55000000000000004">
      <c r="C327" s="124"/>
      <c r="G327" s="125"/>
    </row>
    <row r="328" spans="3:13" x14ac:dyDescent="0.55000000000000004">
      <c r="C328" s="124"/>
      <c r="G328" s="125"/>
    </row>
    <row r="329" spans="3:13" x14ac:dyDescent="0.55000000000000004">
      <c r="C329" s="124"/>
      <c r="G329" s="125"/>
    </row>
    <row r="330" spans="3:13" ht="14.7" thickBot="1" x14ac:dyDescent="0.6">
      <c r="C330" s="130"/>
      <c r="D330" s="131"/>
      <c r="E330" s="131"/>
      <c r="F330" s="131"/>
      <c r="G330" s="132"/>
    </row>
    <row r="332" spans="3:13" ht="14.7" thickBot="1" x14ac:dyDescent="0.6"/>
    <row r="333" spans="3:13" x14ac:dyDescent="0.55000000000000004">
      <c r="C333" s="121"/>
      <c r="D333" s="122"/>
      <c r="E333" s="122"/>
      <c r="F333" s="122"/>
      <c r="G333" s="123"/>
    </row>
    <row r="334" spans="3:13" ht="15.6" x14ac:dyDescent="0.6">
      <c r="C334" s="124"/>
      <c r="D334" s="98" t="str">
        <f>'2 Customer data'!D62</f>
        <v>Government</v>
      </c>
      <c r="G334" s="125"/>
    </row>
    <row r="335" spans="3:13" x14ac:dyDescent="0.55000000000000004">
      <c r="C335" s="124"/>
      <c r="G335" s="125"/>
    </row>
    <row r="336" spans="3:13" x14ac:dyDescent="0.55000000000000004">
      <c r="C336" s="124"/>
      <c r="E336" s="220" t="s">
        <v>250</v>
      </c>
      <c r="G336" s="125"/>
    </row>
    <row r="337" spans="3:7" x14ac:dyDescent="0.55000000000000004">
      <c r="C337" s="124"/>
      <c r="D337" t="s">
        <v>369</v>
      </c>
      <c r="E337" s="26">
        <f ca="1">VLOOKUP(D334,'2 Sanitation'!$D$19:$J$38,5,FALSE)</f>
        <v>66995.125454854613</v>
      </c>
      <c r="G337" s="125"/>
    </row>
    <row r="338" spans="3:7" x14ac:dyDescent="0.55000000000000004">
      <c r="C338" s="124"/>
      <c r="D338" t="s">
        <v>370</v>
      </c>
      <c r="E338" s="99">
        <f ca="1">VLOOKUP(D334,'2 Sanitation'!$D$19:$J$38,6,FALSE)</f>
        <v>0</v>
      </c>
      <c r="G338" s="125"/>
    </row>
    <row r="339" spans="3:7" ht="14.7" thickBot="1" x14ac:dyDescent="0.6">
      <c r="C339" s="124"/>
      <c r="D339" s="1" t="s">
        <v>39</v>
      </c>
      <c r="E339" s="37">
        <f ca="1">VLOOKUP(D334,'2 Sanitation'!$D$19:$J$38,7,FALSE)</f>
        <v>66995.125454854613</v>
      </c>
      <c r="G339" s="125"/>
    </row>
    <row r="340" spans="3:7" ht="14.7" thickTop="1" x14ac:dyDescent="0.55000000000000004">
      <c r="C340" s="124"/>
      <c r="G340" s="125"/>
    </row>
    <row r="341" spans="3:7" x14ac:dyDescent="0.55000000000000004">
      <c r="C341" s="124"/>
      <c r="D341" t="s">
        <v>189</v>
      </c>
      <c r="E341" s="26">
        <f ca="1">IF(VLOOKUP(D334,'2 Sanitation'!$D$122:$K$141,7,FALSE)="",VLOOKUP(D334,'2 Sanitation'!$D$122:$K$141,6,FALSE),VLOOKUP(D334,'2 Sanitation'!$D$122:$K$141,7,FALSE))+VLOOKUP(D334,'2 Sanitation'!$D$153:$J$172,5,FALSE)</f>
        <v>0</v>
      </c>
      <c r="G341" s="125"/>
    </row>
    <row r="342" spans="3:7" x14ac:dyDescent="0.55000000000000004">
      <c r="C342" s="124"/>
      <c r="G342" s="125"/>
    </row>
    <row r="343" spans="3:7" x14ac:dyDescent="0.55000000000000004">
      <c r="C343" s="124"/>
      <c r="D343" t="s">
        <v>371</v>
      </c>
      <c r="E343" s="64">
        <f ca="1">IF(VLOOKUP(D334,'2 Sanitation'!$D$53:$M$72,5,FALSE)="",VLOOKUP(D334,'2 Sanitation'!$D$53:$M$72,4,FALSE),VLOOKUP(D334,'2 Sanitation'!$D$53:$M$72,5,FALSE))</f>
        <v>0</v>
      </c>
      <c r="G343" s="125"/>
    </row>
    <row r="344" spans="3:7" x14ac:dyDescent="0.55000000000000004">
      <c r="C344" s="124"/>
      <c r="D344" t="s">
        <v>372</v>
      </c>
      <c r="E344" s="26">
        <f ca="1">IF(VLOOKUP(D334,'2 Sanitation'!$D$53:$M$72,7,FALSE)="",VLOOKUP(D334,'2 Sanitation'!$D$53:$M$72,6,FALSE),VLOOKUP(D334,'2 Sanitation'!$D$53:$M$72,7,FALSE))</f>
        <v>9867.338534726041</v>
      </c>
      <c r="G344" s="125"/>
    </row>
    <row r="345" spans="3:7" x14ac:dyDescent="0.55000000000000004">
      <c r="C345" s="124"/>
      <c r="D345" t="s">
        <v>373</v>
      </c>
      <c r="E345" s="26">
        <f ca="1">IF(VLOOKUP(D334,'2 Sanitation'!$D$53:$M$72,9,FALSE)="",VLOOKUP(D334,'2 Sanitation'!$D$53:$M$72,8,FALSE),VLOOKUP(D334,'2 Sanitation'!$D$53:$M$72,9,FALSE))</f>
        <v>0</v>
      </c>
      <c r="G345" s="125"/>
    </row>
    <row r="346" spans="3:7" x14ac:dyDescent="0.55000000000000004">
      <c r="C346" s="124"/>
      <c r="D346" t="s">
        <v>374</v>
      </c>
      <c r="E346" s="26">
        <f ca="1">IF(VLOOKUP(D334,'2 Sanitation'!$D$88:$I$107,5,FALSE)="",VLOOKUP(D334,'2 Sanitation'!$D$88:$I$107,4,FALSE),VLOOKUP(D334,'2 Sanitation'!$D$88:$I$107,5,FALSE))</f>
        <v>0</v>
      </c>
      <c r="G346" s="125"/>
    </row>
    <row r="347" spans="3:7" ht="14.7" thickBot="1" x14ac:dyDescent="0.6">
      <c r="C347" s="124"/>
      <c r="D347" s="1" t="s">
        <v>145</v>
      </c>
      <c r="E347" s="37">
        <f ca="1">SUM(E343:E346)</f>
        <v>9867.338534726041</v>
      </c>
      <c r="G347" s="125"/>
    </row>
    <row r="348" spans="3:7" ht="14.7" thickTop="1" x14ac:dyDescent="0.55000000000000004">
      <c r="C348" s="124"/>
      <c r="D348" s="1"/>
      <c r="E348" s="15"/>
      <c r="G348" s="125"/>
    </row>
    <row r="349" spans="3:7" x14ac:dyDescent="0.55000000000000004">
      <c r="C349" s="124"/>
      <c r="D349" t="s">
        <v>384</v>
      </c>
      <c r="E349" s="26">
        <f ca="1">IF(VLOOKUP(D334,'2 Sanitation'!$D$122:$K$141,5,FALSE)="",VLOOKUP(D334,'2 Sanitation'!$D$122:$K$141,4,FALSE),VLOOKUP(D334,'2 Sanitation'!$D$122:$K$141,5,FALSE))+VLOOKUP(D334,'2 Sanitation'!$D$153:$J$172,7,FALSE)</f>
        <v>0</v>
      </c>
      <c r="G349" s="125"/>
    </row>
    <row r="350" spans="3:7" x14ac:dyDescent="0.55000000000000004">
      <c r="C350" s="124"/>
      <c r="G350" s="125"/>
    </row>
    <row r="351" spans="3:7" ht="14.7" thickBot="1" x14ac:dyDescent="0.6">
      <c r="C351" s="124"/>
      <c r="D351" s="1" t="s">
        <v>375</v>
      </c>
      <c r="E351" s="37">
        <f ca="1">VLOOKUP(D334,'2 Sanitation'!$D$153:$K$172,8,FALSE)</f>
        <v>57127.786920128572</v>
      </c>
      <c r="G351" s="125"/>
    </row>
    <row r="352" spans="3:7" ht="14.7" thickTop="1" x14ac:dyDescent="0.55000000000000004">
      <c r="C352" s="124"/>
      <c r="G352" s="125"/>
    </row>
    <row r="353" spans="3:11" x14ac:dyDescent="0.55000000000000004">
      <c r="C353" s="124"/>
      <c r="G353" s="125"/>
    </row>
    <row r="354" spans="3:11" x14ac:dyDescent="0.55000000000000004">
      <c r="C354" s="124"/>
      <c r="G354" s="125"/>
    </row>
    <row r="355" spans="3:11" x14ac:dyDescent="0.55000000000000004">
      <c r="C355" s="124"/>
      <c r="G355" s="125"/>
      <c r="I355" s="232" t="s">
        <v>385</v>
      </c>
    </row>
    <row r="356" spans="3:11" x14ac:dyDescent="0.55000000000000004">
      <c r="C356" s="124"/>
      <c r="G356" s="125"/>
      <c r="I356" s="110"/>
      <c r="J356" s="102" t="s">
        <v>390</v>
      </c>
      <c r="K356" s="102" t="s">
        <v>391</v>
      </c>
    </row>
    <row r="357" spans="3:11" x14ac:dyDescent="0.55000000000000004">
      <c r="C357" s="124"/>
      <c r="G357" s="125"/>
      <c r="I357" s="110" t="s">
        <v>369</v>
      </c>
      <c r="J357" s="100">
        <f ca="1">E337/1000</f>
        <v>66.995125454854616</v>
      </c>
      <c r="K357" s="102"/>
    </row>
    <row r="358" spans="3:11" x14ac:dyDescent="0.55000000000000004">
      <c r="C358" s="124"/>
      <c r="G358" s="125"/>
      <c r="I358" s="110" t="s">
        <v>370</v>
      </c>
      <c r="J358" s="100">
        <f ca="1">E338/1000</f>
        <v>0</v>
      </c>
      <c r="K358" s="110"/>
    </row>
    <row r="359" spans="3:11" x14ac:dyDescent="0.55000000000000004">
      <c r="C359" s="124"/>
      <c r="G359" s="125"/>
      <c r="I359" s="110" t="s">
        <v>471</v>
      </c>
      <c r="J359" s="100">
        <f ca="1">E341/1000</f>
        <v>0</v>
      </c>
      <c r="K359" s="110"/>
    </row>
    <row r="360" spans="3:11" x14ac:dyDescent="0.55000000000000004">
      <c r="C360" s="124"/>
      <c r="G360" s="125"/>
      <c r="I360" s="110" t="s">
        <v>563</v>
      </c>
      <c r="J360" s="100"/>
      <c r="K360" s="101">
        <f ca="1">E351/1000</f>
        <v>57.127786920128571</v>
      </c>
    </row>
    <row r="361" spans="3:11" x14ac:dyDescent="0.55000000000000004">
      <c r="C361" s="124"/>
      <c r="G361" s="125"/>
      <c r="I361" s="110" t="s">
        <v>564</v>
      </c>
      <c r="J361" s="100"/>
      <c r="K361" s="101">
        <f ca="1">E346/1000</f>
        <v>0</v>
      </c>
    </row>
    <row r="362" spans="3:11" x14ac:dyDescent="0.55000000000000004">
      <c r="C362" s="124"/>
      <c r="G362" s="125"/>
      <c r="I362" s="110" t="s">
        <v>565</v>
      </c>
      <c r="J362" s="100"/>
      <c r="K362" s="101">
        <f ca="1">SUM(E343:E345)/1000</f>
        <v>9.8673385347260414</v>
      </c>
    </row>
    <row r="363" spans="3:11" x14ac:dyDescent="0.55000000000000004">
      <c r="C363" s="124"/>
      <c r="G363" s="125"/>
      <c r="I363" s="110" t="s">
        <v>566</v>
      </c>
      <c r="J363" s="100"/>
      <c r="K363" s="101">
        <f ca="1">E349/1000</f>
        <v>0</v>
      </c>
    </row>
    <row r="364" spans="3:11" x14ac:dyDescent="0.55000000000000004">
      <c r="C364" s="124"/>
      <c r="G364" s="125"/>
    </row>
    <row r="365" spans="3:11" x14ac:dyDescent="0.55000000000000004">
      <c r="C365" s="124"/>
      <c r="G365" s="125"/>
    </row>
    <row r="366" spans="3:11" x14ac:dyDescent="0.55000000000000004">
      <c r="C366" s="124"/>
      <c r="G366" s="125"/>
    </row>
    <row r="367" spans="3:11" x14ac:dyDescent="0.55000000000000004">
      <c r="C367" s="124"/>
      <c r="G367" s="125"/>
    </row>
    <row r="368" spans="3:11" x14ac:dyDescent="0.55000000000000004">
      <c r="C368" s="124"/>
      <c r="G368" s="125"/>
    </row>
    <row r="369" spans="3:13" x14ac:dyDescent="0.55000000000000004">
      <c r="C369" s="124"/>
      <c r="E369" s="220" t="s">
        <v>250</v>
      </c>
      <c r="G369" s="125"/>
    </row>
    <row r="370" spans="3:13" x14ac:dyDescent="0.55000000000000004">
      <c r="C370" s="124"/>
      <c r="D370" t="s">
        <v>376</v>
      </c>
      <c r="E370" s="64">
        <f ca="1">VLOOKUP(D334,'2 Sanitation'!$D$153:$M$172,10,FALSE)</f>
        <v>0</v>
      </c>
      <c r="G370" s="125"/>
    </row>
    <row r="371" spans="3:13" x14ac:dyDescent="0.55000000000000004">
      <c r="C371" s="124"/>
      <c r="D371" t="s">
        <v>377</v>
      </c>
      <c r="E371" s="64">
        <f ca="1">VLOOKUP(D334,'2 Sanitation'!$D$153:$M$172,9,FALSE)</f>
        <v>0</v>
      </c>
      <c r="G371" s="125"/>
    </row>
    <row r="372" spans="3:13" x14ac:dyDescent="0.55000000000000004">
      <c r="C372" s="124"/>
      <c r="D372" t="s">
        <v>378</v>
      </c>
      <c r="E372" s="64">
        <f ca="1">IFERROR(IF(E341=0,E349,E341)/E339,0)</f>
        <v>0</v>
      </c>
      <c r="G372" s="125"/>
    </row>
    <row r="373" spans="3:13" x14ac:dyDescent="0.55000000000000004">
      <c r="C373" s="124"/>
      <c r="G373" s="125"/>
    </row>
    <row r="374" spans="3:13" x14ac:dyDescent="0.55000000000000004">
      <c r="C374" s="124"/>
      <c r="D374" t="s">
        <v>379</v>
      </c>
      <c r="E374" s="64">
        <f>'3 Sanitation'!H231</f>
        <v>0</v>
      </c>
      <c r="G374" s="125"/>
    </row>
    <row r="375" spans="3:13" x14ac:dyDescent="0.55000000000000004">
      <c r="C375" s="124"/>
      <c r="D375" t="s">
        <v>380</v>
      </c>
      <c r="E375" s="97">
        <f ca="1">IFERROR('3 Sanitation'!I231/'3 Sanitation'!F231,0)</f>
        <v>0</v>
      </c>
      <c r="G375" s="125"/>
    </row>
    <row r="376" spans="3:13" x14ac:dyDescent="0.55000000000000004">
      <c r="C376" s="124"/>
      <c r="G376" s="125"/>
    </row>
    <row r="377" spans="3:13" x14ac:dyDescent="0.55000000000000004">
      <c r="C377" s="124"/>
      <c r="D377" s="1" t="s">
        <v>381</v>
      </c>
      <c r="G377" s="125"/>
    </row>
    <row r="378" spans="3:13" x14ac:dyDescent="0.55000000000000004">
      <c r="C378" s="124"/>
      <c r="G378" s="125"/>
    </row>
    <row r="379" spans="3:13" x14ac:dyDescent="0.55000000000000004">
      <c r="C379" s="124"/>
      <c r="G379" s="125"/>
    </row>
    <row r="380" spans="3:13" ht="28.8" x14ac:dyDescent="0.55000000000000004">
      <c r="C380" s="124"/>
      <c r="G380" s="125"/>
      <c r="I380" s="229" t="s">
        <v>383</v>
      </c>
      <c r="J380" s="229" t="s">
        <v>382</v>
      </c>
      <c r="K380" s="229" t="s">
        <v>100</v>
      </c>
      <c r="L380" s="230" t="s">
        <v>392</v>
      </c>
      <c r="M380" s="233" t="s">
        <v>581</v>
      </c>
    </row>
    <row r="381" spans="3:13" x14ac:dyDescent="0.55000000000000004">
      <c r="C381" s="124"/>
      <c r="G381" s="125"/>
      <c r="I381" s="102">
        <v>1</v>
      </c>
      <c r="J381" s="102">
        <f>IFERROR(VLOOKUP(I381,'3 Sanitation'!$E$244:$L$253,4,FALSE),0)</f>
        <v>0</v>
      </c>
      <c r="K381" s="103">
        <f ca="1">IFERROR(VLOOKUP(I381,'3 Sanitation'!$E$244:$L$253,8,FALSE),0)</f>
        <v>0</v>
      </c>
      <c r="L381" s="104">
        <f ca="1">$E$370</f>
        <v>0</v>
      </c>
      <c r="M381" s="105">
        <f ca="1">IFERROR('3 Sanitation'!H223/SUM('3 Sanitation'!K244:K253),0)</f>
        <v>0</v>
      </c>
    </row>
    <row r="382" spans="3:13" x14ac:dyDescent="0.55000000000000004">
      <c r="C382" s="124"/>
      <c r="G382" s="125"/>
      <c r="I382" s="102">
        <v>2</v>
      </c>
      <c r="J382" s="102">
        <f>IFERROR(VLOOKUP(I382,'3 Sanitation'!$E$244:$L$253,4,FALSE),0)</f>
        <v>0</v>
      </c>
      <c r="K382" s="103">
        <f>IFERROR(VLOOKUP(I382,'3 Sanitation'!$E$244:$L$253,8,FALSE),0)</f>
        <v>0</v>
      </c>
      <c r="L382" s="104">
        <f t="shared" ref="L382:L390" ca="1" si="10">$E$370</f>
        <v>0</v>
      </c>
      <c r="M382" s="104">
        <f ca="1">$M$381</f>
        <v>0</v>
      </c>
    </row>
    <row r="383" spans="3:13" x14ac:dyDescent="0.55000000000000004">
      <c r="C383" s="124"/>
      <c r="G383" s="125"/>
      <c r="I383" s="102">
        <v>3</v>
      </c>
      <c r="J383" s="102">
        <f>IFERROR(VLOOKUP(I383,'3 Sanitation'!$E$244:$L$253,4,FALSE),0)</f>
        <v>0</v>
      </c>
      <c r="K383" s="103">
        <f>IFERROR(VLOOKUP(I383,'3 Sanitation'!$E$244:$L$253,8,FALSE),0)</f>
        <v>0</v>
      </c>
      <c r="L383" s="104">
        <f t="shared" ca="1" si="10"/>
        <v>0</v>
      </c>
      <c r="M383" s="104">
        <f t="shared" ref="M383:M390" ca="1" si="11">$M$381</f>
        <v>0</v>
      </c>
    </row>
    <row r="384" spans="3:13" x14ac:dyDescent="0.55000000000000004">
      <c r="C384" s="124"/>
      <c r="G384" s="125"/>
      <c r="I384" s="102">
        <v>4</v>
      </c>
      <c r="J384" s="102">
        <f>IFERROR(VLOOKUP(I384,'3 Sanitation'!$E$244:$L$253,4,FALSE),0)</f>
        <v>0</v>
      </c>
      <c r="K384" s="103">
        <f>IFERROR(VLOOKUP(I384,'3 Sanitation'!$E$244:$L$253,8,FALSE),0)</f>
        <v>0</v>
      </c>
      <c r="L384" s="104">
        <f t="shared" ca="1" si="10"/>
        <v>0</v>
      </c>
      <c r="M384" s="104">
        <f t="shared" ca="1" si="11"/>
        <v>0</v>
      </c>
    </row>
    <row r="385" spans="3:13" x14ac:dyDescent="0.55000000000000004">
      <c r="C385" s="124"/>
      <c r="G385" s="125"/>
      <c r="I385" s="102">
        <v>5</v>
      </c>
      <c r="J385" s="102">
        <f>IFERROR(VLOOKUP(I385,'3 Sanitation'!$E$244:$L$253,4,FALSE),0)</f>
        <v>0</v>
      </c>
      <c r="K385" s="103">
        <f>IFERROR(VLOOKUP(I385,'3 Sanitation'!$E$244:$L$253,8,FALSE),0)</f>
        <v>0</v>
      </c>
      <c r="L385" s="104">
        <f t="shared" ca="1" si="10"/>
        <v>0</v>
      </c>
      <c r="M385" s="104">
        <f t="shared" ca="1" si="11"/>
        <v>0</v>
      </c>
    </row>
    <row r="386" spans="3:13" x14ac:dyDescent="0.55000000000000004">
      <c r="C386" s="124"/>
      <c r="G386" s="125"/>
      <c r="I386" s="102">
        <v>6</v>
      </c>
      <c r="J386" s="102">
        <f>IFERROR(VLOOKUP(I386,'3 Sanitation'!$E$244:$L$253,4,FALSE),0)</f>
        <v>0</v>
      </c>
      <c r="K386" s="103">
        <f>IFERROR(VLOOKUP(I386,'3 Sanitation'!$E$244:$L$253,8,FALSE),0)</f>
        <v>0</v>
      </c>
      <c r="L386" s="104">
        <f t="shared" ca="1" si="10"/>
        <v>0</v>
      </c>
      <c r="M386" s="104">
        <f t="shared" ca="1" si="11"/>
        <v>0</v>
      </c>
    </row>
    <row r="387" spans="3:13" x14ac:dyDescent="0.55000000000000004">
      <c r="C387" s="124"/>
      <c r="G387" s="125"/>
      <c r="I387" s="102">
        <v>7</v>
      </c>
      <c r="J387" s="102">
        <f>IFERROR(VLOOKUP(I387,'3 Sanitation'!$E$244:$L$253,4,FALSE),0)</f>
        <v>0</v>
      </c>
      <c r="K387" s="103">
        <f>IFERROR(VLOOKUP(I387,'3 Sanitation'!$E$244:$L$253,8,FALSE),0)</f>
        <v>0</v>
      </c>
      <c r="L387" s="104">
        <f t="shared" ca="1" si="10"/>
        <v>0</v>
      </c>
      <c r="M387" s="104">
        <f t="shared" ca="1" si="11"/>
        <v>0</v>
      </c>
    </row>
    <row r="388" spans="3:13" x14ac:dyDescent="0.55000000000000004">
      <c r="C388" s="124"/>
      <c r="G388" s="125"/>
      <c r="I388" s="102">
        <v>8</v>
      </c>
      <c r="J388" s="102">
        <f>IFERROR(VLOOKUP(I388,'3 Sanitation'!$E$244:$L$253,4,FALSE),0)</f>
        <v>0</v>
      </c>
      <c r="K388" s="103">
        <f>IFERROR(VLOOKUP(I388,'3 Sanitation'!$E$244:$L$253,8,FALSE),0)</f>
        <v>0</v>
      </c>
      <c r="L388" s="104">
        <f t="shared" ca="1" si="10"/>
        <v>0</v>
      </c>
      <c r="M388" s="104">
        <f t="shared" ca="1" si="11"/>
        <v>0</v>
      </c>
    </row>
    <row r="389" spans="3:13" x14ac:dyDescent="0.55000000000000004">
      <c r="C389" s="124"/>
      <c r="G389" s="125"/>
      <c r="I389" s="102">
        <v>9</v>
      </c>
      <c r="J389" s="102">
        <f>IFERROR(VLOOKUP(I389,'3 Sanitation'!$E$244:$L$253,4,FALSE),0)</f>
        <v>0</v>
      </c>
      <c r="K389" s="103">
        <f>IFERROR(VLOOKUP(I389,'3 Sanitation'!$E$244:$L$253,8,FALSE),0)</f>
        <v>0</v>
      </c>
      <c r="L389" s="104">
        <f t="shared" ca="1" si="10"/>
        <v>0</v>
      </c>
      <c r="M389" s="104">
        <f t="shared" ca="1" si="11"/>
        <v>0</v>
      </c>
    </row>
    <row r="390" spans="3:13" x14ac:dyDescent="0.55000000000000004">
      <c r="C390" s="124"/>
      <c r="G390" s="125"/>
      <c r="I390" s="102">
        <v>10</v>
      </c>
      <c r="J390" s="102">
        <f>IFERROR(VLOOKUP(I390,'3 Sanitation'!$E$244:$L$253,4,FALSE),0)</f>
        <v>0</v>
      </c>
      <c r="K390" s="103">
        <f>IFERROR(VLOOKUP(I390,'3 Sanitation'!$E$244:$L$253,8,FALSE),0)</f>
        <v>0</v>
      </c>
      <c r="L390" s="104">
        <f t="shared" ca="1" si="10"/>
        <v>0</v>
      </c>
      <c r="M390" s="104">
        <f t="shared" ca="1" si="11"/>
        <v>0</v>
      </c>
    </row>
    <row r="391" spans="3:13" x14ac:dyDescent="0.55000000000000004">
      <c r="C391" s="124"/>
      <c r="G391" s="125"/>
    </row>
    <row r="392" spans="3:13" x14ac:dyDescent="0.55000000000000004">
      <c r="C392" s="124"/>
      <c r="G392" s="125"/>
    </row>
    <row r="393" spans="3:13" x14ac:dyDescent="0.55000000000000004">
      <c r="C393" s="124"/>
      <c r="G393" s="125"/>
    </row>
    <row r="394" spans="3:13" x14ac:dyDescent="0.55000000000000004">
      <c r="C394" s="124"/>
      <c r="G394" s="125"/>
    </row>
    <row r="395" spans="3:13" x14ac:dyDescent="0.55000000000000004">
      <c r="C395" s="124"/>
      <c r="G395" s="125"/>
    </row>
    <row r="396" spans="3:13" ht="14.7" thickBot="1" x14ac:dyDescent="0.6">
      <c r="C396" s="130"/>
      <c r="D396" s="131"/>
      <c r="E396" s="131"/>
      <c r="F396" s="131"/>
      <c r="G396" s="132"/>
    </row>
    <row r="398" spans="3:13" ht="14.7" thickBot="1" x14ac:dyDescent="0.6"/>
    <row r="399" spans="3:13" x14ac:dyDescent="0.55000000000000004">
      <c r="C399" s="121"/>
      <c r="D399" s="122"/>
      <c r="E399" s="122"/>
      <c r="F399" s="122"/>
      <c r="G399" s="123"/>
    </row>
    <row r="400" spans="3:13" ht="15.6" x14ac:dyDescent="0.6">
      <c r="C400" s="124"/>
      <c r="D400" s="98" t="str">
        <f>'2 Customer data'!D63</f>
        <v>Sport Clubs</v>
      </c>
      <c r="G400" s="125"/>
    </row>
    <row r="401" spans="3:7" x14ac:dyDescent="0.55000000000000004">
      <c r="C401" s="124"/>
      <c r="G401" s="125"/>
    </row>
    <row r="402" spans="3:7" x14ac:dyDescent="0.55000000000000004">
      <c r="C402" s="124"/>
      <c r="E402" s="220" t="s">
        <v>250</v>
      </c>
      <c r="G402" s="125"/>
    </row>
    <row r="403" spans="3:7" x14ac:dyDescent="0.55000000000000004">
      <c r="C403" s="124"/>
      <c r="D403" t="s">
        <v>369</v>
      </c>
      <c r="E403" s="26">
        <f ca="1">VLOOKUP(D400,'2 Sanitation'!$D$19:$J$38,5,FALSE)</f>
        <v>33497.562727427307</v>
      </c>
      <c r="G403" s="125"/>
    </row>
    <row r="404" spans="3:7" x14ac:dyDescent="0.55000000000000004">
      <c r="C404" s="124"/>
      <c r="D404" t="s">
        <v>370</v>
      </c>
      <c r="E404" s="99">
        <f ca="1">VLOOKUP(D400,'2 Sanitation'!$D$19:$J$38,6,FALSE)</f>
        <v>7283.6815034652491</v>
      </c>
      <c r="G404" s="125"/>
    </row>
    <row r="405" spans="3:7" ht="14.7" thickBot="1" x14ac:dyDescent="0.6">
      <c r="C405" s="124"/>
      <c r="D405" s="1" t="s">
        <v>39</v>
      </c>
      <c r="E405" s="37">
        <f ca="1">VLOOKUP(D400,'2 Sanitation'!$D$19:$J$38,7,FALSE)</f>
        <v>40781.244230892553</v>
      </c>
      <c r="G405" s="125"/>
    </row>
    <row r="406" spans="3:7" ht="14.7" thickTop="1" x14ac:dyDescent="0.55000000000000004">
      <c r="C406" s="124"/>
      <c r="G406" s="125"/>
    </row>
    <row r="407" spans="3:7" x14ac:dyDescent="0.55000000000000004">
      <c r="C407" s="124"/>
      <c r="D407" t="s">
        <v>189</v>
      </c>
      <c r="E407" s="26">
        <f ca="1">IF(VLOOKUP(D400,'2 Sanitation'!$D$122:$K$141,7,FALSE)="",VLOOKUP(D400,'2 Sanitation'!$D$122:$K$141,6,FALSE),VLOOKUP(D400,'2 Sanitation'!$D$122:$K$141,7,FALSE))+VLOOKUP(D400,'2 Sanitation'!$D$153:$J$172,5,FALSE)</f>
        <v>0</v>
      </c>
      <c r="G407" s="125"/>
    </row>
    <row r="408" spans="3:7" x14ac:dyDescent="0.55000000000000004">
      <c r="C408" s="124"/>
      <c r="G408" s="125"/>
    </row>
    <row r="409" spans="3:7" x14ac:dyDescent="0.55000000000000004">
      <c r="C409" s="124"/>
      <c r="D409" t="s">
        <v>371</v>
      </c>
      <c r="E409" s="64">
        <f ca="1">IF(VLOOKUP(D400,'2 Sanitation'!$D$53:$M$72,5,FALSE)="",VLOOKUP(D400,'2 Sanitation'!$D$53:$M$72,4,FALSE),VLOOKUP(D400,'2 Sanitation'!$D$53:$M$72,5,FALSE))</f>
        <v>0</v>
      </c>
      <c r="G409" s="125"/>
    </row>
    <row r="410" spans="3:7" x14ac:dyDescent="0.55000000000000004">
      <c r="C410" s="124"/>
      <c r="D410" t="s">
        <v>372</v>
      </c>
      <c r="E410" s="26">
        <f ca="1">IF(VLOOKUP(D400,'2 Sanitation'!$D$53:$M$72,7,FALSE)="",VLOOKUP(D400,'2 Sanitation'!$D$53:$M$72,6,FALSE),VLOOKUP(D400,'2 Sanitation'!$D$53:$M$72,7,FALSE))</f>
        <v>6006.4421099520632</v>
      </c>
      <c r="G410" s="125"/>
    </row>
    <row r="411" spans="3:7" x14ac:dyDescent="0.55000000000000004">
      <c r="C411" s="124"/>
      <c r="D411" t="s">
        <v>373</v>
      </c>
      <c r="E411" s="26">
        <f ca="1">IF(VLOOKUP(D400,'2 Sanitation'!$D$53:$M$72,9,FALSE)="",VLOOKUP(D400,'2 Sanitation'!$D$53:$M$72,8,FALSE),VLOOKUP(D400,'2 Sanitation'!$D$53:$M$72,9,FALSE))</f>
        <v>0</v>
      </c>
      <c r="G411" s="125"/>
    </row>
    <row r="412" spans="3:7" x14ac:dyDescent="0.55000000000000004">
      <c r="C412" s="124"/>
      <c r="D412" t="s">
        <v>374</v>
      </c>
      <c r="E412" s="26">
        <f ca="1">IF(VLOOKUP(D400,'2 Sanitation'!$D$88:$I$107,5,FALSE)="",VLOOKUP(D400,'2 Sanitation'!$D$88:$I$107,4,FALSE),VLOOKUP(D400,'2 Sanitation'!$D$88:$I$107,5,FALSE))</f>
        <v>0</v>
      </c>
      <c r="G412" s="125"/>
    </row>
    <row r="413" spans="3:7" ht="14.7" thickBot="1" x14ac:dyDescent="0.6">
      <c r="C413" s="124"/>
      <c r="D413" s="1" t="s">
        <v>145</v>
      </c>
      <c r="E413" s="37">
        <f ca="1">SUM(E409:E412)</f>
        <v>6006.4421099520632</v>
      </c>
      <c r="G413" s="125"/>
    </row>
    <row r="414" spans="3:7" ht="14.7" thickTop="1" x14ac:dyDescent="0.55000000000000004">
      <c r="C414" s="124"/>
      <c r="D414" s="1"/>
      <c r="E414" s="15"/>
      <c r="G414" s="125"/>
    </row>
    <row r="415" spans="3:7" x14ac:dyDescent="0.55000000000000004">
      <c r="C415" s="124"/>
      <c r="D415" t="s">
        <v>384</v>
      </c>
      <c r="E415" s="26">
        <f ca="1">IF(VLOOKUP(D400,'2 Sanitation'!$D$122:$K$141,5,FALSE)="",VLOOKUP(D400,'2 Sanitation'!$D$122:$K$141,4,FALSE),VLOOKUP(D400,'2 Sanitation'!$D$122:$K$141,5,FALSE))+VLOOKUP(D400,'2 Sanitation'!$D$153:$J$172,7,FALSE)</f>
        <v>0</v>
      </c>
      <c r="G415" s="125"/>
    </row>
    <row r="416" spans="3:7" x14ac:dyDescent="0.55000000000000004">
      <c r="C416" s="124"/>
      <c r="G416" s="125"/>
    </row>
    <row r="417" spans="3:11" ht="14.7" thickBot="1" x14ac:dyDescent="0.6">
      <c r="C417" s="124"/>
      <c r="D417" s="1" t="s">
        <v>375</v>
      </c>
      <c r="E417" s="37">
        <f ca="1">VLOOKUP(D400,'2 Sanitation'!$D$153:$K$172,8,FALSE)</f>
        <v>34774.802120940491</v>
      </c>
      <c r="G417" s="125"/>
    </row>
    <row r="418" spans="3:11" ht="14.7" thickTop="1" x14ac:dyDescent="0.55000000000000004">
      <c r="C418" s="124"/>
      <c r="G418" s="125"/>
    </row>
    <row r="419" spans="3:11" x14ac:dyDescent="0.55000000000000004">
      <c r="C419" s="124"/>
      <c r="G419" s="125"/>
    </row>
    <row r="420" spans="3:11" x14ac:dyDescent="0.55000000000000004">
      <c r="C420" s="124"/>
      <c r="G420" s="125"/>
    </row>
    <row r="421" spans="3:11" x14ac:dyDescent="0.55000000000000004">
      <c r="C421" s="124"/>
      <c r="G421" s="125"/>
    </row>
    <row r="422" spans="3:11" x14ac:dyDescent="0.55000000000000004">
      <c r="C422" s="124"/>
      <c r="G422" s="125"/>
      <c r="I422" s="232" t="s">
        <v>385</v>
      </c>
    </row>
    <row r="423" spans="3:11" x14ac:dyDescent="0.55000000000000004">
      <c r="C423" s="124"/>
      <c r="G423" s="125"/>
      <c r="I423" s="110"/>
      <c r="J423" s="102" t="s">
        <v>390</v>
      </c>
      <c r="K423" s="102" t="s">
        <v>391</v>
      </c>
    </row>
    <row r="424" spans="3:11" x14ac:dyDescent="0.55000000000000004">
      <c r="C424" s="124"/>
      <c r="G424" s="125"/>
      <c r="I424" s="110" t="s">
        <v>369</v>
      </c>
      <c r="J424" s="100">
        <f ca="1">E403/1000</f>
        <v>33.497562727427308</v>
      </c>
      <c r="K424" s="102"/>
    </row>
    <row r="425" spans="3:11" x14ac:dyDescent="0.55000000000000004">
      <c r="C425" s="124"/>
      <c r="G425" s="125"/>
      <c r="I425" s="110" t="s">
        <v>370</v>
      </c>
      <c r="J425" s="100">
        <f ca="1">E404/1000</f>
        <v>7.2836815034652487</v>
      </c>
      <c r="K425" s="110"/>
    </row>
    <row r="426" spans="3:11" x14ac:dyDescent="0.55000000000000004">
      <c r="C426" s="124"/>
      <c r="G426" s="125"/>
      <c r="I426" s="110" t="s">
        <v>471</v>
      </c>
      <c r="J426" s="100">
        <f ca="1">E407/1000</f>
        <v>0</v>
      </c>
      <c r="K426" s="110"/>
    </row>
    <row r="427" spans="3:11" x14ac:dyDescent="0.55000000000000004">
      <c r="C427" s="124"/>
      <c r="G427" s="125"/>
      <c r="I427" s="110" t="s">
        <v>563</v>
      </c>
      <c r="J427" s="100"/>
      <c r="K427" s="101">
        <f ca="1">E417/1000</f>
        <v>34.774802120940493</v>
      </c>
    </row>
    <row r="428" spans="3:11" x14ac:dyDescent="0.55000000000000004">
      <c r="C428" s="124"/>
      <c r="G428" s="125"/>
      <c r="I428" s="110" t="s">
        <v>564</v>
      </c>
      <c r="J428" s="100"/>
      <c r="K428" s="101">
        <f ca="1">E412/1000</f>
        <v>0</v>
      </c>
    </row>
    <row r="429" spans="3:11" x14ac:dyDescent="0.55000000000000004">
      <c r="C429" s="124"/>
      <c r="G429" s="125"/>
      <c r="I429" s="110" t="s">
        <v>565</v>
      </c>
      <c r="J429" s="100"/>
      <c r="K429" s="101">
        <f ca="1">SUM(E409:E411)/1000</f>
        <v>6.0064421099520633</v>
      </c>
    </row>
    <row r="430" spans="3:11" x14ac:dyDescent="0.55000000000000004">
      <c r="C430" s="124"/>
      <c r="G430" s="125"/>
      <c r="I430" s="110" t="s">
        <v>566</v>
      </c>
      <c r="J430" s="100"/>
      <c r="K430" s="101">
        <f ca="1">E415/1000</f>
        <v>0</v>
      </c>
    </row>
    <row r="431" spans="3:11" x14ac:dyDescent="0.55000000000000004">
      <c r="C431" s="124"/>
      <c r="G431" s="125"/>
    </row>
    <row r="432" spans="3:11" x14ac:dyDescent="0.55000000000000004">
      <c r="C432" s="124"/>
      <c r="G432" s="125"/>
    </row>
    <row r="433" spans="3:13" x14ac:dyDescent="0.55000000000000004">
      <c r="C433" s="124"/>
      <c r="G433" s="125"/>
    </row>
    <row r="434" spans="3:13" x14ac:dyDescent="0.55000000000000004">
      <c r="C434" s="124"/>
      <c r="G434" s="125"/>
    </row>
    <row r="435" spans="3:13" x14ac:dyDescent="0.55000000000000004">
      <c r="C435" s="124"/>
      <c r="E435" s="220" t="s">
        <v>250</v>
      </c>
      <c r="G435" s="125"/>
    </row>
    <row r="436" spans="3:13" x14ac:dyDescent="0.55000000000000004">
      <c r="C436" s="124"/>
      <c r="D436" t="s">
        <v>376</v>
      </c>
      <c r="E436" s="64">
        <f ca="1">VLOOKUP(D400,'2 Sanitation'!$D$153:$M$172,10,FALSE)</f>
        <v>30.597240383353089</v>
      </c>
      <c r="G436" s="125"/>
    </row>
    <row r="437" spans="3:13" x14ac:dyDescent="0.55000000000000004">
      <c r="C437" s="124"/>
      <c r="D437" t="s">
        <v>377</v>
      </c>
      <c r="E437" s="64">
        <f ca="1">VLOOKUP(D400,'2 Sanitation'!$D$153:$M$172,9,FALSE)</f>
        <v>26.090743424938058</v>
      </c>
      <c r="G437" s="125"/>
    </row>
    <row r="438" spans="3:13" x14ac:dyDescent="0.55000000000000004">
      <c r="C438" s="124"/>
      <c r="D438" t="s">
        <v>378</v>
      </c>
      <c r="E438" s="64">
        <f ca="1">IFERROR(IF(E407=0,E415,E407)/E405,0)</f>
        <v>0</v>
      </c>
      <c r="G438" s="125"/>
    </row>
    <row r="439" spans="3:13" x14ac:dyDescent="0.55000000000000004">
      <c r="C439" s="124"/>
      <c r="G439" s="125"/>
    </row>
    <row r="440" spans="3:13" x14ac:dyDescent="0.55000000000000004">
      <c r="C440" s="124"/>
      <c r="D440" t="s">
        <v>379</v>
      </c>
      <c r="E440" s="64">
        <f>'3 Sanitation'!H272</f>
        <v>0</v>
      </c>
      <c r="G440" s="125"/>
    </row>
    <row r="441" spans="3:13" x14ac:dyDescent="0.55000000000000004">
      <c r="C441" s="124"/>
      <c r="D441" t="s">
        <v>380</v>
      </c>
      <c r="E441" s="97">
        <f ca="1">IFERROR('3 Sanitation'!I272/'3 Sanitation'!F272,0)</f>
        <v>0</v>
      </c>
      <c r="G441" s="125"/>
    </row>
    <row r="442" spans="3:13" x14ac:dyDescent="0.55000000000000004">
      <c r="C442" s="124"/>
      <c r="G442" s="125"/>
    </row>
    <row r="443" spans="3:13" x14ac:dyDescent="0.55000000000000004">
      <c r="C443" s="124"/>
      <c r="D443" s="1" t="s">
        <v>381</v>
      </c>
      <c r="G443" s="125"/>
    </row>
    <row r="444" spans="3:13" x14ac:dyDescent="0.55000000000000004">
      <c r="C444" s="124"/>
      <c r="G444" s="125"/>
    </row>
    <row r="445" spans="3:13" x14ac:dyDescent="0.55000000000000004">
      <c r="C445" s="124"/>
      <c r="G445" s="125"/>
    </row>
    <row r="446" spans="3:13" ht="28.8" x14ac:dyDescent="0.55000000000000004">
      <c r="C446" s="124"/>
      <c r="G446" s="125"/>
      <c r="I446" s="229" t="s">
        <v>383</v>
      </c>
      <c r="J446" s="229" t="s">
        <v>382</v>
      </c>
      <c r="K446" s="229" t="s">
        <v>100</v>
      </c>
      <c r="L446" s="230" t="s">
        <v>392</v>
      </c>
      <c r="M446" s="233" t="s">
        <v>581</v>
      </c>
    </row>
    <row r="447" spans="3:13" x14ac:dyDescent="0.55000000000000004">
      <c r="C447" s="124"/>
      <c r="G447" s="125"/>
      <c r="I447" s="102">
        <v>1</v>
      </c>
      <c r="J447" s="102">
        <f>IFERROR(VLOOKUP(I447,'3 Sanitation'!$E$285:$L$294,4,FALSE),0)</f>
        <v>0</v>
      </c>
      <c r="K447" s="103">
        <f ca="1">IFERROR(VLOOKUP(I447,'3 Sanitation'!$E$285:$L$294,8,FALSE),0)</f>
        <v>26.090743424938058</v>
      </c>
      <c r="L447" s="104">
        <f ca="1">$E$436</f>
        <v>30.597240383353089</v>
      </c>
      <c r="M447" s="105">
        <f ca="1">IFERROR('3 Sanitation'!H264/SUM('3 Sanitation'!K285:K294),0)</f>
        <v>5.4647806372834458</v>
      </c>
    </row>
    <row r="448" spans="3:13" x14ac:dyDescent="0.55000000000000004">
      <c r="C448" s="124"/>
      <c r="G448" s="125"/>
      <c r="I448" s="102">
        <v>2</v>
      </c>
      <c r="J448" s="102">
        <f>IFERROR(VLOOKUP(I448,'3 Sanitation'!$E$285:$L$294,4,FALSE),0)</f>
        <v>0</v>
      </c>
      <c r="K448" s="103">
        <f>IFERROR(VLOOKUP(I448,'3 Sanitation'!$E$285:$L$294,8,FALSE),0)</f>
        <v>0</v>
      </c>
      <c r="L448" s="104">
        <f t="shared" ref="L448:L456" ca="1" si="12">$E$436</f>
        <v>30.597240383353089</v>
      </c>
      <c r="M448" s="104">
        <f t="shared" ref="M448:M456" ca="1" si="13">$M$447</f>
        <v>5.4647806372834458</v>
      </c>
    </row>
    <row r="449" spans="3:13" x14ac:dyDescent="0.55000000000000004">
      <c r="C449" s="124"/>
      <c r="G449" s="125"/>
      <c r="I449" s="102">
        <v>3</v>
      </c>
      <c r="J449" s="102">
        <f>IFERROR(VLOOKUP(I449,'3 Sanitation'!$E$285:$L$294,4,FALSE),0)</f>
        <v>0</v>
      </c>
      <c r="K449" s="103">
        <f>IFERROR(VLOOKUP(I449,'3 Sanitation'!$E$285:$L$294,8,FALSE),0)</f>
        <v>0</v>
      </c>
      <c r="L449" s="104">
        <f t="shared" ca="1" si="12"/>
        <v>30.597240383353089</v>
      </c>
      <c r="M449" s="104">
        <f t="shared" ca="1" si="13"/>
        <v>5.4647806372834458</v>
      </c>
    </row>
    <row r="450" spans="3:13" x14ac:dyDescent="0.55000000000000004">
      <c r="C450" s="124"/>
      <c r="G450" s="125"/>
      <c r="I450" s="102">
        <v>4</v>
      </c>
      <c r="J450" s="102">
        <f>IFERROR(VLOOKUP(I450,'3 Sanitation'!$E$285:$L$294,4,FALSE),0)</f>
        <v>0</v>
      </c>
      <c r="K450" s="103">
        <f>IFERROR(VLOOKUP(I450,'3 Sanitation'!$E$285:$L$294,8,FALSE),0)</f>
        <v>0</v>
      </c>
      <c r="L450" s="104">
        <f t="shared" ca="1" si="12"/>
        <v>30.597240383353089</v>
      </c>
      <c r="M450" s="104">
        <f t="shared" ca="1" si="13"/>
        <v>5.4647806372834458</v>
      </c>
    </row>
    <row r="451" spans="3:13" x14ac:dyDescent="0.55000000000000004">
      <c r="C451" s="124"/>
      <c r="G451" s="125"/>
      <c r="I451" s="102">
        <v>5</v>
      </c>
      <c r="J451" s="102">
        <f>IFERROR(VLOOKUP(I451,'3 Sanitation'!$E$285:$L$294,4,FALSE),0)</f>
        <v>0</v>
      </c>
      <c r="K451" s="103">
        <f>IFERROR(VLOOKUP(I451,'3 Sanitation'!$E$285:$L$294,8,FALSE),0)</f>
        <v>0</v>
      </c>
      <c r="L451" s="104">
        <f t="shared" ca="1" si="12"/>
        <v>30.597240383353089</v>
      </c>
      <c r="M451" s="104">
        <f t="shared" ca="1" si="13"/>
        <v>5.4647806372834458</v>
      </c>
    </row>
    <row r="452" spans="3:13" x14ac:dyDescent="0.55000000000000004">
      <c r="C452" s="124"/>
      <c r="G452" s="125"/>
      <c r="I452" s="102">
        <v>6</v>
      </c>
      <c r="J452" s="102">
        <f>IFERROR(VLOOKUP(I452,'3 Sanitation'!$E$285:$L$294,4,FALSE),0)</f>
        <v>0</v>
      </c>
      <c r="K452" s="103">
        <f>IFERROR(VLOOKUP(I452,'3 Sanitation'!$E$285:$L$294,8,FALSE),0)</f>
        <v>0</v>
      </c>
      <c r="L452" s="104">
        <f t="shared" ca="1" si="12"/>
        <v>30.597240383353089</v>
      </c>
      <c r="M452" s="104">
        <f t="shared" ca="1" si="13"/>
        <v>5.4647806372834458</v>
      </c>
    </row>
    <row r="453" spans="3:13" x14ac:dyDescent="0.55000000000000004">
      <c r="C453" s="124"/>
      <c r="G453" s="125"/>
      <c r="I453" s="102">
        <v>7</v>
      </c>
      <c r="J453" s="102">
        <f>IFERROR(VLOOKUP(I453,'3 Sanitation'!$E$285:$L$294,4,FALSE),0)</f>
        <v>0</v>
      </c>
      <c r="K453" s="103">
        <f>IFERROR(VLOOKUP(I453,'3 Sanitation'!$E$285:$L$294,8,FALSE),0)</f>
        <v>0</v>
      </c>
      <c r="L453" s="104">
        <f t="shared" ca="1" si="12"/>
        <v>30.597240383353089</v>
      </c>
      <c r="M453" s="104">
        <f t="shared" ca="1" si="13"/>
        <v>5.4647806372834458</v>
      </c>
    </row>
    <row r="454" spans="3:13" x14ac:dyDescent="0.55000000000000004">
      <c r="C454" s="124"/>
      <c r="G454" s="125"/>
      <c r="I454" s="102">
        <v>8</v>
      </c>
      <c r="J454" s="102">
        <f>IFERROR(VLOOKUP(I454,'3 Sanitation'!$E$285:$L$294,4,FALSE),0)</f>
        <v>0</v>
      </c>
      <c r="K454" s="103">
        <f>IFERROR(VLOOKUP(I454,'3 Sanitation'!$E$285:$L$294,8,FALSE),0)</f>
        <v>0</v>
      </c>
      <c r="L454" s="104">
        <f t="shared" ca="1" si="12"/>
        <v>30.597240383353089</v>
      </c>
      <c r="M454" s="104">
        <f t="shared" ca="1" si="13"/>
        <v>5.4647806372834458</v>
      </c>
    </row>
    <row r="455" spans="3:13" x14ac:dyDescent="0.55000000000000004">
      <c r="C455" s="124"/>
      <c r="G455" s="125"/>
      <c r="I455" s="102">
        <v>9</v>
      </c>
      <c r="J455" s="102">
        <f>IFERROR(VLOOKUP(I455,'3 Sanitation'!$E$285:$L$294,4,FALSE),0)</f>
        <v>0</v>
      </c>
      <c r="K455" s="103">
        <f>IFERROR(VLOOKUP(I455,'3 Sanitation'!$E$285:$L$294,8,FALSE),0)</f>
        <v>0</v>
      </c>
      <c r="L455" s="104">
        <f t="shared" ca="1" si="12"/>
        <v>30.597240383353089</v>
      </c>
      <c r="M455" s="104">
        <f t="shared" ca="1" si="13"/>
        <v>5.4647806372834458</v>
      </c>
    </row>
    <row r="456" spans="3:13" x14ac:dyDescent="0.55000000000000004">
      <c r="C456" s="124"/>
      <c r="G456" s="125"/>
      <c r="I456" s="102">
        <v>10</v>
      </c>
      <c r="J456" s="102">
        <f>IFERROR(VLOOKUP(I456,'3 Sanitation'!$E$285:$L$294,4,FALSE),0)</f>
        <v>0</v>
      </c>
      <c r="K456" s="103">
        <f>IFERROR(VLOOKUP(I456,'3 Sanitation'!$E$285:$L$294,8,FALSE),0)</f>
        <v>0</v>
      </c>
      <c r="L456" s="104">
        <f t="shared" ca="1" si="12"/>
        <v>30.597240383353089</v>
      </c>
      <c r="M456" s="104">
        <f t="shared" ca="1" si="13"/>
        <v>5.4647806372834458</v>
      </c>
    </row>
    <row r="457" spans="3:13" x14ac:dyDescent="0.55000000000000004">
      <c r="C457" s="124"/>
      <c r="G457" s="125"/>
    </row>
    <row r="458" spans="3:13" x14ac:dyDescent="0.55000000000000004">
      <c r="C458" s="124"/>
      <c r="G458" s="125"/>
    </row>
    <row r="459" spans="3:13" x14ac:dyDescent="0.55000000000000004">
      <c r="C459" s="124"/>
      <c r="G459" s="125"/>
    </row>
    <row r="460" spans="3:13" x14ac:dyDescent="0.55000000000000004">
      <c r="C460" s="124"/>
      <c r="G460" s="125"/>
    </row>
    <row r="461" spans="3:13" x14ac:dyDescent="0.55000000000000004">
      <c r="C461" s="124"/>
      <c r="G461" s="125"/>
    </row>
    <row r="462" spans="3:13" ht="14.7" thickBot="1" x14ac:dyDescent="0.6">
      <c r="C462" s="130"/>
      <c r="D462" s="131"/>
      <c r="E462" s="131"/>
      <c r="F462" s="131"/>
      <c r="G462" s="132"/>
    </row>
    <row r="464" spans="3:13" ht="14.7" thickBot="1" x14ac:dyDescent="0.6"/>
    <row r="465" spans="3:7" x14ac:dyDescent="0.55000000000000004">
      <c r="C465" s="121"/>
      <c r="D465" s="122"/>
      <c r="E465" s="122"/>
      <c r="F465" s="122"/>
      <c r="G465" s="123"/>
    </row>
    <row r="466" spans="3:7" ht="15.6" x14ac:dyDescent="0.6">
      <c r="C466" s="124"/>
      <c r="D466" s="98" t="str">
        <f>'2 Customer data'!D64</f>
        <v>Churches</v>
      </c>
      <c r="G466" s="125"/>
    </row>
    <row r="467" spans="3:7" x14ac:dyDescent="0.55000000000000004">
      <c r="C467" s="124"/>
      <c r="G467" s="125"/>
    </row>
    <row r="468" spans="3:7" x14ac:dyDescent="0.55000000000000004">
      <c r="C468" s="124"/>
      <c r="E468" s="220" t="s">
        <v>250</v>
      </c>
      <c r="G468" s="125"/>
    </row>
    <row r="469" spans="3:7" x14ac:dyDescent="0.55000000000000004">
      <c r="C469" s="124"/>
      <c r="D469" t="s">
        <v>369</v>
      </c>
      <c r="E469" s="26">
        <f ca="1">VLOOKUP(D466,'2 Sanitation'!$D$19:$J$38,5,FALSE)</f>
        <v>301478.0645468458</v>
      </c>
      <c r="G469" s="125"/>
    </row>
    <row r="470" spans="3:7" x14ac:dyDescent="0.55000000000000004">
      <c r="C470" s="124"/>
      <c r="D470" t="s">
        <v>370</v>
      </c>
      <c r="E470" s="99">
        <f ca="1">VLOOKUP(D466,'2 Sanitation'!$D$19:$J$38,6,FALSE)</f>
        <v>0</v>
      </c>
      <c r="G470" s="125"/>
    </row>
    <row r="471" spans="3:7" ht="14.7" thickBot="1" x14ac:dyDescent="0.6">
      <c r="C471" s="124"/>
      <c r="D471" s="1" t="s">
        <v>39</v>
      </c>
      <c r="E471" s="37">
        <f ca="1">VLOOKUP(D466,'2 Sanitation'!$D$19:$J$38,7,FALSE)</f>
        <v>301478.0645468458</v>
      </c>
      <c r="G471" s="125"/>
    </row>
    <row r="472" spans="3:7" ht="14.7" thickTop="1" x14ac:dyDescent="0.55000000000000004">
      <c r="C472" s="124"/>
      <c r="G472" s="125"/>
    </row>
    <row r="473" spans="3:7" x14ac:dyDescent="0.55000000000000004">
      <c r="C473" s="124"/>
      <c r="D473" t="s">
        <v>189</v>
      </c>
      <c r="E473" s="26">
        <f ca="1">IF(VLOOKUP(D466,'2 Sanitation'!$D$122:$K$141,7,FALSE)="",VLOOKUP(D466,'2 Sanitation'!$D$122:$K$141,6,FALSE),VLOOKUP(D466,'2 Sanitation'!$D$122:$K$141,7,FALSE))+VLOOKUP(D466,'2 Sanitation'!$D$153:$J$172,5,FALSE)</f>
        <v>0</v>
      </c>
      <c r="G473" s="125"/>
    </row>
    <row r="474" spans="3:7" x14ac:dyDescent="0.55000000000000004">
      <c r="C474" s="124"/>
      <c r="G474" s="125"/>
    </row>
    <row r="475" spans="3:7" x14ac:dyDescent="0.55000000000000004">
      <c r="C475" s="124"/>
      <c r="D475" t="s">
        <v>371</v>
      </c>
      <c r="E475" s="64">
        <f ca="1">IF(VLOOKUP(D466,'2 Sanitation'!$D$53:$M$72,5,FALSE)="",VLOOKUP(D466,'2 Sanitation'!$D$53:$M$72,4,FALSE),VLOOKUP(D466,'2 Sanitation'!$D$53:$M$72,5,FALSE))</f>
        <v>0</v>
      </c>
      <c r="G475" s="125"/>
    </row>
    <row r="476" spans="3:7" x14ac:dyDescent="0.55000000000000004">
      <c r="C476" s="124"/>
      <c r="D476" t="s">
        <v>372</v>
      </c>
      <c r="E476" s="26">
        <f ca="1">IF(VLOOKUP(D466,'2 Sanitation'!$D$53:$M$72,7,FALSE)="",VLOOKUP(D466,'2 Sanitation'!$D$53:$M$72,6,FALSE),VLOOKUP(D466,'2 Sanitation'!$D$53:$M$72,7,FALSE))</f>
        <v>44403.023406267188</v>
      </c>
      <c r="G476" s="125"/>
    </row>
    <row r="477" spans="3:7" x14ac:dyDescent="0.55000000000000004">
      <c r="C477" s="124"/>
      <c r="D477" t="s">
        <v>373</v>
      </c>
      <c r="E477" s="26">
        <f ca="1">IF(VLOOKUP(D466,'2 Sanitation'!$D$53:$M$72,9,FALSE)="",VLOOKUP(D466,'2 Sanitation'!$D$53:$M$72,8,FALSE),VLOOKUP(D466,'2 Sanitation'!$D$53:$M$72,9,FALSE))</f>
        <v>0</v>
      </c>
      <c r="G477" s="125"/>
    </row>
    <row r="478" spans="3:7" x14ac:dyDescent="0.55000000000000004">
      <c r="C478" s="124"/>
      <c r="D478" t="s">
        <v>374</v>
      </c>
      <c r="E478" s="26">
        <f ca="1">IF(VLOOKUP(D466,'2 Sanitation'!$D$88:$I$107,5,FALSE)="",VLOOKUP(D466,'2 Sanitation'!$D$88:$I$107,4,FALSE),VLOOKUP(D466,'2 Sanitation'!$D$88:$I$107,5,FALSE))</f>
        <v>0</v>
      </c>
      <c r="G478" s="125"/>
    </row>
    <row r="479" spans="3:7" ht="14.7" thickBot="1" x14ac:dyDescent="0.6">
      <c r="C479" s="124"/>
      <c r="D479" s="1" t="s">
        <v>145</v>
      </c>
      <c r="E479" s="37">
        <f ca="1">SUM(E475:E478)</f>
        <v>44403.023406267188</v>
      </c>
      <c r="G479" s="125"/>
    </row>
    <row r="480" spans="3:7" ht="14.7" thickTop="1" x14ac:dyDescent="0.55000000000000004">
      <c r="C480" s="124"/>
      <c r="D480" s="1"/>
      <c r="E480" s="15"/>
      <c r="G480" s="125"/>
    </row>
    <row r="481" spans="3:11" x14ac:dyDescent="0.55000000000000004">
      <c r="C481" s="124"/>
      <c r="D481" t="s">
        <v>384</v>
      </c>
      <c r="E481" s="26">
        <f ca="1">IF(VLOOKUP(D466,'2 Sanitation'!$D$122:$K$141,5,FALSE)="",VLOOKUP(D466,'2 Sanitation'!$D$122:$K$141,4,FALSE),VLOOKUP(D466,'2 Sanitation'!$D$122:$K$141,5,FALSE))+VLOOKUP(D466,'2 Sanitation'!$D$153:$J$172,7,FALSE)</f>
        <v>0</v>
      </c>
      <c r="G481" s="125"/>
    </row>
    <row r="482" spans="3:11" x14ac:dyDescent="0.55000000000000004">
      <c r="C482" s="124"/>
      <c r="G482" s="125"/>
    </row>
    <row r="483" spans="3:11" ht="14.7" thickBot="1" x14ac:dyDescent="0.6">
      <c r="C483" s="124"/>
      <c r="D483" s="1" t="s">
        <v>375</v>
      </c>
      <c r="E483" s="37">
        <f ca="1">VLOOKUP(D466,'2 Sanitation'!$D$153:$K$172,8,FALSE)</f>
        <v>257075.0411405786</v>
      </c>
      <c r="G483" s="125"/>
    </row>
    <row r="484" spans="3:11" ht="14.7" thickTop="1" x14ac:dyDescent="0.55000000000000004">
      <c r="C484" s="124"/>
      <c r="G484" s="125"/>
    </row>
    <row r="485" spans="3:11" x14ac:dyDescent="0.55000000000000004">
      <c r="C485" s="124"/>
      <c r="G485" s="125"/>
    </row>
    <row r="486" spans="3:11" x14ac:dyDescent="0.55000000000000004">
      <c r="C486" s="124"/>
      <c r="G486" s="125"/>
    </row>
    <row r="487" spans="3:11" x14ac:dyDescent="0.55000000000000004">
      <c r="C487" s="124"/>
      <c r="G487" s="125"/>
    </row>
    <row r="488" spans="3:11" x14ac:dyDescent="0.55000000000000004">
      <c r="C488" s="124"/>
      <c r="G488" s="125"/>
    </row>
    <row r="489" spans="3:11" x14ac:dyDescent="0.55000000000000004">
      <c r="C489" s="124"/>
      <c r="G489" s="125"/>
    </row>
    <row r="490" spans="3:11" x14ac:dyDescent="0.55000000000000004">
      <c r="C490" s="124"/>
      <c r="G490" s="125"/>
      <c r="I490" s="232" t="s">
        <v>385</v>
      </c>
    </row>
    <row r="491" spans="3:11" x14ac:dyDescent="0.55000000000000004">
      <c r="C491" s="124"/>
      <c r="G491" s="125"/>
      <c r="I491" s="110"/>
      <c r="J491" s="102" t="s">
        <v>390</v>
      </c>
      <c r="K491" s="102" t="s">
        <v>391</v>
      </c>
    </row>
    <row r="492" spans="3:11" x14ac:dyDescent="0.55000000000000004">
      <c r="C492" s="124"/>
      <c r="G492" s="125"/>
      <c r="I492" s="110" t="s">
        <v>369</v>
      </c>
      <c r="J492" s="100">
        <f ca="1">E469/1000</f>
        <v>301.47806454684581</v>
      </c>
      <c r="K492" s="102"/>
    </row>
    <row r="493" spans="3:11" x14ac:dyDescent="0.55000000000000004">
      <c r="C493" s="124"/>
      <c r="G493" s="125"/>
      <c r="I493" s="110" t="s">
        <v>370</v>
      </c>
      <c r="J493" s="100">
        <f ca="1">E470/1000</f>
        <v>0</v>
      </c>
      <c r="K493" s="110"/>
    </row>
    <row r="494" spans="3:11" x14ac:dyDescent="0.55000000000000004">
      <c r="C494" s="124"/>
      <c r="G494" s="125"/>
      <c r="I494" s="110" t="s">
        <v>471</v>
      </c>
      <c r="J494" s="100">
        <f ca="1">E473/1000</f>
        <v>0</v>
      </c>
      <c r="K494" s="110"/>
    </row>
    <row r="495" spans="3:11" x14ac:dyDescent="0.55000000000000004">
      <c r="C495" s="124"/>
      <c r="G495" s="125"/>
      <c r="I495" s="110" t="s">
        <v>563</v>
      </c>
      <c r="J495" s="100"/>
      <c r="K495" s="101">
        <f ca="1">E483/1000</f>
        <v>257.07504114057861</v>
      </c>
    </row>
    <row r="496" spans="3:11" x14ac:dyDescent="0.55000000000000004">
      <c r="C496" s="124"/>
      <c r="G496" s="125"/>
      <c r="I496" s="110" t="s">
        <v>564</v>
      </c>
      <c r="J496" s="100"/>
      <c r="K496" s="101">
        <f ca="1">E478/1000</f>
        <v>0</v>
      </c>
    </row>
    <row r="497" spans="3:13" x14ac:dyDescent="0.55000000000000004">
      <c r="C497" s="124"/>
      <c r="G497" s="125"/>
      <c r="I497" s="110" t="s">
        <v>565</v>
      </c>
      <c r="J497" s="100"/>
      <c r="K497" s="101">
        <f ca="1">SUM(E475:E477)/1000</f>
        <v>44.403023406267188</v>
      </c>
    </row>
    <row r="498" spans="3:13" x14ac:dyDescent="0.55000000000000004">
      <c r="C498" s="124"/>
      <c r="G498" s="125"/>
      <c r="I498" s="110" t="s">
        <v>566</v>
      </c>
      <c r="J498" s="100"/>
      <c r="K498" s="101">
        <f ca="1">E481/1000</f>
        <v>0</v>
      </c>
    </row>
    <row r="499" spans="3:13" x14ac:dyDescent="0.55000000000000004">
      <c r="C499" s="124"/>
      <c r="G499" s="125"/>
    </row>
    <row r="500" spans="3:13" x14ac:dyDescent="0.55000000000000004">
      <c r="C500" s="124"/>
      <c r="G500" s="125"/>
    </row>
    <row r="501" spans="3:13" x14ac:dyDescent="0.55000000000000004">
      <c r="C501" s="124"/>
      <c r="E501" s="220" t="s">
        <v>250</v>
      </c>
      <c r="G501" s="125"/>
    </row>
    <row r="502" spans="3:13" x14ac:dyDescent="0.55000000000000004">
      <c r="C502" s="124"/>
      <c r="D502" t="s">
        <v>376</v>
      </c>
      <c r="E502" s="64">
        <f ca="1">VLOOKUP(D466,'2 Sanitation'!$D$153:$M$172,10,FALSE)</f>
        <v>0</v>
      </c>
      <c r="G502" s="125"/>
    </row>
    <row r="503" spans="3:13" x14ac:dyDescent="0.55000000000000004">
      <c r="C503" s="124"/>
      <c r="D503" t="s">
        <v>377</v>
      </c>
      <c r="E503" s="64">
        <f ca="1">VLOOKUP(D466,'2 Sanitation'!$D$153:$M$172,9,FALSE)</f>
        <v>0</v>
      </c>
      <c r="G503" s="125"/>
    </row>
    <row r="504" spans="3:13" x14ac:dyDescent="0.55000000000000004">
      <c r="C504" s="124"/>
      <c r="D504" t="s">
        <v>378</v>
      </c>
      <c r="E504" s="64">
        <f ca="1">IFERROR(IF(E473=0,E481,E473)/E471,0)</f>
        <v>0</v>
      </c>
      <c r="G504" s="125"/>
    </row>
    <row r="505" spans="3:13" x14ac:dyDescent="0.55000000000000004">
      <c r="C505" s="124"/>
      <c r="G505" s="125"/>
    </row>
    <row r="506" spans="3:13" x14ac:dyDescent="0.55000000000000004">
      <c r="C506" s="124"/>
      <c r="D506" t="s">
        <v>379</v>
      </c>
      <c r="E506" s="64">
        <f>'3 Sanitation'!H313</f>
        <v>0</v>
      </c>
      <c r="G506" s="125"/>
    </row>
    <row r="507" spans="3:13" x14ac:dyDescent="0.55000000000000004">
      <c r="C507" s="124"/>
      <c r="D507" t="s">
        <v>380</v>
      </c>
      <c r="E507" s="97">
        <f ca="1">IFERROR('3 Sanitation'!I313/'3 Sanitation'!F313,0)</f>
        <v>0</v>
      </c>
      <c r="G507" s="125"/>
    </row>
    <row r="508" spans="3:13" x14ac:dyDescent="0.55000000000000004">
      <c r="C508" s="124"/>
      <c r="G508" s="125"/>
    </row>
    <row r="509" spans="3:13" x14ac:dyDescent="0.55000000000000004">
      <c r="C509" s="124"/>
      <c r="D509" s="1" t="s">
        <v>381</v>
      </c>
      <c r="G509" s="125"/>
    </row>
    <row r="510" spans="3:13" x14ac:dyDescent="0.55000000000000004">
      <c r="C510" s="124"/>
      <c r="G510" s="125"/>
    </row>
    <row r="511" spans="3:13" x14ac:dyDescent="0.55000000000000004">
      <c r="C511" s="124"/>
      <c r="G511" s="125"/>
    </row>
    <row r="512" spans="3:13" ht="28.8" x14ac:dyDescent="0.55000000000000004">
      <c r="C512" s="124"/>
      <c r="G512" s="125"/>
      <c r="I512" s="229" t="s">
        <v>383</v>
      </c>
      <c r="J512" s="229" t="s">
        <v>382</v>
      </c>
      <c r="K512" s="229" t="s">
        <v>100</v>
      </c>
      <c r="L512" s="230" t="s">
        <v>392</v>
      </c>
      <c r="M512" s="233" t="s">
        <v>581</v>
      </c>
    </row>
    <row r="513" spans="3:13" x14ac:dyDescent="0.55000000000000004">
      <c r="C513" s="124"/>
      <c r="G513" s="125"/>
      <c r="I513" s="102">
        <v>1</v>
      </c>
      <c r="J513" s="102">
        <f>IFERROR(VLOOKUP(I513,'3 Sanitation'!$E$326:$L$335,4,FALSE),0)</f>
        <v>0</v>
      </c>
      <c r="K513" s="103">
        <f ca="1">IFERROR(VLOOKUP(I513,'3 Sanitation'!$E$326:$L$335,8,FALSE),0)</f>
        <v>0</v>
      </c>
      <c r="L513" s="104">
        <f ca="1">$E$502</f>
        <v>0</v>
      </c>
      <c r="M513" s="105">
        <f ca="1">IFERROR('3 Sanitation'!H305/SUM('3 Sanitation'!K326:K335),0)</f>
        <v>0</v>
      </c>
    </row>
    <row r="514" spans="3:13" x14ac:dyDescent="0.55000000000000004">
      <c r="C514" s="124"/>
      <c r="G514" s="125"/>
      <c r="I514" s="102">
        <v>2</v>
      </c>
      <c r="J514" s="102">
        <f>IFERROR(VLOOKUP(I514,'3 Sanitation'!$E$326:$L$335,4,FALSE),0)</f>
        <v>0</v>
      </c>
      <c r="K514" s="103">
        <f>IFERROR(VLOOKUP(I514,'3 Sanitation'!$E$326:$L$335,8,FALSE),0)</f>
        <v>0</v>
      </c>
      <c r="L514" s="104">
        <f t="shared" ref="L514:L522" ca="1" si="14">$E$502</f>
        <v>0</v>
      </c>
      <c r="M514" s="104">
        <f t="shared" ref="M514:M522" ca="1" si="15">$M$513</f>
        <v>0</v>
      </c>
    </row>
    <row r="515" spans="3:13" x14ac:dyDescent="0.55000000000000004">
      <c r="C515" s="124"/>
      <c r="G515" s="125"/>
      <c r="I515" s="102">
        <v>3</v>
      </c>
      <c r="J515" s="102">
        <f>IFERROR(VLOOKUP(I515,'3 Sanitation'!$E$326:$L$335,4,FALSE),0)</f>
        <v>0</v>
      </c>
      <c r="K515" s="103">
        <f>IFERROR(VLOOKUP(I515,'3 Sanitation'!$E$326:$L$335,8,FALSE),0)</f>
        <v>0</v>
      </c>
      <c r="L515" s="104">
        <f t="shared" ca="1" si="14"/>
        <v>0</v>
      </c>
      <c r="M515" s="104">
        <f t="shared" ca="1" si="15"/>
        <v>0</v>
      </c>
    </row>
    <row r="516" spans="3:13" x14ac:dyDescent="0.55000000000000004">
      <c r="C516" s="124"/>
      <c r="G516" s="125"/>
      <c r="I516" s="102">
        <v>4</v>
      </c>
      <c r="J516" s="102">
        <f>IFERROR(VLOOKUP(I516,'3 Sanitation'!$E$326:$L$335,4,FALSE),0)</f>
        <v>0</v>
      </c>
      <c r="K516" s="103">
        <f>IFERROR(VLOOKUP(I516,'3 Sanitation'!$E$326:$L$335,8,FALSE),0)</f>
        <v>0</v>
      </c>
      <c r="L516" s="104">
        <f t="shared" ca="1" si="14"/>
        <v>0</v>
      </c>
      <c r="M516" s="104">
        <f t="shared" ca="1" si="15"/>
        <v>0</v>
      </c>
    </row>
    <row r="517" spans="3:13" x14ac:dyDescent="0.55000000000000004">
      <c r="C517" s="124"/>
      <c r="G517" s="125"/>
      <c r="I517" s="102">
        <v>5</v>
      </c>
      <c r="J517" s="102">
        <f>IFERROR(VLOOKUP(I517,'3 Sanitation'!$E$326:$L$335,4,FALSE),0)</f>
        <v>0</v>
      </c>
      <c r="K517" s="103">
        <f>IFERROR(VLOOKUP(I517,'3 Sanitation'!$E$326:$L$335,8,FALSE),0)</f>
        <v>0</v>
      </c>
      <c r="L517" s="104">
        <f t="shared" ca="1" si="14"/>
        <v>0</v>
      </c>
      <c r="M517" s="104">
        <f t="shared" ca="1" si="15"/>
        <v>0</v>
      </c>
    </row>
    <row r="518" spans="3:13" x14ac:dyDescent="0.55000000000000004">
      <c r="C518" s="124"/>
      <c r="G518" s="125"/>
      <c r="I518" s="102">
        <v>6</v>
      </c>
      <c r="J518" s="102">
        <f>IFERROR(VLOOKUP(I518,'3 Sanitation'!$E$326:$L$335,4,FALSE),0)</f>
        <v>0</v>
      </c>
      <c r="K518" s="103">
        <f>IFERROR(VLOOKUP(I518,'3 Sanitation'!$E$326:$L$335,8,FALSE),0)</f>
        <v>0</v>
      </c>
      <c r="L518" s="104">
        <f t="shared" ca="1" si="14"/>
        <v>0</v>
      </c>
      <c r="M518" s="104">
        <f t="shared" ca="1" si="15"/>
        <v>0</v>
      </c>
    </row>
    <row r="519" spans="3:13" x14ac:dyDescent="0.55000000000000004">
      <c r="C519" s="124"/>
      <c r="G519" s="125"/>
      <c r="I519" s="102">
        <v>7</v>
      </c>
      <c r="J519" s="102">
        <f>IFERROR(VLOOKUP(I519,'3 Sanitation'!$E$326:$L$335,4,FALSE),0)</f>
        <v>0</v>
      </c>
      <c r="K519" s="103">
        <f>IFERROR(VLOOKUP(I519,'3 Sanitation'!$E$326:$L$335,8,FALSE),0)</f>
        <v>0</v>
      </c>
      <c r="L519" s="104">
        <f t="shared" ca="1" si="14"/>
        <v>0</v>
      </c>
      <c r="M519" s="104">
        <f t="shared" ca="1" si="15"/>
        <v>0</v>
      </c>
    </row>
    <row r="520" spans="3:13" x14ac:dyDescent="0.55000000000000004">
      <c r="C520" s="124"/>
      <c r="G520" s="125"/>
      <c r="I520" s="102">
        <v>8</v>
      </c>
      <c r="J520" s="102">
        <f>IFERROR(VLOOKUP(I520,'3 Sanitation'!$E$326:$L$335,4,FALSE),0)</f>
        <v>0</v>
      </c>
      <c r="K520" s="103">
        <f>IFERROR(VLOOKUP(I520,'3 Sanitation'!$E$326:$L$335,8,FALSE),0)</f>
        <v>0</v>
      </c>
      <c r="L520" s="104">
        <f t="shared" ca="1" si="14"/>
        <v>0</v>
      </c>
      <c r="M520" s="104">
        <f t="shared" ca="1" si="15"/>
        <v>0</v>
      </c>
    </row>
    <row r="521" spans="3:13" x14ac:dyDescent="0.55000000000000004">
      <c r="C521" s="124"/>
      <c r="G521" s="125"/>
      <c r="I521" s="102">
        <v>9</v>
      </c>
      <c r="J521" s="102">
        <f>IFERROR(VLOOKUP(I521,'3 Sanitation'!$E$326:$L$335,4,FALSE),0)</f>
        <v>0</v>
      </c>
      <c r="K521" s="103">
        <f>IFERROR(VLOOKUP(I521,'3 Sanitation'!$E$326:$L$335,8,FALSE),0)</f>
        <v>0</v>
      </c>
      <c r="L521" s="104">
        <f t="shared" ca="1" si="14"/>
        <v>0</v>
      </c>
      <c r="M521" s="104">
        <f t="shared" ca="1" si="15"/>
        <v>0</v>
      </c>
    </row>
    <row r="522" spans="3:13" x14ac:dyDescent="0.55000000000000004">
      <c r="C522" s="124"/>
      <c r="G522" s="125"/>
      <c r="I522" s="102">
        <v>10</v>
      </c>
      <c r="J522" s="102">
        <f>IFERROR(VLOOKUP(I522,'3 Sanitation'!$E$326:$L$335,4,FALSE),0)</f>
        <v>0</v>
      </c>
      <c r="K522" s="103">
        <f>IFERROR(VLOOKUP(I522,'3 Sanitation'!$E$326:$L$335,8,FALSE),0)</f>
        <v>0</v>
      </c>
      <c r="L522" s="104">
        <f t="shared" ca="1" si="14"/>
        <v>0</v>
      </c>
      <c r="M522" s="104">
        <f t="shared" ca="1" si="15"/>
        <v>0</v>
      </c>
    </row>
    <row r="523" spans="3:13" x14ac:dyDescent="0.55000000000000004">
      <c r="C523" s="124"/>
      <c r="G523" s="125"/>
    </row>
    <row r="524" spans="3:13" x14ac:dyDescent="0.55000000000000004">
      <c r="C524" s="124"/>
      <c r="G524" s="125"/>
    </row>
    <row r="525" spans="3:13" x14ac:dyDescent="0.55000000000000004">
      <c r="C525" s="124"/>
      <c r="G525" s="125"/>
    </row>
    <row r="526" spans="3:13" x14ac:dyDescent="0.55000000000000004">
      <c r="C526" s="124"/>
      <c r="G526" s="125"/>
    </row>
    <row r="527" spans="3:13" x14ac:dyDescent="0.55000000000000004">
      <c r="C527" s="124"/>
      <c r="G527" s="125"/>
    </row>
    <row r="528" spans="3:13" ht="14.7" thickBot="1" x14ac:dyDescent="0.6">
      <c r="C528" s="130"/>
      <c r="D528" s="131"/>
      <c r="E528" s="131"/>
      <c r="F528" s="131"/>
      <c r="G528" s="132"/>
    </row>
    <row r="530" spans="3:7" ht="14.7" thickBot="1" x14ac:dyDescent="0.6"/>
    <row r="531" spans="3:7" x14ac:dyDescent="0.55000000000000004">
      <c r="C531" s="121"/>
      <c r="D531" s="122"/>
      <c r="E531" s="122"/>
      <c r="F531" s="122"/>
      <c r="G531" s="123"/>
    </row>
    <row r="532" spans="3:7" ht="15.6" x14ac:dyDescent="0.6">
      <c r="C532" s="124"/>
      <c r="D532" s="98" t="str">
        <f>'2 Customer data'!D65</f>
        <v>Agricultural</v>
      </c>
      <c r="G532" s="125"/>
    </row>
    <row r="533" spans="3:7" x14ac:dyDescent="0.55000000000000004">
      <c r="C533" s="124"/>
      <c r="G533" s="125"/>
    </row>
    <row r="534" spans="3:7" x14ac:dyDescent="0.55000000000000004">
      <c r="C534" s="124"/>
      <c r="E534" s="220" t="s">
        <v>250</v>
      </c>
      <c r="G534" s="125"/>
    </row>
    <row r="535" spans="3:7" x14ac:dyDescent="0.55000000000000004">
      <c r="C535" s="124"/>
      <c r="D535" t="s">
        <v>369</v>
      </c>
      <c r="E535" s="26">
        <f ca="1">VLOOKUP(D532,'2 Sanitation'!$D$19:$J$38,5,FALSE)</f>
        <v>115380.49383891629</v>
      </c>
      <c r="G535" s="125"/>
    </row>
    <row r="536" spans="3:7" x14ac:dyDescent="0.55000000000000004">
      <c r="C536" s="124"/>
      <c r="D536" t="s">
        <v>370</v>
      </c>
      <c r="E536" s="99">
        <f ca="1">VLOOKUP(D532,'2 Sanitation'!$D$19:$J$38,6,FALSE)</f>
        <v>25693.245432935666</v>
      </c>
      <c r="G536" s="125"/>
    </row>
    <row r="537" spans="3:7" ht="14.7" thickBot="1" x14ac:dyDescent="0.6">
      <c r="C537" s="124"/>
      <c r="D537" s="1" t="s">
        <v>39</v>
      </c>
      <c r="E537" s="37">
        <f ca="1">VLOOKUP(D532,'2 Sanitation'!$D$19:$J$38,7,FALSE)</f>
        <v>141073.73927185195</v>
      </c>
      <c r="G537" s="125"/>
    </row>
    <row r="538" spans="3:7" ht="14.7" thickTop="1" x14ac:dyDescent="0.55000000000000004">
      <c r="C538" s="124"/>
      <c r="G538" s="125"/>
    </row>
    <row r="539" spans="3:7" x14ac:dyDescent="0.55000000000000004">
      <c r="C539" s="124"/>
      <c r="D539" t="s">
        <v>189</v>
      </c>
      <c r="E539" s="26">
        <f ca="1">IF(VLOOKUP(D532,'2 Sanitation'!$D$122:$K$141,7,FALSE)="",VLOOKUP(D532,'2 Sanitation'!$D$122:$K$141,6,FALSE),VLOOKUP(D532,'2 Sanitation'!$D$122:$K$141,7,FALSE))+VLOOKUP(D532,'2 Sanitation'!$D$153:$J$172,5,FALSE)</f>
        <v>0</v>
      </c>
      <c r="G539" s="125"/>
    </row>
    <row r="540" spans="3:7" x14ac:dyDescent="0.55000000000000004">
      <c r="C540" s="124"/>
      <c r="G540" s="125"/>
    </row>
    <row r="541" spans="3:7" x14ac:dyDescent="0.55000000000000004">
      <c r="C541" s="124"/>
      <c r="D541" t="s">
        <v>371</v>
      </c>
      <c r="E541" s="64">
        <f ca="1">IF(VLOOKUP(D532,'2 Sanitation'!$D$53:$M$72,5,FALSE)="",VLOOKUP(D532,'2 Sanitation'!$D$53:$M$72,4,FALSE),VLOOKUP(D532,'2 Sanitation'!$D$53:$M$72,5,FALSE))</f>
        <v>0</v>
      </c>
      <c r="G541" s="125"/>
    </row>
    <row r="542" spans="3:7" x14ac:dyDescent="0.55000000000000004">
      <c r="C542" s="124"/>
      <c r="D542" t="s">
        <v>372</v>
      </c>
      <c r="E542" s="26">
        <f ca="1">IF(VLOOKUP(D532,'2 Sanitation'!$D$53:$M$72,7,FALSE)="",VLOOKUP(D532,'2 Sanitation'!$D$53:$M$72,6,FALSE),VLOOKUP(D532,'2 Sanitation'!$D$53:$M$72,7,FALSE))</f>
        <v>20777.964580319629</v>
      </c>
      <c r="G542" s="125"/>
    </row>
    <row r="543" spans="3:7" x14ac:dyDescent="0.55000000000000004">
      <c r="C543" s="124"/>
      <c r="D543" t="s">
        <v>373</v>
      </c>
      <c r="E543" s="26">
        <f ca="1">IF(VLOOKUP(D532,'2 Sanitation'!$D$53:$M$72,9,FALSE)="",VLOOKUP(D532,'2 Sanitation'!$D$53:$M$72,8,FALSE),VLOOKUP(D532,'2 Sanitation'!$D$53:$M$72,9,FALSE))</f>
        <v>0</v>
      </c>
      <c r="G543" s="125"/>
    </row>
    <row r="544" spans="3:7" x14ac:dyDescent="0.55000000000000004">
      <c r="C544" s="124"/>
      <c r="D544" t="s">
        <v>374</v>
      </c>
      <c r="E544" s="26">
        <f ca="1">IF(VLOOKUP(D532,'2 Sanitation'!$D$88:$I$107,5,FALSE)="",VLOOKUP(D532,'2 Sanitation'!$D$88:$I$107,4,FALSE),VLOOKUP(D532,'2 Sanitation'!$D$88:$I$107,5,FALSE))</f>
        <v>0</v>
      </c>
      <c r="G544" s="125"/>
    </row>
    <row r="545" spans="3:11" ht="14.7" thickBot="1" x14ac:dyDescent="0.6">
      <c r="C545" s="124"/>
      <c r="D545" s="1" t="s">
        <v>145</v>
      </c>
      <c r="E545" s="37">
        <f ca="1">SUM(E541:E544)</f>
        <v>20777.964580319629</v>
      </c>
      <c r="G545" s="125"/>
    </row>
    <row r="546" spans="3:11" ht="14.7" thickTop="1" x14ac:dyDescent="0.55000000000000004">
      <c r="C546" s="124"/>
      <c r="D546" s="1"/>
      <c r="E546" s="15"/>
      <c r="G546" s="125"/>
    </row>
    <row r="547" spans="3:11" x14ac:dyDescent="0.55000000000000004">
      <c r="C547" s="124"/>
      <c r="D547" t="s">
        <v>384</v>
      </c>
      <c r="E547" s="26">
        <f ca="1">IF(VLOOKUP(D532,'2 Sanitation'!$D$122:$K$141,5,FALSE)="",VLOOKUP(D532,'2 Sanitation'!$D$122:$K$141,4,FALSE),VLOOKUP(D532,'2 Sanitation'!$D$122:$K$141,5,FALSE))+VLOOKUP(D532,'2 Sanitation'!$D$153:$J$172,7,FALSE)</f>
        <v>0</v>
      </c>
      <c r="G547" s="125"/>
    </row>
    <row r="548" spans="3:11" x14ac:dyDescent="0.55000000000000004">
      <c r="C548" s="124"/>
      <c r="G548" s="125"/>
    </row>
    <row r="549" spans="3:11" ht="14.7" thickBot="1" x14ac:dyDescent="0.6">
      <c r="C549" s="124"/>
      <c r="D549" s="1" t="s">
        <v>375</v>
      </c>
      <c r="E549" s="37">
        <f ca="1">VLOOKUP(D532,'2 Sanitation'!$D$153:$K$172,8,FALSE)</f>
        <v>120295.77469153232</v>
      </c>
      <c r="G549" s="125"/>
    </row>
    <row r="550" spans="3:11" ht="14.7" thickTop="1" x14ac:dyDescent="0.55000000000000004">
      <c r="C550" s="124"/>
      <c r="G550" s="125"/>
    </row>
    <row r="551" spans="3:11" x14ac:dyDescent="0.55000000000000004">
      <c r="C551" s="124"/>
      <c r="G551" s="125"/>
    </row>
    <row r="552" spans="3:11" x14ac:dyDescent="0.55000000000000004">
      <c r="C552" s="124"/>
      <c r="G552" s="125"/>
    </row>
    <row r="553" spans="3:11" x14ac:dyDescent="0.55000000000000004">
      <c r="C553" s="124"/>
      <c r="G553" s="125"/>
    </row>
    <row r="554" spans="3:11" x14ac:dyDescent="0.55000000000000004">
      <c r="C554" s="124"/>
      <c r="G554" s="125"/>
    </row>
    <row r="555" spans="3:11" x14ac:dyDescent="0.55000000000000004">
      <c r="C555" s="124"/>
      <c r="G555" s="125"/>
      <c r="I555" s="232" t="s">
        <v>385</v>
      </c>
    </row>
    <row r="556" spans="3:11" x14ac:dyDescent="0.55000000000000004">
      <c r="C556" s="124"/>
      <c r="G556" s="125"/>
      <c r="I556" s="110"/>
      <c r="J556" s="102" t="s">
        <v>390</v>
      </c>
      <c r="K556" s="102" t="s">
        <v>391</v>
      </c>
    </row>
    <row r="557" spans="3:11" x14ac:dyDescent="0.55000000000000004">
      <c r="C557" s="124"/>
      <c r="G557" s="125"/>
      <c r="I557" s="110" t="s">
        <v>369</v>
      </c>
      <c r="J557" s="100">
        <f ca="1">E535/1000</f>
        <v>115.38049383891628</v>
      </c>
      <c r="K557" s="102"/>
    </row>
    <row r="558" spans="3:11" x14ac:dyDescent="0.55000000000000004">
      <c r="C558" s="124"/>
      <c r="G558" s="125"/>
      <c r="I558" s="110" t="s">
        <v>370</v>
      </c>
      <c r="J558" s="100">
        <f ca="1">E536/1000</f>
        <v>25.693245432935665</v>
      </c>
      <c r="K558" s="110"/>
    </row>
    <row r="559" spans="3:11" x14ac:dyDescent="0.55000000000000004">
      <c r="C559" s="124"/>
      <c r="G559" s="125"/>
      <c r="I559" s="110" t="s">
        <v>471</v>
      </c>
      <c r="J559" s="100">
        <f ca="1">E539/1000</f>
        <v>0</v>
      </c>
      <c r="K559" s="110"/>
    </row>
    <row r="560" spans="3:11" x14ac:dyDescent="0.55000000000000004">
      <c r="C560" s="124"/>
      <c r="G560" s="125"/>
      <c r="I560" s="110" t="s">
        <v>563</v>
      </c>
      <c r="J560" s="100"/>
      <c r="K560" s="101">
        <f ca="1">E549/1000</f>
        <v>120.29577469153232</v>
      </c>
    </row>
    <row r="561" spans="3:11" x14ac:dyDescent="0.55000000000000004">
      <c r="C561" s="124"/>
      <c r="G561" s="125"/>
      <c r="I561" s="110" t="s">
        <v>564</v>
      </c>
      <c r="J561" s="100"/>
      <c r="K561" s="101">
        <f ca="1">E544/1000</f>
        <v>0</v>
      </c>
    </row>
    <row r="562" spans="3:11" x14ac:dyDescent="0.55000000000000004">
      <c r="C562" s="124"/>
      <c r="G562" s="125"/>
      <c r="I562" s="110" t="s">
        <v>565</v>
      </c>
      <c r="J562" s="100"/>
      <c r="K562" s="101">
        <f ca="1">SUM(E541:E543)/1000</f>
        <v>20.77796458031963</v>
      </c>
    </row>
    <row r="563" spans="3:11" x14ac:dyDescent="0.55000000000000004">
      <c r="C563" s="124"/>
      <c r="G563" s="125"/>
      <c r="I563" s="110" t="s">
        <v>566</v>
      </c>
      <c r="J563" s="100"/>
      <c r="K563" s="101">
        <f ca="1">E547/1000</f>
        <v>0</v>
      </c>
    </row>
    <row r="564" spans="3:11" x14ac:dyDescent="0.55000000000000004">
      <c r="C564" s="124"/>
      <c r="G564" s="125"/>
    </row>
    <row r="565" spans="3:11" x14ac:dyDescent="0.55000000000000004">
      <c r="C565" s="124"/>
      <c r="G565" s="125"/>
    </row>
    <row r="566" spans="3:11" x14ac:dyDescent="0.55000000000000004">
      <c r="C566" s="124"/>
      <c r="G566" s="125"/>
    </row>
    <row r="567" spans="3:11" x14ac:dyDescent="0.55000000000000004">
      <c r="C567" s="124"/>
      <c r="E567" s="220" t="s">
        <v>250</v>
      </c>
      <c r="G567" s="125"/>
    </row>
    <row r="568" spans="3:11" x14ac:dyDescent="0.55000000000000004">
      <c r="C568" s="124"/>
      <c r="D568" t="s">
        <v>376</v>
      </c>
      <c r="E568" s="64">
        <f ca="1">VLOOKUP(D532,'2 Sanitation'!$D$153:$M$172,10,FALSE)</f>
        <v>30.005436285356957</v>
      </c>
      <c r="G568" s="125"/>
    </row>
    <row r="569" spans="3:11" x14ac:dyDescent="0.55000000000000004">
      <c r="C569" s="124"/>
      <c r="D569" t="s">
        <v>377</v>
      </c>
      <c r="E569" s="64">
        <f ca="1">VLOOKUP(D532,'2 Sanitation'!$D$153:$M$172,9,FALSE)</f>
        <v>25.58610285326596</v>
      </c>
      <c r="G569" s="125"/>
    </row>
    <row r="570" spans="3:11" x14ac:dyDescent="0.55000000000000004">
      <c r="C570" s="124"/>
      <c r="D570" t="s">
        <v>378</v>
      </c>
      <c r="E570" s="64">
        <f ca="1">IFERROR(IF(E539=0,E547,E539)/E537,0)</f>
        <v>0</v>
      </c>
      <c r="G570" s="125"/>
    </row>
    <row r="571" spans="3:11" x14ac:dyDescent="0.55000000000000004">
      <c r="C571" s="124"/>
      <c r="G571" s="125"/>
    </row>
    <row r="572" spans="3:11" x14ac:dyDescent="0.55000000000000004">
      <c r="C572" s="124"/>
      <c r="D572" t="s">
        <v>379</v>
      </c>
      <c r="E572" s="64">
        <f>'3 Sanitation'!H354</f>
        <v>0</v>
      </c>
      <c r="G572" s="125"/>
    </row>
    <row r="573" spans="3:11" x14ac:dyDescent="0.55000000000000004">
      <c r="C573" s="124"/>
      <c r="D573" t="s">
        <v>380</v>
      </c>
      <c r="E573" s="97">
        <f ca="1">IFERROR('3 Sanitation'!I354/'3 Sanitation'!F354,0)</f>
        <v>0</v>
      </c>
      <c r="G573" s="125"/>
    </row>
    <row r="574" spans="3:11" x14ac:dyDescent="0.55000000000000004">
      <c r="C574" s="124"/>
      <c r="G574" s="125"/>
    </row>
    <row r="575" spans="3:11" x14ac:dyDescent="0.55000000000000004">
      <c r="C575" s="124"/>
      <c r="D575" s="1" t="s">
        <v>381</v>
      </c>
      <c r="G575" s="125"/>
    </row>
    <row r="576" spans="3:11" x14ac:dyDescent="0.55000000000000004">
      <c r="C576" s="124"/>
      <c r="G576" s="125"/>
    </row>
    <row r="577" spans="3:13" x14ac:dyDescent="0.55000000000000004">
      <c r="C577" s="124"/>
      <c r="G577" s="125"/>
    </row>
    <row r="578" spans="3:13" ht="28.8" x14ac:dyDescent="0.55000000000000004">
      <c r="C578" s="124"/>
      <c r="G578" s="125"/>
      <c r="I578" s="229" t="s">
        <v>383</v>
      </c>
      <c r="J578" s="229" t="s">
        <v>382</v>
      </c>
      <c r="K578" s="229" t="s">
        <v>100</v>
      </c>
      <c r="L578" s="230" t="s">
        <v>392</v>
      </c>
      <c r="M578" s="233" t="s">
        <v>581</v>
      </c>
    </row>
    <row r="579" spans="3:13" x14ac:dyDescent="0.55000000000000004">
      <c r="C579" s="124"/>
      <c r="G579" s="125"/>
      <c r="I579" s="102">
        <v>1</v>
      </c>
      <c r="J579" s="102">
        <f>IFERROR(VLOOKUP(I579,'3 Sanitation'!$E$367:$L$376,4,FALSE),0)</f>
        <v>0</v>
      </c>
      <c r="K579" s="103">
        <f ca="1">IFERROR(VLOOKUP(I579,'3 Sanitation'!$E$367:$L$376,8,FALSE),0)</f>
        <v>25.58610285326596</v>
      </c>
      <c r="L579" s="104">
        <f ca="1">$E$568</f>
        <v>30.005436285356957</v>
      </c>
      <c r="M579" s="105">
        <f ca="1">IFERROR('3 Sanitation'!H346/SUM('3 Sanitation'!K367:K376),0)</f>
        <v>5.4647806372834458</v>
      </c>
    </row>
    <row r="580" spans="3:13" x14ac:dyDescent="0.55000000000000004">
      <c r="C580" s="124"/>
      <c r="G580" s="125"/>
      <c r="I580" s="102">
        <v>2</v>
      </c>
      <c r="J580" s="102">
        <f>IFERROR(VLOOKUP(I580,'3 Sanitation'!$E$367:$L$376,4,FALSE),0)</f>
        <v>0</v>
      </c>
      <c r="K580" s="103">
        <f>IFERROR(VLOOKUP(I580,'3 Sanitation'!$E$367:$L$376,8,FALSE),0)</f>
        <v>0</v>
      </c>
      <c r="L580" s="104">
        <f t="shared" ref="L580:L588" ca="1" si="16">$E$568</f>
        <v>30.005436285356957</v>
      </c>
      <c r="M580" s="104">
        <f t="shared" ref="M580:M588" ca="1" si="17">$M$579</f>
        <v>5.4647806372834458</v>
      </c>
    </row>
    <row r="581" spans="3:13" x14ac:dyDescent="0.55000000000000004">
      <c r="C581" s="124"/>
      <c r="G581" s="125"/>
      <c r="I581" s="102">
        <v>3</v>
      </c>
      <c r="J581" s="102">
        <f>IFERROR(VLOOKUP(I581,'3 Sanitation'!$E$367:$L$376,4,FALSE),0)</f>
        <v>0</v>
      </c>
      <c r="K581" s="103">
        <f>IFERROR(VLOOKUP(I581,'3 Sanitation'!$E$367:$L$376,8,FALSE),0)</f>
        <v>0</v>
      </c>
      <c r="L581" s="104">
        <f t="shared" ca="1" si="16"/>
        <v>30.005436285356957</v>
      </c>
      <c r="M581" s="104">
        <f t="shared" ca="1" si="17"/>
        <v>5.4647806372834458</v>
      </c>
    </row>
    <row r="582" spans="3:13" x14ac:dyDescent="0.55000000000000004">
      <c r="C582" s="124"/>
      <c r="G582" s="125"/>
      <c r="I582" s="102">
        <v>4</v>
      </c>
      <c r="J582" s="102">
        <f>IFERROR(VLOOKUP(I582,'3 Sanitation'!$E$367:$L$376,4,FALSE),0)</f>
        <v>0</v>
      </c>
      <c r="K582" s="103">
        <f>IFERROR(VLOOKUP(I582,'3 Sanitation'!$E$367:$L$376,8,FALSE),0)</f>
        <v>0</v>
      </c>
      <c r="L582" s="104">
        <f t="shared" ca="1" si="16"/>
        <v>30.005436285356957</v>
      </c>
      <c r="M582" s="104">
        <f t="shared" ca="1" si="17"/>
        <v>5.4647806372834458</v>
      </c>
    </row>
    <row r="583" spans="3:13" x14ac:dyDescent="0.55000000000000004">
      <c r="C583" s="124"/>
      <c r="G583" s="125"/>
      <c r="I583" s="102">
        <v>5</v>
      </c>
      <c r="J583" s="102">
        <f>IFERROR(VLOOKUP(I583,'3 Sanitation'!$E$367:$L$376,4,FALSE),0)</f>
        <v>0</v>
      </c>
      <c r="K583" s="103">
        <f>IFERROR(VLOOKUP(I583,'3 Sanitation'!$E$367:$L$376,8,FALSE),0)</f>
        <v>0</v>
      </c>
      <c r="L583" s="104">
        <f t="shared" ca="1" si="16"/>
        <v>30.005436285356957</v>
      </c>
      <c r="M583" s="104">
        <f t="shared" ca="1" si="17"/>
        <v>5.4647806372834458</v>
      </c>
    </row>
    <row r="584" spans="3:13" x14ac:dyDescent="0.55000000000000004">
      <c r="C584" s="124"/>
      <c r="G584" s="125"/>
      <c r="I584" s="102">
        <v>6</v>
      </c>
      <c r="J584" s="102">
        <f>IFERROR(VLOOKUP(I584,'3 Sanitation'!$E$367:$L$376,4,FALSE),0)</f>
        <v>0</v>
      </c>
      <c r="K584" s="103">
        <f>IFERROR(VLOOKUP(I584,'3 Sanitation'!$E$367:$L$376,8,FALSE),0)</f>
        <v>0</v>
      </c>
      <c r="L584" s="104">
        <f t="shared" ca="1" si="16"/>
        <v>30.005436285356957</v>
      </c>
      <c r="M584" s="104">
        <f t="shared" ca="1" si="17"/>
        <v>5.4647806372834458</v>
      </c>
    </row>
    <row r="585" spans="3:13" x14ac:dyDescent="0.55000000000000004">
      <c r="C585" s="124"/>
      <c r="G585" s="125"/>
      <c r="I585" s="102">
        <v>7</v>
      </c>
      <c r="J585" s="102">
        <f>IFERROR(VLOOKUP(I585,'3 Sanitation'!$E$367:$L$376,4,FALSE),0)</f>
        <v>0</v>
      </c>
      <c r="K585" s="103">
        <f>IFERROR(VLOOKUP(I585,'3 Sanitation'!$E$367:$L$376,8,FALSE),0)</f>
        <v>0</v>
      </c>
      <c r="L585" s="104">
        <f t="shared" ca="1" si="16"/>
        <v>30.005436285356957</v>
      </c>
      <c r="M585" s="104">
        <f t="shared" ca="1" si="17"/>
        <v>5.4647806372834458</v>
      </c>
    </row>
    <row r="586" spans="3:13" x14ac:dyDescent="0.55000000000000004">
      <c r="C586" s="124"/>
      <c r="G586" s="125"/>
      <c r="I586" s="102">
        <v>8</v>
      </c>
      <c r="J586" s="102">
        <f>IFERROR(VLOOKUP(I586,'3 Sanitation'!$E$367:$L$376,4,FALSE),0)</f>
        <v>0</v>
      </c>
      <c r="K586" s="103">
        <f>IFERROR(VLOOKUP(I586,'3 Sanitation'!$E$367:$L$376,8,FALSE),0)</f>
        <v>0</v>
      </c>
      <c r="L586" s="104">
        <f t="shared" ca="1" si="16"/>
        <v>30.005436285356957</v>
      </c>
      <c r="M586" s="104">
        <f t="shared" ca="1" si="17"/>
        <v>5.4647806372834458</v>
      </c>
    </row>
    <row r="587" spans="3:13" x14ac:dyDescent="0.55000000000000004">
      <c r="C587" s="124"/>
      <c r="G587" s="125"/>
      <c r="I587" s="102">
        <v>9</v>
      </c>
      <c r="J587" s="102">
        <f>IFERROR(VLOOKUP(I587,'3 Sanitation'!$E$367:$L$376,4,FALSE),0)</f>
        <v>0</v>
      </c>
      <c r="K587" s="103">
        <f>IFERROR(VLOOKUP(I587,'3 Sanitation'!$E$367:$L$376,8,FALSE),0)</f>
        <v>0</v>
      </c>
      <c r="L587" s="104">
        <f t="shared" ca="1" si="16"/>
        <v>30.005436285356957</v>
      </c>
      <c r="M587" s="104">
        <f t="shared" ca="1" si="17"/>
        <v>5.4647806372834458</v>
      </c>
    </row>
    <row r="588" spans="3:13" x14ac:dyDescent="0.55000000000000004">
      <c r="C588" s="124"/>
      <c r="G588" s="125"/>
      <c r="I588" s="102">
        <v>10</v>
      </c>
      <c r="J588" s="102">
        <f>IFERROR(VLOOKUP(I588,'3 Sanitation'!$E$367:$L$376,4,FALSE),0)</f>
        <v>0</v>
      </c>
      <c r="K588" s="103">
        <f>IFERROR(VLOOKUP(I588,'3 Sanitation'!$E$367:$L$376,8,FALSE),0)</f>
        <v>0</v>
      </c>
      <c r="L588" s="104">
        <f t="shared" ca="1" si="16"/>
        <v>30.005436285356957</v>
      </c>
      <c r="M588" s="104">
        <f t="shared" ca="1" si="17"/>
        <v>5.4647806372834458</v>
      </c>
    </row>
    <row r="589" spans="3:13" x14ac:dyDescent="0.55000000000000004">
      <c r="C589" s="124"/>
      <c r="G589" s="125"/>
    </row>
    <row r="590" spans="3:13" x14ac:dyDescent="0.55000000000000004">
      <c r="C590" s="124"/>
      <c r="G590" s="125"/>
    </row>
    <row r="591" spans="3:13" x14ac:dyDescent="0.55000000000000004">
      <c r="C591" s="124"/>
      <c r="G591" s="125"/>
    </row>
    <row r="592" spans="3:13" x14ac:dyDescent="0.55000000000000004">
      <c r="C592" s="124"/>
      <c r="G592" s="125"/>
    </row>
    <row r="593" spans="3:7" x14ac:dyDescent="0.55000000000000004">
      <c r="C593" s="124"/>
      <c r="G593" s="125"/>
    </row>
    <row r="594" spans="3:7" ht="14.7" thickBot="1" x14ac:dyDescent="0.6">
      <c r="C594" s="130"/>
      <c r="D594" s="131"/>
      <c r="E594" s="131"/>
      <c r="F594" s="131"/>
      <c r="G594" s="132"/>
    </row>
    <row r="596" spans="3:7" ht="14.7" thickBot="1" x14ac:dyDescent="0.6"/>
    <row r="597" spans="3:7" x14ac:dyDescent="0.55000000000000004">
      <c r="C597" s="121"/>
      <c r="D597" s="122"/>
      <c r="E597" s="122"/>
      <c r="F597" s="122"/>
      <c r="G597" s="123"/>
    </row>
    <row r="598" spans="3:7" ht="15.6" x14ac:dyDescent="0.6">
      <c r="C598" s="124"/>
      <c r="D598" s="98">
        <f>'2 Customer data'!D66</f>
        <v>0</v>
      </c>
      <c r="G598" s="125"/>
    </row>
    <row r="599" spans="3:7" x14ac:dyDescent="0.55000000000000004">
      <c r="C599" s="124"/>
      <c r="G599" s="125"/>
    </row>
    <row r="600" spans="3:7" x14ac:dyDescent="0.55000000000000004">
      <c r="C600" s="124"/>
      <c r="E600" s="220" t="s">
        <v>250</v>
      </c>
      <c r="G600" s="125"/>
    </row>
    <row r="601" spans="3:7" x14ac:dyDescent="0.55000000000000004">
      <c r="C601" s="124"/>
      <c r="D601" t="s">
        <v>369</v>
      </c>
      <c r="E601" s="26">
        <f ca="1">VLOOKUP(D598,'2 Sanitation'!$D$19:$J$38,5,FALSE)</f>
        <v>0</v>
      </c>
      <c r="G601" s="125"/>
    </row>
    <row r="602" spans="3:7" x14ac:dyDescent="0.55000000000000004">
      <c r="C602" s="124"/>
      <c r="D602" t="s">
        <v>370</v>
      </c>
      <c r="E602" s="99">
        <f ca="1">VLOOKUP(D598,'2 Sanitation'!$D$19:$J$38,6,FALSE)</f>
        <v>0</v>
      </c>
      <c r="G602" s="125"/>
    </row>
    <row r="603" spans="3:7" ht="14.7" thickBot="1" x14ac:dyDescent="0.6">
      <c r="C603" s="124"/>
      <c r="D603" s="1" t="s">
        <v>39</v>
      </c>
      <c r="E603" s="37">
        <f ca="1">VLOOKUP(D598,'2 Sanitation'!$D$19:$J$38,7,FALSE)</f>
        <v>0</v>
      </c>
      <c r="G603" s="125"/>
    </row>
    <row r="604" spans="3:7" ht="14.7" thickTop="1" x14ac:dyDescent="0.55000000000000004">
      <c r="C604" s="124"/>
      <c r="G604" s="125"/>
    </row>
    <row r="605" spans="3:7" x14ac:dyDescent="0.55000000000000004">
      <c r="C605" s="124"/>
      <c r="D605" t="s">
        <v>189</v>
      </c>
      <c r="E605" s="26">
        <f ca="1">IF(VLOOKUP(D598,'2 Sanitation'!$D$122:$K$141,7,FALSE)="",VLOOKUP(D598,'2 Sanitation'!$D$122:$K$141,6,FALSE),VLOOKUP(D598,'2 Sanitation'!$D$122:$K$141,7,FALSE))+VLOOKUP(D598,'2 Sanitation'!$D$153:$J$172,5,FALSE)</f>
        <v>0</v>
      </c>
      <c r="G605" s="125"/>
    </row>
    <row r="606" spans="3:7" x14ac:dyDescent="0.55000000000000004">
      <c r="C606" s="124"/>
      <c r="G606" s="125"/>
    </row>
    <row r="607" spans="3:7" x14ac:dyDescent="0.55000000000000004">
      <c r="C607" s="124"/>
      <c r="D607" t="s">
        <v>371</v>
      </c>
      <c r="E607" s="64">
        <f ca="1">IF(VLOOKUP(D598,'2 Sanitation'!$D$53:$M$72,5,FALSE)="",VLOOKUP(D598,'2 Sanitation'!$D$53:$M$72,4,FALSE),VLOOKUP(D598,'2 Sanitation'!$D$53:$M$72,5,FALSE))</f>
        <v>0</v>
      </c>
      <c r="G607" s="125"/>
    </row>
    <row r="608" spans="3:7" x14ac:dyDescent="0.55000000000000004">
      <c r="C608" s="124"/>
      <c r="D608" t="s">
        <v>372</v>
      </c>
      <c r="E608" s="26">
        <f ca="1">IF(VLOOKUP(D598,'2 Sanitation'!$D$53:$M$72,7,FALSE)="",VLOOKUP(D598,'2 Sanitation'!$D$53:$M$72,6,FALSE),VLOOKUP(D598,'2 Sanitation'!$D$53:$M$72,7,FALSE))</f>
        <v>0</v>
      </c>
      <c r="G608" s="125"/>
    </row>
    <row r="609" spans="3:11" x14ac:dyDescent="0.55000000000000004">
      <c r="C609" s="124"/>
      <c r="D609" t="s">
        <v>373</v>
      </c>
      <c r="E609" s="26">
        <f ca="1">IF(VLOOKUP(D598,'2 Sanitation'!$D$53:$M$72,9,FALSE)="",VLOOKUP(D598,'2 Sanitation'!$D$53:$M$72,8,FALSE),VLOOKUP(D598,'2 Sanitation'!$D$53:$M$72,9,FALSE))</f>
        <v>0</v>
      </c>
      <c r="G609" s="125"/>
    </row>
    <row r="610" spans="3:11" x14ac:dyDescent="0.55000000000000004">
      <c r="C610" s="124"/>
      <c r="D610" t="s">
        <v>374</v>
      </c>
      <c r="E610" s="26">
        <f ca="1">IF(VLOOKUP(D598,'2 Sanitation'!$D$88:$I$107,5,FALSE)="",VLOOKUP(D598,'2 Sanitation'!$D$88:$I$107,4,FALSE),VLOOKUP(D598,'2 Sanitation'!$D$88:$I$107,5,FALSE))</f>
        <v>0</v>
      </c>
      <c r="G610" s="125"/>
    </row>
    <row r="611" spans="3:11" ht="14.7" thickBot="1" x14ac:dyDescent="0.6">
      <c r="C611" s="124"/>
      <c r="D611" s="1" t="s">
        <v>145</v>
      </c>
      <c r="E611" s="37">
        <f ca="1">SUM(E607:E610)</f>
        <v>0</v>
      </c>
      <c r="G611" s="125"/>
    </row>
    <row r="612" spans="3:11" ht="14.7" thickTop="1" x14ac:dyDescent="0.55000000000000004">
      <c r="C612" s="124"/>
      <c r="D612" s="1"/>
      <c r="E612" s="15"/>
      <c r="G612" s="125"/>
    </row>
    <row r="613" spans="3:11" x14ac:dyDescent="0.55000000000000004">
      <c r="C613" s="124"/>
      <c r="D613" t="s">
        <v>384</v>
      </c>
      <c r="E613" s="26">
        <f ca="1">IF(VLOOKUP(D598,'2 Sanitation'!$D$122:$K$141,5,FALSE)="",VLOOKUP(D598,'2 Sanitation'!$D$122:$K$141,4,FALSE),VLOOKUP(D598,'2 Sanitation'!$D$122:$K$141,5,FALSE))+VLOOKUP(D598,'2 Sanitation'!$D$153:$J$172,7,FALSE)</f>
        <v>0</v>
      </c>
      <c r="G613" s="125"/>
    </row>
    <row r="614" spans="3:11" x14ac:dyDescent="0.55000000000000004">
      <c r="C614" s="124"/>
      <c r="G614" s="125"/>
    </row>
    <row r="615" spans="3:11" ht="14.7" thickBot="1" x14ac:dyDescent="0.6">
      <c r="C615" s="124"/>
      <c r="D615" s="1" t="s">
        <v>375</v>
      </c>
      <c r="E615" s="37">
        <f ca="1">VLOOKUP(D598,'2 Sanitation'!$D$153:$K$172,8,FALSE)</f>
        <v>0</v>
      </c>
      <c r="G615" s="125"/>
    </row>
    <row r="616" spans="3:11" ht="14.7" thickTop="1" x14ac:dyDescent="0.55000000000000004">
      <c r="C616" s="124"/>
      <c r="G616" s="125"/>
    </row>
    <row r="617" spans="3:11" x14ac:dyDescent="0.55000000000000004">
      <c r="C617" s="124"/>
      <c r="G617" s="125"/>
    </row>
    <row r="618" spans="3:11" x14ac:dyDescent="0.55000000000000004">
      <c r="C618" s="124"/>
      <c r="G618" s="125"/>
    </row>
    <row r="619" spans="3:11" x14ac:dyDescent="0.55000000000000004">
      <c r="C619" s="124"/>
      <c r="G619" s="125"/>
    </row>
    <row r="620" spans="3:11" x14ac:dyDescent="0.55000000000000004">
      <c r="C620" s="124"/>
      <c r="G620" s="125"/>
    </row>
    <row r="621" spans="3:11" x14ac:dyDescent="0.55000000000000004">
      <c r="C621" s="124"/>
      <c r="G621" s="125"/>
    </row>
    <row r="622" spans="3:11" x14ac:dyDescent="0.55000000000000004">
      <c r="C622" s="124"/>
      <c r="G622" s="125"/>
      <c r="I622" s="232" t="s">
        <v>385</v>
      </c>
    </row>
    <row r="623" spans="3:11" x14ac:dyDescent="0.55000000000000004">
      <c r="C623" s="124"/>
      <c r="G623" s="125"/>
      <c r="I623" s="110"/>
      <c r="J623" s="102" t="s">
        <v>390</v>
      </c>
      <c r="K623" s="102" t="s">
        <v>391</v>
      </c>
    </row>
    <row r="624" spans="3:11" x14ac:dyDescent="0.55000000000000004">
      <c r="C624" s="124"/>
      <c r="G624" s="125"/>
      <c r="I624" s="110" t="s">
        <v>369</v>
      </c>
      <c r="J624" s="100">
        <f ca="1">E601/1000</f>
        <v>0</v>
      </c>
      <c r="K624" s="102"/>
    </row>
    <row r="625" spans="3:11" x14ac:dyDescent="0.55000000000000004">
      <c r="C625" s="124"/>
      <c r="G625" s="125"/>
      <c r="I625" s="110" t="s">
        <v>370</v>
      </c>
      <c r="J625" s="100">
        <f ca="1">E602/1000</f>
        <v>0</v>
      </c>
      <c r="K625" s="110"/>
    </row>
    <row r="626" spans="3:11" x14ac:dyDescent="0.55000000000000004">
      <c r="C626" s="124"/>
      <c r="G626" s="125"/>
      <c r="I626" s="110" t="s">
        <v>471</v>
      </c>
      <c r="J626" s="100">
        <f ca="1">E605/1000</f>
        <v>0</v>
      </c>
      <c r="K626" s="110"/>
    </row>
    <row r="627" spans="3:11" x14ac:dyDescent="0.55000000000000004">
      <c r="C627" s="124"/>
      <c r="G627" s="125"/>
      <c r="I627" s="110" t="s">
        <v>563</v>
      </c>
      <c r="J627" s="100"/>
      <c r="K627" s="101">
        <f ca="1">E615/1000</f>
        <v>0</v>
      </c>
    </row>
    <row r="628" spans="3:11" x14ac:dyDescent="0.55000000000000004">
      <c r="C628" s="124"/>
      <c r="G628" s="125"/>
      <c r="I628" s="110" t="s">
        <v>564</v>
      </c>
      <c r="J628" s="100"/>
      <c r="K628" s="101">
        <f ca="1">E610/1000</f>
        <v>0</v>
      </c>
    </row>
    <row r="629" spans="3:11" x14ac:dyDescent="0.55000000000000004">
      <c r="C629" s="124"/>
      <c r="G629" s="125"/>
      <c r="I629" s="110" t="s">
        <v>565</v>
      </c>
      <c r="J629" s="100"/>
      <c r="K629" s="101">
        <f ca="1">SUM(E607:E609)/1000</f>
        <v>0</v>
      </c>
    </row>
    <row r="630" spans="3:11" x14ac:dyDescent="0.55000000000000004">
      <c r="C630" s="124"/>
      <c r="G630" s="125"/>
      <c r="I630" s="110" t="s">
        <v>566</v>
      </c>
      <c r="J630" s="100"/>
      <c r="K630" s="101">
        <f ca="1">E613/1000</f>
        <v>0</v>
      </c>
    </row>
    <row r="631" spans="3:11" x14ac:dyDescent="0.55000000000000004">
      <c r="C631" s="124"/>
      <c r="G631" s="125"/>
    </row>
    <row r="632" spans="3:11" x14ac:dyDescent="0.55000000000000004">
      <c r="C632" s="124"/>
      <c r="G632" s="125"/>
    </row>
    <row r="633" spans="3:11" x14ac:dyDescent="0.55000000000000004">
      <c r="C633" s="124"/>
      <c r="E633" s="220" t="s">
        <v>250</v>
      </c>
      <c r="G633" s="125"/>
    </row>
    <row r="634" spans="3:11" x14ac:dyDescent="0.55000000000000004">
      <c r="C634" s="124"/>
      <c r="D634" t="s">
        <v>376</v>
      </c>
      <c r="E634" s="64">
        <f ca="1">VLOOKUP(D598,'2 Sanitation'!$D$153:$M$172,10,FALSE)</f>
        <v>0</v>
      </c>
      <c r="G634" s="125"/>
    </row>
    <row r="635" spans="3:11" x14ac:dyDescent="0.55000000000000004">
      <c r="C635" s="124"/>
      <c r="D635" t="s">
        <v>377</v>
      </c>
      <c r="E635" s="64">
        <f ca="1">VLOOKUP(D598,'2 Sanitation'!$D$153:$M$172,9,FALSE)</f>
        <v>0</v>
      </c>
      <c r="G635" s="125"/>
    </row>
    <row r="636" spans="3:11" x14ac:dyDescent="0.55000000000000004">
      <c r="C636" s="124"/>
      <c r="D636" t="s">
        <v>378</v>
      </c>
      <c r="E636" s="64">
        <f ca="1">IFERROR(IF(E605=0,E613,E605)/E603,0)</f>
        <v>0</v>
      </c>
      <c r="G636" s="125"/>
    </row>
    <row r="637" spans="3:11" x14ac:dyDescent="0.55000000000000004">
      <c r="C637" s="124"/>
      <c r="G637" s="125"/>
    </row>
    <row r="638" spans="3:11" x14ac:dyDescent="0.55000000000000004">
      <c r="C638" s="124"/>
      <c r="D638" t="s">
        <v>379</v>
      </c>
      <c r="E638" s="64">
        <f>'3 Sanitation'!H395</f>
        <v>0</v>
      </c>
      <c r="G638" s="125"/>
    </row>
    <row r="639" spans="3:11" x14ac:dyDescent="0.55000000000000004">
      <c r="C639" s="124"/>
      <c r="D639" t="s">
        <v>380</v>
      </c>
      <c r="E639" s="97">
        <f ca="1">IFERROR('3 Sanitation'!I395/'3 Sanitation'!F395,0)</f>
        <v>0</v>
      </c>
      <c r="G639" s="125"/>
    </row>
    <row r="640" spans="3:11" x14ac:dyDescent="0.55000000000000004">
      <c r="C640" s="124"/>
      <c r="G640" s="125"/>
    </row>
    <row r="641" spans="3:13" x14ac:dyDescent="0.55000000000000004">
      <c r="C641" s="124"/>
      <c r="D641" s="1" t="s">
        <v>381</v>
      </c>
      <c r="G641" s="125"/>
    </row>
    <row r="642" spans="3:13" x14ac:dyDescent="0.55000000000000004">
      <c r="C642" s="124"/>
      <c r="G642" s="125"/>
    </row>
    <row r="643" spans="3:13" x14ac:dyDescent="0.55000000000000004">
      <c r="C643" s="124"/>
      <c r="G643" s="125"/>
    </row>
    <row r="644" spans="3:13" ht="28.8" x14ac:dyDescent="0.55000000000000004">
      <c r="C644" s="124"/>
      <c r="G644" s="125"/>
      <c r="I644" s="229" t="s">
        <v>383</v>
      </c>
      <c r="J644" s="229" t="s">
        <v>382</v>
      </c>
      <c r="K644" s="229" t="s">
        <v>100</v>
      </c>
      <c r="L644" s="230" t="s">
        <v>392</v>
      </c>
      <c r="M644" s="233" t="s">
        <v>581</v>
      </c>
    </row>
    <row r="645" spans="3:13" x14ac:dyDescent="0.55000000000000004">
      <c r="C645" s="124"/>
      <c r="G645" s="125"/>
      <c r="I645" s="102">
        <v>1</v>
      </c>
      <c r="J645" s="102">
        <f>IFERROR(VLOOKUP(I645,'3 Sanitation'!$E$408:$L$417,4,FALSE),0)</f>
        <v>0</v>
      </c>
      <c r="K645" s="103">
        <f>IFERROR(VLOOKUP(I645,'3 Sanitation'!$E$408:$L$417,8,FALSE),0)</f>
        <v>0</v>
      </c>
      <c r="L645" s="104">
        <f ca="1">$E$634</f>
        <v>0</v>
      </c>
      <c r="M645" s="105">
        <f ca="1">IFERROR('3 Sanitation'!H387/SUM('3 Sanitation'!K408:K417),0)</f>
        <v>0</v>
      </c>
    </row>
    <row r="646" spans="3:13" x14ac:dyDescent="0.55000000000000004">
      <c r="C646" s="124"/>
      <c r="G646" s="125"/>
      <c r="I646" s="102">
        <v>2</v>
      </c>
      <c r="J646" s="102">
        <f>IFERROR(VLOOKUP(I646,'3 Sanitation'!$E$408:$L$417,4,FALSE),0)</f>
        <v>0</v>
      </c>
      <c r="K646" s="103">
        <f ca="1">IFERROR(VLOOKUP(I646,'3 Sanitation'!$E$408:$L$417,8,FALSE),0)</f>
        <v>0</v>
      </c>
      <c r="L646" s="104">
        <f t="shared" ref="L646:L654" ca="1" si="18">$E$634</f>
        <v>0</v>
      </c>
      <c r="M646" s="104">
        <f t="shared" ref="M646:M654" ca="1" si="19">$M$645</f>
        <v>0</v>
      </c>
    </row>
    <row r="647" spans="3:13" x14ac:dyDescent="0.55000000000000004">
      <c r="C647" s="124"/>
      <c r="G647" s="125"/>
      <c r="I647" s="102">
        <v>3</v>
      </c>
      <c r="J647" s="102">
        <f>IFERROR(VLOOKUP(I647,'3 Sanitation'!$E$408:$L$417,4,FALSE),0)</f>
        <v>0</v>
      </c>
      <c r="K647" s="103">
        <f ca="1">IFERROR(VLOOKUP(I647,'3 Sanitation'!$E$408:$L$417,8,FALSE),0)</f>
        <v>0</v>
      </c>
      <c r="L647" s="104">
        <f t="shared" ca="1" si="18"/>
        <v>0</v>
      </c>
      <c r="M647" s="104">
        <f t="shared" ca="1" si="19"/>
        <v>0</v>
      </c>
    </row>
    <row r="648" spans="3:13" x14ac:dyDescent="0.55000000000000004">
      <c r="C648" s="124"/>
      <c r="G648" s="125"/>
      <c r="I648" s="102">
        <v>4</v>
      </c>
      <c r="J648" s="102">
        <f>IFERROR(VLOOKUP(I648,'3 Sanitation'!$E$408:$L$417,4,FALSE),0)</f>
        <v>0</v>
      </c>
      <c r="K648" s="103">
        <f ca="1">IFERROR(VLOOKUP(I648,'3 Sanitation'!$E$408:$L$417,8,FALSE),0)</f>
        <v>0</v>
      </c>
      <c r="L648" s="104">
        <f t="shared" ca="1" si="18"/>
        <v>0</v>
      </c>
      <c r="M648" s="104">
        <f t="shared" ca="1" si="19"/>
        <v>0</v>
      </c>
    </row>
    <row r="649" spans="3:13" x14ac:dyDescent="0.55000000000000004">
      <c r="C649" s="124"/>
      <c r="G649" s="125"/>
      <c r="I649" s="102">
        <v>5</v>
      </c>
      <c r="J649" s="102">
        <f>IFERROR(VLOOKUP(I649,'3 Sanitation'!$E$408:$L$417,4,FALSE),0)</f>
        <v>0</v>
      </c>
      <c r="K649" s="103">
        <f ca="1">IFERROR(VLOOKUP(I649,'3 Sanitation'!$E$408:$L$417,8,FALSE),0)</f>
        <v>0</v>
      </c>
      <c r="L649" s="104">
        <f t="shared" ca="1" si="18"/>
        <v>0</v>
      </c>
      <c r="M649" s="104">
        <f t="shared" ca="1" si="19"/>
        <v>0</v>
      </c>
    </row>
    <row r="650" spans="3:13" x14ac:dyDescent="0.55000000000000004">
      <c r="C650" s="124"/>
      <c r="G650" s="125"/>
      <c r="I650" s="102">
        <v>6</v>
      </c>
      <c r="J650" s="102">
        <f>IFERROR(VLOOKUP(I650,'3 Sanitation'!$E$408:$L$417,4,FALSE),0)</f>
        <v>0</v>
      </c>
      <c r="K650" s="103">
        <f ca="1">IFERROR(VLOOKUP(I650,'3 Sanitation'!$E$408:$L$417,8,FALSE),0)</f>
        <v>0</v>
      </c>
      <c r="L650" s="104">
        <f t="shared" ca="1" si="18"/>
        <v>0</v>
      </c>
      <c r="M650" s="104">
        <f t="shared" ca="1" si="19"/>
        <v>0</v>
      </c>
    </row>
    <row r="651" spans="3:13" x14ac:dyDescent="0.55000000000000004">
      <c r="C651" s="124"/>
      <c r="G651" s="125"/>
      <c r="I651" s="102">
        <v>7</v>
      </c>
      <c r="J651" s="102">
        <f>IFERROR(VLOOKUP(I651,'3 Sanitation'!$E$408:$L$417,4,FALSE),0)</f>
        <v>0</v>
      </c>
      <c r="K651" s="103">
        <f ca="1">IFERROR(VLOOKUP(I651,'3 Sanitation'!$E$408:$L$417,8,FALSE),0)</f>
        <v>0</v>
      </c>
      <c r="L651" s="104">
        <f t="shared" ca="1" si="18"/>
        <v>0</v>
      </c>
      <c r="M651" s="104">
        <f t="shared" ca="1" si="19"/>
        <v>0</v>
      </c>
    </row>
    <row r="652" spans="3:13" x14ac:dyDescent="0.55000000000000004">
      <c r="C652" s="124"/>
      <c r="G652" s="125"/>
      <c r="I652" s="102">
        <v>8</v>
      </c>
      <c r="J652" s="102">
        <f>IFERROR(VLOOKUP(I652,'3 Sanitation'!$E$408:$L$417,4,FALSE),0)</f>
        <v>0</v>
      </c>
      <c r="K652" s="103">
        <f ca="1">IFERROR(VLOOKUP(I652,'3 Sanitation'!$E$408:$L$417,8,FALSE),0)</f>
        <v>0</v>
      </c>
      <c r="L652" s="104">
        <f t="shared" ca="1" si="18"/>
        <v>0</v>
      </c>
      <c r="M652" s="104">
        <f t="shared" ca="1" si="19"/>
        <v>0</v>
      </c>
    </row>
    <row r="653" spans="3:13" x14ac:dyDescent="0.55000000000000004">
      <c r="C653" s="124"/>
      <c r="G653" s="125"/>
      <c r="I653" s="102">
        <v>9</v>
      </c>
      <c r="J653" s="102">
        <f>IFERROR(VLOOKUP(I653,'3 Sanitation'!$E$408:$L$417,4,FALSE),0)</f>
        <v>0</v>
      </c>
      <c r="K653" s="103">
        <f ca="1">IFERROR(VLOOKUP(I653,'3 Sanitation'!$E$408:$L$417,8,FALSE),0)</f>
        <v>0</v>
      </c>
      <c r="L653" s="104">
        <f t="shared" ca="1" si="18"/>
        <v>0</v>
      </c>
      <c r="M653" s="104">
        <f t="shared" ca="1" si="19"/>
        <v>0</v>
      </c>
    </row>
    <row r="654" spans="3:13" x14ac:dyDescent="0.55000000000000004">
      <c r="C654" s="124"/>
      <c r="G654" s="125"/>
      <c r="I654" s="102">
        <v>10</v>
      </c>
      <c r="J654" s="102" t="str">
        <f>IFERROR(VLOOKUP(I654,'3 Sanitation'!$E$408:$L$417,4,FALSE),0)</f>
        <v>More</v>
      </c>
      <c r="K654" s="103">
        <f ca="1">IFERROR(VLOOKUP(I654,'3 Sanitation'!$E$408:$L$417,8,FALSE),0)</f>
        <v>0</v>
      </c>
      <c r="L654" s="104">
        <f t="shared" ca="1" si="18"/>
        <v>0</v>
      </c>
      <c r="M654" s="104">
        <f t="shared" ca="1" si="19"/>
        <v>0</v>
      </c>
    </row>
    <row r="655" spans="3:13" x14ac:dyDescent="0.55000000000000004">
      <c r="C655" s="124"/>
      <c r="G655" s="125"/>
    </row>
    <row r="656" spans="3:13" x14ac:dyDescent="0.55000000000000004">
      <c r="C656" s="124"/>
      <c r="G656" s="125"/>
    </row>
    <row r="657" spans="3:7" x14ac:dyDescent="0.55000000000000004">
      <c r="C657" s="124"/>
      <c r="G657" s="125"/>
    </row>
    <row r="658" spans="3:7" x14ac:dyDescent="0.55000000000000004">
      <c r="C658" s="124"/>
      <c r="G658" s="125"/>
    </row>
    <row r="659" spans="3:7" x14ac:dyDescent="0.55000000000000004">
      <c r="C659" s="124"/>
      <c r="G659" s="125"/>
    </row>
    <row r="660" spans="3:7" ht="14.7" thickBot="1" x14ac:dyDescent="0.6">
      <c r="C660" s="130"/>
      <c r="D660" s="131"/>
      <c r="E660" s="131"/>
      <c r="F660" s="131"/>
      <c r="G660" s="132"/>
    </row>
    <row r="662" spans="3:7" ht="14.7" thickBot="1" x14ac:dyDescent="0.6"/>
    <row r="663" spans="3:7" x14ac:dyDescent="0.55000000000000004">
      <c r="C663" s="121"/>
      <c r="D663" s="122"/>
      <c r="E663" s="122"/>
      <c r="F663" s="122"/>
      <c r="G663" s="123"/>
    </row>
    <row r="664" spans="3:7" ht="15.6" x14ac:dyDescent="0.6">
      <c r="C664" s="124"/>
      <c r="D664" s="98">
        <f>'2 Customer data'!D67</f>
        <v>0</v>
      </c>
      <c r="G664" s="125"/>
    </row>
    <row r="665" spans="3:7" x14ac:dyDescent="0.55000000000000004">
      <c r="C665" s="124"/>
      <c r="G665" s="125"/>
    </row>
    <row r="666" spans="3:7" x14ac:dyDescent="0.55000000000000004">
      <c r="C666" s="124"/>
      <c r="E666" s="220" t="s">
        <v>250</v>
      </c>
      <c r="G666" s="125"/>
    </row>
    <row r="667" spans="3:7" x14ac:dyDescent="0.55000000000000004">
      <c r="C667" s="124"/>
      <c r="D667" t="s">
        <v>369</v>
      </c>
      <c r="E667" s="26">
        <f ca="1">VLOOKUP(D664,'2 Sanitation'!$D$19:$J$38,5,FALSE)</f>
        <v>0</v>
      </c>
      <c r="G667" s="125"/>
    </row>
    <row r="668" spans="3:7" x14ac:dyDescent="0.55000000000000004">
      <c r="C668" s="124"/>
      <c r="D668" t="s">
        <v>370</v>
      </c>
      <c r="E668" s="99">
        <f ca="1">VLOOKUP(D664,'2 Sanitation'!$D$19:$J$38,6,FALSE)</f>
        <v>0</v>
      </c>
      <c r="G668" s="125"/>
    </row>
    <row r="669" spans="3:7" ht="14.7" thickBot="1" x14ac:dyDescent="0.6">
      <c r="C669" s="124"/>
      <c r="D669" s="1" t="s">
        <v>39</v>
      </c>
      <c r="E669" s="37">
        <f ca="1">VLOOKUP(D664,'2 Sanitation'!$D$19:$J$38,7,FALSE)</f>
        <v>0</v>
      </c>
      <c r="G669" s="125"/>
    </row>
    <row r="670" spans="3:7" ht="14.7" thickTop="1" x14ac:dyDescent="0.55000000000000004">
      <c r="C670" s="124"/>
      <c r="G670" s="125"/>
    </row>
    <row r="671" spans="3:7" x14ac:dyDescent="0.55000000000000004">
      <c r="C671" s="124"/>
      <c r="D671" t="s">
        <v>189</v>
      </c>
      <c r="E671" s="26">
        <f ca="1">IF(VLOOKUP(D664,'2 Sanitation'!$D$122:$K$141,7,FALSE)="",VLOOKUP(D664,'2 Sanitation'!$D$122:$K$141,6,FALSE),VLOOKUP(D664,'2 Sanitation'!$D$122:$K$141,7,FALSE))+VLOOKUP(D664,'2 Sanitation'!$D$153:$J$172,5,FALSE)</f>
        <v>0</v>
      </c>
      <c r="G671" s="125"/>
    </row>
    <row r="672" spans="3:7" x14ac:dyDescent="0.55000000000000004">
      <c r="C672" s="124"/>
      <c r="G672" s="125"/>
    </row>
    <row r="673" spans="3:11" x14ac:dyDescent="0.55000000000000004">
      <c r="C673" s="124"/>
      <c r="D673" t="s">
        <v>371</v>
      </c>
      <c r="E673" s="64">
        <f ca="1">IF(VLOOKUP(D664,'2 Sanitation'!$D$53:$M$72,5,FALSE)="",VLOOKUP(D664,'2 Sanitation'!$D$53:$M$72,4,FALSE),VLOOKUP(D664,'2 Sanitation'!$D$53:$M$72,5,FALSE))</f>
        <v>0</v>
      </c>
      <c r="G673" s="125"/>
    </row>
    <row r="674" spans="3:11" x14ac:dyDescent="0.55000000000000004">
      <c r="C674" s="124"/>
      <c r="D674" t="s">
        <v>372</v>
      </c>
      <c r="E674" s="26">
        <f ca="1">IF(VLOOKUP(D664,'2 Sanitation'!$D$53:$M$72,7,FALSE)="",VLOOKUP(D664,'2 Sanitation'!$D$53:$M$72,6,FALSE),VLOOKUP(D664,'2 Sanitation'!$D$53:$M$72,7,FALSE))</f>
        <v>0</v>
      </c>
      <c r="G674" s="125"/>
    </row>
    <row r="675" spans="3:11" x14ac:dyDescent="0.55000000000000004">
      <c r="C675" s="124"/>
      <c r="D675" t="s">
        <v>373</v>
      </c>
      <c r="E675" s="26">
        <f ca="1">IF(VLOOKUP(D664,'2 Sanitation'!$D$53:$M$72,9,FALSE)="",VLOOKUP(D664,'2 Sanitation'!$D$53:$M$72,8,FALSE),VLOOKUP(D664,'2 Sanitation'!$D$53:$M$72,9,FALSE))</f>
        <v>0</v>
      </c>
      <c r="G675" s="125"/>
    </row>
    <row r="676" spans="3:11" x14ac:dyDescent="0.55000000000000004">
      <c r="C676" s="124"/>
      <c r="D676" t="s">
        <v>374</v>
      </c>
      <c r="E676" s="26">
        <f ca="1">IF(VLOOKUP(D664,'2 Sanitation'!$D$88:$I$107,5,FALSE)="",VLOOKUP(D664,'2 Sanitation'!$D$88:$I$107,4,FALSE),VLOOKUP(D664,'2 Sanitation'!$D$88:$I$107,5,FALSE))</f>
        <v>0</v>
      </c>
      <c r="G676" s="125"/>
    </row>
    <row r="677" spans="3:11" ht="14.7" thickBot="1" x14ac:dyDescent="0.6">
      <c r="C677" s="124"/>
      <c r="D677" s="1" t="s">
        <v>145</v>
      </c>
      <c r="E677" s="37">
        <f ca="1">SUM(E673:E676)</f>
        <v>0</v>
      </c>
      <c r="G677" s="125"/>
    </row>
    <row r="678" spans="3:11" ht="14.7" thickTop="1" x14ac:dyDescent="0.55000000000000004">
      <c r="C678" s="124"/>
      <c r="D678" s="1"/>
      <c r="E678" s="15"/>
      <c r="G678" s="125"/>
    </row>
    <row r="679" spans="3:11" x14ac:dyDescent="0.55000000000000004">
      <c r="C679" s="124"/>
      <c r="D679" t="s">
        <v>384</v>
      </c>
      <c r="E679" s="26">
        <f ca="1">IF(VLOOKUP(D664,'2 Sanitation'!$D$122:$K$141,5,FALSE)="",VLOOKUP(D664,'2 Sanitation'!$D$122:$K$141,4,FALSE),VLOOKUP(D664,'2 Sanitation'!$D$122:$K$141,5,FALSE))+VLOOKUP(D664,'2 Sanitation'!$D$153:$J$172,7,FALSE)</f>
        <v>0</v>
      </c>
      <c r="G679" s="125"/>
    </row>
    <row r="680" spans="3:11" x14ac:dyDescent="0.55000000000000004">
      <c r="C680" s="124"/>
      <c r="G680" s="125"/>
    </row>
    <row r="681" spans="3:11" ht="14.7" thickBot="1" x14ac:dyDescent="0.6">
      <c r="C681" s="124"/>
      <c r="D681" s="1" t="s">
        <v>375</v>
      </c>
      <c r="E681" s="37">
        <f ca="1">VLOOKUP(D664,'2 Sanitation'!$D$153:$K$172,8,FALSE)</f>
        <v>0</v>
      </c>
      <c r="G681" s="125"/>
    </row>
    <row r="682" spans="3:11" ht="14.7" thickTop="1" x14ac:dyDescent="0.55000000000000004">
      <c r="C682" s="124"/>
      <c r="G682" s="125"/>
    </row>
    <row r="683" spans="3:11" x14ac:dyDescent="0.55000000000000004">
      <c r="C683" s="124"/>
      <c r="G683" s="125"/>
    </row>
    <row r="684" spans="3:11" x14ac:dyDescent="0.55000000000000004">
      <c r="C684" s="124"/>
      <c r="G684" s="125"/>
    </row>
    <row r="685" spans="3:11" x14ac:dyDescent="0.55000000000000004">
      <c r="C685" s="124"/>
      <c r="G685" s="125"/>
    </row>
    <row r="686" spans="3:11" x14ac:dyDescent="0.55000000000000004">
      <c r="C686" s="124"/>
      <c r="G686" s="125"/>
    </row>
    <row r="687" spans="3:11" x14ac:dyDescent="0.55000000000000004">
      <c r="C687" s="124"/>
      <c r="G687" s="125"/>
      <c r="I687" s="232" t="s">
        <v>385</v>
      </c>
    </row>
    <row r="688" spans="3:11" x14ac:dyDescent="0.55000000000000004">
      <c r="C688" s="124"/>
      <c r="G688" s="125"/>
      <c r="I688" s="110"/>
      <c r="J688" s="102" t="s">
        <v>390</v>
      </c>
      <c r="K688" s="102" t="s">
        <v>391</v>
      </c>
    </row>
    <row r="689" spans="3:11" x14ac:dyDescent="0.55000000000000004">
      <c r="C689" s="124"/>
      <c r="G689" s="125"/>
      <c r="I689" s="110" t="s">
        <v>369</v>
      </c>
      <c r="J689" s="100">
        <f ca="1">E667/1000</f>
        <v>0</v>
      </c>
      <c r="K689" s="102"/>
    </row>
    <row r="690" spans="3:11" x14ac:dyDescent="0.55000000000000004">
      <c r="C690" s="124"/>
      <c r="G690" s="125"/>
      <c r="I690" s="110" t="s">
        <v>370</v>
      </c>
      <c r="J690" s="100">
        <f ca="1">E668/1000</f>
        <v>0</v>
      </c>
      <c r="K690" s="110"/>
    </row>
    <row r="691" spans="3:11" x14ac:dyDescent="0.55000000000000004">
      <c r="C691" s="124"/>
      <c r="G691" s="125"/>
      <c r="I691" s="110" t="s">
        <v>471</v>
      </c>
      <c r="J691" s="100">
        <f ca="1">E671/1000</f>
        <v>0</v>
      </c>
      <c r="K691" s="110"/>
    </row>
    <row r="692" spans="3:11" x14ac:dyDescent="0.55000000000000004">
      <c r="C692" s="124"/>
      <c r="G692" s="125"/>
      <c r="I692" s="110" t="s">
        <v>563</v>
      </c>
      <c r="J692" s="100"/>
      <c r="K692" s="101">
        <f ca="1">E681/1000</f>
        <v>0</v>
      </c>
    </row>
    <row r="693" spans="3:11" x14ac:dyDescent="0.55000000000000004">
      <c r="C693" s="124"/>
      <c r="G693" s="125"/>
      <c r="I693" s="110" t="s">
        <v>564</v>
      </c>
      <c r="J693" s="100"/>
      <c r="K693" s="101">
        <f ca="1">E676/1000</f>
        <v>0</v>
      </c>
    </row>
    <row r="694" spans="3:11" x14ac:dyDescent="0.55000000000000004">
      <c r="C694" s="124"/>
      <c r="G694" s="125"/>
      <c r="I694" s="110" t="s">
        <v>565</v>
      </c>
      <c r="J694" s="100"/>
      <c r="K694" s="101">
        <f ca="1">SUM(E673:E675)/1000</f>
        <v>0</v>
      </c>
    </row>
    <row r="695" spans="3:11" x14ac:dyDescent="0.55000000000000004">
      <c r="C695" s="124"/>
      <c r="G695" s="125"/>
      <c r="I695" s="110" t="s">
        <v>566</v>
      </c>
      <c r="J695" s="100"/>
      <c r="K695" s="101">
        <f ca="1">E679/1000</f>
        <v>0</v>
      </c>
    </row>
    <row r="696" spans="3:11" x14ac:dyDescent="0.55000000000000004">
      <c r="C696" s="124"/>
      <c r="G696" s="125"/>
    </row>
    <row r="697" spans="3:11" x14ac:dyDescent="0.55000000000000004">
      <c r="C697" s="124"/>
      <c r="G697" s="125"/>
    </row>
    <row r="698" spans="3:11" x14ac:dyDescent="0.55000000000000004">
      <c r="C698" s="124"/>
      <c r="G698" s="125"/>
    </row>
    <row r="699" spans="3:11" x14ac:dyDescent="0.55000000000000004">
      <c r="C699" s="124"/>
      <c r="G699" s="125"/>
    </row>
    <row r="700" spans="3:11" x14ac:dyDescent="0.55000000000000004">
      <c r="C700" s="124"/>
      <c r="E700" s="220" t="s">
        <v>250</v>
      </c>
      <c r="G700" s="125"/>
    </row>
    <row r="701" spans="3:11" x14ac:dyDescent="0.55000000000000004">
      <c r="C701" s="124"/>
      <c r="D701" t="s">
        <v>376</v>
      </c>
      <c r="E701" s="64">
        <f ca="1">VLOOKUP(D664,'2 Sanitation'!$D$153:$M$172,10,FALSE)</f>
        <v>0</v>
      </c>
      <c r="G701" s="125"/>
    </row>
    <row r="702" spans="3:11" x14ac:dyDescent="0.55000000000000004">
      <c r="C702" s="124"/>
      <c r="D702" t="s">
        <v>377</v>
      </c>
      <c r="E702" s="64">
        <f ca="1">VLOOKUP(D664,'2 Sanitation'!$D$153:$M$172,9,FALSE)</f>
        <v>0</v>
      </c>
      <c r="G702" s="125"/>
    </row>
    <row r="703" spans="3:11" x14ac:dyDescent="0.55000000000000004">
      <c r="C703" s="124"/>
      <c r="D703" t="s">
        <v>378</v>
      </c>
      <c r="E703" s="64">
        <f ca="1">IFERROR(IF(E671=0,E679,E671)/E669,0)</f>
        <v>0</v>
      </c>
      <c r="G703" s="125"/>
    </row>
    <row r="704" spans="3:11" x14ac:dyDescent="0.55000000000000004">
      <c r="C704" s="124"/>
      <c r="G704" s="125"/>
    </row>
    <row r="705" spans="3:13" x14ac:dyDescent="0.55000000000000004">
      <c r="C705" s="124"/>
      <c r="D705" t="s">
        <v>379</v>
      </c>
      <c r="E705" s="64">
        <f>'3 Sanitation'!H436</f>
        <v>0</v>
      </c>
      <c r="G705" s="125"/>
    </row>
    <row r="706" spans="3:13" x14ac:dyDescent="0.55000000000000004">
      <c r="C706" s="124"/>
      <c r="D706" t="s">
        <v>380</v>
      </c>
      <c r="E706" s="97">
        <f ca="1">IFERROR('3 Sanitation'!I436/'3 Sanitation'!F436,0)</f>
        <v>0</v>
      </c>
      <c r="G706" s="125"/>
    </row>
    <row r="707" spans="3:13" x14ac:dyDescent="0.55000000000000004">
      <c r="C707" s="124"/>
      <c r="G707" s="125"/>
    </row>
    <row r="708" spans="3:13" x14ac:dyDescent="0.55000000000000004">
      <c r="C708" s="124"/>
      <c r="D708" s="1" t="s">
        <v>381</v>
      </c>
      <c r="G708" s="125"/>
    </row>
    <row r="709" spans="3:13" x14ac:dyDescent="0.55000000000000004">
      <c r="C709" s="124"/>
      <c r="G709" s="125"/>
    </row>
    <row r="710" spans="3:13" x14ac:dyDescent="0.55000000000000004">
      <c r="C710" s="124"/>
      <c r="G710" s="125"/>
    </row>
    <row r="711" spans="3:13" ht="28.8" x14ac:dyDescent="0.55000000000000004">
      <c r="C711" s="124"/>
      <c r="G711" s="125"/>
      <c r="I711" s="229" t="s">
        <v>383</v>
      </c>
      <c r="J711" s="229" t="s">
        <v>382</v>
      </c>
      <c r="K711" s="229" t="s">
        <v>100</v>
      </c>
      <c r="L711" s="230" t="s">
        <v>392</v>
      </c>
      <c r="M711" s="233" t="s">
        <v>581</v>
      </c>
    </row>
    <row r="712" spans="3:13" x14ac:dyDescent="0.55000000000000004">
      <c r="C712" s="124"/>
      <c r="G712" s="125"/>
      <c r="I712" s="102">
        <v>1</v>
      </c>
      <c r="J712" s="102">
        <f>IFERROR(VLOOKUP(I712,'3 Sanitation'!$E$449:$L$458,4,FALSE),0)</f>
        <v>0</v>
      </c>
      <c r="K712" s="103">
        <f>IFERROR(VLOOKUP(I712,'3 Sanitation'!$E$449:$L$458,8,FALSE),0)</f>
        <v>0</v>
      </c>
      <c r="L712" s="104">
        <f ca="1">$E$701</f>
        <v>0</v>
      </c>
      <c r="M712" s="105">
        <f ca="1">IFERROR('3 Sanitation'!H428/SUM('3 Sanitation'!K449:K458),0)</f>
        <v>0</v>
      </c>
    </row>
    <row r="713" spans="3:13" x14ac:dyDescent="0.55000000000000004">
      <c r="C713" s="124"/>
      <c r="G713" s="125"/>
      <c r="I713" s="102">
        <v>2</v>
      </c>
      <c r="J713" s="102">
        <f>IFERROR(VLOOKUP(I713,'3 Sanitation'!$E$449:$L$458,4,FALSE),0)</f>
        <v>0</v>
      </c>
      <c r="K713" s="103">
        <f ca="1">IFERROR(VLOOKUP(I713,'3 Sanitation'!$E$449:$L$458,8,FALSE),0)</f>
        <v>0</v>
      </c>
      <c r="L713" s="104">
        <f t="shared" ref="L713:L721" ca="1" si="20">$E$701</f>
        <v>0</v>
      </c>
      <c r="M713" s="104">
        <f ca="1">$M$712</f>
        <v>0</v>
      </c>
    </row>
    <row r="714" spans="3:13" x14ac:dyDescent="0.55000000000000004">
      <c r="C714" s="124"/>
      <c r="G714" s="125"/>
      <c r="I714" s="102">
        <v>3</v>
      </c>
      <c r="J714" s="102">
        <f>IFERROR(VLOOKUP(I714,'3 Sanitation'!$E$449:$L$458,4,FALSE),0)</f>
        <v>0</v>
      </c>
      <c r="K714" s="103">
        <f ca="1">IFERROR(VLOOKUP(I714,'3 Sanitation'!$E$449:$L$458,8,FALSE),0)</f>
        <v>0</v>
      </c>
      <c r="L714" s="104">
        <f t="shared" ca="1" si="20"/>
        <v>0</v>
      </c>
      <c r="M714" s="104">
        <f t="shared" ref="M714:M721" ca="1" si="21">$M$712</f>
        <v>0</v>
      </c>
    </row>
    <row r="715" spans="3:13" x14ac:dyDescent="0.55000000000000004">
      <c r="C715" s="124"/>
      <c r="G715" s="125"/>
      <c r="I715" s="102">
        <v>4</v>
      </c>
      <c r="J715" s="102">
        <f>IFERROR(VLOOKUP(I715,'3 Sanitation'!$E$449:$L$458,4,FALSE),0)</f>
        <v>0</v>
      </c>
      <c r="K715" s="103">
        <f ca="1">IFERROR(VLOOKUP(I715,'3 Sanitation'!$E$449:$L$458,8,FALSE),0)</f>
        <v>0</v>
      </c>
      <c r="L715" s="104">
        <f t="shared" ca="1" si="20"/>
        <v>0</v>
      </c>
      <c r="M715" s="104">
        <f t="shared" ca="1" si="21"/>
        <v>0</v>
      </c>
    </row>
    <row r="716" spans="3:13" x14ac:dyDescent="0.55000000000000004">
      <c r="C716" s="124"/>
      <c r="G716" s="125"/>
      <c r="I716" s="102">
        <v>5</v>
      </c>
      <c r="J716" s="102">
        <f>IFERROR(VLOOKUP(I716,'3 Sanitation'!$E$449:$L$458,4,FALSE),0)</f>
        <v>0</v>
      </c>
      <c r="K716" s="103">
        <f ca="1">IFERROR(VLOOKUP(I716,'3 Sanitation'!$E$449:$L$458,8,FALSE),0)</f>
        <v>0</v>
      </c>
      <c r="L716" s="104">
        <f t="shared" ca="1" si="20"/>
        <v>0</v>
      </c>
      <c r="M716" s="104">
        <f t="shared" ca="1" si="21"/>
        <v>0</v>
      </c>
    </row>
    <row r="717" spans="3:13" x14ac:dyDescent="0.55000000000000004">
      <c r="C717" s="124"/>
      <c r="G717" s="125"/>
      <c r="I717" s="102">
        <v>6</v>
      </c>
      <c r="J717" s="102">
        <f>IFERROR(VLOOKUP(I717,'3 Sanitation'!$E$449:$L$458,4,FALSE),0)</f>
        <v>0</v>
      </c>
      <c r="K717" s="103">
        <f ca="1">IFERROR(VLOOKUP(I717,'3 Sanitation'!$E$449:$L$458,8,FALSE),0)</f>
        <v>0</v>
      </c>
      <c r="L717" s="104">
        <f t="shared" ca="1" si="20"/>
        <v>0</v>
      </c>
      <c r="M717" s="104">
        <f t="shared" ca="1" si="21"/>
        <v>0</v>
      </c>
    </row>
    <row r="718" spans="3:13" x14ac:dyDescent="0.55000000000000004">
      <c r="C718" s="124"/>
      <c r="G718" s="125"/>
      <c r="I718" s="102">
        <v>7</v>
      </c>
      <c r="J718" s="102">
        <f>IFERROR(VLOOKUP(I718,'3 Sanitation'!$E$449:$L$458,4,FALSE),0)</f>
        <v>0</v>
      </c>
      <c r="K718" s="103">
        <f ca="1">IFERROR(VLOOKUP(I718,'3 Sanitation'!$E$449:$L$458,8,FALSE),0)</f>
        <v>0</v>
      </c>
      <c r="L718" s="104">
        <f t="shared" ca="1" si="20"/>
        <v>0</v>
      </c>
      <c r="M718" s="104">
        <f t="shared" ca="1" si="21"/>
        <v>0</v>
      </c>
    </row>
    <row r="719" spans="3:13" x14ac:dyDescent="0.55000000000000004">
      <c r="C719" s="124"/>
      <c r="G719" s="125"/>
      <c r="I719" s="102">
        <v>8</v>
      </c>
      <c r="J719" s="102">
        <f>IFERROR(VLOOKUP(I719,'3 Sanitation'!$E$449:$L$458,4,FALSE),0)</f>
        <v>0</v>
      </c>
      <c r="K719" s="103">
        <f ca="1">IFERROR(VLOOKUP(I719,'3 Sanitation'!$E$449:$L$458,8,FALSE),0)</f>
        <v>0</v>
      </c>
      <c r="L719" s="104">
        <f t="shared" ca="1" si="20"/>
        <v>0</v>
      </c>
      <c r="M719" s="104">
        <f t="shared" ca="1" si="21"/>
        <v>0</v>
      </c>
    </row>
    <row r="720" spans="3:13" x14ac:dyDescent="0.55000000000000004">
      <c r="C720" s="124"/>
      <c r="G720" s="125"/>
      <c r="I720" s="102">
        <v>9</v>
      </c>
      <c r="J720" s="102">
        <f>IFERROR(VLOOKUP(I720,'3 Sanitation'!$E$449:$L$458,4,FALSE),0)</f>
        <v>0</v>
      </c>
      <c r="K720" s="103">
        <f ca="1">IFERROR(VLOOKUP(I720,'3 Sanitation'!$E$449:$L$458,8,FALSE),0)</f>
        <v>0</v>
      </c>
      <c r="L720" s="104">
        <f t="shared" ca="1" si="20"/>
        <v>0</v>
      </c>
      <c r="M720" s="104">
        <f t="shared" ca="1" si="21"/>
        <v>0</v>
      </c>
    </row>
    <row r="721" spans="3:13" x14ac:dyDescent="0.55000000000000004">
      <c r="C721" s="124"/>
      <c r="G721" s="125"/>
      <c r="I721" s="102">
        <v>10</v>
      </c>
      <c r="J721" s="102" t="str">
        <f>IFERROR(VLOOKUP(I721,'3 Sanitation'!$E$449:$L$458,4,FALSE),0)</f>
        <v>More</v>
      </c>
      <c r="K721" s="103">
        <f ca="1">IFERROR(VLOOKUP(I721,'3 Sanitation'!$E$449:$L$458,8,FALSE),0)</f>
        <v>0</v>
      </c>
      <c r="L721" s="104">
        <f t="shared" ca="1" si="20"/>
        <v>0</v>
      </c>
      <c r="M721" s="104">
        <f t="shared" ca="1" si="21"/>
        <v>0</v>
      </c>
    </row>
    <row r="722" spans="3:13" x14ac:dyDescent="0.55000000000000004">
      <c r="C722" s="124"/>
      <c r="G722" s="125"/>
    </row>
    <row r="723" spans="3:13" x14ac:dyDescent="0.55000000000000004">
      <c r="C723" s="124"/>
      <c r="G723" s="125"/>
    </row>
    <row r="724" spans="3:13" x14ac:dyDescent="0.55000000000000004">
      <c r="C724" s="124"/>
      <c r="G724" s="125"/>
    </row>
    <row r="725" spans="3:13" x14ac:dyDescent="0.55000000000000004">
      <c r="C725" s="124"/>
      <c r="G725" s="125"/>
    </row>
    <row r="726" spans="3:13" x14ac:dyDescent="0.55000000000000004">
      <c r="C726" s="124"/>
      <c r="G726" s="125"/>
    </row>
    <row r="727" spans="3:13" ht="14.7" thickBot="1" x14ac:dyDescent="0.6">
      <c r="C727" s="130"/>
      <c r="D727" s="131"/>
      <c r="E727" s="131"/>
      <c r="F727" s="131"/>
      <c r="G727" s="132"/>
    </row>
    <row r="729" spans="3:13" ht="14.7" thickBot="1" x14ac:dyDescent="0.6"/>
    <row r="730" spans="3:13" x14ac:dyDescent="0.55000000000000004">
      <c r="C730" s="121"/>
      <c r="D730" s="122"/>
      <c r="E730" s="122"/>
      <c r="F730" s="122"/>
      <c r="G730" s="123"/>
    </row>
    <row r="731" spans="3:13" ht="15.6" x14ac:dyDescent="0.6">
      <c r="C731" s="124"/>
      <c r="D731" s="98">
        <f>'2 Customer data'!D68</f>
        <v>0</v>
      </c>
      <c r="G731" s="125"/>
    </row>
    <row r="732" spans="3:13" x14ac:dyDescent="0.55000000000000004">
      <c r="C732" s="124"/>
      <c r="G732" s="125"/>
    </row>
    <row r="733" spans="3:13" x14ac:dyDescent="0.55000000000000004">
      <c r="C733" s="124"/>
      <c r="E733" s="220" t="s">
        <v>250</v>
      </c>
      <c r="G733" s="125"/>
    </row>
    <row r="734" spans="3:13" x14ac:dyDescent="0.55000000000000004">
      <c r="C734" s="124"/>
      <c r="D734" t="s">
        <v>369</v>
      </c>
      <c r="E734" s="26">
        <f ca="1">VLOOKUP(D731,'2 Sanitation'!$D$19:$J$38,5,FALSE)</f>
        <v>0</v>
      </c>
      <c r="G734" s="125"/>
    </row>
    <row r="735" spans="3:13" x14ac:dyDescent="0.55000000000000004">
      <c r="C735" s="124"/>
      <c r="D735" t="s">
        <v>370</v>
      </c>
      <c r="E735" s="99">
        <f ca="1">VLOOKUP(D731,'2 Sanitation'!$D$19:$J$38,6,FALSE)</f>
        <v>0</v>
      </c>
      <c r="G735" s="125"/>
    </row>
    <row r="736" spans="3:13" ht="14.7" thickBot="1" x14ac:dyDescent="0.6">
      <c r="C736" s="124"/>
      <c r="D736" s="1" t="s">
        <v>39</v>
      </c>
      <c r="E736" s="37">
        <f ca="1">VLOOKUP(D731,'2 Sanitation'!$D$19:$J$38,7,FALSE)</f>
        <v>0</v>
      </c>
      <c r="G736" s="125"/>
    </row>
    <row r="737" spans="3:7" ht="14.7" thickTop="1" x14ac:dyDescent="0.55000000000000004">
      <c r="C737" s="124"/>
      <c r="G737" s="125"/>
    </row>
    <row r="738" spans="3:7" x14ac:dyDescent="0.55000000000000004">
      <c r="C738" s="124"/>
      <c r="D738" t="s">
        <v>189</v>
      </c>
      <c r="E738" s="26">
        <f ca="1">IF(VLOOKUP(D731,'2 Sanitation'!$D$122:$K$141,7,FALSE)="",VLOOKUP(D731,'2 Sanitation'!$D$122:$K$141,6,FALSE),VLOOKUP(D731,'2 Sanitation'!$D$122:$K$141,7,FALSE))+VLOOKUP(D731,'2 Sanitation'!$D$153:$J$172,5,FALSE)</f>
        <v>0</v>
      </c>
      <c r="G738" s="125"/>
    </row>
    <row r="739" spans="3:7" x14ac:dyDescent="0.55000000000000004">
      <c r="C739" s="124"/>
      <c r="G739" s="125"/>
    </row>
    <row r="740" spans="3:7" x14ac:dyDescent="0.55000000000000004">
      <c r="C740" s="124"/>
      <c r="D740" t="s">
        <v>371</v>
      </c>
      <c r="E740" s="64">
        <f ca="1">IF(VLOOKUP(D731,'2 Sanitation'!$D$53:$M$72,5,FALSE)="",VLOOKUP(D731,'2 Sanitation'!$D$53:$M$72,4,FALSE),VLOOKUP(D731,'2 Sanitation'!$D$53:$M$72,5,FALSE))</f>
        <v>0</v>
      </c>
      <c r="G740" s="125"/>
    </row>
    <row r="741" spans="3:7" x14ac:dyDescent="0.55000000000000004">
      <c r="C741" s="124"/>
      <c r="D741" t="s">
        <v>372</v>
      </c>
      <c r="E741" s="26">
        <f ca="1">IF(VLOOKUP(D731,'2 Sanitation'!$D$53:$M$72,7,FALSE)="",VLOOKUP(D731,'2 Sanitation'!$D$53:$M$72,6,FALSE),VLOOKUP(D731,'2 Sanitation'!$D$53:$M$72,7,FALSE))</f>
        <v>0</v>
      </c>
      <c r="G741" s="125"/>
    </row>
    <row r="742" spans="3:7" x14ac:dyDescent="0.55000000000000004">
      <c r="C742" s="124"/>
      <c r="D742" t="s">
        <v>373</v>
      </c>
      <c r="E742" s="26">
        <f ca="1">IF(VLOOKUP(D731,'2 Sanitation'!$D$53:$M$72,9,FALSE)="",VLOOKUP(D731,'2 Sanitation'!$D$53:$M$72,8,FALSE),VLOOKUP(D731,'2 Sanitation'!$D$53:$M$72,9,FALSE))</f>
        <v>0</v>
      </c>
      <c r="G742" s="125"/>
    </row>
    <row r="743" spans="3:7" x14ac:dyDescent="0.55000000000000004">
      <c r="C743" s="124"/>
      <c r="D743" t="s">
        <v>374</v>
      </c>
      <c r="E743" s="26">
        <f ca="1">IF(VLOOKUP(D731,'2 Sanitation'!$D$88:$I$107,5,FALSE)="",VLOOKUP(D731,'2 Sanitation'!$D$88:$I$107,4,FALSE),VLOOKUP(D731,'2 Sanitation'!$D$88:$I$107,5,FALSE))</f>
        <v>0</v>
      </c>
      <c r="G743" s="125"/>
    </row>
    <row r="744" spans="3:7" ht="14.7" thickBot="1" x14ac:dyDescent="0.6">
      <c r="C744" s="124"/>
      <c r="D744" s="1" t="s">
        <v>145</v>
      </c>
      <c r="E744" s="37">
        <f ca="1">SUM(E740:E743)</f>
        <v>0</v>
      </c>
      <c r="G744" s="125"/>
    </row>
    <row r="745" spans="3:7" ht="14.7" thickTop="1" x14ac:dyDescent="0.55000000000000004">
      <c r="C745" s="124"/>
      <c r="D745" s="1"/>
      <c r="E745" s="15"/>
      <c r="G745" s="125"/>
    </row>
    <row r="746" spans="3:7" x14ac:dyDescent="0.55000000000000004">
      <c r="C746" s="124"/>
      <c r="D746" t="s">
        <v>384</v>
      </c>
      <c r="E746" s="26">
        <f ca="1">IF(VLOOKUP(D731,'2 Sanitation'!$D$122:$K$141,5,FALSE)="",VLOOKUP(D731,'2 Sanitation'!$D$122:$K$141,4,FALSE),VLOOKUP(D731,'2 Sanitation'!$D$122:$K$141,5,FALSE))+VLOOKUP(D731,'2 Sanitation'!$D$153:$J$172,7,FALSE)</f>
        <v>0</v>
      </c>
      <c r="G746" s="125"/>
    </row>
    <row r="747" spans="3:7" x14ac:dyDescent="0.55000000000000004">
      <c r="C747" s="124"/>
      <c r="G747" s="125"/>
    </row>
    <row r="748" spans="3:7" ht="14.7" thickBot="1" x14ac:dyDescent="0.6">
      <c r="C748" s="124"/>
      <c r="D748" s="1" t="s">
        <v>375</v>
      </c>
      <c r="E748" s="37">
        <f ca="1">VLOOKUP(D731,'2 Sanitation'!$D$153:$K$172,8,FALSE)</f>
        <v>0</v>
      </c>
      <c r="G748" s="125"/>
    </row>
    <row r="749" spans="3:7" ht="14.7" thickTop="1" x14ac:dyDescent="0.55000000000000004">
      <c r="C749" s="124"/>
      <c r="G749" s="125"/>
    </row>
    <row r="750" spans="3:7" x14ac:dyDescent="0.55000000000000004">
      <c r="C750" s="124"/>
      <c r="G750" s="125"/>
    </row>
    <row r="751" spans="3:7" x14ac:dyDescent="0.55000000000000004">
      <c r="C751" s="124"/>
      <c r="G751" s="125"/>
    </row>
    <row r="752" spans="3:7" x14ac:dyDescent="0.55000000000000004">
      <c r="C752" s="124"/>
      <c r="G752" s="125"/>
    </row>
    <row r="753" spans="3:11" x14ac:dyDescent="0.55000000000000004">
      <c r="C753" s="124"/>
      <c r="G753" s="125"/>
    </row>
    <row r="754" spans="3:11" x14ac:dyDescent="0.55000000000000004">
      <c r="C754" s="124"/>
      <c r="G754" s="125"/>
    </row>
    <row r="755" spans="3:11" x14ac:dyDescent="0.55000000000000004">
      <c r="C755" s="124"/>
      <c r="G755" s="125"/>
    </row>
    <row r="756" spans="3:11" x14ac:dyDescent="0.55000000000000004">
      <c r="C756" s="124"/>
      <c r="G756" s="125"/>
      <c r="I756" s="232" t="s">
        <v>385</v>
      </c>
    </row>
    <row r="757" spans="3:11" x14ac:dyDescent="0.55000000000000004">
      <c r="C757" s="124"/>
      <c r="G757" s="125"/>
      <c r="I757" s="110"/>
      <c r="J757" s="102" t="s">
        <v>390</v>
      </c>
      <c r="K757" s="102" t="s">
        <v>391</v>
      </c>
    </row>
    <row r="758" spans="3:11" x14ac:dyDescent="0.55000000000000004">
      <c r="C758" s="124"/>
      <c r="G758" s="125"/>
      <c r="I758" s="110" t="s">
        <v>369</v>
      </c>
      <c r="J758" s="100">
        <f ca="1">E734/1000</f>
        <v>0</v>
      </c>
      <c r="K758" s="102"/>
    </row>
    <row r="759" spans="3:11" x14ac:dyDescent="0.55000000000000004">
      <c r="C759" s="124"/>
      <c r="G759" s="125"/>
      <c r="I759" s="110" t="s">
        <v>370</v>
      </c>
      <c r="J759" s="100">
        <f ca="1">E735/1000</f>
        <v>0</v>
      </c>
      <c r="K759" s="110"/>
    </row>
    <row r="760" spans="3:11" x14ac:dyDescent="0.55000000000000004">
      <c r="C760" s="124"/>
      <c r="G760" s="125"/>
      <c r="I760" s="110" t="s">
        <v>471</v>
      </c>
      <c r="J760" s="100">
        <f ca="1">E738/1000</f>
        <v>0</v>
      </c>
      <c r="K760" s="110"/>
    </row>
    <row r="761" spans="3:11" x14ac:dyDescent="0.55000000000000004">
      <c r="C761" s="124"/>
      <c r="G761" s="125"/>
      <c r="I761" s="110" t="s">
        <v>563</v>
      </c>
      <c r="J761" s="100"/>
      <c r="K761" s="101">
        <f ca="1">E748/1000</f>
        <v>0</v>
      </c>
    </row>
    <row r="762" spans="3:11" x14ac:dyDescent="0.55000000000000004">
      <c r="C762" s="124"/>
      <c r="G762" s="125"/>
      <c r="I762" s="110" t="s">
        <v>564</v>
      </c>
      <c r="J762" s="100"/>
      <c r="K762" s="101">
        <f ca="1">E743/1000</f>
        <v>0</v>
      </c>
    </row>
    <row r="763" spans="3:11" x14ac:dyDescent="0.55000000000000004">
      <c r="C763" s="124"/>
      <c r="G763" s="125"/>
      <c r="I763" s="110" t="s">
        <v>565</v>
      </c>
      <c r="J763" s="100"/>
      <c r="K763" s="101">
        <f ca="1">SUM(E740:E742)/1000</f>
        <v>0</v>
      </c>
    </row>
    <row r="764" spans="3:11" x14ac:dyDescent="0.55000000000000004">
      <c r="C764" s="124"/>
      <c r="G764" s="125"/>
      <c r="I764" s="110" t="s">
        <v>566</v>
      </c>
      <c r="J764" s="100"/>
      <c r="K764" s="101">
        <f ca="1">E746/1000</f>
        <v>0</v>
      </c>
    </row>
    <row r="765" spans="3:11" x14ac:dyDescent="0.55000000000000004">
      <c r="C765" s="124"/>
      <c r="G765" s="125"/>
    </row>
    <row r="766" spans="3:11" x14ac:dyDescent="0.55000000000000004">
      <c r="C766" s="124"/>
      <c r="G766" s="125"/>
    </row>
    <row r="767" spans="3:11" x14ac:dyDescent="0.55000000000000004">
      <c r="C767" s="124"/>
      <c r="E767" s="220" t="s">
        <v>250</v>
      </c>
      <c r="G767" s="125"/>
    </row>
    <row r="768" spans="3:11" x14ac:dyDescent="0.55000000000000004">
      <c r="C768" s="124"/>
      <c r="D768" t="s">
        <v>376</v>
      </c>
      <c r="E768" s="64">
        <f ca="1">VLOOKUP(D731,'2 Sanitation'!$D$153:$M$172,10,FALSE)</f>
        <v>0</v>
      </c>
      <c r="G768" s="125"/>
    </row>
    <row r="769" spans="3:13" x14ac:dyDescent="0.55000000000000004">
      <c r="C769" s="124"/>
      <c r="D769" t="s">
        <v>377</v>
      </c>
      <c r="E769" s="64">
        <f ca="1">VLOOKUP(D731,'2 Sanitation'!$D$153:$M$172,9,FALSE)</f>
        <v>0</v>
      </c>
      <c r="G769" s="125"/>
    </row>
    <row r="770" spans="3:13" x14ac:dyDescent="0.55000000000000004">
      <c r="C770" s="124"/>
      <c r="D770" t="s">
        <v>378</v>
      </c>
      <c r="E770" s="64">
        <f ca="1">IFERROR(IF(E738=0,E746,E738)/E736,0)</f>
        <v>0</v>
      </c>
      <c r="G770" s="125"/>
    </row>
    <row r="771" spans="3:13" x14ac:dyDescent="0.55000000000000004">
      <c r="C771" s="124"/>
      <c r="G771" s="125"/>
    </row>
    <row r="772" spans="3:13" x14ac:dyDescent="0.55000000000000004">
      <c r="C772" s="124"/>
      <c r="D772" t="s">
        <v>379</v>
      </c>
      <c r="E772" s="64">
        <f>'3 Sanitation'!H477</f>
        <v>0</v>
      </c>
      <c r="G772" s="125"/>
    </row>
    <row r="773" spans="3:13" x14ac:dyDescent="0.55000000000000004">
      <c r="C773" s="124"/>
      <c r="D773" t="s">
        <v>380</v>
      </c>
      <c r="E773" s="97">
        <f ca="1">IFERROR('3 Sanitation'!I477/'3 Sanitation'!F477,0)</f>
        <v>0</v>
      </c>
      <c r="G773" s="125"/>
    </row>
    <row r="774" spans="3:13" x14ac:dyDescent="0.55000000000000004">
      <c r="C774" s="124"/>
      <c r="G774" s="125"/>
    </row>
    <row r="775" spans="3:13" x14ac:dyDescent="0.55000000000000004">
      <c r="C775" s="124"/>
      <c r="D775" s="1" t="s">
        <v>381</v>
      </c>
      <c r="G775" s="125"/>
    </row>
    <row r="776" spans="3:13" x14ac:dyDescent="0.55000000000000004">
      <c r="C776" s="124"/>
      <c r="G776" s="125"/>
    </row>
    <row r="777" spans="3:13" x14ac:dyDescent="0.55000000000000004">
      <c r="C777" s="124"/>
      <c r="G777" s="125"/>
    </row>
    <row r="778" spans="3:13" ht="28.8" x14ac:dyDescent="0.55000000000000004">
      <c r="C778" s="124"/>
      <c r="G778" s="125"/>
      <c r="I778" s="229" t="s">
        <v>383</v>
      </c>
      <c r="J778" s="229" t="s">
        <v>382</v>
      </c>
      <c r="K778" s="229" t="s">
        <v>100</v>
      </c>
      <c r="L778" s="230" t="s">
        <v>392</v>
      </c>
      <c r="M778" s="233" t="s">
        <v>581</v>
      </c>
    </row>
    <row r="779" spans="3:13" x14ac:dyDescent="0.55000000000000004">
      <c r="C779" s="124"/>
      <c r="G779" s="125"/>
      <c r="I779" s="102">
        <v>1</v>
      </c>
      <c r="J779" s="102">
        <f>IFERROR(VLOOKUP(I779,'3 Sanitation'!$E$490:$L$499,4,FALSE),0)</f>
        <v>0</v>
      </c>
      <c r="K779" s="103">
        <f>IFERROR(VLOOKUP(I779,'3 Sanitation'!$E$490:$L$499,8,FALSE),0)</f>
        <v>0</v>
      </c>
      <c r="L779" s="104">
        <f ca="1">$E$768</f>
        <v>0</v>
      </c>
      <c r="M779" s="105">
        <f ca="1">IFERROR('3 Sanitation'!H469/SUM('3 Sanitation'!K490:K499),0)</f>
        <v>0</v>
      </c>
    </row>
    <row r="780" spans="3:13" x14ac:dyDescent="0.55000000000000004">
      <c r="C780" s="124"/>
      <c r="G780" s="125"/>
      <c r="I780" s="102">
        <v>2</v>
      </c>
      <c r="J780" s="102">
        <f>IFERROR(VLOOKUP(I780,'3 Sanitation'!$E$490:$L$499,4,FALSE),0)</f>
        <v>0</v>
      </c>
      <c r="K780" s="103">
        <f ca="1">IFERROR(VLOOKUP(I780,'3 Sanitation'!$E$490:$L$499,8,FALSE),0)</f>
        <v>0</v>
      </c>
      <c r="L780" s="104">
        <f t="shared" ref="L780:L788" ca="1" si="22">$E$768</f>
        <v>0</v>
      </c>
      <c r="M780" s="104">
        <f t="shared" ref="M780:M788" ca="1" si="23">$M$779</f>
        <v>0</v>
      </c>
    </row>
    <row r="781" spans="3:13" x14ac:dyDescent="0.55000000000000004">
      <c r="C781" s="124"/>
      <c r="G781" s="125"/>
      <c r="I781" s="102">
        <v>3</v>
      </c>
      <c r="J781" s="102">
        <f>IFERROR(VLOOKUP(I781,'3 Sanitation'!$E$490:$L$499,4,FALSE),0)</f>
        <v>0</v>
      </c>
      <c r="K781" s="103">
        <f ca="1">IFERROR(VLOOKUP(I781,'3 Sanitation'!$E$490:$L$499,8,FALSE),0)</f>
        <v>0</v>
      </c>
      <c r="L781" s="104">
        <f t="shared" ca="1" si="22"/>
        <v>0</v>
      </c>
      <c r="M781" s="104">
        <f t="shared" ca="1" si="23"/>
        <v>0</v>
      </c>
    </row>
    <row r="782" spans="3:13" x14ac:dyDescent="0.55000000000000004">
      <c r="C782" s="124"/>
      <c r="G782" s="125"/>
      <c r="I782" s="102">
        <v>4</v>
      </c>
      <c r="J782" s="102">
        <f>IFERROR(VLOOKUP(I782,'3 Sanitation'!$E$490:$L$499,4,FALSE),0)</f>
        <v>0</v>
      </c>
      <c r="K782" s="103">
        <f ca="1">IFERROR(VLOOKUP(I782,'3 Sanitation'!$E$490:$L$499,8,FALSE),0)</f>
        <v>0</v>
      </c>
      <c r="L782" s="104">
        <f t="shared" ca="1" si="22"/>
        <v>0</v>
      </c>
      <c r="M782" s="104">
        <f t="shared" ca="1" si="23"/>
        <v>0</v>
      </c>
    </row>
    <row r="783" spans="3:13" x14ac:dyDescent="0.55000000000000004">
      <c r="C783" s="124"/>
      <c r="G783" s="125"/>
      <c r="I783" s="102">
        <v>5</v>
      </c>
      <c r="J783" s="102">
        <f>IFERROR(VLOOKUP(I783,'3 Sanitation'!$E$490:$L$499,4,FALSE),0)</f>
        <v>0</v>
      </c>
      <c r="K783" s="103">
        <f ca="1">IFERROR(VLOOKUP(I783,'3 Sanitation'!$E$490:$L$499,8,FALSE),0)</f>
        <v>0</v>
      </c>
      <c r="L783" s="104">
        <f t="shared" ca="1" si="22"/>
        <v>0</v>
      </c>
      <c r="M783" s="104">
        <f t="shared" ca="1" si="23"/>
        <v>0</v>
      </c>
    </row>
    <row r="784" spans="3:13" x14ac:dyDescent="0.55000000000000004">
      <c r="C784" s="124"/>
      <c r="G784" s="125"/>
      <c r="I784" s="102">
        <v>6</v>
      </c>
      <c r="J784" s="102">
        <f>IFERROR(VLOOKUP(I784,'3 Sanitation'!$E$490:$L$499,4,FALSE),0)</f>
        <v>0</v>
      </c>
      <c r="K784" s="103">
        <f ca="1">IFERROR(VLOOKUP(I784,'3 Sanitation'!$E$490:$L$499,8,FALSE),0)</f>
        <v>0</v>
      </c>
      <c r="L784" s="104">
        <f t="shared" ca="1" si="22"/>
        <v>0</v>
      </c>
      <c r="M784" s="104">
        <f t="shared" ca="1" si="23"/>
        <v>0</v>
      </c>
    </row>
    <row r="785" spans="3:13" x14ac:dyDescent="0.55000000000000004">
      <c r="C785" s="124"/>
      <c r="G785" s="125"/>
      <c r="I785" s="102">
        <v>7</v>
      </c>
      <c r="J785" s="102">
        <f>IFERROR(VLOOKUP(I785,'3 Sanitation'!$E$490:$L$499,4,FALSE),0)</f>
        <v>0</v>
      </c>
      <c r="K785" s="103">
        <f ca="1">IFERROR(VLOOKUP(I785,'3 Sanitation'!$E$490:$L$499,8,FALSE),0)</f>
        <v>0</v>
      </c>
      <c r="L785" s="104">
        <f t="shared" ca="1" si="22"/>
        <v>0</v>
      </c>
      <c r="M785" s="104">
        <f t="shared" ca="1" si="23"/>
        <v>0</v>
      </c>
    </row>
    <row r="786" spans="3:13" x14ac:dyDescent="0.55000000000000004">
      <c r="C786" s="124"/>
      <c r="G786" s="125"/>
      <c r="I786" s="102">
        <v>8</v>
      </c>
      <c r="J786" s="102">
        <f>IFERROR(VLOOKUP(I786,'3 Sanitation'!$E$490:$L$499,4,FALSE),0)</f>
        <v>0</v>
      </c>
      <c r="K786" s="103">
        <f ca="1">IFERROR(VLOOKUP(I786,'3 Sanitation'!$E$490:$L$499,8,FALSE),0)</f>
        <v>0</v>
      </c>
      <c r="L786" s="104">
        <f t="shared" ca="1" si="22"/>
        <v>0</v>
      </c>
      <c r="M786" s="104">
        <f t="shared" ca="1" si="23"/>
        <v>0</v>
      </c>
    </row>
    <row r="787" spans="3:13" x14ac:dyDescent="0.55000000000000004">
      <c r="C787" s="124"/>
      <c r="G787" s="125"/>
      <c r="I787" s="102">
        <v>9</v>
      </c>
      <c r="J787" s="102">
        <f>IFERROR(VLOOKUP(I787,'3 Sanitation'!$E$490:$L$499,4,FALSE),0)</f>
        <v>0</v>
      </c>
      <c r="K787" s="103">
        <f ca="1">IFERROR(VLOOKUP(I787,'3 Sanitation'!$E$490:$L$499,8,FALSE),0)</f>
        <v>0</v>
      </c>
      <c r="L787" s="104">
        <f t="shared" ca="1" si="22"/>
        <v>0</v>
      </c>
      <c r="M787" s="104">
        <f t="shared" ca="1" si="23"/>
        <v>0</v>
      </c>
    </row>
    <row r="788" spans="3:13" x14ac:dyDescent="0.55000000000000004">
      <c r="C788" s="124"/>
      <c r="G788" s="125"/>
      <c r="I788" s="102">
        <v>10</v>
      </c>
      <c r="J788" s="102" t="str">
        <f>IFERROR(VLOOKUP(I788,'3 Sanitation'!$E$490:$L$499,4,FALSE),0)</f>
        <v>More</v>
      </c>
      <c r="K788" s="103">
        <f ca="1">IFERROR(VLOOKUP(I788,'3 Sanitation'!$E$490:$L$499,8,FALSE),0)</f>
        <v>0</v>
      </c>
      <c r="L788" s="104">
        <f t="shared" ca="1" si="22"/>
        <v>0</v>
      </c>
      <c r="M788" s="104">
        <f t="shared" ca="1" si="23"/>
        <v>0</v>
      </c>
    </row>
    <row r="789" spans="3:13" x14ac:dyDescent="0.55000000000000004">
      <c r="C789" s="124"/>
      <c r="G789" s="125"/>
    </row>
    <row r="790" spans="3:13" x14ac:dyDescent="0.55000000000000004">
      <c r="C790" s="124"/>
      <c r="G790" s="125"/>
    </row>
    <row r="791" spans="3:13" x14ac:dyDescent="0.55000000000000004">
      <c r="C791" s="124"/>
      <c r="G791" s="125"/>
    </row>
    <row r="792" spans="3:13" x14ac:dyDescent="0.55000000000000004">
      <c r="C792" s="124"/>
      <c r="G792" s="125"/>
    </row>
    <row r="793" spans="3:13" x14ac:dyDescent="0.55000000000000004">
      <c r="C793" s="124"/>
      <c r="G793" s="125"/>
    </row>
    <row r="794" spans="3:13" ht="14.7" thickBot="1" x14ac:dyDescent="0.6">
      <c r="C794" s="130"/>
      <c r="D794" s="131"/>
      <c r="E794" s="131"/>
      <c r="F794" s="131"/>
      <c r="G794" s="132"/>
    </row>
    <row r="796" spans="3:13" ht="14.7" thickBot="1" x14ac:dyDescent="0.6"/>
    <row r="797" spans="3:13" x14ac:dyDescent="0.55000000000000004">
      <c r="C797" s="121"/>
      <c r="D797" s="122"/>
      <c r="E797" s="122"/>
      <c r="F797" s="122"/>
      <c r="G797" s="123"/>
    </row>
    <row r="798" spans="3:13" ht="15.6" x14ac:dyDescent="0.6">
      <c r="C798" s="124"/>
      <c r="D798" s="98">
        <f>'2 Customer data'!D69</f>
        <v>0</v>
      </c>
      <c r="G798" s="125"/>
    </row>
    <row r="799" spans="3:13" x14ac:dyDescent="0.55000000000000004">
      <c r="C799" s="124"/>
      <c r="G799" s="125"/>
    </row>
    <row r="800" spans="3:13" x14ac:dyDescent="0.55000000000000004">
      <c r="C800" s="124"/>
      <c r="E800" s="220" t="s">
        <v>250</v>
      </c>
      <c r="G800" s="125"/>
    </row>
    <row r="801" spans="3:7" x14ac:dyDescent="0.55000000000000004">
      <c r="C801" s="124"/>
      <c r="D801" t="s">
        <v>369</v>
      </c>
      <c r="E801" s="26">
        <f ca="1">VLOOKUP(D798,'2 Sanitation'!$D$19:$J$38,5,FALSE)</f>
        <v>0</v>
      </c>
      <c r="G801" s="125"/>
    </row>
    <row r="802" spans="3:7" x14ac:dyDescent="0.55000000000000004">
      <c r="C802" s="124"/>
      <c r="D802" t="s">
        <v>370</v>
      </c>
      <c r="E802" s="99">
        <f ca="1">VLOOKUP(D798,'2 Sanitation'!$D$19:$J$38,6,FALSE)</f>
        <v>0</v>
      </c>
      <c r="G802" s="125"/>
    </row>
    <row r="803" spans="3:7" ht="14.7" thickBot="1" x14ac:dyDescent="0.6">
      <c r="C803" s="124"/>
      <c r="D803" s="1" t="s">
        <v>39</v>
      </c>
      <c r="E803" s="37">
        <f ca="1">VLOOKUP(D798,'2 Sanitation'!$D$19:$J$38,7,FALSE)</f>
        <v>0</v>
      </c>
      <c r="G803" s="125"/>
    </row>
    <row r="804" spans="3:7" ht="14.7" thickTop="1" x14ac:dyDescent="0.55000000000000004">
      <c r="C804" s="124"/>
      <c r="G804" s="125"/>
    </row>
    <row r="805" spans="3:7" x14ac:dyDescent="0.55000000000000004">
      <c r="C805" s="124"/>
      <c r="D805" t="s">
        <v>189</v>
      </c>
      <c r="E805" s="26">
        <f ca="1">IF(VLOOKUP(D798,'2 Sanitation'!$D$122:$K$141,7,FALSE)="",VLOOKUP(D798,'2 Sanitation'!$D$122:$K$141,6,FALSE),VLOOKUP(D798,'2 Sanitation'!$D$122:$K$141,7,FALSE))+VLOOKUP(D798,'2 Sanitation'!$D$153:$J$172,5,FALSE)</f>
        <v>0</v>
      </c>
      <c r="G805" s="125"/>
    </row>
    <row r="806" spans="3:7" x14ac:dyDescent="0.55000000000000004">
      <c r="C806" s="124"/>
      <c r="G806" s="125"/>
    </row>
    <row r="807" spans="3:7" x14ac:dyDescent="0.55000000000000004">
      <c r="C807" s="124"/>
      <c r="D807" t="s">
        <v>371</v>
      </c>
      <c r="E807" s="64">
        <f ca="1">IF(VLOOKUP(D798,'2 Sanitation'!$D$53:$M$72,5,FALSE)="",VLOOKUP(D798,'2 Sanitation'!$D$53:$M$72,4,FALSE),VLOOKUP(D798,'2 Sanitation'!$D$53:$M$72,5,FALSE))</f>
        <v>0</v>
      </c>
      <c r="G807" s="125"/>
    </row>
    <row r="808" spans="3:7" x14ac:dyDescent="0.55000000000000004">
      <c r="C808" s="124"/>
      <c r="D808" t="s">
        <v>372</v>
      </c>
      <c r="E808" s="26">
        <f ca="1">IF(VLOOKUP(D798,'2 Sanitation'!$D$53:$M$72,7,FALSE)="",VLOOKUP(D798,'2 Sanitation'!$D$53:$M$72,6,FALSE),VLOOKUP(D798,'2 Sanitation'!$D$53:$M$72,7,FALSE))</f>
        <v>0</v>
      </c>
      <c r="G808" s="125"/>
    </row>
    <row r="809" spans="3:7" x14ac:dyDescent="0.55000000000000004">
      <c r="C809" s="124"/>
      <c r="D809" t="s">
        <v>373</v>
      </c>
      <c r="E809" s="26">
        <f ca="1">IF(VLOOKUP(D798,'2 Sanitation'!$D$53:$M$72,9,FALSE)="",VLOOKUP(D798,'2 Sanitation'!$D$53:$M$72,8,FALSE),VLOOKUP(D798,'2 Sanitation'!$D$53:$M$72,9,FALSE))</f>
        <v>0</v>
      </c>
      <c r="G809" s="125"/>
    </row>
    <row r="810" spans="3:7" x14ac:dyDescent="0.55000000000000004">
      <c r="C810" s="124"/>
      <c r="D810" t="s">
        <v>374</v>
      </c>
      <c r="E810" s="26">
        <f ca="1">IF(VLOOKUP(D798,'2 Sanitation'!$D$88:$I$107,5,FALSE)="",VLOOKUP(D798,'2 Sanitation'!$D$88:$I$107,4,FALSE),VLOOKUP(D798,'2 Sanitation'!$D$88:$I$107,5,FALSE))</f>
        <v>0</v>
      </c>
      <c r="G810" s="125"/>
    </row>
    <row r="811" spans="3:7" ht="14.7" thickBot="1" x14ac:dyDescent="0.6">
      <c r="C811" s="124"/>
      <c r="D811" s="1" t="s">
        <v>145</v>
      </c>
      <c r="E811" s="37">
        <f ca="1">SUM(E807:E810)</f>
        <v>0</v>
      </c>
      <c r="G811" s="125"/>
    </row>
    <row r="812" spans="3:7" ht="14.7" thickTop="1" x14ac:dyDescent="0.55000000000000004">
      <c r="C812" s="124"/>
      <c r="D812" s="1"/>
      <c r="E812" s="15"/>
      <c r="G812" s="125"/>
    </row>
    <row r="813" spans="3:7" x14ac:dyDescent="0.55000000000000004">
      <c r="C813" s="124"/>
      <c r="D813" t="s">
        <v>384</v>
      </c>
      <c r="E813" s="26">
        <f ca="1">IF(VLOOKUP(D798,'2 Sanitation'!$D$122:$K$141,5,FALSE)="",VLOOKUP(D798,'2 Sanitation'!$D$122:$K$141,4,FALSE),VLOOKUP(D798,'2 Sanitation'!$D$122:$K$141,5,FALSE))+VLOOKUP(D798,'2 Sanitation'!$D$153:$J$172,7,FALSE)</f>
        <v>0</v>
      </c>
      <c r="G813" s="125"/>
    </row>
    <row r="814" spans="3:7" x14ac:dyDescent="0.55000000000000004">
      <c r="C814" s="124"/>
      <c r="G814" s="125"/>
    </row>
    <row r="815" spans="3:7" ht="14.7" thickBot="1" x14ac:dyDescent="0.6">
      <c r="C815" s="124"/>
      <c r="D815" s="1" t="s">
        <v>375</v>
      </c>
      <c r="E815" s="37">
        <f ca="1">VLOOKUP(D798,'2 Sanitation'!$D$153:$K$172,8,FALSE)</f>
        <v>0</v>
      </c>
      <c r="G815" s="125"/>
    </row>
    <row r="816" spans="3:7" ht="14.7" thickTop="1" x14ac:dyDescent="0.55000000000000004">
      <c r="C816" s="124"/>
      <c r="G816" s="125"/>
    </row>
    <row r="817" spans="3:11" x14ac:dyDescent="0.55000000000000004">
      <c r="C817" s="124"/>
      <c r="G817" s="125"/>
    </row>
    <row r="818" spans="3:11" x14ac:dyDescent="0.55000000000000004">
      <c r="C818" s="124"/>
      <c r="G818" s="125"/>
    </row>
    <row r="819" spans="3:11" x14ac:dyDescent="0.55000000000000004">
      <c r="C819" s="124"/>
      <c r="G819" s="125"/>
    </row>
    <row r="820" spans="3:11" x14ac:dyDescent="0.55000000000000004">
      <c r="C820" s="124"/>
      <c r="G820" s="125"/>
    </row>
    <row r="821" spans="3:11" x14ac:dyDescent="0.55000000000000004">
      <c r="C821" s="124"/>
      <c r="G821" s="125"/>
    </row>
    <row r="822" spans="3:11" x14ac:dyDescent="0.55000000000000004">
      <c r="C822" s="124"/>
      <c r="G822" s="125"/>
      <c r="I822" s="232" t="s">
        <v>385</v>
      </c>
    </row>
    <row r="823" spans="3:11" x14ac:dyDescent="0.55000000000000004">
      <c r="C823" s="124"/>
      <c r="G823" s="125"/>
      <c r="I823" s="110"/>
      <c r="J823" s="102" t="s">
        <v>390</v>
      </c>
      <c r="K823" s="102" t="s">
        <v>391</v>
      </c>
    </row>
    <row r="824" spans="3:11" x14ac:dyDescent="0.55000000000000004">
      <c r="C824" s="124"/>
      <c r="G824" s="125"/>
      <c r="I824" s="110" t="s">
        <v>369</v>
      </c>
      <c r="J824" s="100">
        <f ca="1">E801/1000</f>
        <v>0</v>
      </c>
      <c r="K824" s="102"/>
    </row>
    <row r="825" spans="3:11" x14ac:dyDescent="0.55000000000000004">
      <c r="C825" s="124"/>
      <c r="G825" s="125"/>
      <c r="I825" s="110" t="s">
        <v>370</v>
      </c>
      <c r="J825" s="100">
        <f ca="1">E802/1000</f>
        <v>0</v>
      </c>
      <c r="K825" s="110"/>
    </row>
    <row r="826" spans="3:11" x14ac:dyDescent="0.55000000000000004">
      <c r="C826" s="124"/>
      <c r="G826" s="125"/>
      <c r="I826" s="110" t="s">
        <v>471</v>
      </c>
      <c r="J826" s="100">
        <f ca="1">E805/1000</f>
        <v>0</v>
      </c>
      <c r="K826" s="110"/>
    </row>
    <row r="827" spans="3:11" x14ac:dyDescent="0.55000000000000004">
      <c r="C827" s="124"/>
      <c r="G827" s="125"/>
      <c r="I827" s="110" t="s">
        <v>563</v>
      </c>
      <c r="J827" s="100"/>
      <c r="K827" s="101">
        <f ca="1">E815/1000</f>
        <v>0</v>
      </c>
    </row>
    <row r="828" spans="3:11" x14ac:dyDescent="0.55000000000000004">
      <c r="C828" s="124"/>
      <c r="G828" s="125"/>
      <c r="I828" s="110" t="s">
        <v>564</v>
      </c>
      <c r="J828" s="100"/>
      <c r="K828" s="101">
        <f ca="1">E810/1000</f>
        <v>0</v>
      </c>
    </row>
    <row r="829" spans="3:11" x14ac:dyDescent="0.55000000000000004">
      <c r="C829" s="124"/>
      <c r="G829" s="125"/>
      <c r="I829" s="110" t="s">
        <v>565</v>
      </c>
      <c r="J829" s="100"/>
      <c r="K829" s="101">
        <f ca="1">SUM(E807:E809)/1000</f>
        <v>0</v>
      </c>
    </row>
    <row r="830" spans="3:11" x14ac:dyDescent="0.55000000000000004">
      <c r="C830" s="124"/>
      <c r="G830" s="125"/>
      <c r="I830" s="110" t="s">
        <v>566</v>
      </c>
      <c r="J830" s="100"/>
      <c r="K830" s="101">
        <f ca="1">E813/1000</f>
        <v>0</v>
      </c>
    </row>
    <row r="831" spans="3:11" x14ac:dyDescent="0.55000000000000004">
      <c r="C831" s="124"/>
      <c r="G831" s="125"/>
    </row>
    <row r="832" spans="3:11" x14ac:dyDescent="0.55000000000000004">
      <c r="C832" s="124"/>
      <c r="G832" s="125"/>
    </row>
    <row r="833" spans="3:13" x14ac:dyDescent="0.55000000000000004">
      <c r="C833" s="124"/>
      <c r="G833" s="125"/>
    </row>
    <row r="834" spans="3:13" x14ac:dyDescent="0.55000000000000004">
      <c r="C834" s="124"/>
      <c r="E834" s="220" t="s">
        <v>250</v>
      </c>
      <c r="G834" s="125"/>
    </row>
    <row r="835" spans="3:13" x14ac:dyDescent="0.55000000000000004">
      <c r="C835" s="124"/>
      <c r="D835" t="s">
        <v>376</v>
      </c>
      <c r="E835" s="64">
        <f ca="1">VLOOKUP(D798,'2 Sanitation'!$D$153:$M$172,10,FALSE)</f>
        <v>0</v>
      </c>
      <c r="G835" s="125"/>
    </row>
    <row r="836" spans="3:13" x14ac:dyDescent="0.55000000000000004">
      <c r="C836" s="124"/>
      <c r="D836" t="s">
        <v>377</v>
      </c>
      <c r="E836" s="64">
        <f ca="1">VLOOKUP(D798,'2 Sanitation'!$D$153:$M$172,9,FALSE)</f>
        <v>0</v>
      </c>
      <c r="G836" s="125"/>
    </row>
    <row r="837" spans="3:13" x14ac:dyDescent="0.55000000000000004">
      <c r="C837" s="124"/>
      <c r="D837" t="s">
        <v>378</v>
      </c>
      <c r="E837" s="64">
        <f ca="1">IFERROR(IF(E805=0,E813,E805)/E803,0)</f>
        <v>0</v>
      </c>
      <c r="G837" s="125"/>
    </row>
    <row r="838" spans="3:13" x14ac:dyDescent="0.55000000000000004">
      <c r="C838" s="124"/>
      <c r="G838" s="125"/>
    </row>
    <row r="839" spans="3:13" x14ac:dyDescent="0.55000000000000004">
      <c r="C839" s="124"/>
      <c r="D839" t="s">
        <v>379</v>
      </c>
      <c r="E839" s="64">
        <f>'3 Sanitation'!H518</f>
        <v>0</v>
      </c>
      <c r="G839" s="125"/>
    </row>
    <row r="840" spans="3:13" x14ac:dyDescent="0.55000000000000004">
      <c r="C840" s="124"/>
      <c r="D840" t="s">
        <v>380</v>
      </c>
      <c r="E840" s="97">
        <f ca="1">IFERROR('3 Sanitation'!I518/'3 Sanitation'!F518,0)</f>
        <v>0</v>
      </c>
      <c r="G840" s="125"/>
    </row>
    <row r="841" spans="3:13" x14ac:dyDescent="0.55000000000000004">
      <c r="C841" s="124"/>
      <c r="G841" s="125"/>
    </row>
    <row r="842" spans="3:13" x14ac:dyDescent="0.55000000000000004">
      <c r="C842" s="124"/>
      <c r="D842" s="1" t="s">
        <v>381</v>
      </c>
      <c r="G842" s="125"/>
    </row>
    <row r="843" spans="3:13" x14ac:dyDescent="0.55000000000000004">
      <c r="C843" s="124"/>
      <c r="G843" s="125"/>
    </row>
    <row r="844" spans="3:13" x14ac:dyDescent="0.55000000000000004">
      <c r="C844" s="124"/>
      <c r="G844" s="125"/>
    </row>
    <row r="845" spans="3:13" ht="28.8" x14ac:dyDescent="0.55000000000000004">
      <c r="C845" s="124"/>
      <c r="G845" s="125"/>
      <c r="I845" s="229" t="s">
        <v>383</v>
      </c>
      <c r="J845" s="229" t="s">
        <v>382</v>
      </c>
      <c r="K845" s="229" t="s">
        <v>100</v>
      </c>
      <c r="L845" s="230" t="s">
        <v>392</v>
      </c>
      <c r="M845" s="233" t="s">
        <v>581</v>
      </c>
    </row>
    <row r="846" spans="3:13" x14ac:dyDescent="0.55000000000000004">
      <c r="C846" s="124"/>
      <c r="G846" s="125"/>
      <c r="I846" s="102">
        <v>1</v>
      </c>
      <c r="J846" s="102">
        <f>IFERROR(VLOOKUP(I846,'3 Sanitation'!$E$531:$L$540,4,FALSE),0)</f>
        <v>0</v>
      </c>
      <c r="K846" s="103">
        <f>IFERROR(VLOOKUP(I846,'3 Sanitation'!$E$531:$L$540,8,FALSE),0)</f>
        <v>0</v>
      </c>
      <c r="L846" s="104">
        <f ca="1">$E$835</f>
        <v>0</v>
      </c>
      <c r="M846" s="105">
        <f ca="1">IFERROR('3 Sanitation'!H510/SUM('3 Sanitation'!K531:K540),0)</f>
        <v>0</v>
      </c>
    </row>
    <row r="847" spans="3:13" x14ac:dyDescent="0.55000000000000004">
      <c r="C847" s="124"/>
      <c r="G847" s="125"/>
      <c r="I847" s="102">
        <v>2</v>
      </c>
      <c r="J847" s="102">
        <f>IFERROR(VLOOKUP(I847,'3 Sanitation'!$E$531:$L$540,4,FALSE),0)</f>
        <v>0</v>
      </c>
      <c r="K847" s="103">
        <f ca="1">IFERROR(VLOOKUP(I847,'3 Sanitation'!$E$531:$L$540,8,FALSE),0)</f>
        <v>0</v>
      </c>
      <c r="L847" s="104">
        <f t="shared" ref="L847:L855" ca="1" si="24">$E$835</f>
        <v>0</v>
      </c>
      <c r="M847" s="104">
        <f t="shared" ref="M847:M855" ca="1" si="25">$M$846</f>
        <v>0</v>
      </c>
    </row>
    <row r="848" spans="3:13" x14ac:dyDescent="0.55000000000000004">
      <c r="C848" s="124"/>
      <c r="G848" s="125"/>
      <c r="I848" s="102">
        <v>3</v>
      </c>
      <c r="J848" s="102">
        <f>IFERROR(VLOOKUP(I848,'3 Sanitation'!$E$531:$L$540,4,FALSE),0)</f>
        <v>0</v>
      </c>
      <c r="K848" s="103">
        <f ca="1">IFERROR(VLOOKUP(I848,'3 Sanitation'!$E$531:$L$540,8,FALSE),0)</f>
        <v>0</v>
      </c>
      <c r="L848" s="104">
        <f t="shared" ca="1" si="24"/>
        <v>0</v>
      </c>
      <c r="M848" s="104">
        <f t="shared" ca="1" si="25"/>
        <v>0</v>
      </c>
    </row>
    <row r="849" spans="3:13" x14ac:dyDescent="0.55000000000000004">
      <c r="C849" s="124"/>
      <c r="G849" s="125"/>
      <c r="I849" s="102">
        <v>4</v>
      </c>
      <c r="J849" s="102">
        <f>IFERROR(VLOOKUP(I849,'3 Sanitation'!$E$531:$L$540,4,FALSE),0)</f>
        <v>0</v>
      </c>
      <c r="K849" s="103">
        <f ca="1">IFERROR(VLOOKUP(I849,'3 Sanitation'!$E$531:$L$540,8,FALSE),0)</f>
        <v>0</v>
      </c>
      <c r="L849" s="104">
        <f t="shared" ca="1" si="24"/>
        <v>0</v>
      </c>
      <c r="M849" s="104">
        <f t="shared" ca="1" si="25"/>
        <v>0</v>
      </c>
    </row>
    <row r="850" spans="3:13" x14ac:dyDescent="0.55000000000000004">
      <c r="C850" s="124"/>
      <c r="G850" s="125"/>
      <c r="I850" s="102">
        <v>5</v>
      </c>
      <c r="J850" s="102">
        <f>IFERROR(VLOOKUP(I850,'3 Sanitation'!$E$531:$L$540,4,FALSE),0)</f>
        <v>0</v>
      </c>
      <c r="K850" s="103">
        <f ca="1">IFERROR(VLOOKUP(I850,'3 Sanitation'!$E$531:$L$540,8,FALSE),0)</f>
        <v>0</v>
      </c>
      <c r="L850" s="104">
        <f t="shared" ca="1" si="24"/>
        <v>0</v>
      </c>
      <c r="M850" s="104">
        <f t="shared" ca="1" si="25"/>
        <v>0</v>
      </c>
    </row>
    <row r="851" spans="3:13" x14ac:dyDescent="0.55000000000000004">
      <c r="C851" s="124"/>
      <c r="G851" s="125"/>
      <c r="I851" s="102">
        <v>6</v>
      </c>
      <c r="J851" s="102">
        <f>IFERROR(VLOOKUP(I851,'3 Sanitation'!$E$531:$L$540,4,FALSE),0)</f>
        <v>0</v>
      </c>
      <c r="K851" s="103">
        <f ca="1">IFERROR(VLOOKUP(I851,'3 Sanitation'!$E$531:$L$540,8,FALSE),0)</f>
        <v>0</v>
      </c>
      <c r="L851" s="104">
        <f t="shared" ca="1" si="24"/>
        <v>0</v>
      </c>
      <c r="M851" s="104">
        <f t="shared" ca="1" si="25"/>
        <v>0</v>
      </c>
    </row>
    <row r="852" spans="3:13" x14ac:dyDescent="0.55000000000000004">
      <c r="C852" s="124"/>
      <c r="G852" s="125"/>
      <c r="I852" s="102">
        <v>7</v>
      </c>
      <c r="J852" s="102">
        <f>IFERROR(VLOOKUP(I852,'3 Sanitation'!$E$531:$L$540,4,FALSE),0)</f>
        <v>0</v>
      </c>
      <c r="K852" s="103">
        <f ca="1">IFERROR(VLOOKUP(I852,'3 Sanitation'!$E$531:$L$540,8,FALSE),0)</f>
        <v>0</v>
      </c>
      <c r="L852" s="104">
        <f t="shared" ca="1" si="24"/>
        <v>0</v>
      </c>
      <c r="M852" s="104">
        <f t="shared" ca="1" si="25"/>
        <v>0</v>
      </c>
    </row>
    <row r="853" spans="3:13" x14ac:dyDescent="0.55000000000000004">
      <c r="C853" s="124"/>
      <c r="G853" s="125"/>
      <c r="I853" s="102">
        <v>8</v>
      </c>
      <c r="J853" s="102">
        <f>IFERROR(VLOOKUP(I853,'3 Sanitation'!$E$531:$L$540,4,FALSE),0)</f>
        <v>0</v>
      </c>
      <c r="K853" s="103">
        <f ca="1">IFERROR(VLOOKUP(I853,'3 Sanitation'!$E$531:$L$540,8,FALSE),0)</f>
        <v>0</v>
      </c>
      <c r="L853" s="104">
        <f t="shared" ca="1" si="24"/>
        <v>0</v>
      </c>
      <c r="M853" s="104">
        <f t="shared" ca="1" si="25"/>
        <v>0</v>
      </c>
    </row>
    <row r="854" spans="3:13" x14ac:dyDescent="0.55000000000000004">
      <c r="C854" s="124"/>
      <c r="G854" s="125"/>
      <c r="I854" s="102">
        <v>9</v>
      </c>
      <c r="J854" s="102">
        <f>IFERROR(VLOOKUP(I854,'3 Sanitation'!$E$531:$L$540,4,FALSE),0)</f>
        <v>0</v>
      </c>
      <c r="K854" s="103">
        <f ca="1">IFERROR(VLOOKUP(I854,'3 Sanitation'!$E$531:$L$540,8,FALSE),0)</f>
        <v>0</v>
      </c>
      <c r="L854" s="104">
        <f t="shared" ca="1" si="24"/>
        <v>0</v>
      </c>
      <c r="M854" s="104">
        <f t="shared" ca="1" si="25"/>
        <v>0</v>
      </c>
    </row>
    <row r="855" spans="3:13" x14ac:dyDescent="0.55000000000000004">
      <c r="C855" s="124"/>
      <c r="G855" s="125"/>
      <c r="I855" s="102">
        <v>10</v>
      </c>
      <c r="J855" s="102" t="str">
        <f>IFERROR(VLOOKUP(I855,'3 Sanitation'!$E$531:$L$540,4,FALSE),0)</f>
        <v>More</v>
      </c>
      <c r="K855" s="103">
        <f ca="1">IFERROR(VLOOKUP(I855,'3 Sanitation'!$E$531:$L$540,8,FALSE),0)</f>
        <v>0</v>
      </c>
      <c r="L855" s="104">
        <f t="shared" ca="1" si="24"/>
        <v>0</v>
      </c>
      <c r="M855" s="104">
        <f t="shared" ca="1" si="25"/>
        <v>0</v>
      </c>
    </row>
    <row r="856" spans="3:13" x14ac:dyDescent="0.55000000000000004">
      <c r="C856" s="124"/>
      <c r="G856" s="125"/>
    </row>
    <row r="857" spans="3:13" x14ac:dyDescent="0.55000000000000004">
      <c r="C857" s="124"/>
      <c r="G857" s="125"/>
    </row>
    <row r="858" spans="3:13" x14ac:dyDescent="0.55000000000000004">
      <c r="C858" s="124"/>
      <c r="G858" s="125"/>
    </row>
    <row r="859" spans="3:13" x14ac:dyDescent="0.55000000000000004">
      <c r="C859" s="124"/>
      <c r="G859" s="125"/>
    </row>
    <row r="860" spans="3:13" x14ac:dyDescent="0.55000000000000004">
      <c r="C860" s="124"/>
      <c r="G860" s="125"/>
    </row>
    <row r="861" spans="3:13" ht="14.7" thickBot="1" x14ac:dyDescent="0.6">
      <c r="C861" s="130"/>
      <c r="D861" s="131"/>
      <c r="E861" s="131"/>
      <c r="F861" s="131"/>
      <c r="G861" s="132"/>
    </row>
    <row r="863" spans="3:13" ht="14.7" thickBot="1" x14ac:dyDescent="0.6"/>
    <row r="864" spans="3:13" x14ac:dyDescent="0.55000000000000004">
      <c r="C864" s="121"/>
      <c r="D864" s="122"/>
      <c r="E864" s="122"/>
      <c r="F864" s="122"/>
      <c r="G864" s="123"/>
    </row>
    <row r="865" spans="3:7" ht="15.6" x14ac:dyDescent="0.6">
      <c r="C865" s="124"/>
      <c r="D865" s="98">
        <f>'2 Customer data'!D70</f>
        <v>0</v>
      </c>
      <c r="G865" s="125"/>
    </row>
    <row r="866" spans="3:7" x14ac:dyDescent="0.55000000000000004">
      <c r="C866" s="124"/>
      <c r="G866" s="125"/>
    </row>
    <row r="867" spans="3:7" x14ac:dyDescent="0.55000000000000004">
      <c r="C867" s="124"/>
      <c r="E867" s="220" t="s">
        <v>250</v>
      </c>
      <c r="G867" s="125"/>
    </row>
    <row r="868" spans="3:7" x14ac:dyDescent="0.55000000000000004">
      <c r="C868" s="124"/>
      <c r="D868" t="s">
        <v>369</v>
      </c>
      <c r="E868" s="26">
        <f ca="1">VLOOKUP(D865,'2 Sanitation'!$D$19:$J$38,5,FALSE)</f>
        <v>0</v>
      </c>
      <c r="G868" s="125"/>
    </row>
    <row r="869" spans="3:7" x14ac:dyDescent="0.55000000000000004">
      <c r="C869" s="124"/>
      <c r="D869" t="s">
        <v>370</v>
      </c>
      <c r="E869" s="99">
        <f ca="1">VLOOKUP(D865,'2 Sanitation'!$D$19:$J$38,6,FALSE)</f>
        <v>0</v>
      </c>
      <c r="G869" s="125"/>
    </row>
    <row r="870" spans="3:7" ht="14.7" thickBot="1" x14ac:dyDescent="0.6">
      <c r="C870" s="124"/>
      <c r="D870" s="1" t="s">
        <v>39</v>
      </c>
      <c r="E870" s="37">
        <f ca="1">VLOOKUP(D865,'2 Sanitation'!$D$19:$J$38,7,FALSE)</f>
        <v>0</v>
      </c>
      <c r="G870" s="125"/>
    </row>
    <row r="871" spans="3:7" ht="14.7" thickTop="1" x14ac:dyDescent="0.55000000000000004">
      <c r="C871" s="124"/>
      <c r="G871" s="125"/>
    </row>
    <row r="872" spans="3:7" x14ac:dyDescent="0.55000000000000004">
      <c r="C872" s="124"/>
      <c r="D872" t="s">
        <v>189</v>
      </c>
      <c r="E872" s="26">
        <f ca="1">IF(VLOOKUP(D865,'2 Sanitation'!$D$122:$K$141,7,FALSE)="",VLOOKUP(D865,'2 Sanitation'!$D$122:$K$141,6,FALSE),VLOOKUP(D865,'2 Sanitation'!$D$122:$K$141,7,FALSE))+VLOOKUP(D865,'2 Sanitation'!$D$153:$J$172,5,FALSE)</f>
        <v>0</v>
      </c>
      <c r="G872" s="125"/>
    </row>
    <row r="873" spans="3:7" x14ac:dyDescent="0.55000000000000004">
      <c r="C873" s="124"/>
      <c r="G873" s="125"/>
    </row>
    <row r="874" spans="3:7" x14ac:dyDescent="0.55000000000000004">
      <c r="C874" s="124"/>
      <c r="D874" t="s">
        <v>371</v>
      </c>
      <c r="E874" s="64">
        <f ca="1">IF(VLOOKUP(D865,'2 Sanitation'!$D$53:$M$72,5,FALSE)="",VLOOKUP(D865,'2 Sanitation'!$D$53:$M$72,4,FALSE),VLOOKUP(D865,'2 Sanitation'!$D$53:$M$72,5,FALSE))</f>
        <v>0</v>
      </c>
      <c r="G874" s="125"/>
    </row>
    <row r="875" spans="3:7" x14ac:dyDescent="0.55000000000000004">
      <c r="C875" s="124"/>
      <c r="D875" t="s">
        <v>372</v>
      </c>
      <c r="E875" s="26">
        <f ca="1">IF(VLOOKUP(D865,'2 Sanitation'!$D$53:$M$72,7,FALSE)="",VLOOKUP(D865,'2 Sanitation'!$D$53:$M$72,6,FALSE),VLOOKUP(D865,'2 Sanitation'!$D$53:$M$72,7,FALSE))</f>
        <v>0</v>
      </c>
      <c r="G875" s="125"/>
    </row>
    <row r="876" spans="3:7" x14ac:dyDescent="0.55000000000000004">
      <c r="C876" s="124"/>
      <c r="D876" t="s">
        <v>373</v>
      </c>
      <c r="E876" s="26">
        <f ca="1">IF(VLOOKUP(D865,'2 Sanitation'!$D$53:$M$72,9,FALSE)="",VLOOKUP(D865,'2 Sanitation'!$D$53:$M$72,8,FALSE),VLOOKUP(D865,'2 Sanitation'!$D$53:$M$72,9,FALSE))</f>
        <v>0</v>
      </c>
      <c r="G876" s="125"/>
    </row>
    <row r="877" spans="3:7" x14ac:dyDescent="0.55000000000000004">
      <c r="C877" s="124"/>
      <c r="D877" t="s">
        <v>374</v>
      </c>
      <c r="E877" s="26">
        <f ca="1">IF(VLOOKUP(D865,'2 Sanitation'!$D$88:$I$107,5,FALSE)="",VLOOKUP(D865,'2 Sanitation'!$D$88:$I$107,4,FALSE),VLOOKUP(D865,'2 Sanitation'!$D$88:$I$107,5,FALSE))</f>
        <v>0</v>
      </c>
      <c r="G877" s="125"/>
    </row>
    <row r="878" spans="3:7" ht="14.7" thickBot="1" x14ac:dyDescent="0.6">
      <c r="C878" s="124"/>
      <c r="D878" s="1" t="s">
        <v>145</v>
      </c>
      <c r="E878" s="37">
        <f ca="1">SUM(E874:E877)</f>
        <v>0</v>
      </c>
      <c r="G878" s="125"/>
    </row>
    <row r="879" spans="3:7" ht="14.7" thickTop="1" x14ac:dyDescent="0.55000000000000004">
      <c r="C879" s="124"/>
      <c r="D879" s="1"/>
      <c r="E879" s="15"/>
      <c r="G879" s="125"/>
    </row>
    <row r="880" spans="3:7" x14ac:dyDescent="0.55000000000000004">
      <c r="C880" s="124"/>
      <c r="D880" t="s">
        <v>384</v>
      </c>
      <c r="E880" s="26">
        <f ca="1">IF(VLOOKUP(D865,'2 Sanitation'!$D$122:$K$141,5,FALSE)="",VLOOKUP(D865,'2 Sanitation'!$D$122:$K$141,4,FALSE),VLOOKUP(D865,'2 Sanitation'!$D$122:$K$141,5,FALSE))+VLOOKUP(D865,'2 Sanitation'!$D$153:$J$172,7,FALSE)</f>
        <v>0</v>
      </c>
      <c r="G880" s="125"/>
    </row>
    <row r="881" spans="3:11" x14ac:dyDescent="0.55000000000000004">
      <c r="C881" s="124"/>
      <c r="G881" s="125"/>
    </row>
    <row r="882" spans="3:11" ht="14.7" thickBot="1" x14ac:dyDescent="0.6">
      <c r="C882" s="124"/>
      <c r="D882" s="1" t="s">
        <v>375</v>
      </c>
      <c r="E882" s="37">
        <f ca="1">VLOOKUP(D865,'2 Sanitation'!$D$153:$K$172,8,FALSE)</f>
        <v>0</v>
      </c>
      <c r="G882" s="125"/>
    </row>
    <row r="883" spans="3:11" ht="14.7" thickTop="1" x14ac:dyDescent="0.55000000000000004">
      <c r="C883" s="124"/>
      <c r="G883" s="125"/>
    </row>
    <row r="884" spans="3:11" x14ac:dyDescent="0.55000000000000004">
      <c r="C884" s="124"/>
      <c r="G884" s="125"/>
    </row>
    <row r="885" spans="3:11" x14ac:dyDescent="0.55000000000000004">
      <c r="C885" s="124"/>
      <c r="G885" s="125"/>
    </row>
    <row r="886" spans="3:11" x14ac:dyDescent="0.55000000000000004">
      <c r="C886" s="124"/>
      <c r="G886" s="125"/>
    </row>
    <row r="887" spans="3:11" x14ac:dyDescent="0.55000000000000004">
      <c r="C887" s="124"/>
      <c r="G887" s="125"/>
    </row>
    <row r="888" spans="3:11" x14ac:dyDescent="0.55000000000000004">
      <c r="C888" s="124"/>
      <c r="G888" s="125"/>
      <c r="I888" s="232" t="s">
        <v>385</v>
      </c>
    </row>
    <row r="889" spans="3:11" x14ac:dyDescent="0.55000000000000004">
      <c r="C889" s="124"/>
      <c r="G889" s="125"/>
      <c r="I889" s="110"/>
      <c r="J889" s="102" t="s">
        <v>390</v>
      </c>
      <c r="K889" s="102" t="s">
        <v>391</v>
      </c>
    </row>
    <row r="890" spans="3:11" x14ac:dyDescent="0.55000000000000004">
      <c r="C890" s="124"/>
      <c r="G890" s="125"/>
      <c r="I890" s="110" t="s">
        <v>369</v>
      </c>
      <c r="J890" s="100">
        <f ca="1">E868/1000</f>
        <v>0</v>
      </c>
      <c r="K890" s="102"/>
    </row>
    <row r="891" spans="3:11" x14ac:dyDescent="0.55000000000000004">
      <c r="C891" s="124"/>
      <c r="G891" s="125"/>
      <c r="I891" s="110" t="s">
        <v>370</v>
      </c>
      <c r="J891" s="100">
        <f ca="1">E869/1000</f>
        <v>0</v>
      </c>
      <c r="K891" s="110"/>
    </row>
    <row r="892" spans="3:11" x14ac:dyDescent="0.55000000000000004">
      <c r="C892" s="124"/>
      <c r="G892" s="125"/>
      <c r="I892" s="110" t="s">
        <v>471</v>
      </c>
      <c r="J892" s="100">
        <f ca="1">E872/1000</f>
        <v>0</v>
      </c>
      <c r="K892" s="110"/>
    </row>
    <row r="893" spans="3:11" x14ac:dyDescent="0.55000000000000004">
      <c r="C893" s="124"/>
      <c r="G893" s="125"/>
      <c r="I893" s="110" t="s">
        <v>563</v>
      </c>
      <c r="J893" s="100"/>
      <c r="K893" s="101">
        <f ca="1">E882/1000</f>
        <v>0</v>
      </c>
    </row>
    <row r="894" spans="3:11" x14ac:dyDescent="0.55000000000000004">
      <c r="C894" s="124"/>
      <c r="G894" s="125"/>
      <c r="I894" s="110" t="s">
        <v>564</v>
      </c>
      <c r="J894" s="100"/>
      <c r="K894" s="101">
        <f ca="1">E877/1000</f>
        <v>0</v>
      </c>
    </row>
    <row r="895" spans="3:11" x14ac:dyDescent="0.55000000000000004">
      <c r="C895" s="124"/>
      <c r="G895" s="125"/>
      <c r="I895" s="110" t="s">
        <v>565</v>
      </c>
      <c r="J895" s="100"/>
      <c r="K895" s="101">
        <f ca="1">SUM(E874:E876)/1000</f>
        <v>0</v>
      </c>
    </row>
    <row r="896" spans="3:11" x14ac:dyDescent="0.55000000000000004">
      <c r="C896" s="124"/>
      <c r="G896" s="125"/>
      <c r="I896" s="110" t="s">
        <v>566</v>
      </c>
      <c r="J896" s="100"/>
      <c r="K896" s="101">
        <f ca="1">E880/1000</f>
        <v>0</v>
      </c>
    </row>
    <row r="897" spans="3:7" x14ac:dyDescent="0.55000000000000004">
      <c r="C897" s="124"/>
      <c r="G897" s="125"/>
    </row>
    <row r="898" spans="3:7" x14ac:dyDescent="0.55000000000000004">
      <c r="C898" s="124"/>
      <c r="G898" s="125"/>
    </row>
    <row r="899" spans="3:7" x14ac:dyDescent="0.55000000000000004">
      <c r="C899" s="124"/>
      <c r="G899" s="125"/>
    </row>
    <row r="900" spans="3:7" x14ac:dyDescent="0.55000000000000004">
      <c r="C900" s="124"/>
      <c r="G900" s="125"/>
    </row>
    <row r="901" spans="3:7" x14ac:dyDescent="0.55000000000000004">
      <c r="C901" s="124"/>
      <c r="E901" s="220" t="s">
        <v>250</v>
      </c>
      <c r="G901" s="125"/>
    </row>
    <row r="902" spans="3:7" x14ac:dyDescent="0.55000000000000004">
      <c r="C902" s="124"/>
      <c r="D902" t="s">
        <v>376</v>
      </c>
      <c r="E902" s="64">
        <f ca="1">VLOOKUP(D865,'2 Sanitation'!$D$153:$M$172,10,FALSE)</f>
        <v>0</v>
      </c>
      <c r="G902" s="125"/>
    </row>
    <row r="903" spans="3:7" x14ac:dyDescent="0.55000000000000004">
      <c r="C903" s="124"/>
      <c r="D903" t="s">
        <v>377</v>
      </c>
      <c r="E903" s="64">
        <f ca="1">VLOOKUP(D865,'2 Sanitation'!$D$153:$M$172,9,FALSE)</f>
        <v>0</v>
      </c>
      <c r="G903" s="125"/>
    </row>
    <row r="904" spans="3:7" x14ac:dyDescent="0.55000000000000004">
      <c r="C904" s="124"/>
      <c r="D904" t="s">
        <v>378</v>
      </c>
      <c r="E904" s="64">
        <f ca="1">IFERROR(IF(E872=0,E880,E872)/E870,0)</f>
        <v>0</v>
      </c>
      <c r="G904" s="125"/>
    </row>
    <row r="905" spans="3:7" x14ac:dyDescent="0.55000000000000004">
      <c r="C905" s="124"/>
      <c r="G905" s="125"/>
    </row>
    <row r="906" spans="3:7" x14ac:dyDescent="0.55000000000000004">
      <c r="C906" s="124"/>
      <c r="D906" t="s">
        <v>379</v>
      </c>
      <c r="E906" s="64">
        <f>'3 Sanitation'!H559</f>
        <v>0</v>
      </c>
      <c r="G906" s="125"/>
    </row>
    <row r="907" spans="3:7" x14ac:dyDescent="0.55000000000000004">
      <c r="C907" s="124"/>
      <c r="D907" t="s">
        <v>380</v>
      </c>
      <c r="E907" s="97">
        <f ca="1">IFERROR('3 Sanitation'!I559/'3 Sanitation'!F559,0)</f>
        <v>0</v>
      </c>
      <c r="G907" s="125"/>
    </row>
    <row r="908" spans="3:7" x14ac:dyDescent="0.55000000000000004">
      <c r="C908" s="124"/>
      <c r="D908" s="226" t="s">
        <v>386</v>
      </c>
      <c r="F908" s="227"/>
      <c r="G908" s="228"/>
    </row>
    <row r="909" spans="3:7" x14ac:dyDescent="0.55000000000000004">
      <c r="C909" s="124"/>
      <c r="G909" s="125"/>
    </row>
    <row r="910" spans="3:7" x14ac:dyDescent="0.55000000000000004">
      <c r="C910" s="124"/>
      <c r="D910" s="1" t="s">
        <v>381</v>
      </c>
      <c r="G910" s="125"/>
    </row>
    <row r="911" spans="3:7" x14ac:dyDescent="0.55000000000000004">
      <c r="C911" s="124"/>
      <c r="G911" s="125"/>
    </row>
    <row r="912" spans="3:7" x14ac:dyDescent="0.55000000000000004">
      <c r="C912" s="124"/>
      <c r="G912" s="125"/>
    </row>
    <row r="913" spans="3:13" ht="28.8" x14ac:dyDescent="0.55000000000000004">
      <c r="C913" s="124"/>
      <c r="G913" s="125"/>
      <c r="I913" s="229" t="s">
        <v>383</v>
      </c>
      <c r="J913" s="229" t="s">
        <v>382</v>
      </c>
      <c r="K913" s="229" t="s">
        <v>100</v>
      </c>
      <c r="L913" s="230" t="s">
        <v>392</v>
      </c>
      <c r="M913" s="233" t="s">
        <v>581</v>
      </c>
    </row>
    <row r="914" spans="3:13" x14ac:dyDescent="0.55000000000000004">
      <c r="C914" s="124"/>
      <c r="G914" s="125"/>
      <c r="I914" s="102">
        <v>1</v>
      </c>
      <c r="J914" s="102">
        <f>IFERROR(VLOOKUP(I914,'3 Sanitation'!$E$572:$L$581,4,FALSE),0)</f>
        <v>0</v>
      </c>
      <c r="K914" s="103">
        <f>IFERROR(VLOOKUP(I914,'3 Sanitation'!$E$572:$L$581,8,FALSE),0)</f>
        <v>0</v>
      </c>
      <c r="L914" s="104">
        <f ca="1">$E$902</f>
        <v>0</v>
      </c>
      <c r="M914" s="105">
        <f ca="1">IFERROR('3 Sanitation'!H551/SUM('3 Sanitation'!K572:K581),0)</f>
        <v>0</v>
      </c>
    </row>
    <row r="915" spans="3:13" x14ac:dyDescent="0.55000000000000004">
      <c r="C915" s="124"/>
      <c r="G915" s="125"/>
      <c r="I915" s="102">
        <v>2</v>
      </c>
      <c r="J915" s="102">
        <f>IFERROR(VLOOKUP(I915,'3 Sanitation'!$E$572:$L$581,4,FALSE),0)</f>
        <v>0</v>
      </c>
      <c r="K915" s="103">
        <f ca="1">IFERROR(VLOOKUP(I915,'3 Sanitation'!$E$572:$L$581,8,FALSE),0)</f>
        <v>0</v>
      </c>
      <c r="L915" s="104">
        <f t="shared" ref="L915:L923" ca="1" si="26">$E$902</f>
        <v>0</v>
      </c>
      <c r="M915" s="104">
        <f t="shared" ref="M915:M923" ca="1" si="27">$M$914</f>
        <v>0</v>
      </c>
    </row>
    <row r="916" spans="3:13" x14ac:dyDescent="0.55000000000000004">
      <c r="C916" s="124"/>
      <c r="G916" s="125"/>
      <c r="I916" s="102">
        <v>3</v>
      </c>
      <c r="J916" s="102">
        <f>IFERROR(VLOOKUP(I916,'3 Sanitation'!$E$572:$L$581,4,FALSE),0)</f>
        <v>0</v>
      </c>
      <c r="K916" s="103">
        <f ca="1">IFERROR(VLOOKUP(I916,'3 Sanitation'!$E$572:$L$581,8,FALSE),0)</f>
        <v>0</v>
      </c>
      <c r="L916" s="104">
        <f t="shared" ca="1" si="26"/>
        <v>0</v>
      </c>
      <c r="M916" s="104">
        <f t="shared" ca="1" si="27"/>
        <v>0</v>
      </c>
    </row>
    <row r="917" spans="3:13" x14ac:dyDescent="0.55000000000000004">
      <c r="C917" s="124"/>
      <c r="G917" s="125"/>
      <c r="I917" s="102">
        <v>4</v>
      </c>
      <c r="J917" s="102">
        <f>IFERROR(VLOOKUP(I917,'3 Sanitation'!$E$572:$L$581,4,FALSE),0)</f>
        <v>0</v>
      </c>
      <c r="K917" s="103">
        <f ca="1">IFERROR(VLOOKUP(I917,'3 Sanitation'!$E$572:$L$581,8,FALSE),0)</f>
        <v>0</v>
      </c>
      <c r="L917" s="104">
        <f t="shared" ca="1" si="26"/>
        <v>0</v>
      </c>
      <c r="M917" s="104">
        <f t="shared" ca="1" si="27"/>
        <v>0</v>
      </c>
    </row>
    <row r="918" spans="3:13" x14ac:dyDescent="0.55000000000000004">
      <c r="C918" s="124"/>
      <c r="G918" s="125"/>
      <c r="I918" s="102">
        <v>5</v>
      </c>
      <c r="J918" s="102">
        <f>IFERROR(VLOOKUP(I918,'3 Sanitation'!$E$572:$L$581,4,FALSE),0)</f>
        <v>0</v>
      </c>
      <c r="K918" s="103">
        <f ca="1">IFERROR(VLOOKUP(I918,'3 Sanitation'!$E$572:$L$581,8,FALSE),0)</f>
        <v>0</v>
      </c>
      <c r="L918" s="104">
        <f t="shared" ca="1" si="26"/>
        <v>0</v>
      </c>
      <c r="M918" s="104">
        <f t="shared" ca="1" si="27"/>
        <v>0</v>
      </c>
    </row>
    <row r="919" spans="3:13" x14ac:dyDescent="0.55000000000000004">
      <c r="C919" s="124"/>
      <c r="G919" s="125"/>
      <c r="I919" s="102">
        <v>6</v>
      </c>
      <c r="J919" s="102">
        <f>IFERROR(VLOOKUP(I919,'3 Sanitation'!$E$572:$L$581,4,FALSE),0)</f>
        <v>0</v>
      </c>
      <c r="K919" s="103">
        <f ca="1">IFERROR(VLOOKUP(I919,'3 Sanitation'!$E$572:$L$581,8,FALSE),0)</f>
        <v>0</v>
      </c>
      <c r="L919" s="104">
        <f t="shared" ca="1" si="26"/>
        <v>0</v>
      </c>
      <c r="M919" s="104">
        <f t="shared" ca="1" si="27"/>
        <v>0</v>
      </c>
    </row>
    <row r="920" spans="3:13" x14ac:dyDescent="0.55000000000000004">
      <c r="C920" s="124"/>
      <c r="G920" s="125"/>
      <c r="I920" s="102">
        <v>7</v>
      </c>
      <c r="J920" s="102">
        <f>IFERROR(VLOOKUP(I920,'3 Sanitation'!$E$572:$L$581,4,FALSE),0)</f>
        <v>0</v>
      </c>
      <c r="K920" s="103">
        <f ca="1">IFERROR(VLOOKUP(I920,'3 Sanitation'!$E$572:$L$581,8,FALSE),0)</f>
        <v>0</v>
      </c>
      <c r="L920" s="104">
        <f t="shared" ca="1" si="26"/>
        <v>0</v>
      </c>
      <c r="M920" s="104">
        <f t="shared" ca="1" si="27"/>
        <v>0</v>
      </c>
    </row>
    <row r="921" spans="3:13" x14ac:dyDescent="0.55000000000000004">
      <c r="C921" s="124"/>
      <c r="G921" s="125"/>
      <c r="I921" s="102">
        <v>8</v>
      </c>
      <c r="J921" s="102">
        <f>IFERROR(VLOOKUP(I921,'3 Sanitation'!$E$572:$L$581,4,FALSE),0)</f>
        <v>0</v>
      </c>
      <c r="K921" s="103">
        <f ca="1">IFERROR(VLOOKUP(I921,'3 Sanitation'!$E$572:$L$581,8,FALSE),0)</f>
        <v>0</v>
      </c>
      <c r="L921" s="104">
        <f t="shared" ca="1" si="26"/>
        <v>0</v>
      </c>
      <c r="M921" s="104">
        <f t="shared" ca="1" si="27"/>
        <v>0</v>
      </c>
    </row>
    <row r="922" spans="3:13" x14ac:dyDescent="0.55000000000000004">
      <c r="C922" s="124"/>
      <c r="G922" s="125"/>
      <c r="I922" s="102">
        <v>9</v>
      </c>
      <c r="J922" s="102">
        <f>IFERROR(VLOOKUP(I922,'3 Sanitation'!$E$572:$L$581,4,FALSE),0)</f>
        <v>0</v>
      </c>
      <c r="K922" s="103">
        <f ca="1">IFERROR(VLOOKUP(I922,'3 Sanitation'!$E$572:$L$581,8,FALSE),0)</f>
        <v>0</v>
      </c>
      <c r="L922" s="104">
        <f t="shared" ca="1" si="26"/>
        <v>0</v>
      </c>
      <c r="M922" s="104">
        <f t="shared" ca="1" si="27"/>
        <v>0</v>
      </c>
    </row>
    <row r="923" spans="3:13" x14ac:dyDescent="0.55000000000000004">
      <c r="C923" s="124"/>
      <c r="G923" s="125"/>
      <c r="I923" s="102">
        <v>10</v>
      </c>
      <c r="J923" s="102" t="str">
        <f>IFERROR(VLOOKUP(I923,'3 Sanitation'!$E$572:$L$581,4,FALSE),0)</f>
        <v>More</v>
      </c>
      <c r="K923" s="103">
        <f ca="1">IFERROR(VLOOKUP(I923,'3 Sanitation'!$E$572:$L$581,8,FALSE),0)</f>
        <v>0</v>
      </c>
      <c r="L923" s="104">
        <f t="shared" ca="1" si="26"/>
        <v>0</v>
      </c>
      <c r="M923" s="104">
        <f t="shared" ca="1" si="27"/>
        <v>0</v>
      </c>
    </row>
    <row r="924" spans="3:13" x14ac:dyDescent="0.55000000000000004">
      <c r="C924" s="124"/>
      <c r="G924" s="125"/>
    </row>
    <row r="925" spans="3:13" x14ac:dyDescent="0.55000000000000004">
      <c r="C925" s="124"/>
      <c r="G925" s="125"/>
    </row>
    <row r="926" spans="3:13" x14ac:dyDescent="0.55000000000000004">
      <c r="C926" s="124"/>
      <c r="G926" s="125"/>
    </row>
    <row r="927" spans="3:13" x14ac:dyDescent="0.55000000000000004">
      <c r="C927" s="124"/>
      <c r="G927" s="125"/>
    </row>
    <row r="928" spans="3:13" x14ac:dyDescent="0.55000000000000004">
      <c r="C928" s="124"/>
      <c r="G928" s="125"/>
    </row>
    <row r="929" spans="3:7" ht="14.7" thickBot="1" x14ac:dyDescent="0.6">
      <c r="C929" s="130"/>
      <c r="D929" s="131"/>
      <c r="E929" s="131"/>
      <c r="F929" s="131"/>
      <c r="G929" s="132"/>
    </row>
    <row r="931" spans="3:7" ht="14.7" thickBot="1" x14ac:dyDescent="0.6"/>
    <row r="932" spans="3:7" x14ac:dyDescent="0.55000000000000004">
      <c r="C932" s="121"/>
      <c r="D932" s="122"/>
      <c r="E932" s="122"/>
      <c r="F932" s="122"/>
      <c r="G932" s="123"/>
    </row>
    <row r="933" spans="3:7" ht="15.6" x14ac:dyDescent="0.6">
      <c r="C933" s="124"/>
      <c r="D933" s="98">
        <f>'2 Customer data'!D71</f>
        <v>0</v>
      </c>
      <c r="G933" s="125"/>
    </row>
    <row r="934" spans="3:7" x14ac:dyDescent="0.55000000000000004">
      <c r="C934" s="124"/>
      <c r="G934" s="125"/>
    </row>
    <row r="935" spans="3:7" x14ac:dyDescent="0.55000000000000004">
      <c r="C935" s="124"/>
      <c r="E935" s="220" t="s">
        <v>250</v>
      </c>
      <c r="G935" s="125"/>
    </row>
    <row r="936" spans="3:7" x14ac:dyDescent="0.55000000000000004">
      <c r="C936" s="124"/>
      <c r="D936" t="s">
        <v>369</v>
      </c>
      <c r="E936" s="26">
        <f ca="1">VLOOKUP(D933,'2 Sanitation'!$D$19:$J$38,5,FALSE)</f>
        <v>0</v>
      </c>
      <c r="G936" s="125"/>
    </row>
    <row r="937" spans="3:7" x14ac:dyDescent="0.55000000000000004">
      <c r="C937" s="124"/>
      <c r="D937" t="s">
        <v>370</v>
      </c>
      <c r="E937" s="99">
        <f ca="1">VLOOKUP(D933,'2 Sanitation'!$D$19:$J$38,6,FALSE)</f>
        <v>0</v>
      </c>
      <c r="G937" s="125"/>
    </row>
    <row r="938" spans="3:7" ht="14.7" thickBot="1" x14ac:dyDescent="0.6">
      <c r="C938" s="124"/>
      <c r="D938" s="1" t="s">
        <v>39</v>
      </c>
      <c r="E938" s="37">
        <f ca="1">VLOOKUP(D933,'2 Sanitation'!$D$19:$J$38,7,FALSE)</f>
        <v>0</v>
      </c>
      <c r="G938" s="125"/>
    </row>
    <row r="939" spans="3:7" ht="14.7" thickTop="1" x14ac:dyDescent="0.55000000000000004">
      <c r="C939" s="124"/>
      <c r="G939" s="125"/>
    </row>
    <row r="940" spans="3:7" x14ac:dyDescent="0.55000000000000004">
      <c r="C940" s="124"/>
      <c r="D940" t="s">
        <v>189</v>
      </c>
      <c r="E940" s="26">
        <f ca="1">IF(VLOOKUP(D933,'2 Sanitation'!$D$122:$K$141,7,FALSE)="",VLOOKUP(D933,'2 Sanitation'!$D$122:$K$141,6,FALSE),VLOOKUP(D933,'2 Sanitation'!$D$122:$K$141,7,FALSE))+VLOOKUP(D933,'2 Sanitation'!$D$153:$J$172,5,FALSE)</f>
        <v>0</v>
      </c>
      <c r="G940" s="125"/>
    </row>
    <row r="941" spans="3:7" x14ac:dyDescent="0.55000000000000004">
      <c r="C941" s="124"/>
      <c r="G941" s="125"/>
    </row>
    <row r="942" spans="3:7" x14ac:dyDescent="0.55000000000000004">
      <c r="C942" s="124"/>
      <c r="D942" t="s">
        <v>371</v>
      </c>
      <c r="E942" s="64">
        <f ca="1">IF(VLOOKUP(D933,'2 Sanitation'!$D$53:$M$72,5,FALSE)="",VLOOKUP(D933,'2 Sanitation'!$D$53:$M$72,4,FALSE),VLOOKUP(D933,'2 Sanitation'!$D$53:$M$72,5,FALSE))</f>
        <v>0</v>
      </c>
      <c r="G942" s="125"/>
    </row>
    <row r="943" spans="3:7" x14ac:dyDescent="0.55000000000000004">
      <c r="C943" s="124"/>
      <c r="D943" t="s">
        <v>372</v>
      </c>
      <c r="E943" s="26">
        <f ca="1">IF(VLOOKUP(D933,'2 Sanitation'!$D$53:$M$72,7,FALSE)="",VLOOKUP(D933,'2 Sanitation'!$D$53:$M$72,6,FALSE),VLOOKUP(D933,'2 Sanitation'!$D$53:$M$72,7,FALSE))</f>
        <v>0</v>
      </c>
      <c r="G943" s="125"/>
    </row>
    <row r="944" spans="3:7" x14ac:dyDescent="0.55000000000000004">
      <c r="C944" s="124"/>
      <c r="D944" t="s">
        <v>373</v>
      </c>
      <c r="E944" s="26">
        <f ca="1">IF(VLOOKUP(D933,'2 Sanitation'!$D$53:$M$72,9,FALSE)="",VLOOKUP(D933,'2 Sanitation'!$D$53:$M$72,8,FALSE),VLOOKUP(D933,'2 Sanitation'!$D$53:$M$72,9,FALSE))</f>
        <v>0</v>
      </c>
      <c r="G944" s="125"/>
    </row>
    <row r="945" spans="3:11" x14ac:dyDescent="0.55000000000000004">
      <c r="C945" s="124"/>
      <c r="D945" t="s">
        <v>374</v>
      </c>
      <c r="E945" s="26">
        <f ca="1">IF(VLOOKUP(D933,'2 Sanitation'!$D$88:$I$107,5,FALSE)="",VLOOKUP(D933,'2 Sanitation'!$D$88:$I$107,4,FALSE),VLOOKUP(D933,'2 Sanitation'!$D$88:$I$107,5,FALSE))</f>
        <v>0</v>
      </c>
      <c r="G945" s="125"/>
    </row>
    <row r="946" spans="3:11" ht="14.7" thickBot="1" x14ac:dyDescent="0.6">
      <c r="C946" s="124"/>
      <c r="D946" s="1" t="s">
        <v>145</v>
      </c>
      <c r="E946" s="37">
        <f ca="1">SUM(E942:E945)</f>
        <v>0</v>
      </c>
      <c r="G946" s="125"/>
    </row>
    <row r="947" spans="3:11" ht="14.7" thickTop="1" x14ac:dyDescent="0.55000000000000004">
      <c r="C947" s="124"/>
      <c r="D947" s="1"/>
      <c r="E947" s="15"/>
      <c r="G947" s="125"/>
    </row>
    <row r="948" spans="3:11" x14ac:dyDescent="0.55000000000000004">
      <c r="C948" s="124"/>
      <c r="D948" t="s">
        <v>384</v>
      </c>
      <c r="E948" s="26">
        <f ca="1">IF(VLOOKUP(D933,'2 Sanitation'!$D$122:$K$141,5,FALSE)="",VLOOKUP(D933,'2 Sanitation'!$D$122:$K$141,4,FALSE),VLOOKUP(D933,'2 Sanitation'!$D$122:$K$141,5,FALSE))+VLOOKUP(D933,'2 Sanitation'!$D$153:$J$172,7,FALSE)</f>
        <v>0</v>
      </c>
      <c r="G948" s="125"/>
    </row>
    <row r="949" spans="3:11" x14ac:dyDescent="0.55000000000000004">
      <c r="C949" s="124"/>
      <c r="G949" s="125"/>
    </row>
    <row r="950" spans="3:11" ht="14.7" thickBot="1" x14ac:dyDescent="0.6">
      <c r="C950" s="124"/>
      <c r="D950" s="1" t="s">
        <v>375</v>
      </c>
      <c r="E950" s="37">
        <f ca="1">VLOOKUP(D933,'2 Sanitation'!$D$153:$K$172,8,FALSE)</f>
        <v>0</v>
      </c>
      <c r="G950" s="125"/>
    </row>
    <row r="951" spans="3:11" ht="14.7" thickTop="1" x14ac:dyDescent="0.55000000000000004">
      <c r="C951" s="124"/>
      <c r="G951" s="125"/>
    </row>
    <row r="952" spans="3:11" x14ac:dyDescent="0.55000000000000004">
      <c r="C952" s="124"/>
      <c r="G952" s="125"/>
    </row>
    <row r="953" spans="3:11" x14ac:dyDescent="0.55000000000000004">
      <c r="C953" s="124"/>
      <c r="G953" s="125"/>
    </row>
    <row r="954" spans="3:11" x14ac:dyDescent="0.55000000000000004">
      <c r="C954" s="124"/>
      <c r="G954" s="125"/>
    </row>
    <row r="955" spans="3:11" x14ac:dyDescent="0.55000000000000004">
      <c r="C955" s="124"/>
      <c r="G955" s="125"/>
    </row>
    <row r="956" spans="3:11" x14ac:dyDescent="0.55000000000000004">
      <c r="C956" s="124"/>
      <c r="G956" s="125"/>
      <c r="I956" s="232" t="s">
        <v>385</v>
      </c>
    </row>
    <row r="957" spans="3:11" x14ac:dyDescent="0.55000000000000004">
      <c r="C957" s="124"/>
      <c r="G957" s="125"/>
      <c r="I957" s="110"/>
      <c r="J957" s="102" t="s">
        <v>390</v>
      </c>
      <c r="K957" s="102" t="s">
        <v>391</v>
      </c>
    </row>
    <row r="958" spans="3:11" x14ac:dyDescent="0.55000000000000004">
      <c r="C958" s="124"/>
      <c r="G958" s="125"/>
      <c r="I958" s="110" t="s">
        <v>369</v>
      </c>
      <c r="J958" s="100">
        <f ca="1">E936/1000</f>
        <v>0</v>
      </c>
      <c r="K958" s="102"/>
    </row>
    <row r="959" spans="3:11" x14ac:dyDescent="0.55000000000000004">
      <c r="C959" s="124"/>
      <c r="G959" s="125"/>
      <c r="I959" s="110" t="s">
        <v>370</v>
      </c>
      <c r="J959" s="100">
        <f ca="1">E937/1000</f>
        <v>0</v>
      </c>
      <c r="K959" s="110"/>
    </row>
    <row r="960" spans="3:11" x14ac:dyDescent="0.55000000000000004">
      <c r="C960" s="124"/>
      <c r="G960" s="125"/>
      <c r="I960" s="110" t="s">
        <v>471</v>
      </c>
      <c r="J960" s="100">
        <f ca="1">E940/1000</f>
        <v>0</v>
      </c>
      <c r="K960" s="110"/>
    </row>
    <row r="961" spans="3:11" x14ac:dyDescent="0.55000000000000004">
      <c r="C961" s="124"/>
      <c r="G961" s="125"/>
      <c r="I961" s="110" t="s">
        <v>563</v>
      </c>
      <c r="J961" s="100"/>
      <c r="K961" s="101">
        <f ca="1">E950/1000</f>
        <v>0</v>
      </c>
    </row>
    <row r="962" spans="3:11" x14ac:dyDescent="0.55000000000000004">
      <c r="C962" s="124"/>
      <c r="G962" s="125"/>
      <c r="I962" s="110" t="s">
        <v>564</v>
      </c>
      <c r="J962" s="100"/>
      <c r="K962" s="101">
        <f ca="1">E945/1000</f>
        <v>0</v>
      </c>
    </row>
    <row r="963" spans="3:11" x14ac:dyDescent="0.55000000000000004">
      <c r="C963" s="124"/>
      <c r="G963" s="125"/>
      <c r="I963" s="110" t="s">
        <v>565</v>
      </c>
      <c r="J963" s="100"/>
      <c r="K963" s="101">
        <f ca="1">SUM(E942:E944)/1000</f>
        <v>0</v>
      </c>
    </row>
    <row r="964" spans="3:11" x14ac:dyDescent="0.55000000000000004">
      <c r="C964" s="124"/>
      <c r="G964" s="125"/>
      <c r="I964" s="110" t="s">
        <v>566</v>
      </c>
      <c r="J964" s="100"/>
      <c r="K964" s="101">
        <f ca="1">E948/1000</f>
        <v>0</v>
      </c>
    </row>
    <row r="965" spans="3:11" x14ac:dyDescent="0.55000000000000004">
      <c r="C965" s="124"/>
      <c r="G965" s="125"/>
    </row>
    <row r="966" spans="3:11" x14ac:dyDescent="0.55000000000000004">
      <c r="C966" s="124"/>
      <c r="G966" s="125"/>
    </row>
    <row r="967" spans="3:11" x14ac:dyDescent="0.55000000000000004">
      <c r="C967" s="124"/>
      <c r="G967" s="125"/>
    </row>
    <row r="968" spans="3:11" x14ac:dyDescent="0.55000000000000004">
      <c r="C968" s="124"/>
      <c r="G968" s="125"/>
    </row>
    <row r="969" spans="3:11" x14ac:dyDescent="0.55000000000000004">
      <c r="C969" s="124"/>
      <c r="E969" s="220" t="s">
        <v>250</v>
      </c>
      <c r="G969" s="125"/>
    </row>
    <row r="970" spans="3:11" x14ac:dyDescent="0.55000000000000004">
      <c r="C970" s="124"/>
      <c r="D970" t="s">
        <v>376</v>
      </c>
      <c r="E970" s="64">
        <f ca="1">VLOOKUP(D933,'2 Sanitation'!$D$153:$M$172,10,FALSE)</f>
        <v>0</v>
      </c>
      <c r="G970" s="125"/>
    </row>
    <row r="971" spans="3:11" x14ac:dyDescent="0.55000000000000004">
      <c r="C971" s="124"/>
      <c r="D971" t="s">
        <v>377</v>
      </c>
      <c r="E971" s="64">
        <f ca="1">VLOOKUP(D933,'2 Sanitation'!$D$153:$M$172,9,FALSE)</f>
        <v>0</v>
      </c>
      <c r="G971" s="125"/>
    </row>
    <row r="972" spans="3:11" x14ac:dyDescent="0.55000000000000004">
      <c r="C972" s="124"/>
      <c r="D972" t="s">
        <v>378</v>
      </c>
      <c r="E972" s="64">
        <f ca="1">IFERROR(IF(E940=0,E948,E940)/E938,0)</f>
        <v>0</v>
      </c>
      <c r="G972" s="125"/>
    </row>
    <row r="973" spans="3:11" x14ac:dyDescent="0.55000000000000004">
      <c r="C973" s="124"/>
      <c r="G973" s="125"/>
    </row>
    <row r="974" spans="3:11" x14ac:dyDescent="0.55000000000000004">
      <c r="C974" s="124"/>
      <c r="D974" t="s">
        <v>379</v>
      </c>
      <c r="E974" s="64">
        <f>'3 Sanitation'!H600</f>
        <v>0</v>
      </c>
      <c r="G974" s="125"/>
    </row>
    <row r="975" spans="3:11" x14ac:dyDescent="0.55000000000000004">
      <c r="C975" s="124"/>
      <c r="D975" t="s">
        <v>380</v>
      </c>
      <c r="E975" s="97">
        <f ca="1">IFERROR('3 Sanitation'!I600/'3 Sanitation'!F600,0)</f>
        <v>0</v>
      </c>
      <c r="G975" s="125"/>
    </row>
    <row r="976" spans="3:11" x14ac:dyDescent="0.55000000000000004">
      <c r="C976" s="124"/>
      <c r="D976" s="226" t="s">
        <v>386</v>
      </c>
      <c r="F976" s="227"/>
      <c r="G976" s="228"/>
    </row>
    <row r="977" spans="3:13" x14ac:dyDescent="0.55000000000000004">
      <c r="C977" s="124"/>
      <c r="G977" s="125"/>
    </row>
    <row r="978" spans="3:13" x14ac:dyDescent="0.55000000000000004">
      <c r="C978" s="124"/>
      <c r="D978" s="1" t="s">
        <v>381</v>
      </c>
      <c r="G978" s="125"/>
    </row>
    <row r="979" spans="3:13" x14ac:dyDescent="0.55000000000000004">
      <c r="C979" s="124"/>
      <c r="G979" s="125"/>
    </row>
    <row r="980" spans="3:13" x14ac:dyDescent="0.55000000000000004">
      <c r="C980" s="124"/>
      <c r="G980" s="125"/>
    </row>
    <row r="981" spans="3:13" ht="28.8" x14ac:dyDescent="0.55000000000000004">
      <c r="C981" s="124"/>
      <c r="G981" s="125"/>
      <c r="I981" s="229" t="s">
        <v>383</v>
      </c>
      <c r="J981" s="229" t="s">
        <v>382</v>
      </c>
      <c r="K981" s="229" t="s">
        <v>100</v>
      </c>
      <c r="L981" s="230" t="s">
        <v>392</v>
      </c>
      <c r="M981" s="233" t="s">
        <v>581</v>
      </c>
    </row>
    <row r="982" spans="3:13" x14ac:dyDescent="0.55000000000000004">
      <c r="C982" s="124"/>
      <c r="G982" s="125"/>
      <c r="I982" s="102">
        <v>1</v>
      </c>
      <c r="J982" s="102">
        <f>IFERROR(VLOOKUP(I982,'3 Sanitation'!$E$613:$L$622,4,FALSE),0)</f>
        <v>0</v>
      </c>
      <c r="K982" s="103">
        <f>IFERROR(VLOOKUP(I982,'3 Sanitation'!$E$613:$L$622,8,FALSE),0)</f>
        <v>0</v>
      </c>
      <c r="L982" s="104">
        <f ca="1">$E$970</f>
        <v>0</v>
      </c>
      <c r="M982" s="105">
        <f ca="1">IFERROR('3 Sanitation'!H592/SUM('3 Sanitation'!K613:K622),0)</f>
        <v>0</v>
      </c>
    </row>
    <row r="983" spans="3:13" x14ac:dyDescent="0.55000000000000004">
      <c r="C983" s="124"/>
      <c r="G983" s="125"/>
      <c r="I983" s="102">
        <v>2</v>
      </c>
      <c r="J983" s="102">
        <f>IFERROR(VLOOKUP(I983,'3 Sanitation'!$E$613:$L$622,4,FALSE),0)</f>
        <v>0</v>
      </c>
      <c r="K983" s="103">
        <f ca="1">IFERROR(VLOOKUP(I983,'3 Sanitation'!$E$613:$L$622,8,FALSE),0)</f>
        <v>0</v>
      </c>
      <c r="L983" s="104">
        <f t="shared" ref="L983:L991" ca="1" si="28">$E$970</f>
        <v>0</v>
      </c>
      <c r="M983" s="104">
        <f ca="1">$M$982</f>
        <v>0</v>
      </c>
    </row>
    <row r="984" spans="3:13" x14ac:dyDescent="0.55000000000000004">
      <c r="C984" s="124"/>
      <c r="G984" s="125"/>
      <c r="I984" s="102">
        <v>3</v>
      </c>
      <c r="J984" s="102">
        <f>IFERROR(VLOOKUP(I984,'3 Sanitation'!$E$613:$L$622,4,FALSE),0)</f>
        <v>0</v>
      </c>
      <c r="K984" s="103">
        <f ca="1">IFERROR(VLOOKUP(I984,'3 Sanitation'!$E$613:$L$622,8,FALSE),0)</f>
        <v>0</v>
      </c>
      <c r="L984" s="104">
        <f t="shared" ca="1" si="28"/>
        <v>0</v>
      </c>
      <c r="M984" s="104">
        <f t="shared" ref="M984:M991" ca="1" si="29">$M$982</f>
        <v>0</v>
      </c>
    </row>
    <row r="985" spans="3:13" x14ac:dyDescent="0.55000000000000004">
      <c r="C985" s="124"/>
      <c r="G985" s="125"/>
      <c r="I985" s="102">
        <v>4</v>
      </c>
      <c r="J985" s="102">
        <f>IFERROR(VLOOKUP(I985,'3 Sanitation'!$E$613:$L$622,4,FALSE),0)</f>
        <v>0</v>
      </c>
      <c r="K985" s="103">
        <f ca="1">IFERROR(VLOOKUP(I985,'3 Sanitation'!$E$613:$L$622,8,FALSE),0)</f>
        <v>0</v>
      </c>
      <c r="L985" s="104">
        <f t="shared" ca="1" si="28"/>
        <v>0</v>
      </c>
      <c r="M985" s="104">
        <f t="shared" ca="1" si="29"/>
        <v>0</v>
      </c>
    </row>
    <row r="986" spans="3:13" x14ac:dyDescent="0.55000000000000004">
      <c r="C986" s="124"/>
      <c r="G986" s="125"/>
      <c r="I986" s="102">
        <v>5</v>
      </c>
      <c r="J986" s="102">
        <f>IFERROR(VLOOKUP(I986,'3 Sanitation'!$E$613:$L$622,4,FALSE),0)</f>
        <v>0</v>
      </c>
      <c r="K986" s="103">
        <f ca="1">IFERROR(VLOOKUP(I986,'3 Sanitation'!$E$613:$L$622,8,FALSE),0)</f>
        <v>0</v>
      </c>
      <c r="L986" s="104">
        <f t="shared" ca="1" si="28"/>
        <v>0</v>
      </c>
      <c r="M986" s="104">
        <f t="shared" ca="1" si="29"/>
        <v>0</v>
      </c>
    </row>
    <row r="987" spans="3:13" x14ac:dyDescent="0.55000000000000004">
      <c r="C987" s="124"/>
      <c r="G987" s="125"/>
      <c r="I987" s="102">
        <v>6</v>
      </c>
      <c r="J987" s="102">
        <f>IFERROR(VLOOKUP(I987,'3 Sanitation'!$E$613:$L$622,4,FALSE),0)</f>
        <v>0</v>
      </c>
      <c r="K987" s="103">
        <f ca="1">IFERROR(VLOOKUP(I987,'3 Sanitation'!$E$613:$L$622,8,FALSE),0)</f>
        <v>0</v>
      </c>
      <c r="L987" s="104">
        <f t="shared" ca="1" si="28"/>
        <v>0</v>
      </c>
      <c r="M987" s="104">
        <f t="shared" ca="1" si="29"/>
        <v>0</v>
      </c>
    </row>
    <row r="988" spans="3:13" x14ac:dyDescent="0.55000000000000004">
      <c r="C988" s="124"/>
      <c r="G988" s="125"/>
      <c r="I988" s="102">
        <v>7</v>
      </c>
      <c r="J988" s="102">
        <f>IFERROR(VLOOKUP(I988,'3 Sanitation'!$E$613:$L$622,4,FALSE),0)</f>
        <v>0</v>
      </c>
      <c r="K988" s="103">
        <f ca="1">IFERROR(VLOOKUP(I988,'3 Sanitation'!$E$613:$L$622,8,FALSE),0)</f>
        <v>0</v>
      </c>
      <c r="L988" s="104">
        <f t="shared" ca="1" si="28"/>
        <v>0</v>
      </c>
      <c r="M988" s="104">
        <f t="shared" ca="1" si="29"/>
        <v>0</v>
      </c>
    </row>
    <row r="989" spans="3:13" x14ac:dyDescent="0.55000000000000004">
      <c r="C989" s="124"/>
      <c r="G989" s="125"/>
      <c r="I989" s="102">
        <v>8</v>
      </c>
      <c r="J989" s="102">
        <f>IFERROR(VLOOKUP(I989,'3 Sanitation'!$E$613:$L$622,4,FALSE),0)</f>
        <v>0</v>
      </c>
      <c r="K989" s="103">
        <f ca="1">IFERROR(VLOOKUP(I989,'3 Sanitation'!$E$613:$L$622,8,FALSE),0)</f>
        <v>0</v>
      </c>
      <c r="L989" s="104">
        <f t="shared" ca="1" si="28"/>
        <v>0</v>
      </c>
      <c r="M989" s="104">
        <f t="shared" ca="1" si="29"/>
        <v>0</v>
      </c>
    </row>
    <row r="990" spans="3:13" x14ac:dyDescent="0.55000000000000004">
      <c r="C990" s="124"/>
      <c r="G990" s="125"/>
      <c r="I990" s="102">
        <v>9</v>
      </c>
      <c r="J990" s="102">
        <f>IFERROR(VLOOKUP(I990,'3 Sanitation'!$E$613:$L$622,4,FALSE),0)</f>
        <v>0</v>
      </c>
      <c r="K990" s="103">
        <f ca="1">IFERROR(VLOOKUP(I990,'3 Sanitation'!$E$613:$L$622,8,FALSE),0)</f>
        <v>0</v>
      </c>
      <c r="L990" s="104">
        <f t="shared" ca="1" si="28"/>
        <v>0</v>
      </c>
      <c r="M990" s="104">
        <f t="shared" ca="1" si="29"/>
        <v>0</v>
      </c>
    </row>
    <row r="991" spans="3:13" x14ac:dyDescent="0.55000000000000004">
      <c r="C991" s="124"/>
      <c r="G991" s="125"/>
      <c r="I991" s="102">
        <v>10</v>
      </c>
      <c r="J991" s="102" t="str">
        <f>IFERROR(VLOOKUP(I991,'3 Sanitation'!$E$613:$L$622,4,FALSE),0)</f>
        <v>More</v>
      </c>
      <c r="K991" s="103">
        <f ca="1">IFERROR(VLOOKUP(I991,'3 Sanitation'!$E$613:$L$622,8,FALSE),0)</f>
        <v>0</v>
      </c>
      <c r="L991" s="104">
        <f t="shared" ca="1" si="28"/>
        <v>0</v>
      </c>
      <c r="M991" s="104">
        <f t="shared" ca="1" si="29"/>
        <v>0</v>
      </c>
    </row>
    <row r="992" spans="3:13" x14ac:dyDescent="0.55000000000000004">
      <c r="C992" s="124"/>
      <c r="G992" s="125"/>
    </row>
    <row r="993" spans="3:7" x14ac:dyDescent="0.55000000000000004">
      <c r="C993" s="124"/>
      <c r="G993" s="125"/>
    </row>
    <row r="994" spans="3:7" x14ac:dyDescent="0.55000000000000004">
      <c r="C994" s="124"/>
      <c r="G994" s="125"/>
    </row>
    <row r="995" spans="3:7" x14ac:dyDescent="0.55000000000000004">
      <c r="C995" s="124"/>
      <c r="G995" s="125"/>
    </row>
    <row r="996" spans="3:7" x14ac:dyDescent="0.55000000000000004">
      <c r="C996" s="124"/>
      <c r="G996" s="125"/>
    </row>
    <row r="997" spans="3:7" ht="14.7" thickBot="1" x14ac:dyDescent="0.6">
      <c r="C997" s="130"/>
      <c r="D997" s="131"/>
      <c r="E997" s="131"/>
      <c r="F997" s="131"/>
      <c r="G997" s="132"/>
    </row>
    <row r="999" spans="3:7" ht="14.7" thickBot="1" x14ac:dyDescent="0.6"/>
    <row r="1000" spans="3:7" x14ac:dyDescent="0.55000000000000004">
      <c r="C1000" s="121"/>
      <c r="D1000" s="122"/>
      <c r="E1000" s="122"/>
      <c r="F1000" s="122"/>
      <c r="G1000" s="123"/>
    </row>
    <row r="1001" spans="3:7" ht="15.6" x14ac:dyDescent="0.6">
      <c r="C1001" s="124"/>
      <c r="D1001" s="98">
        <f>'2 Customer data'!D72</f>
        <v>0</v>
      </c>
      <c r="G1001" s="125"/>
    </row>
    <row r="1002" spans="3:7" x14ac:dyDescent="0.55000000000000004">
      <c r="C1002" s="124"/>
      <c r="G1002" s="125"/>
    </row>
    <row r="1003" spans="3:7" x14ac:dyDescent="0.55000000000000004">
      <c r="C1003" s="124"/>
      <c r="E1003" s="220" t="s">
        <v>250</v>
      </c>
      <c r="G1003" s="125"/>
    </row>
    <row r="1004" spans="3:7" x14ac:dyDescent="0.55000000000000004">
      <c r="C1004" s="124"/>
      <c r="D1004" t="s">
        <v>369</v>
      </c>
      <c r="E1004" s="26">
        <f ca="1">VLOOKUP(D1001,'2 Sanitation'!$D$19:$J$38,5,FALSE)</f>
        <v>0</v>
      </c>
      <c r="G1004" s="125"/>
    </row>
    <row r="1005" spans="3:7" x14ac:dyDescent="0.55000000000000004">
      <c r="C1005" s="124"/>
      <c r="D1005" t="s">
        <v>370</v>
      </c>
      <c r="E1005" s="99">
        <f ca="1">VLOOKUP(D1001,'2 Sanitation'!$D$19:$J$38,6,FALSE)</f>
        <v>0</v>
      </c>
      <c r="G1005" s="125"/>
    </row>
    <row r="1006" spans="3:7" ht="14.7" thickBot="1" x14ac:dyDescent="0.6">
      <c r="C1006" s="124"/>
      <c r="D1006" s="1" t="s">
        <v>39</v>
      </c>
      <c r="E1006" s="37">
        <f ca="1">VLOOKUP(D1001,'2 Sanitation'!$D$19:$J$38,7,FALSE)</f>
        <v>0</v>
      </c>
      <c r="G1006" s="125"/>
    </row>
    <row r="1007" spans="3:7" ht="14.7" thickTop="1" x14ac:dyDescent="0.55000000000000004">
      <c r="C1007" s="124"/>
      <c r="G1007" s="125"/>
    </row>
    <row r="1008" spans="3:7" x14ac:dyDescent="0.55000000000000004">
      <c r="C1008" s="124"/>
      <c r="D1008" t="s">
        <v>189</v>
      </c>
      <c r="E1008" s="26">
        <f ca="1">IF(VLOOKUP(D1001,'2 Sanitation'!$D$122:$K$141,7,FALSE)="",VLOOKUP(D1001,'2 Sanitation'!$D$122:$K$141,6,FALSE),VLOOKUP(D1001,'2 Sanitation'!$D$122:$K$141,7,FALSE))+VLOOKUP(D1001,'2 Sanitation'!$D$153:$J$172,5,FALSE)</f>
        <v>0</v>
      </c>
      <c r="G1008" s="125"/>
    </row>
    <row r="1009" spans="3:9" x14ac:dyDescent="0.55000000000000004">
      <c r="C1009" s="124"/>
      <c r="G1009" s="125"/>
    </row>
    <row r="1010" spans="3:9" x14ac:dyDescent="0.55000000000000004">
      <c r="C1010" s="124"/>
      <c r="D1010" t="s">
        <v>371</v>
      </c>
      <c r="E1010" s="64">
        <f ca="1">IF(VLOOKUP(D1001,'2 Sanitation'!$D$53:$M$72,5,FALSE)="",VLOOKUP(D1001,'2 Sanitation'!$D$53:$M$72,4,FALSE),VLOOKUP(D1001,'2 Sanitation'!$D$53:$M$72,5,FALSE))</f>
        <v>0</v>
      </c>
      <c r="G1010" s="125"/>
    </row>
    <row r="1011" spans="3:9" x14ac:dyDescent="0.55000000000000004">
      <c r="C1011" s="124"/>
      <c r="D1011" t="s">
        <v>372</v>
      </c>
      <c r="E1011" s="26">
        <f ca="1">IF(VLOOKUP(D1001,'2 Sanitation'!$D$53:$M$72,7,FALSE)="",VLOOKUP(D1001,'2 Sanitation'!$D$53:$M$72,6,FALSE),VLOOKUP(D1001,'2 Sanitation'!$D$53:$M$72,7,FALSE))</f>
        <v>0</v>
      </c>
      <c r="G1011" s="125"/>
    </row>
    <row r="1012" spans="3:9" x14ac:dyDescent="0.55000000000000004">
      <c r="C1012" s="124"/>
      <c r="D1012" t="s">
        <v>373</v>
      </c>
      <c r="E1012" s="26">
        <f ca="1">IF(VLOOKUP(D1001,'2 Sanitation'!$D$53:$M$72,9,FALSE)="",VLOOKUP(D1001,'2 Sanitation'!$D$53:$M$72,8,FALSE),VLOOKUP(D1001,'2 Sanitation'!$D$53:$M$72,9,FALSE))</f>
        <v>0</v>
      </c>
      <c r="G1012" s="125"/>
    </row>
    <row r="1013" spans="3:9" x14ac:dyDescent="0.55000000000000004">
      <c r="C1013" s="124"/>
      <c r="D1013" t="s">
        <v>374</v>
      </c>
      <c r="E1013" s="26">
        <f ca="1">IF(VLOOKUP(D1001,'2 Sanitation'!$D$88:$I$107,5,FALSE)="",VLOOKUP(D1001,'2 Sanitation'!$D$88:$I$107,4,FALSE),VLOOKUP(D1001,'2 Sanitation'!$D$88:$I$107,5,FALSE))</f>
        <v>0</v>
      </c>
      <c r="G1013" s="125"/>
    </row>
    <row r="1014" spans="3:9" ht="14.7" thickBot="1" x14ac:dyDescent="0.6">
      <c r="C1014" s="124"/>
      <c r="D1014" s="1" t="s">
        <v>145</v>
      </c>
      <c r="E1014" s="37">
        <f ca="1">SUM(E1010:E1013)</f>
        <v>0</v>
      </c>
      <c r="G1014" s="125"/>
    </row>
    <row r="1015" spans="3:9" ht="14.7" thickTop="1" x14ac:dyDescent="0.55000000000000004">
      <c r="C1015" s="124"/>
      <c r="D1015" s="1"/>
      <c r="E1015" s="15"/>
      <c r="G1015" s="125"/>
    </row>
    <row r="1016" spans="3:9" x14ac:dyDescent="0.55000000000000004">
      <c r="C1016" s="124"/>
      <c r="D1016" t="s">
        <v>384</v>
      </c>
      <c r="E1016" s="26">
        <f ca="1">IF(VLOOKUP(D1001,'2 Sanitation'!$D$122:$K$141,5,FALSE)="",VLOOKUP(D1001,'2 Sanitation'!$D$122:$K$141,4,FALSE),VLOOKUP(D1001,'2 Sanitation'!$D$122:$K$141,5,FALSE))+VLOOKUP(D1001,'2 Sanitation'!$D$153:$J$172,7,FALSE)</f>
        <v>0</v>
      </c>
      <c r="G1016" s="125"/>
    </row>
    <row r="1017" spans="3:9" x14ac:dyDescent="0.55000000000000004">
      <c r="C1017" s="124"/>
      <c r="G1017" s="125"/>
    </row>
    <row r="1018" spans="3:9" ht="14.7" thickBot="1" x14ac:dyDescent="0.6">
      <c r="C1018" s="124"/>
      <c r="D1018" s="1" t="s">
        <v>375</v>
      </c>
      <c r="E1018" s="37">
        <f ca="1">VLOOKUP(D1001,'2 Sanitation'!$D$153:$K$172,8,FALSE)</f>
        <v>0</v>
      </c>
      <c r="G1018" s="125"/>
    </row>
    <row r="1019" spans="3:9" ht="14.7" thickTop="1" x14ac:dyDescent="0.55000000000000004">
      <c r="C1019" s="124"/>
      <c r="G1019" s="125"/>
    </row>
    <row r="1020" spans="3:9" x14ac:dyDescent="0.55000000000000004">
      <c r="C1020" s="124"/>
      <c r="G1020" s="125"/>
    </row>
    <row r="1021" spans="3:9" x14ac:dyDescent="0.55000000000000004">
      <c r="C1021" s="124"/>
      <c r="G1021" s="125"/>
    </row>
    <row r="1022" spans="3:9" x14ac:dyDescent="0.55000000000000004">
      <c r="C1022" s="124"/>
      <c r="G1022" s="125"/>
    </row>
    <row r="1023" spans="3:9" x14ac:dyDescent="0.55000000000000004">
      <c r="C1023" s="124"/>
      <c r="G1023" s="125"/>
    </row>
    <row r="1024" spans="3:9" x14ac:dyDescent="0.55000000000000004">
      <c r="C1024" s="124"/>
      <c r="G1024" s="125"/>
      <c r="I1024" s="232" t="s">
        <v>385</v>
      </c>
    </row>
    <row r="1025" spans="3:11" x14ac:dyDescent="0.55000000000000004">
      <c r="C1025" s="124"/>
      <c r="G1025" s="125"/>
      <c r="I1025" s="110"/>
      <c r="J1025" s="102" t="s">
        <v>390</v>
      </c>
      <c r="K1025" s="102" t="s">
        <v>391</v>
      </c>
    </row>
    <row r="1026" spans="3:11" x14ac:dyDescent="0.55000000000000004">
      <c r="C1026" s="124"/>
      <c r="G1026" s="125"/>
      <c r="I1026" s="110" t="s">
        <v>369</v>
      </c>
      <c r="J1026" s="100">
        <f ca="1">E1004/1000</f>
        <v>0</v>
      </c>
      <c r="K1026" s="102"/>
    </row>
    <row r="1027" spans="3:11" x14ac:dyDescent="0.55000000000000004">
      <c r="C1027" s="124"/>
      <c r="G1027" s="125"/>
      <c r="I1027" s="110" t="s">
        <v>370</v>
      </c>
      <c r="J1027" s="100">
        <f ca="1">E1005/1000</f>
        <v>0</v>
      </c>
      <c r="K1027" s="110"/>
    </row>
    <row r="1028" spans="3:11" x14ac:dyDescent="0.55000000000000004">
      <c r="C1028" s="124"/>
      <c r="G1028" s="125"/>
      <c r="I1028" s="110" t="s">
        <v>471</v>
      </c>
      <c r="J1028" s="100">
        <f ca="1">E1008/1000</f>
        <v>0</v>
      </c>
      <c r="K1028" s="110"/>
    </row>
    <row r="1029" spans="3:11" x14ac:dyDescent="0.55000000000000004">
      <c r="C1029" s="124"/>
      <c r="G1029" s="125"/>
      <c r="I1029" s="110" t="s">
        <v>563</v>
      </c>
      <c r="J1029" s="100"/>
      <c r="K1029" s="101">
        <f ca="1">E1018/1000</f>
        <v>0</v>
      </c>
    </row>
    <row r="1030" spans="3:11" x14ac:dyDescent="0.55000000000000004">
      <c r="C1030" s="124"/>
      <c r="G1030" s="125"/>
      <c r="I1030" s="110" t="s">
        <v>564</v>
      </c>
      <c r="J1030" s="100"/>
      <c r="K1030" s="101">
        <f ca="1">E1013/1000</f>
        <v>0</v>
      </c>
    </row>
    <row r="1031" spans="3:11" x14ac:dyDescent="0.55000000000000004">
      <c r="C1031" s="124"/>
      <c r="G1031" s="125"/>
      <c r="I1031" s="110" t="s">
        <v>565</v>
      </c>
      <c r="J1031" s="100"/>
      <c r="K1031" s="101">
        <f ca="1">SUM(E1010:E1012)/1000</f>
        <v>0</v>
      </c>
    </row>
    <row r="1032" spans="3:11" x14ac:dyDescent="0.55000000000000004">
      <c r="C1032" s="124"/>
      <c r="G1032" s="125"/>
      <c r="I1032" s="110" t="s">
        <v>566</v>
      </c>
      <c r="J1032" s="100"/>
      <c r="K1032" s="101">
        <f ca="1">E1016/1000</f>
        <v>0</v>
      </c>
    </row>
    <row r="1033" spans="3:11" x14ac:dyDescent="0.55000000000000004">
      <c r="C1033" s="124"/>
      <c r="G1033" s="125"/>
    </row>
    <row r="1034" spans="3:11" x14ac:dyDescent="0.55000000000000004">
      <c r="C1034" s="124"/>
      <c r="G1034" s="125"/>
    </row>
    <row r="1035" spans="3:11" x14ac:dyDescent="0.55000000000000004">
      <c r="C1035" s="124"/>
      <c r="G1035" s="125"/>
    </row>
    <row r="1036" spans="3:11" x14ac:dyDescent="0.55000000000000004">
      <c r="C1036" s="124"/>
      <c r="G1036" s="125"/>
    </row>
    <row r="1037" spans="3:11" x14ac:dyDescent="0.55000000000000004">
      <c r="C1037" s="124"/>
      <c r="E1037" s="220" t="s">
        <v>250</v>
      </c>
      <c r="G1037" s="125"/>
    </row>
    <row r="1038" spans="3:11" x14ac:dyDescent="0.55000000000000004">
      <c r="C1038" s="124"/>
      <c r="D1038" t="s">
        <v>376</v>
      </c>
      <c r="E1038" s="64">
        <f ca="1">VLOOKUP(D1001,'2 Sanitation'!$D$153:$M$172,10,FALSE)</f>
        <v>0</v>
      </c>
      <c r="G1038" s="125"/>
    </row>
    <row r="1039" spans="3:11" x14ac:dyDescent="0.55000000000000004">
      <c r="C1039" s="124"/>
      <c r="D1039" t="s">
        <v>377</v>
      </c>
      <c r="E1039" s="64">
        <f ca="1">VLOOKUP(D1001,'2 Sanitation'!$D$153:$M$172,9,FALSE)</f>
        <v>0</v>
      </c>
      <c r="G1039" s="125"/>
    </row>
    <row r="1040" spans="3:11" x14ac:dyDescent="0.55000000000000004">
      <c r="C1040" s="124"/>
      <c r="D1040" t="s">
        <v>378</v>
      </c>
      <c r="E1040" s="64">
        <f ca="1">IFERROR(IF(E1008=0,E1016,E1008)/E1006,0)</f>
        <v>0</v>
      </c>
      <c r="G1040" s="125"/>
    </row>
    <row r="1041" spans="3:13" x14ac:dyDescent="0.55000000000000004">
      <c r="C1041" s="124"/>
      <c r="G1041" s="125"/>
    </row>
    <row r="1042" spans="3:13" x14ac:dyDescent="0.55000000000000004">
      <c r="C1042" s="124"/>
      <c r="D1042" t="s">
        <v>379</v>
      </c>
      <c r="E1042" s="64">
        <f>'3 Sanitation'!H641</f>
        <v>0</v>
      </c>
      <c r="G1042" s="125"/>
    </row>
    <row r="1043" spans="3:13" x14ac:dyDescent="0.55000000000000004">
      <c r="C1043" s="124"/>
      <c r="D1043" t="s">
        <v>380</v>
      </c>
      <c r="E1043" s="97">
        <f ca="1">IFERROR('3 Sanitation'!I641/'3 Sanitation'!F641,0)</f>
        <v>0</v>
      </c>
      <c r="G1043" s="125"/>
    </row>
    <row r="1044" spans="3:13" x14ac:dyDescent="0.55000000000000004">
      <c r="C1044" s="124"/>
      <c r="D1044" s="226" t="s">
        <v>386</v>
      </c>
      <c r="F1044" s="227"/>
      <c r="G1044" s="228"/>
    </row>
    <row r="1045" spans="3:13" x14ac:dyDescent="0.55000000000000004">
      <c r="C1045" s="124"/>
      <c r="G1045" s="125"/>
    </row>
    <row r="1046" spans="3:13" x14ac:dyDescent="0.55000000000000004">
      <c r="C1046" s="124"/>
      <c r="D1046" s="1" t="s">
        <v>381</v>
      </c>
      <c r="G1046" s="125"/>
    </row>
    <row r="1047" spans="3:13" x14ac:dyDescent="0.55000000000000004">
      <c r="C1047" s="124"/>
      <c r="G1047" s="125"/>
    </row>
    <row r="1048" spans="3:13" x14ac:dyDescent="0.55000000000000004">
      <c r="C1048" s="124"/>
      <c r="G1048" s="125"/>
    </row>
    <row r="1049" spans="3:13" ht="28.8" x14ac:dyDescent="0.55000000000000004">
      <c r="C1049" s="124"/>
      <c r="G1049" s="125"/>
      <c r="I1049" s="229" t="s">
        <v>383</v>
      </c>
      <c r="J1049" s="229" t="s">
        <v>382</v>
      </c>
      <c r="K1049" s="229" t="s">
        <v>100</v>
      </c>
      <c r="L1049" s="230" t="s">
        <v>392</v>
      </c>
      <c r="M1049" s="233" t="s">
        <v>581</v>
      </c>
    </row>
    <row r="1050" spans="3:13" x14ac:dyDescent="0.55000000000000004">
      <c r="C1050" s="124"/>
      <c r="G1050" s="125"/>
      <c r="I1050" s="102">
        <v>1</v>
      </c>
      <c r="J1050" s="102">
        <f>IFERROR(VLOOKUP(I1050,'3 Sanitation'!$E$654:$L$663,4,FALSE),0)</f>
        <v>0</v>
      </c>
      <c r="K1050" s="103">
        <f>IFERROR(VLOOKUP(I1050,'3 Sanitation'!$E$654:$L$663,8,FALSE),0)</f>
        <v>0</v>
      </c>
      <c r="L1050" s="104">
        <f ca="1">$E$1038</f>
        <v>0</v>
      </c>
      <c r="M1050" s="105">
        <f ca="1">IFERROR('3 Sanitation'!H633/SUM('3 Sanitation'!K654:K663),0)</f>
        <v>0</v>
      </c>
    </row>
    <row r="1051" spans="3:13" x14ac:dyDescent="0.55000000000000004">
      <c r="C1051" s="124"/>
      <c r="G1051" s="125"/>
      <c r="I1051" s="102">
        <v>2</v>
      </c>
      <c r="J1051" s="102">
        <f>IFERROR(VLOOKUP(I1051,'3 Sanitation'!$E$654:$L$663,4,FALSE),0)</f>
        <v>0</v>
      </c>
      <c r="K1051" s="103">
        <f ca="1">IFERROR(VLOOKUP(I1051,'3 Sanitation'!$E$654:$L$663,8,FALSE),0)</f>
        <v>0</v>
      </c>
      <c r="L1051" s="104">
        <f t="shared" ref="L1051:L1059" ca="1" si="30">$E$1038</f>
        <v>0</v>
      </c>
      <c r="M1051" s="104">
        <f ca="1">$M$1050</f>
        <v>0</v>
      </c>
    </row>
    <row r="1052" spans="3:13" x14ac:dyDescent="0.55000000000000004">
      <c r="C1052" s="124"/>
      <c r="G1052" s="125"/>
      <c r="I1052" s="102">
        <v>3</v>
      </c>
      <c r="J1052" s="102">
        <f>IFERROR(VLOOKUP(I1052,'3 Sanitation'!$E$654:$L$663,4,FALSE),0)</f>
        <v>0</v>
      </c>
      <c r="K1052" s="103">
        <f ca="1">IFERROR(VLOOKUP(I1052,'3 Sanitation'!$E$654:$L$663,8,FALSE),0)</f>
        <v>0</v>
      </c>
      <c r="L1052" s="104">
        <f t="shared" ca="1" si="30"/>
        <v>0</v>
      </c>
      <c r="M1052" s="104">
        <f t="shared" ref="M1052:M1059" ca="1" si="31">$M$1050</f>
        <v>0</v>
      </c>
    </row>
    <row r="1053" spans="3:13" x14ac:dyDescent="0.55000000000000004">
      <c r="C1053" s="124"/>
      <c r="G1053" s="125"/>
      <c r="I1053" s="102">
        <v>4</v>
      </c>
      <c r="J1053" s="102">
        <f>IFERROR(VLOOKUP(I1053,'3 Sanitation'!$E$654:$L$663,4,FALSE),0)</f>
        <v>0</v>
      </c>
      <c r="K1053" s="103">
        <f ca="1">IFERROR(VLOOKUP(I1053,'3 Sanitation'!$E$654:$L$663,8,FALSE),0)</f>
        <v>0</v>
      </c>
      <c r="L1053" s="104">
        <f t="shared" ca="1" si="30"/>
        <v>0</v>
      </c>
      <c r="M1053" s="104">
        <f t="shared" ca="1" si="31"/>
        <v>0</v>
      </c>
    </row>
    <row r="1054" spans="3:13" x14ac:dyDescent="0.55000000000000004">
      <c r="C1054" s="124"/>
      <c r="G1054" s="125"/>
      <c r="I1054" s="102">
        <v>5</v>
      </c>
      <c r="J1054" s="102">
        <f>IFERROR(VLOOKUP(I1054,'3 Sanitation'!$E$654:$L$663,4,FALSE),0)</f>
        <v>0</v>
      </c>
      <c r="K1054" s="103">
        <f ca="1">IFERROR(VLOOKUP(I1054,'3 Sanitation'!$E$654:$L$663,8,FALSE),0)</f>
        <v>0</v>
      </c>
      <c r="L1054" s="104">
        <f t="shared" ca="1" si="30"/>
        <v>0</v>
      </c>
      <c r="M1054" s="104">
        <f t="shared" ca="1" si="31"/>
        <v>0</v>
      </c>
    </row>
    <row r="1055" spans="3:13" x14ac:dyDescent="0.55000000000000004">
      <c r="C1055" s="124"/>
      <c r="G1055" s="125"/>
      <c r="I1055" s="102">
        <v>6</v>
      </c>
      <c r="J1055" s="102">
        <f>IFERROR(VLOOKUP(I1055,'3 Sanitation'!$E$654:$L$663,4,FALSE),0)</f>
        <v>0</v>
      </c>
      <c r="K1055" s="103">
        <f ca="1">IFERROR(VLOOKUP(I1055,'3 Sanitation'!$E$654:$L$663,8,FALSE),0)</f>
        <v>0</v>
      </c>
      <c r="L1055" s="104">
        <f t="shared" ca="1" si="30"/>
        <v>0</v>
      </c>
      <c r="M1055" s="104">
        <f t="shared" ca="1" si="31"/>
        <v>0</v>
      </c>
    </row>
    <row r="1056" spans="3:13" x14ac:dyDescent="0.55000000000000004">
      <c r="C1056" s="124"/>
      <c r="G1056" s="125"/>
      <c r="I1056" s="102">
        <v>7</v>
      </c>
      <c r="J1056" s="102">
        <f>IFERROR(VLOOKUP(I1056,'3 Sanitation'!$E$654:$L$663,4,FALSE),0)</f>
        <v>0</v>
      </c>
      <c r="K1056" s="103">
        <f ca="1">IFERROR(VLOOKUP(I1056,'3 Sanitation'!$E$654:$L$663,8,FALSE),0)</f>
        <v>0</v>
      </c>
      <c r="L1056" s="104">
        <f t="shared" ca="1" si="30"/>
        <v>0</v>
      </c>
      <c r="M1056" s="104">
        <f t="shared" ca="1" si="31"/>
        <v>0</v>
      </c>
    </row>
    <row r="1057" spans="3:13" x14ac:dyDescent="0.55000000000000004">
      <c r="C1057" s="124"/>
      <c r="G1057" s="125"/>
      <c r="I1057" s="102">
        <v>8</v>
      </c>
      <c r="J1057" s="102">
        <f>IFERROR(VLOOKUP(I1057,'3 Sanitation'!$E$654:$L$663,4,FALSE),0)</f>
        <v>0</v>
      </c>
      <c r="K1057" s="103">
        <f ca="1">IFERROR(VLOOKUP(I1057,'3 Sanitation'!$E$654:$L$663,8,FALSE),0)</f>
        <v>0</v>
      </c>
      <c r="L1057" s="104">
        <f t="shared" ca="1" si="30"/>
        <v>0</v>
      </c>
      <c r="M1057" s="104">
        <f t="shared" ca="1" si="31"/>
        <v>0</v>
      </c>
    </row>
    <row r="1058" spans="3:13" x14ac:dyDescent="0.55000000000000004">
      <c r="C1058" s="124"/>
      <c r="G1058" s="125"/>
      <c r="I1058" s="102">
        <v>9</v>
      </c>
      <c r="J1058" s="102">
        <f>IFERROR(VLOOKUP(I1058,'3 Sanitation'!$E$654:$L$663,4,FALSE),0)</f>
        <v>0</v>
      </c>
      <c r="K1058" s="103">
        <f ca="1">IFERROR(VLOOKUP(I1058,'3 Sanitation'!$E$654:$L$663,8,FALSE),0)</f>
        <v>0</v>
      </c>
      <c r="L1058" s="104">
        <f t="shared" ca="1" si="30"/>
        <v>0</v>
      </c>
      <c r="M1058" s="104">
        <f t="shared" ca="1" si="31"/>
        <v>0</v>
      </c>
    </row>
    <row r="1059" spans="3:13" x14ac:dyDescent="0.55000000000000004">
      <c r="C1059" s="124"/>
      <c r="G1059" s="125"/>
      <c r="I1059" s="102">
        <v>10</v>
      </c>
      <c r="J1059" s="102" t="str">
        <f>IFERROR(VLOOKUP(I1059,'3 Sanitation'!$E$654:$L$663,4,FALSE),0)</f>
        <v>More</v>
      </c>
      <c r="K1059" s="103">
        <f ca="1">IFERROR(VLOOKUP(I1059,'3 Sanitation'!$E$654:$L$663,8,FALSE),0)</f>
        <v>0</v>
      </c>
      <c r="L1059" s="104">
        <f t="shared" ca="1" si="30"/>
        <v>0</v>
      </c>
      <c r="M1059" s="104">
        <f t="shared" ca="1" si="31"/>
        <v>0</v>
      </c>
    </row>
    <row r="1060" spans="3:13" x14ac:dyDescent="0.55000000000000004">
      <c r="C1060" s="124"/>
      <c r="G1060" s="125"/>
    </row>
    <row r="1061" spans="3:13" x14ac:dyDescent="0.55000000000000004">
      <c r="C1061" s="124"/>
      <c r="G1061" s="125"/>
    </row>
    <row r="1062" spans="3:13" x14ac:dyDescent="0.55000000000000004">
      <c r="C1062" s="124"/>
      <c r="G1062" s="125"/>
    </row>
    <row r="1063" spans="3:13" x14ac:dyDescent="0.55000000000000004">
      <c r="C1063" s="124"/>
      <c r="G1063" s="125"/>
    </row>
    <row r="1064" spans="3:13" x14ac:dyDescent="0.55000000000000004">
      <c r="C1064" s="124"/>
      <c r="G1064" s="125"/>
    </row>
    <row r="1065" spans="3:13" ht="14.7" thickBot="1" x14ac:dyDescent="0.6">
      <c r="C1065" s="130"/>
      <c r="D1065" s="131"/>
      <c r="E1065" s="131"/>
      <c r="F1065" s="131"/>
      <c r="G1065" s="132"/>
    </row>
    <row r="1067" spans="3:13" ht="14.7" thickBot="1" x14ac:dyDescent="0.6"/>
    <row r="1068" spans="3:13" x14ac:dyDescent="0.55000000000000004">
      <c r="C1068" s="121"/>
      <c r="D1068" s="122"/>
      <c r="E1068" s="122"/>
      <c r="F1068" s="122"/>
      <c r="G1068" s="123"/>
    </row>
    <row r="1069" spans="3:13" ht="15.6" x14ac:dyDescent="0.6">
      <c r="C1069" s="124"/>
      <c r="D1069" s="98">
        <f>'2 Customer data'!D73</f>
        <v>0</v>
      </c>
      <c r="G1069" s="125"/>
    </row>
    <row r="1070" spans="3:13" x14ac:dyDescent="0.55000000000000004">
      <c r="C1070" s="124"/>
      <c r="G1070" s="125"/>
    </row>
    <row r="1071" spans="3:13" x14ac:dyDescent="0.55000000000000004">
      <c r="C1071" s="124"/>
      <c r="E1071" s="220" t="s">
        <v>250</v>
      </c>
      <c r="G1071" s="125"/>
    </row>
    <row r="1072" spans="3:13" x14ac:dyDescent="0.55000000000000004">
      <c r="C1072" s="124"/>
      <c r="D1072" t="s">
        <v>369</v>
      </c>
      <c r="E1072" s="26">
        <f ca="1">VLOOKUP(D1069,'2 Sanitation'!$D$19:$J$38,5,FALSE)</f>
        <v>0</v>
      </c>
      <c r="G1072" s="125"/>
    </row>
    <row r="1073" spans="3:7" x14ac:dyDescent="0.55000000000000004">
      <c r="C1073" s="124"/>
      <c r="D1073" t="s">
        <v>370</v>
      </c>
      <c r="E1073" s="99">
        <f ca="1">VLOOKUP(D1069,'2 Sanitation'!$D$19:$J$38,6,FALSE)</f>
        <v>0</v>
      </c>
      <c r="G1073" s="125"/>
    </row>
    <row r="1074" spans="3:7" ht="14.7" thickBot="1" x14ac:dyDescent="0.6">
      <c r="C1074" s="124"/>
      <c r="D1074" s="1" t="s">
        <v>39</v>
      </c>
      <c r="E1074" s="37">
        <f ca="1">VLOOKUP(D1069,'2 Sanitation'!$D$19:$J$38,7,FALSE)</f>
        <v>0</v>
      </c>
      <c r="G1074" s="125"/>
    </row>
    <row r="1075" spans="3:7" ht="14.7" thickTop="1" x14ac:dyDescent="0.55000000000000004">
      <c r="C1075" s="124"/>
      <c r="G1075" s="125"/>
    </row>
    <row r="1076" spans="3:7" x14ac:dyDescent="0.55000000000000004">
      <c r="C1076" s="124"/>
      <c r="D1076" t="s">
        <v>189</v>
      </c>
      <c r="E1076" s="26">
        <f ca="1">IF(VLOOKUP(D1069,'2 Sanitation'!$D$122:$K$141,7,FALSE)="",VLOOKUP(D1069,'2 Sanitation'!$D$122:$K$141,6,FALSE),VLOOKUP(D1069,'2 Sanitation'!$D$122:$K$141,7,FALSE))+VLOOKUP(D1069,'2 Sanitation'!$D$153:$J$172,5,FALSE)</f>
        <v>0</v>
      </c>
      <c r="G1076" s="125"/>
    </row>
    <row r="1077" spans="3:7" x14ac:dyDescent="0.55000000000000004">
      <c r="C1077" s="124"/>
      <c r="G1077" s="125"/>
    </row>
    <row r="1078" spans="3:7" x14ac:dyDescent="0.55000000000000004">
      <c r="C1078" s="124"/>
      <c r="D1078" t="s">
        <v>371</v>
      </c>
      <c r="E1078" s="64">
        <f ca="1">IF(VLOOKUP(D1069,'2 Sanitation'!$D$53:$M$72,5,FALSE)="",VLOOKUP(D1069,'2 Sanitation'!$D$53:$M$72,4,FALSE),VLOOKUP(D1069,'2 Sanitation'!$D$53:$M$72,5,FALSE))</f>
        <v>0</v>
      </c>
      <c r="G1078" s="125"/>
    </row>
    <row r="1079" spans="3:7" x14ac:dyDescent="0.55000000000000004">
      <c r="C1079" s="124"/>
      <c r="D1079" t="s">
        <v>372</v>
      </c>
      <c r="E1079" s="26">
        <f ca="1">IF(VLOOKUP(D1069,'2 Sanitation'!$D$53:$M$72,7,FALSE)="",VLOOKUP(D1069,'2 Sanitation'!$D$53:$M$72,6,FALSE),VLOOKUP(D1069,'2 Sanitation'!$D$53:$M$72,7,FALSE))</f>
        <v>0</v>
      </c>
      <c r="G1079" s="125"/>
    </row>
    <row r="1080" spans="3:7" x14ac:dyDescent="0.55000000000000004">
      <c r="C1080" s="124"/>
      <c r="D1080" t="s">
        <v>373</v>
      </c>
      <c r="E1080" s="26">
        <f ca="1">IF(VLOOKUP(D1069,'2 Sanitation'!$D$53:$M$72,9,FALSE)="",VLOOKUP(D1069,'2 Sanitation'!$D$53:$M$72,8,FALSE),VLOOKUP(D1069,'2 Sanitation'!$D$53:$M$72,9,FALSE))</f>
        <v>0</v>
      </c>
      <c r="G1080" s="125"/>
    </row>
    <row r="1081" spans="3:7" x14ac:dyDescent="0.55000000000000004">
      <c r="C1081" s="124"/>
      <c r="D1081" t="s">
        <v>374</v>
      </c>
      <c r="E1081" s="26">
        <f ca="1">IF(VLOOKUP(D1069,'2 Sanitation'!$D$88:$I$107,5,FALSE)="",VLOOKUP(D1069,'2 Sanitation'!$D$88:$I$107,4,FALSE),VLOOKUP(D1069,'2 Sanitation'!$D$88:$I$107,5,FALSE))</f>
        <v>0</v>
      </c>
      <c r="G1081" s="125"/>
    </row>
    <row r="1082" spans="3:7" ht="14.7" thickBot="1" x14ac:dyDescent="0.6">
      <c r="C1082" s="124"/>
      <c r="D1082" s="1" t="s">
        <v>145</v>
      </c>
      <c r="E1082" s="37">
        <f ca="1">SUM(E1078:E1081)</f>
        <v>0</v>
      </c>
      <c r="G1082" s="125"/>
    </row>
    <row r="1083" spans="3:7" ht="14.7" thickTop="1" x14ac:dyDescent="0.55000000000000004">
      <c r="C1083" s="124"/>
      <c r="D1083" s="1"/>
      <c r="E1083" s="15"/>
      <c r="G1083" s="125"/>
    </row>
    <row r="1084" spans="3:7" x14ac:dyDescent="0.55000000000000004">
      <c r="C1084" s="124"/>
      <c r="D1084" t="s">
        <v>384</v>
      </c>
      <c r="E1084" s="26">
        <f ca="1">IF(VLOOKUP(D1069,'2 Sanitation'!$D$122:$K$141,5,FALSE)="",VLOOKUP(D1069,'2 Sanitation'!$D$122:$K$141,4,FALSE),VLOOKUP(D1069,'2 Sanitation'!$D$122:$K$141,5,FALSE))+VLOOKUP(D1069,'2 Sanitation'!$D$153:$J$172,7,FALSE)</f>
        <v>0</v>
      </c>
      <c r="G1084" s="125"/>
    </row>
    <row r="1085" spans="3:7" x14ac:dyDescent="0.55000000000000004">
      <c r="C1085" s="124"/>
      <c r="G1085" s="125"/>
    </row>
    <row r="1086" spans="3:7" ht="14.7" thickBot="1" x14ac:dyDescent="0.6">
      <c r="C1086" s="124"/>
      <c r="D1086" s="1" t="s">
        <v>375</v>
      </c>
      <c r="E1086" s="37">
        <f ca="1">VLOOKUP(D1069,'2 Sanitation'!$D$153:$K$172,8,FALSE)</f>
        <v>0</v>
      </c>
      <c r="G1086" s="125"/>
    </row>
    <row r="1087" spans="3:7" ht="14.7" thickTop="1" x14ac:dyDescent="0.55000000000000004">
      <c r="C1087" s="124"/>
      <c r="G1087" s="125"/>
    </row>
    <row r="1088" spans="3:7" x14ac:dyDescent="0.55000000000000004">
      <c r="C1088" s="124"/>
      <c r="G1088" s="125"/>
    </row>
    <row r="1089" spans="3:11" x14ac:dyDescent="0.55000000000000004">
      <c r="C1089" s="124"/>
      <c r="G1089" s="125"/>
    </row>
    <row r="1090" spans="3:11" x14ac:dyDescent="0.55000000000000004">
      <c r="C1090" s="124"/>
      <c r="G1090" s="125"/>
    </row>
    <row r="1091" spans="3:11" x14ac:dyDescent="0.55000000000000004">
      <c r="C1091" s="124"/>
      <c r="G1091" s="125"/>
    </row>
    <row r="1092" spans="3:11" x14ac:dyDescent="0.55000000000000004">
      <c r="C1092" s="124"/>
      <c r="G1092" s="125"/>
      <c r="I1092" s="232" t="s">
        <v>385</v>
      </c>
    </row>
    <row r="1093" spans="3:11" x14ac:dyDescent="0.55000000000000004">
      <c r="C1093" s="124"/>
      <c r="G1093" s="125"/>
      <c r="I1093" s="110"/>
      <c r="J1093" s="102" t="s">
        <v>390</v>
      </c>
      <c r="K1093" s="102" t="s">
        <v>391</v>
      </c>
    </row>
    <row r="1094" spans="3:11" x14ac:dyDescent="0.55000000000000004">
      <c r="C1094" s="124"/>
      <c r="G1094" s="125"/>
      <c r="I1094" s="110" t="s">
        <v>369</v>
      </c>
      <c r="J1094" s="100">
        <f ca="1">E1072/1000</f>
        <v>0</v>
      </c>
      <c r="K1094" s="102"/>
    </row>
    <row r="1095" spans="3:11" x14ac:dyDescent="0.55000000000000004">
      <c r="C1095" s="124"/>
      <c r="G1095" s="125"/>
      <c r="I1095" s="110" t="s">
        <v>370</v>
      </c>
      <c r="J1095" s="100">
        <f ca="1">E1073/1000</f>
        <v>0</v>
      </c>
      <c r="K1095" s="110"/>
    </row>
    <row r="1096" spans="3:11" x14ac:dyDescent="0.55000000000000004">
      <c r="C1096" s="124"/>
      <c r="G1096" s="125"/>
      <c r="I1096" s="110" t="s">
        <v>471</v>
      </c>
      <c r="J1096" s="100">
        <f ca="1">E1076/1000</f>
        <v>0</v>
      </c>
      <c r="K1096" s="110"/>
    </row>
    <row r="1097" spans="3:11" x14ac:dyDescent="0.55000000000000004">
      <c r="C1097" s="124"/>
      <c r="G1097" s="125"/>
      <c r="I1097" s="110" t="s">
        <v>563</v>
      </c>
      <c r="J1097" s="100"/>
      <c r="K1097" s="101">
        <f ca="1">E1086/1000</f>
        <v>0</v>
      </c>
    </row>
    <row r="1098" spans="3:11" x14ac:dyDescent="0.55000000000000004">
      <c r="C1098" s="124"/>
      <c r="G1098" s="125"/>
      <c r="I1098" s="110" t="s">
        <v>564</v>
      </c>
      <c r="J1098" s="100"/>
      <c r="K1098" s="101">
        <f ca="1">E1081/1000</f>
        <v>0</v>
      </c>
    </row>
    <row r="1099" spans="3:11" x14ac:dyDescent="0.55000000000000004">
      <c r="C1099" s="124"/>
      <c r="G1099" s="125"/>
      <c r="I1099" s="110" t="s">
        <v>565</v>
      </c>
      <c r="J1099" s="100"/>
      <c r="K1099" s="101">
        <f ca="1">SUM(E1078:E1080)/1000</f>
        <v>0</v>
      </c>
    </row>
    <row r="1100" spans="3:11" x14ac:dyDescent="0.55000000000000004">
      <c r="C1100" s="124"/>
      <c r="G1100" s="125"/>
      <c r="I1100" s="110" t="s">
        <v>566</v>
      </c>
      <c r="J1100" s="100"/>
      <c r="K1100" s="101">
        <f ca="1">E1084/1000</f>
        <v>0</v>
      </c>
    </row>
    <row r="1101" spans="3:11" x14ac:dyDescent="0.55000000000000004">
      <c r="C1101" s="124"/>
      <c r="G1101" s="125"/>
    </row>
    <row r="1102" spans="3:11" x14ac:dyDescent="0.55000000000000004">
      <c r="C1102" s="124"/>
      <c r="G1102" s="125"/>
    </row>
    <row r="1103" spans="3:11" x14ac:dyDescent="0.55000000000000004">
      <c r="C1103" s="124"/>
      <c r="G1103" s="125"/>
    </row>
    <row r="1104" spans="3:11" x14ac:dyDescent="0.55000000000000004">
      <c r="C1104" s="124"/>
      <c r="G1104" s="125"/>
    </row>
    <row r="1105" spans="3:13" x14ac:dyDescent="0.55000000000000004">
      <c r="C1105" s="124"/>
      <c r="E1105" s="220" t="s">
        <v>250</v>
      </c>
      <c r="G1105" s="125"/>
    </row>
    <row r="1106" spans="3:13" x14ac:dyDescent="0.55000000000000004">
      <c r="C1106" s="124"/>
      <c r="D1106" t="s">
        <v>376</v>
      </c>
      <c r="E1106" s="64">
        <f ca="1">VLOOKUP(D1069,'2 Sanitation'!$D$153:$M$172,10,FALSE)</f>
        <v>0</v>
      </c>
      <c r="G1106" s="125"/>
    </row>
    <row r="1107" spans="3:13" x14ac:dyDescent="0.55000000000000004">
      <c r="C1107" s="124"/>
      <c r="D1107" t="s">
        <v>377</v>
      </c>
      <c r="E1107" s="64">
        <f ca="1">VLOOKUP(D1069,'2 Sanitation'!$D$153:$M$172,9,FALSE)</f>
        <v>0</v>
      </c>
      <c r="G1107" s="125"/>
    </row>
    <row r="1108" spans="3:13" x14ac:dyDescent="0.55000000000000004">
      <c r="C1108" s="124"/>
      <c r="D1108" t="s">
        <v>378</v>
      </c>
      <c r="E1108" s="64">
        <f ca="1">IFERROR(IF(E1076=0,E1084,E1076)/E1074,0)</f>
        <v>0</v>
      </c>
      <c r="G1108" s="125"/>
    </row>
    <row r="1109" spans="3:13" x14ac:dyDescent="0.55000000000000004">
      <c r="C1109" s="124"/>
      <c r="G1109" s="125"/>
    </row>
    <row r="1110" spans="3:13" x14ac:dyDescent="0.55000000000000004">
      <c r="C1110" s="124"/>
      <c r="D1110" t="s">
        <v>379</v>
      </c>
      <c r="E1110" s="64">
        <f>'3 Sanitation'!H682</f>
        <v>0</v>
      </c>
      <c r="G1110" s="125"/>
    </row>
    <row r="1111" spans="3:13" x14ac:dyDescent="0.55000000000000004">
      <c r="C1111" s="124"/>
      <c r="D1111" t="s">
        <v>380</v>
      </c>
      <c r="E1111" s="97">
        <f ca="1">IFERROR('3 Sanitation'!I682/'3 Sanitation'!F682,0)</f>
        <v>0</v>
      </c>
      <c r="G1111" s="125"/>
    </row>
    <row r="1112" spans="3:13" x14ac:dyDescent="0.55000000000000004">
      <c r="C1112" s="124"/>
      <c r="G1112" s="125"/>
    </row>
    <row r="1113" spans="3:13" x14ac:dyDescent="0.55000000000000004">
      <c r="C1113" s="124"/>
      <c r="D1113" s="1" t="s">
        <v>381</v>
      </c>
      <c r="G1113" s="125"/>
    </row>
    <row r="1114" spans="3:13" x14ac:dyDescent="0.55000000000000004">
      <c r="C1114" s="124"/>
      <c r="G1114" s="125"/>
    </row>
    <row r="1115" spans="3:13" x14ac:dyDescent="0.55000000000000004">
      <c r="C1115" s="124"/>
      <c r="G1115" s="125"/>
    </row>
    <row r="1116" spans="3:13" ht="28.8" x14ac:dyDescent="0.55000000000000004">
      <c r="C1116" s="124"/>
      <c r="G1116" s="125"/>
      <c r="I1116" s="229" t="s">
        <v>383</v>
      </c>
      <c r="J1116" s="229" t="s">
        <v>382</v>
      </c>
      <c r="K1116" s="229" t="s">
        <v>100</v>
      </c>
      <c r="L1116" s="230" t="s">
        <v>392</v>
      </c>
      <c r="M1116" s="233" t="s">
        <v>581</v>
      </c>
    </row>
    <row r="1117" spans="3:13" x14ac:dyDescent="0.55000000000000004">
      <c r="C1117" s="124"/>
      <c r="G1117" s="125"/>
      <c r="I1117" s="102">
        <v>1</v>
      </c>
      <c r="J1117" s="102">
        <f>IFERROR(VLOOKUP(I1117,'3 Sanitation'!$E$695:$L$704,4,FALSE),0)</f>
        <v>0</v>
      </c>
      <c r="K1117" s="103">
        <f>IFERROR(VLOOKUP(I1117,'3 Sanitation'!$E$695:$L$704,8,FALSE),0)</f>
        <v>0</v>
      </c>
      <c r="L1117" s="104">
        <f ca="1">$E$1106</f>
        <v>0</v>
      </c>
      <c r="M1117" s="105">
        <f ca="1">IFERROR('3 Sanitation'!H674/SUM('3 Sanitation'!K695:K704),0)</f>
        <v>0</v>
      </c>
    </row>
    <row r="1118" spans="3:13" x14ac:dyDescent="0.55000000000000004">
      <c r="C1118" s="124"/>
      <c r="G1118" s="125"/>
      <c r="I1118" s="102">
        <v>2</v>
      </c>
      <c r="J1118" s="102">
        <f>IFERROR(VLOOKUP(I1118,'3 Sanitation'!$E$695:$L$704,4,FALSE),0)</f>
        <v>0</v>
      </c>
      <c r="K1118" s="103">
        <f ca="1">IFERROR(VLOOKUP(I1118,'3 Sanitation'!$E$695:$L$704,8,FALSE),0)</f>
        <v>0</v>
      </c>
      <c r="L1118" s="104">
        <f t="shared" ref="L1118:L1126" ca="1" si="32">$E$1106</f>
        <v>0</v>
      </c>
      <c r="M1118" s="104">
        <f ca="1">$M$1117</f>
        <v>0</v>
      </c>
    </row>
    <row r="1119" spans="3:13" x14ac:dyDescent="0.55000000000000004">
      <c r="C1119" s="124"/>
      <c r="G1119" s="125"/>
      <c r="I1119" s="102">
        <v>3</v>
      </c>
      <c r="J1119" s="102">
        <f>IFERROR(VLOOKUP(I1119,'3 Sanitation'!$E$695:$L$704,4,FALSE),0)</f>
        <v>0</v>
      </c>
      <c r="K1119" s="103">
        <f ca="1">IFERROR(VLOOKUP(I1119,'3 Sanitation'!$E$695:$L$704,8,FALSE),0)</f>
        <v>0</v>
      </c>
      <c r="L1119" s="104">
        <f t="shared" ca="1" si="32"/>
        <v>0</v>
      </c>
      <c r="M1119" s="104">
        <f t="shared" ref="M1119:M1126" ca="1" si="33">$M$1117</f>
        <v>0</v>
      </c>
    </row>
    <row r="1120" spans="3:13" x14ac:dyDescent="0.55000000000000004">
      <c r="C1120" s="124"/>
      <c r="G1120" s="125"/>
      <c r="I1120" s="102">
        <v>4</v>
      </c>
      <c r="J1120" s="102">
        <f>IFERROR(VLOOKUP(I1120,'3 Sanitation'!$E$695:$L$704,4,FALSE),0)</f>
        <v>0</v>
      </c>
      <c r="K1120" s="103">
        <f ca="1">IFERROR(VLOOKUP(I1120,'3 Sanitation'!$E$695:$L$704,8,FALSE),0)</f>
        <v>0</v>
      </c>
      <c r="L1120" s="104">
        <f t="shared" ca="1" si="32"/>
        <v>0</v>
      </c>
      <c r="M1120" s="104">
        <f t="shared" ca="1" si="33"/>
        <v>0</v>
      </c>
    </row>
    <row r="1121" spans="3:13" x14ac:dyDescent="0.55000000000000004">
      <c r="C1121" s="124"/>
      <c r="G1121" s="125"/>
      <c r="I1121" s="102">
        <v>5</v>
      </c>
      <c r="J1121" s="102">
        <f>IFERROR(VLOOKUP(I1121,'3 Sanitation'!$E$695:$L$704,4,FALSE),0)</f>
        <v>0</v>
      </c>
      <c r="K1121" s="103">
        <f ca="1">IFERROR(VLOOKUP(I1121,'3 Sanitation'!$E$695:$L$704,8,FALSE),0)</f>
        <v>0</v>
      </c>
      <c r="L1121" s="104">
        <f t="shared" ca="1" si="32"/>
        <v>0</v>
      </c>
      <c r="M1121" s="104">
        <f t="shared" ca="1" si="33"/>
        <v>0</v>
      </c>
    </row>
    <row r="1122" spans="3:13" x14ac:dyDescent="0.55000000000000004">
      <c r="C1122" s="124"/>
      <c r="G1122" s="125"/>
      <c r="I1122" s="102">
        <v>6</v>
      </c>
      <c r="J1122" s="102">
        <f>IFERROR(VLOOKUP(I1122,'3 Sanitation'!$E$695:$L$704,4,FALSE),0)</f>
        <v>0</v>
      </c>
      <c r="K1122" s="103">
        <f ca="1">IFERROR(VLOOKUP(I1122,'3 Sanitation'!$E$695:$L$704,8,FALSE),0)</f>
        <v>0</v>
      </c>
      <c r="L1122" s="104">
        <f t="shared" ca="1" si="32"/>
        <v>0</v>
      </c>
      <c r="M1122" s="104">
        <f t="shared" ca="1" si="33"/>
        <v>0</v>
      </c>
    </row>
    <row r="1123" spans="3:13" x14ac:dyDescent="0.55000000000000004">
      <c r="C1123" s="124"/>
      <c r="G1123" s="125"/>
      <c r="I1123" s="102">
        <v>7</v>
      </c>
      <c r="J1123" s="102">
        <f>IFERROR(VLOOKUP(I1123,'3 Sanitation'!$E$695:$L$704,4,FALSE),0)</f>
        <v>0</v>
      </c>
      <c r="K1123" s="103">
        <f ca="1">IFERROR(VLOOKUP(I1123,'3 Sanitation'!$E$695:$L$704,8,FALSE),0)</f>
        <v>0</v>
      </c>
      <c r="L1123" s="104">
        <f t="shared" ca="1" si="32"/>
        <v>0</v>
      </c>
      <c r="M1123" s="104">
        <f t="shared" ca="1" si="33"/>
        <v>0</v>
      </c>
    </row>
    <row r="1124" spans="3:13" x14ac:dyDescent="0.55000000000000004">
      <c r="C1124" s="124"/>
      <c r="G1124" s="125"/>
      <c r="I1124" s="102">
        <v>8</v>
      </c>
      <c r="J1124" s="102">
        <f>IFERROR(VLOOKUP(I1124,'3 Sanitation'!$E$695:$L$704,4,FALSE),0)</f>
        <v>0</v>
      </c>
      <c r="K1124" s="103">
        <f ca="1">IFERROR(VLOOKUP(I1124,'3 Sanitation'!$E$695:$L$704,8,FALSE),0)</f>
        <v>0</v>
      </c>
      <c r="L1124" s="104">
        <f t="shared" ca="1" si="32"/>
        <v>0</v>
      </c>
      <c r="M1124" s="104">
        <f t="shared" ca="1" si="33"/>
        <v>0</v>
      </c>
    </row>
    <row r="1125" spans="3:13" x14ac:dyDescent="0.55000000000000004">
      <c r="C1125" s="124"/>
      <c r="G1125" s="125"/>
      <c r="I1125" s="102">
        <v>9</v>
      </c>
      <c r="J1125" s="102">
        <f>IFERROR(VLOOKUP(I1125,'3 Sanitation'!$E$695:$L$704,4,FALSE),0)</f>
        <v>0</v>
      </c>
      <c r="K1125" s="103">
        <f ca="1">IFERROR(VLOOKUP(I1125,'3 Sanitation'!$E$695:$L$704,8,FALSE),0)</f>
        <v>0</v>
      </c>
      <c r="L1125" s="104">
        <f t="shared" ca="1" si="32"/>
        <v>0</v>
      </c>
      <c r="M1125" s="104">
        <f t="shared" ca="1" si="33"/>
        <v>0</v>
      </c>
    </row>
    <row r="1126" spans="3:13" x14ac:dyDescent="0.55000000000000004">
      <c r="C1126" s="124"/>
      <c r="G1126" s="125"/>
      <c r="I1126" s="102">
        <v>10</v>
      </c>
      <c r="J1126" s="102" t="str">
        <f>IFERROR(VLOOKUP(I1126,'3 Sanitation'!$E$695:$L$704,4,FALSE),0)</f>
        <v>More</v>
      </c>
      <c r="K1126" s="103">
        <f ca="1">IFERROR(VLOOKUP(I1126,'3 Sanitation'!$E$695:$L$704,8,FALSE),0)</f>
        <v>0</v>
      </c>
      <c r="L1126" s="104">
        <f t="shared" ca="1" si="32"/>
        <v>0</v>
      </c>
      <c r="M1126" s="104">
        <f t="shared" ca="1" si="33"/>
        <v>0</v>
      </c>
    </row>
    <row r="1127" spans="3:13" x14ac:dyDescent="0.55000000000000004">
      <c r="C1127" s="124"/>
      <c r="G1127" s="125"/>
    </row>
    <row r="1128" spans="3:13" x14ac:dyDescent="0.55000000000000004">
      <c r="C1128" s="124"/>
      <c r="G1128" s="125"/>
    </row>
    <row r="1129" spans="3:13" x14ac:dyDescent="0.55000000000000004">
      <c r="C1129" s="124"/>
      <c r="G1129" s="125"/>
    </row>
    <row r="1130" spans="3:13" x14ac:dyDescent="0.55000000000000004">
      <c r="C1130" s="124"/>
      <c r="G1130" s="125"/>
    </row>
    <row r="1131" spans="3:13" x14ac:dyDescent="0.55000000000000004">
      <c r="C1131" s="124"/>
      <c r="G1131" s="125"/>
    </row>
    <row r="1132" spans="3:13" ht="14.7" thickBot="1" x14ac:dyDescent="0.6">
      <c r="C1132" s="130"/>
      <c r="D1132" s="131"/>
      <c r="E1132" s="131"/>
      <c r="F1132" s="131"/>
      <c r="G1132" s="132"/>
    </row>
    <row r="1134" spans="3:13" ht="14.7" thickBot="1" x14ac:dyDescent="0.6"/>
    <row r="1135" spans="3:13" x14ac:dyDescent="0.55000000000000004">
      <c r="C1135" s="121"/>
      <c r="D1135" s="122"/>
      <c r="E1135" s="122"/>
      <c r="F1135" s="122"/>
      <c r="G1135" s="123"/>
    </row>
    <row r="1136" spans="3:13" ht="15.6" x14ac:dyDescent="0.6">
      <c r="C1136" s="124"/>
      <c r="D1136" s="98">
        <f>'2 Customer data'!D74</f>
        <v>0</v>
      </c>
      <c r="G1136" s="125"/>
    </row>
    <row r="1137" spans="3:7" x14ac:dyDescent="0.55000000000000004">
      <c r="C1137" s="124"/>
      <c r="G1137" s="125"/>
    </row>
    <row r="1138" spans="3:7" x14ac:dyDescent="0.55000000000000004">
      <c r="C1138" s="124"/>
      <c r="E1138" s="220" t="s">
        <v>250</v>
      </c>
      <c r="G1138" s="125"/>
    </row>
    <row r="1139" spans="3:7" x14ac:dyDescent="0.55000000000000004">
      <c r="C1139" s="124"/>
      <c r="D1139" t="s">
        <v>369</v>
      </c>
      <c r="E1139" s="26">
        <f ca="1">VLOOKUP(D1136,'2 Sanitation'!$D$19:$J$38,5,FALSE)</f>
        <v>0</v>
      </c>
      <c r="G1139" s="125"/>
    </row>
    <row r="1140" spans="3:7" x14ac:dyDescent="0.55000000000000004">
      <c r="C1140" s="124"/>
      <c r="D1140" t="s">
        <v>370</v>
      </c>
      <c r="E1140" s="99">
        <f ca="1">VLOOKUP(D1136,'2 Sanitation'!$D$19:$J$38,6,FALSE)</f>
        <v>0</v>
      </c>
      <c r="G1140" s="125"/>
    </row>
    <row r="1141" spans="3:7" ht="14.7" thickBot="1" x14ac:dyDescent="0.6">
      <c r="C1141" s="124"/>
      <c r="D1141" s="1" t="s">
        <v>39</v>
      </c>
      <c r="E1141" s="37">
        <f ca="1">VLOOKUP(D1136,'2 Sanitation'!$D$19:$J$38,7,FALSE)</f>
        <v>0</v>
      </c>
      <c r="G1141" s="125"/>
    </row>
    <row r="1142" spans="3:7" ht="14.7" thickTop="1" x14ac:dyDescent="0.55000000000000004">
      <c r="C1142" s="124"/>
      <c r="G1142" s="125"/>
    </row>
    <row r="1143" spans="3:7" x14ac:dyDescent="0.55000000000000004">
      <c r="C1143" s="124"/>
      <c r="D1143" t="s">
        <v>189</v>
      </c>
      <c r="E1143" s="26">
        <f ca="1">IF(VLOOKUP(D1136,'2 Sanitation'!$D$122:$K$141,7,FALSE)="",VLOOKUP(D1136,'2 Sanitation'!$D$122:$K$141,6,FALSE),VLOOKUP(D1136,'2 Sanitation'!$D$122:$K$141,7,FALSE))+VLOOKUP(D1136,'2 Sanitation'!$D$153:$J$172,5,FALSE)</f>
        <v>0</v>
      </c>
      <c r="G1143" s="125"/>
    </row>
    <row r="1144" spans="3:7" x14ac:dyDescent="0.55000000000000004">
      <c r="C1144" s="124"/>
      <c r="G1144" s="125"/>
    </row>
    <row r="1145" spans="3:7" x14ac:dyDescent="0.55000000000000004">
      <c r="C1145" s="124"/>
      <c r="D1145" t="s">
        <v>371</v>
      </c>
      <c r="E1145" s="64">
        <f ca="1">IF(VLOOKUP(D1136,'2 Sanitation'!$D$53:$M$72,5,FALSE)="",VLOOKUP(D1136,'2 Sanitation'!$D$53:$M$72,4,FALSE),VLOOKUP(D1136,'2 Sanitation'!$D$53:$M$72,5,FALSE))</f>
        <v>0</v>
      </c>
      <c r="G1145" s="125"/>
    </row>
    <row r="1146" spans="3:7" x14ac:dyDescent="0.55000000000000004">
      <c r="C1146" s="124"/>
      <c r="D1146" t="s">
        <v>372</v>
      </c>
      <c r="E1146" s="26">
        <f ca="1">IF(VLOOKUP(D1136,'2 Sanitation'!$D$53:$M$72,7,FALSE)="",VLOOKUP(D1136,'2 Sanitation'!$D$53:$M$72,6,FALSE),VLOOKUP(D1136,'2 Sanitation'!$D$53:$M$72,7,FALSE))</f>
        <v>0</v>
      </c>
      <c r="G1146" s="125"/>
    </row>
    <row r="1147" spans="3:7" x14ac:dyDescent="0.55000000000000004">
      <c r="C1147" s="124"/>
      <c r="D1147" t="s">
        <v>373</v>
      </c>
      <c r="E1147" s="26">
        <f ca="1">IF(VLOOKUP(D1136,'2 Sanitation'!$D$53:$M$72,9,FALSE)="",VLOOKUP(D1136,'2 Sanitation'!$D$53:$M$72,8,FALSE),VLOOKUP(D1136,'2 Sanitation'!$D$53:$M$72,9,FALSE))</f>
        <v>0</v>
      </c>
      <c r="G1147" s="125"/>
    </row>
    <row r="1148" spans="3:7" x14ac:dyDescent="0.55000000000000004">
      <c r="C1148" s="124"/>
      <c r="D1148" t="s">
        <v>374</v>
      </c>
      <c r="E1148" s="26">
        <f ca="1">IF(VLOOKUP(D1136,'2 Sanitation'!$D$88:$I$107,5,FALSE)="",VLOOKUP(D1136,'2 Sanitation'!$D$88:$I$107,4,FALSE),VLOOKUP(D1136,'2 Sanitation'!$D$88:$I$107,5,FALSE))</f>
        <v>0</v>
      </c>
      <c r="G1148" s="125"/>
    </row>
    <row r="1149" spans="3:7" ht="14.7" thickBot="1" x14ac:dyDescent="0.6">
      <c r="C1149" s="124"/>
      <c r="D1149" s="1" t="s">
        <v>145</v>
      </c>
      <c r="E1149" s="37">
        <f ca="1">SUM(E1145:E1148)</f>
        <v>0</v>
      </c>
      <c r="G1149" s="125"/>
    </row>
    <row r="1150" spans="3:7" ht="14.7" thickTop="1" x14ac:dyDescent="0.55000000000000004">
      <c r="C1150" s="124"/>
      <c r="D1150" s="1"/>
      <c r="E1150" s="15"/>
      <c r="G1150" s="125"/>
    </row>
    <row r="1151" spans="3:7" x14ac:dyDescent="0.55000000000000004">
      <c r="C1151" s="124"/>
      <c r="D1151" t="s">
        <v>384</v>
      </c>
      <c r="E1151" s="26">
        <f ca="1">IF(VLOOKUP(D1136,'2 Sanitation'!$D$122:$K$141,5,FALSE)="",VLOOKUP(D1136,'2 Sanitation'!$D$122:$K$141,4,FALSE),VLOOKUP(D1136,'2 Sanitation'!$D$122:$K$141,5,FALSE))+VLOOKUP(D1136,'2 Sanitation'!$D$153:$J$172,7,FALSE)</f>
        <v>0</v>
      </c>
      <c r="G1151" s="125"/>
    </row>
    <row r="1152" spans="3:7" x14ac:dyDescent="0.55000000000000004">
      <c r="C1152" s="124"/>
      <c r="G1152" s="125"/>
    </row>
    <row r="1153" spans="3:11" ht="14.7" thickBot="1" x14ac:dyDescent="0.6">
      <c r="C1153" s="124"/>
      <c r="D1153" s="1" t="s">
        <v>375</v>
      </c>
      <c r="E1153" s="37">
        <f ca="1">VLOOKUP(D1136,'2 Sanitation'!$D$153:$K$172,8,FALSE)</f>
        <v>0</v>
      </c>
      <c r="G1153" s="125"/>
    </row>
    <row r="1154" spans="3:11" ht="14.7" thickTop="1" x14ac:dyDescent="0.55000000000000004">
      <c r="C1154" s="124"/>
      <c r="G1154" s="125"/>
    </row>
    <row r="1155" spans="3:11" x14ac:dyDescent="0.55000000000000004">
      <c r="C1155" s="124"/>
      <c r="G1155" s="125"/>
    </row>
    <row r="1156" spans="3:11" x14ac:dyDescent="0.55000000000000004">
      <c r="C1156" s="124"/>
      <c r="G1156" s="125"/>
    </row>
    <row r="1157" spans="3:11" x14ac:dyDescent="0.55000000000000004">
      <c r="C1157" s="124"/>
      <c r="G1157" s="125"/>
    </row>
    <row r="1158" spans="3:11" x14ac:dyDescent="0.55000000000000004">
      <c r="C1158" s="124"/>
      <c r="G1158" s="125"/>
    </row>
    <row r="1159" spans="3:11" x14ac:dyDescent="0.55000000000000004">
      <c r="C1159" s="124"/>
      <c r="G1159" s="125"/>
      <c r="I1159" s="232" t="s">
        <v>385</v>
      </c>
    </row>
    <row r="1160" spans="3:11" x14ac:dyDescent="0.55000000000000004">
      <c r="C1160" s="124"/>
      <c r="G1160" s="125"/>
      <c r="I1160" s="110"/>
      <c r="J1160" s="102" t="s">
        <v>390</v>
      </c>
      <c r="K1160" s="102" t="s">
        <v>391</v>
      </c>
    </row>
    <row r="1161" spans="3:11" x14ac:dyDescent="0.55000000000000004">
      <c r="C1161" s="124"/>
      <c r="G1161" s="125"/>
      <c r="I1161" s="110" t="s">
        <v>369</v>
      </c>
      <c r="J1161" s="100">
        <f ca="1">E1139/1000</f>
        <v>0</v>
      </c>
      <c r="K1161" s="102"/>
    </row>
    <row r="1162" spans="3:11" x14ac:dyDescent="0.55000000000000004">
      <c r="C1162" s="124"/>
      <c r="G1162" s="125"/>
      <c r="I1162" s="110" t="s">
        <v>370</v>
      </c>
      <c r="J1162" s="100">
        <f ca="1">E1140/1000</f>
        <v>0</v>
      </c>
      <c r="K1162" s="110"/>
    </row>
    <row r="1163" spans="3:11" x14ac:dyDescent="0.55000000000000004">
      <c r="C1163" s="124"/>
      <c r="G1163" s="125"/>
      <c r="I1163" s="110" t="s">
        <v>471</v>
      </c>
      <c r="J1163" s="100">
        <f ca="1">E1143/1000</f>
        <v>0</v>
      </c>
      <c r="K1163" s="110"/>
    </row>
    <row r="1164" spans="3:11" x14ac:dyDescent="0.55000000000000004">
      <c r="C1164" s="124"/>
      <c r="G1164" s="125"/>
      <c r="I1164" s="110" t="s">
        <v>563</v>
      </c>
      <c r="J1164" s="100"/>
      <c r="K1164" s="101">
        <f ca="1">E1153/1000</f>
        <v>0</v>
      </c>
    </row>
    <row r="1165" spans="3:11" x14ac:dyDescent="0.55000000000000004">
      <c r="C1165" s="124"/>
      <c r="G1165" s="125"/>
      <c r="I1165" s="110" t="s">
        <v>564</v>
      </c>
      <c r="J1165" s="100"/>
      <c r="K1165" s="101">
        <f ca="1">E1148/1000</f>
        <v>0</v>
      </c>
    </row>
    <row r="1166" spans="3:11" x14ac:dyDescent="0.55000000000000004">
      <c r="C1166" s="124"/>
      <c r="G1166" s="125"/>
      <c r="I1166" s="110" t="s">
        <v>565</v>
      </c>
      <c r="J1166" s="100"/>
      <c r="K1166" s="101">
        <f ca="1">SUM(E1145:E1147)/1000</f>
        <v>0</v>
      </c>
    </row>
    <row r="1167" spans="3:11" x14ac:dyDescent="0.55000000000000004">
      <c r="C1167" s="124"/>
      <c r="G1167" s="125"/>
      <c r="I1167" s="110" t="s">
        <v>566</v>
      </c>
      <c r="J1167" s="100"/>
      <c r="K1167" s="101">
        <f ca="1">E1151/1000</f>
        <v>0</v>
      </c>
    </row>
    <row r="1168" spans="3:11" x14ac:dyDescent="0.55000000000000004">
      <c r="C1168" s="124"/>
      <c r="G1168" s="125"/>
    </row>
    <row r="1169" spans="3:13" x14ac:dyDescent="0.55000000000000004">
      <c r="C1169" s="124"/>
      <c r="G1169" s="125"/>
    </row>
    <row r="1170" spans="3:13" x14ac:dyDescent="0.55000000000000004">
      <c r="C1170" s="124"/>
      <c r="G1170" s="125"/>
    </row>
    <row r="1171" spans="3:13" x14ac:dyDescent="0.55000000000000004">
      <c r="C1171" s="124"/>
      <c r="G1171" s="125"/>
    </row>
    <row r="1172" spans="3:13" x14ac:dyDescent="0.55000000000000004">
      <c r="C1172" s="124"/>
      <c r="E1172" s="220" t="s">
        <v>250</v>
      </c>
      <c r="G1172" s="125"/>
    </row>
    <row r="1173" spans="3:13" x14ac:dyDescent="0.55000000000000004">
      <c r="C1173" s="124"/>
      <c r="D1173" t="s">
        <v>376</v>
      </c>
      <c r="E1173" s="64">
        <f ca="1">VLOOKUP(D1136,'2 Sanitation'!$D$153:$M$172,10,FALSE)</f>
        <v>0</v>
      </c>
      <c r="G1173" s="125"/>
    </row>
    <row r="1174" spans="3:13" x14ac:dyDescent="0.55000000000000004">
      <c r="C1174" s="124"/>
      <c r="D1174" t="s">
        <v>377</v>
      </c>
      <c r="E1174" s="64">
        <f ca="1">VLOOKUP(D1136,'2 Sanitation'!$D$153:$M$172,9,FALSE)</f>
        <v>0</v>
      </c>
      <c r="G1174" s="125"/>
    </row>
    <row r="1175" spans="3:13" x14ac:dyDescent="0.55000000000000004">
      <c r="C1175" s="124"/>
      <c r="D1175" t="s">
        <v>378</v>
      </c>
      <c r="E1175" s="64">
        <f ca="1">IFERROR(IF(E1143=0,E1151,E1143)/E1141,0)</f>
        <v>0</v>
      </c>
      <c r="G1175" s="125"/>
    </row>
    <row r="1176" spans="3:13" x14ac:dyDescent="0.55000000000000004">
      <c r="C1176" s="124"/>
      <c r="G1176" s="125"/>
    </row>
    <row r="1177" spans="3:13" x14ac:dyDescent="0.55000000000000004">
      <c r="C1177" s="124"/>
      <c r="D1177" t="s">
        <v>379</v>
      </c>
      <c r="E1177" s="64">
        <f>'3 Sanitation'!H723</f>
        <v>0</v>
      </c>
      <c r="G1177" s="125"/>
    </row>
    <row r="1178" spans="3:13" x14ac:dyDescent="0.55000000000000004">
      <c r="C1178" s="124"/>
      <c r="D1178" t="s">
        <v>380</v>
      </c>
      <c r="E1178" s="97">
        <f ca="1">IFERROR('3 Sanitation'!I723/'3 Sanitation'!F723,0)</f>
        <v>0</v>
      </c>
      <c r="G1178" s="125"/>
    </row>
    <row r="1179" spans="3:13" x14ac:dyDescent="0.55000000000000004">
      <c r="C1179" s="124"/>
      <c r="G1179" s="125"/>
    </row>
    <row r="1180" spans="3:13" x14ac:dyDescent="0.55000000000000004">
      <c r="C1180" s="124"/>
      <c r="D1180" s="1" t="s">
        <v>381</v>
      </c>
      <c r="G1180" s="125"/>
    </row>
    <row r="1181" spans="3:13" x14ac:dyDescent="0.55000000000000004">
      <c r="C1181" s="124"/>
      <c r="G1181" s="125"/>
    </row>
    <row r="1182" spans="3:13" x14ac:dyDescent="0.55000000000000004">
      <c r="C1182" s="124"/>
      <c r="G1182" s="125"/>
    </row>
    <row r="1183" spans="3:13" ht="28.8" x14ac:dyDescent="0.55000000000000004">
      <c r="C1183" s="124"/>
      <c r="G1183" s="125"/>
      <c r="I1183" s="229" t="s">
        <v>383</v>
      </c>
      <c r="J1183" s="229" t="s">
        <v>382</v>
      </c>
      <c r="K1183" s="229" t="s">
        <v>100</v>
      </c>
      <c r="L1183" s="230" t="s">
        <v>392</v>
      </c>
      <c r="M1183" s="233" t="s">
        <v>581</v>
      </c>
    </row>
    <row r="1184" spans="3:13" x14ac:dyDescent="0.55000000000000004">
      <c r="C1184" s="124"/>
      <c r="G1184" s="125"/>
      <c r="I1184" s="102">
        <v>1</v>
      </c>
      <c r="J1184" s="102">
        <f>IFERROR(VLOOKUP(I1184,'3 Sanitation'!$E$736:$L$745,4,FALSE),0)</f>
        <v>0</v>
      </c>
      <c r="K1184" s="103">
        <f>IFERROR(VLOOKUP(I1184,'3 Sanitation'!$E$736:$L$745,8,FALSE),0)</f>
        <v>0</v>
      </c>
      <c r="L1184" s="104">
        <f ca="1">$E$1173</f>
        <v>0</v>
      </c>
      <c r="M1184" s="105">
        <f ca="1">IFERROR('3 Sanitation'!H715/SUM('3 Sanitation'!K736:K745),0)</f>
        <v>0</v>
      </c>
    </row>
    <row r="1185" spans="3:13" x14ac:dyDescent="0.55000000000000004">
      <c r="C1185" s="124"/>
      <c r="G1185" s="125"/>
      <c r="I1185" s="102">
        <v>2</v>
      </c>
      <c r="J1185" s="102">
        <f>IFERROR(VLOOKUP(I1185,'3 Sanitation'!$E$736:$L$745,4,FALSE),0)</f>
        <v>0</v>
      </c>
      <c r="K1185" s="103">
        <f ca="1">IFERROR(VLOOKUP(I1185,'3 Sanitation'!$E$736:$L$745,8,FALSE),0)</f>
        <v>0</v>
      </c>
      <c r="L1185" s="104">
        <f t="shared" ref="L1185:L1193" ca="1" si="34">$E$1173</f>
        <v>0</v>
      </c>
      <c r="M1185" s="104">
        <f ca="1">$M$1184</f>
        <v>0</v>
      </c>
    </row>
    <row r="1186" spans="3:13" x14ac:dyDescent="0.55000000000000004">
      <c r="C1186" s="124"/>
      <c r="G1186" s="125"/>
      <c r="I1186" s="102">
        <v>3</v>
      </c>
      <c r="J1186" s="102">
        <f>IFERROR(VLOOKUP(I1186,'3 Sanitation'!$E$736:$L$745,4,FALSE),0)</f>
        <v>0</v>
      </c>
      <c r="K1186" s="103">
        <f ca="1">IFERROR(VLOOKUP(I1186,'3 Sanitation'!$E$736:$L$745,8,FALSE),0)</f>
        <v>0</v>
      </c>
      <c r="L1186" s="104">
        <f t="shared" ca="1" si="34"/>
        <v>0</v>
      </c>
      <c r="M1186" s="104">
        <f t="shared" ref="M1186:M1193" ca="1" si="35">$M$1184</f>
        <v>0</v>
      </c>
    </row>
    <row r="1187" spans="3:13" x14ac:dyDescent="0.55000000000000004">
      <c r="C1187" s="124"/>
      <c r="G1187" s="125"/>
      <c r="I1187" s="102">
        <v>4</v>
      </c>
      <c r="J1187" s="102">
        <f>IFERROR(VLOOKUP(I1187,'3 Sanitation'!$E$736:$L$745,4,FALSE),0)</f>
        <v>0</v>
      </c>
      <c r="K1187" s="103">
        <f ca="1">IFERROR(VLOOKUP(I1187,'3 Sanitation'!$E$736:$L$745,8,FALSE),0)</f>
        <v>0</v>
      </c>
      <c r="L1187" s="104">
        <f t="shared" ca="1" si="34"/>
        <v>0</v>
      </c>
      <c r="M1187" s="104">
        <f t="shared" ca="1" si="35"/>
        <v>0</v>
      </c>
    </row>
    <row r="1188" spans="3:13" x14ac:dyDescent="0.55000000000000004">
      <c r="C1188" s="124"/>
      <c r="G1188" s="125"/>
      <c r="I1188" s="102">
        <v>5</v>
      </c>
      <c r="J1188" s="102">
        <f>IFERROR(VLOOKUP(I1188,'3 Sanitation'!$E$736:$L$745,4,FALSE),0)</f>
        <v>0</v>
      </c>
      <c r="K1188" s="103">
        <f ca="1">IFERROR(VLOOKUP(I1188,'3 Sanitation'!$E$736:$L$745,8,FALSE),0)</f>
        <v>0</v>
      </c>
      <c r="L1188" s="104">
        <f t="shared" ca="1" si="34"/>
        <v>0</v>
      </c>
      <c r="M1188" s="104">
        <f t="shared" ca="1" si="35"/>
        <v>0</v>
      </c>
    </row>
    <row r="1189" spans="3:13" x14ac:dyDescent="0.55000000000000004">
      <c r="C1189" s="124"/>
      <c r="G1189" s="125"/>
      <c r="I1189" s="102">
        <v>6</v>
      </c>
      <c r="J1189" s="102">
        <f>IFERROR(VLOOKUP(I1189,'3 Sanitation'!$E$736:$L$745,4,FALSE),0)</f>
        <v>0</v>
      </c>
      <c r="K1189" s="103">
        <f ca="1">IFERROR(VLOOKUP(I1189,'3 Sanitation'!$E$736:$L$745,8,FALSE),0)</f>
        <v>0</v>
      </c>
      <c r="L1189" s="104">
        <f t="shared" ca="1" si="34"/>
        <v>0</v>
      </c>
      <c r="M1189" s="104">
        <f t="shared" ca="1" si="35"/>
        <v>0</v>
      </c>
    </row>
    <row r="1190" spans="3:13" x14ac:dyDescent="0.55000000000000004">
      <c r="C1190" s="124"/>
      <c r="G1190" s="125"/>
      <c r="I1190" s="102">
        <v>7</v>
      </c>
      <c r="J1190" s="102">
        <f>IFERROR(VLOOKUP(I1190,'3 Sanitation'!$E$736:$L$745,4,FALSE),0)</f>
        <v>0</v>
      </c>
      <c r="K1190" s="103">
        <f ca="1">IFERROR(VLOOKUP(I1190,'3 Sanitation'!$E$736:$L$745,8,FALSE),0)</f>
        <v>0</v>
      </c>
      <c r="L1190" s="104">
        <f t="shared" ca="1" si="34"/>
        <v>0</v>
      </c>
      <c r="M1190" s="104">
        <f t="shared" ca="1" si="35"/>
        <v>0</v>
      </c>
    </row>
    <row r="1191" spans="3:13" x14ac:dyDescent="0.55000000000000004">
      <c r="C1191" s="124"/>
      <c r="G1191" s="125"/>
      <c r="I1191" s="102">
        <v>8</v>
      </c>
      <c r="J1191" s="102">
        <f>IFERROR(VLOOKUP(I1191,'3 Sanitation'!$E$736:$L$745,4,FALSE),0)</f>
        <v>0</v>
      </c>
      <c r="K1191" s="103">
        <f ca="1">IFERROR(VLOOKUP(I1191,'3 Sanitation'!$E$736:$L$745,8,FALSE),0)</f>
        <v>0</v>
      </c>
      <c r="L1191" s="104">
        <f t="shared" ca="1" si="34"/>
        <v>0</v>
      </c>
      <c r="M1191" s="104">
        <f t="shared" ca="1" si="35"/>
        <v>0</v>
      </c>
    </row>
    <row r="1192" spans="3:13" x14ac:dyDescent="0.55000000000000004">
      <c r="C1192" s="124"/>
      <c r="G1192" s="125"/>
      <c r="I1192" s="102">
        <v>9</v>
      </c>
      <c r="J1192" s="102">
        <f>IFERROR(VLOOKUP(I1192,'3 Sanitation'!$E$736:$L$745,4,FALSE),0)</f>
        <v>0</v>
      </c>
      <c r="K1192" s="103">
        <f ca="1">IFERROR(VLOOKUP(I1192,'3 Sanitation'!$E$736:$L$745,8,FALSE),0)</f>
        <v>0</v>
      </c>
      <c r="L1192" s="104">
        <f t="shared" ca="1" si="34"/>
        <v>0</v>
      </c>
      <c r="M1192" s="104">
        <f t="shared" ca="1" si="35"/>
        <v>0</v>
      </c>
    </row>
    <row r="1193" spans="3:13" x14ac:dyDescent="0.55000000000000004">
      <c r="C1193" s="124"/>
      <c r="G1193" s="125"/>
      <c r="I1193" s="102">
        <v>10</v>
      </c>
      <c r="J1193" s="102" t="str">
        <f>IFERROR(VLOOKUP(I1193,'3 Sanitation'!$E$736:$L$745,4,FALSE),0)</f>
        <v>More</v>
      </c>
      <c r="K1193" s="103">
        <f ca="1">IFERROR(VLOOKUP(I1193,'3 Sanitation'!$E$736:$L$745,8,FALSE),0)</f>
        <v>0</v>
      </c>
      <c r="L1193" s="104">
        <f t="shared" ca="1" si="34"/>
        <v>0</v>
      </c>
      <c r="M1193" s="104">
        <f t="shared" ca="1" si="35"/>
        <v>0</v>
      </c>
    </row>
    <row r="1194" spans="3:13" x14ac:dyDescent="0.55000000000000004">
      <c r="C1194" s="124"/>
      <c r="G1194" s="125"/>
    </row>
    <row r="1195" spans="3:13" x14ac:dyDescent="0.55000000000000004">
      <c r="C1195" s="124"/>
      <c r="G1195" s="125"/>
    </row>
    <row r="1196" spans="3:13" x14ac:dyDescent="0.55000000000000004">
      <c r="C1196" s="124"/>
      <c r="G1196" s="125"/>
    </row>
    <row r="1197" spans="3:13" x14ac:dyDescent="0.55000000000000004">
      <c r="C1197" s="124"/>
      <c r="G1197" s="125"/>
    </row>
    <row r="1198" spans="3:13" x14ac:dyDescent="0.55000000000000004">
      <c r="C1198" s="124"/>
      <c r="G1198" s="125"/>
    </row>
    <row r="1199" spans="3:13" ht="14.7" thickBot="1" x14ac:dyDescent="0.6">
      <c r="C1199" s="130"/>
      <c r="D1199" s="131"/>
      <c r="E1199" s="131"/>
      <c r="F1199" s="131"/>
      <c r="G1199" s="132"/>
    </row>
    <row r="1201" spans="3:7" ht="14.7" thickBot="1" x14ac:dyDescent="0.6"/>
    <row r="1202" spans="3:7" x14ac:dyDescent="0.55000000000000004">
      <c r="C1202" s="121"/>
      <c r="D1202" s="122"/>
      <c r="E1202" s="122"/>
      <c r="F1202" s="122"/>
      <c r="G1202" s="123"/>
    </row>
    <row r="1203" spans="3:7" ht="15.6" x14ac:dyDescent="0.6">
      <c r="C1203" s="124"/>
      <c r="D1203" s="98">
        <f>'2 Customer data'!D75</f>
        <v>0</v>
      </c>
      <c r="G1203" s="125"/>
    </row>
    <row r="1204" spans="3:7" x14ac:dyDescent="0.55000000000000004">
      <c r="C1204" s="124"/>
      <c r="G1204" s="125"/>
    </row>
    <row r="1205" spans="3:7" x14ac:dyDescent="0.55000000000000004">
      <c r="C1205" s="124"/>
      <c r="E1205" s="220" t="s">
        <v>250</v>
      </c>
      <c r="G1205" s="125"/>
    </row>
    <row r="1206" spans="3:7" x14ac:dyDescent="0.55000000000000004">
      <c r="C1206" s="124"/>
      <c r="D1206" t="s">
        <v>369</v>
      </c>
      <c r="E1206" s="26">
        <f ca="1">VLOOKUP(D1203,'2 Sanitation'!$D$19:$J$38,5,FALSE)</f>
        <v>0</v>
      </c>
      <c r="G1206" s="125"/>
    </row>
    <row r="1207" spans="3:7" x14ac:dyDescent="0.55000000000000004">
      <c r="C1207" s="124"/>
      <c r="D1207" t="s">
        <v>370</v>
      </c>
      <c r="E1207" s="99">
        <f ca="1">VLOOKUP(D1203,'2 Sanitation'!$D$19:$J$38,6,FALSE)</f>
        <v>0</v>
      </c>
      <c r="G1207" s="125"/>
    </row>
    <row r="1208" spans="3:7" ht="14.7" thickBot="1" x14ac:dyDescent="0.6">
      <c r="C1208" s="124"/>
      <c r="D1208" s="1" t="s">
        <v>39</v>
      </c>
      <c r="E1208" s="37">
        <f ca="1">VLOOKUP(D1203,'2 Sanitation'!$D$19:$J$38,7,FALSE)</f>
        <v>0</v>
      </c>
      <c r="G1208" s="125"/>
    </row>
    <row r="1209" spans="3:7" ht="14.7" thickTop="1" x14ac:dyDescent="0.55000000000000004">
      <c r="C1209" s="124"/>
      <c r="G1209" s="125"/>
    </row>
    <row r="1210" spans="3:7" x14ac:dyDescent="0.55000000000000004">
      <c r="C1210" s="124"/>
      <c r="D1210" t="s">
        <v>189</v>
      </c>
      <c r="E1210" s="26">
        <f ca="1">IF(VLOOKUP(D1203,'2 Sanitation'!$D$122:$K$141,7,FALSE)="",VLOOKUP(D1203,'2 Sanitation'!$D$122:$K$141,6,FALSE),VLOOKUP(D1203,'2 Sanitation'!$D$122:$K$141,7,FALSE))+VLOOKUP(D1203,'2 Sanitation'!$D$153:$J$172,5,FALSE)</f>
        <v>0</v>
      </c>
      <c r="G1210" s="125"/>
    </row>
    <row r="1211" spans="3:7" x14ac:dyDescent="0.55000000000000004">
      <c r="C1211" s="124"/>
      <c r="G1211" s="125"/>
    </row>
    <row r="1212" spans="3:7" x14ac:dyDescent="0.55000000000000004">
      <c r="C1212" s="124"/>
      <c r="D1212" t="s">
        <v>371</v>
      </c>
      <c r="E1212" s="64">
        <f ca="1">IF(VLOOKUP(D1203,'2 Sanitation'!$D$53:$M$72,5,FALSE)="",VLOOKUP(D1203,'2 Sanitation'!$D$53:$M$72,4,FALSE),VLOOKUP(D1203,'2 Sanitation'!$D$53:$M$72,5,FALSE))</f>
        <v>0</v>
      </c>
      <c r="G1212" s="125"/>
    </row>
    <row r="1213" spans="3:7" x14ac:dyDescent="0.55000000000000004">
      <c r="C1213" s="124"/>
      <c r="D1213" t="s">
        <v>372</v>
      </c>
      <c r="E1213" s="26">
        <f ca="1">IF(VLOOKUP(D1203,'2 Sanitation'!$D$53:$M$72,7,FALSE)="",VLOOKUP(D1203,'2 Sanitation'!$D$53:$M$72,6,FALSE),VLOOKUP(D1203,'2 Sanitation'!$D$53:$M$72,7,FALSE))</f>
        <v>0</v>
      </c>
      <c r="G1213" s="125"/>
    </row>
    <row r="1214" spans="3:7" x14ac:dyDescent="0.55000000000000004">
      <c r="C1214" s="124"/>
      <c r="D1214" t="s">
        <v>373</v>
      </c>
      <c r="E1214" s="26">
        <f ca="1">IF(VLOOKUP(D1203,'2 Sanitation'!$D$53:$M$72,9,FALSE)="",VLOOKUP(D1203,'2 Sanitation'!$D$53:$M$72,8,FALSE),VLOOKUP(D1203,'2 Sanitation'!$D$53:$M$72,9,FALSE))</f>
        <v>0</v>
      </c>
      <c r="G1214" s="125"/>
    </row>
    <row r="1215" spans="3:7" x14ac:dyDescent="0.55000000000000004">
      <c r="C1215" s="124"/>
      <c r="D1215" t="s">
        <v>374</v>
      </c>
      <c r="E1215" s="26">
        <f ca="1">IF(VLOOKUP(D1203,'2 Sanitation'!$D$88:$I$107,5,FALSE)="",VLOOKUP(D1203,'2 Sanitation'!$D$88:$I$107,4,FALSE),VLOOKUP(D1203,'2 Sanitation'!$D$88:$I$107,5,FALSE))</f>
        <v>0</v>
      </c>
      <c r="G1215" s="125"/>
    </row>
    <row r="1216" spans="3:7" ht="14.7" thickBot="1" x14ac:dyDescent="0.6">
      <c r="C1216" s="124"/>
      <c r="D1216" s="1" t="s">
        <v>145</v>
      </c>
      <c r="E1216" s="37">
        <f ca="1">SUM(E1212:E1215)</f>
        <v>0</v>
      </c>
      <c r="G1216" s="125"/>
    </row>
    <row r="1217" spans="3:11" ht="14.7" thickTop="1" x14ac:dyDescent="0.55000000000000004">
      <c r="C1217" s="124"/>
      <c r="D1217" s="1"/>
      <c r="E1217" s="15"/>
      <c r="G1217" s="125"/>
    </row>
    <row r="1218" spans="3:11" x14ac:dyDescent="0.55000000000000004">
      <c r="C1218" s="124"/>
      <c r="D1218" t="s">
        <v>384</v>
      </c>
      <c r="E1218" s="26">
        <f ca="1">IF(VLOOKUP(D1203,'2 Sanitation'!$D$122:$K$141,5,FALSE)="",VLOOKUP(D1203,'2 Sanitation'!$D$122:$K$141,4,FALSE),VLOOKUP(D1203,'2 Sanitation'!$D$122:$K$141,5,FALSE))+VLOOKUP(D1203,'2 Sanitation'!$D$153:$J$172,7,FALSE)</f>
        <v>0</v>
      </c>
      <c r="G1218" s="125"/>
    </row>
    <row r="1219" spans="3:11" x14ac:dyDescent="0.55000000000000004">
      <c r="C1219" s="124"/>
      <c r="G1219" s="125"/>
    </row>
    <row r="1220" spans="3:11" ht="14.7" thickBot="1" x14ac:dyDescent="0.6">
      <c r="C1220" s="124"/>
      <c r="D1220" s="1" t="s">
        <v>375</v>
      </c>
      <c r="E1220" s="37">
        <f ca="1">VLOOKUP(D1203,'2 Sanitation'!$D$153:$K$172,8,FALSE)</f>
        <v>0</v>
      </c>
      <c r="G1220" s="125"/>
    </row>
    <row r="1221" spans="3:11" ht="14.7" thickTop="1" x14ac:dyDescent="0.55000000000000004">
      <c r="C1221" s="124"/>
      <c r="G1221" s="125"/>
    </row>
    <row r="1222" spans="3:11" x14ac:dyDescent="0.55000000000000004">
      <c r="C1222" s="124"/>
      <c r="G1222" s="125"/>
    </row>
    <row r="1223" spans="3:11" x14ac:dyDescent="0.55000000000000004">
      <c r="C1223" s="124"/>
      <c r="G1223" s="125"/>
    </row>
    <row r="1224" spans="3:11" x14ac:dyDescent="0.55000000000000004">
      <c r="C1224" s="124"/>
      <c r="G1224" s="125"/>
    </row>
    <row r="1225" spans="3:11" x14ac:dyDescent="0.55000000000000004">
      <c r="C1225" s="124"/>
      <c r="G1225" s="125"/>
    </row>
    <row r="1226" spans="3:11" x14ac:dyDescent="0.55000000000000004">
      <c r="C1226" s="124"/>
      <c r="G1226" s="125"/>
      <c r="I1226" s="232" t="s">
        <v>385</v>
      </c>
    </row>
    <row r="1227" spans="3:11" x14ac:dyDescent="0.55000000000000004">
      <c r="C1227" s="124"/>
      <c r="G1227" s="125"/>
      <c r="I1227" s="110"/>
      <c r="J1227" s="102" t="s">
        <v>390</v>
      </c>
      <c r="K1227" s="102" t="s">
        <v>391</v>
      </c>
    </row>
    <row r="1228" spans="3:11" x14ac:dyDescent="0.55000000000000004">
      <c r="C1228" s="124"/>
      <c r="G1228" s="125"/>
      <c r="I1228" s="110" t="s">
        <v>369</v>
      </c>
      <c r="J1228" s="100">
        <f ca="1">E1206/1000</f>
        <v>0</v>
      </c>
      <c r="K1228" s="102"/>
    </row>
    <row r="1229" spans="3:11" x14ac:dyDescent="0.55000000000000004">
      <c r="C1229" s="124"/>
      <c r="G1229" s="125"/>
      <c r="I1229" s="110" t="s">
        <v>370</v>
      </c>
      <c r="J1229" s="100">
        <f ca="1">E1207/1000</f>
        <v>0</v>
      </c>
      <c r="K1229" s="110"/>
    </row>
    <row r="1230" spans="3:11" x14ac:dyDescent="0.55000000000000004">
      <c r="C1230" s="124"/>
      <c r="G1230" s="125"/>
      <c r="I1230" s="110" t="s">
        <v>471</v>
      </c>
      <c r="J1230" s="100">
        <f ca="1">E1210/1000</f>
        <v>0</v>
      </c>
      <c r="K1230" s="110"/>
    </row>
    <row r="1231" spans="3:11" x14ac:dyDescent="0.55000000000000004">
      <c r="C1231" s="124"/>
      <c r="G1231" s="125"/>
      <c r="I1231" s="110" t="s">
        <v>563</v>
      </c>
      <c r="J1231" s="100"/>
      <c r="K1231" s="101">
        <f ca="1">E1220/1000</f>
        <v>0</v>
      </c>
    </row>
    <row r="1232" spans="3:11" x14ac:dyDescent="0.55000000000000004">
      <c r="C1232" s="124"/>
      <c r="G1232" s="125"/>
      <c r="I1232" s="110" t="s">
        <v>564</v>
      </c>
      <c r="J1232" s="100"/>
      <c r="K1232" s="101">
        <f ca="1">E1215/1000</f>
        <v>0</v>
      </c>
    </row>
    <row r="1233" spans="3:11" x14ac:dyDescent="0.55000000000000004">
      <c r="C1233" s="124"/>
      <c r="G1233" s="125"/>
      <c r="I1233" s="110" t="s">
        <v>565</v>
      </c>
      <c r="J1233" s="100"/>
      <c r="K1233" s="101">
        <f ca="1">SUM(E1212:E1214)/1000</f>
        <v>0</v>
      </c>
    </row>
    <row r="1234" spans="3:11" x14ac:dyDescent="0.55000000000000004">
      <c r="C1234" s="124"/>
      <c r="G1234" s="125"/>
      <c r="I1234" s="110" t="s">
        <v>566</v>
      </c>
      <c r="J1234" s="100"/>
      <c r="K1234" s="101">
        <f ca="1">E1218/1000</f>
        <v>0</v>
      </c>
    </row>
    <row r="1235" spans="3:11" x14ac:dyDescent="0.55000000000000004">
      <c r="C1235" s="124"/>
      <c r="G1235" s="125"/>
    </row>
    <row r="1236" spans="3:11" x14ac:dyDescent="0.55000000000000004">
      <c r="C1236" s="124"/>
      <c r="G1236" s="125"/>
    </row>
    <row r="1237" spans="3:11" x14ac:dyDescent="0.55000000000000004">
      <c r="C1237" s="124"/>
      <c r="G1237" s="125"/>
    </row>
    <row r="1238" spans="3:11" x14ac:dyDescent="0.55000000000000004">
      <c r="C1238" s="124"/>
      <c r="G1238" s="125"/>
    </row>
    <row r="1239" spans="3:11" x14ac:dyDescent="0.55000000000000004">
      <c r="C1239" s="124"/>
      <c r="E1239" s="220" t="s">
        <v>250</v>
      </c>
      <c r="G1239" s="125"/>
    </row>
    <row r="1240" spans="3:11" x14ac:dyDescent="0.55000000000000004">
      <c r="C1240" s="124"/>
      <c r="D1240" t="s">
        <v>376</v>
      </c>
      <c r="E1240" s="64">
        <f ca="1">VLOOKUP(D1203,'2 Sanitation'!$D$153:$M$172,10,FALSE)</f>
        <v>0</v>
      </c>
      <c r="G1240" s="125"/>
    </row>
    <row r="1241" spans="3:11" x14ac:dyDescent="0.55000000000000004">
      <c r="C1241" s="124"/>
      <c r="D1241" t="s">
        <v>377</v>
      </c>
      <c r="E1241" s="64">
        <f ca="1">VLOOKUP(D1203,'2 Sanitation'!$D$153:$M$172,9,FALSE)</f>
        <v>0</v>
      </c>
      <c r="G1241" s="125"/>
    </row>
    <row r="1242" spans="3:11" x14ac:dyDescent="0.55000000000000004">
      <c r="C1242" s="124"/>
      <c r="D1242" t="s">
        <v>378</v>
      </c>
      <c r="E1242" s="64">
        <f ca="1">IFERROR(IF(E1210=0,E1218,E1210)/E1208,0)</f>
        <v>0</v>
      </c>
      <c r="G1242" s="125"/>
    </row>
    <row r="1243" spans="3:11" x14ac:dyDescent="0.55000000000000004">
      <c r="C1243" s="124"/>
      <c r="G1243" s="125"/>
    </row>
    <row r="1244" spans="3:11" x14ac:dyDescent="0.55000000000000004">
      <c r="C1244" s="124"/>
      <c r="D1244" t="s">
        <v>379</v>
      </c>
      <c r="E1244" s="64">
        <f>'3 Sanitation'!H764</f>
        <v>0</v>
      </c>
      <c r="G1244" s="125"/>
    </row>
    <row r="1245" spans="3:11" x14ac:dyDescent="0.55000000000000004">
      <c r="C1245" s="124"/>
      <c r="D1245" t="s">
        <v>380</v>
      </c>
      <c r="E1245" s="97">
        <f ca="1">IFERROR('3 Sanitation'!I764/'3 Sanitation'!F764,0)</f>
        <v>0</v>
      </c>
      <c r="G1245" s="125"/>
    </row>
    <row r="1246" spans="3:11" x14ac:dyDescent="0.55000000000000004">
      <c r="C1246" s="124"/>
      <c r="G1246" s="125"/>
    </row>
    <row r="1247" spans="3:11" x14ac:dyDescent="0.55000000000000004">
      <c r="C1247" s="124"/>
      <c r="D1247" s="1" t="s">
        <v>381</v>
      </c>
      <c r="G1247" s="125"/>
    </row>
    <row r="1248" spans="3:11" x14ac:dyDescent="0.55000000000000004">
      <c r="C1248" s="124"/>
      <c r="G1248" s="125"/>
    </row>
    <row r="1249" spans="3:13" x14ac:dyDescent="0.55000000000000004">
      <c r="C1249" s="124"/>
      <c r="G1249" s="125"/>
    </row>
    <row r="1250" spans="3:13" ht="28.8" x14ac:dyDescent="0.55000000000000004">
      <c r="C1250" s="124"/>
      <c r="G1250" s="125"/>
      <c r="I1250" s="229" t="s">
        <v>383</v>
      </c>
      <c r="J1250" s="229" t="s">
        <v>382</v>
      </c>
      <c r="K1250" s="229" t="s">
        <v>100</v>
      </c>
      <c r="L1250" s="230" t="s">
        <v>392</v>
      </c>
      <c r="M1250" s="233" t="s">
        <v>581</v>
      </c>
    </row>
    <row r="1251" spans="3:13" x14ac:dyDescent="0.55000000000000004">
      <c r="C1251" s="124"/>
      <c r="G1251" s="125"/>
      <c r="I1251" s="102">
        <v>1</v>
      </c>
      <c r="J1251" s="102">
        <f>IFERROR(VLOOKUP(I1251,'3 Sanitation'!$E$777:$L$786,4,FALSE),0)</f>
        <v>0</v>
      </c>
      <c r="K1251" s="103">
        <f>IFERROR(VLOOKUP(I1251,'3 Sanitation'!$E$777:$L$786,8,FALSE),0)</f>
        <v>0</v>
      </c>
      <c r="L1251" s="104">
        <f ca="1">$E$1240</f>
        <v>0</v>
      </c>
      <c r="M1251" s="105">
        <f ca="1">IFERROR('3 Sanitation'!H756/SUM('3 Sanitation'!K777:K786),0)</f>
        <v>0</v>
      </c>
    </row>
    <row r="1252" spans="3:13" x14ac:dyDescent="0.55000000000000004">
      <c r="C1252" s="124"/>
      <c r="G1252" s="125"/>
      <c r="I1252" s="102">
        <v>2</v>
      </c>
      <c r="J1252" s="102">
        <f>IFERROR(VLOOKUP(I1252,'3 Sanitation'!$E$777:$L$786,4,FALSE),0)</f>
        <v>0</v>
      </c>
      <c r="K1252" s="103">
        <f ca="1">IFERROR(VLOOKUP(I1252,'3 Sanitation'!$E$777:$L$786,8,FALSE),0)</f>
        <v>0</v>
      </c>
      <c r="L1252" s="104">
        <f t="shared" ref="L1252:L1260" ca="1" si="36">$E$1240</f>
        <v>0</v>
      </c>
      <c r="M1252" s="104">
        <f ca="1">$M$1251</f>
        <v>0</v>
      </c>
    </row>
    <row r="1253" spans="3:13" x14ac:dyDescent="0.55000000000000004">
      <c r="C1253" s="124"/>
      <c r="G1253" s="125"/>
      <c r="I1253" s="102">
        <v>3</v>
      </c>
      <c r="J1253" s="102">
        <f>IFERROR(VLOOKUP(I1253,'3 Sanitation'!$E$777:$L$786,4,FALSE),0)</f>
        <v>0</v>
      </c>
      <c r="K1253" s="103">
        <f ca="1">IFERROR(VLOOKUP(I1253,'3 Sanitation'!$E$777:$L$786,8,FALSE),0)</f>
        <v>0</v>
      </c>
      <c r="L1253" s="104">
        <f t="shared" ca="1" si="36"/>
        <v>0</v>
      </c>
      <c r="M1253" s="104">
        <f t="shared" ref="M1253:M1260" ca="1" si="37">$M$1251</f>
        <v>0</v>
      </c>
    </row>
    <row r="1254" spans="3:13" x14ac:dyDescent="0.55000000000000004">
      <c r="C1254" s="124"/>
      <c r="G1254" s="125"/>
      <c r="I1254" s="102">
        <v>4</v>
      </c>
      <c r="J1254" s="102">
        <f>IFERROR(VLOOKUP(I1254,'3 Sanitation'!$E$777:$L$786,4,FALSE),0)</f>
        <v>0</v>
      </c>
      <c r="K1254" s="103">
        <f ca="1">IFERROR(VLOOKUP(I1254,'3 Sanitation'!$E$777:$L$786,8,FALSE),0)</f>
        <v>0</v>
      </c>
      <c r="L1254" s="104">
        <f t="shared" ca="1" si="36"/>
        <v>0</v>
      </c>
      <c r="M1254" s="104">
        <f t="shared" ca="1" si="37"/>
        <v>0</v>
      </c>
    </row>
    <row r="1255" spans="3:13" x14ac:dyDescent="0.55000000000000004">
      <c r="C1255" s="124"/>
      <c r="G1255" s="125"/>
      <c r="I1255" s="102">
        <v>5</v>
      </c>
      <c r="J1255" s="102">
        <f>IFERROR(VLOOKUP(I1255,'3 Sanitation'!$E$777:$L$786,4,FALSE),0)</f>
        <v>0</v>
      </c>
      <c r="K1255" s="103">
        <f ca="1">IFERROR(VLOOKUP(I1255,'3 Sanitation'!$E$777:$L$786,8,FALSE),0)</f>
        <v>0</v>
      </c>
      <c r="L1255" s="104">
        <f t="shared" ca="1" si="36"/>
        <v>0</v>
      </c>
      <c r="M1255" s="104">
        <f t="shared" ca="1" si="37"/>
        <v>0</v>
      </c>
    </row>
    <row r="1256" spans="3:13" x14ac:dyDescent="0.55000000000000004">
      <c r="C1256" s="124"/>
      <c r="G1256" s="125"/>
      <c r="I1256" s="102">
        <v>6</v>
      </c>
      <c r="J1256" s="102">
        <f>IFERROR(VLOOKUP(I1256,'3 Sanitation'!$E$777:$L$786,4,FALSE),0)</f>
        <v>0</v>
      </c>
      <c r="K1256" s="103">
        <f ca="1">IFERROR(VLOOKUP(I1256,'3 Sanitation'!$E$777:$L$786,8,FALSE),0)</f>
        <v>0</v>
      </c>
      <c r="L1256" s="104">
        <f t="shared" ca="1" si="36"/>
        <v>0</v>
      </c>
      <c r="M1256" s="104">
        <f t="shared" ca="1" si="37"/>
        <v>0</v>
      </c>
    </row>
    <row r="1257" spans="3:13" x14ac:dyDescent="0.55000000000000004">
      <c r="C1257" s="124"/>
      <c r="G1257" s="125"/>
      <c r="I1257" s="102">
        <v>7</v>
      </c>
      <c r="J1257" s="102">
        <f>IFERROR(VLOOKUP(I1257,'3 Sanitation'!$E$777:$L$786,4,FALSE),0)</f>
        <v>0</v>
      </c>
      <c r="K1257" s="103">
        <f ca="1">IFERROR(VLOOKUP(I1257,'3 Sanitation'!$E$777:$L$786,8,FALSE),0)</f>
        <v>0</v>
      </c>
      <c r="L1257" s="104">
        <f t="shared" ca="1" si="36"/>
        <v>0</v>
      </c>
      <c r="M1257" s="104">
        <f t="shared" ca="1" si="37"/>
        <v>0</v>
      </c>
    </row>
    <row r="1258" spans="3:13" x14ac:dyDescent="0.55000000000000004">
      <c r="C1258" s="124"/>
      <c r="G1258" s="125"/>
      <c r="I1258" s="102">
        <v>8</v>
      </c>
      <c r="J1258" s="102">
        <f>IFERROR(VLOOKUP(I1258,'3 Sanitation'!$E$777:$L$786,4,FALSE),0)</f>
        <v>0</v>
      </c>
      <c r="K1258" s="103">
        <f ca="1">IFERROR(VLOOKUP(I1258,'3 Sanitation'!$E$777:$L$786,8,FALSE),0)</f>
        <v>0</v>
      </c>
      <c r="L1258" s="104">
        <f t="shared" ca="1" si="36"/>
        <v>0</v>
      </c>
      <c r="M1258" s="104">
        <f t="shared" ca="1" si="37"/>
        <v>0</v>
      </c>
    </row>
    <row r="1259" spans="3:13" x14ac:dyDescent="0.55000000000000004">
      <c r="C1259" s="124"/>
      <c r="G1259" s="125"/>
      <c r="I1259" s="102">
        <v>9</v>
      </c>
      <c r="J1259" s="102">
        <f>IFERROR(VLOOKUP(I1259,'3 Sanitation'!$E$777:$L$786,4,FALSE),0)</f>
        <v>0</v>
      </c>
      <c r="K1259" s="103">
        <f ca="1">IFERROR(VLOOKUP(I1259,'3 Sanitation'!$E$777:$L$786,8,FALSE),0)</f>
        <v>0</v>
      </c>
      <c r="L1259" s="104">
        <f t="shared" ca="1" si="36"/>
        <v>0</v>
      </c>
      <c r="M1259" s="104">
        <f t="shared" ca="1" si="37"/>
        <v>0</v>
      </c>
    </row>
    <row r="1260" spans="3:13" x14ac:dyDescent="0.55000000000000004">
      <c r="C1260" s="124"/>
      <c r="G1260" s="125"/>
      <c r="I1260" s="102">
        <v>10</v>
      </c>
      <c r="J1260" s="102" t="str">
        <f>IFERROR(VLOOKUP(I1260,'3 Sanitation'!$E$777:$L$786,4,FALSE),0)</f>
        <v>More</v>
      </c>
      <c r="K1260" s="103">
        <f ca="1">IFERROR(VLOOKUP(I1260,'3 Sanitation'!$E$777:$L$786,8,FALSE),0)</f>
        <v>0</v>
      </c>
      <c r="L1260" s="104">
        <f t="shared" ca="1" si="36"/>
        <v>0</v>
      </c>
      <c r="M1260" s="104">
        <f t="shared" ca="1" si="37"/>
        <v>0</v>
      </c>
    </row>
    <row r="1261" spans="3:13" x14ac:dyDescent="0.55000000000000004">
      <c r="C1261" s="124"/>
      <c r="G1261" s="125"/>
    </row>
    <row r="1262" spans="3:13" x14ac:dyDescent="0.55000000000000004">
      <c r="C1262" s="124"/>
      <c r="G1262" s="125"/>
    </row>
    <row r="1263" spans="3:13" x14ac:dyDescent="0.55000000000000004">
      <c r="C1263" s="124"/>
      <c r="G1263" s="125"/>
    </row>
    <row r="1264" spans="3:13" x14ac:dyDescent="0.55000000000000004">
      <c r="C1264" s="124"/>
      <c r="G1264" s="125"/>
    </row>
    <row r="1265" spans="3:7" x14ac:dyDescent="0.55000000000000004">
      <c r="C1265" s="124"/>
      <c r="G1265" s="125"/>
    </row>
    <row r="1266" spans="3:7" ht="14.7" thickBot="1" x14ac:dyDescent="0.6">
      <c r="C1266" s="130"/>
      <c r="D1266" s="131"/>
      <c r="E1266" s="131"/>
      <c r="F1266" s="131"/>
      <c r="G1266" s="132"/>
    </row>
    <row r="1268" spans="3:7" ht="14.7" thickBot="1" x14ac:dyDescent="0.6"/>
    <row r="1269" spans="3:7" x14ac:dyDescent="0.55000000000000004">
      <c r="C1269" s="121"/>
      <c r="D1269" s="122"/>
      <c r="E1269" s="122"/>
      <c r="F1269" s="122"/>
      <c r="G1269" s="123"/>
    </row>
    <row r="1270" spans="3:7" ht="15.6" x14ac:dyDescent="0.6">
      <c r="C1270" s="124"/>
      <c r="D1270" s="98">
        <f>'2 Customer data'!D76</f>
        <v>0</v>
      </c>
      <c r="G1270" s="125"/>
    </row>
    <row r="1271" spans="3:7" x14ac:dyDescent="0.55000000000000004">
      <c r="C1271" s="124"/>
      <c r="G1271" s="125"/>
    </row>
    <row r="1272" spans="3:7" x14ac:dyDescent="0.55000000000000004">
      <c r="C1272" s="124"/>
      <c r="E1272" s="220" t="s">
        <v>250</v>
      </c>
      <c r="G1272" s="125"/>
    </row>
    <row r="1273" spans="3:7" x14ac:dyDescent="0.55000000000000004">
      <c r="C1273" s="124"/>
      <c r="D1273" t="s">
        <v>369</v>
      </c>
      <c r="E1273" s="26">
        <f ca="1">VLOOKUP(D1270,'2 Sanitation'!$D$19:$J$38,5,FALSE)</f>
        <v>0</v>
      </c>
      <c r="G1273" s="125"/>
    </row>
    <row r="1274" spans="3:7" x14ac:dyDescent="0.55000000000000004">
      <c r="C1274" s="124"/>
      <c r="D1274" t="s">
        <v>370</v>
      </c>
      <c r="E1274" s="99">
        <f ca="1">VLOOKUP(D1270,'2 Sanitation'!$D$19:$J$38,6,FALSE)</f>
        <v>0</v>
      </c>
      <c r="G1274" s="125"/>
    </row>
    <row r="1275" spans="3:7" ht="14.7" thickBot="1" x14ac:dyDescent="0.6">
      <c r="C1275" s="124"/>
      <c r="D1275" s="1" t="s">
        <v>39</v>
      </c>
      <c r="E1275" s="37">
        <f ca="1">VLOOKUP(D1270,'2 Sanitation'!$D$19:$J$38,7,FALSE)</f>
        <v>0</v>
      </c>
      <c r="G1275" s="125"/>
    </row>
    <row r="1276" spans="3:7" ht="14.7" thickTop="1" x14ac:dyDescent="0.55000000000000004">
      <c r="C1276" s="124"/>
      <c r="G1276" s="125"/>
    </row>
    <row r="1277" spans="3:7" x14ac:dyDescent="0.55000000000000004">
      <c r="C1277" s="124"/>
      <c r="D1277" t="s">
        <v>189</v>
      </c>
      <c r="E1277" s="26">
        <f ca="1">IF(VLOOKUP(D1270,'2 Sanitation'!$D$122:$K$141,7,FALSE)="",VLOOKUP(D1270,'2 Sanitation'!$D$122:$K$141,6,FALSE),VLOOKUP(D1270,'2 Sanitation'!$D$122:$K$141,7,FALSE))+VLOOKUP(D1270,'2 Sanitation'!$D$153:$J$172,5,FALSE)</f>
        <v>0</v>
      </c>
      <c r="G1277" s="125"/>
    </row>
    <row r="1278" spans="3:7" x14ac:dyDescent="0.55000000000000004">
      <c r="C1278" s="124"/>
      <c r="G1278" s="125"/>
    </row>
    <row r="1279" spans="3:7" x14ac:dyDescent="0.55000000000000004">
      <c r="C1279" s="124"/>
      <c r="D1279" t="s">
        <v>371</v>
      </c>
      <c r="E1279" s="64">
        <f ca="1">IF(VLOOKUP(D1270,'2 Sanitation'!$D$53:$M$72,5,FALSE)="",VLOOKUP(D1270,'2 Sanitation'!$D$53:$M$72,4,FALSE),VLOOKUP(D1270,'2 Sanitation'!$D$53:$M$72,5,FALSE))</f>
        <v>0</v>
      </c>
      <c r="G1279" s="125"/>
    </row>
    <row r="1280" spans="3:7" x14ac:dyDescent="0.55000000000000004">
      <c r="C1280" s="124"/>
      <c r="D1280" t="s">
        <v>372</v>
      </c>
      <c r="E1280" s="26">
        <f ca="1">IF(VLOOKUP(D1270,'2 Sanitation'!$D$53:$M$72,7,FALSE)="",VLOOKUP(D1270,'2 Sanitation'!$D$53:$M$72,6,FALSE),VLOOKUP(D1270,'2 Sanitation'!$D$53:$M$72,7,FALSE))</f>
        <v>0</v>
      </c>
      <c r="G1280" s="125"/>
    </row>
    <row r="1281" spans="3:11" x14ac:dyDescent="0.55000000000000004">
      <c r="C1281" s="124"/>
      <c r="D1281" t="s">
        <v>373</v>
      </c>
      <c r="E1281" s="26">
        <f ca="1">IF(VLOOKUP(D1270,'2 Sanitation'!$D$53:$M$72,9,FALSE)="",VLOOKUP(D1270,'2 Sanitation'!$D$53:$M$72,8,FALSE),VLOOKUP(D1270,'2 Sanitation'!$D$53:$M$72,9,FALSE))</f>
        <v>0</v>
      </c>
      <c r="G1281" s="125"/>
    </row>
    <row r="1282" spans="3:11" x14ac:dyDescent="0.55000000000000004">
      <c r="C1282" s="124"/>
      <c r="D1282" t="s">
        <v>374</v>
      </c>
      <c r="E1282" s="26">
        <f ca="1">IF(VLOOKUP(D1270,'2 Sanitation'!$D$88:$I$107,5,FALSE)="",VLOOKUP(D1270,'2 Sanitation'!$D$88:$I$107,4,FALSE),VLOOKUP(D1270,'2 Sanitation'!$D$88:$I$107,5,FALSE))</f>
        <v>0</v>
      </c>
      <c r="G1282" s="125"/>
    </row>
    <row r="1283" spans="3:11" ht="14.7" thickBot="1" x14ac:dyDescent="0.6">
      <c r="C1283" s="124"/>
      <c r="D1283" s="1" t="s">
        <v>145</v>
      </c>
      <c r="E1283" s="37">
        <f ca="1">SUM(E1279:E1282)</f>
        <v>0</v>
      </c>
      <c r="G1283" s="125"/>
    </row>
    <row r="1284" spans="3:11" ht="14.7" thickTop="1" x14ac:dyDescent="0.55000000000000004">
      <c r="C1284" s="124"/>
      <c r="D1284" s="1"/>
      <c r="E1284" s="15"/>
      <c r="G1284" s="125"/>
    </row>
    <row r="1285" spans="3:11" x14ac:dyDescent="0.55000000000000004">
      <c r="C1285" s="124"/>
      <c r="D1285" t="s">
        <v>384</v>
      </c>
      <c r="E1285" s="26">
        <f ca="1">IF(VLOOKUP(D1270,'2 Sanitation'!$D$122:$K$141,5,FALSE)="",VLOOKUP(D1270,'2 Sanitation'!$D$122:$K$141,4,FALSE),VLOOKUP(D1270,'2 Sanitation'!$D$122:$K$141,5,FALSE))+VLOOKUP(D1270,'2 Sanitation'!$D$153:$J$172,7,FALSE)</f>
        <v>0</v>
      </c>
      <c r="G1285" s="125"/>
    </row>
    <row r="1286" spans="3:11" x14ac:dyDescent="0.55000000000000004">
      <c r="C1286" s="124"/>
      <c r="G1286" s="125"/>
    </row>
    <row r="1287" spans="3:11" ht="14.7" thickBot="1" x14ac:dyDescent="0.6">
      <c r="C1287" s="124"/>
      <c r="D1287" s="1" t="s">
        <v>375</v>
      </c>
      <c r="E1287" s="37">
        <f ca="1">VLOOKUP(D1270,'2 Sanitation'!$D$153:$K$172,8,FALSE)</f>
        <v>0</v>
      </c>
      <c r="G1287" s="125"/>
    </row>
    <row r="1288" spans="3:11" ht="14.7" thickTop="1" x14ac:dyDescent="0.55000000000000004">
      <c r="C1288" s="124"/>
      <c r="G1288" s="125"/>
    </row>
    <row r="1289" spans="3:11" x14ac:dyDescent="0.55000000000000004">
      <c r="C1289" s="124"/>
      <c r="G1289" s="125"/>
    </row>
    <row r="1290" spans="3:11" x14ac:dyDescent="0.55000000000000004">
      <c r="C1290" s="124"/>
      <c r="G1290" s="125"/>
    </row>
    <row r="1291" spans="3:11" x14ac:dyDescent="0.55000000000000004">
      <c r="C1291" s="124"/>
      <c r="G1291" s="125"/>
    </row>
    <row r="1292" spans="3:11" x14ac:dyDescent="0.55000000000000004">
      <c r="C1292" s="124"/>
      <c r="G1292" s="125"/>
    </row>
    <row r="1293" spans="3:11" x14ac:dyDescent="0.55000000000000004">
      <c r="C1293" s="124"/>
      <c r="G1293" s="125"/>
      <c r="I1293" s="232" t="s">
        <v>385</v>
      </c>
    </row>
    <row r="1294" spans="3:11" x14ac:dyDescent="0.55000000000000004">
      <c r="C1294" s="124"/>
      <c r="G1294" s="125"/>
      <c r="I1294" s="110"/>
      <c r="J1294" s="102" t="s">
        <v>390</v>
      </c>
      <c r="K1294" s="102" t="s">
        <v>391</v>
      </c>
    </row>
    <row r="1295" spans="3:11" x14ac:dyDescent="0.55000000000000004">
      <c r="C1295" s="124"/>
      <c r="G1295" s="125"/>
      <c r="I1295" s="110" t="s">
        <v>369</v>
      </c>
      <c r="J1295" s="100">
        <f ca="1">E1273/1000</f>
        <v>0</v>
      </c>
      <c r="K1295" s="102"/>
    </row>
    <row r="1296" spans="3:11" x14ac:dyDescent="0.55000000000000004">
      <c r="C1296" s="124"/>
      <c r="G1296" s="125"/>
      <c r="I1296" s="110" t="s">
        <v>370</v>
      </c>
      <c r="J1296" s="100">
        <f ca="1">E1274/1000</f>
        <v>0</v>
      </c>
      <c r="K1296" s="110"/>
    </row>
    <row r="1297" spans="3:11" x14ac:dyDescent="0.55000000000000004">
      <c r="C1297" s="124"/>
      <c r="G1297" s="125"/>
      <c r="I1297" s="110" t="s">
        <v>471</v>
      </c>
      <c r="J1297" s="100">
        <f ca="1">E1277/1000</f>
        <v>0</v>
      </c>
      <c r="K1297" s="110"/>
    </row>
    <row r="1298" spans="3:11" x14ac:dyDescent="0.55000000000000004">
      <c r="C1298" s="124"/>
      <c r="G1298" s="125"/>
      <c r="I1298" s="110" t="s">
        <v>563</v>
      </c>
      <c r="J1298" s="100"/>
      <c r="K1298" s="101">
        <f ca="1">E1287/1000</f>
        <v>0</v>
      </c>
    </row>
    <row r="1299" spans="3:11" x14ac:dyDescent="0.55000000000000004">
      <c r="C1299" s="124"/>
      <c r="G1299" s="125"/>
      <c r="I1299" s="110" t="s">
        <v>564</v>
      </c>
      <c r="J1299" s="100"/>
      <c r="K1299" s="101">
        <f ca="1">E1282/1000</f>
        <v>0</v>
      </c>
    </row>
    <row r="1300" spans="3:11" x14ac:dyDescent="0.55000000000000004">
      <c r="C1300" s="124"/>
      <c r="G1300" s="125"/>
      <c r="I1300" s="110" t="s">
        <v>565</v>
      </c>
      <c r="J1300" s="100"/>
      <c r="K1300" s="101">
        <f ca="1">SUM(E1279:E1281)/1000</f>
        <v>0</v>
      </c>
    </row>
    <row r="1301" spans="3:11" x14ac:dyDescent="0.55000000000000004">
      <c r="C1301" s="124"/>
      <c r="G1301" s="125"/>
      <c r="I1301" s="110" t="s">
        <v>566</v>
      </c>
      <c r="J1301" s="100"/>
      <c r="K1301" s="101">
        <f ca="1">E1285/1000</f>
        <v>0</v>
      </c>
    </row>
    <row r="1302" spans="3:11" x14ac:dyDescent="0.55000000000000004">
      <c r="C1302" s="124"/>
      <c r="G1302" s="125"/>
    </row>
    <row r="1303" spans="3:11" x14ac:dyDescent="0.55000000000000004">
      <c r="C1303" s="124"/>
      <c r="G1303" s="125"/>
    </row>
    <row r="1304" spans="3:11" x14ac:dyDescent="0.55000000000000004">
      <c r="C1304" s="124"/>
      <c r="G1304" s="125"/>
    </row>
    <row r="1305" spans="3:11" x14ac:dyDescent="0.55000000000000004">
      <c r="C1305" s="124"/>
      <c r="G1305" s="125"/>
    </row>
    <row r="1306" spans="3:11" x14ac:dyDescent="0.55000000000000004">
      <c r="C1306" s="124"/>
      <c r="E1306" s="220" t="s">
        <v>250</v>
      </c>
      <c r="G1306" s="125"/>
    </row>
    <row r="1307" spans="3:11" x14ac:dyDescent="0.55000000000000004">
      <c r="C1307" s="124"/>
      <c r="D1307" t="s">
        <v>376</v>
      </c>
      <c r="E1307" s="64">
        <f ca="1">VLOOKUP(D1270,'2 Sanitation'!$D$153:$M$172,10,FALSE)</f>
        <v>0</v>
      </c>
      <c r="G1307" s="125"/>
    </row>
    <row r="1308" spans="3:11" x14ac:dyDescent="0.55000000000000004">
      <c r="C1308" s="124"/>
      <c r="D1308" t="s">
        <v>377</v>
      </c>
      <c r="E1308" s="64">
        <f ca="1">VLOOKUP(D1270,'2 Sanitation'!$D$153:$M$172,9,FALSE)</f>
        <v>0</v>
      </c>
      <c r="G1308" s="125"/>
    </row>
    <row r="1309" spans="3:11" x14ac:dyDescent="0.55000000000000004">
      <c r="C1309" s="124"/>
      <c r="D1309" t="s">
        <v>378</v>
      </c>
      <c r="E1309" s="64">
        <f ca="1">IFERROR(IF(E1277=0,E1285,E1277)/E1275,0)</f>
        <v>0</v>
      </c>
      <c r="G1309" s="125"/>
    </row>
    <row r="1310" spans="3:11" x14ac:dyDescent="0.55000000000000004">
      <c r="C1310" s="124"/>
      <c r="G1310" s="125"/>
    </row>
    <row r="1311" spans="3:11" x14ac:dyDescent="0.55000000000000004">
      <c r="C1311" s="124"/>
      <c r="D1311" t="s">
        <v>379</v>
      </c>
      <c r="E1311" s="64">
        <f>'3 Sanitation'!H805</f>
        <v>0</v>
      </c>
      <c r="G1311" s="125"/>
    </row>
    <row r="1312" spans="3:11" x14ac:dyDescent="0.55000000000000004">
      <c r="C1312" s="124"/>
      <c r="D1312" t="s">
        <v>380</v>
      </c>
      <c r="E1312" s="97">
        <f ca="1">IFERROR('3 Sanitation'!I805/'3 Sanitation'!F805,0)</f>
        <v>0</v>
      </c>
      <c r="G1312" s="125"/>
    </row>
    <row r="1313" spans="3:13" x14ac:dyDescent="0.55000000000000004">
      <c r="C1313" s="124"/>
      <c r="G1313" s="125"/>
    </row>
    <row r="1314" spans="3:13" x14ac:dyDescent="0.55000000000000004">
      <c r="C1314" s="124"/>
      <c r="D1314" s="1" t="s">
        <v>381</v>
      </c>
      <c r="G1314" s="125"/>
    </row>
    <row r="1315" spans="3:13" x14ac:dyDescent="0.55000000000000004">
      <c r="C1315" s="124"/>
      <c r="G1315" s="125"/>
    </row>
    <row r="1316" spans="3:13" x14ac:dyDescent="0.55000000000000004">
      <c r="C1316" s="124"/>
      <c r="G1316" s="125"/>
    </row>
    <row r="1317" spans="3:13" ht="28.8" x14ac:dyDescent="0.55000000000000004">
      <c r="C1317" s="124"/>
      <c r="G1317" s="125"/>
      <c r="I1317" s="229" t="s">
        <v>383</v>
      </c>
      <c r="J1317" s="229" t="s">
        <v>382</v>
      </c>
      <c r="K1317" s="229" t="s">
        <v>100</v>
      </c>
      <c r="L1317" s="230" t="s">
        <v>392</v>
      </c>
      <c r="M1317" s="233" t="s">
        <v>581</v>
      </c>
    </row>
    <row r="1318" spans="3:13" x14ac:dyDescent="0.55000000000000004">
      <c r="C1318" s="124"/>
      <c r="G1318" s="125"/>
      <c r="I1318" s="102">
        <v>1</v>
      </c>
      <c r="J1318" s="102">
        <f>IFERROR(VLOOKUP(I1318,'3 Sanitation'!$E$818:$L$827,4,FALSE),0)</f>
        <v>0</v>
      </c>
      <c r="K1318" s="103">
        <f>IFERROR(VLOOKUP(I1318,'3 Sanitation'!$E$818:$L$827,8,FALSE),0)</f>
        <v>0</v>
      </c>
      <c r="L1318" s="104">
        <f ca="1">$E$1307</f>
        <v>0</v>
      </c>
      <c r="M1318" s="105">
        <f ca="1">IFERROR('3 Sanitation'!H797/SUM('3 Sanitation'!K818:K827),0)</f>
        <v>0</v>
      </c>
    </row>
    <row r="1319" spans="3:13" x14ac:dyDescent="0.55000000000000004">
      <c r="C1319" s="124"/>
      <c r="G1319" s="125"/>
      <c r="I1319" s="102">
        <v>2</v>
      </c>
      <c r="J1319" s="102">
        <f>IFERROR(VLOOKUP(I1319,'3 Sanitation'!$E$818:$L$827,4,FALSE),0)</f>
        <v>0</v>
      </c>
      <c r="K1319" s="103">
        <f ca="1">IFERROR(VLOOKUP(I1319,'3 Sanitation'!$E$818:$L$827,8,FALSE),0)</f>
        <v>0</v>
      </c>
      <c r="L1319" s="104">
        <f t="shared" ref="L1319:L1327" ca="1" si="38">$E$1307</f>
        <v>0</v>
      </c>
      <c r="M1319" s="104">
        <f ca="1">$M$1318</f>
        <v>0</v>
      </c>
    </row>
    <row r="1320" spans="3:13" x14ac:dyDescent="0.55000000000000004">
      <c r="C1320" s="124"/>
      <c r="G1320" s="125"/>
      <c r="I1320" s="102">
        <v>3</v>
      </c>
      <c r="J1320" s="102">
        <f>IFERROR(VLOOKUP(I1320,'3 Sanitation'!$E$818:$L$827,4,FALSE),0)</f>
        <v>0</v>
      </c>
      <c r="K1320" s="103">
        <f ca="1">IFERROR(VLOOKUP(I1320,'3 Sanitation'!$E$818:$L$827,8,FALSE),0)</f>
        <v>0</v>
      </c>
      <c r="L1320" s="104">
        <f t="shared" ca="1" si="38"/>
        <v>0</v>
      </c>
      <c r="M1320" s="104">
        <f t="shared" ref="M1320:M1327" ca="1" si="39">$M$1318</f>
        <v>0</v>
      </c>
    </row>
    <row r="1321" spans="3:13" x14ac:dyDescent="0.55000000000000004">
      <c r="C1321" s="124"/>
      <c r="G1321" s="125"/>
      <c r="I1321" s="102">
        <v>4</v>
      </c>
      <c r="J1321" s="102">
        <f>IFERROR(VLOOKUP(I1321,'3 Sanitation'!$E$818:$L$827,4,FALSE),0)</f>
        <v>0</v>
      </c>
      <c r="K1321" s="103">
        <f ca="1">IFERROR(VLOOKUP(I1321,'3 Sanitation'!$E$818:$L$827,8,FALSE),0)</f>
        <v>0</v>
      </c>
      <c r="L1321" s="104">
        <f t="shared" ca="1" si="38"/>
        <v>0</v>
      </c>
      <c r="M1321" s="104">
        <f t="shared" ca="1" si="39"/>
        <v>0</v>
      </c>
    </row>
    <row r="1322" spans="3:13" x14ac:dyDescent="0.55000000000000004">
      <c r="C1322" s="124"/>
      <c r="G1322" s="125"/>
      <c r="I1322" s="102">
        <v>5</v>
      </c>
      <c r="J1322" s="102">
        <f>IFERROR(VLOOKUP(I1322,'3 Sanitation'!$E$818:$L$827,4,FALSE),0)</f>
        <v>0</v>
      </c>
      <c r="K1322" s="103">
        <f ca="1">IFERROR(VLOOKUP(I1322,'3 Sanitation'!$E$818:$L$827,8,FALSE),0)</f>
        <v>0</v>
      </c>
      <c r="L1322" s="104">
        <f t="shared" ca="1" si="38"/>
        <v>0</v>
      </c>
      <c r="M1322" s="104">
        <f t="shared" ca="1" si="39"/>
        <v>0</v>
      </c>
    </row>
    <row r="1323" spans="3:13" x14ac:dyDescent="0.55000000000000004">
      <c r="C1323" s="124"/>
      <c r="G1323" s="125"/>
      <c r="I1323" s="102">
        <v>6</v>
      </c>
      <c r="J1323" s="102">
        <f>IFERROR(VLOOKUP(I1323,'3 Sanitation'!$E$818:$L$827,4,FALSE),0)</f>
        <v>0</v>
      </c>
      <c r="K1323" s="103">
        <f ca="1">IFERROR(VLOOKUP(I1323,'3 Sanitation'!$E$818:$L$827,8,FALSE),0)</f>
        <v>0</v>
      </c>
      <c r="L1323" s="104">
        <f t="shared" ca="1" si="38"/>
        <v>0</v>
      </c>
      <c r="M1323" s="104">
        <f t="shared" ca="1" si="39"/>
        <v>0</v>
      </c>
    </row>
    <row r="1324" spans="3:13" x14ac:dyDescent="0.55000000000000004">
      <c r="C1324" s="124"/>
      <c r="G1324" s="125"/>
      <c r="I1324" s="102">
        <v>7</v>
      </c>
      <c r="J1324" s="102">
        <f>IFERROR(VLOOKUP(I1324,'3 Sanitation'!$E$818:$L$827,4,FALSE),0)</f>
        <v>0</v>
      </c>
      <c r="K1324" s="103">
        <f ca="1">IFERROR(VLOOKUP(I1324,'3 Sanitation'!$E$818:$L$827,8,FALSE),0)</f>
        <v>0</v>
      </c>
      <c r="L1324" s="104">
        <f t="shared" ca="1" si="38"/>
        <v>0</v>
      </c>
      <c r="M1324" s="104">
        <f t="shared" ca="1" si="39"/>
        <v>0</v>
      </c>
    </row>
    <row r="1325" spans="3:13" x14ac:dyDescent="0.55000000000000004">
      <c r="C1325" s="124"/>
      <c r="G1325" s="125"/>
      <c r="I1325" s="102">
        <v>8</v>
      </c>
      <c r="J1325" s="102">
        <f>IFERROR(VLOOKUP(I1325,'3 Sanitation'!$E$818:$L$827,4,FALSE),0)</f>
        <v>0</v>
      </c>
      <c r="K1325" s="103">
        <f ca="1">IFERROR(VLOOKUP(I1325,'3 Sanitation'!$E$818:$L$827,8,FALSE),0)</f>
        <v>0</v>
      </c>
      <c r="L1325" s="104">
        <f t="shared" ca="1" si="38"/>
        <v>0</v>
      </c>
      <c r="M1325" s="104">
        <f t="shared" ca="1" si="39"/>
        <v>0</v>
      </c>
    </row>
    <row r="1326" spans="3:13" x14ac:dyDescent="0.55000000000000004">
      <c r="C1326" s="124"/>
      <c r="G1326" s="125"/>
      <c r="I1326" s="102">
        <v>9</v>
      </c>
      <c r="J1326" s="102">
        <f>IFERROR(VLOOKUP(I1326,'3 Sanitation'!$E$818:$L$827,4,FALSE),0)</f>
        <v>0</v>
      </c>
      <c r="K1326" s="103">
        <f ca="1">IFERROR(VLOOKUP(I1326,'3 Sanitation'!$E$818:$L$827,8,FALSE),0)</f>
        <v>0</v>
      </c>
      <c r="L1326" s="104">
        <f t="shared" ca="1" si="38"/>
        <v>0</v>
      </c>
      <c r="M1326" s="104">
        <f t="shared" ca="1" si="39"/>
        <v>0</v>
      </c>
    </row>
    <row r="1327" spans="3:13" x14ac:dyDescent="0.55000000000000004">
      <c r="C1327" s="124"/>
      <c r="G1327" s="125"/>
      <c r="I1327" s="102">
        <v>10</v>
      </c>
      <c r="J1327" s="102" t="str">
        <f>IFERROR(VLOOKUP(I1327,'3 Sanitation'!$E$818:$L$827,4,FALSE),0)</f>
        <v>More</v>
      </c>
      <c r="K1327" s="103">
        <f ca="1">IFERROR(VLOOKUP(I1327,'3 Sanitation'!$E$818:$L$827,8,FALSE),0)</f>
        <v>0</v>
      </c>
      <c r="L1327" s="104">
        <f t="shared" ca="1" si="38"/>
        <v>0</v>
      </c>
      <c r="M1327" s="104">
        <f t="shared" ca="1" si="39"/>
        <v>0</v>
      </c>
    </row>
    <row r="1328" spans="3:13" x14ac:dyDescent="0.55000000000000004">
      <c r="C1328" s="124"/>
      <c r="G1328" s="125"/>
    </row>
    <row r="1329" spans="3:7" x14ac:dyDescent="0.55000000000000004">
      <c r="C1329" s="124"/>
      <c r="G1329" s="125"/>
    </row>
    <row r="1330" spans="3:7" x14ac:dyDescent="0.55000000000000004">
      <c r="C1330" s="124"/>
      <c r="G1330" s="125"/>
    </row>
    <row r="1331" spans="3:7" x14ac:dyDescent="0.55000000000000004">
      <c r="C1331" s="124"/>
      <c r="G1331" s="125"/>
    </row>
    <row r="1332" spans="3:7" x14ac:dyDescent="0.55000000000000004">
      <c r="C1332" s="124"/>
      <c r="G1332" s="125"/>
    </row>
    <row r="1333" spans="3:7" ht="14.7" thickBot="1" x14ac:dyDescent="0.6">
      <c r="C1333" s="130"/>
      <c r="D1333" s="131"/>
      <c r="E1333" s="131"/>
      <c r="F1333" s="131"/>
      <c r="G1333" s="132"/>
    </row>
  </sheetData>
  <sheetProtection sheet="1" objects="1" scenarios="1"/>
  <mergeCells count="2">
    <mergeCell ref="E1:E2"/>
    <mergeCell ref="G1:G2"/>
  </mergeCells>
  <pageMargins left="0.7" right="0.7" top="0.75" bottom="0.75" header="0.3" footer="0.3"/>
  <pageSetup paperSize="9" scale="52" orientation="portrait" r:id="rId1"/>
  <rowBreaks count="19" manualBreakCount="19">
    <brk id="70" min="1" max="7" man="1"/>
    <brk id="135" min="1" max="7" man="1"/>
    <brk id="200" min="1" max="7" man="1"/>
    <brk id="265" min="1" max="7" man="1"/>
    <brk id="331" min="1" max="7" man="1"/>
    <brk id="397" min="1" max="7" man="1"/>
    <brk id="463" min="1" max="7" man="1"/>
    <brk id="529" min="1" max="7" man="1"/>
    <brk id="595" min="1" max="7" man="1"/>
    <brk id="661" min="1" max="7" man="1"/>
    <brk id="728" min="1" max="7" man="1"/>
    <brk id="795" min="1" max="7" man="1"/>
    <brk id="862" min="1" max="7" man="1"/>
    <brk id="930" min="1" max="7" man="1"/>
    <brk id="998" min="1" max="7" man="1"/>
    <brk id="1066" min="1" max="7" man="1"/>
    <brk id="1133" min="1" max="7" man="1"/>
    <brk id="1200" min="1" max="7" man="1"/>
    <brk id="1267" min="1" max="7" man="1"/>
  </rowBreaks>
  <drawing r:id="rId2"/>
  <legacyDrawing r:id="rId3"/>
  <controls>
    <mc:AlternateContent xmlns:mc="http://schemas.openxmlformats.org/markup-compatibility/2006">
      <mc:Choice Requires="x14">
        <control shapeId="24577" r:id="rId4" name="cbSRCus">
          <controlPr defaultSize="0" autoLine="0" r:id="rId5">
            <anchor moveWithCells="1">
              <from>
                <xdr:col>3</xdr:col>
                <xdr:colOff>2415540</xdr:colOff>
                <xdr:row>2</xdr:row>
                <xdr:rowOff>91440</xdr:rowOff>
              </from>
              <to>
                <xdr:col>5</xdr:col>
                <xdr:colOff>38100</xdr:colOff>
                <xdr:row>3</xdr:row>
                <xdr:rowOff>129540</xdr:rowOff>
              </to>
            </anchor>
          </controlPr>
        </control>
      </mc:Choice>
      <mc:Fallback>
        <control shapeId="24577" r:id="rId4" name="cbSRCus"/>
      </mc:Fallback>
    </mc:AlternateContent>
    <mc:AlternateContent xmlns:mc="http://schemas.openxmlformats.org/markup-compatibility/2006">
      <mc:Choice Requires="x14">
        <control shapeId="24578" r:id="rId6" name="cbSR">
          <controlPr defaultSize="0" autoLine="0" r:id="rId7">
            <anchor moveWithCells="1">
              <from>
                <xdr:col>5</xdr:col>
                <xdr:colOff>419100</xdr:colOff>
                <xdr:row>2</xdr:row>
                <xdr:rowOff>76200</xdr:rowOff>
              </from>
              <to>
                <xdr:col>8</xdr:col>
                <xdr:colOff>11430</xdr:colOff>
                <xdr:row>3</xdr:row>
                <xdr:rowOff>114300</xdr:rowOff>
              </to>
            </anchor>
          </controlPr>
        </control>
      </mc:Choice>
      <mc:Fallback>
        <control shapeId="24578" r:id="rId6" name="cbSR"/>
      </mc:Fallback>
    </mc:AlternateContent>
  </controls>
</worksheet>
</file>

<file path=xl/worksheets/sheet3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1E38C02-8013-4B61-BD03-34D0F84EFD1E}">
  <sheetPr codeName="Sheet22">
    <tabColor rgb="FFFFFF8F"/>
  </sheetPr>
  <dimension ref="B1:O1410"/>
  <sheetViews>
    <sheetView showGridLines="0" zoomScaleNormal="100" workbookViewId="0">
      <pane ySplit="4" topLeftCell="A5" activePane="bottomLeft" state="frozen"/>
      <selection pane="bottomLeft" activeCell="D8" sqref="D8"/>
    </sheetView>
  </sheetViews>
  <sheetFormatPr defaultColWidth="8.7890625" defaultRowHeight="14.4" x14ac:dyDescent="0.55000000000000004"/>
  <cols>
    <col min="1" max="1" width="3.20703125" style="117" customWidth="1"/>
    <col min="2" max="2" width="4.20703125" customWidth="1"/>
    <col min="3" max="3" width="4.7890625" customWidth="1"/>
    <col min="4" max="4" width="45.7890625" customWidth="1"/>
    <col min="5" max="5" width="15.7890625" customWidth="1"/>
    <col min="6" max="8" width="14.7890625" customWidth="1"/>
    <col min="9" max="9" width="4.41796875" customWidth="1"/>
    <col min="10" max="10" width="22.7890625" style="223" bestFit="1" customWidth="1"/>
    <col min="11" max="12" width="14.7890625" style="223" customWidth="1"/>
    <col min="13" max="15" width="8.7890625" style="223"/>
    <col min="16" max="16384" width="8.7890625" style="117"/>
  </cols>
  <sheetData>
    <row r="1" spans="2:15" customFormat="1" x14ac:dyDescent="0.55000000000000004">
      <c r="E1" s="1823" t="s">
        <v>212</v>
      </c>
      <c r="G1" s="1815" t="s">
        <v>206</v>
      </c>
    </row>
    <row r="2" spans="2:15" customFormat="1" x14ac:dyDescent="0.55000000000000004">
      <c r="E2" s="1823"/>
      <c r="G2" s="1815"/>
    </row>
    <row r="3" spans="2:15" customFormat="1" x14ac:dyDescent="0.55000000000000004"/>
    <row r="4" spans="2:15" customFormat="1" x14ac:dyDescent="0.55000000000000004"/>
    <row r="5" spans="2:15" x14ac:dyDescent="0.55000000000000004">
      <c r="B5" s="117"/>
      <c r="C5" s="117"/>
      <c r="D5" s="117"/>
      <c r="E5" s="117"/>
      <c r="F5" s="117"/>
      <c r="G5" s="117"/>
      <c r="H5" s="117"/>
      <c r="I5" s="117"/>
      <c r="J5" s="117"/>
      <c r="K5" s="117"/>
      <c r="L5" s="117"/>
      <c r="M5" s="117"/>
      <c r="N5" s="117"/>
      <c r="O5" s="117"/>
    </row>
    <row r="6" spans="2:15" ht="14.7" thickBot="1" x14ac:dyDescent="0.6">
      <c r="J6" s="117"/>
      <c r="K6" s="117"/>
      <c r="L6" s="117"/>
      <c r="M6" s="117"/>
      <c r="N6" s="117"/>
      <c r="O6" s="117"/>
    </row>
    <row r="7" spans="2:15" x14ac:dyDescent="0.55000000000000004">
      <c r="C7" s="121"/>
      <c r="D7" s="122"/>
      <c r="E7" s="122"/>
      <c r="F7" s="122"/>
      <c r="G7" s="122"/>
      <c r="H7" s="123"/>
      <c r="J7" s="117"/>
      <c r="K7" s="117"/>
      <c r="L7" s="117"/>
      <c r="M7" s="117"/>
      <c r="N7" s="117"/>
      <c r="O7" s="117"/>
    </row>
    <row r="8" spans="2:15" ht="15.6" x14ac:dyDescent="0.6">
      <c r="C8" s="124"/>
      <c r="D8" s="98" t="str">
        <f>'2 Customer data'!D21</f>
        <v>Domestic: Conventional</v>
      </c>
      <c r="H8" s="125"/>
      <c r="J8" s="117"/>
      <c r="K8" s="117"/>
      <c r="L8" s="117"/>
      <c r="M8" s="117"/>
      <c r="N8" s="117"/>
      <c r="O8" s="117"/>
    </row>
    <row r="9" spans="2:15" x14ac:dyDescent="0.55000000000000004">
      <c r="C9" s="124"/>
      <c r="H9" s="125"/>
      <c r="J9" s="117"/>
      <c r="K9" s="117"/>
      <c r="L9" s="117"/>
      <c r="M9" s="117"/>
      <c r="N9" s="117"/>
      <c r="O9" s="117"/>
    </row>
    <row r="10" spans="2:15" x14ac:dyDescent="0.55000000000000004">
      <c r="C10" s="124"/>
      <c r="E10" s="220" t="s">
        <v>250</v>
      </c>
      <c r="H10" s="125"/>
      <c r="J10" s="117"/>
      <c r="K10" s="117"/>
      <c r="L10" s="117"/>
      <c r="M10" s="117"/>
      <c r="N10" s="117"/>
      <c r="O10" s="117"/>
    </row>
    <row r="11" spans="2:15" x14ac:dyDescent="0.55000000000000004">
      <c r="C11" s="124"/>
      <c r="D11" t="s">
        <v>393</v>
      </c>
      <c r="E11" s="26" t="e">
        <f>VLOOKUP(D8,'2 Electricity'!$D$21:$L$40,6,FALSE)</f>
        <v>#N/A</v>
      </c>
      <c r="H11" s="125"/>
      <c r="J11" s="117"/>
      <c r="K11" s="117"/>
      <c r="L11" s="117"/>
      <c r="M11" s="117"/>
      <c r="N11" s="117"/>
      <c r="O11" s="117"/>
    </row>
    <row r="12" spans="2:15" x14ac:dyDescent="0.55000000000000004">
      <c r="C12" s="124"/>
      <c r="D12" t="s">
        <v>249</v>
      </c>
      <c r="E12" s="99" t="e">
        <f>VLOOKUP(D8,'2 Electricity'!$D$21:$L$40,7,FALSE)</f>
        <v>#N/A</v>
      </c>
      <c r="H12" s="125"/>
      <c r="J12" s="224"/>
      <c r="K12" s="224"/>
      <c r="L12" s="224"/>
      <c r="M12" s="224"/>
      <c r="N12" s="224"/>
      <c r="O12" s="224"/>
    </row>
    <row r="13" spans="2:15" x14ac:dyDescent="0.55000000000000004">
      <c r="C13" s="124"/>
      <c r="D13" t="s">
        <v>52</v>
      </c>
      <c r="E13" s="26" t="e">
        <f>VLOOKUP(D8,'2 Electricity'!$D$21:$L$40,8,FALSE)</f>
        <v>#N/A</v>
      </c>
      <c r="H13" s="125"/>
      <c r="J13" s="224"/>
      <c r="K13" s="224"/>
      <c r="L13" s="224"/>
      <c r="M13" s="224"/>
      <c r="N13" s="224"/>
      <c r="O13" s="224"/>
    </row>
    <row r="14" spans="2:15" ht="14.7" thickBot="1" x14ac:dyDescent="0.6">
      <c r="C14" s="124"/>
      <c r="D14" s="1" t="s">
        <v>39</v>
      </c>
      <c r="E14" s="37" t="e">
        <f>VLOOKUP(D8,'2 Electricity'!D$21:L$40,9,FALSE)</f>
        <v>#N/A</v>
      </c>
      <c r="H14" s="125"/>
      <c r="J14" s="224"/>
      <c r="K14" s="224"/>
      <c r="L14" s="224"/>
      <c r="M14" s="224"/>
      <c r="N14" s="224"/>
      <c r="O14" s="224"/>
    </row>
    <row r="15" spans="2:15" ht="14.7" thickTop="1" x14ac:dyDescent="0.55000000000000004">
      <c r="C15" s="124"/>
      <c r="H15" s="125"/>
      <c r="J15" s="224"/>
      <c r="K15" s="224"/>
      <c r="L15" s="224"/>
      <c r="M15" s="224"/>
      <c r="N15" s="224"/>
      <c r="O15" s="224"/>
    </row>
    <row r="16" spans="2:15" x14ac:dyDescent="0.55000000000000004">
      <c r="C16" s="124"/>
      <c r="D16" t="s">
        <v>189</v>
      </c>
      <c r="E16" s="26">
        <f>IFERROR(IF(VLOOKUP(D8,'2 Electricity'!$D$126:$K$145,7,FALSE)="",VLOOKUP('2 Electricity'!$D$126:$K$145,6,FALSE),VLOOKUP(D8,'2 Electricity'!$D$126:$K$145,7,FALSE))+VLOOKUP(D8,'2 Electricity'!$D$157:$J$176,5,FALSE),0)</f>
        <v>0</v>
      </c>
      <c r="H16" s="125"/>
      <c r="J16" s="224"/>
      <c r="K16" s="224"/>
      <c r="L16" s="224"/>
      <c r="M16" s="224"/>
      <c r="N16" s="224"/>
      <c r="O16" s="224"/>
    </row>
    <row r="17" spans="3:15" x14ac:dyDescent="0.55000000000000004">
      <c r="C17" s="124"/>
      <c r="H17" s="125"/>
      <c r="J17" s="224"/>
      <c r="K17" s="224"/>
      <c r="L17" s="224"/>
      <c r="M17" s="224"/>
      <c r="N17" s="224"/>
      <c r="O17" s="224"/>
    </row>
    <row r="18" spans="3:15" x14ac:dyDescent="0.55000000000000004">
      <c r="C18" s="124"/>
      <c r="D18" t="s">
        <v>371</v>
      </c>
      <c r="E18" s="64" t="e">
        <f>IF(VLOOKUP(D8,'2 Electricity'!$D$56:$M$75,5,FALSE)="",VLOOKUP(D8,'2 Electricity'!$D$56:$M$75,4,FALSE),VLOOKUP(D8,'2 Electricity'!$D$56:$M$75,5,FALSE))</f>
        <v>#N/A</v>
      </c>
      <c r="H18" s="125"/>
      <c r="J18" s="224"/>
      <c r="K18" s="224"/>
      <c r="L18" s="224"/>
      <c r="M18" s="224"/>
      <c r="N18" s="224"/>
      <c r="O18" s="224"/>
    </row>
    <row r="19" spans="3:15" x14ac:dyDescent="0.55000000000000004">
      <c r="C19" s="124"/>
      <c r="D19" t="s">
        <v>372</v>
      </c>
      <c r="E19" s="26" t="e">
        <f>IF(VLOOKUP(D8,'2 Electricity'!$D$56:$M$75,7,FALSE)="",VLOOKUP(D8,'2 Electricity'!$D$56:$M$75,6,FALSE),VLOOKUP(D8,'2 Electricity'!$D$56:$M$75,7,FALSE))</f>
        <v>#N/A</v>
      </c>
      <c r="H19" s="125"/>
      <c r="J19" s="224"/>
      <c r="K19" s="224"/>
      <c r="L19" s="224"/>
      <c r="M19" s="224"/>
      <c r="N19" s="224"/>
      <c r="O19" s="224"/>
    </row>
    <row r="20" spans="3:15" x14ac:dyDescent="0.55000000000000004">
      <c r="C20" s="124"/>
      <c r="D20" t="s">
        <v>373</v>
      </c>
      <c r="E20" s="26" t="e">
        <f>IF(VLOOKUP(D8,'2 Electricity'!$D$56:$M$75,9,FALSE)="",VLOOKUP(D8,'2 Electricity'!$D$56:$M$75,8,FALSE),VLOOKUP(D8,'2 Electricity'!$D$56:$M$75,9,FALSE))</f>
        <v>#N/A</v>
      </c>
      <c r="H20" s="125"/>
      <c r="J20" s="224"/>
      <c r="K20" s="224"/>
      <c r="L20" s="224"/>
      <c r="M20" s="224"/>
      <c r="N20" s="224"/>
      <c r="O20" s="224"/>
    </row>
    <row r="21" spans="3:15" x14ac:dyDescent="0.55000000000000004">
      <c r="C21" s="124"/>
      <c r="D21" t="s">
        <v>374</v>
      </c>
      <c r="E21" s="26" t="e">
        <f>IF(VLOOKUP(D8,'2 Electricity'!$D$92:$I$111,5,FALSE)="",VLOOKUP(D8,'2 Electricity'!$D$92:$I$111,4,FALSE),VLOOKUP(D8,'2 Electricity'!$D$92:$I$111,5,FALSE))</f>
        <v>#N/A</v>
      </c>
      <c r="H21" s="125"/>
      <c r="J21" s="224"/>
      <c r="K21" s="224"/>
      <c r="L21" s="224"/>
      <c r="M21" s="224"/>
      <c r="N21" s="224"/>
      <c r="O21" s="224"/>
    </row>
    <row r="22" spans="3:15" ht="14.7" thickBot="1" x14ac:dyDescent="0.6">
      <c r="C22" s="124"/>
      <c r="D22" s="1" t="s">
        <v>145</v>
      </c>
      <c r="E22" s="37" t="e">
        <f>SUM(E18:E21)</f>
        <v>#N/A</v>
      </c>
      <c r="H22" s="125"/>
      <c r="J22" s="224"/>
      <c r="K22" s="224"/>
      <c r="L22" s="224"/>
      <c r="M22" s="224"/>
      <c r="N22" s="224"/>
      <c r="O22" s="224"/>
    </row>
    <row r="23" spans="3:15" ht="14.7" thickTop="1" x14ac:dyDescent="0.55000000000000004">
      <c r="C23" s="124"/>
      <c r="D23" s="1"/>
      <c r="E23" s="15"/>
      <c r="H23" s="125"/>
      <c r="J23" s="224"/>
      <c r="K23" s="224"/>
      <c r="L23" s="224"/>
      <c r="M23" s="224"/>
      <c r="N23" s="224"/>
      <c r="O23" s="224"/>
    </row>
    <row r="24" spans="3:15" x14ac:dyDescent="0.55000000000000004">
      <c r="C24" s="124"/>
      <c r="D24" t="s">
        <v>384</v>
      </c>
      <c r="E24" s="26" t="e">
        <f>IF(VLOOKUP(D8,'2 Electricity'!$D$126:$K$145,5,FALSE)="",VLOOKUP(D8,'2 Electricity'!$D$126:$K$145,4,FALSE),VLOOKUP(D8,'2 Electricity'!$D$126:$K$145,5,FALSE))+VLOOKUP(D8,'2 Electricity'!$D$157:$J$176,7,FALSE)</f>
        <v>#N/A</v>
      </c>
      <c r="H24" s="125"/>
      <c r="J24" s="224"/>
      <c r="K24" s="224"/>
      <c r="L24" s="224"/>
      <c r="M24" s="224"/>
      <c r="N24" s="224"/>
      <c r="O24" s="224"/>
    </row>
    <row r="25" spans="3:15" x14ac:dyDescent="0.55000000000000004">
      <c r="C25" s="124"/>
      <c r="H25" s="125"/>
      <c r="J25" s="224"/>
      <c r="K25" s="224"/>
      <c r="L25" s="224"/>
      <c r="M25" s="224"/>
      <c r="N25" s="224"/>
      <c r="O25" s="224"/>
    </row>
    <row r="26" spans="3:15" ht="14.7" thickBot="1" x14ac:dyDescent="0.6">
      <c r="C26" s="124"/>
      <c r="D26" s="1" t="s">
        <v>375</v>
      </c>
      <c r="E26" s="37" t="e">
        <f>VLOOKUP(D8,'2 Electricity'!$D$157:$K$176,8,FALSE)</f>
        <v>#N/A</v>
      </c>
      <c r="H26" s="125"/>
      <c r="J26" s="224"/>
      <c r="K26" s="224"/>
      <c r="L26" s="224"/>
      <c r="M26" s="224"/>
      <c r="N26" s="224"/>
      <c r="O26" s="224"/>
    </row>
    <row r="27" spans="3:15" ht="14.7" thickTop="1" x14ac:dyDescent="0.55000000000000004">
      <c r="C27" s="124"/>
      <c r="H27" s="125"/>
      <c r="J27" s="224"/>
      <c r="K27" s="224"/>
      <c r="L27" s="224"/>
      <c r="M27" s="224"/>
      <c r="N27" s="224"/>
      <c r="O27" s="224"/>
    </row>
    <row r="28" spans="3:15" x14ac:dyDescent="0.55000000000000004">
      <c r="C28" s="124"/>
      <c r="H28" s="125"/>
      <c r="J28" s="224"/>
      <c r="K28" s="224"/>
      <c r="L28" s="224"/>
      <c r="M28" s="224"/>
      <c r="N28" s="224"/>
      <c r="O28" s="224"/>
    </row>
    <row r="29" spans="3:15" x14ac:dyDescent="0.55000000000000004">
      <c r="C29" s="124"/>
      <c r="H29" s="125"/>
      <c r="J29" s="224"/>
      <c r="K29" s="224"/>
      <c r="L29" s="224"/>
      <c r="M29" s="224"/>
      <c r="N29" s="224"/>
      <c r="O29" s="224"/>
    </row>
    <row r="30" spans="3:15" x14ac:dyDescent="0.55000000000000004">
      <c r="C30" s="124"/>
      <c r="H30" s="125"/>
      <c r="J30" s="224"/>
      <c r="K30" s="224"/>
      <c r="L30" s="224"/>
      <c r="M30" s="224"/>
      <c r="N30" s="224"/>
      <c r="O30" s="224"/>
    </row>
    <row r="31" spans="3:15" x14ac:dyDescent="0.55000000000000004">
      <c r="C31" s="124"/>
      <c r="H31" s="125"/>
      <c r="J31" s="224"/>
      <c r="K31" s="224"/>
      <c r="L31" s="224"/>
      <c r="M31" s="224"/>
      <c r="N31" s="224"/>
      <c r="O31" s="224"/>
    </row>
    <row r="32" spans="3:15" x14ac:dyDescent="0.55000000000000004">
      <c r="C32" s="124"/>
      <c r="H32" s="125"/>
      <c r="J32" s="232" t="s">
        <v>385</v>
      </c>
      <c r="K32" s="224"/>
      <c r="L32" s="224"/>
      <c r="M32" s="224"/>
      <c r="N32" s="224"/>
      <c r="O32" s="224"/>
    </row>
    <row r="33" spans="3:15" x14ac:dyDescent="0.55000000000000004">
      <c r="C33" s="124"/>
      <c r="H33" s="125"/>
      <c r="J33" s="110"/>
      <c r="K33" s="102" t="s">
        <v>390</v>
      </c>
      <c r="L33" s="102" t="s">
        <v>391</v>
      </c>
      <c r="M33" s="224"/>
      <c r="N33" s="224"/>
      <c r="O33" s="224"/>
    </row>
    <row r="34" spans="3:15" x14ac:dyDescent="0.55000000000000004">
      <c r="C34" s="124"/>
      <c r="H34" s="125"/>
      <c r="J34" s="110" t="s">
        <v>393</v>
      </c>
      <c r="K34" s="100" t="e">
        <f>E11/1000</f>
        <v>#N/A</v>
      </c>
      <c r="L34" s="102"/>
      <c r="M34" s="224"/>
      <c r="N34" s="224"/>
      <c r="O34" s="224"/>
    </row>
    <row r="35" spans="3:15" x14ac:dyDescent="0.55000000000000004">
      <c r="C35" s="124"/>
      <c r="H35" s="125"/>
      <c r="J35" s="110" t="s">
        <v>249</v>
      </c>
      <c r="K35" s="100" t="e">
        <f>E12/1000</f>
        <v>#N/A</v>
      </c>
      <c r="L35" s="110"/>
      <c r="M35" s="224"/>
      <c r="N35" s="224"/>
      <c r="O35" s="224"/>
    </row>
    <row r="36" spans="3:15" x14ac:dyDescent="0.55000000000000004">
      <c r="C36" s="124"/>
      <c r="H36" s="125"/>
      <c r="J36" s="110" t="s">
        <v>52</v>
      </c>
      <c r="K36" s="100" t="e">
        <f>E13/1000</f>
        <v>#N/A</v>
      </c>
      <c r="L36" s="110"/>
      <c r="M36" s="224"/>
      <c r="N36" s="224"/>
      <c r="O36" s="224"/>
    </row>
    <row r="37" spans="3:15" x14ac:dyDescent="0.55000000000000004">
      <c r="C37" s="124"/>
      <c r="H37" s="125"/>
      <c r="J37" s="110" t="s">
        <v>471</v>
      </c>
      <c r="K37" s="100">
        <f>E16/1000</f>
        <v>0</v>
      </c>
      <c r="L37" s="110"/>
      <c r="M37" s="224"/>
      <c r="N37" s="224"/>
      <c r="O37" s="224"/>
    </row>
    <row r="38" spans="3:15" x14ac:dyDescent="0.55000000000000004">
      <c r="C38" s="124"/>
      <c r="H38" s="125"/>
      <c r="J38" s="110" t="s">
        <v>563</v>
      </c>
      <c r="K38" s="100"/>
      <c r="L38" s="101" t="e">
        <f>E26/1000</f>
        <v>#N/A</v>
      </c>
      <c r="M38" s="224"/>
      <c r="N38" s="224"/>
      <c r="O38" s="224"/>
    </row>
    <row r="39" spans="3:15" x14ac:dyDescent="0.55000000000000004">
      <c r="C39" s="124"/>
      <c r="H39" s="125"/>
      <c r="J39" s="110" t="s">
        <v>564</v>
      </c>
      <c r="K39" s="100"/>
      <c r="L39" s="101" t="e">
        <f>E21/1000</f>
        <v>#N/A</v>
      </c>
      <c r="M39" s="224"/>
      <c r="N39" s="224"/>
      <c r="O39" s="224"/>
    </row>
    <row r="40" spans="3:15" x14ac:dyDescent="0.55000000000000004">
      <c r="C40" s="124"/>
      <c r="H40" s="125"/>
      <c r="J40" s="110" t="s">
        <v>565</v>
      </c>
      <c r="K40" s="100"/>
      <c r="L40" s="101" t="e">
        <f>SUM(E18:E20)/1000</f>
        <v>#N/A</v>
      </c>
      <c r="M40" s="224"/>
      <c r="N40" s="224"/>
      <c r="O40" s="224"/>
    </row>
    <row r="41" spans="3:15" x14ac:dyDescent="0.55000000000000004">
      <c r="C41" s="124"/>
      <c r="H41" s="125"/>
      <c r="J41" s="110" t="s">
        <v>566</v>
      </c>
      <c r="K41" s="100"/>
      <c r="L41" s="101" t="e">
        <f>E24/1000</f>
        <v>#N/A</v>
      </c>
      <c r="M41" s="224"/>
      <c r="N41" s="224"/>
      <c r="O41" s="224"/>
    </row>
    <row r="42" spans="3:15" x14ac:dyDescent="0.55000000000000004">
      <c r="C42" s="124"/>
      <c r="H42" s="125"/>
      <c r="J42" s="235"/>
      <c r="K42" s="236"/>
      <c r="L42" s="237"/>
      <c r="M42" s="224"/>
      <c r="N42" s="224"/>
      <c r="O42" s="224"/>
    </row>
    <row r="43" spans="3:15" x14ac:dyDescent="0.55000000000000004">
      <c r="C43" s="124"/>
      <c r="H43" s="125"/>
      <c r="J43" s="224"/>
      <c r="K43" s="224"/>
      <c r="L43" s="224"/>
      <c r="M43" s="224"/>
      <c r="N43" s="224"/>
      <c r="O43" s="224"/>
    </row>
    <row r="44" spans="3:15" x14ac:dyDescent="0.55000000000000004">
      <c r="C44" s="124"/>
      <c r="H44" s="125"/>
      <c r="J44" s="224"/>
      <c r="K44" s="224"/>
      <c r="L44" s="224"/>
      <c r="M44" s="224"/>
      <c r="N44" s="224"/>
      <c r="O44" s="224"/>
    </row>
    <row r="45" spans="3:15" x14ac:dyDescent="0.55000000000000004">
      <c r="C45" s="124"/>
      <c r="H45" s="125"/>
      <c r="J45" s="224"/>
      <c r="K45" s="224"/>
      <c r="L45" s="224"/>
      <c r="M45" s="224"/>
      <c r="N45" s="224"/>
      <c r="O45" s="224"/>
    </row>
    <row r="46" spans="3:15" x14ac:dyDescent="0.55000000000000004">
      <c r="C46" s="124"/>
      <c r="E46" s="220" t="s">
        <v>250</v>
      </c>
      <c r="H46" s="125"/>
      <c r="J46" s="224"/>
      <c r="K46" s="224"/>
      <c r="L46" s="224"/>
      <c r="M46" s="224"/>
      <c r="N46" s="224"/>
      <c r="O46" s="224"/>
    </row>
    <row r="47" spans="3:15" x14ac:dyDescent="0.55000000000000004">
      <c r="C47" s="124"/>
      <c r="D47" t="s">
        <v>394</v>
      </c>
      <c r="E47" s="64" t="e">
        <f>VLOOKUP(D8,'2 Electricity'!$D$157:$M$176,10,FALSE)</f>
        <v>#N/A</v>
      </c>
      <c r="H47" s="125"/>
      <c r="J47" s="224"/>
      <c r="K47" s="224"/>
      <c r="L47" s="224"/>
      <c r="M47" s="224"/>
      <c r="N47" s="224"/>
      <c r="O47" s="224"/>
    </row>
    <row r="48" spans="3:15" x14ac:dyDescent="0.55000000000000004">
      <c r="C48" s="124"/>
      <c r="D48" t="s">
        <v>395</v>
      </c>
      <c r="E48" s="64" t="e">
        <f>VLOOKUP(D8,'2 Electricity'!$D$157:$M$176,9,FALSE)</f>
        <v>#N/A</v>
      </c>
      <c r="H48" s="125"/>
      <c r="J48" s="224"/>
      <c r="K48" s="224"/>
      <c r="L48" s="224"/>
      <c r="M48" s="224"/>
      <c r="N48" s="224"/>
      <c r="O48" s="224"/>
    </row>
    <row r="49" spans="3:15" x14ac:dyDescent="0.55000000000000004">
      <c r="C49" s="124"/>
      <c r="D49" t="s">
        <v>378</v>
      </c>
      <c r="E49" s="97">
        <f>IFERROR(IF(E16=0,E24,E16)/E14,0)</f>
        <v>0</v>
      </c>
      <c r="H49" s="125"/>
      <c r="J49" s="224"/>
      <c r="K49" s="224"/>
      <c r="L49" s="224"/>
      <c r="M49" s="224"/>
      <c r="N49" s="224"/>
      <c r="O49" s="224"/>
    </row>
    <row r="50" spans="3:15" x14ac:dyDescent="0.55000000000000004">
      <c r="C50" s="124"/>
      <c r="H50" s="125"/>
      <c r="J50" s="224"/>
      <c r="K50" s="224"/>
      <c r="L50" s="224"/>
      <c r="M50" s="224"/>
      <c r="N50" s="224"/>
      <c r="O50" s="224"/>
    </row>
    <row r="51" spans="3:15" x14ac:dyDescent="0.55000000000000004">
      <c r="C51" s="124"/>
      <c r="D51" t="s">
        <v>379</v>
      </c>
      <c r="E51" s="26">
        <f>'3 Electricity'!I26</f>
        <v>0</v>
      </c>
      <c r="H51" s="125"/>
      <c r="J51" s="224"/>
      <c r="K51" s="224"/>
      <c r="L51" s="224"/>
      <c r="M51" s="224"/>
      <c r="N51" s="224"/>
      <c r="O51" s="224"/>
    </row>
    <row r="52" spans="3:15" x14ac:dyDescent="0.55000000000000004">
      <c r="C52" s="124"/>
      <c r="D52" t="s">
        <v>380</v>
      </c>
      <c r="E52" s="97">
        <f ca="1">IFERROR('3 Electricity'!J26/'3 Electricity'!G26,0)</f>
        <v>0</v>
      </c>
      <c r="H52" s="125"/>
      <c r="J52" s="224"/>
      <c r="K52" s="224"/>
      <c r="L52" s="224"/>
      <c r="M52" s="224"/>
      <c r="N52" s="224"/>
      <c r="O52" s="224"/>
    </row>
    <row r="53" spans="3:15" x14ac:dyDescent="0.55000000000000004">
      <c r="C53" s="124"/>
      <c r="H53" s="125"/>
      <c r="J53" s="224"/>
      <c r="K53" s="224"/>
      <c r="L53" s="224"/>
      <c r="M53" s="224"/>
      <c r="N53" s="224"/>
      <c r="O53" s="224"/>
    </row>
    <row r="54" spans="3:15" x14ac:dyDescent="0.55000000000000004">
      <c r="C54" s="124"/>
      <c r="D54" s="1" t="s">
        <v>381</v>
      </c>
      <c r="H54" s="125"/>
      <c r="J54" s="224"/>
      <c r="K54" s="224"/>
      <c r="L54" s="224"/>
      <c r="M54" s="224"/>
      <c r="N54" s="224"/>
      <c r="O54" s="224"/>
    </row>
    <row r="55" spans="3:15" x14ac:dyDescent="0.55000000000000004">
      <c r="C55" s="124"/>
      <c r="D55" s="1" t="str">
        <f>'3 Electricity'!G34</f>
        <v>Seasonal</v>
      </c>
      <c r="H55" s="125"/>
      <c r="J55" s="224"/>
      <c r="K55" s="224"/>
      <c r="L55" s="224"/>
      <c r="M55" s="224"/>
      <c r="N55" s="224"/>
      <c r="O55" s="224"/>
    </row>
    <row r="56" spans="3:15" x14ac:dyDescent="0.55000000000000004">
      <c r="C56" s="124"/>
      <c r="H56" s="125"/>
      <c r="J56" s="224"/>
      <c r="K56" s="224"/>
      <c r="L56" s="224"/>
      <c r="M56" s="224"/>
      <c r="N56" s="224" t="s">
        <v>89</v>
      </c>
      <c r="O56" s="224"/>
    </row>
    <row r="57" spans="3:15" x14ac:dyDescent="0.55000000000000004">
      <c r="C57" s="124"/>
      <c r="H57" s="125"/>
      <c r="J57" s="224"/>
      <c r="K57" s="224"/>
      <c r="L57" s="224"/>
      <c r="M57" s="224"/>
      <c r="N57" s="224"/>
      <c r="O57" s="224"/>
    </row>
    <row r="58" spans="3:15" ht="43.2" x14ac:dyDescent="0.55000000000000004">
      <c r="C58" s="124"/>
      <c r="H58" s="125"/>
      <c r="J58" s="229" t="s">
        <v>383</v>
      </c>
      <c r="K58" s="229" t="s">
        <v>382</v>
      </c>
      <c r="L58" s="108" t="str">
        <f>IF(D55=N56,"Annual Tariff","Low Season Tariff")</f>
        <v>Low Season Tariff</v>
      </c>
      <c r="M58" s="109" t="str">
        <f>IF(D55=N56,"","High Season Tariff")</f>
        <v>High Season Tariff</v>
      </c>
      <c r="N58" s="108" t="s">
        <v>392</v>
      </c>
      <c r="O58" s="229" t="s">
        <v>580</v>
      </c>
    </row>
    <row r="59" spans="3:15" x14ac:dyDescent="0.55000000000000004">
      <c r="C59" s="124"/>
      <c r="H59" s="125"/>
      <c r="J59" s="102">
        <v>1</v>
      </c>
      <c r="K59" s="102" t="str">
        <f>IFERROR(IF('3 Electricity'!$G$34='3 Electricity'!$V$34,VLOOKUP('Electricity report'!J59,'3 Electricity'!$F$45:$K$49,3,FALSE),VLOOKUP('Electricity report'!J59,'3 Electricity'!$F$64:$N$68,3,FALSE)),0)</f>
        <v>more</v>
      </c>
      <c r="L59" s="103">
        <f ca="1">IFERROR(IF('3 Electricity'!$G$34='3 Electricity'!$V$34,VLOOKUP('Electricity report'!J59,'3 Electricity'!$F$45:$K$49,6,FALSE),VLOOKUP('Electricity report'!J59,'3 Electricity'!$F$64:$N$68,9,FALSE)),0)</f>
        <v>2.5551974602507785</v>
      </c>
      <c r="M59" s="105">
        <f ca="1">IF($D$55=$N$56,"",VLOOKUP(J59,'3 Electricity'!$F$64:$N$68,8,FALSE))</f>
        <v>3.2172584268423674</v>
      </c>
      <c r="N59" s="107" t="e">
        <f>$E$47</f>
        <v>#N/A</v>
      </c>
      <c r="O59" s="105">
        <f ca="1">IFERROR('3 Electricity'!J18/'3 Electricity'!H18,0)</f>
        <v>2.9819428113304203</v>
      </c>
    </row>
    <row r="60" spans="3:15" x14ac:dyDescent="0.55000000000000004">
      <c r="C60" s="124"/>
      <c r="H60" s="125"/>
      <c r="J60" s="102">
        <v>2</v>
      </c>
      <c r="K60" s="102">
        <f>IFERROR(IF('3 Electricity'!$G$34='3 Electricity'!$V$34,VLOOKUP('Electricity report'!J60,'3 Electricity'!$F$45:$K$49,3,FALSE),VLOOKUP('Electricity report'!J60,'3 Electricity'!$F$64:$N$68,3,FALSE)),0)</f>
        <v>0</v>
      </c>
      <c r="L60" s="103">
        <f>IFERROR(IF('3 Electricity'!$G$34='3 Electricity'!$V$34,VLOOKUP('Electricity report'!J60,'3 Electricity'!$F$45:$K$49,6,FALSE),VLOOKUP('Electricity report'!J60,'3 Electricity'!$F$64:$N$68,9,FALSE)),0)</f>
        <v>0</v>
      </c>
      <c r="M60" s="105" t="e">
        <f>IF($D$55=$N$56,"",VLOOKUP(J60,'3 Electricity'!$F$64:$N$68,8,FALSE))</f>
        <v>#N/A</v>
      </c>
      <c r="N60" s="107" t="e">
        <f>$E$47</f>
        <v>#N/A</v>
      </c>
      <c r="O60" s="107">
        <f ca="1">$O$59</f>
        <v>2.9819428113304203</v>
      </c>
    </row>
    <row r="61" spans="3:15" x14ac:dyDescent="0.55000000000000004">
      <c r="C61" s="124"/>
      <c r="H61" s="125"/>
      <c r="J61" s="102">
        <v>3</v>
      </c>
      <c r="K61" s="102">
        <f>IFERROR(IF('3 Electricity'!$G$34='3 Electricity'!$V$34,VLOOKUP('Electricity report'!J61,'3 Electricity'!$F$45:$K$49,3,FALSE),VLOOKUP('Electricity report'!J61,'3 Electricity'!$F$64:$N$68,3,FALSE)),0)</f>
        <v>0</v>
      </c>
      <c r="L61" s="103">
        <f>IFERROR(IF('3 Electricity'!$G$34='3 Electricity'!$V$34,VLOOKUP('Electricity report'!J61,'3 Electricity'!$F$45:$K$49,6,FALSE),VLOOKUP('Electricity report'!J61,'3 Electricity'!$F$64:$N$68,9,FALSE)),0)</f>
        <v>0</v>
      </c>
      <c r="M61" s="105" t="e">
        <f>IF($D$55=$N$56,"",VLOOKUP(J61,'3 Electricity'!$F$64:$N$68,8,FALSE))</f>
        <v>#N/A</v>
      </c>
      <c r="N61" s="107" t="e">
        <f>$E$47</f>
        <v>#N/A</v>
      </c>
      <c r="O61" s="107">
        <f ca="1">$O$59</f>
        <v>2.9819428113304203</v>
      </c>
    </row>
    <row r="62" spans="3:15" x14ac:dyDescent="0.55000000000000004">
      <c r="C62" s="124"/>
      <c r="H62" s="125"/>
      <c r="J62" s="102">
        <v>4</v>
      </c>
      <c r="K62" s="102">
        <f>IFERROR(IF('3 Electricity'!$G$34='3 Electricity'!$V$34,VLOOKUP('Electricity report'!J62,'3 Electricity'!$F$45:$K$49,3,FALSE),VLOOKUP('Electricity report'!J62,'3 Electricity'!$F$64:$N$68,3,FALSE)),0)</f>
        <v>0</v>
      </c>
      <c r="L62" s="103">
        <f>IFERROR(IF('3 Electricity'!$G$34='3 Electricity'!$V$34,VLOOKUP('Electricity report'!J62,'3 Electricity'!$F$45:$K$49,6,FALSE),VLOOKUP('Electricity report'!J62,'3 Electricity'!$F$64:$N$68,9,FALSE)),0)</f>
        <v>0</v>
      </c>
      <c r="M62" s="105" t="e">
        <f>IF($D$55=$N$56,"",VLOOKUP(J62,'3 Electricity'!$F$64:$N$68,8,FALSE))</f>
        <v>#N/A</v>
      </c>
      <c r="N62" s="107" t="e">
        <f>$E$47</f>
        <v>#N/A</v>
      </c>
      <c r="O62" s="107">
        <f ca="1">$O$59</f>
        <v>2.9819428113304203</v>
      </c>
    </row>
    <row r="63" spans="3:15" x14ac:dyDescent="0.55000000000000004">
      <c r="C63" s="124"/>
      <c r="H63" s="125"/>
      <c r="J63" s="102">
        <v>5</v>
      </c>
      <c r="K63" s="102">
        <f>IFERROR(IF('3 Electricity'!$G$34='3 Electricity'!$V$34,VLOOKUP('Electricity report'!J63,'3 Electricity'!$F$45:$K$49,3,FALSE),VLOOKUP('Electricity report'!J63,'3 Electricity'!$F$64:$N$68,3,FALSE)),0)</f>
        <v>0</v>
      </c>
      <c r="L63" s="103">
        <f>IFERROR(IF('3 Electricity'!$G$34='3 Electricity'!$V$34,VLOOKUP('Electricity report'!J63,'3 Electricity'!$F$45:$K$49,6,FALSE),VLOOKUP('Electricity report'!J63,'3 Electricity'!$F$64:$N$68,9,FALSE)),0)</f>
        <v>0</v>
      </c>
      <c r="M63" s="105" t="e">
        <f>IF($D$55=$N$56,"",VLOOKUP(J63,'3 Electricity'!$F$64:$N$68,8,FALSE))</f>
        <v>#N/A</v>
      </c>
      <c r="N63" s="107" t="e">
        <f>$E$47</f>
        <v>#N/A</v>
      </c>
      <c r="O63" s="107">
        <f ca="1">$O$59</f>
        <v>2.9819428113304203</v>
      </c>
    </row>
    <row r="64" spans="3:15" x14ac:dyDescent="0.55000000000000004">
      <c r="C64" s="124"/>
      <c r="H64" s="125"/>
      <c r="J64" s="110"/>
      <c r="K64" s="110"/>
      <c r="L64" s="110"/>
      <c r="M64" s="110"/>
      <c r="N64" s="110"/>
      <c r="O64" s="110"/>
    </row>
    <row r="65" spans="3:15" x14ac:dyDescent="0.55000000000000004">
      <c r="C65" s="124"/>
      <c r="H65" s="125"/>
      <c r="J65" s="110"/>
      <c r="K65" s="110"/>
      <c r="L65" s="110"/>
      <c r="M65" s="110"/>
      <c r="N65" s="110"/>
      <c r="O65" s="110"/>
    </row>
    <row r="66" spans="3:15" x14ac:dyDescent="0.55000000000000004">
      <c r="C66" s="124"/>
      <c r="H66" s="125"/>
      <c r="J66" s="224"/>
      <c r="K66" s="224"/>
      <c r="L66" s="224"/>
      <c r="M66" s="224"/>
      <c r="N66" s="224"/>
      <c r="O66" s="224"/>
    </row>
    <row r="67" spans="3:15" x14ac:dyDescent="0.55000000000000004">
      <c r="C67" s="124"/>
      <c r="H67" s="125"/>
      <c r="J67" s="224"/>
      <c r="K67" s="224"/>
      <c r="L67" s="224"/>
      <c r="M67" s="224"/>
      <c r="N67" s="224"/>
      <c r="O67" s="224"/>
    </row>
    <row r="68" spans="3:15" x14ac:dyDescent="0.55000000000000004">
      <c r="C68" s="124"/>
      <c r="H68" s="125"/>
      <c r="J68" s="224"/>
      <c r="K68" s="224"/>
      <c r="L68" s="224"/>
      <c r="M68" s="224"/>
      <c r="N68" s="224"/>
      <c r="O68" s="224"/>
    </row>
    <row r="69" spans="3:15" x14ac:dyDescent="0.55000000000000004">
      <c r="C69" s="124"/>
      <c r="H69" s="125"/>
      <c r="J69" s="224"/>
      <c r="K69" s="224"/>
      <c r="L69" s="224"/>
      <c r="M69" s="224"/>
      <c r="N69" s="224"/>
      <c r="O69" s="224"/>
    </row>
    <row r="70" spans="3:15" x14ac:dyDescent="0.55000000000000004">
      <c r="C70" s="124"/>
      <c r="H70" s="125"/>
      <c r="J70" s="224"/>
      <c r="K70" s="224"/>
      <c r="L70" s="224"/>
      <c r="M70" s="224"/>
      <c r="N70" s="224"/>
      <c r="O70" s="224"/>
    </row>
    <row r="71" spans="3:15" x14ac:dyDescent="0.55000000000000004">
      <c r="C71" s="124"/>
      <c r="H71" s="125"/>
      <c r="J71" s="224"/>
      <c r="K71" s="224"/>
      <c r="L71" s="224"/>
      <c r="M71" s="224"/>
      <c r="N71" s="224"/>
      <c r="O71" s="224"/>
    </row>
    <row r="72" spans="3:15" x14ac:dyDescent="0.55000000000000004">
      <c r="C72" s="124"/>
      <c r="H72" s="125"/>
      <c r="J72" s="224"/>
      <c r="K72" s="224"/>
      <c r="L72" s="224"/>
      <c r="M72" s="224"/>
      <c r="N72" s="224"/>
      <c r="O72" s="224"/>
    </row>
    <row r="73" spans="3:15" x14ac:dyDescent="0.55000000000000004">
      <c r="C73" s="124"/>
      <c r="H73" s="125"/>
      <c r="J73" s="224"/>
      <c r="K73" s="224"/>
      <c r="L73" s="224"/>
      <c r="M73" s="224"/>
      <c r="N73" s="224"/>
      <c r="O73" s="224"/>
    </row>
    <row r="74" spans="3:15" x14ac:dyDescent="0.55000000000000004">
      <c r="C74" s="124"/>
      <c r="H74" s="125"/>
      <c r="J74" s="224"/>
      <c r="K74" s="224"/>
      <c r="L74" s="224"/>
      <c r="M74" s="224"/>
      <c r="N74" s="224"/>
      <c r="O74" s="224"/>
    </row>
    <row r="75" spans="3:15" x14ac:dyDescent="0.55000000000000004">
      <c r="C75" s="124"/>
      <c r="H75" s="125"/>
      <c r="J75" s="224"/>
      <c r="K75" s="224"/>
      <c r="L75" s="224"/>
      <c r="M75" s="224"/>
      <c r="N75" s="224"/>
      <c r="O75" s="224"/>
    </row>
    <row r="76" spans="3:15" ht="14.7" thickBot="1" x14ac:dyDescent="0.6">
      <c r="C76" s="130"/>
      <c r="D76" s="131"/>
      <c r="E76" s="131"/>
      <c r="F76" s="131"/>
      <c r="G76" s="131"/>
      <c r="H76" s="132"/>
      <c r="J76" s="224"/>
      <c r="K76" s="224"/>
      <c r="L76" s="224"/>
      <c r="M76" s="224"/>
      <c r="N76" s="224"/>
      <c r="O76" s="224"/>
    </row>
    <row r="77" spans="3:15" x14ac:dyDescent="0.55000000000000004">
      <c r="J77" s="224"/>
      <c r="K77" s="224"/>
      <c r="L77" s="224"/>
      <c r="M77" s="224"/>
      <c r="N77" s="224"/>
      <c r="O77" s="224"/>
    </row>
    <row r="78" spans="3:15" ht="14.7" thickBot="1" x14ac:dyDescent="0.6">
      <c r="J78" s="224"/>
      <c r="K78" s="224"/>
      <c r="L78" s="224"/>
      <c r="M78" s="224"/>
      <c r="N78" s="224"/>
      <c r="O78" s="224"/>
    </row>
    <row r="79" spans="3:15" x14ac:dyDescent="0.55000000000000004">
      <c r="C79" s="121"/>
      <c r="D79" s="122"/>
      <c r="E79" s="122"/>
      <c r="F79" s="122"/>
      <c r="G79" s="122"/>
      <c r="H79" s="123"/>
      <c r="J79" s="224"/>
      <c r="K79" s="224"/>
      <c r="L79" s="224"/>
      <c r="M79" s="224"/>
      <c r="N79" s="224"/>
      <c r="O79" s="224"/>
    </row>
    <row r="80" spans="3:15" ht="15.6" x14ac:dyDescent="0.6">
      <c r="C80" s="124"/>
      <c r="D80" s="98" t="str">
        <f>'2 Customer data'!D94</f>
        <v>Bulk Customers MV: TOU</v>
      </c>
      <c r="H80" s="125"/>
      <c r="J80" s="224"/>
      <c r="K80" s="224"/>
      <c r="L80" s="224"/>
      <c r="M80" s="224"/>
      <c r="N80" s="224"/>
      <c r="O80" s="224"/>
    </row>
    <row r="81" spans="3:15" x14ac:dyDescent="0.55000000000000004">
      <c r="C81" s="124"/>
      <c r="H81" s="125"/>
      <c r="J81" s="224"/>
      <c r="K81" s="224"/>
      <c r="L81" s="224"/>
      <c r="M81" s="224"/>
      <c r="N81" s="224"/>
      <c r="O81" s="224"/>
    </row>
    <row r="82" spans="3:15" x14ac:dyDescent="0.55000000000000004">
      <c r="C82" s="124"/>
      <c r="E82" s="220" t="s">
        <v>250</v>
      </c>
      <c r="H82" s="125"/>
      <c r="J82" s="224"/>
      <c r="K82" s="224"/>
      <c r="L82" s="224"/>
      <c r="M82" s="224"/>
      <c r="N82" s="224"/>
      <c r="O82" s="224"/>
    </row>
    <row r="83" spans="3:15" x14ac:dyDescent="0.55000000000000004">
      <c r="C83" s="124"/>
      <c r="D83" t="s">
        <v>393</v>
      </c>
      <c r="E83" s="26">
        <f ca="1">VLOOKUP(D80,'2 Electricity'!$D$21:$L$40,6,FALSE)</f>
        <v>33440.230838899581</v>
      </c>
      <c r="H83" s="125"/>
      <c r="J83" s="224"/>
      <c r="K83" s="224"/>
      <c r="L83" s="224"/>
      <c r="M83" s="224"/>
      <c r="N83" s="224"/>
      <c r="O83" s="224"/>
    </row>
    <row r="84" spans="3:15" x14ac:dyDescent="0.55000000000000004">
      <c r="C84" s="124"/>
      <c r="D84" t="s">
        <v>249</v>
      </c>
      <c r="E84" s="99">
        <f ca="1">VLOOKUP(D80,'2 Electricity'!$D$21:$L$40,7,FALSE)</f>
        <v>10662768.483956277</v>
      </c>
      <c r="H84" s="125"/>
      <c r="J84" s="224"/>
      <c r="K84" s="224"/>
      <c r="L84" s="224"/>
      <c r="M84" s="224"/>
      <c r="N84" s="224"/>
      <c r="O84" s="224"/>
    </row>
    <row r="85" spans="3:15" x14ac:dyDescent="0.55000000000000004">
      <c r="C85" s="124"/>
      <c r="D85" t="s">
        <v>52</v>
      </c>
      <c r="E85" s="26">
        <f ca="1">VLOOKUP(D80,'2 Electricity'!$D$21:$L$40,8,FALSE)</f>
        <v>0</v>
      </c>
      <c r="H85" s="125"/>
      <c r="J85" s="224"/>
      <c r="K85" s="224"/>
      <c r="L85" s="224"/>
      <c r="M85" s="224"/>
      <c r="N85" s="224"/>
      <c r="O85" s="224"/>
    </row>
    <row r="86" spans="3:15" ht="14.7" thickBot="1" x14ac:dyDescent="0.6">
      <c r="C86" s="124"/>
      <c r="D86" s="1" t="s">
        <v>39</v>
      </c>
      <c r="E86" s="37">
        <f ca="1">VLOOKUP(D80,'2 Electricity'!D$21:L$40,9,FALSE)</f>
        <v>10696208.714795178</v>
      </c>
      <c r="H86" s="125"/>
      <c r="J86" s="224"/>
      <c r="K86" s="224"/>
      <c r="L86" s="224"/>
      <c r="M86" s="224"/>
      <c r="N86" s="224"/>
      <c r="O86" s="224"/>
    </row>
    <row r="87" spans="3:15" ht="14.7" thickTop="1" x14ac:dyDescent="0.55000000000000004">
      <c r="C87" s="124"/>
      <c r="H87" s="125"/>
      <c r="J87" s="224"/>
      <c r="K87" s="224"/>
      <c r="L87" s="224"/>
      <c r="M87" s="224"/>
      <c r="N87" s="224"/>
      <c r="O87" s="224"/>
    </row>
    <row r="88" spans="3:15" x14ac:dyDescent="0.55000000000000004">
      <c r="C88" s="124"/>
      <c r="D88" t="s">
        <v>189</v>
      </c>
      <c r="E88" s="26">
        <f>IFERROR(IF(VLOOKUP(D80,'2 Electricity'!$D$126:$K$145,7,FALSE)="",VLOOKUP('2 Electricity'!$D$126:$K$145,6,FALSE),VLOOKUP(D80,'2 Electricity'!$D$126:$K$145,7,FALSE))+VLOOKUP(D80,'2 Electricity'!$D$157:$J$176,5,FALSE),0)</f>
        <v>0</v>
      </c>
      <c r="H88" s="125"/>
      <c r="J88" s="224"/>
      <c r="K88" s="224"/>
      <c r="L88" s="224"/>
      <c r="M88" s="224"/>
      <c r="N88" s="224"/>
      <c r="O88" s="224"/>
    </row>
    <row r="89" spans="3:15" x14ac:dyDescent="0.55000000000000004">
      <c r="C89" s="124"/>
      <c r="H89" s="125"/>
      <c r="J89" s="224"/>
      <c r="K89" s="224"/>
      <c r="L89" s="224"/>
      <c r="M89" s="224"/>
      <c r="N89" s="224"/>
      <c r="O89" s="224"/>
    </row>
    <row r="90" spans="3:15" x14ac:dyDescent="0.55000000000000004">
      <c r="C90" s="124"/>
      <c r="D90" t="s">
        <v>371</v>
      </c>
      <c r="E90" s="64">
        <f ca="1">IF(VLOOKUP(D80,'2 Electricity'!$D$56:$M$75,5,FALSE)="",VLOOKUP(D80,'2 Electricity'!$D$56:$M$75,4,FALSE),VLOOKUP(D80,'2 Electricity'!$D$56:$M$75,5,FALSE))</f>
        <v>0</v>
      </c>
      <c r="H90" s="125"/>
      <c r="J90" s="224"/>
      <c r="K90" s="224"/>
      <c r="L90" s="224"/>
      <c r="M90" s="224"/>
      <c r="N90" s="224"/>
      <c r="O90" s="224"/>
    </row>
    <row r="91" spans="3:15" x14ac:dyDescent="0.55000000000000004">
      <c r="C91" s="124"/>
      <c r="D91" t="s">
        <v>372</v>
      </c>
      <c r="E91" s="26">
        <f ca="1">IF(VLOOKUP(D80,'2 Electricity'!$D$56:$M$75,7,FALSE)="",VLOOKUP(D80,'2 Electricity'!$D$56:$M$75,6,FALSE),VLOOKUP(D80,'2 Electricity'!$D$56:$M$75,7,FALSE))</f>
        <v>1002204.5445972213</v>
      </c>
      <c r="H91" s="125"/>
      <c r="J91" s="224"/>
      <c r="K91" s="224"/>
      <c r="L91" s="224"/>
      <c r="M91" s="224"/>
      <c r="N91" s="224"/>
      <c r="O91" s="224"/>
    </row>
    <row r="92" spans="3:15" x14ac:dyDescent="0.55000000000000004">
      <c r="C92" s="124"/>
      <c r="D92" t="s">
        <v>373</v>
      </c>
      <c r="E92" s="26">
        <f ca="1">IF(VLOOKUP(D80,'2 Electricity'!$D$56:$M$75,9,FALSE)="",VLOOKUP(D80,'2 Electricity'!$D$56:$M$75,8,FALSE),VLOOKUP(D80,'2 Electricity'!$D$56:$M$75,9,FALSE))</f>
        <v>0</v>
      </c>
      <c r="H92" s="125"/>
      <c r="J92" s="224"/>
      <c r="K92" s="224"/>
      <c r="L92" s="224"/>
      <c r="M92" s="224"/>
      <c r="N92" s="224"/>
      <c r="O92" s="224"/>
    </row>
    <row r="93" spans="3:15" x14ac:dyDescent="0.55000000000000004">
      <c r="C93" s="124"/>
      <c r="D93" t="s">
        <v>374</v>
      </c>
      <c r="E93" s="26">
        <f ca="1">IF(VLOOKUP(D80,'2 Electricity'!$D$92:$I$111,5,FALSE)="",VLOOKUP(D80,'2 Electricity'!$D$92:$I$111,4,FALSE),VLOOKUP(D80,'2 Electricity'!$D$92:$I$111,5,FALSE))</f>
        <v>0</v>
      </c>
      <c r="H93" s="125"/>
      <c r="J93" s="224"/>
      <c r="K93" s="224"/>
      <c r="L93" s="224"/>
      <c r="M93" s="224"/>
      <c r="N93" s="224"/>
      <c r="O93" s="224"/>
    </row>
    <row r="94" spans="3:15" ht="14.7" thickBot="1" x14ac:dyDescent="0.6">
      <c r="C94" s="124"/>
      <c r="D94" s="1" t="s">
        <v>145</v>
      </c>
      <c r="E94" s="37">
        <f ca="1">SUM(E90:E93)</f>
        <v>1002204.5445972213</v>
      </c>
      <c r="H94" s="125"/>
      <c r="J94" s="224"/>
      <c r="K94" s="224"/>
      <c r="L94" s="224"/>
      <c r="M94" s="224"/>
      <c r="N94" s="224"/>
      <c r="O94" s="224"/>
    </row>
    <row r="95" spans="3:15" ht="14.7" thickTop="1" x14ac:dyDescent="0.55000000000000004">
      <c r="C95" s="124"/>
      <c r="D95" s="1"/>
      <c r="E95" s="15"/>
      <c r="H95" s="125"/>
      <c r="J95" s="224"/>
      <c r="K95" s="224"/>
      <c r="L95" s="224"/>
      <c r="M95" s="224"/>
      <c r="N95" s="224"/>
      <c r="O95" s="224"/>
    </row>
    <row r="96" spans="3:15" x14ac:dyDescent="0.55000000000000004">
      <c r="C96" s="124"/>
      <c r="D96" t="s">
        <v>384</v>
      </c>
      <c r="E96" s="26">
        <f ca="1">IF(VLOOKUP(D80,'2 Electricity'!$D$126:$K$145,5,FALSE)="",VLOOKUP(D80,'2 Electricity'!$D$126:$K$145,4,FALSE),VLOOKUP(D80,'2 Electricity'!$D$126:$K$145,5,FALSE))+VLOOKUP(D80,'2 Electricity'!$D$157:$J$176,7,FALSE)</f>
        <v>0</v>
      </c>
      <c r="H96" s="125"/>
      <c r="J96" s="224"/>
      <c r="K96" s="224"/>
      <c r="L96" s="224"/>
      <c r="M96" s="224"/>
      <c r="N96" s="224"/>
      <c r="O96" s="224"/>
    </row>
    <row r="97" spans="3:15" x14ac:dyDescent="0.55000000000000004">
      <c r="C97" s="124"/>
      <c r="H97" s="125"/>
      <c r="J97" s="224"/>
      <c r="K97" s="224"/>
      <c r="L97" s="224"/>
      <c r="M97" s="224"/>
      <c r="N97" s="224"/>
      <c r="O97" s="224"/>
    </row>
    <row r="98" spans="3:15" ht="14.7" thickBot="1" x14ac:dyDescent="0.6">
      <c r="C98" s="124"/>
      <c r="D98" s="1" t="s">
        <v>375</v>
      </c>
      <c r="E98" s="37">
        <f ca="1">VLOOKUP(D80,'2 Electricity'!$D$157:$K$176,8,FALSE)</f>
        <v>9694004.1701979563</v>
      </c>
      <c r="H98" s="125"/>
      <c r="J98" s="224"/>
      <c r="K98" s="224"/>
      <c r="L98" s="224"/>
      <c r="M98" s="224"/>
      <c r="N98" s="224"/>
      <c r="O98" s="224"/>
    </row>
    <row r="99" spans="3:15" ht="14.7" thickTop="1" x14ac:dyDescent="0.55000000000000004">
      <c r="C99" s="124"/>
      <c r="H99" s="125"/>
      <c r="J99" s="224"/>
      <c r="K99" s="224"/>
      <c r="L99" s="224"/>
      <c r="M99" s="224"/>
      <c r="N99" s="224"/>
      <c r="O99" s="224"/>
    </row>
    <row r="100" spans="3:15" x14ac:dyDescent="0.55000000000000004">
      <c r="C100" s="124"/>
      <c r="H100" s="125"/>
      <c r="J100" s="224"/>
      <c r="K100" s="224"/>
      <c r="L100" s="224"/>
      <c r="M100" s="224"/>
      <c r="N100" s="224"/>
      <c r="O100" s="224"/>
    </row>
    <row r="101" spans="3:15" x14ac:dyDescent="0.55000000000000004">
      <c r="C101" s="124"/>
      <c r="H101" s="125"/>
      <c r="J101" s="224"/>
      <c r="K101" s="224"/>
      <c r="L101" s="224"/>
      <c r="M101" s="224"/>
      <c r="N101" s="224"/>
      <c r="O101" s="224"/>
    </row>
    <row r="102" spans="3:15" x14ac:dyDescent="0.55000000000000004">
      <c r="C102" s="124"/>
      <c r="H102" s="125"/>
      <c r="J102" s="224"/>
      <c r="K102" s="224"/>
      <c r="L102" s="224"/>
      <c r="M102" s="224"/>
      <c r="N102" s="224"/>
      <c r="O102" s="224"/>
    </row>
    <row r="103" spans="3:15" x14ac:dyDescent="0.55000000000000004">
      <c r="C103" s="124"/>
      <c r="H103" s="125"/>
      <c r="J103" s="224"/>
      <c r="K103" s="224"/>
      <c r="L103" s="224"/>
      <c r="M103" s="224"/>
      <c r="N103" s="224"/>
      <c r="O103" s="224"/>
    </row>
    <row r="104" spans="3:15" x14ac:dyDescent="0.55000000000000004">
      <c r="C104" s="124"/>
      <c r="H104" s="125"/>
      <c r="J104" s="232" t="s">
        <v>385</v>
      </c>
      <c r="K104" s="224"/>
      <c r="L104" s="224"/>
      <c r="M104" s="224"/>
      <c r="N104" s="224"/>
      <c r="O104" s="224"/>
    </row>
    <row r="105" spans="3:15" x14ac:dyDescent="0.55000000000000004">
      <c r="C105" s="124"/>
      <c r="H105" s="125"/>
      <c r="J105" s="110"/>
      <c r="K105" s="102" t="s">
        <v>390</v>
      </c>
      <c r="L105" s="102" t="s">
        <v>391</v>
      </c>
      <c r="M105" s="110"/>
      <c r="N105" s="224"/>
      <c r="O105" s="224"/>
    </row>
    <row r="106" spans="3:15" x14ac:dyDescent="0.55000000000000004">
      <c r="C106" s="124"/>
      <c r="H106" s="125"/>
      <c r="J106" s="110" t="s">
        <v>393</v>
      </c>
      <c r="K106" s="100">
        <f ca="1">E83/1000</f>
        <v>33.440230838899581</v>
      </c>
      <c r="L106" s="102"/>
      <c r="M106" s="110"/>
      <c r="N106" s="224"/>
      <c r="O106" s="224"/>
    </row>
    <row r="107" spans="3:15" x14ac:dyDescent="0.55000000000000004">
      <c r="C107" s="124"/>
      <c r="H107" s="125"/>
      <c r="J107" s="110" t="s">
        <v>249</v>
      </c>
      <c r="K107" s="100">
        <f ca="1">E84/1000</f>
        <v>10662.768483956277</v>
      </c>
      <c r="L107" s="110"/>
      <c r="M107" s="110"/>
      <c r="N107" s="224"/>
      <c r="O107" s="224"/>
    </row>
    <row r="108" spans="3:15" x14ac:dyDescent="0.55000000000000004">
      <c r="C108" s="124"/>
      <c r="H108" s="125"/>
      <c r="J108" s="110" t="s">
        <v>52</v>
      </c>
      <c r="K108" s="100">
        <f ca="1">E85/1000</f>
        <v>0</v>
      </c>
      <c r="L108" s="110"/>
      <c r="M108" s="110"/>
      <c r="N108" s="224"/>
      <c r="O108" s="224"/>
    </row>
    <row r="109" spans="3:15" x14ac:dyDescent="0.55000000000000004">
      <c r="C109" s="124"/>
      <c r="H109" s="125"/>
      <c r="J109" s="110" t="s">
        <v>471</v>
      </c>
      <c r="K109" s="100">
        <f>E88/1000</f>
        <v>0</v>
      </c>
      <c r="L109" s="110"/>
      <c r="M109" s="110"/>
      <c r="N109" s="224"/>
      <c r="O109" s="224"/>
    </row>
    <row r="110" spans="3:15" x14ac:dyDescent="0.55000000000000004">
      <c r="C110" s="124"/>
      <c r="H110" s="125"/>
      <c r="J110" s="110" t="s">
        <v>563</v>
      </c>
      <c r="K110" s="100"/>
      <c r="L110" s="101">
        <f ca="1">E98/1000</f>
        <v>9694.0041701979571</v>
      </c>
      <c r="M110" s="110"/>
      <c r="N110" s="224"/>
      <c r="O110" s="224"/>
    </row>
    <row r="111" spans="3:15" x14ac:dyDescent="0.55000000000000004">
      <c r="C111" s="124"/>
      <c r="H111" s="125"/>
      <c r="J111" s="110" t="s">
        <v>564</v>
      </c>
      <c r="K111" s="100"/>
      <c r="L111" s="101">
        <f ca="1">E93/1000</f>
        <v>0</v>
      </c>
      <c r="M111" s="110"/>
      <c r="N111" s="224"/>
      <c r="O111" s="224"/>
    </row>
    <row r="112" spans="3:15" x14ac:dyDescent="0.55000000000000004">
      <c r="C112" s="124"/>
      <c r="H112" s="125"/>
      <c r="J112" s="110" t="s">
        <v>565</v>
      </c>
      <c r="K112" s="100"/>
      <c r="L112" s="101">
        <f ca="1">SUM(E90:E92)/1000</f>
        <v>1002.2045445972213</v>
      </c>
      <c r="M112" s="110"/>
      <c r="N112" s="224"/>
      <c r="O112" s="224"/>
    </row>
    <row r="113" spans="3:15" x14ac:dyDescent="0.55000000000000004">
      <c r="C113" s="124"/>
      <c r="H113" s="125"/>
      <c r="J113" s="110" t="s">
        <v>566</v>
      </c>
      <c r="K113" s="100"/>
      <c r="L113" s="101">
        <f ca="1">E96/1000</f>
        <v>0</v>
      </c>
      <c r="M113" s="110"/>
      <c r="N113" s="224"/>
      <c r="O113" s="224"/>
    </row>
    <row r="114" spans="3:15" x14ac:dyDescent="0.55000000000000004">
      <c r="C114" s="124"/>
      <c r="H114" s="125"/>
      <c r="J114" s="110"/>
      <c r="K114" s="110"/>
      <c r="L114" s="110"/>
      <c r="M114" s="110"/>
      <c r="N114" s="224"/>
      <c r="O114" s="224"/>
    </row>
    <row r="115" spans="3:15" x14ac:dyDescent="0.55000000000000004">
      <c r="C115" s="124"/>
      <c r="H115" s="125"/>
      <c r="J115" s="224"/>
      <c r="K115" s="224"/>
      <c r="L115" s="224"/>
      <c r="M115" s="224"/>
      <c r="N115" s="224"/>
      <c r="O115" s="224"/>
    </row>
    <row r="116" spans="3:15" x14ac:dyDescent="0.55000000000000004">
      <c r="C116" s="124"/>
      <c r="H116" s="125"/>
      <c r="J116" s="224"/>
      <c r="K116" s="224"/>
      <c r="L116" s="224"/>
      <c r="M116" s="224"/>
      <c r="N116" s="224"/>
      <c r="O116" s="224"/>
    </row>
    <row r="117" spans="3:15" x14ac:dyDescent="0.55000000000000004">
      <c r="C117" s="124"/>
      <c r="H117" s="125"/>
      <c r="J117" s="224"/>
      <c r="K117" s="224"/>
      <c r="L117" s="224"/>
      <c r="M117" s="224"/>
      <c r="N117" s="224"/>
      <c r="O117" s="224"/>
    </row>
    <row r="118" spans="3:15" x14ac:dyDescent="0.55000000000000004">
      <c r="C118" s="124"/>
      <c r="E118" s="220" t="s">
        <v>250</v>
      </c>
      <c r="H118" s="125"/>
      <c r="J118" s="224"/>
      <c r="K118" s="224"/>
      <c r="L118" s="224"/>
      <c r="M118" s="224"/>
      <c r="N118" s="224"/>
      <c r="O118" s="224"/>
    </row>
    <row r="119" spans="3:15" x14ac:dyDescent="0.55000000000000004">
      <c r="C119" s="124"/>
      <c r="D119" t="s">
        <v>394</v>
      </c>
      <c r="E119" s="64">
        <f ca="1">VLOOKUP(D80,'2 Electricity'!$D$157:$M$176,10,FALSE)</f>
        <v>2.9912946842618569</v>
      </c>
      <c r="H119" s="125"/>
      <c r="J119" s="224"/>
      <c r="K119" s="224"/>
      <c r="L119" s="224"/>
      <c r="M119" s="224"/>
      <c r="N119" s="224"/>
      <c r="O119" s="224"/>
    </row>
    <row r="120" spans="3:15" x14ac:dyDescent="0.55000000000000004">
      <c r="C120" s="124"/>
      <c r="D120" t="s">
        <v>395</v>
      </c>
      <c r="E120" s="64">
        <f ca="1">VLOOKUP(D80,'2 Electricity'!$D$157:$M$176,9,FALSE)</f>
        <v>2.7110188214086932</v>
      </c>
      <c r="H120" s="125"/>
      <c r="J120" s="224"/>
      <c r="K120" s="224"/>
      <c r="L120" s="224"/>
      <c r="M120" s="224"/>
      <c r="N120" s="224"/>
      <c r="O120" s="224"/>
    </row>
    <row r="121" spans="3:15" x14ac:dyDescent="0.55000000000000004">
      <c r="C121" s="124"/>
      <c r="D121" t="s">
        <v>378</v>
      </c>
      <c r="E121" s="97">
        <f ca="1">IFERROR(IF(E88=0,E96,E88)/E86,0)</f>
        <v>0</v>
      </c>
      <c r="H121" s="125"/>
      <c r="J121" s="224"/>
      <c r="K121" s="224"/>
      <c r="L121" s="224"/>
      <c r="M121" s="224"/>
      <c r="N121" s="224"/>
      <c r="O121" s="224"/>
    </row>
    <row r="122" spans="3:15" x14ac:dyDescent="0.55000000000000004">
      <c r="C122" s="124"/>
      <c r="H122" s="125"/>
      <c r="J122" s="224"/>
      <c r="K122" s="224"/>
      <c r="L122" s="224"/>
      <c r="M122" s="224"/>
      <c r="N122" s="224"/>
      <c r="O122" s="224"/>
    </row>
    <row r="123" spans="3:15" x14ac:dyDescent="0.55000000000000004">
      <c r="C123" s="124"/>
      <c r="D123" t="s">
        <v>379</v>
      </c>
      <c r="E123" s="26">
        <f>'3 Electricity'!I88</f>
        <v>0</v>
      </c>
      <c r="H123" s="125"/>
      <c r="J123" s="224"/>
      <c r="K123" s="224"/>
      <c r="L123" s="224"/>
      <c r="M123" s="224"/>
      <c r="N123" s="224"/>
      <c r="O123" s="224"/>
    </row>
    <row r="124" spans="3:15" x14ac:dyDescent="0.55000000000000004">
      <c r="C124" s="124"/>
      <c r="D124" t="s">
        <v>380</v>
      </c>
      <c r="E124" s="97">
        <f ca="1">IFERROR('3 Electricity'!J88/'3 Electricity'!G88,0)</f>
        <v>0</v>
      </c>
      <c r="H124" s="125"/>
      <c r="J124" s="224"/>
      <c r="K124" s="224"/>
      <c r="L124" s="224"/>
      <c r="M124" s="224"/>
      <c r="N124" s="224"/>
      <c r="O124" s="224"/>
    </row>
    <row r="125" spans="3:15" x14ac:dyDescent="0.55000000000000004">
      <c r="C125" s="124"/>
      <c r="D125" s="226"/>
      <c r="E125" s="227"/>
      <c r="F125" s="227"/>
      <c r="H125" s="125"/>
      <c r="J125" s="224"/>
      <c r="K125" s="224"/>
      <c r="L125" s="224"/>
      <c r="M125" s="224"/>
      <c r="N125" s="224"/>
      <c r="O125" s="224"/>
    </row>
    <row r="126" spans="3:15" x14ac:dyDescent="0.55000000000000004">
      <c r="C126" s="124"/>
      <c r="D126" s="1" t="s">
        <v>381</v>
      </c>
      <c r="H126" s="125"/>
      <c r="J126" s="224"/>
      <c r="K126" s="224"/>
      <c r="L126" s="224"/>
      <c r="M126" s="224"/>
      <c r="N126" s="224"/>
      <c r="O126" s="224"/>
    </row>
    <row r="127" spans="3:15" x14ac:dyDescent="0.55000000000000004">
      <c r="C127" s="124"/>
      <c r="D127" s="1" t="str">
        <f>'3 Electricity'!G96</f>
        <v xml:space="preserve">Seasonal </v>
      </c>
      <c r="H127" s="125"/>
      <c r="J127" s="224"/>
      <c r="K127" s="224"/>
      <c r="L127" s="224"/>
      <c r="M127" s="224"/>
      <c r="N127" s="224"/>
      <c r="O127" s="224"/>
    </row>
    <row r="128" spans="3:15" x14ac:dyDescent="0.55000000000000004">
      <c r="C128" s="124"/>
      <c r="H128" s="125"/>
      <c r="J128" s="224"/>
      <c r="K128" s="224"/>
      <c r="L128" s="224"/>
      <c r="M128" s="224"/>
      <c r="N128" s="224"/>
      <c r="O128" s="224"/>
    </row>
    <row r="129" spans="3:15" x14ac:dyDescent="0.55000000000000004">
      <c r="C129" s="124"/>
      <c r="H129" s="125"/>
      <c r="J129" s="224"/>
      <c r="K129" s="224"/>
      <c r="L129" s="224"/>
      <c r="M129" s="224"/>
      <c r="N129" s="224" t="s">
        <v>89</v>
      </c>
      <c r="O129" s="224"/>
    </row>
    <row r="130" spans="3:15" x14ac:dyDescent="0.55000000000000004">
      <c r="C130" s="124"/>
      <c r="H130" s="125"/>
      <c r="J130" s="224"/>
      <c r="K130" s="224"/>
      <c r="L130" s="224"/>
      <c r="M130" s="224"/>
      <c r="N130" s="224"/>
      <c r="O130" s="224"/>
    </row>
    <row r="131" spans="3:15" ht="43.2" x14ac:dyDescent="0.55000000000000004">
      <c r="C131" s="124"/>
      <c r="H131" s="125"/>
      <c r="J131" s="229" t="s">
        <v>383</v>
      </c>
      <c r="K131" s="229" t="s">
        <v>382</v>
      </c>
      <c r="L131" s="108" t="str">
        <f>IF(D127=N129,"Annual Tariff","Low Season Tariff")</f>
        <v>Low Season Tariff</v>
      </c>
      <c r="M131" s="109" t="str">
        <f>IF(D127=N129,"","High Season Tariff")</f>
        <v>High Season Tariff</v>
      </c>
      <c r="N131" s="108" t="s">
        <v>392</v>
      </c>
      <c r="O131" s="229" t="s">
        <v>580</v>
      </c>
    </row>
    <row r="132" spans="3:15" x14ac:dyDescent="0.55000000000000004">
      <c r="C132" s="124"/>
      <c r="H132" s="125"/>
      <c r="J132" s="102">
        <v>1</v>
      </c>
      <c r="K132" s="102">
        <f>IFERROR(IF('3 Electricity'!$G$96='3 Electricity'!$V$96,VLOOKUP('Electricity report'!J132,'3 Electricity'!$F$107:$K$111,3,FALSE),VLOOKUP('Electricity report'!J132,'3 Electricity'!$F$126:$N$130,3,FALSE)),0)</f>
        <v>0</v>
      </c>
      <c r="L132" s="103">
        <f ca="1">IFERROR(IF('3 Electricity'!$G$96='3 Electricity'!$V$96,VLOOKUP('Electricity report'!J132,'3 Electricity'!$F$107:$K$111,6,FALSE),VLOOKUP('Electricity report'!J132,'3 Electricity'!$F$126:$N$130,9,FALSE)),0)</f>
        <v>2.5212233858303432</v>
      </c>
      <c r="M132" s="105">
        <f ca="1">IF($D$127=$N$129,"",VLOOKUP(J132,'3 Electricity'!$F$126:$N$130,8,FALSE))</f>
        <v>3.1918000814117646</v>
      </c>
      <c r="N132" s="107">
        <f ca="1">$E$119</f>
        <v>2.9912946842618569</v>
      </c>
      <c r="O132" s="105">
        <f ca="1">IFERROR('3 Electricity'!J80/'3 Electricity'!H80,0)</f>
        <v>2.9819428113304198</v>
      </c>
    </row>
    <row r="133" spans="3:15" x14ac:dyDescent="0.55000000000000004">
      <c r="C133" s="124"/>
      <c r="H133" s="125"/>
      <c r="J133" s="102">
        <v>2</v>
      </c>
      <c r="K133" s="102">
        <f>IFERROR(IF('3 Electricity'!$G$96='3 Electricity'!$V$96,VLOOKUP('Electricity report'!J133,'3 Electricity'!$F$107:$K$111,3,FALSE),VLOOKUP('Electricity report'!J133,'3 Electricity'!$F$126:$N$130,3,FALSE)),0)</f>
        <v>0</v>
      </c>
      <c r="L133" s="103">
        <f>IFERROR(IF('3 Electricity'!$G$96='3 Electricity'!$V$96,VLOOKUP('Electricity report'!J133,'3 Electricity'!$F$107:$K$111,6,FALSE),VLOOKUP('Electricity report'!J133,'3 Electricity'!$F$126:$N$130,9,FALSE)),0)</f>
        <v>0</v>
      </c>
      <c r="M133" s="105" t="e">
        <f>IF($D$127=$N$129,"",VLOOKUP(J133,'3 Electricity'!$F$126:$N$130,8,FALSE))</f>
        <v>#N/A</v>
      </c>
      <c r="N133" s="107">
        <f ca="1">$E$119</f>
        <v>2.9912946842618569</v>
      </c>
      <c r="O133" s="107">
        <f ca="1">$O$132</f>
        <v>2.9819428113304198</v>
      </c>
    </row>
    <row r="134" spans="3:15" x14ac:dyDescent="0.55000000000000004">
      <c r="C134" s="124"/>
      <c r="H134" s="125"/>
      <c r="J134" s="102">
        <v>3</v>
      </c>
      <c r="K134" s="102">
        <f>IFERROR(IF('3 Electricity'!$G$96='3 Electricity'!$V$96,VLOOKUP('Electricity report'!J134,'3 Electricity'!$F$107:$K$111,3,FALSE),VLOOKUP('Electricity report'!J134,'3 Electricity'!$F$126:$N$130,3,FALSE)),0)</f>
        <v>0</v>
      </c>
      <c r="L134" s="103">
        <f>IFERROR(IF('3 Electricity'!$G$96='3 Electricity'!$V$96,VLOOKUP('Electricity report'!J134,'3 Electricity'!$F$107:$K$111,6,FALSE),VLOOKUP('Electricity report'!J134,'3 Electricity'!$F$126:$N$130,9,FALSE)),0)</f>
        <v>0</v>
      </c>
      <c r="M134" s="105" t="e">
        <f>IF($D$127=$N$129,"",VLOOKUP(J134,'3 Electricity'!$F$126:$N$130,8,FALSE))</f>
        <v>#N/A</v>
      </c>
      <c r="N134" s="107">
        <f ca="1">$E$119</f>
        <v>2.9912946842618569</v>
      </c>
      <c r="O134" s="107">
        <f ca="1">$O$132</f>
        <v>2.9819428113304198</v>
      </c>
    </row>
    <row r="135" spans="3:15" x14ac:dyDescent="0.55000000000000004">
      <c r="C135" s="124"/>
      <c r="H135" s="125"/>
      <c r="J135" s="102">
        <v>4</v>
      </c>
      <c r="K135" s="102">
        <f>IFERROR(IF('3 Electricity'!$G$96='3 Electricity'!$V$96,VLOOKUP('Electricity report'!J135,'3 Electricity'!$F$107:$K$111,3,FALSE),VLOOKUP('Electricity report'!J135,'3 Electricity'!$F$126:$N$130,3,FALSE)),0)</f>
        <v>0</v>
      </c>
      <c r="L135" s="103">
        <f>IFERROR(IF('3 Electricity'!$G$96='3 Electricity'!$V$96,VLOOKUP('Electricity report'!J135,'3 Electricity'!$F$107:$K$111,6,FALSE),VLOOKUP('Electricity report'!J135,'3 Electricity'!$F$126:$N$130,9,FALSE)),0)</f>
        <v>0</v>
      </c>
      <c r="M135" s="105" t="e">
        <f>IF($D$127=$N$129,"",VLOOKUP(J135,'3 Electricity'!$F$126:$N$130,8,FALSE))</f>
        <v>#N/A</v>
      </c>
      <c r="N135" s="107">
        <f ca="1">$E$119</f>
        <v>2.9912946842618569</v>
      </c>
      <c r="O135" s="107">
        <f ca="1">$O$132</f>
        <v>2.9819428113304198</v>
      </c>
    </row>
    <row r="136" spans="3:15" x14ac:dyDescent="0.55000000000000004">
      <c r="C136" s="124"/>
      <c r="H136" s="125"/>
      <c r="J136" s="102">
        <v>5</v>
      </c>
      <c r="K136" s="102">
        <f>IFERROR(IF('3 Electricity'!$G$96='3 Electricity'!$V$96,VLOOKUP('Electricity report'!J136,'3 Electricity'!$F$107:$K$111,3,FALSE),VLOOKUP('Electricity report'!J136,'3 Electricity'!$F$126:$N$130,3,FALSE)),0)</f>
        <v>0</v>
      </c>
      <c r="L136" s="103">
        <f>IFERROR(IF('3 Electricity'!$G$96='3 Electricity'!$V$96,VLOOKUP('Electricity report'!J136,'3 Electricity'!$F$107:$K$111,6,FALSE),VLOOKUP('Electricity report'!J136,'3 Electricity'!$F$126:$N$130,9,FALSE)),0)</f>
        <v>0</v>
      </c>
      <c r="M136" s="105" t="e">
        <f>IF($D$127=$N$129,"",VLOOKUP(J136,'3 Electricity'!$F$126:$N$130,8,FALSE))</f>
        <v>#N/A</v>
      </c>
      <c r="N136" s="107">
        <f ca="1">$E$119</f>
        <v>2.9912946842618569</v>
      </c>
      <c r="O136" s="107">
        <f ca="1">$O$132</f>
        <v>2.9819428113304198</v>
      </c>
    </row>
    <row r="137" spans="3:15" x14ac:dyDescent="0.55000000000000004">
      <c r="C137" s="124"/>
      <c r="H137" s="125"/>
      <c r="J137" s="110"/>
      <c r="K137" s="110"/>
      <c r="L137" s="110"/>
      <c r="M137" s="110"/>
      <c r="N137" s="110"/>
      <c r="O137" s="110"/>
    </row>
    <row r="138" spans="3:15" x14ac:dyDescent="0.55000000000000004">
      <c r="C138" s="124"/>
      <c r="H138" s="125"/>
      <c r="J138" s="110"/>
      <c r="K138" s="110"/>
      <c r="L138" s="110"/>
      <c r="M138" s="110"/>
      <c r="N138" s="110"/>
      <c r="O138" s="110"/>
    </row>
    <row r="139" spans="3:15" x14ac:dyDescent="0.55000000000000004">
      <c r="C139" s="124"/>
      <c r="H139" s="125"/>
      <c r="J139" s="224"/>
      <c r="K139" s="224"/>
      <c r="L139" s="224"/>
      <c r="M139" s="224"/>
      <c r="N139" s="224"/>
      <c r="O139" s="224"/>
    </row>
    <row r="140" spans="3:15" x14ac:dyDescent="0.55000000000000004">
      <c r="C140" s="124"/>
      <c r="H140" s="125"/>
      <c r="J140" s="224"/>
      <c r="K140" s="224"/>
      <c r="L140" s="224"/>
      <c r="M140" s="224"/>
      <c r="N140" s="224"/>
      <c r="O140" s="224"/>
    </row>
    <row r="141" spans="3:15" x14ac:dyDescent="0.55000000000000004">
      <c r="C141" s="124"/>
      <c r="H141" s="125"/>
      <c r="J141" s="224"/>
      <c r="K141" s="224"/>
      <c r="L141" s="224"/>
      <c r="M141" s="224"/>
      <c r="N141" s="224"/>
      <c r="O141" s="224"/>
    </row>
    <row r="142" spans="3:15" x14ac:dyDescent="0.55000000000000004">
      <c r="C142" s="124"/>
      <c r="H142" s="125"/>
      <c r="J142" s="224"/>
      <c r="K142" s="224"/>
      <c r="L142" s="224"/>
      <c r="M142" s="224"/>
      <c r="N142" s="224"/>
      <c r="O142" s="224"/>
    </row>
    <row r="143" spans="3:15" x14ac:dyDescent="0.55000000000000004">
      <c r="C143" s="124"/>
      <c r="H143" s="125"/>
      <c r="J143" s="224"/>
      <c r="K143" s="224"/>
      <c r="L143" s="224"/>
      <c r="M143" s="224"/>
      <c r="N143" s="224"/>
      <c r="O143" s="224"/>
    </row>
    <row r="144" spans="3:15" x14ac:dyDescent="0.55000000000000004">
      <c r="C144" s="124"/>
      <c r="H144" s="125"/>
      <c r="J144" s="224"/>
      <c r="K144" s="224"/>
      <c r="L144" s="224"/>
      <c r="M144" s="224"/>
      <c r="N144" s="224"/>
      <c r="O144" s="224"/>
    </row>
    <row r="145" spans="3:15" x14ac:dyDescent="0.55000000000000004">
      <c r="C145" s="124"/>
      <c r="H145" s="125"/>
      <c r="J145" s="224"/>
      <c r="K145" s="224"/>
      <c r="L145" s="224"/>
      <c r="M145" s="224"/>
      <c r="N145" s="224"/>
      <c r="O145" s="224"/>
    </row>
    <row r="146" spans="3:15" x14ac:dyDescent="0.55000000000000004">
      <c r="C146" s="124"/>
      <c r="H146" s="125"/>
      <c r="J146" s="224"/>
      <c r="K146" s="224"/>
      <c r="L146" s="224"/>
      <c r="M146" s="224"/>
      <c r="N146" s="224"/>
      <c r="O146" s="224"/>
    </row>
    <row r="147" spans="3:15" ht="14.7" thickBot="1" x14ac:dyDescent="0.6">
      <c r="C147" s="130"/>
      <c r="D147" s="131"/>
      <c r="E147" s="131"/>
      <c r="F147" s="131"/>
      <c r="G147" s="131"/>
      <c r="H147" s="132"/>
      <c r="J147" s="224"/>
      <c r="K147" s="224"/>
      <c r="L147" s="224"/>
      <c r="M147" s="224"/>
      <c r="N147" s="224"/>
      <c r="O147" s="224"/>
    </row>
    <row r="148" spans="3:15" x14ac:dyDescent="0.55000000000000004">
      <c r="J148" s="224"/>
      <c r="K148" s="224"/>
      <c r="L148" s="224"/>
      <c r="M148" s="224"/>
      <c r="N148" s="224"/>
      <c r="O148" s="224"/>
    </row>
    <row r="149" spans="3:15" ht="14.7" thickBot="1" x14ac:dyDescent="0.6">
      <c r="J149" s="224"/>
      <c r="K149" s="224"/>
      <c r="L149" s="224"/>
      <c r="M149" s="224"/>
      <c r="N149" s="224"/>
      <c r="O149" s="224"/>
    </row>
    <row r="150" spans="3:15" x14ac:dyDescent="0.55000000000000004">
      <c r="C150" s="121"/>
      <c r="D150" s="122"/>
      <c r="E150" s="122"/>
      <c r="F150" s="122"/>
      <c r="G150" s="122"/>
      <c r="H150" s="123"/>
      <c r="J150" s="224"/>
      <c r="K150" s="224"/>
      <c r="L150" s="224"/>
      <c r="M150" s="224"/>
      <c r="N150" s="224"/>
      <c r="O150" s="224"/>
    </row>
    <row r="151" spans="3:15" ht="15.6" x14ac:dyDescent="0.6">
      <c r="C151" s="124"/>
      <c r="D151" s="98" t="str">
        <f>'2 Customer data'!D95</f>
        <v>Small Customers: Commercial</v>
      </c>
      <c r="H151" s="125"/>
      <c r="J151" s="224"/>
      <c r="K151" s="224"/>
      <c r="L151" s="224"/>
      <c r="M151" s="224"/>
      <c r="N151" s="224"/>
      <c r="O151" s="224"/>
    </row>
    <row r="152" spans="3:15" x14ac:dyDescent="0.55000000000000004">
      <c r="C152" s="124"/>
      <c r="H152" s="125"/>
      <c r="J152" s="224"/>
      <c r="K152" s="224"/>
      <c r="L152" s="224"/>
      <c r="M152" s="224"/>
      <c r="N152" s="224"/>
      <c r="O152" s="224"/>
    </row>
    <row r="153" spans="3:15" x14ac:dyDescent="0.55000000000000004">
      <c r="C153" s="124"/>
      <c r="E153" s="220" t="s">
        <v>250</v>
      </c>
      <c r="H153" s="125"/>
      <c r="J153" s="224"/>
      <c r="K153" s="224"/>
      <c r="L153" s="224"/>
      <c r="M153" s="224"/>
      <c r="N153" s="224"/>
      <c r="O153" s="224"/>
    </row>
    <row r="154" spans="3:15" x14ac:dyDescent="0.55000000000000004">
      <c r="C154" s="124"/>
      <c r="D154" t="s">
        <v>393</v>
      </c>
      <c r="E154" s="26">
        <f ca="1">VLOOKUP(D151,'2 Electricity'!$D$21:$L$40,6,FALSE)</f>
        <v>3270454.5760443788</v>
      </c>
      <c r="H154" s="125"/>
      <c r="J154" s="224"/>
      <c r="K154" s="224"/>
      <c r="L154" s="224"/>
      <c r="M154" s="224"/>
      <c r="N154" s="224"/>
      <c r="O154" s="224"/>
    </row>
    <row r="155" spans="3:15" x14ac:dyDescent="0.55000000000000004">
      <c r="C155" s="124"/>
      <c r="D155" t="s">
        <v>249</v>
      </c>
      <c r="E155" s="99">
        <f ca="1">VLOOKUP(D151,'2 Electricity'!$D$21:$L$40,7,FALSE)</f>
        <v>15830042.994284254</v>
      </c>
      <c r="H155" s="125"/>
      <c r="J155" s="224"/>
      <c r="K155" s="224"/>
      <c r="L155" s="224"/>
      <c r="M155" s="224"/>
      <c r="N155" s="224"/>
      <c r="O155" s="224"/>
    </row>
    <row r="156" spans="3:15" x14ac:dyDescent="0.55000000000000004">
      <c r="C156" s="124"/>
      <c r="D156" t="s">
        <v>52</v>
      </c>
      <c r="E156" s="26">
        <f ca="1">VLOOKUP(D151,'2 Electricity'!$D$21:$L$40,8,FALSE)</f>
        <v>0</v>
      </c>
      <c r="H156" s="125"/>
      <c r="J156" s="224"/>
      <c r="K156" s="224"/>
      <c r="L156" s="224"/>
      <c r="M156" s="224"/>
      <c r="N156" s="224"/>
      <c r="O156" s="224"/>
    </row>
    <row r="157" spans="3:15" ht="14.7" thickBot="1" x14ac:dyDescent="0.6">
      <c r="C157" s="124"/>
      <c r="D157" s="1" t="s">
        <v>39</v>
      </c>
      <c r="E157" s="37">
        <f ca="1">VLOOKUP(D151,'2 Electricity'!D$21:L$40,9,FALSE)</f>
        <v>19100497.570328631</v>
      </c>
      <c r="H157" s="125"/>
      <c r="J157" s="224"/>
      <c r="K157" s="224"/>
      <c r="L157" s="224"/>
      <c r="M157" s="224"/>
      <c r="N157" s="224"/>
      <c r="O157" s="224"/>
    </row>
    <row r="158" spans="3:15" ht="14.7" thickTop="1" x14ac:dyDescent="0.55000000000000004">
      <c r="C158" s="124"/>
      <c r="H158" s="125"/>
      <c r="J158" s="224"/>
      <c r="K158" s="224"/>
      <c r="L158" s="224"/>
      <c r="M158" s="224"/>
      <c r="N158" s="224"/>
      <c r="O158" s="224"/>
    </row>
    <row r="159" spans="3:15" x14ac:dyDescent="0.55000000000000004">
      <c r="C159" s="124"/>
      <c r="D159" t="s">
        <v>189</v>
      </c>
      <c r="E159" s="26">
        <f>IFERROR(IF(VLOOKUP(D151,'2 Electricity'!$D$126:$K$145,7,FALSE)="",VLOOKUP('2 Electricity'!$D$126:$K$145,6,FALSE),VLOOKUP(D151,'2 Electricity'!$D$126:$K$145,7,FALSE))+VLOOKUP(D151,'2 Electricity'!$D$157:$J$176,5,FALSE),0)</f>
        <v>0</v>
      </c>
      <c r="H159" s="125"/>
      <c r="J159" s="224"/>
      <c r="K159" s="224"/>
      <c r="L159" s="224"/>
      <c r="M159" s="224"/>
      <c r="N159" s="224"/>
      <c r="O159" s="224"/>
    </row>
    <row r="160" spans="3:15" x14ac:dyDescent="0.55000000000000004">
      <c r="C160" s="124"/>
      <c r="H160" s="125"/>
      <c r="J160" s="224"/>
      <c r="K160" s="224"/>
      <c r="L160" s="224"/>
      <c r="M160" s="224"/>
      <c r="N160" s="224"/>
      <c r="O160" s="224"/>
    </row>
    <row r="161" spans="3:15" x14ac:dyDescent="0.55000000000000004">
      <c r="C161" s="124"/>
      <c r="D161" t="s">
        <v>371</v>
      </c>
      <c r="E161" s="64">
        <f ca="1">IF(VLOOKUP(D151,'2 Electricity'!$D$56:$M$75,5,FALSE)="",VLOOKUP(D151,'2 Electricity'!$D$56:$M$75,4,FALSE),VLOOKUP(D151,'2 Electricity'!$D$56:$M$75,5,FALSE))</f>
        <v>0</v>
      </c>
      <c r="H161" s="125"/>
      <c r="J161" s="224"/>
      <c r="K161" s="224"/>
      <c r="L161" s="224"/>
      <c r="M161" s="224"/>
      <c r="N161" s="224"/>
      <c r="O161" s="224"/>
    </row>
    <row r="162" spans="3:15" x14ac:dyDescent="0.55000000000000004">
      <c r="C162" s="124"/>
      <c r="D162" t="s">
        <v>372</v>
      </c>
      <c r="E162" s="26">
        <f ca="1">IF(VLOOKUP(D151,'2 Electricity'!$D$56:$M$75,7,FALSE)="",VLOOKUP(D151,'2 Electricity'!$D$56:$M$75,6,FALSE),VLOOKUP(D151,'2 Electricity'!$D$56:$M$75,7,FALSE))</f>
        <v>1789662.6720244491</v>
      </c>
      <c r="H162" s="125"/>
      <c r="J162" s="224"/>
      <c r="K162" s="224"/>
      <c r="L162" s="224"/>
      <c r="M162" s="224"/>
      <c r="N162" s="224"/>
      <c r="O162" s="224"/>
    </row>
    <row r="163" spans="3:15" x14ac:dyDescent="0.55000000000000004">
      <c r="C163" s="124"/>
      <c r="D163" t="s">
        <v>373</v>
      </c>
      <c r="E163" s="26">
        <f ca="1">IF(VLOOKUP(D151,'2 Electricity'!$D$56:$M$75,9,FALSE)="",VLOOKUP(D151,'2 Electricity'!$D$56:$M$75,8,FALSE),VLOOKUP(D151,'2 Electricity'!$D$56:$M$75,9,FALSE))</f>
        <v>0</v>
      </c>
      <c r="H163" s="125"/>
      <c r="J163" s="224"/>
      <c r="K163" s="224"/>
      <c r="L163" s="224"/>
      <c r="M163" s="224"/>
      <c r="N163" s="224"/>
      <c r="O163" s="224"/>
    </row>
    <row r="164" spans="3:15" x14ac:dyDescent="0.55000000000000004">
      <c r="C164" s="124"/>
      <c r="D164" t="s">
        <v>374</v>
      </c>
      <c r="E164" s="26">
        <f ca="1">IF(VLOOKUP(D151,'2 Electricity'!$D$92:$I$111,5,FALSE)="",VLOOKUP(D151,'2 Electricity'!$D$92:$I$111,4,FALSE),VLOOKUP(D151,'2 Electricity'!$D$92:$I$111,5,FALSE))</f>
        <v>0</v>
      </c>
      <c r="H164" s="125"/>
      <c r="J164" s="224"/>
      <c r="K164" s="224"/>
      <c r="L164" s="224"/>
      <c r="M164" s="224"/>
      <c r="N164" s="224"/>
      <c r="O164" s="224"/>
    </row>
    <row r="165" spans="3:15" ht="14.7" thickBot="1" x14ac:dyDescent="0.6">
      <c r="C165" s="124"/>
      <c r="D165" s="1" t="s">
        <v>145</v>
      </c>
      <c r="E165" s="37">
        <f ca="1">SUM(E161:E164)</f>
        <v>1789662.6720244491</v>
      </c>
      <c r="H165" s="125"/>
      <c r="J165" s="224"/>
      <c r="K165" s="224"/>
      <c r="L165" s="224"/>
      <c r="M165" s="224"/>
      <c r="N165" s="224"/>
      <c r="O165" s="224"/>
    </row>
    <row r="166" spans="3:15" ht="14.7" thickTop="1" x14ac:dyDescent="0.55000000000000004">
      <c r="C166" s="124"/>
      <c r="D166" s="1"/>
      <c r="E166" s="15"/>
      <c r="H166" s="125"/>
      <c r="J166" s="224"/>
      <c r="K166" s="224"/>
      <c r="L166" s="224"/>
      <c r="M166" s="224"/>
      <c r="N166" s="224"/>
      <c r="O166" s="224"/>
    </row>
    <row r="167" spans="3:15" x14ac:dyDescent="0.55000000000000004">
      <c r="C167" s="124"/>
      <c r="D167" t="s">
        <v>384</v>
      </c>
      <c r="E167" s="26">
        <f ca="1">IF(VLOOKUP(D151,'2 Electricity'!$D$126:$K$145,5,FALSE)="",VLOOKUP(D151,'2 Electricity'!$D$126:$K$145,4,FALSE),VLOOKUP(D151,'2 Electricity'!$D$126:$K$145,5,FALSE))+VLOOKUP(D151,'2 Electricity'!$D$157:$J$176,7,FALSE)</f>
        <v>0</v>
      </c>
      <c r="H167" s="125"/>
      <c r="J167" s="224"/>
      <c r="K167" s="224"/>
      <c r="L167" s="224"/>
      <c r="M167" s="224"/>
      <c r="N167" s="224"/>
      <c r="O167" s="224"/>
    </row>
    <row r="168" spans="3:15" x14ac:dyDescent="0.55000000000000004">
      <c r="C168" s="124"/>
      <c r="H168" s="125"/>
      <c r="J168" s="224"/>
      <c r="K168" s="224"/>
      <c r="L168" s="224"/>
      <c r="M168" s="224"/>
      <c r="N168" s="224"/>
      <c r="O168" s="224"/>
    </row>
    <row r="169" spans="3:15" ht="14.7" thickBot="1" x14ac:dyDescent="0.6">
      <c r="C169" s="124"/>
      <c r="D169" s="1" t="s">
        <v>375</v>
      </c>
      <c r="E169" s="37">
        <f ca="1">VLOOKUP(D151,'2 Electricity'!$D$157:$K$176,8,FALSE)</f>
        <v>17310834.898304183</v>
      </c>
      <c r="H169" s="125"/>
      <c r="J169" s="224"/>
      <c r="K169" s="224"/>
      <c r="L169" s="224"/>
      <c r="M169" s="224"/>
      <c r="N169" s="224"/>
      <c r="O169" s="224"/>
    </row>
    <row r="170" spans="3:15" ht="14.7" thickTop="1" x14ac:dyDescent="0.55000000000000004">
      <c r="C170" s="124"/>
      <c r="H170" s="125"/>
      <c r="J170" s="224"/>
      <c r="K170" s="224"/>
      <c r="L170" s="224"/>
      <c r="M170" s="224"/>
      <c r="N170" s="224"/>
      <c r="O170" s="224"/>
    </row>
    <row r="171" spans="3:15" x14ac:dyDescent="0.55000000000000004">
      <c r="C171" s="124"/>
      <c r="H171" s="125"/>
      <c r="J171" s="224"/>
      <c r="K171" s="224"/>
      <c r="L171" s="224"/>
      <c r="M171" s="224"/>
      <c r="N171" s="224"/>
      <c r="O171" s="224"/>
    </row>
    <row r="172" spans="3:15" x14ac:dyDescent="0.55000000000000004">
      <c r="C172" s="124"/>
      <c r="H172" s="125"/>
      <c r="J172" s="224"/>
      <c r="K172" s="224"/>
      <c r="L172" s="224"/>
      <c r="M172" s="224"/>
      <c r="N172" s="224"/>
      <c r="O172" s="224"/>
    </row>
    <row r="173" spans="3:15" x14ac:dyDescent="0.55000000000000004">
      <c r="C173" s="124"/>
      <c r="H173" s="125"/>
      <c r="J173" s="224"/>
      <c r="K173" s="224"/>
      <c r="L173" s="224"/>
      <c r="M173" s="224"/>
      <c r="N173" s="224"/>
      <c r="O173" s="224"/>
    </row>
    <row r="174" spans="3:15" x14ac:dyDescent="0.55000000000000004">
      <c r="C174" s="124"/>
      <c r="H174" s="125"/>
      <c r="J174" s="224"/>
      <c r="K174" s="224"/>
      <c r="L174" s="224"/>
      <c r="M174" s="224"/>
      <c r="N174" s="224"/>
      <c r="O174" s="224"/>
    </row>
    <row r="175" spans="3:15" x14ac:dyDescent="0.55000000000000004">
      <c r="C175" s="124"/>
      <c r="H175" s="125"/>
      <c r="J175" s="232" t="s">
        <v>385</v>
      </c>
      <c r="K175" s="224"/>
      <c r="L175" s="224"/>
      <c r="M175" s="224"/>
      <c r="N175" s="224"/>
      <c r="O175" s="224"/>
    </row>
    <row r="176" spans="3:15" x14ac:dyDescent="0.55000000000000004">
      <c r="C176" s="124"/>
      <c r="H176" s="125"/>
      <c r="J176" s="110"/>
      <c r="K176" s="102" t="s">
        <v>390</v>
      </c>
      <c r="L176" s="102" t="s">
        <v>391</v>
      </c>
      <c r="M176" s="224"/>
      <c r="N176" s="224"/>
      <c r="O176" s="224"/>
    </row>
    <row r="177" spans="3:15" x14ac:dyDescent="0.55000000000000004">
      <c r="C177" s="124"/>
      <c r="H177" s="125"/>
      <c r="J177" s="110" t="s">
        <v>393</v>
      </c>
      <c r="K177" s="100">
        <f ca="1">E154/1000</f>
        <v>3270.4545760443789</v>
      </c>
      <c r="L177" s="102"/>
      <c r="M177" s="224"/>
      <c r="N177" s="224"/>
      <c r="O177" s="224"/>
    </row>
    <row r="178" spans="3:15" x14ac:dyDescent="0.55000000000000004">
      <c r="C178" s="124"/>
      <c r="H178" s="125"/>
      <c r="J178" s="110" t="s">
        <v>249</v>
      </c>
      <c r="K178" s="100">
        <f ca="1">E155/1000</f>
        <v>15830.042994284253</v>
      </c>
      <c r="L178" s="110"/>
      <c r="M178" s="224"/>
      <c r="N178" s="224"/>
      <c r="O178" s="224"/>
    </row>
    <row r="179" spans="3:15" x14ac:dyDescent="0.55000000000000004">
      <c r="C179" s="124"/>
      <c r="H179" s="125"/>
      <c r="J179" s="110" t="s">
        <v>52</v>
      </c>
      <c r="K179" s="100">
        <f ca="1">E156/1000</f>
        <v>0</v>
      </c>
      <c r="L179" s="110"/>
      <c r="M179" s="224"/>
      <c r="N179" s="224"/>
      <c r="O179" s="224"/>
    </row>
    <row r="180" spans="3:15" x14ac:dyDescent="0.55000000000000004">
      <c r="C180" s="124"/>
      <c r="H180" s="125"/>
      <c r="J180" s="110" t="s">
        <v>471</v>
      </c>
      <c r="K180" s="100">
        <f>E159/1000</f>
        <v>0</v>
      </c>
      <c r="L180" s="110"/>
      <c r="M180" s="224"/>
      <c r="N180" s="224"/>
      <c r="O180" s="224"/>
    </row>
    <row r="181" spans="3:15" x14ac:dyDescent="0.55000000000000004">
      <c r="C181" s="124"/>
      <c r="H181" s="125"/>
      <c r="J181" s="110" t="s">
        <v>563</v>
      </c>
      <c r="K181" s="100"/>
      <c r="L181" s="101">
        <f ca="1">E169/1000</f>
        <v>17310.834898304183</v>
      </c>
      <c r="M181" s="224"/>
      <c r="N181" s="224"/>
      <c r="O181" s="224"/>
    </row>
    <row r="182" spans="3:15" x14ac:dyDescent="0.55000000000000004">
      <c r="C182" s="124"/>
      <c r="H182" s="125"/>
      <c r="J182" s="110" t="s">
        <v>564</v>
      </c>
      <c r="K182" s="100"/>
      <c r="L182" s="101">
        <f ca="1">E164/1000</f>
        <v>0</v>
      </c>
      <c r="M182" s="224"/>
      <c r="N182" s="224"/>
      <c r="O182" s="224"/>
    </row>
    <row r="183" spans="3:15" x14ac:dyDescent="0.55000000000000004">
      <c r="C183" s="124"/>
      <c r="H183" s="125"/>
      <c r="J183" s="110" t="s">
        <v>565</v>
      </c>
      <c r="K183" s="100"/>
      <c r="L183" s="101">
        <f ca="1">SUM(E161:E163)/1000</f>
        <v>1789.6626720244492</v>
      </c>
      <c r="M183" s="224"/>
      <c r="N183" s="224"/>
      <c r="O183" s="224"/>
    </row>
    <row r="184" spans="3:15" x14ac:dyDescent="0.55000000000000004">
      <c r="C184" s="124"/>
      <c r="H184" s="125"/>
      <c r="J184" s="110" t="s">
        <v>566</v>
      </c>
      <c r="K184" s="100"/>
      <c r="L184" s="101">
        <f ca="1">E167/1000</f>
        <v>0</v>
      </c>
      <c r="M184" s="224"/>
      <c r="N184" s="224"/>
      <c r="O184" s="224"/>
    </row>
    <row r="185" spans="3:15" x14ac:dyDescent="0.55000000000000004">
      <c r="C185" s="124"/>
      <c r="H185" s="125"/>
      <c r="J185" s="224"/>
      <c r="K185" s="224"/>
      <c r="L185" s="224"/>
      <c r="M185" s="224"/>
      <c r="N185" s="224"/>
      <c r="O185" s="224"/>
    </row>
    <row r="186" spans="3:15" x14ac:dyDescent="0.55000000000000004">
      <c r="C186" s="124"/>
      <c r="H186" s="125"/>
      <c r="J186" s="224"/>
      <c r="K186" s="224"/>
      <c r="L186" s="224"/>
      <c r="M186" s="224"/>
      <c r="N186" s="224"/>
      <c r="O186" s="224"/>
    </row>
    <row r="187" spans="3:15" x14ac:dyDescent="0.55000000000000004">
      <c r="C187" s="124"/>
      <c r="H187" s="125"/>
      <c r="J187" s="224"/>
      <c r="K187" s="224"/>
      <c r="L187" s="224"/>
      <c r="M187" s="224"/>
      <c r="N187" s="224"/>
      <c r="O187" s="224"/>
    </row>
    <row r="188" spans="3:15" x14ac:dyDescent="0.55000000000000004">
      <c r="C188" s="124"/>
      <c r="H188" s="125"/>
      <c r="J188" s="224"/>
      <c r="K188" s="224"/>
      <c r="L188" s="224"/>
      <c r="M188" s="224"/>
      <c r="N188" s="224"/>
      <c r="O188" s="224"/>
    </row>
    <row r="189" spans="3:15" x14ac:dyDescent="0.55000000000000004">
      <c r="C189" s="124"/>
      <c r="H189" s="125"/>
      <c r="J189" s="224"/>
      <c r="K189" s="224"/>
      <c r="L189" s="224"/>
      <c r="M189" s="224"/>
      <c r="N189" s="224"/>
      <c r="O189" s="224"/>
    </row>
    <row r="190" spans="3:15" x14ac:dyDescent="0.55000000000000004">
      <c r="C190" s="124"/>
      <c r="E190" s="220" t="s">
        <v>250</v>
      </c>
      <c r="H190" s="125"/>
      <c r="J190" s="224"/>
      <c r="K190" s="224"/>
      <c r="L190" s="224"/>
      <c r="M190" s="224"/>
      <c r="N190" s="224"/>
      <c r="O190" s="224"/>
    </row>
    <row r="191" spans="3:15" x14ac:dyDescent="0.55000000000000004">
      <c r="C191" s="124"/>
      <c r="D191" t="s">
        <v>394</v>
      </c>
      <c r="E191" s="64">
        <f ca="1">VLOOKUP(D151,'2 Electricity'!$D$157:$M$176,10,FALSE)</f>
        <v>3.5980061104850383</v>
      </c>
      <c r="H191" s="125"/>
      <c r="J191" s="224"/>
      <c r="K191" s="224"/>
      <c r="L191" s="224"/>
      <c r="M191" s="224"/>
      <c r="N191" s="224"/>
      <c r="O191" s="224"/>
    </row>
    <row r="192" spans="3:15" x14ac:dyDescent="0.55000000000000004">
      <c r="C192" s="124"/>
      <c r="D192" t="s">
        <v>395</v>
      </c>
      <c r="E192" s="64">
        <f ca="1">VLOOKUP(D151,'2 Electricity'!$D$157:$M$176,9,FALSE)</f>
        <v>3.2608831006816787</v>
      </c>
      <c r="H192" s="125"/>
      <c r="J192" s="224"/>
      <c r="K192" s="224"/>
      <c r="L192" s="224"/>
      <c r="M192" s="224"/>
      <c r="N192" s="224"/>
      <c r="O192" s="224"/>
    </row>
    <row r="193" spans="3:15" x14ac:dyDescent="0.55000000000000004">
      <c r="C193" s="124"/>
      <c r="D193" t="s">
        <v>378</v>
      </c>
      <c r="E193" s="97">
        <f ca="1">IFERROR(IF(E159=0,E167,E159)/E157,0)</f>
        <v>0</v>
      </c>
      <c r="H193" s="125"/>
      <c r="J193" s="224"/>
      <c r="K193" s="224"/>
      <c r="L193" s="224"/>
      <c r="M193" s="224"/>
      <c r="N193" s="224"/>
      <c r="O193" s="224"/>
    </row>
    <row r="194" spans="3:15" x14ac:dyDescent="0.55000000000000004">
      <c r="C194" s="124"/>
      <c r="H194" s="125"/>
      <c r="J194" s="224"/>
      <c r="K194" s="224"/>
      <c r="L194" s="224"/>
      <c r="M194" s="224"/>
      <c r="N194" s="224"/>
      <c r="O194" s="224"/>
    </row>
    <row r="195" spans="3:15" x14ac:dyDescent="0.55000000000000004">
      <c r="C195" s="124"/>
      <c r="D195" t="s">
        <v>379</v>
      </c>
      <c r="E195" s="26">
        <f>'3 Electricity'!I150</f>
        <v>0</v>
      </c>
      <c r="H195" s="125"/>
      <c r="J195" s="224"/>
      <c r="K195" s="224"/>
      <c r="L195" s="224"/>
      <c r="M195" s="224"/>
      <c r="N195" s="224"/>
      <c r="O195" s="224"/>
    </row>
    <row r="196" spans="3:15" x14ac:dyDescent="0.55000000000000004">
      <c r="C196" s="124"/>
      <c r="D196" t="s">
        <v>380</v>
      </c>
      <c r="E196" s="97">
        <f ca="1">IFERROR('3 Electricity'!J150/'3 Electricity'!G150,0)</f>
        <v>0</v>
      </c>
      <c r="H196" s="125"/>
      <c r="J196" s="224"/>
      <c r="K196" s="224"/>
      <c r="L196" s="224"/>
      <c r="M196" s="224"/>
      <c r="N196" s="224"/>
      <c r="O196" s="224"/>
    </row>
    <row r="197" spans="3:15" x14ac:dyDescent="0.55000000000000004">
      <c r="C197" s="124"/>
      <c r="H197" s="125"/>
      <c r="J197" s="224"/>
      <c r="K197" s="224"/>
      <c r="L197" s="224"/>
      <c r="M197" s="224"/>
      <c r="N197" s="224"/>
      <c r="O197" s="224"/>
    </row>
    <row r="198" spans="3:15" x14ac:dyDescent="0.55000000000000004">
      <c r="C198" s="124"/>
      <c r="D198" s="1" t="s">
        <v>381</v>
      </c>
      <c r="H198" s="125"/>
      <c r="J198" s="224"/>
      <c r="K198" s="224"/>
      <c r="L198" s="224"/>
      <c r="M198" s="224"/>
      <c r="N198" s="224"/>
      <c r="O198" s="224"/>
    </row>
    <row r="199" spans="3:15" x14ac:dyDescent="0.55000000000000004">
      <c r="C199" s="124"/>
      <c r="D199" s="1" t="str">
        <f>'3 Electricity'!G158</f>
        <v xml:space="preserve">Annual </v>
      </c>
      <c r="H199" s="125"/>
      <c r="J199" s="224"/>
      <c r="K199" s="224"/>
      <c r="L199" s="224"/>
      <c r="M199" s="224"/>
      <c r="N199" s="224"/>
      <c r="O199" s="224"/>
    </row>
    <row r="200" spans="3:15" x14ac:dyDescent="0.55000000000000004">
      <c r="C200" s="124"/>
      <c r="D200" s="1"/>
      <c r="H200" s="125"/>
      <c r="J200" s="224"/>
      <c r="K200" s="224"/>
      <c r="L200" s="224"/>
      <c r="M200" s="224"/>
      <c r="N200" s="224"/>
      <c r="O200" s="224"/>
    </row>
    <row r="201" spans="3:15" x14ac:dyDescent="0.55000000000000004">
      <c r="C201" s="124"/>
      <c r="H201" s="125"/>
      <c r="J201" s="224"/>
      <c r="K201" s="224"/>
      <c r="L201" s="224"/>
      <c r="M201" s="224"/>
      <c r="N201" s="224" t="s">
        <v>89</v>
      </c>
      <c r="O201" s="224"/>
    </row>
    <row r="202" spans="3:15" x14ac:dyDescent="0.55000000000000004">
      <c r="C202" s="124"/>
      <c r="H202" s="125"/>
      <c r="J202" s="224"/>
      <c r="K202" s="224"/>
      <c r="L202" s="224"/>
      <c r="M202" s="224"/>
      <c r="N202" s="224"/>
      <c r="O202" s="224"/>
    </row>
    <row r="203" spans="3:15" ht="28.8" x14ac:dyDescent="0.55000000000000004">
      <c r="C203" s="124"/>
      <c r="H203" s="125"/>
      <c r="J203" s="229" t="s">
        <v>383</v>
      </c>
      <c r="K203" s="229" t="s">
        <v>382</v>
      </c>
      <c r="L203" s="108" t="str">
        <f>IF(D199=N201,"Annual Tariff","Low Season Tariff")</f>
        <v>Annual Tariff</v>
      </c>
      <c r="M203" s="109" t="str">
        <f>IF(D199=N201,"","High Season Tariff")</f>
        <v/>
      </c>
      <c r="N203" s="108" t="s">
        <v>392</v>
      </c>
      <c r="O203" s="229" t="s">
        <v>580</v>
      </c>
    </row>
    <row r="204" spans="3:15" x14ac:dyDescent="0.55000000000000004">
      <c r="C204" s="124"/>
      <c r="H204" s="125"/>
      <c r="J204" s="102">
        <v>1</v>
      </c>
      <c r="K204" s="102" t="str">
        <f>IFERROR(IF('3 Electricity'!$G$158='3 Electricity'!$V$158,VLOOKUP('Electricity report'!J204,'3 Electricity'!$F$169:$K$173,3,FALSE),VLOOKUP('Electricity report'!J204,'3 Electricity'!$F$188:$N$192,3,FALSE)),0)</f>
        <v>more</v>
      </c>
      <c r="L204" s="103">
        <f ca="1">IFERROR(IF('3 Electricity'!$G$158='3 Electricity'!$V$158,VLOOKUP('Electricity report'!J204,'3 Electricity'!$F$169:$K$173,6,FALSE),VLOOKUP('Electricity report'!J204,'3 Electricity'!$F$188:$N$192,9,FALSE)),0)</f>
        <v>3.2608831006816787</v>
      </c>
      <c r="M204" s="105" t="str">
        <f>IF($D$199=$N$201,"",VLOOKUP(J204,'3 Electricity'!$F$188:$N$192,8,FALSE))</f>
        <v/>
      </c>
      <c r="N204" s="107">
        <f ca="1">$E$191</f>
        <v>3.5980061104850383</v>
      </c>
      <c r="O204" s="105">
        <f ca="1">IFERROR('3 Electricity'!J142/'3 Electricity'!H142,0)</f>
        <v>2.9819428113304203</v>
      </c>
    </row>
    <row r="205" spans="3:15" x14ac:dyDescent="0.55000000000000004">
      <c r="C205" s="124"/>
      <c r="H205" s="125"/>
      <c r="J205" s="102">
        <v>2</v>
      </c>
      <c r="K205" s="102">
        <f>IFERROR(IF('3 Electricity'!$G$158='3 Electricity'!$V$158,VLOOKUP('Electricity report'!J205,'3 Electricity'!$F$169:$K$173,3,FALSE),VLOOKUP('Electricity report'!J205,'3 Electricity'!$F$188:$N$192,3,FALSE)),0)</f>
        <v>0</v>
      </c>
      <c r="L205" s="103">
        <f>IFERROR(IF('3 Electricity'!$G$158='3 Electricity'!$V$158,VLOOKUP('Electricity report'!J205,'3 Electricity'!$F$169:$K$173,6,FALSE),VLOOKUP('Electricity report'!J205,'3 Electricity'!$F$188:$N$192,9,FALSE)),0)</f>
        <v>0</v>
      </c>
      <c r="M205" s="105" t="str">
        <f>IF($D$199=$N$201,"",VLOOKUP(J205,'3 Electricity'!$F$188:$N$192,8,FALSE))</f>
        <v/>
      </c>
      <c r="N205" s="107">
        <f ca="1">$E$191</f>
        <v>3.5980061104850383</v>
      </c>
      <c r="O205" s="107">
        <f ca="1">$O$204</f>
        <v>2.9819428113304203</v>
      </c>
    </row>
    <row r="206" spans="3:15" x14ac:dyDescent="0.55000000000000004">
      <c r="C206" s="124"/>
      <c r="H206" s="125"/>
      <c r="J206" s="102">
        <v>3</v>
      </c>
      <c r="K206" s="102">
        <f>IFERROR(IF('3 Electricity'!$G$158='3 Electricity'!$V$158,VLOOKUP('Electricity report'!J206,'3 Electricity'!$F$169:$K$173,3,FALSE),VLOOKUP('Electricity report'!J206,'3 Electricity'!$F$188:$N$192,3,FALSE)),0)</f>
        <v>0</v>
      </c>
      <c r="L206" s="103">
        <f>IFERROR(IF('3 Electricity'!$G$158='3 Electricity'!$V$158,VLOOKUP('Electricity report'!J206,'3 Electricity'!$F$169:$K$173,6,FALSE),VLOOKUP('Electricity report'!J206,'3 Electricity'!$F$188:$N$192,9,FALSE)),0)</f>
        <v>0</v>
      </c>
      <c r="M206" s="105" t="str">
        <f>IF($D$199=$N$201,"",VLOOKUP(J206,'3 Electricity'!$F$188:$N$192,8,FALSE))</f>
        <v/>
      </c>
      <c r="N206" s="107">
        <f ca="1">$E$191</f>
        <v>3.5980061104850383</v>
      </c>
      <c r="O206" s="107">
        <f ca="1">$O$204</f>
        <v>2.9819428113304203</v>
      </c>
    </row>
    <row r="207" spans="3:15" x14ac:dyDescent="0.55000000000000004">
      <c r="C207" s="124"/>
      <c r="H207" s="125"/>
      <c r="J207" s="102">
        <v>4</v>
      </c>
      <c r="K207" s="102">
        <f>IFERROR(IF('3 Electricity'!$G$158='3 Electricity'!$V$158,VLOOKUP('Electricity report'!J207,'3 Electricity'!$F$169:$K$173,3,FALSE),VLOOKUP('Electricity report'!J207,'3 Electricity'!$F$188:$N$192,3,FALSE)),0)</f>
        <v>0</v>
      </c>
      <c r="L207" s="103">
        <f>IFERROR(IF('3 Electricity'!$G$158='3 Electricity'!$V$158,VLOOKUP('Electricity report'!J207,'3 Electricity'!$F$169:$K$173,6,FALSE),VLOOKUP('Electricity report'!J207,'3 Electricity'!$F$188:$N$192,9,FALSE)),0)</f>
        <v>0</v>
      </c>
      <c r="M207" s="105" t="str">
        <f>IF($D$199=$N$201,"",VLOOKUP(J207,'3 Electricity'!$F$188:$N$192,8,FALSE))</f>
        <v/>
      </c>
      <c r="N207" s="107">
        <f ca="1">$E$191</f>
        <v>3.5980061104850383</v>
      </c>
      <c r="O207" s="107">
        <f ca="1">$O$204</f>
        <v>2.9819428113304203</v>
      </c>
    </row>
    <row r="208" spans="3:15" x14ac:dyDescent="0.55000000000000004">
      <c r="C208" s="124"/>
      <c r="H208" s="125"/>
      <c r="J208" s="102">
        <v>5</v>
      </c>
      <c r="K208" s="102">
        <f>IFERROR(IF('3 Electricity'!$G$158='3 Electricity'!$V$158,VLOOKUP('Electricity report'!J208,'3 Electricity'!$F$169:$K$173,3,FALSE),VLOOKUP('Electricity report'!J208,'3 Electricity'!$F$188:$N$192,3,FALSE)),0)</f>
        <v>0</v>
      </c>
      <c r="L208" s="103">
        <f>IFERROR(IF('3 Electricity'!$G$158='3 Electricity'!$V$158,VLOOKUP('Electricity report'!J208,'3 Electricity'!$F$169:$K$173,6,FALSE),VLOOKUP('Electricity report'!J208,'3 Electricity'!$F$188:$N$192,9,FALSE)),0)</f>
        <v>0</v>
      </c>
      <c r="M208" s="105" t="str">
        <f>IF($D$199=$N$201,"",VLOOKUP(J208,'3 Electricity'!$F$188:$N$192,8,FALSE))</f>
        <v/>
      </c>
      <c r="N208" s="107">
        <f ca="1">$E$191</f>
        <v>3.5980061104850383</v>
      </c>
      <c r="O208" s="107">
        <f ca="1">$O$204</f>
        <v>2.9819428113304203</v>
      </c>
    </row>
    <row r="209" spans="3:15" x14ac:dyDescent="0.55000000000000004">
      <c r="C209" s="124"/>
      <c r="H209" s="125"/>
      <c r="J209" s="224"/>
      <c r="K209" s="224"/>
      <c r="L209" s="224"/>
      <c r="M209" s="224"/>
      <c r="N209" s="224"/>
      <c r="O209" s="224"/>
    </row>
    <row r="210" spans="3:15" x14ac:dyDescent="0.55000000000000004">
      <c r="C210" s="124"/>
      <c r="H210" s="125"/>
      <c r="J210" s="224"/>
      <c r="K210" s="224"/>
      <c r="L210" s="224"/>
      <c r="M210" s="224"/>
      <c r="N210" s="224"/>
      <c r="O210" s="224"/>
    </row>
    <row r="211" spans="3:15" x14ac:dyDescent="0.55000000000000004">
      <c r="C211" s="124"/>
      <c r="H211" s="125"/>
      <c r="J211" s="224"/>
      <c r="K211" s="224"/>
      <c r="L211" s="224"/>
      <c r="M211" s="224"/>
      <c r="N211" s="224"/>
      <c r="O211" s="224"/>
    </row>
    <row r="212" spans="3:15" x14ac:dyDescent="0.55000000000000004">
      <c r="C212" s="124"/>
      <c r="H212" s="125"/>
      <c r="J212" s="224"/>
      <c r="K212" s="224"/>
      <c r="L212" s="224"/>
      <c r="M212" s="224"/>
      <c r="N212" s="224"/>
      <c r="O212" s="224"/>
    </row>
    <row r="213" spans="3:15" x14ac:dyDescent="0.55000000000000004">
      <c r="C213" s="124"/>
      <c r="H213" s="125"/>
      <c r="J213" s="224"/>
      <c r="K213" s="224"/>
      <c r="L213" s="224"/>
      <c r="M213" s="224"/>
      <c r="N213" s="224"/>
      <c r="O213" s="224"/>
    </row>
    <row r="214" spans="3:15" x14ac:dyDescent="0.55000000000000004">
      <c r="C214" s="124"/>
      <c r="H214" s="125"/>
      <c r="J214" s="224"/>
      <c r="K214" s="224"/>
      <c r="L214" s="224"/>
      <c r="M214" s="224"/>
      <c r="N214" s="224"/>
      <c r="O214" s="224"/>
    </row>
    <row r="215" spans="3:15" x14ac:dyDescent="0.55000000000000004">
      <c r="C215" s="124"/>
      <c r="H215" s="125"/>
      <c r="J215" s="224"/>
      <c r="K215" s="224"/>
      <c r="L215" s="224"/>
      <c r="M215" s="224"/>
      <c r="N215" s="224"/>
      <c r="O215" s="224"/>
    </row>
    <row r="216" spans="3:15" x14ac:dyDescent="0.55000000000000004">
      <c r="C216" s="124"/>
      <c r="H216" s="125"/>
      <c r="J216" s="224"/>
      <c r="K216" s="224"/>
      <c r="L216" s="224"/>
      <c r="M216" s="224"/>
      <c r="N216" s="224"/>
      <c r="O216" s="224"/>
    </row>
    <row r="217" spans="3:15" x14ac:dyDescent="0.55000000000000004">
      <c r="C217" s="124"/>
      <c r="H217" s="125"/>
      <c r="J217" s="224"/>
      <c r="K217" s="224"/>
      <c r="L217" s="224"/>
      <c r="M217" s="224"/>
      <c r="N217" s="224"/>
      <c r="O217" s="224"/>
    </row>
    <row r="218" spans="3:15" x14ac:dyDescent="0.55000000000000004">
      <c r="C218" s="124"/>
      <c r="H218" s="125"/>
      <c r="J218" s="224"/>
      <c r="K218" s="224"/>
      <c r="L218" s="224"/>
      <c r="M218" s="224"/>
      <c r="N218" s="224"/>
      <c r="O218" s="224"/>
    </row>
    <row r="219" spans="3:15" x14ac:dyDescent="0.55000000000000004">
      <c r="C219" s="124"/>
      <c r="H219" s="125"/>
      <c r="J219" s="224"/>
      <c r="K219" s="224"/>
      <c r="L219" s="224"/>
      <c r="M219" s="224"/>
      <c r="N219" s="224"/>
      <c r="O219" s="224"/>
    </row>
    <row r="220" spans="3:15" ht="14.7" thickBot="1" x14ac:dyDescent="0.6">
      <c r="C220" s="130"/>
      <c r="D220" s="131"/>
      <c r="E220" s="131"/>
      <c r="F220" s="131"/>
      <c r="G220" s="131"/>
      <c r="H220" s="132"/>
      <c r="J220" s="224"/>
      <c r="K220" s="224"/>
      <c r="L220" s="224"/>
      <c r="M220" s="224"/>
      <c r="N220" s="224"/>
      <c r="O220" s="224"/>
    </row>
    <row r="221" spans="3:15" x14ac:dyDescent="0.55000000000000004">
      <c r="J221" s="224"/>
      <c r="K221" s="224"/>
      <c r="L221" s="224"/>
      <c r="M221" s="224"/>
      <c r="N221" s="224"/>
      <c r="O221" s="224"/>
    </row>
    <row r="222" spans="3:15" ht="14.7" thickBot="1" x14ac:dyDescent="0.6">
      <c r="J222" s="224"/>
      <c r="K222" s="224"/>
      <c r="L222" s="224"/>
      <c r="M222" s="224"/>
      <c r="N222" s="224"/>
      <c r="O222" s="224"/>
    </row>
    <row r="223" spans="3:15" x14ac:dyDescent="0.55000000000000004">
      <c r="C223" s="121"/>
      <c r="D223" s="122"/>
      <c r="E223" s="122"/>
      <c r="F223" s="122"/>
      <c r="G223" s="122"/>
      <c r="H223" s="123"/>
      <c r="J223" s="224"/>
      <c r="K223" s="224"/>
      <c r="L223" s="224"/>
      <c r="M223" s="224"/>
      <c r="N223" s="224"/>
      <c r="O223" s="224"/>
    </row>
    <row r="224" spans="3:15" ht="15.6" x14ac:dyDescent="0.6">
      <c r="C224" s="124"/>
      <c r="D224" s="98" t="str">
        <f>'2 Customer data'!D96</f>
        <v>Small Customers: TOU</v>
      </c>
      <c r="H224" s="125"/>
      <c r="J224" s="224"/>
      <c r="K224" s="224"/>
      <c r="L224" s="224"/>
      <c r="M224" s="224"/>
      <c r="N224" s="224"/>
      <c r="O224" s="224"/>
    </row>
    <row r="225" spans="3:15" x14ac:dyDescent="0.55000000000000004">
      <c r="C225" s="124"/>
      <c r="H225" s="125"/>
      <c r="J225" s="224"/>
      <c r="K225" s="224"/>
      <c r="L225" s="224"/>
      <c r="M225" s="224"/>
      <c r="N225" s="224"/>
      <c r="O225" s="224"/>
    </row>
    <row r="226" spans="3:15" x14ac:dyDescent="0.55000000000000004">
      <c r="C226" s="124"/>
      <c r="E226" s="220" t="s">
        <v>250</v>
      </c>
      <c r="H226" s="125"/>
      <c r="J226" s="224"/>
      <c r="K226" s="224"/>
      <c r="L226" s="224"/>
      <c r="M226" s="224"/>
      <c r="N226" s="224"/>
      <c r="O226" s="224"/>
    </row>
    <row r="227" spans="3:15" x14ac:dyDescent="0.55000000000000004">
      <c r="C227" s="124"/>
      <c r="D227" t="s">
        <v>393</v>
      </c>
      <c r="E227" s="26">
        <f ca="1">VLOOKUP(D224,'2 Electricity'!$D$21:$L$40,6,FALSE)</f>
        <v>13376.092335559833</v>
      </c>
      <c r="H227" s="125"/>
      <c r="J227" s="224"/>
      <c r="K227" s="224"/>
      <c r="L227" s="224"/>
      <c r="M227" s="224"/>
      <c r="N227" s="224"/>
      <c r="O227" s="224"/>
    </row>
    <row r="228" spans="3:15" x14ac:dyDescent="0.55000000000000004">
      <c r="C228" s="124"/>
      <c r="D228" t="s">
        <v>249</v>
      </c>
      <c r="E228" s="99">
        <f ca="1">VLOOKUP(D224,'2 Electricity'!$D$21:$L$40,7,FALSE)</f>
        <v>34778.399008546694</v>
      </c>
      <c r="H228" s="125"/>
      <c r="J228" s="224"/>
      <c r="K228" s="224"/>
      <c r="L228" s="224"/>
      <c r="M228" s="224"/>
      <c r="N228" s="224"/>
      <c r="O228" s="224"/>
    </row>
    <row r="229" spans="3:15" x14ac:dyDescent="0.55000000000000004">
      <c r="C229" s="124"/>
      <c r="D229" t="s">
        <v>52</v>
      </c>
      <c r="E229" s="26">
        <f ca="1">VLOOKUP(D224,'2 Electricity'!$D$21:$L$40,8,FALSE)</f>
        <v>0</v>
      </c>
      <c r="H229" s="125"/>
      <c r="J229" s="224"/>
      <c r="K229" s="224"/>
      <c r="L229" s="224"/>
      <c r="M229" s="224"/>
      <c r="N229" s="224"/>
      <c r="O229" s="224"/>
    </row>
    <row r="230" spans="3:15" ht="14.7" thickBot="1" x14ac:dyDescent="0.6">
      <c r="C230" s="124"/>
      <c r="D230" s="1" t="s">
        <v>39</v>
      </c>
      <c r="E230" s="37">
        <f ca="1">VLOOKUP(D224,'2 Electricity'!D$21:L$40,9,FALSE)</f>
        <v>48154.491344106529</v>
      </c>
      <c r="H230" s="125"/>
      <c r="J230" s="224"/>
      <c r="K230" s="224"/>
      <c r="L230" s="224"/>
      <c r="M230" s="224"/>
      <c r="N230" s="224"/>
      <c r="O230" s="224"/>
    </row>
    <row r="231" spans="3:15" ht="14.7" thickTop="1" x14ac:dyDescent="0.55000000000000004">
      <c r="C231" s="124"/>
      <c r="H231" s="125"/>
      <c r="J231" s="224"/>
      <c r="K231" s="224"/>
      <c r="L231" s="224"/>
      <c r="M231" s="224"/>
      <c r="N231" s="224"/>
      <c r="O231" s="224"/>
    </row>
    <row r="232" spans="3:15" x14ac:dyDescent="0.55000000000000004">
      <c r="C232" s="124"/>
      <c r="D232" t="s">
        <v>189</v>
      </c>
      <c r="E232" s="26">
        <f>IFERROR(IF(VLOOKUP(D224,'2 Electricity'!$D$126:$K$145,7,FALSE)="",VLOOKUP('2 Electricity'!$D$126:$K$145,6,FALSE),VLOOKUP(D224,'2 Electricity'!$D$126:$K$145,7,FALSE))+VLOOKUP(D224,'2 Electricity'!$D$157:$J$176,5,FALSE),0)</f>
        <v>0</v>
      </c>
      <c r="H232" s="125"/>
      <c r="J232" s="224"/>
      <c r="K232" s="224"/>
      <c r="L232" s="224"/>
      <c r="M232" s="224"/>
      <c r="N232" s="224"/>
      <c r="O232" s="224"/>
    </row>
    <row r="233" spans="3:15" x14ac:dyDescent="0.55000000000000004">
      <c r="C233" s="124"/>
      <c r="H233" s="125"/>
      <c r="J233" s="224"/>
      <c r="K233" s="224"/>
      <c r="L233" s="224"/>
      <c r="M233" s="224"/>
      <c r="N233" s="224"/>
      <c r="O233" s="224"/>
    </row>
    <row r="234" spans="3:15" x14ac:dyDescent="0.55000000000000004">
      <c r="C234" s="124"/>
      <c r="D234" t="s">
        <v>371</v>
      </c>
      <c r="E234" s="64">
        <f ca="1">IF(VLOOKUP(D224,'2 Electricity'!$D$56:$M$75,5,FALSE)="",VLOOKUP(D224,'2 Electricity'!$D$56:$M$75,4,FALSE),VLOOKUP(D224,'2 Electricity'!$D$56:$M$75,5,FALSE))</f>
        <v>0</v>
      </c>
      <c r="H234" s="125"/>
      <c r="J234" s="224"/>
      <c r="K234" s="224"/>
      <c r="L234" s="224"/>
      <c r="M234" s="224"/>
      <c r="N234" s="224"/>
      <c r="O234" s="224"/>
    </row>
    <row r="235" spans="3:15" x14ac:dyDescent="0.55000000000000004">
      <c r="C235" s="124"/>
      <c r="D235" t="s">
        <v>372</v>
      </c>
      <c r="E235" s="26">
        <f ca="1">IF(VLOOKUP(D224,'2 Electricity'!$D$56:$M$75,7,FALSE)="",VLOOKUP(D224,'2 Electricity'!$D$56:$M$75,6,FALSE),VLOOKUP(D224,'2 Electricity'!$D$56:$M$75,7,FALSE))</f>
        <v>4511.9398241618237</v>
      </c>
      <c r="H235" s="125"/>
      <c r="J235" s="224"/>
      <c r="K235" s="224"/>
      <c r="L235" s="224"/>
      <c r="M235" s="224"/>
      <c r="N235" s="224"/>
      <c r="O235" s="224"/>
    </row>
    <row r="236" spans="3:15" x14ac:dyDescent="0.55000000000000004">
      <c r="C236" s="124"/>
      <c r="D236" t="s">
        <v>373</v>
      </c>
      <c r="E236" s="26">
        <f ca="1">IF(VLOOKUP(D224,'2 Electricity'!$D$56:$M$75,9,FALSE)="",VLOOKUP(D224,'2 Electricity'!$D$56:$M$75,8,FALSE),VLOOKUP(D224,'2 Electricity'!$D$56:$M$75,9,FALSE))</f>
        <v>0</v>
      </c>
      <c r="H236" s="125"/>
      <c r="J236" s="224"/>
      <c r="K236" s="224"/>
      <c r="L236" s="224"/>
      <c r="M236" s="224"/>
      <c r="N236" s="224"/>
      <c r="O236" s="224"/>
    </row>
    <row r="237" spans="3:15" x14ac:dyDescent="0.55000000000000004">
      <c r="C237" s="124"/>
      <c r="D237" t="s">
        <v>374</v>
      </c>
      <c r="E237" s="26">
        <f ca="1">IF(VLOOKUP(D224,'2 Electricity'!$D$92:$I$111,5,FALSE)="",VLOOKUP(D224,'2 Electricity'!$D$92:$I$111,4,FALSE),VLOOKUP(D224,'2 Electricity'!$D$92:$I$111,5,FALSE))</f>
        <v>0</v>
      </c>
      <c r="H237" s="125"/>
      <c r="J237" s="224"/>
      <c r="K237" s="224"/>
      <c r="L237" s="224"/>
      <c r="M237" s="224"/>
      <c r="N237" s="224"/>
      <c r="O237" s="224"/>
    </row>
    <row r="238" spans="3:15" ht="14.7" thickBot="1" x14ac:dyDescent="0.6">
      <c r="C238" s="124"/>
      <c r="D238" s="1" t="s">
        <v>145</v>
      </c>
      <c r="E238" s="37">
        <f ca="1">SUM(E234:E237)</f>
        <v>4511.9398241618237</v>
      </c>
      <c r="H238" s="125"/>
      <c r="J238" s="224"/>
      <c r="K238" s="224"/>
      <c r="L238" s="224"/>
      <c r="M238" s="224"/>
      <c r="N238" s="224"/>
      <c r="O238" s="224"/>
    </row>
    <row r="239" spans="3:15" ht="14.7" thickTop="1" x14ac:dyDescent="0.55000000000000004">
      <c r="C239" s="124"/>
      <c r="D239" s="1"/>
      <c r="E239" s="15"/>
      <c r="H239" s="125"/>
      <c r="J239" s="224"/>
      <c r="K239" s="224"/>
      <c r="L239" s="224"/>
      <c r="M239" s="224"/>
      <c r="N239" s="224"/>
      <c r="O239" s="224"/>
    </row>
    <row r="240" spans="3:15" x14ac:dyDescent="0.55000000000000004">
      <c r="C240" s="124"/>
      <c r="D240" t="s">
        <v>384</v>
      </c>
      <c r="E240" s="26">
        <f ca="1">IF(VLOOKUP(D224,'2 Electricity'!$D$126:$K$145,5,FALSE)="",VLOOKUP(D224,'2 Electricity'!$D$126:$K$145,4,FALSE),VLOOKUP(D224,'2 Electricity'!$D$126:$K$145,5,FALSE))+VLOOKUP(D224,'2 Electricity'!$D$157:$J$176,7,FALSE)</f>
        <v>0</v>
      </c>
      <c r="H240" s="125"/>
      <c r="J240" s="224"/>
      <c r="K240" s="224"/>
      <c r="L240" s="224"/>
      <c r="M240" s="224"/>
      <c r="N240" s="224"/>
      <c r="O240" s="224"/>
    </row>
    <row r="241" spans="3:15" x14ac:dyDescent="0.55000000000000004">
      <c r="C241" s="124"/>
      <c r="H241" s="125"/>
      <c r="J241" s="224"/>
      <c r="K241" s="224"/>
      <c r="L241" s="224"/>
      <c r="M241" s="224"/>
      <c r="N241" s="224"/>
      <c r="O241" s="224"/>
    </row>
    <row r="242" spans="3:15" ht="14.7" thickBot="1" x14ac:dyDescent="0.6">
      <c r="C242" s="124"/>
      <c r="D242" s="1" t="s">
        <v>375</v>
      </c>
      <c r="E242" s="37">
        <f ca="1">VLOOKUP(D224,'2 Electricity'!$D$157:$K$176,8,FALSE)</f>
        <v>43642.551519944704</v>
      </c>
      <c r="H242" s="125"/>
      <c r="J242" s="224"/>
      <c r="K242" s="224"/>
      <c r="L242" s="224"/>
      <c r="M242" s="224"/>
      <c r="N242" s="224"/>
      <c r="O242" s="224"/>
    </row>
    <row r="243" spans="3:15" ht="14.7" thickTop="1" x14ac:dyDescent="0.55000000000000004">
      <c r="C243" s="124"/>
      <c r="H243" s="125"/>
      <c r="J243" s="224"/>
      <c r="K243" s="224"/>
      <c r="L243" s="224"/>
      <c r="M243" s="224"/>
      <c r="N243" s="224"/>
      <c r="O243" s="224"/>
    </row>
    <row r="244" spans="3:15" x14ac:dyDescent="0.55000000000000004">
      <c r="C244" s="124"/>
      <c r="H244" s="125"/>
      <c r="J244" s="224"/>
      <c r="K244" s="224"/>
      <c r="L244" s="224"/>
      <c r="M244" s="224"/>
      <c r="N244" s="224"/>
      <c r="O244" s="224"/>
    </row>
    <row r="245" spans="3:15" x14ac:dyDescent="0.55000000000000004">
      <c r="C245" s="124"/>
      <c r="H245" s="125"/>
      <c r="J245" s="224"/>
      <c r="K245" s="224"/>
      <c r="L245" s="224"/>
      <c r="M245" s="224"/>
      <c r="N245" s="224"/>
      <c r="O245" s="224"/>
    </row>
    <row r="246" spans="3:15" x14ac:dyDescent="0.55000000000000004">
      <c r="C246" s="124"/>
      <c r="H246" s="125"/>
      <c r="J246" s="224"/>
      <c r="K246" s="224"/>
      <c r="L246" s="224"/>
      <c r="M246" s="224"/>
      <c r="N246" s="224"/>
      <c r="O246" s="224"/>
    </row>
    <row r="247" spans="3:15" x14ac:dyDescent="0.55000000000000004">
      <c r="C247" s="124"/>
      <c r="H247" s="125"/>
      <c r="J247" s="224"/>
      <c r="K247" s="224"/>
      <c r="L247" s="224"/>
      <c r="M247" s="224"/>
      <c r="N247" s="224"/>
      <c r="O247" s="224"/>
    </row>
    <row r="248" spans="3:15" x14ac:dyDescent="0.55000000000000004">
      <c r="C248" s="124"/>
      <c r="H248" s="125"/>
      <c r="J248" s="224"/>
      <c r="K248" s="224"/>
      <c r="L248" s="224"/>
      <c r="M248" s="224"/>
      <c r="N248" s="224"/>
      <c r="O248" s="224"/>
    </row>
    <row r="249" spans="3:15" x14ac:dyDescent="0.55000000000000004">
      <c r="C249" s="124"/>
      <c r="H249" s="125"/>
      <c r="J249" s="232" t="s">
        <v>385</v>
      </c>
      <c r="K249" s="224"/>
      <c r="L249" s="224"/>
      <c r="M249" s="224"/>
      <c r="N249" s="224"/>
      <c r="O249" s="224"/>
    </row>
    <row r="250" spans="3:15" x14ac:dyDescent="0.55000000000000004">
      <c r="C250" s="124"/>
      <c r="H250" s="125"/>
      <c r="J250" s="110"/>
      <c r="K250" s="102" t="s">
        <v>390</v>
      </c>
      <c r="L250" s="102" t="s">
        <v>391</v>
      </c>
      <c r="M250" s="224"/>
      <c r="N250" s="224"/>
      <c r="O250" s="224"/>
    </row>
    <row r="251" spans="3:15" x14ac:dyDescent="0.55000000000000004">
      <c r="C251" s="124"/>
      <c r="H251" s="125"/>
      <c r="J251" s="110" t="s">
        <v>393</v>
      </c>
      <c r="K251" s="100">
        <f ca="1">E227/1000</f>
        <v>13.376092335559834</v>
      </c>
      <c r="L251" s="102"/>
      <c r="M251" s="224"/>
      <c r="N251" s="224"/>
      <c r="O251" s="224"/>
    </row>
    <row r="252" spans="3:15" x14ac:dyDescent="0.55000000000000004">
      <c r="C252" s="124"/>
      <c r="H252" s="125"/>
      <c r="J252" s="110" t="s">
        <v>249</v>
      </c>
      <c r="K252" s="100">
        <f ca="1">E228/1000</f>
        <v>34.778399008546693</v>
      </c>
      <c r="L252" s="110"/>
      <c r="M252" s="224"/>
      <c r="N252" s="224"/>
      <c r="O252" s="224"/>
    </row>
    <row r="253" spans="3:15" x14ac:dyDescent="0.55000000000000004">
      <c r="C253" s="124"/>
      <c r="H253" s="125"/>
      <c r="J253" s="110" t="s">
        <v>52</v>
      </c>
      <c r="K253" s="100">
        <f ca="1">E229/1000</f>
        <v>0</v>
      </c>
      <c r="L253" s="110"/>
      <c r="M253" s="224"/>
      <c r="N253" s="224"/>
      <c r="O253" s="224"/>
    </row>
    <row r="254" spans="3:15" x14ac:dyDescent="0.55000000000000004">
      <c r="C254" s="124"/>
      <c r="H254" s="125"/>
      <c r="J254" s="110" t="s">
        <v>471</v>
      </c>
      <c r="K254" s="100">
        <f>E232/1000</f>
        <v>0</v>
      </c>
      <c r="L254" s="110"/>
      <c r="M254" s="224"/>
      <c r="N254" s="224"/>
      <c r="O254" s="224"/>
    </row>
    <row r="255" spans="3:15" x14ac:dyDescent="0.55000000000000004">
      <c r="C255" s="124"/>
      <c r="H255" s="125"/>
      <c r="J255" s="110" t="s">
        <v>563</v>
      </c>
      <c r="K255" s="100"/>
      <c r="L255" s="101">
        <f ca="1">E242/1000</f>
        <v>43.642551519944703</v>
      </c>
      <c r="M255" s="224"/>
      <c r="N255" s="224"/>
      <c r="O255" s="224"/>
    </row>
    <row r="256" spans="3:15" x14ac:dyDescent="0.55000000000000004">
      <c r="C256" s="124"/>
      <c r="H256" s="125"/>
      <c r="J256" s="110" t="s">
        <v>564</v>
      </c>
      <c r="K256" s="100"/>
      <c r="L256" s="101">
        <f ca="1">E237/1000</f>
        <v>0</v>
      </c>
      <c r="M256" s="224"/>
      <c r="N256" s="224"/>
      <c r="O256" s="224"/>
    </row>
    <row r="257" spans="3:15" x14ac:dyDescent="0.55000000000000004">
      <c r="C257" s="124"/>
      <c r="H257" s="125"/>
      <c r="J257" s="110" t="s">
        <v>565</v>
      </c>
      <c r="K257" s="100"/>
      <c r="L257" s="101">
        <f ca="1">SUM(E234:E236)/1000</f>
        <v>4.511939824161824</v>
      </c>
      <c r="M257" s="224"/>
      <c r="N257" s="224"/>
      <c r="O257" s="224"/>
    </row>
    <row r="258" spans="3:15" x14ac:dyDescent="0.55000000000000004">
      <c r="C258" s="124"/>
      <c r="H258" s="125"/>
      <c r="J258" s="110" t="s">
        <v>566</v>
      </c>
      <c r="K258" s="100"/>
      <c r="L258" s="101">
        <f ca="1">E240/1000</f>
        <v>0</v>
      </c>
      <c r="M258" s="224"/>
      <c r="N258" s="224"/>
      <c r="O258" s="224"/>
    </row>
    <row r="259" spans="3:15" x14ac:dyDescent="0.55000000000000004">
      <c r="C259" s="124"/>
      <c r="H259" s="125"/>
      <c r="J259" s="110"/>
      <c r="K259" s="110"/>
      <c r="L259" s="110"/>
      <c r="M259" s="224"/>
      <c r="N259" s="224"/>
      <c r="O259" s="224"/>
    </row>
    <row r="260" spans="3:15" x14ac:dyDescent="0.55000000000000004">
      <c r="C260" s="124"/>
      <c r="H260" s="125"/>
      <c r="J260" s="224"/>
      <c r="K260" s="224"/>
      <c r="L260" s="224"/>
      <c r="M260" s="224"/>
      <c r="N260" s="224"/>
      <c r="O260" s="224"/>
    </row>
    <row r="261" spans="3:15" x14ac:dyDescent="0.55000000000000004">
      <c r="C261" s="124"/>
      <c r="H261" s="125"/>
      <c r="J261" s="224"/>
      <c r="K261" s="224"/>
      <c r="L261" s="224"/>
      <c r="M261" s="224"/>
      <c r="N261" s="224"/>
      <c r="O261" s="224"/>
    </row>
    <row r="262" spans="3:15" x14ac:dyDescent="0.55000000000000004">
      <c r="C262" s="124"/>
      <c r="E262" s="220" t="s">
        <v>250</v>
      </c>
      <c r="H262" s="125"/>
      <c r="J262" s="224"/>
      <c r="K262" s="224"/>
      <c r="L262" s="224"/>
      <c r="M262" s="224"/>
      <c r="N262" s="224"/>
      <c r="O262" s="224"/>
    </row>
    <row r="263" spans="3:15" x14ac:dyDescent="0.55000000000000004">
      <c r="C263" s="124"/>
      <c r="D263" t="s">
        <v>394</v>
      </c>
      <c r="E263" s="64">
        <f ca="1">VLOOKUP(D224,'2 Electricity'!$D$157:$M$176,10,FALSE)</f>
        <v>4.1288254603538137</v>
      </c>
      <c r="H263" s="125"/>
      <c r="J263" s="224"/>
      <c r="K263" s="224"/>
      <c r="L263" s="224"/>
      <c r="M263" s="224"/>
      <c r="N263" s="224"/>
      <c r="O263" s="224"/>
    </row>
    <row r="264" spans="3:15" x14ac:dyDescent="0.55000000000000004">
      <c r="C264" s="124"/>
      <c r="D264" t="s">
        <v>395</v>
      </c>
      <c r="E264" s="64">
        <f ca="1">VLOOKUP(D224,'2 Electricity'!$D$157:$M$176,9,FALSE)</f>
        <v>3.7419661767936812</v>
      </c>
      <c r="H264" s="125"/>
      <c r="J264" s="224"/>
      <c r="K264" s="224"/>
      <c r="L264" s="224"/>
      <c r="M264" s="224"/>
      <c r="N264" s="224"/>
      <c r="O264" s="224"/>
    </row>
    <row r="265" spans="3:15" x14ac:dyDescent="0.55000000000000004">
      <c r="C265" s="124"/>
      <c r="D265" t="s">
        <v>378</v>
      </c>
      <c r="E265" s="97">
        <f ca="1">IFERROR(IF(E232=0,E240,E232)/E230,0)</f>
        <v>0</v>
      </c>
      <c r="H265" s="125"/>
      <c r="J265" s="224"/>
      <c r="K265" s="224"/>
      <c r="L265" s="224"/>
      <c r="M265" s="224"/>
      <c r="N265" s="224"/>
      <c r="O265" s="224"/>
    </row>
    <row r="266" spans="3:15" x14ac:dyDescent="0.55000000000000004">
      <c r="C266" s="124"/>
      <c r="H266" s="125"/>
      <c r="J266" s="224"/>
      <c r="K266" s="224"/>
      <c r="L266" s="224"/>
      <c r="M266" s="224"/>
      <c r="N266" s="224"/>
      <c r="O266" s="224"/>
    </row>
    <row r="267" spans="3:15" x14ac:dyDescent="0.55000000000000004">
      <c r="C267" s="124"/>
      <c r="D267" t="s">
        <v>379</v>
      </c>
      <c r="E267" s="26">
        <f>'3 Electricity'!I212</f>
        <v>0</v>
      </c>
      <c r="H267" s="125"/>
      <c r="J267" s="224"/>
      <c r="K267" s="224"/>
      <c r="L267" s="224"/>
      <c r="M267" s="224"/>
      <c r="N267" s="224"/>
      <c r="O267" s="224"/>
    </row>
    <row r="268" spans="3:15" x14ac:dyDescent="0.55000000000000004">
      <c r="C268" s="124"/>
      <c r="D268" t="s">
        <v>380</v>
      </c>
      <c r="E268" s="97">
        <f ca="1">IFERROR('3 Electricity'!J212/'3 Electricity'!G212,0)</f>
        <v>0</v>
      </c>
      <c r="H268" s="125"/>
      <c r="J268" s="224"/>
      <c r="K268" s="224"/>
      <c r="L268" s="224"/>
      <c r="M268" s="224"/>
      <c r="N268" s="224"/>
      <c r="O268" s="224"/>
    </row>
    <row r="269" spans="3:15" x14ac:dyDescent="0.55000000000000004">
      <c r="C269" s="124"/>
      <c r="H269" s="125"/>
      <c r="J269" s="224"/>
      <c r="K269" s="224"/>
      <c r="L269" s="224"/>
      <c r="M269" s="224"/>
      <c r="N269" s="224"/>
      <c r="O269" s="224"/>
    </row>
    <row r="270" spans="3:15" x14ac:dyDescent="0.55000000000000004">
      <c r="C270" s="124"/>
      <c r="D270" s="1" t="s">
        <v>381</v>
      </c>
      <c r="H270" s="125"/>
      <c r="J270" s="224"/>
      <c r="K270" s="224"/>
      <c r="L270" s="224"/>
      <c r="M270" s="224"/>
      <c r="N270" s="224"/>
      <c r="O270" s="224"/>
    </row>
    <row r="271" spans="3:15" x14ac:dyDescent="0.55000000000000004">
      <c r="C271" s="124"/>
      <c r="D271" s="1" t="str">
        <f>'3 Electricity'!G220</f>
        <v xml:space="preserve">Seasonal </v>
      </c>
      <c r="H271" s="125"/>
      <c r="J271" s="224"/>
      <c r="K271" s="224"/>
      <c r="L271" s="224"/>
      <c r="M271" s="224"/>
      <c r="N271" s="224"/>
      <c r="O271" s="224"/>
    </row>
    <row r="272" spans="3:15" x14ac:dyDescent="0.55000000000000004">
      <c r="C272" s="124"/>
      <c r="H272" s="125"/>
      <c r="J272" s="224"/>
      <c r="K272" s="224"/>
      <c r="L272" s="224"/>
      <c r="M272" s="224"/>
      <c r="N272" s="224"/>
      <c r="O272" s="224"/>
    </row>
    <row r="273" spans="3:15" x14ac:dyDescent="0.55000000000000004">
      <c r="C273" s="124"/>
      <c r="H273" s="125"/>
      <c r="J273" s="224"/>
      <c r="K273" s="224"/>
      <c r="L273" s="224"/>
      <c r="M273" s="224"/>
      <c r="N273" s="224" t="s">
        <v>89</v>
      </c>
      <c r="O273" s="224"/>
    </row>
    <row r="274" spans="3:15" x14ac:dyDescent="0.55000000000000004">
      <c r="C274" s="124"/>
      <c r="H274" s="125"/>
      <c r="J274" s="224"/>
      <c r="K274" s="224"/>
      <c r="L274" s="224"/>
      <c r="M274" s="224"/>
      <c r="N274" s="224"/>
      <c r="O274" s="224"/>
    </row>
    <row r="275" spans="3:15" ht="43.2" x14ac:dyDescent="0.55000000000000004">
      <c r="C275" s="124"/>
      <c r="H275" s="125"/>
      <c r="J275" s="229" t="s">
        <v>383</v>
      </c>
      <c r="K275" s="229" t="s">
        <v>382</v>
      </c>
      <c r="L275" s="108" t="str">
        <f>IF(D271=N273,"Annual Tariff","Low Season Tariff")</f>
        <v>Low Season Tariff</v>
      </c>
      <c r="M275" s="109" t="str">
        <f>IF(D271=N273,"","High Season Tariff")</f>
        <v>High Season Tariff</v>
      </c>
      <c r="N275" s="108" t="s">
        <v>392</v>
      </c>
      <c r="O275" s="229" t="s">
        <v>580</v>
      </c>
    </row>
    <row r="276" spans="3:15" x14ac:dyDescent="0.55000000000000004">
      <c r="C276" s="124"/>
      <c r="H276" s="125"/>
      <c r="J276" s="102">
        <v>1</v>
      </c>
      <c r="K276" s="102">
        <f>IFERROR(IF('3 Electricity'!$G$220='3 Electricity'!$V$220,VLOOKUP('Electricity report'!J276,'3 Electricity'!$F$231:$K$235,3,FALSE),VLOOKUP('Electricity report'!J276,'3 Electricity'!$F$250:$N$254,3,FALSE)),0)</f>
        <v>0</v>
      </c>
      <c r="L276" s="103">
        <f ca="1">IFERROR(IF('3 Electricity'!$G$220='3 Electricity'!$V$220,VLOOKUP('Electricity report'!J276,'3 Electricity'!$F$231:$K$235,6,FALSE),VLOOKUP('Electricity report'!J276,'3 Electricity'!$F$250:$N$254,9,FALSE)),0)</f>
        <v>3.3128886177056009</v>
      </c>
      <c r="M276" s="105">
        <f ca="1">IF($D$271=$N$273,"",VLOOKUP(J276,'3 Electricity'!$F$250:$N$254,8,FALSE))</f>
        <v>4.193932908488045</v>
      </c>
      <c r="N276" s="107">
        <f ca="1">$E$263</f>
        <v>4.1288254603538137</v>
      </c>
      <c r="O276" s="105">
        <f ca="1">IFERROR('3 Electricity'!J204/'3 Electricity'!H204,0)</f>
        <v>2.9819428113304203</v>
      </c>
    </row>
    <row r="277" spans="3:15" x14ac:dyDescent="0.55000000000000004">
      <c r="C277" s="124"/>
      <c r="H277" s="125"/>
      <c r="J277" s="102">
        <v>2</v>
      </c>
      <c r="K277" s="102">
        <f>IFERROR(IF('3 Electricity'!$G$220='3 Electricity'!$V$220,VLOOKUP('Electricity report'!J277,'3 Electricity'!$F$231:$K$235,3,FALSE),VLOOKUP('Electricity report'!J277,'3 Electricity'!$F$250:$N$254,3,FALSE)),0)</f>
        <v>0</v>
      </c>
      <c r="L277" s="103">
        <f>IFERROR(IF('3 Electricity'!$G$220='3 Electricity'!$V$220,VLOOKUP('Electricity report'!J277,'3 Electricity'!$F$231:$K$235,6,FALSE),VLOOKUP('Electricity report'!J277,'3 Electricity'!$F$250:$N$254,9,FALSE)),0)</f>
        <v>0</v>
      </c>
      <c r="M277" s="105" t="e">
        <f>IF($D$271=$N$273,"",VLOOKUP(J277,'3 Electricity'!$F$250:$N$254,8,FALSE))</f>
        <v>#N/A</v>
      </c>
      <c r="N277" s="107">
        <f ca="1">$E$263</f>
        <v>4.1288254603538137</v>
      </c>
      <c r="O277" s="107">
        <f ca="1">$O$276</f>
        <v>2.9819428113304203</v>
      </c>
    </row>
    <row r="278" spans="3:15" x14ac:dyDescent="0.55000000000000004">
      <c r="C278" s="124"/>
      <c r="H278" s="125"/>
      <c r="J278" s="102">
        <v>3</v>
      </c>
      <c r="K278" s="102">
        <f>IFERROR(IF('3 Electricity'!$G$220='3 Electricity'!$V$220,VLOOKUP('Electricity report'!J278,'3 Electricity'!$F$231:$K$235,3,FALSE),VLOOKUP('Electricity report'!J278,'3 Electricity'!$F$250:$N$254,3,FALSE)),0)</f>
        <v>0</v>
      </c>
      <c r="L278" s="103">
        <f>IFERROR(IF('3 Electricity'!$G$220='3 Electricity'!$V$220,VLOOKUP('Electricity report'!J278,'3 Electricity'!$F$231:$K$235,6,FALSE),VLOOKUP('Electricity report'!J278,'3 Electricity'!$F$250:$N$254,9,FALSE)),0)</f>
        <v>0</v>
      </c>
      <c r="M278" s="105" t="e">
        <f>IF($D$271=$N$273,"",VLOOKUP(J278,'3 Electricity'!$F$250:$N$254,8,FALSE))</f>
        <v>#N/A</v>
      </c>
      <c r="N278" s="107">
        <f ca="1">$E$263</f>
        <v>4.1288254603538137</v>
      </c>
      <c r="O278" s="107">
        <f ca="1">$O$276</f>
        <v>2.9819428113304203</v>
      </c>
    </row>
    <row r="279" spans="3:15" x14ac:dyDescent="0.55000000000000004">
      <c r="C279" s="124"/>
      <c r="H279" s="125"/>
      <c r="J279" s="102">
        <v>4</v>
      </c>
      <c r="K279" s="102">
        <f>IFERROR(IF('3 Electricity'!$G$220='3 Electricity'!$V$220,VLOOKUP('Electricity report'!J279,'3 Electricity'!$F$231:$K$235,3,FALSE),VLOOKUP('Electricity report'!J279,'3 Electricity'!$F$250:$N$254,3,FALSE)),0)</f>
        <v>0</v>
      </c>
      <c r="L279" s="103">
        <f>IFERROR(IF('3 Electricity'!$G$220='3 Electricity'!$V$220,VLOOKUP('Electricity report'!J279,'3 Electricity'!$F$231:$K$235,6,FALSE),VLOOKUP('Electricity report'!J279,'3 Electricity'!$F$250:$N$254,9,FALSE)),0)</f>
        <v>0</v>
      </c>
      <c r="M279" s="105" t="e">
        <f>IF($D$271=$N$273,"",VLOOKUP(J279,'3 Electricity'!$F$250:$N$254,8,FALSE))</f>
        <v>#N/A</v>
      </c>
      <c r="N279" s="107">
        <f ca="1">$E$263</f>
        <v>4.1288254603538137</v>
      </c>
      <c r="O279" s="107">
        <f ca="1">$O$276</f>
        <v>2.9819428113304203</v>
      </c>
    </row>
    <row r="280" spans="3:15" x14ac:dyDescent="0.55000000000000004">
      <c r="C280" s="124"/>
      <c r="H280" s="125"/>
      <c r="J280" s="102">
        <v>5</v>
      </c>
      <c r="K280" s="102">
        <f>IFERROR(IF('3 Electricity'!$G$220='3 Electricity'!$V$220,VLOOKUP('Electricity report'!J280,'3 Electricity'!$F$231:$K$235,3,FALSE),VLOOKUP('Electricity report'!J280,'3 Electricity'!$F$250:$N$254,3,FALSE)),0)</f>
        <v>0</v>
      </c>
      <c r="L280" s="103">
        <f>IFERROR(IF('3 Electricity'!$G$220='3 Electricity'!$V$220,VLOOKUP('Electricity report'!J280,'3 Electricity'!$F$231:$K$235,6,FALSE),VLOOKUP('Electricity report'!J280,'3 Electricity'!$F$250:$N$254,9,FALSE)),0)</f>
        <v>0</v>
      </c>
      <c r="M280" s="105" t="e">
        <f>IF($D$271=$N$273,"",VLOOKUP(J280,'3 Electricity'!$F$250:$N$254,8,FALSE))</f>
        <v>#N/A</v>
      </c>
      <c r="N280" s="107">
        <f ca="1">$E$263</f>
        <v>4.1288254603538137</v>
      </c>
      <c r="O280" s="107">
        <f ca="1">$O$276</f>
        <v>2.9819428113304203</v>
      </c>
    </row>
    <row r="281" spans="3:15" x14ac:dyDescent="0.55000000000000004">
      <c r="C281" s="124"/>
      <c r="H281" s="125"/>
      <c r="J281" s="224"/>
      <c r="K281" s="224"/>
      <c r="L281" s="224"/>
      <c r="M281" s="224"/>
      <c r="N281" s="224"/>
      <c r="O281" s="224"/>
    </row>
    <row r="282" spans="3:15" x14ac:dyDescent="0.55000000000000004">
      <c r="C282" s="124"/>
      <c r="H282" s="125"/>
      <c r="J282" s="224"/>
      <c r="K282" s="224"/>
      <c r="L282" s="224"/>
      <c r="M282" s="224"/>
      <c r="N282" s="224"/>
      <c r="O282" s="224"/>
    </row>
    <row r="283" spans="3:15" x14ac:dyDescent="0.55000000000000004">
      <c r="C283" s="124"/>
      <c r="H283" s="125"/>
      <c r="J283" s="224"/>
      <c r="K283" s="224"/>
      <c r="L283" s="224"/>
      <c r="M283" s="224"/>
      <c r="N283" s="224"/>
      <c r="O283" s="224"/>
    </row>
    <row r="284" spans="3:15" x14ac:dyDescent="0.55000000000000004">
      <c r="C284" s="124"/>
      <c r="H284" s="125"/>
      <c r="J284" s="224"/>
      <c r="K284" s="224"/>
      <c r="L284" s="224"/>
      <c r="M284" s="224"/>
      <c r="N284" s="224"/>
      <c r="O284" s="224"/>
    </row>
    <row r="285" spans="3:15" x14ac:dyDescent="0.55000000000000004">
      <c r="C285" s="124"/>
      <c r="H285" s="125"/>
      <c r="J285" s="224"/>
      <c r="K285" s="224"/>
      <c r="L285" s="224"/>
      <c r="M285" s="224"/>
      <c r="N285" s="224"/>
      <c r="O285" s="224"/>
    </row>
    <row r="286" spans="3:15" x14ac:dyDescent="0.55000000000000004">
      <c r="C286" s="124"/>
      <c r="H286" s="125"/>
      <c r="J286" s="224"/>
      <c r="K286" s="224"/>
      <c r="L286" s="224"/>
      <c r="M286" s="224"/>
      <c r="N286" s="224"/>
      <c r="O286" s="224"/>
    </row>
    <row r="287" spans="3:15" x14ac:dyDescent="0.55000000000000004">
      <c r="C287" s="124"/>
      <c r="H287" s="125"/>
      <c r="J287" s="224"/>
      <c r="K287" s="224"/>
      <c r="L287" s="224"/>
      <c r="M287" s="224"/>
      <c r="N287" s="224"/>
      <c r="O287" s="224"/>
    </row>
    <row r="288" spans="3:15" x14ac:dyDescent="0.55000000000000004">
      <c r="C288" s="124"/>
      <c r="H288" s="125"/>
      <c r="J288" s="224"/>
      <c r="K288" s="224"/>
      <c r="L288" s="224"/>
      <c r="M288" s="224"/>
      <c r="N288" s="224"/>
      <c r="O288" s="224"/>
    </row>
    <row r="289" spans="3:15" x14ac:dyDescent="0.55000000000000004">
      <c r="C289" s="124"/>
      <c r="H289" s="125"/>
      <c r="J289" s="224"/>
      <c r="K289" s="224"/>
      <c r="L289" s="224"/>
      <c r="M289" s="224"/>
      <c r="N289" s="224"/>
      <c r="O289" s="224"/>
    </row>
    <row r="290" spans="3:15" x14ac:dyDescent="0.55000000000000004">
      <c r="C290" s="124"/>
      <c r="H290" s="125"/>
      <c r="J290" s="224"/>
      <c r="K290" s="224"/>
      <c r="L290" s="224"/>
      <c r="M290" s="224"/>
      <c r="N290" s="224"/>
      <c r="O290" s="224"/>
    </row>
    <row r="291" spans="3:15" ht="14.7" thickBot="1" x14ac:dyDescent="0.6">
      <c r="C291" s="130"/>
      <c r="D291" s="131"/>
      <c r="E291" s="131"/>
      <c r="F291" s="131"/>
      <c r="G291" s="131"/>
      <c r="H291" s="132"/>
      <c r="J291" s="224"/>
      <c r="K291" s="224"/>
      <c r="L291" s="224"/>
      <c r="M291" s="224"/>
      <c r="N291" s="224"/>
      <c r="O291" s="224"/>
    </row>
    <row r="292" spans="3:15" x14ac:dyDescent="0.55000000000000004">
      <c r="J292" s="224"/>
      <c r="K292" s="224"/>
      <c r="L292" s="224"/>
      <c r="M292" s="224"/>
      <c r="N292" s="224"/>
      <c r="O292" s="224"/>
    </row>
    <row r="293" spans="3:15" ht="14.7" thickBot="1" x14ac:dyDescent="0.6">
      <c r="J293" s="224"/>
      <c r="K293" s="224"/>
      <c r="L293" s="224"/>
      <c r="M293" s="224"/>
      <c r="N293" s="224"/>
      <c r="O293" s="224"/>
    </row>
    <row r="294" spans="3:15" x14ac:dyDescent="0.55000000000000004">
      <c r="C294" s="121"/>
      <c r="D294" s="122"/>
      <c r="E294" s="122"/>
      <c r="F294" s="122"/>
      <c r="G294" s="122"/>
      <c r="H294" s="123"/>
      <c r="J294" s="224"/>
      <c r="K294" s="224"/>
      <c r="L294" s="224"/>
      <c r="M294" s="224"/>
      <c r="N294" s="224"/>
      <c r="O294" s="224"/>
    </row>
    <row r="295" spans="3:15" ht="15.6" x14ac:dyDescent="0.6">
      <c r="C295" s="124"/>
      <c r="D295" s="98" t="str">
        <f>'2 Customer data'!D97</f>
        <v>Domestic</v>
      </c>
      <c r="H295" s="125"/>
      <c r="J295" s="224"/>
      <c r="K295" s="224"/>
      <c r="L295" s="224"/>
      <c r="M295" s="224"/>
      <c r="N295" s="224"/>
      <c r="O295" s="224"/>
    </row>
    <row r="296" spans="3:15" x14ac:dyDescent="0.55000000000000004">
      <c r="C296" s="124"/>
      <c r="H296" s="125"/>
      <c r="J296" s="224"/>
      <c r="K296" s="224"/>
      <c r="L296" s="224"/>
      <c r="M296" s="224"/>
      <c r="N296" s="224"/>
      <c r="O296" s="224"/>
    </row>
    <row r="297" spans="3:15" x14ac:dyDescent="0.55000000000000004">
      <c r="C297" s="124"/>
      <c r="E297" s="220" t="s">
        <v>250</v>
      </c>
      <c r="H297" s="125"/>
      <c r="J297" s="224"/>
      <c r="K297" s="224"/>
      <c r="L297" s="224"/>
      <c r="M297" s="224"/>
      <c r="N297" s="224"/>
      <c r="O297" s="224"/>
    </row>
    <row r="298" spans="3:15" x14ac:dyDescent="0.55000000000000004">
      <c r="C298" s="124"/>
      <c r="D298" t="s">
        <v>393</v>
      </c>
      <c r="E298" s="26">
        <f ca="1">VLOOKUP(D295,'2 Electricity'!$D$21:$L$40,6,FALSE)</f>
        <v>2113422.5890184534</v>
      </c>
      <c r="H298" s="125"/>
      <c r="J298" s="224"/>
      <c r="K298" s="224"/>
      <c r="L298" s="224"/>
      <c r="M298" s="224"/>
      <c r="N298" s="224"/>
      <c r="O298" s="224"/>
    </row>
    <row r="299" spans="3:15" x14ac:dyDescent="0.55000000000000004">
      <c r="C299" s="124"/>
      <c r="D299" t="s">
        <v>249</v>
      </c>
      <c r="E299" s="99">
        <f ca="1">VLOOKUP(D295,'2 Electricity'!$D$21:$L$40,7,FALSE)</f>
        <v>643267.68520300963</v>
      </c>
      <c r="H299" s="125"/>
      <c r="J299" s="224"/>
      <c r="K299" s="224"/>
      <c r="L299" s="224"/>
      <c r="M299" s="224"/>
      <c r="N299" s="224"/>
      <c r="O299" s="224"/>
    </row>
    <row r="300" spans="3:15" x14ac:dyDescent="0.55000000000000004">
      <c r="C300" s="124"/>
      <c r="D300" t="s">
        <v>52</v>
      </c>
      <c r="E300" s="26">
        <f ca="1">VLOOKUP(D295,'2 Electricity'!$D$21:$L$40,8,FALSE)</f>
        <v>0</v>
      </c>
      <c r="H300" s="125"/>
      <c r="J300" s="224"/>
      <c r="K300" s="224"/>
      <c r="L300" s="224"/>
      <c r="M300" s="224"/>
      <c r="N300" s="224"/>
      <c r="O300" s="224"/>
    </row>
    <row r="301" spans="3:15" ht="14.7" thickBot="1" x14ac:dyDescent="0.6">
      <c r="C301" s="124"/>
      <c r="D301" s="1" t="s">
        <v>39</v>
      </c>
      <c r="E301" s="37">
        <f ca="1">VLOOKUP(D295,'2 Electricity'!D$21:L$40,9,FALSE)</f>
        <v>2756690.2742214631</v>
      </c>
      <c r="H301" s="125"/>
      <c r="J301" s="224"/>
      <c r="K301" s="224"/>
      <c r="L301" s="224"/>
      <c r="M301" s="224"/>
      <c r="N301" s="224"/>
      <c r="O301" s="224"/>
    </row>
    <row r="302" spans="3:15" ht="14.7" thickTop="1" x14ac:dyDescent="0.55000000000000004">
      <c r="C302" s="124"/>
      <c r="H302" s="125"/>
      <c r="J302" s="224"/>
      <c r="K302" s="224"/>
      <c r="L302" s="224"/>
      <c r="M302" s="224"/>
      <c r="N302" s="224"/>
      <c r="O302" s="224"/>
    </row>
    <row r="303" spans="3:15" x14ac:dyDescent="0.55000000000000004">
      <c r="C303" s="124"/>
      <c r="D303" t="s">
        <v>189</v>
      </c>
      <c r="E303" s="26">
        <f>IFERROR(IF(VLOOKUP(D295,'2 Electricity'!$D$126:$K$145,7,FALSE)="",VLOOKUP('2 Electricity'!$D$126:$K$145,6,FALSE),VLOOKUP(D295,'2 Electricity'!$D$126:$K$145,7,FALSE))+VLOOKUP(D295,'2 Electricity'!$D$157:$J$176,5,FALSE),0)</f>
        <v>0</v>
      </c>
      <c r="H303" s="125"/>
      <c r="J303" s="224"/>
      <c r="K303" s="224"/>
      <c r="L303" s="224"/>
      <c r="M303" s="224"/>
      <c r="N303" s="224"/>
      <c r="O303" s="224"/>
    </row>
    <row r="304" spans="3:15" x14ac:dyDescent="0.55000000000000004">
      <c r="C304" s="124"/>
      <c r="H304" s="125"/>
      <c r="J304" s="224"/>
      <c r="K304" s="224"/>
      <c r="L304" s="224"/>
      <c r="M304" s="224"/>
      <c r="N304" s="224"/>
      <c r="O304" s="224"/>
    </row>
    <row r="305" spans="3:15" x14ac:dyDescent="0.55000000000000004">
      <c r="C305" s="124"/>
      <c r="D305" t="s">
        <v>371</v>
      </c>
      <c r="E305" s="64">
        <f ca="1">IF(VLOOKUP(D295,'2 Electricity'!$D$56:$M$75,5,FALSE)="",VLOOKUP(D295,'2 Electricity'!$D$56:$M$75,4,FALSE),VLOOKUP(D295,'2 Electricity'!$D$56:$M$75,5,FALSE))</f>
        <v>0</v>
      </c>
      <c r="H305" s="125"/>
      <c r="J305" s="224"/>
      <c r="K305" s="224"/>
      <c r="L305" s="224"/>
      <c r="M305" s="224"/>
      <c r="N305" s="224"/>
      <c r="O305" s="224"/>
    </row>
    <row r="306" spans="3:15" x14ac:dyDescent="0.55000000000000004">
      <c r="C306" s="124"/>
      <c r="D306" t="s">
        <v>372</v>
      </c>
      <c r="E306" s="26">
        <f ca="1">IF(VLOOKUP(D295,'2 Electricity'!$D$56:$M$75,7,FALSE)="",VLOOKUP(D295,'2 Electricity'!$D$56:$M$75,6,FALSE),VLOOKUP(D295,'2 Electricity'!$D$56:$M$75,7,FALSE))</f>
        <v>258294.09228432536</v>
      </c>
      <c r="H306" s="125"/>
      <c r="J306" s="224"/>
      <c r="K306" s="224"/>
      <c r="L306" s="224"/>
      <c r="M306" s="224"/>
      <c r="N306" s="224"/>
      <c r="O306" s="224"/>
    </row>
    <row r="307" spans="3:15" x14ac:dyDescent="0.55000000000000004">
      <c r="C307" s="124"/>
      <c r="D307" t="s">
        <v>373</v>
      </c>
      <c r="E307" s="26">
        <f ca="1">IF(VLOOKUP(D295,'2 Electricity'!$D$56:$M$75,9,FALSE)="",VLOOKUP(D295,'2 Electricity'!$D$56:$M$75,8,FALSE),VLOOKUP(D295,'2 Electricity'!$D$56:$M$75,9,FALSE))</f>
        <v>0</v>
      </c>
      <c r="H307" s="125"/>
      <c r="J307" s="224"/>
      <c r="K307" s="224"/>
      <c r="L307" s="224"/>
      <c r="M307" s="224"/>
      <c r="N307" s="224"/>
      <c r="O307" s="224"/>
    </row>
    <row r="308" spans="3:15" x14ac:dyDescent="0.55000000000000004">
      <c r="C308" s="124"/>
      <c r="D308" t="s">
        <v>374</v>
      </c>
      <c r="E308" s="26">
        <f ca="1">IF(VLOOKUP(D295,'2 Electricity'!$D$92:$I$111,5,FALSE)="",VLOOKUP(D295,'2 Electricity'!$D$92:$I$111,4,FALSE),VLOOKUP(D295,'2 Electricity'!$D$92:$I$111,5,FALSE))</f>
        <v>-355610.03020899225</v>
      </c>
      <c r="H308" s="125"/>
      <c r="J308" s="224"/>
      <c r="K308" s="224"/>
      <c r="L308" s="224"/>
      <c r="M308" s="224"/>
      <c r="N308" s="224"/>
      <c r="O308" s="224"/>
    </row>
    <row r="309" spans="3:15" ht="14.7" thickBot="1" x14ac:dyDescent="0.6">
      <c r="C309" s="124"/>
      <c r="D309" s="1" t="s">
        <v>145</v>
      </c>
      <c r="E309" s="37">
        <f ca="1">SUM(E305:E308)</f>
        <v>-97315.937924666883</v>
      </c>
      <c r="H309" s="125"/>
      <c r="J309" s="224"/>
      <c r="K309" s="224"/>
      <c r="L309" s="224"/>
      <c r="M309" s="224"/>
      <c r="N309" s="224"/>
      <c r="O309" s="224"/>
    </row>
    <row r="310" spans="3:15" ht="14.7" thickTop="1" x14ac:dyDescent="0.55000000000000004">
      <c r="C310" s="124"/>
      <c r="D310" s="1"/>
      <c r="E310" s="15"/>
      <c r="H310" s="125"/>
      <c r="J310" s="224"/>
      <c r="K310" s="224"/>
      <c r="L310" s="224"/>
      <c r="M310" s="224"/>
      <c r="N310" s="224"/>
      <c r="O310" s="224"/>
    </row>
    <row r="311" spans="3:15" x14ac:dyDescent="0.55000000000000004">
      <c r="C311" s="124"/>
      <c r="D311" t="s">
        <v>384</v>
      </c>
      <c r="E311" s="26">
        <f ca="1">IF(VLOOKUP(D295,'2 Electricity'!$D$126:$K$145,5,FALSE)="",VLOOKUP(D295,'2 Electricity'!$D$126:$K$145,4,FALSE),VLOOKUP(D295,'2 Electricity'!$D$126:$K$145,5,FALSE))+VLOOKUP(D295,'2 Electricity'!$D$157:$J$176,7,FALSE)</f>
        <v>-355610.03020899225</v>
      </c>
      <c r="H311" s="125"/>
      <c r="J311" s="224"/>
      <c r="K311" s="224"/>
      <c r="L311" s="224"/>
      <c r="M311" s="224"/>
      <c r="N311" s="224"/>
      <c r="O311" s="224"/>
    </row>
    <row r="312" spans="3:15" x14ac:dyDescent="0.55000000000000004">
      <c r="C312" s="124"/>
      <c r="H312" s="125"/>
      <c r="J312" s="224"/>
      <c r="K312" s="224"/>
      <c r="L312" s="224"/>
      <c r="M312" s="224"/>
      <c r="N312" s="224"/>
      <c r="O312" s="224"/>
    </row>
    <row r="313" spans="3:15" ht="14.7" thickBot="1" x14ac:dyDescent="0.6">
      <c r="C313" s="124"/>
      <c r="D313" s="1" t="s">
        <v>375</v>
      </c>
      <c r="E313" s="37">
        <f ca="1">VLOOKUP(D295,'2 Electricity'!$D$157:$K$176,8,FALSE)</f>
        <v>3209616.2423551222</v>
      </c>
      <c r="H313" s="125"/>
      <c r="J313" s="224"/>
      <c r="K313" s="224"/>
      <c r="L313" s="224"/>
      <c r="M313" s="224"/>
      <c r="N313" s="224"/>
      <c r="O313" s="224"/>
    </row>
    <row r="314" spans="3:15" ht="14.7" thickTop="1" x14ac:dyDescent="0.55000000000000004">
      <c r="C314" s="124"/>
      <c r="H314" s="125"/>
      <c r="J314" s="224"/>
      <c r="K314" s="224"/>
      <c r="L314" s="224"/>
      <c r="M314" s="224"/>
      <c r="N314" s="224"/>
      <c r="O314" s="224"/>
    </row>
    <row r="315" spans="3:15" x14ac:dyDescent="0.55000000000000004">
      <c r="C315" s="124"/>
      <c r="H315" s="125"/>
      <c r="J315" s="224"/>
      <c r="K315" s="224"/>
      <c r="L315" s="224"/>
      <c r="M315" s="224"/>
      <c r="N315" s="224"/>
      <c r="O315" s="224"/>
    </row>
    <row r="316" spans="3:15" x14ac:dyDescent="0.55000000000000004">
      <c r="C316" s="124"/>
      <c r="H316" s="125"/>
      <c r="J316" s="224"/>
      <c r="K316" s="224"/>
      <c r="L316" s="224"/>
      <c r="M316" s="224"/>
      <c r="N316" s="224"/>
      <c r="O316" s="224"/>
    </row>
    <row r="317" spans="3:15" x14ac:dyDescent="0.55000000000000004">
      <c r="C317" s="124"/>
      <c r="H317" s="125"/>
      <c r="J317" s="224"/>
      <c r="K317" s="224"/>
      <c r="L317" s="224"/>
      <c r="M317" s="224"/>
      <c r="N317" s="224"/>
      <c r="O317" s="224"/>
    </row>
    <row r="318" spans="3:15" x14ac:dyDescent="0.55000000000000004">
      <c r="C318" s="124"/>
      <c r="H318" s="125"/>
      <c r="J318" s="232" t="s">
        <v>385</v>
      </c>
      <c r="K318" s="224"/>
      <c r="L318" s="224"/>
      <c r="M318" s="224"/>
      <c r="N318" s="224"/>
      <c r="O318" s="224"/>
    </row>
    <row r="319" spans="3:15" x14ac:dyDescent="0.55000000000000004">
      <c r="C319" s="124"/>
      <c r="H319" s="125"/>
      <c r="J319" s="110"/>
      <c r="K319" s="102" t="s">
        <v>390</v>
      </c>
      <c r="L319" s="102" t="s">
        <v>391</v>
      </c>
      <c r="M319" s="224"/>
      <c r="N319" s="224"/>
      <c r="O319" s="224"/>
    </row>
    <row r="320" spans="3:15" x14ac:dyDescent="0.55000000000000004">
      <c r="C320" s="124"/>
      <c r="H320" s="125"/>
      <c r="J320" s="110" t="s">
        <v>393</v>
      </c>
      <c r="K320" s="100">
        <f ca="1">E298/1000</f>
        <v>2113.4225890184534</v>
      </c>
      <c r="L320" s="102"/>
      <c r="M320" s="224"/>
      <c r="N320" s="224"/>
      <c r="O320" s="224"/>
    </row>
    <row r="321" spans="3:15" x14ac:dyDescent="0.55000000000000004">
      <c r="C321" s="124"/>
      <c r="H321" s="125"/>
      <c r="J321" s="110" t="s">
        <v>249</v>
      </c>
      <c r="K321" s="100">
        <f ca="1">E299/1000</f>
        <v>643.26768520300959</v>
      </c>
      <c r="L321" s="110"/>
      <c r="M321" s="224"/>
      <c r="N321" s="224"/>
      <c r="O321" s="224"/>
    </row>
    <row r="322" spans="3:15" x14ac:dyDescent="0.55000000000000004">
      <c r="C322" s="124"/>
      <c r="H322" s="125"/>
      <c r="J322" s="110" t="s">
        <v>52</v>
      </c>
      <c r="K322" s="100">
        <f ca="1">E300/1000</f>
        <v>0</v>
      </c>
      <c r="L322" s="110"/>
      <c r="M322" s="224"/>
      <c r="N322" s="224"/>
      <c r="O322" s="224"/>
    </row>
    <row r="323" spans="3:15" x14ac:dyDescent="0.55000000000000004">
      <c r="C323" s="124"/>
      <c r="H323" s="125"/>
      <c r="J323" s="110" t="s">
        <v>471</v>
      </c>
      <c r="K323" s="100">
        <f>E303/1000</f>
        <v>0</v>
      </c>
      <c r="L323" s="110"/>
      <c r="M323" s="224"/>
      <c r="N323" s="224"/>
      <c r="O323" s="224"/>
    </row>
    <row r="324" spans="3:15" x14ac:dyDescent="0.55000000000000004">
      <c r="C324" s="124"/>
      <c r="H324" s="125"/>
      <c r="J324" s="110" t="s">
        <v>563</v>
      </c>
      <c r="K324" s="100"/>
      <c r="L324" s="101">
        <f ca="1">E313/1000</f>
        <v>3209.6162423551223</v>
      </c>
      <c r="M324" s="224"/>
      <c r="N324" s="224"/>
      <c r="O324" s="224"/>
    </row>
    <row r="325" spans="3:15" x14ac:dyDescent="0.55000000000000004">
      <c r="C325" s="124"/>
      <c r="H325" s="125"/>
      <c r="J325" s="110" t="s">
        <v>564</v>
      </c>
      <c r="K325" s="100"/>
      <c r="L325" s="101">
        <f ca="1">E308/1000</f>
        <v>-355.61003020899227</v>
      </c>
      <c r="M325" s="224"/>
      <c r="N325" s="224"/>
      <c r="O325" s="224"/>
    </row>
    <row r="326" spans="3:15" x14ac:dyDescent="0.55000000000000004">
      <c r="C326" s="124"/>
      <c r="H326" s="125"/>
      <c r="J326" s="110" t="s">
        <v>565</v>
      </c>
      <c r="K326" s="100"/>
      <c r="L326" s="101">
        <f ca="1">SUM(E305:E307)/1000</f>
        <v>258.29409228432536</v>
      </c>
      <c r="M326" s="224"/>
      <c r="N326" s="224"/>
      <c r="O326" s="224"/>
    </row>
    <row r="327" spans="3:15" x14ac:dyDescent="0.55000000000000004">
      <c r="C327" s="124"/>
      <c r="H327" s="125"/>
      <c r="J327" s="110" t="s">
        <v>566</v>
      </c>
      <c r="K327" s="100"/>
      <c r="L327" s="101">
        <f ca="1">E311/1000</f>
        <v>-355.61003020899227</v>
      </c>
      <c r="M327" s="224"/>
      <c r="N327" s="224"/>
      <c r="O327" s="224"/>
    </row>
    <row r="328" spans="3:15" x14ac:dyDescent="0.55000000000000004">
      <c r="C328" s="124"/>
      <c r="H328" s="125"/>
      <c r="J328" s="110"/>
      <c r="K328" s="110"/>
      <c r="L328" s="110"/>
      <c r="M328" s="224"/>
      <c r="N328" s="224"/>
      <c r="O328" s="224"/>
    </row>
    <row r="329" spans="3:15" x14ac:dyDescent="0.55000000000000004">
      <c r="C329" s="124"/>
      <c r="H329" s="125"/>
      <c r="J329" s="224"/>
      <c r="K329" s="224"/>
      <c r="L329" s="224"/>
      <c r="M329" s="224"/>
      <c r="N329" s="224"/>
      <c r="O329" s="224"/>
    </row>
    <row r="330" spans="3:15" x14ac:dyDescent="0.55000000000000004">
      <c r="C330" s="124"/>
      <c r="H330" s="125"/>
      <c r="J330" s="224"/>
      <c r="K330" s="224"/>
      <c r="L330" s="224"/>
      <c r="M330" s="224"/>
      <c r="N330" s="224"/>
      <c r="O330" s="224"/>
    </row>
    <row r="331" spans="3:15" x14ac:dyDescent="0.55000000000000004">
      <c r="C331" s="124"/>
      <c r="H331" s="125"/>
      <c r="J331" s="224"/>
      <c r="K331" s="224"/>
      <c r="L331" s="224"/>
      <c r="M331" s="224"/>
      <c r="N331" s="224"/>
      <c r="O331" s="224"/>
    </row>
    <row r="332" spans="3:15" x14ac:dyDescent="0.55000000000000004">
      <c r="C332" s="124"/>
      <c r="E332" s="220" t="s">
        <v>250</v>
      </c>
      <c r="H332" s="125"/>
      <c r="J332" s="224"/>
      <c r="K332" s="224"/>
      <c r="L332" s="224"/>
      <c r="M332" s="224"/>
      <c r="N332" s="224"/>
      <c r="O332" s="224"/>
    </row>
    <row r="333" spans="3:15" x14ac:dyDescent="0.55000000000000004">
      <c r="C333" s="124"/>
      <c r="D333" t="s">
        <v>394</v>
      </c>
      <c r="E333" s="64">
        <f ca="1">VLOOKUP(D295,'2 Electricity'!$D$157:$M$176,10,FALSE)</f>
        <v>12.77896113137554</v>
      </c>
      <c r="H333" s="125"/>
      <c r="J333" s="224"/>
      <c r="K333" s="224"/>
      <c r="L333" s="224"/>
      <c r="M333" s="224"/>
      <c r="N333" s="224"/>
      <c r="O333" s="224"/>
    </row>
    <row r="334" spans="3:15" x14ac:dyDescent="0.55000000000000004">
      <c r="C334" s="124"/>
      <c r="D334" t="s">
        <v>395</v>
      </c>
      <c r="E334" s="64">
        <f ca="1">VLOOKUP(D295,'2 Electricity'!$D$157:$M$176,9,FALSE)</f>
        <v>14.878552585771075</v>
      </c>
      <c r="H334" s="125"/>
      <c r="J334" s="224"/>
      <c r="K334" s="224"/>
      <c r="L334" s="224"/>
      <c r="M334" s="224"/>
      <c r="N334" s="224"/>
      <c r="O334" s="224"/>
    </row>
    <row r="335" spans="3:15" x14ac:dyDescent="0.55000000000000004">
      <c r="C335" s="124"/>
      <c r="D335" t="s">
        <v>378</v>
      </c>
      <c r="E335" s="97">
        <f ca="1">IFERROR(IF(E303=0,E311,E303)/E301,0)</f>
        <v>-0.12899890623708993</v>
      </c>
      <c r="H335" s="125"/>
      <c r="J335" s="224"/>
      <c r="K335" s="224"/>
      <c r="L335" s="224"/>
      <c r="M335" s="224"/>
      <c r="N335" s="224"/>
      <c r="O335" s="224"/>
    </row>
    <row r="336" spans="3:15" x14ac:dyDescent="0.55000000000000004">
      <c r="C336" s="124"/>
      <c r="H336" s="125"/>
      <c r="J336" s="224"/>
      <c r="K336" s="224"/>
      <c r="L336" s="224"/>
      <c r="M336" s="224"/>
      <c r="N336" s="224"/>
      <c r="O336" s="224"/>
    </row>
    <row r="337" spans="3:15" x14ac:dyDescent="0.55000000000000004">
      <c r="C337" s="124"/>
      <c r="D337" t="s">
        <v>379</v>
      </c>
      <c r="E337" s="26">
        <f>'3 Electricity'!I274</f>
        <v>0</v>
      </c>
      <c r="H337" s="125"/>
      <c r="J337" s="224"/>
      <c r="K337" s="224"/>
      <c r="L337" s="224"/>
      <c r="M337" s="224"/>
      <c r="N337" s="224"/>
      <c r="O337" s="224"/>
    </row>
    <row r="338" spans="3:15" x14ac:dyDescent="0.55000000000000004">
      <c r="C338" s="124"/>
      <c r="D338" t="s">
        <v>380</v>
      </c>
      <c r="E338" s="97">
        <f ca="1">IFERROR('3 Electricity'!J274/'3 Electricity'!G274,0)</f>
        <v>0</v>
      </c>
      <c r="H338" s="125"/>
      <c r="J338" s="224"/>
      <c r="K338" s="224"/>
      <c r="L338" s="224"/>
      <c r="M338" s="224"/>
      <c r="N338" s="224"/>
      <c r="O338" s="224"/>
    </row>
    <row r="339" spans="3:15" x14ac:dyDescent="0.55000000000000004">
      <c r="C339" s="124"/>
      <c r="H339" s="125"/>
      <c r="J339" s="224"/>
      <c r="K339" s="224"/>
      <c r="L339" s="224"/>
      <c r="M339" s="224"/>
      <c r="N339" s="224"/>
      <c r="O339" s="224"/>
    </row>
    <row r="340" spans="3:15" x14ac:dyDescent="0.55000000000000004">
      <c r="C340" s="124"/>
      <c r="D340" s="1" t="s">
        <v>381</v>
      </c>
      <c r="H340" s="125"/>
      <c r="J340" s="224"/>
      <c r="K340" s="224"/>
      <c r="L340" s="224"/>
      <c r="M340" s="224"/>
      <c r="N340" s="224"/>
      <c r="O340" s="224"/>
    </row>
    <row r="341" spans="3:15" x14ac:dyDescent="0.55000000000000004">
      <c r="C341" s="124"/>
      <c r="D341" s="1" t="str">
        <f>'3 Electricity'!G282</f>
        <v xml:space="preserve">Annual </v>
      </c>
      <c r="H341" s="125"/>
      <c r="J341" s="224"/>
      <c r="K341" s="224"/>
      <c r="L341" s="224"/>
      <c r="M341" s="224"/>
      <c r="N341" s="224"/>
      <c r="O341" s="224"/>
    </row>
    <row r="342" spans="3:15" x14ac:dyDescent="0.55000000000000004">
      <c r="C342" s="124"/>
      <c r="H342" s="125"/>
      <c r="J342" s="224"/>
      <c r="K342" s="224"/>
      <c r="L342" s="224"/>
      <c r="M342" s="224"/>
      <c r="N342" s="224" t="s">
        <v>89</v>
      </c>
      <c r="O342" s="224"/>
    </row>
    <row r="343" spans="3:15" x14ac:dyDescent="0.55000000000000004">
      <c r="C343" s="124"/>
      <c r="H343" s="125"/>
      <c r="J343" s="224"/>
      <c r="K343" s="224"/>
      <c r="L343" s="224"/>
      <c r="M343" s="224"/>
      <c r="N343" s="224"/>
      <c r="O343" s="224"/>
    </row>
    <row r="344" spans="3:15" ht="28.8" x14ac:dyDescent="0.55000000000000004">
      <c r="C344" s="124"/>
      <c r="H344" s="125"/>
      <c r="J344" s="229" t="s">
        <v>383</v>
      </c>
      <c r="K344" s="229" t="s">
        <v>382</v>
      </c>
      <c r="L344" s="108" t="str">
        <f>IF(D341=N342,"Annual Tariff","Low Season Tariff")</f>
        <v>Annual Tariff</v>
      </c>
      <c r="M344" s="109" t="str">
        <f>IF(D341=N342,"","High Season Tariff")</f>
        <v/>
      </c>
      <c r="N344" s="108" t="s">
        <v>392</v>
      </c>
      <c r="O344" s="229" t="s">
        <v>580</v>
      </c>
    </row>
    <row r="345" spans="3:15" x14ac:dyDescent="0.55000000000000004">
      <c r="C345" s="124"/>
      <c r="H345" s="125"/>
      <c r="J345" s="102">
        <v>1</v>
      </c>
      <c r="K345" s="102">
        <f>IFERROR(IF('3 Electricity'!$G$282='3 Electricity'!$V$282,VLOOKUP('Electricity report'!J345,'3 Electricity'!$F$293:$K$297,3,FALSE),VLOOKUP('Electricity report'!J345,'3 Electricity'!$F$312:$N$316,3,FALSE)),0)</f>
        <v>0</v>
      </c>
      <c r="L345" s="103">
        <f ca="1">IFERROR(IF('3 Electricity'!$G$282='3 Electricity'!$V$282,VLOOKUP('Electricity report'!J345,'3 Electricity'!$F$293:$K$297,6,FALSE),VLOOKUP('Electricity report'!J345,'3 Electricity'!$F$312:$N$316,9,FALSE)),0)</f>
        <v>14.878552585771075</v>
      </c>
      <c r="M345" s="105" t="str">
        <f>IF($D$341=$N$342,"",VLOOKUP(J345,'3 Electricity'!$F$312:$N$316,8,FALSE))</f>
        <v/>
      </c>
      <c r="N345" s="107">
        <f ca="1">$E$333</f>
        <v>12.77896113137554</v>
      </c>
      <c r="O345" s="105">
        <f ca="1">IFERROR('3 Electricity'!J266/'3 Electricity'!H266,0)</f>
        <v>2.9819428113304203</v>
      </c>
    </row>
    <row r="346" spans="3:15" x14ac:dyDescent="0.55000000000000004">
      <c r="C346" s="124"/>
      <c r="H346" s="125"/>
      <c r="J346" s="102">
        <v>2</v>
      </c>
      <c r="K346" s="102">
        <f>IFERROR(IF('3 Electricity'!$G$282='3 Electricity'!$V$282,VLOOKUP('Electricity report'!J346,'3 Electricity'!$F$293:$K$297,3,FALSE),VLOOKUP('Electricity report'!J346,'3 Electricity'!$F$312:$N$316,3,FALSE)),0)</f>
        <v>0</v>
      </c>
      <c r="L346" s="103">
        <f>IFERROR(IF('3 Electricity'!$G$282='3 Electricity'!$V$282,VLOOKUP('Electricity report'!J346,'3 Electricity'!$F$293:$K$297,6,FALSE),VLOOKUP('Electricity report'!J346,'3 Electricity'!$F$312:$N$316,9,FALSE)),0)</f>
        <v>0</v>
      </c>
      <c r="M346" s="105" t="str">
        <f>IF($D$341=$N$342,"",VLOOKUP(J346,'3 Electricity'!$F$312:$N$316,8,FALSE))</f>
        <v/>
      </c>
      <c r="N346" s="107">
        <f ca="1">$E$333</f>
        <v>12.77896113137554</v>
      </c>
      <c r="O346" s="107">
        <f ca="1">$O$345</f>
        <v>2.9819428113304203</v>
      </c>
    </row>
    <row r="347" spans="3:15" x14ac:dyDescent="0.55000000000000004">
      <c r="C347" s="124"/>
      <c r="H347" s="125"/>
      <c r="J347" s="102">
        <v>3</v>
      </c>
      <c r="K347" s="102">
        <f>IFERROR(IF('3 Electricity'!$G$282='3 Electricity'!$V$282,VLOOKUP('Electricity report'!J347,'3 Electricity'!$F$293:$K$297,3,FALSE),VLOOKUP('Electricity report'!J347,'3 Electricity'!$F$312:$N$316,3,FALSE)),0)</f>
        <v>0</v>
      </c>
      <c r="L347" s="103">
        <f>IFERROR(IF('3 Electricity'!$G$282='3 Electricity'!$V$282,VLOOKUP('Electricity report'!J347,'3 Electricity'!$F$293:$K$297,6,FALSE),VLOOKUP('Electricity report'!J347,'3 Electricity'!$F$312:$N$316,9,FALSE)),0)</f>
        <v>0</v>
      </c>
      <c r="M347" s="105" t="str">
        <f>IF($D$341=$N$342,"",VLOOKUP(J347,'3 Electricity'!$F$312:$N$316,8,FALSE))</f>
        <v/>
      </c>
      <c r="N347" s="107">
        <f ca="1">$E$333</f>
        <v>12.77896113137554</v>
      </c>
      <c r="O347" s="107">
        <f ca="1">$O$345</f>
        <v>2.9819428113304203</v>
      </c>
    </row>
    <row r="348" spans="3:15" x14ac:dyDescent="0.55000000000000004">
      <c r="C348" s="124"/>
      <c r="H348" s="125"/>
      <c r="J348" s="102">
        <v>4</v>
      </c>
      <c r="K348" s="102">
        <f>IFERROR(IF('3 Electricity'!$G$282='3 Electricity'!$V$282,VLOOKUP('Electricity report'!J348,'3 Electricity'!$F$293:$K$297,3,FALSE),VLOOKUP('Electricity report'!J348,'3 Electricity'!$F$312:$N$316,3,FALSE)),0)</f>
        <v>0</v>
      </c>
      <c r="L348" s="103">
        <f>IFERROR(IF('3 Electricity'!$G$282='3 Electricity'!$V$282,VLOOKUP('Electricity report'!J348,'3 Electricity'!$F$293:$K$297,6,FALSE),VLOOKUP('Electricity report'!J348,'3 Electricity'!$F$312:$N$316,9,FALSE)),0)</f>
        <v>0</v>
      </c>
      <c r="M348" s="105" t="str">
        <f>IF($D$341=$N$342,"",VLOOKUP(J348,'3 Electricity'!$F$312:$N$316,8,FALSE))</f>
        <v/>
      </c>
      <c r="N348" s="107">
        <f ca="1">$E$333</f>
        <v>12.77896113137554</v>
      </c>
      <c r="O348" s="107">
        <f ca="1">$O$345</f>
        <v>2.9819428113304203</v>
      </c>
    </row>
    <row r="349" spans="3:15" x14ac:dyDescent="0.55000000000000004">
      <c r="C349" s="124"/>
      <c r="H349" s="125"/>
      <c r="J349" s="102">
        <v>5</v>
      </c>
      <c r="K349" s="102">
        <f>IFERROR(IF('3 Electricity'!$G$282='3 Electricity'!$V$282,VLOOKUP('Electricity report'!J349,'3 Electricity'!$F$293:$K$297,3,FALSE),VLOOKUP('Electricity report'!J349,'3 Electricity'!$F$312:$N$316,3,FALSE)),0)</f>
        <v>0</v>
      </c>
      <c r="L349" s="103">
        <f>IFERROR(IF('3 Electricity'!$G$282='3 Electricity'!$V$282,VLOOKUP('Electricity report'!J349,'3 Electricity'!$F$293:$K$297,6,FALSE),VLOOKUP('Electricity report'!J349,'3 Electricity'!$F$312:$N$316,9,FALSE)),0)</f>
        <v>0</v>
      </c>
      <c r="M349" s="105" t="str">
        <f>IF($D$341=$N$342,"",VLOOKUP(J349,'3 Electricity'!$F$312:$N$316,8,FALSE))</f>
        <v/>
      </c>
      <c r="N349" s="107">
        <f ca="1">$E$333</f>
        <v>12.77896113137554</v>
      </c>
      <c r="O349" s="107">
        <f ca="1">$O$345</f>
        <v>2.9819428113304203</v>
      </c>
    </row>
    <row r="350" spans="3:15" x14ac:dyDescent="0.55000000000000004">
      <c r="C350" s="124"/>
      <c r="H350" s="125"/>
      <c r="J350" s="224"/>
      <c r="K350" s="224"/>
      <c r="L350" s="224"/>
      <c r="M350" s="224"/>
      <c r="N350" s="224"/>
      <c r="O350" s="224"/>
    </row>
    <row r="351" spans="3:15" x14ac:dyDescent="0.55000000000000004">
      <c r="C351" s="124"/>
      <c r="H351" s="125"/>
      <c r="J351" s="224"/>
      <c r="K351" s="224"/>
      <c r="L351" s="224"/>
      <c r="M351" s="224"/>
      <c r="N351" s="224"/>
      <c r="O351" s="224"/>
    </row>
    <row r="352" spans="3:15" x14ac:dyDescent="0.55000000000000004">
      <c r="C352" s="124"/>
      <c r="H352" s="125"/>
      <c r="J352" s="224"/>
      <c r="K352" s="224"/>
      <c r="L352" s="224"/>
      <c r="M352" s="224"/>
      <c r="N352" s="224"/>
      <c r="O352" s="224"/>
    </row>
    <row r="353" spans="3:15" x14ac:dyDescent="0.55000000000000004">
      <c r="C353" s="124"/>
      <c r="H353" s="125"/>
      <c r="J353" s="224"/>
      <c r="K353" s="224"/>
      <c r="L353" s="224"/>
      <c r="M353" s="224"/>
      <c r="N353" s="224"/>
      <c r="O353" s="224"/>
    </row>
    <row r="354" spans="3:15" x14ac:dyDescent="0.55000000000000004">
      <c r="C354" s="124"/>
      <c r="H354" s="125"/>
      <c r="J354" s="224"/>
      <c r="K354" s="224"/>
      <c r="L354" s="224"/>
      <c r="M354" s="224"/>
      <c r="N354" s="224"/>
      <c r="O354" s="224"/>
    </row>
    <row r="355" spans="3:15" x14ac:dyDescent="0.55000000000000004">
      <c r="C355" s="124"/>
      <c r="H355" s="125"/>
      <c r="J355" s="224"/>
      <c r="K355" s="224"/>
      <c r="L355" s="224"/>
      <c r="M355" s="224"/>
      <c r="N355" s="224"/>
      <c r="O355" s="224"/>
    </row>
    <row r="356" spans="3:15" x14ac:dyDescent="0.55000000000000004">
      <c r="C356" s="124"/>
      <c r="H356" s="125"/>
      <c r="J356" s="224"/>
      <c r="K356" s="224"/>
      <c r="L356" s="224"/>
      <c r="M356" s="224"/>
      <c r="N356" s="224"/>
      <c r="O356" s="224"/>
    </row>
    <row r="357" spans="3:15" x14ac:dyDescent="0.55000000000000004">
      <c r="C357" s="124"/>
      <c r="H357" s="125"/>
      <c r="J357" s="224"/>
      <c r="K357" s="224"/>
      <c r="L357" s="224"/>
      <c r="M357" s="224"/>
      <c r="N357" s="224"/>
      <c r="O357" s="224"/>
    </row>
    <row r="358" spans="3:15" x14ac:dyDescent="0.55000000000000004">
      <c r="C358" s="124"/>
      <c r="H358" s="125"/>
      <c r="J358" s="224"/>
      <c r="K358" s="224"/>
      <c r="L358" s="224"/>
      <c r="M358" s="224"/>
      <c r="N358" s="224"/>
      <c r="O358" s="224"/>
    </row>
    <row r="359" spans="3:15" x14ac:dyDescent="0.55000000000000004">
      <c r="C359" s="124"/>
      <c r="H359" s="125"/>
      <c r="J359" s="224"/>
      <c r="K359" s="224"/>
      <c r="L359" s="224"/>
      <c r="M359" s="224"/>
      <c r="N359" s="224"/>
      <c r="O359" s="224"/>
    </row>
    <row r="360" spans="3:15" x14ac:dyDescent="0.55000000000000004">
      <c r="C360" s="124"/>
      <c r="H360" s="125"/>
      <c r="J360" s="224"/>
      <c r="K360" s="224"/>
      <c r="L360" s="224"/>
      <c r="M360" s="224"/>
      <c r="N360" s="224"/>
      <c r="O360" s="224"/>
    </row>
    <row r="361" spans="3:15" ht="14.7" thickBot="1" x14ac:dyDescent="0.6">
      <c r="C361" s="130"/>
      <c r="D361" s="131"/>
      <c r="E361" s="131"/>
      <c r="F361" s="131"/>
      <c r="G361" s="131"/>
      <c r="H361" s="132"/>
      <c r="J361" s="224"/>
      <c r="K361" s="224"/>
      <c r="L361" s="224"/>
      <c r="M361" s="224"/>
      <c r="N361" s="224"/>
      <c r="O361" s="224"/>
    </row>
    <row r="362" spans="3:15" x14ac:dyDescent="0.55000000000000004">
      <c r="J362" s="224"/>
      <c r="K362" s="224"/>
      <c r="L362" s="224"/>
      <c r="M362" s="224"/>
      <c r="N362" s="224"/>
      <c r="O362" s="224"/>
    </row>
    <row r="363" spans="3:15" ht="14.7" thickBot="1" x14ac:dyDescent="0.6">
      <c r="J363" s="224"/>
      <c r="K363" s="224"/>
      <c r="L363" s="224"/>
      <c r="M363" s="224"/>
      <c r="N363" s="224"/>
      <c r="O363" s="224"/>
    </row>
    <row r="364" spans="3:15" x14ac:dyDescent="0.55000000000000004">
      <c r="C364" s="121"/>
      <c r="D364" s="122"/>
      <c r="E364" s="122"/>
      <c r="F364" s="122"/>
      <c r="G364" s="122"/>
      <c r="H364" s="123"/>
      <c r="J364" s="224"/>
      <c r="K364" s="224"/>
      <c r="L364" s="224"/>
      <c r="M364" s="224"/>
      <c r="N364" s="224"/>
      <c r="O364" s="224"/>
    </row>
    <row r="365" spans="3:15" ht="15.6" x14ac:dyDescent="0.6">
      <c r="C365" s="124"/>
      <c r="D365" s="98" t="str">
        <f>'2 Customer data'!D98</f>
        <v>Prepaid: Domestic</v>
      </c>
      <c r="H365" s="125"/>
      <c r="J365" s="224"/>
      <c r="K365" s="224"/>
      <c r="L365" s="224"/>
      <c r="M365" s="224"/>
      <c r="N365" s="224"/>
      <c r="O365" s="224"/>
    </row>
    <row r="366" spans="3:15" x14ac:dyDescent="0.55000000000000004">
      <c r="C366" s="124"/>
      <c r="H366" s="125"/>
      <c r="J366" s="224"/>
      <c r="K366" s="224"/>
      <c r="L366" s="224"/>
      <c r="M366" s="224"/>
      <c r="N366" s="224"/>
      <c r="O366" s="224"/>
    </row>
    <row r="367" spans="3:15" x14ac:dyDescent="0.55000000000000004">
      <c r="C367" s="124"/>
      <c r="E367" s="220" t="s">
        <v>250</v>
      </c>
      <c r="H367" s="125"/>
      <c r="J367" s="224"/>
      <c r="K367" s="224"/>
      <c r="L367" s="224"/>
      <c r="M367" s="224"/>
      <c r="N367" s="224"/>
      <c r="O367" s="224"/>
    </row>
    <row r="368" spans="3:15" x14ac:dyDescent="0.55000000000000004">
      <c r="C368" s="124"/>
      <c r="D368" t="s">
        <v>393</v>
      </c>
      <c r="E368" s="26">
        <f ca="1">VLOOKUP(D365,'2 Electricity'!$D$21:$L$40,6,FALSE)</f>
        <v>10553736.852756709</v>
      </c>
      <c r="H368" s="125"/>
      <c r="J368" s="224"/>
      <c r="K368" s="224"/>
      <c r="L368" s="224"/>
      <c r="M368" s="224"/>
      <c r="N368" s="224"/>
      <c r="O368" s="224"/>
    </row>
    <row r="369" spans="3:15" x14ac:dyDescent="0.55000000000000004">
      <c r="C369" s="124"/>
      <c r="D369" t="s">
        <v>249</v>
      </c>
      <c r="E369" s="99">
        <f ca="1">VLOOKUP(D365,'2 Electricity'!$D$21:$L$40,7,FALSE)</f>
        <v>31337491.662187468</v>
      </c>
      <c r="H369" s="125"/>
      <c r="J369" s="224"/>
      <c r="K369" s="224"/>
      <c r="L369" s="224"/>
      <c r="M369" s="224"/>
      <c r="N369" s="224"/>
      <c r="O369" s="224"/>
    </row>
    <row r="370" spans="3:15" x14ac:dyDescent="0.55000000000000004">
      <c r="C370" s="124"/>
      <c r="D370" t="s">
        <v>52</v>
      </c>
      <c r="E370" s="26">
        <f ca="1">VLOOKUP(D365,'2 Electricity'!$D$21:$L$40,8,FALSE)</f>
        <v>0</v>
      </c>
      <c r="H370" s="125"/>
      <c r="J370" s="224"/>
      <c r="K370" s="224"/>
      <c r="L370" s="224"/>
      <c r="M370" s="224"/>
      <c r="N370" s="224"/>
      <c r="O370" s="224"/>
    </row>
    <row r="371" spans="3:15" ht="14.7" thickBot="1" x14ac:dyDescent="0.6">
      <c r="C371" s="124"/>
      <c r="D371" s="1" t="s">
        <v>39</v>
      </c>
      <c r="E371" s="37">
        <f ca="1">VLOOKUP(D365,'2 Electricity'!D$21:L$40,9,FALSE)</f>
        <v>41891228.514944181</v>
      </c>
      <c r="H371" s="125"/>
      <c r="J371" s="224"/>
      <c r="K371" s="224"/>
      <c r="L371" s="224"/>
      <c r="M371" s="224"/>
      <c r="N371" s="224"/>
      <c r="O371" s="224"/>
    </row>
    <row r="372" spans="3:15" ht="14.7" thickTop="1" x14ac:dyDescent="0.55000000000000004">
      <c r="C372" s="124"/>
      <c r="H372" s="125"/>
      <c r="J372" s="224"/>
      <c r="K372" s="224"/>
      <c r="L372" s="224"/>
      <c r="M372" s="224"/>
      <c r="N372" s="224"/>
      <c r="O372" s="224"/>
    </row>
    <row r="373" spans="3:15" x14ac:dyDescent="0.55000000000000004">
      <c r="C373" s="124"/>
      <c r="D373" t="s">
        <v>189</v>
      </c>
      <c r="E373" s="26">
        <f>IFERROR(IF(VLOOKUP(D365,'2 Electricity'!$D$126:$K$145,7,FALSE)="",VLOOKUP('2 Electricity'!$D$126:$K$145,6,FALSE),VLOOKUP(D365,'2 Electricity'!$D$126:$K$145,7,FALSE))+VLOOKUP(D365,'2 Electricity'!$D$157:$J$176,5,FALSE),0)</f>
        <v>0</v>
      </c>
      <c r="H373" s="125"/>
      <c r="J373" s="224"/>
      <c r="K373" s="224"/>
      <c r="L373" s="224"/>
      <c r="M373" s="224"/>
      <c r="N373" s="224"/>
      <c r="O373" s="224"/>
    </row>
    <row r="374" spans="3:15" x14ac:dyDescent="0.55000000000000004">
      <c r="C374" s="124"/>
      <c r="H374" s="125"/>
      <c r="J374" s="224"/>
      <c r="K374" s="224"/>
      <c r="L374" s="224"/>
      <c r="M374" s="224"/>
      <c r="N374" s="224"/>
      <c r="O374" s="224"/>
    </row>
    <row r="375" spans="3:15" x14ac:dyDescent="0.55000000000000004">
      <c r="C375" s="124"/>
      <c r="D375" t="s">
        <v>371</v>
      </c>
      <c r="E375" s="64">
        <f ca="1">IF(VLOOKUP(D365,'2 Electricity'!$D$56:$M$75,5,FALSE)="",VLOOKUP(D365,'2 Electricity'!$D$56:$M$75,4,FALSE),VLOOKUP(D365,'2 Electricity'!$D$56:$M$75,5,FALSE))</f>
        <v>0</v>
      </c>
      <c r="H375" s="125"/>
      <c r="J375" s="224"/>
      <c r="K375" s="224"/>
      <c r="L375" s="224"/>
      <c r="M375" s="224"/>
      <c r="N375" s="224"/>
      <c r="O375" s="224"/>
    </row>
    <row r="376" spans="3:15" x14ac:dyDescent="0.55000000000000004">
      <c r="C376" s="124"/>
      <c r="D376" t="s">
        <v>372</v>
      </c>
      <c r="E376" s="26">
        <f ca="1">IF(VLOOKUP(D365,'2 Electricity'!$D$56:$M$75,7,FALSE)="",VLOOKUP(D365,'2 Electricity'!$D$56:$M$75,6,FALSE),VLOOKUP(D365,'2 Electricity'!$D$56:$M$75,7,FALSE))</f>
        <v>3925089.7879699524</v>
      </c>
      <c r="H376" s="125"/>
      <c r="J376" s="224"/>
      <c r="K376" s="224"/>
      <c r="L376" s="224"/>
      <c r="M376" s="224"/>
      <c r="N376" s="224"/>
      <c r="O376" s="224"/>
    </row>
    <row r="377" spans="3:15" x14ac:dyDescent="0.55000000000000004">
      <c r="C377" s="124"/>
      <c r="D377" t="s">
        <v>373</v>
      </c>
      <c r="E377" s="26">
        <f ca="1">IF(VLOOKUP(D365,'2 Electricity'!$D$56:$M$75,9,FALSE)="",VLOOKUP(D365,'2 Electricity'!$D$56:$M$75,8,FALSE),VLOOKUP(D365,'2 Electricity'!$D$56:$M$75,9,FALSE))</f>
        <v>0</v>
      </c>
      <c r="H377" s="125"/>
      <c r="J377" s="224"/>
      <c r="K377" s="224"/>
      <c r="L377" s="224"/>
      <c r="M377" s="224"/>
      <c r="N377" s="224"/>
      <c r="O377" s="224"/>
    </row>
    <row r="378" spans="3:15" x14ac:dyDescent="0.55000000000000004">
      <c r="C378" s="124"/>
      <c r="D378" t="s">
        <v>374</v>
      </c>
      <c r="E378" s="26">
        <f ca="1">IF(VLOOKUP(D365,'2 Electricity'!$D$92:$I$111,5,FALSE)="",VLOOKUP(D365,'2 Electricity'!$D$92:$I$111,4,FALSE),VLOOKUP(D365,'2 Electricity'!$D$92:$I$111,5,FALSE))</f>
        <v>-5403922.6593557922</v>
      </c>
      <c r="H378" s="125"/>
      <c r="J378" s="224"/>
      <c r="K378" s="224"/>
      <c r="L378" s="224"/>
      <c r="M378" s="224"/>
      <c r="N378" s="224"/>
      <c r="O378" s="224"/>
    </row>
    <row r="379" spans="3:15" ht="14.7" thickBot="1" x14ac:dyDescent="0.6">
      <c r="C379" s="124"/>
      <c r="D379" s="1" t="s">
        <v>145</v>
      </c>
      <c r="E379" s="37">
        <f ca="1">SUM(E375:E378)</f>
        <v>-1478832.8713858398</v>
      </c>
      <c r="H379" s="125"/>
      <c r="J379" s="224"/>
      <c r="K379" s="224"/>
      <c r="L379" s="224"/>
      <c r="M379" s="224"/>
      <c r="N379" s="224"/>
      <c r="O379" s="224"/>
    </row>
    <row r="380" spans="3:15" ht="14.7" thickTop="1" x14ac:dyDescent="0.55000000000000004">
      <c r="C380" s="124"/>
      <c r="D380" s="1"/>
      <c r="E380" s="15"/>
      <c r="H380" s="125"/>
      <c r="J380" s="224"/>
      <c r="K380" s="224"/>
      <c r="L380" s="224"/>
      <c r="M380" s="224"/>
      <c r="N380" s="224"/>
      <c r="O380" s="224"/>
    </row>
    <row r="381" spans="3:15" x14ac:dyDescent="0.55000000000000004">
      <c r="C381" s="124"/>
      <c r="D381" t="s">
        <v>384</v>
      </c>
      <c r="E381" s="26">
        <f ca="1">IF(VLOOKUP(D365,'2 Electricity'!$D$126:$K$145,5,FALSE)="",VLOOKUP(D365,'2 Electricity'!$D$126:$K$145,4,FALSE),VLOOKUP(D365,'2 Electricity'!$D$126:$K$145,5,FALSE))+VLOOKUP(D365,'2 Electricity'!$D$157:$J$176,7,FALSE)</f>
        <v>-5403922.6593557922</v>
      </c>
      <c r="H381" s="125"/>
      <c r="J381" s="224"/>
      <c r="K381" s="224"/>
      <c r="L381" s="224"/>
      <c r="M381" s="224"/>
      <c r="N381" s="224"/>
      <c r="O381" s="224"/>
    </row>
    <row r="382" spans="3:15" x14ac:dyDescent="0.55000000000000004">
      <c r="C382" s="124"/>
      <c r="H382" s="125"/>
      <c r="J382" s="224"/>
      <c r="K382" s="224"/>
      <c r="L382" s="224"/>
      <c r="M382" s="224"/>
      <c r="N382" s="224"/>
      <c r="O382" s="224"/>
    </row>
    <row r="383" spans="3:15" ht="14.7" thickBot="1" x14ac:dyDescent="0.6">
      <c r="C383" s="124"/>
      <c r="D383" s="1" t="s">
        <v>375</v>
      </c>
      <c r="E383" s="37">
        <f ca="1">VLOOKUP(D365,'2 Electricity'!$D$157:$K$176,8,FALSE)</f>
        <v>48773984.045685805</v>
      </c>
      <c r="H383" s="125"/>
      <c r="J383" s="224"/>
      <c r="K383" s="224"/>
      <c r="L383" s="224"/>
      <c r="M383" s="224"/>
      <c r="N383" s="224"/>
      <c r="O383" s="224"/>
    </row>
    <row r="384" spans="3:15" ht="14.7" thickTop="1" x14ac:dyDescent="0.55000000000000004">
      <c r="C384" s="124"/>
      <c r="H384" s="125"/>
      <c r="J384" s="224"/>
      <c r="K384" s="224"/>
      <c r="L384" s="224"/>
      <c r="M384" s="224"/>
      <c r="N384" s="224"/>
      <c r="O384" s="224"/>
    </row>
    <row r="385" spans="3:15" x14ac:dyDescent="0.55000000000000004">
      <c r="C385" s="124"/>
      <c r="H385" s="125"/>
      <c r="J385" s="224"/>
      <c r="K385" s="224"/>
      <c r="L385" s="224"/>
      <c r="M385" s="224"/>
      <c r="N385" s="224"/>
      <c r="O385" s="224"/>
    </row>
    <row r="386" spans="3:15" x14ac:dyDescent="0.55000000000000004">
      <c r="C386" s="124"/>
      <c r="H386" s="125"/>
      <c r="J386" s="224"/>
      <c r="K386" s="224"/>
      <c r="L386" s="224"/>
      <c r="M386" s="224"/>
      <c r="N386" s="224"/>
      <c r="O386" s="224"/>
    </row>
    <row r="387" spans="3:15" x14ac:dyDescent="0.55000000000000004">
      <c r="C387" s="124"/>
      <c r="H387" s="125"/>
      <c r="J387" s="224"/>
      <c r="K387" s="224"/>
      <c r="L387" s="224"/>
      <c r="M387" s="224"/>
      <c r="N387" s="224"/>
      <c r="O387" s="224"/>
    </row>
    <row r="388" spans="3:15" x14ac:dyDescent="0.55000000000000004">
      <c r="C388" s="124"/>
      <c r="H388" s="125"/>
      <c r="J388" s="232" t="s">
        <v>385</v>
      </c>
      <c r="K388" s="224"/>
      <c r="L388" s="224"/>
      <c r="M388" s="224"/>
      <c r="N388" s="224"/>
      <c r="O388" s="224"/>
    </row>
    <row r="389" spans="3:15" x14ac:dyDescent="0.55000000000000004">
      <c r="C389" s="124"/>
      <c r="H389" s="125"/>
      <c r="J389" s="110"/>
      <c r="K389" s="102" t="s">
        <v>390</v>
      </c>
      <c r="L389" s="102" t="s">
        <v>391</v>
      </c>
      <c r="M389" s="224"/>
      <c r="N389" s="224"/>
      <c r="O389" s="224"/>
    </row>
    <row r="390" spans="3:15" x14ac:dyDescent="0.55000000000000004">
      <c r="C390" s="124"/>
      <c r="H390" s="125"/>
      <c r="J390" s="110" t="s">
        <v>393</v>
      </c>
      <c r="K390" s="100">
        <f ca="1">E368/1000</f>
        <v>10553.736852756709</v>
      </c>
      <c r="L390" s="102"/>
      <c r="M390" s="224"/>
      <c r="N390" s="224"/>
      <c r="O390" s="224"/>
    </row>
    <row r="391" spans="3:15" x14ac:dyDescent="0.55000000000000004">
      <c r="C391" s="124"/>
      <c r="H391" s="125"/>
      <c r="J391" s="110" t="s">
        <v>249</v>
      </c>
      <c r="K391" s="100">
        <f ca="1">E369/1000</f>
        <v>31337.491662187469</v>
      </c>
      <c r="L391" s="110"/>
      <c r="M391" s="224"/>
      <c r="N391" s="224"/>
      <c r="O391" s="224"/>
    </row>
    <row r="392" spans="3:15" x14ac:dyDescent="0.55000000000000004">
      <c r="C392" s="124"/>
      <c r="H392" s="125"/>
      <c r="J392" s="110" t="s">
        <v>52</v>
      </c>
      <c r="K392" s="100">
        <f ca="1">E370/1000</f>
        <v>0</v>
      </c>
      <c r="L392" s="110"/>
      <c r="M392" s="224"/>
      <c r="N392" s="224"/>
      <c r="O392" s="224"/>
    </row>
    <row r="393" spans="3:15" x14ac:dyDescent="0.55000000000000004">
      <c r="C393" s="124"/>
      <c r="H393" s="125"/>
      <c r="J393" s="110" t="s">
        <v>471</v>
      </c>
      <c r="K393" s="100">
        <f>E373/1000</f>
        <v>0</v>
      </c>
      <c r="L393" s="110"/>
      <c r="M393" s="224"/>
      <c r="N393" s="224"/>
      <c r="O393" s="224"/>
    </row>
    <row r="394" spans="3:15" x14ac:dyDescent="0.55000000000000004">
      <c r="C394" s="124"/>
      <c r="H394" s="125"/>
      <c r="J394" s="110" t="s">
        <v>563</v>
      </c>
      <c r="K394" s="100"/>
      <c r="L394" s="101">
        <f ca="1">E383/1000</f>
        <v>48773.984045685807</v>
      </c>
      <c r="M394" s="224"/>
      <c r="N394" s="224"/>
      <c r="O394" s="224"/>
    </row>
    <row r="395" spans="3:15" x14ac:dyDescent="0.55000000000000004">
      <c r="C395" s="124"/>
      <c r="H395" s="125"/>
      <c r="J395" s="110" t="s">
        <v>564</v>
      </c>
      <c r="K395" s="100"/>
      <c r="L395" s="101">
        <f ca="1">E378/1000</f>
        <v>-5403.9226593557923</v>
      </c>
      <c r="M395" s="224"/>
      <c r="N395" s="224"/>
      <c r="O395" s="224"/>
    </row>
    <row r="396" spans="3:15" x14ac:dyDescent="0.55000000000000004">
      <c r="C396" s="124"/>
      <c r="H396" s="125"/>
      <c r="J396" s="110" t="s">
        <v>565</v>
      </c>
      <c r="K396" s="100"/>
      <c r="L396" s="101">
        <f ca="1">SUM(E375:E377)/1000</f>
        <v>3925.0897879699523</v>
      </c>
      <c r="M396" s="224"/>
      <c r="N396" s="224"/>
      <c r="O396" s="224"/>
    </row>
    <row r="397" spans="3:15" x14ac:dyDescent="0.55000000000000004">
      <c r="C397" s="124"/>
      <c r="H397" s="125"/>
      <c r="J397" s="110" t="s">
        <v>566</v>
      </c>
      <c r="K397" s="100"/>
      <c r="L397" s="101">
        <f ca="1">E381/1000</f>
        <v>-5403.9226593557923</v>
      </c>
      <c r="M397" s="224"/>
      <c r="N397" s="224"/>
      <c r="O397" s="224"/>
    </row>
    <row r="398" spans="3:15" x14ac:dyDescent="0.55000000000000004">
      <c r="C398" s="124"/>
      <c r="H398" s="125"/>
      <c r="J398" s="224"/>
      <c r="K398" s="224"/>
      <c r="L398" s="224"/>
      <c r="M398" s="224"/>
      <c r="N398" s="224"/>
      <c r="O398" s="224"/>
    </row>
    <row r="399" spans="3:15" x14ac:dyDescent="0.55000000000000004">
      <c r="C399" s="124"/>
      <c r="H399" s="125"/>
      <c r="J399" s="224"/>
      <c r="K399" s="224"/>
      <c r="L399" s="224"/>
      <c r="M399" s="224"/>
      <c r="N399" s="224"/>
      <c r="O399" s="224"/>
    </row>
    <row r="400" spans="3:15" x14ac:dyDescent="0.55000000000000004">
      <c r="C400" s="124"/>
      <c r="H400" s="125"/>
      <c r="J400" s="224"/>
      <c r="K400" s="224"/>
      <c r="L400" s="224"/>
      <c r="M400" s="224"/>
      <c r="N400" s="224"/>
      <c r="O400" s="224"/>
    </row>
    <row r="401" spans="3:15" x14ac:dyDescent="0.55000000000000004">
      <c r="C401" s="124"/>
      <c r="H401" s="125"/>
      <c r="J401" s="224"/>
      <c r="K401" s="224"/>
      <c r="L401" s="224"/>
      <c r="M401" s="224"/>
      <c r="N401" s="224"/>
      <c r="O401" s="224"/>
    </row>
    <row r="402" spans="3:15" x14ac:dyDescent="0.55000000000000004">
      <c r="C402" s="124"/>
      <c r="E402" s="220" t="s">
        <v>250</v>
      </c>
      <c r="H402" s="125"/>
      <c r="J402" s="224"/>
      <c r="K402" s="224"/>
      <c r="L402" s="224"/>
      <c r="M402" s="224"/>
      <c r="N402" s="224"/>
      <c r="O402" s="224"/>
    </row>
    <row r="403" spans="3:15" x14ac:dyDescent="0.55000000000000004">
      <c r="C403" s="124"/>
      <c r="D403" t="s">
        <v>394</v>
      </c>
      <c r="E403" s="64">
        <f ca="1">VLOOKUP(D365,'2 Electricity'!$D$157:$M$176,10,FALSE)</f>
        <v>3.9861916542179956</v>
      </c>
      <c r="H403" s="125"/>
      <c r="J403" s="224"/>
      <c r="K403" s="224"/>
      <c r="L403" s="224"/>
      <c r="M403" s="224"/>
      <c r="N403" s="224"/>
      <c r="O403" s="224"/>
    </row>
    <row r="404" spans="3:15" x14ac:dyDescent="0.55000000000000004">
      <c r="C404" s="124"/>
      <c r="D404" t="s">
        <v>395</v>
      </c>
      <c r="E404" s="64">
        <f ca="1">VLOOKUP(D365,'2 Electricity'!$D$157:$M$176,9,FALSE)</f>
        <v>4.6411254823075101</v>
      </c>
      <c r="H404" s="125"/>
      <c r="J404" s="224"/>
      <c r="K404" s="224"/>
      <c r="L404" s="224"/>
      <c r="M404" s="224"/>
      <c r="N404" s="224"/>
      <c r="O404" s="224"/>
    </row>
    <row r="405" spans="3:15" x14ac:dyDescent="0.55000000000000004">
      <c r="C405" s="124"/>
      <c r="D405" t="s">
        <v>378</v>
      </c>
      <c r="E405" s="97">
        <f ca="1">IFERROR(IF(E373=0,E381,E373)/E371,0)</f>
        <v>-0.12899890623708993</v>
      </c>
      <c r="H405" s="125"/>
      <c r="J405" s="224"/>
      <c r="K405" s="224"/>
      <c r="L405" s="224"/>
      <c r="M405" s="224"/>
      <c r="N405" s="224"/>
      <c r="O405" s="224"/>
    </row>
    <row r="406" spans="3:15" x14ac:dyDescent="0.55000000000000004">
      <c r="C406" s="124"/>
      <c r="H406" s="125"/>
      <c r="J406" s="224"/>
      <c r="K406" s="224"/>
      <c r="L406" s="224"/>
      <c r="M406" s="224"/>
      <c r="N406" s="224"/>
      <c r="O406" s="224"/>
    </row>
    <row r="407" spans="3:15" x14ac:dyDescent="0.55000000000000004">
      <c r="C407" s="124"/>
      <c r="D407" t="s">
        <v>379</v>
      </c>
      <c r="E407" s="26">
        <f>'3 Electricity'!I336</f>
        <v>0</v>
      </c>
      <c r="H407" s="125"/>
      <c r="J407" s="224"/>
      <c r="K407" s="224"/>
      <c r="L407" s="224"/>
      <c r="M407" s="224"/>
      <c r="N407" s="224"/>
      <c r="O407" s="224"/>
    </row>
    <row r="408" spans="3:15" x14ac:dyDescent="0.55000000000000004">
      <c r="C408" s="124"/>
      <c r="D408" t="s">
        <v>380</v>
      </c>
      <c r="E408" s="97">
        <f ca="1">IFERROR('3 Electricity'!J336/'3 Electricity'!G336,0)</f>
        <v>0</v>
      </c>
      <c r="H408" s="125"/>
      <c r="J408" s="224"/>
      <c r="K408" s="224"/>
      <c r="L408" s="224"/>
      <c r="M408" s="224"/>
      <c r="N408" s="224"/>
      <c r="O408" s="224"/>
    </row>
    <row r="409" spans="3:15" x14ac:dyDescent="0.55000000000000004">
      <c r="C409" s="124"/>
      <c r="H409" s="125"/>
      <c r="J409" s="224"/>
      <c r="K409" s="224"/>
      <c r="L409" s="224"/>
      <c r="M409" s="224"/>
      <c r="N409" s="224"/>
      <c r="O409" s="224"/>
    </row>
    <row r="410" spans="3:15" x14ac:dyDescent="0.55000000000000004">
      <c r="C410" s="124"/>
      <c r="D410" s="1" t="s">
        <v>381</v>
      </c>
      <c r="H410" s="125"/>
      <c r="J410" s="224"/>
      <c r="K410" s="224"/>
      <c r="L410" s="224"/>
      <c r="M410" s="224"/>
      <c r="N410" s="224"/>
      <c r="O410" s="224"/>
    </row>
    <row r="411" spans="3:15" x14ac:dyDescent="0.55000000000000004">
      <c r="C411" s="124"/>
      <c r="D411" s="1" t="str">
        <f>'3 Electricity'!G344</f>
        <v xml:space="preserve">Annual </v>
      </c>
      <c r="H411" s="125"/>
      <c r="J411" s="224"/>
      <c r="K411" s="224"/>
      <c r="L411" s="224"/>
      <c r="M411" s="224"/>
      <c r="N411" s="224"/>
      <c r="O411" s="224"/>
    </row>
    <row r="412" spans="3:15" x14ac:dyDescent="0.55000000000000004">
      <c r="C412" s="124"/>
      <c r="H412" s="125"/>
      <c r="J412" s="224"/>
      <c r="K412" s="224"/>
      <c r="L412" s="224"/>
      <c r="M412" s="224"/>
      <c r="N412" s="224"/>
      <c r="O412" s="224"/>
    </row>
    <row r="413" spans="3:15" x14ac:dyDescent="0.55000000000000004">
      <c r="C413" s="124"/>
      <c r="H413" s="125"/>
      <c r="J413" s="224"/>
      <c r="K413" s="224"/>
      <c r="L413" s="224"/>
      <c r="M413" s="224"/>
      <c r="N413" s="224"/>
      <c r="O413" s="224"/>
    </row>
    <row r="414" spans="3:15" x14ac:dyDescent="0.55000000000000004">
      <c r="C414" s="124"/>
      <c r="H414" s="125"/>
      <c r="J414" s="224"/>
      <c r="K414" s="224"/>
      <c r="L414" s="224"/>
      <c r="M414" s="224"/>
      <c r="N414" s="224" t="s">
        <v>89</v>
      </c>
      <c r="O414" s="224"/>
    </row>
    <row r="415" spans="3:15" x14ac:dyDescent="0.55000000000000004">
      <c r="C415" s="124"/>
      <c r="H415" s="125"/>
      <c r="J415" s="224"/>
      <c r="K415" s="224"/>
      <c r="L415" s="224"/>
      <c r="M415" s="224"/>
      <c r="N415" s="224"/>
      <c r="O415" s="224"/>
    </row>
    <row r="416" spans="3:15" ht="28.8" x14ac:dyDescent="0.55000000000000004">
      <c r="C416" s="124"/>
      <c r="H416" s="125"/>
      <c r="J416" s="229" t="s">
        <v>383</v>
      </c>
      <c r="K416" s="229" t="s">
        <v>382</v>
      </c>
      <c r="L416" s="108" t="str">
        <f>IF(D411=N414,"Annual Tariff","Low Season Tariff")</f>
        <v>Annual Tariff</v>
      </c>
      <c r="M416" s="109" t="str">
        <f>IF(D411=N414,"","High Season Tariff")</f>
        <v/>
      </c>
      <c r="N416" s="230" t="s">
        <v>392</v>
      </c>
      <c r="O416" s="229" t="s">
        <v>580</v>
      </c>
    </row>
    <row r="417" spans="3:15" x14ac:dyDescent="0.55000000000000004">
      <c r="C417" s="124"/>
      <c r="H417" s="125"/>
      <c r="J417" s="102">
        <v>1</v>
      </c>
      <c r="K417" s="102">
        <f>IFERROR(IF('3 Electricity'!$G$344='3 Electricity'!$V$344,VLOOKUP('Electricity report'!J417,'3 Electricity'!$F$355:$K$359,3,FALSE),VLOOKUP('Electricity report'!J417,'3 Electricity'!$F$374:$N$378,3,FALSE)),0)</f>
        <v>0</v>
      </c>
      <c r="L417" s="103">
        <f ca="1">IFERROR(IF('3 Electricity'!$G$344='3 Electricity'!$V$344,VLOOKUP('Electricity report'!J417,'3 Electricity'!$F$355:$K$359,6,FALSE),VLOOKUP('Electricity report'!J417,'3 Electricity'!$F$374:$N$378,9,FALSE)),0)</f>
        <v>4.6411254823075101</v>
      </c>
      <c r="M417" s="105" t="str">
        <f>IF($D$411=$N$414,"",VLOOKUP(J417,'3 Electricity'!$F$374:$N$378,8,FALSE))</f>
        <v/>
      </c>
      <c r="N417" s="104">
        <f ca="1">$E$403</f>
        <v>3.9861916542179956</v>
      </c>
      <c r="O417" s="105">
        <f ca="1">IFERROR('3 Electricity'!J328/'3 Electricity'!H328,0)</f>
        <v>2.9819428113304203</v>
      </c>
    </row>
    <row r="418" spans="3:15" x14ac:dyDescent="0.55000000000000004">
      <c r="C418" s="124"/>
      <c r="H418" s="125"/>
      <c r="J418" s="102">
        <v>2</v>
      </c>
      <c r="K418" s="102">
        <f>IFERROR(IF('3 Electricity'!$G$344='3 Electricity'!$V$344,VLOOKUP('Electricity report'!J418,'3 Electricity'!$F$355:$K$359,3,FALSE),VLOOKUP('Electricity report'!J418,'3 Electricity'!$F$374:$N$378,3,FALSE)),0)</f>
        <v>0</v>
      </c>
      <c r="L418" s="103">
        <f>IFERROR(IF('3 Electricity'!$G$344='3 Electricity'!$V$344,VLOOKUP('Electricity report'!J418,'3 Electricity'!$F$355:$K$359,6,FALSE),VLOOKUP('Electricity report'!J418,'3 Electricity'!$F$374:$N$378,9,FALSE)),0)</f>
        <v>0</v>
      </c>
      <c r="M418" s="105" t="str">
        <f>IF($D$411=$N$414,"",VLOOKUP(J418,'3 Electricity'!$F$374:$N$378,8,FALSE))</f>
        <v/>
      </c>
      <c r="N418" s="104">
        <f ca="1">$E$403</f>
        <v>3.9861916542179956</v>
      </c>
      <c r="O418" s="104">
        <f ca="1">$O$417</f>
        <v>2.9819428113304203</v>
      </c>
    </row>
    <row r="419" spans="3:15" x14ac:dyDescent="0.55000000000000004">
      <c r="C419" s="124"/>
      <c r="H419" s="125"/>
      <c r="J419" s="102">
        <v>3</v>
      </c>
      <c r="K419" s="102">
        <f>IFERROR(IF('3 Electricity'!$G$344='3 Electricity'!$V$344,VLOOKUP('Electricity report'!J419,'3 Electricity'!$F$355:$K$359,3,FALSE),VLOOKUP('Electricity report'!J419,'3 Electricity'!$F$374:$N$378,3,FALSE)),0)</f>
        <v>0</v>
      </c>
      <c r="L419" s="103">
        <f>IFERROR(IF('3 Electricity'!$G$344='3 Electricity'!$V$344,VLOOKUP('Electricity report'!J419,'3 Electricity'!$F$355:$K$359,6,FALSE),VLOOKUP('Electricity report'!J419,'3 Electricity'!$F$374:$N$378,9,FALSE)),0)</f>
        <v>0</v>
      </c>
      <c r="M419" s="105" t="str">
        <f>IF($D$411=$N$414,"",VLOOKUP(J419,'3 Electricity'!$F$374:$N$378,8,FALSE))</f>
        <v/>
      </c>
      <c r="N419" s="104">
        <f ca="1">$E$403</f>
        <v>3.9861916542179956</v>
      </c>
      <c r="O419" s="104">
        <f ca="1">$O$417</f>
        <v>2.9819428113304203</v>
      </c>
    </row>
    <row r="420" spans="3:15" x14ac:dyDescent="0.55000000000000004">
      <c r="C420" s="124"/>
      <c r="H420" s="125"/>
      <c r="J420" s="102">
        <v>4</v>
      </c>
      <c r="K420" s="102">
        <f>IFERROR(IF('3 Electricity'!$G$344='3 Electricity'!$V$344,VLOOKUP('Electricity report'!J420,'3 Electricity'!$F$355:$K$359,3,FALSE),VLOOKUP('Electricity report'!J420,'3 Electricity'!$F$374:$N$378,3,FALSE)),0)</f>
        <v>0</v>
      </c>
      <c r="L420" s="103">
        <f>IFERROR(IF('3 Electricity'!$G$344='3 Electricity'!$V$344,VLOOKUP('Electricity report'!J420,'3 Electricity'!$F$355:$K$359,6,FALSE),VLOOKUP('Electricity report'!J420,'3 Electricity'!$F$374:$N$378,9,FALSE)),0)</f>
        <v>0</v>
      </c>
      <c r="M420" s="105" t="str">
        <f>IF($D$411=$N$414,"",VLOOKUP(J420,'3 Electricity'!$F$374:$N$378,8,FALSE))</f>
        <v/>
      </c>
      <c r="N420" s="104">
        <f ca="1">$E$403</f>
        <v>3.9861916542179956</v>
      </c>
      <c r="O420" s="104">
        <f ca="1">$O$417</f>
        <v>2.9819428113304203</v>
      </c>
    </row>
    <row r="421" spans="3:15" x14ac:dyDescent="0.55000000000000004">
      <c r="C421" s="124"/>
      <c r="H421" s="125"/>
      <c r="J421" s="102">
        <v>5</v>
      </c>
      <c r="K421" s="102">
        <f>IFERROR(IF('3 Electricity'!$G$344='3 Electricity'!$V$344,VLOOKUP('Electricity report'!J421,'3 Electricity'!$F$355:$K$359,3,FALSE),VLOOKUP('Electricity report'!J421,'3 Electricity'!$F$374:$N$378,3,FALSE)),0)</f>
        <v>0</v>
      </c>
      <c r="L421" s="103">
        <f>IFERROR(IF('3 Electricity'!$G$344='3 Electricity'!$V$344,VLOOKUP('Electricity report'!J421,'3 Electricity'!$F$355:$K$359,6,FALSE),VLOOKUP('Electricity report'!J421,'3 Electricity'!$F$374:$N$378,9,FALSE)),0)</f>
        <v>0</v>
      </c>
      <c r="M421" s="105" t="str">
        <f>IF($D$411=$N$414,"",VLOOKUP(J421,'3 Electricity'!$F$374:$N$378,8,FALSE))</f>
        <v/>
      </c>
      <c r="N421" s="104">
        <f ca="1">$E$403</f>
        <v>3.9861916542179956</v>
      </c>
      <c r="O421" s="104">
        <f ca="1">$O$417</f>
        <v>2.9819428113304203</v>
      </c>
    </row>
    <row r="422" spans="3:15" x14ac:dyDescent="0.55000000000000004">
      <c r="C422" s="124"/>
      <c r="H422" s="125"/>
      <c r="J422" s="224"/>
      <c r="K422" s="224"/>
      <c r="L422" s="224"/>
      <c r="M422" s="224"/>
      <c r="N422" s="224"/>
      <c r="O422" s="224"/>
    </row>
    <row r="423" spans="3:15" x14ac:dyDescent="0.55000000000000004">
      <c r="C423" s="124"/>
      <c r="H423" s="125"/>
      <c r="J423" s="224"/>
      <c r="K423" s="224"/>
      <c r="L423" s="224"/>
      <c r="M423" s="224"/>
      <c r="N423" s="224"/>
      <c r="O423" s="224"/>
    </row>
    <row r="424" spans="3:15" x14ac:dyDescent="0.55000000000000004">
      <c r="C424" s="124"/>
      <c r="H424" s="125"/>
      <c r="J424" s="224"/>
      <c r="K424" s="224"/>
      <c r="L424" s="224"/>
      <c r="M424" s="224"/>
      <c r="N424" s="224"/>
      <c r="O424" s="224"/>
    </row>
    <row r="425" spans="3:15" x14ac:dyDescent="0.55000000000000004">
      <c r="C425" s="124"/>
      <c r="H425" s="125"/>
      <c r="J425" s="224"/>
      <c r="K425" s="224"/>
      <c r="L425" s="224"/>
      <c r="M425" s="224"/>
      <c r="N425" s="224"/>
      <c r="O425" s="224"/>
    </row>
    <row r="426" spans="3:15" x14ac:dyDescent="0.55000000000000004">
      <c r="C426" s="124"/>
      <c r="H426" s="125"/>
      <c r="J426" s="224"/>
      <c r="K426" s="224"/>
      <c r="L426" s="224"/>
      <c r="M426" s="224"/>
      <c r="N426" s="224"/>
      <c r="O426" s="224"/>
    </row>
    <row r="427" spans="3:15" x14ac:dyDescent="0.55000000000000004">
      <c r="C427" s="124"/>
      <c r="H427" s="125"/>
      <c r="J427" s="224"/>
      <c r="K427" s="224"/>
      <c r="L427" s="224"/>
      <c r="M427" s="224"/>
      <c r="N427" s="224"/>
      <c r="O427" s="224"/>
    </row>
    <row r="428" spans="3:15" x14ac:dyDescent="0.55000000000000004">
      <c r="C428" s="124"/>
      <c r="H428" s="125"/>
      <c r="J428" s="224"/>
      <c r="K428" s="224"/>
      <c r="L428" s="224"/>
      <c r="M428" s="224"/>
      <c r="N428" s="224"/>
      <c r="O428" s="224"/>
    </row>
    <row r="429" spans="3:15" x14ac:dyDescent="0.55000000000000004">
      <c r="C429" s="124"/>
      <c r="H429" s="125"/>
      <c r="J429" s="224"/>
      <c r="K429" s="224"/>
      <c r="L429" s="224"/>
      <c r="M429" s="224"/>
      <c r="N429" s="224"/>
      <c r="O429" s="224"/>
    </row>
    <row r="430" spans="3:15" x14ac:dyDescent="0.55000000000000004">
      <c r="C430" s="124"/>
      <c r="H430" s="125"/>
      <c r="J430" s="224"/>
      <c r="K430" s="224"/>
      <c r="L430" s="224"/>
      <c r="M430" s="224"/>
      <c r="N430" s="224"/>
      <c r="O430" s="224"/>
    </row>
    <row r="431" spans="3:15" ht="14.7" thickBot="1" x14ac:dyDescent="0.6">
      <c r="C431" s="130"/>
      <c r="D431" s="131"/>
      <c r="E431" s="131"/>
      <c r="F431" s="131"/>
      <c r="G431" s="131"/>
      <c r="H431" s="132"/>
      <c r="J431" s="224"/>
      <c r="K431" s="224"/>
      <c r="L431" s="224"/>
      <c r="M431" s="224"/>
      <c r="N431" s="224"/>
      <c r="O431" s="224"/>
    </row>
    <row r="432" spans="3:15" x14ac:dyDescent="0.55000000000000004">
      <c r="J432" s="224"/>
      <c r="K432" s="224"/>
      <c r="L432" s="224"/>
      <c r="M432" s="224"/>
      <c r="N432" s="224"/>
      <c r="O432" s="224"/>
    </row>
    <row r="433" spans="3:15" ht="14.7" thickBot="1" x14ac:dyDescent="0.6">
      <c r="J433" s="224"/>
      <c r="K433" s="224"/>
      <c r="L433" s="224"/>
      <c r="M433" s="224"/>
      <c r="N433" s="224"/>
      <c r="O433" s="224"/>
    </row>
    <row r="434" spans="3:15" x14ac:dyDescent="0.55000000000000004">
      <c r="C434" s="121"/>
      <c r="D434" s="122"/>
      <c r="E434" s="122"/>
      <c r="F434" s="122"/>
      <c r="G434" s="122"/>
      <c r="H434" s="123"/>
      <c r="J434" s="224"/>
      <c r="K434" s="224"/>
      <c r="L434" s="224"/>
      <c r="M434" s="224"/>
      <c r="N434" s="224"/>
      <c r="O434" s="224"/>
    </row>
    <row r="435" spans="3:15" ht="15.6" x14ac:dyDescent="0.6">
      <c r="C435" s="124"/>
      <c r="D435" s="98" t="str">
        <f>'2 Customer data'!D99</f>
        <v>Prepaid:  Domestic Lifeline</v>
      </c>
      <c r="H435" s="125"/>
      <c r="J435" s="224"/>
      <c r="K435" s="224"/>
      <c r="L435" s="224"/>
      <c r="M435" s="224"/>
      <c r="N435" s="224"/>
      <c r="O435" s="224"/>
    </row>
    <row r="436" spans="3:15" x14ac:dyDescent="0.55000000000000004">
      <c r="C436" s="124"/>
      <c r="H436" s="125"/>
      <c r="J436" s="224"/>
      <c r="K436" s="224"/>
      <c r="L436" s="224"/>
      <c r="M436" s="224"/>
      <c r="N436" s="224"/>
      <c r="O436" s="224"/>
    </row>
    <row r="437" spans="3:15" x14ac:dyDescent="0.55000000000000004">
      <c r="C437" s="124"/>
      <c r="E437" s="220" t="s">
        <v>250</v>
      </c>
      <c r="H437" s="125"/>
      <c r="J437" s="224"/>
      <c r="K437" s="224"/>
      <c r="L437" s="224"/>
      <c r="M437" s="224"/>
      <c r="N437" s="224"/>
      <c r="O437" s="224"/>
    </row>
    <row r="438" spans="3:15" x14ac:dyDescent="0.55000000000000004">
      <c r="C438" s="124"/>
      <c r="D438" t="s">
        <v>393</v>
      </c>
      <c r="E438" s="26">
        <f ca="1">VLOOKUP(D435,'2 Electricity'!$D$21:$L$40,6,FALSE)</f>
        <v>22204313.277029321</v>
      </c>
      <c r="H438" s="125"/>
      <c r="J438" s="224"/>
      <c r="K438" s="224"/>
      <c r="L438" s="224"/>
      <c r="M438" s="224"/>
      <c r="N438" s="224"/>
      <c r="O438" s="224"/>
    </row>
    <row r="439" spans="3:15" x14ac:dyDescent="0.55000000000000004">
      <c r="C439" s="124"/>
      <c r="D439" t="s">
        <v>249</v>
      </c>
      <c r="E439" s="99">
        <f ca="1">VLOOKUP(D435,'2 Electricity'!$D$21:$L$40,7,FALSE)</f>
        <v>26120809.937807128</v>
      </c>
      <c r="H439" s="125"/>
      <c r="J439" s="224"/>
      <c r="K439" s="224"/>
      <c r="L439" s="224"/>
      <c r="M439" s="224"/>
      <c r="N439" s="224"/>
      <c r="O439" s="224"/>
    </row>
    <row r="440" spans="3:15" x14ac:dyDescent="0.55000000000000004">
      <c r="C440" s="124"/>
      <c r="D440" t="s">
        <v>52</v>
      </c>
      <c r="E440" s="26">
        <f ca="1">VLOOKUP(D435,'2 Electricity'!$D$21:$L$40,8,FALSE)</f>
        <v>0</v>
      </c>
      <c r="H440" s="125"/>
      <c r="J440" s="224"/>
      <c r="K440" s="224"/>
      <c r="L440" s="224"/>
      <c r="M440" s="224"/>
      <c r="N440" s="224"/>
      <c r="O440" s="224"/>
    </row>
    <row r="441" spans="3:15" ht="14.7" thickBot="1" x14ac:dyDescent="0.6">
      <c r="C441" s="124"/>
      <c r="D441" s="1" t="s">
        <v>39</v>
      </c>
      <c r="E441" s="37">
        <f ca="1">VLOOKUP(D435,'2 Electricity'!D$21:L$40,9,FALSE)</f>
        <v>48325123.214836448</v>
      </c>
      <c r="H441" s="125"/>
      <c r="J441" s="224"/>
      <c r="K441" s="224"/>
      <c r="L441" s="224"/>
      <c r="M441" s="224"/>
      <c r="N441" s="224"/>
      <c r="O441" s="224"/>
    </row>
    <row r="442" spans="3:15" ht="14.7" thickTop="1" x14ac:dyDescent="0.55000000000000004">
      <c r="C442" s="124"/>
      <c r="H442" s="125"/>
      <c r="J442" s="224"/>
      <c r="K442" s="224"/>
      <c r="L442" s="224"/>
      <c r="M442" s="224"/>
      <c r="N442" s="224"/>
      <c r="O442" s="224"/>
    </row>
    <row r="443" spans="3:15" x14ac:dyDescent="0.55000000000000004">
      <c r="C443" s="124"/>
      <c r="D443" t="s">
        <v>189</v>
      </c>
      <c r="E443" s="26">
        <f>IFERROR(IF(VLOOKUP(D435,'2 Electricity'!$D$126:$K$145,7,FALSE)="",VLOOKUP('2 Electricity'!$D$126:$K$145,6,FALSE),VLOOKUP(D435,'2 Electricity'!$D$126:$K$145,7,FALSE))+VLOOKUP(D435,'2 Electricity'!$D$157:$J$176,5,FALSE),0)</f>
        <v>0</v>
      </c>
      <c r="H443" s="125"/>
      <c r="J443" s="224"/>
      <c r="K443" s="224"/>
      <c r="L443" s="224"/>
      <c r="M443" s="224"/>
      <c r="N443" s="224"/>
      <c r="O443" s="224"/>
    </row>
    <row r="444" spans="3:15" x14ac:dyDescent="0.55000000000000004">
      <c r="C444" s="124"/>
      <c r="H444" s="125"/>
      <c r="J444" s="224"/>
      <c r="K444" s="224"/>
      <c r="L444" s="224"/>
      <c r="M444" s="224"/>
      <c r="N444" s="224"/>
      <c r="O444" s="224"/>
    </row>
    <row r="445" spans="3:15" x14ac:dyDescent="0.55000000000000004">
      <c r="C445" s="124"/>
      <c r="D445" t="s">
        <v>371</v>
      </c>
      <c r="E445" s="64">
        <f ca="1">IF(VLOOKUP(D435,'2 Electricity'!$D$56:$M$75,5,FALSE)="",VLOOKUP(D435,'2 Electricity'!$D$56:$M$75,4,FALSE),VLOOKUP(D435,'2 Electricity'!$D$56:$M$75,5,FALSE))</f>
        <v>0</v>
      </c>
      <c r="H445" s="125"/>
      <c r="J445" s="224"/>
      <c r="K445" s="224"/>
      <c r="L445" s="224"/>
      <c r="M445" s="224"/>
      <c r="N445" s="224"/>
      <c r="O445" s="224"/>
    </row>
    <row r="446" spans="3:15" x14ac:dyDescent="0.55000000000000004">
      <c r="C446" s="124"/>
      <c r="D446" t="s">
        <v>372</v>
      </c>
      <c r="E446" s="26">
        <f ca="1">IF(VLOOKUP(D435,'2 Electricity'!$D$56:$M$75,7,FALSE)="",VLOOKUP(D435,'2 Electricity'!$D$56:$M$75,6,FALSE),VLOOKUP(D435,'2 Electricity'!$D$56:$M$75,7,FALSE))</f>
        <v>4527927.5484909229</v>
      </c>
      <c r="H446" s="125"/>
      <c r="J446" s="224"/>
      <c r="K446" s="224"/>
      <c r="L446" s="224"/>
      <c r="M446" s="224"/>
      <c r="N446" s="224"/>
      <c r="O446" s="224"/>
    </row>
    <row r="447" spans="3:15" x14ac:dyDescent="0.55000000000000004">
      <c r="C447" s="124"/>
      <c r="D447" t="s">
        <v>373</v>
      </c>
      <c r="E447" s="26">
        <f ca="1">IF(VLOOKUP(D435,'2 Electricity'!$D$56:$M$75,9,FALSE)="",VLOOKUP(D435,'2 Electricity'!$D$56:$M$75,8,FALSE),VLOOKUP(D435,'2 Electricity'!$D$56:$M$75,9,FALSE))</f>
        <v>0</v>
      </c>
      <c r="H447" s="125"/>
      <c r="J447" s="224"/>
      <c r="K447" s="224"/>
      <c r="L447" s="224"/>
      <c r="M447" s="224"/>
      <c r="N447" s="224"/>
      <c r="O447" s="224"/>
    </row>
    <row r="448" spans="3:15" x14ac:dyDescent="0.55000000000000004">
      <c r="C448" s="124"/>
      <c r="D448" t="s">
        <v>374</v>
      </c>
      <c r="E448" s="26">
        <f ca="1">IF(VLOOKUP(D435,'2 Electricity'!$D$92:$I$111,5,FALSE)="",VLOOKUP(D435,'2 Electricity'!$D$92:$I$111,4,FALSE),VLOOKUP(D435,'2 Electricity'!$D$92:$I$111,5,FALSE))</f>
        <v>-6233888.0384865049</v>
      </c>
      <c r="H448" s="125"/>
      <c r="J448" s="224"/>
      <c r="K448" s="224"/>
      <c r="L448" s="224"/>
      <c r="M448" s="224"/>
      <c r="N448" s="224"/>
      <c r="O448" s="224"/>
    </row>
    <row r="449" spans="3:15" ht="14.7" thickBot="1" x14ac:dyDescent="0.6">
      <c r="C449" s="124"/>
      <c r="D449" s="1" t="s">
        <v>145</v>
      </c>
      <c r="E449" s="37">
        <f ca="1">SUM(E445:E448)</f>
        <v>-1705960.489995582</v>
      </c>
      <c r="H449" s="125"/>
      <c r="J449" s="224"/>
      <c r="K449" s="224"/>
      <c r="L449" s="224"/>
      <c r="M449" s="224"/>
      <c r="N449" s="224"/>
      <c r="O449" s="224"/>
    </row>
    <row r="450" spans="3:15" ht="14.7" thickTop="1" x14ac:dyDescent="0.55000000000000004">
      <c r="C450" s="124"/>
      <c r="D450" s="1"/>
      <c r="E450" s="15"/>
      <c r="H450" s="125"/>
      <c r="J450" s="224"/>
      <c r="K450" s="224"/>
      <c r="L450" s="224"/>
      <c r="M450" s="224"/>
      <c r="N450" s="224"/>
      <c r="O450" s="224"/>
    </row>
    <row r="451" spans="3:15" x14ac:dyDescent="0.55000000000000004">
      <c r="C451" s="124"/>
      <c r="D451" t="s">
        <v>384</v>
      </c>
      <c r="E451" s="26">
        <f ca="1">IF(VLOOKUP(D435,'2 Electricity'!$D$126:$K$145,5,FALSE)="",VLOOKUP(D435,'2 Electricity'!$D$126:$K$145,4,FALSE),VLOOKUP(D435,'2 Electricity'!$D$126:$K$145,5,FALSE))+VLOOKUP(D435,'2 Electricity'!$D$157:$J$176,7,FALSE)</f>
        <v>-6233888.0384865049</v>
      </c>
      <c r="H451" s="125"/>
      <c r="J451" s="224"/>
      <c r="K451" s="224"/>
      <c r="L451" s="224"/>
      <c r="M451" s="224"/>
      <c r="N451" s="224"/>
      <c r="O451" s="224"/>
    </row>
    <row r="452" spans="3:15" x14ac:dyDescent="0.55000000000000004">
      <c r="C452" s="124"/>
      <c r="H452" s="125"/>
      <c r="J452" s="224"/>
      <c r="K452" s="224"/>
      <c r="L452" s="224"/>
      <c r="M452" s="224"/>
      <c r="N452" s="224"/>
      <c r="O452" s="224"/>
    </row>
    <row r="453" spans="3:15" ht="14.7" thickBot="1" x14ac:dyDescent="0.6">
      <c r="C453" s="124"/>
      <c r="D453" s="1" t="s">
        <v>375</v>
      </c>
      <c r="E453" s="37">
        <f ca="1">VLOOKUP(D435,'2 Electricity'!$D$157:$K$176,8,FALSE)</f>
        <v>56264971.743318528</v>
      </c>
      <c r="H453" s="125"/>
      <c r="J453" s="224"/>
      <c r="K453" s="224"/>
      <c r="L453" s="224"/>
      <c r="M453" s="224"/>
      <c r="N453" s="224"/>
      <c r="O453" s="224"/>
    </row>
    <row r="454" spans="3:15" ht="14.7" thickTop="1" x14ac:dyDescent="0.55000000000000004">
      <c r="C454" s="124"/>
      <c r="H454" s="125"/>
      <c r="J454" s="224"/>
      <c r="K454" s="224"/>
      <c r="L454" s="224"/>
      <c r="M454" s="224"/>
      <c r="N454" s="224"/>
      <c r="O454" s="224"/>
    </row>
    <row r="455" spans="3:15" x14ac:dyDescent="0.55000000000000004">
      <c r="C455" s="124"/>
      <c r="H455" s="125"/>
      <c r="J455" s="224"/>
      <c r="K455" s="224"/>
      <c r="L455" s="224"/>
      <c r="M455" s="224"/>
      <c r="N455" s="224"/>
      <c r="O455" s="224"/>
    </row>
    <row r="456" spans="3:15" x14ac:dyDescent="0.55000000000000004">
      <c r="C456" s="124"/>
      <c r="H456" s="125"/>
      <c r="J456" s="224"/>
      <c r="K456" s="224"/>
      <c r="L456" s="224"/>
      <c r="M456" s="224"/>
      <c r="N456" s="224"/>
      <c r="O456" s="224"/>
    </row>
    <row r="457" spans="3:15" x14ac:dyDescent="0.55000000000000004">
      <c r="C457" s="124"/>
      <c r="H457" s="125"/>
      <c r="J457" s="224"/>
      <c r="K457" s="224"/>
      <c r="L457" s="224"/>
      <c r="M457" s="224"/>
      <c r="N457" s="224"/>
      <c r="O457" s="224"/>
    </row>
    <row r="458" spans="3:15" x14ac:dyDescent="0.55000000000000004">
      <c r="C458" s="124"/>
      <c r="H458" s="125"/>
      <c r="J458" s="232" t="s">
        <v>385</v>
      </c>
      <c r="K458" s="224"/>
      <c r="L458" s="224"/>
      <c r="M458" s="224"/>
      <c r="N458" s="224"/>
      <c r="O458" s="224"/>
    </row>
    <row r="459" spans="3:15" x14ac:dyDescent="0.55000000000000004">
      <c r="C459" s="124"/>
      <c r="H459" s="125"/>
      <c r="J459" s="110"/>
      <c r="K459" s="102" t="s">
        <v>390</v>
      </c>
      <c r="L459" s="102" t="s">
        <v>391</v>
      </c>
      <c r="M459" s="224"/>
      <c r="N459" s="224"/>
      <c r="O459" s="224"/>
    </row>
    <row r="460" spans="3:15" x14ac:dyDescent="0.55000000000000004">
      <c r="C460" s="124"/>
      <c r="H460" s="125"/>
      <c r="J460" s="110" t="s">
        <v>393</v>
      </c>
      <c r="K460" s="100">
        <f ca="1">E438/1000</f>
        <v>22204.31327702932</v>
      </c>
      <c r="L460" s="102"/>
      <c r="M460" s="224"/>
      <c r="N460" s="224"/>
      <c r="O460" s="224"/>
    </row>
    <row r="461" spans="3:15" x14ac:dyDescent="0.55000000000000004">
      <c r="C461" s="124"/>
      <c r="H461" s="125"/>
      <c r="J461" s="110" t="s">
        <v>249</v>
      </c>
      <c r="K461" s="100">
        <f ca="1">E439/1000</f>
        <v>26120.809937807127</v>
      </c>
      <c r="L461" s="110"/>
      <c r="M461" s="224"/>
      <c r="N461" s="224"/>
      <c r="O461" s="224"/>
    </row>
    <row r="462" spans="3:15" x14ac:dyDescent="0.55000000000000004">
      <c r="C462" s="124"/>
      <c r="H462" s="125"/>
      <c r="J462" s="110" t="s">
        <v>52</v>
      </c>
      <c r="K462" s="100">
        <f ca="1">E440/1000</f>
        <v>0</v>
      </c>
      <c r="L462" s="110"/>
      <c r="M462" s="224"/>
      <c r="N462" s="224"/>
      <c r="O462" s="224"/>
    </row>
    <row r="463" spans="3:15" x14ac:dyDescent="0.55000000000000004">
      <c r="C463" s="124"/>
      <c r="H463" s="125"/>
      <c r="J463" s="110" t="s">
        <v>471</v>
      </c>
      <c r="K463" s="100">
        <f>E443/1000</f>
        <v>0</v>
      </c>
      <c r="L463" s="110"/>
      <c r="M463" s="224"/>
      <c r="N463" s="224"/>
      <c r="O463" s="224"/>
    </row>
    <row r="464" spans="3:15" x14ac:dyDescent="0.55000000000000004">
      <c r="C464" s="124"/>
      <c r="H464" s="125"/>
      <c r="J464" s="110" t="s">
        <v>563</v>
      </c>
      <c r="K464" s="100"/>
      <c r="L464" s="101">
        <f ca="1">E453/1000</f>
        <v>56264.971743318529</v>
      </c>
      <c r="M464" s="224"/>
      <c r="N464" s="224"/>
      <c r="O464" s="224"/>
    </row>
    <row r="465" spans="3:15" x14ac:dyDescent="0.55000000000000004">
      <c r="C465" s="124"/>
      <c r="H465" s="125"/>
      <c r="J465" s="110" t="s">
        <v>564</v>
      </c>
      <c r="K465" s="100"/>
      <c r="L465" s="101">
        <f ca="1">E448/1000</f>
        <v>-6233.8880384865051</v>
      </c>
      <c r="M465" s="224"/>
      <c r="N465" s="224"/>
      <c r="O465" s="224"/>
    </row>
    <row r="466" spans="3:15" x14ac:dyDescent="0.55000000000000004">
      <c r="C466" s="124"/>
      <c r="H466" s="125"/>
      <c r="J466" s="110" t="s">
        <v>565</v>
      </c>
      <c r="K466" s="100"/>
      <c r="L466" s="101">
        <f ca="1">SUM(E445:E447)/1000</f>
        <v>4527.9275484909231</v>
      </c>
      <c r="M466" s="224"/>
      <c r="N466" s="224"/>
      <c r="O466" s="224"/>
    </row>
    <row r="467" spans="3:15" x14ac:dyDescent="0.55000000000000004">
      <c r="C467" s="124"/>
      <c r="H467" s="125"/>
      <c r="J467" s="110" t="s">
        <v>566</v>
      </c>
      <c r="K467" s="100"/>
      <c r="L467" s="101">
        <f ca="1">E451/1000</f>
        <v>-6233.8880384865051</v>
      </c>
      <c r="M467" s="224"/>
      <c r="N467" s="224"/>
      <c r="O467" s="224"/>
    </row>
    <row r="468" spans="3:15" x14ac:dyDescent="0.55000000000000004">
      <c r="C468" s="124"/>
      <c r="H468" s="125"/>
      <c r="J468" s="224"/>
      <c r="K468" s="224"/>
      <c r="L468" s="224"/>
      <c r="M468" s="224"/>
      <c r="N468" s="224"/>
      <c r="O468" s="224"/>
    </row>
    <row r="469" spans="3:15" x14ac:dyDescent="0.55000000000000004">
      <c r="C469" s="124"/>
      <c r="H469" s="125"/>
      <c r="J469" s="224"/>
      <c r="K469" s="224"/>
      <c r="L469" s="224"/>
      <c r="M469" s="224"/>
      <c r="N469" s="224"/>
      <c r="O469" s="224"/>
    </row>
    <row r="470" spans="3:15" x14ac:dyDescent="0.55000000000000004">
      <c r="C470" s="124"/>
      <c r="H470" s="125"/>
      <c r="J470" s="224"/>
      <c r="K470" s="224"/>
      <c r="L470" s="224"/>
      <c r="M470" s="224"/>
      <c r="N470" s="224"/>
      <c r="O470" s="224"/>
    </row>
    <row r="471" spans="3:15" x14ac:dyDescent="0.55000000000000004">
      <c r="C471" s="124"/>
      <c r="H471" s="125"/>
      <c r="J471" s="224"/>
      <c r="K471" s="224"/>
      <c r="L471" s="224"/>
      <c r="M471" s="224"/>
      <c r="N471" s="224"/>
      <c r="O471" s="224"/>
    </row>
    <row r="472" spans="3:15" x14ac:dyDescent="0.55000000000000004">
      <c r="C472" s="124"/>
      <c r="E472" s="220" t="s">
        <v>250</v>
      </c>
      <c r="H472" s="125"/>
      <c r="J472" s="224"/>
      <c r="K472" s="224"/>
      <c r="L472" s="224"/>
      <c r="M472" s="224"/>
      <c r="N472" s="224"/>
      <c r="O472" s="224"/>
    </row>
    <row r="473" spans="3:15" x14ac:dyDescent="0.55000000000000004">
      <c r="C473" s="124"/>
      <c r="D473" t="s">
        <v>394</v>
      </c>
      <c r="E473" s="64">
        <f ca="1">VLOOKUP(D435,'2 Electricity'!$D$157:$M$176,10,FALSE)</f>
        <v>5.5167796909913109</v>
      </c>
      <c r="H473" s="125"/>
      <c r="J473" s="224"/>
      <c r="K473" s="224"/>
      <c r="L473" s="224"/>
      <c r="M473" s="224"/>
      <c r="N473" s="224"/>
      <c r="O473" s="224"/>
    </row>
    <row r="474" spans="3:15" x14ac:dyDescent="0.55000000000000004">
      <c r="C474" s="124"/>
      <c r="D474" t="s">
        <v>395</v>
      </c>
      <c r="E474" s="64">
        <f ca="1">VLOOKUP(D435,'2 Electricity'!$D$157:$M$176,9,FALSE)</f>
        <v>6.4231901085446648</v>
      </c>
      <c r="H474" s="125"/>
      <c r="J474" s="224"/>
      <c r="K474" s="224"/>
      <c r="L474" s="224"/>
      <c r="M474" s="224"/>
      <c r="N474" s="224"/>
      <c r="O474" s="224"/>
    </row>
    <row r="475" spans="3:15" x14ac:dyDescent="0.55000000000000004">
      <c r="C475" s="124"/>
      <c r="D475" t="s">
        <v>378</v>
      </c>
      <c r="E475" s="97">
        <f ca="1">IFERROR(IF(E443=0,E451,E443)/E441,0)</f>
        <v>-0.12899890623708993</v>
      </c>
      <c r="H475" s="125"/>
      <c r="J475" s="224"/>
      <c r="K475" s="224"/>
      <c r="L475" s="224"/>
      <c r="M475" s="224"/>
      <c r="N475" s="224"/>
      <c r="O475" s="224"/>
    </row>
    <row r="476" spans="3:15" x14ac:dyDescent="0.55000000000000004">
      <c r="C476" s="124"/>
      <c r="H476" s="125"/>
      <c r="J476" s="224"/>
      <c r="K476" s="224"/>
      <c r="L476" s="224"/>
      <c r="M476" s="224"/>
      <c r="N476" s="224"/>
      <c r="O476" s="224"/>
    </row>
    <row r="477" spans="3:15" x14ac:dyDescent="0.55000000000000004">
      <c r="C477" s="124"/>
      <c r="D477" t="s">
        <v>379</v>
      </c>
      <c r="E477" s="26">
        <f>'3 Electricity'!I398</f>
        <v>0</v>
      </c>
      <c r="H477" s="125"/>
      <c r="J477" s="224"/>
      <c r="K477" s="224"/>
      <c r="L477" s="224"/>
      <c r="M477" s="224"/>
      <c r="N477" s="224"/>
      <c r="O477" s="224"/>
    </row>
    <row r="478" spans="3:15" x14ac:dyDescent="0.55000000000000004">
      <c r="C478" s="124"/>
      <c r="D478" t="s">
        <v>380</v>
      </c>
      <c r="E478" s="97">
        <f ca="1">IFERROR('3 Electricity'!J398/'3 Electricity'!G398,0)</f>
        <v>0</v>
      </c>
      <c r="H478" s="125"/>
      <c r="J478" s="224"/>
      <c r="K478" s="224"/>
      <c r="L478" s="224"/>
      <c r="M478" s="224"/>
      <c r="N478" s="224"/>
      <c r="O478" s="224"/>
    </row>
    <row r="479" spans="3:15" x14ac:dyDescent="0.55000000000000004">
      <c r="C479" s="124"/>
      <c r="H479" s="125"/>
      <c r="J479" s="224"/>
      <c r="K479" s="224"/>
      <c r="L479" s="224"/>
      <c r="M479" s="224"/>
      <c r="N479" s="224"/>
      <c r="O479" s="224"/>
    </row>
    <row r="480" spans="3:15" x14ac:dyDescent="0.55000000000000004">
      <c r="C480" s="124"/>
      <c r="D480" s="1" t="s">
        <v>381</v>
      </c>
      <c r="H480" s="125"/>
      <c r="J480" s="224"/>
      <c r="K480" s="224"/>
      <c r="L480" s="224"/>
      <c r="M480" s="224"/>
      <c r="N480" s="224"/>
      <c r="O480" s="224"/>
    </row>
    <row r="481" spans="3:15" x14ac:dyDescent="0.55000000000000004">
      <c r="C481" s="124"/>
      <c r="D481" s="1" t="str">
        <f>'3 Electricity'!G406</f>
        <v xml:space="preserve">Annual </v>
      </c>
      <c r="H481" s="125"/>
      <c r="J481" s="224"/>
      <c r="K481" s="224"/>
      <c r="L481" s="224"/>
      <c r="M481" s="224"/>
      <c r="N481" s="224"/>
      <c r="O481" s="224"/>
    </row>
    <row r="482" spans="3:15" x14ac:dyDescent="0.55000000000000004">
      <c r="C482" s="124"/>
      <c r="H482" s="125"/>
      <c r="J482" s="224"/>
      <c r="K482" s="224"/>
      <c r="L482" s="224"/>
      <c r="M482" s="224"/>
      <c r="N482" s="224" t="s">
        <v>89</v>
      </c>
      <c r="O482" s="224"/>
    </row>
    <row r="483" spans="3:15" x14ac:dyDescent="0.55000000000000004">
      <c r="C483" s="124"/>
      <c r="H483" s="125"/>
      <c r="J483" s="224"/>
      <c r="K483" s="224"/>
      <c r="L483" s="224"/>
      <c r="M483" s="224"/>
      <c r="N483" s="224"/>
      <c r="O483" s="224"/>
    </row>
    <row r="484" spans="3:15" ht="28.8" x14ac:dyDescent="0.55000000000000004">
      <c r="C484" s="124"/>
      <c r="H484" s="125"/>
      <c r="J484" s="229" t="s">
        <v>383</v>
      </c>
      <c r="K484" s="229" t="s">
        <v>382</v>
      </c>
      <c r="L484" s="108" t="str">
        <f>IF(D481=N482,"Annual Tariff","Low Season Tariff")</f>
        <v>Annual Tariff</v>
      </c>
      <c r="M484" s="109" t="str">
        <f>IF(D481=N482,"","High Season Tariff")</f>
        <v/>
      </c>
      <c r="N484" s="108" t="s">
        <v>392</v>
      </c>
      <c r="O484" s="229" t="s">
        <v>580</v>
      </c>
    </row>
    <row r="485" spans="3:15" x14ac:dyDescent="0.55000000000000004">
      <c r="C485" s="124"/>
      <c r="H485" s="125"/>
      <c r="J485" s="102">
        <v>1</v>
      </c>
      <c r="K485" s="102">
        <f>IFERROR(IF('3 Electricity'!$G$406='3 Electricity'!$V$406,VLOOKUP('Electricity report'!J485,'3 Electricity'!$F$417:$K$421,3,FALSE),VLOOKUP('Electricity report'!J485,'3 Electricity'!$F$436:$N$440,3,FALSE)),0)</f>
        <v>0</v>
      </c>
      <c r="L485" s="103">
        <f ca="1">IFERROR(IF('3 Electricity'!$G$406='3 Electricity'!$V$406,VLOOKUP('Electricity report'!J485,'3 Electricity'!$F$417:$K$421,6,FALSE),VLOOKUP('Electricity report'!J485,'3 Electricity'!$F$436:$N$440,9,FALSE)),0)</f>
        <v>6.4231901085446648</v>
      </c>
      <c r="M485" s="105" t="str">
        <f>IF($D$481=$N$482,"",VLOOKUP(J485,'3 Electricity'!$F$436:$N$440,8,FALSE))</f>
        <v/>
      </c>
      <c r="N485" s="107">
        <f ca="1">$E$473</f>
        <v>5.5167796909913109</v>
      </c>
      <c r="O485" s="105">
        <f ca="1">IFERROR('3 Electricity'!J390/'3 Electricity'!H390,0)</f>
        <v>2.9819428113304203</v>
      </c>
    </row>
    <row r="486" spans="3:15" x14ac:dyDescent="0.55000000000000004">
      <c r="C486" s="124"/>
      <c r="H486" s="125"/>
      <c r="J486" s="102">
        <v>2</v>
      </c>
      <c r="K486" s="102">
        <f>IFERROR(IF('3 Electricity'!$G$406='3 Electricity'!$V$406,VLOOKUP('Electricity report'!J486,'3 Electricity'!$F$417:$K$421,3,FALSE),VLOOKUP('Electricity report'!J486,'3 Electricity'!$F$436:$N$440,3,FALSE)),0)</f>
        <v>0</v>
      </c>
      <c r="L486" s="103">
        <f>IFERROR(IF('3 Electricity'!$G$406='3 Electricity'!$V$406,VLOOKUP('Electricity report'!J486,'3 Electricity'!$F$417:$K$421,6,FALSE),VLOOKUP('Electricity report'!J486,'3 Electricity'!$F$436:$N$440,9,FALSE)),0)</f>
        <v>0</v>
      </c>
      <c r="M486" s="105" t="str">
        <f>IF($D$481=$N$482,"",VLOOKUP(J486,'3 Electricity'!$F$436:$N$440,8,FALSE))</f>
        <v/>
      </c>
      <c r="N486" s="107">
        <f ca="1">$E$473</f>
        <v>5.5167796909913109</v>
      </c>
      <c r="O486" s="107">
        <f ca="1">$O$485</f>
        <v>2.9819428113304203</v>
      </c>
    </row>
    <row r="487" spans="3:15" x14ac:dyDescent="0.55000000000000004">
      <c r="C487" s="124"/>
      <c r="H487" s="125"/>
      <c r="J487" s="102">
        <v>3</v>
      </c>
      <c r="K487" s="102">
        <f>IFERROR(IF('3 Electricity'!$G$406='3 Electricity'!$V$406,VLOOKUP('Electricity report'!J487,'3 Electricity'!$F$417:$K$421,3,FALSE),VLOOKUP('Electricity report'!J487,'3 Electricity'!$F$436:$N$440,3,FALSE)),0)</f>
        <v>0</v>
      </c>
      <c r="L487" s="103">
        <f>IFERROR(IF('3 Electricity'!$G$406='3 Electricity'!$V$406,VLOOKUP('Electricity report'!J487,'3 Electricity'!$F$417:$K$421,6,FALSE),VLOOKUP('Electricity report'!J487,'3 Electricity'!$F$436:$N$440,9,FALSE)),0)</f>
        <v>0</v>
      </c>
      <c r="M487" s="105" t="str">
        <f>IF($D$481=$N$482,"",VLOOKUP(J487,'3 Electricity'!$F$436:$N$440,8,FALSE))</f>
        <v/>
      </c>
      <c r="N487" s="107">
        <f ca="1">$E$473</f>
        <v>5.5167796909913109</v>
      </c>
      <c r="O487" s="107">
        <f ca="1">$O$485</f>
        <v>2.9819428113304203</v>
      </c>
    </row>
    <row r="488" spans="3:15" x14ac:dyDescent="0.55000000000000004">
      <c r="C488" s="124"/>
      <c r="H488" s="125"/>
      <c r="J488" s="102">
        <v>4</v>
      </c>
      <c r="K488" s="102">
        <f>IFERROR(IF('3 Electricity'!$G$406='3 Electricity'!$V$406,VLOOKUP('Electricity report'!J488,'3 Electricity'!$F$417:$K$421,3,FALSE),VLOOKUP('Electricity report'!J488,'3 Electricity'!$F$436:$N$440,3,FALSE)),0)</f>
        <v>0</v>
      </c>
      <c r="L488" s="103">
        <f>IFERROR(IF('3 Electricity'!$G$406='3 Electricity'!$V$406,VLOOKUP('Electricity report'!J488,'3 Electricity'!$F$417:$K$421,6,FALSE),VLOOKUP('Electricity report'!J488,'3 Electricity'!$F$436:$N$440,9,FALSE)),0)</f>
        <v>0</v>
      </c>
      <c r="M488" s="105" t="str">
        <f>IF($D$481=$N$482,"",VLOOKUP(J488,'3 Electricity'!$F$436:$N$440,8,FALSE))</f>
        <v/>
      </c>
      <c r="N488" s="107">
        <f ca="1">$E$473</f>
        <v>5.5167796909913109</v>
      </c>
      <c r="O488" s="107">
        <f ca="1">$O$485</f>
        <v>2.9819428113304203</v>
      </c>
    </row>
    <row r="489" spans="3:15" x14ac:dyDescent="0.55000000000000004">
      <c r="C489" s="124"/>
      <c r="H489" s="125"/>
      <c r="J489" s="102">
        <v>5</v>
      </c>
      <c r="K489" s="102">
        <f>IFERROR(IF('3 Electricity'!$G$406='3 Electricity'!$V$406,VLOOKUP('Electricity report'!J489,'3 Electricity'!$F$417:$K$421,3,FALSE),VLOOKUP('Electricity report'!J489,'3 Electricity'!$F$436:$N$440,3,FALSE)),0)</f>
        <v>0</v>
      </c>
      <c r="L489" s="103">
        <f>IFERROR(IF('3 Electricity'!$G$406='3 Electricity'!$V$406,VLOOKUP('Electricity report'!J489,'3 Electricity'!$F$417:$K$421,6,FALSE),VLOOKUP('Electricity report'!J489,'3 Electricity'!$F$436:$N$440,9,FALSE)),0)</f>
        <v>0</v>
      </c>
      <c r="M489" s="105" t="str">
        <f>IF($D$481=$N$482,"",VLOOKUP(J489,'3 Electricity'!$F$436:$N$440,8,FALSE))</f>
        <v/>
      </c>
      <c r="N489" s="107">
        <f ca="1">$E$473</f>
        <v>5.5167796909913109</v>
      </c>
      <c r="O489" s="107">
        <f ca="1">$O$485</f>
        <v>2.9819428113304203</v>
      </c>
    </row>
    <row r="490" spans="3:15" x14ac:dyDescent="0.55000000000000004">
      <c r="C490" s="124"/>
      <c r="H490" s="125"/>
      <c r="J490" s="224"/>
      <c r="K490" s="224"/>
      <c r="L490" s="224"/>
      <c r="M490" s="224"/>
      <c r="N490" s="224"/>
      <c r="O490" s="224"/>
    </row>
    <row r="491" spans="3:15" x14ac:dyDescent="0.55000000000000004">
      <c r="C491" s="124"/>
      <c r="H491" s="125"/>
      <c r="J491" s="224"/>
      <c r="K491" s="224"/>
      <c r="L491" s="224"/>
      <c r="M491" s="224"/>
      <c r="N491" s="224"/>
      <c r="O491" s="224"/>
    </row>
    <row r="492" spans="3:15" x14ac:dyDescent="0.55000000000000004">
      <c r="C492" s="124"/>
      <c r="H492" s="125"/>
      <c r="J492" s="224"/>
      <c r="K492" s="224"/>
      <c r="L492" s="224"/>
      <c r="M492" s="224"/>
      <c r="N492" s="224"/>
      <c r="O492" s="224"/>
    </row>
    <row r="493" spans="3:15" x14ac:dyDescent="0.55000000000000004">
      <c r="C493" s="124"/>
      <c r="H493" s="125"/>
      <c r="J493" s="224"/>
      <c r="K493" s="224"/>
      <c r="L493" s="224"/>
      <c r="M493" s="224"/>
      <c r="N493" s="224"/>
      <c r="O493" s="224"/>
    </row>
    <row r="494" spans="3:15" x14ac:dyDescent="0.55000000000000004">
      <c r="C494" s="124"/>
      <c r="H494" s="125"/>
      <c r="J494" s="224"/>
      <c r="K494" s="224"/>
      <c r="L494" s="224"/>
      <c r="M494" s="224"/>
      <c r="N494" s="224"/>
      <c r="O494" s="224"/>
    </row>
    <row r="495" spans="3:15" x14ac:dyDescent="0.55000000000000004">
      <c r="C495" s="124"/>
      <c r="H495" s="125"/>
      <c r="J495" s="224"/>
      <c r="K495" s="224"/>
      <c r="L495" s="224"/>
      <c r="M495" s="224"/>
      <c r="N495" s="224"/>
      <c r="O495" s="224"/>
    </row>
    <row r="496" spans="3:15" x14ac:dyDescent="0.55000000000000004">
      <c r="C496" s="124"/>
      <c r="H496" s="125"/>
      <c r="J496" s="224"/>
      <c r="K496" s="224"/>
      <c r="L496" s="224"/>
      <c r="M496" s="224"/>
      <c r="N496" s="224"/>
      <c r="O496" s="224"/>
    </row>
    <row r="497" spans="3:15" x14ac:dyDescent="0.55000000000000004">
      <c r="C497" s="124"/>
      <c r="H497" s="125"/>
      <c r="J497" s="224"/>
      <c r="K497" s="224"/>
      <c r="L497" s="224"/>
      <c r="M497" s="224"/>
      <c r="N497" s="224"/>
      <c r="O497" s="224"/>
    </row>
    <row r="498" spans="3:15" x14ac:dyDescent="0.55000000000000004">
      <c r="C498" s="124"/>
      <c r="H498" s="125"/>
      <c r="J498" s="224"/>
      <c r="K498" s="224"/>
      <c r="L498" s="224"/>
      <c r="M498" s="224"/>
      <c r="N498" s="224"/>
      <c r="O498" s="224"/>
    </row>
    <row r="499" spans="3:15" x14ac:dyDescent="0.55000000000000004">
      <c r="C499" s="124"/>
      <c r="H499" s="125"/>
      <c r="J499" s="224"/>
      <c r="K499" s="224"/>
      <c r="L499" s="224"/>
      <c r="M499" s="224"/>
      <c r="N499" s="224"/>
      <c r="O499" s="224"/>
    </row>
    <row r="500" spans="3:15" x14ac:dyDescent="0.55000000000000004">
      <c r="C500" s="124"/>
      <c r="H500" s="125"/>
      <c r="J500" s="224"/>
      <c r="K500" s="224"/>
      <c r="L500" s="224"/>
      <c r="M500" s="224"/>
      <c r="N500" s="224"/>
      <c r="O500" s="224"/>
    </row>
    <row r="501" spans="3:15" ht="14.7" thickBot="1" x14ac:dyDescent="0.6">
      <c r="C501" s="130"/>
      <c r="D501" s="131"/>
      <c r="E501" s="131"/>
      <c r="F501" s="131"/>
      <c r="G501" s="131"/>
      <c r="H501" s="132"/>
      <c r="J501" s="224"/>
      <c r="K501" s="224"/>
      <c r="L501" s="224"/>
      <c r="M501" s="224"/>
      <c r="N501" s="224"/>
      <c r="O501" s="224"/>
    </row>
    <row r="502" spans="3:15" x14ac:dyDescent="0.55000000000000004">
      <c r="J502" s="224"/>
      <c r="K502" s="224"/>
      <c r="L502" s="224"/>
      <c r="M502" s="224"/>
      <c r="N502" s="224"/>
      <c r="O502" s="224"/>
    </row>
    <row r="503" spans="3:15" ht="14.7" thickBot="1" x14ac:dyDescent="0.6">
      <c r="J503" s="224"/>
      <c r="K503" s="224"/>
      <c r="L503" s="224"/>
      <c r="M503" s="224"/>
      <c r="N503" s="224"/>
      <c r="O503" s="224"/>
    </row>
    <row r="504" spans="3:15" x14ac:dyDescent="0.55000000000000004">
      <c r="C504" s="121"/>
      <c r="D504" s="122"/>
      <c r="E504" s="122"/>
      <c r="F504" s="122"/>
      <c r="G504" s="122"/>
      <c r="H504" s="123"/>
      <c r="J504" s="224"/>
      <c r="K504" s="224"/>
      <c r="L504" s="224"/>
      <c r="M504" s="224"/>
      <c r="N504" s="224"/>
      <c r="O504" s="224"/>
    </row>
    <row r="505" spans="3:15" ht="15.6" x14ac:dyDescent="0.6">
      <c r="C505" s="124"/>
      <c r="D505" s="98" t="str">
        <f>'2 Customer data'!D100</f>
        <v>Prepaid: Indigent</v>
      </c>
      <c r="H505" s="125"/>
      <c r="J505" s="224"/>
      <c r="K505" s="224"/>
      <c r="L505" s="224"/>
      <c r="M505" s="224"/>
      <c r="N505" s="224"/>
      <c r="O505" s="224"/>
    </row>
    <row r="506" spans="3:15" x14ac:dyDescent="0.55000000000000004">
      <c r="C506" s="124"/>
      <c r="H506" s="125"/>
      <c r="J506" s="224"/>
      <c r="K506" s="224"/>
      <c r="L506" s="224"/>
      <c r="M506" s="224"/>
      <c r="N506" s="224"/>
      <c r="O506" s="224"/>
    </row>
    <row r="507" spans="3:15" x14ac:dyDescent="0.55000000000000004">
      <c r="C507" s="124"/>
      <c r="E507" s="220" t="s">
        <v>250</v>
      </c>
      <c r="H507" s="125"/>
      <c r="J507" s="224"/>
      <c r="K507" s="224"/>
      <c r="L507" s="224"/>
      <c r="M507" s="224"/>
      <c r="N507" s="224"/>
      <c r="O507" s="224"/>
    </row>
    <row r="508" spans="3:15" x14ac:dyDescent="0.55000000000000004">
      <c r="C508" s="124"/>
      <c r="D508" t="s">
        <v>393</v>
      </c>
      <c r="E508" s="26">
        <f ca="1">VLOOKUP(D505,'2 Electricity'!$D$21:$L$40,6,FALSE)</f>
        <v>17529369.005751159</v>
      </c>
      <c r="H508" s="125"/>
      <c r="J508" s="224"/>
      <c r="K508" s="224"/>
      <c r="L508" s="224"/>
      <c r="M508" s="224"/>
      <c r="N508" s="224"/>
      <c r="O508" s="224"/>
    </row>
    <row r="509" spans="3:15" x14ac:dyDescent="0.55000000000000004">
      <c r="C509" s="124"/>
      <c r="D509" t="s">
        <v>249</v>
      </c>
      <c r="E509" s="99">
        <f ca="1">VLOOKUP(D505,'2 Electricity'!$D$21:$L$40,7,FALSE)</f>
        <v>11945623.242350271</v>
      </c>
      <c r="H509" s="125"/>
      <c r="J509" s="224"/>
      <c r="K509" s="224"/>
      <c r="L509" s="224"/>
      <c r="M509" s="224"/>
      <c r="N509" s="224"/>
      <c r="O509" s="224"/>
    </row>
    <row r="510" spans="3:15" x14ac:dyDescent="0.55000000000000004">
      <c r="C510" s="124"/>
      <c r="D510" t="s">
        <v>52</v>
      </c>
      <c r="E510" s="26">
        <f ca="1">VLOOKUP(D505,'2 Electricity'!$D$21:$L$40,8,FALSE)</f>
        <v>0</v>
      </c>
      <c r="H510" s="125"/>
      <c r="J510" s="224"/>
      <c r="K510" s="224"/>
      <c r="L510" s="224"/>
      <c r="M510" s="224"/>
      <c r="N510" s="224"/>
      <c r="O510" s="224"/>
    </row>
    <row r="511" spans="3:15" ht="14.7" thickBot="1" x14ac:dyDescent="0.6">
      <c r="C511" s="124"/>
      <c r="D511" s="1" t="s">
        <v>39</v>
      </c>
      <c r="E511" s="37">
        <f ca="1">VLOOKUP(D505,'2 Electricity'!D$21:L$40,9,FALSE)</f>
        <v>29474992.248101428</v>
      </c>
      <c r="H511" s="125"/>
      <c r="J511" s="224"/>
      <c r="K511" s="224"/>
      <c r="L511" s="224"/>
      <c r="M511" s="224"/>
      <c r="N511" s="224"/>
      <c r="O511" s="224"/>
    </row>
    <row r="512" spans="3:15" ht="14.7" thickTop="1" x14ac:dyDescent="0.55000000000000004">
      <c r="C512" s="124"/>
      <c r="H512" s="125"/>
      <c r="J512" s="224"/>
      <c r="K512" s="224"/>
      <c r="L512" s="224"/>
      <c r="M512" s="224"/>
      <c r="N512" s="224"/>
      <c r="O512" s="224"/>
    </row>
    <row r="513" spans="3:15" x14ac:dyDescent="0.55000000000000004">
      <c r="C513" s="124"/>
      <c r="D513" t="s">
        <v>189</v>
      </c>
      <c r="E513" s="26">
        <f>IFERROR(IF(VLOOKUP(D505,'2 Electricity'!$D$126:$K$145,7,FALSE)="",VLOOKUP('2 Electricity'!$D$126:$K$145,6,FALSE),VLOOKUP(D505,'2 Electricity'!$D$126:$K$145,7,FALSE))+VLOOKUP(D505,'2 Electricity'!$D$157:$J$176,5,FALSE),0)</f>
        <v>0</v>
      </c>
      <c r="H513" s="125"/>
      <c r="J513" s="224"/>
      <c r="K513" s="224"/>
      <c r="L513" s="224"/>
      <c r="M513" s="224"/>
      <c r="N513" s="224"/>
      <c r="O513" s="224"/>
    </row>
    <row r="514" spans="3:15" x14ac:dyDescent="0.55000000000000004">
      <c r="C514" s="124"/>
      <c r="H514" s="125"/>
      <c r="J514" s="224"/>
      <c r="K514" s="224"/>
      <c r="L514" s="224"/>
      <c r="M514" s="224"/>
      <c r="N514" s="224"/>
      <c r="O514" s="224"/>
    </row>
    <row r="515" spans="3:15" x14ac:dyDescent="0.55000000000000004">
      <c r="C515" s="124"/>
      <c r="D515" t="s">
        <v>371</v>
      </c>
      <c r="E515" s="64">
        <f ca="1">IF(VLOOKUP(D505,'2 Electricity'!$D$56:$M$75,5,FALSE)="",VLOOKUP(D505,'2 Electricity'!$D$56:$M$75,4,FALSE),VLOOKUP(D505,'2 Electricity'!$D$56:$M$75,5,FALSE))</f>
        <v>0</v>
      </c>
      <c r="H515" s="125"/>
      <c r="J515" s="224"/>
      <c r="K515" s="224"/>
      <c r="L515" s="224"/>
      <c r="M515" s="224"/>
      <c r="N515" s="224"/>
      <c r="O515" s="224"/>
    </row>
    <row r="516" spans="3:15" x14ac:dyDescent="0.55000000000000004">
      <c r="C516" s="124"/>
      <c r="D516" t="s">
        <v>372</v>
      </c>
      <c r="E516" s="26">
        <f ca="1">IF(VLOOKUP(D505,'2 Electricity'!$D$56:$M$75,7,FALSE)="",VLOOKUP(D505,'2 Electricity'!$D$56:$M$75,6,FALSE),VLOOKUP(D505,'2 Electricity'!$D$56:$M$75,7,FALSE))</f>
        <v>2761723.5200501396</v>
      </c>
      <c r="H516" s="125"/>
      <c r="J516" s="224"/>
      <c r="K516" s="224"/>
      <c r="L516" s="224"/>
      <c r="M516" s="224"/>
      <c r="N516" s="224"/>
      <c r="O516" s="224"/>
    </row>
    <row r="517" spans="3:15" x14ac:dyDescent="0.55000000000000004">
      <c r="C517" s="124"/>
      <c r="D517" t="s">
        <v>373</v>
      </c>
      <c r="E517" s="26">
        <f ca="1">IF(VLOOKUP(D505,'2 Electricity'!$D$56:$M$75,9,FALSE)="",VLOOKUP(D505,'2 Electricity'!$D$56:$M$75,8,FALSE),VLOOKUP(D505,'2 Electricity'!$D$56:$M$75,9,FALSE))</f>
        <v>0</v>
      </c>
      <c r="H517" s="125"/>
      <c r="J517" s="224"/>
      <c r="K517" s="224"/>
      <c r="L517" s="224"/>
      <c r="M517" s="224"/>
      <c r="N517" s="224"/>
      <c r="O517" s="224"/>
    </row>
    <row r="518" spans="3:15" x14ac:dyDescent="0.55000000000000004">
      <c r="C518" s="124"/>
      <c r="D518" t="s">
        <v>374</v>
      </c>
      <c r="E518" s="26">
        <f ca="1">IF(VLOOKUP(D505,'2 Electricity'!$D$92:$I$111,5,FALSE)="",VLOOKUP(D505,'2 Electricity'!$D$92:$I$111,4,FALSE),VLOOKUP(D505,'2 Electricity'!$D$92:$I$111,5,FALSE))</f>
        <v>14719848</v>
      </c>
      <c r="H518" s="125"/>
      <c r="J518" s="224"/>
      <c r="K518" s="224"/>
      <c r="L518" s="224"/>
      <c r="M518" s="224"/>
      <c r="N518" s="224"/>
      <c r="O518" s="224"/>
    </row>
    <row r="519" spans="3:15" ht="14.7" thickBot="1" x14ac:dyDescent="0.6">
      <c r="C519" s="124"/>
      <c r="D519" s="1" t="s">
        <v>145</v>
      </c>
      <c r="E519" s="37">
        <f ca="1">SUM(E515:E518)</f>
        <v>17481571.520050138</v>
      </c>
      <c r="H519" s="125"/>
      <c r="J519" s="224"/>
      <c r="K519" s="224"/>
      <c r="L519" s="224"/>
      <c r="M519" s="224"/>
      <c r="N519" s="224"/>
      <c r="O519" s="224"/>
    </row>
    <row r="520" spans="3:15" ht="14.7" thickTop="1" x14ac:dyDescent="0.55000000000000004">
      <c r="C520" s="124"/>
      <c r="D520" s="1"/>
      <c r="E520" s="15"/>
      <c r="H520" s="125"/>
      <c r="J520" s="224"/>
      <c r="K520" s="224"/>
      <c r="L520" s="224"/>
      <c r="M520" s="224"/>
      <c r="N520" s="224"/>
      <c r="O520" s="224"/>
    </row>
    <row r="521" spans="3:15" x14ac:dyDescent="0.55000000000000004">
      <c r="C521" s="124"/>
      <c r="D521" t="s">
        <v>384</v>
      </c>
      <c r="E521" s="26">
        <f ca="1">IF(VLOOKUP(D505,'2 Electricity'!$D$126:$K$145,5,FALSE)="",VLOOKUP(D505,'2 Electricity'!$D$126:$K$145,4,FALSE),VLOOKUP(D505,'2 Electricity'!$D$126:$K$145,5,FALSE))+VLOOKUP(D505,'2 Electricity'!$D$157:$J$176,7,FALSE)</f>
        <v>0</v>
      </c>
      <c r="H521" s="125"/>
      <c r="J521" s="224"/>
      <c r="K521" s="224"/>
      <c r="L521" s="224"/>
      <c r="M521" s="224"/>
      <c r="N521" s="224"/>
      <c r="O521" s="224"/>
    </row>
    <row r="522" spans="3:15" x14ac:dyDescent="0.55000000000000004">
      <c r="C522" s="124"/>
      <c r="H522" s="125"/>
      <c r="J522" s="224"/>
      <c r="K522" s="224"/>
      <c r="L522" s="224"/>
      <c r="M522" s="224"/>
      <c r="N522" s="224"/>
      <c r="O522" s="224"/>
    </row>
    <row r="523" spans="3:15" ht="14.7" thickBot="1" x14ac:dyDescent="0.6">
      <c r="C523" s="124"/>
      <c r="D523" s="1" t="s">
        <v>375</v>
      </c>
      <c r="E523" s="37">
        <f ca="1">VLOOKUP(D505,'2 Electricity'!$D$157:$K$176,8,FALSE)</f>
        <v>11993420.72805129</v>
      </c>
      <c r="H523" s="125"/>
      <c r="J523" s="224"/>
      <c r="K523" s="224"/>
      <c r="L523" s="224"/>
      <c r="M523" s="224"/>
      <c r="N523" s="224"/>
      <c r="O523" s="224"/>
    </row>
    <row r="524" spans="3:15" ht="14.7" thickTop="1" x14ac:dyDescent="0.55000000000000004">
      <c r="C524" s="124"/>
      <c r="H524" s="125"/>
      <c r="J524" s="224"/>
      <c r="K524" s="224"/>
      <c r="L524" s="224"/>
      <c r="M524" s="224"/>
      <c r="N524" s="224"/>
      <c r="O524" s="224"/>
    </row>
    <row r="525" spans="3:15" x14ac:dyDescent="0.55000000000000004">
      <c r="C525" s="124"/>
      <c r="H525" s="125"/>
      <c r="J525" s="224"/>
      <c r="K525" s="224"/>
      <c r="L525" s="224"/>
      <c r="M525" s="224"/>
      <c r="N525" s="224"/>
      <c r="O525" s="224"/>
    </row>
    <row r="526" spans="3:15" x14ac:dyDescent="0.55000000000000004">
      <c r="C526" s="124"/>
      <c r="H526" s="125"/>
      <c r="J526" s="224"/>
      <c r="K526" s="224"/>
      <c r="L526" s="224"/>
      <c r="M526" s="224"/>
      <c r="N526" s="224"/>
      <c r="O526" s="224"/>
    </row>
    <row r="527" spans="3:15" x14ac:dyDescent="0.55000000000000004">
      <c r="C527" s="124"/>
      <c r="H527" s="125"/>
      <c r="J527" s="224"/>
      <c r="K527" s="224"/>
      <c r="L527" s="224"/>
      <c r="M527" s="224"/>
      <c r="N527" s="224"/>
      <c r="O527" s="224"/>
    </row>
    <row r="528" spans="3:15" x14ac:dyDescent="0.55000000000000004">
      <c r="C528" s="124"/>
      <c r="H528" s="125"/>
      <c r="J528" s="224"/>
      <c r="K528" s="224"/>
      <c r="L528" s="224"/>
      <c r="M528" s="224"/>
      <c r="N528" s="224"/>
      <c r="O528" s="224"/>
    </row>
    <row r="529" spans="3:15" x14ac:dyDescent="0.55000000000000004">
      <c r="C529" s="124"/>
      <c r="H529" s="125"/>
      <c r="J529" s="232" t="s">
        <v>385</v>
      </c>
      <c r="K529" s="224"/>
      <c r="L529" s="224"/>
      <c r="M529" s="224"/>
      <c r="N529" s="224"/>
      <c r="O529" s="224"/>
    </row>
    <row r="530" spans="3:15" x14ac:dyDescent="0.55000000000000004">
      <c r="C530" s="124"/>
      <c r="H530" s="125"/>
      <c r="J530" s="110"/>
      <c r="K530" s="102" t="s">
        <v>390</v>
      </c>
      <c r="L530" s="102" t="s">
        <v>391</v>
      </c>
      <c r="M530" s="224"/>
      <c r="N530" s="224"/>
      <c r="O530" s="224"/>
    </row>
    <row r="531" spans="3:15" x14ac:dyDescent="0.55000000000000004">
      <c r="C531" s="124"/>
      <c r="H531" s="125"/>
      <c r="J531" s="110" t="s">
        <v>393</v>
      </c>
      <c r="K531" s="100">
        <f ca="1">E508/1000</f>
        <v>17529.369005751159</v>
      </c>
      <c r="L531" s="102"/>
      <c r="M531" s="224"/>
      <c r="N531" s="224"/>
      <c r="O531" s="224"/>
    </row>
    <row r="532" spans="3:15" x14ac:dyDescent="0.55000000000000004">
      <c r="C532" s="124"/>
      <c r="H532" s="125"/>
      <c r="J532" s="110" t="s">
        <v>249</v>
      </c>
      <c r="K532" s="100">
        <f ca="1">E509/1000</f>
        <v>11945.623242350272</v>
      </c>
      <c r="L532" s="110"/>
      <c r="M532" s="224"/>
      <c r="N532" s="224"/>
      <c r="O532" s="224"/>
    </row>
    <row r="533" spans="3:15" x14ac:dyDescent="0.55000000000000004">
      <c r="C533" s="124"/>
      <c r="H533" s="125"/>
      <c r="J533" s="110" t="s">
        <v>52</v>
      </c>
      <c r="K533" s="100">
        <f ca="1">E510/1000</f>
        <v>0</v>
      </c>
      <c r="L533" s="110"/>
      <c r="M533" s="224"/>
      <c r="N533" s="224"/>
      <c r="O533" s="224"/>
    </row>
    <row r="534" spans="3:15" x14ac:dyDescent="0.55000000000000004">
      <c r="C534" s="124"/>
      <c r="H534" s="125"/>
      <c r="J534" s="110" t="s">
        <v>471</v>
      </c>
      <c r="K534" s="100">
        <f>E513/1000</f>
        <v>0</v>
      </c>
      <c r="L534" s="110"/>
      <c r="M534" s="224"/>
      <c r="N534" s="224"/>
      <c r="O534" s="224"/>
    </row>
    <row r="535" spans="3:15" x14ac:dyDescent="0.55000000000000004">
      <c r="C535" s="124"/>
      <c r="H535" s="125"/>
      <c r="J535" s="110" t="s">
        <v>563</v>
      </c>
      <c r="K535" s="100"/>
      <c r="L535" s="101">
        <f ca="1">E523/1000</f>
        <v>11993.420728051289</v>
      </c>
      <c r="M535" s="224"/>
      <c r="N535" s="224"/>
      <c r="O535" s="224"/>
    </row>
    <row r="536" spans="3:15" x14ac:dyDescent="0.55000000000000004">
      <c r="C536" s="124"/>
      <c r="H536" s="125"/>
      <c r="J536" s="110" t="s">
        <v>564</v>
      </c>
      <c r="K536" s="100"/>
      <c r="L536" s="101">
        <f ca="1">E518/1000</f>
        <v>14719.848</v>
      </c>
      <c r="M536" s="224"/>
      <c r="N536" s="224"/>
      <c r="O536" s="224"/>
    </row>
    <row r="537" spans="3:15" x14ac:dyDescent="0.55000000000000004">
      <c r="C537" s="124"/>
      <c r="H537" s="125"/>
      <c r="J537" s="110" t="s">
        <v>565</v>
      </c>
      <c r="K537" s="100"/>
      <c r="L537" s="101">
        <f ca="1">SUM(E515:E517)/1000</f>
        <v>2761.7235200501395</v>
      </c>
      <c r="M537" s="224"/>
      <c r="N537" s="224"/>
      <c r="O537" s="224"/>
    </row>
    <row r="538" spans="3:15" x14ac:dyDescent="0.55000000000000004">
      <c r="C538" s="124"/>
      <c r="H538" s="125"/>
      <c r="J538" s="110" t="s">
        <v>566</v>
      </c>
      <c r="K538" s="100"/>
      <c r="L538" s="101">
        <f ca="1">E521/1000</f>
        <v>0</v>
      </c>
      <c r="M538" s="224"/>
      <c r="N538" s="224"/>
      <c r="O538" s="224"/>
    </row>
    <row r="539" spans="3:15" x14ac:dyDescent="0.55000000000000004">
      <c r="C539" s="124"/>
      <c r="H539" s="125"/>
      <c r="J539" s="224"/>
      <c r="K539" s="224"/>
      <c r="L539" s="224"/>
      <c r="M539" s="224"/>
      <c r="N539" s="224"/>
      <c r="O539" s="224"/>
    </row>
    <row r="540" spans="3:15" x14ac:dyDescent="0.55000000000000004">
      <c r="C540" s="124"/>
      <c r="H540" s="125"/>
      <c r="J540" s="224"/>
      <c r="K540" s="224"/>
      <c r="L540" s="224"/>
      <c r="M540" s="224"/>
      <c r="N540" s="224"/>
      <c r="O540" s="224"/>
    </row>
    <row r="541" spans="3:15" x14ac:dyDescent="0.55000000000000004">
      <c r="C541" s="124"/>
      <c r="E541" s="220" t="s">
        <v>250</v>
      </c>
      <c r="H541" s="125"/>
      <c r="J541" s="224"/>
      <c r="K541" s="224"/>
      <c r="L541" s="224"/>
      <c r="M541" s="224"/>
      <c r="N541" s="224"/>
      <c r="O541" s="224"/>
    </row>
    <row r="542" spans="3:15" x14ac:dyDescent="0.55000000000000004">
      <c r="C542" s="124"/>
      <c r="D542" t="s">
        <v>394</v>
      </c>
      <c r="E542" s="64">
        <f ca="1">VLOOKUP(D505,'2 Electricity'!$D$157:$M$176,10,FALSE)</f>
        <v>7.3577359226133803</v>
      </c>
      <c r="H542" s="125"/>
      <c r="J542" s="224"/>
      <c r="K542" s="224"/>
      <c r="L542" s="224"/>
      <c r="M542" s="224"/>
      <c r="N542" s="224"/>
      <c r="O542" s="224"/>
    </row>
    <row r="543" spans="3:15" x14ac:dyDescent="0.55000000000000004">
      <c r="C543" s="124"/>
      <c r="D543" t="s">
        <v>395</v>
      </c>
      <c r="E543" s="64">
        <f ca="1">VLOOKUP(D505,'2 Electricity'!$D$157:$M$176,9,FALSE)</f>
        <v>2.993874325157218</v>
      </c>
      <c r="H543" s="125"/>
      <c r="J543" s="224"/>
      <c r="K543" s="224"/>
      <c r="L543" s="224"/>
      <c r="M543" s="224"/>
      <c r="N543" s="224"/>
      <c r="O543" s="224"/>
    </row>
    <row r="544" spans="3:15" x14ac:dyDescent="0.55000000000000004">
      <c r="C544" s="124"/>
      <c r="D544" t="s">
        <v>378</v>
      </c>
      <c r="E544" s="97">
        <f ca="1">IFERROR(IF(E513=0,E521,E513)/E511,0)</f>
        <v>0</v>
      </c>
      <c r="H544" s="125"/>
      <c r="J544" s="224"/>
      <c r="K544" s="224"/>
      <c r="L544" s="224"/>
      <c r="M544" s="224"/>
      <c r="N544" s="224"/>
      <c r="O544" s="224"/>
    </row>
    <row r="545" spans="3:15" x14ac:dyDescent="0.55000000000000004">
      <c r="C545" s="124"/>
      <c r="H545" s="125"/>
      <c r="J545" s="224"/>
      <c r="K545" s="224"/>
      <c r="L545" s="224"/>
      <c r="M545" s="224"/>
      <c r="N545" s="224"/>
      <c r="O545" s="224"/>
    </row>
    <row r="546" spans="3:15" x14ac:dyDescent="0.55000000000000004">
      <c r="C546" s="124"/>
      <c r="D546" t="s">
        <v>379</v>
      </c>
      <c r="E546" s="26">
        <f>'3 Electricity'!I460</f>
        <v>0</v>
      </c>
      <c r="H546" s="125"/>
      <c r="J546" s="224"/>
      <c r="K546" s="224"/>
      <c r="L546" s="224"/>
      <c r="M546" s="224"/>
      <c r="N546" s="224"/>
      <c r="O546" s="224"/>
    </row>
    <row r="547" spans="3:15" x14ac:dyDescent="0.55000000000000004">
      <c r="C547" s="124"/>
      <c r="D547" t="s">
        <v>380</v>
      </c>
      <c r="E547" s="97">
        <f ca="1">IFERROR('3 Electricity'!J460/'3 Electricity'!G460,0)</f>
        <v>0</v>
      </c>
      <c r="H547" s="125"/>
      <c r="J547" s="224"/>
      <c r="K547" s="224"/>
      <c r="L547" s="224"/>
      <c r="M547" s="224"/>
      <c r="N547" s="224"/>
      <c r="O547" s="224"/>
    </row>
    <row r="548" spans="3:15" x14ac:dyDescent="0.55000000000000004">
      <c r="C548" s="124"/>
      <c r="H548" s="125"/>
      <c r="J548" s="224"/>
      <c r="K548" s="224"/>
      <c r="L548" s="224"/>
      <c r="M548" s="224"/>
      <c r="N548" s="224"/>
      <c r="O548" s="224"/>
    </row>
    <row r="549" spans="3:15" x14ac:dyDescent="0.55000000000000004">
      <c r="C549" s="124"/>
      <c r="D549" s="1" t="s">
        <v>381</v>
      </c>
      <c r="H549" s="125"/>
      <c r="J549" s="224"/>
      <c r="K549" s="224"/>
      <c r="L549" s="224"/>
      <c r="M549" s="224"/>
      <c r="N549" s="224"/>
      <c r="O549" s="224"/>
    </row>
    <row r="550" spans="3:15" x14ac:dyDescent="0.55000000000000004">
      <c r="C550" s="124"/>
      <c r="D550" s="1" t="str">
        <f>'3 Electricity'!G468</f>
        <v xml:space="preserve">Annual </v>
      </c>
      <c r="H550" s="125"/>
      <c r="J550" s="224"/>
      <c r="K550" s="224"/>
      <c r="L550" s="224"/>
      <c r="M550" s="224"/>
      <c r="N550" s="224"/>
      <c r="O550" s="224"/>
    </row>
    <row r="551" spans="3:15" x14ac:dyDescent="0.55000000000000004">
      <c r="C551" s="124"/>
      <c r="H551" s="125"/>
      <c r="J551" s="224"/>
      <c r="K551" s="224"/>
      <c r="L551" s="224"/>
      <c r="M551" s="224"/>
      <c r="N551" s="224" t="s">
        <v>89</v>
      </c>
      <c r="O551" s="224"/>
    </row>
    <row r="552" spans="3:15" x14ac:dyDescent="0.55000000000000004">
      <c r="C552" s="124"/>
      <c r="H552" s="125"/>
      <c r="J552" s="224"/>
      <c r="K552" s="224"/>
      <c r="L552" s="224"/>
      <c r="M552" s="224"/>
      <c r="N552" s="224"/>
      <c r="O552" s="224"/>
    </row>
    <row r="553" spans="3:15" ht="28.8" x14ac:dyDescent="0.55000000000000004">
      <c r="C553" s="124"/>
      <c r="H553" s="125"/>
      <c r="J553" s="229" t="s">
        <v>383</v>
      </c>
      <c r="K553" s="229" t="s">
        <v>382</v>
      </c>
      <c r="L553" s="108" t="str">
        <f>IF(D550=N551,"Annual Tariff","Low Season Tariff")</f>
        <v>Annual Tariff</v>
      </c>
      <c r="M553" s="109" t="str">
        <f>IF(D550=N551,"","High Season Tariff")</f>
        <v/>
      </c>
      <c r="N553" s="108" t="s">
        <v>392</v>
      </c>
      <c r="O553" s="229" t="s">
        <v>580</v>
      </c>
    </row>
    <row r="554" spans="3:15" x14ac:dyDescent="0.55000000000000004">
      <c r="C554" s="124"/>
      <c r="H554" s="125"/>
      <c r="J554" s="102">
        <v>1</v>
      </c>
      <c r="K554" s="102">
        <f>IFERROR(IF('3 Electricity'!$G$468='3 Electricity'!$V$468,VLOOKUP('Electricity report'!J554,'3 Electricity'!$F$479:$K$483,3,FALSE),VLOOKUP('Electricity report'!J554,'3 Electricity'!$F$498:$N$502,3,FALSE)),0)</f>
        <v>0</v>
      </c>
      <c r="L554" s="103">
        <f ca="1">IFERROR(IF('3 Electricity'!$G$468='3 Electricity'!$V$468,VLOOKUP('Electricity report'!J554,'3 Electricity'!$F$479:$K$483,6,FALSE),VLOOKUP('Electricity report'!J554,'3 Electricity'!$F$498:$N$502,9,FALSE)),0)</f>
        <v>2.993874325157218</v>
      </c>
      <c r="M554" s="105" t="str">
        <f>IF($D$550=$N$551,"",VLOOKUP(J554,'3 Electricity'!$F$498:$N$502,8,FALSE))</f>
        <v/>
      </c>
      <c r="N554" s="107">
        <f ca="1">$E$542</f>
        <v>7.3577359226133803</v>
      </c>
      <c r="O554" s="105">
        <f ca="1">IFERROR('3 Electricity'!J452/'3 Electricity'!H452,0)</f>
        <v>2.9819428113304198</v>
      </c>
    </row>
    <row r="555" spans="3:15" x14ac:dyDescent="0.55000000000000004">
      <c r="C555" s="124"/>
      <c r="H555" s="125"/>
      <c r="J555" s="102">
        <v>2</v>
      </c>
      <c r="K555" s="102">
        <f>IFERROR(IF('3 Electricity'!$G$468='3 Electricity'!$V$468,VLOOKUP('Electricity report'!J555,'3 Electricity'!$F$479:$K$483,3,FALSE),VLOOKUP('Electricity report'!J555,'3 Electricity'!$F$498:$N$502,3,FALSE)),0)</f>
        <v>0</v>
      </c>
      <c r="L555" s="103">
        <f>IFERROR(IF('3 Electricity'!$G$468='3 Electricity'!$V$468,VLOOKUP('Electricity report'!J555,'3 Electricity'!$F$479:$K$483,6,FALSE),VLOOKUP('Electricity report'!J555,'3 Electricity'!$F$498:$N$502,9,FALSE)),0)</f>
        <v>0</v>
      </c>
      <c r="M555" s="105" t="str">
        <f>IF($D$550=$N$551,"",VLOOKUP(J555,'3 Electricity'!$F$498:$N$502,8,FALSE))</f>
        <v/>
      </c>
      <c r="N555" s="107">
        <f ca="1">$E$542</f>
        <v>7.3577359226133803</v>
      </c>
      <c r="O555" s="107">
        <f ca="1">$O$554</f>
        <v>2.9819428113304198</v>
      </c>
    </row>
    <row r="556" spans="3:15" x14ac:dyDescent="0.55000000000000004">
      <c r="C556" s="124"/>
      <c r="H556" s="125"/>
      <c r="J556" s="102">
        <v>3</v>
      </c>
      <c r="K556" s="102">
        <f>IFERROR(IF('3 Electricity'!$G$468='3 Electricity'!$V$468,VLOOKUP('Electricity report'!J556,'3 Electricity'!$F$479:$K$483,3,FALSE),VLOOKUP('Electricity report'!J556,'3 Electricity'!$F$498:$N$502,3,FALSE)),0)</f>
        <v>0</v>
      </c>
      <c r="L556" s="103">
        <f>IFERROR(IF('3 Electricity'!$G$468='3 Electricity'!$V$468,VLOOKUP('Electricity report'!J556,'3 Electricity'!$F$479:$K$483,6,FALSE),VLOOKUP('Electricity report'!J556,'3 Electricity'!$F$498:$N$502,9,FALSE)),0)</f>
        <v>0</v>
      </c>
      <c r="M556" s="105" t="str">
        <f>IF($D$550=$N$551,"",VLOOKUP(J556,'3 Electricity'!$F$498:$N$502,8,FALSE))</f>
        <v/>
      </c>
      <c r="N556" s="107">
        <f ca="1">$E$542</f>
        <v>7.3577359226133803</v>
      </c>
      <c r="O556" s="107">
        <f ca="1">$O$554</f>
        <v>2.9819428113304198</v>
      </c>
    </row>
    <row r="557" spans="3:15" x14ac:dyDescent="0.55000000000000004">
      <c r="C557" s="124"/>
      <c r="H557" s="125"/>
      <c r="J557" s="102">
        <v>4</v>
      </c>
      <c r="K557" s="102">
        <f>IFERROR(IF('3 Electricity'!$G$468='3 Electricity'!$V$468,VLOOKUP('Electricity report'!J557,'3 Electricity'!$F$479:$K$483,3,FALSE),VLOOKUP('Electricity report'!J557,'3 Electricity'!$F$498:$N$502,3,FALSE)),0)</f>
        <v>0</v>
      </c>
      <c r="L557" s="103">
        <f>IFERROR(IF('3 Electricity'!$G$468='3 Electricity'!$V$468,VLOOKUP('Electricity report'!J557,'3 Electricity'!$F$479:$K$483,6,FALSE),VLOOKUP('Electricity report'!J557,'3 Electricity'!$F$498:$N$502,9,FALSE)),0)</f>
        <v>0</v>
      </c>
      <c r="M557" s="105" t="str">
        <f>IF($D$550=$N$551,"",VLOOKUP(J557,'3 Electricity'!$F$498:$N$502,8,FALSE))</f>
        <v/>
      </c>
      <c r="N557" s="107">
        <f ca="1">$E$542</f>
        <v>7.3577359226133803</v>
      </c>
      <c r="O557" s="107">
        <f ca="1">$O$554</f>
        <v>2.9819428113304198</v>
      </c>
    </row>
    <row r="558" spans="3:15" x14ac:dyDescent="0.55000000000000004">
      <c r="C558" s="124"/>
      <c r="H558" s="125"/>
      <c r="J558" s="102">
        <v>5</v>
      </c>
      <c r="K558" s="102">
        <f>IFERROR(IF('3 Electricity'!$G$468='3 Electricity'!$V$468,VLOOKUP('Electricity report'!J558,'3 Electricity'!$F$479:$K$483,3,FALSE),VLOOKUP('Electricity report'!J558,'3 Electricity'!$F$498:$N$502,3,FALSE)),0)</f>
        <v>0</v>
      </c>
      <c r="L558" s="103">
        <f>IFERROR(IF('3 Electricity'!$G$468='3 Electricity'!$V$468,VLOOKUP('Electricity report'!J558,'3 Electricity'!$F$479:$K$483,6,FALSE),VLOOKUP('Electricity report'!J558,'3 Electricity'!$F$498:$N$502,9,FALSE)),0)</f>
        <v>0</v>
      </c>
      <c r="M558" s="105" t="str">
        <f>IF($D$550=$N$551,"",VLOOKUP(J558,'3 Electricity'!$F$498:$N$502,8,FALSE))</f>
        <v/>
      </c>
      <c r="N558" s="107">
        <f ca="1">$E$542</f>
        <v>7.3577359226133803</v>
      </c>
      <c r="O558" s="107">
        <f ca="1">$O$554</f>
        <v>2.9819428113304198</v>
      </c>
    </row>
    <row r="559" spans="3:15" x14ac:dyDescent="0.55000000000000004">
      <c r="C559" s="124"/>
      <c r="H559" s="125"/>
      <c r="J559" s="224"/>
      <c r="K559" s="224"/>
      <c r="L559" s="224"/>
      <c r="M559" s="224"/>
      <c r="N559" s="224"/>
      <c r="O559" s="224"/>
    </row>
    <row r="560" spans="3:15" x14ac:dyDescent="0.55000000000000004">
      <c r="C560" s="124"/>
      <c r="H560" s="125"/>
      <c r="J560" s="224"/>
      <c r="K560" s="224"/>
      <c r="L560" s="224"/>
      <c r="M560" s="224"/>
      <c r="N560" s="224"/>
      <c r="O560" s="224"/>
    </row>
    <row r="561" spans="3:15" x14ac:dyDescent="0.55000000000000004">
      <c r="C561" s="124"/>
      <c r="H561" s="125"/>
      <c r="J561" s="224"/>
      <c r="K561" s="224"/>
      <c r="L561" s="224"/>
      <c r="M561" s="224"/>
      <c r="N561" s="224"/>
      <c r="O561" s="224"/>
    </row>
    <row r="562" spans="3:15" x14ac:dyDescent="0.55000000000000004">
      <c r="C562" s="124"/>
      <c r="H562" s="125"/>
      <c r="J562" s="224"/>
      <c r="K562" s="224"/>
      <c r="L562" s="224"/>
      <c r="M562" s="224"/>
      <c r="N562" s="224"/>
      <c r="O562" s="224"/>
    </row>
    <row r="563" spans="3:15" x14ac:dyDescent="0.55000000000000004">
      <c r="C563" s="124"/>
      <c r="H563" s="125"/>
      <c r="J563" s="224"/>
      <c r="K563" s="224"/>
      <c r="L563" s="224"/>
      <c r="M563" s="224"/>
      <c r="N563" s="224"/>
      <c r="O563" s="224"/>
    </row>
    <row r="564" spans="3:15" x14ac:dyDescent="0.55000000000000004">
      <c r="C564" s="124"/>
      <c r="H564" s="125"/>
      <c r="J564" s="224"/>
      <c r="K564" s="224"/>
      <c r="L564" s="224"/>
      <c r="M564" s="224"/>
      <c r="N564" s="224"/>
      <c r="O564" s="224"/>
    </row>
    <row r="565" spans="3:15" x14ac:dyDescent="0.55000000000000004">
      <c r="C565" s="124"/>
      <c r="H565" s="125"/>
      <c r="J565" s="224"/>
      <c r="K565" s="224"/>
      <c r="L565" s="224"/>
      <c r="M565" s="224"/>
      <c r="N565" s="224"/>
      <c r="O565" s="224"/>
    </row>
    <row r="566" spans="3:15" x14ac:dyDescent="0.55000000000000004">
      <c r="C566" s="124"/>
      <c r="H566" s="125"/>
      <c r="J566" s="224"/>
      <c r="K566" s="224"/>
      <c r="L566" s="224"/>
      <c r="M566" s="224"/>
      <c r="N566" s="224"/>
      <c r="O566" s="224"/>
    </row>
    <row r="567" spans="3:15" x14ac:dyDescent="0.55000000000000004">
      <c r="C567" s="124"/>
      <c r="H567" s="125"/>
      <c r="J567" s="224"/>
      <c r="K567" s="224"/>
      <c r="L567" s="224"/>
      <c r="M567" s="224"/>
      <c r="N567" s="224"/>
      <c r="O567" s="224"/>
    </row>
    <row r="568" spans="3:15" x14ac:dyDescent="0.55000000000000004">
      <c r="C568" s="124"/>
      <c r="H568" s="125"/>
      <c r="J568" s="224"/>
      <c r="K568" s="224"/>
      <c r="L568" s="224"/>
      <c r="M568" s="224"/>
      <c r="N568" s="224"/>
      <c r="O568" s="224"/>
    </row>
    <row r="569" spans="3:15" x14ac:dyDescent="0.55000000000000004">
      <c r="C569" s="124"/>
      <c r="H569" s="125"/>
      <c r="J569" s="224"/>
      <c r="K569" s="224"/>
      <c r="L569" s="224"/>
      <c r="M569" s="224"/>
      <c r="N569" s="224"/>
      <c r="O569" s="224"/>
    </row>
    <row r="570" spans="3:15" ht="14.7" thickBot="1" x14ac:dyDescent="0.6">
      <c r="C570" s="130"/>
      <c r="D570" s="131"/>
      <c r="E570" s="131"/>
      <c r="F570" s="131"/>
      <c r="G570" s="131"/>
      <c r="H570" s="132"/>
      <c r="J570" s="224"/>
      <c r="K570" s="224"/>
      <c r="L570" s="224"/>
      <c r="M570" s="224"/>
      <c r="N570" s="224"/>
      <c r="O570" s="224"/>
    </row>
    <row r="571" spans="3:15" x14ac:dyDescent="0.55000000000000004">
      <c r="J571" s="224"/>
      <c r="K571" s="224"/>
      <c r="L571" s="224"/>
      <c r="M571" s="224"/>
      <c r="N571" s="224"/>
      <c r="O571" s="224"/>
    </row>
    <row r="572" spans="3:15" ht="14.7" thickBot="1" x14ac:dyDescent="0.6">
      <c r="J572" s="224"/>
      <c r="K572" s="224"/>
      <c r="L572" s="224"/>
      <c r="M572" s="224"/>
      <c r="N572" s="224"/>
      <c r="O572" s="224"/>
    </row>
    <row r="573" spans="3:15" x14ac:dyDescent="0.55000000000000004">
      <c r="C573" s="121"/>
      <c r="D573" s="122"/>
      <c r="E573" s="122"/>
      <c r="F573" s="122"/>
      <c r="G573" s="122"/>
      <c r="H573" s="123"/>
      <c r="J573" s="224"/>
      <c r="K573" s="224"/>
      <c r="L573" s="224"/>
      <c r="M573" s="224"/>
      <c r="N573" s="224"/>
      <c r="O573" s="224"/>
    </row>
    <row r="574" spans="3:15" ht="15.6" x14ac:dyDescent="0.6">
      <c r="C574" s="124"/>
      <c r="D574" s="98" t="str">
        <f>'2 Customer data'!D101</f>
        <v>Prepaid: Commercial</v>
      </c>
      <c r="H574" s="125"/>
      <c r="J574" s="224"/>
      <c r="K574" s="224"/>
      <c r="L574" s="224"/>
      <c r="M574" s="224"/>
      <c r="N574" s="224"/>
      <c r="O574" s="224"/>
    </row>
    <row r="575" spans="3:15" x14ac:dyDescent="0.55000000000000004">
      <c r="C575" s="124"/>
      <c r="H575" s="125"/>
      <c r="J575" s="224"/>
      <c r="K575" s="224"/>
      <c r="L575" s="224"/>
      <c r="M575" s="224"/>
      <c r="N575" s="224"/>
      <c r="O575" s="224"/>
    </row>
    <row r="576" spans="3:15" x14ac:dyDescent="0.55000000000000004">
      <c r="C576" s="124"/>
      <c r="E576" s="220" t="s">
        <v>250</v>
      </c>
      <c r="H576" s="125"/>
      <c r="J576" s="224"/>
      <c r="K576" s="224"/>
      <c r="L576" s="224"/>
      <c r="M576" s="224"/>
      <c r="N576" s="224"/>
      <c r="O576" s="224"/>
    </row>
    <row r="577" spans="3:15" x14ac:dyDescent="0.55000000000000004">
      <c r="C577" s="124"/>
      <c r="D577" t="s">
        <v>393</v>
      </c>
      <c r="E577" s="26">
        <f ca="1">VLOOKUP(D574,'2 Electricity'!$D$21:$L$40,6,FALSE)</f>
        <v>3056437.0986754214</v>
      </c>
      <c r="H577" s="125"/>
      <c r="J577" s="224"/>
      <c r="K577" s="224"/>
      <c r="L577" s="224"/>
      <c r="M577" s="224"/>
      <c r="N577" s="224"/>
      <c r="O577" s="224"/>
    </row>
    <row r="578" spans="3:15" x14ac:dyDescent="0.55000000000000004">
      <c r="C578" s="124"/>
      <c r="D578" t="s">
        <v>249</v>
      </c>
      <c r="E578" s="99">
        <f ca="1">VLOOKUP(D574,'2 Electricity'!$D$21:$L$40,7,FALSE)</f>
        <v>14922793.752405442</v>
      </c>
      <c r="H578" s="125"/>
      <c r="J578" s="224"/>
      <c r="K578" s="224"/>
      <c r="L578" s="224"/>
      <c r="M578" s="224"/>
      <c r="N578" s="224"/>
      <c r="O578" s="224"/>
    </row>
    <row r="579" spans="3:15" x14ac:dyDescent="0.55000000000000004">
      <c r="C579" s="124"/>
      <c r="D579" t="s">
        <v>52</v>
      </c>
      <c r="E579" s="26">
        <f ca="1">VLOOKUP(D574,'2 Electricity'!$D$21:$L$40,8,FALSE)</f>
        <v>0</v>
      </c>
      <c r="H579" s="125"/>
      <c r="J579" s="224"/>
      <c r="K579" s="224"/>
      <c r="L579" s="224"/>
      <c r="M579" s="224"/>
      <c r="N579" s="224"/>
      <c r="O579" s="224"/>
    </row>
    <row r="580" spans="3:15" ht="14.7" thickBot="1" x14ac:dyDescent="0.6">
      <c r="C580" s="124"/>
      <c r="D580" s="1" t="s">
        <v>39</v>
      </c>
      <c r="E580" s="37">
        <f ca="1">VLOOKUP(D574,'2 Electricity'!D$21:L$40,9,FALSE)</f>
        <v>17979230.851080865</v>
      </c>
      <c r="H580" s="125"/>
      <c r="J580" s="224"/>
      <c r="K580" s="224"/>
      <c r="L580" s="224"/>
      <c r="M580" s="224"/>
      <c r="N580" s="224"/>
      <c r="O580" s="224"/>
    </row>
    <row r="581" spans="3:15" ht="14.7" thickTop="1" x14ac:dyDescent="0.55000000000000004">
      <c r="C581" s="124"/>
      <c r="H581" s="125"/>
      <c r="J581" s="224"/>
      <c r="K581" s="224"/>
      <c r="L581" s="224"/>
      <c r="M581" s="224"/>
      <c r="N581" s="224"/>
      <c r="O581" s="224"/>
    </row>
    <row r="582" spans="3:15" x14ac:dyDescent="0.55000000000000004">
      <c r="C582" s="124"/>
      <c r="D582" t="s">
        <v>189</v>
      </c>
      <c r="E582" s="26">
        <f>IFERROR(IF(VLOOKUP(D574,'2 Electricity'!$D$126:$K$145,7,FALSE)="",VLOOKUP('2 Electricity'!$D$126:$K$145,6,FALSE),VLOOKUP(D574,'2 Electricity'!$D$126:$K$145,7,FALSE))+VLOOKUP(D574,'2 Electricity'!$D$157:$J$176,5,FALSE),0)</f>
        <v>0</v>
      </c>
      <c r="H582" s="125"/>
      <c r="J582" s="224"/>
      <c r="K582" s="224"/>
      <c r="L582" s="224"/>
      <c r="M582" s="224"/>
      <c r="N582" s="224"/>
      <c r="O582" s="224"/>
    </row>
    <row r="583" spans="3:15" x14ac:dyDescent="0.55000000000000004">
      <c r="C583" s="124"/>
      <c r="H583" s="125"/>
      <c r="J583" s="224"/>
      <c r="K583" s="224"/>
      <c r="L583" s="224"/>
      <c r="M583" s="224"/>
      <c r="N583" s="224"/>
      <c r="O583" s="224"/>
    </row>
    <row r="584" spans="3:15" x14ac:dyDescent="0.55000000000000004">
      <c r="C584" s="124"/>
      <c r="D584" t="s">
        <v>371</v>
      </c>
      <c r="E584" s="64">
        <f ca="1">IF(VLOOKUP(D574,'2 Electricity'!$D$56:$M$75,5,FALSE)="",VLOOKUP(D574,'2 Electricity'!$D$56:$M$75,4,FALSE),VLOOKUP(D574,'2 Electricity'!$D$56:$M$75,5,FALSE))</f>
        <v>0</v>
      </c>
      <c r="H584" s="125"/>
      <c r="J584" s="224"/>
      <c r="K584" s="224"/>
      <c r="L584" s="224"/>
      <c r="M584" s="224"/>
      <c r="N584" s="224"/>
      <c r="O584" s="224"/>
    </row>
    <row r="585" spans="3:15" x14ac:dyDescent="0.55000000000000004">
      <c r="C585" s="124"/>
      <c r="D585" t="s">
        <v>372</v>
      </c>
      <c r="E585" s="26">
        <f ca="1">IF(VLOOKUP(D574,'2 Electricity'!$D$56:$M$75,7,FALSE)="",VLOOKUP(D574,'2 Electricity'!$D$56:$M$75,6,FALSE),VLOOKUP(D574,'2 Electricity'!$D$56:$M$75,7,FALSE))</f>
        <v>1684603.147505135</v>
      </c>
      <c r="H585" s="125"/>
      <c r="J585" s="224"/>
      <c r="K585" s="224"/>
      <c r="L585" s="224"/>
      <c r="M585" s="224"/>
      <c r="N585" s="224"/>
      <c r="O585" s="224"/>
    </row>
    <row r="586" spans="3:15" x14ac:dyDescent="0.55000000000000004">
      <c r="C586" s="124"/>
      <c r="D586" t="s">
        <v>373</v>
      </c>
      <c r="E586" s="26">
        <f ca="1">IF(VLOOKUP(D574,'2 Electricity'!$D$56:$M$75,9,FALSE)="",VLOOKUP(D574,'2 Electricity'!$D$56:$M$75,8,FALSE),VLOOKUP(D574,'2 Electricity'!$D$56:$M$75,9,FALSE))</f>
        <v>0</v>
      </c>
      <c r="H586" s="125"/>
      <c r="J586" s="224"/>
      <c r="K586" s="224"/>
      <c r="L586" s="224"/>
      <c r="M586" s="224"/>
      <c r="N586" s="224"/>
      <c r="O586" s="224"/>
    </row>
    <row r="587" spans="3:15" x14ac:dyDescent="0.55000000000000004">
      <c r="C587" s="124"/>
      <c r="D587" t="s">
        <v>374</v>
      </c>
      <c r="E587" s="26">
        <f ca="1">IF(VLOOKUP(D574,'2 Electricity'!$D$92:$I$111,5,FALSE)="",VLOOKUP(D574,'2 Electricity'!$D$92:$I$111,4,FALSE),VLOOKUP(D574,'2 Electricity'!$D$92:$I$111,5,FALSE))</f>
        <v>0</v>
      </c>
      <c r="H587" s="125"/>
      <c r="J587" s="224"/>
      <c r="K587" s="224"/>
      <c r="L587" s="224"/>
      <c r="M587" s="224"/>
      <c r="N587" s="224"/>
      <c r="O587" s="224"/>
    </row>
    <row r="588" spans="3:15" ht="14.7" thickBot="1" x14ac:dyDescent="0.6">
      <c r="C588" s="124"/>
      <c r="D588" s="1" t="s">
        <v>145</v>
      </c>
      <c r="E588" s="37">
        <f ca="1">SUM(E584:E587)</f>
        <v>1684603.147505135</v>
      </c>
      <c r="H588" s="125"/>
      <c r="J588" s="224"/>
      <c r="K588" s="224"/>
      <c r="L588" s="224"/>
      <c r="M588" s="224"/>
      <c r="N588" s="224"/>
      <c r="O588" s="224"/>
    </row>
    <row r="589" spans="3:15" ht="14.7" thickTop="1" x14ac:dyDescent="0.55000000000000004">
      <c r="C589" s="124"/>
      <c r="D589" s="1"/>
      <c r="E589" s="15"/>
      <c r="H589" s="125"/>
      <c r="J589" s="224"/>
      <c r="K589" s="224"/>
      <c r="L589" s="224"/>
      <c r="M589" s="224"/>
      <c r="N589" s="224"/>
      <c r="O589" s="224"/>
    </row>
    <row r="590" spans="3:15" x14ac:dyDescent="0.55000000000000004">
      <c r="C590" s="124"/>
      <c r="D590" t="s">
        <v>384</v>
      </c>
      <c r="E590" s="26">
        <f ca="1">IF(VLOOKUP(D574,'2 Electricity'!$D$126:$K$145,5,FALSE)="",VLOOKUP(D574,'2 Electricity'!$D$126:$K$145,4,FALSE),VLOOKUP(D574,'2 Electricity'!$D$126:$K$145,5,FALSE))+VLOOKUP(D574,'2 Electricity'!$D$157:$J$176,7,FALSE)</f>
        <v>0</v>
      </c>
      <c r="H590" s="125"/>
      <c r="J590" s="224"/>
      <c r="K590" s="224"/>
      <c r="L590" s="224"/>
      <c r="M590" s="224"/>
      <c r="N590" s="224"/>
      <c r="O590" s="224"/>
    </row>
    <row r="591" spans="3:15" x14ac:dyDescent="0.55000000000000004">
      <c r="C591" s="124"/>
      <c r="H591" s="125"/>
      <c r="J591" s="224"/>
      <c r="K591" s="224"/>
      <c r="L591" s="224"/>
      <c r="M591" s="224"/>
      <c r="N591" s="224"/>
      <c r="O591" s="224"/>
    </row>
    <row r="592" spans="3:15" ht="14.7" thickBot="1" x14ac:dyDescent="0.6">
      <c r="C592" s="124"/>
      <c r="D592" s="1" t="s">
        <v>375</v>
      </c>
      <c r="E592" s="37">
        <f ca="1">VLOOKUP(D574,'2 Electricity'!$D$157:$K$176,8,FALSE)</f>
        <v>16294627.70357573</v>
      </c>
      <c r="H592" s="125"/>
      <c r="J592" s="224"/>
      <c r="K592" s="224"/>
      <c r="L592" s="224"/>
      <c r="M592" s="224"/>
      <c r="N592" s="224"/>
      <c r="O592" s="224"/>
    </row>
    <row r="593" spans="3:15" ht="14.7" thickTop="1" x14ac:dyDescent="0.55000000000000004">
      <c r="C593" s="124"/>
      <c r="H593" s="125"/>
      <c r="J593" s="224"/>
      <c r="K593" s="224"/>
      <c r="L593" s="224"/>
      <c r="M593" s="224"/>
      <c r="N593" s="224"/>
      <c r="O593" s="224"/>
    </row>
    <row r="594" spans="3:15" x14ac:dyDescent="0.55000000000000004">
      <c r="C594" s="124"/>
      <c r="H594" s="125"/>
      <c r="J594" s="224"/>
      <c r="K594" s="224"/>
      <c r="L594" s="224"/>
      <c r="M594" s="224"/>
      <c r="N594" s="224"/>
      <c r="O594" s="224"/>
    </row>
    <row r="595" spans="3:15" x14ac:dyDescent="0.55000000000000004">
      <c r="C595" s="124"/>
      <c r="H595" s="125"/>
      <c r="J595" s="224"/>
      <c r="K595" s="224"/>
      <c r="L595" s="224"/>
      <c r="M595" s="224"/>
      <c r="N595" s="224"/>
      <c r="O595" s="224"/>
    </row>
    <row r="596" spans="3:15" x14ac:dyDescent="0.55000000000000004">
      <c r="C596" s="124"/>
      <c r="H596" s="125"/>
      <c r="J596" s="224"/>
      <c r="K596" s="224"/>
      <c r="L596" s="224"/>
      <c r="M596" s="224"/>
      <c r="N596" s="224"/>
      <c r="O596" s="224"/>
    </row>
    <row r="597" spans="3:15" x14ac:dyDescent="0.55000000000000004">
      <c r="C597" s="124"/>
      <c r="H597" s="125"/>
      <c r="J597" s="224"/>
      <c r="K597" s="224"/>
      <c r="L597" s="224"/>
      <c r="M597" s="224"/>
      <c r="N597" s="224"/>
      <c r="O597" s="224"/>
    </row>
    <row r="598" spans="3:15" x14ac:dyDescent="0.55000000000000004">
      <c r="C598" s="124"/>
      <c r="H598" s="125"/>
      <c r="J598" s="232" t="s">
        <v>385</v>
      </c>
      <c r="K598" s="224"/>
      <c r="L598" s="224"/>
      <c r="M598" s="224"/>
      <c r="N598" s="224"/>
      <c r="O598" s="224"/>
    </row>
    <row r="599" spans="3:15" x14ac:dyDescent="0.55000000000000004">
      <c r="C599" s="124"/>
      <c r="H599" s="125"/>
      <c r="J599" s="110"/>
      <c r="K599" s="102" t="s">
        <v>390</v>
      </c>
      <c r="L599" s="102" t="s">
        <v>391</v>
      </c>
      <c r="M599" s="224"/>
      <c r="N599" s="224"/>
      <c r="O599" s="224"/>
    </row>
    <row r="600" spans="3:15" x14ac:dyDescent="0.55000000000000004">
      <c r="C600" s="124"/>
      <c r="H600" s="125"/>
      <c r="J600" s="110" t="s">
        <v>393</v>
      </c>
      <c r="K600" s="100">
        <f ca="1">E577/1000</f>
        <v>3056.4370986754216</v>
      </c>
      <c r="L600" s="102"/>
      <c r="M600" s="224"/>
      <c r="N600" s="224"/>
      <c r="O600" s="224"/>
    </row>
    <row r="601" spans="3:15" x14ac:dyDescent="0.55000000000000004">
      <c r="C601" s="124"/>
      <c r="H601" s="125"/>
      <c r="J601" s="110" t="s">
        <v>249</v>
      </c>
      <c r="K601" s="100">
        <f ca="1">E578/1000</f>
        <v>14922.793752405441</v>
      </c>
      <c r="L601" s="110"/>
      <c r="M601" s="224"/>
      <c r="N601" s="224"/>
      <c r="O601" s="224"/>
    </row>
    <row r="602" spans="3:15" x14ac:dyDescent="0.55000000000000004">
      <c r="C602" s="124"/>
      <c r="H602" s="125"/>
      <c r="J602" s="110" t="s">
        <v>52</v>
      </c>
      <c r="K602" s="100">
        <f ca="1">E579/1000</f>
        <v>0</v>
      </c>
      <c r="L602" s="110"/>
      <c r="M602" s="224"/>
      <c r="N602" s="224"/>
      <c r="O602" s="224"/>
    </row>
    <row r="603" spans="3:15" x14ac:dyDescent="0.55000000000000004">
      <c r="C603" s="124"/>
      <c r="H603" s="125"/>
      <c r="J603" s="110" t="s">
        <v>471</v>
      </c>
      <c r="K603" s="100">
        <f>E582/1000</f>
        <v>0</v>
      </c>
      <c r="L603" s="110"/>
      <c r="M603" s="224"/>
      <c r="N603" s="224"/>
      <c r="O603" s="224"/>
    </row>
    <row r="604" spans="3:15" x14ac:dyDescent="0.55000000000000004">
      <c r="C604" s="124"/>
      <c r="H604" s="125"/>
      <c r="J604" s="110" t="s">
        <v>563</v>
      </c>
      <c r="K604" s="100"/>
      <c r="L604" s="101">
        <f ca="1">E592/1000</f>
        <v>16294.62770357573</v>
      </c>
      <c r="M604" s="224"/>
      <c r="N604" s="224"/>
      <c r="O604" s="224"/>
    </row>
    <row r="605" spans="3:15" x14ac:dyDescent="0.55000000000000004">
      <c r="C605" s="124"/>
      <c r="H605" s="125"/>
      <c r="J605" s="110" t="s">
        <v>564</v>
      </c>
      <c r="K605" s="100"/>
      <c r="L605" s="101">
        <f ca="1">E587/1000</f>
        <v>0</v>
      </c>
      <c r="M605" s="224"/>
      <c r="N605" s="224"/>
      <c r="O605" s="224"/>
    </row>
    <row r="606" spans="3:15" x14ac:dyDescent="0.55000000000000004">
      <c r="C606" s="124"/>
      <c r="H606" s="125"/>
      <c r="J606" s="110" t="s">
        <v>565</v>
      </c>
      <c r="K606" s="100"/>
      <c r="L606" s="101">
        <f ca="1">SUM(E584:E586)/1000</f>
        <v>1684.603147505135</v>
      </c>
      <c r="M606" s="224"/>
      <c r="N606" s="224"/>
      <c r="O606" s="224"/>
    </row>
    <row r="607" spans="3:15" x14ac:dyDescent="0.55000000000000004">
      <c r="C607" s="124"/>
      <c r="H607" s="125"/>
      <c r="J607" s="110" t="s">
        <v>566</v>
      </c>
      <c r="K607" s="100"/>
      <c r="L607" s="101">
        <f ca="1">E590/1000</f>
        <v>0</v>
      </c>
      <c r="M607" s="224"/>
      <c r="N607" s="224"/>
      <c r="O607" s="224"/>
    </row>
    <row r="608" spans="3:15" x14ac:dyDescent="0.55000000000000004">
      <c r="C608" s="124"/>
      <c r="H608" s="125"/>
      <c r="J608" s="224"/>
      <c r="K608" s="224"/>
      <c r="L608" s="224"/>
      <c r="M608" s="224"/>
      <c r="N608" s="224"/>
      <c r="O608" s="224"/>
    </row>
    <row r="609" spans="3:15" x14ac:dyDescent="0.55000000000000004">
      <c r="C609" s="124"/>
      <c r="H609" s="125"/>
      <c r="J609" s="224"/>
      <c r="K609" s="224"/>
      <c r="L609" s="224"/>
      <c r="M609" s="224"/>
      <c r="N609" s="224"/>
      <c r="O609" s="224"/>
    </row>
    <row r="610" spans="3:15" x14ac:dyDescent="0.55000000000000004">
      <c r="C610" s="124"/>
      <c r="H610" s="125"/>
      <c r="J610" s="224"/>
      <c r="K610" s="224"/>
      <c r="L610" s="224"/>
      <c r="M610" s="224"/>
      <c r="N610" s="224"/>
      <c r="O610" s="224"/>
    </row>
    <row r="611" spans="3:15" x14ac:dyDescent="0.55000000000000004">
      <c r="C611" s="124"/>
      <c r="E611" s="220" t="s">
        <v>250</v>
      </c>
      <c r="H611" s="125"/>
      <c r="J611" s="224"/>
      <c r="K611" s="224"/>
      <c r="L611" s="224"/>
      <c r="M611" s="224"/>
      <c r="N611" s="224"/>
      <c r="O611" s="224"/>
    </row>
    <row r="612" spans="3:15" x14ac:dyDescent="0.55000000000000004">
      <c r="C612" s="124"/>
      <c r="D612" t="s">
        <v>394</v>
      </c>
      <c r="E612" s="64">
        <f ca="1">VLOOKUP(D574,'2 Electricity'!$D$157:$M$176,10,FALSE)</f>
        <v>3.592694443089028</v>
      </c>
      <c r="H612" s="125"/>
      <c r="J612" s="224"/>
      <c r="K612" s="224"/>
      <c r="L612" s="224"/>
      <c r="M612" s="224"/>
      <c r="N612" s="224"/>
      <c r="O612" s="224"/>
    </row>
    <row r="613" spans="3:15" x14ac:dyDescent="0.55000000000000004">
      <c r="C613" s="124"/>
      <c r="D613" t="s">
        <v>395</v>
      </c>
      <c r="E613" s="64">
        <f ca="1">VLOOKUP(D574,'2 Electricity'!$D$157:$M$176,9,FALSE)</f>
        <v>3.2560691215176032</v>
      </c>
      <c r="H613" s="125"/>
      <c r="J613" s="224"/>
      <c r="K613" s="224"/>
      <c r="L613" s="224"/>
      <c r="M613" s="224"/>
      <c r="N613" s="224"/>
      <c r="O613" s="224"/>
    </row>
    <row r="614" spans="3:15" x14ac:dyDescent="0.55000000000000004">
      <c r="C614" s="124"/>
      <c r="D614" t="s">
        <v>378</v>
      </c>
      <c r="E614" s="97">
        <f ca="1">IFERROR(IF(E582=0,E590,E582)/E580,0)</f>
        <v>0</v>
      </c>
      <c r="H614" s="125"/>
      <c r="J614" s="224"/>
      <c r="K614" s="224"/>
      <c r="L614" s="224"/>
      <c r="M614" s="224"/>
      <c r="N614" s="224"/>
      <c r="O614" s="224"/>
    </row>
    <row r="615" spans="3:15" x14ac:dyDescent="0.55000000000000004">
      <c r="C615" s="124"/>
      <c r="H615" s="125"/>
      <c r="J615" s="224"/>
      <c r="K615" s="224"/>
      <c r="L615" s="224"/>
      <c r="M615" s="224"/>
      <c r="N615" s="224"/>
      <c r="O615" s="224"/>
    </row>
    <row r="616" spans="3:15" x14ac:dyDescent="0.55000000000000004">
      <c r="C616" s="124"/>
      <c r="D616" t="s">
        <v>379</v>
      </c>
      <c r="E616" s="26">
        <f>'3 Electricity'!I522</f>
        <v>0</v>
      </c>
      <c r="H616" s="125"/>
      <c r="J616" s="224"/>
      <c r="K616" s="224"/>
      <c r="L616" s="224"/>
      <c r="M616" s="224"/>
      <c r="N616" s="224"/>
      <c r="O616" s="224"/>
    </row>
    <row r="617" spans="3:15" x14ac:dyDescent="0.55000000000000004">
      <c r="C617" s="124"/>
      <c r="D617" t="s">
        <v>380</v>
      </c>
      <c r="E617" s="97">
        <f ca="1">IFERROR('3 Electricity'!J522/'3 Electricity'!G522,0)</f>
        <v>0</v>
      </c>
      <c r="H617" s="125"/>
      <c r="J617" s="224"/>
      <c r="K617" s="224"/>
      <c r="L617" s="224"/>
      <c r="M617" s="224"/>
      <c r="N617" s="224"/>
      <c r="O617" s="224"/>
    </row>
    <row r="618" spans="3:15" x14ac:dyDescent="0.55000000000000004">
      <c r="C618" s="124"/>
      <c r="H618" s="125"/>
      <c r="J618" s="224"/>
      <c r="K618" s="224"/>
      <c r="L618" s="224"/>
      <c r="M618" s="224"/>
      <c r="N618" s="224"/>
      <c r="O618" s="224"/>
    </row>
    <row r="619" spans="3:15" x14ac:dyDescent="0.55000000000000004">
      <c r="C619" s="124"/>
      <c r="D619" s="1" t="s">
        <v>381</v>
      </c>
      <c r="H619" s="125"/>
      <c r="J619" s="224"/>
      <c r="K619" s="224"/>
      <c r="L619" s="224"/>
      <c r="M619" s="224"/>
      <c r="N619" s="224"/>
      <c r="O619" s="224"/>
    </row>
    <row r="620" spans="3:15" x14ac:dyDescent="0.55000000000000004">
      <c r="C620" s="124"/>
      <c r="D620" s="1" t="str">
        <f>'3 Electricity'!G530</f>
        <v xml:space="preserve">Annual </v>
      </c>
      <c r="H620" s="125"/>
      <c r="J620" s="224"/>
      <c r="K620" s="224"/>
      <c r="L620" s="224"/>
      <c r="M620" s="224"/>
      <c r="N620" s="224"/>
      <c r="O620" s="224"/>
    </row>
    <row r="621" spans="3:15" x14ac:dyDescent="0.55000000000000004">
      <c r="C621" s="124"/>
      <c r="H621" s="125"/>
      <c r="J621" s="224"/>
      <c r="K621" s="224"/>
      <c r="L621" s="224"/>
      <c r="M621" s="224"/>
      <c r="N621" s="224" t="s">
        <v>89</v>
      </c>
      <c r="O621" s="224"/>
    </row>
    <row r="622" spans="3:15" x14ac:dyDescent="0.55000000000000004">
      <c r="C622" s="124"/>
      <c r="H622" s="125"/>
      <c r="J622" s="224"/>
      <c r="K622" s="224"/>
      <c r="L622" s="224"/>
      <c r="M622" s="224"/>
      <c r="N622" s="224"/>
      <c r="O622" s="224"/>
    </row>
    <row r="623" spans="3:15" ht="28.8" x14ac:dyDescent="0.55000000000000004">
      <c r="C623" s="124"/>
      <c r="H623" s="125"/>
      <c r="J623" s="229" t="s">
        <v>383</v>
      </c>
      <c r="K623" s="229" t="s">
        <v>382</v>
      </c>
      <c r="L623" s="108" t="str">
        <f>IF(D620=N621,"Annual Tariff","Low Season Tariff")</f>
        <v>Annual Tariff</v>
      </c>
      <c r="M623" s="109" t="str">
        <f>IF(D620=N621,"","High Season Tariff")</f>
        <v/>
      </c>
      <c r="N623" s="108" t="s">
        <v>392</v>
      </c>
      <c r="O623" s="229" t="s">
        <v>580</v>
      </c>
    </row>
    <row r="624" spans="3:15" x14ac:dyDescent="0.55000000000000004">
      <c r="C624" s="124"/>
      <c r="H624" s="125"/>
      <c r="J624" s="102">
        <v>1</v>
      </c>
      <c r="K624" s="102">
        <f>IFERROR(IF('3 Electricity'!$G$530='3 Electricity'!$V$530,VLOOKUP('Electricity report'!J624,'3 Electricity'!$F$541:$K$545,3,FALSE),VLOOKUP('Electricity report'!J624,'3 Electricity'!$F$560:$N$564,3,FALSE)),0)</f>
        <v>0</v>
      </c>
      <c r="L624" s="103">
        <f ca="1">IFERROR(IF('3 Electricity'!$G$530='3 Electricity'!$V$530,VLOOKUP('Electricity report'!J624,'3 Electricity'!$F$541:$K$545,6,FALSE),VLOOKUP('Electricity report'!J624,'3 Electricity'!$F$560:$N$564,9,FALSE)),0)</f>
        <v>3.2560691215176032</v>
      </c>
      <c r="M624" s="105" t="str">
        <f>IF($D$620=$N$621,"",VLOOKUP(J624,'3 Electricity'!$F$560:$N$564,8,FALSE))</f>
        <v/>
      </c>
      <c r="N624" s="107">
        <f ca="1">$E$612</f>
        <v>3.592694443089028</v>
      </c>
      <c r="O624" s="105">
        <f ca="1">IFERROR('3 Electricity'!J514/'3 Electricity'!H514,0)</f>
        <v>2.9819428113304203</v>
      </c>
    </row>
    <row r="625" spans="3:15" x14ac:dyDescent="0.55000000000000004">
      <c r="C625" s="124"/>
      <c r="H625" s="125"/>
      <c r="J625" s="102">
        <v>2</v>
      </c>
      <c r="K625" s="102">
        <f>IFERROR(IF('3 Electricity'!$G$530='3 Electricity'!$V$530,VLOOKUP('Electricity report'!J625,'3 Electricity'!$F$541:$K$545,3,FALSE),VLOOKUP('Electricity report'!J625,'3 Electricity'!$F$560:$N$564,3,FALSE)),0)</f>
        <v>0</v>
      </c>
      <c r="L625" s="103">
        <f>IFERROR(IF('3 Electricity'!$G$530='3 Electricity'!$V$530,VLOOKUP('Electricity report'!J625,'3 Electricity'!$F$541:$K$545,6,FALSE),VLOOKUP('Electricity report'!J625,'3 Electricity'!$F$560:$N$564,9,FALSE)),0)</f>
        <v>0</v>
      </c>
      <c r="M625" s="105" t="str">
        <f>IF($D$620=$N$621,"",VLOOKUP(J625,'3 Electricity'!$F$560:$N$564,8,FALSE))</f>
        <v/>
      </c>
      <c r="N625" s="107">
        <f ca="1">$E$612</f>
        <v>3.592694443089028</v>
      </c>
      <c r="O625" s="107">
        <f ca="1">$O$624</f>
        <v>2.9819428113304203</v>
      </c>
    </row>
    <row r="626" spans="3:15" x14ac:dyDescent="0.55000000000000004">
      <c r="C626" s="124"/>
      <c r="H626" s="125"/>
      <c r="J626" s="102">
        <v>3</v>
      </c>
      <c r="K626" s="102">
        <f>IFERROR(IF('3 Electricity'!$G$530='3 Electricity'!$V$530,VLOOKUP('Electricity report'!J626,'3 Electricity'!$F$541:$K$545,3,FALSE),VLOOKUP('Electricity report'!J626,'3 Electricity'!$F$560:$N$564,3,FALSE)),0)</f>
        <v>0</v>
      </c>
      <c r="L626" s="103">
        <f>IFERROR(IF('3 Electricity'!$G$530='3 Electricity'!$V$530,VLOOKUP('Electricity report'!J626,'3 Electricity'!$F$541:$K$545,6,FALSE),VLOOKUP('Electricity report'!J626,'3 Electricity'!$F$560:$N$564,9,FALSE)),0)</f>
        <v>0</v>
      </c>
      <c r="M626" s="105" t="str">
        <f>IF($D$620=$N$621,"",VLOOKUP(J626,'3 Electricity'!$F$560:$N$564,8,FALSE))</f>
        <v/>
      </c>
      <c r="N626" s="107">
        <f ca="1">$E$612</f>
        <v>3.592694443089028</v>
      </c>
      <c r="O626" s="107">
        <f ca="1">$O$624</f>
        <v>2.9819428113304203</v>
      </c>
    </row>
    <row r="627" spans="3:15" x14ac:dyDescent="0.55000000000000004">
      <c r="C627" s="124"/>
      <c r="H627" s="125"/>
      <c r="J627" s="102">
        <v>4</v>
      </c>
      <c r="K627" s="102">
        <f>IFERROR(IF('3 Electricity'!$G$530='3 Electricity'!$V$530,VLOOKUP('Electricity report'!J627,'3 Electricity'!$F$541:$K$545,3,FALSE),VLOOKUP('Electricity report'!J627,'3 Electricity'!$F$560:$N$564,3,FALSE)),0)</f>
        <v>0</v>
      </c>
      <c r="L627" s="103">
        <f>IFERROR(IF('3 Electricity'!$G$530='3 Electricity'!$V$530,VLOOKUP('Electricity report'!J627,'3 Electricity'!$F$541:$K$545,6,FALSE),VLOOKUP('Electricity report'!J627,'3 Electricity'!$F$560:$N$564,9,FALSE)),0)</f>
        <v>0</v>
      </c>
      <c r="M627" s="105" t="str">
        <f>IF($D$620=$N$621,"",VLOOKUP(J627,'3 Electricity'!$F$560:$N$564,8,FALSE))</f>
        <v/>
      </c>
      <c r="N627" s="107">
        <f ca="1">$E$612</f>
        <v>3.592694443089028</v>
      </c>
      <c r="O627" s="107">
        <f ca="1">$O$624</f>
        <v>2.9819428113304203</v>
      </c>
    </row>
    <row r="628" spans="3:15" x14ac:dyDescent="0.55000000000000004">
      <c r="C628" s="124"/>
      <c r="H628" s="125"/>
      <c r="J628" s="102">
        <v>5</v>
      </c>
      <c r="K628" s="102">
        <f>IFERROR(IF('3 Electricity'!$G$530='3 Electricity'!$V$530,VLOOKUP('Electricity report'!J628,'3 Electricity'!$F$541:$K$545,3,FALSE),VLOOKUP('Electricity report'!J628,'3 Electricity'!$F$560:$N$564,3,FALSE)),0)</f>
        <v>0</v>
      </c>
      <c r="L628" s="103">
        <f>IFERROR(IF('3 Electricity'!$G$530='3 Electricity'!$V$530,VLOOKUP('Electricity report'!J628,'3 Electricity'!$F$541:$K$545,6,FALSE),VLOOKUP('Electricity report'!J628,'3 Electricity'!$F$560:$N$564,9,FALSE)),0)</f>
        <v>0</v>
      </c>
      <c r="M628" s="105" t="str">
        <f>IF($D$620=$N$621,"",VLOOKUP(J628,'3 Electricity'!$F$560:$N$564,8,FALSE))</f>
        <v/>
      </c>
      <c r="N628" s="107">
        <f ca="1">$E$612</f>
        <v>3.592694443089028</v>
      </c>
      <c r="O628" s="107">
        <f ca="1">$O$624</f>
        <v>2.9819428113304203</v>
      </c>
    </row>
    <row r="629" spans="3:15" x14ac:dyDescent="0.55000000000000004">
      <c r="C629" s="124"/>
      <c r="H629" s="125"/>
      <c r="J629" s="224"/>
      <c r="K629" s="224"/>
      <c r="L629" s="224"/>
      <c r="M629" s="224"/>
      <c r="N629" s="224"/>
      <c r="O629" s="224"/>
    </row>
    <row r="630" spans="3:15" x14ac:dyDescent="0.55000000000000004">
      <c r="C630" s="124"/>
      <c r="H630" s="125"/>
      <c r="J630" s="224"/>
      <c r="K630" s="224"/>
      <c r="L630" s="224"/>
      <c r="M630" s="224"/>
      <c r="N630" s="224"/>
      <c r="O630" s="224"/>
    </row>
    <row r="631" spans="3:15" x14ac:dyDescent="0.55000000000000004">
      <c r="C631" s="124"/>
      <c r="H631" s="125"/>
      <c r="J631" s="224"/>
      <c r="K631" s="224"/>
      <c r="L631" s="224"/>
      <c r="M631" s="224"/>
      <c r="N631" s="224"/>
      <c r="O631" s="224"/>
    </row>
    <row r="632" spans="3:15" x14ac:dyDescent="0.55000000000000004">
      <c r="C632" s="124"/>
      <c r="H632" s="125"/>
      <c r="J632" s="224"/>
      <c r="K632" s="224"/>
      <c r="L632" s="224"/>
      <c r="M632" s="224"/>
      <c r="N632" s="224"/>
      <c r="O632" s="224"/>
    </row>
    <row r="633" spans="3:15" x14ac:dyDescent="0.55000000000000004">
      <c r="C633" s="124"/>
      <c r="H633" s="125"/>
      <c r="J633" s="224"/>
      <c r="K633" s="224"/>
      <c r="L633" s="224"/>
      <c r="M633" s="224"/>
      <c r="N633" s="224"/>
      <c r="O633" s="224"/>
    </row>
    <row r="634" spans="3:15" x14ac:dyDescent="0.55000000000000004">
      <c r="C634" s="124"/>
      <c r="H634" s="125"/>
      <c r="J634" s="224"/>
      <c r="K634" s="224"/>
      <c r="L634" s="224"/>
      <c r="M634" s="224"/>
      <c r="N634" s="224"/>
      <c r="O634" s="224"/>
    </row>
    <row r="635" spans="3:15" x14ac:dyDescent="0.55000000000000004">
      <c r="C635" s="124"/>
      <c r="H635" s="125"/>
      <c r="J635" s="224"/>
      <c r="K635" s="224"/>
      <c r="L635" s="224"/>
      <c r="M635" s="224"/>
      <c r="N635" s="224"/>
      <c r="O635" s="224"/>
    </row>
    <row r="636" spans="3:15" x14ac:dyDescent="0.55000000000000004">
      <c r="C636" s="124"/>
      <c r="H636" s="125"/>
      <c r="J636" s="224"/>
      <c r="K636" s="224"/>
      <c r="L636" s="224"/>
      <c r="M636" s="224"/>
      <c r="N636" s="224"/>
      <c r="O636" s="224"/>
    </row>
    <row r="637" spans="3:15" x14ac:dyDescent="0.55000000000000004">
      <c r="C637" s="124"/>
      <c r="H637" s="125"/>
      <c r="J637" s="224"/>
      <c r="K637" s="224"/>
      <c r="L637" s="224"/>
      <c r="M637" s="224"/>
      <c r="N637" s="224"/>
      <c r="O637" s="224"/>
    </row>
    <row r="638" spans="3:15" x14ac:dyDescent="0.55000000000000004">
      <c r="C638" s="124"/>
      <c r="H638" s="125"/>
      <c r="J638" s="224"/>
      <c r="K638" s="224"/>
      <c r="L638" s="224"/>
      <c r="M638" s="224"/>
      <c r="N638" s="224"/>
      <c r="O638" s="224"/>
    </row>
    <row r="639" spans="3:15" x14ac:dyDescent="0.55000000000000004">
      <c r="C639" s="124"/>
      <c r="H639" s="125"/>
      <c r="J639" s="224"/>
      <c r="K639" s="224"/>
      <c r="L639" s="224"/>
      <c r="M639" s="224"/>
      <c r="N639" s="224"/>
      <c r="O639" s="224"/>
    </row>
    <row r="640" spans="3:15" ht="14.7" thickBot="1" x14ac:dyDescent="0.6">
      <c r="C640" s="130"/>
      <c r="D640" s="131"/>
      <c r="E640" s="131"/>
      <c r="F640" s="131"/>
      <c r="G640" s="131"/>
      <c r="H640" s="132"/>
      <c r="J640" s="224"/>
      <c r="K640" s="224"/>
      <c r="L640" s="224"/>
      <c r="M640" s="224"/>
      <c r="N640" s="224"/>
      <c r="O640" s="224"/>
    </row>
    <row r="641" spans="3:15" x14ac:dyDescent="0.55000000000000004">
      <c r="J641" s="224"/>
      <c r="K641" s="224"/>
      <c r="L641" s="224"/>
      <c r="M641" s="224"/>
      <c r="N641" s="224"/>
      <c r="O641" s="224"/>
    </row>
    <row r="642" spans="3:15" ht="14.7" thickBot="1" x14ac:dyDescent="0.6">
      <c r="J642" s="224"/>
      <c r="K642" s="224"/>
      <c r="L642" s="224"/>
      <c r="M642" s="224"/>
      <c r="N642" s="224"/>
      <c r="O642" s="224"/>
    </row>
    <row r="643" spans="3:15" x14ac:dyDescent="0.55000000000000004">
      <c r="C643" s="121"/>
      <c r="D643" s="122"/>
      <c r="E643" s="122"/>
      <c r="F643" s="122"/>
      <c r="G643" s="122"/>
      <c r="H643" s="123"/>
      <c r="J643" s="224"/>
      <c r="K643" s="224"/>
      <c r="L643" s="224"/>
      <c r="M643" s="224"/>
      <c r="N643" s="224"/>
      <c r="O643" s="224"/>
    </row>
    <row r="644" spans="3:15" ht="15.6" x14ac:dyDescent="0.6">
      <c r="C644" s="124"/>
      <c r="D644" s="98">
        <f>'2 Customer data'!D102</f>
        <v>0</v>
      </c>
      <c r="H644" s="125"/>
      <c r="J644" s="224"/>
      <c r="K644" s="224"/>
      <c r="L644" s="224"/>
      <c r="M644" s="224"/>
      <c r="N644" s="224"/>
      <c r="O644" s="224"/>
    </row>
    <row r="645" spans="3:15" x14ac:dyDescent="0.55000000000000004">
      <c r="C645" s="124"/>
      <c r="H645" s="125"/>
      <c r="J645" s="224"/>
      <c r="K645" s="224"/>
      <c r="L645" s="224"/>
      <c r="M645" s="224"/>
      <c r="N645" s="224"/>
      <c r="O645" s="224"/>
    </row>
    <row r="646" spans="3:15" x14ac:dyDescent="0.55000000000000004">
      <c r="C646" s="124"/>
      <c r="E646" s="220" t="s">
        <v>250</v>
      </c>
      <c r="H646" s="125"/>
      <c r="J646" s="224"/>
      <c r="K646" s="224"/>
      <c r="L646" s="224"/>
      <c r="M646" s="224"/>
      <c r="N646" s="224"/>
      <c r="O646" s="224"/>
    </row>
    <row r="647" spans="3:15" x14ac:dyDescent="0.55000000000000004">
      <c r="C647" s="124"/>
      <c r="D647" t="s">
        <v>393</v>
      </c>
      <c r="E647" s="26">
        <f ca="1">VLOOKUP(D644,'2 Electricity'!$D$21:$L$40,6,FALSE)</f>
        <v>0</v>
      </c>
      <c r="H647" s="125"/>
      <c r="J647" s="224"/>
      <c r="K647" s="224"/>
      <c r="L647" s="224"/>
      <c r="M647" s="224"/>
      <c r="N647" s="224"/>
      <c r="O647" s="224"/>
    </row>
    <row r="648" spans="3:15" x14ac:dyDescent="0.55000000000000004">
      <c r="C648" s="124"/>
      <c r="D648" t="s">
        <v>249</v>
      </c>
      <c r="E648" s="99">
        <f ca="1">VLOOKUP(D644,'2 Electricity'!$D$21:$L$40,7,FALSE)</f>
        <v>0</v>
      </c>
      <c r="H648" s="125"/>
      <c r="J648" s="224"/>
      <c r="K648" s="224"/>
      <c r="L648" s="224"/>
      <c r="M648" s="224"/>
      <c r="N648" s="224"/>
      <c r="O648" s="224"/>
    </row>
    <row r="649" spans="3:15" x14ac:dyDescent="0.55000000000000004">
      <c r="C649" s="124"/>
      <c r="D649" t="s">
        <v>52</v>
      </c>
      <c r="E649" s="26">
        <f ca="1">VLOOKUP(D644,'2 Electricity'!$D$21:$L$40,8,FALSE)</f>
        <v>0</v>
      </c>
      <c r="H649" s="125"/>
      <c r="J649" s="224"/>
      <c r="K649" s="224"/>
      <c r="L649" s="224"/>
      <c r="M649" s="224"/>
      <c r="N649" s="224"/>
      <c r="O649" s="224"/>
    </row>
    <row r="650" spans="3:15" ht="14.7" thickBot="1" x14ac:dyDescent="0.6">
      <c r="C650" s="124"/>
      <c r="D650" s="1" t="s">
        <v>39</v>
      </c>
      <c r="E650" s="37">
        <f ca="1">VLOOKUP(D644,'2 Electricity'!D$21:L$40,9,FALSE)</f>
        <v>0</v>
      </c>
      <c r="H650" s="125"/>
      <c r="J650" s="224"/>
      <c r="K650" s="224"/>
      <c r="L650" s="224"/>
      <c r="M650" s="224"/>
      <c r="N650" s="224"/>
      <c r="O650" s="224"/>
    </row>
    <row r="651" spans="3:15" ht="14.7" thickTop="1" x14ac:dyDescent="0.55000000000000004">
      <c r="C651" s="124"/>
      <c r="H651" s="125"/>
      <c r="J651" s="224"/>
      <c r="K651" s="224"/>
      <c r="L651" s="224"/>
      <c r="M651" s="224"/>
      <c r="N651" s="224"/>
      <c r="O651" s="224"/>
    </row>
    <row r="652" spans="3:15" x14ac:dyDescent="0.55000000000000004">
      <c r="C652" s="124"/>
      <c r="D652" t="s">
        <v>189</v>
      </c>
      <c r="E652" s="26">
        <f>IFERROR(IF(VLOOKUP(D644,'2 Electricity'!$D$126:$K$145,7,FALSE)="",VLOOKUP('2 Electricity'!$D$126:$K$145,6,FALSE),VLOOKUP(D644,'2 Electricity'!$D$126:$K$145,7,FALSE))+VLOOKUP(D644,'2 Electricity'!$D$157:$J$176,5,FALSE),0)</f>
        <v>0</v>
      </c>
      <c r="H652" s="125"/>
      <c r="J652" s="224"/>
      <c r="K652" s="224"/>
      <c r="L652" s="224"/>
      <c r="M652" s="224"/>
      <c r="N652" s="224"/>
      <c r="O652" s="224"/>
    </row>
    <row r="653" spans="3:15" x14ac:dyDescent="0.55000000000000004">
      <c r="C653" s="124"/>
      <c r="H653" s="125"/>
      <c r="J653" s="224"/>
      <c r="K653" s="224"/>
      <c r="L653" s="224"/>
      <c r="M653" s="224"/>
      <c r="N653" s="224"/>
      <c r="O653" s="224"/>
    </row>
    <row r="654" spans="3:15" x14ac:dyDescent="0.55000000000000004">
      <c r="C654" s="124"/>
      <c r="D654" t="s">
        <v>371</v>
      </c>
      <c r="E654" s="64">
        <f ca="1">IF(VLOOKUP(D644,'2 Electricity'!$D$56:$M$75,5,FALSE)="",VLOOKUP(D644,'2 Electricity'!$D$56:$M$75,4,FALSE),VLOOKUP(D644,'2 Electricity'!$D$56:$M$75,5,FALSE))</f>
        <v>0</v>
      </c>
      <c r="H654" s="125"/>
      <c r="J654" s="224"/>
      <c r="K654" s="224"/>
      <c r="L654" s="224"/>
      <c r="M654" s="224"/>
      <c r="N654" s="224"/>
      <c r="O654" s="224"/>
    </row>
    <row r="655" spans="3:15" x14ac:dyDescent="0.55000000000000004">
      <c r="C655" s="124"/>
      <c r="D655" t="s">
        <v>372</v>
      </c>
      <c r="E655" s="26">
        <f ca="1">IF(VLOOKUP(D644,'2 Electricity'!$D$56:$M$75,7,FALSE)="",VLOOKUP(D644,'2 Electricity'!$D$56:$M$75,6,FALSE),VLOOKUP(D644,'2 Electricity'!$D$56:$M$75,7,FALSE))</f>
        <v>0</v>
      </c>
      <c r="H655" s="125"/>
      <c r="J655" s="224"/>
      <c r="K655" s="224"/>
      <c r="L655" s="224"/>
      <c r="M655" s="224"/>
      <c r="N655" s="224"/>
      <c r="O655" s="224"/>
    </row>
    <row r="656" spans="3:15" x14ac:dyDescent="0.55000000000000004">
      <c r="C656" s="124"/>
      <c r="D656" t="s">
        <v>373</v>
      </c>
      <c r="E656" s="26">
        <f ca="1">IF(VLOOKUP(D644,'2 Electricity'!$D$56:$M$75,9,FALSE)="",VLOOKUP(D644,'2 Electricity'!$D$56:$M$75,8,FALSE),VLOOKUP(D644,'2 Electricity'!$D$56:$M$75,9,FALSE))</f>
        <v>0</v>
      </c>
      <c r="H656" s="125"/>
      <c r="J656" s="224"/>
      <c r="K656" s="224"/>
      <c r="L656" s="224"/>
      <c r="M656" s="224"/>
      <c r="N656" s="224"/>
      <c r="O656" s="224"/>
    </row>
    <row r="657" spans="3:15" x14ac:dyDescent="0.55000000000000004">
      <c r="C657" s="124"/>
      <c r="D657" t="s">
        <v>374</v>
      </c>
      <c r="E657" s="26">
        <f ca="1">IF(VLOOKUP(D644,'2 Electricity'!$D$92:$I$111,5,FALSE)="",VLOOKUP(D644,'2 Electricity'!$D$92:$I$111,4,FALSE),VLOOKUP(D644,'2 Electricity'!$D$92:$I$111,5,FALSE))</f>
        <v>0</v>
      </c>
      <c r="H657" s="125"/>
      <c r="J657" s="224"/>
      <c r="K657" s="224"/>
      <c r="L657" s="224"/>
      <c r="M657" s="224"/>
      <c r="N657" s="224"/>
      <c r="O657" s="224"/>
    </row>
    <row r="658" spans="3:15" ht="14.7" thickBot="1" x14ac:dyDescent="0.6">
      <c r="C658" s="124"/>
      <c r="D658" s="1" t="s">
        <v>145</v>
      </c>
      <c r="E658" s="37">
        <f ca="1">SUM(E654:E657)</f>
        <v>0</v>
      </c>
      <c r="H658" s="125"/>
      <c r="J658" s="224"/>
      <c r="K658" s="224"/>
      <c r="L658" s="224"/>
      <c r="M658" s="224"/>
      <c r="N658" s="224"/>
      <c r="O658" s="224"/>
    </row>
    <row r="659" spans="3:15" ht="14.7" thickTop="1" x14ac:dyDescent="0.55000000000000004">
      <c r="C659" s="124"/>
      <c r="D659" s="1"/>
      <c r="E659" s="15"/>
      <c r="H659" s="125"/>
      <c r="J659" s="224"/>
      <c r="K659" s="224"/>
      <c r="L659" s="224"/>
      <c r="M659" s="224"/>
      <c r="N659" s="224"/>
      <c r="O659" s="224"/>
    </row>
    <row r="660" spans="3:15" x14ac:dyDescent="0.55000000000000004">
      <c r="C660" s="124"/>
      <c r="D660" t="s">
        <v>384</v>
      </c>
      <c r="E660" s="26">
        <f ca="1">IF(VLOOKUP(D644,'2 Electricity'!$D$126:$K$145,5,FALSE)="",VLOOKUP(D644,'2 Electricity'!$D$126:$K$145,4,FALSE),VLOOKUP(D644,'2 Electricity'!$D$126:$K$145,5,FALSE))+VLOOKUP(D644,'2 Electricity'!$D$157:$J$176,7,FALSE)</f>
        <v>0</v>
      </c>
      <c r="H660" s="125"/>
      <c r="J660" s="224"/>
      <c r="K660" s="224"/>
      <c r="L660" s="224"/>
      <c r="M660" s="224"/>
      <c r="N660" s="224"/>
      <c r="O660" s="224"/>
    </row>
    <row r="661" spans="3:15" x14ac:dyDescent="0.55000000000000004">
      <c r="C661" s="124"/>
      <c r="H661" s="125"/>
      <c r="J661" s="224"/>
      <c r="K661" s="224"/>
      <c r="L661" s="224"/>
      <c r="M661" s="224"/>
      <c r="N661" s="224"/>
      <c r="O661" s="224"/>
    </row>
    <row r="662" spans="3:15" ht="14.7" thickBot="1" x14ac:dyDescent="0.6">
      <c r="C662" s="124"/>
      <c r="D662" s="1" t="s">
        <v>375</v>
      </c>
      <c r="E662" s="37">
        <f ca="1">VLOOKUP(D644,'2 Electricity'!$D$157:$K$176,8,FALSE)</f>
        <v>0</v>
      </c>
      <c r="H662" s="125"/>
      <c r="J662" s="224"/>
      <c r="K662" s="224"/>
      <c r="L662" s="224"/>
      <c r="M662" s="224"/>
      <c r="N662" s="224"/>
      <c r="O662" s="224"/>
    </row>
    <row r="663" spans="3:15" ht="14.7" thickTop="1" x14ac:dyDescent="0.55000000000000004">
      <c r="C663" s="124"/>
      <c r="H663" s="125"/>
      <c r="J663" s="224"/>
      <c r="K663" s="224"/>
      <c r="L663" s="224"/>
      <c r="M663" s="224"/>
      <c r="N663" s="224"/>
      <c r="O663" s="224"/>
    </row>
    <row r="664" spans="3:15" x14ac:dyDescent="0.55000000000000004">
      <c r="C664" s="124"/>
      <c r="H664" s="125"/>
      <c r="J664" s="224"/>
      <c r="K664" s="224"/>
      <c r="L664" s="224"/>
      <c r="M664" s="224"/>
      <c r="N664" s="224"/>
      <c r="O664" s="224"/>
    </row>
    <row r="665" spans="3:15" x14ac:dyDescent="0.55000000000000004">
      <c r="C665" s="124"/>
      <c r="H665" s="125"/>
      <c r="J665" s="224"/>
      <c r="K665" s="224"/>
      <c r="L665" s="224"/>
      <c r="M665" s="224"/>
      <c r="N665" s="224"/>
      <c r="O665" s="224"/>
    </row>
    <row r="666" spans="3:15" x14ac:dyDescent="0.55000000000000004">
      <c r="C666" s="124"/>
      <c r="H666" s="125"/>
      <c r="J666" s="224"/>
      <c r="K666" s="224"/>
      <c r="L666" s="224"/>
      <c r="M666" s="224"/>
      <c r="N666" s="224"/>
      <c r="O666" s="224"/>
    </row>
    <row r="667" spans="3:15" x14ac:dyDescent="0.55000000000000004">
      <c r="C667" s="124"/>
      <c r="H667" s="125"/>
      <c r="J667" s="232" t="s">
        <v>385</v>
      </c>
      <c r="K667" s="224"/>
      <c r="L667" s="224"/>
      <c r="M667" s="224"/>
      <c r="N667" s="224"/>
      <c r="O667" s="224"/>
    </row>
    <row r="668" spans="3:15" x14ac:dyDescent="0.55000000000000004">
      <c r="C668" s="124"/>
      <c r="H668" s="125"/>
      <c r="J668" s="110"/>
      <c r="K668" s="102" t="s">
        <v>390</v>
      </c>
      <c r="L668" s="102" t="s">
        <v>391</v>
      </c>
      <c r="M668" s="224"/>
      <c r="N668" s="224"/>
      <c r="O668" s="224"/>
    </row>
    <row r="669" spans="3:15" x14ac:dyDescent="0.55000000000000004">
      <c r="C669" s="124"/>
      <c r="H669" s="125"/>
      <c r="J669" s="110" t="s">
        <v>393</v>
      </c>
      <c r="K669" s="100">
        <f ca="1">E647/1000</f>
        <v>0</v>
      </c>
      <c r="L669" s="102"/>
      <c r="M669" s="224"/>
      <c r="N669" s="224"/>
      <c r="O669" s="224"/>
    </row>
    <row r="670" spans="3:15" x14ac:dyDescent="0.55000000000000004">
      <c r="C670" s="124"/>
      <c r="H670" s="125"/>
      <c r="J670" s="110" t="s">
        <v>249</v>
      </c>
      <c r="K670" s="100">
        <f ca="1">E648/1000</f>
        <v>0</v>
      </c>
      <c r="L670" s="110"/>
      <c r="M670" s="224"/>
      <c r="N670" s="224"/>
      <c r="O670" s="224"/>
    </row>
    <row r="671" spans="3:15" x14ac:dyDescent="0.55000000000000004">
      <c r="C671" s="124"/>
      <c r="H671" s="125"/>
      <c r="J671" s="110" t="s">
        <v>52</v>
      </c>
      <c r="K671" s="100">
        <f ca="1">E649/1000</f>
        <v>0</v>
      </c>
      <c r="L671" s="110"/>
      <c r="M671" s="224"/>
      <c r="N671" s="224"/>
      <c r="O671" s="224"/>
    </row>
    <row r="672" spans="3:15" x14ac:dyDescent="0.55000000000000004">
      <c r="C672" s="124"/>
      <c r="H672" s="125"/>
      <c r="J672" s="110" t="s">
        <v>471</v>
      </c>
      <c r="K672" s="100">
        <f>E652/1000</f>
        <v>0</v>
      </c>
      <c r="L672" s="110"/>
      <c r="M672" s="224"/>
      <c r="N672" s="224"/>
      <c r="O672" s="224"/>
    </row>
    <row r="673" spans="3:15" x14ac:dyDescent="0.55000000000000004">
      <c r="C673" s="124"/>
      <c r="H673" s="125"/>
      <c r="J673" s="110" t="s">
        <v>563</v>
      </c>
      <c r="K673" s="100"/>
      <c r="L673" s="101">
        <f ca="1">E662/1000</f>
        <v>0</v>
      </c>
      <c r="M673" s="224"/>
      <c r="N673" s="224"/>
      <c r="O673" s="224"/>
    </row>
    <row r="674" spans="3:15" x14ac:dyDescent="0.55000000000000004">
      <c r="C674" s="124"/>
      <c r="H674" s="125"/>
      <c r="J674" s="110" t="s">
        <v>564</v>
      </c>
      <c r="K674" s="100"/>
      <c r="L674" s="101">
        <f ca="1">E657/1000</f>
        <v>0</v>
      </c>
      <c r="M674" s="224"/>
      <c r="N674" s="224"/>
      <c r="O674" s="224"/>
    </row>
    <row r="675" spans="3:15" x14ac:dyDescent="0.55000000000000004">
      <c r="C675" s="124"/>
      <c r="H675" s="125"/>
      <c r="J675" s="110" t="s">
        <v>565</v>
      </c>
      <c r="K675" s="100"/>
      <c r="L675" s="101">
        <f ca="1">SUM(E654:E656)/1000</f>
        <v>0</v>
      </c>
      <c r="M675" s="224"/>
      <c r="N675" s="224"/>
      <c r="O675" s="224"/>
    </row>
    <row r="676" spans="3:15" x14ac:dyDescent="0.55000000000000004">
      <c r="C676" s="124"/>
      <c r="H676" s="125"/>
      <c r="J676" s="110" t="s">
        <v>566</v>
      </c>
      <c r="K676" s="100"/>
      <c r="L676" s="101">
        <f ca="1">E660/1000</f>
        <v>0</v>
      </c>
      <c r="M676" s="224"/>
      <c r="N676" s="224"/>
      <c r="O676" s="224"/>
    </row>
    <row r="677" spans="3:15" x14ac:dyDescent="0.55000000000000004">
      <c r="C677" s="124"/>
      <c r="H677" s="125"/>
      <c r="J677" s="224"/>
      <c r="K677" s="224"/>
      <c r="L677" s="224"/>
      <c r="M677" s="224"/>
      <c r="N677" s="224"/>
      <c r="O677" s="224"/>
    </row>
    <row r="678" spans="3:15" x14ac:dyDescent="0.55000000000000004">
      <c r="C678" s="124"/>
      <c r="H678" s="125"/>
      <c r="J678" s="224"/>
      <c r="K678" s="224"/>
      <c r="L678" s="224"/>
      <c r="M678" s="224"/>
      <c r="N678" s="224"/>
      <c r="O678" s="224"/>
    </row>
    <row r="679" spans="3:15" x14ac:dyDescent="0.55000000000000004">
      <c r="C679" s="124"/>
      <c r="H679" s="125"/>
      <c r="J679" s="224"/>
      <c r="K679" s="224"/>
      <c r="L679" s="224"/>
      <c r="M679" s="224"/>
      <c r="N679" s="224"/>
      <c r="O679" s="224"/>
    </row>
    <row r="680" spans="3:15" x14ac:dyDescent="0.55000000000000004">
      <c r="C680" s="124"/>
      <c r="H680" s="125"/>
      <c r="J680" s="224"/>
      <c r="K680" s="224"/>
      <c r="L680" s="224"/>
      <c r="M680" s="224"/>
      <c r="N680" s="224"/>
      <c r="O680" s="224"/>
    </row>
    <row r="681" spans="3:15" x14ac:dyDescent="0.55000000000000004">
      <c r="C681" s="124"/>
      <c r="E681" s="220" t="s">
        <v>250</v>
      </c>
      <c r="H681" s="125"/>
      <c r="J681" s="224"/>
      <c r="K681" s="224"/>
      <c r="L681" s="224"/>
      <c r="M681" s="224"/>
      <c r="N681" s="224"/>
      <c r="O681" s="224"/>
    </row>
    <row r="682" spans="3:15" x14ac:dyDescent="0.55000000000000004">
      <c r="C682" s="124"/>
      <c r="D682" t="s">
        <v>394</v>
      </c>
      <c r="E682" s="64">
        <f ca="1">VLOOKUP(D644,'2 Electricity'!$D$157:$M$176,10,FALSE)</f>
        <v>0</v>
      </c>
      <c r="H682" s="125"/>
      <c r="J682" s="224"/>
      <c r="K682" s="224"/>
      <c r="L682" s="224"/>
      <c r="M682" s="224"/>
      <c r="N682" s="224"/>
      <c r="O682" s="224"/>
    </row>
    <row r="683" spans="3:15" x14ac:dyDescent="0.55000000000000004">
      <c r="C683" s="124"/>
      <c r="D683" t="s">
        <v>395</v>
      </c>
      <c r="E683" s="64">
        <f ca="1">VLOOKUP(D644,'2 Electricity'!$D$157:$M$176,9,FALSE)</f>
        <v>0</v>
      </c>
      <c r="H683" s="125"/>
      <c r="J683" s="224"/>
      <c r="K683" s="224"/>
      <c r="L683" s="224"/>
      <c r="M683" s="224"/>
      <c r="N683" s="224"/>
      <c r="O683" s="224"/>
    </row>
    <row r="684" spans="3:15" x14ac:dyDescent="0.55000000000000004">
      <c r="C684" s="124"/>
      <c r="D684" t="s">
        <v>378</v>
      </c>
      <c r="E684" s="97">
        <f ca="1">IFERROR(IF(E652=0,E660,E652)/E650,0)</f>
        <v>0</v>
      </c>
      <c r="H684" s="125"/>
      <c r="J684" s="224"/>
      <c r="K684" s="224"/>
      <c r="L684" s="224"/>
      <c r="M684" s="224"/>
      <c r="N684" s="224"/>
      <c r="O684" s="224"/>
    </row>
    <row r="685" spans="3:15" x14ac:dyDescent="0.55000000000000004">
      <c r="C685" s="124"/>
      <c r="H685" s="125"/>
      <c r="J685" s="224"/>
      <c r="K685" s="224"/>
      <c r="L685" s="224"/>
      <c r="M685" s="224"/>
      <c r="N685" s="224"/>
      <c r="O685" s="224"/>
    </row>
    <row r="686" spans="3:15" x14ac:dyDescent="0.55000000000000004">
      <c r="C686" s="124"/>
      <c r="D686" t="s">
        <v>379</v>
      </c>
      <c r="E686" s="26">
        <f>'3 Electricity'!I584</f>
        <v>0</v>
      </c>
      <c r="H686" s="125"/>
      <c r="J686" s="224"/>
      <c r="K686" s="224"/>
      <c r="L686" s="224"/>
      <c r="M686" s="224"/>
      <c r="N686" s="224"/>
      <c r="O686" s="224"/>
    </row>
    <row r="687" spans="3:15" x14ac:dyDescent="0.55000000000000004">
      <c r="C687" s="124"/>
      <c r="D687" t="s">
        <v>380</v>
      </c>
      <c r="E687" s="97">
        <f ca="1">IFERROR('3 Electricity'!J584/'3 Electricity'!G584,0)</f>
        <v>0</v>
      </c>
      <c r="H687" s="125"/>
      <c r="J687" s="224"/>
      <c r="K687" s="224"/>
      <c r="L687" s="224"/>
      <c r="M687" s="224"/>
      <c r="N687" s="224"/>
      <c r="O687" s="224"/>
    </row>
    <row r="688" spans="3:15" x14ac:dyDescent="0.55000000000000004">
      <c r="C688" s="124"/>
      <c r="H688" s="125"/>
      <c r="J688" s="224"/>
      <c r="K688" s="224"/>
      <c r="L688" s="224"/>
      <c r="M688" s="224"/>
      <c r="N688" s="224"/>
      <c r="O688" s="224"/>
    </row>
    <row r="689" spans="3:15" x14ac:dyDescent="0.55000000000000004">
      <c r="C689" s="124"/>
      <c r="D689" s="1" t="s">
        <v>381</v>
      </c>
      <c r="H689" s="125"/>
      <c r="J689" s="224"/>
      <c r="K689" s="224"/>
      <c r="L689" s="224"/>
      <c r="M689" s="224"/>
      <c r="N689" s="224"/>
      <c r="O689" s="224"/>
    </row>
    <row r="690" spans="3:15" x14ac:dyDescent="0.55000000000000004">
      <c r="C690" s="124"/>
      <c r="D690" s="1" t="str">
        <f>'3 Electricity'!G592</f>
        <v xml:space="preserve">Annual </v>
      </c>
      <c r="H690" s="125"/>
      <c r="J690" s="224"/>
      <c r="K690" s="224"/>
      <c r="L690" s="224"/>
      <c r="M690" s="224"/>
      <c r="N690" s="224"/>
      <c r="O690" s="224"/>
    </row>
    <row r="691" spans="3:15" x14ac:dyDescent="0.55000000000000004">
      <c r="C691" s="124"/>
      <c r="H691" s="125"/>
      <c r="J691" s="224"/>
      <c r="K691" s="224"/>
      <c r="L691" s="224"/>
      <c r="M691" s="224"/>
      <c r="N691" s="224" t="s">
        <v>89</v>
      </c>
      <c r="O691" s="224"/>
    </row>
    <row r="692" spans="3:15" x14ac:dyDescent="0.55000000000000004">
      <c r="C692" s="124"/>
      <c r="H692" s="125"/>
      <c r="J692" s="224"/>
      <c r="K692" s="224"/>
      <c r="L692" s="224"/>
      <c r="M692" s="224"/>
      <c r="N692" s="224"/>
      <c r="O692" s="224"/>
    </row>
    <row r="693" spans="3:15" ht="28.8" x14ac:dyDescent="0.55000000000000004">
      <c r="C693" s="124"/>
      <c r="H693" s="125"/>
      <c r="J693" s="229" t="s">
        <v>383</v>
      </c>
      <c r="K693" s="229" t="s">
        <v>382</v>
      </c>
      <c r="L693" s="108" t="str">
        <f>IF(D690=N691,"Annual Tariff","Low Season Tariff")</f>
        <v>Annual Tariff</v>
      </c>
      <c r="M693" s="109" t="str">
        <f>IF(D690=N691,"","High Season Tariff")</f>
        <v/>
      </c>
      <c r="N693" s="108" t="s">
        <v>392</v>
      </c>
      <c r="O693" s="229" t="s">
        <v>580</v>
      </c>
    </row>
    <row r="694" spans="3:15" x14ac:dyDescent="0.55000000000000004">
      <c r="C694" s="124"/>
      <c r="H694" s="125"/>
      <c r="J694" s="102">
        <v>1</v>
      </c>
      <c r="K694" s="102">
        <f>IFERROR(IF('3 Electricity'!$G$592='3 Electricity'!$V$592,VLOOKUP('Electricity report'!J694,'3 Electricity'!$F$603:$K$607,3,FALSE),VLOOKUP('Electricity report'!J694,'3 Electricity'!$F$622:$N$626,3,FALSE)),0)</f>
        <v>0</v>
      </c>
      <c r="L694" s="103">
        <f ca="1">IFERROR(IF('3 Electricity'!$G$592='3 Electricity'!$V$592,VLOOKUP('Electricity report'!J694,'3 Electricity'!$F$603:$K$607,6,FALSE),VLOOKUP('Electricity report'!J694,'3 Electricity'!$F$622:$N$626,9,FALSE)),0)</f>
        <v>0</v>
      </c>
      <c r="M694" s="105" t="str">
        <f>IF($D$690=$N$691,"",VLOOKUP(J694,'3 Electricity'!$F$622:$N$626,8,FALSE))</f>
        <v/>
      </c>
      <c r="N694" s="107">
        <f ca="1">$E$682</f>
        <v>0</v>
      </c>
      <c r="O694" s="105">
        <f ca="1">IFERROR('3 Electricity'!J576/'3 Electricity'!H576,0)</f>
        <v>0</v>
      </c>
    </row>
    <row r="695" spans="3:15" x14ac:dyDescent="0.55000000000000004">
      <c r="C695" s="124"/>
      <c r="H695" s="125"/>
      <c r="J695" s="102">
        <v>2</v>
      </c>
      <c r="K695" s="102">
        <f>IFERROR(IF('3 Electricity'!$G$592='3 Electricity'!$V$592,VLOOKUP('Electricity report'!J695,'3 Electricity'!$F$603:$K$607,3,FALSE),VLOOKUP('Electricity report'!J695,'3 Electricity'!$F$622:$N$626,3,FALSE)),0)</f>
        <v>0</v>
      </c>
      <c r="L695" s="103">
        <f ca="1">IFERROR(IF('3 Electricity'!$G$592='3 Electricity'!$V$592,VLOOKUP('Electricity report'!J695,'3 Electricity'!$F$603:$K$607,6,FALSE),VLOOKUP('Electricity report'!J695,'3 Electricity'!$F$622:$N$626,9,FALSE)),0)</f>
        <v>0</v>
      </c>
      <c r="M695" s="105" t="str">
        <f>IF($D$690=$N$691,"",VLOOKUP(J695,'3 Electricity'!$F$622:$N$626,8,FALSE))</f>
        <v/>
      </c>
      <c r="N695" s="107">
        <f ca="1">$E$682</f>
        <v>0</v>
      </c>
      <c r="O695" s="107">
        <f ca="1">$O$694</f>
        <v>0</v>
      </c>
    </row>
    <row r="696" spans="3:15" x14ac:dyDescent="0.55000000000000004">
      <c r="C696" s="124"/>
      <c r="H696" s="125"/>
      <c r="J696" s="102">
        <v>3</v>
      </c>
      <c r="K696" s="102">
        <f>IFERROR(IF('3 Electricity'!$G$592='3 Electricity'!$V$592,VLOOKUP('Electricity report'!J696,'3 Electricity'!$F$603:$K$607,3,FALSE),VLOOKUP('Electricity report'!J696,'3 Electricity'!$F$622:$N$626,3,FALSE)),0)</f>
        <v>0</v>
      </c>
      <c r="L696" s="103">
        <f ca="1">IFERROR(IF('3 Electricity'!$G$592='3 Electricity'!$V$592,VLOOKUP('Electricity report'!J696,'3 Electricity'!$F$603:$K$607,6,FALSE),VLOOKUP('Electricity report'!J696,'3 Electricity'!$F$622:$N$626,9,FALSE)),0)</f>
        <v>0</v>
      </c>
      <c r="M696" s="105" t="str">
        <f>IF($D$690=$N$691,"",VLOOKUP(J696,'3 Electricity'!$F$622:$N$626,8,FALSE))</f>
        <v/>
      </c>
      <c r="N696" s="107">
        <f ca="1">$E$682</f>
        <v>0</v>
      </c>
      <c r="O696" s="107">
        <f ca="1">$O$694</f>
        <v>0</v>
      </c>
    </row>
    <row r="697" spans="3:15" x14ac:dyDescent="0.55000000000000004">
      <c r="C697" s="124"/>
      <c r="H697" s="125"/>
      <c r="J697" s="102">
        <v>4</v>
      </c>
      <c r="K697" s="102">
        <f>IFERROR(IF('3 Electricity'!$G$592='3 Electricity'!$V$592,VLOOKUP('Electricity report'!J697,'3 Electricity'!$F$603:$K$607,3,FALSE),VLOOKUP('Electricity report'!J697,'3 Electricity'!$F$622:$N$626,3,FALSE)),0)</f>
        <v>0</v>
      </c>
      <c r="L697" s="103">
        <f ca="1">IFERROR(IF('3 Electricity'!$G$592='3 Electricity'!$V$592,VLOOKUP('Electricity report'!J697,'3 Electricity'!$F$603:$K$607,6,FALSE),VLOOKUP('Electricity report'!J697,'3 Electricity'!$F$622:$N$626,9,FALSE)),0)</f>
        <v>0</v>
      </c>
      <c r="M697" s="105" t="str">
        <f>IF($D$690=$N$691,"",VLOOKUP(J697,'3 Electricity'!$F$622:$N$626,8,FALSE))</f>
        <v/>
      </c>
      <c r="N697" s="107">
        <f ca="1">$E$682</f>
        <v>0</v>
      </c>
      <c r="O697" s="107">
        <f ca="1">$O$694</f>
        <v>0</v>
      </c>
    </row>
    <row r="698" spans="3:15" x14ac:dyDescent="0.55000000000000004">
      <c r="C698" s="124"/>
      <c r="H698" s="125"/>
      <c r="J698" s="102">
        <v>5</v>
      </c>
      <c r="K698" s="102" t="str">
        <f>IFERROR(IF('3 Electricity'!$G$592='3 Electricity'!$V$592,VLOOKUP('Electricity report'!J698,'3 Electricity'!$F$603:$K$607,3,FALSE),VLOOKUP('Electricity report'!J698,'3 Electricity'!$F$622:$N$626,3,FALSE)),0)</f>
        <v>More</v>
      </c>
      <c r="L698" s="103">
        <f ca="1">IFERROR(IF('3 Electricity'!$G$592='3 Electricity'!$V$592,VLOOKUP('Electricity report'!J698,'3 Electricity'!$F$603:$K$607,6,FALSE),VLOOKUP('Electricity report'!J698,'3 Electricity'!$F$622:$N$626,9,FALSE)),0)</f>
        <v>0</v>
      </c>
      <c r="M698" s="105" t="str">
        <f>IF($D$690=$N$691,"",VLOOKUP(J698,'3 Electricity'!$F$622:$N$626,8,FALSE))</f>
        <v/>
      </c>
      <c r="N698" s="107">
        <f ca="1">$E$682</f>
        <v>0</v>
      </c>
      <c r="O698" s="107">
        <f ca="1">$O$694</f>
        <v>0</v>
      </c>
    </row>
    <row r="699" spans="3:15" x14ac:dyDescent="0.55000000000000004">
      <c r="C699" s="124"/>
      <c r="H699" s="125"/>
      <c r="J699" s="224"/>
      <c r="K699" s="224"/>
      <c r="L699" s="224"/>
      <c r="M699" s="224"/>
      <c r="N699" s="224"/>
      <c r="O699" s="224"/>
    </row>
    <row r="700" spans="3:15" x14ac:dyDescent="0.55000000000000004">
      <c r="C700" s="124"/>
      <c r="H700" s="125"/>
      <c r="J700" s="224"/>
      <c r="K700" s="224"/>
      <c r="L700" s="224"/>
      <c r="M700" s="224"/>
      <c r="N700" s="224"/>
      <c r="O700" s="224"/>
    </row>
    <row r="701" spans="3:15" x14ac:dyDescent="0.55000000000000004">
      <c r="C701" s="124"/>
      <c r="H701" s="125"/>
      <c r="J701" s="224"/>
      <c r="K701" s="224"/>
      <c r="L701" s="224"/>
      <c r="M701" s="224"/>
      <c r="N701" s="224"/>
      <c r="O701" s="224"/>
    </row>
    <row r="702" spans="3:15" x14ac:dyDescent="0.55000000000000004">
      <c r="C702" s="124"/>
      <c r="H702" s="125"/>
      <c r="J702" s="224"/>
      <c r="K702" s="224"/>
      <c r="L702" s="224"/>
      <c r="M702" s="224"/>
      <c r="N702" s="224"/>
      <c r="O702" s="224"/>
    </row>
    <row r="703" spans="3:15" x14ac:dyDescent="0.55000000000000004">
      <c r="C703" s="124"/>
      <c r="H703" s="125"/>
      <c r="J703" s="224"/>
      <c r="K703" s="224"/>
      <c r="L703" s="224"/>
      <c r="M703" s="224"/>
      <c r="N703" s="224"/>
      <c r="O703" s="224"/>
    </row>
    <row r="704" spans="3:15" x14ac:dyDescent="0.55000000000000004">
      <c r="C704" s="124"/>
      <c r="H704" s="125"/>
      <c r="J704" s="224"/>
      <c r="K704" s="224"/>
      <c r="L704" s="224"/>
      <c r="M704" s="224"/>
      <c r="N704" s="224"/>
      <c r="O704" s="224"/>
    </row>
    <row r="705" spans="3:15" x14ac:dyDescent="0.55000000000000004">
      <c r="C705" s="124"/>
      <c r="H705" s="125"/>
      <c r="J705" s="224"/>
      <c r="K705" s="224"/>
      <c r="L705" s="224"/>
      <c r="M705" s="224"/>
      <c r="N705" s="224"/>
      <c r="O705" s="224"/>
    </row>
    <row r="706" spans="3:15" x14ac:dyDescent="0.55000000000000004">
      <c r="C706" s="124"/>
      <c r="H706" s="125"/>
      <c r="J706" s="224"/>
      <c r="K706" s="224"/>
      <c r="L706" s="224"/>
      <c r="M706" s="224"/>
      <c r="N706" s="224"/>
      <c r="O706" s="224"/>
    </row>
    <row r="707" spans="3:15" x14ac:dyDescent="0.55000000000000004">
      <c r="C707" s="124"/>
      <c r="H707" s="125"/>
      <c r="J707" s="224"/>
      <c r="K707" s="224"/>
      <c r="L707" s="224"/>
      <c r="M707" s="224"/>
      <c r="N707" s="224"/>
      <c r="O707" s="224"/>
    </row>
    <row r="708" spans="3:15" x14ac:dyDescent="0.55000000000000004">
      <c r="C708" s="124"/>
      <c r="H708" s="125"/>
      <c r="J708" s="224"/>
      <c r="K708" s="224"/>
      <c r="L708" s="224"/>
      <c r="M708" s="224"/>
      <c r="N708" s="224"/>
      <c r="O708" s="224"/>
    </row>
    <row r="709" spans="3:15" x14ac:dyDescent="0.55000000000000004">
      <c r="C709" s="124"/>
      <c r="H709" s="125"/>
      <c r="J709" s="224"/>
      <c r="K709" s="224"/>
      <c r="L709" s="224"/>
      <c r="M709" s="224"/>
      <c r="N709" s="224"/>
      <c r="O709" s="224"/>
    </row>
    <row r="710" spans="3:15" ht="14.7" thickBot="1" x14ac:dyDescent="0.6">
      <c r="C710" s="130"/>
      <c r="D710" s="131"/>
      <c r="E710" s="131"/>
      <c r="F710" s="131"/>
      <c r="G710" s="131"/>
      <c r="H710" s="132"/>
      <c r="J710" s="224"/>
      <c r="K710" s="224"/>
      <c r="L710" s="224"/>
      <c r="M710" s="224"/>
      <c r="N710" s="224"/>
      <c r="O710" s="224"/>
    </row>
    <row r="711" spans="3:15" x14ac:dyDescent="0.55000000000000004">
      <c r="J711" s="224"/>
      <c r="K711" s="224"/>
      <c r="L711" s="224"/>
      <c r="M711" s="224"/>
      <c r="N711" s="224"/>
      <c r="O711" s="224"/>
    </row>
    <row r="712" spans="3:15" ht="14.7" thickBot="1" x14ac:dyDescent="0.6">
      <c r="J712" s="224"/>
      <c r="K712" s="224"/>
      <c r="L712" s="224"/>
      <c r="M712" s="224"/>
      <c r="N712" s="224"/>
      <c r="O712" s="224"/>
    </row>
    <row r="713" spans="3:15" x14ac:dyDescent="0.55000000000000004">
      <c r="C713" s="121"/>
      <c r="D713" s="122"/>
      <c r="E713" s="122"/>
      <c r="F713" s="122"/>
      <c r="G713" s="122"/>
      <c r="H713" s="123"/>
      <c r="J713" s="224"/>
      <c r="K713" s="224"/>
      <c r="L713" s="224"/>
      <c r="M713" s="224"/>
      <c r="N713" s="224"/>
      <c r="O713" s="224"/>
    </row>
    <row r="714" spans="3:15" ht="15.6" x14ac:dyDescent="0.6">
      <c r="C714" s="124"/>
      <c r="D714" s="98">
        <f>'2 Customer data'!D103</f>
        <v>0</v>
      </c>
      <c r="H714" s="125"/>
      <c r="J714" s="224"/>
      <c r="K714" s="224"/>
      <c r="L714" s="224"/>
      <c r="M714" s="224"/>
      <c r="N714" s="224"/>
      <c r="O714" s="224"/>
    </row>
    <row r="715" spans="3:15" x14ac:dyDescent="0.55000000000000004">
      <c r="C715" s="124"/>
      <c r="H715" s="125"/>
      <c r="J715" s="224"/>
      <c r="K715" s="224"/>
      <c r="L715" s="224"/>
      <c r="M715" s="224"/>
      <c r="N715" s="224"/>
      <c r="O715" s="224"/>
    </row>
    <row r="716" spans="3:15" x14ac:dyDescent="0.55000000000000004">
      <c r="C716" s="124"/>
      <c r="E716" s="220" t="s">
        <v>250</v>
      </c>
      <c r="H716" s="125"/>
      <c r="J716" s="224"/>
      <c r="K716" s="224"/>
      <c r="L716" s="224"/>
      <c r="M716" s="224"/>
      <c r="N716" s="224"/>
      <c r="O716" s="224"/>
    </row>
    <row r="717" spans="3:15" x14ac:dyDescent="0.55000000000000004">
      <c r="C717" s="124"/>
      <c r="D717" t="s">
        <v>393</v>
      </c>
      <c r="E717" s="26">
        <f ca="1">VLOOKUP(D714,'2 Electricity'!$D$21:$L$40,6,FALSE)</f>
        <v>0</v>
      </c>
      <c r="H717" s="125"/>
      <c r="J717" s="224"/>
      <c r="K717" s="224"/>
      <c r="L717" s="224"/>
      <c r="M717" s="224"/>
      <c r="N717" s="224"/>
      <c r="O717" s="224"/>
    </row>
    <row r="718" spans="3:15" x14ac:dyDescent="0.55000000000000004">
      <c r="C718" s="124"/>
      <c r="D718" t="s">
        <v>249</v>
      </c>
      <c r="E718" s="99">
        <f ca="1">VLOOKUP(D714,'2 Electricity'!$D$21:$L$40,7,FALSE)</f>
        <v>0</v>
      </c>
      <c r="H718" s="125"/>
      <c r="J718" s="224"/>
      <c r="K718" s="224"/>
      <c r="L718" s="224"/>
      <c r="M718" s="224"/>
      <c r="N718" s="224"/>
      <c r="O718" s="224"/>
    </row>
    <row r="719" spans="3:15" x14ac:dyDescent="0.55000000000000004">
      <c r="C719" s="124"/>
      <c r="D719" t="s">
        <v>52</v>
      </c>
      <c r="E719" s="26">
        <f ca="1">VLOOKUP(D714,'2 Electricity'!$D$21:$L$40,8,FALSE)</f>
        <v>0</v>
      </c>
      <c r="H719" s="125"/>
      <c r="J719" s="224"/>
      <c r="K719" s="224"/>
      <c r="L719" s="224"/>
      <c r="M719" s="224"/>
      <c r="N719" s="224"/>
      <c r="O719" s="224"/>
    </row>
    <row r="720" spans="3:15" ht="14.7" thickBot="1" x14ac:dyDescent="0.6">
      <c r="C720" s="124"/>
      <c r="D720" s="1" t="s">
        <v>39</v>
      </c>
      <c r="E720" s="37">
        <f ca="1">VLOOKUP(D714,'2 Electricity'!D$21:L$40,9,FALSE)</f>
        <v>0</v>
      </c>
      <c r="H720" s="125"/>
      <c r="J720" s="224"/>
      <c r="K720" s="224"/>
      <c r="L720" s="224"/>
      <c r="M720" s="224"/>
      <c r="N720" s="224"/>
      <c r="O720" s="224"/>
    </row>
    <row r="721" spans="3:15" ht="14.7" thickTop="1" x14ac:dyDescent="0.55000000000000004">
      <c r="C721" s="124"/>
      <c r="H721" s="125"/>
      <c r="J721" s="224"/>
      <c r="K721" s="224"/>
      <c r="L721" s="224"/>
      <c r="M721" s="224"/>
      <c r="N721" s="224"/>
      <c r="O721" s="224"/>
    </row>
    <row r="722" spans="3:15" x14ac:dyDescent="0.55000000000000004">
      <c r="C722" s="124"/>
      <c r="D722" t="s">
        <v>189</v>
      </c>
      <c r="E722" s="26">
        <f>IFERROR(IF(VLOOKUP(D714,'2 Electricity'!$D$126:$K$145,7,FALSE)="",VLOOKUP('2 Electricity'!$D$126:$K$145,6,FALSE),VLOOKUP(D714,'2 Electricity'!$D$126:$K$145,7,FALSE))+VLOOKUP(D714,'2 Electricity'!$D$157:$J$176,5,FALSE),0)</f>
        <v>0</v>
      </c>
      <c r="H722" s="125"/>
      <c r="J722" s="224"/>
      <c r="K722" s="224"/>
      <c r="L722" s="224"/>
      <c r="M722" s="224"/>
      <c r="N722" s="224"/>
      <c r="O722" s="224"/>
    </row>
    <row r="723" spans="3:15" x14ac:dyDescent="0.55000000000000004">
      <c r="C723" s="124"/>
      <c r="H723" s="125"/>
      <c r="J723" s="224"/>
      <c r="K723" s="224"/>
      <c r="L723" s="224"/>
      <c r="M723" s="224"/>
      <c r="N723" s="224"/>
      <c r="O723" s="224"/>
    </row>
    <row r="724" spans="3:15" x14ac:dyDescent="0.55000000000000004">
      <c r="C724" s="124"/>
      <c r="D724" t="s">
        <v>371</v>
      </c>
      <c r="E724" s="64">
        <f ca="1">IF(VLOOKUP(D714,'2 Electricity'!$D$56:$M$75,5,FALSE)="",VLOOKUP(D714,'2 Electricity'!$D$56:$M$75,4,FALSE),VLOOKUP(D714,'2 Electricity'!$D$56:$M$75,5,FALSE))</f>
        <v>0</v>
      </c>
      <c r="H724" s="125"/>
      <c r="J724" s="224"/>
      <c r="K724" s="224"/>
      <c r="L724" s="224"/>
      <c r="M724" s="224"/>
      <c r="N724" s="224"/>
      <c r="O724" s="224"/>
    </row>
    <row r="725" spans="3:15" x14ac:dyDescent="0.55000000000000004">
      <c r="C725" s="124"/>
      <c r="D725" t="s">
        <v>372</v>
      </c>
      <c r="E725" s="26">
        <f ca="1">IF(VLOOKUP(D714,'2 Electricity'!$D$56:$M$75,7,FALSE)="",VLOOKUP(D714,'2 Electricity'!$D$56:$M$75,6,FALSE),VLOOKUP(D714,'2 Electricity'!$D$56:$M$75,7,FALSE))</f>
        <v>0</v>
      </c>
      <c r="H725" s="125"/>
      <c r="J725" s="224"/>
      <c r="K725" s="224"/>
      <c r="L725" s="224"/>
      <c r="M725" s="224"/>
      <c r="N725" s="224"/>
      <c r="O725" s="224"/>
    </row>
    <row r="726" spans="3:15" x14ac:dyDescent="0.55000000000000004">
      <c r="C726" s="124"/>
      <c r="D726" t="s">
        <v>373</v>
      </c>
      <c r="E726" s="26">
        <f ca="1">IF(VLOOKUP(D714,'2 Electricity'!$D$56:$M$75,9,FALSE)="",VLOOKUP(D714,'2 Electricity'!$D$56:$M$75,8,FALSE),VLOOKUP(D714,'2 Electricity'!$D$56:$M$75,9,FALSE))</f>
        <v>0</v>
      </c>
      <c r="H726" s="125"/>
      <c r="J726" s="224"/>
      <c r="K726" s="224"/>
      <c r="L726" s="224"/>
      <c r="M726" s="224"/>
      <c r="N726" s="224"/>
      <c r="O726" s="224"/>
    </row>
    <row r="727" spans="3:15" x14ac:dyDescent="0.55000000000000004">
      <c r="C727" s="124"/>
      <c r="D727" t="s">
        <v>374</v>
      </c>
      <c r="E727" s="26">
        <f ca="1">IF(VLOOKUP(D714,'2 Electricity'!$D$92:$I$111,5,FALSE)="",VLOOKUP(D714,'2 Electricity'!$D$92:$I$111,4,FALSE),VLOOKUP(D714,'2 Electricity'!$D$92:$I$111,5,FALSE))</f>
        <v>0</v>
      </c>
      <c r="H727" s="125"/>
      <c r="J727" s="224"/>
      <c r="K727" s="224"/>
      <c r="L727" s="224"/>
      <c r="M727" s="224"/>
      <c r="N727" s="224"/>
      <c r="O727" s="224"/>
    </row>
    <row r="728" spans="3:15" ht="14.7" thickBot="1" x14ac:dyDescent="0.6">
      <c r="C728" s="124"/>
      <c r="D728" s="1" t="s">
        <v>145</v>
      </c>
      <c r="E728" s="37">
        <f ca="1">SUM(E724:E727)</f>
        <v>0</v>
      </c>
      <c r="H728" s="125"/>
      <c r="J728" s="224"/>
      <c r="K728" s="224"/>
      <c r="L728" s="224"/>
      <c r="M728" s="224"/>
      <c r="N728" s="224"/>
      <c r="O728" s="224"/>
    </row>
    <row r="729" spans="3:15" ht="14.7" thickTop="1" x14ac:dyDescent="0.55000000000000004">
      <c r="C729" s="124"/>
      <c r="D729" s="1"/>
      <c r="E729" s="15"/>
      <c r="H729" s="125"/>
      <c r="J729" s="224"/>
      <c r="K729" s="224"/>
      <c r="L729" s="224"/>
      <c r="M729" s="224"/>
      <c r="N729" s="224"/>
      <c r="O729" s="224"/>
    </row>
    <row r="730" spans="3:15" x14ac:dyDescent="0.55000000000000004">
      <c r="C730" s="124"/>
      <c r="D730" t="s">
        <v>384</v>
      </c>
      <c r="E730" s="26">
        <f ca="1">IF(VLOOKUP(D714,'2 Electricity'!$D$126:$K$145,5,FALSE)="",VLOOKUP(D714,'2 Electricity'!$D$126:$K$145,4,FALSE),VLOOKUP(D714,'2 Electricity'!$D$126:$K$145,5,FALSE))+VLOOKUP(D714,'2 Electricity'!$D$157:$J$176,7,FALSE)</f>
        <v>0</v>
      </c>
      <c r="H730" s="125"/>
      <c r="J730" s="224"/>
      <c r="K730" s="224"/>
      <c r="L730" s="224"/>
      <c r="M730" s="224"/>
      <c r="N730" s="224"/>
      <c r="O730" s="224"/>
    </row>
    <row r="731" spans="3:15" x14ac:dyDescent="0.55000000000000004">
      <c r="C731" s="124"/>
      <c r="H731" s="125"/>
      <c r="J731" s="224"/>
      <c r="K731" s="224"/>
      <c r="L731" s="224"/>
      <c r="M731" s="224"/>
      <c r="N731" s="224"/>
      <c r="O731" s="224"/>
    </row>
    <row r="732" spans="3:15" ht="14.7" thickBot="1" x14ac:dyDescent="0.6">
      <c r="C732" s="124"/>
      <c r="D732" s="1" t="s">
        <v>375</v>
      </c>
      <c r="E732" s="37">
        <f ca="1">VLOOKUP(D714,'2 Electricity'!$D$157:$K$176,8,FALSE)</f>
        <v>0</v>
      </c>
      <c r="H732" s="125"/>
      <c r="J732" s="224"/>
      <c r="K732" s="224"/>
      <c r="L732" s="224"/>
      <c r="M732" s="224"/>
      <c r="N732" s="224"/>
      <c r="O732" s="224"/>
    </row>
    <row r="733" spans="3:15" ht="14.7" thickTop="1" x14ac:dyDescent="0.55000000000000004">
      <c r="C733" s="124"/>
      <c r="H733" s="125"/>
      <c r="J733" s="224"/>
      <c r="K733" s="224"/>
      <c r="L733" s="224"/>
      <c r="M733" s="224"/>
      <c r="N733" s="224"/>
      <c r="O733" s="224"/>
    </row>
    <row r="734" spans="3:15" x14ac:dyDescent="0.55000000000000004">
      <c r="C734" s="124"/>
      <c r="H734" s="125"/>
      <c r="J734" s="224"/>
      <c r="K734" s="224"/>
      <c r="L734" s="224"/>
      <c r="M734" s="224"/>
      <c r="N734" s="224"/>
      <c r="O734" s="224"/>
    </row>
    <row r="735" spans="3:15" x14ac:dyDescent="0.55000000000000004">
      <c r="C735" s="124"/>
      <c r="H735" s="125"/>
      <c r="J735" s="224"/>
      <c r="K735" s="224"/>
      <c r="L735" s="224"/>
      <c r="M735" s="224"/>
      <c r="N735" s="224"/>
      <c r="O735" s="224"/>
    </row>
    <row r="736" spans="3:15" x14ac:dyDescent="0.55000000000000004">
      <c r="C736" s="124"/>
      <c r="H736" s="125"/>
      <c r="J736" s="224"/>
      <c r="K736" s="224"/>
      <c r="L736" s="224"/>
      <c r="M736" s="224"/>
      <c r="N736" s="224"/>
      <c r="O736" s="224"/>
    </row>
    <row r="737" spans="3:15" x14ac:dyDescent="0.55000000000000004">
      <c r="C737" s="124"/>
      <c r="H737" s="125"/>
      <c r="J737" s="232" t="s">
        <v>385</v>
      </c>
      <c r="K737" s="224"/>
      <c r="L737" s="224"/>
      <c r="M737" s="224"/>
      <c r="N737" s="224"/>
      <c r="O737" s="224"/>
    </row>
    <row r="738" spans="3:15" x14ac:dyDescent="0.55000000000000004">
      <c r="C738" s="124"/>
      <c r="H738" s="125"/>
      <c r="J738" s="110"/>
      <c r="K738" s="102" t="s">
        <v>390</v>
      </c>
      <c r="L738" s="102" t="s">
        <v>391</v>
      </c>
      <c r="M738" s="224"/>
      <c r="N738" s="224"/>
      <c r="O738" s="224"/>
    </row>
    <row r="739" spans="3:15" x14ac:dyDescent="0.55000000000000004">
      <c r="C739" s="124"/>
      <c r="H739" s="125"/>
      <c r="J739" s="110" t="s">
        <v>393</v>
      </c>
      <c r="K739" s="100">
        <f ca="1">E717/1000</f>
        <v>0</v>
      </c>
      <c r="L739" s="102"/>
      <c r="M739" s="224"/>
      <c r="N739" s="224"/>
      <c r="O739" s="224"/>
    </row>
    <row r="740" spans="3:15" x14ac:dyDescent="0.55000000000000004">
      <c r="C740" s="124"/>
      <c r="H740" s="125"/>
      <c r="J740" s="110" t="s">
        <v>249</v>
      </c>
      <c r="K740" s="100">
        <f ca="1">E718/1000</f>
        <v>0</v>
      </c>
      <c r="L740" s="110"/>
      <c r="M740" s="224"/>
      <c r="N740" s="224"/>
      <c r="O740" s="224"/>
    </row>
    <row r="741" spans="3:15" x14ac:dyDescent="0.55000000000000004">
      <c r="C741" s="124"/>
      <c r="H741" s="125"/>
      <c r="J741" s="110" t="s">
        <v>52</v>
      </c>
      <c r="K741" s="100">
        <f ca="1">E719/1000</f>
        <v>0</v>
      </c>
      <c r="L741" s="110"/>
      <c r="M741" s="224"/>
      <c r="N741" s="224"/>
      <c r="O741" s="224"/>
    </row>
    <row r="742" spans="3:15" x14ac:dyDescent="0.55000000000000004">
      <c r="C742" s="124"/>
      <c r="H742" s="125"/>
      <c r="J742" s="110" t="s">
        <v>471</v>
      </c>
      <c r="K742" s="100">
        <f>E722/1000</f>
        <v>0</v>
      </c>
      <c r="L742" s="110"/>
      <c r="M742" s="224"/>
      <c r="N742" s="224"/>
      <c r="O742" s="224"/>
    </row>
    <row r="743" spans="3:15" x14ac:dyDescent="0.55000000000000004">
      <c r="C743" s="124"/>
      <c r="H743" s="125"/>
      <c r="J743" s="110" t="s">
        <v>563</v>
      </c>
      <c r="K743" s="100"/>
      <c r="L743" s="101">
        <f ca="1">E732/1000</f>
        <v>0</v>
      </c>
      <c r="M743" s="224"/>
      <c r="N743" s="224"/>
      <c r="O743" s="224"/>
    </row>
    <row r="744" spans="3:15" x14ac:dyDescent="0.55000000000000004">
      <c r="C744" s="124"/>
      <c r="H744" s="125"/>
      <c r="J744" s="110" t="s">
        <v>564</v>
      </c>
      <c r="K744" s="100"/>
      <c r="L744" s="101">
        <f ca="1">E727/1000</f>
        <v>0</v>
      </c>
      <c r="M744" s="224"/>
      <c r="N744" s="224"/>
      <c r="O744" s="224"/>
    </row>
    <row r="745" spans="3:15" x14ac:dyDescent="0.55000000000000004">
      <c r="C745" s="124"/>
      <c r="H745" s="125"/>
      <c r="J745" s="110" t="s">
        <v>565</v>
      </c>
      <c r="K745" s="100"/>
      <c r="L745" s="101">
        <f ca="1">SUM(E724:E726)/1000</f>
        <v>0</v>
      </c>
      <c r="M745" s="224"/>
      <c r="N745" s="224"/>
      <c r="O745" s="224"/>
    </row>
    <row r="746" spans="3:15" x14ac:dyDescent="0.55000000000000004">
      <c r="C746" s="124"/>
      <c r="H746" s="125"/>
      <c r="J746" s="110" t="s">
        <v>566</v>
      </c>
      <c r="K746" s="100"/>
      <c r="L746" s="101">
        <f ca="1">E730/1000</f>
        <v>0</v>
      </c>
      <c r="M746" s="224"/>
      <c r="N746" s="224"/>
      <c r="O746" s="224"/>
    </row>
    <row r="747" spans="3:15" x14ac:dyDescent="0.55000000000000004">
      <c r="C747" s="124"/>
      <c r="H747" s="125"/>
      <c r="J747" s="224"/>
      <c r="K747" s="224"/>
      <c r="L747" s="224"/>
      <c r="M747" s="224"/>
      <c r="N747" s="224"/>
      <c r="O747" s="224"/>
    </row>
    <row r="748" spans="3:15" x14ac:dyDescent="0.55000000000000004">
      <c r="C748" s="124"/>
      <c r="H748" s="125"/>
      <c r="J748" s="224"/>
      <c r="K748" s="224"/>
      <c r="L748" s="224"/>
      <c r="M748" s="224"/>
      <c r="N748" s="224"/>
      <c r="O748" s="224"/>
    </row>
    <row r="749" spans="3:15" x14ac:dyDescent="0.55000000000000004">
      <c r="C749" s="124"/>
      <c r="H749" s="125"/>
      <c r="J749" s="224"/>
      <c r="K749" s="224"/>
      <c r="L749" s="224"/>
      <c r="M749" s="224"/>
      <c r="N749" s="224"/>
      <c r="O749" s="224"/>
    </row>
    <row r="750" spans="3:15" x14ac:dyDescent="0.55000000000000004">
      <c r="C750" s="124"/>
      <c r="H750" s="125"/>
      <c r="J750" s="224"/>
      <c r="K750" s="224"/>
      <c r="L750" s="224"/>
      <c r="M750" s="224"/>
      <c r="N750" s="224"/>
      <c r="O750" s="224"/>
    </row>
    <row r="751" spans="3:15" x14ac:dyDescent="0.55000000000000004">
      <c r="C751" s="124"/>
      <c r="E751" s="220" t="s">
        <v>250</v>
      </c>
      <c r="H751" s="125"/>
      <c r="J751" s="224"/>
      <c r="K751" s="224"/>
      <c r="L751" s="224"/>
      <c r="M751" s="224"/>
      <c r="N751" s="224"/>
      <c r="O751" s="224"/>
    </row>
    <row r="752" spans="3:15" x14ac:dyDescent="0.55000000000000004">
      <c r="C752" s="124"/>
      <c r="D752" t="s">
        <v>394</v>
      </c>
      <c r="E752" s="64">
        <f ca="1">VLOOKUP(D714,'2 Electricity'!$D$157:$M$176,10,FALSE)</f>
        <v>0</v>
      </c>
      <c r="H752" s="125"/>
      <c r="J752" s="224"/>
      <c r="K752" s="224"/>
      <c r="L752" s="224"/>
      <c r="M752" s="224"/>
      <c r="N752" s="224"/>
      <c r="O752" s="224"/>
    </row>
    <row r="753" spans="3:15" x14ac:dyDescent="0.55000000000000004">
      <c r="C753" s="124"/>
      <c r="D753" t="s">
        <v>395</v>
      </c>
      <c r="E753" s="64">
        <f ca="1">VLOOKUP(D714,'2 Electricity'!$D$157:$M$176,9,FALSE)</f>
        <v>0</v>
      </c>
      <c r="H753" s="125"/>
      <c r="J753" s="224"/>
      <c r="K753" s="224"/>
      <c r="L753" s="224"/>
      <c r="M753" s="224"/>
      <c r="N753" s="224"/>
      <c r="O753" s="224"/>
    </row>
    <row r="754" spans="3:15" x14ac:dyDescent="0.55000000000000004">
      <c r="C754" s="124"/>
      <c r="D754" t="s">
        <v>378</v>
      </c>
      <c r="E754" s="97">
        <f ca="1">IFERROR(IF(E722=0,E730,E722)/E720,0)</f>
        <v>0</v>
      </c>
      <c r="H754" s="125"/>
      <c r="J754" s="224"/>
      <c r="K754" s="224"/>
      <c r="L754" s="224"/>
      <c r="M754" s="224"/>
      <c r="N754" s="224"/>
      <c r="O754" s="224"/>
    </row>
    <row r="755" spans="3:15" x14ac:dyDescent="0.55000000000000004">
      <c r="C755" s="124"/>
      <c r="H755" s="125"/>
      <c r="J755" s="224"/>
      <c r="K755" s="224"/>
      <c r="L755" s="224"/>
      <c r="M755" s="224"/>
      <c r="N755" s="224"/>
      <c r="O755" s="224"/>
    </row>
    <row r="756" spans="3:15" x14ac:dyDescent="0.55000000000000004">
      <c r="C756" s="124"/>
      <c r="D756" t="s">
        <v>379</v>
      </c>
      <c r="E756" s="26">
        <f>'3 Electricity'!I646</f>
        <v>0</v>
      </c>
      <c r="H756" s="125"/>
      <c r="J756" s="224"/>
      <c r="K756" s="224"/>
      <c r="L756" s="224"/>
      <c r="M756" s="224"/>
      <c r="N756" s="224"/>
      <c r="O756" s="224"/>
    </row>
    <row r="757" spans="3:15" x14ac:dyDescent="0.55000000000000004">
      <c r="C757" s="124"/>
      <c r="D757" t="s">
        <v>380</v>
      </c>
      <c r="E757" s="97">
        <f ca="1">IFERROR('3 Electricity'!J646/'3 Electricity'!G646,0)</f>
        <v>0</v>
      </c>
      <c r="H757" s="125"/>
      <c r="J757" s="224"/>
      <c r="K757" s="224"/>
      <c r="L757" s="224"/>
      <c r="M757" s="224"/>
      <c r="N757" s="224"/>
      <c r="O757" s="224"/>
    </row>
    <row r="758" spans="3:15" x14ac:dyDescent="0.55000000000000004">
      <c r="C758" s="124"/>
      <c r="H758" s="125"/>
      <c r="J758" s="224"/>
      <c r="K758" s="224"/>
      <c r="L758" s="224"/>
      <c r="M758" s="224"/>
      <c r="N758" s="224"/>
      <c r="O758" s="224"/>
    </row>
    <row r="759" spans="3:15" x14ac:dyDescent="0.55000000000000004">
      <c r="C759" s="124"/>
      <c r="D759" s="1" t="s">
        <v>381</v>
      </c>
      <c r="H759" s="125"/>
      <c r="J759" s="224"/>
      <c r="K759" s="224"/>
      <c r="L759" s="224"/>
      <c r="M759" s="224"/>
      <c r="N759" s="224"/>
      <c r="O759" s="224"/>
    </row>
    <row r="760" spans="3:15" x14ac:dyDescent="0.55000000000000004">
      <c r="C760" s="124"/>
      <c r="D760" s="1" t="str">
        <f>'3 Electricity'!G654</f>
        <v xml:space="preserve">Annual </v>
      </c>
      <c r="H760" s="125"/>
      <c r="J760" s="224"/>
      <c r="K760" s="224"/>
      <c r="L760" s="224"/>
      <c r="M760" s="224"/>
      <c r="N760" s="224"/>
      <c r="O760" s="224"/>
    </row>
    <row r="761" spans="3:15" x14ac:dyDescent="0.55000000000000004">
      <c r="C761" s="124"/>
      <c r="H761" s="125"/>
      <c r="J761" s="224"/>
      <c r="K761" s="224"/>
      <c r="L761" s="224"/>
      <c r="M761" s="224"/>
      <c r="N761" s="224"/>
      <c r="O761" s="224"/>
    </row>
    <row r="762" spans="3:15" x14ac:dyDescent="0.55000000000000004">
      <c r="C762" s="124"/>
      <c r="H762" s="125"/>
      <c r="J762" s="224"/>
      <c r="K762" s="224"/>
      <c r="L762" s="224"/>
      <c r="M762" s="224"/>
      <c r="N762" s="224" t="s">
        <v>89</v>
      </c>
      <c r="O762" s="224"/>
    </row>
    <row r="763" spans="3:15" x14ac:dyDescent="0.55000000000000004">
      <c r="C763" s="124"/>
      <c r="H763" s="125"/>
      <c r="J763" s="224"/>
      <c r="K763" s="224"/>
      <c r="L763" s="224"/>
      <c r="M763" s="224"/>
      <c r="N763" s="224"/>
      <c r="O763" s="224"/>
    </row>
    <row r="764" spans="3:15" ht="28.8" x14ac:dyDescent="0.55000000000000004">
      <c r="C764" s="124"/>
      <c r="H764" s="125"/>
      <c r="J764" s="229" t="s">
        <v>383</v>
      </c>
      <c r="K764" s="229" t="s">
        <v>382</v>
      </c>
      <c r="L764" s="108" t="str">
        <f>IF(D760=N762,"Annual Tariff","Low Season Tariff")</f>
        <v>Annual Tariff</v>
      </c>
      <c r="M764" s="109" t="str">
        <f>IF(D760=N762,"","High Season Tariff")</f>
        <v/>
      </c>
      <c r="N764" s="108" t="s">
        <v>392</v>
      </c>
      <c r="O764" s="229" t="s">
        <v>580</v>
      </c>
    </row>
    <row r="765" spans="3:15" x14ac:dyDescent="0.55000000000000004">
      <c r="C765" s="124"/>
      <c r="H765" s="125"/>
      <c r="J765" s="102">
        <v>1</v>
      </c>
      <c r="K765" s="102">
        <f>IFERROR(IF('3 Electricity'!$G$654='3 Electricity'!$V$654,VLOOKUP('Electricity report'!J765,'3 Electricity'!$F$665:$K$669,3,FALSE),VLOOKUP('Electricity report'!J765,'3 Electricity'!$F$684:$N$688,3,FALSE)),0)</f>
        <v>0</v>
      </c>
      <c r="L765" s="103">
        <f ca="1">IFERROR(IF('3 Electricity'!$G$654='3 Electricity'!$V$654,VLOOKUP('Electricity report'!J765,'3 Electricity'!$F$665:$K$669,6,FALSE),VLOOKUP('Electricity report'!J765,'3 Electricity'!$F$684:$N$688,9,FALSE)),0)</f>
        <v>0</v>
      </c>
      <c r="M765" s="105" t="str">
        <f>IF($D$760=$N$762,"",VLOOKUP(J765,'3 Electricity'!$F$684:$N$688,8,FALSE))</f>
        <v/>
      </c>
      <c r="N765" s="107">
        <f ca="1">$E$752</f>
        <v>0</v>
      </c>
      <c r="O765" s="105">
        <f ca="1">IFERROR('3 Electricity'!J638/'3 Electricity'!H638,0)</f>
        <v>0</v>
      </c>
    </row>
    <row r="766" spans="3:15" x14ac:dyDescent="0.55000000000000004">
      <c r="C766" s="124"/>
      <c r="H766" s="125"/>
      <c r="J766" s="102">
        <v>2</v>
      </c>
      <c r="K766" s="102">
        <f>IFERROR(IF('3 Electricity'!$G$654='3 Electricity'!$V$654,VLOOKUP('Electricity report'!J766,'3 Electricity'!$F$665:$K$669,3,FALSE),VLOOKUP('Electricity report'!J766,'3 Electricity'!$F$684:$N$688,3,FALSE)),0)</f>
        <v>0</v>
      </c>
      <c r="L766" s="103">
        <f ca="1">IFERROR(IF('3 Electricity'!$G$654='3 Electricity'!$V$654,VLOOKUP('Electricity report'!J766,'3 Electricity'!$F$665:$K$669,6,FALSE),VLOOKUP('Electricity report'!J766,'3 Electricity'!$F$684:$N$688,9,FALSE)),0)</f>
        <v>0</v>
      </c>
      <c r="M766" s="105" t="str">
        <f>IF($D$760=$N$762,"",VLOOKUP(J766,'3 Electricity'!$F$684:$N$688,8,FALSE))</f>
        <v/>
      </c>
      <c r="N766" s="107">
        <f ca="1">$E$752</f>
        <v>0</v>
      </c>
      <c r="O766" s="107">
        <f ca="1">$O$765</f>
        <v>0</v>
      </c>
    </row>
    <row r="767" spans="3:15" x14ac:dyDescent="0.55000000000000004">
      <c r="C767" s="124"/>
      <c r="H767" s="125"/>
      <c r="J767" s="102">
        <v>3</v>
      </c>
      <c r="K767" s="102">
        <f>IFERROR(IF('3 Electricity'!$G$654='3 Electricity'!$V$654,VLOOKUP('Electricity report'!J767,'3 Electricity'!$F$665:$K$669,3,FALSE),VLOOKUP('Electricity report'!J767,'3 Electricity'!$F$684:$N$688,3,FALSE)),0)</f>
        <v>0</v>
      </c>
      <c r="L767" s="103">
        <f ca="1">IFERROR(IF('3 Electricity'!$G$654='3 Electricity'!$V$654,VLOOKUP('Electricity report'!J767,'3 Electricity'!$F$665:$K$669,6,FALSE),VLOOKUP('Electricity report'!J767,'3 Electricity'!$F$684:$N$688,9,FALSE)),0)</f>
        <v>0</v>
      </c>
      <c r="M767" s="105" t="str">
        <f>IF($D$760=$N$762,"",VLOOKUP(J767,'3 Electricity'!$F$684:$N$688,8,FALSE))</f>
        <v/>
      </c>
      <c r="N767" s="107">
        <f ca="1">$E$752</f>
        <v>0</v>
      </c>
      <c r="O767" s="107">
        <f ca="1">$O$765</f>
        <v>0</v>
      </c>
    </row>
    <row r="768" spans="3:15" x14ac:dyDescent="0.55000000000000004">
      <c r="C768" s="124"/>
      <c r="H768" s="125"/>
      <c r="J768" s="102">
        <v>4</v>
      </c>
      <c r="K768" s="102">
        <f>IFERROR(IF('3 Electricity'!$G$654='3 Electricity'!$V$654,VLOOKUP('Electricity report'!J768,'3 Electricity'!$F$665:$K$669,3,FALSE),VLOOKUP('Electricity report'!J768,'3 Electricity'!$F$684:$N$688,3,FALSE)),0)</f>
        <v>0</v>
      </c>
      <c r="L768" s="103">
        <f ca="1">IFERROR(IF('3 Electricity'!$G$654='3 Electricity'!$V$654,VLOOKUP('Electricity report'!J768,'3 Electricity'!$F$665:$K$669,6,FALSE),VLOOKUP('Electricity report'!J768,'3 Electricity'!$F$684:$N$688,9,FALSE)),0)</f>
        <v>0</v>
      </c>
      <c r="M768" s="105" t="str">
        <f>IF($D$760=$N$762,"",VLOOKUP(J768,'3 Electricity'!$F$684:$N$688,8,FALSE))</f>
        <v/>
      </c>
      <c r="N768" s="107">
        <f ca="1">$E$752</f>
        <v>0</v>
      </c>
      <c r="O768" s="107">
        <f ca="1">$O$765</f>
        <v>0</v>
      </c>
    </row>
    <row r="769" spans="3:15" x14ac:dyDescent="0.55000000000000004">
      <c r="C769" s="124"/>
      <c r="H769" s="125"/>
      <c r="J769" s="102">
        <v>5</v>
      </c>
      <c r="K769" s="102" t="str">
        <f>IFERROR(IF('3 Electricity'!$G$654='3 Electricity'!$V$654,VLOOKUP('Electricity report'!J769,'3 Electricity'!$F$665:$K$669,3,FALSE),VLOOKUP('Electricity report'!J769,'3 Electricity'!$F$684:$N$688,3,FALSE)),0)</f>
        <v>More</v>
      </c>
      <c r="L769" s="103">
        <f ca="1">IFERROR(IF('3 Electricity'!$G$654='3 Electricity'!$V$654,VLOOKUP('Electricity report'!J769,'3 Electricity'!$F$665:$K$669,6,FALSE),VLOOKUP('Electricity report'!J769,'3 Electricity'!$F$684:$N$688,9,FALSE)),0)</f>
        <v>0</v>
      </c>
      <c r="M769" s="105" t="str">
        <f>IF($D$760=$N$762,"",VLOOKUP(J769,'3 Electricity'!$F$684:$N$688,8,FALSE))</f>
        <v/>
      </c>
      <c r="N769" s="107">
        <f ca="1">$E$752</f>
        <v>0</v>
      </c>
      <c r="O769" s="107">
        <f ca="1">$O$765</f>
        <v>0</v>
      </c>
    </row>
    <row r="770" spans="3:15" x14ac:dyDescent="0.55000000000000004">
      <c r="C770" s="124"/>
      <c r="H770" s="125"/>
      <c r="J770" s="224"/>
      <c r="K770" s="224"/>
      <c r="L770" s="224"/>
      <c r="M770" s="224"/>
      <c r="N770" s="224"/>
      <c r="O770" s="224"/>
    </row>
    <row r="771" spans="3:15" x14ac:dyDescent="0.55000000000000004">
      <c r="C771" s="124"/>
      <c r="H771" s="125"/>
      <c r="J771" s="224"/>
      <c r="K771" s="224"/>
      <c r="L771" s="224"/>
      <c r="M771" s="224"/>
      <c r="N771" s="224"/>
      <c r="O771" s="224"/>
    </row>
    <row r="772" spans="3:15" x14ac:dyDescent="0.55000000000000004">
      <c r="C772" s="124"/>
      <c r="H772" s="125"/>
      <c r="J772" s="224"/>
      <c r="K772" s="224"/>
      <c r="L772" s="224"/>
      <c r="M772" s="224"/>
      <c r="N772" s="224"/>
      <c r="O772" s="224"/>
    </row>
    <row r="773" spans="3:15" x14ac:dyDescent="0.55000000000000004">
      <c r="C773" s="124"/>
      <c r="H773" s="125"/>
      <c r="J773" s="224"/>
      <c r="K773" s="224"/>
      <c r="L773" s="224"/>
      <c r="M773" s="224"/>
      <c r="N773" s="224"/>
      <c r="O773" s="224"/>
    </row>
    <row r="774" spans="3:15" x14ac:dyDescent="0.55000000000000004">
      <c r="C774" s="124"/>
      <c r="H774" s="125"/>
      <c r="J774" s="224"/>
      <c r="K774" s="224"/>
      <c r="L774" s="224"/>
      <c r="M774" s="224"/>
      <c r="N774" s="224"/>
      <c r="O774" s="224"/>
    </row>
    <row r="775" spans="3:15" x14ac:dyDescent="0.55000000000000004">
      <c r="C775" s="124"/>
      <c r="H775" s="125"/>
      <c r="J775" s="224"/>
      <c r="K775" s="224"/>
      <c r="L775" s="224"/>
      <c r="M775" s="224"/>
      <c r="N775" s="224"/>
      <c r="O775" s="224"/>
    </row>
    <row r="776" spans="3:15" x14ac:dyDescent="0.55000000000000004">
      <c r="C776" s="124"/>
      <c r="H776" s="125"/>
      <c r="J776" s="224"/>
      <c r="K776" s="224"/>
      <c r="L776" s="224"/>
      <c r="M776" s="224"/>
      <c r="N776" s="224"/>
      <c r="O776" s="224"/>
    </row>
    <row r="777" spans="3:15" x14ac:dyDescent="0.55000000000000004">
      <c r="C777" s="124"/>
      <c r="H777" s="125"/>
      <c r="J777" s="224"/>
      <c r="K777" s="224"/>
      <c r="L777" s="224"/>
      <c r="M777" s="224"/>
      <c r="N777" s="224"/>
      <c r="O777" s="224"/>
    </row>
    <row r="778" spans="3:15" x14ac:dyDescent="0.55000000000000004">
      <c r="C778" s="124"/>
      <c r="H778" s="125"/>
      <c r="J778" s="224"/>
      <c r="K778" s="224"/>
      <c r="L778" s="224"/>
      <c r="M778" s="224"/>
      <c r="N778" s="224"/>
      <c r="O778" s="224"/>
    </row>
    <row r="779" spans="3:15" x14ac:dyDescent="0.55000000000000004">
      <c r="C779" s="124"/>
      <c r="H779" s="125"/>
      <c r="J779" s="224"/>
      <c r="K779" s="224"/>
      <c r="L779" s="224"/>
      <c r="M779" s="224"/>
      <c r="N779" s="224"/>
      <c r="O779" s="224"/>
    </row>
    <row r="780" spans="3:15" ht="14.7" thickBot="1" x14ac:dyDescent="0.6">
      <c r="C780" s="130"/>
      <c r="D780" s="131"/>
      <c r="E780" s="131"/>
      <c r="F780" s="131"/>
      <c r="G780" s="131"/>
      <c r="H780" s="132"/>
      <c r="J780" s="224"/>
      <c r="K780" s="224"/>
      <c r="L780" s="224"/>
      <c r="M780" s="224"/>
      <c r="N780" s="224"/>
      <c r="O780" s="224"/>
    </row>
    <row r="781" spans="3:15" x14ac:dyDescent="0.55000000000000004">
      <c r="J781" s="224"/>
      <c r="K781" s="224"/>
      <c r="L781" s="224"/>
      <c r="M781" s="224"/>
      <c r="N781" s="224"/>
      <c r="O781" s="224"/>
    </row>
    <row r="782" spans="3:15" ht="14.7" thickBot="1" x14ac:dyDescent="0.6">
      <c r="J782" s="224"/>
      <c r="K782" s="224"/>
      <c r="L782" s="224"/>
      <c r="M782" s="224"/>
      <c r="N782" s="224"/>
      <c r="O782" s="224"/>
    </row>
    <row r="783" spans="3:15" x14ac:dyDescent="0.55000000000000004">
      <c r="C783" s="121"/>
      <c r="D783" s="122"/>
      <c r="E783" s="122"/>
      <c r="F783" s="122"/>
      <c r="G783" s="122"/>
      <c r="H783" s="123"/>
      <c r="J783" s="224"/>
      <c r="K783" s="224"/>
      <c r="L783" s="224"/>
      <c r="M783" s="224"/>
      <c r="N783" s="224"/>
      <c r="O783" s="224"/>
    </row>
    <row r="784" spans="3:15" ht="15.6" x14ac:dyDescent="0.6">
      <c r="C784" s="124"/>
      <c r="D784" s="98">
        <f>'2 Customer data'!D104</f>
        <v>0</v>
      </c>
      <c r="H784" s="125"/>
      <c r="J784" s="224"/>
      <c r="K784" s="224"/>
      <c r="L784" s="224"/>
      <c r="M784" s="224"/>
      <c r="N784" s="224"/>
      <c r="O784" s="224"/>
    </row>
    <row r="785" spans="3:15" x14ac:dyDescent="0.55000000000000004">
      <c r="C785" s="124"/>
      <c r="H785" s="125"/>
      <c r="J785" s="224"/>
      <c r="K785" s="224"/>
      <c r="L785" s="224"/>
      <c r="M785" s="224"/>
      <c r="N785" s="224"/>
      <c r="O785" s="224"/>
    </row>
    <row r="786" spans="3:15" x14ac:dyDescent="0.55000000000000004">
      <c r="C786" s="124"/>
      <c r="E786" s="220" t="s">
        <v>250</v>
      </c>
      <c r="H786" s="125"/>
      <c r="J786" s="224"/>
      <c r="K786" s="224"/>
      <c r="L786" s="224"/>
      <c r="M786" s="224"/>
      <c r="N786" s="224"/>
      <c r="O786" s="224"/>
    </row>
    <row r="787" spans="3:15" x14ac:dyDescent="0.55000000000000004">
      <c r="C787" s="124"/>
      <c r="D787" t="s">
        <v>393</v>
      </c>
      <c r="E787" s="26">
        <f ca="1">VLOOKUP(D784,'2 Electricity'!$D$21:$L$40,6,FALSE)</f>
        <v>0</v>
      </c>
      <c r="H787" s="125"/>
      <c r="J787" s="224"/>
      <c r="K787" s="224"/>
      <c r="L787" s="224"/>
      <c r="M787" s="224"/>
      <c r="N787" s="224"/>
      <c r="O787" s="224"/>
    </row>
    <row r="788" spans="3:15" x14ac:dyDescent="0.55000000000000004">
      <c r="C788" s="124"/>
      <c r="D788" t="s">
        <v>249</v>
      </c>
      <c r="E788" s="99">
        <f ca="1">VLOOKUP(D784,'2 Electricity'!$D$21:$L$40,7,FALSE)</f>
        <v>0</v>
      </c>
      <c r="H788" s="125"/>
      <c r="J788" s="224"/>
      <c r="K788" s="224"/>
      <c r="L788" s="224"/>
      <c r="M788" s="224"/>
      <c r="N788" s="224"/>
      <c r="O788" s="224"/>
    </row>
    <row r="789" spans="3:15" x14ac:dyDescent="0.55000000000000004">
      <c r="C789" s="124"/>
      <c r="D789" t="s">
        <v>52</v>
      </c>
      <c r="E789" s="26">
        <f ca="1">VLOOKUP(D784,'2 Electricity'!$D$21:$L$40,8,FALSE)</f>
        <v>0</v>
      </c>
      <c r="H789" s="125"/>
      <c r="J789" s="224"/>
      <c r="K789" s="224"/>
      <c r="L789" s="224"/>
      <c r="M789" s="224"/>
      <c r="N789" s="224"/>
      <c r="O789" s="224"/>
    </row>
    <row r="790" spans="3:15" ht="14.7" thickBot="1" x14ac:dyDescent="0.6">
      <c r="C790" s="124"/>
      <c r="D790" s="1" t="s">
        <v>39</v>
      </c>
      <c r="E790" s="37">
        <f ca="1">VLOOKUP(D784,'2 Electricity'!D$21:L$40,9,FALSE)</f>
        <v>0</v>
      </c>
      <c r="H790" s="125"/>
      <c r="J790" s="224"/>
      <c r="K790" s="224"/>
      <c r="L790" s="224"/>
      <c r="M790" s="224"/>
      <c r="N790" s="224"/>
      <c r="O790" s="224"/>
    </row>
    <row r="791" spans="3:15" ht="14.7" thickTop="1" x14ac:dyDescent="0.55000000000000004">
      <c r="C791" s="124"/>
      <c r="H791" s="125"/>
      <c r="J791" s="224"/>
      <c r="K791" s="224"/>
      <c r="L791" s="224"/>
      <c r="M791" s="224"/>
      <c r="N791" s="224"/>
      <c r="O791" s="224"/>
    </row>
    <row r="792" spans="3:15" x14ac:dyDescent="0.55000000000000004">
      <c r="C792" s="124"/>
      <c r="D792" t="s">
        <v>189</v>
      </c>
      <c r="E792" s="26">
        <f>IFERROR(IF(VLOOKUP(D784,'2 Electricity'!$D$126:$K$145,7,FALSE)="",VLOOKUP('2 Electricity'!$D$126:$K$145,6,FALSE),VLOOKUP(D784,'2 Electricity'!$D$126:$K$145,7,FALSE))+VLOOKUP(D784,'2 Electricity'!$D$157:$J$176,5,FALSE),0)</f>
        <v>0</v>
      </c>
      <c r="H792" s="125"/>
      <c r="J792" s="224"/>
      <c r="K792" s="224"/>
      <c r="L792" s="224"/>
      <c r="M792" s="224"/>
      <c r="N792" s="224"/>
      <c r="O792" s="224"/>
    </row>
    <row r="793" spans="3:15" x14ac:dyDescent="0.55000000000000004">
      <c r="C793" s="124"/>
      <c r="H793" s="125"/>
      <c r="J793" s="224"/>
      <c r="K793" s="224"/>
      <c r="L793" s="224"/>
      <c r="M793" s="224"/>
      <c r="N793" s="224"/>
      <c r="O793" s="224"/>
    </row>
    <row r="794" spans="3:15" x14ac:dyDescent="0.55000000000000004">
      <c r="C794" s="124"/>
      <c r="D794" t="s">
        <v>371</v>
      </c>
      <c r="E794" s="64">
        <f ca="1">IF(VLOOKUP(D784,'2 Electricity'!$D$56:$M$75,5,FALSE)="",VLOOKUP(D784,'2 Electricity'!$D$56:$M$75,4,FALSE),VLOOKUP(D784,'2 Electricity'!$D$56:$M$75,5,FALSE))</f>
        <v>0</v>
      </c>
      <c r="H794" s="125"/>
      <c r="J794" s="224"/>
      <c r="K794" s="224"/>
      <c r="L794" s="224"/>
      <c r="M794" s="224"/>
      <c r="N794" s="224"/>
      <c r="O794" s="224"/>
    </row>
    <row r="795" spans="3:15" x14ac:dyDescent="0.55000000000000004">
      <c r="C795" s="124"/>
      <c r="D795" t="s">
        <v>372</v>
      </c>
      <c r="E795" s="26">
        <f ca="1">IF(VLOOKUP(D784,'2 Electricity'!$D$56:$M$75,7,FALSE)="",VLOOKUP(D784,'2 Electricity'!$D$56:$M$75,6,FALSE),VLOOKUP(D784,'2 Electricity'!$D$56:$M$75,7,FALSE))</f>
        <v>0</v>
      </c>
      <c r="H795" s="125"/>
      <c r="J795" s="224"/>
      <c r="K795" s="224"/>
      <c r="L795" s="224"/>
      <c r="M795" s="224"/>
      <c r="N795" s="224"/>
      <c r="O795" s="224"/>
    </row>
    <row r="796" spans="3:15" x14ac:dyDescent="0.55000000000000004">
      <c r="C796" s="124"/>
      <c r="D796" t="s">
        <v>373</v>
      </c>
      <c r="E796" s="26">
        <f ca="1">IF(VLOOKUP(D784,'2 Electricity'!$D$56:$M$75,9,FALSE)="",VLOOKUP(D784,'2 Electricity'!$D$56:$M$75,8,FALSE),VLOOKUP(D784,'2 Electricity'!$D$56:$M$75,9,FALSE))</f>
        <v>0</v>
      </c>
      <c r="H796" s="125"/>
      <c r="J796" s="224"/>
      <c r="K796" s="224"/>
      <c r="L796" s="224"/>
      <c r="M796" s="224"/>
      <c r="N796" s="224"/>
      <c r="O796" s="224"/>
    </row>
    <row r="797" spans="3:15" x14ac:dyDescent="0.55000000000000004">
      <c r="C797" s="124"/>
      <c r="D797" t="s">
        <v>374</v>
      </c>
      <c r="E797" s="26">
        <f ca="1">IF(VLOOKUP(D784,'2 Electricity'!$D$92:$I$111,5,FALSE)="",VLOOKUP(D784,'2 Electricity'!$D$92:$I$111,4,FALSE),VLOOKUP(D784,'2 Electricity'!$D$92:$I$111,5,FALSE))</f>
        <v>0</v>
      </c>
      <c r="H797" s="125"/>
      <c r="J797" s="224"/>
      <c r="K797" s="224"/>
      <c r="L797" s="224"/>
      <c r="M797" s="224"/>
      <c r="N797" s="224"/>
      <c r="O797" s="224"/>
    </row>
    <row r="798" spans="3:15" ht="14.7" thickBot="1" x14ac:dyDescent="0.6">
      <c r="C798" s="124"/>
      <c r="D798" s="1" t="s">
        <v>145</v>
      </c>
      <c r="E798" s="37">
        <f ca="1">SUM(E794:E797)</f>
        <v>0</v>
      </c>
      <c r="H798" s="125"/>
      <c r="J798" s="224"/>
      <c r="K798" s="224"/>
      <c r="L798" s="224"/>
      <c r="M798" s="224"/>
      <c r="N798" s="224"/>
      <c r="O798" s="224"/>
    </row>
    <row r="799" spans="3:15" ht="14.7" thickTop="1" x14ac:dyDescent="0.55000000000000004">
      <c r="C799" s="124"/>
      <c r="D799" s="1"/>
      <c r="E799" s="15"/>
      <c r="H799" s="125"/>
      <c r="J799" s="224"/>
      <c r="K799" s="224"/>
      <c r="L799" s="224"/>
      <c r="M799" s="224"/>
      <c r="N799" s="224"/>
      <c r="O799" s="224"/>
    </row>
    <row r="800" spans="3:15" x14ac:dyDescent="0.55000000000000004">
      <c r="C800" s="124"/>
      <c r="D800" t="s">
        <v>384</v>
      </c>
      <c r="E800" s="26">
        <f ca="1">IF(VLOOKUP(D784,'2 Electricity'!$D$126:$K$145,5,FALSE)="",VLOOKUP(D784,'2 Electricity'!$D$126:$K$145,4,FALSE),VLOOKUP(D784,'2 Electricity'!$D$126:$K$145,5,FALSE))+VLOOKUP(D784,'2 Electricity'!$D$157:$J$176,7,FALSE)</f>
        <v>0</v>
      </c>
      <c r="H800" s="125"/>
      <c r="J800" s="224"/>
      <c r="K800" s="224"/>
      <c r="L800" s="224"/>
      <c r="M800" s="224"/>
      <c r="N800" s="224"/>
      <c r="O800" s="224"/>
    </row>
    <row r="801" spans="3:15" x14ac:dyDescent="0.55000000000000004">
      <c r="C801" s="124"/>
      <c r="H801" s="125"/>
      <c r="J801" s="224"/>
      <c r="K801" s="224"/>
      <c r="L801" s="224"/>
      <c r="M801" s="224"/>
      <c r="N801" s="224"/>
      <c r="O801" s="224"/>
    </row>
    <row r="802" spans="3:15" ht="14.7" thickBot="1" x14ac:dyDescent="0.6">
      <c r="C802" s="124"/>
      <c r="D802" s="1" t="s">
        <v>375</v>
      </c>
      <c r="E802" s="37">
        <f ca="1">VLOOKUP(D784,'2 Electricity'!$D$157:$K$176,8,FALSE)</f>
        <v>0</v>
      </c>
      <c r="H802" s="125"/>
      <c r="J802" s="224"/>
      <c r="K802" s="224"/>
      <c r="L802" s="224"/>
      <c r="M802" s="224"/>
      <c r="N802" s="224"/>
      <c r="O802" s="224"/>
    </row>
    <row r="803" spans="3:15" ht="14.7" thickTop="1" x14ac:dyDescent="0.55000000000000004">
      <c r="C803" s="124"/>
      <c r="H803" s="125"/>
      <c r="J803" s="224"/>
      <c r="K803" s="224"/>
      <c r="L803" s="224"/>
      <c r="M803" s="224"/>
      <c r="N803" s="224"/>
      <c r="O803" s="224"/>
    </row>
    <row r="804" spans="3:15" x14ac:dyDescent="0.55000000000000004">
      <c r="C804" s="124"/>
      <c r="H804" s="125"/>
      <c r="J804" s="224"/>
      <c r="K804" s="224"/>
      <c r="L804" s="224"/>
      <c r="M804" s="224"/>
      <c r="N804" s="224"/>
      <c r="O804" s="224"/>
    </row>
    <row r="805" spans="3:15" x14ac:dyDescent="0.55000000000000004">
      <c r="C805" s="124"/>
      <c r="H805" s="125"/>
      <c r="J805" s="224"/>
      <c r="K805" s="224"/>
      <c r="L805" s="224"/>
      <c r="M805" s="224"/>
      <c r="N805" s="224"/>
      <c r="O805" s="224"/>
    </row>
    <row r="806" spans="3:15" x14ac:dyDescent="0.55000000000000004">
      <c r="C806" s="124"/>
      <c r="H806" s="125"/>
      <c r="J806" s="232" t="s">
        <v>385</v>
      </c>
      <c r="K806" s="224"/>
      <c r="L806" s="224"/>
      <c r="M806" s="224"/>
      <c r="N806" s="224"/>
      <c r="O806" s="224"/>
    </row>
    <row r="807" spans="3:15" x14ac:dyDescent="0.55000000000000004">
      <c r="C807" s="124"/>
      <c r="H807" s="125"/>
      <c r="J807" s="110"/>
      <c r="K807" s="102" t="s">
        <v>390</v>
      </c>
      <c r="L807" s="102" t="s">
        <v>391</v>
      </c>
      <c r="M807" s="224"/>
      <c r="N807" s="224"/>
      <c r="O807" s="224"/>
    </row>
    <row r="808" spans="3:15" x14ac:dyDescent="0.55000000000000004">
      <c r="C808" s="124"/>
      <c r="H808" s="125"/>
      <c r="J808" s="110" t="s">
        <v>393</v>
      </c>
      <c r="K808" s="100">
        <f ca="1">E787/1000</f>
        <v>0</v>
      </c>
      <c r="L808" s="102"/>
      <c r="M808" s="224"/>
      <c r="N808" s="224"/>
      <c r="O808" s="224"/>
    </row>
    <row r="809" spans="3:15" x14ac:dyDescent="0.55000000000000004">
      <c r="C809" s="124"/>
      <c r="H809" s="125"/>
      <c r="J809" s="110" t="s">
        <v>249</v>
      </c>
      <c r="K809" s="100">
        <f ca="1">E788/1000</f>
        <v>0</v>
      </c>
      <c r="L809" s="110"/>
      <c r="M809" s="224"/>
      <c r="N809" s="224"/>
      <c r="O809" s="224"/>
    </row>
    <row r="810" spans="3:15" x14ac:dyDescent="0.55000000000000004">
      <c r="C810" s="124"/>
      <c r="H810" s="125"/>
      <c r="J810" s="110" t="s">
        <v>52</v>
      </c>
      <c r="K810" s="100">
        <f ca="1">E789/1000</f>
        <v>0</v>
      </c>
      <c r="L810" s="110"/>
      <c r="M810" s="224"/>
      <c r="N810" s="224"/>
      <c r="O810" s="224"/>
    </row>
    <row r="811" spans="3:15" x14ac:dyDescent="0.55000000000000004">
      <c r="C811" s="124"/>
      <c r="H811" s="125"/>
      <c r="J811" s="110" t="s">
        <v>471</v>
      </c>
      <c r="K811" s="100">
        <f>E792/1000</f>
        <v>0</v>
      </c>
      <c r="L811" s="110"/>
      <c r="M811" s="224"/>
      <c r="N811" s="224"/>
      <c r="O811" s="224"/>
    </row>
    <row r="812" spans="3:15" x14ac:dyDescent="0.55000000000000004">
      <c r="C812" s="124"/>
      <c r="H812" s="125"/>
      <c r="J812" s="110" t="s">
        <v>563</v>
      </c>
      <c r="K812" s="100"/>
      <c r="L812" s="101">
        <f ca="1">E802/1000</f>
        <v>0</v>
      </c>
      <c r="M812" s="224"/>
      <c r="N812" s="224"/>
      <c r="O812" s="224"/>
    </row>
    <row r="813" spans="3:15" x14ac:dyDescent="0.55000000000000004">
      <c r="C813" s="124"/>
      <c r="H813" s="125"/>
      <c r="J813" s="110" t="s">
        <v>564</v>
      </c>
      <c r="K813" s="100"/>
      <c r="L813" s="101">
        <f ca="1">E797/1000</f>
        <v>0</v>
      </c>
      <c r="M813" s="224"/>
      <c r="N813" s="224"/>
      <c r="O813" s="224"/>
    </row>
    <row r="814" spans="3:15" x14ac:dyDescent="0.55000000000000004">
      <c r="C814" s="124"/>
      <c r="H814" s="125"/>
      <c r="J814" s="110" t="s">
        <v>565</v>
      </c>
      <c r="K814" s="100"/>
      <c r="L814" s="101">
        <f ca="1">SUM(E794:E796)/1000</f>
        <v>0</v>
      </c>
      <c r="M814" s="224"/>
      <c r="N814" s="224"/>
      <c r="O814" s="224"/>
    </row>
    <row r="815" spans="3:15" x14ac:dyDescent="0.55000000000000004">
      <c r="C815" s="124"/>
      <c r="H815" s="125"/>
      <c r="J815" s="110" t="s">
        <v>566</v>
      </c>
      <c r="K815" s="100"/>
      <c r="L815" s="101">
        <f ca="1">E800/1000</f>
        <v>0</v>
      </c>
      <c r="M815" s="224"/>
      <c r="N815" s="224"/>
      <c r="O815" s="224"/>
    </row>
    <row r="816" spans="3:15" x14ac:dyDescent="0.55000000000000004">
      <c r="C816" s="124"/>
      <c r="H816" s="125"/>
      <c r="J816" s="224"/>
      <c r="K816" s="224"/>
      <c r="L816" s="224"/>
      <c r="M816" s="224"/>
      <c r="N816" s="224"/>
      <c r="O816" s="224"/>
    </row>
    <row r="817" spans="3:15" x14ac:dyDescent="0.55000000000000004">
      <c r="C817" s="124"/>
      <c r="H817" s="125"/>
      <c r="J817" s="224"/>
      <c r="K817" s="224"/>
      <c r="L817" s="224"/>
      <c r="M817" s="224"/>
      <c r="N817" s="224"/>
      <c r="O817" s="224"/>
    </row>
    <row r="818" spans="3:15" x14ac:dyDescent="0.55000000000000004">
      <c r="C818" s="124"/>
      <c r="H818" s="125"/>
      <c r="J818" s="224"/>
      <c r="K818" s="224"/>
      <c r="L818" s="224"/>
      <c r="M818" s="224"/>
      <c r="N818" s="224"/>
      <c r="O818" s="224"/>
    </row>
    <row r="819" spans="3:15" x14ac:dyDescent="0.55000000000000004">
      <c r="C819" s="124"/>
      <c r="H819" s="125"/>
      <c r="J819" s="224"/>
      <c r="K819" s="224"/>
      <c r="L819" s="224"/>
      <c r="M819" s="224"/>
      <c r="N819" s="224"/>
      <c r="O819" s="224"/>
    </row>
    <row r="820" spans="3:15" x14ac:dyDescent="0.55000000000000004">
      <c r="C820" s="124"/>
      <c r="H820" s="125"/>
      <c r="J820" s="224"/>
      <c r="K820" s="224"/>
      <c r="L820" s="224"/>
      <c r="M820" s="224"/>
      <c r="N820" s="224"/>
      <c r="O820" s="224"/>
    </row>
    <row r="821" spans="3:15" x14ac:dyDescent="0.55000000000000004">
      <c r="C821" s="124"/>
      <c r="E821" s="220" t="s">
        <v>250</v>
      </c>
      <c r="H821" s="125"/>
      <c r="J821" s="224"/>
      <c r="K821" s="224"/>
      <c r="L821" s="224"/>
      <c r="M821" s="224"/>
      <c r="N821" s="224"/>
      <c r="O821" s="224"/>
    </row>
    <row r="822" spans="3:15" x14ac:dyDescent="0.55000000000000004">
      <c r="C822" s="124"/>
      <c r="D822" t="s">
        <v>394</v>
      </c>
      <c r="E822" s="64">
        <f ca="1">VLOOKUP(D784,'2 Electricity'!$D$157:$M$176,10,FALSE)</f>
        <v>0</v>
      </c>
      <c r="H822" s="125"/>
      <c r="J822" s="224"/>
      <c r="K822" s="224"/>
      <c r="L822" s="224"/>
      <c r="M822" s="224"/>
      <c r="N822" s="224"/>
      <c r="O822" s="224"/>
    </row>
    <row r="823" spans="3:15" x14ac:dyDescent="0.55000000000000004">
      <c r="C823" s="124"/>
      <c r="D823" t="s">
        <v>395</v>
      </c>
      <c r="E823" s="64">
        <f ca="1">VLOOKUP(D784,'2 Electricity'!$D$157:$M$176,9,FALSE)</f>
        <v>0</v>
      </c>
      <c r="H823" s="125"/>
      <c r="J823" s="224"/>
      <c r="K823" s="224"/>
      <c r="L823" s="224"/>
      <c r="M823" s="224"/>
      <c r="N823" s="224"/>
      <c r="O823" s="224"/>
    </row>
    <row r="824" spans="3:15" x14ac:dyDescent="0.55000000000000004">
      <c r="C824" s="124"/>
      <c r="D824" t="s">
        <v>378</v>
      </c>
      <c r="E824" s="97">
        <f ca="1">IFERROR(IF(E792=0,E800,E792)/E790,0)</f>
        <v>0</v>
      </c>
      <c r="H824" s="125"/>
      <c r="J824" s="224"/>
      <c r="K824" s="224"/>
      <c r="L824" s="224"/>
      <c r="M824" s="224"/>
      <c r="N824" s="224"/>
      <c r="O824" s="224"/>
    </row>
    <row r="825" spans="3:15" x14ac:dyDescent="0.55000000000000004">
      <c r="C825" s="124"/>
      <c r="H825" s="125"/>
      <c r="J825" s="224"/>
      <c r="K825" s="224"/>
      <c r="L825" s="224"/>
      <c r="M825" s="224"/>
      <c r="N825" s="224"/>
      <c r="O825" s="224"/>
    </row>
    <row r="826" spans="3:15" x14ac:dyDescent="0.55000000000000004">
      <c r="C826" s="124"/>
      <c r="D826" t="s">
        <v>379</v>
      </c>
      <c r="E826" s="26">
        <f>'3 Electricity'!I708</f>
        <v>0</v>
      </c>
      <c r="H826" s="125"/>
      <c r="J826" s="224"/>
      <c r="K826" s="224"/>
      <c r="L826" s="224"/>
      <c r="M826" s="224"/>
      <c r="N826" s="224"/>
      <c r="O826" s="224"/>
    </row>
    <row r="827" spans="3:15" x14ac:dyDescent="0.55000000000000004">
      <c r="C827" s="124"/>
      <c r="D827" t="s">
        <v>380</v>
      </c>
      <c r="E827" s="97">
        <f ca="1">IFERROR('3 Electricity'!J708/'3 Electricity'!G708,0)</f>
        <v>0</v>
      </c>
      <c r="H827" s="125"/>
      <c r="J827" s="224"/>
      <c r="K827" s="224"/>
      <c r="L827" s="224"/>
      <c r="M827" s="224"/>
      <c r="N827" s="224"/>
      <c r="O827" s="224"/>
    </row>
    <row r="828" spans="3:15" x14ac:dyDescent="0.55000000000000004">
      <c r="C828" s="124"/>
      <c r="H828" s="125"/>
      <c r="J828" s="224"/>
      <c r="K828" s="224"/>
      <c r="L828" s="224"/>
      <c r="M828" s="224"/>
      <c r="N828" s="224"/>
      <c r="O828" s="224"/>
    </row>
    <row r="829" spans="3:15" x14ac:dyDescent="0.55000000000000004">
      <c r="C829" s="124"/>
      <c r="D829" s="1" t="s">
        <v>381</v>
      </c>
      <c r="H829" s="125"/>
      <c r="J829" s="224"/>
      <c r="K829" s="224"/>
      <c r="L829" s="224"/>
      <c r="M829" s="224"/>
      <c r="N829" s="224"/>
      <c r="O829" s="224"/>
    </row>
    <row r="830" spans="3:15" x14ac:dyDescent="0.55000000000000004">
      <c r="C830" s="124"/>
      <c r="D830" s="1" t="str">
        <f>'3 Electricity'!G716</f>
        <v xml:space="preserve">Annual </v>
      </c>
      <c r="H830" s="125"/>
      <c r="J830" s="224"/>
      <c r="K830" s="224"/>
      <c r="L830" s="224"/>
      <c r="M830" s="224"/>
      <c r="N830" s="224"/>
      <c r="O830" s="224"/>
    </row>
    <row r="831" spans="3:15" x14ac:dyDescent="0.55000000000000004">
      <c r="C831" s="124"/>
      <c r="H831" s="125"/>
      <c r="J831" s="224"/>
      <c r="K831" s="224"/>
      <c r="L831" s="224"/>
      <c r="M831" s="224"/>
      <c r="N831" s="224"/>
      <c r="O831" s="224"/>
    </row>
    <row r="832" spans="3:15" x14ac:dyDescent="0.55000000000000004">
      <c r="C832" s="124"/>
      <c r="H832" s="125"/>
      <c r="J832" s="224"/>
      <c r="K832" s="224"/>
      <c r="L832" s="224"/>
      <c r="M832" s="224"/>
      <c r="N832" s="224" t="s">
        <v>89</v>
      </c>
      <c r="O832" s="224"/>
    </row>
    <row r="833" spans="3:15" x14ac:dyDescent="0.55000000000000004">
      <c r="C833" s="124"/>
      <c r="H833" s="125"/>
      <c r="J833" s="224"/>
      <c r="K833" s="224"/>
      <c r="L833" s="224"/>
      <c r="M833" s="224"/>
      <c r="N833" s="224"/>
      <c r="O833" s="224"/>
    </row>
    <row r="834" spans="3:15" ht="28.8" x14ac:dyDescent="0.55000000000000004">
      <c r="C834" s="124"/>
      <c r="H834" s="125"/>
      <c r="J834" s="229" t="s">
        <v>383</v>
      </c>
      <c r="K834" s="229" t="s">
        <v>382</v>
      </c>
      <c r="L834" s="108" t="str">
        <f>IF(D830=N832,"Annual Tariff","Low Season Tariff")</f>
        <v>Annual Tariff</v>
      </c>
      <c r="M834" s="109" t="str">
        <f>IF(D830=N832,"","High Season Tariff")</f>
        <v/>
      </c>
      <c r="N834" s="108" t="s">
        <v>392</v>
      </c>
      <c r="O834" s="229" t="s">
        <v>580</v>
      </c>
    </row>
    <row r="835" spans="3:15" x14ac:dyDescent="0.55000000000000004">
      <c r="C835" s="124"/>
      <c r="H835" s="125"/>
      <c r="J835" s="102">
        <v>1</v>
      </c>
      <c r="K835" s="102">
        <f>IFERROR(IF('3 Electricity'!$G$716='3 Electricity'!$V$716,VLOOKUP('Electricity report'!J835,'3 Electricity'!$F$727:$K$731,3,FALSE),VLOOKUP('Electricity report'!J835,'3 Electricity'!$F$746:$N$750,3,FALSE)),0)</f>
        <v>0</v>
      </c>
      <c r="L835" s="103">
        <f ca="1">IFERROR(IF('3 Electricity'!$G$716='3 Electricity'!$V$716,VLOOKUP('Electricity report'!J835,'3 Electricity'!$F$727:$K$731,6,FALSE),VLOOKUP('Electricity report'!J835,'3 Electricity'!$F$746:$N$750,9,FALSE)),0)</f>
        <v>0</v>
      </c>
      <c r="M835" s="105" t="str">
        <f>IF($D$830=$N$832,"",VLOOKUP(J835,'3 Electricity'!$F$746:$N$750,8,FALSE))</f>
        <v/>
      </c>
      <c r="N835" s="107">
        <f ca="1">$E$822</f>
        <v>0</v>
      </c>
      <c r="O835" s="105">
        <f ca="1">IFERROR('3 Electricity'!J700/'3 Electricity'!H700,0)</f>
        <v>0</v>
      </c>
    </row>
    <row r="836" spans="3:15" x14ac:dyDescent="0.55000000000000004">
      <c r="C836" s="124"/>
      <c r="H836" s="125"/>
      <c r="J836" s="102">
        <v>2</v>
      </c>
      <c r="K836" s="102">
        <f>IFERROR(IF('3 Electricity'!$G$716='3 Electricity'!$V$716,VLOOKUP('Electricity report'!J836,'3 Electricity'!$F$727:$K$731,3,FALSE),VLOOKUP('Electricity report'!J836,'3 Electricity'!$F$746:$N$750,3,FALSE)),0)</f>
        <v>0</v>
      </c>
      <c r="L836" s="103">
        <f ca="1">IFERROR(IF('3 Electricity'!$G$716='3 Electricity'!$V$716,VLOOKUP('Electricity report'!J836,'3 Electricity'!$F$727:$K$731,6,FALSE),VLOOKUP('Electricity report'!J836,'3 Electricity'!$F$746:$N$750,9,FALSE)),0)</f>
        <v>0</v>
      </c>
      <c r="M836" s="105" t="str">
        <f>IF($D$830=$N$832,"",VLOOKUP(J836,'3 Electricity'!$F$746:$N$750,8,FALSE))</f>
        <v/>
      </c>
      <c r="N836" s="107">
        <f ca="1">$E$822</f>
        <v>0</v>
      </c>
      <c r="O836" s="107">
        <f ca="1">$O$835</f>
        <v>0</v>
      </c>
    </row>
    <row r="837" spans="3:15" x14ac:dyDescent="0.55000000000000004">
      <c r="C837" s="124"/>
      <c r="H837" s="125"/>
      <c r="J837" s="102">
        <v>3</v>
      </c>
      <c r="K837" s="102">
        <f>IFERROR(IF('3 Electricity'!$G$716='3 Electricity'!$V$716,VLOOKUP('Electricity report'!J837,'3 Electricity'!$F$727:$K$731,3,FALSE),VLOOKUP('Electricity report'!J837,'3 Electricity'!$F$746:$N$750,3,FALSE)),0)</f>
        <v>0</v>
      </c>
      <c r="L837" s="103">
        <f ca="1">IFERROR(IF('3 Electricity'!$G$716='3 Electricity'!$V$716,VLOOKUP('Electricity report'!J837,'3 Electricity'!$F$727:$K$731,6,FALSE),VLOOKUP('Electricity report'!J837,'3 Electricity'!$F$746:$N$750,9,FALSE)),0)</f>
        <v>0</v>
      </c>
      <c r="M837" s="105" t="str">
        <f>IF($D$830=$N$832,"",VLOOKUP(J837,'3 Electricity'!$F$746:$N$750,8,FALSE))</f>
        <v/>
      </c>
      <c r="N837" s="107">
        <f ca="1">$E$822</f>
        <v>0</v>
      </c>
      <c r="O837" s="107">
        <f ca="1">$O$835</f>
        <v>0</v>
      </c>
    </row>
    <row r="838" spans="3:15" x14ac:dyDescent="0.55000000000000004">
      <c r="C838" s="124"/>
      <c r="H838" s="125"/>
      <c r="J838" s="102">
        <v>4</v>
      </c>
      <c r="K838" s="102">
        <f>IFERROR(IF('3 Electricity'!$G$716='3 Electricity'!$V$716,VLOOKUP('Electricity report'!J838,'3 Electricity'!$F$727:$K$731,3,FALSE),VLOOKUP('Electricity report'!J838,'3 Electricity'!$F$746:$N$750,3,FALSE)),0)</f>
        <v>0</v>
      </c>
      <c r="L838" s="103">
        <f ca="1">IFERROR(IF('3 Electricity'!$G$716='3 Electricity'!$V$716,VLOOKUP('Electricity report'!J838,'3 Electricity'!$F$727:$K$731,6,FALSE),VLOOKUP('Electricity report'!J838,'3 Electricity'!$F$746:$N$750,9,FALSE)),0)</f>
        <v>0</v>
      </c>
      <c r="M838" s="105" t="str">
        <f>IF($D$830=$N$832,"",VLOOKUP(J838,'3 Electricity'!$F$746:$N$750,8,FALSE))</f>
        <v/>
      </c>
      <c r="N838" s="107">
        <f ca="1">$E$822</f>
        <v>0</v>
      </c>
      <c r="O838" s="107">
        <f ca="1">$O$835</f>
        <v>0</v>
      </c>
    </row>
    <row r="839" spans="3:15" x14ac:dyDescent="0.55000000000000004">
      <c r="C839" s="124"/>
      <c r="H839" s="125"/>
      <c r="J839" s="102">
        <v>5</v>
      </c>
      <c r="K839" s="102" t="str">
        <f>IFERROR(IF('3 Electricity'!$G$716='3 Electricity'!$V$716,VLOOKUP('Electricity report'!J839,'3 Electricity'!$F$727:$K$731,3,FALSE),VLOOKUP('Electricity report'!J839,'3 Electricity'!$F$746:$N$750,3,FALSE)),0)</f>
        <v>More</v>
      </c>
      <c r="L839" s="103">
        <f ca="1">IFERROR(IF('3 Electricity'!$G$716='3 Electricity'!$V$716,VLOOKUP('Electricity report'!J839,'3 Electricity'!$F$727:$K$731,6,FALSE),VLOOKUP('Electricity report'!J839,'3 Electricity'!$F$746:$N$750,9,FALSE)),0)</f>
        <v>0</v>
      </c>
      <c r="M839" s="105" t="str">
        <f>IF($D$830=$N$832,"",VLOOKUP(J839,'3 Electricity'!$F$746:$N$750,8,FALSE))</f>
        <v/>
      </c>
      <c r="N839" s="107">
        <f ca="1">$E$822</f>
        <v>0</v>
      </c>
      <c r="O839" s="107">
        <f ca="1">$O$835</f>
        <v>0</v>
      </c>
    </row>
    <row r="840" spans="3:15" x14ac:dyDescent="0.55000000000000004">
      <c r="C840" s="124"/>
      <c r="H840" s="125"/>
      <c r="J840" s="224"/>
      <c r="K840" s="224"/>
      <c r="L840" s="224"/>
      <c r="M840" s="224"/>
      <c r="N840" s="224"/>
      <c r="O840" s="224"/>
    </row>
    <row r="841" spans="3:15" x14ac:dyDescent="0.55000000000000004">
      <c r="C841" s="124"/>
      <c r="H841" s="125"/>
      <c r="J841" s="224"/>
      <c r="K841" s="224"/>
      <c r="L841" s="224"/>
      <c r="M841" s="224"/>
      <c r="N841" s="224"/>
      <c r="O841" s="224"/>
    </row>
    <row r="842" spans="3:15" x14ac:dyDescent="0.55000000000000004">
      <c r="C842" s="124"/>
      <c r="H842" s="125"/>
      <c r="J842" s="224"/>
      <c r="K842" s="224"/>
      <c r="L842" s="224"/>
      <c r="M842" s="224"/>
      <c r="N842" s="224"/>
      <c r="O842" s="224"/>
    </row>
    <row r="843" spans="3:15" x14ac:dyDescent="0.55000000000000004">
      <c r="C843" s="124"/>
      <c r="H843" s="125"/>
      <c r="J843" s="224"/>
      <c r="K843" s="224"/>
      <c r="L843" s="224"/>
      <c r="M843" s="224"/>
      <c r="N843" s="224"/>
      <c r="O843" s="224"/>
    </row>
    <row r="844" spans="3:15" x14ac:dyDescent="0.55000000000000004">
      <c r="C844" s="124"/>
      <c r="H844" s="125"/>
      <c r="J844" s="224"/>
      <c r="K844" s="224"/>
      <c r="L844" s="224"/>
      <c r="M844" s="224"/>
      <c r="N844" s="224"/>
      <c r="O844" s="224"/>
    </row>
    <row r="845" spans="3:15" x14ac:dyDescent="0.55000000000000004">
      <c r="C845" s="124"/>
      <c r="H845" s="125"/>
      <c r="J845" s="224"/>
      <c r="K845" s="224"/>
      <c r="L845" s="224"/>
      <c r="M845" s="224"/>
      <c r="N845" s="224"/>
      <c r="O845" s="224"/>
    </row>
    <row r="846" spans="3:15" x14ac:dyDescent="0.55000000000000004">
      <c r="C846" s="124"/>
      <c r="H846" s="125"/>
      <c r="J846" s="224"/>
      <c r="K846" s="224"/>
      <c r="L846" s="224"/>
      <c r="M846" s="224"/>
      <c r="N846" s="224"/>
      <c r="O846" s="224"/>
    </row>
    <row r="847" spans="3:15" x14ac:dyDescent="0.55000000000000004">
      <c r="C847" s="124"/>
      <c r="H847" s="125"/>
      <c r="J847" s="224"/>
      <c r="K847" s="224"/>
      <c r="L847" s="224"/>
      <c r="M847" s="224"/>
      <c r="N847" s="224"/>
      <c r="O847" s="224"/>
    </row>
    <row r="848" spans="3:15" x14ac:dyDescent="0.55000000000000004">
      <c r="C848" s="124"/>
      <c r="H848" s="125"/>
      <c r="J848" s="224"/>
      <c r="K848" s="224"/>
      <c r="L848" s="224"/>
      <c r="M848" s="224"/>
      <c r="N848" s="224"/>
      <c r="O848" s="224"/>
    </row>
    <row r="849" spans="3:15" x14ac:dyDescent="0.55000000000000004">
      <c r="C849" s="124"/>
      <c r="H849" s="125"/>
      <c r="J849" s="224"/>
      <c r="K849" s="224"/>
      <c r="L849" s="224"/>
      <c r="M849" s="224"/>
      <c r="N849" s="224"/>
      <c r="O849" s="224"/>
    </row>
    <row r="850" spans="3:15" ht="14.7" thickBot="1" x14ac:dyDescent="0.6">
      <c r="C850" s="130"/>
      <c r="D850" s="131"/>
      <c r="E850" s="131"/>
      <c r="F850" s="131"/>
      <c r="G850" s="131"/>
      <c r="H850" s="132"/>
      <c r="J850" s="224"/>
      <c r="K850" s="224"/>
      <c r="L850" s="224"/>
      <c r="M850" s="224"/>
      <c r="N850" s="224"/>
      <c r="O850" s="224"/>
    </row>
    <row r="851" spans="3:15" x14ac:dyDescent="0.55000000000000004">
      <c r="J851" s="224"/>
      <c r="K851" s="224"/>
      <c r="L851" s="224"/>
      <c r="M851" s="224"/>
      <c r="N851" s="224"/>
      <c r="O851" s="224"/>
    </row>
    <row r="852" spans="3:15" ht="14.7" thickBot="1" x14ac:dyDescent="0.6">
      <c r="J852" s="224"/>
      <c r="K852" s="224"/>
      <c r="L852" s="224"/>
      <c r="M852" s="224"/>
      <c r="N852" s="224"/>
      <c r="O852" s="224"/>
    </row>
    <row r="853" spans="3:15" x14ac:dyDescent="0.55000000000000004">
      <c r="C853" s="121"/>
      <c r="D853" s="122"/>
      <c r="E853" s="122"/>
      <c r="F853" s="122"/>
      <c r="G853" s="122"/>
      <c r="H853" s="123"/>
      <c r="J853" s="224"/>
      <c r="K853" s="224"/>
      <c r="L853" s="224"/>
      <c r="M853" s="224"/>
      <c r="N853" s="224"/>
      <c r="O853" s="224"/>
    </row>
    <row r="854" spans="3:15" ht="15.6" x14ac:dyDescent="0.6">
      <c r="C854" s="124"/>
      <c r="D854" s="98">
        <f>'2 Customer data'!D105</f>
        <v>0</v>
      </c>
      <c r="H854" s="125"/>
      <c r="J854" s="224"/>
      <c r="K854" s="224"/>
      <c r="L854" s="224"/>
      <c r="M854" s="224"/>
      <c r="N854" s="224"/>
      <c r="O854" s="224"/>
    </row>
    <row r="855" spans="3:15" x14ac:dyDescent="0.55000000000000004">
      <c r="C855" s="124"/>
      <c r="H855" s="125"/>
      <c r="J855" s="224"/>
      <c r="K855" s="224"/>
      <c r="L855" s="224"/>
      <c r="M855" s="224"/>
      <c r="N855" s="224"/>
      <c r="O855" s="224"/>
    </row>
    <row r="856" spans="3:15" x14ac:dyDescent="0.55000000000000004">
      <c r="C856" s="124"/>
      <c r="E856" s="220" t="s">
        <v>250</v>
      </c>
      <c r="H856" s="125"/>
      <c r="J856" s="224"/>
      <c r="K856" s="224"/>
      <c r="L856" s="224"/>
      <c r="M856" s="224"/>
      <c r="N856" s="224"/>
      <c r="O856" s="224"/>
    </row>
    <row r="857" spans="3:15" x14ac:dyDescent="0.55000000000000004">
      <c r="C857" s="124"/>
      <c r="D857" t="s">
        <v>393</v>
      </c>
      <c r="E857" s="26">
        <f ca="1">VLOOKUP(D854,'2 Electricity'!$D$21:$L$40,6,FALSE)</f>
        <v>0</v>
      </c>
      <c r="H857" s="125"/>
      <c r="J857" s="224"/>
      <c r="K857" s="224"/>
      <c r="L857" s="224"/>
      <c r="M857" s="224"/>
      <c r="N857" s="224"/>
      <c r="O857" s="224"/>
    </row>
    <row r="858" spans="3:15" x14ac:dyDescent="0.55000000000000004">
      <c r="C858" s="124"/>
      <c r="D858" t="s">
        <v>249</v>
      </c>
      <c r="E858" s="99">
        <f ca="1">VLOOKUP(D854,'2 Electricity'!$D$21:$L$40,7,FALSE)</f>
        <v>0</v>
      </c>
      <c r="H858" s="125"/>
      <c r="J858" s="224"/>
      <c r="K858" s="224"/>
      <c r="L858" s="224"/>
      <c r="M858" s="224"/>
      <c r="N858" s="224"/>
      <c r="O858" s="224"/>
    </row>
    <row r="859" spans="3:15" x14ac:dyDescent="0.55000000000000004">
      <c r="C859" s="124"/>
      <c r="D859" t="s">
        <v>52</v>
      </c>
      <c r="E859" s="26">
        <f ca="1">VLOOKUP(D854,'2 Electricity'!$D$21:$L$40,8,FALSE)</f>
        <v>0</v>
      </c>
      <c r="H859" s="125"/>
      <c r="J859" s="224"/>
      <c r="K859" s="224"/>
      <c r="L859" s="224"/>
      <c r="M859" s="224"/>
      <c r="N859" s="224"/>
      <c r="O859" s="224"/>
    </row>
    <row r="860" spans="3:15" ht="14.7" thickBot="1" x14ac:dyDescent="0.6">
      <c r="C860" s="124"/>
      <c r="D860" s="1" t="s">
        <v>39</v>
      </c>
      <c r="E860" s="37">
        <f ca="1">VLOOKUP(D854,'2 Electricity'!D$21:L$40,9,FALSE)</f>
        <v>0</v>
      </c>
      <c r="H860" s="125"/>
      <c r="J860" s="224"/>
      <c r="K860" s="224"/>
      <c r="L860" s="224"/>
      <c r="M860" s="224"/>
      <c r="N860" s="224"/>
      <c r="O860" s="224"/>
    </row>
    <row r="861" spans="3:15" ht="14.7" thickTop="1" x14ac:dyDescent="0.55000000000000004">
      <c r="C861" s="124"/>
      <c r="H861" s="125"/>
      <c r="J861" s="224"/>
      <c r="K861" s="224"/>
      <c r="L861" s="224"/>
      <c r="M861" s="224"/>
      <c r="N861" s="224"/>
      <c r="O861" s="224"/>
    </row>
    <row r="862" spans="3:15" x14ac:dyDescent="0.55000000000000004">
      <c r="C862" s="124"/>
      <c r="D862" t="s">
        <v>189</v>
      </c>
      <c r="E862" s="26">
        <f>IFERROR(IF(VLOOKUP(D854,'2 Electricity'!$D$126:$K$145,7,FALSE)="",VLOOKUP('2 Electricity'!$D$126:$K$145,6,FALSE),VLOOKUP(D854,'2 Electricity'!$D$126:$K$145,7,FALSE))+VLOOKUP(D854,'2 Electricity'!$D$157:$J$176,5,FALSE),0)</f>
        <v>0</v>
      </c>
      <c r="H862" s="125"/>
      <c r="J862" s="224"/>
      <c r="K862" s="224"/>
      <c r="L862" s="224"/>
      <c r="M862" s="224"/>
      <c r="N862" s="224"/>
      <c r="O862" s="224"/>
    </row>
    <row r="863" spans="3:15" x14ac:dyDescent="0.55000000000000004">
      <c r="C863" s="124"/>
      <c r="H863" s="125"/>
      <c r="J863" s="224"/>
      <c r="K863" s="224"/>
      <c r="L863" s="224"/>
      <c r="M863" s="224"/>
      <c r="N863" s="224"/>
      <c r="O863" s="224"/>
    </row>
    <row r="864" spans="3:15" x14ac:dyDescent="0.55000000000000004">
      <c r="C864" s="124"/>
      <c r="D864" t="s">
        <v>371</v>
      </c>
      <c r="E864" s="64">
        <f ca="1">IF(VLOOKUP(D854,'2 Electricity'!$D$56:$M$75,5,FALSE)="",VLOOKUP(D854,'2 Electricity'!$D$56:$M$75,4,FALSE),VLOOKUP(D854,'2 Electricity'!$D$56:$M$75,5,FALSE))</f>
        <v>0</v>
      </c>
      <c r="H864" s="125"/>
      <c r="J864" s="224"/>
      <c r="K864" s="224"/>
      <c r="L864" s="224"/>
      <c r="M864" s="224"/>
      <c r="N864" s="224"/>
      <c r="O864" s="224"/>
    </row>
    <row r="865" spans="3:15" x14ac:dyDescent="0.55000000000000004">
      <c r="C865" s="124"/>
      <c r="D865" t="s">
        <v>372</v>
      </c>
      <c r="E865" s="26">
        <f ca="1">IF(VLOOKUP(D854,'2 Electricity'!$D$56:$M$75,7,FALSE)="",VLOOKUP(D854,'2 Electricity'!$D$56:$M$75,6,FALSE),VLOOKUP(D854,'2 Electricity'!$D$56:$M$75,7,FALSE))</f>
        <v>0</v>
      </c>
      <c r="H865" s="125"/>
      <c r="J865" s="224"/>
      <c r="K865" s="224"/>
      <c r="L865" s="224"/>
      <c r="M865" s="224"/>
      <c r="N865" s="224"/>
      <c r="O865" s="224"/>
    </row>
    <row r="866" spans="3:15" x14ac:dyDescent="0.55000000000000004">
      <c r="C866" s="124"/>
      <c r="D866" t="s">
        <v>373</v>
      </c>
      <c r="E866" s="26">
        <f ca="1">IF(VLOOKUP(D854,'2 Electricity'!$D$56:$M$75,9,FALSE)="",VLOOKUP(D854,'2 Electricity'!$D$56:$M$75,8,FALSE),VLOOKUP(D854,'2 Electricity'!$D$56:$M$75,9,FALSE))</f>
        <v>0</v>
      </c>
      <c r="H866" s="125"/>
      <c r="J866" s="224"/>
      <c r="K866" s="224"/>
      <c r="L866" s="224"/>
      <c r="M866" s="224"/>
      <c r="N866" s="224"/>
      <c r="O866" s="224"/>
    </row>
    <row r="867" spans="3:15" x14ac:dyDescent="0.55000000000000004">
      <c r="C867" s="124"/>
      <c r="D867" t="s">
        <v>374</v>
      </c>
      <c r="E867" s="26">
        <f ca="1">IF(VLOOKUP(D854,'2 Electricity'!$D$92:$I$111,5,FALSE)="",VLOOKUP(D854,'2 Electricity'!$D$92:$I$111,4,FALSE),VLOOKUP(D854,'2 Electricity'!$D$92:$I$111,5,FALSE))</f>
        <v>0</v>
      </c>
      <c r="H867" s="125"/>
      <c r="J867" s="224"/>
      <c r="K867" s="224"/>
      <c r="L867" s="224"/>
      <c r="M867" s="224"/>
      <c r="N867" s="224"/>
      <c r="O867" s="224"/>
    </row>
    <row r="868" spans="3:15" ht="14.7" thickBot="1" x14ac:dyDescent="0.6">
      <c r="C868" s="124"/>
      <c r="D868" s="1" t="s">
        <v>145</v>
      </c>
      <c r="E868" s="37">
        <f ca="1">SUM(E864:E867)</f>
        <v>0</v>
      </c>
      <c r="H868" s="125"/>
      <c r="J868" s="224"/>
      <c r="K868" s="224"/>
      <c r="L868" s="224"/>
      <c r="M868" s="224"/>
      <c r="N868" s="224"/>
      <c r="O868" s="224"/>
    </row>
    <row r="869" spans="3:15" ht="14.7" thickTop="1" x14ac:dyDescent="0.55000000000000004">
      <c r="C869" s="124"/>
      <c r="D869" s="1"/>
      <c r="E869" s="15"/>
      <c r="H869" s="125"/>
      <c r="J869" s="224"/>
      <c r="K869" s="224"/>
      <c r="L869" s="224"/>
      <c r="M869" s="224"/>
      <c r="N869" s="224"/>
      <c r="O869" s="224"/>
    </row>
    <row r="870" spans="3:15" x14ac:dyDescent="0.55000000000000004">
      <c r="C870" s="124"/>
      <c r="D870" t="s">
        <v>384</v>
      </c>
      <c r="E870" s="26">
        <f ca="1">IF(VLOOKUP(D854,'2 Electricity'!$D$126:$K$145,5,FALSE)="",VLOOKUP(D854,'2 Electricity'!$D$126:$K$145,4,FALSE),VLOOKUP(D854,'2 Electricity'!$D$126:$K$145,5,FALSE))+VLOOKUP(D854,'2 Electricity'!$D$157:$J$176,7,FALSE)</f>
        <v>0</v>
      </c>
      <c r="H870" s="125"/>
      <c r="J870" s="224"/>
      <c r="K870" s="224"/>
      <c r="L870" s="224"/>
      <c r="M870" s="224"/>
      <c r="N870" s="224"/>
      <c r="O870" s="224"/>
    </row>
    <row r="871" spans="3:15" x14ac:dyDescent="0.55000000000000004">
      <c r="C871" s="124"/>
      <c r="H871" s="125"/>
      <c r="J871" s="224"/>
      <c r="K871" s="224"/>
      <c r="L871" s="224"/>
      <c r="M871" s="224"/>
      <c r="N871" s="224"/>
      <c r="O871" s="224"/>
    </row>
    <row r="872" spans="3:15" ht="14.7" thickBot="1" x14ac:dyDescent="0.6">
      <c r="C872" s="124"/>
      <c r="D872" s="1" t="s">
        <v>375</v>
      </c>
      <c r="E872" s="37">
        <f ca="1">VLOOKUP(D854,'2 Electricity'!$D$157:$K$176,8,FALSE)</f>
        <v>0</v>
      </c>
      <c r="H872" s="125"/>
      <c r="J872" s="224"/>
      <c r="K872" s="224"/>
      <c r="L872" s="224"/>
      <c r="M872" s="224"/>
      <c r="N872" s="224"/>
      <c r="O872" s="224"/>
    </row>
    <row r="873" spans="3:15" ht="14.7" thickTop="1" x14ac:dyDescent="0.55000000000000004">
      <c r="C873" s="124"/>
      <c r="H873" s="125"/>
      <c r="J873" s="224"/>
      <c r="K873" s="224"/>
      <c r="L873" s="224"/>
      <c r="M873" s="224"/>
      <c r="N873" s="224"/>
      <c r="O873" s="224"/>
    </row>
    <row r="874" spans="3:15" x14ac:dyDescent="0.55000000000000004">
      <c r="C874" s="124"/>
      <c r="H874" s="125"/>
      <c r="J874" s="224"/>
      <c r="K874" s="224"/>
      <c r="L874" s="224"/>
      <c r="M874" s="224"/>
      <c r="N874" s="224"/>
      <c r="O874" s="224"/>
    </row>
    <row r="875" spans="3:15" x14ac:dyDescent="0.55000000000000004">
      <c r="C875" s="124"/>
      <c r="H875" s="125"/>
      <c r="J875" s="224"/>
      <c r="K875" s="224"/>
      <c r="L875" s="224"/>
      <c r="M875" s="224"/>
      <c r="N875" s="224"/>
      <c r="O875" s="224"/>
    </row>
    <row r="876" spans="3:15" x14ac:dyDescent="0.55000000000000004">
      <c r="C876" s="124"/>
      <c r="H876" s="125"/>
      <c r="J876" s="224"/>
      <c r="K876" s="224"/>
      <c r="L876" s="224"/>
      <c r="M876" s="224"/>
      <c r="N876" s="224"/>
      <c r="O876" s="224"/>
    </row>
    <row r="877" spans="3:15" x14ac:dyDescent="0.55000000000000004">
      <c r="C877" s="124"/>
      <c r="H877" s="125"/>
      <c r="J877" s="232" t="s">
        <v>385</v>
      </c>
      <c r="K877" s="224"/>
      <c r="L877" s="224"/>
      <c r="M877" s="224"/>
      <c r="N877" s="224"/>
      <c r="O877" s="224"/>
    </row>
    <row r="878" spans="3:15" x14ac:dyDescent="0.55000000000000004">
      <c r="C878" s="124"/>
      <c r="H878" s="125"/>
      <c r="J878" s="110"/>
      <c r="K878" s="102" t="s">
        <v>390</v>
      </c>
      <c r="L878" s="102" t="s">
        <v>391</v>
      </c>
      <c r="M878" s="224"/>
      <c r="N878" s="224"/>
      <c r="O878" s="224"/>
    </row>
    <row r="879" spans="3:15" x14ac:dyDescent="0.55000000000000004">
      <c r="C879" s="124"/>
      <c r="H879" s="125"/>
      <c r="J879" s="110" t="s">
        <v>393</v>
      </c>
      <c r="K879" s="100">
        <f ca="1">E857/1000</f>
        <v>0</v>
      </c>
      <c r="L879" s="102"/>
      <c r="M879" s="224"/>
      <c r="N879" s="224"/>
      <c r="O879" s="224"/>
    </row>
    <row r="880" spans="3:15" x14ac:dyDescent="0.55000000000000004">
      <c r="C880" s="124"/>
      <c r="H880" s="125"/>
      <c r="J880" s="110" t="s">
        <v>249</v>
      </c>
      <c r="K880" s="100">
        <f ca="1">E858/1000</f>
        <v>0</v>
      </c>
      <c r="L880" s="110"/>
      <c r="M880" s="224"/>
      <c r="N880" s="224"/>
      <c r="O880" s="224"/>
    </row>
    <row r="881" spans="3:15" x14ac:dyDescent="0.55000000000000004">
      <c r="C881" s="124"/>
      <c r="H881" s="125"/>
      <c r="J881" s="110" t="s">
        <v>52</v>
      </c>
      <c r="K881" s="100">
        <f ca="1">E859/1000</f>
        <v>0</v>
      </c>
      <c r="L881" s="110"/>
      <c r="M881" s="224"/>
      <c r="N881" s="224"/>
      <c r="O881" s="224"/>
    </row>
    <row r="882" spans="3:15" x14ac:dyDescent="0.55000000000000004">
      <c r="C882" s="124"/>
      <c r="H882" s="125"/>
      <c r="J882" s="110" t="s">
        <v>471</v>
      </c>
      <c r="K882" s="100">
        <f>E862/1000</f>
        <v>0</v>
      </c>
      <c r="L882" s="110"/>
      <c r="M882" s="224"/>
      <c r="N882" s="224"/>
      <c r="O882" s="224"/>
    </row>
    <row r="883" spans="3:15" x14ac:dyDescent="0.55000000000000004">
      <c r="C883" s="124"/>
      <c r="H883" s="125"/>
      <c r="J883" s="110" t="s">
        <v>563</v>
      </c>
      <c r="K883" s="100"/>
      <c r="L883" s="101">
        <f ca="1">E872/1000</f>
        <v>0</v>
      </c>
      <c r="M883" s="224"/>
      <c r="N883" s="224"/>
      <c r="O883" s="224"/>
    </row>
    <row r="884" spans="3:15" x14ac:dyDescent="0.55000000000000004">
      <c r="C884" s="124"/>
      <c r="H884" s="125"/>
      <c r="J884" s="110" t="s">
        <v>564</v>
      </c>
      <c r="K884" s="100"/>
      <c r="L884" s="101">
        <f ca="1">E867/1000</f>
        <v>0</v>
      </c>
      <c r="M884" s="224"/>
      <c r="N884" s="224"/>
      <c r="O884" s="224"/>
    </row>
    <row r="885" spans="3:15" x14ac:dyDescent="0.55000000000000004">
      <c r="C885" s="124"/>
      <c r="H885" s="125"/>
      <c r="J885" s="110" t="s">
        <v>565</v>
      </c>
      <c r="K885" s="100"/>
      <c r="L885" s="101">
        <f ca="1">SUM(E864:E866)/1000</f>
        <v>0</v>
      </c>
      <c r="M885" s="224"/>
      <c r="N885" s="224"/>
      <c r="O885" s="224"/>
    </row>
    <row r="886" spans="3:15" x14ac:dyDescent="0.55000000000000004">
      <c r="C886" s="124"/>
      <c r="H886" s="125"/>
      <c r="J886" s="110" t="s">
        <v>566</v>
      </c>
      <c r="K886" s="100"/>
      <c r="L886" s="101">
        <f ca="1">E870/1000</f>
        <v>0</v>
      </c>
      <c r="M886" s="224"/>
      <c r="N886" s="224"/>
      <c r="O886" s="224"/>
    </row>
    <row r="887" spans="3:15" x14ac:dyDescent="0.55000000000000004">
      <c r="C887" s="124"/>
      <c r="H887" s="125"/>
      <c r="J887" s="224"/>
      <c r="K887" s="224"/>
      <c r="L887" s="224"/>
      <c r="M887" s="224"/>
      <c r="N887" s="224"/>
      <c r="O887" s="224"/>
    </row>
    <row r="888" spans="3:15" x14ac:dyDescent="0.55000000000000004">
      <c r="C888" s="124"/>
      <c r="H888" s="125"/>
      <c r="J888" s="224"/>
      <c r="K888" s="224"/>
      <c r="L888" s="224"/>
      <c r="M888" s="224"/>
      <c r="N888" s="224"/>
      <c r="O888" s="224"/>
    </row>
    <row r="889" spans="3:15" x14ac:dyDescent="0.55000000000000004">
      <c r="C889" s="124"/>
      <c r="H889" s="125"/>
      <c r="J889" s="224"/>
      <c r="K889" s="224"/>
      <c r="L889" s="224"/>
      <c r="M889" s="224"/>
      <c r="N889" s="224"/>
      <c r="O889" s="224"/>
    </row>
    <row r="890" spans="3:15" x14ac:dyDescent="0.55000000000000004">
      <c r="C890" s="124"/>
      <c r="H890" s="125"/>
      <c r="J890" s="224"/>
      <c r="K890" s="224"/>
      <c r="L890" s="224"/>
      <c r="M890" s="224"/>
      <c r="N890" s="224"/>
      <c r="O890" s="224"/>
    </row>
    <row r="891" spans="3:15" x14ac:dyDescent="0.55000000000000004">
      <c r="C891" s="124"/>
      <c r="E891" s="220" t="s">
        <v>250</v>
      </c>
      <c r="H891" s="125"/>
      <c r="J891" s="224"/>
      <c r="K891" s="224"/>
      <c r="L891" s="224"/>
      <c r="M891" s="224"/>
      <c r="N891" s="224"/>
      <c r="O891" s="224"/>
    </row>
    <row r="892" spans="3:15" x14ac:dyDescent="0.55000000000000004">
      <c r="C892" s="124"/>
      <c r="D892" t="s">
        <v>394</v>
      </c>
      <c r="E892" s="64">
        <f ca="1">VLOOKUP(D854,'2 Electricity'!$D$157:$M$176,10,FALSE)</f>
        <v>0</v>
      </c>
      <c r="H892" s="125"/>
      <c r="J892" s="224"/>
      <c r="K892" s="224"/>
      <c r="L892" s="224"/>
      <c r="M892" s="224"/>
      <c r="N892" s="224"/>
      <c r="O892" s="224"/>
    </row>
    <row r="893" spans="3:15" x14ac:dyDescent="0.55000000000000004">
      <c r="C893" s="124"/>
      <c r="D893" t="s">
        <v>395</v>
      </c>
      <c r="E893" s="64">
        <f ca="1">VLOOKUP(D854,'2 Electricity'!$D$157:$M$176,9,FALSE)</f>
        <v>0</v>
      </c>
      <c r="H893" s="125"/>
      <c r="J893" s="224"/>
      <c r="K893" s="224"/>
      <c r="L893" s="224"/>
      <c r="M893" s="224"/>
      <c r="N893" s="224"/>
      <c r="O893" s="224"/>
    </row>
    <row r="894" spans="3:15" x14ac:dyDescent="0.55000000000000004">
      <c r="C894" s="124"/>
      <c r="D894" t="s">
        <v>378</v>
      </c>
      <c r="E894" s="97">
        <f ca="1">IFERROR(IF(E862=0,E870,E862)/E860,0)</f>
        <v>0</v>
      </c>
      <c r="H894" s="125"/>
      <c r="J894" s="224"/>
      <c r="K894" s="224"/>
      <c r="L894" s="224"/>
      <c r="M894" s="224"/>
      <c r="N894" s="224"/>
      <c r="O894" s="224"/>
    </row>
    <row r="895" spans="3:15" x14ac:dyDescent="0.55000000000000004">
      <c r="C895" s="124"/>
      <c r="H895" s="125"/>
      <c r="J895" s="224"/>
      <c r="K895" s="224"/>
      <c r="L895" s="224"/>
      <c r="M895" s="224"/>
      <c r="N895" s="224"/>
      <c r="O895" s="224"/>
    </row>
    <row r="896" spans="3:15" x14ac:dyDescent="0.55000000000000004">
      <c r="C896" s="124"/>
      <c r="D896" t="s">
        <v>379</v>
      </c>
      <c r="E896" s="26">
        <f>'3 Electricity'!I770</f>
        <v>0</v>
      </c>
      <c r="H896" s="125"/>
      <c r="J896" s="224"/>
      <c r="K896" s="224"/>
      <c r="L896" s="224"/>
      <c r="M896" s="224"/>
      <c r="N896" s="224"/>
      <c r="O896" s="224"/>
    </row>
    <row r="897" spans="3:15" x14ac:dyDescent="0.55000000000000004">
      <c r="C897" s="124"/>
      <c r="D897" t="s">
        <v>380</v>
      </c>
      <c r="E897" s="97">
        <f ca="1">IFERROR('3 Electricity'!J770/'3 Electricity'!G770,0)</f>
        <v>0</v>
      </c>
      <c r="H897" s="125"/>
      <c r="J897" s="224"/>
      <c r="K897" s="224"/>
      <c r="L897" s="224"/>
      <c r="M897" s="224"/>
      <c r="N897" s="224"/>
      <c r="O897" s="224"/>
    </row>
    <row r="898" spans="3:15" x14ac:dyDescent="0.55000000000000004">
      <c r="C898" s="124"/>
      <c r="H898" s="125"/>
      <c r="J898" s="224"/>
      <c r="K898" s="224"/>
      <c r="L898" s="224"/>
      <c r="M898" s="224"/>
      <c r="N898" s="224"/>
      <c r="O898" s="224"/>
    </row>
    <row r="899" spans="3:15" x14ac:dyDescent="0.55000000000000004">
      <c r="C899" s="124"/>
      <c r="D899" s="1" t="s">
        <v>381</v>
      </c>
      <c r="H899" s="125"/>
      <c r="J899" s="224"/>
      <c r="K899" s="224"/>
      <c r="L899" s="224"/>
      <c r="M899" s="224"/>
      <c r="N899" s="224"/>
      <c r="O899" s="224"/>
    </row>
    <row r="900" spans="3:15" x14ac:dyDescent="0.55000000000000004">
      <c r="C900" s="124"/>
      <c r="D900" s="1" t="str">
        <f>'3 Electricity'!G778</f>
        <v xml:space="preserve">Annual </v>
      </c>
      <c r="H900" s="125"/>
      <c r="J900" s="224"/>
      <c r="K900" s="224"/>
      <c r="L900" s="224"/>
      <c r="M900" s="224"/>
      <c r="N900" s="224"/>
      <c r="O900" s="224"/>
    </row>
    <row r="901" spans="3:15" x14ac:dyDescent="0.55000000000000004">
      <c r="C901" s="124"/>
      <c r="H901" s="125"/>
      <c r="J901" s="224"/>
      <c r="K901" s="224"/>
      <c r="L901" s="224"/>
      <c r="M901" s="224"/>
      <c r="N901" s="224"/>
      <c r="O901" s="224"/>
    </row>
    <row r="902" spans="3:15" x14ac:dyDescent="0.55000000000000004">
      <c r="C902" s="124"/>
      <c r="H902" s="125"/>
      <c r="J902" s="224"/>
      <c r="K902" s="224"/>
      <c r="L902" s="224"/>
      <c r="M902" s="224"/>
      <c r="N902" s="224" t="s">
        <v>89</v>
      </c>
      <c r="O902" s="224"/>
    </row>
    <row r="903" spans="3:15" x14ac:dyDescent="0.55000000000000004">
      <c r="C903" s="124"/>
      <c r="H903" s="125"/>
      <c r="J903" s="224"/>
      <c r="K903" s="224"/>
      <c r="L903" s="224"/>
      <c r="M903" s="224"/>
      <c r="N903" s="224"/>
      <c r="O903" s="224"/>
    </row>
    <row r="904" spans="3:15" ht="28.8" x14ac:dyDescent="0.55000000000000004">
      <c r="C904" s="124"/>
      <c r="H904" s="125"/>
      <c r="J904" s="229" t="s">
        <v>383</v>
      </c>
      <c r="K904" s="229" t="s">
        <v>382</v>
      </c>
      <c r="L904" s="108" t="str">
        <f>IF(D900=N902,"Annual Tariff","Low Season Tariff")</f>
        <v>Annual Tariff</v>
      </c>
      <c r="M904" s="109" t="str">
        <f>IF(D900=N902,"","High Season Tariff")</f>
        <v/>
      </c>
      <c r="N904" s="108" t="s">
        <v>392</v>
      </c>
      <c r="O904" s="229" t="s">
        <v>580</v>
      </c>
    </row>
    <row r="905" spans="3:15" x14ac:dyDescent="0.55000000000000004">
      <c r="C905" s="124"/>
      <c r="H905" s="125"/>
      <c r="J905" s="102">
        <v>1</v>
      </c>
      <c r="K905" s="102">
        <f>IFERROR(IF('3 Electricity'!$G$778='3 Electricity'!$V$778,VLOOKUP('Electricity report'!J905,'3 Electricity'!$F$789:$K$793,3,FALSE),VLOOKUP('Electricity report'!J905,'3 Electricity'!$F$808:$N$812,3,FALSE)),0)</f>
        <v>0</v>
      </c>
      <c r="L905" s="103">
        <f ca="1">IFERROR(IF('3 Electricity'!$G$778='3 Electricity'!$V$778,VLOOKUP('Electricity report'!J905,'3 Electricity'!$F$789:$K$793,6,FALSE),VLOOKUP('Electricity report'!J905,'3 Electricity'!$F$808:$N$812,9,FALSE)),0)</f>
        <v>0</v>
      </c>
      <c r="M905" s="105" t="str">
        <f>IF($D$900=$N$902,"",VLOOKUP(J905,'3 Electricity'!$F$808:$N$812,8,FALSE))</f>
        <v/>
      </c>
      <c r="N905" s="107">
        <f ca="1">$E$892</f>
        <v>0</v>
      </c>
      <c r="O905" s="105">
        <f ca="1">IFERROR('3 Electricity'!J762/'3 Electricity'!H762,0)</f>
        <v>0</v>
      </c>
    </row>
    <row r="906" spans="3:15" x14ac:dyDescent="0.55000000000000004">
      <c r="C906" s="124"/>
      <c r="H906" s="125"/>
      <c r="J906" s="102">
        <v>2</v>
      </c>
      <c r="K906" s="102">
        <f>IFERROR(IF('3 Electricity'!$G$778='3 Electricity'!$V$778,VLOOKUP('Electricity report'!J906,'3 Electricity'!$F$789:$K$793,3,FALSE),VLOOKUP('Electricity report'!J906,'3 Electricity'!$F$808:$N$812,3,FALSE)),0)</f>
        <v>0</v>
      </c>
      <c r="L906" s="103">
        <f ca="1">IFERROR(IF('3 Electricity'!$G$778='3 Electricity'!$V$778,VLOOKUP('Electricity report'!J906,'3 Electricity'!$F$789:$K$793,6,FALSE),VLOOKUP('Electricity report'!J906,'3 Electricity'!$F$808:$N$812,9,FALSE)),0)</f>
        <v>0</v>
      </c>
      <c r="M906" s="105" t="str">
        <f>IF($D$900=$N$902,"",VLOOKUP(J906,'3 Electricity'!$F$808:$N$812,8,FALSE))</f>
        <v/>
      </c>
      <c r="N906" s="107">
        <f ca="1">$E$892</f>
        <v>0</v>
      </c>
      <c r="O906" s="107">
        <f ca="1">$O$905</f>
        <v>0</v>
      </c>
    </row>
    <row r="907" spans="3:15" x14ac:dyDescent="0.55000000000000004">
      <c r="C907" s="124"/>
      <c r="H907" s="125"/>
      <c r="J907" s="102">
        <v>3</v>
      </c>
      <c r="K907" s="102">
        <f>IFERROR(IF('3 Electricity'!$G$778='3 Electricity'!$V$778,VLOOKUP('Electricity report'!J907,'3 Electricity'!$F$789:$K$793,3,FALSE),VLOOKUP('Electricity report'!J907,'3 Electricity'!$F$808:$N$812,3,FALSE)),0)</f>
        <v>0</v>
      </c>
      <c r="L907" s="103">
        <f ca="1">IFERROR(IF('3 Electricity'!$G$778='3 Electricity'!$V$778,VLOOKUP('Electricity report'!J907,'3 Electricity'!$F$789:$K$793,6,FALSE),VLOOKUP('Electricity report'!J907,'3 Electricity'!$F$808:$N$812,9,FALSE)),0)</f>
        <v>0</v>
      </c>
      <c r="M907" s="105" t="str">
        <f>IF($D$900=$N$902,"",VLOOKUP(J907,'3 Electricity'!$F$808:$N$812,8,FALSE))</f>
        <v/>
      </c>
      <c r="N907" s="107">
        <f ca="1">$E$892</f>
        <v>0</v>
      </c>
      <c r="O907" s="107">
        <f ca="1">$O$905</f>
        <v>0</v>
      </c>
    </row>
    <row r="908" spans="3:15" x14ac:dyDescent="0.55000000000000004">
      <c r="C908" s="124"/>
      <c r="H908" s="125"/>
      <c r="J908" s="102">
        <v>4</v>
      </c>
      <c r="K908" s="102">
        <f>IFERROR(IF('3 Electricity'!$G$778='3 Electricity'!$V$778,VLOOKUP('Electricity report'!J908,'3 Electricity'!$F$789:$K$793,3,FALSE),VLOOKUP('Electricity report'!J908,'3 Electricity'!$F$808:$N$812,3,FALSE)),0)</f>
        <v>0</v>
      </c>
      <c r="L908" s="103">
        <f ca="1">IFERROR(IF('3 Electricity'!$G$778='3 Electricity'!$V$778,VLOOKUP('Electricity report'!J908,'3 Electricity'!$F$789:$K$793,6,FALSE),VLOOKUP('Electricity report'!J908,'3 Electricity'!$F$808:$N$812,9,FALSE)),0)</f>
        <v>0</v>
      </c>
      <c r="M908" s="105" t="str">
        <f>IF($D$900=$N$902,"",VLOOKUP(J908,'3 Electricity'!$F$808:$N$812,8,FALSE))</f>
        <v/>
      </c>
      <c r="N908" s="107">
        <f ca="1">$E$892</f>
        <v>0</v>
      </c>
      <c r="O908" s="107">
        <f ca="1">$O$905</f>
        <v>0</v>
      </c>
    </row>
    <row r="909" spans="3:15" x14ac:dyDescent="0.55000000000000004">
      <c r="C909" s="124"/>
      <c r="H909" s="125"/>
      <c r="J909" s="102">
        <v>5</v>
      </c>
      <c r="K909" s="102" t="str">
        <f>IFERROR(IF('3 Electricity'!$G$778='3 Electricity'!$V$778,VLOOKUP('Electricity report'!J909,'3 Electricity'!$F$789:$K$793,3,FALSE),VLOOKUP('Electricity report'!J909,'3 Electricity'!$F$808:$N$812,3,FALSE)),0)</f>
        <v>More</v>
      </c>
      <c r="L909" s="103">
        <f ca="1">IFERROR(IF('3 Electricity'!$G$778='3 Electricity'!$V$778,VLOOKUP('Electricity report'!J909,'3 Electricity'!$F$789:$K$793,6,FALSE),VLOOKUP('Electricity report'!J909,'3 Electricity'!$F$808:$N$812,9,FALSE)),0)</f>
        <v>0</v>
      </c>
      <c r="M909" s="105" t="str">
        <f>IF($D$900=$N$902,"",VLOOKUP(J909,'3 Electricity'!$F$808:$N$812,8,FALSE))</f>
        <v/>
      </c>
      <c r="N909" s="107">
        <f ca="1">$E$892</f>
        <v>0</v>
      </c>
      <c r="O909" s="107">
        <f ca="1">$O$905</f>
        <v>0</v>
      </c>
    </row>
    <row r="910" spans="3:15" x14ac:dyDescent="0.55000000000000004">
      <c r="C910" s="124"/>
      <c r="H910" s="125"/>
      <c r="J910" s="224"/>
      <c r="K910" s="224"/>
      <c r="L910" s="224"/>
      <c r="M910" s="224"/>
      <c r="N910" s="224"/>
      <c r="O910" s="224"/>
    </row>
    <row r="911" spans="3:15" x14ac:dyDescent="0.55000000000000004">
      <c r="C911" s="124"/>
      <c r="H911" s="125"/>
      <c r="J911" s="224"/>
      <c r="K911" s="224"/>
      <c r="L911" s="224"/>
      <c r="M911" s="224"/>
      <c r="N911" s="224"/>
      <c r="O911" s="224"/>
    </row>
    <row r="912" spans="3:15" x14ac:dyDescent="0.55000000000000004">
      <c r="C912" s="124"/>
      <c r="H912" s="125"/>
      <c r="J912" s="224"/>
      <c r="K912" s="224"/>
      <c r="L912" s="224"/>
      <c r="M912" s="224"/>
      <c r="N912" s="224"/>
      <c r="O912" s="224"/>
    </row>
    <row r="913" spans="3:15" x14ac:dyDescent="0.55000000000000004">
      <c r="C913" s="124"/>
      <c r="H913" s="125"/>
      <c r="J913" s="224"/>
      <c r="K913" s="224"/>
      <c r="L913" s="224"/>
      <c r="M913" s="224"/>
      <c r="N913" s="224"/>
      <c r="O913" s="224"/>
    </row>
    <row r="914" spans="3:15" x14ac:dyDescent="0.55000000000000004">
      <c r="C914" s="124"/>
      <c r="H914" s="125"/>
      <c r="J914" s="224"/>
      <c r="K914" s="224"/>
      <c r="L914" s="224"/>
      <c r="M914" s="224"/>
      <c r="N914" s="224"/>
      <c r="O914" s="224"/>
    </row>
    <row r="915" spans="3:15" x14ac:dyDescent="0.55000000000000004">
      <c r="C915" s="124"/>
      <c r="H915" s="125"/>
      <c r="J915" s="224"/>
      <c r="K915" s="224"/>
      <c r="L915" s="224"/>
      <c r="M915" s="224"/>
      <c r="N915" s="224"/>
      <c r="O915" s="224"/>
    </row>
    <row r="916" spans="3:15" x14ac:dyDescent="0.55000000000000004">
      <c r="C916" s="124"/>
      <c r="H916" s="125"/>
      <c r="J916" s="224"/>
      <c r="K916" s="224"/>
      <c r="L916" s="224"/>
      <c r="M916" s="224"/>
      <c r="N916" s="224"/>
      <c r="O916" s="224"/>
    </row>
    <row r="917" spans="3:15" x14ac:dyDescent="0.55000000000000004">
      <c r="C917" s="124"/>
      <c r="H917" s="125"/>
      <c r="J917" s="224"/>
      <c r="K917" s="224"/>
      <c r="L917" s="224"/>
      <c r="M917" s="224"/>
      <c r="N917" s="224"/>
      <c r="O917" s="224"/>
    </row>
    <row r="918" spans="3:15" x14ac:dyDescent="0.55000000000000004">
      <c r="C918" s="124"/>
      <c r="H918" s="125"/>
      <c r="J918" s="224"/>
      <c r="K918" s="224"/>
      <c r="L918" s="224"/>
      <c r="M918" s="224"/>
      <c r="N918" s="224"/>
      <c r="O918" s="224"/>
    </row>
    <row r="919" spans="3:15" x14ac:dyDescent="0.55000000000000004">
      <c r="C919" s="124"/>
      <c r="H919" s="125"/>
      <c r="J919" s="224"/>
      <c r="K919" s="224"/>
      <c r="L919" s="224"/>
      <c r="M919" s="224"/>
      <c r="N919" s="224"/>
      <c r="O919" s="224"/>
    </row>
    <row r="920" spans="3:15" ht="14.7" thickBot="1" x14ac:dyDescent="0.6">
      <c r="C920" s="130"/>
      <c r="D920" s="131"/>
      <c r="E920" s="131"/>
      <c r="F920" s="131"/>
      <c r="G920" s="131"/>
      <c r="H920" s="132"/>
      <c r="J920" s="224"/>
      <c r="K920" s="224"/>
      <c r="L920" s="224"/>
      <c r="M920" s="224"/>
      <c r="N920" s="224"/>
      <c r="O920" s="224"/>
    </row>
    <row r="921" spans="3:15" x14ac:dyDescent="0.55000000000000004">
      <c r="J921" s="224"/>
      <c r="K921" s="224"/>
      <c r="L921" s="224"/>
      <c r="M921" s="224"/>
      <c r="N921" s="224"/>
      <c r="O921" s="224"/>
    </row>
    <row r="922" spans="3:15" ht="14.7" thickBot="1" x14ac:dyDescent="0.6">
      <c r="J922" s="224"/>
      <c r="K922" s="224"/>
      <c r="L922" s="224"/>
      <c r="M922" s="224"/>
      <c r="N922" s="224"/>
      <c r="O922" s="224"/>
    </row>
    <row r="923" spans="3:15" x14ac:dyDescent="0.55000000000000004">
      <c r="C923" s="121"/>
      <c r="D923" s="122"/>
      <c r="E923" s="122"/>
      <c r="F923" s="122"/>
      <c r="G923" s="122"/>
      <c r="H923" s="123"/>
      <c r="J923" s="224"/>
      <c r="K923" s="224"/>
      <c r="L923" s="224"/>
      <c r="M923" s="224"/>
      <c r="N923" s="224"/>
      <c r="O923" s="224"/>
    </row>
    <row r="924" spans="3:15" ht="15.6" x14ac:dyDescent="0.6">
      <c r="C924" s="124"/>
      <c r="D924" s="98">
        <f>'2 Customer data'!D106</f>
        <v>0</v>
      </c>
      <c r="H924" s="125"/>
      <c r="J924" s="224"/>
      <c r="K924" s="224"/>
      <c r="L924" s="224"/>
      <c r="M924" s="224"/>
      <c r="N924" s="224"/>
      <c r="O924" s="224"/>
    </row>
    <row r="925" spans="3:15" x14ac:dyDescent="0.55000000000000004">
      <c r="C925" s="124"/>
      <c r="H925" s="125"/>
      <c r="J925" s="224"/>
      <c r="K925" s="224"/>
      <c r="L925" s="224"/>
      <c r="M925" s="224"/>
      <c r="N925" s="224"/>
      <c r="O925" s="224"/>
    </row>
    <row r="926" spans="3:15" x14ac:dyDescent="0.55000000000000004">
      <c r="C926" s="124"/>
      <c r="E926" s="220" t="s">
        <v>250</v>
      </c>
      <c r="H926" s="125"/>
      <c r="J926" s="224"/>
      <c r="K926" s="224"/>
      <c r="L926" s="224"/>
      <c r="M926" s="224"/>
      <c r="N926" s="224"/>
      <c r="O926" s="224"/>
    </row>
    <row r="927" spans="3:15" x14ac:dyDescent="0.55000000000000004">
      <c r="C927" s="124"/>
      <c r="D927" t="s">
        <v>393</v>
      </c>
      <c r="E927" s="26">
        <f ca="1">VLOOKUP(D924,'2 Electricity'!$D$21:$L$40,6,FALSE)</f>
        <v>0</v>
      </c>
      <c r="H927" s="125"/>
      <c r="J927" s="224"/>
      <c r="K927" s="224"/>
      <c r="L927" s="224"/>
      <c r="M927" s="224"/>
      <c r="N927" s="224"/>
      <c r="O927" s="224"/>
    </row>
    <row r="928" spans="3:15" x14ac:dyDescent="0.55000000000000004">
      <c r="C928" s="124"/>
      <c r="D928" t="s">
        <v>249</v>
      </c>
      <c r="E928" s="99">
        <f ca="1">VLOOKUP(D924,'2 Electricity'!$D$21:$L$40,7,FALSE)</f>
        <v>0</v>
      </c>
      <c r="H928" s="125"/>
      <c r="J928" s="224"/>
      <c r="K928" s="224"/>
      <c r="L928" s="224"/>
      <c r="M928" s="224"/>
      <c r="N928" s="224"/>
      <c r="O928" s="224"/>
    </row>
    <row r="929" spans="3:15" x14ac:dyDescent="0.55000000000000004">
      <c r="C929" s="124"/>
      <c r="D929" t="s">
        <v>52</v>
      </c>
      <c r="E929" s="26">
        <f ca="1">VLOOKUP(D924,'2 Electricity'!$D$21:$L$40,8,FALSE)</f>
        <v>0</v>
      </c>
      <c r="H929" s="125"/>
      <c r="J929" s="224"/>
      <c r="K929" s="224"/>
      <c r="L929" s="224"/>
      <c r="M929" s="224"/>
      <c r="N929" s="224"/>
      <c r="O929" s="224"/>
    </row>
    <row r="930" spans="3:15" ht="14.7" thickBot="1" x14ac:dyDescent="0.6">
      <c r="C930" s="124"/>
      <c r="D930" s="1" t="s">
        <v>39</v>
      </c>
      <c r="E930" s="37">
        <f ca="1">VLOOKUP(D924,'2 Electricity'!D$21:L$40,9,FALSE)</f>
        <v>0</v>
      </c>
      <c r="H930" s="125"/>
      <c r="J930" s="224"/>
      <c r="K930" s="224"/>
      <c r="L930" s="224"/>
      <c r="M930" s="224"/>
      <c r="N930" s="224"/>
      <c r="O930" s="224"/>
    </row>
    <row r="931" spans="3:15" ht="14.7" thickTop="1" x14ac:dyDescent="0.55000000000000004">
      <c r="C931" s="124"/>
      <c r="H931" s="125"/>
      <c r="J931" s="224"/>
      <c r="K931" s="224"/>
      <c r="L931" s="224"/>
      <c r="M931" s="224"/>
      <c r="N931" s="224"/>
      <c r="O931" s="224"/>
    </row>
    <row r="932" spans="3:15" x14ac:dyDescent="0.55000000000000004">
      <c r="C932" s="124"/>
      <c r="D932" t="s">
        <v>189</v>
      </c>
      <c r="E932" s="26">
        <f>IFERROR(IF(VLOOKUP(D924,'2 Electricity'!$D$126:$K$145,7,FALSE)="",VLOOKUP('2 Electricity'!$D$126:$K$145,6,FALSE),VLOOKUP(D924,'2 Electricity'!$D$126:$K$145,7,FALSE))+VLOOKUP(D924,'2 Electricity'!$D$157:$J$176,5,FALSE),0)</f>
        <v>0</v>
      </c>
      <c r="H932" s="125"/>
      <c r="J932" s="224"/>
      <c r="K932" s="224"/>
      <c r="L932" s="224"/>
      <c r="M932" s="224"/>
      <c r="N932" s="224"/>
      <c r="O932" s="224"/>
    </row>
    <row r="933" spans="3:15" x14ac:dyDescent="0.55000000000000004">
      <c r="C933" s="124"/>
      <c r="H933" s="125"/>
      <c r="J933" s="224"/>
      <c r="K933" s="224"/>
      <c r="L933" s="224"/>
      <c r="M933" s="224"/>
      <c r="N933" s="224"/>
      <c r="O933" s="224"/>
    </row>
    <row r="934" spans="3:15" x14ac:dyDescent="0.55000000000000004">
      <c r="C934" s="124"/>
      <c r="D934" t="s">
        <v>371</v>
      </c>
      <c r="E934" s="64">
        <f ca="1">IF(VLOOKUP(D924,'2 Electricity'!$D$56:$M$75,5,FALSE)="",VLOOKUP(D924,'2 Electricity'!$D$56:$M$75,4,FALSE),VLOOKUP(D924,'2 Electricity'!$D$56:$M$75,5,FALSE))</f>
        <v>0</v>
      </c>
      <c r="H934" s="125"/>
      <c r="J934" s="224"/>
      <c r="K934" s="224"/>
      <c r="L934" s="224"/>
      <c r="M934" s="224"/>
      <c r="N934" s="224"/>
      <c r="O934" s="224"/>
    </row>
    <row r="935" spans="3:15" x14ac:dyDescent="0.55000000000000004">
      <c r="C935" s="124"/>
      <c r="D935" t="s">
        <v>372</v>
      </c>
      <c r="E935" s="26">
        <f ca="1">IF(VLOOKUP(D924,'2 Electricity'!$D$56:$M$75,7,FALSE)="",VLOOKUP(D924,'2 Electricity'!$D$56:$M$75,6,FALSE),VLOOKUP(D924,'2 Electricity'!$D$56:$M$75,7,FALSE))</f>
        <v>0</v>
      </c>
      <c r="H935" s="125"/>
      <c r="J935" s="224"/>
      <c r="K935" s="224"/>
      <c r="L935" s="224"/>
      <c r="M935" s="224"/>
      <c r="N935" s="224"/>
      <c r="O935" s="224"/>
    </row>
    <row r="936" spans="3:15" x14ac:dyDescent="0.55000000000000004">
      <c r="C936" s="124"/>
      <c r="D936" t="s">
        <v>373</v>
      </c>
      <c r="E936" s="26">
        <f ca="1">IF(VLOOKUP(D924,'2 Electricity'!$D$56:$M$75,9,FALSE)="",VLOOKUP(D924,'2 Electricity'!$D$56:$M$75,8,FALSE),VLOOKUP(D924,'2 Electricity'!$D$56:$M$75,9,FALSE))</f>
        <v>0</v>
      </c>
      <c r="H936" s="125"/>
      <c r="J936" s="224"/>
      <c r="K936" s="224"/>
      <c r="L936" s="224"/>
      <c r="M936" s="224"/>
      <c r="N936" s="224"/>
      <c r="O936" s="224"/>
    </row>
    <row r="937" spans="3:15" x14ac:dyDescent="0.55000000000000004">
      <c r="C937" s="124"/>
      <c r="D937" t="s">
        <v>374</v>
      </c>
      <c r="E937" s="26">
        <f ca="1">IF(VLOOKUP(D924,'2 Electricity'!$D$92:$I$111,5,FALSE)="",VLOOKUP(D924,'2 Electricity'!$D$92:$I$111,4,FALSE),VLOOKUP(D924,'2 Electricity'!$D$92:$I$111,5,FALSE))</f>
        <v>0</v>
      </c>
      <c r="H937" s="125"/>
      <c r="J937" s="224"/>
      <c r="K937" s="224"/>
      <c r="L937" s="224"/>
      <c r="M937" s="224"/>
      <c r="N937" s="224"/>
      <c r="O937" s="224"/>
    </row>
    <row r="938" spans="3:15" ht="14.7" thickBot="1" x14ac:dyDescent="0.6">
      <c r="C938" s="124"/>
      <c r="D938" s="1" t="s">
        <v>145</v>
      </c>
      <c r="E938" s="37">
        <f ca="1">SUM(E934:E937)</f>
        <v>0</v>
      </c>
      <c r="H938" s="125"/>
      <c r="J938" s="224"/>
      <c r="K938" s="224"/>
      <c r="L938" s="224"/>
      <c r="M938" s="224"/>
      <c r="N938" s="224"/>
      <c r="O938" s="224"/>
    </row>
    <row r="939" spans="3:15" ht="14.7" thickTop="1" x14ac:dyDescent="0.55000000000000004">
      <c r="C939" s="124"/>
      <c r="D939" s="1"/>
      <c r="E939" s="15"/>
      <c r="H939" s="125"/>
      <c r="J939" s="224"/>
      <c r="K939" s="224"/>
      <c r="L939" s="224"/>
      <c r="M939" s="224"/>
      <c r="N939" s="224"/>
      <c r="O939" s="224"/>
    </row>
    <row r="940" spans="3:15" x14ac:dyDescent="0.55000000000000004">
      <c r="C940" s="124"/>
      <c r="D940" t="s">
        <v>384</v>
      </c>
      <c r="E940" s="26">
        <f ca="1">IF(VLOOKUP(D924,'2 Electricity'!$D$126:$K$145,5,FALSE)="",VLOOKUP(D924,'2 Electricity'!$D$126:$K$145,4,FALSE),VLOOKUP(D924,'2 Electricity'!$D$126:$K$145,5,FALSE))+VLOOKUP(D924,'2 Electricity'!$D$157:$J$176,7,FALSE)</f>
        <v>0</v>
      </c>
      <c r="H940" s="125"/>
      <c r="J940" s="224"/>
      <c r="K940" s="224"/>
      <c r="L940" s="224"/>
      <c r="M940" s="224"/>
      <c r="N940" s="224"/>
      <c r="O940" s="224"/>
    </row>
    <row r="941" spans="3:15" x14ac:dyDescent="0.55000000000000004">
      <c r="C941" s="124"/>
      <c r="H941" s="125"/>
      <c r="J941" s="224"/>
      <c r="K941" s="224"/>
      <c r="L941" s="224"/>
      <c r="M941" s="224"/>
      <c r="N941" s="224"/>
      <c r="O941" s="224"/>
    </row>
    <row r="942" spans="3:15" ht="14.7" thickBot="1" x14ac:dyDescent="0.6">
      <c r="C942" s="124"/>
      <c r="D942" s="1" t="s">
        <v>375</v>
      </c>
      <c r="E942" s="37">
        <f ca="1">VLOOKUP(D924,'2 Electricity'!$D$157:$K$176,8,FALSE)</f>
        <v>0</v>
      </c>
      <c r="H942" s="125"/>
      <c r="J942" s="224"/>
      <c r="K942" s="224"/>
      <c r="L942" s="224"/>
      <c r="M942" s="224"/>
      <c r="N942" s="224"/>
      <c r="O942" s="224"/>
    </row>
    <row r="943" spans="3:15" ht="14.7" thickTop="1" x14ac:dyDescent="0.55000000000000004">
      <c r="C943" s="124"/>
      <c r="H943" s="125"/>
      <c r="J943" s="224"/>
      <c r="K943" s="224"/>
      <c r="L943" s="224"/>
      <c r="M943" s="224"/>
      <c r="N943" s="224"/>
      <c r="O943" s="224"/>
    </row>
    <row r="944" spans="3:15" x14ac:dyDescent="0.55000000000000004">
      <c r="C944" s="124"/>
      <c r="H944" s="125"/>
      <c r="J944" s="224"/>
      <c r="K944" s="224"/>
      <c r="L944" s="224"/>
      <c r="M944" s="224"/>
      <c r="N944" s="224"/>
      <c r="O944" s="224"/>
    </row>
    <row r="945" spans="3:15" x14ac:dyDescent="0.55000000000000004">
      <c r="C945" s="124"/>
      <c r="H945" s="125"/>
      <c r="J945" s="224"/>
      <c r="K945" s="224"/>
      <c r="L945" s="224"/>
      <c r="M945" s="224"/>
      <c r="N945" s="224"/>
      <c r="O945" s="224"/>
    </row>
    <row r="946" spans="3:15" x14ac:dyDescent="0.55000000000000004">
      <c r="C946" s="124"/>
      <c r="H946" s="125"/>
      <c r="J946" s="224"/>
      <c r="K946" s="224"/>
      <c r="L946" s="224"/>
      <c r="M946" s="224"/>
      <c r="N946" s="224"/>
      <c r="O946" s="224"/>
    </row>
    <row r="947" spans="3:15" x14ac:dyDescent="0.55000000000000004">
      <c r="C947" s="124"/>
      <c r="H947" s="125"/>
      <c r="J947" s="232" t="s">
        <v>385</v>
      </c>
      <c r="K947" s="224"/>
      <c r="L947" s="224"/>
      <c r="M947" s="224"/>
      <c r="N947" s="224"/>
      <c r="O947" s="224"/>
    </row>
    <row r="948" spans="3:15" x14ac:dyDescent="0.55000000000000004">
      <c r="C948" s="124"/>
      <c r="H948" s="125"/>
      <c r="J948" s="110"/>
      <c r="K948" s="102" t="s">
        <v>390</v>
      </c>
      <c r="L948" s="102" t="s">
        <v>391</v>
      </c>
      <c r="M948" s="224"/>
      <c r="N948" s="224"/>
      <c r="O948" s="224"/>
    </row>
    <row r="949" spans="3:15" x14ac:dyDescent="0.55000000000000004">
      <c r="C949" s="124"/>
      <c r="H949" s="125"/>
      <c r="J949" s="110" t="s">
        <v>393</v>
      </c>
      <c r="K949" s="100">
        <f ca="1">E927/1000</f>
        <v>0</v>
      </c>
      <c r="L949" s="102"/>
      <c r="M949" s="224"/>
      <c r="N949" s="224"/>
      <c r="O949" s="224"/>
    </row>
    <row r="950" spans="3:15" x14ac:dyDescent="0.55000000000000004">
      <c r="C950" s="124"/>
      <c r="H950" s="125"/>
      <c r="J950" s="110" t="s">
        <v>249</v>
      </c>
      <c r="K950" s="100">
        <f ca="1">E928/1000</f>
        <v>0</v>
      </c>
      <c r="L950" s="110"/>
      <c r="M950" s="224"/>
      <c r="N950" s="224"/>
      <c r="O950" s="224"/>
    </row>
    <row r="951" spans="3:15" x14ac:dyDescent="0.55000000000000004">
      <c r="C951" s="124"/>
      <c r="H951" s="125"/>
      <c r="J951" s="110" t="s">
        <v>52</v>
      </c>
      <c r="K951" s="100">
        <f ca="1">E929/1000</f>
        <v>0</v>
      </c>
      <c r="L951" s="110"/>
      <c r="M951" s="224"/>
      <c r="N951" s="224"/>
      <c r="O951" s="224"/>
    </row>
    <row r="952" spans="3:15" x14ac:dyDescent="0.55000000000000004">
      <c r="C952" s="124"/>
      <c r="H952" s="125"/>
      <c r="J952" s="110" t="s">
        <v>471</v>
      </c>
      <c r="K952" s="100">
        <f>E932/1000</f>
        <v>0</v>
      </c>
      <c r="L952" s="110"/>
      <c r="M952" s="224"/>
      <c r="N952" s="224"/>
      <c r="O952" s="224"/>
    </row>
    <row r="953" spans="3:15" x14ac:dyDescent="0.55000000000000004">
      <c r="C953" s="124"/>
      <c r="H953" s="125"/>
      <c r="J953" s="110" t="s">
        <v>563</v>
      </c>
      <c r="K953" s="100"/>
      <c r="L953" s="101">
        <f ca="1">E942/1000</f>
        <v>0</v>
      </c>
      <c r="M953" s="224"/>
      <c r="N953" s="224"/>
      <c r="O953" s="224"/>
    </row>
    <row r="954" spans="3:15" x14ac:dyDescent="0.55000000000000004">
      <c r="C954" s="124"/>
      <c r="H954" s="125"/>
      <c r="J954" s="110" t="s">
        <v>564</v>
      </c>
      <c r="K954" s="100"/>
      <c r="L954" s="101">
        <f ca="1">E937/1000</f>
        <v>0</v>
      </c>
      <c r="M954" s="224"/>
      <c r="N954" s="224"/>
      <c r="O954" s="224"/>
    </row>
    <row r="955" spans="3:15" x14ac:dyDescent="0.55000000000000004">
      <c r="C955" s="124"/>
      <c r="H955" s="125"/>
      <c r="J955" s="110" t="s">
        <v>565</v>
      </c>
      <c r="K955" s="100"/>
      <c r="L955" s="101">
        <f ca="1">SUM(E934:E936)/1000</f>
        <v>0</v>
      </c>
      <c r="M955" s="224"/>
      <c r="N955" s="224"/>
      <c r="O955" s="224"/>
    </row>
    <row r="956" spans="3:15" x14ac:dyDescent="0.55000000000000004">
      <c r="C956" s="124"/>
      <c r="H956" s="125"/>
      <c r="J956" s="110" t="s">
        <v>566</v>
      </c>
      <c r="K956" s="100"/>
      <c r="L956" s="101">
        <f ca="1">E940/1000</f>
        <v>0</v>
      </c>
      <c r="M956" s="224"/>
      <c r="N956" s="224"/>
      <c r="O956" s="224"/>
    </row>
    <row r="957" spans="3:15" x14ac:dyDescent="0.55000000000000004">
      <c r="C957" s="124"/>
      <c r="H957" s="125"/>
      <c r="J957" s="224"/>
      <c r="K957" s="224"/>
      <c r="L957" s="224"/>
      <c r="M957" s="224"/>
      <c r="N957" s="224"/>
      <c r="O957" s="224"/>
    </row>
    <row r="958" spans="3:15" x14ac:dyDescent="0.55000000000000004">
      <c r="C958" s="124"/>
      <c r="H958" s="125"/>
      <c r="J958" s="224"/>
      <c r="K958" s="224"/>
      <c r="L958" s="224"/>
      <c r="M958" s="224"/>
      <c r="N958" s="224"/>
      <c r="O958" s="224"/>
    </row>
    <row r="959" spans="3:15" x14ac:dyDescent="0.55000000000000004">
      <c r="C959" s="124"/>
      <c r="H959" s="125"/>
      <c r="J959" s="224"/>
      <c r="K959" s="224"/>
      <c r="L959" s="224"/>
      <c r="M959" s="224"/>
      <c r="N959" s="224"/>
      <c r="O959" s="224"/>
    </row>
    <row r="960" spans="3:15" x14ac:dyDescent="0.55000000000000004">
      <c r="C960" s="124"/>
      <c r="H960" s="125"/>
      <c r="J960" s="224"/>
      <c r="K960" s="224"/>
      <c r="L960" s="224"/>
      <c r="M960" s="224"/>
      <c r="N960" s="224"/>
      <c r="O960" s="224"/>
    </row>
    <row r="961" spans="3:15" x14ac:dyDescent="0.55000000000000004">
      <c r="C961" s="124"/>
      <c r="E961" s="220" t="s">
        <v>250</v>
      </c>
      <c r="H961" s="125"/>
      <c r="J961" s="224"/>
      <c r="K961" s="224"/>
      <c r="L961" s="224"/>
      <c r="M961" s="224"/>
      <c r="N961" s="224"/>
      <c r="O961" s="224"/>
    </row>
    <row r="962" spans="3:15" x14ac:dyDescent="0.55000000000000004">
      <c r="C962" s="124"/>
      <c r="D962" t="s">
        <v>394</v>
      </c>
      <c r="E962" s="64">
        <f ca="1">VLOOKUP(D924,'2 Electricity'!$D$157:$M$176,10,FALSE)</f>
        <v>0</v>
      </c>
      <c r="H962" s="125"/>
      <c r="J962" s="224"/>
      <c r="K962" s="224"/>
      <c r="L962" s="224"/>
      <c r="M962" s="224"/>
      <c r="N962" s="224"/>
      <c r="O962" s="224"/>
    </row>
    <row r="963" spans="3:15" x14ac:dyDescent="0.55000000000000004">
      <c r="C963" s="124"/>
      <c r="D963" t="s">
        <v>395</v>
      </c>
      <c r="E963" s="64">
        <f ca="1">VLOOKUP(D924,'2 Electricity'!$D$157:$M$176,9,FALSE)</f>
        <v>0</v>
      </c>
      <c r="H963" s="125"/>
      <c r="J963" s="224"/>
      <c r="K963" s="224"/>
      <c r="L963" s="224"/>
      <c r="M963" s="224"/>
      <c r="N963" s="224"/>
      <c r="O963" s="224"/>
    </row>
    <row r="964" spans="3:15" x14ac:dyDescent="0.55000000000000004">
      <c r="C964" s="124"/>
      <c r="D964" t="s">
        <v>378</v>
      </c>
      <c r="E964" s="97">
        <f ca="1">IFERROR(IF(E932=0,E940,E932)/E930,0)</f>
        <v>0</v>
      </c>
      <c r="H964" s="125"/>
      <c r="J964" s="224"/>
      <c r="K964" s="224"/>
      <c r="L964" s="224"/>
      <c r="M964" s="224"/>
      <c r="N964" s="224"/>
      <c r="O964" s="224"/>
    </row>
    <row r="965" spans="3:15" x14ac:dyDescent="0.55000000000000004">
      <c r="C965" s="124"/>
      <c r="H965" s="125"/>
      <c r="J965" s="224"/>
      <c r="K965" s="224"/>
      <c r="L965" s="224"/>
      <c r="M965" s="224"/>
      <c r="N965" s="224"/>
      <c r="O965" s="224"/>
    </row>
    <row r="966" spans="3:15" x14ac:dyDescent="0.55000000000000004">
      <c r="C966" s="124"/>
      <c r="D966" t="s">
        <v>379</v>
      </c>
      <c r="E966" s="26">
        <f>'3 Electricity'!I832</f>
        <v>0</v>
      </c>
      <c r="H966" s="125"/>
      <c r="J966" s="224"/>
      <c r="K966" s="224"/>
      <c r="L966" s="224"/>
      <c r="M966" s="224"/>
      <c r="N966" s="224"/>
      <c r="O966" s="224"/>
    </row>
    <row r="967" spans="3:15" x14ac:dyDescent="0.55000000000000004">
      <c r="C967" s="124"/>
      <c r="D967" t="s">
        <v>380</v>
      </c>
      <c r="E967" s="97">
        <f ca="1">IFERROR('3 Electricity'!J832/'3 Electricity'!G832,0)</f>
        <v>0</v>
      </c>
      <c r="H967" s="125"/>
      <c r="J967" s="224"/>
      <c r="K967" s="224"/>
      <c r="L967" s="224"/>
      <c r="M967" s="224"/>
      <c r="N967" s="224"/>
      <c r="O967" s="224"/>
    </row>
    <row r="968" spans="3:15" x14ac:dyDescent="0.55000000000000004">
      <c r="C968" s="124"/>
      <c r="H968" s="125"/>
      <c r="J968" s="224"/>
      <c r="K968" s="224"/>
      <c r="L968" s="224"/>
      <c r="M968" s="224"/>
      <c r="N968" s="224"/>
      <c r="O968" s="224"/>
    </row>
    <row r="969" spans="3:15" x14ac:dyDescent="0.55000000000000004">
      <c r="C969" s="124"/>
      <c r="D969" s="1" t="s">
        <v>381</v>
      </c>
      <c r="H969" s="125"/>
      <c r="J969" s="224"/>
      <c r="K969" s="224"/>
      <c r="L969" s="224"/>
      <c r="M969" s="224"/>
      <c r="N969" s="224"/>
      <c r="O969" s="224"/>
    </row>
    <row r="970" spans="3:15" x14ac:dyDescent="0.55000000000000004">
      <c r="C970" s="124"/>
      <c r="D970" s="1" t="str">
        <f>'3 Electricity'!G840</f>
        <v xml:space="preserve">Annual </v>
      </c>
      <c r="H970" s="125"/>
      <c r="J970" s="224"/>
      <c r="K970" s="224"/>
      <c r="L970" s="224"/>
      <c r="M970" s="224"/>
      <c r="N970" s="224"/>
      <c r="O970" s="224"/>
    </row>
    <row r="971" spans="3:15" x14ac:dyDescent="0.55000000000000004">
      <c r="C971" s="124"/>
      <c r="H971" s="125"/>
      <c r="J971" s="224"/>
      <c r="K971" s="224"/>
      <c r="L971" s="224"/>
      <c r="M971" s="224"/>
      <c r="N971" s="224"/>
      <c r="O971" s="224"/>
    </row>
    <row r="972" spans="3:15" x14ac:dyDescent="0.55000000000000004">
      <c r="C972" s="124"/>
      <c r="H972" s="125"/>
      <c r="J972" s="224"/>
      <c r="K972" s="224"/>
      <c r="L972" s="224"/>
      <c r="M972" s="224"/>
      <c r="N972" s="224" t="s">
        <v>89</v>
      </c>
      <c r="O972" s="224"/>
    </row>
    <row r="973" spans="3:15" x14ac:dyDescent="0.55000000000000004">
      <c r="C973" s="124"/>
      <c r="H973" s="125"/>
      <c r="J973" s="224"/>
      <c r="K973" s="224"/>
      <c r="L973" s="224"/>
      <c r="M973" s="224"/>
      <c r="N973" s="224"/>
      <c r="O973" s="224"/>
    </row>
    <row r="974" spans="3:15" ht="28.8" x14ac:dyDescent="0.55000000000000004">
      <c r="C974" s="124"/>
      <c r="H974" s="125"/>
      <c r="J974" s="229" t="s">
        <v>383</v>
      </c>
      <c r="K974" s="229" t="s">
        <v>382</v>
      </c>
      <c r="L974" s="108" t="str">
        <f>IF(D970=N972,"Annual Tariff","Low Season Tariff")</f>
        <v>Annual Tariff</v>
      </c>
      <c r="M974" s="109" t="str">
        <f>IF(D970=N972,"","High Season Tariff")</f>
        <v/>
      </c>
      <c r="N974" s="108" t="s">
        <v>392</v>
      </c>
      <c r="O974" s="229" t="s">
        <v>580</v>
      </c>
    </row>
    <row r="975" spans="3:15" x14ac:dyDescent="0.55000000000000004">
      <c r="C975" s="124"/>
      <c r="H975" s="125"/>
      <c r="J975" s="102">
        <v>1</v>
      </c>
      <c r="K975" s="102">
        <f>IFERROR(IF('3 Electricity'!$G$840='3 Electricity'!$V$840,VLOOKUP('Electricity report'!J975,'3 Electricity'!$F$851:$K$855,3,FALSE),VLOOKUP('Electricity report'!J975,'3 Electricity'!$F$870:$N$874,3,FALSE)),0)</f>
        <v>0</v>
      </c>
      <c r="L975" s="103">
        <f ca="1">IFERROR(IF('3 Electricity'!$G$840='3 Electricity'!$V$840,VLOOKUP('Electricity report'!J975,'3 Electricity'!$F$851:$K$855,6,FALSE),VLOOKUP('Electricity report'!J975,'3 Electricity'!$F$870:$N$874,9,FALSE)),0)</f>
        <v>0</v>
      </c>
      <c r="M975" s="105" t="str">
        <f>IF($D$970=$N$972,"",VLOOKUP(J975,'3 Electricity'!$F$870:$N$874,8,FALSE))</f>
        <v/>
      </c>
      <c r="N975" s="107">
        <f ca="1">$E$962</f>
        <v>0</v>
      </c>
      <c r="O975" s="105">
        <f ca="1">IFERROR('3 Electricity'!J824/'3 Electricity'!H824,0)</f>
        <v>0</v>
      </c>
    </row>
    <row r="976" spans="3:15" x14ac:dyDescent="0.55000000000000004">
      <c r="C976" s="124"/>
      <c r="H976" s="125"/>
      <c r="J976" s="102">
        <v>2</v>
      </c>
      <c r="K976" s="102">
        <f>IFERROR(IF('3 Electricity'!$G$840='3 Electricity'!$V$840,VLOOKUP('Electricity report'!J976,'3 Electricity'!$F$851:$K$855,3,FALSE),VLOOKUP('Electricity report'!J976,'3 Electricity'!$F$870:$N$874,3,FALSE)),0)</f>
        <v>0</v>
      </c>
      <c r="L976" s="103">
        <f ca="1">IFERROR(IF('3 Electricity'!$G$840='3 Electricity'!$V$840,VLOOKUP('Electricity report'!J976,'3 Electricity'!$F$851:$K$855,6,FALSE),VLOOKUP('Electricity report'!J976,'3 Electricity'!$F$870:$N$874,9,FALSE)),0)</f>
        <v>0</v>
      </c>
      <c r="M976" s="105" t="str">
        <f>IF($D$970=$N$972,"",VLOOKUP(J976,'3 Electricity'!$F$870:$N$874,8,FALSE))</f>
        <v/>
      </c>
      <c r="N976" s="107">
        <f ca="1">$E$962</f>
        <v>0</v>
      </c>
      <c r="O976" s="107">
        <f ca="1">$O$975</f>
        <v>0</v>
      </c>
    </row>
    <row r="977" spans="3:15" x14ac:dyDescent="0.55000000000000004">
      <c r="C977" s="124"/>
      <c r="H977" s="125"/>
      <c r="J977" s="102">
        <v>3</v>
      </c>
      <c r="K977" s="102">
        <f>IFERROR(IF('3 Electricity'!$G$840='3 Electricity'!$V$840,VLOOKUP('Electricity report'!J977,'3 Electricity'!$F$851:$K$855,3,FALSE),VLOOKUP('Electricity report'!J977,'3 Electricity'!$F$870:$N$874,3,FALSE)),0)</f>
        <v>0</v>
      </c>
      <c r="L977" s="103">
        <f ca="1">IFERROR(IF('3 Electricity'!$G$840='3 Electricity'!$V$840,VLOOKUP('Electricity report'!J977,'3 Electricity'!$F$851:$K$855,6,FALSE),VLOOKUP('Electricity report'!J977,'3 Electricity'!$F$870:$N$874,9,FALSE)),0)</f>
        <v>0</v>
      </c>
      <c r="M977" s="105" t="str">
        <f>IF($D$970=$N$972,"",VLOOKUP(J977,'3 Electricity'!$F$870:$N$874,8,FALSE))</f>
        <v/>
      </c>
      <c r="N977" s="107">
        <f ca="1">$E$962</f>
        <v>0</v>
      </c>
      <c r="O977" s="107">
        <f ca="1">$O$975</f>
        <v>0</v>
      </c>
    </row>
    <row r="978" spans="3:15" x14ac:dyDescent="0.55000000000000004">
      <c r="C978" s="124"/>
      <c r="H978" s="125"/>
      <c r="J978" s="102">
        <v>4</v>
      </c>
      <c r="K978" s="102">
        <f>IFERROR(IF('3 Electricity'!$G$840='3 Electricity'!$V$840,VLOOKUP('Electricity report'!J978,'3 Electricity'!$F$851:$K$855,3,FALSE),VLOOKUP('Electricity report'!J978,'3 Electricity'!$F$870:$N$874,3,FALSE)),0)</f>
        <v>0</v>
      </c>
      <c r="L978" s="103">
        <f ca="1">IFERROR(IF('3 Electricity'!$G$840='3 Electricity'!$V$840,VLOOKUP('Electricity report'!J978,'3 Electricity'!$F$851:$K$855,6,FALSE),VLOOKUP('Electricity report'!J978,'3 Electricity'!$F$870:$N$874,9,FALSE)),0)</f>
        <v>0</v>
      </c>
      <c r="M978" s="105" t="str">
        <f>IF($D$970=$N$972,"",VLOOKUP(J978,'3 Electricity'!$F$870:$N$874,8,FALSE))</f>
        <v/>
      </c>
      <c r="N978" s="107">
        <f ca="1">$E$962</f>
        <v>0</v>
      </c>
      <c r="O978" s="107">
        <f ca="1">$O$975</f>
        <v>0</v>
      </c>
    </row>
    <row r="979" spans="3:15" x14ac:dyDescent="0.55000000000000004">
      <c r="C979" s="124"/>
      <c r="H979" s="125"/>
      <c r="J979" s="102">
        <v>5</v>
      </c>
      <c r="K979" s="102" t="str">
        <f>IFERROR(IF('3 Electricity'!$G$840='3 Electricity'!$V$840,VLOOKUP('Electricity report'!J979,'3 Electricity'!$F$851:$K$855,3,FALSE),VLOOKUP('Electricity report'!J979,'3 Electricity'!$F$870:$N$874,3,FALSE)),0)</f>
        <v>More</v>
      </c>
      <c r="L979" s="103">
        <f ca="1">IFERROR(IF('3 Electricity'!$G$840='3 Electricity'!$V$840,VLOOKUP('Electricity report'!J979,'3 Electricity'!$F$851:$K$855,6,FALSE),VLOOKUP('Electricity report'!J979,'3 Electricity'!$F$870:$N$874,9,FALSE)),0)</f>
        <v>0</v>
      </c>
      <c r="M979" s="105" t="str">
        <f>IF($D$970=$N$972,"",VLOOKUP(J979,'3 Electricity'!$F$870:$N$874,8,FALSE))</f>
        <v/>
      </c>
      <c r="N979" s="107">
        <f ca="1">$E$962</f>
        <v>0</v>
      </c>
      <c r="O979" s="107">
        <f ca="1">$O$975</f>
        <v>0</v>
      </c>
    </row>
    <row r="980" spans="3:15" x14ac:dyDescent="0.55000000000000004">
      <c r="C980" s="124"/>
      <c r="H980" s="125"/>
      <c r="J980" s="224"/>
      <c r="K980" s="224"/>
      <c r="L980" s="224"/>
      <c r="M980" s="224"/>
      <c r="N980" s="224"/>
      <c r="O980" s="224"/>
    </row>
    <row r="981" spans="3:15" x14ac:dyDescent="0.55000000000000004">
      <c r="C981" s="124"/>
      <c r="H981" s="125"/>
      <c r="J981" s="224"/>
      <c r="K981" s="224"/>
      <c r="L981" s="224"/>
      <c r="M981" s="224"/>
      <c r="N981" s="224"/>
      <c r="O981" s="224"/>
    </row>
    <row r="982" spans="3:15" x14ac:dyDescent="0.55000000000000004">
      <c r="C982" s="124"/>
      <c r="H982" s="125"/>
      <c r="J982" s="224"/>
      <c r="K982" s="224"/>
      <c r="L982" s="224"/>
      <c r="M982" s="224"/>
      <c r="N982" s="224"/>
      <c r="O982" s="224"/>
    </row>
    <row r="983" spans="3:15" x14ac:dyDescent="0.55000000000000004">
      <c r="C983" s="124"/>
      <c r="H983" s="125"/>
      <c r="J983" s="224"/>
      <c r="K983" s="224"/>
      <c r="L983" s="224"/>
      <c r="M983" s="224"/>
      <c r="N983" s="224"/>
      <c r="O983" s="224"/>
    </row>
    <row r="984" spans="3:15" x14ac:dyDescent="0.55000000000000004">
      <c r="C984" s="124"/>
      <c r="H984" s="125"/>
      <c r="J984" s="224"/>
      <c r="K984" s="224"/>
      <c r="L984" s="224"/>
      <c r="M984" s="224"/>
      <c r="N984" s="224"/>
      <c r="O984" s="224"/>
    </row>
    <row r="985" spans="3:15" x14ac:dyDescent="0.55000000000000004">
      <c r="C985" s="124"/>
      <c r="H985" s="125"/>
      <c r="J985" s="224"/>
      <c r="K985" s="224"/>
      <c r="L985" s="224"/>
      <c r="M985" s="224"/>
      <c r="N985" s="224"/>
      <c r="O985" s="224"/>
    </row>
    <row r="986" spans="3:15" x14ac:dyDescent="0.55000000000000004">
      <c r="C986" s="124"/>
      <c r="H986" s="125"/>
      <c r="J986" s="224"/>
      <c r="K986" s="224"/>
      <c r="L986" s="224"/>
      <c r="M986" s="224"/>
      <c r="N986" s="224"/>
      <c r="O986" s="224"/>
    </row>
    <row r="987" spans="3:15" x14ac:dyDescent="0.55000000000000004">
      <c r="C987" s="124"/>
      <c r="H987" s="125"/>
      <c r="J987" s="224"/>
      <c r="K987" s="224"/>
      <c r="L987" s="224"/>
      <c r="M987" s="224"/>
      <c r="N987" s="224"/>
      <c r="O987" s="224"/>
    </row>
    <row r="988" spans="3:15" x14ac:dyDescent="0.55000000000000004">
      <c r="C988" s="124"/>
      <c r="H988" s="125"/>
      <c r="J988" s="224"/>
      <c r="K988" s="224"/>
      <c r="L988" s="224"/>
      <c r="M988" s="224"/>
      <c r="N988" s="224"/>
      <c r="O988" s="224"/>
    </row>
    <row r="989" spans="3:15" x14ac:dyDescent="0.55000000000000004">
      <c r="C989" s="124"/>
      <c r="H989" s="125"/>
      <c r="J989" s="224"/>
      <c r="K989" s="224"/>
      <c r="L989" s="224"/>
      <c r="M989" s="224"/>
      <c r="N989" s="224"/>
      <c r="O989" s="224"/>
    </row>
    <row r="990" spans="3:15" ht="14.7" thickBot="1" x14ac:dyDescent="0.6">
      <c r="C990" s="130"/>
      <c r="D990" s="131"/>
      <c r="E990" s="131"/>
      <c r="F990" s="131"/>
      <c r="G990" s="131"/>
      <c r="H990" s="132"/>
      <c r="J990" s="224"/>
      <c r="K990" s="224"/>
      <c r="L990" s="224"/>
      <c r="M990" s="224"/>
      <c r="N990" s="224"/>
      <c r="O990" s="224"/>
    </row>
    <row r="991" spans="3:15" x14ac:dyDescent="0.55000000000000004">
      <c r="J991" s="224"/>
      <c r="K991" s="224"/>
      <c r="L991" s="224"/>
      <c r="M991" s="224"/>
      <c r="N991" s="224"/>
      <c r="O991" s="224"/>
    </row>
    <row r="992" spans="3:15" ht="14.7" thickBot="1" x14ac:dyDescent="0.6">
      <c r="J992" s="224"/>
      <c r="K992" s="224"/>
      <c r="L992" s="224"/>
      <c r="M992" s="224"/>
      <c r="N992" s="224"/>
      <c r="O992" s="224"/>
    </row>
    <row r="993" spans="3:15" x14ac:dyDescent="0.55000000000000004">
      <c r="C993" s="121"/>
      <c r="D993" s="122"/>
      <c r="E993" s="122"/>
      <c r="F993" s="122"/>
      <c r="G993" s="122"/>
      <c r="H993" s="123"/>
      <c r="J993" s="224"/>
      <c r="K993" s="224"/>
      <c r="L993" s="224"/>
      <c r="M993" s="224"/>
      <c r="N993" s="224"/>
      <c r="O993" s="224"/>
    </row>
    <row r="994" spans="3:15" ht="15.6" x14ac:dyDescent="0.6">
      <c r="C994" s="124"/>
      <c r="D994" s="98">
        <f>'2 Customer data'!D107</f>
        <v>0</v>
      </c>
      <c r="H994" s="125"/>
      <c r="J994" s="224"/>
      <c r="K994" s="224"/>
      <c r="L994" s="224"/>
      <c r="M994" s="224"/>
      <c r="N994" s="224"/>
      <c r="O994" s="224"/>
    </row>
    <row r="995" spans="3:15" x14ac:dyDescent="0.55000000000000004">
      <c r="C995" s="124"/>
      <c r="H995" s="125"/>
      <c r="J995" s="224"/>
      <c r="K995" s="224"/>
      <c r="L995" s="224"/>
      <c r="M995" s="224"/>
      <c r="N995" s="224"/>
      <c r="O995" s="224"/>
    </row>
    <row r="996" spans="3:15" x14ac:dyDescent="0.55000000000000004">
      <c r="C996" s="124"/>
      <c r="E996" s="220" t="s">
        <v>250</v>
      </c>
      <c r="H996" s="125"/>
      <c r="J996" s="224"/>
      <c r="K996" s="224"/>
      <c r="L996" s="224"/>
      <c r="M996" s="224"/>
      <c r="N996" s="224"/>
      <c r="O996" s="224"/>
    </row>
    <row r="997" spans="3:15" x14ac:dyDescent="0.55000000000000004">
      <c r="C997" s="124"/>
      <c r="D997" t="s">
        <v>393</v>
      </c>
      <c r="E997" s="26">
        <f ca="1">VLOOKUP(D994,'2 Electricity'!$D$21:$L$40,6,FALSE)</f>
        <v>0</v>
      </c>
      <c r="H997" s="125"/>
      <c r="J997" s="224"/>
      <c r="K997" s="224"/>
      <c r="L997" s="224"/>
      <c r="M997" s="224"/>
      <c r="N997" s="224"/>
      <c r="O997" s="224"/>
    </row>
    <row r="998" spans="3:15" x14ac:dyDescent="0.55000000000000004">
      <c r="C998" s="124"/>
      <c r="D998" t="s">
        <v>249</v>
      </c>
      <c r="E998" s="99">
        <f ca="1">VLOOKUP(D994,'2 Electricity'!$D$21:$L$40,7,FALSE)</f>
        <v>0</v>
      </c>
      <c r="H998" s="125"/>
      <c r="J998" s="224"/>
      <c r="K998" s="224"/>
      <c r="L998" s="224"/>
      <c r="M998" s="224"/>
      <c r="N998" s="224"/>
      <c r="O998" s="224"/>
    </row>
    <row r="999" spans="3:15" x14ac:dyDescent="0.55000000000000004">
      <c r="C999" s="124"/>
      <c r="D999" t="s">
        <v>52</v>
      </c>
      <c r="E999" s="26">
        <f ca="1">VLOOKUP(D994,'2 Electricity'!$D$21:$L$40,8,FALSE)</f>
        <v>0</v>
      </c>
      <c r="H999" s="125"/>
      <c r="J999" s="224"/>
      <c r="K999" s="224"/>
      <c r="L999" s="224"/>
      <c r="M999" s="224"/>
      <c r="N999" s="224"/>
      <c r="O999" s="224"/>
    </row>
    <row r="1000" spans="3:15" ht="14.7" thickBot="1" x14ac:dyDescent="0.6">
      <c r="C1000" s="124"/>
      <c r="D1000" s="1" t="s">
        <v>39</v>
      </c>
      <c r="E1000" s="37">
        <f ca="1">VLOOKUP(D994,'2 Electricity'!D$21:L$40,9,FALSE)</f>
        <v>0</v>
      </c>
      <c r="H1000" s="125"/>
      <c r="J1000" s="224"/>
      <c r="K1000" s="224"/>
      <c r="L1000" s="224"/>
      <c r="M1000" s="224"/>
      <c r="N1000" s="224"/>
      <c r="O1000" s="224"/>
    </row>
    <row r="1001" spans="3:15" ht="14.7" thickTop="1" x14ac:dyDescent="0.55000000000000004">
      <c r="C1001" s="124"/>
      <c r="H1001" s="125"/>
      <c r="J1001" s="224"/>
      <c r="K1001" s="224"/>
      <c r="L1001" s="224"/>
      <c r="M1001" s="224"/>
      <c r="N1001" s="224"/>
      <c r="O1001" s="224"/>
    </row>
    <row r="1002" spans="3:15" x14ac:dyDescent="0.55000000000000004">
      <c r="C1002" s="124"/>
      <c r="D1002" t="s">
        <v>189</v>
      </c>
      <c r="E1002" s="26">
        <f>IFERROR(IF(VLOOKUP(D994,'2 Electricity'!$D$126:$K$145,7,FALSE)="",VLOOKUP('2 Electricity'!$D$126:$K$145,6,FALSE),VLOOKUP(D994,'2 Electricity'!$D$126:$K$145,7,FALSE))+VLOOKUP(D994,'2 Electricity'!$D$157:$J$176,5,FALSE),0)</f>
        <v>0</v>
      </c>
      <c r="H1002" s="125"/>
      <c r="J1002" s="224"/>
      <c r="K1002" s="224"/>
      <c r="L1002" s="224"/>
      <c r="M1002" s="224"/>
      <c r="N1002" s="224"/>
      <c r="O1002" s="224"/>
    </row>
    <row r="1003" spans="3:15" x14ac:dyDescent="0.55000000000000004">
      <c r="C1003" s="124"/>
      <c r="H1003" s="125"/>
      <c r="J1003" s="224"/>
      <c r="K1003" s="224"/>
      <c r="L1003" s="224"/>
      <c r="M1003" s="224"/>
      <c r="N1003" s="224"/>
      <c r="O1003" s="224"/>
    </row>
    <row r="1004" spans="3:15" x14ac:dyDescent="0.55000000000000004">
      <c r="C1004" s="124"/>
      <c r="D1004" t="s">
        <v>371</v>
      </c>
      <c r="E1004" s="64">
        <f ca="1">IF(VLOOKUP(D994,'2 Electricity'!$D$56:$M$75,5,FALSE)="",VLOOKUP(D994,'2 Electricity'!$D$56:$M$75,4,FALSE),VLOOKUP(D994,'2 Electricity'!$D$56:$M$75,5,FALSE))</f>
        <v>0</v>
      </c>
      <c r="H1004" s="125"/>
      <c r="J1004" s="224"/>
      <c r="K1004" s="224"/>
      <c r="L1004" s="224"/>
      <c r="M1004" s="224"/>
      <c r="N1004" s="224"/>
      <c r="O1004" s="224"/>
    </row>
    <row r="1005" spans="3:15" x14ac:dyDescent="0.55000000000000004">
      <c r="C1005" s="124"/>
      <c r="D1005" t="s">
        <v>372</v>
      </c>
      <c r="E1005" s="26">
        <f ca="1">IF(VLOOKUP(D994,'2 Electricity'!$D$56:$M$75,7,FALSE)="",VLOOKUP(D994,'2 Electricity'!$D$56:$M$75,6,FALSE),VLOOKUP(D994,'2 Electricity'!$D$56:$M$75,7,FALSE))</f>
        <v>0</v>
      </c>
      <c r="H1005" s="125"/>
      <c r="J1005" s="224"/>
      <c r="K1005" s="224"/>
      <c r="L1005" s="224"/>
      <c r="M1005" s="224"/>
      <c r="N1005" s="224"/>
      <c r="O1005" s="224"/>
    </row>
    <row r="1006" spans="3:15" x14ac:dyDescent="0.55000000000000004">
      <c r="C1006" s="124"/>
      <c r="D1006" t="s">
        <v>373</v>
      </c>
      <c r="E1006" s="26">
        <f ca="1">IF(VLOOKUP(D994,'2 Electricity'!$D$56:$M$75,9,FALSE)="",VLOOKUP(D994,'2 Electricity'!$D$56:$M$75,8,FALSE),VLOOKUP(D994,'2 Electricity'!$D$56:$M$75,9,FALSE))</f>
        <v>0</v>
      </c>
      <c r="H1006" s="125"/>
      <c r="J1006" s="224"/>
      <c r="K1006" s="224"/>
      <c r="L1006" s="224"/>
      <c r="M1006" s="224"/>
      <c r="N1006" s="224"/>
      <c r="O1006" s="224"/>
    </row>
    <row r="1007" spans="3:15" x14ac:dyDescent="0.55000000000000004">
      <c r="C1007" s="124"/>
      <c r="D1007" t="s">
        <v>374</v>
      </c>
      <c r="E1007" s="26">
        <f ca="1">IF(VLOOKUP(D994,'2 Electricity'!$D$92:$I$111,5,FALSE)="",VLOOKUP(D994,'2 Electricity'!$D$92:$I$111,4,FALSE),VLOOKUP(D994,'2 Electricity'!$D$92:$I$111,5,FALSE))</f>
        <v>0</v>
      </c>
      <c r="H1007" s="125"/>
      <c r="J1007" s="224"/>
      <c r="K1007" s="224"/>
      <c r="L1007" s="224"/>
      <c r="M1007" s="224"/>
      <c r="N1007" s="224"/>
      <c r="O1007" s="224"/>
    </row>
    <row r="1008" spans="3:15" ht="14.7" thickBot="1" x14ac:dyDescent="0.6">
      <c r="C1008" s="124"/>
      <c r="D1008" s="1" t="s">
        <v>145</v>
      </c>
      <c r="E1008" s="37">
        <f ca="1">SUM(E1004:E1007)</f>
        <v>0</v>
      </c>
      <c r="H1008" s="125"/>
      <c r="J1008" s="224"/>
      <c r="K1008" s="224"/>
      <c r="L1008" s="224"/>
      <c r="M1008" s="224"/>
      <c r="N1008" s="224"/>
      <c r="O1008" s="224"/>
    </row>
    <row r="1009" spans="3:15" ht="14.7" thickTop="1" x14ac:dyDescent="0.55000000000000004">
      <c r="C1009" s="124"/>
      <c r="D1009" s="1"/>
      <c r="E1009" s="15"/>
      <c r="H1009" s="125"/>
      <c r="J1009" s="224"/>
      <c r="K1009" s="224"/>
      <c r="L1009" s="224"/>
      <c r="M1009" s="224"/>
      <c r="N1009" s="224"/>
      <c r="O1009" s="224"/>
    </row>
    <row r="1010" spans="3:15" x14ac:dyDescent="0.55000000000000004">
      <c r="C1010" s="124"/>
      <c r="D1010" t="s">
        <v>384</v>
      </c>
      <c r="E1010" s="26">
        <f ca="1">IF(VLOOKUP(D994,'2 Electricity'!$D$126:$K$145,5,FALSE)="",VLOOKUP(D994,'2 Electricity'!$D$126:$K$145,4,FALSE),VLOOKUP(D994,'2 Electricity'!$D$126:$K$145,5,FALSE))+VLOOKUP(D994,'2 Electricity'!$D$157:$J$176,7,FALSE)</f>
        <v>0</v>
      </c>
      <c r="H1010" s="125"/>
      <c r="J1010" s="224"/>
      <c r="K1010" s="224"/>
      <c r="L1010" s="224"/>
      <c r="M1010" s="224"/>
      <c r="N1010" s="224"/>
      <c r="O1010" s="224"/>
    </row>
    <row r="1011" spans="3:15" x14ac:dyDescent="0.55000000000000004">
      <c r="C1011" s="124"/>
      <c r="H1011" s="125"/>
      <c r="J1011" s="224"/>
      <c r="K1011" s="224"/>
      <c r="L1011" s="224"/>
      <c r="M1011" s="224"/>
      <c r="N1011" s="224"/>
      <c r="O1011" s="224"/>
    </row>
    <row r="1012" spans="3:15" ht="14.7" thickBot="1" x14ac:dyDescent="0.6">
      <c r="C1012" s="124"/>
      <c r="D1012" s="1" t="s">
        <v>375</v>
      </c>
      <c r="E1012" s="37">
        <f ca="1">VLOOKUP(D994,'2 Electricity'!$D$157:$K$176,8,FALSE)</f>
        <v>0</v>
      </c>
      <c r="H1012" s="125"/>
      <c r="J1012" s="224"/>
      <c r="K1012" s="224"/>
      <c r="L1012" s="224"/>
      <c r="M1012" s="224"/>
      <c r="N1012" s="224"/>
      <c r="O1012" s="224"/>
    </row>
    <row r="1013" spans="3:15" ht="14.7" thickTop="1" x14ac:dyDescent="0.55000000000000004">
      <c r="C1013" s="124"/>
      <c r="H1013" s="125"/>
      <c r="J1013" s="224"/>
      <c r="K1013" s="224"/>
      <c r="L1013" s="224"/>
      <c r="M1013" s="224"/>
      <c r="N1013" s="224"/>
      <c r="O1013" s="224"/>
    </row>
    <row r="1014" spans="3:15" x14ac:dyDescent="0.55000000000000004">
      <c r="C1014" s="124"/>
      <c r="H1014" s="125"/>
      <c r="J1014" s="224"/>
      <c r="K1014" s="224"/>
      <c r="L1014" s="224"/>
      <c r="M1014" s="224"/>
      <c r="N1014" s="224"/>
      <c r="O1014" s="224"/>
    </row>
    <row r="1015" spans="3:15" x14ac:dyDescent="0.55000000000000004">
      <c r="C1015" s="124"/>
      <c r="H1015" s="125"/>
      <c r="J1015" s="224"/>
      <c r="K1015" s="224"/>
      <c r="L1015" s="224"/>
      <c r="M1015" s="224"/>
      <c r="N1015" s="224"/>
      <c r="O1015" s="224"/>
    </row>
    <row r="1016" spans="3:15" x14ac:dyDescent="0.55000000000000004">
      <c r="C1016" s="124"/>
      <c r="H1016" s="125"/>
      <c r="J1016" s="224"/>
      <c r="K1016" s="224"/>
      <c r="L1016" s="224"/>
      <c r="M1016" s="224"/>
      <c r="N1016" s="224"/>
      <c r="O1016" s="224"/>
    </row>
    <row r="1017" spans="3:15" x14ac:dyDescent="0.55000000000000004">
      <c r="C1017" s="124"/>
      <c r="H1017" s="125"/>
      <c r="J1017" s="224"/>
      <c r="K1017" s="224"/>
      <c r="L1017" s="224"/>
      <c r="M1017" s="224"/>
      <c r="N1017" s="224"/>
      <c r="O1017" s="224"/>
    </row>
    <row r="1018" spans="3:15" x14ac:dyDescent="0.55000000000000004">
      <c r="C1018" s="124"/>
      <c r="H1018" s="125"/>
      <c r="J1018" s="232" t="s">
        <v>385</v>
      </c>
      <c r="K1018" s="224"/>
      <c r="L1018" s="224"/>
      <c r="M1018" s="224"/>
      <c r="N1018" s="224"/>
      <c r="O1018" s="224"/>
    </row>
    <row r="1019" spans="3:15" x14ac:dyDescent="0.55000000000000004">
      <c r="C1019" s="124"/>
      <c r="H1019" s="125"/>
      <c r="J1019" s="110"/>
      <c r="K1019" s="102" t="s">
        <v>390</v>
      </c>
      <c r="L1019" s="102" t="s">
        <v>391</v>
      </c>
      <c r="M1019" s="224"/>
      <c r="N1019" s="224"/>
      <c r="O1019" s="224"/>
    </row>
    <row r="1020" spans="3:15" x14ac:dyDescent="0.55000000000000004">
      <c r="C1020" s="124"/>
      <c r="H1020" s="125"/>
      <c r="J1020" s="110" t="s">
        <v>393</v>
      </c>
      <c r="K1020" s="100">
        <f ca="1">E997/1000</f>
        <v>0</v>
      </c>
      <c r="L1020" s="102"/>
      <c r="M1020" s="224"/>
      <c r="N1020" s="224"/>
      <c r="O1020" s="224"/>
    </row>
    <row r="1021" spans="3:15" x14ac:dyDescent="0.55000000000000004">
      <c r="C1021" s="124"/>
      <c r="H1021" s="125"/>
      <c r="J1021" s="110" t="s">
        <v>249</v>
      </c>
      <c r="K1021" s="100">
        <f ca="1">E998/1000</f>
        <v>0</v>
      </c>
      <c r="L1021" s="110"/>
      <c r="M1021" s="224"/>
      <c r="N1021" s="224"/>
      <c r="O1021" s="224"/>
    </row>
    <row r="1022" spans="3:15" x14ac:dyDescent="0.55000000000000004">
      <c r="C1022" s="124"/>
      <c r="H1022" s="125"/>
      <c r="J1022" s="110" t="s">
        <v>52</v>
      </c>
      <c r="K1022" s="100">
        <f ca="1">E999/1000</f>
        <v>0</v>
      </c>
      <c r="L1022" s="110"/>
      <c r="M1022" s="224"/>
      <c r="N1022" s="224"/>
      <c r="O1022" s="224"/>
    </row>
    <row r="1023" spans="3:15" x14ac:dyDescent="0.55000000000000004">
      <c r="C1023" s="124"/>
      <c r="H1023" s="125"/>
      <c r="J1023" s="110" t="s">
        <v>471</v>
      </c>
      <c r="K1023" s="100">
        <f>E1002/1000</f>
        <v>0</v>
      </c>
      <c r="L1023" s="110"/>
      <c r="M1023" s="224"/>
      <c r="N1023" s="224"/>
      <c r="O1023" s="224"/>
    </row>
    <row r="1024" spans="3:15" x14ac:dyDescent="0.55000000000000004">
      <c r="C1024" s="124"/>
      <c r="H1024" s="125"/>
      <c r="J1024" s="110" t="s">
        <v>563</v>
      </c>
      <c r="K1024" s="100"/>
      <c r="L1024" s="101">
        <f ca="1">E1012/1000</f>
        <v>0</v>
      </c>
      <c r="M1024" s="224"/>
      <c r="N1024" s="224"/>
      <c r="O1024" s="224"/>
    </row>
    <row r="1025" spans="3:15" x14ac:dyDescent="0.55000000000000004">
      <c r="C1025" s="124"/>
      <c r="H1025" s="125"/>
      <c r="J1025" s="110" t="s">
        <v>564</v>
      </c>
      <c r="K1025" s="100"/>
      <c r="L1025" s="101">
        <f ca="1">E1007/1000</f>
        <v>0</v>
      </c>
      <c r="M1025" s="224"/>
      <c r="N1025" s="224"/>
      <c r="O1025" s="224"/>
    </row>
    <row r="1026" spans="3:15" x14ac:dyDescent="0.55000000000000004">
      <c r="C1026" s="124"/>
      <c r="H1026" s="125"/>
      <c r="J1026" s="110" t="s">
        <v>565</v>
      </c>
      <c r="K1026" s="100"/>
      <c r="L1026" s="101">
        <f ca="1">SUM(E1004:E1006)/1000</f>
        <v>0</v>
      </c>
      <c r="M1026" s="224"/>
      <c r="N1026" s="224"/>
      <c r="O1026" s="224"/>
    </row>
    <row r="1027" spans="3:15" x14ac:dyDescent="0.55000000000000004">
      <c r="C1027" s="124"/>
      <c r="H1027" s="125"/>
      <c r="J1027" s="110" t="s">
        <v>566</v>
      </c>
      <c r="K1027" s="100"/>
      <c r="L1027" s="101">
        <f ca="1">E1010/1000</f>
        <v>0</v>
      </c>
      <c r="M1027" s="224"/>
      <c r="N1027" s="224"/>
      <c r="O1027" s="224"/>
    </row>
    <row r="1028" spans="3:15" x14ac:dyDescent="0.55000000000000004">
      <c r="C1028" s="124"/>
      <c r="H1028" s="125"/>
      <c r="J1028" s="224"/>
      <c r="K1028" s="224"/>
      <c r="L1028" s="224"/>
      <c r="M1028" s="224"/>
      <c r="N1028" s="224"/>
      <c r="O1028" s="224"/>
    </row>
    <row r="1029" spans="3:15" x14ac:dyDescent="0.55000000000000004">
      <c r="C1029" s="124"/>
      <c r="H1029" s="125"/>
      <c r="J1029" s="224"/>
      <c r="K1029" s="224"/>
      <c r="L1029" s="224"/>
      <c r="M1029" s="224"/>
      <c r="N1029" s="224"/>
      <c r="O1029" s="224"/>
    </row>
    <row r="1030" spans="3:15" x14ac:dyDescent="0.55000000000000004">
      <c r="C1030" s="124"/>
      <c r="H1030" s="125"/>
      <c r="J1030" s="224"/>
      <c r="K1030" s="224"/>
      <c r="L1030" s="224"/>
      <c r="M1030" s="224"/>
      <c r="N1030" s="224"/>
      <c r="O1030" s="224"/>
    </row>
    <row r="1031" spans="3:15" x14ac:dyDescent="0.55000000000000004">
      <c r="C1031" s="124"/>
      <c r="E1031" s="220" t="s">
        <v>250</v>
      </c>
      <c r="H1031" s="125"/>
      <c r="J1031" s="224"/>
      <c r="K1031" s="224"/>
      <c r="L1031" s="224"/>
      <c r="M1031" s="224"/>
      <c r="N1031" s="224"/>
      <c r="O1031" s="224"/>
    </row>
    <row r="1032" spans="3:15" x14ac:dyDescent="0.55000000000000004">
      <c r="C1032" s="124"/>
      <c r="D1032" t="s">
        <v>394</v>
      </c>
      <c r="E1032" s="64">
        <f ca="1">VLOOKUP(D994,'2 Electricity'!$D$157:$M$176,10,FALSE)</f>
        <v>0</v>
      </c>
      <c r="H1032" s="125"/>
      <c r="J1032" s="224"/>
      <c r="K1032" s="224"/>
      <c r="L1032" s="224"/>
      <c r="M1032" s="224"/>
      <c r="N1032" s="224"/>
      <c r="O1032" s="224"/>
    </row>
    <row r="1033" spans="3:15" x14ac:dyDescent="0.55000000000000004">
      <c r="C1033" s="124"/>
      <c r="D1033" t="s">
        <v>395</v>
      </c>
      <c r="E1033" s="64">
        <f ca="1">VLOOKUP(D994,'2 Electricity'!$D$157:$M$176,9,FALSE)</f>
        <v>0</v>
      </c>
      <c r="H1033" s="125"/>
      <c r="J1033" s="224"/>
      <c r="K1033" s="224"/>
      <c r="L1033" s="224"/>
      <c r="M1033" s="224"/>
      <c r="N1033" s="224"/>
      <c r="O1033" s="224"/>
    </row>
    <row r="1034" spans="3:15" x14ac:dyDescent="0.55000000000000004">
      <c r="C1034" s="124"/>
      <c r="D1034" t="s">
        <v>378</v>
      </c>
      <c r="E1034" s="97">
        <f ca="1">IFERROR(IF(E1002=0,E1010,E1002)/E1000,0)</f>
        <v>0</v>
      </c>
      <c r="H1034" s="125"/>
      <c r="J1034" s="224"/>
      <c r="K1034" s="224"/>
      <c r="L1034" s="224"/>
      <c r="M1034" s="224"/>
      <c r="N1034" s="224"/>
      <c r="O1034" s="224"/>
    </row>
    <row r="1035" spans="3:15" x14ac:dyDescent="0.55000000000000004">
      <c r="C1035" s="124"/>
      <c r="H1035" s="125"/>
      <c r="J1035" s="224"/>
      <c r="K1035" s="224"/>
      <c r="L1035" s="224"/>
      <c r="M1035" s="224"/>
      <c r="N1035" s="224"/>
      <c r="O1035" s="224"/>
    </row>
    <row r="1036" spans="3:15" x14ac:dyDescent="0.55000000000000004">
      <c r="C1036" s="124"/>
      <c r="D1036" t="s">
        <v>379</v>
      </c>
      <c r="E1036" s="26">
        <f>'3 Electricity'!I894</f>
        <v>0</v>
      </c>
      <c r="H1036" s="125"/>
      <c r="J1036" s="224"/>
      <c r="K1036" s="224"/>
      <c r="L1036" s="224"/>
      <c r="M1036" s="224"/>
      <c r="N1036" s="224"/>
      <c r="O1036" s="224"/>
    </row>
    <row r="1037" spans="3:15" x14ac:dyDescent="0.55000000000000004">
      <c r="C1037" s="124"/>
      <c r="D1037" t="s">
        <v>380</v>
      </c>
      <c r="E1037" s="97">
        <f ca="1">IFERROR('3 Electricity'!J894/'3 Electricity'!G894,0)</f>
        <v>0</v>
      </c>
      <c r="H1037" s="125"/>
      <c r="J1037" s="224"/>
      <c r="K1037" s="224"/>
      <c r="L1037" s="224"/>
      <c r="M1037" s="224"/>
      <c r="N1037" s="224"/>
      <c r="O1037" s="224"/>
    </row>
    <row r="1038" spans="3:15" x14ac:dyDescent="0.55000000000000004">
      <c r="C1038" s="124"/>
      <c r="H1038" s="125"/>
      <c r="J1038" s="224"/>
      <c r="K1038" s="224"/>
      <c r="L1038" s="224"/>
      <c r="M1038" s="224"/>
      <c r="N1038" s="224"/>
      <c r="O1038" s="224"/>
    </row>
    <row r="1039" spans="3:15" x14ac:dyDescent="0.55000000000000004">
      <c r="C1039" s="124"/>
      <c r="D1039" s="1" t="s">
        <v>381</v>
      </c>
      <c r="H1039" s="125"/>
      <c r="J1039" s="224"/>
      <c r="K1039" s="224"/>
      <c r="L1039" s="224"/>
      <c r="M1039" s="224"/>
      <c r="N1039" s="224"/>
      <c r="O1039" s="224"/>
    </row>
    <row r="1040" spans="3:15" x14ac:dyDescent="0.55000000000000004">
      <c r="C1040" s="124"/>
      <c r="D1040" s="1" t="str">
        <f>'3 Electricity'!G902</f>
        <v xml:space="preserve">Annual </v>
      </c>
      <c r="H1040" s="125"/>
      <c r="J1040" s="224"/>
      <c r="K1040" s="224"/>
      <c r="L1040" s="224"/>
      <c r="M1040" s="224"/>
      <c r="N1040" s="224"/>
      <c r="O1040" s="224"/>
    </row>
    <row r="1041" spans="3:15" x14ac:dyDescent="0.55000000000000004">
      <c r="C1041" s="124"/>
      <c r="H1041" s="125"/>
      <c r="J1041" s="224"/>
      <c r="K1041" s="224"/>
      <c r="L1041" s="224"/>
      <c r="M1041" s="224"/>
      <c r="N1041" s="224" t="s">
        <v>89</v>
      </c>
      <c r="O1041" s="224"/>
    </row>
    <row r="1042" spans="3:15" x14ac:dyDescent="0.55000000000000004">
      <c r="C1042" s="124"/>
      <c r="H1042" s="125"/>
      <c r="J1042" s="224"/>
      <c r="K1042" s="224"/>
      <c r="L1042" s="224"/>
      <c r="M1042" s="224"/>
      <c r="N1042" s="224"/>
      <c r="O1042" s="224"/>
    </row>
    <row r="1043" spans="3:15" ht="28.8" x14ac:dyDescent="0.55000000000000004">
      <c r="C1043" s="124"/>
      <c r="H1043" s="125"/>
      <c r="J1043" s="229" t="s">
        <v>383</v>
      </c>
      <c r="K1043" s="229" t="s">
        <v>382</v>
      </c>
      <c r="L1043" s="108" t="str">
        <f>IF(D1040=N1041,"Annual Tariff","Low Season Tariff")</f>
        <v>Annual Tariff</v>
      </c>
      <c r="M1043" s="109" t="str">
        <f>IF(D1040=N1041,"","High Season Tariff")</f>
        <v/>
      </c>
      <c r="N1043" s="108" t="s">
        <v>392</v>
      </c>
      <c r="O1043" s="229" t="s">
        <v>580</v>
      </c>
    </row>
    <row r="1044" spans="3:15" x14ac:dyDescent="0.55000000000000004">
      <c r="C1044" s="124"/>
      <c r="H1044" s="125"/>
      <c r="J1044" s="102">
        <v>1</v>
      </c>
      <c r="K1044" s="102">
        <f>IFERROR(IF('3 Electricity'!$G$902='3 Electricity'!$V$902,VLOOKUP('Electricity report'!J1044,'3 Electricity'!$F$913:$K$917,3,FALSE),VLOOKUP('Electricity report'!J1044,'3 Electricity'!$F$932:$N$936,3,FALSE)),0)</f>
        <v>0</v>
      </c>
      <c r="L1044" s="103">
        <f ca="1">IFERROR(IF('3 Electricity'!$G$902='3 Electricity'!$V$902,VLOOKUP('Electricity report'!J1044,'3 Electricity'!$F$913:$K$917,6,FALSE),VLOOKUP('Electricity report'!J1044,'3 Electricity'!$F$932:$N$936,9,FALSE)),0)</f>
        <v>0</v>
      </c>
      <c r="M1044" s="105" t="str">
        <f>IF($D$1040=$N$1041,"",VLOOKUP(J1044,'3 Electricity'!$F$932:$N$936,8,FALSE))</f>
        <v/>
      </c>
      <c r="N1044" s="107">
        <f ca="1">$E$1032</f>
        <v>0</v>
      </c>
      <c r="O1044" s="105">
        <f ca="1">IFERROR('3 Electricity'!J886/'3 Electricity'!H886,0)</f>
        <v>0</v>
      </c>
    </row>
    <row r="1045" spans="3:15" x14ac:dyDescent="0.55000000000000004">
      <c r="C1045" s="124"/>
      <c r="H1045" s="125"/>
      <c r="J1045" s="102">
        <v>2</v>
      </c>
      <c r="K1045" s="102">
        <f>IFERROR(IF('3 Electricity'!$G$902='3 Electricity'!$V$902,VLOOKUP('Electricity report'!J1045,'3 Electricity'!$F$913:$K$917,3,FALSE),VLOOKUP('Electricity report'!J1045,'3 Electricity'!$F$932:$N$936,3,FALSE)),0)</f>
        <v>0</v>
      </c>
      <c r="L1045" s="103">
        <f ca="1">IFERROR(IF('3 Electricity'!$G$902='3 Electricity'!$V$902,VLOOKUP('Electricity report'!J1045,'3 Electricity'!$F$913:$K$917,6,FALSE),VLOOKUP('Electricity report'!J1045,'3 Electricity'!$F$932:$N$936,9,FALSE)),0)</f>
        <v>0</v>
      </c>
      <c r="M1045" s="105" t="str">
        <f>IF($D$1040=$N$1041,"",VLOOKUP(J1045,'3 Electricity'!$F$932:$N$936,8,FALSE))</f>
        <v/>
      </c>
      <c r="N1045" s="107">
        <f ca="1">$E$1032</f>
        <v>0</v>
      </c>
      <c r="O1045" s="107">
        <f ca="1">$O$1044</f>
        <v>0</v>
      </c>
    </row>
    <row r="1046" spans="3:15" x14ac:dyDescent="0.55000000000000004">
      <c r="C1046" s="124"/>
      <c r="H1046" s="125"/>
      <c r="J1046" s="102">
        <v>3</v>
      </c>
      <c r="K1046" s="102">
        <f>IFERROR(IF('3 Electricity'!$G$902='3 Electricity'!$V$902,VLOOKUP('Electricity report'!J1046,'3 Electricity'!$F$913:$K$917,3,FALSE),VLOOKUP('Electricity report'!J1046,'3 Electricity'!$F$932:$N$936,3,FALSE)),0)</f>
        <v>0</v>
      </c>
      <c r="L1046" s="103">
        <f ca="1">IFERROR(IF('3 Electricity'!$G$902='3 Electricity'!$V$902,VLOOKUP('Electricity report'!J1046,'3 Electricity'!$F$913:$K$917,6,FALSE),VLOOKUP('Electricity report'!J1046,'3 Electricity'!$F$932:$N$936,9,FALSE)),0)</f>
        <v>0</v>
      </c>
      <c r="M1046" s="105" t="str">
        <f>IF($D$1040=$N$1041,"",VLOOKUP(J1046,'3 Electricity'!$F$932:$N$936,8,FALSE))</f>
        <v/>
      </c>
      <c r="N1046" s="107">
        <f ca="1">$E$1032</f>
        <v>0</v>
      </c>
      <c r="O1046" s="107">
        <f ca="1">$O$1044</f>
        <v>0</v>
      </c>
    </row>
    <row r="1047" spans="3:15" x14ac:dyDescent="0.55000000000000004">
      <c r="C1047" s="124"/>
      <c r="H1047" s="125"/>
      <c r="J1047" s="102">
        <v>4</v>
      </c>
      <c r="K1047" s="102">
        <f>IFERROR(IF('3 Electricity'!$G$902='3 Electricity'!$V$902,VLOOKUP('Electricity report'!J1047,'3 Electricity'!$F$913:$K$917,3,FALSE),VLOOKUP('Electricity report'!J1047,'3 Electricity'!$F$932:$N$936,3,FALSE)),0)</f>
        <v>0</v>
      </c>
      <c r="L1047" s="103">
        <f ca="1">IFERROR(IF('3 Electricity'!$G$902='3 Electricity'!$V$902,VLOOKUP('Electricity report'!J1047,'3 Electricity'!$F$913:$K$917,6,FALSE),VLOOKUP('Electricity report'!J1047,'3 Electricity'!$F$932:$N$936,9,FALSE)),0)</f>
        <v>0</v>
      </c>
      <c r="M1047" s="105" t="str">
        <f>IF($D$1040=$N$1041,"",VLOOKUP(J1047,'3 Electricity'!$F$932:$N$936,8,FALSE))</f>
        <v/>
      </c>
      <c r="N1047" s="107">
        <f ca="1">$E$1032</f>
        <v>0</v>
      </c>
      <c r="O1047" s="107">
        <f ca="1">$O$1044</f>
        <v>0</v>
      </c>
    </row>
    <row r="1048" spans="3:15" x14ac:dyDescent="0.55000000000000004">
      <c r="C1048" s="124"/>
      <c r="H1048" s="125"/>
      <c r="J1048" s="102">
        <v>5</v>
      </c>
      <c r="K1048" s="102" t="str">
        <f>IFERROR(IF('3 Electricity'!$G$902='3 Electricity'!$V$902,VLOOKUP('Electricity report'!J1048,'3 Electricity'!$F$913:$K$917,3,FALSE),VLOOKUP('Electricity report'!J1048,'3 Electricity'!$F$932:$N$936,3,FALSE)),0)</f>
        <v>More</v>
      </c>
      <c r="L1048" s="103">
        <f ca="1">IFERROR(IF('3 Electricity'!$G$902='3 Electricity'!$V$902,VLOOKUP('Electricity report'!J1048,'3 Electricity'!$F$913:$K$917,6,FALSE),VLOOKUP('Electricity report'!J1048,'3 Electricity'!$F$932:$N$936,9,FALSE)),0)</f>
        <v>0</v>
      </c>
      <c r="M1048" s="105" t="str">
        <f>IF($D$1040=$N$1041,"",VLOOKUP(J1048,'3 Electricity'!$F$932:$N$936,8,FALSE))</f>
        <v/>
      </c>
      <c r="N1048" s="107">
        <f ca="1">$E$1032</f>
        <v>0</v>
      </c>
      <c r="O1048" s="107">
        <f ca="1">$O$1044</f>
        <v>0</v>
      </c>
    </row>
    <row r="1049" spans="3:15" x14ac:dyDescent="0.55000000000000004">
      <c r="C1049" s="124"/>
      <c r="H1049" s="125"/>
      <c r="J1049" s="224"/>
      <c r="K1049" s="224"/>
      <c r="L1049" s="224"/>
      <c r="M1049" s="224"/>
      <c r="N1049" s="224"/>
      <c r="O1049" s="224"/>
    </row>
    <row r="1050" spans="3:15" x14ac:dyDescent="0.55000000000000004">
      <c r="C1050" s="124"/>
      <c r="H1050" s="125"/>
      <c r="J1050" s="224"/>
      <c r="K1050" s="224"/>
      <c r="L1050" s="224"/>
      <c r="M1050" s="224"/>
      <c r="N1050" s="224"/>
      <c r="O1050" s="224"/>
    </row>
    <row r="1051" spans="3:15" x14ac:dyDescent="0.55000000000000004">
      <c r="C1051" s="124"/>
      <c r="H1051" s="125"/>
      <c r="J1051" s="224"/>
      <c r="K1051" s="224"/>
      <c r="L1051" s="224"/>
      <c r="M1051" s="224"/>
      <c r="N1051" s="224"/>
      <c r="O1051" s="224"/>
    </row>
    <row r="1052" spans="3:15" x14ac:dyDescent="0.55000000000000004">
      <c r="C1052" s="124"/>
      <c r="H1052" s="125"/>
      <c r="J1052" s="224"/>
      <c r="K1052" s="224"/>
      <c r="L1052" s="224"/>
      <c r="M1052" s="224"/>
      <c r="N1052" s="224"/>
      <c r="O1052" s="224"/>
    </row>
    <row r="1053" spans="3:15" x14ac:dyDescent="0.55000000000000004">
      <c r="C1053" s="124"/>
      <c r="H1053" s="125"/>
      <c r="J1053" s="224"/>
      <c r="K1053" s="224"/>
      <c r="L1053" s="224"/>
      <c r="M1053" s="224"/>
      <c r="N1053" s="224"/>
      <c r="O1053" s="224"/>
    </row>
    <row r="1054" spans="3:15" x14ac:dyDescent="0.55000000000000004">
      <c r="C1054" s="124"/>
      <c r="H1054" s="125"/>
      <c r="J1054" s="224"/>
      <c r="K1054" s="224"/>
      <c r="L1054" s="224"/>
      <c r="M1054" s="224"/>
      <c r="N1054" s="224"/>
      <c r="O1054" s="224"/>
    </row>
    <row r="1055" spans="3:15" x14ac:dyDescent="0.55000000000000004">
      <c r="C1055" s="124"/>
      <c r="H1055" s="125"/>
      <c r="J1055" s="224"/>
      <c r="K1055" s="224"/>
      <c r="L1055" s="224"/>
      <c r="M1055" s="224"/>
      <c r="N1055" s="224"/>
      <c r="O1055" s="224"/>
    </row>
    <row r="1056" spans="3:15" x14ac:dyDescent="0.55000000000000004">
      <c r="C1056" s="124"/>
      <c r="H1056" s="125"/>
      <c r="J1056" s="224"/>
      <c r="K1056" s="224"/>
      <c r="L1056" s="224"/>
      <c r="M1056" s="224"/>
      <c r="N1056" s="224"/>
      <c r="O1056" s="224"/>
    </row>
    <row r="1057" spans="3:15" x14ac:dyDescent="0.55000000000000004">
      <c r="C1057" s="124"/>
      <c r="H1057" s="125"/>
      <c r="J1057" s="224"/>
      <c r="K1057" s="224"/>
      <c r="L1057" s="224"/>
      <c r="M1057" s="224"/>
      <c r="N1057" s="224"/>
      <c r="O1057" s="224"/>
    </row>
    <row r="1058" spans="3:15" x14ac:dyDescent="0.55000000000000004">
      <c r="C1058" s="124"/>
      <c r="H1058" s="125"/>
      <c r="J1058" s="224"/>
      <c r="K1058" s="224"/>
      <c r="L1058" s="224"/>
      <c r="M1058" s="224"/>
      <c r="N1058" s="224"/>
      <c r="O1058" s="224"/>
    </row>
    <row r="1059" spans="3:15" x14ac:dyDescent="0.55000000000000004">
      <c r="C1059" s="124"/>
      <c r="H1059" s="125"/>
      <c r="J1059" s="224"/>
      <c r="K1059" s="224"/>
      <c r="L1059" s="224"/>
      <c r="M1059" s="224"/>
      <c r="N1059" s="224"/>
      <c r="O1059" s="224"/>
    </row>
    <row r="1060" spans="3:15" ht="14.7" thickBot="1" x14ac:dyDescent="0.6">
      <c r="C1060" s="130"/>
      <c r="D1060" s="131"/>
      <c r="E1060" s="131"/>
      <c r="F1060" s="131"/>
      <c r="G1060" s="131"/>
      <c r="H1060" s="132"/>
      <c r="J1060" s="224"/>
      <c r="K1060" s="224"/>
      <c r="L1060" s="224"/>
      <c r="M1060" s="224"/>
      <c r="N1060" s="224"/>
      <c r="O1060" s="224"/>
    </row>
    <row r="1061" spans="3:15" x14ac:dyDescent="0.55000000000000004">
      <c r="J1061" s="224"/>
      <c r="K1061" s="224"/>
      <c r="L1061" s="224"/>
      <c r="M1061" s="224"/>
      <c r="N1061" s="224"/>
      <c r="O1061" s="224"/>
    </row>
    <row r="1062" spans="3:15" ht="14.7" thickBot="1" x14ac:dyDescent="0.6">
      <c r="J1062" s="224"/>
      <c r="K1062" s="224"/>
      <c r="L1062" s="224"/>
      <c r="M1062" s="224"/>
      <c r="N1062" s="224"/>
      <c r="O1062" s="224"/>
    </row>
    <row r="1063" spans="3:15" x14ac:dyDescent="0.55000000000000004">
      <c r="C1063" s="121"/>
      <c r="D1063" s="122"/>
      <c r="E1063" s="122"/>
      <c r="F1063" s="122"/>
      <c r="G1063" s="122"/>
      <c r="H1063" s="123"/>
      <c r="J1063" s="224"/>
      <c r="K1063" s="224"/>
      <c r="L1063" s="224"/>
      <c r="M1063" s="224"/>
      <c r="N1063" s="224"/>
      <c r="O1063" s="224"/>
    </row>
    <row r="1064" spans="3:15" ht="15.6" x14ac:dyDescent="0.6">
      <c r="C1064" s="124"/>
      <c r="D1064" s="98">
        <f>'2 Customer data'!D108</f>
        <v>0</v>
      </c>
      <c r="H1064" s="125"/>
      <c r="J1064" s="224"/>
      <c r="K1064" s="224"/>
      <c r="L1064" s="224"/>
      <c r="M1064" s="224"/>
      <c r="N1064" s="224"/>
      <c r="O1064" s="224"/>
    </row>
    <row r="1065" spans="3:15" x14ac:dyDescent="0.55000000000000004">
      <c r="C1065" s="124"/>
      <c r="H1065" s="125"/>
      <c r="J1065" s="224"/>
      <c r="K1065" s="224"/>
      <c r="L1065" s="224"/>
      <c r="M1065" s="224"/>
      <c r="N1065" s="224"/>
      <c r="O1065" s="224"/>
    </row>
    <row r="1066" spans="3:15" x14ac:dyDescent="0.55000000000000004">
      <c r="C1066" s="124"/>
      <c r="E1066" s="220" t="s">
        <v>250</v>
      </c>
      <c r="H1066" s="125"/>
      <c r="J1066" s="224"/>
      <c r="K1066" s="224"/>
      <c r="L1066" s="224"/>
      <c r="M1066" s="224"/>
      <c r="N1066" s="224"/>
      <c r="O1066" s="224"/>
    </row>
    <row r="1067" spans="3:15" x14ac:dyDescent="0.55000000000000004">
      <c r="C1067" s="124"/>
      <c r="D1067" t="s">
        <v>393</v>
      </c>
      <c r="E1067" s="26">
        <f ca="1">VLOOKUP(D1064,'2 Electricity'!$D$21:$L$40,6,FALSE)</f>
        <v>0</v>
      </c>
      <c r="H1067" s="125"/>
      <c r="J1067" s="224"/>
      <c r="K1067" s="224"/>
      <c r="L1067" s="224"/>
      <c r="M1067" s="224"/>
      <c r="N1067" s="224"/>
      <c r="O1067" s="224"/>
    </row>
    <row r="1068" spans="3:15" x14ac:dyDescent="0.55000000000000004">
      <c r="C1068" s="124"/>
      <c r="D1068" t="s">
        <v>249</v>
      </c>
      <c r="E1068" s="99">
        <f ca="1">VLOOKUP(D1064,'2 Electricity'!$D$21:$L$40,7,FALSE)</f>
        <v>0</v>
      </c>
      <c r="H1068" s="125"/>
      <c r="J1068" s="224"/>
      <c r="K1068" s="224"/>
      <c r="L1068" s="224"/>
      <c r="M1068" s="224"/>
      <c r="N1068" s="224"/>
      <c r="O1068" s="224"/>
    </row>
    <row r="1069" spans="3:15" x14ac:dyDescent="0.55000000000000004">
      <c r="C1069" s="124"/>
      <c r="D1069" t="s">
        <v>52</v>
      </c>
      <c r="E1069" s="26">
        <f ca="1">VLOOKUP(D1064,'2 Electricity'!$D$21:$L$40,8,FALSE)</f>
        <v>0</v>
      </c>
      <c r="H1069" s="125"/>
      <c r="J1069" s="224"/>
      <c r="K1069" s="224"/>
      <c r="L1069" s="224"/>
      <c r="M1069" s="224"/>
      <c r="N1069" s="224"/>
      <c r="O1069" s="224"/>
    </row>
    <row r="1070" spans="3:15" ht="14.7" thickBot="1" x14ac:dyDescent="0.6">
      <c r="C1070" s="124"/>
      <c r="D1070" s="1" t="s">
        <v>39</v>
      </c>
      <c r="E1070" s="37">
        <f ca="1">VLOOKUP(D1064,'2 Electricity'!D$21:L$40,9,FALSE)</f>
        <v>0</v>
      </c>
      <c r="H1070" s="125"/>
      <c r="J1070" s="224"/>
      <c r="K1070" s="224"/>
      <c r="L1070" s="224"/>
      <c r="M1070" s="224"/>
      <c r="N1070" s="224"/>
      <c r="O1070" s="224"/>
    </row>
    <row r="1071" spans="3:15" ht="14.7" thickTop="1" x14ac:dyDescent="0.55000000000000004">
      <c r="C1071" s="124"/>
      <c r="H1071" s="125"/>
      <c r="J1071" s="224"/>
      <c r="K1071" s="224"/>
      <c r="L1071" s="224"/>
      <c r="M1071" s="224"/>
      <c r="N1071" s="224"/>
      <c r="O1071" s="224"/>
    </row>
    <row r="1072" spans="3:15" x14ac:dyDescent="0.55000000000000004">
      <c r="C1072" s="124"/>
      <c r="D1072" t="s">
        <v>189</v>
      </c>
      <c r="E1072" s="26">
        <f>IFERROR(IF(VLOOKUP(D1064,'2 Electricity'!$D$126:$K$145,7,FALSE)="",VLOOKUP('2 Electricity'!$D$126:$K$145,6,FALSE),VLOOKUP(D1064,'2 Electricity'!$D$126:$K$145,7,FALSE))+VLOOKUP(D1064,'2 Electricity'!$D$157:$J$176,5,FALSE),0)</f>
        <v>0</v>
      </c>
      <c r="H1072" s="125"/>
      <c r="J1072" s="224"/>
      <c r="K1072" s="224"/>
      <c r="L1072" s="224"/>
      <c r="M1072" s="224"/>
      <c r="N1072" s="224"/>
      <c r="O1072" s="224"/>
    </row>
    <row r="1073" spans="3:15" x14ac:dyDescent="0.55000000000000004">
      <c r="C1073" s="124"/>
      <c r="H1073" s="125"/>
      <c r="J1073" s="224"/>
      <c r="K1073" s="224"/>
      <c r="L1073" s="224"/>
      <c r="M1073" s="224"/>
      <c r="N1073" s="224"/>
      <c r="O1073" s="224"/>
    </row>
    <row r="1074" spans="3:15" x14ac:dyDescent="0.55000000000000004">
      <c r="C1074" s="124"/>
      <c r="D1074" t="s">
        <v>371</v>
      </c>
      <c r="E1074" s="64">
        <f ca="1">IF(VLOOKUP(D1064,'2 Electricity'!$D$56:$M$75,5,FALSE)="",VLOOKUP(D1064,'2 Electricity'!$D$56:$M$75,4,FALSE),VLOOKUP(D1064,'2 Electricity'!$D$56:$M$75,5,FALSE))</f>
        <v>0</v>
      </c>
      <c r="H1074" s="125"/>
      <c r="J1074" s="224"/>
      <c r="K1074" s="224"/>
      <c r="L1074" s="224"/>
      <c r="M1074" s="224"/>
      <c r="N1074" s="224"/>
      <c r="O1074" s="224"/>
    </row>
    <row r="1075" spans="3:15" x14ac:dyDescent="0.55000000000000004">
      <c r="C1075" s="124"/>
      <c r="D1075" t="s">
        <v>372</v>
      </c>
      <c r="E1075" s="26">
        <f ca="1">IF(VLOOKUP(D1064,'2 Electricity'!$D$56:$M$75,7,FALSE)="",VLOOKUP(D1064,'2 Electricity'!$D$56:$M$75,6,FALSE),VLOOKUP(D1064,'2 Electricity'!$D$56:$M$75,7,FALSE))</f>
        <v>0</v>
      </c>
      <c r="H1075" s="125"/>
      <c r="J1075" s="224"/>
      <c r="K1075" s="224"/>
      <c r="L1075" s="224"/>
      <c r="M1075" s="224"/>
      <c r="N1075" s="224"/>
      <c r="O1075" s="224"/>
    </row>
    <row r="1076" spans="3:15" x14ac:dyDescent="0.55000000000000004">
      <c r="C1076" s="124"/>
      <c r="D1076" t="s">
        <v>373</v>
      </c>
      <c r="E1076" s="26">
        <f ca="1">IF(VLOOKUP(D1064,'2 Electricity'!$D$56:$M$75,9,FALSE)="",VLOOKUP(D1064,'2 Electricity'!$D$56:$M$75,8,FALSE),VLOOKUP(D1064,'2 Electricity'!$D$56:$M$75,9,FALSE))</f>
        <v>0</v>
      </c>
      <c r="H1076" s="125"/>
      <c r="J1076" s="224"/>
      <c r="K1076" s="224"/>
      <c r="L1076" s="224"/>
      <c r="M1076" s="224"/>
      <c r="N1076" s="224"/>
      <c r="O1076" s="224"/>
    </row>
    <row r="1077" spans="3:15" x14ac:dyDescent="0.55000000000000004">
      <c r="C1077" s="124"/>
      <c r="D1077" t="s">
        <v>374</v>
      </c>
      <c r="E1077" s="26">
        <f ca="1">IF(VLOOKUP(D1064,'2 Electricity'!$D$92:$I$111,5,FALSE)="",VLOOKUP(D1064,'2 Electricity'!$D$92:$I$111,4,FALSE),VLOOKUP(D1064,'2 Electricity'!$D$92:$I$111,5,FALSE))</f>
        <v>0</v>
      </c>
      <c r="H1077" s="125"/>
      <c r="J1077" s="224"/>
      <c r="K1077" s="224"/>
      <c r="L1077" s="224"/>
      <c r="M1077" s="224"/>
      <c r="N1077" s="224"/>
      <c r="O1077" s="224"/>
    </row>
    <row r="1078" spans="3:15" ht="14.7" thickBot="1" x14ac:dyDescent="0.6">
      <c r="C1078" s="124"/>
      <c r="D1078" s="1" t="s">
        <v>145</v>
      </c>
      <c r="E1078" s="37">
        <f ca="1">SUM(E1074:E1077)</f>
        <v>0</v>
      </c>
      <c r="H1078" s="125"/>
      <c r="J1078" s="224"/>
      <c r="K1078" s="224"/>
      <c r="L1078" s="224"/>
      <c r="M1078" s="224"/>
      <c r="N1078" s="224"/>
      <c r="O1078" s="224"/>
    </row>
    <row r="1079" spans="3:15" ht="14.7" thickTop="1" x14ac:dyDescent="0.55000000000000004">
      <c r="C1079" s="124"/>
      <c r="D1079" s="1"/>
      <c r="E1079" s="15"/>
      <c r="H1079" s="125"/>
      <c r="J1079" s="224"/>
      <c r="K1079" s="224"/>
      <c r="L1079" s="224"/>
      <c r="M1079" s="224"/>
      <c r="N1079" s="224"/>
      <c r="O1079" s="224"/>
    </row>
    <row r="1080" spans="3:15" x14ac:dyDescent="0.55000000000000004">
      <c r="C1080" s="124"/>
      <c r="D1080" t="s">
        <v>384</v>
      </c>
      <c r="E1080" s="26">
        <f ca="1">IF(VLOOKUP(D1064,'2 Electricity'!$D$126:$K$145,5,FALSE)="",VLOOKUP(D1064,'2 Electricity'!$D$126:$K$145,4,FALSE),VLOOKUP(D1064,'2 Electricity'!$D$126:$K$145,5,FALSE))+VLOOKUP(D1064,'2 Electricity'!$D$157:$J$176,7,FALSE)</f>
        <v>0</v>
      </c>
      <c r="H1080" s="125"/>
      <c r="J1080" s="224"/>
      <c r="K1080" s="224"/>
      <c r="L1080" s="224"/>
      <c r="M1080" s="224"/>
      <c r="N1080" s="224"/>
      <c r="O1080" s="224"/>
    </row>
    <row r="1081" spans="3:15" x14ac:dyDescent="0.55000000000000004">
      <c r="C1081" s="124"/>
      <c r="H1081" s="125"/>
      <c r="J1081" s="224"/>
      <c r="K1081" s="224"/>
      <c r="L1081" s="224"/>
      <c r="M1081" s="224"/>
      <c r="N1081" s="224"/>
      <c r="O1081" s="224"/>
    </row>
    <row r="1082" spans="3:15" ht="14.7" thickBot="1" x14ac:dyDescent="0.6">
      <c r="C1082" s="124"/>
      <c r="D1082" s="1" t="s">
        <v>375</v>
      </c>
      <c r="E1082" s="37">
        <f ca="1">VLOOKUP(D1064,'2 Electricity'!$D$157:$K$176,8,FALSE)</f>
        <v>0</v>
      </c>
      <c r="H1082" s="125"/>
      <c r="J1082" s="224"/>
      <c r="K1082" s="224"/>
      <c r="L1082" s="224"/>
      <c r="M1082" s="224"/>
      <c r="N1082" s="224"/>
      <c r="O1082" s="224"/>
    </row>
    <row r="1083" spans="3:15" ht="14.7" thickTop="1" x14ac:dyDescent="0.55000000000000004">
      <c r="C1083" s="124"/>
      <c r="H1083" s="125"/>
      <c r="J1083" s="224"/>
      <c r="K1083" s="224"/>
      <c r="L1083" s="224"/>
      <c r="M1083" s="224"/>
      <c r="N1083" s="224"/>
      <c r="O1083" s="224"/>
    </row>
    <row r="1084" spans="3:15" x14ac:dyDescent="0.55000000000000004">
      <c r="C1084" s="124"/>
      <c r="H1084" s="125"/>
      <c r="J1084" s="224"/>
      <c r="K1084" s="224"/>
      <c r="L1084" s="224"/>
      <c r="M1084" s="224"/>
      <c r="N1084" s="224"/>
      <c r="O1084" s="224"/>
    </row>
    <row r="1085" spans="3:15" x14ac:dyDescent="0.55000000000000004">
      <c r="C1085" s="124"/>
      <c r="H1085" s="125"/>
      <c r="J1085" s="224"/>
      <c r="K1085" s="224"/>
      <c r="L1085" s="224"/>
      <c r="M1085" s="224"/>
      <c r="N1085" s="224"/>
      <c r="O1085" s="224"/>
    </row>
    <row r="1086" spans="3:15" x14ac:dyDescent="0.55000000000000004">
      <c r="C1086" s="124"/>
      <c r="H1086" s="125"/>
      <c r="J1086" s="224"/>
      <c r="K1086" s="224"/>
      <c r="L1086" s="224"/>
      <c r="M1086" s="224"/>
      <c r="N1086" s="224"/>
      <c r="O1086" s="224"/>
    </row>
    <row r="1087" spans="3:15" x14ac:dyDescent="0.55000000000000004">
      <c r="C1087" s="124"/>
      <c r="H1087" s="125"/>
      <c r="J1087" s="224"/>
      <c r="K1087" s="224"/>
      <c r="L1087" s="224"/>
      <c r="M1087" s="224"/>
      <c r="N1087" s="224"/>
      <c r="O1087" s="224"/>
    </row>
    <row r="1088" spans="3:15" x14ac:dyDescent="0.55000000000000004">
      <c r="C1088" s="124"/>
      <c r="H1088" s="125"/>
      <c r="J1088" s="232" t="s">
        <v>385</v>
      </c>
      <c r="K1088" s="224"/>
      <c r="L1088" s="224"/>
      <c r="M1088" s="224"/>
      <c r="N1088" s="224"/>
      <c r="O1088" s="224"/>
    </row>
    <row r="1089" spans="3:15" x14ac:dyDescent="0.55000000000000004">
      <c r="C1089" s="124"/>
      <c r="H1089" s="125"/>
      <c r="J1089" s="110"/>
      <c r="K1089" s="102" t="s">
        <v>390</v>
      </c>
      <c r="L1089" s="102" t="s">
        <v>391</v>
      </c>
      <c r="M1089" s="224"/>
      <c r="N1089" s="224"/>
      <c r="O1089" s="224"/>
    </row>
    <row r="1090" spans="3:15" x14ac:dyDescent="0.55000000000000004">
      <c r="C1090" s="124"/>
      <c r="H1090" s="125"/>
      <c r="J1090" s="110" t="s">
        <v>393</v>
      </c>
      <c r="K1090" s="100">
        <f ca="1">E1067/1000</f>
        <v>0</v>
      </c>
      <c r="L1090" s="102"/>
      <c r="M1090" s="224"/>
      <c r="N1090" s="224"/>
      <c r="O1090" s="224"/>
    </row>
    <row r="1091" spans="3:15" x14ac:dyDescent="0.55000000000000004">
      <c r="C1091" s="124"/>
      <c r="H1091" s="125"/>
      <c r="J1091" s="110" t="s">
        <v>249</v>
      </c>
      <c r="K1091" s="100">
        <f ca="1">E1068/1000</f>
        <v>0</v>
      </c>
      <c r="L1091" s="110"/>
      <c r="M1091" s="224"/>
      <c r="N1091" s="224"/>
      <c r="O1091" s="224"/>
    </row>
    <row r="1092" spans="3:15" x14ac:dyDescent="0.55000000000000004">
      <c r="C1092" s="124"/>
      <c r="H1092" s="125"/>
      <c r="J1092" s="110" t="s">
        <v>52</v>
      </c>
      <c r="K1092" s="100">
        <f ca="1">E1069/1000</f>
        <v>0</v>
      </c>
      <c r="L1092" s="110"/>
      <c r="M1092" s="224"/>
      <c r="N1092" s="224"/>
      <c r="O1092" s="224"/>
    </row>
    <row r="1093" spans="3:15" x14ac:dyDescent="0.55000000000000004">
      <c r="C1093" s="124"/>
      <c r="H1093" s="125"/>
      <c r="J1093" s="110" t="s">
        <v>471</v>
      </c>
      <c r="K1093" s="100">
        <f>E1072/1000</f>
        <v>0</v>
      </c>
      <c r="L1093" s="110"/>
      <c r="M1093" s="224"/>
      <c r="N1093" s="224"/>
      <c r="O1093" s="224"/>
    </row>
    <row r="1094" spans="3:15" x14ac:dyDescent="0.55000000000000004">
      <c r="C1094" s="124"/>
      <c r="H1094" s="125"/>
      <c r="J1094" s="110" t="s">
        <v>563</v>
      </c>
      <c r="K1094" s="100"/>
      <c r="L1094" s="101">
        <f ca="1">E1082/1000</f>
        <v>0</v>
      </c>
      <c r="M1094" s="224"/>
      <c r="N1094" s="224"/>
      <c r="O1094" s="224"/>
    </row>
    <row r="1095" spans="3:15" x14ac:dyDescent="0.55000000000000004">
      <c r="C1095" s="124"/>
      <c r="H1095" s="125"/>
      <c r="J1095" s="110" t="s">
        <v>564</v>
      </c>
      <c r="K1095" s="100"/>
      <c r="L1095" s="101">
        <f ca="1">E1077/1000</f>
        <v>0</v>
      </c>
      <c r="M1095" s="224"/>
      <c r="N1095" s="224"/>
      <c r="O1095" s="224"/>
    </row>
    <row r="1096" spans="3:15" x14ac:dyDescent="0.55000000000000004">
      <c r="C1096" s="124"/>
      <c r="H1096" s="125"/>
      <c r="J1096" s="110" t="s">
        <v>565</v>
      </c>
      <c r="K1096" s="100"/>
      <c r="L1096" s="101">
        <f ca="1">SUM(E1074:E1076)/1000</f>
        <v>0</v>
      </c>
      <c r="M1096" s="224"/>
      <c r="N1096" s="224"/>
      <c r="O1096" s="224"/>
    </row>
    <row r="1097" spans="3:15" x14ac:dyDescent="0.55000000000000004">
      <c r="C1097" s="124"/>
      <c r="H1097" s="125"/>
      <c r="J1097" s="110" t="s">
        <v>566</v>
      </c>
      <c r="K1097" s="100"/>
      <c r="L1097" s="101">
        <f ca="1">E1080/1000</f>
        <v>0</v>
      </c>
      <c r="M1097" s="224"/>
      <c r="N1097" s="224"/>
      <c r="O1097" s="224"/>
    </row>
    <row r="1098" spans="3:15" x14ac:dyDescent="0.55000000000000004">
      <c r="C1098" s="124"/>
      <c r="H1098" s="125"/>
      <c r="J1098" s="224"/>
      <c r="K1098" s="224"/>
      <c r="L1098" s="224"/>
      <c r="M1098" s="224"/>
      <c r="N1098" s="224"/>
      <c r="O1098" s="224"/>
    </row>
    <row r="1099" spans="3:15" x14ac:dyDescent="0.55000000000000004">
      <c r="C1099" s="124"/>
      <c r="H1099" s="125"/>
      <c r="J1099" s="224"/>
      <c r="K1099" s="224"/>
      <c r="L1099" s="224"/>
      <c r="M1099" s="224"/>
      <c r="N1099" s="224"/>
      <c r="O1099" s="224"/>
    </row>
    <row r="1100" spans="3:15" x14ac:dyDescent="0.55000000000000004">
      <c r="C1100" s="124"/>
      <c r="H1100" s="125"/>
      <c r="J1100" s="224"/>
      <c r="K1100" s="224"/>
      <c r="L1100" s="224"/>
      <c r="M1100" s="224"/>
      <c r="N1100" s="224"/>
      <c r="O1100" s="224"/>
    </row>
    <row r="1101" spans="3:15" x14ac:dyDescent="0.55000000000000004">
      <c r="C1101" s="124"/>
      <c r="E1101" s="220" t="s">
        <v>250</v>
      </c>
      <c r="H1101" s="125"/>
      <c r="J1101" s="224"/>
      <c r="K1101" s="224"/>
      <c r="L1101" s="224"/>
      <c r="M1101" s="224"/>
      <c r="N1101" s="224"/>
      <c r="O1101" s="224"/>
    </row>
    <row r="1102" spans="3:15" x14ac:dyDescent="0.55000000000000004">
      <c r="C1102" s="124"/>
      <c r="D1102" t="s">
        <v>394</v>
      </c>
      <c r="E1102" s="64">
        <f ca="1">VLOOKUP(D1064,'2 Electricity'!$D$157:$M$176,10,FALSE)</f>
        <v>0</v>
      </c>
      <c r="H1102" s="125"/>
      <c r="J1102" s="224"/>
      <c r="K1102" s="224"/>
      <c r="L1102" s="224"/>
      <c r="M1102" s="224"/>
      <c r="N1102" s="224"/>
      <c r="O1102" s="224"/>
    </row>
    <row r="1103" spans="3:15" x14ac:dyDescent="0.55000000000000004">
      <c r="C1103" s="124"/>
      <c r="D1103" t="s">
        <v>395</v>
      </c>
      <c r="E1103" s="64">
        <f ca="1">VLOOKUP(D1064,'2 Electricity'!$D$157:$M$176,9,FALSE)</f>
        <v>0</v>
      </c>
      <c r="H1103" s="125"/>
      <c r="J1103" s="224"/>
      <c r="K1103" s="224"/>
      <c r="L1103" s="224"/>
      <c r="M1103" s="224"/>
      <c r="N1103" s="224"/>
      <c r="O1103" s="224"/>
    </row>
    <row r="1104" spans="3:15" x14ac:dyDescent="0.55000000000000004">
      <c r="C1104" s="124"/>
      <c r="D1104" t="s">
        <v>378</v>
      </c>
      <c r="E1104" s="97">
        <f ca="1">IFERROR(IF(E1072=0,E1080,E1072)/E1070,0)</f>
        <v>0</v>
      </c>
      <c r="H1104" s="125"/>
      <c r="J1104" s="224"/>
      <c r="K1104" s="224"/>
      <c r="L1104" s="224"/>
      <c r="M1104" s="224"/>
      <c r="N1104" s="224"/>
      <c r="O1104" s="224"/>
    </row>
    <row r="1105" spans="3:15" x14ac:dyDescent="0.55000000000000004">
      <c r="C1105" s="124"/>
      <c r="H1105" s="125"/>
      <c r="J1105" s="224"/>
      <c r="K1105" s="224"/>
      <c r="L1105" s="224"/>
      <c r="M1105" s="224"/>
      <c r="N1105" s="224"/>
      <c r="O1105" s="224"/>
    </row>
    <row r="1106" spans="3:15" x14ac:dyDescent="0.55000000000000004">
      <c r="C1106" s="124"/>
      <c r="D1106" t="s">
        <v>379</v>
      </c>
      <c r="E1106" s="26">
        <f>'3 Electricity'!I956</f>
        <v>0</v>
      </c>
      <c r="H1106" s="125"/>
      <c r="J1106" s="224"/>
      <c r="K1106" s="224"/>
      <c r="L1106" s="224"/>
      <c r="M1106" s="224"/>
      <c r="N1106" s="224"/>
      <c r="O1106" s="224"/>
    </row>
    <row r="1107" spans="3:15" x14ac:dyDescent="0.55000000000000004">
      <c r="C1107" s="124"/>
      <c r="D1107" t="s">
        <v>380</v>
      </c>
      <c r="E1107" s="97">
        <f ca="1">IFERROR('3 Electricity'!J956/'3 Electricity'!G956,0)</f>
        <v>0</v>
      </c>
      <c r="H1107" s="125"/>
      <c r="J1107" s="224"/>
      <c r="K1107" s="224"/>
      <c r="L1107" s="224"/>
      <c r="M1107" s="224"/>
      <c r="N1107" s="224"/>
      <c r="O1107" s="224"/>
    </row>
    <row r="1108" spans="3:15" x14ac:dyDescent="0.55000000000000004">
      <c r="C1108" s="124"/>
      <c r="H1108" s="125"/>
      <c r="J1108" s="224"/>
      <c r="K1108" s="224"/>
      <c r="L1108" s="224"/>
      <c r="M1108" s="224"/>
      <c r="N1108" s="224"/>
      <c r="O1108" s="224"/>
    </row>
    <row r="1109" spans="3:15" x14ac:dyDescent="0.55000000000000004">
      <c r="C1109" s="124"/>
      <c r="D1109" s="1" t="s">
        <v>381</v>
      </c>
      <c r="H1109" s="125"/>
      <c r="J1109" s="224"/>
      <c r="K1109" s="224"/>
      <c r="L1109" s="224"/>
      <c r="M1109" s="224"/>
      <c r="N1109" s="224"/>
      <c r="O1109" s="224"/>
    </row>
    <row r="1110" spans="3:15" x14ac:dyDescent="0.55000000000000004">
      <c r="C1110" s="124"/>
      <c r="D1110" s="1" t="str">
        <f>'3 Electricity'!G964</f>
        <v xml:space="preserve">Seasonal </v>
      </c>
      <c r="H1110" s="125"/>
      <c r="J1110" s="224"/>
      <c r="K1110" s="224"/>
      <c r="L1110" s="224"/>
      <c r="M1110" s="224"/>
      <c r="N1110" s="224"/>
      <c r="O1110" s="224"/>
    </row>
    <row r="1111" spans="3:15" x14ac:dyDescent="0.55000000000000004">
      <c r="C1111" s="124"/>
      <c r="H1111" s="125"/>
      <c r="J1111" s="224"/>
      <c r="K1111" s="224"/>
      <c r="L1111" s="224"/>
      <c r="M1111" s="224"/>
      <c r="N1111" s="224" t="s">
        <v>89</v>
      </c>
      <c r="O1111" s="224"/>
    </row>
    <row r="1112" spans="3:15" x14ac:dyDescent="0.55000000000000004">
      <c r="C1112" s="124"/>
      <c r="H1112" s="125"/>
      <c r="J1112" s="224"/>
      <c r="K1112" s="224"/>
      <c r="L1112" s="224"/>
      <c r="M1112" s="224"/>
      <c r="N1112" s="224"/>
      <c r="O1112" s="224"/>
    </row>
    <row r="1113" spans="3:15" ht="43.2" x14ac:dyDescent="0.55000000000000004">
      <c r="C1113" s="124"/>
      <c r="H1113" s="125"/>
      <c r="J1113" s="229" t="s">
        <v>383</v>
      </c>
      <c r="K1113" s="229" t="s">
        <v>382</v>
      </c>
      <c r="L1113" s="108" t="str">
        <f>IF(D1110=N1111,"Annual Tariff","Low Season Tariff")</f>
        <v>Low Season Tariff</v>
      </c>
      <c r="M1113" s="109" t="str">
        <f>IF(D1110=N1111,"","High Season Tariff")</f>
        <v>High Season Tariff</v>
      </c>
      <c r="N1113" s="108" t="s">
        <v>392</v>
      </c>
      <c r="O1113" s="229" t="s">
        <v>580</v>
      </c>
    </row>
    <row r="1114" spans="3:15" x14ac:dyDescent="0.55000000000000004">
      <c r="C1114" s="124"/>
      <c r="H1114" s="125"/>
      <c r="J1114" s="102">
        <v>1</v>
      </c>
      <c r="K1114" s="103">
        <f>IFERROR(IF('3 Electricity'!$G$964='3 Electricity'!$V$964,VLOOKUP('Electricity report'!J1114,'3 Electricity'!$F$975:$K$979,3,FALSE),VLOOKUP('Electricity report'!J1114,'3 Electricity'!$F$994:$N$998,3,FALSE)),0)</f>
        <v>0</v>
      </c>
      <c r="L1114" s="103">
        <f ca="1">IFERROR(IF('3 Electricity'!$G$964='3 Electricity'!$V$964,VLOOKUP('Electricity report'!J1114,'3 Electricity'!$F$975:$K$979,6,FALSE),VLOOKUP('Electricity report'!J1114,'3 Electricity'!$F$994:$N$998,9,FALSE)),0)</f>
        <v>0</v>
      </c>
      <c r="M1114" s="105">
        <f ca="1">IF($D$1110=$N$1111,"",VLOOKUP(J1114,'3 Electricity'!$F$994:$N$998,8,FALSE))</f>
        <v>0</v>
      </c>
      <c r="N1114" s="107">
        <f ca="1">$E$1102</f>
        <v>0</v>
      </c>
      <c r="O1114" s="105">
        <f ca="1">IFERROR('3 Electricity'!J948/'3 Electricity'!H948,0)</f>
        <v>0</v>
      </c>
    </row>
    <row r="1115" spans="3:15" x14ac:dyDescent="0.55000000000000004">
      <c r="C1115" s="124"/>
      <c r="H1115" s="125"/>
      <c r="J1115" s="102">
        <v>2</v>
      </c>
      <c r="K1115" s="103">
        <f>IFERROR(IF('3 Electricity'!$G$964='3 Electricity'!$V$964,VLOOKUP('Electricity report'!J1115,'3 Electricity'!$F$975:$K$979,3,FALSE),VLOOKUP('Electricity report'!J1115,'3 Electricity'!$F$994:$N$998,3,FALSE)),0)</f>
        <v>0</v>
      </c>
      <c r="L1115" s="103">
        <f ca="1">IFERROR(IF('3 Electricity'!$G$964='3 Electricity'!$V$964,VLOOKUP('Electricity report'!J1115,'3 Electricity'!$F$975:$K$979,6,FALSE),VLOOKUP('Electricity report'!J1115,'3 Electricity'!$F$994:$N$998,9,FALSE)),0)</f>
        <v>0</v>
      </c>
      <c r="M1115" s="105">
        <f ca="1">IF($D$1110=$N$1111,"",VLOOKUP(J1115,'3 Electricity'!$F$994:$N$998,8,FALSE))</f>
        <v>0</v>
      </c>
      <c r="N1115" s="107">
        <f ca="1">$E$1102</f>
        <v>0</v>
      </c>
      <c r="O1115" s="107">
        <f ca="1">$O$1114</f>
        <v>0</v>
      </c>
    </row>
    <row r="1116" spans="3:15" x14ac:dyDescent="0.55000000000000004">
      <c r="C1116" s="124"/>
      <c r="H1116" s="125"/>
      <c r="J1116" s="102">
        <v>3</v>
      </c>
      <c r="K1116" s="103">
        <f>IFERROR(IF('3 Electricity'!$G$964='3 Electricity'!$V$964,VLOOKUP('Electricity report'!J1116,'3 Electricity'!$F$975:$K$979,3,FALSE),VLOOKUP('Electricity report'!J1116,'3 Electricity'!$F$994:$N$998,3,FALSE)),0)</f>
        <v>0</v>
      </c>
      <c r="L1116" s="103">
        <f ca="1">IFERROR(IF('3 Electricity'!$G$964='3 Electricity'!$V$964,VLOOKUP('Electricity report'!J1116,'3 Electricity'!$F$975:$K$979,6,FALSE),VLOOKUP('Electricity report'!J1116,'3 Electricity'!$F$994:$N$998,9,FALSE)),0)</f>
        <v>0</v>
      </c>
      <c r="M1116" s="105">
        <f ca="1">IF($D$1110=$N$1111,"",VLOOKUP(J1116,'3 Electricity'!$F$994:$N$998,8,FALSE))</f>
        <v>0</v>
      </c>
      <c r="N1116" s="107">
        <f ca="1">$E$1102</f>
        <v>0</v>
      </c>
      <c r="O1116" s="107">
        <f ca="1">$O$1114</f>
        <v>0</v>
      </c>
    </row>
    <row r="1117" spans="3:15" x14ac:dyDescent="0.55000000000000004">
      <c r="C1117" s="124"/>
      <c r="H1117" s="125"/>
      <c r="J1117" s="102">
        <v>4</v>
      </c>
      <c r="K1117" s="103">
        <f>IFERROR(IF('3 Electricity'!$G$964='3 Electricity'!$V$964,VLOOKUP('Electricity report'!J1117,'3 Electricity'!$F$975:$K$979,3,FALSE),VLOOKUP('Electricity report'!J1117,'3 Electricity'!$F$994:$N$998,3,FALSE)),0)</f>
        <v>0</v>
      </c>
      <c r="L1117" s="103">
        <f ca="1">IFERROR(IF('3 Electricity'!$G$964='3 Electricity'!$V$964,VLOOKUP('Electricity report'!J1117,'3 Electricity'!$F$975:$K$979,6,FALSE),VLOOKUP('Electricity report'!J1117,'3 Electricity'!$F$994:$N$998,9,FALSE)),0)</f>
        <v>0</v>
      </c>
      <c r="M1117" s="105">
        <f ca="1">IF($D$1110=$N$1111,"",VLOOKUP(J1117,'3 Electricity'!$F$994:$N$998,8,FALSE))</f>
        <v>0</v>
      </c>
      <c r="N1117" s="107">
        <f ca="1">$E$1102</f>
        <v>0</v>
      </c>
      <c r="O1117" s="107">
        <f ca="1">$O$1114</f>
        <v>0</v>
      </c>
    </row>
    <row r="1118" spans="3:15" x14ac:dyDescent="0.55000000000000004">
      <c r="C1118" s="124"/>
      <c r="H1118" s="125"/>
      <c r="J1118" s="102">
        <v>5</v>
      </c>
      <c r="K1118" s="103" t="str">
        <f>IFERROR(IF('3 Electricity'!$G$964='3 Electricity'!$V$964,VLOOKUP('Electricity report'!J1118,'3 Electricity'!$F$975:$K$979,3,FALSE),VLOOKUP('Electricity report'!J1118,'3 Electricity'!$F$994:$N$998,3,FALSE)),0)</f>
        <v>More</v>
      </c>
      <c r="L1118" s="103">
        <f ca="1">IFERROR(IF('3 Electricity'!$G$964='3 Electricity'!$V$964,VLOOKUP('Electricity report'!J1118,'3 Electricity'!$F$975:$K$979,6,FALSE),VLOOKUP('Electricity report'!J1118,'3 Electricity'!$F$994:$N$998,9,FALSE)),0)</f>
        <v>0</v>
      </c>
      <c r="M1118" s="105">
        <f ca="1">IF($D$1110=$N$1111,"",VLOOKUP(J1118,'3 Electricity'!$F$994:$N$998,8,FALSE))</f>
        <v>0</v>
      </c>
      <c r="N1118" s="107">
        <f ca="1">$E$1102</f>
        <v>0</v>
      </c>
      <c r="O1118" s="107">
        <f ca="1">$O$1114</f>
        <v>0</v>
      </c>
    </row>
    <row r="1119" spans="3:15" x14ac:dyDescent="0.55000000000000004">
      <c r="C1119" s="124"/>
      <c r="H1119" s="125"/>
      <c r="J1119" s="224"/>
      <c r="K1119" s="224"/>
      <c r="L1119" s="224"/>
      <c r="M1119" s="224"/>
      <c r="N1119" s="224"/>
      <c r="O1119" s="224"/>
    </row>
    <row r="1120" spans="3:15" x14ac:dyDescent="0.55000000000000004">
      <c r="C1120" s="124"/>
      <c r="H1120" s="125"/>
      <c r="J1120" s="224"/>
      <c r="K1120" s="224"/>
      <c r="L1120" s="224"/>
      <c r="M1120" s="224"/>
      <c r="N1120" s="224"/>
      <c r="O1120" s="224"/>
    </row>
    <row r="1121" spans="3:15" x14ac:dyDescent="0.55000000000000004">
      <c r="C1121" s="124"/>
      <c r="H1121" s="125"/>
      <c r="J1121" s="224"/>
      <c r="K1121" s="224"/>
      <c r="L1121" s="224"/>
      <c r="M1121" s="224"/>
      <c r="N1121" s="224"/>
      <c r="O1121" s="224"/>
    </row>
    <row r="1122" spans="3:15" x14ac:dyDescent="0.55000000000000004">
      <c r="C1122" s="124"/>
      <c r="H1122" s="125"/>
      <c r="J1122" s="224"/>
      <c r="K1122" s="224"/>
      <c r="L1122" s="224"/>
      <c r="M1122" s="224"/>
      <c r="N1122" s="224"/>
      <c r="O1122" s="224"/>
    </row>
    <row r="1123" spans="3:15" x14ac:dyDescent="0.55000000000000004">
      <c r="C1123" s="124"/>
      <c r="H1123" s="125"/>
      <c r="J1123" s="224"/>
      <c r="K1123" s="224"/>
      <c r="L1123" s="224"/>
      <c r="M1123" s="224"/>
      <c r="N1123" s="224"/>
      <c r="O1123" s="224"/>
    </row>
    <row r="1124" spans="3:15" x14ac:dyDescent="0.55000000000000004">
      <c r="C1124" s="124"/>
      <c r="H1124" s="125"/>
      <c r="J1124" s="224"/>
      <c r="K1124" s="224"/>
      <c r="L1124" s="224"/>
      <c r="M1124" s="224"/>
      <c r="N1124" s="224"/>
      <c r="O1124" s="224"/>
    </row>
    <row r="1125" spans="3:15" x14ac:dyDescent="0.55000000000000004">
      <c r="C1125" s="124"/>
      <c r="H1125" s="125"/>
      <c r="J1125" s="224"/>
      <c r="K1125" s="224"/>
      <c r="L1125" s="224"/>
      <c r="M1125" s="224"/>
      <c r="N1125" s="224"/>
      <c r="O1125" s="224"/>
    </row>
    <row r="1126" spans="3:15" x14ac:dyDescent="0.55000000000000004">
      <c r="C1126" s="124"/>
      <c r="H1126" s="125"/>
      <c r="J1126" s="224"/>
      <c r="K1126" s="224"/>
      <c r="L1126" s="224"/>
      <c r="M1126" s="224"/>
      <c r="N1126" s="224"/>
      <c r="O1126" s="224"/>
    </row>
    <row r="1127" spans="3:15" x14ac:dyDescent="0.55000000000000004">
      <c r="C1127" s="124"/>
      <c r="H1127" s="125"/>
      <c r="J1127" s="224"/>
      <c r="K1127" s="224"/>
      <c r="L1127" s="224"/>
      <c r="M1127" s="224"/>
      <c r="N1127" s="224"/>
      <c r="O1127" s="224"/>
    </row>
    <row r="1128" spans="3:15" x14ac:dyDescent="0.55000000000000004">
      <c r="C1128" s="124"/>
      <c r="H1128" s="125"/>
      <c r="J1128" s="224"/>
      <c r="K1128" s="224"/>
      <c r="L1128" s="224"/>
      <c r="M1128" s="224"/>
      <c r="N1128" s="224"/>
      <c r="O1128" s="224"/>
    </row>
    <row r="1129" spans="3:15" x14ac:dyDescent="0.55000000000000004">
      <c r="C1129" s="124"/>
      <c r="H1129" s="125"/>
      <c r="J1129" s="224"/>
      <c r="K1129" s="224"/>
      <c r="L1129" s="224"/>
      <c r="M1129" s="224"/>
      <c r="N1129" s="224"/>
      <c r="O1129" s="224"/>
    </row>
    <row r="1130" spans="3:15" ht="14.7" thickBot="1" x14ac:dyDescent="0.6">
      <c r="C1130" s="130"/>
      <c r="D1130" s="131"/>
      <c r="E1130" s="131"/>
      <c r="F1130" s="131"/>
      <c r="G1130" s="131"/>
      <c r="H1130" s="132"/>
      <c r="J1130" s="224"/>
      <c r="K1130" s="224"/>
      <c r="L1130" s="224"/>
      <c r="M1130" s="224"/>
      <c r="N1130" s="224"/>
      <c r="O1130" s="224"/>
    </row>
    <row r="1131" spans="3:15" x14ac:dyDescent="0.55000000000000004">
      <c r="J1131" s="224"/>
      <c r="K1131" s="224"/>
      <c r="L1131" s="224"/>
      <c r="M1131" s="224"/>
      <c r="N1131" s="224"/>
      <c r="O1131" s="224"/>
    </row>
    <row r="1132" spans="3:15" ht="14.7" thickBot="1" x14ac:dyDescent="0.6">
      <c r="J1132" s="224"/>
      <c r="K1132" s="224"/>
      <c r="L1132" s="224"/>
      <c r="M1132" s="224"/>
      <c r="N1132" s="224"/>
      <c r="O1132" s="224"/>
    </row>
    <row r="1133" spans="3:15" x14ac:dyDescent="0.55000000000000004">
      <c r="C1133" s="121"/>
      <c r="D1133" s="122"/>
      <c r="E1133" s="122"/>
      <c r="F1133" s="122"/>
      <c r="G1133" s="122"/>
      <c r="H1133" s="123"/>
      <c r="J1133" s="224"/>
      <c r="K1133" s="224"/>
      <c r="L1133" s="224"/>
      <c r="M1133" s="224"/>
      <c r="N1133" s="224"/>
      <c r="O1133" s="224"/>
    </row>
    <row r="1134" spans="3:15" ht="15.6" x14ac:dyDescent="0.6">
      <c r="C1134" s="124"/>
      <c r="D1134" s="98">
        <f>'2 Customer data'!D109</f>
        <v>0</v>
      </c>
      <c r="H1134" s="125"/>
      <c r="J1134" s="224"/>
      <c r="K1134" s="224"/>
      <c r="L1134" s="224"/>
      <c r="M1134" s="224"/>
      <c r="N1134" s="224"/>
      <c r="O1134" s="224"/>
    </row>
    <row r="1135" spans="3:15" x14ac:dyDescent="0.55000000000000004">
      <c r="C1135" s="124"/>
      <c r="H1135" s="125"/>
      <c r="J1135" s="224"/>
      <c r="K1135" s="224"/>
      <c r="L1135" s="224"/>
      <c r="M1135" s="224"/>
      <c r="N1135" s="224"/>
      <c r="O1135" s="224"/>
    </row>
    <row r="1136" spans="3:15" x14ac:dyDescent="0.55000000000000004">
      <c r="C1136" s="124"/>
      <c r="E1136" s="220" t="s">
        <v>250</v>
      </c>
      <c r="H1136" s="125"/>
      <c r="J1136" s="224"/>
      <c r="K1136" s="224"/>
      <c r="L1136" s="224"/>
      <c r="M1136" s="224"/>
      <c r="N1136" s="224"/>
      <c r="O1136" s="224"/>
    </row>
    <row r="1137" spans="3:15" x14ac:dyDescent="0.55000000000000004">
      <c r="C1137" s="124"/>
      <c r="D1137" t="s">
        <v>393</v>
      </c>
      <c r="E1137" s="26">
        <f ca="1">VLOOKUP(D1134,'2 Electricity'!$D$21:$L$40,6,FALSE)</f>
        <v>0</v>
      </c>
      <c r="H1137" s="125"/>
      <c r="J1137" s="224"/>
      <c r="K1137" s="224"/>
      <c r="L1137" s="224"/>
      <c r="M1137" s="224"/>
      <c r="N1137" s="224"/>
      <c r="O1137" s="224"/>
    </row>
    <row r="1138" spans="3:15" x14ac:dyDescent="0.55000000000000004">
      <c r="C1138" s="124"/>
      <c r="D1138" t="s">
        <v>249</v>
      </c>
      <c r="E1138" s="99">
        <f ca="1">VLOOKUP(D1134,'2 Electricity'!$D$21:$L$40,7,FALSE)</f>
        <v>0</v>
      </c>
      <c r="H1138" s="125"/>
      <c r="J1138" s="224"/>
      <c r="K1138" s="224"/>
      <c r="L1138" s="224"/>
      <c r="M1138" s="224"/>
      <c r="N1138" s="224"/>
      <c r="O1138" s="224"/>
    </row>
    <row r="1139" spans="3:15" x14ac:dyDescent="0.55000000000000004">
      <c r="C1139" s="124"/>
      <c r="D1139" t="s">
        <v>52</v>
      </c>
      <c r="E1139" s="26">
        <f ca="1">VLOOKUP(D1134,'2 Electricity'!$D$21:$L$40,8,FALSE)</f>
        <v>0</v>
      </c>
      <c r="H1139" s="125"/>
      <c r="J1139" s="224"/>
      <c r="K1139" s="224"/>
      <c r="L1139" s="224"/>
      <c r="M1139" s="224"/>
      <c r="N1139" s="224"/>
      <c r="O1139" s="224"/>
    </row>
    <row r="1140" spans="3:15" ht="14.7" thickBot="1" x14ac:dyDescent="0.6">
      <c r="C1140" s="124"/>
      <c r="D1140" s="1" t="s">
        <v>39</v>
      </c>
      <c r="E1140" s="37">
        <f ca="1">VLOOKUP(D1134,'2 Electricity'!D$21:L$40,9,FALSE)</f>
        <v>0</v>
      </c>
      <c r="H1140" s="125"/>
      <c r="J1140" s="224"/>
      <c r="K1140" s="224"/>
      <c r="L1140" s="224"/>
      <c r="M1140" s="224"/>
      <c r="N1140" s="224"/>
      <c r="O1140" s="224"/>
    </row>
    <row r="1141" spans="3:15" ht="14.7" thickTop="1" x14ac:dyDescent="0.55000000000000004">
      <c r="C1141" s="124"/>
      <c r="H1141" s="125"/>
      <c r="J1141" s="224"/>
      <c r="K1141" s="224"/>
      <c r="L1141" s="224"/>
      <c r="M1141" s="224"/>
      <c r="N1141" s="224"/>
      <c r="O1141" s="224"/>
    </row>
    <row r="1142" spans="3:15" x14ac:dyDescent="0.55000000000000004">
      <c r="C1142" s="124"/>
      <c r="D1142" t="s">
        <v>189</v>
      </c>
      <c r="E1142" s="26">
        <f>IFERROR(IF(VLOOKUP(D1134,'2 Electricity'!$D$126:$K$145,7,FALSE)="",VLOOKUP('2 Electricity'!$D$126:$K$145,6,FALSE),VLOOKUP(D1134,'2 Electricity'!$D$126:$K$145,7,FALSE))+VLOOKUP(D1134,'2 Electricity'!$D$157:$J$176,5,FALSE),0)</f>
        <v>0</v>
      </c>
      <c r="H1142" s="125"/>
      <c r="J1142" s="224"/>
      <c r="K1142" s="224"/>
      <c r="L1142" s="224"/>
      <c r="M1142" s="224"/>
      <c r="N1142" s="224"/>
      <c r="O1142" s="224"/>
    </row>
    <row r="1143" spans="3:15" x14ac:dyDescent="0.55000000000000004">
      <c r="C1143" s="124"/>
      <c r="H1143" s="125"/>
      <c r="J1143" s="224"/>
      <c r="K1143" s="224"/>
      <c r="L1143" s="224"/>
      <c r="M1143" s="224"/>
      <c r="N1143" s="224"/>
      <c r="O1143" s="224"/>
    </row>
    <row r="1144" spans="3:15" x14ac:dyDescent="0.55000000000000004">
      <c r="C1144" s="124"/>
      <c r="D1144" t="s">
        <v>371</v>
      </c>
      <c r="E1144" s="64">
        <f ca="1">IF(VLOOKUP(D1134,'2 Electricity'!$D$56:$M$75,5,FALSE)="",VLOOKUP(D1134,'2 Electricity'!$D$56:$M$75,4,FALSE),VLOOKUP(D1134,'2 Electricity'!$D$56:$M$75,5,FALSE))</f>
        <v>0</v>
      </c>
      <c r="H1144" s="125"/>
      <c r="J1144" s="224"/>
      <c r="K1144" s="224"/>
      <c r="L1144" s="224"/>
      <c r="M1144" s="224"/>
      <c r="N1144" s="224"/>
      <c r="O1144" s="224"/>
    </row>
    <row r="1145" spans="3:15" x14ac:dyDescent="0.55000000000000004">
      <c r="C1145" s="124"/>
      <c r="D1145" t="s">
        <v>372</v>
      </c>
      <c r="E1145" s="26">
        <f ca="1">IF(VLOOKUP(D1134,'2 Electricity'!$D$56:$M$75,7,FALSE)="",VLOOKUP(D1134,'2 Electricity'!$D$56:$M$75,6,FALSE),VLOOKUP(D1134,'2 Electricity'!$D$56:$M$75,7,FALSE))</f>
        <v>0</v>
      </c>
      <c r="H1145" s="125"/>
      <c r="J1145" s="224"/>
      <c r="K1145" s="224"/>
      <c r="L1145" s="224"/>
      <c r="M1145" s="224"/>
      <c r="N1145" s="224"/>
      <c r="O1145" s="224"/>
    </row>
    <row r="1146" spans="3:15" x14ac:dyDescent="0.55000000000000004">
      <c r="C1146" s="124"/>
      <c r="D1146" t="s">
        <v>373</v>
      </c>
      <c r="E1146" s="26">
        <f ca="1">IF(VLOOKUP(D1134,'2 Electricity'!$D$56:$M$75,9,FALSE)="",VLOOKUP(D1134,'2 Electricity'!$D$56:$M$75,8,FALSE),VLOOKUP(D1134,'2 Electricity'!$D$56:$M$75,9,FALSE))</f>
        <v>0</v>
      </c>
      <c r="H1146" s="125"/>
      <c r="J1146" s="224"/>
      <c r="K1146" s="224"/>
      <c r="L1146" s="224"/>
      <c r="M1146" s="224"/>
      <c r="N1146" s="224"/>
      <c r="O1146" s="224"/>
    </row>
    <row r="1147" spans="3:15" x14ac:dyDescent="0.55000000000000004">
      <c r="C1147" s="124"/>
      <c r="D1147" t="s">
        <v>374</v>
      </c>
      <c r="E1147" s="26">
        <f ca="1">IF(VLOOKUP(D1134,'2 Electricity'!$D$92:$I$111,5,FALSE)="",VLOOKUP(D1134,'2 Electricity'!$D$92:$I$111,4,FALSE),VLOOKUP(D1134,'2 Electricity'!$D$92:$I$111,5,FALSE))</f>
        <v>0</v>
      </c>
      <c r="H1147" s="125"/>
      <c r="J1147" s="224"/>
      <c r="K1147" s="224"/>
      <c r="L1147" s="224"/>
      <c r="M1147" s="224"/>
      <c r="N1147" s="224"/>
      <c r="O1147" s="224"/>
    </row>
    <row r="1148" spans="3:15" ht="14.7" thickBot="1" x14ac:dyDescent="0.6">
      <c r="C1148" s="124"/>
      <c r="D1148" s="1" t="s">
        <v>145</v>
      </c>
      <c r="E1148" s="37">
        <f ca="1">SUM(E1144:E1147)</f>
        <v>0</v>
      </c>
      <c r="H1148" s="125"/>
      <c r="J1148" s="224"/>
      <c r="K1148" s="224"/>
      <c r="L1148" s="224"/>
      <c r="M1148" s="224"/>
      <c r="N1148" s="224"/>
      <c r="O1148" s="224"/>
    </row>
    <row r="1149" spans="3:15" ht="14.7" thickTop="1" x14ac:dyDescent="0.55000000000000004">
      <c r="C1149" s="124"/>
      <c r="D1149" s="1"/>
      <c r="E1149" s="15"/>
      <c r="H1149" s="125"/>
      <c r="J1149" s="224"/>
      <c r="K1149" s="224"/>
      <c r="L1149" s="224"/>
      <c r="M1149" s="224"/>
      <c r="N1149" s="224"/>
      <c r="O1149" s="224"/>
    </row>
    <row r="1150" spans="3:15" x14ac:dyDescent="0.55000000000000004">
      <c r="C1150" s="124"/>
      <c r="D1150" t="s">
        <v>384</v>
      </c>
      <c r="E1150" s="26">
        <f ca="1">IF(VLOOKUP(D1134,'2 Electricity'!$D$126:$K$145,5,FALSE)="",VLOOKUP(D1134,'2 Electricity'!$D$126:$K$145,4,FALSE),VLOOKUP(D1134,'2 Electricity'!$D$126:$K$145,5,FALSE))+VLOOKUP(D1134,'2 Electricity'!$D$157:$J$176,7,FALSE)</f>
        <v>0</v>
      </c>
      <c r="H1150" s="125"/>
      <c r="J1150" s="224"/>
      <c r="K1150" s="224"/>
      <c r="L1150" s="224"/>
      <c r="M1150" s="224"/>
      <c r="N1150" s="224"/>
      <c r="O1150" s="224"/>
    </row>
    <row r="1151" spans="3:15" x14ac:dyDescent="0.55000000000000004">
      <c r="C1151" s="124"/>
      <c r="H1151" s="125"/>
      <c r="J1151" s="224"/>
      <c r="K1151" s="224"/>
      <c r="L1151" s="224"/>
      <c r="M1151" s="224"/>
      <c r="N1151" s="224"/>
      <c r="O1151" s="224"/>
    </row>
    <row r="1152" spans="3:15" ht="14.7" thickBot="1" x14ac:dyDescent="0.6">
      <c r="C1152" s="124"/>
      <c r="D1152" s="1" t="s">
        <v>375</v>
      </c>
      <c r="E1152" s="37">
        <f ca="1">VLOOKUP(D1134,'2 Electricity'!$D$157:$K$176,8,FALSE)</f>
        <v>0</v>
      </c>
      <c r="H1152" s="125"/>
      <c r="J1152" s="224"/>
      <c r="K1152" s="224"/>
      <c r="L1152" s="224"/>
      <c r="M1152" s="224"/>
      <c r="N1152" s="224"/>
      <c r="O1152" s="224"/>
    </row>
    <row r="1153" spans="3:15" ht="14.7" thickTop="1" x14ac:dyDescent="0.55000000000000004">
      <c r="C1153" s="124"/>
      <c r="H1153" s="125"/>
      <c r="J1153" s="224"/>
      <c r="K1153" s="224"/>
      <c r="L1153" s="224"/>
      <c r="M1153" s="224"/>
      <c r="N1153" s="224"/>
      <c r="O1153" s="224"/>
    </row>
    <row r="1154" spans="3:15" x14ac:dyDescent="0.55000000000000004">
      <c r="C1154" s="124"/>
      <c r="H1154" s="125"/>
      <c r="J1154" s="224"/>
      <c r="K1154" s="224"/>
      <c r="L1154" s="224"/>
      <c r="M1154" s="224"/>
      <c r="N1154" s="224"/>
      <c r="O1154" s="224"/>
    </row>
    <row r="1155" spans="3:15" x14ac:dyDescent="0.55000000000000004">
      <c r="C1155" s="124"/>
      <c r="H1155" s="125"/>
      <c r="J1155" s="224"/>
      <c r="K1155" s="224"/>
      <c r="L1155" s="224"/>
      <c r="M1155" s="224"/>
      <c r="N1155" s="224"/>
      <c r="O1155" s="224"/>
    </row>
    <row r="1156" spans="3:15" x14ac:dyDescent="0.55000000000000004">
      <c r="C1156" s="124"/>
      <c r="H1156" s="125"/>
      <c r="J1156" s="224"/>
      <c r="K1156" s="224"/>
      <c r="L1156" s="224"/>
      <c r="M1156" s="224"/>
      <c r="N1156" s="224"/>
      <c r="O1156" s="224"/>
    </row>
    <row r="1157" spans="3:15" x14ac:dyDescent="0.55000000000000004">
      <c r="C1157" s="124"/>
      <c r="H1157" s="125"/>
      <c r="J1157" s="224"/>
      <c r="K1157" s="224"/>
      <c r="L1157" s="224"/>
      <c r="M1157" s="224"/>
      <c r="N1157" s="224"/>
      <c r="O1157" s="224"/>
    </row>
    <row r="1158" spans="3:15" x14ac:dyDescent="0.55000000000000004">
      <c r="C1158" s="124"/>
      <c r="H1158" s="125"/>
      <c r="J1158" s="232" t="s">
        <v>385</v>
      </c>
      <c r="K1158" s="224"/>
      <c r="L1158" s="224"/>
      <c r="M1158" s="224"/>
      <c r="N1158" s="224"/>
      <c r="O1158" s="224"/>
    </row>
    <row r="1159" spans="3:15" x14ac:dyDescent="0.55000000000000004">
      <c r="C1159" s="124"/>
      <c r="H1159" s="125"/>
      <c r="J1159" s="110"/>
      <c r="K1159" s="102" t="s">
        <v>390</v>
      </c>
      <c r="L1159" s="102" t="s">
        <v>391</v>
      </c>
      <c r="M1159" s="224"/>
      <c r="N1159" s="224"/>
      <c r="O1159" s="224"/>
    </row>
    <row r="1160" spans="3:15" x14ac:dyDescent="0.55000000000000004">
      <c r="C1160" s="124"/>
      <c r="H1160" s="125"/>
      <c r="J1160" s="110" t="s">
        <v>393</v>
      </c>
      <c r="K1160" s="100">
        <f ca="1">E1137/1000</f>
        <v>0</v>
      </c>
      <c r="L1160" s="102"/>
      <c r="M1160" s="224"/>
      <c r="N1160" s="224"/>
      <c r="O1160" s="224"/>
    </row>
    <row r="1161" spans="3:15" x14ac:dyDescent="0.55000000000000004">
      <c r="C1161" s="124"/>
      <c r="H1161" s="125"/>
      <c r="J1161" s="110" t="s">
        <v>249</v>
      </c>
      <c r="K1161" s="100">
        <f ca="1">E1138/1000</f>
        <v>0</v>
      </c>
      <c r="L1161" s="110"/>
      <c r="M1161" s="224"/>
      <c r="N1161" s="224"/>
      <c r="O1161" s="224"/>
    </row>
    <row r="1162" spans="3:15" x14ac:dyDescent="0.55000000000000004">
      <c r="C1162" s="124"/>
      <c r="H1162" s="125"/>
      <c r="J1162" s="110" t="s">
        <v>52</v>
      </c>
      <c r="K1162" s="100">
        <f ca="1">E1139/1000</f>
        <v>0</v>
      </c>
      <c r="L1162" s="110"/>
      <c r="M1162" s="224"/>
      <c r="N1162" s="224"/>
      <c r="O1162" s="224"/>
    </row>
    <row r="1163" spans="3:15" x14ac:dyDescent="0.55000000000000004">
      <c r="C1163" s="124"/>
      <c r="H1163" s="125"/>
      <c r="J1163" s="110" t="s">
        <v>471</v>
      </c>
      <c r="K1163" s="100">
        <f>E1142/1000</f>
        <v>0</v>
      </c>
      <c r="L1163" s="110"/>
      <c r="M1163" s="224"/>
      <c r="N1163" s="224"/>
      <c r="O1163" s="224"/>
    </row>
    <row r="1164" spans="3:15" x14ac:dyDescent="0.55000000000000004">
      <c r="C1164" s="124"/>
      <c r="H1164" s="125"/>
      <c r="J1164" s="110" t="s">
        <v>563</v>
      </c>
      <c r="K1164" s="100"/>
      <c r="L1164" s="101">
        <f ca="1">E1152/1000</f>
        <v>0</v>
      </c>
      <c r="M1164" s="224"/>
      <c r="N1164" s="224"/>
      <c r="O1164" s="224"/>
    </row>
    <row r="1165" spans="3:15" x14ac:dyDescent="0.55000000000000004">
      <c r="C1165" s="124"/>
      <c r="H1165" s="125"/>
      <c r="J1165" s="110" t="s">
        <v>564</v>
      </c>
      <c r="K1165" s="100"/>
      <c r="L1165" s="101">
        <f ca="1">E1147/1000</f>
        <v>0</v>
      </c>
      <c r="M1165" s="224"/>
      <c r="N1165" s="224"/>
      <c r="O1165" s="224"/>
    </row>
    <row r="1166" spans="3:15" x14ac:dyDescent="0.55000000000000004">
      <c r="C1166" s="124"/>
      <c r="H1166" s="125"/>
      <c r="J1166" s="110" t="s">
        <v>565</v>
      </c>
      <c r="K1166" s="100"/>
      <c r="L1166" s="101">
        <f ca="1">SUM(E1144:E1146)/1000</f>
        <v>0</v>
      </c>
      <c r="M1166" s="224"/>
      <c r="N1166" s="224"/>
      <c r="O1166" s="224"/>
    </row>
    <row r="1167" spans="3:15" x14ac:dyDescent="0.55000000000000004">
      <c r="C1167" s="124"/>
      <c r="H1167" s="125"/>
      <c r="J1167" s="110" t="s">
        <v>566</v>
      </c>
      <c r="K1167" s="100"/>
      <c r="L1167" s="101">
        <f ca="1">E1150/1000</f>
        <v>0</v>
      </c>
      <c r="M1167" s="224"/>
      <c r="N1167" s="224"/>
      <c r="O1167" s="224"/>
    </row>
    <row r="1168" spans="3:15" x14ac:dyDescent="0.55000000000000004">
      <c r="C1168" s="124"/>
      <c r="H1168" s="125"/>
      <c r="J1168" s="224"/>
      <c r="K1168" s="224"/>
      <c r="L1168" s="224"/>
      <c r="M1168" s="224"/>
      <c r="N1168" s="224"/>
      <c r="O1168" s="224"/>
    </row>
    <row r="1169" spans="3:15" x14ac:dyDescent="0.55000000000000004">
      <c r="C1169" s="124"/>
      <c r="H1169" s="125"/>
      <c r="J1169" s="224"/>
      <c r="K1169" s="224"/>
      <c r="L1169" s="224"/>
      <c r="M1169" s="224"/>
      <c r="N1169" s="224"/>
      <c r="O1169" s="224"/>
    </row>
    <row r="1170" spans="3:15" x14ac:dyDescent="0.55000000000000004">
      <c r="C1170" s="124"/>
      <c r="H1170" s="125"/>
      <c r="J1170" s="224"/>
      <c r="K1170" s="224"/>
      <c r="L1170" s="224"/>
      <c r="M1170" s="224"/>
      <c r="N1170" s="224"/>
      <c r="O1170" s="224"/>
    </row>
    <row r="1171" spans="3:15" x14ac:dyDescent="0.55000000000000004">
      <c r="C1171" s="124"/>
      <c r="E1171" s="220" t="s">
        <v>250</v>
      </c>
      <c r="H1171" s="125"/>
      <c r="J1171" s="224"/>
      <c r="K1171" s="224"/>
      <c r="L1171" s="224"/>
      <c r="M1171" s="224"/>
      <c r="N1171" s="224"/>
      <c r="O1171" s="224"/>
    </row>
    <row r="1172" spans="3:15" x14ac:dyDescent="0.55000000000000004">
      <c r="C1172" s="124"/>
      <c r="D1172" t="s">
        <v>394</v>
      </c>
      <c r="E1172" s="64">
        <f ca="1">VLOOKUP(D1134,'2 Electricity'!$D$157:$M$176,10,FALSE)</f>
        <v>0</v>
      </c>
      <c r="H1172" s="125"/>
      <c r="J1172" s="224"/>
      <c r="K1172" s="224"/>
      <c r="L1172" s="224"/>
      <c r="M1172" s="224"/>
      <c r="N1172" s="224"/>
      <c r="O1172" s="224"/>
    </row>
    <row r="1173" spans="3:15" x14ac:dyDescent="0.55000000000000004">
      <c r="C1173" s="124"/>
      <c r="D1173" t="s">
        <v>395</v>
      </c>
      <c r="E1173" s="64">
        <f ca="1">VLOOKUP(D1134,'2 Electricity'!$D$157:$M$176,9,FALSE)</f>
        <v>0</v>
      </c>
      <c r="H1173" s="125"/>
      <c r="J1173" s="224"/>
      <c r="K1173" s="224"/>
      <c r="L1173" s="224"/>
      <c r="M1173" s="224"/>
      <c r="N1173" s="224"/>
      <c r="O1173" s="224"/>
    </row>
    <row r="1174" spans="3:15" x14ac:dyDescent="0.55000000000000004">
      <c r="C1174" s="124"/>
      <c r="D1174" t="s">
        <v>378</v>
      </c>
      <c r="E1174" s="97">
        <f ca="1">IFERROR(IF(E1142=0,E1150,E1142)/E1140,0)</f>
        <v>0</v>
      </c>
      <c r="H1174" s="125"/>
      <c r="J1174" s="224"/>
      <c r="K1174" s="224"/>
      <c r="L1174" s="224"/>
      <c r="M1174" s="224"/>
      <c r="N1174" s="224"/>
      <c r="O1174" s="224"/>
    </row>
    <row r="1175" spans="3:15" x14ac:dyDescent="0.55000000000000004">
      <c r="C1175" s="124"/>
      <c r="H1175" s="125"/>
      <c r="J1175" s="224"/>
      <c r="K1175" s="224"/>
      <c r="L1175" s="224"/>
      <c r="M1175" s="224"/>
      <c r="N1175" s="224"/>
      <c r="O1175" s="224"/>
    </row>
    <row r="1176" spans="3:15" x14ac:dyDescent="0.55000000000000004">
      <c r="C1176" s="124"/>
      <c r="D1176" t="s">
        <v>379</v>
      </c>
      <c r="E1176" s="26">
        <f>'3 Electricity'!I1018</f>
        <v>0</v>
      </c>
      <c r="H1176" s="125"/>
      <c r="J1176" s="224"/>
      <c r="K1176" s="224"/>
      <c r="L1176" s="224"/>
      <c r="M1176" s="224"/>
      <c r="N1176" s="224"/>
      <c r="O1176" s="224"/>
    </row>
    <row r="1177" spans="3:15" x14ac:dyDescent="0.55000000000000004">
      <c r="C1177" s="124"/>
      <c r="D1177" t="s">
        <v>380</v>
      </c>
      <c r="E1177" s="97">
        <f ca="1">IFERROR('3 Electricity'!J1018/'3 Electricity'!G1018,0)</f>
        <v>0</v>
      </c>
      <c r="H1177" s="125"/>
      <c r="J1177" s="224"/>
      <c r="K1177" s="224"/>
      <c r="L1177" s="224"/>
      <c r="M1177" s="224"/>
      <c r="N1177" s="224"/>
      <c r="O1177" s="224"/>
    </row>
    <row r="1178" spans="3:15" x14ac:dyDescent="0.55000000000000004">
      <c r="C1178" s="124"/>
      <c r="H1178" s="125"/>
      <c r="J1178" s="224"/>
      <c r="K1178" s="224"/>
      <c r="L1178" s="224"/>
      <c r="M1178" s="224"/>
      <c r="N1178" s="224"/>
      <c r="O1178" s="224"/>
    </row>
    <row r="1179" spans="3:15" x14ac:dyDescent="0.55000000000000004">
      <c r="C1179" s="124"/>
      <c r="D1179" s="1" t="s">
        <v>381</v>
      </c>
      <c r="H1179" s="125"/>
      <c r="J1179" s="224"/>
      <c r="K1179" s="224"/>
      <c r="L1179" s="224"/>
      <c r="M1179" s="224"/>
      <c r="N1179" s="224"/>
      <c r="O1179" s="224"/>
    </row>
    <row r="1180" spans="3:15" x14ac:dyDescent="0.55000000000000004">
      <c r="C1180" s="124"/>
      <c r="D1180" s="1" t="str">
        <f>'3 Electricity'!G1026</f>
        <v xml:space="preserve">Seasonal </v>
      </c>
      <c r="H1180" s="125"/>
      <c r="J1180" s="224"/>
      <c r="K1180" s="224"/>
      <c r="L1180" s="224"/>
      <c r="M1180" s="224"/>
      <c r="N1180" s="224"/>
      <c r="O1180" s="224"/>
    </row>
    <row r="1181" spans="3:15" x14ac:dyDescent="0.55000000000000004">
      <c r="C1181" s="124"/>
      <c r="H1181" s="125"/>
      <c r="J1181" s="224"/>
      <c r="K1181" s="224"/>
      <c r="L1181" s="224"/>
      <c r="M1181" s="224"/>
      <c r="N1181" s="224" t="s">
        <v>89</v>
      </c>
      <c r="O1181" s="224"/>
    </row>
    <row r="1182" spans="3:15" x14ac:dyDescent="0.55000000000000004">
      <c r="C1182" s="124"/>
      <c r="H1182" s="125"/>
      <c r="J1182" s="224"/>
      <c r="K1182" s="224"/>
      <c r="L1182" s="224"/>
      <c r="M1182" s="224"/>
      <c r="N1182" s="224"/>
      <c r="O1182" s="224"/>
    </row>
    <row r="1183" spans="3:15" ht="43.2" x14ac:dyDescent="0.55000000000000004">
      <c r="C1183" s="124"/>
      <c r="H1183" s="125"/>
      <c r="J1183" s="229" t="s">
        <v>383</v>
      </c>
      <c r="K1183" s="229" t="s">
        <v>382</v>
      </c>
      <c r="L1183" s="108" t="str">
        <f>IF(D1180=N1181,"Annual Tariff","Low Season Tariff")</f>
        <v>Low Season Tariff</v>
      </c>
      <c r="M1183" s="109" t="str">
        <f>IF(D1180=N1181,"","High Season Tariff")</f>
        <v>High Season Tariff</v>
      </c>
      <c r="N1183" s="108" t="s">
        <v>392</v>
      </c>
      <c r="O1183" s="229" t="s">
        <v>580</v>
      </c>
    </row>
    <row r="1184" spans="3:15" x14ac:dyDescent="0.55000000000000004">
      <c r="C1184" s="124"/>
      <c r="H1184" s="125"/>
      <c r="J1184" s="102">
        <v>1</v>
      </c>
      <c r="K1184" s="102">
        <f>IFERROR(IF('3 Electricity'!$G$1026='3 Electricity'!$V$1026,VLOOKUP('Electricity report'!J1184,'3 Electricity'!$F$1037:$K$1041,3,FALSE),VLOOKUP('Electricity report'!J1184,'3 Electricity'!$F$1056:$N$1060,3,FALSE)),0)</f>
        <v>0</v>
      </c>
      <c r="L1184" s="103">
        <f ca="1">IFERROR(IF('3 Electricity'!$G$1026='3 Electricity'!$V$1026,VLOOKUP('Electricity report'!J1184,'3 Electricity'!$F$1037:$K$1041,6,FALSE),VLOOKUP('Electricity report'!J1184,'3 Electricity'!$F$1056:$N$1060,9,FALSE)),0)</f>
        <v>0</v>
      </c>
      <c r="M1184" s="105">
        <f ca="1">IF($D$1180=$N$1181,"",VLOOKUP(J1184,'3 Electricity'!$F$1056:$N$1060,8,FALSE))</f>
        <v>0</v>
      </c>
      <c r="N1184" s="107">
        <f ca="1">$E$1172</f>
        <v>0</v>
      </c>
      <c r="O1184" s="105">
        <f ca="1">IFERROR('3 Electricity'!J1010/'3 Electricity'!H1010,0)</f>
        <v>0</v>
      </c>
    </row>
    <row r="1185" spans="3:15" x14ac:dyDescent="0.55000000000000004">
      <c r="C1185" s="124"/>
      <c r="H1185" s="125"/>
      <c r="J1185" s="102">
        <v>2</v>
      </c>
      <c r="K1185" s="102">
        <f>IFERROR(IF('3 Electricity'!$G$1026='3 Electricity'!$V$1026,VLOOKUP('Electricity report'!J1185,'3 Electricity'!$F$1037:$K$1041,3,FALSE),VLOOKUP('Electricity report'!J1185,'3 Electricity'!$F$1056:$N$1060,3,FALSE)),0)</f>
        <v>0</v>
      </c>
      <c r="L1185" s="103">
        <f ca="1">IFERROR(IF('3 Electricity'!$G$1026='3 Electricity'!$V$1026,VLOOKUP('Electricity report'!J1185,'3 Electricity'!$F$1037:$K$1041,6,FALSE),VLOOKUP('Electricity report'!J1185,'3 Electricity'!$F$1056:$N$1060,9,FALSE)),0)</f>
        <v>0</v>
      </c>
      <c r="M1185" s="105">
        <f ca="1">IF($D$1180=$N$1181,"",VLOOKUP(J1185,'3 Electricity'!$F$1056:$N$1060,8,FALSE))</f>
        <v>0</v>
      </c>
      <c r="N1185" s="107">
        <f ca="1">$E$1172</f>
        <v>0</v>
      </c>
      <c r="O1185" s="107">
        <f ca="1">$O$1184</f>
        <v>0</v>
      </c>
    </row>
    <row r="1186" spans="3:15" x14ac:dyDescent="0.55000000000000004">
      <c r="C1186" s="124"/>
      <c r="H1186" s="125"/>
      <c r="J1186" s="102">
        <v>3</v>
      </c>
      <c r="K1186" s="102">
        <f>IFERROR(IF('3 Electricity'!$G$1026='3 Electricity'!$V$1026,VLOOKUP('Electricity report'!J1186,'3 Electricity'!$F$1037:$K$1041,3,FALSE),VLOOKUP('Electricity report'!J1186,'3 Electricity'!$F$1056:$N$1060,3,FALSE)),0)</f>
        <v>0</v>
      </c>
      <c r="L1186" s="103">
        <f ca="1">IFERROR(IF('3 Electricity'!$G$1026='3 Electricity'!$V$1026,VLOOKUP('Electricity report'!J1186,'3 Electricity'!$F$1037:$K$1041,6,FALSE),VLOOKUP('Electricity report'!J1186,'3 Electricity'!$F$1056:$N$1060,9,FALSE)),0)</f>
        <v>0</v>
      </c>
      <c r="M1186" s="105">
        <f ca="1">IF($D$1180=$N$1181,"",VLOOKUP(J1186,'3 Electricity'!$F$1056:$N$1060,8,FALSE))</f>
        <v>0</v>
      </c>
      <c r="N1186" s="107">
        <f ca="1">$E$1172</f>
        <v>0</v>
      </c>
      <c r="O1186" s="107">
        <f ca="1">$O$1184</f>
        <v>0</v>
      </c>
    </row>
    <row r="1187" spans="3:15" x14ac:dyDescent="0.55000000000000004">
      <c r="C1187" s="124"/>
      <c r="H1187" s="125"/>
      <c r="J1187" s="102">
        <v>4</v>
      </c>
      <c r="K1187" s="102">
        <f>IFERROR(IF('3 Electricity'!$G$1026='3 Electricity'!$V$1026,VLOOKUP('Electricity report'!J1187,'3 Electricity'!$F$1037:$K$1041,3,FALSE),VLOOKUP('Electricity report'!J1187,'3 Electricity'!$F$1056:$N$1060,3,FALSE)),0)</f>
        <v>0</v>
      </c>
      <c r="L1187" s="103">
        <f ca="1">IFERROR(IF('3 Electricity'!$G$1026='3 Electricity'!$V$1026,VLOOKUP('Electricity report'!J1187,'3 Electricity'!$F$1037:$K$1041,6,FALSE),VLOOKUP('Electricity report'!J1187,'3 Electricity'!$F$1056:$N$1060,9,FALSE)),0)</f>
        <v>0</v>
      </c>
      <c r="M1187" s="105">
        <f ca="1">IF($D$1180=$N$1181,"",VLOOKUP(J1187,'3 Electricity'!$F$1056:$N$1060,8,FALSE))</f>
        <v>0</v>
      </c>
      <c r="N1187" s="107">
        <f ca="1">$E$1172</f>
        <v>0</v>
      </c>
      <c r="O1187" s="107">
        <f ca="1">$O$1184</f>
        <v>0</v>
      </c>
    </row>
    <row r="1188" spans="3:15" x14ac:dyDescent="0.55000000000000004">
      <c r="C1188" s="124"/>
      <c r="H1188" s="125"/>
      <c r="J1188" s="102">
        <v>5</v>
      </c>
      <c r="K1188" s="102" t="str">
        <f>IFERROR(IF('3 Electricity'!$G$1026='3 Electricity'!$V$1026,VLOOKUP('Electricity report'!J1188,'3 Electricity'!$F$1037:$K$1041,3,FALSE),VLOOKUP('Electricity report'!J1188,'3 Electricity'!$F$1056:$N$1060,3,FALSE)),0)</f>
        <v>More</v>
      </c>
      <c r="L1188" s="103">
        <f ca="1">IFERROR(IF('3 Electricity'!$G$1026='3 Electricity'!$V$1026,VLOOKUP('Electricity report'!J1188,'3 Electricity'!$F$1037:$K$1041,6,FALSE),VLOOKUP('Electricity report'!J1188,'3 Electricity'!$F$1056:$N$1060,9,FALSE)),0)</f>
        <v>0</v>
      </c>
      <c r="M1188" s="105">
        <f ca="1">IF($D$1180=$N$1181,"",VLOOKUP(J1188,'3 Electricity'!$F$1056:$N$1060,8,FALSE))</f>
        <v>0</v>
      </c>
      <c r="N1188" s="107">
        <f ca="1">$E$1172</f>
        <v>0</v>
      </c>
      <c r="O1188" s="107">
        <f ca="1">$O$1184</f>
        <v>0</v>
      </c>
    </row>
    <row r="1189" spans="3:15" x14ac:dyDescent="0.55000000000000004">
      <c r="C1189" s="124"/>
      <c r="H1189" s="125"/>
      <c r="J1189" s="224"/>
      <c r="K1189" s="224"/>
      <c r="L1189" s="224"/>
      <c r="M1189" s="224"/>
      <c r="N1189" s="224"/>
      <c r="O1189" s="224"/>
    </row>
    <row r="1190" spans="3:15" x14ac:dyDescent="0.55000000000000004">
      <c r="C1190" s="124"/>
      <c r="H1190" s="125"/>
      <c r="J1190" s="224"/>
      <c r="K1190" s="224"/>
      <c r="L1190" s="224"/>
      <c r="M1190" s="224"/>
      <c r="N1190" s="224"/>
      <c r="O1190" s="224"/>
    </row>
    <row r="1191" spans="3:15" x14ac:dyDescent="0.55000000000000004">
      <c r="C1191" s="124"/>
      <c r="H1191" s="125"/>
      <c r="J1191" s="224"/>
      <c r="K1191" s="224"/>
      <c r="L1191" s="224"/>
      <c r="M1191" s="224"/>
      <c r="N1191" s="224"/>
      <c r="O1191" s="224"/>
    </row>
    <row r="1192" spans="3:15" x14ac:dyDescent="0.55000000000000004">
      <c r="C1192" s="124"/>
      <c r="H1192" s="125"/>
      <c r="J1192" s="224"/>
      <c r="K1192" s="224"/>
      <c r="L1192" s="224"/>
      <c r="M1192" s="224"/>
      <c r="N1192" s="224"/>
      <c r="O1192" s="224"/>
    </row>
    <row r="1193" spans="3:15" x14ac:dyDescent="0.55000000000000004">
      <c r="C1193" s="124"/>
      <c r="H1193" s="125"/>
      <c r="J1193" s="224"/>
      <c r="K1193" s="224"/>
      <c r="L1193" s="224"/>
      <c r="M1193" s="224"/>
      <c r="N1193" s="224"/>
      <c r="O1193" s="224"/>
    </row>
    <row r="1194" spans="3:15" x14ac:dyDescent="0.55000000000000004">
      <c r="C1194" s="124"/>
      <c r="H1194" s="125"/>
      <c r="J1194" s="224"/>
      <c r="K1194" s="224"/>
      <c r="L1194" s="224"/>
      <c r="M1194" s="224"/>
      <c r="N1194" s="224"/>
      <c r="O1194" s="224"/>
    </row>
    <row r="1195" spans="3:15" x14ac:dyDescent="0.55000000000000004">
      <c r="C1195" s="124"/>
      <c r="H1195" s="125"/>
      <c r="J1195" s="224"/>
      <c r="K1195" s="224"/>
      <c r="L1195" s="224"/>
      <c r="M1195" s="224"/>
      <c r="N1195" s="224"/>
      <c r="O1195" s="224"/>
    </row>
    <row r="1196" spans="3:15" x14ac:dyDescent="0.55000000000000004">
      <c r="C1196" s="124"/>
      <c r="H1196" s="125"/>
      <c r="J1196" s="224"/>
      <c r="K1196" s="224"/>
      <c r="L1196" s="224"/>
      <c r="M1196" s="224"/>
      <c r="N1196" s="224"/>
      <c r="O1196" s="224"/>
    </row>
    <row r="1197" spans="3:15" x14ac:dyDescent="0.55000000000000004">
      <c r="C1197" s="124"/>
      <c r="H1197" s="125"/>
      <c r="J1197" s="224"/>
      <c r="K1197" s="224"/>
      <c r="L1197" s="224"/>
      <c r="M1197" s="224"/>
      <c r="N1197" s="224"/>
      <c r="O1197" s="224"/>
    </row>
    <row r="1198" spans="3:15" x14ac:dyDescent="0.55000000000000004">
      <c r="C1198" s="124"/>
      <c r="H1198" s="125"/>
      <c r="J1198" s="224"/>
      <c r="K1198" s="224"/>
      <c r="L1198" s="224"/>
      <c r="M1198" s="224"/>
      <c r="N1198" s="224"/>
      <c r="O1198" s="224"/>
    </row>
    <row r="1199" spans="3:15" x14ac:dyDescent="0.55000000000000004">
      <c r="C1199" s="124"/>
      <c r="H1199" s="125"/>
      <c r="J1199" s="224"/>
      <c r="K1199" s="224"/>
      <c r="L1199" s="224"/>
      <c r="M1199" s="224"/>
      <c r="N1199" s="224"/>
      <c r="O1199" s="224"/>
    </row>
    <row r="1200" spans="3:15" ht="14.7" thickBot="1" x14ac:dyDescent="0.6">
      <c r="C1200" s="130"/>
      <c r="D1200" s="131"/>
      <c r="E1200" s="131"/>
      <c r="F1200" s="131"/>
      <c r="G1200" s="131"/>
      <c r="H1200" s="132"/>
      <c r="J1200" s="224"/>
      <c r="K1200" s="224"/>
      <c r="L1200" s="224"/>
      <c r="M1200" s="224"/>
      <c r="N1200" s="224"/>
      <c r="O1200" s="224"/>
    </row>
    <row r="1201" spans="3:15" x14ac:dyDescent="0.55000000000000004">
      <c r="J1201" s="224"/>
      <c r="K1201" s="224"/>
      <c r="L1201" s="224"/>
      <c r="M1201" s="224"/>
      <c r="N1201" s="224"/>
      <c r="O1201" s="224"/>
    </row>
    <row r="1202" spans="3:15" ht="14.7" thickBot="1" x14ac:dyDescent="0.6">
      <c r="J1202" s="224"/>
      <c r="K1202" s="224"/>
      <c r="L1202" s="224"/>
      <c r="M1202" s="224"/>
      <c r="N1202" s="224"/>
      <c r="O1202" s="224"/>
    </row>
    <row r="1203" spans="3:15" x14ac:dyDescent="0.55000000000000004">
      <c r="C1203" s="121"/>
      <c r="D1203" s="122"/>
      <c r="E1203" s="122"/>
      <c r="F1203" s="122"/>
      <c r="G1203" s="122"/>
      <c r="H1203" s="123"/>
      <c r="J1203" s="224"/>
      <c r="K1203" s="224"/>
      <c r="L1203" s="224"/>
      <c r="M1203" s="224"/>
      <c r="N1203" s="224"/>
      <c r="O1203" s="224"/>
    </row>
    <row r="1204" spans="3:15" ht="15.6" x14ac:dyDescent="0.6">
      <c r="C1204" s="124"/>
      <c r="D1204" s="98">
        <f>'2 Customer data'!D110</f>
        <v>0</v>
      </c>
      <c r="H1204" s="125"/>
      <c r="J1204" s="224"/>
      <c r="K1204" s="224"/>
      <c r="L1204" s="224"/>
      <c r="M1204" s="224"/>
      <c r="N1204" s="224"/>
      <c r="O1204" s="224"/>
    </row>
    <row r="1205" spans="3:15" x14ac:dyDescent="0.55000000000000004">
      <c r="C1205" s="124"/>
      <c r="H1205" s="125"/>
      <c r="J1205" s="224"/>
      <c r="K1205" s="224"/>
      <c r="L1205" s="224"/>
      <c r="M1205" s="224"/>
      <c r="N1205" s="224"/>
      <c r="O1205" s="224"/>
    </row>
    <row r="1206" spans="3:15" x14ac:dyDescent="0.55000000000000004">
      <c r="C1206" s="124"/>
      <c r="E1206" s="220" t="s">
        <v>250</v>
      </c>
      <c r="H1206" s="125"/>
      <c r="J1206" s="224"/>
      <c r="K1206" s="224"/>
      <c r="L1206" s="224"/>
      <c r="M1206" s="224"/>
      <c r="N1206" s="224"/>
      <c r="O1206" s="224"/>
    </row>
    <row r="1207" spans="3:15" x14ac:dyDescent="0.55000000000000004">
      <c r="C1207" s="124"/>
      <c r="D1207" t="s">
        <v>393</v>
      </c>
      <c r="E1207" s="26">
        <f ca="1">VLOOKUP(D1204,'2 Electricity'!$D$21:$L$40,6,FALSE)</f>
        <v>0</v>
      </c>
      <c r="H1207" s="125"/>
      <c r="J1207" s="224"/>
      <c r="K1207" s="224"/>
      <c r="L1207" s="224"/>
      <c r="M1207" s="224"/>
      <c r="N1207" s="224"/>
      <c r="O1207" s="224"/>
    </row>
    <row r="1208" spans="3:15" x14ac:dyDescent="0.55000000000000004">
      <c r="C1208" s="124"/>
      <c r="D1208" t="s">
        <v>249</v>
      </c>
      <c r="E1208" s="99">
        <f ca="1">VLOOKUP(D1204,'2 Electricity'!$D$21:$L$40,7,FALSE)</f>
        <v>0</v>
      </c>
      <c r="H1208" s="125"/>
      <c r="J1208" s="224"/>
      <c r="K1208" s="224"/>
      <c r="L1208" s="224"/>
      <c r="M1208" s="224"/>
      <c r="N1208" s="224"/>
      <c r="O1208" s="224"/>
    </row>
    <row r="1209" spans="3:15" x14ac:dyDescent="0.55000000000000004">
      <c r="C1209" s="124"/>
      <c r="D1209" t="s">
        <v>52</v>
      </c>
      <c r="E1209" s="26">
        <f ca="1">VLOOKUP(D1204,'2 Electricity'!$D$21:$L$40,8,FALSE)</f>
        <v>0</v>
      </c>
      <c r="H1209" s="125"/>
      <c r="J1209" s="224"/>
      <c r="K1209" s="224"/>
      <c r="L1209" s="224"/>
      <c r="M1209" s="224"/>
      <c r="N1209" s="224"/>
      <c r="O1209" s="224"/>
    </row>
    <row r="1210" spans="3:15" ht="14.7" thickBot="1" x14ac:dyDescent="0.6">
      <c r="C1210" s="124"/>
      <c r="D1210" s="1" t="s">
        <v>39</v>
      </c>
      <c r="E1210" s="37">
        <f ca="1">VLOOKUP(D1204,'2 Electricity'!D$21:L$40,9,FALSE)</f>
        <v>0</v>
      </c>
      <c r="H1210" s="125"/>
      <c r="J1210" s="224"/>
      <c r="K1210" s="224"/>
      <c r="L1210" s="224"/>
      <c r="M1210" s="224"/>
      <c r="N1210" s="224"/>
      <c r="O1210" s="224"/>
    </row>
    <row r="1211" spans="3:15" ht="14.7" thickTop="1" x14ac:dyDescent="0.55000000000000004">
      <c r="C1211" s="124"/>
      <c r="H1211" s="125"/>
      <c r="J1211" s="224"/>
      <c r="K1211" s="224"/>
      <c r="L1211" s="224"/>
      <c r="M1211" s="224"/>
      <c r="N1211" s="224"/>
      <c r="O1211" s="224"/>
    </row>
    <row r="1212" spans="3:15" x14ac:dyDescent="0.55000000000000004">
      <c r="C1212" s="124"/>
      <c r="D1212" t="s">
        <v>189</v>
      </c>
      <c r="E1212" s="26">
        <f>IFERROR(IF(VLOOKUP(D1204,'2 Electricity'!$D$126:$K$145,7,FALSE)="",VLOOKUP('2 Electricity'!$D$126:$K$145,6,FALSE),VLOOKUP(D1204,'2 Electricity'!$D$126:$K$145,7,FALSE))+VLOOKUP(D1204,'2 Electricity'!$D$157:$J$176,5,FALSE),0)</f>
        <v>0</v>
      </c>
      <c r="H1212" s="125"/>
      <c r="J1212" s="224"/>
      <c r="K1212" s="224"/>
      <c r="L1212" s="224"/>
      <c r="M1212" s="224"/>
      <c r="N1212" s="224"/>
      <c r="O1212" s="224"/>
    </row>
    <row r="1213" spans="3:15" x14ac:dyDescent="0.55000000000000004">
      <c r="C1213" s="124"/>
      <c r="H1213" s="125"/>
      <c r="J1213" s="224"/>
      <c r="K1213" s="224"/>
      <c r="L1213" s="224"/>
      <c r="M1213" s="224"/>
      <c r="N1213" s="224"/>
      <c r="O1213" s="224"/>
    </row>
    <row r="1214" spans="3:15" x14ac:dyDescent="0.55000000000000004">
      <c r="C1214" s="124"/>
      <c r="D1214" t="s">
        <v>371</v>
      </c>
      <c r="E1214" s="64">
        <f ca="1">IF(VLOOKUP(D1204,'2 Electricity'!$D$56:$M$75,5,FALSE)="",VLOOKUP(D1204,'2 Electricity'!$D$56:$M$75,4,FALSE),VLOOKUP(D1204,'2 Electricity'!$D$56:$M$75,5,FALSE))</f>
        <v>0</v>
      </c>
      <c r="H1214" s="125"/>
      <c r="J1214" s="224"/>
      <c r="K1214" s="224"/>
      <c r="L1214" s="224"/>
      <c r="M1214" s="224"/>
      <c r="N1214" s="224"/>
      <c r="O1214" s="224"/>
    </row>
    <row r="1215" spans="3:15" x14ac:dyDescent="0.55000000000000004">
      <c r="C1215" s="124"/>
      <c r="D1215" t="s">
        <v>372</v>
      </c>
      <c r="E1215" s="26">
        <f ca="1">IF(VLOOKUP(D1204,'2 Electricity'!$D$56:$M$75,7,FALSE)="",VLOOKUP(D1204,'2 Electricity'!$D$56:$M$75,6,FALSE),VLOOKUP(D1204,'2 Electricity'!$D$56:$M$75,7,FALSE))</f>
        <v>0</v>
      </c>
      <c r="H1215" s="125"/>
      <c r="J1215" s="224"/>
      <c r="K1215" s="224"/>
      <c r="L1215" s="224"/>
      <c r="M1215" s="224"/>
      <c r="N1215" s="224"/>
      <c r="O1215" s="224"/>
    </row>
    <row r="1216" spans="3:15" x14ac:dyDescent="0.55000000000000004">
      <c r="C1216" s="124"/>
      <c r="D1216" t="s">
        <v>373</v>
      </c>
      <c r="E1216" s="26">
        <f ca="1">IF(VLOOKUP(D1204,'2 Electricity'!$D$56:$M$75,9,FALSE)="",VLOOKUP(D1204,'2 Electricity'!$D$56:$M$75,8,FALSE),VLOOKUP(D1204,'2 Electricity'!$D$56:$M$75,9,FALSE))</f>
        <v>0</v>
      </c>
      <c r="H1216" s="125"/>
      <c r="J1216" s="224"/>
      <c r="K1216" s="224"/>
      <c r="L1216" s="224"/>
      <c r="M1216" s="224"/>
      <c r="N1216" s="224"/>
      <c r="O1216" s="224"/>
    </row>
    <row r="1217" spans="3:15" x14ac:dyDescent="0.55000000000000004">
      <c r="C1217" s="124"/>
      <c r="D1217" t="s">
        <v>374</v>
      </c>
      <c r="E1217" s="26">
        <f ca="1">IF(VLOOKUP(D1204,'2 Electricity'!$D$92:$I$111,5,FALSE)="",VLOOKUP(D1204,'2 Electricity'!$D$92:$I$111,4,FALSE),VLOOKUP(D1204,'2 Electricity'!$D$92:$I$111,5,FALSE))</f>
        <v>0</v>
      </c>
      <c r="H1217" s="125"/>
      <c r="J1217" s="224"/>
      <c r="K1217" s="224"/>
      <c r="L1217" s="224"/>
      <c r="M1217" s="224"/>
      <c r="N1217" s="224"/>
      <c r="O1217" s="224"/>
    </row>
    <row r="1218" spans="3:15" ht="14.7" thickBot="1" x14ac:dyDescent="0.6">
      <c r="C1218" s="124"/>
      <c r="D1218" s="1" t="s">
        <v>145</v>
      </c>
      <c r="E1218" s="37">
        <f ca="1">SUM(E1214:E1217)</f>
        <v>0</v>
      </c>
      <c r="H1218" s="125"/>
      <c r="J1218" s="224"/>
      <c r="K1218" s="224"/>
      <c r="L1218" s="224"/>
      <c r="M1218" s="224"/>
      <c r="N1218" s="224"/>
      <c r="O1218" s="224"/>
    </row>
    <row r="1219" spans="3:15" ht="14.7" thickTop="1" x14ac:dyDescent="0.55000000000000004">
      <c r="C1219" s="124"/>
      <c r="D1219" s="1"/>
      <c r="E1219" s="15"/>
      <c r="H1219" s="125"/>
      <c r="J1219" s="224"/>
      <c r="K1219" s="224"/>
      <c r="L1219" s="224"/>
      <c r="M1219" s="224"/>
      <c r="N1219" s="224"/>
      <c r="O1219" s="224"/>
    </row>
    <row r="1220" spans="3:15" x14ac:dyDescent="0.55000000000000004">
      <c r="C1220" s="124"/>
      <c r="D1220" t="s">
        <v>384</v>
      </c>
      <c r="E1220" s="26">
        <f ca="1">IF(VLOOKUP(D1204,'2 Electricity'!$D$126:$K$145,5,FALSE)="",VLOOKUP(D1204,'2 Electricity'!$D$126:$K$145,4,FALSE),VLOOKUP(D1204,'2 Electricity'!$D$126:$K$145,5,FALSE))+VLOOKUP(D1204,'2 Electricity'!$D$157:$J$176,7,FALSE)</f>
        <v>0</v>
      </c>
      <c r="H1220" s="125"/>
      <c r="J1220" s="224"/>
      <c r="K1220" s="224"/>
      <c r="L1220" s="224"/>
      <c r="M1220" s="224"/>
      <c r="N1220" s="224"/>
      <c r="O1220" s="224"/>
    </row>
    <row r="1221" spans="3:15" x14ac:dyDescent="0.55000000000000004">
      <c r="C1221" s="124"/>
      <c r="H1221" s="125"/>
      <c r="J1221" s="224"/>
      <c r="K1221" s="224"/>
      <c r="L1221" s="224"/>
      <c r="M1221" s="224"/>
      <c r="N1221" s="224"/>
      <c r="O1221" s="224"/>
    </row>
    <row r="1222" spans="3:15" ht="14.7" thickBot="1" x14ac:dyDescent="0.6">
      <c r="C1222" s="124"/>
      <c r="D1222" s="1" t="s">
        <v>375</v>
      </c>
      <c r="E1222" s="37">
        <f ca="1">VLOOKUP(D1204,'2 Electricity'!$D$157:$K$176,8,FALSE)</f>
        <v>0</v>
      </c>
      <c r="H1222" s="125"/>
      <c r="J1222" s="224"/>
      <c r="K1222" s="224"/>
      <c r="L1222" s="224"/>
      <c r="M1222" s="224"/>
      <c r="N1222" s="224"/>
      <c r="O1222" s="224"/>
    </row>
    <row r="1223" spans="3:15" ht="14.7" thickTop="1" x14ac:dyDescent="0.55000000000000004">
      <c r="C1223" s="124"/>
      <c r="H1223" s="125"/>
      <c r="J1223" s="224"/>
      <c r="K1223" s="224"/>
      <c r="L1223" s="224"/>
      <c r="M1223" s="224"/>
      <c r="N1223" s="224"/>
      <c r="O1223" s="224"/>
    </row>
    <row r="1224" spans="3:15" x14ac:dyDescent="0.55000000000000004">
      <c r="C1224" s="124"/>
      <c r="H1224" s="125"/>
      <c r="J1224" s="224"/>
      <c r="K1224" s="224"/>
      <c r="L1224" s="224"/>
      <c r="M1224" s="224"/>
      <c r="N1224" s="224"/>
      <c r="O1224" s="224"/>
    </row>
    <row r="1225" spans="3:15" x14ac:dyDescent="0.55000000000000004">
      <c r="C1225" s="124"/>
      <c r="H1225" s="125"/>
      <c r="J1225" s="224"/>
      <c r="K1225" s="224"/>
      <c r="L1225" s="224"/>
      <c r="M1225" s="224"/>
      <c r="N1225" s="224"/>
      <c r="O1225" s="224"/>
    </row>
    <row r="1226" spans="3:15" x14ac:dyDescent="0.55000000000000004">
      <c r="C1226" s="124"/>
      <c r="H1226" s="125"/>
      <c r="J1226" s="224"/>
      <c r="K1226" s="224"/>
      <c r="L1226" s="224"/>
      <c r="M1226" s="224"/>
      <c r="N1226" s="224"/>
      <c r="O1226" s="224"/>
    </row>
    <row r="1227" spans="3:15" x14ac:dyDescent="0.55000000000000004">
      <c r="C1227" s="124"/>
      <c r="H1227" s="125"/>
      <c r="J1227" s="224"/>
      <c r="K1227" s="224"/>
      <c r="L1227" s="224"/>
      <c r="M1227" s="224"/>
      <c r="N1227" s="224"/>
      <c r="O1227" s="224"/>
    </row>
    <row r="1228" spans="3:15" x14ac:dyDescent="0.55000000000000004">
      <c r="C1228" s="124"/>
      <c r="H1228" s="125"/>
      <c r="J1228" s="232" t="s">
        <v>385</v>
      </c>
      <c r="K1228" s="224"/>
      <c r="L1228" s="224"/>
      <c r="M1228" s="224"/>
      <c r="N1228" s="224"/>
      <c r="O1228" s="224"/>
    </row>
    <row r="1229" spans="3:15" x14ac:dyDescent="0.55000000000000004">
      <c r="C1229" s="124"/>
      <c r="H1229" s="125"/>
      <c r="J1229" s="110"/>
      <c r="K1229" s="102" t="s">
        <v>390</v>
      </c>
      <c r="L1229" s="102" t="s">
        <v>391</v>
      </c>
      <c r="M1229" s="224"/>
      <c r="N1229" s="224"/>
      <c r="O1229" s="224"/>
    </row>
    <row r="1230" spans="3:15" x14ac:dyDescent="0.55000000000000004">
      <c r="C1230" s="124"/>
      <c r="H1230" s="125"/>
      <c r="J1230" s="110" t="s">
        <v>393</v>
      </c>
      <c r="K1230" s="100">
        <f ca="1">E1207/1000</f>
        <v>0</v>
      </c>
      <c r="L1230" s="102"/>
      <c r="M1230" s="224"/>
      <c r="N1230" s="224"/>
      <c r="O1230" s="224"/>
    </row>
    <row r="1231" spans="3:15" x14ac:dyDescent="0.55000000000000004">
      <c r="C1231" s="124"/>
      <c r="H1231" s="125"/>
      <c r="J1231" s="110" t="s">
        <v>249</v>
      </c>
      <c r="K1231" s="100">
        <f ca="1">E1208/1000</f>
        <v>0</v>
      </c>
      <c r="L1231" s="110"/>
      <c r="M1231" s="224"/>
      <c r="N1231" s="224"/>
      <c r="O1231" s="224"/>
    </row>
    <row r="1232" spans="3:15" x14ac:dyDescent="0.55000000000000004">
      <c r="C1232" s="124"/>
      <c r="H1232" s="125"/>
      <c r="J1232" s="110" t="s">
        <v>52</v>
      </c>
      <c r="K1232" s="100">
        <f ca="1">E1209/1000</f>
        <v>0</v>
      </c>
      <c r="L1232" s="110"/>
      <c r="M1232" s="224"/>
      <c r="N1232" s="224"/>
      <c r="O1232" s="224"/>
    </row>
    <row r="1233" spans="3:15" x14ac:dyDescent="0.55000000000000004">
      <c r="C1233" s="124"/>
      <c r="H1233" s="125"/>
      <c r="J1233" s="110" t="s">
        <v>471</v>
      </c>
      <c r="K1233" s="100">
        <f>E1212/1000</f>
        <v>0</v>
      </c>
      <c r="L1233" s="110"/>
      <c r="M1233" s="224"/>
      <c r="N1233" s="224"/>
      <c r="O1233" s="224"/>
    </row>
    <row r="1234" spans="3:15" x14ac:dyDescent="0.55000000000000004">
      <c r="C1234" s="124"/>
      <c r="H1234" s="125"/>
      <c r="J1234" s="110" t="s">
        <v>563</v>
      </c>
      <c r="K1234" s="100"/>
      <c r="L1234" s="101">
        <f ca="1">E1222/1000</f>
        <v>0</v>
      </c>
      <c r="M1234" s="224"/>
      <c r="N1234" s="224"/>
      <c r="O1234" s="224"/>
    </row>
    <row r="1235" spans="3:15" x14ac:dyDescent="0.55000000000000004">
      <c r="C1235" s="124"/>
      <c r="H1235" s="125"/>
      <c r="J1235" s="110" t="s">
        <v>564</v>
      </c>
      <c r="K1235" s="100"/>
      <c r="L1235" s="101">
        <f ca="1">E1217/1000</f>
        <v>0</v>
      </c>
      <c r="M1235" s="224"/>
      <c r="N1235" s="224"/>
      <c r="O1235" s="224"/>
    </row>
    <row r="1236" spans="3:15" x14ac:dyDescent="0.55000000000000004">
      <c r="C1236" s="124"/>
      <c r="H1236" s="125"/>
      <c r="J1236" s="110" t="s">
        <v>565</v>
      </c>
      <c r="K1236" s="100"/>
      <c r="L1236" s="101">
        <f ca="1">SUM(E1214:E1216)/1000</f>
        <v>0</v>
      </c>
      <c r="M1236" s="224"/>
      <c r="N1236" s="224"/>
      <c r="O1236" s="224"/>
    </row>
    <row r="1237" spans="3:15" x14ac:dyDescent="0.55000000000000004">
      <c r="C1237" s="124"/>
      <c r="H1237" s="125"/>
      <c r="J1237" s="110" t="s">
        <v>566</v>
      </c>
      <c r="K1237" s="100"/>
      <c r="L1237" s="101">
        <f ca="1">E1220/1000</f>
        <v>0</v>
      </c>
      <c r="M1237" s="224"/>
      <c r="N1237" s="224"/>
      <c r="O1237" s="224"/>
    </row>
    <row r="1238" spans="3:15" x14ac:dyDescent="0.55000000000000004">
      <c r="C1238" s="124"/>
      <c r="H1238" s="125"/>
      <c r="J1238" s="224"/>
      <c r="K1238" s="224"/>
      <c r="L1238" s="224"/>
      <c r="M1238" s="224"/>
      <c r="N1238" s="224"/>
      <c r="O1238" s="224"/>
    </row>
    <row r="1239" spans="3:15" x14ac:dyDescent="0.55000000000000004">
      <c r="C1239" s="124"/>
      <c r="H1239" s="125"/>
      <c r="J1239" s="224"/>
      <c r="K1239" s="224"/>
      <c r="L1239" s="224"/>
      <c r="M1239" s="224"/>
      <c r="N1239" s="224"/>
      <c r="O1239" s="224"/>
    </row>
    <row r="1240" spans="3:15" x14ac:dyDescent="0.55000000000000004">
      <c r="C1240" s="124"/>
      <c r="H1240" s="125"/>
      <c r="J1240" s="224"/>
      <c r="K1240" s="224"/>
      <c r="L1240" s="224"/>
      <c r="M1240" s="224"/>
      <c r="N1240" s="224"/>
      <c r="O1240" s="224"/>
    </row>
    <row r="1241" spans="3:15" x14ac:dyDescent="0.55000000000000004">
      <c r="C1241" s="124"/>
      <c r="E1241" s="220" t="s">
        <v>250</v>
      </c>
      <c r="H1241" s="125"/>
      <c r="J1241" s="224"/>
      <c r="K1241" s="224"/>
      <c r="L1241" s="224"/>
      <c r="M1241" s="224"/>
      <c r="N1241" s="224"/>
      <c r="O1241" s="224"/>
    </row>
    <row r="1242" spans="3:15" x14ac:dyDescent="0.55000000000000004">
      <c r="C1242" s="124"/>
      <c r="D1242" t="s">
        <v>394</v>
      </c>
      <c r="E1242" s="64">
        <f ca="1">VLOOKUP(D1204,'2 Electricity'!$D$157:$M$176,10,FALSE)</f>
        <v>0</v>
      </c>
      <c r="H1242" s="125"/>
      <c r="J1242" s="224"/>
      <c r="K1242" s="224"/>
      <c r="L1242" s="224"/>
      <c r="M1242" s="224"/>
      <c r="N1242" s="224"/>
      <c r="O1242" s="224"/>
    </row>
    <row r="1243" spans="3:15" x14ac:dyDescent="0.55000000000000004">
      <c r="C1243" s="124"/>
      <c r="D1243" t="s">
        <v>395</v>
      </c>
      <c r="E1243" s="64">
        <f ca="1">VLOOKUP(D1204,'2 Electricity'!$D$157:$M$176,9,FALSE)</f>
        <v>0</v>
      </c>
      <c r="H1243" s="125"/>
      <c r="J1243" s="224"/>
      <c r="K1243" s="224"/>
      <c r="L1243" s="224"/>
      <c r="M1243" s="224"/>
      <c r="N1243" s="224"/>
      <c r="O1243" s="224"/>
    </row>
    <row r="1244" spans="3:15" x14ac:dyDescent="0.55000000000000004">
      <c r="C1244" s="124"/>
      <c r="D1244" t="s">
        <v>378</v>
      </c>
      <c r="E1244" s="97">
        <f ca="1">IFERROR(IF(E1212=0,E1220,E1212)/E1210,0)</f>
        <v>0</v>
      </c>
      <c r="H1244" s="125"/>
      <c r="J1244" s="224"/>
      <c r="K1244" s="224"/>
      <c r="L1244" s="224"/>
      <c r="M1244" s="224"/>
      <c r="N1244" s="224"/>
      <c r="O1244" s="224"/>
    </row>
    <row r="1245" spans="3:15" x14ac:dyDescent="0.55000000000000004">
      <c r="C1245" s="124"/>
      <c r="H1245" s="125"/>
      <c r="J1245" s="224"/>
      <c r="K1245" s="224"/>
      <c r="L1245" s="224"/>
      <c r="M1245" s="224"/>
      <c r="N1245" s="224"/>
      <c r="O1245" s="224"/>
    </row>
    <row r="1246" spans="3:15" x14ac:dyDescent="0.55000000000000004">
      <c r="C1246" s="124"/>
      <c r="D1246" t="s">
        <v>379</v>
      </c>
      <c r="E1246" s="26">
        <f>'3 Electricity'!I1080</f>
        <v>0</v>
      </c>
      <c r="H1246" s="125"/>
      <c r="J1246" s="224"/>
      <c r="K1246" s="224"/>
      <c r="L1246" s="224"/>
      <c r="M1246" s="224"/>
      <c r="N1246" s="224"/>
      <c r="O1246" s="224"/>
    </row>
    <row r="1247" spans="3:15" x14ac:dyDescent="0.55000000000000004">
      <c r="C1247" s="124"/>
      <c r="D1247" t="s">
        <v>380</v>
      </c>
      <c r="E1247" s="97">
        <f ca="1">IFERROR('3 Electricity'!J1080/'3 Electricity'!G1080,0)</f>
        <v>0</v>
      </c>
      <c r="H1247" s="125"/>
      <c r="J1247" s="224"/>
      <c r="K1247" s="224"/>
      <c r="L1247" s="224"/>
      <c r="M1247" s="224"/>
      <c r="N1247" s="224"/>
      <c r="O1247" s="224"/>
    </row>
    <row r="1248" spans="3:15" x14ac:dyDescent="0.55000000000000004">
      <c r="C1248" s="124"/>
      <c r="H1248" s="125"/>
      <c r="J1248" s="224"/>
      <c r="K1248" s="224"/>
      <c r="L1248" s="224"/>
      <c r="M1248" s="224"/>
      <c r="N1248" s="224"/>
      <c r="O1248" s="224"/>
    </row>
    <row r="1249" spans="3:15" x14ac:dyDescent="0.55000000000000004">
      <c r="C1249" s="124"/>
      <c r="D1249" s="1" t="s">
        <v>381</v>
      </c>
      <c r="H1249" s="125"/>
      <c r="J1249" s="224"/>
      <c r="K1249" s="224"/>
      <c r="L1249" s="224"/>
      <c r="M1249" s="224"/>
      <c r="N1249" s="224"/>
      <c r="O1249" s="224"/>
    </row>
    <row r="1250" spans="3:15" x14ac:dyDescent="0.55000000000000004">
      <c r="C1250" s="124"/>
      <c r="D1250" s="1" t="str">
        <f>'3 Electricity'!G1088</f>
        <v xml:space="preserve">Seasonal </v>
      </c>
      <c r="H1250" s="125"/>
      <c r="J1250" s="224"/>
      <c r="K1250" s="224"/>
      <c r="L1250" s="224"/>
      <c r="M1250" s="224"/>
      <c r="N1250" s="224"/>
      <c r="O1250" s="224"/>
    </row>
    <row r="1251" spans="3:15" x14ac:dyDescent="0.55000000000000004">
      <c r="C1251" s="124"/>
      <c r="H1251" s="125"/>
      <c r="J1251" s="224"/>
      <c r="K1251" s="224"/>
      <c r="L1251" s="224"/>
      <c r="M1251" s="224"/>
      <c r="N1251" s="224" t="s">
        <v>89</v>
      </c>
      <c r="O1251" s="224"/>
    </row>
    <row r="1252" spans="3:15" x14ac:dyDescent="0.55000000000000004">
      <c r="C1252" s="124"/>
      <c r="H1252" s="125"/>
      <c r="J1252" s="224"/>
      <c r="K1252" s="224"/>
      <c r="L1252" s="224"/>
      <c r="M1252" s="224"/>
      <c r="N1252" s="224"/>
      <c r="O1252" s="224"/>
    </row>
    <row r="1253" spans="3:15" ht="43.2" x14ac:dyDescent="0.55000000000000004">
      <c r="C1253" s="124"/>
      <c r="H1253" s="125"/>
      <c r="J1253" s="229" t="s">
        <v>383</v>
      </c>
      <c r="K1253" s="229" t="s">
        <v>382</v>
      </c>
      <c r="L1253" s="108" t="str">
        <f>IF(D1250=N1251,"Annual Tariff","Low Season Tariff")</f>
        <v>Low Season Tariff</v>
      </c>
      <c r="M1253" s="109" t="str">
        <f>IF(D1250=N1251,"","High Season Tariff")</f>
        <v>High Season Tariff</v>
      </c>
      <c r="N1253" s="108" t="s">
        <v>392</v>
      </c>
      <c r="O1253" s="229" t="s">
        <v>580</v>
      </c>
    </row>
    <row r="1254" spans="3:15" x14ac:dyDescent="0.55000000000000004">
      <c r="C1254" s="124"/>
      <c r="H1254" s="125"/>
      <c r="J1254" s="102">
        <v>1</v>
      </c>
      <c r="K1254" s="102">
        <f>IFERROR(IF('3 Electricity'!$G$1088='3 Electricity'!$V$1088,VLOOKUP('Electricity report'!J1254,'3 Electricity'!$F$1099:$K$1103,3,FALSE),VLOOKUP('Electricity report'!J1254,'3 Electricity'!$F$1118:$N$1122,3,FALSE)),0)</f>
        <v>0</v>
      </c>
      <c r="L1254" s="103">
        <f ca="1">IFERROR(IF('3 Electricity'!$G$1088='3 Electricity'!$V$1088,VLOOKUP('Electricity report'!J1254,'3 Electricity'!$F$1099:$K$1103,6,FALSE),VLOOKUP('Electricity report'!J1254,'3 Electricity'!$F$1118:$N$1122,9,FALSE)),0)</f>
        <v>0</v>
      </c>
      <c r="M1254" s="105">
        <f ca="1">IF($D$1250=$N$1251,"",VLOOKUP(J1254,'3 Electricity'!$F$1118:$N$1122,8,FALSE))</f>
        <v>0</v>
      </c>
      <c r="N1254" s="107">
        <f ca="1">$E$1242</f>
        <v>0</v>
      </c>
      <c r="O1254" s="105">
        <f ca="1">IFERROR('3 Electricity'!J1072/'3 Electricity'!H1072,0)</f>
        <v>0</v>
      </c>
    </row>
    <row r="1255" spans="3:15" x14ac:dyDescent="0.55000000000000004">
      <c r="C1255" s="124"/>
      <c r="H1255" s="125"/>
      <c r="J1255" s="102">
        <v>2</v>
      </c>
      <c r="K1255" s="102">
        <f>IFERROR(IF('3 Electricity'!$G$1088='3 Electricity'!$V$1088,VLOOKUP('Electricity report'!J1255,'3 Electricity'!$F$1099:$K$1103,3,FALSE),VLOOKUP('Electricity report'!J1255,'3 Electricity'!$F$1118:$N$1122,3,FALSE)),0)</f>
        <v>0</v>
      </c>
      <c r="L1255" s="103">
        <f ca="1">IFERROR(IF('3 Electricity'!$G$1088='3 Electricity'!$V$1088,VLOOKUP('Electricity report'!J1255,'3 Electricity'!$F$1099:$K$1103,6,FALSE),VLOOKUP('Electricity report'!J1255,'3 Electricity'!$F$1118:$N$1122,9,FALSE)),0)</f>
        <v>0</v>
      </c>
      <c r="M1255" s="105">
        <f ca="1">IF($D$1250=$N$1251,"",VLOOKUP(J1255,'3 Electricity'!$F$1118:$N$1122,8,FALSE))</f>
        <v>0</v>
      </c>
      <c r="N1255" s="107">
        <f ca="1">$E$1242</f>
        <v>0</v>
      </c>
      <c r="O1255" s="107">
        <f ca="1">$O$1254</f>
        <v>0</v>
      </c>
    </row>
    <row r="1256" spans="3:15" x14ac:dyDescent="0.55000000000000004">
      <c r="C1256" s="124"/>
      <c r="H1256" s="125"/>
      <c r="J1256" s="102">
        <v>3</v>
      </c>
      <c r="K1256" s="102">
        <f>IFERROR(IF('3 Electricity'!$G$1088='3 Electricity'!$V$1088,VLOOKUP('Electricity report'!J1256,'3 Electricity'!$F$1099:$K$1103,3,FALSE),VLOOKUP('Electricity report'!J1256,'3 Electricity'!$F$1118:$N$1122,3,FALSE)),0)</f>
        <v>0</v>
      </c>
      <c r="L1256" s="103">
        <f ca="1">IFERROR(IF('3 Electricity'!$G$1088='3 Electricity'!$V$1088,VLOOKUP('Electricity report'!J1256,'3 Electricity'!$F$1099:$K$1103,6,FALSE),VLOOKUP('Electricity report'!J1256,'3 Electricity'!$F$1118:$N$1122,9,FALSE)),0)</f>
        <v>0</v>
      </c>
      <c r="M1256" s="105">
        <f ca="1">IF($D$1250=$N$1251,"",VLOOKUP(J1256,'3 Electricity'!$F$1118:$N$1122,8,FALSE))</f>
        <v>0</v>
      </c>
      <c r="N1256" s="107">
        <f ca="1">$E$1242</f>
        <v>0</v>
      </c>
      <c r="O1256" s="107">
        <f ca="1">$O$1254</f>
        <v>0</v>
      </c>
    </row>
    <row r="1257" spans="3:15" x14ac:dyDescent="0.55000000000000004">
      <c r="C1257" s="124"/>
      <c r="H1257" s="125"/>
      <c r="J1257" s="102">
        <v>4</v>
      </c>
      <c r="K1257" s="102">
        <f>IFERROR(IF('3 Electricity'!$G$1088='3 Electricity'!$V$1088,VLOOKUP('Electricity report'!J1257,'3 Electricity'!$F$1099:$K$1103,3,FALSE),VLOOKUP('Electricity report'!J1257,'3 Electricity'!$F$1118:$N$1122,3,FALSE)),0)</f>
        <v>0</v>
      </c>
      <c r="L1257" s="103">
        <f ca="1">IFERROR(IF('3 Electricity'!$G$1088='3 Electricity'!$V$1088,VLOOKUP('Electricity report'!J1257,'3 Electricity'!$F$1099:$K$1103,6,FALSE),VLOOKUP('Electricity report'!J1257,'3 Electricity'!$F$1118:$N$1122,9,FALSE)),0)</f>
        <v>0</v>
      </c>
      <c r="M1257" s="105">
        <f ca="1">IF($D$1250=$N$1251,"",VLOOKUP(J1257,'3 Electricity'!$F$1118:$N$1122,8,FALSE))</f>
        <v>0</v>
      </c>
      <c r="N1257" s="107">
        <f ca="1">$E$1242</f>
        <v>0</v>
      </c>
      <c r="O1257" s="107">
        <f ca="1">$O$1254</f>
        <v>0</v>
      </c>
    </row>
    <row r="1258" spans="3:15" x14ac:dyDescent="0.55000000000000004">
      <c r="C1258" s="124"/>
      <c r="H1258" s="125"/>
      <c r="J1258" s="102">
        <v>5</v>
      </c>
      <c r="K1258" s="102" t="str">
        <f>IFERROR(IF('3 Electricity'!$G$1088='3 Electricity'!$V$1088,VLOOKUP('Electricity report'!J1258,'3 Electricity'!$F$1099:$K$1103,3,FALSE),VLOOKUP('Electricity report'!J1258,'3 Electricity'!$F$1118:$N$1122,3,FALSE)),0)</f>
        <v>More</v>
      </c>
      <c r="L1258" s="103">
        <f ca="1">IFERROR(IF('3 Electricity'!$G$1088='3 Electricity'!$V$1088,VLOOKUP('Electricity report'!J1258,'3 Electricity'!$F$1099:$K$1103,6,FALSE),VLOOKUP('Electricity report'!J1258,'3 Electricity'!$F$1118:$N$1122,9,FALSE)),0)</f>
        <v>0</v>
      </c>
      <c r="M1258" s="105">
        <f ca="1">IF($D$1250=$N$1251,"",VLOOKUP(J1258,'3 Electricity'!$F$1118:$N$1122,8,FALSE))</f>
        <v>0</v>
      </c>
      <c r="N1258" s="107">
        <f ca="1">$E$1242</f>
        <v>0</v>
      </c>
      <c r="O1258" s="107">
        <f ca="1">$O$1254</f>
        <v>0</v>
      </c>
    </row>
    <row r="1259" spans="3:15" x14ac:dyDescent="0.55000000000000004">
      <c r="C1259" s="124"/>
      <c r="H1259" s="125"/>
      <c r="J1259" s="224"/>
      <c r="K1259" s="224"/>
      <c r="L1259" s="224"/>
      <c r="M1259" s="224"/>
      <c r="N1259" s="224"/>
      <c r="O1259" s="224"/>
    </row>
    <row r="1260" spans="3:15" x14ac:dyDescent="0.55000000000000004">
      <c r="C1260" s="124"/>
      <c r="H1260" s="125"/>
      <c r="J1260" s="224"/>
      <c r="K1260" s="224"/>
      <c r="L1260" s="224"/>
      <c r="M1260" s="224"/>
      <c r="N1260" s="224"/>
      <c r="O1260" s="224"/>
    </row>
    <row r="1261" spans="3:15" x14ac:dyDescent="0.55000000000000004">
      <c r="C1261" s="124"/>
      <c r="H1261" s="125"/>
      <c r="J1261" s="224"/>
      <c r="K1261" s="224"/>
      <c r="L1261" s="224"/>
      <c r="M1261" s="224"/>
      <c r="N1261" s="224"/>
      <c r="O1261" s="224"/>
    </row>
    <row r="1262" spans="3:15" x14ac:dyDescent="0.55000000000000004">
      <c r="C1262" s="124"/>
      <c r="H1262" s="125"/>
      <c r="J1262" s="224"/>
      <c r="K1262" s="224"/>
      <c r="L1262" s="224"/>
      <c r="M1262" s="224"/>
      <c r="N1262" s="224"/>
      <c r="O1262" s="224"/>
    </row>
    <row r="1263" spans="3:15" x14ac:dyDescent="0.55000000000000004">
      <c r="C1263" s="124"/>
      <c r="H1263" s="125"/>
      <c r="J1263" s="224"/>
      <c r="K1263" s="224"/>
      <c r="L1263" s="224"/>
      <c r="M1263" s="224"/>
      <c r="N1263" s="224"/>
      <c r="O1263" s="224"/>
    </row>
    <row r="1264" spans="3:15" x14ac:dyDescent="0.55000000000000004">
      <c r="C1264" s="124"/>
      <c r="H1264" s="125"/>
      <c r="J1264" s="224"/>
      <c r="K1264" s="224"/>
      <c r="L1264" s="224"/>
      <c r="M1264" s="224"/>
      <c r="N1264" s="224"/>
      <c r="O1264" s="224"/>
    </row>
    <row r="1265" spans="3:15" x14ac:dyDescent="0.55000000000000004">
      <c r="C1265" s="124"/>
      <c r="H1265" s="125"/>
      <c r="J1265" s="224"/>
      <c r="K1265" s="224"/>
      <c r="L1265" s="224"/>
      <c r="M1265" s="224"/>
      <c r="N1265" s="224"/>
      <c r="O1265" s="224"/>
    </row>
    <row r="1266" spans="3:15" x14ac:dyDescent="0.55000000000000004">
      <c r="C1266" s="124"/>
      <c r="H1266" s="125"/>
      <c r="J1266" s="224"/>
      <c r="K1266" s="224"/>
      <c r="L1266" s="224"/>
      <c r="M1266" s="224"/>
      <c r="N1266" s="224"/>
      <c r="O1266" s="224"/>
    </row>
    <row r="1267" spans="3:15" x14ac:dyDescent="0.55000000000000004">
      <c r="C1267" s="124"/>
      <c r="H1267" s="125"/>
      <c r="J1267" s="224"/>
      <c r="K1267" s="224"/>
      <c r="L1267" s="224"/>
      <c r="M1267" s="224"/>
      <c r="N1267" s="224"/>
      <c r="O1267" s="224"/>
    </row>
    <row r="1268" spans="3:15" x14ac:dyDescent="0.55000000000000004">
      <c r="C1268" s="124"/>
      <c r="H1268" s="125"/>
      <c r="J1268" s="224"/>
      <c r="K1268" s="224"/>
      <c r="L1268" s="224"/>
      <c r="M1268" s="224"/>
      <c r="N1268" s="224"/>
      <c r="O1268" s="224"/>
    </row>
    <row r="1269" spans="3:15" x14ac:dyDescent="0.55000000000000004">
      <c r="C1269" s="124"/>
      <c r="H1269" s="125"/>
      <c r="J1269" s="224"/>
      <c r="K1269" s="224"/>
      <c r="L1269" s="224"/>
      <c r="M1269" s="224"/>
      <c r="N1269" s="224"/>
      <c r="O1269" s="224"/>
    </row>
    <row r="1270" spans="3:15" ht="14.7" thickBot="1" x14ac:dyDescent="0.6">
      <c r="C1270" s="130"/>
      <c r="D1270" s="131"/>
      <c r="E1270" s="131"/>
      <c r="F1270" s="131"/>
      <c r="G1270" s="131"/>
      <c r="H1270" s="132"/>
      <c r="J1270" s="224"/>
      <c r="K1270" s="224"/>
      <c r="L1270" s="224"/>
      <c r="M1270" s="224"/>
      <c r="N1270" s="224"/>
      <c r="O1270" s="224"/>
    </row>
    <row r="1271" spans="3:15" x14ac:dyDescent="0.55000000000000004">
      <c r="J1271" s="224"/>
      <c r="K1271" s="224"/>
      <c r="L1271" s="224"/>
      <c r="M1271" s="224"/>
      <c r="N1271" s="224"/>
      <c r="O1271" s="224"/>
    </row>
    <row r="1272" spans="3:15" ht="14.7" thickBot="1" x14ac:dyDescent="0.6">
      <c r="J1272" s="224"/>
      <c r="K1272" s="224"/>
      <c r="L1272" s="224"/>
      <c r="M1272" s="224"/>
      <c r="N1272" s="224"/>
      <c r="O1272" s="224"/>
    </row>
    <row r="1273" spans="3:15" x14ac:dyDescent="0.55000000000000004">
      <c r="C1273" s="121"/>
      <c r="D1273" s="122"/>
      <c r="E1273" s="122"/>
      <c r="F1273" s="122"/>
      <c r="G1273" s="122"/>
      <c r="H1273" s="123"/>
      <c r="J1273" s="224"/>
      <c r="K1273" s="224"/>
      <c r="L1273" s="224"/>
      <c r="M1273" s="224"/>
      <c r="N1273" s="224"/>
      <c r="O1273" s="224"/>
    </row>
    <row r="1274" spans="3:15" ht="15.6" x14ac:dyDescent="0.6">
      <c r="C1274" s="124"/>
      <c r="D1274" s="98">
        <f>'2 Customer data'!D111</f>
        <v>0</v>
      </c>
      <c r="H1274" s="125"/>
      <c r="J1274" s="224"/>
      <c r="K1274" s="224"/>
      <c r="L1274" s="224"/>
      <c r="M1274" s="224"/>
      <c r="N1274" s="224"/>
      <c r="O1274" s="224"/>
    </row>
    <row r="1275" spans="3:15" x14ac:dyDescent="0.55000000000000004">
      <c r="C1275" s="124"/>
      <c r="H1275" s="125"/>
      <c r="J1275" s="224"/>
      <c r="K1275" s="224"/>
      <c r="L1275" s="224"/>
      <c r="M1275" s="224"/>
      <c r="N1275" s="224"/>
      <c r="O1275" s="224"/>
    </row>
    <row r="1276" spans="3:15" x14ac:dyDescent="0.55000000000000004">
      <c r="C1276" s="124"/>
      <c r="E1276" s="220" t="s">
        <v>250</v>
      </c>
      <c r="H1276" s="125"/>
      <c r="J1276" s="224"/>
      <c r="K1276" s="224"/>
      <c r="L1276" s="224"/>
      <c r="M1276" s="224"/>
      <c r="N1276" s="224"/>
      <c r="O1276" s="224"/>
    </row>
    <row r="1277" spans="3:15" x14ac:dyDescent="0.55000000000000004">
      <c r="C1277" s="124"/>
      <c r="D1277" t="s">
        <v>393</v>
      </c>
      <c r="E1277" s="26">
        <f ca="1">VLOOKUP(D1274,'2 Electricity'!$D$21:$L$40,6,FALSE)</f>
        <v>0</v>
      </c>
      <c r="H1277" s="125"/>
      <c r="J1277" s="224"/>
      <c r="K1277" s="224"/>
      <c r="L1277" s="224"/>
      <c r="M1277" s="224"/>
      <c r="N1277" s="224"/>
      <c r="O1277" s="224"/>
    </row>
    <row r="1278" spans="3:15" x14ac:dyDescent="0.55000000000000004">
      <c r="C1278" s="124"/>
      <c r="D1278" t="s">
        <v>249</v>
      </c>
      <c r="E1278" s="99">
        <f ca="1">VLOOKUP(D1274,'2 Electricity'!$D$21:$L$40,7,FALSE)</f>
        <v>0</v>
      </c>
      <c r="H1278" s="125"/>
      <c r="J1278" s="224"/>
      <c r="K1278" s="224"/>
      <c r="L1278" s="224"/>
      <c r="M1278" s="224"/>
      <c r="N1278" s="224"/>
      <c r="O1278" s="224"/>
    </row>
    <row r="1279" spans="3:15" x14ac:dyDescent="0.55000000000000004">
      <c r="C1279" s="124"/>
      <c r="D1279" t="s">
        <v>52</v>
      </c>
      <c r="E1279" s="26">
        <f ca="1">VLOOKUP(D1274,'2 Electricity'!$D$21:$L$40,8,FALSE)</f>
        <v>0</v>
      </c>
      <c r="H1279" s="125"/>
      <c r="J1279" s="224"/>
      <c r="K1279" s="224"/>
      <c r="L1279" s="224"/>
      <c r="M1279" s="224"/>
      <c r="N1279" s="224"/>
      <c r="O1279" s="224"/>
    </row>
    <row r="1280" spans="3:15" ht="14.7" thickBot="1" x14ac:dyDescent="0.6">
      <c r="C1280" s="124"/>
      <c r="D1280" s="1" t="s">
        <v>39</v>
      </c>
      <c r="E1280" s="37">
        <f ca="1">VLOOKUP(D1274,'2 Electricity'!D$21:L$40,9,FALSE)</f>
        <v>0</v>
      </c>
      <c r="H1280" s="125"/>
      <c r="J1280" s="224"/>
      <c r="K1280" s="224"/>
      <c r="L1280" s="224"/>
      <c r="M1280" s="224"/>
      <c r="N1280" s="224"/>
      <c r="O1280" s="224"/>
    </row>
    <row r="1281" spans="3:15" ht="14.7" thickTop="1" x14ac:dyDescent="0.55000000000000004">
      <c r="C1281" s="124"/>
      <c r="H1281" s="125"/>
      <c r="J1281" s="224"/>
      <c r="K1281" s="224"/>
      <c r="L1281" s="224"/>
      <c r="M1281" s="224"/>
      <c r="N1281" s="224"/>
      <c r="O1281" s="224"/>
    </row>
    <row r="1282" spans="3:15" x14ac:dyDescent="0.55000000000000004">
      <c r="C1282" s="124"/>
      <c r="D1282" t="s">
        <v>189</v>
      </c>
      <c r="E1282" s="26">
        <f>IFERROR(IF(VLOOKUP(D1274,'2 Electricity'!$D$126:$K$145,7,FALSE)="",VLOOKUP('2 Electricity'!$D$126:$K$145,6,FALSE),VLOOKUP(D1274,'2 Electricity'!$D$126:$K$145,7,FALSE))+VLOOKUP(D1274,'2 Electricity'!$D$157:$J$176,5,FALSE),0)</f>
        <v>0</v>
      </c>
      <c r="H1282" s="125"/>
      <c r="J1282" s="224"/>
      <c r="K1282" s="224"/>
      <c r="L1282" s="224"/>
      <c r="M1282" s="224"/>
      <c r="N1282" s="224"/>
      <c r="O1282" s="224"/>
    </row>
    <row r="1283" spans="3:15" x14ac:dyDescent="0.55000000000000004">
      <c r="C1283" s="124"/>
      <c r="H1283" s="125"/>
      <c r="J1283" s="224"/>
      <c r="K1283" s="224"/>
      <c r="L1283" s="224"/>
      <c r="M1283" s="224"/>
      <c r="N1283" s="224"/>
      <c r="O1283" s="224"/>
    </row>
    <row r="1284" spans="3:15" x14ac:dyDescent="0.55000000000000004">
      <c r="C1284" s="124"/>
      <c r="D1284" t="s">
        <v>371</v>
      </c>
      <c r="E1284" s="64">
        <f ca="1">IF(VLOOKUP(D1274,'2 Electricity'!$D$56:$M$75,5,FALSE)="",VLOOKUP(D1274,'2 Electricity'!$D$56:$M$75,4,FALSE),VLOOKUP(D1274,'2 Electricity'!$D$56:$M$75,5,FALSE))</f>
        <v>0</v>
      </c>
      <c r="H1284" s="125"/>
      <c r="J1284" s="224"/>
      <c r="K1284" s="224"/>
      <c r="L1284" s="224"/>
      <c r="M1284" s="224"/>
      <c r="N1284" s="224"/>
      <c r="O1284" s="224"/>
    </row>
    <row r="1285" spans="3:15" x14ac:dyDescent="0.55000000000000004">
      <c r="C1285" s="124"/>
      <c r="D1285" t="s">
        <v>372</v>
      </c>
      <c r="E1285" s="26">
        <f ca="1">IF(VLOOKUP(D1274,'2 Electricity'!$D$56:$M$75,7,FALSE)="",VLOOKUP(D1274,'2 Electricity'!$D$56:$M$75,6,FALSE),VLOOKUP(D1274,'2 Electricity'!$D$56:$M$75,7,FALSE))</f>
        <v>0</v>
      </c>
      <c r="H1285" s="125"/>
      <c r="J1285" s="224"/>
      <c r="K1285" s="224"/>
      <c r="L1285" s="224"/>
      <c r="M1285" s="224"/>
      <c r="N1285" s="224"/>
      <c r="O1285" s="224"/>
    </row>
    <row r="1286" spans="3:15" x14ac:dyDescent="0.55000000000000004">
      <c r="C1286" s="124"/>
      <c r="D1286" t="s">
        <v>373</v>
      </c>
      <c r="E1286" s="26">
        <f ca="1">IF(VLOOKUP(D1274,'2 Electricity'!$D$56:$M$75,9,FALSE)="",VLOOKUP(D1274,'2 Electricity'!$D$56:$M$75,8,FALSE),VLOOKUP(D1274,'2 Electricity'!$D$56:$M$75,9,FALSE))</f>
        <v>0</v>
      </c>
      <c r="H1286" s="125"/>
      <c r="J1286" s="224"/>
      <c r="K1286" s="224"/>
      <c r="L1286" s="224"/>
      <c r="M1286" s="224"/>
      <c r="N1286" s="224"/>
      <c r="O1286" s="224"/>
    </row>
    <row r="1287" spans="3:15" x14ac:dyDescent="0.55000000000000004">
      <c r="C1287" s="124"/>
      <c r="D1287" t="s">
        <v>374</v>
      </c>
      <c r="E1287" s="26">
        <f ca="1">IF(VLOOKUP(D1274,'2 Electricity'!$D$92:$I$111,5,FALSE)="",VLOOKUP(D1274,'2 Electricity'!$D$92:$I$111,4,FALSE),VLOOKUP(D1274,'2 Electricity'!$D$92:$I$111,5,FALSE))</f>
        <v>0</v>
      </c>
      <c r="H1287" s="125"/>
      <c r="J1287" s="224"/>
      <c r="K1287" s="224"/>
      <c r="L1287" s="224"/>
      <c r="M1287" s="224"/>
      <c r="N1287" s="224"/>
      <c r="O1287" s="224"/>
    </row>
    <row r="1288" spans="3:15" ht="14.7" thickBot="1" x14ac:dyDescent="0.6">
      <c r="C1288" s="124"/>
      <c r="D1288" s="1" t="s">
        <v>145</v>
      </c>
      <c r="E1288" s="37">
        <f ca="1">SUM(E1284:E1287)</f>
        <v>0</v>
      </c>
      <c r="H1288" s="125"/>
      <c r="J1288" s="224"/>
      <c r="K1288" s="224"/>
      <c r="L1288" s="224"/>
      <c r="M1288" s="224"/>
      <c r="N1288" s="224"/>
      <c r="O1288" s="224"/>
    </row>
    <row r="1289" spans="3:15" ht="14.7" thickTop="1" x14ac:dyDescent="0.55000000000000004">
      <c r="C1289" s="124"/>
      <c r="D1289" s="1"/>
      <c r="E1289" s="15"/>
      <c r="H1289" s="125"/>
      <c r="J1289" s="224"/>
      <c r="K1289" s="224"/>
      <c r="L1289" s="224"/>
      <c r="M1289" s="224"/>
      <c r="N1289" s="224"/>
      <c r="O1289" s="224"/>
    </row>
    <row r="1290" spans="3:15" x14ac:dyDescent="0.55000000000000004">
      <c r="C1290" s="124"/>
      <c r="D1290" t="s">
        <v>384</v>
      </c>
      <c r="E1290" s="26">
        <f ca="1">IF(VLOOKUP(D1274,'2 Electricity'!$D$126:$K$145,5,FALSE)="",VLOOKUP(D1274,'2 Electricity'!$D$126:$K$145,4,FALSE),VLOOKUP(D1274,'2 Electricity'!$D$126:$K$145,5,FALSE))+VLOOKUP(D1274,'2 Electricity'!$D$157:$J$176,7,FALSE)</f>
        <v>0</v>
      </c>
      <c r="H1290" s="125"/>
      <c r="J1290" s="224"/>
      <c r="K1290" s="224"/>
      <c r="L1290" s="224"/>
      <c r="M1290" s="224"/>
      <c r="N1290" s="224"/>
      <c r="O1290" s="224"/>
    </row>
    <row r="1291" spans="3:15" x14ac:dyDescent="0.55000000000000004">
      <c r="C1291" s="124"/>
      <c r="H1291" s="125"/>
      <c r="J1291" s="224"/>
      <c r="K1291" s="224"/>
      <c r="L1291" s="224"/>
      <c r="M1291" s="224"/>
      <c r="N1291" s="224"/>
      <c r="O1291" s="224"/>
    </row>
    <row r="1292" spans="3:15" ht="14.7" thickBot="1" x14ac:dyDescent="0.6">
      <c r="C1292" s="124"/>
      <c r="D1292" s="1" t="s">
        <v>375</v>
      </c>
      <c r="E1292" s="37">
        <f ca="1">VLOOKUP(D1274,'2 Electricity'!$D$157:$K$176,8,FALSE)</f>
        <v>0</v>
      </c>
      <c r="H1292" s="125"/>
      <c r="J1292" s="224"/>
      <c r="K1292" s="224"/>
      <c r="L1292" s="224"/>
      <c r="M1292" s="224"/>
      <c r="N1292" s="224"/>
      <c r="O1292" s="224"/>
    </row>
    <row r="1293" spans="3:15" ht="14.7" thickTop="1" x14ac:dyDescent="0.55000000000000004">
      <c r="C1293" s="124"/>
      <c r="H1293" s="125"/>
      <c r="J1293" s="224"/>
      <c r="K1293" s="224"/>
      <c r="L1293" s="224"/>
      <c r="M1293" s="224"/>
      <c r="N1293" s="224"/>
      <c r="O1293" s="224"/>
    </row>
    <row r="1294" spans="3:15" x14ac:dyDescent="0.55000000000000004">
      <c r="C1294" s="124"/>
      <c r="H1294" s="125"/>
      <c r="J1294" s="224"/>
      <c r="K1294" s="224"/>
      <c r="L1294" s="224"/>
      <c r="M1294" s="224"/>
      <c r="N1294" s="224"/>
      <c r="O1294" s="224"/>
    </row>
    <row r="1295" spans="3:15" x14ac:dyDescent="0.55000000000000004">
      <c r="C1295" s="124"/>
      <c r="H1295" s="125"/>
      <c r="J1295" s="224"/>
      <c r="K1295" s="224"/>
      <c r="L1295" s="224"/>
      <c r="M1295" s="224"/>
      <c r="N1295" s="224"/>
      <c r="O1295" s="224"/>
    </row>
    <row r="1296" spans="3:15" x14ac:dyDescent="0.55000000000000004">
      <c r="C1296" s="124"/>
      <c r="H1296" s="125"/>
      <c r="J1296" s="224"/>
      <c r="K1296" s="224"/>
      <c r="L1296" s="224"/>
      <c r="M1296" s="224"/>
      <c r="N1296" s="224"/>
      <c r="O1296" s="224"/>
    </row>
    <row r="1297" spans="3:15" x14ac:dyDescent="0.55000000000000004">
      <c r="C1297" s="124"/>
      <c r="H1297" s="125"/>
      <c r="J1297" s="224"/>
      <c r="K1297" s="224"/>
      <c r="L1297" s="224"/>
      <c r="M1297" s="224"/>
      <c r="N1297" s="224"/>
      <c r="O1297" s="224"/>
    </row>
    <row r="1298" spans="3:15" x14ac:dyDescent="0.55000000000000004">
      <c r="C1298" s="124"/>
      <c r="H1298" s="125"/>
      <c r="J1298" s="232" t="s">
        <v>385</v>
      </c>
      <c r="K1298" s="224"/>
      <c r="L1298" s="224"/>
      <c r="M1298" s="224"/>
      <c r="N1298" s="224"/>
      <c r="O1298" s="224"/>
    </row>
    <row r="1299" spans="3:15" x14ac:dyDescent="0.55000000000000004">
      <c r="C1299" s="124"/>
      <c r="H1299" s="125"/>
      <c r="J1299" s="110"/>
      <c r="K1299" s="102" t="s">
        <v>390</v>
      </c>
      <c r="L1299" s="102" t="s">
        <v>391</v>
      </c>
      <c r="M1299" s="224"/>
      <c r="N1299" s="224"/>
      <c r="O1299" s="224"/>
    </row>
    <row r="1300" spans="3:15" x14ac:dyDescent="0.55000000000000004">
      <c r="C1300" s="124"/>
      <c r="H1300" s="125"/>
      <c r="J1300" s="110" t="s">
        <v>393</v>
      </c>
      <c r="K1300" s="100">
        <f ca="1">E1277/1000</f>
        <v>0</v>
      </c>
      <c r="L1300" s="102"/>
      <c r="M1300" s="224"/>
      <c r="N1300" s="224"/>
      <c r="O1300" s="224"/>
    </row>
    <row r="1301" spans="3:15" x14ac:dyDescent="0.55000000000000004">
      <c r="C1301" s="124"/>
      <c r="H1301" s="125"/>
      <c r="J1301" s="110" t="s">
        <v>249</v>
      </c>
      <c r="K1301" s="100">
        <f ca="1">E1278/1000</f>
        <v>0</v>
      </c>
      <c r="L1301" s="110"/>
      <c r="M1301" s="224"/>
      <c r="N1301" s="224"/>
      <c r="O1301" s="224"/>
    </row>
    <row r="1302" spans="3:15" x14ac:dyDescent="0.55000000000000004">
      <c r="C1302" s="124"/>
      <c r="H1302" s="125"/>
      <c r="J1302" s="110" t="s">
        <v>52</v>
      </c>
      <c r="K1302" s="100">
        <f ca="1">E1279/1000</f>
        <v>0</v>
      </c>
      <c r="L1302" s="110"/>
      <c r="M1302" s="224"/>
      <c r="N1302" s="224"/>
      <c r="O1302" s="224"/>
    </row>
    <row r="1303" spans="3:15" x14ac:dyDescent="0.55000000000000004">
      <c r="C1303" s="124"/>
      <c r="H1303" s="125"/>
      <c r="J1303" s="110" t="s">
        <v>471</v>
      </c>
      <c r="K1303" s="100">
        <f>E1282/1000</f>
        <v>0</v>
      </c>
      <c r="L1303" s="110"/>
      <c r="M1303" s="224"/>
      <c r="N1303" s="224"/>
      <c r="O1303" s="224"/>
    </row>
    <row r="1304" spans="3:15" x14ac:dyDescent="0.55000000000000004">
      <c r="C1304" s="124"/>
      <c r="H1304" s="125"/>
      <c r="J1304" s="110" t="s">
        <v>563</v>
      </c>
      <c r="K1304" s="100"/>
      <c r="L1304" s="101">
        <f ca="1">E1292/1000</f>
        <v>0</v>
      </c>
      <c r="M1304" s="224"/>
      <c r="N1304" s="224"/>
      <c r="O1304" s="224"/>
    </row>
    <row r="1305" spans="3:15" x14ac:dyDescent="0.55000000000000004">
      <c r="C1305" s="124"/>
      <c r="H1305" s="125"/>
      <c r="J1305" s="110" t="s">
        <v>564</v>
      </c>
      <c r="K1305" s="100"/>
      <c r="L1305" s="101">
        <f ca="1">E1287/1000</f>
        <v>0</v>
      </c>
      <c r="M1305" s="224"/>
      <c r="N1305" s="224"/>
      <c r="O1305" s="224"/>
    </row>
    <row r="1306" spans="3:15" x14ac:dyDescent="0.55000000000000004">
      <c r="C1306" s="124"/>
      <c r="H1306" s="125"/>
      <c r="J1306" s="110" t="s">
        <v>565</v>
      </c>
      <c r="K1306" s="100"/>
      <c r="L1306" s="101">
        <f ca="1">SUM(E1284:E1286)/1000</f>
        <v>0</v>
      </c>
      <c r="M1306" s="224"/>
      <c r="N1306" s="224"/>
      <c r="O1306" s="224"/>
    </row>
    <row r="1307" spans="3:15" x14ac:dyDescent="0.55000000000000004">
      <c r="C1307" s="124"/>
      <c r="H1307" s="125"/>
      <c r="J1307" s="110" t="s">
        <v>566</v>
      </c>
      <c r="K1307" s="100"/>
      <c r="L1307" s="101">
        <f ca="1">E1290/1000</f>
        <v>0</v>
      </c>
      <c r="M1307" s="224"/>
      <c r="N1307" s="224"/>
      <c r="O1307" s="224"/>
    </row>
    <row r="1308" spans="3:15" x14ac:dyDescent="0.55000000000000004">
      <c r="C1308" s="124"/>
      <c r="H1308" s="125"/>
      <c r="J1308" s="224"/>
      <c r="K1308" s="224"/>
      <c r="L1308" s="224"/>
      <c r="M1308" s="224"/>
      <c r="N1308" s="224"/>
      <c r="O1308" s="224"/>
    </row>
    <row r="1309" spans="3:15" x14ac:dyDescent="0.55000000000000004">
      <c r="C1309" s="124"/>
      <c r="H1309" s="125"/>
      <c r="J1309" s="224"/>
      <c r="K1309" s="224"/>
      <c r="L1309" s="224"/>
      <c r="M1309" s="224"/>
      <c r="N1309" s="224"/>
      <c r="O1309" s="224"/>
    </row>
    <row r="1310" spans="3:15" x14ac:dyDescent="0.55000000000000004">
      <c r="C1310" s="124"/>
      <c r="H1310" s="125"/>
      <c r="J1310" s="224"/>
      <c r="K1310" s="224"/>
      <c r="L1310" s="224"/>
      <c r="M1310" s="224"/>
      <c r="N1310" s="224"/>
      <c r="O1310" s="224"/>
    </row>
    <row r="1311" spans="3:15" x14ac:dyDescent="0.55000000000000004">
      <c r="C1311" s="124"/>
      <c r="E1311" s="220" t="s">
        <v>250</v>
      </c>
      <c r="H1311" s="125"/>
      <c r="J1311" s="224"/>
      <c r="K1311" s="224"/>
      <c r="L1311" s="224"/>
      <c r="M1311" s="224"/>
      <c r="N1311" s="224"/>
      <c r="O1311" s="224"/>
    </row>
    <row r="1312" spans="3:15" x14ac:dyDescent="0.55000000000000004">
      <c r="C1312" s="124"/>
      <c r="D1312" t="s">
        <v>394</v>
      </c>
      <c r="E1312" s="64">
        <f ca="1">VLOOKUP(D1274,'2 Electricity'!$D$157:$M$176,10,FALSE)</f>
        <v>0</v>
      </c>
      <c r="H1312" s="125"/>
      <c r="J1312" s="224"/>
      <c r="K1312" s="224"/>
      <c r="L1312" s="224"/>
      <c r="M1312" s="224"/>
      <c r="N1312" s="224"/>
      <c r="O1312" s="224"/>
    </row>
    <row r="1313" spans="3:15" x14ac:dyDescent="0.55000000000000004">
      <c r="C1313" s="124"/>
      <c r="D1313" t="s">
        <v>395</v>
      </c>
      <c r="E1313" s="64">
        <f ca="1">VLOOKUP(D1274,'2 Electricity'!$D$157:$M$176,9,FALSE)</f>
        <v>0</v>
      </c>
      <c r="H1313" s="125"/>
      <c r="J1313" s="224"/>
      <c r="K1313" s="224"/>
      <c r="L1313" s="224"/>
      <c r="M1313" s="224"/>
      <c r="N1313" s="224"/>
      <c r="O1313" s="224"/>
    </row>
    <row r="1314" spans="3:15" x14ac:dyDescent="0.55000000000000004">
      <c r="C1314" s="124"/>
      <c r="D1314" t="s">
        <v>378</v>
      </c>
      <c r="E1314" s="97">
        <f ca="1">IFERROR(IF(E1282=0,E1290,E1282)/E1280,0)</f>
        <v>0</v>
      </c>
      <c r="H1314" s="125"/>
      <c r="J1314" s="224"/>
      <c r="K1314" s="224"/>
      <c r="L1314" s="224"/>
      <c r="M1314" s="224"/>
      <c r="N1314" s="224"/>
      <c r="O1314" s="224"/>
    </row>
    <row r="1315" spans="3:15" x14ac:dyDescent="0.55000000000000004">
      <c r="C1315" s="124"/>
      <c r="H1315" s="125"/>
      <c r="J1315" s="224"/>
      <c r="K1315" s="224"/>
      <c r="L1315" s="224"/>
      <c r="M1315" s="224"/>
      <c r="N1315" s="224"/>
      <c r="O1315" s="224"/>
    </row>
    <row r="1316" spans="3:15" x14ac:dyDescent="0.55000000000000004">
      <c r="C1316" s="124"/>
      <c r="D1316" t="s">
        <v>379</v>
      </c>
      <c r="E1316" s="26">
        <f>'3 Electricity'!I1142</f>
        <v>0</v>
      </c>
      <c r="H1316" s="125"/>
      <c r="J1316" s="224"/>
      <c r="K1316" s="224"/>
      <c r="L1316" s="224"/>
      <c r="M1316" s="224"/>
      <c r="N1316" s="224"/>
      <c r="O1316" s="224"/>
    </row>
    <row r="1317" spans="3:15" x14ac:dyDescent="0.55000000000000004">
      <c r="C1317" s="124"/>
      <c r="D1317" t="s">
        <v>380</v>
      </c>
      <c r="E1317" s="97">
        <f ca="1">IFERROR('3 Electricity'!J1142/'3 Electricity'!G1142,0)</f>
        <v>0</v>
      </c>
      <c r="H1317" s="125"/>
      <c r="J1317" s="224"/>
      <c r="K1317" s="224"/>
      <c r="L1317" s="224"/>
      <c r="M1317" s="224"/>
      <c r="N1317" s="224"/>
      <c r="O1317" s="224"/>
    </row>
    <row r="1318" spans="3:15" x14ac:dyDescent="0.55000000000000004">
      <c r="C1318" s="124"/>
      <c r="H1318" s="125"/>
      <c r="J1318" s="224"/>
      <c r="K1318" s="224"/>
      <c r="L1318" s="224"/>
      <c r="M1318" s="224"/>
      <c r="N1318" s="224"/>
      <c r="O1318" s="224"/>
    </row>
    <row r="1319" spans="3:15" x14ac:dyDescent="0.55000000000000004">
      <c r="C1319" s="124"/>
      <c r="D1319" s="1" t="s">
        <v>381</v>
      </c>
      <c r="H1319" s="125"/>
      <c r="J1319" s="224"/>
      <c r="K1319" s="224"/>
      <c r="L1319" s="224"/>
      <c r="M1319" s="224"/>
      <c r="N1319" s="224"/>
      <c r="O1319" s="224"/>
    </row>
    <row r="1320" spans="3:15" x14ac:dyDescent="0.55000000000000004">
      <c r="C1320" s="124"/>
      <c r="D1320" s="1" t="str">
        <f>'3 Electricity'!G1150</f>
        <v xml:space="preserve">Seasonal </v>
      </c>
      <c r="H1320" s="125"/>
      <c r="J1320" s="224"/>
      <c r="K1320" s="224"/>
      <c r="L1320" s="224"/>
      <c r="M1320" s="224"/>
      <c r="N1320" s="224"/>
      <c r="O1320" s="224"/>
    </row>
    <row r="1321" spans="3:15" x14ac:dyDescent="0.55000000000000004">
      <c r="C1321" s="124"/>
      <c r="H1321" s="125"/>
      <c r="J1321" s="224"/>
      <c r="K1321" s="224"/>
      <c r="L1321" s="224"/>
      <c r="M1321" s="224"/>
      <c r="N1321" s="224" t="s">
        <v>89</v>
      </c>
      <c r="O1321" s="224"/>
    </row>
    <row r="1322" spans="3:15" x14ac:dyDescent="0.55000000000000004">
      <c r="C1322" s="124"/>
      <c r="H1322" s="125"/>
      <c r="J1322" s="224"/>
      <c r="K1322" s="224"/>
      <c r="L1322" s="224"/>
      <c r="M1322" s="224"/>
      <c r="N1322" s="224"/>
      <c r="O1322" s="224"/>
    </row>
    <row r="1323" spans="3:15" ht="43.2" x14ac:dyDescent="0.55000000000000004">
      <c r="C1323" s="124"/>
      <c r="H1323" s="125"/>
      <c r="J1323" s="229" t="s">
        <v>383</v>
      </c>
      <c r="K1323" s="229" t="s">
        <v>382</v>
      </c>
      <c r="L1323" s="108" t="str">
        <f>IF(D1320=N1321,"Annual Tariff","Low Season Tariff")</f>
        <v>Low Season Tariff</v>
      </c>
      <c r="M1323" s="109" t="str">
        <f>IF(D1320=N1321,"","High Season Tariff")</f>
        <v>High Season Tariff</v>
      </c>
      <c r="N1323" s="230" t="s">
        <v>392</v>
      </c>
      <c r="O1323" s="229" t="s">
        <v>580</v>
      </c>
    </row>
    <row r="1324" spans="3:15" x14ac:dyDescent="0.55000000000000004">
      <c r="C1324" s="124"/>
      <c r="H1324" s="125"/>
      <c r="J1324" s="102">
        <v>1</v>
      </c>
      <c r="K1324" s="102">
        <f>IFERROR(IF('3 Electricity'!$G$1150='3 Electricity'!$V$1150,VLOOKUP('Electricity report'!J1324,'3 Electricity'!$F$1161:$K$1165,3,FALSE),VLOOKUP('Electricity report'!J1324,'3 Electricity'!$F$1180:$N$1184,3,FALSE)),0)</f>
        <v>0</v>
      </c>
      <c r="L1324" s="103">
        <f ca="1">IFERROR(IF('3 Electricity'!$G$1150='3 Electricity'!$V$1150,VLOOKUP('Electricity report'!J1324,'3 Electricity'!$F$1161:$K$1165,6,FALSE),VLOOKUP('Electricity report'!J1324,'3 Electricity'!$F$1180:$N$1184,9,FALSE)),0)</f>
        <v>0</v>
      </c>
      <c r="M1324" s="105">
        <f ca="1">IF($D$1320=$N$1321,"",VLOOKUP(J1324,'3 Electricity'!$F$1180:$N$1184,8,FALSE))</f>
        <v>0</v>
      </c>
      <c r="N1324" s="104">
        <f ca="1">$E$1312</f>
        <v>0</v>
      </c>
      <c r="O1324" s="105">
        <f ca="1">IFERROR('3 Electricity'!J1134/'3 Electricity'!H1134,0)</f>
        <v>0</v>
      </c>
    </row>
    <row r="1325" spans="3:15" x14ac:dyDescent="0.55000000000000004">
      <c r="C1325" s="124"/>
      <c r="H1325" s="125"/>
      <c r="J1325" s="102">
        <v>2</v>
      </c>
      <c r="K1325" s="102">
        <f>IFERROR(IF('3 Electricity'!$G$1150='3 Electricity'!$V$1150,VLOOKUP('Electricity report'!J1325,'3 Electricity'!$F$1161:$K$1165,3,FALSE),VLOOKUP('Electricity report'!J1325,'3 Electricity'!$F$1180:$N$1184,3,FALSE)),0)</f>
        <v>0</v>
      </c>
      <c r="L1325" s="103">
        <f ca="1">IFERROR(IF('3 Electricity'!$G$1150='3 Electricity'!$V$1150,VLOOKUP('Electricity report'!J1325,'3 Electricity'!$F$1161:$K$1165,6,FALSE),VLOOKUP('Electricity report'!J1325,'3 Electricity'!$F$1180:$N$1184,9,FALSE)),0)</f>
        <v>0</v>
      </c>
      <c r="M1325" s="105">
        <f ca="1">IF($D$1320=$N$1321,"",VLOOKUP(J1325,'3 Electricity'!$F$1180:$N$1184,8,FALSE))</f>
        <v>0</v>
      </c>
      <c r="N1325" s="104">
        <f ca="1">$E$1312</f>
        <v>0</v>
      </c>
      <c r="O1325" s="104">
        <f ca="1">$O$1324</f>
        <v>0</v>
      </c>
    </row>
    <row r="1326" spans="3:15" x14ac:dyDescent="0.55000000000000004">
      <c r="C1326" s="124"/>
      <c r="H1326" s="125"/>
      <c r="J1326" s="102">
        <v>3</v>
      </c>
      <c r="K1326" s="102">
        <f>IFERROR(IF('3 Electricity'!$G$1150='3 Electricity'!$V$1150,VLOOKUP('Electricity report'!J1326,'3 Electricity'!$F$1161:$K$1165,3,FALSE),VLOOKUP('Electricity report'!J1326,'3 Electricity'!$F$1180:$N$1184,3,FALSE)),0)</f>
        <v>0</v>
      </c>
      <c r="L1326" s="103">
        <f ca="1">IFERROR(IF('3 Electricity'!$G$1150='3 Electricity'!$V$1150,VLOOKUP('Electricity report'!J1326,'3 Electricity'!$F$1161:$K$1165,6,FALSE),VLOOKUP('Electricity report'!J1326,'3 Electricity'!$F$1180:$N$1184,9,FALSE)),0)</f>
        <v>0</v>
      </c>
      <c r="M1326" s="105">
        <f ca="1">IF($D$1320=$N$1321,"",VLOOKUP(J1326,'3 Electricity'!$F$1180:$N$1184,8,FALSE))</f>
        <v>0</v>
      </c>
      <c r="N1326" s="104">
        <f ca="1">$E$1312</f>
        <v>0</v>
      </c>
      <c r="O1326" s="104">
        <f ca="1">$O$1324</f>
        <v>0</v>
      </c>
    </row>
    <row r="1327" spans="3:15" x14ac:dyDescent="0.55000000000000004">
      <c r="C1327" s="124"/>
      <c r="H1327" s="125"/>
      <c r="J1327" s="102">
        <v>4</v>
      </c>
      <c r="K1327" s="102">
        <f>IFERROR(IF('3 Electricity'!$G$1150='3 Electricity'!$V$1150,VLOOKUP('Electricity report'!J1327,'3 Electricity'!$F$1161:$K$1165,3,FALSE),VLOOKUP('Electricity report'!J1327,'3 Electricity'!$F$1180:$N$1184,3,FALSE)),0)</f>
        <v>0</v>
      </c>
      <c r="L1327" s="103">
        <f ca="1">IFERROR(IF('3 Electricity'!$G$1150='3 Electricity'!$V$1150,VLOOKUP('Electricity report'!J1327,'3 Electricity'!$F$1161:$K$1165,6,FALSE),VLOOKUP('Electricity report'!J1327,'3 Electricity'!$F$1180:$N$1184,9,FALSE)),0)</f>
        <v>0</v>
      </c>
      <c r="M1327" s="105">
        <f ca="1">IF($D$1320=$N$1321,"",VLOOKUP(J1327,'3 Electricity'!$F$1180:$N$1184,8,FALSE))</f>
        <v>0</v>
      </c>
      <c r="N1327" s="104">
        <f ca="1">$E$1312</f>
        <v>0</v>
      </c>
      <c r="O1327" s="104">
        <f ca="1">$O$1324</f>
        <v>0</v>
      </c>
    </row>
    <row r="1328" spans="3:15" x14ac:dyDescent="0.55000000000000004">
      <c r="C1328" s="124"/>
      <c r="H1328" s="125"/>
      <c r="J1328" s="102">
        <v>5</v>
      </c>
      <c r="K1328" s="102" t="str">
        <f>IFERROR(IF('3 Electricity'!$G$1150='3 Electricity'!$V$1150,VLOOKUP('Electricity report'!J1328,'3 Electricity'!$F$1161:$K$1165,3,FALSE),VLOOKUP('Electricity report'!J1328,'3 Electricity'!$F$1180:$N$1184,3,FALSE)),0)</f>
        <v>More</v>
      </c>
      <c r="L1328" s="103">
        <f ca="1">IFERROR(IF('3 Electricity'!$G$1150='3 Electricity'!$V$1150,VLOOKUP('Electricity report'!J1328,'3 Electricity'!$F$1161:$K$1165,6,FALSE),VLOOKUP('Electricity report'!J1328,'3 Electricity'!$F$1180:$N$1184,9,FALSE)),0)</f>
        <v>0</v>
      </c>
      <c r="M1328" s="105">
        <f ca="1">IF($D$1320=$N$1321,"",VLOOKUP(J1328,'3 Electricity'!$F$1180:$N$1184,8,FALSE))</f>
        <v>0</v>
      </c>
      <c r="N1328" s="104">
        <f ca="1">$E$1312</f>
        <v>0</v>
      </c>
      <c r="O1328" s="104">
        <f ca="1">$O$1324</f>
        <v>0</v>
      </c>
    </row>
    <row r="1329" spans="3:15" x14ac:dyDescent="0.55000000000000004">
      <c r="C1329" s="124"/>
      <c r="H1329" s="125"/>
      <c r="J1329" s="224"/>
      <c r="K1329" s="224"/>
      <c r="L1329" s="224"/>
      <c r="M1329" s="224"/>
      <c r="N1329" s="224"/>
      <c r="O1329" s="224"/>
    </row>
    <row r="1330" spans="3:15" x14ac:dyDescent="0.55000000000000004">
      <c r="C1330" s="124"/>
      <c r="H1330" s="125"/>
      <c r="J1330" s="224"/>
      <c r="K1330" s="224"/>
      <c r="L1330" s="224"/>
      <c r="M1330" s="224"/>
      <c r="N1330" s="224"/>
      <c r="O1330" s="224"/>
    </row>
    <row r="1331" spans="3:15" x14ac:dyDescent="0.55000000000000004">
      <c r="C1331" s="124"/>
      <c r="H1331" s="125"/>
      <c r="J1331" s="224"/>
      <c r="K1331" s="224"/>
      <c r="L1331" s="224"/>
      <c r="M1331" s="224"/>
      <c r="N1331" s="224"/>
      <c r="O1331" s="224"/>
    </row>
    <row r="1332" spans="3:15" x14ac:dyDescent="0.55000000000000004">
      <c r="C1332" s="124"/>
      <c r="H1332" s="125"/>
      <c r="J1332" s="224"/>
      <c r="K1332" s="224"/>
      <c r="L1332" s="224"/>
      <c r="M1332" s="224"/>
      <c r="N1332" s="224"/>
      <c r="O1332" s="224"/>
    </row>
    <row r="1333" spans="3:15" x14ac:dyDescent="0.55000000000000004">
      <c r="C1333" s="124"/>
      <c r="H1333" s="125"/>
      <c r="J1333" s="224"/>
      <c r="K1333" s="224"/>
      <c r="L1333" s="224"/>
      <c r="M1333" s="224"/>
      <c r="N1333" s="224"/>
      <c r="O1333" s="224"/>
    </row>
    <row r="1334" spans="3:15" x14ac:dyDescent="0.55000000000000004">
      <c r="C1334" s="124"/>
      <c r="H1334" s="125"/>
      <c r="J1334" s="224"/>
      <c r="K1334" s="224"/>
      <c r="L1334" s="224"/>
      <c r="M1334" s="224"/>
      <c r="N1334" s="224"/>
      <c r="O1334" s="224"/>
    </row>
    <row r="1335" spans="3:15" x14ac:dyDescent="0.55000000000000004">
      <c r="C1335" s="124"/>
      <c r="H1335" s="125"/>
      <c r="J1335" s="224"/>
      <c r="K1335" s="224"/>
      <c r="L1335" s="224"/>
      <c r="M1335" s="224"/>
      <c r="N1335" s="224"/>
      <c r="O1335" s="224"/>
    </row>
    <row r="1336" spans="3:15" x14ac:dyDescent="0.55000000000000004">
      <c r="C1336" s="124"/>
      <c r="H1336" s="125"/>
      <c r="J1336" s="224"/>
      <c r="K1336" s="224"/>
      <c r="L1336" s="224"/>
      <c r="M1336" s="224"/>
      <c r="N1336" s="224"/>
      <c r="O1336" s="224"/>
    </row>
    <row r="1337" spans="3:15" x14ac:dyDescent="0.55000000000000004">
      <c r="C1337" s="124"/>
      <c r="H1337" s="125"/>
      <c r="J1337" s="224"/>
      <c r="K1337" s="224"/>
      <c r="L1337" s="224"/>
      <c r="M1337" s="224"/>
      <c r="N1337" s="224"/>
      <c r="O1337" s="224"/>
    </row>
    <row r="1338" spans="3:15" x14ac:dyDescent="0.55000000000000004">
      <c r="C1338" s="124"/>
      <c r="H1338" s="125"/>
      <c r="J1338" s="224"/>
      <c r="K1338" s="224"/>
      <c r="L1338" s="224"/>
      <c r="M1338" s="224"/>
      <c r="N1338" s="224"/>
      <c r="O1338" s="224"/>
    </row>
    <row r="1339" spans="3:15" x14ac:dyDescent="0.55000000000000004">
      <c r="C1339" s="124"/>
      <c r="H1339" s="125"/>
      <c r="J1339" s="224"/>
      <c r="K1339" s="224"/>
      <c r="L1339" s="224"/>
      <c r="M1339" s="224"/>
      <c r="N1339" s="224"/>
      <c r="O1339" s="224"/>
    </row>
    <row r="1340" spans="3:15" ht="14.7" thickBot="1" x14ac:dyDescent="0.6">
      <c r="C1340" s="130"/>
      <c r="D1340" s="131"/>
      <c r="E1340" s="131"/>
      <c r="F1340" s="131"/>
      <c r="G1340" s="131"/>
      <c r="H1340" s="132"/>
      <c r="J1340" s="224"/>
      <c r="K1340" s="224"/>
      <c r="L1340" s="224"/>
      <c r="M1340" s="224"/>
      <c r="N1340" s="224"/>
      <c r="O1340" s="224"/>
    </row>
    <row r="1341" spans="3:15" x14ac:dyDescent="0.55000000000000004">
      <c r="J1341" s="224"/>
      <c r="K1341" s="224"/>
      <c r="L1341" s="224"/>
      <c r="M1341" s="224"/>
      <c r="N1341" s="224"/>
      <c r="O1341" s="224"/>
    </row>
    <row r="1342" spans="3:15" ht="14.7" thickBot="1" x14ac:dyDescent="0.6">
      <c r="J1342" s="224"/>
      <c r="K1342" s="224"/>
      <c r="L1342" s="224"/>
      <c r="M1342" s="224"/>
      <c r="N1342" s="224"/>
      <c r="O1342" s="224"/>
    </row>
    <row r="1343" spans="3:15" x14ac:dyDescent="0.55000000000000004">
      <c r="C1343" s="121"/>
      <c r="D1343" s="122"/>
      <c r="E1343" s="122"/>
      <c r="F1343" s="122"/>
      <c r="G1343" s="122"/>
      <c r="H1343" s="123"/>
      <c r="J1343" s="224"/>
      <c r="K1343" s="224"/>
      <c r="L1343" s="224"/>
      <c r="M1343" s="224"/>
      <c r="N1343" s="224"/>
      <c r="O1343" s="224"/>
    </row>
    <row r="1344" spans="3:15" ht="15.6" x14ac:dyDescent="0.6">
      <c r="C1344" s="124"/>
      <c r="D1344" s="98">
        <f>'2 Customer data'!D112</f>
        <v>0</v>
      </c>
      <c r="H1344" s="125"/>
      <c r="J1344" s="224"/>
      <c r="K1344" s="224"/>
      <c r="L1344" s="224"/>
      <c r="M1344" s="224"/>
      <c r="N1344" s="224"/>
      <c r="O1344" s="224"/>
    </row>
    <row r="1345" spans="3:15" x14ac:dyDescent="0.55000000000000004">
      <c r="C1345" s="124"/>
      <c r="H1345" s="125"/>
      <c r="J1345" s="224"/>
      <c r="K1345" s="224"/>
      <c r="L1345" s="224"/>
      <c r="M1345" s="224"/>
      <c r="N1345" s="224"/>
      <c r="O1345" s="224"/>
    </row>
    <row r="1346" spans="3:15" x14ac:dyDescent="0.55000000000000004">
      <c r="C1346" s="124"/>
      <c r="E1346" s="220" t="s">
        <v>250</v>
      </c>
      <c r="H1346" s="125"/>
      <c r="J1346" s="224"/>
      <c r="K1346" s="224"/>
      <c r="L1346" s="224"/>
      <c r="M1346" s="224"/>
      <c r="N1346" s="224"/>
      <c r="O1346" s="224"/>
    </row>
    <row r="1347" spans="3:15" x14ac:dyDescent="0.55000000000000004">
      <c r="C1347" s="124"/>
      <c r="D1347" t="s">
        <v>393</v>
      </c>
      <c r="E1347" s="26">
        <f ca="1">VLOOKUP(D1344,'2 Electricity'!$D$21:$L$40,6,FALSE)</f>
        <v>0</v>
      </c>
      <c r="H1347" s="125"/>
      <c r="J1347" s="224"/>
      <c r="K1347" s="224"/>
      <c r="L1347" s="224"/>
      <c r="M1347" s="224"/>
      <c r="N1347" s="224"/>
      <c r="O1347" s="224"/>
    </row>
    <row r="1348" spans="3:15" x14ac:dyDescent="0.55000000000000004">
      <c r="C1348" s="124"/>
      <c r="D1348" t="s">
        <v>249</v>
      </c>
      <c r="E1348" s="99">
        <f ca="1">VLOOKUP(D1344,'2 Electricity'!$D$21:$L$40,7,FALSE)</f>
        <v>0</v>
      </c>
      <c r="H1348" s="125"/>
      <c r="J1348" s="224"/>
      <c r="K1348" s="224"/>
      <c r="L1348" s="224"/>
      <c r="M1348" s="224"/>
      <c r="N1348" s="224"/>
      <c r="O1348" s="224"/>
    </row>
    <row r="1349" spans="3:15" x14ac:dyDescent="0.55000000000000004">
      <c r="C1349" s="124"/>
      <c r="D1349" t="s">
        <v>52</v>
      </c>
      <c r="E1349" s="26">
        <f ca="1">VLOOKUP(D1344,'2 Electricity'!$D$21:$L$40,8,FALSE)</f>
        <v>0</v>
      </c>
      <c r="H1349" s="125"/>
      <c r="J1349" s="224"/>
      <c r="K1349" s="224"/>
      <c r="L1349" s="224"/>
      <c r="M1349" s="224"/>
      <c r="N1349" s="224"/>
      <c r="O1349" s="224"/>
    </row>
    <row r="1350" spans="3:15" ht="14.7" thickBot="1" x14ac:dyDescent="0.6">
      <c r="C1350" s="124"/>
      <c r="D1350" s="1" t="s">
        <v>39</v>
      </c>
      <c r="E1350" s="37">
        <f ca="1">VLOOKUP(D1344,'2 Electricity'!D$21:L$40,9,FALSE)</f>
        <v>0</v>
      </c>
      <c r="H1350" s="125"/>
      <c r="J1350" s="224"/>
      <c r="K1350" s="224"/>
      <c r="L1350" s="224"/>
      <c r="M1350" s="224"/>
      <c r="N1350" s="224"/>
      <c r="O1350" s="224"/>
    </row>
    <row r="1351" spans="3:15" ht="14.7" thickTop="1" x14ac:dyDescent="0.55000000000000004">
      <c r="C1351" s="124"/>
      <c r="H1351" s="125"/>
      <c r="J1351" s="224"/>
      <c r="K1351" s="224"/>
      <c r="L1351" s="224"/>
      <c r="M1351" s="224"/>
      <c r="N1351" s="224"/>
      <c r="O1351" s="224"/>
    </row>
    <row r="1352" spans="3:15" x14ac:dyDescent="0.55000000000000004">
      <c r="C1352" s="124"/>
      <c r="D1352" t="s">
        <v>189</v>
      </c>
      <c r="E1352" s="26">
        <f>IFERROR(IF(VLOOKUP(D1344,'2 Electricity'!$D$126:$K$145,7,FALSE)="",VLOOKUP('2 Electricity'!$D$126:$K$145,6,FALSE),VLOOKUP(D1344,'2 Electricity'!$D$126:$K$145,7,FALSE))+VLOOKUP(D1344,'2 Electricity'!$D$157:$J$176,5,FALSE),0)</f>
        <v>0</v>
      </c>
      <c r="H1352" s="125"/>
      <c r="J1352" s="224"/>
      <c r="K1352" s="224"/>
      <c r="L1352" s="224"/>
      <c r="M1352" s="224"/>
      <c r="N1352" s="224"/>
      <c r="O1352" s="224"/>
    </row>
    <row r="1353" spans="3:15" x14ac:dyDescent="0.55000000000000004">
      <c r="C1353" s="124"/>
      <c r="H1353" s="125"/>
      <c r="J1353" s="224"/>
      <c r="K1353" s="224"/>
      <c r="L1353" s="224"/>
      <c r="M1353" s="224"/>
      <c r="N1353" s="224"/>
      <c r="O1353" s="224"/>
    </row>
    <row r="1354" spans="3:15" x14ac:dyDescent="0.55000000000000004">
      <c r="C1354" s="124"/>
      <c r="D1354" t="s">
        <v>371</v>
      </c>
      <c r="E1354" s="64">
        <f ca="1">IF(VLOOKUP(D1344,'2 Electricity'!$D$56:$M$75,5,FALSE)="",VLOOKUP(D1344,'2 Electricity'!$D$56:$M$75,4,FALSE),VLOOKUP(D1344,'2 Electricity'!$D$56:$M$75,5,FALSE))</f>
        <v>0</v>
      </c>
      <c r="H1354" s="125"/>
      <c r="J1354" s="224"/>
      <c r="K1354" s="224"/>
      <c r="L1354" s="224"/>
      <c r="M1354" s="224"/>
      <c r="N1354" s="224"/>
      <c r="O1354" s="224"/>
    </row>
    <row r="1355" spans="3:15" x14ac:dyDescent="0.55000000000000004">
      <c r="C1355" s="124"/>
      <c r="D1355" t="s">
        <v>372</v>
      </c>
      <c r="E1355" s="26">
        <f ca="1">IF(VLOOKUP(D1344,'2 Electricity'!$D$56:$M$75,7,FALSE)="",VLOOKUP(D1344,'2 Electricity'!$D$56:$M$75,6,FALSE),VLOOKUP(D1344,'2 Electricity'!$D$56:$M$75,7,FALSE))</f>
        <v>0</v>
      </c>
      <c r="H1355" s="125"/>
      <c r="J1355" s="224"/>
      <c r="K1355" s="224"/>
      <c r="L1355" s="224"/>
      <c r="M1355" s="224"/>
      <c r="N1355" s="224"/>
      <c r="O1355" s="224"/>
    </row>
    <row r="1356" spans="3:15" x14ac:dyDescent="0.55000000000000004">
      <c r="C1356" s="124"/>
      <c r="D1356" t="s">
        <v>373</v>
      </c>
      <c r="E1356" s="26">
        <f ca="1">IF(VLOOKUP(D1344,'2 Electricity'!$D$56:$M$75,9,FALSE)="",VLOOKUP(D1344,'2 Electricity'!$D$56:$M$75,8,FALSE),VLOOKUP(D1344,'2 Electricity'!$D$56:$M$75,9,FALSE))</f>
        <v>0</v>
      </c>
      <c r="H1356" s="125"/>
      <c r="J1356" s="224"/>
      <c r="K1356" s="224"/>
      <c r="L1356" s="224"/>
      <c r="M1356" s="224"/>
      <c r="N1356" s="224"/>
      <c r="O1356" s="224"/>
    </row>
    <row r="1357" spans="3:15" x14ac:dyDescent="0.55000000000000004">
      <c r="C1357" s="124"/>
      <c r="D1357" t="s">
        <v>374</v>
      </c>
      <c r="E1357" s="26">
        <f ca="1">IF(VLOOKUP(D1344,'2 Electricity'!$D$92:$I$111,5,FALSE)="",VLOOKUP(D1344,'2 Electricity'!$D$92:$I$111,4,FALSE),VLOOKUP(D1344,'2 Electricity'!$D$92:$I$111,5,FALSE))</f>
        <v>0</v>
      </c>
      <c r="H1357" s="125"/>
      <c r="J1357" s="224"/>
      <c r="K1357" s="224"/>
      <c r="L1357" s="224"/>
      <c r="M1357" s="224"/>
      <c r="N1357" s="224"/>
      <c r="O1357" s="224"/>
    </row>
    <row r="1358" spans="3:15" ht="14.7" thickBot="1" x14ac:dyDescent="0.6">
      <c r="C1358" s="124"/>
      <c r="D1358" s="1" t="s">
        <v>145</v>
      </c>
      <c r="E1358" s="37">
        <f ca="1">SUM(E1354:E1357)</f>
        <v>0</v>
      </c>
      <c r="H1358" s="125"/>
      <c r="J1358" s="224"/>
      <c r="K1358" s="224"/>
      <c r="L1358" s="224"/>
      <c r="M1358" s="224"/>
      <c r="N1358" s="224"/>
      <c r="O1358" s="224"/>
    </row>
    <row r="1359" spans="3:15" ht="14.7" thickTop="1" x14ac:dyDescent="0.55000000000000004">
      <c r="C1359" s="124"/>
      <c r="D1359" s="1"/>
      <c r="E1359" s="15"/>
      <c r="H1359" s="125"/>
      <c r="J1359" s="224"/>
      <c r="K1359" s="224"/>
      <c r="L1359" s="224"/>
      <c r="M1359" s="224"/>
      <c r="N1359" s="224"/>
      <c r="O1359" s="224"/>
    </row>
    <row r="1360" spans="3:15" x14ac:dyDescent="0.55000000000000004">
      <c r="C1360" s="124"/>
      <c r="D1360" t="s">
        <v>384</v>
      </c>
      <c r="E1360" s="26">
        <f ca="1">IF(VLOOKUP(D1344,'2 Electricity'!$D$126:$K$145,5,FALSE)="",VLOOKUP(D1344,'2 Electricity'!$D$126:$K$145,4,FALSE),VLOOKUP(D1344,'2 Electricity'!$D$126:$K$145,5,FALSE))+VLOOKUP(D1344,'2 Electricity'!$D$157:$J$176,7,FALSE)</f>
        <v>0</v>
      </c>
      <c r="H1360" s="125"/>
      <c r="J1360" s="224"/>
      <c r="K1360" s="224"/>
      <c r="L1360" s="224"/>
      <c r="M1360" s="224"/>
      <c r="N1360" s="224"/>
      <c r="O1360" s="224"/>
    </row>
    <row r="1361" spans="3:15" x14ac:dyDescent="0.55000000000000004">
      <c r="C1361" s="124"/>
      <c r="H1361" s="125"/>
      <c r="J1361" s="224"/>
      <c r="K1361" s="224"/>
      <c r="L1361" s="224"/>
      <c r="M1361" s="224"/>
      <c r="N1361" s="224"/>
      <c r="O1361" s="224"/>
    </row>
    <row r="1362" spans="3:15" ht="14.7" thickBot="1" x14ac:dyDescent="0.6">
      <c r="C1362" s="124"/>
      <c r="D1362" s="1" t="s">
        <v>375</v>
      </c>
      <c r="E1362" s="37">
        <f ca="1">VLOOKUP(D1344,'2 Electricity'!$D$157:$K$176,8,FALSE)</f>
        <v>0</v>
      </c>
      <c r="H1362" s="125"/>
      <c r="J1362" s="224"/>
      <c r="K1362" s="224"/>
      <c r="L1362" s="224"/>
      <c r="M1362" s="224"/>
      <c r="N1362" s="224"/>
      <c r="O1362" s="224"/>
    </row>
    <row r="1363" spans="3:15" ht="14.7" thickTop="1" x14ac:dyDescent="0.55000000000000004">
      <c r="C1363" s="124"/>
      <c r="H1363" s="125"/>
      <c r="J1363" s="224"/>
      <c r="K1363" s="224"/>
      <c r="L1363" s="224"/>
      <c r="M1363" s="224"/>
      <c r="N1363" s="224"/>
      <c r="O1363" s="224"/>
    </row>
    <row r="1364" spans="3:15" x14ac:dyDescent="0.55000000000000004">
      <c r="C1364" s="124"/>
      <c r="H1364" s="125"/>
      <c r="J1364" s="224"/>
      <c r="K1364" s="224"/>
      <c r="L1364" s="224"/>
      <c r="M1364" s="224"/>
      <c r="N1364" s="224"/>
      <c r="O1364" s="224"/>
    </row>
    <row r="1365" spans="3:15" x14ac:dyDescent="0.55000000000000004">
      <c r="C1365" s="124"/>
      <c r="H1365" s="125"/>
      <c r="J1365" s="224"/>
      <c r="K1365" s="224"/>
      <c r="L1365" s="224"/>
      <c r="M1365" s="224"/>
      <c r="N1365" s="224"/>
      <c r="O1365" s="224"/>
    </row>
    <row r="1366" spans="3:15" x14ac:dyDescent="0.55000000000000004">
      <c r="C1366" s="124"/>
      <c r="H1366" s="125"/>
      <c r="J1366" s="224"/>
      <c r="K1366" s="224"/>
      <c r="L1366" s="224"/>
      <c r="M1366" s="224"/>
      <c r="N1366" s="224"/>
      <c r="O1366" s="224"/>
    </row>
    <row r="1367" spans="3:15" x14ac:dyDescent="0.55000000000000004">
      <c r="C1367" s="124"/>
      <c r="H1367" s="125"/>
      <c r="J1367" s="224"/>
      <c r="K1367" s="224"/>
      <c r="L1367" s="224"/>
      <c r="M1367" s="224"/>
      <c r="N1367" s="224"/>
      <c r="O1367" s="224"/>
    </row>
    <row r="1368" spans="3:15" x14ac:dyDescent="0.55000000000000004">
      <c r="C1368" s="124"/>
      <c r="H1368" s="125"/>
      <c r="J1368" s="232" t="s">
        <v>385</v>
      </c>
      <c r="K1368" s="224"/>
      <c r="L1368" s="224"/>
      <c r="M1368" s="224"/>
      <c r="N1368" s="224"/>
      <c r="O1368" s="224"/>
    </row>
    <row r="1369" spans="3:15" x14ac:dyDescent="0.55000000000000004">
      <c r="C1369" s="124"/>
      <c r="H1369" s="125"/>
      <c r="J1369" s="110"/>
      <c r="K1369" s="102" t="s">
        <v>390</v>
      </c>
      <c r="L1369" s="102" t="s">
        <v>391</v>
      </c>
      <c r="M1369" s="224"/>
      <c r="N1369" s="224"/>
      <c r="O1369" s="224"/>
    </row>
    <row r="1370" spans="3:15" x14ac:dyDescent="0.55000000000000004">
      <c r="C1370" s="124"/>
      <c r="H1370" s="125"/>
      <c r="J1370" s="110" t="s">
        <v>393</v>
      </c>
      <c r="K1370" s="100">
        <f ca="1">E1347/1000</f>
        <v>0</v>
      </c>
      <c r="L1370" s="102"/>
      <c r="M1370" s="224"/>
      <c r="N1370" s="224"/>
      <c r="O1370" s="224"/>
    </row>
    <row r="1371" spans="3:15" x14ac:dyDescent="0.55000000000000004">
      <c r="C1371" s="124"/>
      <c r="H1371" s="125"/>
      <c r="J1371" s="110" t="s">
        <v>249</v>
      </c>
      <c r="K1371" s="100">
        <f ca="1">E1348/1000</f>
        <v>0</v>
      </c>
      <c r="L1371" s="110"/>
      <c r="M1371" s="224"/>
      <c r="N1371" s="224"/>
      <c r="O1371" s="224"/>
    </row>
    <row r="1372" spans="3:15" x14ac:dyDescent="0.55000000000000004">
      <c r="C1372" s="124"/>
      <c r="H1372" s="125"/>
      <c r="J1372" s="110" t="s">
        <v>52</v>
      </c>
      <c r="K1372" s="100">
        <f ca="1">E1349/1000</f>
        <v>0</v>
      </c>
      <c r="L1372" s="110"/>
      <c r="M1372" s="224"/>
      <c r="N1372" s="224"/>
      <c r="O1372" s="224"/>
    </row>
    <row r="1373" spans="3:15" x14ac:dyDescent="0.55000000000000004">
      <c r="C1373" s="124"/>
      <c r="H1373" s="125"/>
      <c r="J1373" s="110" t="s">
        <v>471</v>
      </c>
      <c r="K1373" s="100">
        <f>E1352/1000</f>
        <v>0</v>
      </c>
      <c r="L1373" s="110"/>
      <c r="M1373" s="224"/>
      <c r="N1373" s="224"/>
      <c r="O1373" s="224"/>
    </row>
    <row r="1374" spans="3:15" x14ac:dyDescent="0.55000000000000004">
      <c r="C1374" s="124"/>
      <c r="H1374" s="125"/>
      <c r="J1374" s="110" t="s">
        <v>563</v>
      </c>
      <c r="K1374" s="100"/>
      <c r="L1374" s="101">
        <f ca="1">E1362/1000</f>
        <v>0</v>
      </c>
      <c r="M1374" s="224"/>
      <c r="N1374" s="224"/>
      <c r="O1374" s="224"/>
    </row>
    <row r="1375" spans="3:15" x14ac:dyDescent="0.55000000000000004">
      <c r="C1375" s="124"/>
      <c r="H1375" s="125"/>
      <c r="J1375" s="110" t="s">
        <v>564</v>
      </c>
      <c r="K1375" s="100"/>
      <c r="L1375" s="101">
        <f ca="1">E1357/1000</f>
        <v>0</v>
      </c>
      <c r="M1375" s="224"/>
      <c r="N1375" s="224"/>
      <c r="O1375" s="224"/>
    </row>
    <row r="1376" spans="3:15" x14ac:dyDescent="0.55000000000000004">
      <c r="C1376" s="124"/>
      <c r="H1376" s="125"/>
      <c r="J1376" s="110" t="s">
        <v>565</v>
      </c>
      <c r="K1376" s="100"/>
      <c r="L1376" s="101">
        <f ca="1">SUM(E1354:E1356)/1000</f>
        <v>0</v>
      </c>
      <c r="M1376" s="224"/>
      <c r="N1376" s="224"/>
      <c r="O1376" s="224"/>
    </row>
    <row r="1377" spans="3:15" x14ac:dyDescent="0.55000000000000004">
      <c r="C1377" s="124"/>
      <c r="H1377" s="125"/>
      <c r="J1377" s="110" t="s">
        <v>566</v>
      </c>
      <c r="K1377" s="100"/>
      <c r="L1377" s="101">
        <f ca="1">E1360/1000</f>
        <v>0</v>
      </c>
      <c r="M1377" s="224"/>
      <c r="N1377" s="224"/>
      <c r="O1377" s="224"/>
    </row>
    <row r="1378" spans="3:15" x14ac:dyDescent="0.55000000000000004">
      <c r="C1378" s="124"/>
      <c r="H1378" s="125"/>
      <c r="J1378" s="224"/>
      <c r="K1378" s="224"/>
      <c r="L1378" s="224"/>
      <c r="M1378" s="224"/>
      <c r="N1378" s="224"/>
      <c r="O1378" s="224"/>
    </row>
    <row r="1379" spans="3:15" x14ac:dyDescent="0.55000000000000004">
      <c r="C1379" s="124"/>
      <c r="H1379" s="125"/>
      <c r="J1379" s="224"/>
      <c r="K1379" s="224"/>
      <c r="L1379" s="224"/>
      <c r="M1379" s="224"/>
      <c r="N1379" s="224"/>
      <c r="O1379" s="224"/>
    </row>
    <row r="1380" spans="3:15" x14ac:dyDescent="0.55000000000000004">
      <c r="C1380" s="124"/>
      <c r="H1380" s="125"/>
      <c r="J1380" s="224"/>
      <c r="K1380" s="224"/>
      <c r="L1380" s="224"/>
      <c r="M1380" s="224"/>
      <c r="N1380" s="224"/>
      <c r="O1380" s="224"/>
    </row>
    <row r="1381" spans="3:15" x14ac:dyDescent="0.55000000000000004">
      <c r="C1381" s="124"/>
      <c r="E1381" s="220" t="s">
        <v>250</v>
      </c>
      <c r="H1381" s="125"/>
      <c r="J1381" s="224"/>
      <c r="K1381" s="224"/>
      <c r="L1381" s="224"/>
      <c r="M1381" s="224"/>
      <c r="N1381" s="224"/>
      <c r="O1381" s="224"/>
    </row>
    <row r="1382" spans="3:15" x14ac:dyDescent="0.55000000000000004">
      <c r="C1382" s="124"/>
      <c r="D1382" t="s">
        <v>394</v>
      </c>
      <c r="E1382" s="64">
        <f ca="1">VLOOKUP(D1344,'2 Electricity'!$D$157:$M$176,10,FALSE)</f>
        <v>0</v>
      </c>
      <c r="H1382" s="125"/>
      <c r="J1382" s="224"/>
      <c r="K1382" s="224"/>
      <c r="L1382" s="224"/>
      <c r="M1382" s="224"/>
      <c r="N1382" s="224"/>
      <c r="O1382" s="224"/>
    </row>
    <row r="1383" spans="3:15" x14ac:dyDescent="0.55000000000000004">
      <c r="C1383" s="124"/>
      <c r="D1383" t="s">
        <v>395</v>
      </c>
      <c r="E1383" s="64">
        <f ca="1">VLOOKUP(D1344,'2 Electricity'!$D$157:$M$176,9,FALSE)</f>
        <v>0</v>
      </c>
      <c r="H1383" s="125"/>
      <c r="J1383" s="224"/>
      <c r="K1383" s="224"/>
      <c r="L1383" s="224"/>
      <c r="M1383" s="224"/>
      <c r="N1383" s="224"/>
      <c r="O1383" s="224"/>
    </row>
    <row r="1384" spans="3:15" x14ac:dyDescent="0.55000000000000004">
      <c r="C1384" s="124"/>
      <c r="D1384" t="s">
        <v>378</v>
      </c>
      <c r="E1384" s="97">
        <f ca="1">IFERROR(IF(E1352=0,E1360,E1352)/E1350,0)</f>
        <v>0</v>
      </c>
      <c r="H1384" s="125"/>
      <c r="J1384" s="224"/>
      <c r="K1384" s="224"/>
      <c r="L1384" s="224"/>
      <c r="M1384" s="224"/>
      <c r="N1384" s="224"/>
      <c r="O1384" s="224"/>
    </row>
    <row r="1385" spans="3:15" x14ac:dyDescent="0.55000000000000004">
      <c r="C1385" s="124"/>
      <c r="H1385" s="125"/>
      <c r="J1385" s="224"/>
      <c r="K1385" s="224"/>
      <c r="L1385" s="224"/>
      <c r="M1385" s="224"/>
      <c r="N1385" s="224"/>
      <c r="O1385" s="224"/>
    </row>
    <row r="1386" spans="3:15" x14ac:dyDescent="0.55000000000000004">
      <c r="C1386" s="124"/>
      <c r="D1386" t="s">
        <v>379</v>
      </c>
      <c r="E1386" s="26">
        <f>'3 Electricity'!I1204</f>
        <v>0</v>
      </c>
      <c r="H1386" s="125"/>
      <c r="J1386" s="224"/>
      <c r="K1386" s="224"/>
      <c r="L1386" s="224"/>
      <c r="M1386" s="224"/>
      <c r="N1386" s="224"/>
      <c r="O1386" s="224"/>
    </row>
    <row r="1387" spans="3:15" x14ac:dyDescent="0.55000000000000004">
      <c r="C1387" s="124"/>
      <c r="D1387" t="s">
        <v>380</v>
      </c>
      <c r="E1387" s="97">
        <f ca="1">IFERROR('3 Electricity'!J1204/'3 Electricity'!G1204,0)</f>
        <v>0</v>
      </c>
      <c r="H1387" s="125"/>
      <c r="J1387" s="224"/>
      <c r="K1387" s="224"/>
      <c r="L1387" s="224"/>
      <c r="M1387" s="224"/>
      <c r="N1387" s="224"/>
      <c r="O1387" s="224"/>
    </row>
    <row r="1388" spans="3:15" x14ac:dyDescent="0.55000000000000004">
      <c r="C1388" s="124"/>
      <c r="H1388" s="125"/>
      <c r="J1388" s="224"/>
      <c r="K1388" s="224"/>
      <c r="L1388" s="224"/>
      <c r="M1388" s="224"/>
      <c r="N1388" s="224"/>
      <c r="O1388" s="224"/>
    </row>
    <row r="1389" spans="3:15" x14ac:dyDescent="0.55000000000000004">
      <c r="C1389" s="124"/>
      <c r="D1389" s="1" t="s">
        <v>381</v>
      </c>
      <c r="H1389" s="125"/>
      <c r="J1389" s="224"/>
      <c r="K1389" s="224"/>
      <c r="L1389" s="224"/>
      <c r="M1389" s="224"/>
      <c r="N1389" s="224"/>
      <c r="O1389" s="224"/>
    </row>
    <row r="1390" spans="3:15" x14ac:dyDescent="0.55000000000000004">
      <c r="C1390" s="124"/>
      <c r="D1390" s="1" t="str">
        <f>'3 Electricity'!G1212</f>
        <v xml:space="preserve">Seasonal </v>
      </c>
      <c r="H1390" s="125"/>
      <c r="J1390" s="224"/>
      <c r="K1390" s="224"/>
      <c r="L1390" s="224"/>
      <c r="M1390" s="224"/>
      <c r="N1390" s="224"/>
      <c r="O1390" s="224"/>
    </row>
    <row r="1391" spans="3:15" x14ac:dyDescent="0.55000000000000004">
      <c r="C1391" s="124"/>
      <c r="H1391" s="125"/>
      <c r="J1391" s="224"/>
      <c r="K1391" s="224"/>
      <c r="L1391" s="224"/>
      <c r="M1391" s="224"/>
      <c r="N1391" s="224" t="s">
        <v>89</v>
      </c>
      <c r="O1391" s="224"/>
    </row>
    <row r="1392" spans="3:15" x14ac:dyDescent="0.55000000000000004">
      <c r="C1392" s="124"/>
      <c r="H1392" s="125"/>
      <c r="J1392" s="224"/>
      <c r="K1392" s="224"/>
      <c r="L1392" s="224"/>
      <c r="M1392" s="224"/>
      <c r="N1392" s="224"/>
      <c r="O1392" s="224"/>
    </row>
    <row r="1393" spans="3:15" ht="43.2" x14ac:dyDescent="0.55000000000000004">
      <c r="C1393" s="124"/>
      <c r="H1393" s="125"/>
      <c r="J1393" s="229" t="s">
        <v>383</v>
      </c>
      <c r="K1393" s="229" t="s">
        <v>382</v>
      </c>
      <c r="L1393" s="108" t="str">
        <f>IF(D1390=N1391,"Annual Tariff","Low Season Tariff")</f>
        <v>Low Season Tariff</v>
      </c>
      <c r="M1393" s="109" t="str">
        <f>IF(D1390=N1391,"","High Season Tariff")</f>
        <v>High Season Tariff</v>
      </c>
      <c r="N1393" s="108" t="s">
        <v>392</v>
      </c>
      <c r="O1393" s="229" t="s">
        <v>580</v>
      </c>
    </row>
    <row r="1394" spans="3:15" x14ac:dyDescent="0.55000000000000004">
      <c r="C1394" s="124"/>
      <c r="H1394" s="125"/>
      <c r="J1394" s="102">
        <v>1</v>
      </c>
      <c r="K1394" s="102">
        <f>IFERROR(IF('3 Electricity'!$G$1212='3 Electricity'!$V$1212,VLOOKUP('Electricity report'!J1394,'3 Electricity'!$F$1223:$K$1227,3,FALSE),VLOOKUP('Electricity report'!J1394,'3 Electricity'!$F$1242:$N$1246,3,FALSE)),0)</f>
        <v>0</v>
      </c>
      <c r="L1394" s="103">
        <f ca="1">IFERROR(IF('3 Electricity'!$G$1212='3 Electricity'!$V$1212,VLOOKUP('Electricity report'!J1394,'3 Electricity'!$F$1223:$K$1227,6,FALSE),VLOOKUP('Electricity report'!J1394,'3 Electricity'!$F$1242:$N$1246,9,FALSE)),0)</f>
        <v>0</v>
      </c>
      <c r="M1394" s="105">
        <f ca="1">IF($D$1390=$N$1391,"",VLOOKUP(J1394,'3 Electricity'!$F$1242:$N$1246,8,FALSE))</f>
        <v>0</v>
      </c>
      <c r="N1394" s="107">
        <f ca="1">$E$1382</f>
        <v>0</v>
      </c>
      <c r="O1394" s="105">
        <f ca="1">IFERROR('3 Electricity'!J1196/'3 Electricity'!H1196,0)</f>
        <v>0</v>
      </c>
    </row>
    <row r="1395" spans="3:15" x14ac:dyDescent="0.55000000000000004">
      <c r="C1395" s="124"/>
      <c r="H1395" s="125"/>
      <c r="J1395" s="102">
        <v>2</v>
      </c>
      <c r="K1395" s="102">
        <f>IFERROR(IF('3 Electricity'!$G$1212='3 Electricity'!$V$1212,VLOOKUP('Electricity report'!J1395,'3 Electricity'!$F$1223:$K$1227,3,FALSE),VLOOKUP('Electricity report'!J1395,'3 Electricity'!$F$1242:$N$1246,3,FALSE)),0)</f>
        <v>0</v>
      </c>
      <c r="L1395" s="103">
        <f ca="1">IFERROR(IF('3 Electricity'!$G$1212='3 Electricity'!$V$1212,VLOOKUP('Electricity report'!J1395,'3 Electricity'!$F$1223:$K$1227,6,FALSE),VLOOKUP('Electricity report'!J1395,'3 Electricity'!$F$1242:$N$1246,9,FALSE)),0)</f>
        <v>0</v>
      </c>
      <c r="M1395" s="105">
        <f ca="1">IF($D$1390=$N$1391,"",VLOOKUP(J1395,'3 Electricity'!$F$1242:$N$1246,8,FALSE))</f>
        <v>0</v>
      </c>
      <c r="N1395" s="107">
        <f ca="1">$E$1382</f>
        <v>0</v>
      </c>
      <c r="O1395" s="107">
        <f ca="1">$O$1394</f>
        <v>0</v>
      </c>
    </row>
    <row r="1396" spans="3:15" x14ac:dyDescent="0.55000000000000004">
      <c r="C1396" s="124"/>
      <c r="H1396" s="125"/>
      <c r="J1396" s="102">
        <v>3</v>
      </c>
      <c r="K1396" s="102">
        <f>IFERROR(IF('3 Electricity'!$G$1212='3 Electricity'!$V$1212,VLOOKUP('Electricity report'!J1396,'3 Electricity'!$F$1223:$K$1227,3,FALSE),VLOOKUP('Electricity report'!J1396,'3 Electricity'!$F$1242:$N$1246,3,FALSE)),0)</f>
        <v>0</v>
      </c>
      <c r="L1396" s="103">
        <f ca="1">IFERROR(IF('3 Electricity'!$G$1212='3 Electricity'!$V$1212,VLOOKUP('Electricity report'!J1396,'3 Electricity'!$F$1223:$K$1227,6,FALSE),VLOOKUP('Electricity report'!J1396,'3 Electricity'!$F$1242:$N$1246,9,FALSE)),0)</f>
        <v>0</v>
      </c>
      <c r="M1396" s="105">
        <f ca="1">IF($D$1390=$N$1391,"",VLOOKUP(J1396,'3 Electricity'!$F$1242:$N$1246,8,FALSE))</f>
        <v>0</v>
      </c>
      <c r="N1396" s="107">
        <f ca="1">$E$1382</f>
        <v>0</v>
      </c>
      <c r="O1396" s="107">
        <f ca="1">$O$1394</f>
        <v>0</v>
      </c>
    </row>
    <row r="1397" spans="3:15" x14ac:dyDescent="0.55000000000000004">
      <c r="C1397" s="124"/>
      <c r="H1397" s="125"/>
      <c r="J1397" s="102">
        <v>4</v>
      </c>
      <c r="K1397" s="102">
        <f>IFERROR(IF('3 Electricity'!$G$1212='3 Electricity'!$V$1212,VLOOKUP('Electricity report'!J1397,'3 Electricity'!$F$1223:$K$1227,3,FALSE),VLOOKUP('Electricity report'!J1397,'3 Electricity'!$F$1242:$N$1246,3,FALSE)),0)</f>
        <v>0</v>
      </c>
      <c r="L1397" s="103">
        <f ca="1">IFERROR(IF('3 Electricity'!$G$1212='3 Electricity'!$V$1212,VLOOKUP('Electricity report'!J1397,'3 Electricity'!$F$1223:$K$1227,6,FALSE),VLOOKUP('Electricity report'!J1397,'3 Electricity'!$F$1242:$N$1246,9,FALSE)),0)</f>
        <v>0</v>
      </c>
      <c r="M1397" s="105">
        <f ca="1">IF($D$1390=$N$1391,"",VLOOKUP(J1397,'3 Electricity'!$F$1242:$N$1246,8,FALSE))</f>
        <v>0</v>
      </c>
      <c r="N1397" s="107">
        <f ca="1">$E$1382</f>
        <v>0</v>
      </c>
      <c r="O1397" s="107">
        <f ca="1">$O$1394</f>
        <v>0</v>
      </c>
    </row>
    <row r="1398" spans="3:15" x14ac:dyDescent="0.55000000000000004">
      <c r="C1398" s="124"/>
      <c r="H1398" s="125"/>
      <c r="J1398" s="102">
        <v>5</v>
      </c>
      <c r="K1398" s="102" t="str">
        <f>IFERROR(IF('3 Electricity'!$G$1212='3 Electricity'!$V$1212,VLOOKUP('Electricity report'!J1398,'3 Electricity'!$F$1223:$K$1227,3,FALSE),VLOOKUP('Electricity report'!J1398,'3 Electricity'!$F$1242:$N$1246,3,FALSE)),0)</f>
        <v>More</v>
      </c>
      <c r="L1398" s="103">
        <f ca="1">IFERROR(IF('3 Electricity'!$G$1212='3 Electricity'!$V$1212,VLOOKUP('Electricity report'!J1398,'3 Electricity'!$F$1223:$K$1227,6,FALSE),VLOOKUP('Electricity report'!J1398,'3 Electricity'!$F$1242:$N$1246,9,FALSE)),0)</f>
        <v>0</v>
      </c>
      <c r="M1398" s="105">
        <f ca="1">IF($D$1390=$N$1391,"",VLOOKUP(J1398,'3 Electricity'!$F$1242:$N$1246,8,FALSE))</f>
        <v>0</v>
      </c>
      <c r="N1398" s="107">
        <f ca="1">$E$1382</f>
        <v>0</v>
      </c>
      <c r="O1398" s="107">
        <f ca="1">$O$1394</f>
        <v>0</v>
      </c>
    </row>
    <row r="1399" spans="3:15" x14ac:dyDescent="0.55000000000000004">
      <c r="C1399" s="124"/>
      <c r="H1399" s="125"/>
      <c r="J1399" s="224"/>
      <c r="K1399" s="224"/>
      <c r="L1399" s="224"/>
      <c r="M1399" s="224"/>
      <c r="N1399" s="224"/>
      <c r="O1399" s="224"/>
    </row>
    <row r="1400" spans="3:15" x14ac:dyDescent="0.55000000000000004">
      <c r="C1400" s="124"/>
      <c r="H1400" s="125"/>
      <c r="J1400" s="224"/>
      <c r="K1400" s="224"/>
      <c r="L1400" s="224"/>
      <c r="M1400" s="224"/>
      <c r="N1400" s="224"/>
      <c r="O1400" s="224"/>
    </row>
    <row r="1401" spans="3:15" x14ac:dyDescent="0.55000000000000004">
      <c r="C1401" s="124"/>
      <c r="H1401" s="125"/>
    </row>
    <row r="1402" spans="3:15" x14ac:dyDescent="0.55000000000000004">
      <c r="C1402" s="124"/>
      <c r="H1402" s="125"/>
    </row>
    <row r="1403" spans="3:15" x14ac:dyDescent="0.55000000000000004">
      <c r="C1403" s="124"/>
      <c r="H1403" s="125"/>
    </row>
    <row r="1404" spans="3:15" x14ac:dyDescent="0.55000000000000004">
      <c r="C1404" s="124"/>
      <c r="H1404" s="125"/>
    </row>
    <row r="1405" spans="3:15" x14ac:dyDescent="0.55000000000000004">
      <c r="C1405" s="124"/>
      <c r="H1405" s="125"/>
    </row>
    <row r="1406" spans="3:15" x14ac:dyDescent="0.55000000000000004">
      <c r="C1406" s="124"/>
      <c r="H1406" s="125"/>
    </row>
    <row r="1407" spans="3:15" x14ac:dyDescent="0.55000000000000004">
      <c r="C1407" s="124"/>
      <c r="H1407" s="125"/>
    </row>
    <row r="1408" spans="3:15" x14ac:dyDescent="0.55000000000000004">
      <c r="C1408" s="124"/>
      <c r="H1408" s="125"/>
    </row>
    <row r="1409" spans="3:8" x14ac:dyDescent="0.55000000000000004">
      <c r="C1409" s="124"/>
      <c r="H1409" s="125"/>
    </row>
    <row r="1410" spans="3:8" ht="14.7" thickBot="1" x14ac:dyDescent="0.6">
      <c r="C1410" s="130"/>
      <c r="D1410" s="131"/>
      <c r="E1410" s="131"/>
      <c r="F1410" s="131"/>
      <c r="G1410" s="131"/>
      <c r="H1410" s="132"/>
    </row>
  </sheetData>
  <sheetProtection sheet="1" objects="1" scenarios="1"/>
  <mergeCells count="2">
    <mergeCell ref="E1:E2"/>
    <mergeCell ref="G1:G2"/>
  </mergeCells>
  <pageMargins left="0.70866141732283472" right="0.70866141732283472" top="0.74803149606299213" bottom="0.74803149606299213" header="0.31496062992125984" footer="0.31496062992125984"/>
  <pageSetup paperSize="9" scale="67" orientation="portrait" r:id="rId1"/>
  <rowBreaks count="18" manualBreakCount="18">
    <brk id="77" min="1" max="8" man="1"/>
    <brk id="148" min="1" max="8" man="1"/>
    <brk id="292" min="1" max="8" man="1"/>
    <brk id="362" min="1" max="8" man="1"/>
    <brk id="432" min="1" max="8" man="1"/>
    <brk id="502" min="1" max="8" man="1"/>
    <brk id="571" min="1" max="8" man="1"/>
    <brk id="641" min="1" max="8" man="1"/>
    <brk id="711" min="1" max="8" man="1"/>
    <brk id="781" min="1" max="8" man="1"/>
    <brk id="851" min="1" max="8" man="1"/>
    <brk id="921" min="1" max="8" man="1"/>
    <brk id="991" min="1" max="8" man="1"/>
    <brk id="1061" min="1" max="8" man="1"/>
    <brk id="1131" min="1" max="8" man="1"/>
    <brk id="1201" min="1" max="8" man="1"/>
    <brk id="1271" min="1" max="8" man="1"/>
    <brk id="1341" min="1" max="8" man="1"/>
  </rowBreaks>
  <drawing r:id="rId2"/>
  <legacyDrawing r:id="rId3"/>
  <controls>
    <mc:AlternateContent xmlns:mc="http://schemas.openxmlformats.org/markup-compatibility/2006">
      <mc:Choice Requires="x14">
        <control shapeId="52689920" r:id="rId4" name="cbERCus">
          <controlPr defaultSize="0" autoLine="0" autoPict="0" r:id="rId5">
            <anchor moveWithCells="1">
              <from>
                <xdr:col>3</xdr:col>
                <xdr:colOff>2682240</xdr:colOff>
                <xdr:row>2</xdr:row>
                <xdr:rowOff>99060</xdr:rowOff>
              </from>
              <to>
                <xdr:col>5</xdr:col>
                <xdr:colOff>563880</xdr:colOff>
                <xdr:row>3</xdr:row>
                <xdr:rowOff>129540</xdr:rowOff>
              </to>
            </anchor>
          </controlPr>
        </control>
      </mc:Choice>
      <mc:Fallback>
        <control shapeId="52689920" r:id="rId4" name="cbERCus"/>
      </mc:Fallback>
    </mc:AlternateContent>
    <mc:AlternateContent xmlns:mc="http://schemas.openxmlformats.org/markup-compatibility/2006">
      <mc:Choice Requires="x14">
        <control shapeId="52689921" r:id="rId6" name="cbER">
          <controlPr defaultSize="0" autoLine="0" r:id="rId7">
            <anchor moveWithCells="1">
              <from>
                <xdr:col>5</xdr:col>
                <xdr:colOff>708660</xdr:colOff>
                <xdr:row>2</xdr:row>
                <xdr:rowOff>91440</xdr:rowOff>
              </from>
              <to>
                <xdr:col>7</xdr:col>
                <xdr:colOff>563880</xdr:colOff>
                <xdr:row>3</xdr:row>
                <xdr:rowOff>129540</xdr:rowOff>
              </to>
            </anchor>
          </controlPr>
        </control>
      </mc:Choice>
      <mc:Fallback>
        <control shapeId="52689921" r:id="rId6" name="cbER"/>
      </mc:Fallback>
    </mc:AlternateContent>
  </controls>
</worksheet>
</file>

<file path=xl/worksheets/sheet3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2FA44E8-53D6-47DF-A54A-679A99AF44E0}">
  <sheetPr codeName="Sheet24">
    <tabColor rgb="FFFFFF8F"/>
  </sheetPr>
  <dimension ref="B1:M925"/>
  <sheetViews>
    <sheetView showGridLines="0" zoomScaleNormal="100" workbookViewId="0">
      <pane ySplit="4" topLeftCell="A5" activePane="bottomLeft" state="frozen"/>
      <selection pane="bottomLeft" activeCell="C7" sqref="C7"/>
    </sheetView>
  </sheetViews>
  <sheetFormatPr defaultColWidth="8.7890625" defaultRowHeight="14.4" x14ac:dyDescent="0.55000000000000004"/>
  <cols>
    <col min="1" max="1" width="3.20703125" style="117" customWidth="1"/>
    <col min="2" max="2" width="4.20703125" customWidth="1"/>
    <col min="3" max="3" width="4.7890625" customWidth="1"/>
    <col min="4" max="4" width="43.7890625" customWidth="1"/>
    <col min="5" max="5" width="15.7890625" customWidth="1"/>
    <col min="6" max="7" width="14.7890625" customWidth="1"/>
    <col min="8" max="8" width="2.41796875" customWidth="1"/>
    <col min="9" max="13" width="8.7890625" style="224"/>
    <col min="14" max="16384" width="8.7890625" style="117"/>
  </cols>
  <sheetData>
    <row r="1" spans="2:8" customFormat="1" x14ac:dyDescent="0.55000000000000004">
      <c r="E1" s="1823" t="s">
        <v>212</v>
      </c>
      <c r="G1" s="1814" t="s">
        <v>206</v>
      </c>
    </row>
    <row r="2" spans="2:8" customFormat="1" x14ac:dyDescent="0.55000000000000004">
      <c r="E2" s="1823"/>
      <c r="G2" s="1814"/>
    </row>
    <row r="3" spans="2:8" customFormat="1" x14ac:dyDescent="0.55000000000000004"/>
    <row r="4" spans="2:8" customFormat="1" x14ac:dyDescent="0.55000000000000004"/>
    <row r="5" spans="2:8" s="117" customFormat="1" x14ac:dyDescent="0.55000000000000004"/>
    <row r="6" spans="2:8" s="117" customFormat="1" ht="14.7" thickBot="1" x14ac:dyDescent="0.6">
      <c r="B6"/>
      <c r="C6"/>
      <c r="D6"/>
      <c r="E6"/>
      <c r="F6"/>
      <c r="G6"/>
      <c r="H6"/>
    </row>
    <row r="7" spans="2:8" s="117" customFormat="1" x14ac:dyDescent="0.55000000000000004">
      <c r="B7"/>
      <c r="C7" s="121"/>
      <c r="D7" s="122"/>
      <c r="E7" s="122"/>
      <c r="F7" s="122"/>
      <c r="G7" s="123"/>
      <c r="H7"/>
    </row>
    <row r="8" spans="2:8" s="117" customFormat="1" ht="15.6" x14ac:dyDescent="0.6">
      <c r="B8"/>
      <c r="C8" s="124"/>
      <c r="D8" s="98" t="str">
        <f>'2 Customer data'!D129</f>
        <v>Residential</v>
      </c>
      <c r="E8"/>
      <c r="F8"/>
      <c r="G8" s="125"/>
      <c r="H8"/>
    </row>
    <row r="9" spans="2:8" s="117" customFormat="1" x14ac:dyDescent="0.55000000000000004">
      <c r="B9"/>
      <c r="C9" s="124"/>
      <c r="D9"/>
      <c r="E9"/>
      <c r="F9"/>
      <c r="G9" s="125"/>
      <c r="H9"/>
    </row>
    <row r="10" spans="2:8" s="117" customFormat="1" x14ac:dyDescent="0.55000000000000004">
      <c r="B10"/>
      <c r="C10" s="124"/>
      <c r="D10"/>
      <c r="E10" s="220" t="s">
        <v>250</v>
      </c>
      <c r="F10"/>
      <c r="G10" s="125"/>
      <c r="H10"/>
    </row>
    <row r="11" spans="2:8" s="117" customFormat="1" x14ac:dyDescent="0.55000000000000004">
      <c r="B11"/>
      <c r="C11" s="124"/>
      <c r="D11" t="s">
        <v>369</v>
      </c>
      <c r="E11" s="26">
        <f ca="1">VLOOKUP(D8,'2 Solid waste'!$D$16:$H$35,4,FALSE)</f>
        <v>90731121.141325265</v>
      </c>
      <c r="F11"/>
      <c r="G11" s="125"/>
      <c r="H11"/>
    </row>
    <row r="12" spans="2:8" s="117" customFormat="1" ht="14.7" thickBot="1" x14ac:dyDescent="0.6">
      <c r="B12"/>
      <c r="C12" s="124"/>
      <c r="D12" s="1" t="s">
        <v>39</v>
      </c>
      <c r="E12" s="37">
        <f ca="1">VLOOKUP(D8,'2 Solid waste'!$D$16:$H$35,5,FALSE)</f>
        <v>90731121.141325265</v>
      </c>
      <c r="F12"/>
      <c r="G12" s="125"/>
      <c r="H12"/>
    </row>
    <row r="13" spans="2:8" s="117" customFormat="1" ht="14.7" thickTop="1" x14ac:dyDescent="0.55000000000000004">
      <c r="B13"/>
      <c r="C13" s="124"/>
      <c r="D13"/>
      <c r="E13"/>
      <c r="F13"/>
      <c r="G13" s="125"/>
      <c r="H13"/>
    </row>
    <row r="14" spans="2:8" s="117" customFormat="1" x14ac:dyDescent="0.55000000000000004">
      <c r="B14"/>
      <c r="C14" s="124"/>
      <c r="D14" t="s">
        <v>189</v>
      </c>
      <c r="E14" s="26">
        <f ca="1">IF(VLOOKUP(D8,'2 Solid waste'!$D$122:$K$141,7,FALSE)="",VLOOKUP(D8,'2 Solid waste'!$D$122:$K$141,6,FALSE),VLOOKUP(D8,'2 Solid waste'!$D$122:$K$141,7,FALSE))+VLOOKUP(D8,'2 Solid waste'!$D$153:$J$172,5,FALSE)</f>
        <v>0</v>
      </c>
      <c r="F14"/>
      <c r="G14" s="125"/>
      <c r="H14"/>
    </row>
    <row r="15" spans="2:8" s="117" customFormat="1" x14ac:dyDescent="0.55000000000000004">
      <c r="B15"/>
      <c r="C15" s="124"/>
      <c r="D15"/>
      <c r="E15"/>
      <c r="F15"/>
      <c r="G15" s="125"/>
      <c r="H15"/>
    </row>
    <row r="16" spans="2:8" s="117" customFormat="1" x14ac:dyDescent="0.55000000000000004">
      <c r="B16"/>
      <c r="C16" s="124"/>
      <c r="D16" t="s">
        <v>371</v>
      </c>
      <c r="E16" s="64">
        <f ca="1">IF(VLOOKUP(D8,'2 Solid waste'!$D$51:$M$70,5,FALSE)="",VLOOKUP(D8,'2 Solid waste'!$D$51:$M$70,4,FALSE),VLOOKUP(D8,'2 Solid waste'!$D$51:$M$70,5,FALSE))</f>
        <v>0</v>
      </c>
      <c r="F16"/>
      <c r="G16" s="125"/>
      <c r="H16"/>
    </row>
    <row r="17" spans="2:8" s="117" customFormat="1" x14ac:dyDescent="0.55000000000000004">
      <c r="B17"/>
      <c r="C17" s="124"/>
      <c r="D17" t="s">
        <v>372</v>
      </c>
      <c r="E17" s="26">
        <f ca="1">IF(VLOOKUP(D8,'2 Solid waste'!$D$51:$M$70,7,FALSE)="",VLOOKUP(D8,'2 Solid waste'!$D$51:$M$70,6,FALSE),VLOOKUP(D8,'2 Solid waste'!$D$51:$M$70,7,FALSE))</f>
        <v>3190478.2849059771</v>
      </c>
      <c r="F17"/>
      <c r="G17" s="125"/>
      <c r="H17"/>
    </row>
    <row r="18" spans="2:8" s="117" customFormat="1" x14ac:dyDescent="0.55000000000000004">
      <c r="B18"/>
      <c r="C18" s="124"/>
      <c r="D18" t="s">
        <v>373</v>
      </c>
      <c r="E18" s="26">
        <f ca="1">IF(VLOOKUP(D8,'2 Solid waste'!$D$51:$M$70,9,FALSE)="",VLOOKUP(D8,'2 Solid waste'!$D$51:$M$70,8,FALSE),VLOOKUP(D8,'2 Solid waste'!$D$51:$M$70,9,FALSE))</f>
        <v>0</v>
      </c>
      <c r="F18"/>
      <c r="G18" s="125"/>
      <c r="H18"/>
    </row>
    <row r="19" spans="2:8" s="117" customFormat="1" x14ac:dyDescent="0.55000000000000004">
      <c r="B19"/>
      <c r="C19" s="124"/>
      <c r="D19" t="s">
        <v>374</v>
      </c>
      <c r="E19" s="26">
        <f ca="1">IF(VLOOKUP(D8,'2 Solid waste'!$D$87:$I$106,5,FALSE)="",VLOOKUP(D8,'2 Solid waste'!$D$87:$I$106,4,FALSE),VLOOKUP(D8,'2 Solid waste'!$D$87:$I$106,5,FALSE))</f>
        <v>18586891.313081648</v>
      </c>
      <c r="F19"/>
      <c r="G19" s="125"/>
      <c r="H19"/>
    </row>
    <row r="20" spans="2:8" s="117" customFormat="1" ht="14.7" thickBot="1" x14ac:dyDescent="0.6">
      <c r="B20"/>
      <c r="C20" s="124"/>
      <c r="D20" s="1" t="s">
        <v>145</v>
      </c>
      <c r="E20" s="37">
        <f ca="1">SUM(E16:E19)</f>
        <v>21777369.597987626</v>
      </c>
      <c r="F20"/>
      <c r="G20" s="125"/>
      <c r="H20"/>
    </row>
    <row r="21" spans="2:8" s="117" customFormat="1" ht="14.7" thickTop="1" x14ac:dyDescent="0.55000000000000004">
      <c r="B21"/>
      <c r="C21" s="124"/>
      <c r="D21" s="1"/>
      <c r="E21" s="15"/>
      <c r="F21"/>
      <c r="G21" s="125"/>
      <c r="H21"/>
    </row>
    <row r="22" spans="2:8" s="117" customFormat="1" x14ac:dyDescent="0.55000000000000004">
      <c r="B22"/>
      <c r="C22" s="124"/>
      <c r="D22" t="s">
        <v>384</v>
      </c>
      <c r="E22" s="26">
        <f ca="1">IF(VLOOKUP(D8,'2 Solid waste'!$D$122:$K$141,5,FALSE)="",VLOOKUP(D8,'2 Solid waste'!$D$122:$K$141,4,FALSE),VLOOKUP(D8,'2 Solid waste'!$D$122:$K$141,5,FALSE))+VLOOKUP(D8,'2 Solid waste'!$D$153:$J$172,7,FALSE)</f>
        <v>0</v>
      </c>
      <c r="F22"/>
      <c r="G22" s="125"/>
      <c r="H22"/>
    </row>
    <row r="23" spans="2:8" s="117" customFormat="1" x14ac:dyDescent="0.55000000000000004">
      <c r="B23"/>
      <c r="C23" s="124"/>
      <c r="D23"/>
      <c r="E23"/>
      <c r="F23"/>
      <c r="G23" s="125"/>
      <c r="H23"/>
    </row>
    <row r="24" spans="2:8" s="117" customFormat="1" ht="14.7" thickBot="1" x14ac:dyDescent="0.6">
      <c r="B24"/>
      <c r="C24" s="124"/>
      <c r="D24" s="1" t="s">
        <v>375</v>
      </c>
      <c r="E24" s="37">
        <f ca="1">VLOOKUP(D8,'2 Solid waste'!$D$153:$K$172,8,FALSE)</f>
        <v>68953751.543337643</v>
      </c>
      <c r="F24"/>
      <c r="G24" s="125"/>
      <c r="H24"/>
    </row>
    <row r="25" spans="2:8" s="117" customFormat="1" ht="14.7" thickTop="1" x14ac:dyDescent="0.55000000000000004">
      <c r="B25"/>
      <c r="C25" s="124"/>
      <c r="D25"/>
      <c r="E25"/>
      <c r="F25"/>
      <c r="G25" s="125"/>
      <c r="H25"/>
    </row>
    <row r="26" spans="2:8" s="117" customFormat="1" x14ac:dyDescent="0.55000000000000004">
      <c r="B26"/>
      <c r="C26" s="124"/>
      <c r="D26"/>
      <c r="E26"/>
      <c r="F26"/>
      <c r="G26" s="125"/>
      <c r="H26"/>
    </row>
    <row r="27" spans="2:8" s="117" customFormat="1" x14ac:dyDescent="0.55000000000000004">
      <c r="B27"/>
      <c r="C27" s="124"/>
      <c r="D27"/>
      <c r="E27"/>
      <c r="F27"/>
      <c r="G27" s="125"/>
      <c r="H27"/>
    </row>
    <row r="28" spans="2:8" s="117" customFormat="1" x14ac:dyDescent="0.55000000000000004">
      <c r="B28"/>
      <c r="C28" s="124"/>
      <c r="D28"/>
      <c r="E28"/>
      <c r="F28"/>
      <c r="G28" s="125"/>
      <c r="H28"/>
    </row>
    <row r="29" spans="2:8" s="117" customFormat="1" x14ac:dyDescent="0.55000000000000004">
      <c r="B29"/>
      <c r="C29" s="124"/>
      <c r="D29"/>
      <c r="E29"/>
      <c r="F29"/>
      <c r="G29" s="125"/>
      <c r="H29"/>
    </row>
    <row r="30" spans="2:8" s="117" customFormat="1" x14ac:dyDescent="0.55000000000000004">
      <c r="B30"/>
      <c r="C30" s="124"/>
      <c r="D30"/>
      <c r="E30"/>
      <c r="F30"/>
      <c r="G30" s="125"/>
      <c r="H30"/>
    </row>
    <row r="31" spans="2:8" s="117" customFormat="1" x14ac:dyDescent="0.55000000000000004">
      <c r="B31"/>
      <c r="C31" s="124"/>
      <c r="D31"/>
      <c r="E31"/>
      <c r="F31"/>
      <c r="G31" s="125"/>
      <c r="H31"/>
    </row>
    <row r="32" spans="2:8" s="117" customFormat="1" x14ac:dyDescent="0.55000000000000004">
      <c r="B32"/>
      <c r="C32" s="124"/>
      <c r="D32"/>
      <c r="E32"/>
      <c r="F32"/>
      <c r="G32" s="125"/>
      <c r="H32"/>
    </row>
    <row r="33" spans="3:11" x14ac:dyDescent="0.55000000000000004">
      <c r="C33" s="124"/>
      <c r="G33" s="125"/>
      <c r="I33" s="232" t="s">
        <v>385</v>
      </c>
    </row>
    <row r="34" spans="3:11" x14ac:dyDescent="0.55000000000000004">
      <c r="C34" s="124"/>
      <c r="G34" s="125"/>
      <c r="I34" s="110"/>
      <c r="J34" s="102" t="s">
        <v>390</v>
      </c>
      <c r="K34" s="102" t="s">
        <v>391</v>
      </c>
    </row>
    <row r="35" spans="3:11" x14ac:dyDescent="0.55000000000000004">
      <c r="C35" s="124"/>
      <c r="G35" s="125"/>
      <c r="I35" s="110" t="str">
        <f>D11</f>
        <v>Fixed cost</v>
      </c>
      <c r="J35" s="100">
        <f ca="1">E11/1000</f>
        <v>90731.12114132526</v>
      </c>
      <c r="K35" s="102"/>
    </row>
    <row r="36" spans="3:11" x14ac:dyDescent="0.55000000000000004">
      <c r="C36" s="124"/>
      <c r="G36" s="125"/>
      <c r="I36" s="110" t="str">
        <f>"Surplus"</f>
        <v>Surplus</v>
      </c>
      <c r="J36" s="100">
        <f ca="1">E14/1000</f>
        <v>0</v>
      </c>
      <c r="K36" s="110"/>
    </row>
    <row r="37" spans="3:11" x14ac:dyDescent="0.55000000000000004">
      <c r="C37" s="124"/>
      <c r="G37" s="125"/>
      <c r="I37" s="110" t="str">
        <f>"Tariff revenue"</f>
        <v>Tariff revenue</v>
      </c>
      <c r="J37" s="100"/>
      <c r="K37" s="101">
        <f ca="1">E24/1000</f>
        <v>68953.751543337639</v>
      </c>
    </row>
    <row r="38" spans="3:11" x14ac:dyDescent="0.55000000000000004">
      <c r="C38" s="124"/>
      <c r="G38" s="125"/>
      <c r="I38" s="110" t="str">
        <f>"External grants &amp; subsidies"</f>
        <v>External grants &amp; subsidies</v>
      </c>
      <c r="J38" s="100"/>
      <c r="K38" s="101">
        <f ca="1">E19/1000</f>
        <v>18586.891313081647</v>
      </c>
    </row>
    <row r="39" spans="3:11" x14ac:dyDescent="0.55000000000000004">
      <c r="C39" s="124"/>
      <c r="G39" s="125"/>
      <c r="I39" s="110" t="str">
        <f>"Other non-tariff revenue"</f>
        <v>Other non-tariff revenue</v>
      </c>
      <c r="J39" s="100"/>
      <c r="K39" s="101">
        <f ca="1">SUM(E16:E18)/1000</f>
        <v>3190.478284905977</v>
      </c>
    </row>
    <row r="40" spans="3:11" x14ac:dyDescent="0.55000000000000004">
      <c r="C40" s="124"/>
      <c r="G40" s="125"/>
      <c r="I40" s="110" t="str">
        <f>"Deficit"</f>
        <v>Deficit</v>
      </c>
      <c r="J40" s="100"/>
      <c r="K40" s="101">
        <f ca="1">E22/1000</f>
        <v>0</v>
      </c>
    </row>
    <row r="41" spans="3:11" x14ac:dyDescent="0.55000000000000004">
      <c r="C41" s="124"/>
      <c r="G41" s="125"/>
    </row>
    <row r="42" spans="3:11" x14ac:dyDescent="0.55000000000000004">
      <c r="C42" s="124"/>
      <c r="G42" s="125"/>
    </row>
    <row r="43" spans="3:11" x14ac:dyDescent="0.55000000000000004">
      <c r="C43" s="124"/>
      <c r="G43" s="125"/>
    </row>
    <row r="44" spans="3:11" x14ac:dyDescent="0.55000000000000004">
      <c r="C44" s="124"/>
      <c r="E44" s="220" t="s">
        <v>250</v>
      </c>
      <c r="G44" s="125"/>
    </row>
    <row r="45" spans="3:11" x14ac:dyDescent="0.55000000000000004">
      <c r="C45" s="124"/>
      <c r="D45" t="str">
        <f>IF('2 Solid waste'!$E$13='2 Solid waste'!$P$13,"Cost per customer","Cost per bin collected")</f>
        <v>Cost per bin collected</v>
      </c>
      <c r="E45" s="64">
        <f ca="1">VLOOKUP(D8,'2 Solid waste'!$D$153:$M$172,10,FALSE)</f>
        <v>442.8327727408402</v>
      </c>
      <c r="G45" s="125"/>
    </row>
    <row r="46" spans="3:11" x14ac:dyDescent="0.55000000000000004">
      <c r="C46" s="124"/>
      <c r="D46" t="s">
        <v>375</v>
      </c>
      <c r="E46" s="64">
        <f ca="1">VLOOKUP(D8,'2 Solid waste'!$D$153:$M$172,9,FALSE)</f>
        <v>336.54363136610073</v>
      </c>
      <c r="G46" s="125"/>
    </row>
    <row r="47" spans="3:11" x14ac:dyDescent="0.55000000000000004">
      <c r="C47" s="124"/>
      <c r="D47" t="s">
        <v>378</v>
      </c>
      <c r="E47" s="64">
        <f ca="1">IFERROR(IF(E14=0,E22,E14)/E12,0)</f>
        <v>0</v>
      </c>
      <c r="G47" s="125"/>
    </row>
    <row r="48" spans="3:11" x14ac:dyDescent="0.55000000000000004">
      <c r="C48" s="124"/>
      <c r="G48" s="125"/>
    </row>
    <row r="49" spans="3:7" x14ac:dyDescent="0.55000000000000004">
      <c r="C49" s="124"/>
      <c r="D49" t="s">
        <v>379</v>
      </c>
      <c r="E49" s="64">
        <f ca="1">'3 Solid waste'!G23</f>
        <v>336.54363136610073</v>
      </c>
      <c r="G49" s="125"/>
    </row>
    <row r="50" spans="3:7" ht="14.7" thickBot="1" x14ac:dyDescent="0.6">
      <c r="C50" s="130"/>
      <c r="D50" s="131"/>
      <c r="E50" s="131"/>
      <c r="F50" s="131"/>
      <c r="G50" s="132"/>
    </row>
    <row r="52" spans="3:7" ht="14.7" thickBot="1" x14ac:dyDescent="0.6"/>
    <row r="53" spans="3:7" x14ac:dyDescent="0.55000000000000004">
      <c r="C53" s="121"/>
      <c r="D53" s="122"/>
      <c r="E53" s="122"/>
      <c r="F53" s="122"/>
      <c r="G53" s="123"/>
    </row>
    <row r="54" spans="3:7" ht="15.6" x14ac:dyDescent="0.6">
      <c r="C54" s="124"/>
      <c r="D54" s="98" t="str">
        <f>'2 Customer data'!D130</f>
        <v>Commercial</v>
      </c>
      <c r="G54" s="125"/>
    </row>
    <row r="55" spans="3:7" x14ac:dyDescent="0.55000000000000004">
      <c r="C55" s="124"/>
      <c r="G55" s="125"/>
    </row>
    <row r="56" spans="3:7" x14ac:dyDescent="0.55000000000000004">
      <c r="C56" s="124"/>
      <c r="E56" s="220" t="s">
        <v>250</v>
      </c>
      <c r="G56" s="125"/>
    </row>
    <row r="57" spans="3:7" x14ac:dyDescent="0.55000000000000004">
      <c r="C57" s="124"/>
      <c r="D57" t="s">
        <v>369</v>
      </c>
      <c r="E57" s="26">
        <f ca="1">VLOOKUP(D54,'2 Solid waste'!$D$16:$H$35,4,FALSE)</f>
        <v>4113030.7932169237</v>
      </c>
      <c r="G57" s="125"/>
    </row>
    <row r="58" spans="3:7" ht="14.7" thickBot="1" x14ac:dyDescent="0.6">
      <c r="C58" s="124"/>
      <c r="D58" s="1" t="s">
        <v>39</v>
      </c>
      <c r="E58" s="37">
        <f ca="1">VLOOKUP(D54,'2 Solid waste'!$D$16:$H$35,5,FALSE)</f>
        <v>4113030.7932169237</v>
      </c>
      <c r="G58" s="125"/>
    </row>
    <row r="59" spans="3:7" ht="14.7" thickTop="1" x14ac:dyDescent="0.55000000000000004">
      <c r="C59" s="124"/>
      <c r="G59" s="125"/>
    </row>
    <row r="60" spans="3:7" x14ac:dyDescent="0.55000000000000004">
      <c r="C60" s="124"/>
      <c r="D60" t="s">
        <v>189</v>
      </c>
      <c r="E60" s="26">
        <f ca="1">IF(VLOOKUP(D54,'2 Solid waste'!$D$122:$K$141,7,FALSE)="",VLOOKUP(D54,'2 Solid waste'!$D$122:$K$141,6,FALSE),VLOOKUP(D54,'2 Solid waste'!$D$122:$K$141,7,FALSE))+VLOOKUP(D54,'2 Solid waste'!$D$153:$J$172,5,FALSE)</f>
        <v>0</v>
      </c>
      <c r="G60" s="125"/>
    </row>
    <row r="61" spans="3:7" x14ac:dyDescent="0.55000000000000004">
      <c r="C61" s="124"/>
      <c r="G61" s="125"/>
    </row>
    <row r="62" spans="3:7" x14ac:dyDescent="0.55000000000000004">
      <c r="C62" s="124"/>
      <c r="D62" t="s">
        <v>371</v>
      </c>
      <c r="E62" s="64">
        <f ca="1">IF(VLOOKUP(D54,'2 Solid waste'!$D$51:$M$70,5,FALSE)="",VLOOKUP(D54,'2 Solid waste'!$D$51:$M$70,4,FALSE),VLOOKUP(D54,'2 Solid waste'!$D$51:$M$70,5,FALSE))</f>
        <v>0</v>
      </c>
      <c r="G62" s="125"/>
    </row>
    <row r="63" spans="3:7" x14ac:dyDescent="0.55000000000000004">
      <c r="C63" s="124"/>
      <c r="D63" t="s">
        <v>372</v>
      </c>
      <c r="E63" s="26">
        <f ca="1">IF(VLOOKUP(D54,'2 Solid waste'!$D$51:$M$70,7,FALSE)="",VLOOKUP(D54,'2 Solid waste'!$D$51:$M$70,6,FALSE),VLOOKUP(D54,'2 Solid waste'!$D$51:$M$70,7,FALSE))</f>
        <v>144631.02919744796</v>
      </c>
      <c r="G63" s="125"/>
    </row>
    <row r="64" spans="3:7" x14ac:dyDescent="0.55000000000000004">
      <c r="C64" s="124"/>
      <c r="D64" t="s">
        <v>373</v>
      </c>
      <c r="E64" s="26">
        <f ca="1">IF(VLOOKUP(D54,'2 Solid waste'!$D$51:$M$70,9,FALSE)="",VLOOKUP(D54,'2 Solid waste'!$D$51:$M$70,8,FALSE),VLOOKUP(D54,'2 Solid waste'!$D$51:$M$70,9,FALSE))</f>
        <v>0</v>
      </c>
      <c r="G64" s="125"/>
    </row>
    <row r="65" spans="3:11" x14ac:dyDescent="0.55000000000000004">
      <c r="C65" s="124"/>
      <c r="D65" t="s">
        <v>374</v>
      </c>
      <c r="E65" s="26">
        <f ca="1">IF(VLOOKUP(D54,'2 Solid waste'!$D$87:$I$106,5,FALSE)="",VLOOKUP(D54,'2 Solid waste'!$D$87:$I$106,4,FALSE),VLOOKUP(D54,'2 Solid waste'!$D$87:$I$106,5,FALSE))</f>
        <v>0</v>
      </c>
      <c r="G65" s="125"/>
    </row>
    <row r="66" spans="3:11" ht="14.7" thickBot="1" x14ac:dyDescent="0.6">
      <c r="C66" s="124"/>
      <c r="D66" s="1" t="s">
        <v>145</v>
      </c>
      <c r="E66" s="37">
        <f ca="1">SUM(E62:E65)</f>
        <v>144631.02919744796</v>
      </c>
      <c r="G66" s="125"/>
    </row>
    <row r="67" spans="3:11" ht="14.7" thickTop="1" x14ac:dyDescent="0.55000000000000004">
      <c r="C67" s="124"/>
      <c r="D67" s="1"/>
      <c r="E67" s="15"/>
      <c r="G67" s="125"/>
    </row>
    <row r="68" spans="3:11" x14ac:dyDescent="0.55000000000000004">
      <c r="C68" s="124"/>
      <c r="D68" t="s">
        <v>384</v>
      </c>
      <c r="E68" s="26">
        <f ca="1">IF(VLOOKUP(D54,'2 Solid waste'!$D$122:$K$141,5,FALSE)="",VLOOKUP(D54,'2 Solid waste'!$D$122:$K$141,4,FALSE),VLOOKUP(D54,'2 Solid waste'!$D$122:$K$141,5,FALSE))+VLOOKUP(D54,'2 Solid waste'!$D$153:$J$172,7,FALSE)</f>
        <v>0</v>
      </c>
      <c r="G68" s="125"/>
    </row>
    <row r="69" spans="3:11" x14ac:dyDescent="0.55000000000000004">
      <c r="C69" s="124"/>
      <c r="G69" s="125"/>
    </row>
    <row r="70" spans="3:11" ht="14.7" thickBot="1" x14ac:dyDescent="0.6">
      <c r="C70" s="124"/>
      <c r="D70" s="1" t="s">
        <v>375</v>
      </c>
      <c r="E70" s="37">
        <f ca="1">VLOOKUP(D54,'2 Solid waste'!$D$153:$K$172,8,FALSE)</f>
        <v>3968399.7640194758</v>
      </c>
      <c r="G70" s="125"/>
    </row>
    <row r="71" spans="3:11" ht="14.7" thickTop="1" x14ac:dyDescent="0.55000000000000004">
      <c r="C71" s="124"/>
      <c r="G71" s="125"/>
    </row>
    <row r="72" spans="3:11" x14ac:dyDescent="0.55000000000000004">
      <c r="C72" s="124"/>
      <c r="G72" s="125"/>
    </row>
    <row r="73" spans="3:11" x14ac:dyDescent="0.55000000000000004">
      <c r="C73" s="124"/>
      <c r="G73" s="125"/>
    </row>
    <row r="74" spans="3:11" x14ac:dyDescent="0.55000000000000004">
      <c r="C74" s="124"/>
      <c r="G74" s="125"/>
    </row>
    <row r="75" spans="3:11" x14ac:dyDescent="0.55000000000000004">
      <c r="C75" s="124"/>
      <c r="G75" s="125"/>
    </row>
    <row r="76" spans="3:11" x14ac:dyDescent="0.55000000000000004">
      <c r="C76" s="124"/>
      <c r="G76" s="125"/>
    </row>
    <row r="77" spans="3:11" x14ac:dyDescent="0.55000000000000004">
      <c r="C77" s="124"/>
      <c r="G77" s="125"/>
    </row>
    <row r="78" spans="3:11" x14ac:dyDescent="0.55000000000000004">
      <c r="C78" s="124"/>
      <c r="G78" s="125"/>
      <c r="I78" s="232" t="s">
        <v>385</v>
      </c>
    </row>
    <row r="79" spans="3:11" x14ac:dyDescent="0.55000000000000004">
      <c r="C79" s="124"/>
      <c r="G79" s="125"/>
      <c r="I79" s="110"/>
      <c r="J79" s="102" t="s">
        <v>390</v>
      </c>
      <c r="K79" s="102" t="s">
        <v>391</v>
      </c>
    </row>
    <row r="80" spans="3:11" x14ac:dyDescent="0.55000000000000004">
      <c r="C80" s="124"/>
      <c r="G80" s="125"/>
      <c r="I80" s="110" t="s">
        <v>369</v>
      </c>
      <c r="J80" s="100">
        <f ca="1">E57/1000</f>
        <v>4113.0307932169235</v>
      </c>
      <c r="K80" s="102"/>
    </row>
    <row r="81" spans="3:11" x14ac:dyDescent="0.55000000000000004">
      <c r="C81" s="124"/>
      <c r="G81" s="125"/>
      <c r="I81" s="110" t="s">
        <v>471</v>
      </c>
      <c r="J81" s="100">
        <f ca="1">E60/1000</f>
        <v>0</v>
      </c>
      <c r="K81" s="110"/>
    </row>
    <row r="82" spans="3:11" x14ac:dyDescent="0.55000000000000004">
      <c r="C82" s="124"/>
      <c r="G82" s="125"/>
      <c r="I82" s="110" t="s">
        <v>563</v>
      </c>
      <c r="J82" s="100"/>
      <c r="K82" s="101">
        <f ca="1">E70/1000</f>
        <v>3968.3997640194757</v>
      </c>
    </row>
    <row r="83" spans="3:11" x14ac:dyDescent="0.55000000000000004">
      <c r="C83" s="124"/>
      <c r="G83" s="125"/>
      <c r="I83" s="110" t="s">
        <v>564</v>
      </c>
      <c r="J83" s="100"/>
      <c r="K83" s="101">
        <f ca="1">E65/1000</f>
        <v>0</v>
      </c>
    </row>
    <row r="84" spans="3:11" x14ac:dyDescent="0.55000000000000004">
      <c r="C84" s="124"/>
      <c r="G84" s="125"/>
      <c r="I84" s="110" t="s">
        <v>565</v>
      </c>
      <c r="J84" s="100"/>
      <c r="K84" s="101">
        <f ca="1">SUM(E62:E64)/1000</f>
        <v>144.63102919744796</v>
      </c>
    </row>
    <row r="85" spans="3:11" x14ac:dyDescent="0.55000000000000004">
      <c r="C85" s="124"/>
      <c r="G85" s="125"/>
      <c r="I85" s="110" t="s">
        <v>566</v>
      </c>
      <c r="J85" s="100"/>
      <c r="K85" s="101">
        <f ca="1">E68/1000</f>
        <v>0</v>
      </c>
    </row>
    <row r="86" spans="3:11" x14ac:dyDescent="0.55000000000000004">
      <c r="C86" s="124"/>
      <c r="G86" s="125"/>
    </row>
    <row r="87" spans="3:11" x14ac:dyDescent="0.55000000000000004">
      <c r="C87" s="124"/>
      <c r="G87" s="125"/>
    </row>
    <row r="88" spans="3:11" x14ac:dyDescent="0.55000000000000004">
      <c r="C88" s="124"/>
      <c r="G88" s="125"/>
    </row>
    <row r="89" spans="3:11" x14ac:dyDescent="0.55000000000000004">
      <c r="C89" s="124"/>
      <c r="G89" s="125"/>
    </row>
    <row r="90" spans="3:11" x14ac:dyDescent="0.55000000000000004">
      <c r="C90" s="124"/>
      <c r="E90" s="220" t="s">
        <v>250</v>
      </c>
      <c r="G90" s="125"/>
    </row>
    <row r="91" spans="3:11" x14ac:dyDescent="0.55000000000000004">
      <c r="C91" s="124"/>
      <c r="D91" t="str">
        <f>IF('2 Solid waste'!$E$13='2 Solid waste'!$P$13,"Cost per customer","Cost per bin collected")</f>
        <v>Cost per bin collected</v>
      </c>
      <c r="E91" s="64">
        <f ca="1">VLOOKUP(D54,'2 Solid waste'!$D$153:$M$172,10,FALSE)</f>
        <v>442.8327727408402</v>
      </c>
      <c r="G91" s="125"/>
    </row>
    <row r="92" spans="3:11" x14ac:dyDescent="0.55000000000000004">
      <c r="C92" s="124"/>
      <c r="D92" t="s">
        <v>375</v>
      </c>
      <c r="E92" s="64">
        <f ca="1">VLOOKUP(D54,'2 Solid waste'!$D$153:$M$172,9,FALSE)</f>
        <v>427.26095650511155</v>
      </c>
      <c r="G92" s="125"/>
    </row>
    <row r="93" spans="3:11" x14ac:dyDescent="0.55000000000000004">
      <c r="C93" s="124"/>
      <c r="D93" t="s">
        <v>378</v>
      </c>
      <c r="E93" s="64">
        <f ca="1">IFERROR(IF(E60=0,E68,E60)/E58,0)</f>
        <v>0</v>
      </c>
      <c r="G93" s="125"/>
    </row>
    <row r="94" spans="3:11" x14ac:dyDescent="0.55000000000000004">
      <c r="C94" s="124"/>
      <c r="G94" s="125"/>
    </row>
    <row r="95" spans="3:11" x14ac:dyDescent="0.55000000000000004">
      <c r="C95" s="124"/>
      <c r="D95" t="s">
        <v>379</v>
      </c>
      <c r="E95" s="64">
        <f ca="1">'3 Solid waste'!G41</f>
        <v>427.26095650511155</v>
      </c>
      <c r="G95" s="125"/>
    </row>
    <row r="96" spans="3:11" ht="14.7" thickBot="1" x14ac:dyDescent="0.6">
      <c r="C96" s="130"/>
      <c r="D96" s="131"/>
      <c r="E96" s="131"/>
      <c r="F96" s="131"/>
      <c r="G96" s="132"/>
    </row>
    <row r="98" spans="3:7" ht="14.7" thickBot="1" x14ac:dyDescent="0.6"/>
    <row r="99" spans="3:7" x14ac:dyDescent="0.55000000000000004">
      <c r="C99" s="121"/>
      <c r="D99" s="122"/>
      <c r="E99" s="122"/>
      <c r="F99" s="122"/>
      <c r="G99" s="123"/>
    </row>
    <row r="100" spans="3:7" ht="15.6" x14ac:dyDescent="0.6">
      <c r="C100" s="124"/>
      <c r="D100" s="98" t="str">
        <f>'2 Customer data'!D131</f>
        <v>Sport Clubs</v>
      </c>
      <c r="G100" s="125"/>
    </row>
    <row r="101" spans="3:7" x14ac:dyDescent="0.55000000000000004">
      <c r="C101" s="124"/>
      <c r="G101" s="125"/>
    </row>
    <row r="102" spans="3:7" x14ac:dyDescent="0.55000000000000004">
      <c r="C102" s="124"/>
      <c r="E102" s="220" t="s">
        <v>250</v>
      </c>
      <c r="G102" s="125"/>
    </row>
    <row r="103" spans="3:7" x14ac:dyDescent="0.55000000000000004">
      <c r="C103" s="124"/>
      <c r="D103" t="s">
        <v>369</v>
      </c>
      <c r="E103" s="26">
        <f ca="1">VLOOKUP(D100,'2 Solid waste'!$D$16:$H$35,4,FALSE)</f>
        <v>47825.939456010739</v>
      </c>
      <c r="G103" s="125"/>
    </row>
    <row r="104" spans="3:7" ht="14.7" thickBot="1" x14ac:dyDescent="0.6">
      <c r="C104" s="124"/>
      <c r="D104" s="1" t="s">
        <v>39</v>
      </c>
      <c r="E104" s="37">
        <f ca="1">VLOOKUP(D100,'2 Solid waste'!$D$16:$H$35,5,FALSE)</f>
        <v>47825.939456010739</v>
      </c>
      <c r="G104" s="125"/>
    </row>
    <row r="105" spans="3:7" ht="14.7" thickTop="1" x14ac:dyDescent="0.55000000000000004">
      <c r="C105" s="124"/>
      <c r="G105" s="125"/>
    </row>
    <row r="106" spans="3:7" x14ac:dyDescent="0.55000000000000004">
      <c r="C106" s="124"/>
      <c r="D106" t="s">
        <v>189</v>
      </c>
      <c r="E106" s="26">
        <f ca="1">IF(VLOOKUP(D100,'2 Solid waste'!$D$122:$K$141,7,FALSE)="",VLOOKUP(D100,'2 Solid waste'!$D$122:$K$141,6,FALSE),VLOOKUP(D100,'2 Solid waste'!$D$122:$K$141,7,FALSE))+VLOOKUP(D100,'2 Solid waste'!$D$153:$J$172,5,FALSE)</f>
        <v>0</v>
      </c>
      <c r="G106" s="125"/>
    </row>
    <row r="107" spans="3:7" x14ac:dyDescent="0.55000000000000004">
      <c r="C107" s="124"/>
      <c r="G107" s="125"/>
    </row>
    <row r="108" spans="3:7" x14ac:dyDescent="0.55000000000000004">
      <c r="C108" s="124"/>
      <c r="D108" t="s">
        <v>371</v>
      </c>
      <c r="E108" s="64">
        <f ca="1">IF(VLOOKUP(D100,'2 Solid waste'!$D$51:$M$70,5,FALSE)="",VLOOKUP(D100,'2 Solid waste'!$D$51:$M$70,4,FALSE),VLOOKUP(D100,'2 Solid waste'!$D$51:$M$70,5,FALSE))</f>
        <v>0</v>
      </c>
      <c r="G108" s="125"/>
    </row>
    <row r="109" spans="3:7" x14ac:dyDescent="0.55000000000000004">
      <c r="C109" s="124"/>
      <c r="D109" t="s">
        <v>372</v>
      </c>
      <c r="E109" s="26">
        <f ca="1">IF(VLOOKUP(D100,'2 Solid waste'!$D$51:$M$70,7,FALSE)="",VLOOKUP(D100,'2 Solid waste'!$D$51:$M$70,6,FALSE),VLOOKUP(D100,'2 Solid waste'!$D$51:$M$70,7,FALSE))</f>
        <v>1681.7561534586971</v>
      </c>
      <c r="G109" s="125"/>
    </row>
    <row r="110" spans="3:7" x14ac:dyDescent="0.55000000000000004">
      <c r="C110" s="124"/>
      <c r="D110" t="s">
        <v>373</v>
      </c>
      <c r="E110" s="26">
        <f ca="1">IF(VLOOKUP(D100,'2 Solid waste'!$D$51:$M$70,9,FALSE)="",VLOOKUP(D100,'2 Solid waste'!$D$51:$M$70,8,FALSE),VLOOKUP(D100,'2 Solid waste'!$D$51:$M$70,9,FALSE))</f>
        <v>0</v>
      </c>
      <c r="G110" s="125"/>
    </row>
    <row r="111" spans="3:7" x14ac:dyDescent="0.55000000000000004">
      <c r="C111" s="124"/>
      <c r="D111" t="s">
        <v>374</v>
      </c>
      <c r="E111" s="26">
        <f ca="1">IF(VLOOKUP(D100,'2 Solid waste'!$D$87:$I$106,5,FALSE)="",VLOOKUP(D100,'2 Solid waste'!$D$87:$I$106,4,FALSE),VLOOKUP(D100,'2 Solid waste'!$D$87:$I$106,5,FALSE))</f>
        <v>0</v>
      </c>
      <c r="G111" s="125"/>
    </row>
    <row r="112" spans="3:7" ht="14.7" thickBot="1" x14ac:dyDescent="0.6">
      <c r="C112" s="124"/>
      <c r="D112" s="1" t="s">
        <v>145</v>
      </c>
      <c r="E112" s="37">
        <f ca="1">SUM(E108:E111)</f>
        <v>1681.7561534586971</v>
      </c>
      <c r="G112" s="125"/>
    </row>
    <row r="113" spans="3:11" ht="14.7" thickTop="1" x14ac:dyDescent="0.55000000000000004">
      <c r="C113" s="124"/>
      <c r="D113" s="1"/>
      <c r="E113" s="15"/>
      <c r="G113" s="125"/>
    </row>
    <row r="114" spans="3:11" x14ac:dyDescent="0.55000000000000004">
      <c r="C114" s="124"/>
      <c r="D114" t="s">
        <v>384</v>
      </c>
      <c r="E114" s="26">
        <f ca="1">IF(VLOOKUP(D100,'2 Solid waste'!$D$122:$K$141,5,FALSE)="",VLOOKUP(D100,'2 Solid waste'!$D$122:$K$141,4,FALSE),VLOOKUP(D100,'2 Solid waste'!$D$122:$K$141,5,FALSE))+VLOOKUP(D100,'2 Solid waste'!$D$153:$J$172,7,FALSE)</f>
        <v>0</v>
      </c>
      <c r="G114" s="125"/>
    </row>
    <row r="115" spans="3:11" x14ac:dyDescent="0.55000000000000004">
      <c r="C115" s="124"/>
      <c r="G115" s="125"/>
    </row>
    <row r="116" spans="3:11" ht="14.7" thickBot="1" x14ac:dyDescent="0.6">
      <c r="C116" s="124"/>
      <c r="D116" s="1" t="s">
        <v>375</v>
      </c>
      <c r="E116" s="37">
        <f ca="1">VLOOKUP(D100,'2 Solid waste'!$D$153:$K$172,8,FALSE)</f>
        <v>46144.183302552039</v>
      </c>
      <c r="G116" s="125"/>
    </row>
    <row r="117" spans="3:11" ht="14.7" thickTop="1" x14ac:dyDescent="0.55000000000000004">
      <c r="C117" s="124"/>
      <c r="G117" s="125"/>
    </row>
    <row r="118" spans="3:11" x14ac:dyDescent="0.55000000000000004">
      <c r="C118" s="124"/>
      <c r="G118" s="125"/>
    </row>
    <row r="119" spans="3:11" x14ac:dyDescent="0.55000000000000004">
      <c r="C119" s="124"/>
      <c r="G119" s="125"/>
    </row>
    <row r="120" spans="3:11" x14ac:dyDescent="0.55000000000000004">
      <c r="C120" s="124"/>
      <c r="G120" s="125"/>
    </row>
    <row r="121" spans="3:11" x14ac:dyDescent="0.55000000000000004">
      <c r="C121" s="124"/>
      <c r="G121" s="125"/>
    </row>
    <row r="122" spans="3:11" x14ac:dyDescent="0.55000000000000004">
      <c r="C122" s="124"/>
      <c r="G122" s="125"/>
    </row>
    <row r="123" spans="3:11" x14ac:dyDescent="0.55000000000000004">
      <c r="C123" s="124"/>
      <c r="G123" s="125"/>
      <c r="I123" s="232" t="s">
        <v>385</v>
      </c>
    </row>
    <row r="124" spans="3:11" x14ac:dyDescent="0.55000000000000004">
      <c r="C124" s="124"/>
      <c r="G124" s="125"/>
      <c r="I124" s="110"/>
      <c r="J124" s="102" t="s">
        <v>390</v>
      </c>
      <c r="K124" s="102" t="s">
        <v>391</v>
      </c>
    </row>
    <row r="125" spans="3:11" x14ac:dyDescent="0.55000000000000004">
      <c r="C125" s="124"/>
      <c r="G125" s="125"/>
      <c r="I125" s="110" t="str">
        <f>D103</f>
        <v>Fixed cost</v>
      </c>
      <c r="J125" s="100">
        <f ca="1">E103/1000</f>
        <v>47.825939456010737</v>
      </c>
      <c r="K125" s="102"/>
    </row>
    <row r="126" spans="3:11" x14ac:dyDescent="0.55000000000000004">
      <c r="C126" s="124"/>
      <c r="G126" s="125"/>
      <c r="I126" s="110" t="str">
        <f>"Surplus"</f>
        <v>Surplus</v>
      </c>
      <c r="J126" s="100">
        <f ca="1">E106/1000</f>
        <v>0</v>
      </c>
      <c r="K126" s="110"/>
    </row>
    <row r="127" spans="3:11" x14ac:dyDescent="0.55000000000000004">
      <c r="C127" s="124"/>
      <c r="G127" s="125"/>
      <c r="I127" s="110" t="str">
        <f>"Tariff revenue"</f>
        <v>Tariff revenue</v>
      </c>
      <c r="J127" s="100"/>
      <c r="K127" s="101">
        <f ca="1">E116/1000</f>
        <v>46.144183302552037</v>
      </c>
    </row>
    <row r="128" spans="3:11" x14ac:dyDescent="0.55000000000000004">
      <c r="C128" s="124"/>
      <c r="G128" s="125"/>
      <c r="I128" s="110" t="str">
        <f>"External grants &amp; subsidies"</f>
        <v>External grants &amp; subsidies</v>
      </c>
      <c r="J128" s="100"/>
      <c r="K128" s="101">
        <f ca="1">E111/1000</f>
        <v>0</v>
      </c>
    </row>
    <row r="129" spans="3:11" x14ac:dyDescent="0.55000000000000004">
      <c r="C129" s="124"/>
      <c r="G129" s="125"/>
      <c r="I129" s="110" t="str">
        <f>"Other non-tariff revenue"</f>
        <v>Other non-tariff revenue</v>
      </c>
      <c r="J129" s="100"/>
      <c r="K129" s="101">
        <f ca="1">SUM(E108:E110)/1000</f>
        <v>1.6817561534586971</v>
      </c>
    </row>
    <row r="130" spans="3:11" x14ac:dyDescent="0.55000000000000004">
      <c r="C130" s="124"/>
      <c r="G130" s="125"/>
      <c r="I130" s="110" t="str">
        <f>"Deficit"</f>
        <v>Deficit</v>
      </c>
      <c r="J130" s="100"/>
      <c r="K130" s="101">
        <f ca="1">E114/1000</f>
        <v>0</v>
      </c>
    </row>
    <row r="131" spans="3:11" x14ac:dyDescent="0.55000000000000004">
      <c r="C131" s="124"/>
      <c r="G131" s="125"/>
    </row>
    <row r="132" spans="3:11" x14ac:dyDescent="0.55000000000000004">
      <c r="C132" s="124"/>
      <c r="G132" s="125"/>
    </row>
    <row r="133" spans="3:11" x14ac:dyDescent="0.55000000000000004">
      <c r="C133" s="124"/>
      <c r="G133" s="125"/>
    </row>
    <row r="134" spans="3:11" x14ac:dyDescent="0.55000000000000004">
      <c r="C134" s="124"/>
      <c r="G134" s="125"/>
    </row>
    <row r="135" spans="3:11" x14ac:dyDescent="0.55000000000000004">
      <c r="C135" s="124"/>
      <c r="G135" s="125"/>
    </row>
    <row r="136" spans="3:11" x14ac:dyDescent="0.55000000000000004">
      <c r="C136" s="124"/>
      <c r="E136" s="220" t="s">
        <v>250</v>
      </c>
      <c r="G136" s="125"/>
    </row>
    <row r="137" spans="3:11" x14ac:dyDescent="0.55000000000000004">
      <c r="C137" s="124"/>
      <c r="D137" t="str">
        <f>IF('2 Solid waste'!$E$13='2 Solid waste'!$P$13,"Cost per customer","Cost per bin collected")</f>
        <v>Cost per bin collected</v>
      </c>
      <c r="E137" s="64">
        <f ca="1">VLOOKUP(D100,'2 Solid waste'!$D$153:$M$172,10,FALSE)</f>
        <v>442.8327727408402</v>
      </c>
      <c r="G137" s="125"/>
    </row>
    <row r="138" spans="3:11" x14ac:dyDescent="0.55000000000000004">
      <c r="C138" s="124"/>
      <c r="D138" t="s">
        <v>375</v>
      </c>
      <c r="E138" s="64">
        <f ca="1">VLOOKUP(D100,'2 Solid waste'!$D$153:$M$172,9,FALSE)</f>
        <v>427.26095650511144</v>
      </c>
      <c r="G138" s="125"/>
    </row>
    <row r="139" spans="3:11" x14ac:dyDescent="0.55000000000000004">
      <c r="C139" s="124"/>
      <c r="D139" t="s">
        <v>378</v>
      </c>
      <c r="E139" s="64">
        <f ca="1">IFERROR(IF(E106=0,E114,E106)/E104,0)</f>
        <v>0</v>
      </c>
      <c r="G139" s="125"/>
    </row>
    <row r="140" spans="3:11" x14ac:dyDescent="0.55000000000000004">
      <c r="C140" s="124"/>
      <c r="G140" s="125"/>
    </row>
    <row r="141" spans="3:11" x14ac:dyDescent="0.55000000000000004">
      <c r="C141" s="124"/>
      <c r="D141" t="s">
        <v>379</v>
      </c>
      <c r="E141" s="64">
        <f ca="1">'3 Solid waste'!G59</f>
        <v>427.26095650511144</v>
      </c>
      <c r="G141" s="125"/>
    </row>
    <row r="142" spans="3:11" ht="14.7" thickBot="1" x14ac:dyDescent="0.6">
      <c r="C142" s="130"/>
      <c r="D142" s="131"/>
      <c r="E142" s="131"/>
      <c r="F142" s="131"/>
      <c r="G142" s="132"/>
    </row>
    <row r="144" spans="3:11" ht="14.7" thickBot="1" x14ac:dyDescent="0.6"/>
    <row r="145" spans="3:7" x14ac:dyDescent="0.55000000000000004">
      <c r="C145" s="121"/>
      <c r="D145" s="122"/>
      <c r="E145" s="122"/>
      <c r="F145" s="122"/>
      <c r="G145" s="123"/>
    </row>
    <row r="146" spans="3:7" ht="15.6" x14ac:dyDescent="0.6">
      <c r="C146" s="124"/>
      <c r="D146" s="98" t="str">
        <f>'2 Customer data'!D132</f>
        <v>Old Age Homes</v>
      </c>
      <c r="G146" s="125"/>
    </row>
    <row r="147" spans="3:7" x14ac:dyDescent="0.55000000000000004">
      <c r="C147" s="124"/>
      <c r="G147" s="125"/>
    </row>
    <row r="148" spans="3:7" x14ac:dyDescent="0.55000000000000004">
      <c r="C148" s="124"/>
      <c r="E148" s="220" t="s">
        <v>250</v>
      </c>
      <c r="G148" s="125"/>
    </row>
    <row r="149" spans="3:7" x14ac:dyDescent="0.55000000000000004">
      <c r="C149" s="124"/>
      <c r="D149" t="s">
        <v>369</v>
      </c>
      <c r="E149" s="26">
        <f ca="1">VLOOKUP(D146,'2 Solid waste'!$D$16:$H$35,4,FALSE)</f>
        <v>42511.946183120665</v>
      </c>
      <c r="G149" s="125"/>
    </row>
    <row r="150" spans="3:7" ht="14.7" thickBot="1" x14ac:dyDescent="0.6">
      <c r="C150" s="124"/>
      <c r="D150" s="1" t="s">
        <v>39</v>
      </c>
      <c r="E150" s="37">
        <f ca="1">VLOOKUP(D146,'2 Solid waste'!$D$16:$H$35,5,FALSE)</f>
        <v>42511.946183120665</v>
      </c>
      <c r="G150" s="125"/>
    </row>
    <row r="151" spans="3:7" ht="14.7" thickTop="1" x14ac:dyDescent="0.55000000000000004">
      <c r="C151" s="124"/>
      <c r="G151" s="125"/>
    </row>
    <row r="152" spans="3:7" x14ac:dyDescent="0.55000000000000004">
      <c r="C152" s="124"/>
      <c r="D152" t="s">
        <v>189</v>
      </c>
      <c r="E152" s="26">
        <f ca="1">IF(VLOOKUP(D146,'2 Solid waste'!$D$122:$K$141,7,FALSE)="",VLOOKUP(D146,'2 Solid waste'!$D$122:$K$141,6,FALSE),VLOOKUP(D146,'2 Solid waste'!$D$122:$K$141,7,FALSE))+VLOOKUP(D146,'2 Solid waste'!$D$153:$J$172,5,FALSE)</f>
        <v>0</v>
      </c>
      <c r="G152" s="125"/>
    </row>
    <row r="153" spans="3:7" x14ac:dyDescent="0.55000000000000004">
      <c r="C153" s="124"/>
      <c r="G153" s="125"/>
    </row>
    <row r="154" spans="3:7" x14ac:dyDescent="0.55000000000000004">
      <c r="C154" s="124"/>
      <c r="D154" t="s">
        <v>371</v>
      </c>
      <c r="E154" s="64">
        <f ca="1">IF(VLOOKUP(D146,'2 Solid waste'!$D$51:$M$70,5,FALSE)="",VLOOKUP(D146,'2 Solid waste'!$D$51:$M$70,4,FALSE),VLOOKUP(D146,'2 Solid waste'!$D$51:$M$70,5,FALSE))</f>
        <v>0</v>
      </c>
      <c r="G154" s="125"/>
    </row>
    <row r="155" spans="3:7" x14ac:dyDescent="0.55000000000000004">
      <c r="C155" s="124"/>
      <c r="D155" t="s">
        <v>372</v>
      </c>
      <c r="E155" s="26">
        <f ca="1">IF(VLOOKUP(D146,'2 Solid waste'!$D$51:$M$70,7,FALSE)="",VLOOKUP(D146,'2 Solid waste'!$D$51:$M$70,6,FALSE),VLOOKUP(D146,'2 Solid waste'!$D$51:$M$70,7,FALSE))</f>
        <v>1494.8943586299531</v>
      </c>
      <c r="G155" s="125"/>
    </row>
    <row r="156" spans="3:7" x14ac:dyDescent="0.55000000000000004">
      <c r="C156" s="124"/>
      <c r="D156" t="s">
        <v>373</v>
      </c>
      <c r="E156" s="26">
        <f ca="1">IF(VLOOKUP(D146,'2 Solid waste'!$D$51:$M$70,9,FALSE)="",VLOOKUP(D146,'2 Solid waste'!$D$51:$M$70,8,FALSE),VLOOKUP(D146,'2 Solid waste'!$D$51:$M$70,9,FALSE))</f>
        <v>0</v>
      </c>
      <c r="G156" s="125"/>
    </row>
    <row r="157" spans="3:7" x14ac:dyDescent="0.55000000000000004">
      <c r="C157" s="124"/>
      <c r="D157" t="s">
        <v>374</v>
      </c>
      <c r="E157" s="26">
        <f ca="1">IF(VLOOKUP(D146,'2 Solid waste'!$D$87:$I$106,5,FALSE)="",VLOOKUP(D146,'2 Solid waste'!$D$87:$I$106,4,FALSE),VLOOKUP(D146,'2 Solid waste'!$D$87:$I$106,5,FALSE))</f>
        <v>8708.863213345041</v>
      </c>
      <c r="G157" s="125"/>
    </row>
    <row r="158" spans="3:7" ht="14.7" thickBot="1" x14ac:dyDescent="0.6">
      <c r="C158" s="124"/>
      <c r="D158" s="1" t="s">
        <v>145</v>
      </c>
      <c r="E158" s="37">
        <f ca="1">SUM(E154:E157)</f>
        <v>10203.757571974995</v>
      </c>
      <c r="G158" s="125"/>
    </row>
    <row r="159" spans="3:7" ht="14.7" thickTop="1" x14ac:dyDescent="0.55000000000000004">
      <c r="C159" s="124"/>
      <c r="D159" s="1"/>
      <c r="E159" s="15"/>
      <c r="G159" s="125"/>
    </row>
    <row r="160" spans="3:7" x14ac:dyDescent="0.55000000000000004">
      <c r="C160" s="124"/>
      <c r="D160" t="s">
        <v>384</v>
      </c>
      <c r="E160" s="26">
        <f ca="1">IF(VLOOKUP(D146,'2 Solid waste'!$D$122:$K$141,5,FALSE)="",VLOOKUP(D146,'2 Solid waste'!$D$122:$K$141,4,FALSE),VLOOKUP(D146,'2 Solid waste'!$D$122:$K$141,5,FALSE))+VLOOKUP(D146,'2 Solid waste'!$D$153:$J$172,7,FALSE)</f>
        <v>0</v>
      </c>
      <c r="G160" s="125"/>
    </row>
    <row r="161" spans="3:11" x14ac:dyDescent="0.55000000000000004">
      <c r="C161" s="124"/>
      <c r="G161" s="125"/>
    </row>
    <row r="162" spans="3:11" ht="14.7" thickBot="1" x14ac:dyDescent="0.6">
      <c r="C162" s="124"/>
      <c r="D162" s="1" t="s">
        <v>375</v>
      </c>
      <c r="E162" s="37">
        <f ca="1">VLOOKUP(D146,'2 Solid waste'!$D$153:$K$172,8,FALSE)</f>
        <v>32308.188611145673</v>
      </c>
      <c r="G162" s="125"/>
    </row>
    <row r="163" spans="3:11" ht="14.7" thickTop="1" x14ac:dyDescent="0.55000000000000004">
      <c r="C163" s="124"/>
      <c r="G163" s="125"/>
    </row>
    <row r="164" spans="3:11" x14ac:dyDescent="0.55000000000000004">
      <c r="C164" s="124"/>
      <c r="G164" s="125"/>
    </row>
    <row r="165" spans="3:11" x14ac:dyDescent="0.55000000000000004">
      <c r="C165" s="124"/>
      <c r="G165" s="125"/>
    </row>
    <row r="166" spans="3:11" x14ac:dyDescent="0.55000000000000004">
      <c r="C166" s="124"/>
      <c r="G166" s="125"/>
    </row>
    <row r="167" spans="3:11" x14ac:dyDescent="0.55000000000000004">
      <c r="C167" s="124"/>
      <c r="G167" s="125"/>
    </row>
    <row r="168" spans="3:11" x14ac:dyDescent="0.55000000000000004">
      <c r="C168" s="124"/>
      <c r="G168" s="125"/>
    </row>
    <row r="169" spans="3:11" x14ac:dyDescent="0.55000000000000004">
      <c r="C169" s="124"/>
      <c r="G169" s="125"/>
      <c r="I169" s="232" t="s">
        <v>385</v>
      </c>
    </row>
    <row r="170" spans="3:11" x14ac:dyDescent="0.55000000000000004">
      <c r="C170" s="124"/>
      <c r="G170" s="125"/>
      <c r="I170" s="110"/>
      <c r="J170" s="102" t="s">
        <v>390</v>
      </c>
      <c r="K170" s="102" t="s">
        <v>391</v>
      </c>
    </row>
    <row r="171" spans="3:11" x14ac:dyDescent="0.55000000000000004">
      <c r="C171" s="124"/>
      <c r="G171" s="125"/>
      <c r="I171" s="110" t="str">
        <f>D149</f>
        <v>Fixed cost</v>
      </c>
      <c r="J171" s="100">
        <f ca="1">E149/1000</f>
        <v>42.511946183120664</v>
      </c>
      <c r="K171" s="102"/>
    </row>
    <row r="172" spans="3:11" x14ac:dyDescent="0.55000000000000004">
      <c r="C172" s="124"/>
      <c r="G172" s="125"/>
      <c r="I172" s="110" t="str">
        <f>"Surplus"</f>
        <v>Surplus</v>
      </c>
      <c r="J172" s="100">
        <f ca="1">E152/1000</f>
        <v>0</v>
      </c>
      <c r="K172" s="110"/>
    </row>
    <row r="173" spans="3:11" x14ac:dyDescent="0.55000000000000004">
      <c r="C173" s="124"/>
      <c r="G173" s="125"/>
      <c r="I173" s="110" t="str">
        <f>"Tariff revenue"</f>
        <v>Tariff revenue</v>
      </c>
      <c r="J173" s="100"/>
      <c r="K173" s="101">
        <f ca="1">E162/1000</f>
        <v>32.308188611145674</v>
      </c>
    </row>
    <row r="174" spans="3:11" x14ac:dyDescent="0.55000000000000004">
      <c r="C174" s="124"/>
      <c r="G174" s="125"/>
      <c r="I174" s="110" t="str">
        <f>"External grants &amp; subsidies"</f>
        <v>External grants &amp; subsidies</v>
      </c>
      <c r="J174" s="100"/>
      <c r="K174" s="101">
        <f ca="1">E157/1000</f>
        <v>8.7088632133450403</v>
      </c>
    </row>
    <row r="175" spans="3:11" x14ac:dyDescent="0.55000000000000004">
      <c r="C175" s="124"/>
      <c r="G175" s="125"/>
      <c r="I175" s="110" t="str">
        <f>"Other non-tariff revenue"</f>
        <v>Other non-tariff revenue</v>
      </c>
      <c r="J175" s="100"/>
      <c r="K175" s="101">
        <f ca="1">SUM(E154:E156)/1000</f>
        <v>1.494894358629953</v>
      </c>
    </row>
    <row r="176" spans="3:11" x14ac:dyDescent="0.55000000000000004">
      <c r="C176" s="124"/>
      <c r="G176" s="125"/>
      <c r="I176" s="110" t="str">
        <f>"Deficit"</f>
        <v>Deficit</v>
      </c>
      <c r="J176" s="100"/>
      <c r="K176" s="101">
        <f ca="1">E160/1000</f>
        <v>0</v>
      </c>
    </row>
    <row r="177" spans="3:7" x14ac:dyDescent="0.55000000000000004">
      <c r="C177" s="124"/>
      <c r="G177" s="125"/>
    </row>
    <row r="178" spans="3:7" x14ac:dyDescent="0.55000000000000004">
      <c r="C178" s="124"/>
      <c r="G178" s="125"/>
    </row>
    <row r="179" spans="3:7" x14ac:dyDescent="0.55000000000000004">
      <c r="C179" s="124"/>
      <c r="G179" s="125"/>
    </row>
    <row r="180" spans="3:7" x14ac:dyDescent="0.55000000000000004">
      <c r="C180" s="124"/>
      <c r="G180" s="125"/>
    </row>
    <row r="181" spans="3:7" x14ac:dyDescent="0.55000000000000004">
      <c r="C181" s="124"/>
      <c r="G181" s="125"/>
    </row>
    <row r="182" spans="3:7" x14ac:dyDescent="0.55000000000000004">
      <c r="C182" s="124"/>
      <c r="E182" s="220" t="s">
        <v>250</v>
      </c>
      <c r="G182" s="125"/>
    </row>
    <row r="183" spans="3:7" x14ac:dyDescent="0.55000000000000004">
      <c r="C183" s="124"/>
      <c r="D183" t="str">
        <f>IF('2 Solid waste'!$E$13='2 Solid waste'!$P$13,"Cost per customer","Cost per bin collected")</f>
        <v>Cost per bin collected</v>
      </c>
      <c r="E183" s="64">
        <f ca="1">VLOOKUP(D146,'2 Solid waste'!$D$153:$M$172,10,FALSE)</f>
        <v>442.83277274084026</v>
      </c>
      <c r="G183" s="125"/>
    </row>
    <row r="184" spans="3:7" x14ac:dyDescent="0.55000000000000004">
      <c r="C184" s="124"/>
      <c r="D184" t="s">
        <v>375</v>
      </c>
      <c r="E184" s="64">
        <f ca="1">VLOOKUP(D146,'2 Solid waste'!$D$153:$M$172,9,FALSE)</f>
        <v>336.54363136610078</v>
      </c>
      <c r="G184" s="125"/>
    </row>
    <row r="185" spans="3:7" x14ac:dyDescent="0.55000000000000004">
      <c r="C185" s="124"/>
      <c r="D185" t="s">
        <v>378</v>
      </c>
      <c r="E185" s="64">
        <f ca="1">IFERROR(IF(E152=0,E160,E152)/E150,0)</f>
        <v>0</v>
      </c>
      <c r="G185" s="125"/>
    </row>
    <row r="186" spans="3:7" x14ac:dyDescent="0.55000000000000004">
      <c r="C186" s="124"/>
      <c r="G186" s="125"/>
    </row>
    <row r="187" spans="3:7" x14ac:dyDescent="0.55000000000000004">
      <c r="C187" s="124"/>
      <c r="D187" t="s">
        <v>379</v>
      </c>
      <c r="E187" s="64">
        <f ca="1">'3 Solid waste'!G77</f>
        <v>336.54363136610078</v>
      </c>
      <c r="G187" s="125"/>
    </row>
    <row r="188" spans="3:7" ht="14.7" thickBot="1" x14ac:dyDescent="0.6">
      <c r="C188" s="130"/>
      <c r="D188" s="131"/>
      <c r="E188" s="131"/>
      <c r="F188" s="131"/>
      <c r="G188" s="132"/>
    </row>
    <row r="190" spans="3:7" ht="14.7" thickBot="1" x14ac:dyDescent="0.6"/>
    <row r="191" spans="3:7" x14ac:dyDescent="0.55000000000000004">
      <c r="C191" s="121"/>
      <c r="D191" s="122"/>
      <c r="E191" s="122"/>
      <c r="F191" s="122"/>
      <c r="G191" s="123"/>
    </row>
    <row r="192" spans="3:7" ht="15.6" x14ac:dyDescent="0.6">
      <c r="C192" s="124"/>
      <c r="D192" s="98" t="str">
        <f>'2 Customer data'!D133</f>
        <v>Safe Houses</v>
      </c>
      <c r="G192" s="125"/>
    </row>
    <row r="193" spans="3:7" x14ac:dyDescent="0.55000000000000004">
      <c r="C193" s="124"/>
      <c r="G193" s="125"/>
    </row>
    <row r="194" spans="3:7" x14ac:dyDescent="0.55000000000000004">
      <c r="C194" s="124"/>
      <c r="E194" s="220" t="s">
        <v>250</v>
      </c>
      <c r="G194" s="125"/>
    </row>
    <row r="195" spans="3:7" x14ac:dyDescent="0.55000000000000004">
      <c r="C195" s="124"/>
      <c r="D195" t="s">
        <v>369</v>
      </c>
      <c r="E195" s="26">
        <f ca="1">VLOOKUP(D192,'2 Solid waste'!$D$16:$H$35,4,FALSE)</f>
        <v>15941.979818670248</v>
      </c>
      <c r="G195" s="125"/>
    </row>
    <row r="196" spans="3:7" ht="14.7" thickBot="1" x14ac:dyDescent="0.6">
      <c r="C196" s="124"/>
      <c r="D196" s="1" t="s">
        <v>39</v>
      </c>
      <c r="E196" s="37">
        <f ca="1">VLOOKUP(D192,'2 Solid waste'!$D$16:$H$35,5,FALSE)</f>
        <v>15941.979818670248</v>
      </c>
      <c r="G196" s="125"/>
    </row>
    <row r="197" spans="3:7" ht="14.7" thickTop="1" x14ac:dyDescent="0.55000000000000004">
      <c r="C197" s="124"/>
      <c r="G197" s="125"/>
    </row>
    <row r="198" spans="3:7" x14ac:dyDescent="0.55000000000000004">
      <c r="C198" s="124"/>
      <c r="D198" t="s">
        <v>189</v>
      </c>
      <c r="E198" s="26">
        <f ca="1">IF(VLOOKUP(D192,'2 Solid waste'!$D$122:$K$141,7,FALSE)="",VLOOKUP(D192,'2 Solid waste'!$D$122:$K$141,6,FALSE),VLOOKUP(D192,'2 Solid waste'!$D$122:$K$141,7,FALSE))+VLOOKUP(D192,'2 Solid waste'!$D$153:$J$172,5,FALSE)</f>
        <v>0</v>
      </c>
      <c r="G198" s="125"/>
    </row>
    <row r="199" spans="3:7" x14ac:dyDescent="0.55000000000000004">
      <c r="C199" s="124"/>
      <c r="G199" s="125"/>
    </row>
    <row r="200" spans="3:7" x14ac:dyDescent="0.55000000000000004">
      <c r="C200" s="124"/>
      <c r="D200" t="s">
        <v>371</v>
      </c>
      <c r="E200" s="64">
        <f ca="1">IF(VLOOKUP(D192,'2 Solid waste'!$D$51:$M$70,5,FALSE)="",VLOOKUP(D192,'2 Solid waste'!$D$51:$M$70,4,FALSE),VLOOKUP(D192,'2 Solid waste'!$D$51:$M$70,5,FALSE))</f>
        <v>0</v>
      </c>
      <c r="G200" s="125"/>
    </row>
    <row r="201" spans="3:7" x14ac:dyDescent="0.55000000000000004">
      <c r="C201" s="124"/>
      <c r="D201" t="s">
        <v>372</v>
      </c>
      <c r="E201" s="26">
        <f ca="1">IF(VLOOKUP(D192,'2 Solid waste'!$D$51:$M$70,7,FALSE)="",VLOOKUP(D192,'2 Solid waste'!$D$51:$M$70,6,FALSE),VLOOKUP(D192,'2 Solid waste'!$D$51:$M$70,7,FALSE))</f>
        <v>560.58538448623244</v>
      </c>
      <c r="G201" s="125"/>
    </row>
    <row r="202" spans="3:7" x14ac:dyDescent="0.55000000000000004">
      <c r="C202" s="124"/>
      <c r="D202" t="s">
        <v>373</v>
      </c>
      <c r="E202" s="26">
        <f ca="1">IF(VLOOKUP(D192,'2 Solid waste'!$D$51:$M$70,9,FALSE)="",VLOOKUP(D192,'2 Solid waste'!$D$51:$M$70,8,FALSE),VLOOKUP(D192,'2 Solid waste'!$D$51:$M$70,9,FALSE))</f>
        <v>0</v>
      </c>
      <c r="G202" s="125"/>
    </row>
    <row r="203" spans="3:7" x14ac:dyDescent="0.55000000000000004">
      <c r="C203" s="124"/>
      <c r="D203" t="s">
        <v>374</v>
      </c>
      <c r="E203" s="26">
        <f ca="1">IF(VLOOKUP(D192,'2 Solid waste'!$D$87:$I$106,5,FALSE)="",VLOOKUP(D192,'2 Solid waste'!$D$87:$I$106,4,FALSE),VLOOKUP(D192,'2 Solid waste'!$D$87:$I$106,5,FALSE))</f>
        <v>3265.8237050043895</v>
      </c>
      <c r="G203" s="125"/>
    </row>
    <row r="204" spans="3:7" ht="14.7" thickBot="1" x14ac:dyDescent="0.6">
      <c r="C204" s="124"/>
      <c r="D204" s="1" t="s">
        <v>145</v>
      </c>
      <c r="E204" s="37">
        <f ca="1">SUM(E200:E203)</f>
        <v>3826.4090894906221</v>
      </c>
      <c r="G204" s="125"/>
    </row>
    <row r="205" spans="3:7" ht="14.7" thickTop="1" x14ac:dyDescent="0.55000000000000004">
      <c r="C205" s="124"/>
      <c r="D205" s="1"/>
      <c r="E205" s="15"/>
      <c r="G205" s="125"/>
    </row>
    <row r="206" spans="3:7" x14ac:dyDescent="0.55000000000000004">
      <c r="C206" s="124"/>
      <c r="D206" t="s">
        <v>384</v>
      </c>
      <c r="E206" s="26">
        <f ca="1">IF(VLOOKUP(D192,'2 Solid waste'!$D$122:$K$141,5,FALSE)="",VLOOKUP(D192,'2 Solid waste'!$D$122:$K$141,4,FALSE),VLOOKUP(D192,'2 Solid waste'!$D$122:$K$141,5,FALSE))+VLOOKUP(D192,'2 Solid waste'!$D$153:$J$172,7,FALSE)</f>
        <v>0</v>
      </c>
      <c r="G206" s="125"/>
    </row>
    <row r="207" spans="3:7" x14ac:dyDescent="0.55000000000000004">
      <c r="C207" s="124"/>
      <c r="G207" s="125"/>
    </row>
    <row r="208" spans="3:7" ht="14.7" thickBot="1" x14ac:dyDescent="0.6">
      <c r="C208" s="124"/>
      <c r="D208" s="1" t="s">
        <v>375</v>
      </c>
      <c r="E208" s="37">
        <f ca="1">VLOOKUP(D192,'2 Solid waste'!$D$153:$K$172,8,FALSE)</f>
        <v>12115.570729179626</v>
      </c>
      <c r="G208" s="125"/>
    </row>
    <row r="209" spans="3:11" ht="14.7" thickTop="1" x14ac:dyDescent="0.55000000000000004">
      <c r="C209" s="124"/>
      <c r="G209" s="125"/>
    </row>
    <row r="210" spans="3:11" x14ac:dyDescent="0.55000000000000004">
      <c r="C210" s="124"/>
      <c r="G210" s="125"/>
    </row>
    <row r="211" spans="3:11" x14ac:dyDescent="0.55000000000000004">
      <c r="C211" s="124"/>
      <c r="G211" s="125"/>
    </row>
    <row r="212" spans="3:11" x14ac:dyDescent="0.55000000000000004">
      <c r="C212" s="124"/>
      <c r="G212" s="125"/>
    </row>
    <row r="213" spans="3:11" x14ac:dyDescent="0.55000000000000004">
      <c r="C213" s="124"/>
      <c r="G213" s="125"/>
    </row>
    <row r="214" spans="3:11" x14ac:dyDescent="0.55000000000000004">
      <c r="C214" s="124"/>
      <c r="G214" s="125"/>
    </row>
    <row r="215" spans="3:11" x14ac:dyDescent="0.55000000000000004">
      <c r="C215" s="124"/>
      <c r="G215" s="125"/>
    </row>
    <row r="216" spans="3:11" x14ac:dyDescent="0.55000000000000004">
      <c r="C216" s="124"/>
      <c r="G216" s="125"/>
      <c r="I216" s="232" t="s">
        <v>385</v>
      </c>
    </row>
    <row r="217" spans="3:11" x14ac:dyDescent="0.55000000000000004">
      <c r="C217" s="124"/>
      <c r="G217" s="125"/>
      <c r="I217" s="110"/>
      <c r="J217" s="102" t="s">
        <v>390</v>
      </c>
      <c r="K217" s="102" t="s">
        <v>391</v>
      </c>
    </row>
    <row r="218" spans="3:11" x14ac:dyDescent="0.55000000000000004">
      <c r="C218" s="124"/>
      <c r="G218" s="125"/>
      <c r="I218" s="110" t="str">
        <f>D195</f>
        <v>Fixed cost</v>
      </c>
      <c r="J218" s="100">
        <f ca="1">E195/1000</f>
        <v>15.941979818670248</v>
      </c>
      <c r="K218" s="102"/>
    </row>
    <row r="219" spans="3:11" x14ac:dyDescent="0.55000000000000004">
      <c r="C219" s="124"/>
      <c r="G219" s="125"/>
      <c r="I219" s="110" t="str">
        <f>"Surplus"</f>
        <v>Surplus</v>
      </c>
      <c r="J219" s="100">
        <f ca="1">E198/1000</f>
        <v>0</v>
      </c>
      <c r="K219" s="110"/>
    </row>
    <row r="220" spans="3:11" x14ac:dyDescent="0.55000000000000004">
      <c r="C220" s="124"/>
      <c r="G220" s="125"/>
      <c r="I220" s="110" t="str">
        <f>"Tariff revenue"</f>
        <v>Tariff revenue</v>
      </c>
      <c r="J220" s="100"/>
      <c r="K220" s="101">
        <f ca="1">E208/1000</f>
        <v>12.115570729179627</v>
      </c>
    </row>
    <row r="221" spans="3:11" x14ac:dyDescent="0.55000000000000004">
      <c r="C221" s="124"/>
      <c r="G221" s="125"/>
      <c r="I221" s="110" t="str">
        <f>"External grants &amp; subsidies"</f>
        <v>External grants &amp; subsidies</v>
      </c>
      <c r="J221" s="100"/>
      <c r="K221" s="101">
        <f ca="1">E203/1000</f>
        <v>3.2658237050043897</v>
      </c>
    </row>
    <row r="222" spans="3:11" x14ac:dyDescent="0.55000000000000004">
      <c r="C222" s="124"/>
      <c r="G222" s="125"/>
      <c r="I222" s="110" t="str">
        <f>"Other non-tariff revenue"</f>
        <v>Other non-tariff revenue</v>
      </c>
      <c r="J222" s="100"/>
      <c r="K222" s="101">
        <f ca="1">SUM(E200:E202)/1000</f>
        <v>0.56058538448623241</v>
      </c>
    </row>
    <row r="223" spans="3:11" x14ac:dyDescent="0.55000000000000004">
      <c r="C223" s="124"/>
      <c r="G223" s="125"/>
      <c r="I223" s="110" t="str">
        <f>"Deficit"</f>
        <v>Deficit</v>
      </c>
      <c r="J223" s="100"/>
      <c r="K223" s="101">
        <f ca="1">E206/1000</f>
        <v>0</v>
      </c>
    </row>
    <row r="224" spans="3:11" x14ac:dyDescent="0.55000000000000004">
      <c r="C224" s="124"/>
      <c r="G224" s="125"/>
    </row>
    <row r="225" spans="3:7" x14ac:dyDescent="0.55000000000000004">
      <c r="C225" s="124"/>
      <c r="G225" s="125"/>
    </row>
    <row r="226" spans="3:7" x14ac:dyDescent="0.55000000000000004">
      <c r="C226" s="124"/>
      <c r="G226" s="125"/>
    </row>
    <row r="227" spans="3:7" x14ac:dyDescent="0.55000000000000004">
      <c r="C227" s="124"/>
      <c r="G227" s="125"/>
    </row>
    <row r="228" spans="3:7" x14ac:dyDescent="0.55000000000000004">
      <c r="C228" s="124"/>
      <c r="E228" s="220" t="s">
        <v>250</v>
      </c>
      <c r="G228" s="125"/>
    </row>
    <row r="229" spans="3:7" x14ac:dyDescent="0.55000000000000004">
      <c r="C229" s="124"/>
      <c r="D229" t="str">
        <f>IF('2 Solid waste'!$E$13='2 Solid waste'!$P$13,"Cost per customer","Cost per bin collected")</f>
        <v>Cost per bin collected</v>
      </c>
      <c r="E229" s="64">
        <f ca="1">VLOOKUP(D192,'2 Solid waste'!$D$153:$M$172,10,FALSE)</f>
        <v>442.83277274084026</v>
      </c>
      <c r="G229" s="125"/>
    </row>
    <row r="230" spans="3:7" x14ac:dyDescent="0.55000000000000004">
      <c r="C230" s="124"/>
      <c r="D230" t="s">
        <v>375</v>
      </c>
      <c r="E230" s="64">
        <f ca="1">VLOOKUP(D192,'2 Solid waste'!$D$153:$M$172,9,FALSE)</f>
        <v>336.54363136610073</v>
      </c>
      <c r="G230" s="125"/>
    </row>
    <row r="231" spans="3:7" x14ac:dyDescent="0.55000000000000004">
      <c r="C231" s="124"/>
      <c r="D231" t="s">
        <v>378</v>
      </c>
      <c r="E231" s="64">
        <f ca="1">IFERROR(IF(E198=0,E206,E198)/E196,0)</f>
        <v>0</v>
      </c>
      <c r="G231" s="125"/>
    </row>
    <row r="232" spans="3:7" x14ac:dyDescent="0.55000000000000004">
      <c r="C232" s="124"/>
      <c r="G232" s="125"/>
    </row>
    <row r="233" spans="3:7" x14ac:dyDescent="0.55000000000000004">
      <c r="C233" s="124"/>
      <c r="D233" t="s">
        <v>379</v>
      </c>
      <c r="E233" s="64">
        <f ca="1">'3 Solid waste'!G95</f>
        <v>336.54363136610073</v>
      </c>
      <c r="G233" s="125"/>
    </row>
    <row r="234" spans="3:7" ht="14.7" thickBot="1" x14ac:dyDescent="0.6">
      <c r="C234" s="130"/>
      <c r="D234" s="131"/>
      <c r="E234" s="131"/>
      <c r="F234" s="131"/>
      <c r="G234" s="132"/>
    </row>
    <row r="236" spans="3:7" ht="14.7" thickBot="1" x14ac:dyDescent="0.6"/>
    <row r="237" spans="3:7" x14ac:dyDescent="0.55000000000000004">
      <c r="C237" s="121"/>
      <c r="D237" s="122"/>
      <c r="E237" s="122"/>
      <c r="F237" s="122"/>
      <c r="G237" s="123"/>
    </row>
    <row r="238" spans="3:7" ht="15.6" x14ac:dyDescent="0.6">
      <c r="C238" s="124"/>
      <c r="D238" s="98">
        <f>'2 Customer data'!D134</f>
        <v>0</v>
      </c>
      <c r="G238" s="125"/>
    </row>
    <row r="239" spans="3:7" x14ac:dyDescent="0.55000000000000004">
      <c r="C239" s="124"/>
      <c r="G239" s="125"/>
    </row>
    <row r="240" spans="3:7" x14ac:dyDescent="0.55000000000000004">
      <c r="C240" s="124"/>
      <c r="E240" s="220" t="s">
        <v>250</v>
      </c>
      <c r="G240" s="125"/>
    </row>
    <row r="241" spans="3:7" x14ac:dyDescent="0.55000000000000004">
      <c r="C241" s="124"/>
      <c r="D241" t="s">
        <v>369</v>
      </c>
      <c r="E241" s="26">
        <f ca="1">VLOOKUP(D238,'2 Solid waste'!$D$16:$H$35,4,FALSE)</f>
        <v>0</v>
      </c>
      <c r="G241" s="125"/>
    </row>
    <row r="242" spans="3:7" ht="14.7" thickBot="1" x14ac:dyDescent="0.6">
      <c r="C242" s="124"/>
      <c r="D242" s="1" t="s">
        <v>39</v>
      </c>
      <c r="E242" s="37">
        <f ca="1">VLOOKUP(D238,'2 Solid waste'!$D$16:$H$35,5,FALSE)</f>
        <v>0</v>
      </c>
      <c r="G242" s="125"/>
    </row>
    <row r="243" spans="3:7" ht="14.7" thickTop="1" x14ac:dyDescent="0.55000000000000004">
      <c r="C243" s="124"/>
      <c r="G243" s="125"/>
    </row>
    <row r="244" spans="3:7" x14ac:dyDescent="0.55000000000000004">
      <c r="C244" s="124"/>
      <c r="D244" t="s">
        <v>189</v>
      </c>
      <c r="E244" s="26">
        <f ca="1">IF(VLOOKUP(D238,'2 Solid waste'!$D$122:$K$141,7,FALSE)="",VLOOKUP(D238,'2 Solid waste'!$D$122:$K$141,6,FALSE),VLOOKUP(D238,'2 Solid waste'!$D$122:$K$141,7,FALSE))+VLOOKUP(D238,'2 Solid waste'!$D$153:$J$172,5,FALSE)</f>
        <v>0</v>
      </c>
      <c r="G244" s="125"/>
    </row>
    <row r="245" spans="3:7" x14ac:dyDescent="0.55000000000000004">
      <c r="C245" s="124"/>
      <c r="G245" s="125"/>
    </row>
    <row r="246" spans="3:7" x14ac:dyDescent="0.55000000000000004">
      <c r="C246" s="124"/>
      <c r="D246" t="s">
        <v>371</v>
      </c>
      <c r="E246" s="64">
        <f ca="1">IF(VLOOKUP(D238,'2 Solid waste'!$D$51:$M$70,5,FALSE)="",VLOOKUP(D238,'2 Solid waste'!$D$51:$M$70,4,FALSE),VLOOKUP(D238,'2 Solid waste'!$D$51:$M$70,5,FALSE))</f>
        <v>0</v>
      </c>
      <c r="G246" s="125"/>
    </row>
    <row r="247" spans="3:7" x14ac:dyDescent="0.55000000000000004">
      <c r="C247" s="124"/>
      <c r="D247" t="s">
        <v>372</v>
      </c>
      <c r="E247" s="26">
        <f ca="1">IF(VLOOKUP(D238,'2 Solid waste'!$D$51:$M$70,7,FALSE)="",VLOOKUP(D238,'2 Solid waste'!$D$51:$M$70,6,FALSE),VLOOKUP(D238,'2 Solid waste'!$D$51:$M$70,7,FALSE))</f>
        <v>0</v>
      </c>
      <c r="G247" s="125"/>
    </row>
    <row r="248" spans="3:7" x14ac:dyDescent="0.55000000000000004">
      <c r="C248" s="124"/>
      <c r="D248" t="s">
        <v>373</v>
      </c>
      <c r="E248" s="26">
        <f ca="1">IF(VLOOKUP(D238,'2 Solid waste'!$D$51:$M$70,9,FALSE)="",VLOOKUP(D238,'2 Solid waste'!$D$51:$M$70,8,FALSE),VLOOKUP(D238,'2 Solid waste'!$D$51:$M$70,9,FALSE))</f>
        <v>0</v>
      </c>
      <c r="G248" s="125"/>
    </row>
    <row r="249" spans="3:7" x14ac:dyDescent="0.55000000000000004">
      <c r="C249" s="124"/>
      <c r="D249" t="s">
        <v>374</v>
      </c>
      <c r="E249" s="26">
        <f ca="1">IF(VLOOKUP(D238,'2 Solid waste'!$D$87:$I$106,5,FALSE)="",VLOOKUP(D238,'2 Solid waste'!$D$87:$I$106,4,FALSE),VLOOKUP(D238,'2 Solid waste'!$D$87:$I$106,5,FALSE))</f>
        <v>0</v>
      </c>
      <c r="G249" s="125"/>
    </row>
    <row r="250" spans="3:7" ht="14.7" thickBot="1" x14ac:dyDescent="0.6">
      <c r="C250" s="124"/>
      <c r="D250" s="1" t="s">
        <v>145</v>
      </c>
      <c r="E250" s="37">
        <f ca="1">SUM(E246:E249)</f>
        <v>0</v>
      </c>
      <c r="G250" s="125"/>
    </row>
    <row r="251" spans="3:7" ht="14.7" thickTop="1" x14ac:dyDescent="0.55000000000000004">
      <c r="C251" s="124"/>
      <c r="D251" s="1"/>
      <c r="E251" s="15"/>
      <c r="G251" s="125"/>
    </row>
    <row r="252" spans="3:7" x14ac:dyDescent="0.55000000000000004">
      <c r="C252" s="124"/>
      <c r="D252" t="s">
        <v>384</v>
      </c>
      <c r="E252" s="26">
        <f ca="1">IF(VLOOKUP(D238,'2 Solid waste'!$D$122:$K$141,5,FALSE)="",VLOOKUP(D238,'2 Solid waste'!$D$122:$K$141,4,FALSE),VLOOKUP(D238,'2 Solid waste'!$D$122:$K$141,5,FALSE))+VLOOKUP(D238,'2 Solid waste'!$D$153:$J$172,7,FALSE)</f>
        <v>0</v>
      </c>
      <c r="G252" s="125"/>
    </row>
    <row r="253" spans="3:7" x14ac:dyDescent="0.55000000000000004">
      <c r="C253" s="124"/>
      <c r="G253" s="125"/>
    </row>
    <row r="254" spans="3:7" ht="14.7" thickBot="1" x14ac:dyDescent="0.6">
      <c r="C254" s="124"/>
      <c r="D254" s="1" t="s">
        <v>375</v>
      </c>
      <c r="E254" s="37">
        <f ca="1">VLOOKUP(D238,'2 Solid waste'!$D$153:$K$172,8,FALSE)</f>
        <v>0</v>
      </c>
      <c r="G254" s="125"/>
    </row>
    <row r="255" spans="3:7" ht="14.7" thickTop="1" x14ac:dyDescent="0.55000000000000004">
      <c r="C255" s="124"/>
      <c r="G255" s="125"/>
    </row>
    <row r="256" spans="3:7" x14ac:dyDescent="0.55000000000000004">
      <c r="C256" s="124"/>
      <c r="G256" s="125"/>
    </row>
    <row r="257" spans="3:11" x14ac:dyDescent="0.55000000000000004">
      <c r="C257" s="124"/>
      <c r="G257" s="125"/>
    </row>
    <row r="258" spans="3:11" x14ac:dyDescent="0.55000000000000004">
      <c r="C258" s="124"/>
      <c r="G258" s="125"/>
    </row>
    <row r="259" spans="3:11" x14ac:dyDescent="0.55000000000000004">
      <c r="C259" s="124"/>
      <c r="G259" s="125"/>
    </row>
    <row r="260" spans="3:11" x14ac:dyDescent="0.55000000000000004">
      <c r="C260" s="124"/>
      <c r="G260" s="125"/>
      <c r="I260" s="232" t="s">
        <v>385</v>
      </c>
    </row>
    <row r="261" spans="3:11" x14ac:dyDescent="0.55000000000000004">
      <c r="C261" s="124"/>
      <c r="G261" s="125"/>
      <c r="I261" s="110"/>
      <c r="J261" s="102" t="s">
        <v>390</v>
      </c>
      <c r="K261" s="102" t="s">
        <v>391</v>
      </c>
    </row>
    <row r="262" spans="3:11" x14ac:dyDescent="0.55000000000000004">
      <c r="C262" s="124"/>
      <c r="G262" s="125"/>
      <c r="I262" s="110" t="str">
        <f>D241</f>
        <v>Fixed cost</v>
      </c>
      <c r="J262" s="100">
        <f ca="1">E241/1000</f>
        <v>0</v>
      </c>
      <c r="K262" s="102"/>
    </row>
    <row r="263" spans="3:11" x14ac:dyDescent="0.55000000000000004">
      <c r="C263" s="124"/>
      <c r="G263" s="125"/>
      <c r="I263" s="110" t="str">
        <f>"Surplus"</f>
        <v>Surplus</v>
      </c>
      <c r="J263" s="100">
        <f ca="1">E244/1000</f>
        <v>0</v>
      </c>
      <c r="K263" s="110"/>
    </row>
    <row r="264" spans="3:11" x14ac:dyDescent="0.55000000000000004">
      <c r="C264" s="124"/>
      <c r="G264" s="125"/>
      <c r="I264" s="110" t="str">
        <f>"Tariff revenue"</f>
        <v>Tariff revenue</v>
      </c>
      <c r="J264" s="100"/>
      <c r="K264" s="101">
        <f ca="1">E254/1000</f>
        <v>0</v>
      </c>
    </row>
    <row r="265" spans="3:11" x14ac:dyDescent="0.55000000000000004">
      <c r="C265" s="124"/>
      <c r="G265" s="125"/>
      <c r="I265" s="110" t="str">
        <f>"External grants &amp; subsidies"</f>
        <v>External grants &amp; subsidies</v>
      </c>
      <c r="J265" s="100"/>
      <c r="K265" s="101">
        <f ca="1">E249/1000</f>
        <v>0</v>
      </c>
    </row>
    <row r="266" spans="3:11" x14ac:dyDescent="0.55000000000000004">
      <c r="C266" s="124"/>
      <c r="G266" s="125"/>
      <c r="I266" s="110" t="str">
        <f>"Other non-tariff revenue"</f>
        <v>Other non-tariff revenue</v>
      </c>
      <c r="J266" s="100"/>
      <c r="K266" s="101">
        <f ca="1">SUM(E246:E248)/1000</f>
        <v>0</v>
      </c>
    </row>
    <row r="267" spans="3:11" x14ac:dyDescent="0.55000000000000004">
      <c r="C267" s="124"/>
      <c r="G267" s="125"/>
      <c r="I267" s="110" t="str">
        <f>"Deficit"</f>
        <v>Deficit</v>
      </c>
      <c r="J267" s="100"/>
      <c r="K267" s="101">
        <f ca="1">E252/1000</f>
        <v>0</v>
      </c>
    </row>
    <row r="268" spans="3:11" x14ac:dyDescent="0.55000000000000004">
      <c r="C268" s="124"/>
      <c r="G268" s="125"/>
      <c r="I268" s="110"/>
      <c r="J268" s="110"/>
      <c r="K268" s="110"/>
    </row>
    <row r="269" spans="3:11" x14ac:dyDescent="0.55000000000000004">
      <c r="C269" s="124"/>
      <c r="G269" s="125"/>
    </row>
    <row r="270" spans="3:11" x14ac:dyDescent="0.55000000000000004">
      <c r="C270" s="124"/>
      <c r="G270" s="125"/>
    </row>
    <row r="271" spans="3:11" x14ac:dyDescent="0.55000000000000004">
      <c r="C271" s="124"/>
      <c r="G271" s="125"/>
    </row>
    <row r="272" spans="3:11" x14ac:dyDescent="0.55000000000000004">
      <c r="C272" s="124"/>
      <c r="G272" s="125"/>
    </row>
    <row r="273" spans="3:7" x14ac:dyDescent="0.55000000000000004">
      <c r="C273" s="124"/>
      <c r="G273" s="125"/>
    </row>
    <row r="274" spans="3:7" x14ac:dyDescent="0.55000000000000004">
      <c r="C274" s="124"/>
      <c r="E274" s="220" t="s">
        <v>250</v>
      </c>
      <c r="G274" s="125"/>
    </row>
    <row r="275" spans="3:7" x14ac:dyDescent="0.55000000000000004">
      <c r="C275" s="124"/>
      <c r="D275" t="str">
        <f>IF('2 Solid waste'!$E$13='2 Solid waste'!$P$13,"Cost per customer","Cost per bin collected")</f>
        <v>Cost per bin collected</v>
      </c>
      <c r="E275" s="64">
        <f ca="1">VLOOKUP(D238,'2 Solid waste'!$D$153:$M$172,10,FALSE)</f>
        <v>0</v>
      </c>
      <c r="G275" s="125"/>
    </row>
    <row r="276" spans="3:7" x14ac:dyDescent="0.55000000000000004">
      <c r="C276" s="124"/>
      <c r="D276" t="s">
        <v>375</v>
      </c>
      <c r="E276" s="64">
        <f ca="1">VLOOKUP(D238,'2 Solid waste'!$D$153:$M$172,9,FALSE)</f>
        <v>0</v>
      </c>
      <c r="G276" s="125"/>
    </row>
    <row r="277" spans="3:7" x14ac:dyDescent="0.55000000000000004">
      <c r="C277" s="124"/>
      <c r="D277" t="s">
        <v>378</v>
      </c>
      <c r="E277" s="64">
        <f ca="1">IFERROR(IF(E244=0,E252,E244)/E242,0)</f>
        <v>0</v>
      </c>
      <c r="G277" s="125"/>
    </row>
    <row r="278" spans="3:7" x14ac:dyDescent="0.55000000000000004">
      <c r="C278" s="124"/>
      <c r="G278" s="125"/>
    </row>
    <row r="279" spans="3:7" x14ac:dyDescent="0.55000000000000004">
      <c r="C279" s="124"/>
      <c r="D279" t="s">
        <v>379</v>
      </c>
      <c r="E279" s="64">
        <f ca="1">'3 Solid waste'!G113</f>
        <v>0</v>
      </c>
      <c r="G279" s="125"/>
    </row>
    <row r="280" spans="3:7" ht="14.7" thickBot="1" x14ac:dyDescent="0.6">
      <c r="C280" s="130"/>
      <c r="D280" s="131"/>
      <c r="E280" s="131"/>
      <c r="F280" s="131"/>
      <c r="G280" s="132"/>
    </row>
    <row r="282" spans="3:7" ht="14.7" thickBot="1" x14ac:dyDescent="0.6"/>
    <row r="283" spans="3:7" x14ac:dyDescent="0.55000000000000004">
      <c r="C283" s="121"/>
      <c r="D283" s="122"/>
      <c r="E283" s="122"/>
      <c r="F283" s="122"/>
      <c r="G283" s="123"/>
    </row>
    <row r="284" spans="3:7" ht="15.6" x14ac:dyDescent="0.6">
      <c r="C284" s="124"/>
      <c r="D284" s="98">
        <f>'2 Customer data'!D135</f>
        <v>0</v>
      </c>
      <c r="G284" s="125"/>
    </row>
    <row r="285" spans="3:7" x14ac:dyDescent="0.55000000000000004">
      <c r="C285" s="124"/>
      <c r="G285" s="125"/>
    </row>
    <row r="286" spans="3:7" x14ac:dyDescent="0.55000000000000004">
      <c r="C286" s="124"/>
      <c r="E286" s="220" t="s">
        <v>250</v>
      </c>
      <c r="G286" s="125"/>
    </row>
    <row r="287" spans="3:7" x14ac:dyDescent="0.55000000000000004">
      <c r="C287" s="124"/>
      <c r="D287" t="s">
        <v>369</v>
      </c>
      <c r="E287" s="26">
        <f ca="1">VLOOKUP(D284,'2 Solid waste'!$D$16:$H$35,4,FALSE)</f>
        <v>0</v>
      </c>
      <c r="G287" s="125"/>
    </row>
    <row r="288" spans="3:7" ht="14.7" thickBot="1" x14ac:dyDescent="0.6">
      <c r="C288" s="124"/>
      <c r="D288" s="1" t="s">
        <v>39</v>
      </c>
      <c r="E288" s="37">
        <f ca="1">VLOOKUP(D284,'2 Solid waste'!$D$16:$H$35,5,FALSE)</f>
        <v>0</v>
      </c>
      <c r="G288" s="125"/>
    </row>
    <row r="289" spans="3:7" ht="14.7" thickTop="1" x14ac:dyDescent="0.55000000000000004">
      <c r="C289" s="124"/>
      <c r="G289" s="125"/>
    </row>
    <row r="290" spans="3:7" x14ac:dyDescent="0.55000000000000004">
      <c r="C290" s="124"/>
      <c r="D290" t="s">
        <v>189</v>
      </c>
      <c r="E290" s="26">
        <f ca="1">IF(VLOOKUP(D284,'2 Solid waste'!$D$122:$K$141,7,FALSE)="",VLOOKUP(D284,'2 Solid waste'!$D$122:$K$141,6,FALSE),VLOOKUP(D284,'2 Solid waste'!$D$122:$K$141,7,FALSE))+VLOOKUP(D284,'2 Solid waste'!$D$153:$J$172,5,FALSE)</f>
        <v>0</v>
      </c>
      <c r="G290" s="125"/>
    </row>
    <row r="291" spans="3:7" x14ac:dyDescent="0.55000000000000004">
      <c r="C291" s="124"/>
      <c r="G291" s="125"/>
    </row>
    <row r="292" spans="3:7" x14ac:dyDescent="0.55000000000000004">
      <c r="C292" s="124"/>
      <c r="D292" t="s">
        <v>371</v>
      </c>
      <c r="E292" s="64">
        <f ca="1">IF(VLOOKUP(D284,'2 Solid waste'!$D$51:$M$70,5,FALSE)="",VLOOKUP(D284,'2 Solid waste'!$D$51:$M$70,4,FALSE),VLOOKUP(D284,'2 Solid waste'!$D$51:$M$70,5,FALSE))</f>
        <v>0</v>
      </c>
      <c r="G292" s="125"/>
    </row>
    <row r="293" spans="3:7" x14ac:dyDescent="0.55000000000000004">
      <c r="C293" s="124"/>
      <c r="D293" t="s">
        <v>372</v>
      </c>
      <c r="E293" s="26">
        <f ca="1">IF(VLOOKUP(D284,'2 Solid waste'!$D$51:$M$70,7,FALSE)="",VLOOKUP(D284,'2 Solid waste'!$D$51:$M$70,6,FALSE),VLOOKUP(D284,'2 Solid waste'!$D$51:$M$70,7,FALSE))</f>
        <v>0</v>
      </c>
      <c r="G293" s="125"/>
    </row>
    <row r="294" spans="3:7" x14ac:dyDescent="0.55000000000000004">
      <c r="C294" s="124"/>
      <c r="D294" t="s">
        <v>373</v>
      </c>
      <c r="E294" s="26">
        <f ca="1">IF(VLOOKUP(D284,'2 Solid waste'!$D$51:$M$70,9,FALSE)="",VLOOKUP(D284,'2 Solid waste'!$D$51:$M$70,8,FALSE),VLOOKUP(D284,'2 Solid waste'!$D$51:$M$70,9,FALSE))</f>
        <v>0</v>
      </c>
      <c r="G294" s="125"/>
    </row>
    <row r="295" spans="3:7" x14ac:dyDescent="0.55000000000000004">
      <c r="C295" s="124"/>
      <c r="D295" t="s">
        <v>374</v>
      </c>
      <c r="E295" s="26">
        <f ca="1">IF(VLOOKUP(D284,'2 Solid waste'!$D$87:$I$106,5,FALSE)="",VLOOKUP(D284,'2 Solid waste'!$D$87:$I$106,4,FALSE),VLOOKUP(D284,'2 Solid waste'!$D$87:$I$106,5,FALSE))</f>
        <v>0</v>
      </c>
      <c r="G295" s="125"/>
    </row>
    <row r="296" spans="3:7" ht="14.7" thickBot="1" x14ac:dyDescent="0.6">
      <c r="C296" s="124"/>
      <c r="D296" s="1" t="s">
        <v>145</v>
      </c>
      <c r="E296" s="37">
        <f ca="1">SUM(E292:E295)</f>
        <v>0</v>
      </c>
      <c r="G296" s="125"/>
    </row>
    <row r="297" spans="3:7" ht="14.7" thickTop="1" x14ac:dyDescent="0.55000000000000004">
      <c r="C297" s="124"/>
      <c r="D297" s="1"/>
      <c r="E297" s="15"/>
      <c r="G297" s="125"/>
    </row>
    <row r="298" spans="3:7" x14ac:dyDescent="0.55000000000000004">
      <c r="C298" s="124"/>
      <c r="D298" t="s">
        <v>384</v>
      </c>
      <c r="E298" s="26">
        <f ca="1">IF(VLOOKUP(D284,'2 Solid waste'!$D$122:$K$141,5,FALSE)="",VLOOKUP(D284,'2 Solid waste'!$D$122:$K$141,4,FALSE),VLOOKUP(D284,'2 Solid waste'!$D$122:$K$141,5,FALSE))+VLOOKUP(D284,'2 Solid waste'!$D$153:$J$172,7,FALSE)</f>
        <v>0</v>
      </c>
      <c r="G298" s="125"/>
    </row>
    <row r="299" spans="3:7" x14ac:dyDescent="0.55000000000000004">
      <c r="C299" s="124"/>
      <c r="G299" s="125"/>
    </row>
    <row r="300" spans="3:7" ht="14.7" thickBot="1" x14ac:dyDescent="0.6">
      <c r="C300" s="124"/>
      <c r="D300" s="1" t="s">
        <v>375</v>
      </c>
      <c r="E300" s="37">
        <f ca="1">VLOOKUP(D284,'2 Solid waste'!$D$153:$K$172,8,FALSE)</f>
        <v>0</v>
      </c>
      <c r="G300" s="125"/>
    </row>
    <row r="301" spans="3:7" ht="14.7" thickTop="1" x14ac:dyDescent="0.55000000000000004">
      <c r="C301" s="124"/>
      <c r="G301" s="125"/>
    </row>
    <row r="302" spans="3:7" x14ac:dyDescent="0.55000000000000004">
      <c r="C302" s="124"/>
      <c r="G302" s="125"/>
    </row>
    <row r="303" spans="3:7" x14ac:dyDescent="0.55000000000000004">
      <c r="C303" s="124"/>
      <c r="G303" s="125"/>
    </row>
    <row r="304" spans="3:7" x14ac:dyDescent="0.55000000000000004">
      <c r="C304" s="124"/>
      <c r="G304" s="125"/>
    </row>
    <row r="305" spans="3:11" x14ac:dyDescent="0.55000000000000004">
      <c r="C305" s="124"/>
      <c r="G305" s="125"/>
    </row>
    <row r="306" spans="3:11" x14ac:dyDescent="0.55000000000000004">
      <c r="C306" s="124"/>
      <c r="G306" s="125"/>
    </row>
    <row r="307" spans="3:11" x14ac:dyDescent="0.55000000000000004">
      <c r="C307" s="124"/>
      <c r="G307" s="125"/>
    </row>
    <row r="308" spans="3:11" x14ac:dyDescent="0.55000000000000004">
      <c r="C308" s="124"/>
      <c r="G308" s="125"/>
      <c r="I308" s="232" t="s">
        <v>385</v>
      </c>
    </row>
    <row r="309" spans="3:11" x14ac:dyDescent="0.55000000000000004">
      <c r="C309" s="124"/>
      <c r="G309" s="125"/>
      <c r="I309" s="110"/>
      <c r="J309" s="102" t="s">
        <v>390</v>
      </c>
      <c r="K309" s="102" t="s">
        <v>391</v>
      </c>
    </row>
    <row r="310" spans="3:11" x14ac:dyDescent="0.55000000000000004">
      <c r="C310" s="124"/>
      <c r="G310" s="125"/>
      <c r="I310" s="110" t="str">
        <f>D287</f>
        <v>Fixed cost</v>
      </c>
      <c r="J310" s="100">
        <f ca="1">E287/1000</f>
        <v>0</v>
      </c>
      <c r="K310" s="102"/>
    </row>
    <row r="311" spans="3:11" x14ac:dyDescent="0.55000000000000004">
      <c r="C311" s="124"/>
      <c r="G311" s="125"/>
      <c r="I311" s="110" t="str">
        <f>"Surplus"</f>
        <v>Surplus</v>
      </c>
      <c r="J311" s="100">
        <f ca="1">E290/1000</f>
        <v>0</v>
      </c>
      <c r="K311" s="110"/>
    </row>
    <row r="312" spans="3:11" x14ac:dyDescent="0.55000000000000004">
      <c r="C312" s="124"/>
      <c r="G312" s="125"/>
      <c r="I312" s="110" t="str">
        <f>"Tariff revenue"</f>
        <v>Tariff revenue</v>
      </c>
      <c r="J312" s="100"/>
      <c r="K312" s="101">
        <f ca="1">E300/1000</f>
        <v>0</v>
      </c>
    </row>
    <row r="313" spans="3:11" x14ac:dyDescent="0.55000000000000004">
      <c r="C313" s="124"/>
      <c r="G313" s="125"/>
      <c r="I313" s="110" t="str">
        <f>"External grants &amp; subsidies"</f>
        <v>External grants &amp; subsidies</v>
      </c>
      <c r="J313" s="100"/>
      <c r="K313" s="101">
        <f ca="1">E295/1000</f>
        <v>0</v>
      </c>
    </row>
    <row r="314" spans="3:11" x14ac:dyDescent="0.55000000000000004">
      <c r="C314" s="124"/>
      <c r="G314" s="125"/>
      <c r="I314" s="110" t="str">
        <f>"Other non-tariff revenue"</f>
        <v>Other non-tariff revenue</v>
      </c>
      <c r="J314" s="100"/>
      <c r="K314" s="101">
        <f ca="1">SUM(E292:E294)/1000</f>
        <v>0</v>
      </c>
    </row>
    <row r="315" spans="3:11" x14ac:dyDescent="0.55000000000000004">
      <c r="C315" s="124"/>
      <c r="G315" s="125"/>
      <c r="I315" s="110" t="str">
        <f>"Deficit"</f>
        <v>Deficit</v>
      </c>
      <c r="J315" s="100"/>
      <c r="K315" s="101">
        <f ca="1">E298/1000</f>
        <v>0</v>
      </c>
    </row>
    <row r="316" spans="3:11" x14ac:dyDescent="0.55000000000000004">
      <c r="C316" s="124"/>
      <c r="G316" s="125"/>
    </row>
    <row r="317" spans="3:11" x14ac:dyDescent="0.55000000000000004">
      <c r="C317" s="124"/>
      <c r="G317" s="125"/>
    </row>
    <row r="318" spans="3:11" x14ac:dyDescent="0.55000000000000004">
      <c r="C318" s="124"/>
      <c r="G318" s="125"/>
    </row>
    <row r="319" spans="3:11" x14ac:dyDescent="0.55000000000000004">
      <c r="C319" s="124"/>
      <c r="G319" s="125"/>
    </row>
    <row r="320" spans="3:11" x14ac:dyDescent="0.55000000000000004">
      <c r="C320" s="124"/>
      <c r="G320" s="125"/>
    </row>
    <row r="321" spans="3:7" x14ac:dyDescent="0.55000000000000004">
      <c r="C321" s="124"/>
      <c r="E321" s="220" t="s">
        <v>250</v>
      </c>
      <c r="G321" s="125"/>
    </row>
    <row r="322" spans="3:7" x14ac:dyDescent="0.55000000000000004">
      <c r="C322" s="124"/>
      <c r="D322" t="str">
        <f>IF('2 Solid waste'!$E$13='2 Solid waste'!$P$13,"Cost per customer","Cost per bin collected")</f>
        <v>Cost per bin collected</v>
      </c>
      <c r="E322" s="64">
        <f ca="1">VLOOKUP(D284,'2 Solid waste'!$D$153:$M$172,10,FALSE)</f>
        <v>0</v>
      </c>
      <c r="G322" s="125"/>
    </row>
    <row r="323" spans="3:7" x14ac:dyDescent="0.55000000000000004">
      <c r="C323" s="124"/>
      <c r="D323" t="s">
        <v>375</v>
      </c>
      <c r="E323" s="64">
        <f ca="1">VLOOKUP(D284,'2 Solid waste'!$D$153:$M$172,9,FALSE)</f>
        <v>0</v>
      </c>
      <c r="G323" s="125"/>
    </row>
    <row r="324" spans="3:7" x14ac:dyDescent="0.55000000000000004">
      <c r="C324" s="124"/>
      <c r="D324" t="s">
        <v>378</v>
      </c>
      <c r="E324" s="64">
        <f ca="1">IFERROR(IF(E290=0,E298,E290)/E288,0)</f>
        <v>0</v>
      </c>
      <c r="G324" s="125"/>
    </row>
    <row r="325" spans="3:7" x14ac:dyDescent="0.55000000000000004">
      <c r="C325" s="124"/>
      <c r="G325" s="125"/>
    </row>
    <row r="326" spans="3:7" x14ac:dyDescent="0.55000000000000004">
      <c r="C326" s="124"/>
      <c r="D326" t="s">
        <v>379</v>
      </c>
      <c r="E326" s="64">
        <f ca="1">'3 Solid waste'!G131</f>
        <v>0</v>
      </c>
      <c r="G326" s="125"/>
    </row>
    <row r="327" spans="3:7" ht="14.7" thickBot="1" x14ac:dyDescent="0.6">
      <c r="C327" s="130"/>
      <c r="D327" s="131"/>
      <c r="E327" s="131"/>
      <c r="F327" s="131"/>
      <c r="G327" s="132"/>
    </row>
    <row r="329" spans="3:7" ht="14.7" thickBot="1" x14ac:dyDescent="0.6"/>
    <row r="330" spans="3:7" x14ac:dyDescent="0.55000000000000004">
      <c r="C330" s="121"/>
      <c r="D330" s="122"/>
      <c r="E330" s="122"/>
      <c r="F330" s="122"/>
      <c r="G330" s="123"/>
    </row>
    <row r="331" spans="3:7" ht="15.6" x14ac:dyDescent="0.6">
      <c r="C331" s="124"/>
      <c r="D331" s="98">
        <f>'2 Customer data'!D136</f>
        <v>0</v>
      </c>
      <c r="G331" s="125"/>
    </row>
    <row r="332" spans="3:7" x14ac:dyDescent="0.55000000000000004">
      <c r="C332" s="124"/>
      <c r="G332" s="125"/>
    </row>
    <row r="333" spans="3:7" x14ac:dyDescent="0.55000000000000004">
      <c r="C333" s="124"/>
      <c r="E333" s="220" t="s">
        <v>250</v>
      </c>
      <c r="G333" s="125"/>
    </row>
    <row r="334" spans="3:7" x14ac:dyDescent="0.55000000000000004">
      <c r="C334" s="124"/>
      <c r="D334" t="s">
        <v>369</v>
      </c>
      <c r="E334" s="26">
        <f ca="1">VLOOKUP(D331,'2 Solid waste'!$D$16:$H$35,4,FALSE)</f>
        <v>0</v>
      </c>
      <c r="G334" s="125"/>
    </row>
    <row r="335" spans="3:7" ht="14.7" thickBot="1" x14ac:dyDescent="0.6">
      <c r="C335" s="124"/>
      <c r="D335" s="1" t="s">
        <v>39</v>
      </c>
      <c r="E335" s="37">
        <f ca="1">VLOOKUP(D331,'2 Solid waste'!$D$16:$H$35,5,FALSE)</f>
        <v>0</v>
      </c>
      <c r="G335" s="125"/>
    </row>
    <row r="336" spans="3:7" ht="14.7" thickTop="1" x14ac:dyDescent="0.55000000000000004">
      <c r="C336" s="124"/>
      <c r="G336" s="125"/>
    </row>
    <row r="337" spans="3:7" x14ac:dyDescent="0.55000000000000004">
      <c r="C337" s="124"/>
      <c r="D337" t="s">
        <v>189</v>
      </c>
      <c r="E337" s="26">
        <f ca="1">IF(VLOOKUP(D331,'2 Solid waste'!$D$122:$K$141,7,FALSE)="",VLOOKUP(D331,'2 Solid waste'!$D$122:$K$141,6,FALSE),VLOOKUP(D331,'2 Solid waste'!$D$122:$K$141,7,FALSE))+VLOOKUP(D331,'2 Solid waste'!$D$153:$J$172,5,FALSE)</f>
        <v>0</v>
      </c>
      <c r="G337" s="125"/>
    </row>
    <row r="338" spans="3:7" x14ac:dyDescent="0.55000000000000004">
      <c r="C338" s="124"/>
      <c r="G338" s="125"/>
    </row>
    <row r="339" spans="3:7" x14ac:dyDescent="0.55000000000000004">
      <c r="C339" s="124"/>
      <c r="D339" t="s">
        <v>371</v>
      </c>
      <c r="E339" s="64">
        <f ca="1">IF(VLOOKUP(D331,'2 Solid waste'!$D$51:$M$70,5,FALSE)="",VLOOKUP(D331,'2 Solid waste'!$D$51:$M$70,4,FALSE),VLOOKUP(D331,'2 Solid waste'!$D$51:$M$70,5,FALSE))</f>
        <v>0</v>
      </c>
      <c r="G339" s="125"/>
    </row>
    <row r="340" spans="3:7" x14ac:dyDescent="0.55000000000000004">
      <c r="C340" s="124"/>
      <c r="D340" t="s">
        <v>372</v>
      </c>
      <c r="E340" s="26">
        <f ca="1">IF(VLOOKUP(D331,'2 Solid waste'!$D$51:$M$70,7,FALSE)="",VLOOKUP(D331,'2 Solid waste'!$D$51:$M$70,6,FALSE),VLOOKUP(D331,'2 Solid waste'!$D$51:$M$70,7,FALSE))</f>
        <v>0</v>
      </c>
      <c r="G340" s="125"/>
    </row>
    <row r="341" spans="3:7" x14ac:dyDescent="0.55000000000000004">
      <c r="C341" s="124"/>
      <c r="D341" t="s">
        <v>373</v>
      </c>
      <c r="E341" s="26">
        <f ca="1">IF(VLOOKUP(D331,'2 Solid waste'!$D$51:$M$70,9,FALSE)="",VLOOKUP(D331,'2 Solid waste'!$D$51:$M$70,8,FALSE),VLOOKUP(D331,'2 Solid waste'!$D$51:$M$70,9,FALSE))</f>
        <v>0</v>
      </c>
      <c r="G341" s="125"/>
    </row>
    <row r="342" spans="3:7" x14ac:dyDescent="0.55000000000000004">
      <c r="C342" s="124"/>
      <c r="D342" t="s">
        <v>374</v>
      </c>
      <c r="E342" s="26">
        <f ca="1">IF(VLOOKUP(D331,'2 Solid waste'!$D$87:$I$106,5,FALSE)="",VLOOKUP(D331,'2 Solid waste'!$D$87:$I$106,4,FALSE),VLOOKUP(D331,'2 Solid waste'!$D$87:$I$106,5,FALSE))</f>
        <v>0</v>
      </c>
      <c r="G342" s="125"/>
    </row>
    <row r="343" spans="3:7" ht="14.7" thickBot="1" x14ac:dyDescent="0.6">
      <c r="C343" s="124"/>
      <c r="D343" s="1" t="s">
        <v>145</v>
      </c>
      <c r="E343" s="37">
        <f ca="1">SUM(E339:E342)</f>
        <v>0</v>
      </c>
      <c r="G343" s="125"/>
    </row>
    <row r="344" spans="3:7" ht="14.7" thickTop="1" x14ac:dyDescent="0.55000000000000004">
      <c r="C344" s="124"/>
      <c r="D344" s="1"/>
      <c r="E344" s="15"/>
      <c r="G344" s="125"/>
    </row>
    <row r="345" spans="3:7" x14ac:dyDescent="0.55000000000000004">
      <c r="C345" s="124"/>
      <c r="D345" t="s">
        <v>384</v>
      </c>
      <c r="E345" s="26">
        <f ca="1">IF(VLOOKUP(D331,'2 Solid waste'!$D$122:$K$141,5,FALSE)="",VLOOKUP(D331,'2 Solid waste'!$D$122:$K$141,4,FALSE),VLOOKUP(D331,'2 Solid waste'!$D$122:$K$141,5,FALSE))+VLOOKUP(D331,'2 Solid waste'!$D$153:$J$172,7,FALSE)</f>
        <v>0</v>
      </c>
      <c r="G345" s="125"/>
    </row>
    <row r="346" spans="3:7" x14ac:dyDescent="0.55000000000000004">
      <c r="C346" s="124"/>
      <c r="G346" s="125"/>
    </row>
    <row r="347" spans="3:7" ht="14.7" thickBot="1" x14ac:dyDescent="0.6">
      <c r="C347" s="124"/>
      <c r="D347" s="1" t="s">
        <v>375</v>
      </c>
      <c r="E347" s="37">
        <f ca="1">VLOOKUP(D331,'2 Solid waste'!$D$153:$K$172,8,FALSE)</f>
        <v>0</v>
      </c>
      <c r="G347" s="125"/>
    </row>
    <row r="348" spans="3:7" ht="14.7" thickTop="1" x14ac:dyDescent="0.55000000000000004">
      <c r="C348" s="124"/>
      <c r="G348" s="125"/>
    </row>
    <row r="349" spans="3:7" x14ac:dyDescent="0.55000000000000004">
      <c r="C349" s="124"/>
      <c r="G349" s="125"/>
    </row>
    <row r="350" spans="3:7" x14ac:dyDescent="0.55000000000000004">
      <c r="C350" s="124"/>
      <c r="G350" s="125"/>
    </row>
    <row r="351" spans="3:7" x14ac:dyDescent="0.55000000000000004">
      <c r="C351" s="124"/>
      <c r="G351" s="125"/>
    </row>
    <row r="352" spans="3:7" x14ac:dyDescent="0.55000000000000004">
      <c r="C352" s="124"/>
      <c r="G352" s="125"/>
    </row>
    <row r="353" spans="3:11" x14ac:dyDescent="0.55000000000000004">
      <c r="C353" s="124"/>
      <c r="G353" s="125"/>
    </row>
    <row r="354" spans="3:11" x14ac:dyDescent="0.55000000000000004">
      <c r="C354" s="124"/>
      <c r="G354" s="125"/>
    </row>
    <row r="355" spans="3:11" x14ac:dyDescent="0.55000000000000004">
      <c r="C355" s="124"/>
      <c r="G355" s="125"/>
    </row>
    <row r="356" spans="3:11" x14ac:dyDescent="0.55000000000000004">
      <c r="C356" s="124"/>
      <c r="G356" s="125"/>
    </row>
    <row r="357" spans="3:11" x14ac:dyDescent="0.55000000000000004">
      <c r="C357" s="124"/>
      <c r="G357" s="125"/>
      <c r="I357" s="232" t="s">
        <v>385</v>
      </c>
    </row>
    <row r="358" spans="3:11" x14ac:dyDescent="0.55000000000000004">
      <c r="C358" s="124"/>
      <c r="G358" s="125"/>
      <c r="I358" s="110"/>
      <c r="J358" s="102" t="s">
        <v>390</v>
      </c>
      <c r="K358" s="102" t="s">
        <v>391</v>
      </c>
    </row>
    <row r="359" spans="3:11" x14ac:dyDescent="0.55000000000000004">
      <c r="C359" s="124"/>
      <c r="G359" s="125"/>
      <c r="I359" s="110" t="str">
        <f>D334</f>
        <v>Fixed cost</v>
      </c>
      <c r="J359" s="100">
        <f ca="1">E334/1000</f>
        <v>0</v>
      </c>
      <c r="K359" s="102"/>
    </row>
    <row r="360" spans="3:11" x14ac:dyDescent="0.55000000000000004">
      <c r="C360" s="124"/>
      <c r="G360" s="125"/>
      <c r="I360" s="110" t="str">
        <f>"Surplus"</f>
        <v>Surplus</v>
      </c>
      <c r="J360" s="100">
        <f ca="1">E337/1000</f>
        <v>0</v>
      </c>
      <c r="K360" s="110"/>
    </row>
    <row r="361" spans="3:11" x14ac:dyDescent="0.55000000000000004">
      <c r="C361" s="124"/>
      <c r="G361" s="125"/>
      <c r="I361" s="110" t="str">
        <f>"Tariff revenue"</f>
        <v>Tariff revenue</v>
      </c>
      <c r="J361" s="100"/>
      <c r="K361" s="101">
        <f ca="1">E347/1000</f>
        <v>0</v>
      </c>
    </row>
    <row r="362" spans="3:11" x14ac:dyDescent="0.55000000000000004">
      <c r="C362" s="124"/>
      <c r="G362" s="125"/>
      <c r="I362" s="110" t="str">
        <f>"External grants &amp; subsidies"</f>
        <v>External grants &amp; subsidies</v>
      </c>
      <c r="J362" s="100"/>
      <c r="K362" s="101">
        <f ca="1">E342/1000</f>
        <v>0</v>
      </c>
    </row>
    <row r="363" spans="3:11" x14ac:dyDescent="0.55000000000000004">
      <c r="C363" s="124"/>
      <c r="G363" s="125"/>
      <c r="I363" s="110" t="str">
        <f>"Other non-tariff revenue"</f>
        <v>Other non-tariff revenue</v>
      </c>
      <c r="J363" s="100"/>
      <c r="K363" s="101">
        <f ca="1">SUM(E339:E341)/1000</f>
        <v>0</v>
      </c>
    </row>
    <row r="364" spans="3:11" x14ac:dyDescent="0.55000000000000004">
      <c r="C364" s="124"/>
      <c r="G364" s="125"/>
      <c r="I364" s="110" t="str">
        <f>"Deficit"</f>
        <v>Deficit</v>
      </c>
      <c r="J364" s="100"/>
      <c r="K364" s="101">
        <f ca="1">E345/1000</f>
        <v>0</v>
      </c>
    </row>
    <row r="365" spans="3:11" x14ac:dyDescent="0.55000000000000004">
      <c r="C365" s="124"/>
      <c r="G365" s="125"/>
    </row>
    <row r="366" spans="3:11" x14ac:dyDescent="0.55000000000000004">
      <c r="C366" s="124"/>
      <c r="G366" s="125"/>
    </row>
    <row r="367" spans="3:11" x14ac:dyDescent="0.55000000000000004">
      <c r="C367" s="124"/>
      <c r="E367" s="220" t="s">
        <v>250</v>
      </c>
      <c r="G367" s="125"/>
    </row>
    <row r="368" spans="3:11" x14ac:dyDescent="0.55000000000000004">
      <c r="C368" s="124"/>
      <c r="D368" t="str">
        <f>IF('2 Solid waste'!$E$13='2 Solid waste'!$P$13,"Cost per customer","Cost per bin collected")</f>
        <v>Cost per bin collected</v>
      </c>
      <c r="E368" s="64">
        <f ca="1">VLOOKUP(D331,'2 Solid waste'!$D$153:$M$172,10,FALSE)</f>
        <v>0</v>
      </c>
      <c r="G368" s="125"/>
    </row>
    <row r="369" spans="3:7" x14ac:dyDescent="0.55000000000000004">
      <c r="C369" s="124"/>
      <c r="D369" t="s">
        <v>375</v>
      </c>
      <c r="E369" s="64">
        <f ca="1">VLOOKUP(D331,'2 Solid waste'!$D$153:$M$172,9,FALSE)</f>
        <v>0</v>
      </c>
      <c r="G369" s="125"/>
    </row>
    <row r="370" spans="3:7" x14ac:dyDescent="0.55000000000000004">
      <c r="C370" s="124"/>
      <c r="D370" t="s">
        <v>378</v>
      </c>
      <c r="E370" s="64">
        <f ca="1">IFERROR(IF(E337=0,E345,E337)/E335,0)</f>
        <v>0</v>
      </c>
      <c r="G370" s="125"/>
    </row>
    <row r="371" spans="3:7" x14ac:dyDescent="0.55000000000000004">
      <c r="C371" s="124"/>
      <c r="G371" s="125"/>
    </row>
    <row r="372" spans="3:7" x14ac:dyDescent="0.55000000000000004">
      <c r="C372" s="124"/>
      <c r="D372" t="s">
        <v>379</v>
      </c>
      <c r="E372" s="64">
        <f ca="1">'3 Solid waste'!G149</f>
        <v>0</v>
      </c>
      <c r="G372" s="125"/>
    </row>
    <row r="373" spans="3:7" ht="14.7" thickBot="1" x14ac:dyDescent="0.6">
      <c r="C373" s="130"/>
      <c r="D373" s="131"/>
      <c r="E373" s="131"/>
      <c r="F373" s="131"/>
      <c r="G373" s="132"/>
    </row>
    <row r="375" spans="3:7" ht="14.7" thickBot="1" x14ac:dyDescent="0.6"/>
    <row r="376" spans="3:7" x14ac:dyDescent="0.55000000000000004">
      <c r="C376" s="121"/>
      <c r="D376" s="122"/>
      <c r="E376" s="122"/>
      <c r="F376" s="122"/>
      <c r="G376" s="123"/>
    </row>
    <row r="377" spans="3:7" ht="15.6" x14ac:dyDescent="0.6">
      <c r="C377" s="124"/>
      <c r="D377" s="98">
        <f>'2 Customer data'!D137</f>
        <v>0</v>
      </c>
      <c r="G377" s="125"/>
    </row>
    <row r="378" spans="3:7" x14ac:dyDescent="0.55000000000000004">
      <c r="C378" s="124"/>
      <c r="G378" s="125"/>
    </row>
    <row r="379" spans="3:7" x14ac:dyDescent="0.55000000000000004">
      <c r="C379" s="124"/>
      <c r="E379" s="220" t="s">
        <v>250</v>
      </c>
      <c r="G379" s="125"/>
    </row>
    <row r="380" spans="3:7" x14ac:dyDescent="0.55000000000000004">
      <c r="C380" s="124"/>
      <c r="D380" t="s">
        <v>369</v>
      </c>
      <c r="E380" s="26">
        <f ca="1">VLOOKUP(D377,'2 Solid waste'!$D$16:$H$35,4,FALSE)</f>
        <v>0</v>
      </c>
      <c r="G380" s="125"/>
    </row>
    <row r="381" spans="3:7" ht="14.7" thickBot="1" x14ac:dyDescent="0.6">
      <c r="C381" s="124"/>
      <c r="D381" s="1" t="s">
        <v>39</v>
      </c>
      <c r="E381" s="37">
        <f ca="1">VLOOKUP(D377,'2 Solid waste'!$D$16:$H$35,5,FALSE)</f>
        <v>0</v>
      </c>
      <c r="G381" s="125"/>
    </row>
    <row r="382" spans="3:7" ht="14.7" thickTop="1" x14ac:dyDescent="0.55000000000000004">
      <c r="C382" s="124"/>
      <c r="G382" s="125"/>
    </row>
    <row r="383" spans="3:7" x14ac:dyDescent="0.55000000000000004">
      <c r="C383" s="124"/>
      <c r="D383" t="s">
        <v>189</v>
      </c>
      <c r="E383" s="26">
        <f ca="1">IF(VLOOKUP(D377,'2 Solid waste'!$D$122:$K$141,7,FALSE)="",VLOOKUP(D377,'2 Solid waste'!$D$122:$K$141,6,FALSE),VLOOKUP(D377,'2 Solid waste'!$D$122:$K$141,7,FALSE))+VLOOKUP(D377,'2 Solid waste'!$D$153:$J$172,5,FALSE)</f>
        <v>0</v>
      </c>
      <c r="G383" s="125"/>
    </row>
    <row r="384" spans="3:7" x14ac:dyDescent="0.55000000000000004">
      <c r="C384" s="124"/>
      <c r="G384" s="125"/>
    </row>
    <row r="385" spans="3:7" x14ac:dyDescent="0.55000000000000004">
      <c r="C385" s="124"/>
      <c r="D385" t="s">
        <v>371</v>
      </c>
      <c r="E385" s="64">
        <f ca="1">IF(VLOOKUP(D377,'2 Solid waste'!$D$51:$M$70,5,FALSE)="",VLOOKUP(D377,'2 Solid waste'!$D$51:$M$70,4,FALSE),VLOOKUP(D377,'2 Solid waste'!$D$51:$M$70,5,FALSE))</f>
        <v>0</v>
      </c>
      <c r="G385" s="125"/>
    </row>
    <row r="386" spans="3:7" x14ac:dyDescent="0.55000000000000004">
      <c r="C386" s="124"/>
      <c r="D386" t="s">
        <v>372</v>
      </c>
      <c r="E386" s="26">
        <f ca="1">IF(VLOOKUP(D377,'2 Solid waste'!$D$51:$M$70,7,FALSE)="",VLOOKUP(D377,'2 Solid waste'!$D$51:$M$70,6,FALSE),VLOOKUP(D377,'2 Solid waste'!$D$51:$M$70,7,FALSE))</f>
        <v>0</v>
      </c>
      <c r="G386" s="125"/>
    </row>
    <row r="387" spans="3:7" x14ac:dyDescent="0.55000000000000004">
      <c r="C387" s="124"/>
      <c r="D387" t="s">
        <v>373</v>
      </c>
      <c r="E387" s="26">
        <f ca="1">IF(VLOOKUP(D377,'2 Solid waste'!$D$51:$M$70,9,FALSE)="",VLOOKUP(D377,'2 Solid waste'!$D$51:$M$70,8,FALSE),VLOOKUP(D377,'2 Solid waste'!$D$51:$M$70,9,FALSE))</f>
        <v>0</v>
      </c>
      <c r="G387" s="125"/>
    </row>
    <row r="388" spans="3:7" x14ac:dyDescent="0.55000000000000004">
      <c r="C388" s="124"/>
      <c r="D388" t="s">
        <v>374</v>
      </c>
      <c r="E388" s="26">
        <f ca="1">IF(VLOOKUP(D377,'2 Solid waste'!$D$87:$I$106,5,FALSE)="",VLOOKUP(D377,'2 Solid waste'!$D$87:$I$106,4,FALSE),VLOOKUP(D377,'2 Solid waste'!$D$87:$I$106,5,FALSE))</f>
        <v>0</v>
      </c>
      <c r="G388" s="125"/>
    </row>
    <row r="389" spans="3:7" ht="14.7" thickBot="1" x14ac:dyDescent="0.6">
      <c r="C389" s="124"/>
      <c r="D389" s="1" t="s">
        <v>145</v>
      </c>
      <c r="E389" s="37">
        <f ca="1">SUM(E385:E388)</f>
        <v>0</v>
      </c>
      <c r="G389" s="125"/>
    </row>
    <row r="390" spans="3:7" ht="14.7" thickTop="1" x14ac:dyDescent="0.55000000000000004">
      <c r="C390" s="124"/>
      <c r="D390" s="1"/>
      <c r="E390" s="15"/>
      <c r="G390" s="125"/>
    </row>
    <row r="391" spans="3:7" x14ac:dyDescent="0.55000000000000004">
      <c r="C391" s="124"/>
      <c r="D391" t="s">
        <v>384</v>
      </c>
      <c r="E391" s="26">
        <f ca="1">IF(VLOOKUP(D377,'2 Solid waste'!$D$122:$K$141,5,FALSE)="",VLOOKUP(D377,'2 Solid waste'!$D$122:$K$141,4,FALSE),VLOOKUP(D377,'2 Solid waste'!$D$122:$K$141,5,FALSE))+VLOOKUP(D377,'2 Solid waste'!$D$153:$J$172,7,FALSE)</f>
        <v>0</v>
      </c>
      <c r="G391" s="125"/>
    </row>
    <row r="392" spans="3:7" x14ac:dyDescent="0.55000000000000004">
      <c r="C392" s="124"/>
      <c r="G392" s="125"/>
    </row>
    <row r="393" spans="3:7" ht="14.7" thickBot="1" x14ac:dyDescent="0.6">
      <c r="C393" s="124"/>
      <c r="D393" s="1" t="s">
        <v>375</v>
      </c>
      <c r="E393" s="37">
        <f ca="1">VLOOKUP(D377,'2 Solid waste'!$D$153:$K$172,8,FALSE)</f>
        <v>0</v>
      </c>
      <c r="G393" s="125"/>
    </row>
    <row r="394" spans="3:7" ht="14.7" thickTop="1" x14ac:dyDescent="0.55000000000000004">
      <c r="C394" s="124"/>
      <c r="G394" s="125"/>
    </row>
    <row r="395" spans="3:7" x14ac:dyDescent="0.55000000000000004">
      <c r="C395" s="124"/>
      <c r="G395" s="125"/>
    </row>
    <row r="396" spans="3:7" x14ac:dyDescent="0.55000000000000004">
      <c r="C396" s="124"/>
      <c r="G396" s="125"/>
    </row>
    <row r="397" spans="3:7" x14ac:dyDescent="0.55000000000000004">
      <c r="C397" s="124"/>
      <c r="G397" s="125"/>
    </row>
    <row r="398" spans="3:7" x14ac:dyDescent="0.55000000000000004">
      <c r="C398" s="124"/>
      <c r="G398" s="125"/>
    </row>
    <row r="399" spans="3:7" x14ac:dyDescent="0.55000000000000004">
      <c r="C399" s="124"/>
      <c r="G399" s="125"/>
    </row>
    <row r="400" spans="3:7" x14ac:dyDescent="0.55000000000000004">
      <c r="C400" s="124"/>
      <c r="G400" s="125"/>
    </row>
    <row r="401" spans="3:11" x14ac:dyDescent="0.55000000000000004">
      <c r="C401" s="124"/>
      <c r="G401" s="125"/>
    </row>
    <row r="402" spans="3:11" x14ac:dyDescent="0.55000000000000004">
      <c r="C402" s="124"/>
      <c r="G402" s="125"/>
      <c r="I402" s="232" t="s">
        <v>385</v>
      </c>
    </row>
    <row r="403" spans="3:11" x14ac:dyDescent="0.55000000000000004">
      <c r="C403" s="124"/>
      <c r="G403" s="125"/>
      <c r="I403" s="110"/>
      <c r="J403" s="102" t="s">
        <v>390</v>
      </c>
      <c r="K403" s="102" t="s">
        <v>391</v>
      </c>
    </row>
    <row r="404" spans="3:11" x14ac:dyDescent="0.55000000000000004">
      <c r="C404" s="124"/>
      <c r="G404" s="125"/>
      <c r="I404" s="110" t="str">
        <f>D380</f>
        <v>Fixed cost</v>
      </c>
      <c r="J404" s="100">
        <f ca="1">E380/1000</f>
        <v>0</v>
      </c>
      <c r="K404" s="102"/>
    </row>
    <row r="405" spans="3:11" x14ac:dyDescent="0.55000000000000004">
      <c r="C405" s="124"/>
      <c r="G405" s="125"/>
      <c r="I405" s="110" t="str">
        <f>"Surplus"</f>
        <v>Surplus</v>
      </c>
      <c r="J405" s="100">
        <f ca="1">E383/1000</f>
        <v>0</v>
      </c>
      <c r="K405" s="110"/>
    </row>
    <row r="406" spans="3:11" x14ac:dyDescent="0.55000000000000004">
      <c r="C406" s="124"/>
      <c r="G406" s="125"/>
      <c r="I406" s="110" t="str">
        <f>"Tariff revenue"</f>
        <v>Tariff revenue</v>
      </c>
      <c r="J406" s="100"/>
      <c r="K406" s="101">
        <f ca="1">E393/1000</f>
        <v>0</v>
      </c>
    </row>
    <row r="407" spans="3:11" x14ac:dyDescent="0.55000000000000004">
      <c r="C407" s="124"/>
      <c r="G407" s="125"/>
      <c r="I407" s="110" t="str">
        <f>"External grants &amp; subsidies"</f>
        <v>External grants &amp; subsidies</v>
      </c>
      <c r="J407" s="100"/>
      <c r="K407" s="101">
        <f ca="1">E388/1000</f>
        <v>0</v>
      </c>
    </row>
    <row r="408" spans="3:11" x14ac:dyDescent="0.55000000000000004">
      <c r="C408" s="124"/>
      <c r="G408" s="125"/>
      <c r="I408" s="110" t="str">
        <f>"Other non-tariff revenue"</f>
        <v>Other non-tariff revenue</v>
      </c>
      <c r="J408" s="100"/>
      <c r="K408" s="101">
        <f ca="1">SUM(E385:E387)/1000</f>
        <v>0</v>
      </c>
    </row>
    <row r="409" spans="3:11" x14ac:dyDescent="0.55000000000000004">
      <c r="C409" s="124"/>
      <c r="G409" s="125"/>
      <c r="I409" s="110" t="str">
        <f>"Deficit"</f>
        <v>Deficit</v>
      </c>
      <c r="J409" s="100"/>
      <c r="K409" s="101">
        <f ca="1">E391/1000</f>
        <v>0</v>
      </c>
    </row>
    <row r="410" spans="3:11" x14ac:dyDescent="0.55000000000000004">
      <c r="C410" s="124"/>
      <c r="G410" s="125"/>
      <c r="I410" s="110"/>
      <c r="J410" s="110"/>
      <c r="K410" s="110"/>
    </row>
    <row r="411" spans="3:11" x14ac:dyDescent="0.55000000000000004">
      <c r="C411" s="124"/>
      <c r="G411" s="125"/>
    </row>
    <row r="412" spans="3:11" x14ac:dyDescent="0.55000000000000004">
      <c r="C412" s="124"/>
      <c r="G412" s="125"/>
    </row>
    <row r="413" spans="3:11" x14ac:dyDescent="0.55000000000000004">
      <c r="C413" s="124"/>
      <c r="E413" s="220" t="s">
        <v>250</v>
      </c>
      <c r="G413" s="125"/>
    </row>
    <row r="414" spans="3:11" x14ac:dyDescent="0.55000000000000004">
      <c r="C414" s="124"/>
      <c r="D414" t="str">
        <f>IF('2 Solid waste'!$E$13='2 Solid waste'!$P$13,"Cost per customer","Cost per bin collected")</f>
        <v>Cost per bin collected</v>
      </c>
      <c r="E414" s="64">
        <f ca="1">VLOOKUP(D377,'2 Solid waste'!$D$153:$M$172,10,FALSE)</f>
        <v>0</v>
      </c>
      <c r="G414" s="125"/>
    </row>
    <row r="415" spans="3:11" x14ac:dyDescent="0.55000000000000004">
      <c r="C415" s="124"/>
      <c r="D415" t="s">
        <v>375</v>
      </c>
      <c r="E415" s="64">
        <f ca="1">VLOOKUP(D377,'2 Solid waste'!$D$153:$M$172,9,FALSE)</f>
        <v>0</v>
      </c>
      <c r="G415" s="125"/>
    </row>
    <row r="416" spans="3:11" x14ac:dyDescent="0.55000000000000004">
      <c r="C416" s="124"/>
      <c r="D416" t="s">
        <v>378</v>
      </c>
      <c r="E416" s="64">
        <f ca="1">IFERROR(IF(E383=0,E391,E383)/E381,0)</f>
        <v>0</v>
      </c>
      <c r="G416" s="125"/>
    </row>
    <row r="417" spans="3:7" x14ac:dyDescent="0.55000000000000004">
      <c r="C417" s="124"/>
      <c r="G417" s="125"/>
    </row>
    <row r="418" spans="3:7" x14ac:dyDescent="0.55000000000000004">
      <c r="C418" s="124"/>
      <c r="D418" t="s">
        <v>379</v>
      </c>
      <c r="E418" s="64">
        <f ca="1">'3 Solid waste'!G167</f>
        <v>0</v>
      </c>
      <c r="G418" s="125"/>
    </row>
    <row r="419" spans="3:7" ht="14.7" thickBot="1" x14ac:dyDescent="0.6">
      <c r="C419" s="130"/>
      <c r="D419" s="131"/>
      <c r="E419" s="131"/>
      <c r="F419" s="131"/>
      <c r="G419" s="132"/>
    </row>
    <row r="421" spans="3:7" ht="14.7" thickBot="1" x14ac:dyDescent="0.6"/>
    <row r="422" spans="3:7" x14ac:dyDescent="0.55000000000000004">
      <c r="C422" s="121"/>
      <c r="D422" s="122"/>
      <c r="E422" s="122"/>
      <c r="F422" s="122"/>
      <c r="G422" s="123"/>
    </row>
    <row r="423" spans="3:7" ht="15.6" x14ac:dyDescent="0.6">
      <c r="C423" s="124"/>
      <c r="D423" s="98">
        <f>'2 Customer data'!D138</f>
        <v>0</v>
      </c>
      <c r="G423" s="125"/>
    </row>
    <row r="424" spans="3:7" x14ac:dyDescent="0.55000000000000004">
      <c r="C424" s="124"/>
      <c r="G424" s="125"/>
    </row>
    <row r="425" spans="3:7" x14ac:dyDescent="0.55000000000000004">
      <c r="C425" s="124"/>
      <c r="E425" s="220" t="s">
        <v>250</v>
      </c>
      <c r="G425" s="125"/>
    </row>
    <row r="426" spans="3:7" x14ac:dyDescent="0.55000000000000004">
      <c r="C426" s="124"/>
      <c r="D426" t="s">
        <v>369</v>
      </c>
      <c r="E426" s="26">
        <f ca="1">VLOOKUP(D423,'2 Solid waste'!$D$16:$H$35,4,FALSE)</f>
        <v>0</v>
      </c>
      <c r="G426" s="125"/>
    </row>
    <row r="427" spans="3:7" ht="14.7" thickBot="1" x14ac:dyDescent="0.6">
      <c r="C427" s="124"/>
      <c r="D427" s="1" t="s">
        <v>39</v>
      </c>
      <c r="E427" s="37">
        <f ca="1">VLOOKUP(D423,'2 Solid waste'!$D$16:$H$35,5,FALSE)</f>
        <v>0</v>
      </c>
      <c r="G427" s="125"/>
    </row>
    <row r="428" spans="3:7" ht="14.7" thickTop="1" x14ac:dyDescent="0.55000000000000004">
      <c r="C428" s="124"/>
      <c r="G428" s="125"/>
    </row>
    <row r="429" spans="3:7" x14ac:dyDescent="0.55000000000000004">
      <c r="C429" s="124"/>
      <c r="D429" t="s">
        <v>189</v>
      </c>
      <c r="E429" s="26">
        <f ca="1">IF(VLOOKUP(D423,'2 Solid waste'!$D$122:$K$141,7,FALSE)="",VLOOKUP(D423,'2 Solid waste'!$D$122:$K$141,6,FALSE),VLOOKUP(D423,'2 Solid waste'!$D$122:$K$141,7,FALSE))+VLOOKUP(D423,'2 Solid waste'!$D$153:$J$172,5,FALSE)</f>
        <v>0</v>
      </c>
      <c r="G429" s="125"/>
    </row>
    <row r="430" spans="3:7" x14ac:dyDescent="0.55000000000000004">
      <c r="C430" s="124"/>
      <c r="G430" s="125"/>
    </row>
    <row r="431" spans="3:7" x14ac:dyDescent="0.55000000000000004">
      <c r="C431" s="124"/>
      <c r="D431" t="s">
        <v>371</v>
      </c>
      <c r="E431" s="64">
        <f ca="1">IF(VLOOKUP(D423,'2 Solid waste'!$D$51:$M$70,5,FALSE)="",VLOOKUP(D423,'2 Solid waste'!$D$51:$M$70,4,FALSE),VLOOKUP(D423,'2 Solid waste'!$D$51:$M$70,5,FALSE))</f>
        <v>0</v>
      </c>
      <c r="G431" s="125"/>
    </row>
    <row r="432" spans="3:7" x14ac:dyDescent="0.55000000000000004">
      <c r="C432" s="124"/>
      <c r="D432" t="s">
        <v>372</v>
      </c>
      <c r="E432" s="26">
        <f ca="1">IF(VLOOKUP(D423,'2 Solid waste'!$D$51:$M$70,7,FALSE)="",VLOOKUP(D423,'2 Solid waste'!$D$51:$M$70,6,FALSE),VLOOKUP(D423,'2 Solid waste'!$D$51:$M$70,7,FALSE))</f>
        <v>0</v>
      </c>
      <c r="G432" s="125"/>
    </row>
    <row r="433" spans="3:9" x14ac:dyDescent="0.55000000000000004">
      <c r="C433" s="124"/>
      <c r="D433" t="s">
        <v>373</v>
      </c>
      <c r="E433" s="26">
        <f ca="1">IF(VLOOKUP(D423,'2 Solid waste'!$D$51:$M$70,9,FALSE)="",VLOOKUP(D423,'2 Solid waste'!$D$51:$M$70,8,FALSE),VLOOKUP(D423,'2 Solid waste'!$D$51:$M$70,9,FALSE))</f>
        <v>0</v>
      </c>
      <c r="G433" s="125"/>
    </row>
    <row r="434" spans="3:9" x14ac:dyDescent="0.55000000000000004">
      <c r="C434" s="124"/>
      <c r="D434" t="s">
        <v>374</v>
      </c>
      <c r="E434" s="26">
        <f ca="1">IF(VLOOKUP(D423,'2 Solid waste'!$D$87:$I$106,5,FALSE)="",VLOOKUP(D423,'2 Solid waste'!$D$87:$I$106,4,FALSE),VLOOKUP(D423,'2 Solid waste'!$D$87:$I$106,5,FALSE))</f>
        <v>0</v>
      </c>
      <c r="G434" s="125"/>
    </row>
    <row r="435" spans="3:9" ht="14.7" thickBot="1" x14ac:dyDescent="0.6">
      <c r="C435" s="124"/>
      <c r="D435" s="1" t="s">
        <v>145</v>
      </c>
      <c r="E435" s="37">
        <f ca="1">SUM(E431:E434)</f>
        <v>0</v>
      </c>
      <c r="G435" s="125"/>
    </row>
    <row r="436" spans="3:9" ht="14.7" thickTop="1" x14ac:dyDescent="0.55000000000000004">
      <c r="C436" s="124"/>
      <c r="D436" s="1"/>
      <c r="E436" s="15"/>
      <c r="G436" s="125"/>
    </row>
    <row r="437" spans="3:9" x14ac:dyDescent="0.55000000000000004">
      <c r="C437" s="124"/>
      <c r="D437" t="s">
        <v>384</v>
      </c>
      <c r="E437" s="26">
        <f ca="1">IF(VLOOKUP(D423,'2 Solid waste'!$D$122:$K$141,5,FALSE)="",VLOOKUP(D423,'2 Solid waste'!$D$122:$K$141,4,FALSE),VLOOKUP(D423,'2 Solid waste'!$D$122:$K$141,5,FALSE))+VLOOKUP(D423,'2 Solid waste'!$D$153:$J$172,7,FALSE)</f>
        <v>0</v>
      </c>
      <c r="G437" s="125"/>
    </row>
    <row r="438" spans="3:9" x14ac:dyDescent="0.55000000000000004">
      <c r="C438" s="124"/>
      <c r="G438" s="125"/>
    </row>
    <row r="439" spans="3:9" ht="14.7" thickBot="1" x14ac:dyDescent="0.6">
      <c r="C439" s="124"/>
      <c r="D439" s="1" t="s">
        <v>375</v>
      </c>
      <c r="E439" s="37">
        <f ca="1">VLOOKUP(D423,'2 Solid waste'!$D$153:$K$172,8,FALSE)</f>
        <v>0</v>
      </c>
      <c r="G439" s="125"/>
    </row>
    <row r="440" spans="3:9" ht="14.7" thickTop="1" x14ac:dyDescent="0.55000000000000004">
      <c r="C440" s="124"/>
      <c r="G440" s="125"/>
    </row>
    <row r="441" spans="3:9" x14ac:dyDescent="0.55000000000000004">
      <c r="C441" s="124"/>
      <c r="G441" s="125"/>
    </row>
    <row r="442" spans="3:9" x14ac:dyDescent="0.55000000000000004">
      <c r="C442" s="124"/>
      <c r="G442" s="125"/>
    </row>
    <row r="443" spans="3:9" x14ac:dyDescent="0.55000000000000004">
      <c r="C443" s="124"/>
      <c r="G443" s="125"/>
    </row>
    <row r="444" spans="3:9" x14ac:dyDescent="0.55000000000000004">
      <c r="C444" s="124"/>
      <c r="G444" s="125"/>
    </row>
    <row r="445" spans="3:9" x14ac:dyDescent="0.55000000000000004">
      <c r="C445" s="124"/>
      <c r="G445" s="125"/>
    </row>
    <row r="446" spans="3:9" x14ac:dyDescent="0.55000000000000004">
      <c r="C446" s="124"/>
      <c r="G446" s="125"/>
    </row>
    <row r="447" spans="3:9" x14ac:dyDescent="0.55000000000000004">
      <c r="C447" s="124"/>
      <c r="G447" s="125"/>
    </row>
    <row r="448" spans="3:9" x14ac:dyDescent="0.55000000000000004">
      <c r="C448" s="124"/>
      <c r="G448" s="125"/>
      <c r="I448" s="232" t="s">
        <v>385</v>
      </c>
    </row>
    <row r="449" spans="3:11" x14ac:dyDescent="0.55000000000000004">
      <c r="C449" s="124"/>
      <c r="G449" s="125"/>
      <c r="I449" s="110"/>
      <c r="J449" s="102" t="s">
        <v>390</v>
      </c>
      <c r="K449" s="102" t="s">
        <v>391</v>
      </c>
    </row>
    <row r="450" spans="3:11" x14ac:dyDescent="0.55000000000000004">
      <c r="C450" s="124"/>
      <c r="G450" s="125"/>
      <c r="I450" s="110" t="str">
        <f>D426</f>
        <v>Fixed cost</v>
      </c>
      <c r="J450" s="100">
        <f ca="1">E426/1000</f>
        <v>0</v>
      </c>
      <c r="K450" s="102"/>
    </row>
    <row r="451" spans="3:11" x14ac:dyDescent="0.55000000000000004">
      <c r="C451" s="124"/>
      <c r="G451" s="125"/>
      <c r="I451" s="110" t="str">
        <f>"Surplus"</f>
        <v>Surplus</v>
      </c>
      <c r="J451" s="100">
        <f ca="1">E429/1000</f>
        <v>0</v>
      </c>
      <c r="K451" s="110"/>
    </row>
    <row r="452" spans="3:11" x14ac:dyDescent="0.55000000000000004">
      <c r="C452" s="124"/>
      <c r="G452" s="125"/>
      <c r="I452" s="110" t="str">
        <f>"Tariff revenue"</f>
        <v>Tariff revenue</v>
      </c>
      <c r="J452" s="100"/>
      <c r="K452" s="101">
        <f ca="1">E439/1000</f>
        <v>0</v>
      </c>
    </row>
    <row r="453" spans="3:11" x14ac:dyDescent="0.55000000000000004">
      <c r="C453" s="124"/>
      <c r="G453" s="125"/>
      <c r="I453" s="110" t="str">
        <f>"External grants &amp; subsidies"</f>
        <v>External grants &amp; subsidies</v>
      </c>
      <c r="J453" s="100"/>
      <c r="K453" s="101">
        <f ca="1">E434/1000</f>
        <v>0</v>
      </c>
    </row>
    <row r="454" spans="3:11" x14ac:dyDescent="0.55000000000000004">
      <c r="C454" s="124"/>
      <c r="G454" s="125"/>
      <c r="I454" s="110" t="str">
        <f>"Other non-tariff revenue"</f>
        <v>Other non-tariff revenue</v>
      </c>
      <c r="J454" s="100"/>
      <c r="K454" s="101">
        <f ca="1">SUM(E431:E433)/1000</f>
        <v>0</v>
      </c>
    </row>
    <row r="455" spans="3:11" x14ac:dyDescent="0.55000000000000004">
      <c r="C455" s="124"/>
      <c r="G455" s="125"/>
      <c r="I455" s="110" t="str">
        <f>"Deficit"</f>
        <v>Deficit</v>
      </c>
      <c r="J455" s="100"/>
      <c r="K455" s="101">
        <f ca="1">E437/1000</f>
        <v>0</v>
      </c>
    </row>
    <row r="456" spans="3:11" x14ac:dyDescent="0.55000000000000004">
      <c r="C456" s="124"/>
      <c r="G456" s="125"/>
    </row>
    <row r="457" spans="3:11" x14ac:dyDescent="0.55000000000000004">
      <c r="C457" s="124"/>
      <c r="G457" s="125"/>
    </row>
    <row r="458" spans="3:11" x14ac:dyDescent="0.55000000000000004">
      <c r="C458" s="124"/>
      <c r="G458" s="125"/>
    </row>
    <row r="459" spans="3:11" x14ac:dyDescent="0.55000000000000004">
      <c r="C459" s="124"/>
      <c r="E459" s="220" t="s">
        <v>250</v>
      </c>
      <c r="G459" s="125"/>
    </row>
    <row r="460" spans="3:11" x14ac:dyDescent="0.55000000000000004">
      <c r="C460" s="124"/>
      <c r="D460" t="str">
        <f>IF('2 Solid waste'!$E$13='2 Solid waste'!$P$13,"Cost per customer","Cost per bin collected")</f>
        <v>Cost per bin collected</v>
      </c>
      <c r="E460" s="64">
        <f ca="1">VLOOKUP(D423,'2 Solid waste'!$D$153:$M$172,10,FALSE)</f>
        <v>0</v>
      </c>
      <c r="G460" s="125"/>
    </row>
    <row r="461" spans="3:11" x14ac:dyDescent="0.55000000000000004">
      <c r="C461" s="124"/>
      <c r="D461" t="s">
        <v>375</v>
      </c>
      <c r="E461" s="64">
        <f ca="1">VLOOKUP(D423,'2 Solid waste'!$D$153:$M$172,9,FALSE)</f>
        <v>0</v>
      </c>
      <c r="G461" s="125"/>
    </row>
    <row r="462" spans="3:11" x14ac:dyDescent="0.55000000000000004">
      <c r="C462" s="124"/>
      <c r="D462" t="s">
        <v>378</v>
      </c>
      <c r="E462" s="64">
        <f ca="1">IFERROR(IF(E429=0,E437,E429)/E427,0)</f>
        <v>0</v>
      </c>
      <c r="G462" s="125"/>
    </row>
    <row r="463" spans="3:11" x14ac:dyDescent="0.55000000000000004">
      <c r="C463" s="124"/>
      <c r="G463" s="125"/>
    </row>
    <row r="464" spans="3:11" x14ac:dyDescent="0.55000000000000004">
      <c r="C464" s="124"/>
      <c r="D464" t="s">
        <v>379</v>
      </c>
      <c r="E464" s="64">
        <f ca="1">'3 Solid waste'!G185</f>
        <v>0</v>
      </c>
      <c r="G464" s="125"/>
    </row>
    <row r="465" spans="3:7" ht="14.7" thickBot="1" x14ac:dyDescent="0.6">
      <c r="C465" s="130"/>
      <c r="D465" s="131"/>
      <c r="E465" s="131"/>
      <c r="F465" s="131"/>
      <c r="G465" s="132"/>
    </row>
    <row r="467" spans="3:7" ht="14.7" thickBot="1" x14ac:dyDescent="0.6"/>
    <row r="468" spans="3:7" x14ac:dyDescent="0.55000000000000004">
      <c r="C468" s="121"/>
      <c r="D468" s="122"/>
      <c r="E468" s="122"/>
      <c r="F468" s="122"/>
      <c r="G468" s="123"/>
    </row>
    <row r="469" spans="3:7" ht="15.6" x14ac:dyDescent="0.6">
      <c r="C469" s="124"/>
      <c r="D469" s="98">
        <f>'2 Customer data'!D139</f>
        <v>0</v>
      </c>
      <c r="G469" s="125"/>
    </row>
    <row r="470" spans="3:7" x14ac:dyDescent="0.55000000000000004">
      <c r="C470" s="124"/>
      <c r="G470" s="125"/>
    </row>
    <row r="471" spans="3:7" x14ac:dyDescent="0.55000000000000004">
      <c r="C471" s="124"/>
      <c r="E471" s="220" t="s">
        <v>250</v>
      </c>
      <c r="G471" s="125"/>
    </row>
    <row r="472" spans="3:7" x14ac:dyDescent="0.55000000000000004">
      <c r="C472" s="124"/>
      <c r="D472" t="s">
        <v>369</v>
      </c>
      <c r="E472" s="26">
        <f ca="1">VLOOKUP(D469,'2 Solid waste'!$D$16:$H$35,4,FALSE)</f>
        <v>0</v>
      </c>
      <c r="G472" s="125"/>
    </row>
    <row r="473" spans="3:7" ht="14.7" thickBot="1" x14ac:dyDescent="0.6">
      <c r="C473" s="124"/>
      <c r="D473" s="1" t="s">
        <v>39</v>
      </c>
      <c r="E473" s="37">
        <f ca="1">VLOOKUP(D469,'2 Solid waste'!$D$16:$H$35,5,FALSE)</f>
        <v>0</v>
      </c>
      <c r="G473" s="125"/>
    </row>
    <row r="474" spans="3:7" ht="14.7" thickTop="1" x14ac:dyDescent="0.55000000000000004">
      <c r="C474" s="124"/>
      <c r="G474" s="125"/>
    </row>
    <row r="475" spans="3:7" x14ac:dyDescent="0.55000000000000004">
      <c r="C475" s="124"/>
      <c r="D475" t="s">
        <v>189</v>
      </c>
      <c r="E475" s="26">
        <f ca="1">IF(VLOOKUP(D469,'2 Solid waste'!$D$122:$K$141,7,FALSE)="",VLOOKUP(D469,'2 Solid waste'!$D$122:$K$141,6,FALSE),VLOOKUP(D469,'2 Solid waste'!$D$122:$K$141,7,FALSE))+VLOOKUP(D469,'2 Solid waste'!$D$153:$J$172,5,FALSE)</f>
        <v>0</v>
      </c>
      <c r="G475" s="125"/>
    </row>
    <row r="476" spans="3:7" x14ac:dyDescent="0.55000000000000004">
      <c r="C476" s="124"/>
      <c r="G476" s="125"/>
    </row>
    <row r="477" spans="3:7" x14ac:dyDescent="0.55000000000000004">
      <c r="C477" s="124"/>
      <c r="D477" t="s">
        <v>371</v>
      </c>
      <c r="E477" s="64">
        <f ca="1">IF(VLOOKUP(D469,'2 Solid waste'!$D$51:$M$70,5,FALSE)="",VLOOKUP(D469,'2 Solid waste'!$D$51:$M$70,4,FALSE),VLOOKUP(D469,'2 Solid waste'!$D$51:$M$70,5,FALSE))</f>
        <v>0</v>
      </c>
      <c r="G477" s="125"/>
    </row>
    <row r="478" spans="3:7" x14ac:dyDescent="0.55000000000000004">
      <c r="C478" s="124"/>
      <c r="D478" t="s">
        <v>372</v>
      </c>
      <c r="E478" s="26">
        <f ca="1">IF(VLOOKUP(D469,'2 Solid waste'!$D$51:$M$70,7,FALSE)="",VLOOKUP(D469,'2 Solid waste'!$D$51:$M$70,6,FALSE),VLOOKUP(D469,'2 Solid waste'!$D$51:$M$70,7,FALSE))</f>
        <v>0</v>
      </c>
      <c r="G478" s="125"/>
    </row>
    <row r="479" spans="3:7" x14ac:dyDescent="0.55000000000000004">
      <c r="C479" s="124"/>
      <c r="D479" t="s">
        <v>373</v>
      </c>
      <c r="E479" s="26">
        <f ca="1">IF(VLOOKUP(D469,'2 Solid waste'!$D$51:$M$70,9,FALSE)="",VLOOKUP(D469,'2 Solid waste'!$D$51:$M$70,8,FALSE),VLOOKUP(D469,'2 Solid waste'!$D$51:$M$70,9,FALSE))</f>
        <v>0</v>
      </c>
      <c r="G479" s="125"/>
    </row>
    <row r="480" spans="3:7" x14ac:dyDescent="0.55000000000000004">
      <c r="C480" s="124"/>
      <c r="D480" t="s">
        <v>374</v>
      </c>
      <c r="E480" s="26">
        <f ca="1">IF(VLOOKUP(D469,'2 Solid waste'!$D$87:$I$106,5,FALSE)="",VLOOKUP(D469,'2 Solid waste'!$D$87:$I$106,4,FALSE),VLOOKUP(D469,'2 Solid waste'!$D$87:$I$106,5,FALSE))</f>
        <v>0</v>
      </c>
      <c r="G480" s="125"/>
    </row>
    <row r="481" spans="3:11" ht="14.7" thickBot="1" x14ac:dyDescent="0.6">
      <c r="C481" s="124"/>
      <c r="D481" s="1" t="s">
        <v>145</v>
      </c>
      <c r="E481" s="37">
        <f ca="1">SUM(E477:E480)</f>
        <v>0</v>
      </c>
      <c r="G481" s="125"/>
    </row>
    <row r="482" spans="3:11" ht="14.7" thickTop="1" x14ac:dyDescent="0.55000000000000004">
      <c r="C482" s="124"/>
      <c r="D482" s="1"/>
      <c r="E482" s="15"/>
      <c r="G482" s="125"/>
    </row>
    <row r="483" spans="3:11" x14ac:dyDescent="0.55000000000000004">
      <c r="C483" s="124"/>
      <c r="D483" t="s">
        <v>384</v>
      </c>
      <c r="E483" s="26">
        <f ca="1">IF(VLOOKUP(D469,'2 Solid waste'!$D$122:$K$141,5,FALSE)="",VLOOKUP(D469,'2 Solid waste'!$D$122:$K$141,4,FALSE),VLOOKUP(D469,'2 Solid waste'!$D$122:$K$141,5,FALSE))+VLOOKUP(D469,'2 Solid waste'!$D$153:$J$172,7,FALSE)</f>
        <v>0</v>
      </c>
      <c r="G483" s="125"/>
    </row>
    <row r="484" spans="3:11" x14ac:dyDescent="0.55000000000000004">
      <c r="C484" s="124"/>
      <c r="G484" s="125"/>
    </row>
    <row r="485" spans="3:11" ht="14.7" thickBot="1" x14ac:dyDescent="0.6">
      <c r="C485" s="124"/>
      <c r="D485" s="1" t="s">
        <v>375</v>
      </c>
      <c r="E485" s="37">
        <f ca="1">VLOOKUP(D469,'2 Solid waste'!$D$153:$K$172,8,FALSE)</f>
        <v>0</v>
      </c>
      <c r="G485" s="125"/>
    </row>
    <row r="486" spans="3:11" ht="14.7" thickTop="1" x14ac:dyDescent="0.55000000000000004">
      <c r="C486" s="124"/>
      <c r="G486" s="125"/>
    </row>
    <row r="487" spans="3:11" x14ac:dyDescent="0.55000000000000004">
      <c r="C487" s="124"/>
      <c r="G487" s="125"/>
    </row>
    <row r="488" spans="3:11" x14ac:dyDescent="0.55000000000000004">
      <c r="C488" s="124"/>
      <c r="G488" s="125"/>
    </row>
    <row r="489" spans="3:11" x14ac:dyDescent="0.55000000000000004">
      <c r="C489" s="124"/>
      <c r="G489" s="125"/>
    </row>
    <row r="490" spans="3:11" x14ac:dyDescent="0.55000000000000004">
      <c r="C490" s="124"/>
      <c r="G490" s="125"/>
    </row>
    <row r="491" spans="3:11" x14ac:dyDescent="0.55000000000000004">
      <c r="C491" s="124"/>
      <c r="G491" s="125"/>
    </row>
    <row r="492" spans="3:11" x14ac:dyDescent="0.55000000000000004">
      <c r="C492" s="124"/>
      <c r="G492" s="125"/>
    </row>
    <row r="493" spans="3:11" x14ac:dyDescent="0.55000000000000004">
      <c r="C493" s="124"/>
      <c r="G493" s="125"/>
      <c r="I493" s="232" t="s">
        <v>385</v>
      </c>
    </row>
    <row r="494" spans="3:11" x14ac:dyDescent="0.55000000000000004">
      <c r="C494" s="124"/>
      <c r="G494" s="125"/>
      <c r="I494" s="110"/>
      <c r="J494" s="102" t="s">
        <v>390</v>
      </c>
      <c r="K494" s="102" t="s">
        <v>391</v>
      </c>
    </row>
    <row r="495" spans="3:11" x14ac:dyDescent="0.55000000000000004">
      <c r="C495" s="124"/>
      <c r="G495" s="125"/>
      <c r="I495" s="110" t="str">
        <f>D472</f>
        <v>Fixed cost</v>
      </c>
      <c r="J495" s="100">
        <f ca="1">E472/1000</f>
        <v>0</v>
      </c>
      <c r="K495" s="102"/>
    </row>
    <row r="496" spans="3:11" x14ac:dyDescent="0.55000000000000004">
      <c r="C496" s="124"/>
      <c r="G496" s="125"/>
      <c r="I496" s="110" t="str">
        <f>"Surplus"</f>
        <v>Surplus</v>
      </c>
      <c r="J496" s="100">
        <f ca="1">E475/1000</f>
        <v>0</v>
      </c>
      <c r="K496" s="110"/>
    </row>
    <row r="497" spans="3:11" x14ac:dyDescent="0.55000000000000004">
      <c r="C497" s="124"/>
      <c r="G497" s="125"/>
      <c r="I497" s="110" t="str">
        <f>"Tariff revenue"</f>
        <v>Tariff revenue</v>
      </c>
      <c r="J497" s="100"/>
      <c r="K497" s="101">
        <f ca="1">E485/1000</f>
        <v>0</v>
      </c>
    </row>
    <row r="498" spans="3:11" x14ac:dyDescent="0.55000000000000004">
      <c r="C498" s="124"/>
      <c r="G498" s="125"/>
      <c r="I498" s="110" t="str">
        <f>"External grants &amp; subsidies"</f>
        <v>External grants &amp; subsidies</v>
      </c>
      <c r="J498" s="100"/>
      <c r="K498" s="101">
        <f ca="1">E480/1000</f>
        <v>0</v>
      </c>
    </row>
    <row r="499" spans="3:11" x14ac:dyDescent="0.55000000000000004">
      <c r="C499" s="124"/>
      <c r="G499" s="125"/>
      <c r="I499" s="110" t="str">
        <f>"Other non-tariff revenue"</f>
        <v>Other non-tariff revenue</v>
      </c>
      <c r="J499" s="100"/>
      <c r="K499" s="101">
        <f ca="1">SUM(E477:E479)/1000</f>
        <v>0</v>
      </c>
    </row>
    <row r="500" spans="3:11" x14ac:dyDescent="0.55000000000000004">
      <c r="C500" s="124"/>
      <c r="G500" s="125"/>
      <c r="I500" s="110" t="str">
        <f>"Deficit"</f>
        <v>Deficit</v>
      </c>
      <c r="J500" s="100"/>
      <c r="K500" s="101">
        <f ca="1">E483/1000</f>
        <v>0</v>
      </c>
    </row>
    <row r="501" spans="3:11" x14ac:dyDescent="0.55000000000000004">
      <c r="C501" s="124"/>
      <c r="G501" s="125"/>
    </row>
    <row r="502" spans="3:11" x14ac:dyDescent="0.55000000000000004">
      <c r="C502" s="124"/>
      <c r="G502" s="125"/>
    </row>
    <row r="503" spans="3:11" x14ac:dyDescent="0.55000000000000004">
      <c r="C503" s="124"/>
      <c r="G503" s="125"/>
    </row>
    <row r="504" spans="3:11" x14ac:dyDescent="0.55000000000000004">
      <c r="C504" s="124"/>
      <c r="G504" s="125"/>
    </row>
    <row r="505" spans="3:11" x14ac:dyDescent="0.55000000000000004">
      <c r="C505" s="124"/>
      <c r="E505" s="220" t="s">
        <v>250</v>
      </c>
      <c r="G505" s="125"/>
    </row>
    <row r="506" spans="3:11" x14ac:dyDescent="0.55000000000000004">
      <c r="C506" s="124"/>
      <c r="D506" t="str">
        <f>IF('2 Solid waste'!$E$13='2 Solid waste'!$P$13,"Cost per customer","Cost per bin collected")</f>
        <v>Cost per bin collected</v>
      </c>
      <c r="E506" s="64">
        <f ca="1">VLOOKUP(D469,'2 Solid waste'!$D$153:$M$172,10,FALSE)</f>
        <v>0</v>
      </c>
      <c r="G506" s="125"/>
    </row>
    <row r="507" spans="3:11" x14ac:dyDescent="0.55000000000000004">
      <c r="C507" s="124"/>
      <c r="D507" t="s">
        <v>375</v>
      </c>
      <c r="E507" s="64">
        <f ca="1">VLOOKUP(D469,'2 Solid waste'!$D$153:$M$172,9,FALSE)</f>
        <v>0</v>
      </c>
      <c r="G507" s="125"/>
    </row>
    <row r="508" spans="3:11" x14ac:dyDescent="0.55000000000000004">
      <c r="C508" s="124"/>
      <c r="D508" t="s">
        <v>378</v>
      </c>
      <c r="E508" s="64">
        <f ca="1">IFERROR(IF(E475=0,E483,E475)/E473,0)</f>
        <v>0</v>
      </c>
      <c r="G508" s="125"/>
    </row>
    <row r="509" spans="3:11" x14ac:dyDescent="0.55000000000000004">
      <c r="C509" s="124"/>
      <c r="G509" s="125"/>
    </row>
    <row r="510" spans="3:11" x14ac:dyDescent="0.55000000000000004">
      <c r="C510" s="124"/>
      <c r="D510" t="s">
        <v>379</v>
      </c>
      <c r="E510" s="64">
        <f ca="1">'3 Solid waste'!G203</f>
        <v>0</v>
      </c>
      <c r="G510" s="125"/>
    </row>
    <row r="511" spans="3:11" ht="14.7" thickBot="1" x14ac:dyDescent="0.6">
      <c r="C511" s="130"/>
      <c r="D511" s="131"/>
      <c r="E511" s="131"/>
      <c r="F511" s="131"/>
      <c r="G511" s="132"/>
    </row>
    <row r="513" spans="3:7" ht="14.7" thickBot="1" x14ac:dyDescent="0.6"/>
    <row r="514" spans="3:7" x14ac:dyDescent="0.55000000000000004">
      <c r="C514" s="121"/>
      <c r="D514" s="122"/>
      <c r="E514" s="122"/>
      <c r="F514" s="122"/>
      <c r="G514" s="123"/>
    </row>
    <row r="515" spans="3:7" ht="15.6" x14ac:dyDescent="0.6">
      <c r="C515" s="124"/>
      <c r="D515" s="98">
        <f>'2 Customer data'!D140</f>
        <v>0</v>
      </c>
      <c r="G515" s="125"/>
    </row>
    <row r="516" spans="3:7" x14ac:dyDescent="0.55000000000000004">
      <c r="C516" s="124"/>
      <c r="G516" s="125"/>
    </row>
    <row r="517" spans="3:7" x14ac:dyDescent="0.55000000000000004">
      <c r="C517" s="124"/>
      <c r="E517" s="220" t="s">
        <v>250</v>
      </c>
      <c r="G517" s="125"/>
    </row>
    <row r="518" spans="3:7" x14ac:dyDescent="0.55000000000000004">
      <c r="C518" s="124"/>
      <c r="D518" t="s">
        <v>369</v>
      </c>
      <c r="E518" s="26">
        <f ca="1">VLOOKUP(D515,'2 Solid waste'!$D$16:$H$35,4,FALSE)</f>
        <v>0</v>
      </c>
      <c r="G518" s="125"/>
    </row>
    <row r="519" spans="3:7" ht="14.7" thickBot="1" x14ac:dyDescent="0.6">
      <c r="C519" s="124"/>
      <c r="D519" s="1" t="s">
        <v>39</v>
      </c>
      <c r="E519" s="37">
        <f ca="1">VLOOKUP(D515,'2 Solid waste'!$D$16:$H$35,5,FALSE)</f>
        <v>0</v>
      </c>
      <c r="G519" s="125"/>
    </row>
    <row r="520" spans="3:7" ht="14.7" thickTop="1" x14ac:dyDescent="0.55000000000000004">
      <c r="C520" s="124"/>
      <c r="G520" s="125"/>
    </row>
    <row r="521" spans="3:7" x14ac:dyDescent="0.55000000000000004">
      <c r="C521" s="124"/>
      <c r="D521" t="s">
        <v>189</v>
      </c>
      <c r="E521" s="26">
        <f ca="1">IF(VLOOKUP(D515,'2 Solid waste'!$D$122:$K$141,7,FALSE)="",VLOOKUP(D515,'2 Solid waste'!$D$122:$K$141,6,FALSE),VLOOKUP(D515,'2 Solid waste'!$D$122:$K$141,7,FALSE))+VLOOKUP(D515,'2 Solid waste'!$D$153:$J$172,5,FALSE)</f>
        <v>0</v>
      </c>
      <c r="G521" s="125"/>
    </row>
    <row r="522" spans="3:7" x14ac:dyDescent="0.55000000000000004">
      <c r="C522" s="124"/>
      <c r="G522" s="125"/>
    </row>
    <row r="523" spans="3:7" x14ac:dyDescent="0.55000000000000004">
      <c r="C523" s="124"/>
      <c r="D523" t="s">
        <v>371</v>
      </c>
      <c r="E523" s="64">
        <f ca="1">IF(VLOOKUP(D515,'2 Solid waste'!$D$51:$M$70,5,FALSE)="",VLOOKUP(D515,'2 Solid waste'!$D$51:$M$70,4,FALSE),VLOOKUP(D515,'2 Solid waste'!$D$51:$M$70,5,FALSE))</f>
        <v>0</v>
      </c>
      <c r="G523" s="125"/>
    </row>
    <row r="524" spans="3:7" x14ac:dyDescent="0.55000000000000004">
      <c r="C524" s="124"/>
      <c r="D524" t="s">
        <v>372</v>
      </c>
      <c r="E524" s="26">
        <f ca="1">IF(VLOOKUP(D515,'2 Solid waste'!$D$51:$M$70,7,FALSE)="",VLOOKUP(D515,'2 Solid waste'!$D$51:$M$70,6,FALSE),VLOOKUP(D515,'2 Solid waste'!$D$51:$M$70,7,FALSE))</f>
        <v>0</v>
      </c>
      <c r="G524" s="125"/>
    </row>
    <row r="525" spans="3:7" x14ac:dyDescent="0.55000000000000004">
      <c r="C525" s="124"/>
      <c r="D525" t="s">
        <v>373</v>
      </c>
      <c r="E525" s="26">
        <f ca="1">IF(VLOOKUP(D515,'2 Solid waste'!$D$51:$M$70,9,FALSE)="",VLOOKUP(D515,'2 Solid waste'!$D$51:$M$70,8,FALSE),VLOOKUP(D515,'2 Solid waste'!$D$51:$M$70,9,FALSE))</f>
        <v>0</v>
      </c>
      <c r="G525" s="125"/>
    </row>
    <row r="526" spans="3:7" x14ac:dyDescent="0.55000000000000004">
      <c r="C526" s="124"/>
      <c r="D526" t="s">
        <v>374</v>
      </c>
      <c r="E526" s="26">
        <f ca="1">IF(VLOOKUP(D515,'2 Solid waste'!$D$87:$I$106,5,FALSE)="",VLOOKUP(D515,'2 Solid waste'!$D$87:$I$106,4,FALSE),VLOOKUP(D515,'2 Solid waste'!$D$87:$I$106,5,FALSE))</f>
        <v>0</v>
      </c>
      <c r="G526" s="125"/>
    </row>
    <row r="527" spans="3:7" ht="14.7" thickBot="1" x14ac:dyDescent="0.6">
      <c r="C527" s="124"/>
      <c r="D527" s="1" t="s">
        <v>145</v>
      </c>
      <c r="E527" s="37">
        <f ca="1">SUM(E523:E526)</f>
        <v>0</v>
      </c>
      <c r="G527" s="125"/>
    </row>
    <row r="528" spans="3:7" ht="14.7" thickTop="1" x14ac:dyDescent="0.55000000000000004">
      <c r="C528" s="124"/>
      <c r="D528" s="1"/>
      <c r="E528" s="15"/>
      <c r="G528" s="125"/>
    </row>
    <row r="529" spans="3:11" x14ac:dyDescent="0.55000000000000004">
      <c r="C529" s="124"/>
      <c r="D529" t="s">
        <v>384</v>
      </c>
      <c r="E529" s="26">
        <f ca="1">IF(VLOOKUP(D515,'2 Solid waste'!$D$122:$K$141,5,FALSE)="",VLOOKUP(D515,'2 Solid waste'!$D$122:$K$141,4,FALSE),VLOOKUP(D515,'2 Solid waste'!$D$122:$K$141,5,FALSE))+VLOOKUP(D515,'2 Solid waste'!$D$153:$J$172,7,FALSE)</f>
        <v>0</v>
      </c>
      <c r="G529" s="125"/>
    </row>
    <row r="530" spans="3:11" x14ac:dyDescent="0.55000000000000004">
      <c r="C530" s="124"/>
      <c r="G530" s="125"/>
    </row>
    <row r="531" spans="3:11" ht="14.7" thickBot="1" x14ac:dyDescent="0.6">
      <c r="C531" s="124"/>
      <c r="D531" s="1" t="s">
        <v>375</v>
      </c>
      <c r="E531" s="37">
        <f ca="1">VLOOKUP(D515,'2 Solid waste'!$D$153:$K$172,8,FALSE)</f>
        <v>0</v>
      </c>
      <c r="G531" s="125"/>
    </row>
    <row r="532" spans="3:11" ht="14.7" thickTop="1" x14ac:dyDescent="0.55000000000000004">
      <c r="C532" s="124"/>
      <c r="G532" s="125"/>
    </row>
    <row r="533" spans="3:11" x14ac:dyDescent="0.55000000000000004">
      <c r="C533" s="124"/>
      <c r="G533" s="125"/>
    </row>
    <row r="534" spans="3:11" x14ac:dyDescent="0.55000000000000004">
      <c r="C534" s="124"/>
      <c r="G534" s="125"/>
    </row>
    <row r="535" spans="3:11" x14ac:dyDescent="0.55000000000000004">
      <c r="C535" s="124"/>
      <c r="G535" s="125"/>
    </row>
    <row r="536" spans="3:11" x14ac:dyDescent="0.55000000000000004">
      <c r="C536" s="124"/>
      <c r="G536" s="125"/>
    </row>
    <row r="537" spans="3:11" x14ac:dyDescent="0.55000000000000004">
      <c r="C537" s="124"/>
      <c r="G537" s="125"/>
    </row>
    <row r="538" spans="3:11" x14ac:dyDescent="0.55000000000000004">
      <c r="C538" s="124"/>
      <c r="G538" s="125"/>
    </row>
    <row r="539" spans="3:11" x14ac:dyDescent="0.55000000000000004">
      <c r="C539" s="124"/>
      <c r="G539" s="125"/>
      <c r="I539" s="232" t="s">
        <v>385</v>
      </c>
    </row>
    <row r="540" spans="3:11" x14ac:dyDescent="0.55000000000000004">
      <c r="C540" s="124"/>
      <c r="G540" s="125"/>
      <c r="I540" s="110"/>
      <c r="J540" s="102" t="s">
        <v>390</v>
      </c>
      <c r="K540" s="102" t="s">
        <v>391</v>
      </c>
    </row>
    <row r="541" spans="3:11" x14ac:dyDescent="0.55000000000000004">
      <c r="C541" s="124"/>
      <c r="G541" s="125"/>
      <c r="I541" s="110" t="str">
        <f>D518</f>
        <v>Fixed cost</v>
      </c>
      <c r="J541" s="100">
        <f ca="1">E518/1000</f>
        <v>0</v>
      </c>
      <c r="K541" s="102"/>
    </row>
    <row r="542" spans="3:11" x14ac:dyDescent="0.55000000000000004">
      <c r="C542" s="124"/>
      <c r="G542" s="125"/>
      <c r="I542" s="110" t="str">
        <f>"Surplus"</f>
        <v>Surplus</v>
      </c>
      <c r="J542" s="100">
        <f ca="1">E521/1000</f>
        <v>0</v>
      </c>
      <c r="K542" s="110"/>
    </row>
    <row r="543" spans="3:11" x14ac:dyDescent="0.55000000000000004">
      <c r="C543" s="124"/>
      <c r="G543" s="125"/>
      <c r="I543" s="110" t="str">
        <f>"Tariff revenue"</f>
        <v>Tariff revenue</v>
      </c>
      <c r="J543" s="100"/>
      <c r="K543" s="101">
        <f ca="1">E531/1000</f>
        <v>0</v>
      </c>
    </row>
    <row r="544" spans="3:11" x14ac:dyDescent="0.55000000000000004">
      <c r="C544" s="124"/>
      <c r="G544" s="125"/>
      <c r="I544" s="110" t="str">
        <f>"External grants &amp; subsidies"</f>
        <v>External grants &amp; subsidies</v>
      </c>
      <c r="J544" s="100"/>
      <c r="K544" s="101">
        <f ca="1">E526/1000</f>
        <v>0</v>
      </c>
    </row>
    <row r="545" spans="3:11" x14ac:dyDescent="0.55000000000000004">
      <c r="C545" s="124"/>
      <c r="G545" s="125"/>
      <c r="I545" s="110" t="str">
        <f>"Other non-tariff revenue"</f>
        <v>Other non-tariff revenue</v>
      </c>
      <c r="J545" s="100"/>
      <c r="K545" s="101">
        <f ca="1">SUM(E523:E525)/1000</f>
        <v>0</v>
      </c>
    </row>
    <row r="546" spans="3:11" x14ac:dyDescent="0.55000000000000004">
      <c r="C546" s="124"/>
      <c r="G546" s="125"/>
      <c r="I546" s="110" t="str">
        <f>"Deficit"</f>
        <v>Deficit</v>
      </c>
      <c r="J546" s="100"/>
      <c r="K546" s="101">
        <f ca="1">E529/1000</f>
        <v>0</v>
      </c>
    </row>
    <row r="547" spans="3:11" x14ac:dyDescent="0.55000000000000004">
      <c r="C547" s="124"/>
      <c r="G547" s="125"/>
    </row>
    <row r="548" spans="3:11" x14ac:dyDescent="0.55000000000000004">
      <c r="C548" s="124"/>
      <c r="G548" s="125"/>
    </row>
    <row r="549" spans="3:11" x14ac:dyDescent="0.55000000000000004">
      <c r="C549" s="124"/>
      <c r="G549" s="125"/>
    </row>
    <row r="550" spans="3:11" x14ac:dyDescent="0.55000000000000004">
      <c r="C550" s="124"/>
      <c r="G550" s="125"/>
    </row>
    <row r="551" spans="3:11" x14ac:dyDescent="0.55000000000000004">
      <c r="C551" s="124"/>
      <c r="E551" s="220" t="s">
        <v>250</v>
      </c>
      <c r="G551" s="125"/>
    </row>
    <row r="552" spans="3:11" x14ac:dyDescent="0.55000000000000004">
      <c r="C552" s="124"/>
      <c r="D552" t="str">
        <f>IF('2 Solid waste'!$E$13='2 Solid waste'!$P$13,"Cost per customer","Cost per bin collected")</f>
        <v>Cost per bin collected</v>
      </c>
      <c r="E552" s="64">
        <f ca="1">VLOOKUP(D515,'2 Solid waste'!$D$153:$M$172,10,FALSE)</f>
        <v>0</v>
      </c>
      <c r="G552" s="125"/>
    </row>
    <row r="553" spans="3:11" x14ac:dyDescent="0.55000000000000004">
      <c r="C553" s="124"/>
      <c r="D553" t="s">
        <v>375</v>
      </c>
      <c r="E553" s="64">
        <f ca="1">VLOOKUP(D515,'2 Solid waste'!$D$153:$M$172,9,FALSE)</f>
        <v>0</v>
      </c>
      <c r="G553" s="125"/>
    </row>
    <row r="554" spans="3:11" x14ac:dyDescent="0.55000000000000004">
      <c r="C554" s="124"/>
      <c r="D554" t="s">
        <v>378</v>
      </c>
      <c r="E554" s="64">
        <f ca="1">IFERROR(IF(E521=0,E529,E521)/E519,0)</f>
        <v>0</v>
      </c>
      <c r="G554" s="125"/>
    </row>
    <row r="555" spans="3:11" x14ac:dyDescent="0.55000000000000004">
      <c r="C555" s="124"/>
      <c r="G555" s="125"/>
    </row>
    <row r="556" spans="3:11" x14ac:dyDescent="0.55000000000000004">
      <c r="C556" s="124"/>
      <c r="D556" t="s">
        <v>379</v>
      </c>
      <c r="E556" s="64">
        <f ca="1">'3 Solid waste'!G221</f>
        <v>0</v>
      </c>
      <c r="G556" s="125"/>
    </row>
    <row r="557" spans="3:11" ht="14.7" thickBot="1" x14ac:dyDescent="0.6">
      <c r="C557" s="130"/>
      <c r="D557" s="131"/>
      <c r="E557" s="131"/>
      <c r="F557" s="131"/>
      <c r="G557" s="132"/>
    </row>
    <row r="559" spans="3:11" ht="14.7" thickBot="1" x14ac:dyDescent="0.6"/>
    <row r="560" spans="3:11" x14ac:dyDescent="0.55000000000000004">
      <c r="C560" s="121"/>
      <c r="D560" s="122"/>
      <c r="E560" s="122"/>
      <c r="F560" s="122"/>
      <c r="G560" s="123"/>
    </row>
    <row r="561" spans="3:7" ht="15.6" x14ac:dyDescent="0.6">
      <c r="C561" s="124"/>
      <c r="D561" s="98">
        <f>'2 Customer data'!D141</f>
        <v>0</v>
      </c>
      <c r="G561" s="125"/>
    </row>
    <row r="562" spans="3:7" x14ac:dyDescent="0.55000000000000004">
      <c r="C562" s="124"/>
      <c r="G562" s="125"/>
    </row>
    <row r="563" spans="3:7" x14ac:dyDescent="0.55000000000000004">
      <c r="C563" s="124"/>
      <c r="E563" s="220" t="s">
        <v>250</v>
      </c>
      <c r="G563" s="125"/>
    </row>
    <row r="564" spans="3:7" x14ac:dyDescent="0.55000000000000004">
      <c r="C564" s="124"/>
      <c r="D564" t="s">
        <v>369</v>
      </c>
      <c r="E564" s="26">
        <f ca="1">VLOOKUP(D561,'2 Solid waste'!$D$16:$H$35,4,FALSE)</f>
        <v>0</v>
      </c>
      <c r="G564" s="125"/>
    </row>
    <row r="565" spans="3:7" ht="14.7" thickBot="1" x14ac:dyDescent="0.6">
      <c r="C565" s="124"/>
      <c r="D565" s="1" t="s">
        <v>39</v>
      </c>
      <c r="E565" s="37">
        <f ca="1">VLOOKUP(D561,'2 Solid waste'!$D$16:$H$35,5,FALSE)</f>
        <v>0</v>
      </c>
      <c r="G565" s="125"/>
    </row>
    <row r="566" spans="3:7" ht="14.7" thickTop="1" x14ac:dyDescent="0.55000000000000004">
      <c r="C566" s="124"/>
      <c r="G566" s="125"/>
    </row>
    <row r="567" spans="3:7" x14ac:dyDescent="0.55000000000000004">
      <c r="C567" s="124"/>
      <c r="D567" t="s">
        <v>189</v>
      </c>
      <c r="E567" s="26">
        <f ca="1">IF(VLOOKUP(D561,'2 Solid waste'!$D$122:$K$141,7,FALSE)="",VLOOKUP(D561,'2 Solid waste'!$D$122:$K$141,6,FALSE),VLOOKUP(D561,'2 Solid waste'!$D$122:$K$141,7,FALSE))+VLOOKUP(D561,'2 Solid waste'!$D$153:$J$172,5,FALSE)</f>
        <v>0</v>
      </c>
      <c r="G567" s="125"/>
    </row>
    <row r="568" spans="3:7" x14ac:dyDescent="0.55000000000000004">
      <c r="C568" s="124"/>
      <c r="G568" s="125"/>
    </row>
    <row r="569" spans="3:7" x14ac:dyDescent="0.55000000000000004">
      <c r="C569" s="124"/>
      <c r="D569" t="s">
        <v>371</v>
      </c>
      <c r="E569" s="64">
        <f ca="1">IF(VLOOKUP(D561,'2 Solid waste'!$D$51:$M$70,5,FALSE)="",VLOOKUP(D561,'2 Solid waste'!$D$51:$M$70,4,FALSE),VLOOKUP(D561,'2 Solid waste'!$D$51:$M$70,5,FALSE))</f>
        <v>0</v>
      </c>
      <c r="G569" s="125"/>
    </row>
    <row r="570" spans="3:7" x14ac:dyDescent="0.55000000000000004">
      <c r="C570" s="124"/>
      <c r="D570" t="s">
        <v>372</v>
      </c>
      <c r="E570" s="26">
        <f ca="1">IF(VLOOKUP(D561,'2 Solid waste'!$D$51:$M$70,7,FALSE)="",VLOOKUP(D561,'2 Solid waste'!$D$51:$M$70,6,FALSE),VLOOKUP(D561,'2 Solid waste'!$D$51:$M$70,7,FALSE))</f>
        <v>0</v>
      </c>
      <c r="G570" s="125"/>
    </row>
    <row r="571" spans="3:7" x14ac:dyDescent="0.55000000000000004">
      <c r="C571" s="124"/>
      <c r="D571" t="s">
        <v>373</v>
      </c>
      <c r="E571" s="26">
        <f ca="1">IF(VLOOKUP(D561,'2 Solid waste'!$D$51:$M$70,9,FALSE)="",VLOOKUP(D561,'2 Solid waste'!$D$51:$M$70,8,FALSE),VLOOKUP(D561,'2 Solid waste'!$D$51:$M$70,9,FALSE))</f>
        <v>0</v>
      </c>
      <c r="G571" s="125"/>
    </row>
    <row r="572" spans="3:7" x14ac:dyDescent="0.55000000000000004">
      <c r="C572" s="124"/>
      <c r="D572" t="s">
        <v>374</v>
      </c>
      <c r="E572" s="26">
        <f ca="1">IF(VLOOKUP(D561,'2 Solid waste'!$D$87:$I$106,5,FALSE)="",VLOOKUP(D561,'2 Solid waste'!$D$87:$I$106,4,FALSE),VLOOKUP(D561,'2 Solid waste'!$D$87:$I$106,5,FALSE))</f>
        <v>0</v>
      </c>
      <c r="G572" s="125"/>
    </row>
    <row r="573" spans="3:7" ht="14.7" thickBot="1" x14ac:dyDescent="0.6">
      <c r="C573" s="124"/>
      <c r="D573" s="1" t="s">
        <v>145</v>
      </c>
      <c r="E573" s="37">
        <f ca="1">SUM(E569:E572)</f>
        <v>0</v>
      </c>
      <c r="G573" s="125"/>
    </row>
    <row r="574" spans="3:7" ht="14.7" thickTop="1" x14ac:dyDescent="0.55000000000000004">
      <c r="C574" s="124"/>
      <c r="D574" s="1"/>
      <c r="E574" s="15"/>
      <c r="G574" s="125"/>
    </row>
    <row r="575" spans="3:7" x14ac:dyDescent="0.55000000000000004">
      <c r="C575" s="124"/>
      <c r="D575" t="s">
        <v>384</v>
      </c>
      <c r="E575" s="26">
        <f ca="1">IF(VLOOKUP(D561,'2 Solid waste'!$D$122:$K$141,5,FALSE)="",VLOOKUP(D561,'2 Solid waste'!$D$122:$K$141,4,FALSE),VLOOKUP(D561,'2 Solid waste'!$D$122:$K$141,5,FALSE))+VLOOKUP(D561,'2 Solid waste'!$D$153:$J$172,7,FALSE)</f>
        <v>0</v>
      </c>
      <c r="G575" s="125"/>
    </row>
    <row r="576" spans="3:7" x14ac:dyDescent="0.55000000000000004">
      <c r="C576" s="124"/>
      <c r="G576" s="125"/>
    </row>
    <row r="577" spans="3:11" ht="14.7" thickBot="1" x14ac:dyDescent="0.6">
      <c r="C577" s="124"/>
      <c r="D577" s="1" t="s">
        <v>375</v>
      </c>
      <c r="E577" s="37">
        <f ca="1">VLOOKUP(D561,'2 Solid waste'!$D$153:$K$172,8,FALSE)</f>
        <v>0</v>
      </c>
      <c r="G577" s="125"/>
    </row>
    <row r="578" spans="3:11" ht="14.7" thickTop="1" x14ac:dyDescent="0.55000000000000004">
      <c r="C578" s="124"/>
      <c r="G578" s="125"/>
    </row>
    <row r="579" spans="3:11" x14ac:dyDescent="0.55000000000000004">
      <c r="C579" s="124"/>
      <c r="G579" s="125"/>
    </row>
    <row r="580" spans="3:11" x14ac:dyDescent="0.55000000000000004">
      <c r="C580" s="124"/>
      <c r="G580" s="125"/>
    </row>
    <row r="581" spans="3:11" x14ac:dyDescent="0.55000000000000004">
      <c r="C581" s="124"/>
      <c r="G581" s="125"/>
    </row>
    <row r="582" spans="3:11" x14ac:dyDescent="0.55000000000000004">
      <c r="C582" s="124"/>
      <c r="G582" s="125"/>
    </row>
    <row r="583" spans="3:11" x14ac:dyDescent="0.55000000000000004">
      <c r="C583" s="124"/>
      <c r="G583" s="125"/>
    </row>
    <row r="584" spans="3:11" x14ac:dyDescent="0.55000000000000004">
      <c r="C584" s="124"/>
      <c r="G584" s="125"/>
    </row>
    <row r="585" spans="3:11" x14ac:dyDescent="0.55000000000000004">
      <c r="C585" s="124"/>
      <c r="G585" s="125"/>
    </row>
    <row r="586" spans="3:11" x14ac:dyDescent="0.55000000000000004">
      <c r="C586" s="124"/>
      <c r="G586" s="125"/>
      <c r="I586" s="232" t="s">
        <v>385</v>
      </c>
    </row>
    <row r="587" spans="3:11" x14ac:dyDescent="0.55000000000000004">
      <c r="C587" s="124"/>
      <c r="G587" s="125"/>
      <c r="I587" s="110"/>
      <c r="J587" s="102" t="s">
        <v>390</v>
      </c>
      <c r="K587" s="102" t="s">
        <v>391</v>
      </c>
    </row>
    <row r="588" spans="3:11" x14ac:dyDescent="0.55000000000000004">
      <c r="C588" s="124"/>
      <c r="G588" s="125"/>
      <c r="I588" s="110" t="str">
        <f>D564</f>
        <v>Fixed cost</v>
      </c>
      <c r="J588" s="100">
        <f ca="1">E564/1000</f>
        <v>0</v>
      </c>
      <c r="K588" s="102"/>
    </row>
    <row r="589" spans="3:11" x14ac:dyDescent="0.55000000000000004">
      <c r="C589" s="124"/>
      <c r="G589" s="125"/>
      <c r="I589" s="110" t="str">
        <f>"Surplus"</f>
        <v>Surplus</v>
      </c>
      <c r="J589" s="100">
        <f ca="1">E567/1000</f>
        <v>0</v>
      </c>
      <c r="K589" s="110"/>
    </row>
    <row r="590" spans="3:11" x14ac:dyDescent="0.55000000000000004">
      <c r="C590" s="124"/>
      <c r="G590" s="125"/>
      <c r="I590" s="110" t="str">
        <f>"Tariff revenue"</f>
        <v>Tariff revenue</v>
      </c>
      <c r="J590" s="100"/>
      <c r="K590" s="101">
        <f ca="1">E577/1000</f>
        <v>0</v>
      </c>
    </row>
    <row r="591" spans="3:11" x14ac:dyDescent="0.55000000000000004">
      <c r="C591" s="124"/>
      <c r="G591" s="125"/>
      <c r="I591" s="110" t="str">
        <f>"External grants &amp; subsidies"</f>
        <v>External grants &amp; subsidies</v>
      </c>
      <c r="J591" s="100"/>
      <c r="K591" s="101">
        <f ca="1">E572/1000</f>
        <v>0</v>
      </c>
    </row>
    <row r="592" spans="3:11" x14ac:dyDescent="0.55000000000000004">
      <c r="C592" s="124"/>
      <c r="G592" s="125"/>
      <c r="I592" s="110" t="str">
        <f>"Other non-tariff revenue"</f>
        <v>Other non-tariff revenue</v>
      </c>
      <c r="J592" s="100"/>
      <c r="K592" s="101">
        <f ca="1">SUM(E569:E571)/1000</f>
        <v>0</v>
      </c>
    </row>
    <row r="593" spans="3:11" x14ac:dyDescent="0.55000000000000004">
      <c r="C593" s="124"/>
      <c r="G593" s="125"/>
      <c r="I593" s="110" t="str">
        <f>"Deficit"</f>
        <v>Deficit</v>
      </c>
      <c r="J593" s="100"/>
      <c r="K593" s="101">
        <f ca="1">E575/1000</f>
        <v>0</v>
      </c>
    </row>
    <row r="594" spans="3:11" x14ac:dyDescent="0.55000000000000004">
      <c r="C594" s="124"/>
      <c r="G594" s="125"/>
    </row>
    <row r="595" spans="3:11" x14ac:dyDescent="0.55000000000000004">
      <c r="C595" s="124"/>
      <c r="G595" s="125"/>
    </row>
    <row r="596" spans="3:11" x14ac:dyDescent="0.55000000000000004">
      <c r="C596" s="124"/>
      <c r="G596" s="125"/>
    </row>
    <row r="597" spans="3:11" x14ac:dyDescent="0.55000000000000004">
      <c r="C597" s="124"/>
      <c r="E597" s="220" t="s">
        <v>250</v>
      </c>
      <c r="G597" s="125"/>
    </row>
    <row r="598" spans="3:11" x14ac:dyDescent="0.55000000000000004">
      <c r="C598" s="124"/>
      <c r="D598" t="str">
        <f>IF('2 Solid waste'!$E$13='2 Solid waste'!$P$13,"Cost per customer","Cost per bin collected")</f>
        <v>Cost per bin collected</v>
      </c>
      <c r="E598" s="64">
        <f ca="1">VLOOKUP(D561,'2 Solid waste'!$D$153:$M$172,10,FALSE)</f>
        <v>0</v>
      </c>
      <c r="G598" s="125"/>
    </row>
    <row r="599" spans="3:11" x14ac:dyDescent="0.55000000000000004">
      <c r="C599" s="124"/>
      <c r="D599" t="s">
        <v>375</v>
      </c>
      <c r="E599" s="64">
        <f ca="1">VLOOKUP(D561,'2 Solid waste'!$D$153:$M$172,9,FALSE)</f>
        <v>0</v>
      </c>
      <c r="G599" s="125"/>
    </row>
    <row r="600" spans="3:11" x14ac:dyDescent="0.55000000000000004">
      <c r="C600" s="124"/>
      <c r="D600" t="s">
        <v>378</v>
      </c>
      <c r="E600" s="64">
        <f ca="1">IFERROR(IF(E567=0,E575,E567)/E565,0)</f>
        <v>0</v>
      </c>
      <c r="G600" s="125"/>
    </row>
    <row r="601" spans="3:11" x14ac:dyDescent="0.55000000000000004">
      <c r="C601" s="124"/>
      <c r="G601" s="125"/>
    </row>
    <row r="602" spans="3:11" x14ac:dyDescent="0.55000000000000004">
      <c r="C602" s="124"/>
      <c r="D602" t="s">
        <v>379</v>
      </c>
      <c r="E602" s="64">
        <f ca="1">'3 Solid waste'!G239</f>
        <v>0</v>
      </c>
      <c r="G602" s="125"/>
    </row>
    <row r="603" spans="3:11" ht="14.7" thickBot="1" x14ac:dyDescent="0.6">
      <c r="C603" s="130"/>
      <c r="D603" s="131"/>
      <c r="E603" s="131"/>
      <c r="F603" s="131"/>
      <c r="G603" s="132"/>
    </row>
    <row r="605" spans="3:11" ht="14.7" thickBot="1" x14ac:dyDescent="0.6"/>
    <row r="606" spans="3:11" x14ac:dyDescent="0.55000000000000004">
      <c r="C606" s="121"/>
      <c r="D606" s="122"/>
      <c r="E606" s="122"/>
      <c r="F606" s="122"/>
      <c r="G606" s="123"/>
    </row>
    <row r="607" spans="3:11" ht="15.6" x14ac:dyDescent="0.6">
      <c r="C607" s="124"/>
      <c r="D607" s="98">
        <f>'2 Customer data'!D142</f>
        <v>0</v>
      </c>
      <c r="G607" s="125"/>
    </row>
    <row r="608" spans="3:11" x14ac:dyDescent="0.55000000000000004">
      <c r="C608" s="124"/>
      <c r="G608" s="125"/>
    </row>
    <row r="609" spans="3:7" x14ac:dyDescent="0.55000000000000004">
      <c r="C609" s="124"/>
      <c r="E609" s="220" t="s">
        <v>250</v>
      </c>
      <c r="G609" s="125"/>
    </row>
    <row r="610" spans="3:7" x14ac:dyDescent="0.55000000000000004">
      <c r="C610" s="124"/>
      <c r="D610" t="s">
        <v>369</v>
      </c>
      <c r="E610" s="26">
        <f ca="1">VLOOKUP(D607,'2 Solid waste'!$D$16:$H$35,4,FALSE)</f>
        <v>0</v>
      </c>
      <c r="G610" s="125"/>
    </row>
    <row r="611" spans="3:7" ht="14.7" thickBot="1" x14ac:dyDescent="0.6">
      <c r="C611" s="124"/>
      <c r="D611" s="1" t="s">
        <v>39</v>
      </c>
      <c r="E611" s="37">
        <f ca="1">VLOOKUP(D607,'2 Solid waste'!$D$16:$H$35,5,FALSE)</f>
        <v>0</v>
      </c>
      <c r="G611" s="125"/>
    </row>
    <row r="612" spans="3:7" ht="14.7" thickTop="1" x14ac:dyDescent="0.55000000000000004">
      <c r="C612" s="124"/>
      <c r="G612" s="125"/>
    </row>
    <row r="613" spans="3:7" x14ac:dyDescent="0.55000000000000004">
      <c r="C613" s="124"/>
      <c r="D613" t="s">
        <v>189</v>
      </c>
      <c r="E613" s="26">
        <f ca="1">IF(VLOOKUP(D607,'2 Solid waste'!$D$122:$K$141,7,FALSE)="",VLOOKUP(D607,'2 Solid waste'!$D$122:$K$141,6,FALSE),VLOOKUP(D607,'2 Solid waste'!$D$122:$K$141,7,FALSE))+VLOOKUP(D607,'2 Solid waste'!$D$153:$J$172,5,FALSE)</f>
        <v>0</v>
      </c>
      <c r="G613" s="125"/>
    </row>
    <row r="614" spans="3:7" x14ac:dyDescent="0.55000000000000004">
      <c r="C614" s="124"/>
      <c r="G614" s="125"/>
    </row>
    <row r="615" spans="3:7" x14ac:dyDescent="0.55000000000000004">
      <c r="C615" s="124"/>
      <c r="D615" t="s">
        <v>371</v>
      </c>
      <c r="E615" s="64">
        <f ca="1">IF(VLOOKUP(D607,'2 Solid waste'!$D$51:$M$70,5,FALSE)="",VLOOKUP(D607,'2 Solid waste'!$D$51:$M$70,4,FALSE),VLOOKUP(D607,'2 Solid waste'!$D$51:$M$70,5,FALSE))</f>
        <v>0</v>
      </c>
      <c r="G615" s="125"/>
    </row>
    <row r="616" spans="3:7" x14ac:dyDescent="0.55000000000000004">
      <c r="C616" s="124"/>
      <c r="D616" t="s">
        <v>372</v>
      </c>
      <c r="E616" s="26">
        <f ca="1">IF(VLOOKUP(D607,'2 Solid waste'!$D$51:$M$70,7,FALSE)="",VLOOKUP(D607,'2 Solid waste'!$D$51:$M$70,6,FALSE),VLOOKUP(D607,'2 Solid waste'!$D$51:$M$70,7,FALSE))</f>
        <v>0</v>
      </c>
      <c r="G616" s="125"/>
    </row>
    <row r="617" spans="3:7" x14ac:dyDescent="0.55000000000000004">
      <c r="C617" s="124"/>
      <c r="D617" t="s">
        <v>373</v>
      </c>
      <c r="E617" s="26">
        <f ca="1">IF(VLOOKUP(D607,'2 Solid waste'!$D$51:$M$70,9,FALSE)="",VLOOKUP(D607,'2 Solid waste'!$D$51:$M$70,8,FALSE),VLOOKUP(D607,'2 Solid waste'!$D$51:$M$70,9,FALSE))</f>
        <v>0</v>
      </c>
      <c r="G617" s="125"/>
    </row>
    <row r="618" spans="3:7" x14ac:dyDescent="0.55000000000000004">
      <c r="C618" s="124"/>
      <c r="D618" t="s">
        <v>374</v>
      </c>
      <c r="E618" s="26">
        <f ca="1">IF(VLOOKUP(D607,'2 Solid waste'!$D$87:$I$106,5,FALSE)="",VLOOKUP(D607,'2 Solid waste'!$D$87:$I$106,4,FALSE),VLOOKUP(D607,'2 Solid waste'!$D$87:$I$106,5,FALSE))</f>
        <v>0</v>
      </c>
      <c r="G618" s="125"/>
    </row>
    <row r="619" spans="3:7" ht="14.7" thickBot="1" x14ac:dyDescent="0.6">
      <c r="C619" s="124"/>
      <c r="D619" s="1" t="s">
        <v>145</v>
      </c>
      <c r="E619" s="37">
        <f ca="1">SUM(E615:E618)</f>
        <v>0</v>
      </c>
      <c r="G619" s="125"/>
    </row>
    <row r="620" spans="3:7" ht="14.7" thickTop="1" x14ac:dyDescent="0.55000000000000004">
      <c r="C620" s="124"/>
      <c r="D620" s="1"/>
      <c r="E620" s="15"/>
      <c r="G620" s="125"/>
    </row>
    <row r="621" spans="3:7" x14ac:dyDescent="0.55000000000000004">
      <c r="C621" s="124"/>
      <c r="D621" t="s">
        <v>384</v>
      </c>
      <c r="E621" s="26">
        <f ca="1">IF(VLOOKUP(D607,'2 Solid waste'!$D$122:$K$141,5,FALSE)="",VLOOKUP(D607,'2 Solid waste'!$D$122:$K$141,4,FALSE),VLOOKUP(D607,'2 Solid waste'!$D$122:$K$141,5,FALSE))+VLOOKUP(D607,'2 Solid waste'!$D$153:$J$172,7,FALSE)</f>
        <v>0</v>
      </c>
      <c r="G621" s="125"/>
    </row>
    <row r="622" spans="3:7" x14ac:dyDescent="0.55000000000000004">
      <c r="C622" s="124"/>
      <c r="G622" s="125"/>
    </row>
    <row r="623" spans="3:7" ht="14.7" thickBot="1" x14ac:dyDescent="0.6">
      <c r="C623" s="124"/>
      <c r="D623" s="1" t="s">
        <v>375</v>
      </c>
      <c r="E623" s="37">
        <f ca="1">VLOOKUP(D607,'2 Solid waste'!$D$153:$K$172,8,FALSE)</f>
        <v>0</v>
      </c>
      <c r="G623" s="125"/>
    </row>
    <row r="624" spans="3:7" ht="14.7" thickTop="1" x14ac:dyDescent="0.55000000000000004">
      <c r="C624" s="124"/>
      <c r="G624" s="125"/>
    </row>
    <row r="625" spans="3:11" x14ac:dyDescent="0.55000000000000004">
      <c r="C625" s="124"/>
      <c r="G625" s="125"/>
    </row>
    <row r="626" spans="3:11" x14ac:dyDescent="0.55000000000000004">
      <c r="C626" s="124"/>
      <c r="G626" s="125"/>
    </row>
    <row r="627" spans="3:11" x14ac:dyDescent="0.55000000000000004">
      <c r="C627" s="124"/>
      <c r="G627" s="125"/>
    </row>
    <row r="628" spans="3:11" x14ac:dyDescent="0.55000000000000004">
      <c r="C628" s="124"/>
      <c r="G628" s="125"/>
    </row>
    <row r="629" spans="3:11" x14ac:dyDescent="0.55000000000000004">
      <c r="C629" s="124"/>
      <c r="G629" s="125"/>
    </row>
    <row r="630" spans="3:11" x14ac:dyDescent="0.55000000000000004">
      <c r="C630" s="124"/>
      <c r="G630" s="125"/>
    </row>
    <row r="631" spans="3:11" x14ac:dyDescent="0.55000000000000004">
      <c r="C631" s="124"/>
      <c r="G631" s="125"/>
    </row>
    <row r="632" spans="3:11" x14ac:dyDescent="0.55000000000000004">
      <c r="C632" s="124"/>
      <c r="G632" s="125"/>
      <c r="I632" s="232" t="s">
        <v>385</v>
      </c>
    </row>
    <row r="633" spans="3:11" x14ac:dyDescent="0.55000000000000004">
      <c r="C633" s="124"/>
      <c r="G633" s="125"/>
      <c r="I633" s="110"/>
      <c r="J633" s="102" t="s">
        <v>390</v>
      </c>
      <c r="K633" s="102" t="s">
        <v>391</v>
      </c>
    </row>
    <row r="634" spans="3:11" x14ac:dyDescent="0.55000000000000004">
      <c r="C634" s="124"/>
      <c r="G634" s="125"/>
      <c r="I634" s="110" t="str">
        <f>D610</f>
        <v>Fixed cost</v>
      </c>
      <c r="J634" s="100">
        <f ca="1">E610/1000</f>
        <v>0</v>
      </c>
      <c r="K634" s="102"/>
    </row>
    <row r="635" spans="3:11" x14ac:dyDescent="0.55000000000000004">
      <c r="C635" s="124"/>
      <c r="G635" s="125"/>
      <c r="I635" s="110" t="str">
        <f>"Surplus"</f>
        <v>Surplus</v>
      </c>
      <c r="J635" s="100">
        <f ca="1">E613/1000</f>
        <v>0</v>
      </c>
      <c r="K635" s="110"/>
    </row>
    <row r="636" spans="3:11" x14ac:dyDescent="0.55000000000000004">
      <c r="C636" s="124"/>
      <c r="G636" s="125"/>
      <c r="I636" s="110" t="str">
        <f>"Tariff revenue"</f>
        <v>Tariff revenue</v>
      </c>
      <c r="J636" s="100"/>
      <c r="K636" s="101">
        <f ca="1">E623/1000</f>
        <v>0</v>
      </c>
    </row>
    <row r="637" spans="3:11" x14ac:dyDescent="0.55000000000000004">
      <c r="C637" s="124"/>
      <c r="G637" s="125"/>
      <c r="I637" s="110" t="str">
        <f>"External grants &amp; subsidies"</f>
        <v>External grants &amp; subsidies</v>
      </c>
      <c r="J637" s="100"/>
      <c r="K637" s="101">
        <f ca="1">E618/1000</f>
        <v>0</v>
      </c>
    </row>
    <row r="638" spans="3:11" x14ac:dyDescent="0.55000000000000004">
      <c r="C638" s="124"/>
      <c r="G638" s="125"/>
      <c r="I638" s="110" t="str">
        <f>"Other non-tariff revenue"</f>
        <v>Other non-tariff revenue</v>
      </c>
      <c r="J638" s="100"/>
      <c r="K638" s="101">
        <f ca="1">SUM(E615:E617)/1000</f>
        <v>0</v>
      </c>
    </row>
    <row r="639" spans="3:11" x14ac:dyDescent="0.55000000000000004">
      <c r="C639" s="124"/>
      <c r="G639" s="125"/>
      <c r="I639" s="110" t="str">
        <f>"Deficit"</f>
        <v>Deficit</v>
      </c>
      <c r="J639" s="100"/>
      <c r="K639" s="101">
        <f ca="1">E621/1000</f>
        <v>0</v>
      </c>
    </row>
    <row r="640" spans="3:11" x14ac:dyDescent="0.55000000000000004">
      <c r="C640" s="124"/>
      <c r="G640" s="125"/>
    </row>
    <row r="641" spans="3:7" x14ac:dyDescent="0.55000000000000004">
      <c r="C641" s="124"/>
      <c r="G641" s="125"/>
    </row>
    <row r="642" spans="3:7" x14ac:dyDescent="0.55000000000000004">
      <c r="C642" s="124"/>
      <c r="G642" s="125"/>
    </row>
    <row r="643" spans="3:7" x14ac:dyDescent="0.55000000000000004">
      <c r="C643" s="124"/>
      <c r="E643" s="220" t="s">
        <v>250</v>
      </c>
      <c r="G643" s="125"/>
    </row>
    <row r="644" spans="3:7" x14ac:dyDescent="0.55000000000000004">
      <c r="C644" s="124"/>
      <c r="D644" t="str">
        <f>IF('2 Solid waste'!$E$13='2 Solid waste'!$P$13,"Cost per customer","Cost per bin collected")</f>
        <v>Cost per bin collected</v>
      </c>
      <c r="E644" s="64">
        <f ca="1">VLOOKUP(D607,'2 Solid waste'!$D$153:$M$172,10,FALSE)</f>
        <v>0</v>
      </c>
      <c r="G644" s="125"/>
    </row>
    <row r="645" spans="3:7" x14ac:dyDescent="0.55000000000000004">
      <c r="C645" s="124"/>
      <c r="D645" t="s">
        <v>375</v>
      </c>
      <c r="E645" s="64">
        <f ca="1">VLOOKUP(D607,'2 Solid waste'!$D$153:$M$172,9,FALSE)</f>
        <v>0</v>
      </c>
      <c r="G645" s="125"/>
    </row>
    <row r="646" spans="3:7" x14ac:dyDescent="0.55000000000000004">
      <c r="C646" s="124"/>
      <c r="D646" t="s">
        <v>378</v>
      </c>
      <c r="E646" s="64">
        <f ca="1">IFERROR(IF(E613=0,E621,E613)/E611,0)</f>
        <v>0</v>
      </c>
      <c r="G646" s="125"/>
    </row>
    <row r="647" spans="3:7" x14ac:dyDescent="0.55000000000000004">
      <c r="C647" s="124"/>
      <c r="G647" s="125"/>
    </row>
    <row r="648" spans="3:7" x14ac:dyDescent="0.55000000000000004">
      <c r="C648" s="124"/>
      <c r="D648" t="s">
        <v>379</v>
      </c>
      <c r="E648" s="64">
        <f ca="1">'3 Solid waste'!G257</f>
        <v>0</v>
      </c>
      <c r="G648" s="125"/>
    </row>
    <row r="649" spans="3:7" ht="14.7" thickBot="1" x14ac:dyDescent="0.6">
      <c r="C649" s="130"/>
      <c r="D649" s="131"/>
      <c r="E649" s="131"/>
      <c r="F649" s="131"/>
      <c r="G649" s="132"/>
    </row>
    <row r="651" spans="3:7" ht="14.7" thickBot="1" x14ac:dyDescent="0.6"/>
    <row r="652" spans="3:7" x14ac:dyDescent="0.55000000000000004">
      <c r="C652" s="121"/>
      <c r="D652" s="122"/>
      <c r="E652" s="122"/>
      <c r="F652" s="122"/>
      <c r="G652" s="123"/>
    </row>
    <row r="653" spans="3:7" ht="15.6" x14ac:dyDescent="0.6">
      <c r="C653" s="124"/>
      <c r="D653" s="98">
        <f>'2 Customer data'!D143</f>
        <v>0</v>
      </c>
      <c r="G653" s="125"/>
    </row>
    <row r="654" spans="3:7" x14ac:dyDescent="0.55000000000000004">
      <c r="C654" s="124"/>
      <c r="G654" s="125"/>
    </row>
    <row r="655" spans="3:7" x14ac:dyDescent="0.55000000000000004">
      <c r="C655" s="124"/>
      <c r="E655" s="220" t="s">
        <v>250</v>
      </c>
      <c r="G655" s="125"/>
    </row>
    <row r="656" spans="3:7" x14ac:dyDescent="0.55000000000000004">
      <c r="C656" s="124"/>
      <c r="D656" t="s">
        <v>369</v>
      </c>
      <c r="E656" s="26">
        <f ca="1">VLOOKUP(D653,'2 Solid waste'!$D$16:$H$35,4,FALSE)</f>
        <v>0</v>
      </c>
      <c r="G656" s="125"/>
    </row>
    <row r="657" spans="3:7" ht="14.7" thickBot="1" x14ac:dyDescent="0.6">
      <c r="C657" s="124"/>
      <c r="D657" s="1" t="s">
        <v>39</v>
      </c>
      <c r="E657" s="37">
        <f ca="1">VLOOKUP(D653,'2 Solid waste'!$D$16:$H$35,5,FALSE)</f>
        <v>0</v>
      </c>
      <c r="G657" s="125"/>
    </row>
    <row r="658" spans="3:7" ht="14.7" thickTop="1" x14ac:dyDescent="0.55000000000000004">
      <c r="C658" s="124"/>
      <c r="G658" s="125"/>
    </row>
    <row r="659" spans="3:7" x14ac:dyDescent="0.55000000000000004">
      <c r="C659" s="124"/>
      <c r="D659" t="s">
        <v>189</v>
      </c>
      <c r="E659" s="26">
        <f ca="1">IF(VLOOKUP(D653,'2 Solid waste'!$D$122:$K$141,7,FALSE)="",VLOOKUP(D653,'2 Solid waste'!$D$122:$K$141,6,FALSE),VLOOKUP(D653,'2 Solid waste'!$D$122:$K$141,7,FALSE))+VLOOKUP(D653,'2 Solid waste'!$D$153:$J$172,5,FALSE)</f>
        <v>0</v>
      </c>
      <c r="G659" s="125"/>
    </row>
    <row r="660" spans="3:7" x14ac:dyDescent="0.55000000000000004">
      <c r="C660" s="124"/>
      <c r="G660" s="125"/>
    </row>
    <row r="661" spans="3:7" x14ac:dyDescent="0.55000000000000004">
      <c r="C661" s="124"/>
      <c r="D661" t="s">
        <v>371</v>
      </c>
      <c r="E661" s="64">
        <f ca="1">IF(VLOOKUP(D653,'2 Solid waste'!$D$51:$M$70,5,FALSE)="",VLOOKUP(D653,'2 Solid waste'!$D$51:$M$70,4,FALSE),VLOOKUP(D653,'2 Solid waste'!$D$51:$M$70,5,FALSE))</f>
        <v>0</v>
      </c>
      <c r="G661" s="125"/>
    </row>
    <row r="662" spans="3:7" x14ac:dyDescent="0.55000000000000004">
      <c r="C662" s="124"/>
      <c r="D662" t="s">
        <v>372</v>
      </c>
      <c r="E662" s="26">
        <f ca="1">IF(VLOOKUP(D653,'2 Solid waste'!$D$51:$M$70,7,FALSE)="",VLOOKUP(D653,'2 Solid waste'!$D$51:$M$70,6,FALSE),VLOOKUP(D653,'2 Solid waste'!$D$51:$M$70,7,FALSE))</f>
        <v>0</v>
      </c>
      <c r="G662" s="125"/>
    </row>
    <row r="663" spans="3:7" x14ac:dyDescent="0.55000000000000004">
      <c r="C663" s="124"/>
      <c r="D663" t="s">
        <v>373</v>
      </c>
      <c r="E663" s="26">
        <f ca="1">IF(VLOOKUP(D653,'2 Solid waste'!$D$51:$M$70,9,FALSE)="",VLOOKUP(D653,'2 Solid waste'!$D$51:$M$70,8,FALSE),VLOOKUP(D653,'2 Solid waste'!$D$51:$M$70,9,FALSE))</f>
        <v>0</v>
      </c>
      <c r="G663" s="125"/>
    </row>
    <row r="664" spans="3:7" x14ac:dyDescent="0.55000000000000004">
      <c r="C664" s="124"/>
      <c r="D664" t="s">
        <v>374</v>
      </c>
      <c r="E664" s="26">
        <f ca="1">IF(VLOOKUP(D653,'2 Solid waste'!$D$87:$I$106,5,FALSE)="",VLOOKUP(D653,'2 Solid waste'!$D$87:$I$106,4,FALSE),VLOOKUP(D653,'2 Solid waste'!$D$87:$I$106,5,FALSE))</f>
        <v>0</v>
      </c>
      <c r="G664" s="125"/>
    </row>
    <row r="665" spans="3:7" ht="14.7" thickBot="1" x14ac:dyDescent="0.6">
      <c r="C665" s="124"/>
      <c r="D665" s="1" t="s">
        <v>145</v>
      </c>
      <c r="E665" s="37">
        <f ca="1">SUM(E661:E664)</f>
        <v>0</v>
      </c>
      <c r="G665" s="125"/>
    </row>
    <row r="666" spans="3:7" ht="14.7" thickTop="1" x14ac:dyDescent="0.55000000000000004">
      <c r="C666" s="124"/>
      <c r="D666" s="1"/>
      <c r="E666" s="15"/>
      <c r="G666" s="125"/>
    </row>
    <row r="667" spans="3:7" x14ac:dyDescent="0.55000000000000004">
      <c r="C667" s="124"/>
      <c r="D667" t="s">
        <v>384</v>
      </c>
      <c r="E667" s="26">
        <f ca="1">IF(VLOOKUP(D653,'2 Solid waste'!$D$122:$K$141,5,FALSE)="",VLOOKUP(D653,'2 Solid waste'!$D$122:$K$141,4,FALSE),VLOOKUP(D653,'2 Solid waste'!$D$122:$K$141,5,FALSE))+VLOOKUP(D653,'2 Solid waste'!$D$153:$J$172,7,FALSE)</f>
        <v>0</v>
      </c>
      <c r="G667" s="125"/>
    </row>
    <row r="668" spans="3:7" x14ac:dyDescent="0.55000000000000004">
      <c r="C668" s="124"/>
      <c r="G668" s="125"/>
    </row>
    <row r="669" spans="3:7" ht="14.7" thickBot="1" x14ac:dyDescent="0.6">
      <c r="C669" s="124"/>
      <c r="D669" s="1" t="s">
        <v>375</v>
      </c>
      <c r="E669" s="37">
        <f ca="1">VLOOKUP(D653,'2 Solid waste'!$D$153:$K$172,8,FALSE)</f>
        <v>0</v>
      </c>
      <c r="G669" s="125"/>
    </row>
    <row r="670" spans="3:7" ht="14.7" thickTop="1" x14ac:dyDescent="0.55000000000000004">
      <c r="C670" s="124"/>
      <c r="G670" s="125"/>
    </row>
    <row r="671" spans="3:7" x14ac:dyDescent="0.55000000000000004">
      <c r="C671" s="124"/>
      <c r="G671" s="125"/>
    </row>
    <row r="672" spans="3:7" x14ac:dyDescent="0.55000000000000004">
      <c r="C672" s="124"/>
      <c r="G672" s="125"/>
    </row>
    <row r="673" spans="3:11" x14ac:dyDescent="0.55000000000000004">
      <c r="C673" s="124"/>
      <c r="G673" s="125"/>
    </row>
    <row r="674" spans="3:11" x14ac:dyDescent="0.55000000000000004">
      <c r="C674" s="124"/>
      <c r="G674" s="125"/>
    </row>
    <row r="675" spans="3:11" x14ac:dyDescent="0.55000000000000004">
      <c r="C675" s="124"/>
      <c r="G675" s="125"/>
    </row>
    <row r="676" spans="3:11" x14ac:dyDescent="0.55000000000000004">
      <c r="C676" s="124"/>
      <c r="G676" s="125"/>
    </row>
    <row r="677" spans="3:11" x14ac:dyDescent="0.55000000000000004">
      <c r="C677" s="124"/>
      <c r="G677" s="125"/>
    </row>
    <row r="678" spans="3:11" x14ac:dyDescent="0.55000000000000004">
      <c r="C678" s="124"/>
      <c r="G678" s="125"/>
      <c r="I678" s="232" t="s">
        <v>385</v>
      </c>
    </row>
    <row r="679" spans="3:11" x14ac:dyDescent="0.55000000000000004">
      <c r="C679" s="124"/>
      <c r="G679" s="125"/>
      <c r="I679" s="110"/>
      <c r="J679" s="102" t="s">
        <v>390</v>
      </c>
      <c r="K679" s="102" t="s">
        <v>391</v>
      </c>
    </row>
    <row r="680" spans="3:11" x14ac:dyDescent="0.55000000000000004">
      <c r="C680" s="124"/>
      <c r="G680" s="125"/>
      <c r="I680" s="110" t="str">
        <f>D656</f>
        <v>Fixed cost</v>
      </c>
      <c r="J680" s="100">
        <f ca="1">E656/1000</f>
        <v>0</v>
      </c>
      <c r="K680" s="102"/>
    </row>
    <row r="681" spans="3:11" x14ac:dyDescent="0.55000000000000004">
      <c r="C681" s="124"/>
      <c r="G681" s="125"/>
      <c r="I681" s="110" t="str">
        <f>"Surplus"</f>
        <v>Surplus</v>
      </c>
      <c r="J681" s="100">
        <f ca="1">E659/1000</f>
        <v>0</v>
      </c>
      <c r="K681" s="110"/>
    </row>
    <row r="682" spans="3:11" x14ac:dyDescent="0.55000000000000004">
      <c r="C682" s="124"/>
      <c r="G682" s="125"/>
      <c r="I682" s="110" t="str">
        <f>"Tariff revenue"</f>
        <v>Tariff revenue</v>
      </c>
      <c r="J682" s="100"/>
      <c r="K682" s="101">
        <f ca="1">E669/1000</f>
        <v>0</v>
      </c>
    </row>
    <row r="683" spans="3:11" x14ac:dyDescent="0.55000000000000004">
      <c r="C683" s="124"/>
      <c r="G683" s="125"/>
      <c r="I683" s="110" t="str">
        <f>"External grants &amp; subsidies"</f>
        <v>External grants &amp; subsidies</v>
      </c>
      <c r="J683" s="100"/>
      <c r="K683" s="101">
        <f ca="1">E664/1000</f>
        <v>0</v>
      </c>
    </row>
    <row r="684" spans="3:11" x14ac:dyDescent="0.55000000000000004">
      <c r="C684" s="124"/>
      <c r="G684" s="125"/>
      <c r="I684" s="110" t="str">
        <f>"Other non-tariff revenue"</f>
        <v>Other non-tariff revenue</v>
      </c>
      <c r="J684" s="100"/>
      <c r="K684" s="101">
        <f ca="1">SUM(E661:E663)/1000</f>
        <v>0</v>
      </c>
    </row>
    <row r="685" spans="3:11" x14ac:dyDescent="0.55000000000000004">
      <c r="C685" s="124"/>
      <c r="G685" s="125"/>
      <c r="I685" s="110" t="str">
        <f>"Deficit"</f>
        <v>Deficit</v>
      </c>
      <c r="J685" s="100"/>
      <c r="K685" s="101">
        <f ca="1">E667/1000</f>
        <v>0</v>
      </c>
    </row>
    <row r="686" spans="3:11" x14ac:dyDescent="0.55000000000000004">
      <c r="C686" s="124"/>
      <c r="G686" s="125"/>
    </row>
    <row r="687" spans="3:11" x14ac:dyDescent="0.55000000000000004">
      <c r="C687" s="124"/>
      <c r="G687" s="125"/>
    </row>
    <row r="688" spans="3:11" x14ac:dyDescent="0.55000000000000004">
      <c r="C688" s="124"/>
      <c r="G688" s="125"/>
    </row>
    <row r="689" spans="3:7" x14ac:dyDescent="0.55000000000000004">
      <c r="C689" s="124"/>
      <c r="E689" s="220" t="s">
        <v>250</v>
      </c>
      <c r="G689" s="125"/>
    </row>
    <row r="690" spans="3:7" x14ac:dyDescent="0.55000000000000004">
      <c r="C690" s="124"/>
      <c r="D690" t="str">
        <f>IF('2 Solid waste'!$E$13='2 Solid waste'!$P$13,"Cost per customer","Cost per bin collected")</f>
        <v>Cost per bin collected</v>
      </c>
      <c r="E690" s="64">
        <f ca="1">VLOOKUP(D653,'2 Solid waste'!$D$153:$M$172,10,FALSE)</f>
        <v>0</v>
      </c>
      <c r="G690" s="125"/>
    </row>
    <row r="691" spans="3:7" x14ac:dyDescent="0.55000000000000004">
      <c r="C691" s="124"/>
      <c r="D691" t="s">
        <v>375</v>
      </c>
      <c r="E691" s="64">
        <f ca="1">VLOOKUP(D653,'2 Solid waste'!$D$153:$M$172,9,FALSE)</f>
        <v>0</v>
      </c>
      <c r="G691" s="125"/>
    </row>
    <row r="692" spans="3:7" x14ac:dyDescent="0.55000000000000004">
      <c r="C692" s="124"/>
      <c r="D692" t="s">
        <v>378</v>
      </c>
      <c r="E692" s="64">
        <f ca="1">IFERROR(IF(E659=0,E667,E659)/E657,0)</f>
        <v>0</v>
      </c>
      <c r="G692" s="125"/>
    </row>
    <row r="693" spans="3:7" x14ac:dyDescent="0.55000000000000004">
      <c r="C693" s="124"/>
      <c r="G693" s="125"/>
    </row>
    <row r="694" spans="3:7" x14ac:dyDescent="0.55000000000000004">
      <c r="C694" s="124"/>
      <c r="D694" t="s">
        <v>379</v>
      </c>
      <c r="E694" s="64">
        <f ca="1">'3 Solid waste'!G275</f>
        <v>0</v>
      </c>
      <c r="G694" s="125"/>
    </row>
    <row r="695" spans="3:7" ht="14.7" thickBot="1" x14ac:dyDescent="0.6">
      <c r="C695" s="130"/>
      <c r="D695" s="131"/>
      <c r="E695" s="131"/>
      <c r="F695" s="131"/>
      <c r="G695" s="132"/>
    </row>
    <row r="697" spans="3:7" ht="14.7" thickBot="1" x14ac:dyDescent="0.6"/>
    <row r="698" spans="3:7" x14ac:dyDescent="0.55000000000000004">
      <c r="C698" s="121"/>
      <c r="D698" s="122"/>
      <c r="E698" s="122"/>
      <c r="F698" s="122"/>
      <c r="G698" s="123"/>
    </row>
    <row r="699" spans="3:7" ht="15.6" x14ac:dyDescent="0.6">
      <c r="C699" s="124"/>
      <c r="D699" s="98">
        <f>'2 Customer data'!D144</f>
        <v>0</v>
      </c>
      <c r="G699" s="125"/>
    </row>
    <row r="700" spans="3:7" x14ac:dyDescent="0.55000000000000004">
      <c r="C700" s="124"/>
      <c r="G700" s="125"/>
    </row>
    <row r="701" spans="3:7" x14ac:dyDescent="0.55000000000000004">
      <c r="C701" s="124"/>
      <c r="E701" s="220" t="s">
        <v>250</v>
      </c>
      <c r="G701" s="125"/>
    </row>
    <row r="702" spans="3:7" x14ac:dyDescent="0.55000000000000004">
      <c r="C702" s="124"/>
      <c r="D702" t="s">
        <v>369</v>
      </c>
      <c r="E702" s="26">
        <f ca="1">VLOOKUP(D699,'2 Solid waste'!$D$16:$H$35,4,FALSE)</f>
        <v>0</v>
      </c>
      <c r="G702" s="125"/>
    </row>
    <row r="703" spans="3:7" ht="14.7" thickBot="1" x14ac:dyDescent="0.6">
      <c r="C703" s="124"/>
      <c r="D703" s="1" t="s">
        <v>39</v>
      </c>
      <c r="E703" s="37">
        <f ca="1">VLOOKUP(D699,'2 Solid waste'!$D$16:$H$35,5,FALSE)</f>
        <v>0</v>
      </c>
      <c r="G703" s="125"/>
    </row>
    <row r="704" spans="3:7" ht="14.7" thickTop="1" x14ac:dyDescent="0.55000000000000004">
      <c r="C704" s="124"/>
      <c r="G704" s="125"/>
    </row>
    <row r="705" spans="3:7" x14ac:dyDescent="0.55000000000000004">
      <c r="C705" s="124"/>
      <c r="D705" t="s">
        <v>189</v>
      </c>
      <c r="E705" s="26">
        <f ca="1">IF(VLOOKUP(D699,'2 Solid waste'!$D$122:$K$141,7,FALSE)="",VLOOKUP(D699,'2 Solid waste'!$D$122:$K$141,6,FALSE),VLOOKUP(D699,'2 Solid waste'!$D$122:$K$141,7,FALSE))+VLOOKUP(D699,'2 Solid waste'!$D$153:$J$172,5,FALSE)</f>
        <v>0</v>
      </c>
      <c r="G705" s="125"/>
    </row>
    <row r="706" spans="3:7" x14ac:dyDescent="0.55000000000000004">
      <c r="C706" s="124"/>
      <c r="G706" s="125"/>
    </row>
    <row r="707" spans="3:7" x14ac:dyDescent="0.55000000000000004">
      <c r="C707" s="124"/>
      <c r="D707" t="s">
        <v>371</v>
      </c>
      <c r="E707" s="64">
        <f ca="1">IF(VLOOKUP(D699,'2 Solid waste'!$D$51:$M$70,5,FALSE)="",VLOOKUP(D699,'2 Solid waste'!$D$51:$M$70,4,FALSE),VLOOKUP(D699,'2 Solid waste'!$D$51:$M$70,5,FALSE))</f>
        <v>0</v>
      </c>
      <c r="G707" s="125"/>
    </row>
    <row r="708" spans="3:7" x14ac:dyDescent="0.55000000000000004">
      <c r="C708" s="124"/>
      <c r="D708" t="s">
        <v>372</v>
      </c>
      <c r="E708" s="26">
        <f ca="1">IF(VLOOKUP(D699,'2 Solid waste'!$D$51:$M$70,7,FALSE)="",VLOOKUP(D699,'2 Solid waste'!$D$51:$M$70,6,FALSE),VLOOKUP(D699,'2 Solid waste'!$D$51:$M$70,7,FALSE))</f>
        <v>0</v>
      </c>
      <c r="G708" s="125"/>
    </row>
    <row r="709" spans="3:7" x14ac:dyDescent="0.55000000000000004">
      <c r="C709" s="124"/>
      <c r="D709" t="s">
        <v>373</v>
      </c>
      <c r="E709" s="26">
        <f ca="1">IF(VLOOKUP(D699,'2 Solid waste'!$D$51:$M$70,9,FALSE)="",VLOOKUP(D699,'2 Solid waste'!$D$51:$M$70,8,FALSE),VLOOKUP(D699,'2 Solid waste'!$D$51:$M$70,9,FALSE))</f>
        <v>0</v>
      </c>
      <c r="G709" s="125"/>
    </row>
    <row r="710" spans="3:7" x14ac:dyDescent="0.55000000000000004">
      <c r="C710" s="124"/>
      <c r="D710" t="s">
        <v>374</v>
      </c>
      <c r="E710" s="26">
        <f ca="1">IF(VLOOKUP(D699,'2 Solid waste'!$D$87:$I$106,5,FALSE)="",VLOOKUP(D699,'2 Solid waste'!$D$87:$I$106,4,FALSE),VLOOKUP(D699,'2 Solid waste'!$D$87:$I$106,5,FALSE))</f>
        <v>0</v>
      </c>
      <c r="G710" s="125"/>
    </row>
    <row r="711" spans="3:7" ht="14.7" thickBot="1" x14ac:dyDescent="0.6">
      <c r="C711" s="124"/>
      <c r="D711" s="1" t="s">
        <v>145</v>
      </c>
      <c r="E711" s="37">
        <f ca="1">SUM(E707:E710)</f>
        <v>0</v>
      </c>
      <c r="G711" s="125"/>
    </row>
    <row r="712" spans="3:7" ht="14.7" thickTop="1" x14ac:dyDescent="0.55000000000000004">
      <c r="C712" s="124"/>
      <c r="D712" s="1"/>
      <c r="E712" s="15"/>
      <c r="G712" s="125"/>
    </row>
    <row r="713" spans="3:7" x14ac:dyDescent="0.55000000000000004">
      <c r="C713" s="124"/>
      <c r="D713" t="s">
        <v>384</v>
      </c>
      <c r="E713" s="26">
        <f ca="1">IF(VLOOKUP(D699,'2 Solid waste'!$D$122:$K$141,5,FALSE)="",VLOOKUP(D699,'2 Solid waste'!$D$122:$K$141,4,FALSE),VLOOKUP(D699,'2 Solid waste'!$D$122:$K$141,5,FALSE))+VLOOKUP(D699,'2 Solid waste'!$D$153:$J$172,7,FALSE)</f>
        <v>0</v>
      </c>
      <c r="G713" s="125"/>
    </row>
    <row r="714" spans="3:7" x14ac:dyDescent="0.55000000000000004">
      <c r="C714" s="124"/>
      <c r="G714" s="125"/>
    </row>
    <row r="715" spans="3:7" ht="14.7" thickBot="1" x14ac:dyDescent="0.6">
      <c r="C715" s="124"/>
      <c r="D715" s="1" t="s">
        <v>375</v>
      </c>
      <c r="E715" s="37">
        <f ca="1">VLOOKUP(D699,'2 Solid waste'!$D$153:$K$172,8,FALSE)</f>
        <v>0</v>
      </c>
      <c r="G715" s="125"/>
    </row>
    <row r="716" spans="3:7" ht="14.7" thickTop="1" x14ac:dyDescent="0.55000000000000004">
      <c r="C716" s="124"/>
      <c r="G716" s="125"/>
    </row>
    <row r="717" spans="3:7" x14ac:dyDescent="0.55000000000000004">
      <c r="C717" s="124"/>
      <c r="G717" s="125"/>
    </row>
    <row r="718" spans="3:7" x14ac:dyDescent="0.55000000000000004">
      <c r="C718" s="124"/>
      <c r="G718" s="125"/>
    </row>
    <row r="719" spans="3:7" x14ac:dyDescent="0.55000000000000004">
      <c r="C719" s="124"/>
      <c r="G719" s="125"/>
    </row>
    <row r="720" spans="3:7" x14ac:dyDescent="0.55000000000000004">
      <c r="C720" s="124"/>
      <c r="G720" s="125"/>
    </row>
    <row r="721" spans="3:11" x14ac:dyDescent="0.55000000000000004">
      <c r="C721" s="124"/>
      <c r="G721" s="125"/>
    </row>
    <row r="722" spans="3:11" x14ac:dyDescent="0.55000000000000004">
      <c r="C722" s="124"/>
      <c r="G722" s="125"/>
    </row>
    <row r="723" spans="3:11" x14ac:dyDescent="0.55000000000000004">
      <c r="C723" s="124"/>
      <c r="G723" s="125"/>
      <c r="I723" s="232" t="s">
        <v>385</v>
      </c>
    </row>
    <row r="724" spans="3:11" x14ac:dyDescent="0.55000000000000004">
      <c r="C724" s="124"/>
      <c r="G724" s="125"/>
      <c r="I724" s="110"/>
      <c r="J724" s="102" t="s">
        <v>390</v>
      </c>
      <c r="K724" s="102" t="s">
        <v>391</v>
      </c>
    </row>
    <row r="725" spans="3:11" x14ac:dyDescent="0.55000000000000004">
      <c r="C725" s="124"/>
      <c r="G725" s="125"/>
      <c r="I725" s="110" t="str">
        <f>D702</f>
        <v>Fixed cost</v>
      </c>
      <c r="J725" s="100">
        <f ca="1">E702/1000</f>
        <v>0</v>
      </c>
      <c r="K725" s="102"/>
    </row>
    <row r="726" spans="3:11" x14ac:dyDescent="0.55000000000000004">
      <c r="C726" s="124"/>
      <c r="G726" s="125"/>
      <c r="I726" s="110" t="str">
        <f>"Surplus"</f>
        <v>Surplus</v>
      </c>
      <c r="J726" s="100">
        <f ca="1">E705/1000</f>
        <v>0</v>
      </c>
      <c r="K726" s="110"/>
    </row>
    <row r="727" spans="3:11" x14ac:dyDescent="0.55000000000000004">
      <c r="C727" s="124"/>
      <c r="G727" s="125"/>
      <c r="I727" s="110" t="str">
        <f>"Tariff revenue"</f>
        <v>Tariff revenue</v>
      </c>
      <c r="J727" s="100"/>
      <c r="K727" s="101">
        <f ca="1">E715/1000</f>
        <v>0</v>
      </c>
    </row>
    <row r="728" spans="3:11" x14ac:dyDescent="0.55000000000000004">
      <c r="C728" s="124"/>
      <c r="G728" s="125"/>
      <c r="I728" s="110" t="str">
        <f>"External grants &amp; subsidies"</f>
        <v>External grants &amp; subsidies</v>
      </c>
      <c r="J728" s="100"/>
      <c r="K728" s="101">
        <f ca="1">E710/1000</f>
        <v>0</v>
      </c>
    </row>
    <row r="729" spans="3:11" x14ac:dyDescent="0.55000000000000004">
      <c r="C729" s="124"/>
      <c r="G729" s="125"/>
      <c r="I729" s="110" t="str">
        <f>"Other non-tariff revenue"</f>
        <v>Other non-tariff revenue</v>
      </c>
      <c r="J729" s="100"/>
      <c r="K729" s="101">
        <f ca="1">SUM(E707:E709)/1000</f>
        <v>0</v>
      </c>
    </row>
    <row r="730" spans="3:11" x14ac:dyDescent="0.55000000000000004">
      <c r="C730" s="124"/>
      <c r="G730" s="125"/>
      <c r="I730" s="110" t="str">
        <f>"Deficit"</f>
        <v>Deficit</v>
      </c>
      <c r="J730" s="100"/>
      <c r="K730" s="101">
        <f ca="1">E713/1000</f>
        <v>0</v>
      </c>
    </row>
    <row r="731" spans="3:11" x14ac:dyDescent="0.55000000000000004">
      <c r="C731" s="124"/>
      <c r="G731" s="125"/>
    </row>
    <row r="732" spans="3:11" x14ac:dyDescent="0.55000000000000004">
      <c r="C732" s="124"/>
      <c r="G732" s="125"/>
    </row>
    <row r="733" spans="3:11" x14ac:dyDescent="0.55000000000000004">
      <c r="C733" s="124"/>
      <c r="G733" s="125"/>
    </row>
    <row r="734" spans="3:11" x14ac:dyDescent="0.55000000000000004">
      <c r="C734" s="124"/>
      <c r="G734" s="125"/>
    </row>
    <row r="735" spans="3:11" x14ac:dyDescent="0.55000000000000004">
      <c r="C735" s="124"/>
      <c r="E735" s="220" t="s">
        <v>250</v>
      </c>
      <c r="G735" s="125"/>
    </row>
    <row r="736" spans="3:11" x14ac:dyDescent="0.55000000000000004">
      <c r="C736" s="124"/>
      <c r="D736" t="str">
        <f>IF('2 Solid waste'!$E$13='2 Solid waste'!$P$13,"Cost per customer","Cost per bin collected")</f>
        <v>Cost per bin collected</v>
      </c>
      <c r="E736" s="64">
        <f ca="1">VLOOKUP(D699,'2 Solid waste'!$D$153:$M$172,10,FALSE)</f>
        <v>0</v>
      </c>
      <c r="G736" s="125"/>
    </row>
    <row r="737" spans="3:7" x14ac:dyDescent="0.55000000000000004">
      <c r="C737" s="124"/>
      <c r="D737" t="s">
        <v>375</v>
      </c>
      <c r="E737" s="64">
        <f ca="1">VLOOKUP(D699,'2 Solid waste'!$D$153:$M$172,9,FALSE)</f>
        <v>0</v>
      </c>
      <c r="G737" s="125"/>
    </row>
    <row r="738" spans="3:7" x14ac:dyDescent="0.55000000000000004">
      <c r="C738" s="124"/>
      <c r="D738" t="s">
        <v>378</v>
      </c>
      <c r="E738" s="64">
        <f ca="1">IFERROR(IF(E705=0,E713,E705)/E703,0)</f>
        <v>0</v>
      </c>
      <c r="G738" s="125"/>
    </row>
    <row r="739" spans="3:7" x14ac:dyDescent="0.55000000000000004">
      <c r="C739" s="124"/>
      <c r="G739" s="125"/>
    </row>
    <row r="740" spans="3:7" x14ac:dyDescent="0.55000000000000004">
      <c r="C740" s="124"/>
      <c r="D740" t="s">
        <v>379</v>
      </c>
      <c r="E740" s="64">
        <f ca="1">'3 Solid waste'!G293</f>
        <v>0</v>
      </c>
      <c r="G740" s="125"/>
    </row>
    <row r="741" spans="3:7" ht="14.7" thickBot="1" x14ac:dyDescent="0.6">
      <c r="C741" s="130"/>
      <c r="D741" s="131"/>
      <c r="E741" s="131"/>
      <c r="F741" s="131"/>
      <c r="G741" s="132"/>
    </row>
    <row r="743" spans="3:7" ht="14.7" thickBot="1" x14ac:dyDescent="0.6"/>
    <row r="744" spans="3:7" x14ac:dyDescent="0.55000000000000004">
      <c r="C744" s="121"/>
      <c r="D744" s="122"/>
      <c r="E744" s="122"/>
      <c r="F744" s="122"/>
      <c r="G744" s="123"/>
    </row>
    <row r="745" spans="3:7" ht="15.6" x14ac:dyDescent="0.6">
      <c r="C745" s="124"/>
      <c r="D745" s="98">
        <f>'2 Customer data'!D145</f>
        <v>0</v>
      </c>
      <c r="G745" s="125"/>
    </row>
    <row r="746" spans="3:7" x14ac:dyDescent="0.55000000000000004">
      <c r="C746" s="124"/>
      <c r="G746" s="125"/>
    </row>
    <row r="747" spans="3:7" x14ac:dyDescent="0.55000000000000004">
      <c r="C747" s="124"/>
      <c r="E747" s="220" t="s">
        <v>250</v>
      </c>
      <c r="G747" s="125"/>
    </row>
    <row r="748" spans="3:7" x14ac:dyDescent="0.55000000000000004">
      <c r="C748" s="124"/>
      <c r="D748" t="s">
        <v>369</v>
      </c>
      <c r="E748" s="26">
        <f ca="1">VLOOKUP(D745,'2 Solid waste'!$D$16:$H$35,4,FALSE)</f>
        <v>0</v>
      </c>
      <c r="G748" s="125"/>
    </row>
    <row r="749" spans="3:7" ht="14.7" thickBot="1" x14ac:dyDescent="0.6">
      <c r="C749" s="124"/>
      <c r="D749" s="1" t="s">
        <v>39</v>
      </c>
      <c r="E749" s="37">
        <f ca="1">VLOOKUP(D745,'2 Solid waste'!$D$16:$H$35,5,FALSE)</f>
        <v>0</v>
      </c>
      <c r="G749" s="125"/>
    </row>
    <row r="750" spans="3:7" ht="14.7" thickTop="1" x14ac:dyDescent="0.55000000000000004">
      <c r="C750" s="124"/>
      <c r="G750" s="125"/>
    </row>
    <row r="751" spans="3:7" x14ac:dyDescent="0.55000000000000004">
      <c r="C751" s="124"/>
      <c r="D751" t="s">
        <v>189</v>
      </c>
      <c r="E751" s="26">
        <f ca="1">IF(VLOOKUP(D745,'2 Solid waste'!$D$122:$K$141,7,FALSE)="",VLOOKUP(D745,'2 Solid waste'!$D$122:$K$141,6,FALSE),VLOOKUP(D745,'2 Solid waste'!$D$122:$K$141,7,FALSE))+VLOOKUP(D745,'2 Solid waste'!$D$153:$J$172,5,FALSE)</f>
        <v>0</v>
      </c>
      <c r="G751" s="125"/>
    </row>
    <row r="752" spans="3:7" x14ac:dyDescent="0.55000000000000004">
      <c r="C752" s="124"/>
      <c r="G752" s="125"/>
    </row>
    <row r="753" spans="3:9" x14ac:dyDescent="0.55000000000000004">
      <c r="C753" s="124"/>
      <c r="D753" t="s">
        <v>371</v>
      </c>
      <c r="E753" s="64">
        <f ca="1">IF(VLOOKUP(D745,'2 Solid waste'!$D$51:$M$70,5,FALSE)="",VLOOKUP(D745,'2 Solid waste'!$D$51:$M$70,4,FALSE),VLOOKUP(D745,'2 Solid waste'!$D$51:$M$70,5,FALSE))</f>
        <v>0</v>
      </c>
      <c r="G753" s="125"/>
    </row>
    <row r="754" spans="3:9" x14ac:dyDescent="0.55000000000000004">
      <c r="C754" s="124"/>
      <c r="D754" t="s">
        <v>372</v>
      </c>
      <c r="E754" s="26">
        <f ca="1">IF(VLOOKUP(D745,'2 Solid waste'!$D$51:$M$70,7,FALSE)="",VLOOKUP(D745,'2 Solid waste'!$D$51:$M$70,6,FALSE),VLOOKUP(D745,'2 Solid waste'!$D$51:$M$70,7,FALSE))</f>
        <v>0</v>
      </c>
      <c r="G754" s="125"/>
    </row>
    <row r="755" spans="3:9" x14ac:dyDescent="0.55000000000000004">
      <c r="C755" s="124"/>
      <c r="D755" t="s">
        <v>373</v>
      </c>
      <c r="E755" s="26">
        <f ca="1">IF(VLOOKUP(D745,'2 Solid waste'!$D$51:$M$70,9,FALSE)="",VLOOKUP(D745,'2 Solid waste'!$D$51:$M$70,8,FALSE),VLOOKUP(D745,'2 Solid waste'!$D$51:$M$70,9,FALSE))</f>
        <v>0</v>
      </c>
      <c r="G755" s="125"/>
    </row>
    <row r="756" spans="3:9" x14ac:dyDescent="0.55000000000000004">
      <c r="C756" s="124"/>
      <c r="D756" t="s">
        <v>374</v>
      </c>
      <c r="E756" s="26">
        <f ca="1">IF(VLOOKUP(D745,'2 Solid waste'!$D$87:$I$106,5,FALSE)="",VLOOKUP(D745,'2 Solid waste'!$D$87:$I$106,4,FALSE),VLOOKUP(D745,'2 Solid waste'!$D$87:$I$106,5,FALSE))</f>
        <v>0</v>
      </c>
      <c r="G756" s="125"/>
    </row>
    <row r="757" spans="3:9" ht="14.7" thickBot="1" x14ac:dyDescent="0.6">
      <c r="C757" s="124"/>
      <c r="D757" s="1" t="s">
        <v>145</v>
      </c>
      <c r="E757" s="37">
        <f ca="1">SUM(E753:E756)</f>
        <v>0</v>
      </c>
      <c r="G757" s="125"/>
    </row>
    <row r="758" spans="3:9" ht="14.7" thickTop="1" x14ac:dyDescent="0.55000000000000004">
      <c r="C758" s="124"/>
      <c r="D758" s="1"/>
      <c r="E758" s="15"/>
      <c r="G758" s="125"/>
    </row>
    <row r="759" spans="3:9" x14ac:dyDescent="0.55000000000000004">
      <c r="C759" s="124"/>
      <c r="D759" t="s">
        <v>384</v>
      </c>
      <c r="E759" s="26">
        <f ca="1">IF(VLOOKUP(D745,'2 Solid waste'!$D$122:$K$141,5,FALSE)="",VLOOKUP(D745,'2 Solid waste'!$D$122:$K$141,4,FALSE),VLOOKUP(D745,'2 Solid waste'!$D$122:$K$141,5,FALSE))+VLOOKUP(D745,'2 Solid waste'!$D$153:$J$172,7,FALSE)</f>
        <v>0</v>
      </c>
      <c r="G759" s="125"/>
    </row>
    <row r="760" spans="3:9" x14ac:dyDescent="0.55000000000000004">
      <c r="C760" s="124"/>
      <c r="G760" s="125"/>
    </row>
    <row r="761" spans="3:9" ht="14.7" thickBot="1" x14ac:dyDescent="0.6">
      <c r="C761" s="124"/>
      <c r="D761" s="1" t="s">
        <v>375</v>
      </c>
      <c r="E761" s="37">
        <f ca="1">VLOOKUP(D745,'2 Solid waste'!$D$153:$K$172,8,FALSE)</f>
        <v>0</v>
      </c>
      <c r="G761" s="125"/>
    </row>
    <row r="762" spans="3:9" ht="14.7" thickTop="1" x14ac:dyDescent="0.55000000000000004">
      <c r="C762" s="124"/>
      <c r="G762" s="125"/>
    </row>
    <row r="763" spans="3:9" x14ac:dyDescent="0.55000000000000004">
      <c r="C763" s="124"/>
      <c r="G763" s="125"/>
    </row>
    <row r="764" spans="3:9" x14ac:dyDescent="0.55000000000000004">
      <c r="C764" s="124"/>
      <c r="G764" s="125"/>
    </row>
    <row r="765" spans="3:9" x14ac:dyDescent="0.55000000000000004">
      <c r="C765" s="124"/>
      <c r="G765" s="125"/>
    </row>
    <row r="766" spans="3:9" x14ac:dyDescent="0.55000000000000004">
      <c r="C766" s="124"/>
      <c r="G766" s="125"/>
    </row>
    <row r="767" spans="3:9" x14ac:dyDescent="0.55000000000000004">
      <c r="C767" s="124"/>
      <c r="G767" s="125"/>
    </row>
    <row r="768" spans="3:9" x14ac:dyDescent="0.55000000000000004">
      <c r="C768" s="124"/>
      <c r="G768" s="125"/>
      <c r="I768" s="232" t="s">
        <v>385</v>
      </c>
    </row>
    <row r="769" spans="3:11" x14ac:dyDescent="0.55000000000000004">
      <c r="C769" s="124"/>
      <c r="G769" s="125"/>
      <c r="I769" s="110"/>
      <c r="J769" s="102" t="s">
        <v>390</v>
      </c>
      <c r="K769" s="102" t="s">
        <v>391</v>
      </c>
    </row>
    <row r="770" spans="3:11" x14ac:dyDescent="0.55000000000000004">
      <c r="C770" s="124"/>
      <c r="G770" s="125"/>
      <c r="I770" s="110" t="str">
        <f>D748</f>
        <v>Fixed cost</v>
      </c>
      <c r="J770" s="100">
        <f ca="1">E748/1000</f>
        <v>0</v>
      </c>
      <c r="K770" s="102"/>
    </row>
    <row r="771" spans="3:11" x14ac:dyDescent="0.55000000000000004">
      <c r="C771" s="124"/>
      <c r="G771" s="125"/>
      <c r="I771" s="110" t="str">
        <f>"Surplus"</f>
        <v>Surplus</v>
      </c>
      <c r="J771" s="100">
        <f ca="1">E751/1000</f>
        <v>0</v>
      </c>
      <c r="K771" s="110"/>
    </row>
    <row r="772" spans="3:11" x14ac:dyDescent="0.55000000000000004">
      <c r="C772" s="124"/>
      <c r="G772" s="125"/>
      <c r="I772" s="110" t="str">
        <f>"Tariff revenue"</f>
        <v>Tariff revenue</v>
      </c>
      <c r="J772" s="100"/>
      <c r="K772" s="101">
        <f ca="1">E761/1000</f>
        <v>0</v>
      </c>
    </row>
    <row r="773" spans="3:11" x14ac:dyDescent="0.55000000000000004">
      <c r="C773" s="124"/>
      <c r="G773" s="125"/>
      <c r="I773" s="110" t="str">
        <f>"External grants &amp; subsidies"</f>
        <v>External grants &amp; subsidies</v>
      </c>
      <c r="J773" s="100"/>
      <c r="K773" s="101">
        <f ca="1">E756/1000</f>
        <v>0</v>
      </c>
    </row>
    <row r="774" spans="3:11" x14ac:dyDescent="0.55000000000000004">
      <c r="C774" s="124"/>
      <c r="G774" s="125"/>
      <c r="I774" s="110" t="str">
        <f>"Other non-tariff revenue"</f>
        <v>Other non-tariff revenue</v>
      </c>
      <c r="J774" s="100"/>
      <c r="K774" s="101">
        <f ca="1">SUM(E753:E755)/1000</f>
        <v>0</v>
      </c>
    </row>
    <row r="775" spans="3:11" x14ac:dyDescent="0.55000000000000004">
      <c r="C775" s="124"/>
      <c r="G775" s="125"/>
      <c r="I775" s="110" t="str">
        <f>"Deficit"</f>
        <v>Deficit</v>
      </c>
      <c r="J775" s="100"/>
      <c r="K775" s="101">
        <f ca="1">E759/1000</f>
        <v>0</v>
      </c>
    </row>
    <row r="776" spans="3:11" x14ac:dyDescent="0.55000000000000004">
      <c r="C776" s="124"/>
      <c r="G776" s="125"/>
    </row>
    <row r="777" spans="3:11" x14ac:dyDescent="0.55000000000000004">
      <c r="C777" s="124"/>
      <c r="G777" s="125"/>
    </row>
    <row r="778" spans="3:11" x14ac:dyDescent="0.55000000000000004">
      <c r="C778" s="124"/>
      <c r="G778" s="125"/>
    </row>
    <row r="779" spans="3:11" x14ac:dyDescent="0.55000000000000004">
      <c r="C779" s="124"/>
      <c r="G779" s="125"/>
    </row>
    <row r="780" spans="3:11" x14ac:dyDescent="0.55000000000000004">
      <c r="C780" s="124"/>
      <c r="G780" s="125"/>
    </row>
    <row r="781" spans="3:11" x14ac:dyDescent="0.55000000000000004">
      <c r="C781" s="124"/>
      <c r="E781" s="220" t="s">
        <v>250</v>
      </c>
      <c r="G781" s="125"/>
    </row>
    <row r="782" spans="3:11" x14ac:dyDescent="0.55000000000000004">
      <c r="C782" s="124"/>
      <c r="D782" t="str">
        <f>IF('2 Solid waste'!$E$13='2 Solid waste'!$P$13,"Cost per customer","Cost per bin collected")</f>
        <v>Cost per bin collected</v>
      </c>
      <c r="E782" s="64">
        <f ca="1">VLOOKUP(D745,'2 Solid waste'!$D$153:$M$172,10,FALSE)</f>
        <v>0</v>
      </c>
      <c r="G782" s="125"/>
    </row>
    <row r="783" spans="3:11" x14ac:dyDescent="0.55000000000000004">
      <c r="C783" s="124"/>
      <c r="D783" t="s">
        <v>375</v>
      </c>
      <c r="E783" s="64">
        <f ca="1">VLOOKUP(D745,'2 Solid waste'!$D$153:$M$172,9,FALSE)</f>
        <v>0</v>
      </c>
      <c r="G783" s="125"/>
    </row>
    <row r="784" spans="3:11" x14ac:dyDescent="0.55000000000000004">
      <c r="C784" s="124"/>
      <c r="D784" t="s">
        <v>378</v>
      </c>
      <c r="E784" s="64">
        <f ca="1">IFERROR(IF(E751=0,E759,E751)/E749,0)</f>
        <v>0</v>
      </c>
      <c r="G784" s="125"/>
    </row>
    <row r="785" spans="3:7" x14ac:dyDescent="0.55000000000000004">
      <c r="C785" s="124"/>
      <c r="G785" s="125"/>
    </row>
    <row r="786" spans="3:7" x14ac:dyDescent="0.55000000000000004">
      <c r="C786" s="124"/>
      <c r="D786" t="s">
        <v>379</v>
      </c>
      <c r="E786" s="64">
        <f ca="1">'3 Solid waste'!G311</f>
        <v>0</v>
      </c>
      <c r="G786" s="125"/>
    </row>
    <row r="787" spans="3:7" ht="14.7" thickBot="1" x14ac:dyDescent="0.6">
      <c r="C787" s="130"/>
      <c r="D787" s="131"/>
      <c r="E787" s="131"/>
      <c r="F787" s="131"/>
      <c r="G787" s="132"/>
    </row>
    <row r="789" spans="3:7" ht="14.7" thickBot="1" x14ac:dyDescent="0.6"/>
    <row r="790" spans="3:7" x14ac:dyDescent="0.55000000000000004">
      <c r="C790" s="121"/>
      <c r="D790" s="122"/>
      <c r="E790" s="122"/>
      <c r="F790" s="122"/>
      <c r="G790" s="123"/>
    </row>
    <row r="791" spans="3:7" ht="15.6" x14ac:dyDescent="0.6">
      <c r="C791" s="124"/>
      <c r="D791" s="98">
        <f>'2 Customer data'!D146</f>
        <v>0</v>
      </c>
      <c r="G791" s="125"/>
    </row>
    <row r="792" spans="3:7" x14ac:dyDescent="0.55000000000000004">
      <c r="C792" s="124"/>
      <c r="G792" s="125"/>
    </row>
    <row r="793" spans="3:7" x14ac:dyDescent="0.55000000000000004">
      <c r="C793" s="124"/>
      <c r="E793" s="220" t="s">
        <v>250</v>
      </c>
      <c r="G793" s="125"/>
    </row>
    <row r="794" spans="3:7" x14ac:dyDescent="0.55000000000000004">
      <c r="C794" s="124"/>
      <c r="D794" t="s">
        <v>369</v>
      </c>
      <c r="E794" s="26">
        <f ca="1">VLOOKUP(D791,'2 Solid waste'!$D$16:$H$35,4,FALSE)</f>
        <v>0</v>
      </c>
      <c r="G794" s="125"/>
    </row>
    <row r="795" spans="3:7" ht="14.7" thickBot="1" x14ac:dyDescent="0.6">
      <c r="C795" s="124"/>
      <c r="D795" s="1" t="s">
        <v>39</v>
      </c>
      <c r="E795" s="37">
        <f ca="1">VLOOKUP(D791,'2 Solid waste'!$D$16:$H$35,5,FALSE)</f>
        <v>0</v>
      </c>
      <c r="G795" s="125"/>
    </row>
    <row r="796" spans="3:7" ht="14.7" thickTop="1" x14ac:dyDescent="0.55000000000000004">
      <c r="C796" s="124"/>
      <c r="G796" s="125"/>
    </row>
    <row r="797" spans="3:7" x14ac:dyDescent="0.55000000000000004">
      <c r="C797" s="124"/>
      <c r="D797" t="s">
        <v>189</v>
      </c>
      <c r="E797" s="26">
        <f ca="1">IF(VLOOKUP(D791,'2 Solid waste'!$D$122:$K$141,7,FALSE)="",VLOOKUP(D791,'2 Solid waste'!$D$122:$K$141,6,FALSE),VLOOKUP(D791,'2 Solid waste'!$D$122:$K$141,7,FALSE))+VLOOKUP(D791,'2 Solid waste'!$D$153:$J$172,5,FALSE)</f>
        <v>0</v>
      </c>
      <c r="G797" s="125"/>
    </row>
    <row r="798" spans="3:7" x14ac:dyDescent="0.55000000000000004">
      <c r="C798" s="124"/>
      <c r="G798" s="125"/>
    </row>
    <row r="799" spans="3:7" x14ac:dyDescent="0.55000000000000004">
      <c r="C799" s="124"/>
      <c r="D799" t="s">
        <v>371</v>
      </c>
      <c r="E799" s="64">
        <f ca="1">IF(VLOOKUP(D791,'2 Solid waste'!$D$51:$M$70,5,FALSE)="",VLOOKUP(D791,'2 Solid waste'!$D$51:$M$70,4,FALSE),VLOOKUP(D791,'2 Solid waste'!$D$51:$M$70,5,FALSE))</f>
        <v>0</v>
      </c>
      <c r="G799" s="125"/>
    </row>
    <row r="800" spans="3:7" x14ac:dyDescent="0.55000000000000004">
      <c r="C800" s="124"/>
      <c r="D800" t="s">
        <v>372</v>
      </c>
      <c r="E800" s="26">
        <f ca="1">IF(VLOOKUP(D791,'2 Solid waste'!$D$51:$M$70,7,FALSE)="",VLOOKUP(D791,'2 Solid waste'!$D$51:$M$70,6,FALSE),VLOOKUP(D791,'2 Solid waste'!$D$51:$M$70,7,FALSE))</f>
        <v>0</v>
      </c>
      <c r="G800" s="125"/>
    </row>
    <row r="801" spans="3:11" x14ac:dyDescent="0.55000000000000004">
      <c r="C801" s="124"/>
      <c r="D801" t="s">
        <v>373</v>
      </c>
      <c r="E801" s="26">
        <f ca="1">IF(VLOOKUP(D791,'2 Solid waste'!$D$51:$M$70,9,FALSE)="",VLOOKUP(D791,'2 Solid waste'!$D$51:$M$70,8,FALSE),VLOOKUP(D791,'2 Solid waste'!$D$51:$M$70,9,FALSE))</f>
        <v>0</v>
      </c>
      <c r="G801" s="125"/>
    </row>
    <row r="802" spans="3:11" x14ac:dyDescent="0.55000000000000004">
      <c r="C802" s="124"/>
      <c r="D802" t="s">
        <v>374</v>
      </c>
      <c r="E802" s="26">
        <f ca="1">IF(VLOOKUP(D791,'2 Solid waste'!$D$87:$I$106,5,FALSE)="",VLOOKUP(D791,'2 Solid waste'!$D$87:$I$106,4,FALSE),VLOOKUP(D791,'2 Solid waste'!$D$87:$I$106,5,FALSE))</f>
        <v>0</v>
      </c>
      <c r="G802" s="125"/>
    </row>
    <row r="803" spans="3:11" ht="14.7" thickBot="1" x14ac:dyDescent="0.6">
      <c r="C803" s="124"/>
      <c r="D803" s="1" t="s">
        <v>145</v>
      </c>
      <c r="E803" s="37">
        <f ca="1">SUM(E799:E802)</f>
        <v>0</v>
      </c>
      <c r="G803" s="125"/>
    </row>
    <row r="804" spans="3:11" ht="14.7" thickTop="1" x14ac:dyDescent="0.55000000000000004">
      <c r="C804" s="124"/>
      <c r="D804" s="1"/>
      <c r="E804" s="15"/>
      <c r="G804" s="125"/>
    </row>
    <row r="805" spans="3:11" x14ac:dyDescent="0.55000000000000004">
      <c r="C805" s="124"/>
      <c r="D805" t="s">
        <v>384</v>
      </c>
      <c r="E805" s="26">
        <f ca="1">IF(VLOOKUP(D791,'2 Solid waste'!$D$122:$K$141,5,FALSE)="",VLOOKUP(D791,'2 Solid waste'!$D$122:$K$141,4,FALSE),VLOOKUP(D791,'2 Solid waste'!$D$122:$K$141,5,FALSE))+VLOOKUP(D791,'2 Solid waste'!$D$153:$J$172,7,FALSE)</f>
        <v>0</v>
      </c>
      <c r="G805" s="125"/>
    </row>
    <row r="806" spans="3:11" x14ac:dyDescent="0.55000000000000004">
      <c r="C806" s="124"/>
      <c r="G806" s="125"/>
    </row>
    <row r="807" spans="3:11" ht="14.7" thickBot="1" x14ac:dyDescent="0.6">
      <c r="C807" s="124"/>
      <c r="D807" s="1" t="s">
        <v>375</v>
      </c>
      <c r="E807" s="37">
        <f ca="1">VLOOKUP(D791,'2 Solid waste'!$D$153:$K$172,8,FALSE)</f>
        <v>0</v>
      </c>
      <c r="G807" s="125"/>
    </row>
    <row r="808" spans="3:11" ht="14.7" thickTop="1" x14ac:dyDescent="0.55000000000000004">
      <c r="C808" s="124"/>
      <c r="G808" s="125"/>
    </row>
    <row r="809" spans="3:11" x14ac:dyDescent="0.55000000000000004">
      <c r="C809" s="124"/>
      <c r="G809" s="125"/>
    </row>
    <row r="810" spans="3:11" x14ac:dyDescent="0.55000000000000004">
      <c r="C810" s="124"/>
      <c r="G810" s="125"/>
    </row>
    <row r="811" spans="3:11" x14ac:dyDescent="0.55000000000000004">
      <c r="C811" s="124"/>
      <c r="G811" s="125"/>
    </row>
    <row r="812" spans="3:11" x14ac:dyDescent="0.55000000000000004">
      <c r="C812" s="124"/>
      <c r="G812" s="125"/>
    </row>
    <row r="813" spans="3:11" x14ac:dyDescent="0.55000000000000004">
      <c r="C813" s="124"/>
      <c r="G813" s="125"/>
    </row>
    <row r="814" spans="3:11" x14ac:dyDescent="0.55000000000000004">
      <c r="C814" s="124"/>
      <c r="G814" s="125"/>
    </row>
    <row r="815" spans="3:11" x14ac:dyDescent="0.55000000000000004">
      <c r="C815" s="124"/>
      <c r="G815" s="125"/>
      <c r="I815" s="232" t="s">
        <v>385</v>
      </c>
    </row>
    <row r="816" spans="3:11" x14ac:dyDescent="0.55000000000000004">
      <c r="C816" s="124"/>
      <c r="G816" s="125"/>
      <c r="I816" s="110"/>
      <c r="J816" s="102" t="s">
        <v>390</v>
      </c>
      <c r="K816" s="102" t="s">
        <v>391</v>
      </c>
    </row>
    <row r="817" spans="3:11" x14ac:dyDescent="0.55000000000000004">
      <c r="C817" s="124"/>
      <c r="G817" s="125"/>
      <c r="I817" s="110" t="str">
        <f>D794</f>
        <v>Fixed cost</v>
      </c>
      <c r="J817" s="100">
        <f ca="1">E794/1000</f>
        <v>0</v>
      </c>
      <c r="K817" s="102"/>
    </row>
    <row r="818" spans="3:11" x14ac:dyDescent="0.55000000000000004">
      <c r="C818" s="124"/>
      <c r="G818" s="125"/>
      <c r="I818" s="110" t="str">
        <f>"Surplus"</f>
        <v>Surplus</v>
      </c>
      <c r="J818" s="100">
        <f ca="1">E797/1000</f>
        <v>0</v>
      </c>
      <c r="K818" s="110"/>
    </row>
    <row r="819" spans="3:11" x14ac:dyDescent="0.55000000000000004">
      <c r="C819" s="124"/>
      <c r="G819" s="125"/>
      <c r="I819" s="110" t="str">
        <f>"Tariff revenue"</f>
        <v>Tariff revenue</v>
      </c>
      <c r="J819" s="100"/>
      <c r="K819" s="101">
        <f ca="1">E807/1000</f>
        <v>0</v>
      </c>
    </row>
    <row r="820" spans="3:11" x14ac:dyDescent="0.55000000000000004">
      <c r="C820" s="124"/>
      <c r="G820" s="125"/>
      <c r="I820" s="110" t="str">
        <f>"External grants &amp; subsidies"</f>
        <v>External grants &amp; subsidies</v>
      </c>
      <c r="J820" s="100"/>
      <c r="K820" s="101">
        <f ca="1">E802/1000</f>
        <v>0</v>
      </c>
    </row>
    <row r="821" spans="3:11" x14ac:dyDescent="0.55000000000000004">
      <c r="C821" s="124"/>
      <c r="G821" s="125"/>
      <c r="I821" s="110" t="str">
        <f>"Other non-tariff revenue"</f>
        <v>Other non-tariff revenue</v>
      </c>
      <c r="J821" s="100"/>
      <c r="K821" s="101">
        <f ca="1">SUM(E799:E801)/1000</f>
        <v>0</v>
      </c>
    </row>
    <row r="822" spans="3:11" x14ac:dyDescent="0.55000000000000004">
      <c r="C822" s="124"/>
      <c r="G822" s="125"/>
      <c r="I822" s="110" t="str">
        <f>"Deficit"</f>
        <v>Deficit</v>
      </c>
      <c r="J822" s="100"/>
      <c r="K822" s="101">
        <f ca="1">E805/1000</f>
        <v>0</v>
      </c>
    </row>
    <row r="823" spans="3:11" x14ac:dyDescent="0.55000000000000004">
      <c r="C823" s="124"/>
      <c r="G823" s="125"/>
    </row>
    <row r="824" spans="3:11" x14ac:dyDescent="0.55000000000000004">
      <c r="C824" s="124"/>
      <c r="G824" s="125"/>
    </row>
    <row r="825" spans="3:11" x14ac:dyDescent="0.55000000000000004">
      <c r="C825" s="124"/>
      <c r="G825" s="125"/>
    </row>
    <row r="826" spans="3:11" x14ac:dyDescent="0.55000000000000004">
      <c r="C826" s="124"/>
      <c r="G826" s="125"/>
    </row>
    <row r="827" spans="3:11" x14ac:dyDescent="0.55000000000000004">
      <c r="C827" s="124"/>
      <c r="E827" s="220" t="s">
        <v>250</v>
      </c>
      <c r="G827" s="125"/>
    </row>
    <row r="828" spans="3:11" x14ac:dyDescent="0.55000000000000004">
      <c r="C828" s="124"/>
      <c r="D828" t="str">
        <f>IF('2 Solid waste'!$E$13='2 Solid waste'!$P$13,"Cost per customer","Cost per bin collected")</f>
        <v>Cost per bin collected</v>
      </c>
      <c r="E828" s="64">
        <f ca="1">VLOOKUP(D791,'2 Solid waste'!$D$153:$M$172,10,FALSE)</f>
        <v>0</v>
      </c>
      <c r="G828" s="125"/>
    </row>
    <row r="829" spans="3:11" x14ac:dyDescent="0.55000000000000004">
      <c r="C829" s="124"/>
      <c r="D829" t="s">
        <v>375</v>
      </c>
      <c r="E829" s="64">
        <f ca="1">VLOOKUP(D791,'2 Solid waste'!$D$153:$M$172,9,FALSE)</f>
        <v>0</v>
      </c>
      <c r="G829" s="125"/>
    </row>
    <row r="830" spans="3:11" x14ac:dyDescent="0.55000000000000004">
      <c r="C830" s="124"/>
      <c r="D830" t="s">
        <v>378</v>
      </c>
      <c r="E830" s="64">
        <f ca="1">IFERROR(IF(E797=0,E805,E797)/E795,0)</f>
        <v>0</v>
      </c>
      <c r="G830" s="125"/>
    </row>
    <row r="831" spans="3:11" x14ac:dyDescent="0.55000000000000004">
      <c r="C831" s="124"/>
      <c r="G831" s="125"/>
    </row>
    <row r="832" spans="3:11" x14ac:dyDescent="0.55000000000000004">
      <c r="C832" s="124"/>
      <c r="D832" t="s">
        <v>379</v>
      </c>
      <c r="E832" s="64">
        <f ca="1">'3 Solid waste'!G329</f>
        <v>0</v>
      </c>
      <c r="G832" s="125"/>
    </row>
    <row r="833" spans="3:7" ht="14.7" thickBot="1" x14ac:dyDescent="0.6">
      <c r="C833" s="130"/>
      <c r="D833" s="131"/>
      <c r="E833" s="131"/>
      <c r="F833" s="131"/>
      <c r="G833" s="132"/>
    </row>
    <row r="835" spans="3:7" ht="14.7" thickBot="1" x14ac:dyDescent="0.6"/>
    <row r="836" spans="3:7" x14ac:dyDescent="0.55000000000000004">
      <c r="C836" s="121"/>
      <c r="D836" s="122"/>
      <c r="E836" s="122"/>
      <c r="F836" s="122"/>
      <c r="G836" s="123"/>
    </row>
    <row r="837" spans="3:7" ht="15.6" x14ac:dyDescent="0.6">
      <c r="C837" s="124"/>
      <c r="D837" s="98">
        <f>'2 Customer data'!D147</f>
        <v>0</v>
      </c>
      <c r="G837" s="125"/>
    </row>
    <row r="838" spans="3:7" x14ac:dyDescent="0.55000000000000004">
      <c r="C838" s="124"/>
      <c r="G838" s="125"/>
    </row>
    <row r="839" spans="3:7" x14ac:dyDescent="0.55000000000000004">
      <c r="C839" s="124"/>
      <c r="E839" s="220" t="s">
        <v>250</v>
      </c>
      <c r="G839" s="125"/>
    </row>
    <row r="840" spans="3:7" x14ac:dyDescent="0.55000000000000004">
      <c r="C840" s="124"/>
      <c r="D840" t="s">
        <v>369</v>
      </c>
      <c r="E840" s="26">
        <f ca="1">VLOOKUP(D837,'2 Solid waste'!$D$16:$H$35,4,FALSE)</f>
        <v>0</v>
      </c>
      <c r="G840" s="125"/>
    </row>
    <row r="841" spans="3:7" ht="14.7" thickBot="1" x14ac:dyDescent="0.6">
      <c r="C841" s="124"/>
      <c r="D841" s="1" t="s">
        <v>39</v>
      </c>
      <c r="E841" s="37">
        <f ca="1">VLOOKUP(D837,'2 Solid waste'!$D$16:$H$35,5,FALSE)</f>
        <v>0</v>
      </c>
      <c r="G841" s="125"/>
    </row>
    <row r="842" spans="3:7" ht="14.7" thickTop="1" x14ac:dyDescent="0.55000000000000004">
      <c r="C842" s="124"/>
      <c r="G842" s="125"/>
    </row>
    <row r="843" spans="3:7" x14ac:dyDescent="0.55000000000000004">
      <c r="C843" s="124"/>
      <c r="D843" t="s">
        <v>189</v>
      </c>
      <c r="E843" s="26">
        <f ca="1">IF(VLOOKUP(D837,'2 Solid waste'!$D$122:$K$141,7,FALSE)="",VLOOKUP(D837,'2 Solid waste'!$D$122:$K$141,6,FALSE),VLOOKUP(D837,'2 Solid waste'!$D$122:$K$141,7,FALSE))+VLOOKUP(D837,'2 Solid waste'!$D$153:$J$172,5,FALSE)</f>
        <v>0</v>
      </c>
      <c r="G843" s="125"/>
    </row>
    <row r="844" spans="3:7" x14ac:dyDescent="0.55000000000000004">
      <c r="C844" s="124"/>
      <c r="G844" s="125"/>
    </row>
    <row r="845" spans="3:7" x14ac:dyDescent="0.55000000000000004">
      <c r="C845" s="124"/>
      <c r="D845" t="s">
        <v>371</v>
      </c>
      <c r="E845" s="64">
        <f ca="1">IF(VLOOKUP(D837,'2 Solid waste'!$D$51:$M$70,5,FALSE)="",VLOOKUP(D837,'2 Solid waste'!$D$51:$M$70,4,FALSE),VLOOKUP(D837,'2 Solid waste'!$D$51:$M$70,5,FALSE))</f>
        <v>0</v>
      </c>
      <c r="G845" s="125"/>
    </row>
    <row r="846" spans="3:7" x14ac:dyDescent="0.55000000000000004">
      <c r="C846" s="124"/>
      <c r="D846" t="s">
        <v>372</v>
      </c>
      <c r="E846" s="26">
        <f ca="1">IF(VLOOKUP(D837,'2 Solid waste'!$D$51:$M$70,7,FALSE)="",VLOOKUP(D837,'2 Solid waste'!$D$51:$M$70,6,FALSE),VLOOKUP(D837,'2 Solid waste'!$D$51:$M$70,7,FALSE))</f>
        <v>0</v>
      </c>
      <c r="G846" s="125"/>
    </row>
    <row r="847" spans="3:7" x14ac:dyDescent="0.55000000000000004">
      <c r="C847" s="124"/>
      <c r="D847" t="s">
        <v>373</v>
      </c>
      <c r="E847" s="26">
        <f ca="1">IF(VLOOKUP(D837,'2 Solid waste'!$D$51:$M$70,9,FALSE)="",VLOOKUP(D837,'2 Solid waste'!$D$51:$M$70,8,FALSE),VLOOKUP(D837,'2 Solid waste'!$D$51:$M$70,9,FALSE))</f>
        <v>0</v>
      </c>
      <c r="G847" s="125"/>
    </row>
    <row r="848" spans="3:7" x14ac:dyDescent="0.55000000000000004">
      <c r="C848" s="124"/>
      <c r="D848" t="s">
        <v>374</v>
      </c>
      <c r="E848" s="26">
        <f ca="1">IF(VLOOKUP(D837,'2 Solid waste'!$D$87:$I$106,5,FALSE)="",VLOOKUP(D837,'2 Solid waste'!$D$87:$I$106,4,FALSE),VLOOKUP(D837,'2 Solid waste'!$D$87:$I$106,5,FALSE))</f>
        <v>0</v>
      </c>
      <c r="G848" s="125"/>
    </row>
    <row r="849" spans="3:11" ht="14.7" thickBot="1" x14ac:dyDescent="0.6">
      <c r="C849" s="124"/>
      <c r="D849" s="1" t="s">
        <v>145</v>
      </c>
      <c r="E849" s="37">
        <f ca="1">SUM(E845:E848)</f>
        <v>0</v>
      </c>
      <c r="G849" s="125"/>
    </row>
    <row r="850" spans="3:11" ht="14.7" thickTop="1" x14ac:dyDescent="0.55000000000000004">
      <c r="C850" s="124"/>
      <c r="D850" s="1"/>
      <c r="E850" s="15"/>
      <c r="G850" s="125"/>
    </row>
    <row r="851" spans="3:11" x14ac:dyDescent="0.55000000000000004">
      <c r="C851" s="124"/>
      <c r="D851" t="s">
        <v>384</v>
      </c>
      <c r="E851" s="26">
        <f ca="1">IF(VLOOKUP(D837,'2 Solid waste'!$D$122:$K$141,5,FALSE)="",VLOOKUP(D837,'2 Solid waste'!$D$122:$K$141,4,FALSE),VLOOKUP(D837,'2 Solid waste'!$D$122:$K$141,5,FALSE))+VLOOKUP(D837,'2 Solid waste'!$D$153:$J$172,7,FALSE)</f>
        <v>0</v>
      </c>
      <c r="G851" s="125"/>
    </row>
    <row r="852" spans="3:11" x14ac:dyDescent="0.55000000000000004">
      <c r="C852" s="124"/>
      <c r="G852" s="125"/>
    </row>
    <row r="853" spans="3:11" ht="14.7" thickBot="1" x14ac:dyDescent="0.6">
      <c r="C853" s="124"/>
      <c r="D853" s="1" t="s">
        <v>375</v>
      </c>
      <c r="E853" s="37">
        <f ca="1">VLOOKUP(D837,'2 Solid waste'!$D$153:$K$172,8,FALSE)</f>
        <v>0</v>
      </c>
      <c r="G853" s="125"/>
    </row>
    <row r="854" spans="3:11" ht="14.7" thickTop="1" x14ac:dyDescent="0.55000000000000004">
      <c r="C854" s="124"/>
      <c r="G854" s="125"/>
    </row>
    <row r="855" spans="3:11" x14ac:dyDescent="0.55000000000000004">
      <c r="C855" s="124"/>
      <c r="G855" s="125"/>
    </row>
    <row r="856" spans="3:11" x14ac:dyDescent="0.55000000000000004">
      <c r="C856" s="124"/>
      <c r="G856" s="125"/>
    </row>
    <row r="857" spans="3:11" x14ac:dyDescent="0.55000000000000004">
      <c r="C857" s="124"/>
      <c r="G857" s="125"/>
    </row>
    <row r="858" spans="3:11" x14ac:dyDescent="0.55000000000000004">
      <c r="C858" s="124"/>
      <c r="G858" s="125"/>
    </row>
    <row r="859" spans="3:11" x14ac:dyDescent="0.55000000000000004">
      <c r="C859" s="124"/>
      <c r="G859" s="125"/>
    </row>
    <row r="860" spans="3:11" x14ac:dyDescent="0.55000000000000004">
      <c r="C860" s="124"/>
      <c r="G860" s="125"/>
    </row>
    <row r="861" spans="3:11" x14ac:dyDescent="0.55000000000000004">
      <c r="C861" s="124"/>
      <c r="G861" s="125"/>
      <c r="I861" s="232" t="s">
        <v>385</v>
      </c>
    </row>
    <row r="862" spans="3:11" x14ac:dyDescent="0.55000000000000004">
      <c r="C862" s="124"/>
      <c r="G862" s="125"/>
      <c r="I862" s="110"/>
      <c r="J862" s="102" t="s">
        <v>390</v>
      </c>
      <c r="K862" s="102" t="s">
        <v>391</v>
      </c>
    </row>
    <row r="863" spans="3:11" x14ac:dyDescent="0.55000000000000004">
      <c r="C863" s="124"/>
      <c r="G863" s="125"/>
      <c r="I863" s="110" t="str">
        <f>D840</f>
        <v>Fixed cost</v>
      </c>
      <c r="J863" s="100">
        <f ca="1">E840/1000</f>
        <v>0</v>
      </c>
      <c r="K863" s="102"/>
    </row>
    <row r="864" spans="3:11" x14ac:dyDescent="0.55000000000000004">
      <c r="C864" s="124"/>
      <c r="G864" s="125"/>
      <c r="I864" s="110" t="str">
        <f>"Surplus"</f>
        <v>Surplus</v>
      </c>
      <c r="J864" s="100">
        <f ca="1">E843/1000</f>
        <v>0</v>
      </c>
      <c r="K864" s="110"/>
    </row>
    <row r="865" spans="3:11" x14ac:dyDescent="0.55000000000000004">
      <c r="C865" s="124"/>
      <c r="G865" s="125"/>
      <c r="I865" s="110" t="str">
        <f>"Tariff revenue"</f>
        <v>Tariff revenue</v>
      </c>
      <c r="J865" s="100"/>
      <c r="K865" s="101">
        <f ca="1">E853/1000</f>
        <v>0</v>
      </c>
    </row>
    <row r="866" spans="3:11" x14ac:dyDescent="0.55000000000000004">
      <c r="C866" s="124"/>
      <c r="G866" s="125"/>
      <c r="I866" s="110" t="str">
        <f>"External grants &amp; subsidies"</f>
        <v>External grants &amp; subsidies</v>
      </c>
      <c r="J866" s="100"/>
      <c r="K866" s="101">
        <f ca="1">E848/1000</f>
        <v>0</v>
      </c>
    </row>
    <row r="867" spans="3:11" x14ac:dyDescent="0.55000000000000004">
      <c r="C867" s="124"/>
      <c r="G867" s="125"/>
      <c r="I867" s="110" t="str">
        <f>"Other non-tariff revenue"</f>
        <v>Other non-tariff revenue</v>
      </c>
      <c r="J867" s="100"/>
      <c r="K867" s="101">
        <f ca="1">SUM(E845:E847)/1000</f>
        <v>0</v>
      </c>
    </row>
    <row r="868" spans="3:11" x14ac:dyDescent="0.55000000000000004">
      <c r="C868" s="124"/>
      <c r="G868" s="125"/>
      <c r="I868" s="110" t="str">
        <f>"Deficit"</f>
        <v>Deficit</v>
      </c>
      <c r="J868" s="100"/>
      <c r="K868" s="101">
        <f ca="1">E851/1000</f>
        <v>0</v>
      </c>
    </row>
    <row r="869" spans="3:11" x14ac:dyDescent="0.55000000000000004">
      <c r="C869" s="124"/>
      <c r="G869" s="125"/>
    </row>
    <row r="870" spans="3:11" x14ac:dyDescent="0.55000000000000004">
      <c r="C870" s="124"/>
      <c r="G870" s="125"/>
    </row>
    <row r="871" spans="3:11" x14ac:dyDescent="0.55000000000000004">
      <c r="C871" s="124"/>
      <c r="G871" s="125"/>
    </row>
    <row r="872" spans="3:11" x14ac:dyDescent="0.55000000000000004">
      <c r="C872" s="124"/>
      <c r="G872" s="125"/>
    </row>
    <row r="873" spans="3:11" x14ac:dyDescent="0.55000000000000004">
      <c r="C873" s="124"/>
      <c r="E873" s="220" t="s">
        <v>250</v>
      </c>
      <c r="G873" s="125"/>
    </row>
    <row r="874" spans="3:11" x14ac:dyDescent="0.55000000000000004">
      <c r="C874" s="124"/>
      <c r="D874" t="str">
        <f>IF('2 Solid waste'!$E$13='2 Solid waste'!$P$13,"Cost per customer","Cost per bin collected")</f>
        <v>Cost per bin collected</v>
      </c>
      <c r="E874" s="64">
        <f ca="1">VLOOKUP(D837,'2 Solid waste'!$D$153:$M$172,10,FALSE)</f>
        <v>0</v>
      </c>
      <c r="G874" s="125"/>
    </row>
    <row r="875" spans="3:11" x14ac:dyDescent="0.55000000000000004">
      <c r="C875" s="124"/>
      <c r="D875" t="s">
        <v>375</v>
      </c>
      <c r="E875" s="64">
        <f ca="1">VLOOKUP(D837,'2 Solid waste'!$D$153:$M$172,9,FALSE)</f>
        <v>0</v>
      </c>
      <c r="G875" s="125"/>
    </row>
    <row r="876" spans="3:11" x14ac:dyDescent="0.55000000000000004">
      <c r="C876" s="124"/>
      <c r="D876" t="s">
        <v>378</v>
      </c>
      <c r="E876" s="64">
        <f ca="1">IFERROR(IF(E843=0,E851,E843)/E841,0)</f>
        <v>0</v>
      </c>
      <c r="G876" s="125"/>
    </row>
    <row r="877" spans="3:11" x14ac:dyDescent="0.55000000000000004">
      <c r="C877" s="124"/>
      <c r="G877" s="125"/>
    </row>
    <row r="878" spans="3:11" x14ac:dyDescent="0.55000000000000004">
      <c r="C878" s="124"/>
      <c r="D878" t="s">
        <v>379</v>
      </c>
      <c r="E878" s="64">
        <f ca="1">'3 Solid waste'!G347</f>
        <v>0</v>
      </c>
      <c r="G878" s="125"/>
    </row>
    <row r="879" spans="3:11" ht="14.7" thickBot="1" x14ac:dyDescent="0.6">
      <c r="C879" s="130"/>
      <c r="D879" s="131"/>
      <c r="E879" s="131"/>
      <c r="F879" s="131"/>
      <c r="G879" s="132"/>
    </row>
    <row r="881" spans="3:7" ht="14.7" thickBot="1" x14ac:dyDescent="0.6"/>
    <row r="882" spans="3:7" x14ac:dyDescent="0.55000000000000004">
      <c r="C882" s="121"/>
      <c r="D882" s="122"/>
      <c r="E882" s="122"/>
      <c r="F882" s="122"/>
      <c r="G882" s="123"/>
    </row>
    <row r="883" spans="3:7" ht="15.6" x14ac:dyDescent="0.6">
      <c r="C883" s="124"/>
      <c r="D883" s="98">
        <f>'2 Customer data'!D148</f>
        <v>0</v>
      </c>
      <c r="G883" s="125"/>
    </row>
    <row r="884" spans="3:7" x14ac:dyDescent="0.55000000000000004">
      <c r="C884" s="124"/>
      <c r="G884" s="125"/>
    </row>
    <row r="885" spans="3:7" x14ac:dyDescent="0.55000000000000004">
      <c r="C885" s="124"/>
      <c r="E885" s="220" t="s">
        <v>250</v>
      </c>
      <c r="G885" s="125"/>
    </row>
    <row r="886" spans="3:7" x14ac:dyDescent="0.55000000000000004">
      <c r="C886" s="124"/>
      <c r="D886" t="s">
        <v>369</v>
      </c>
      <c r="E886" s="26">
        <f ca="1">VLOOKUP(D883,'2 Solid waste'!$D$16:$H$35,4,FALSE)</f>
        <v>0</v>
      </c>
      <c r="G886" s="125"/>
    </row>
    <row r="887" spans="3:7" ht="14.7" thickBot="1" x14ac:dyDescent="0.6">
      <c r="C887" s="124"/>
      <c r="D887" s="1" t="s">
        <v>39</v>
      </c>
      <c r="E887" s="37">
        <f ca="1">VLOOKUP(D883,'2 Solid waste'!$D$16:$H$35,5,FALSE)</f>
        <v>0</v>
      </c>
      <c r="G887" s="125"/>
    </row>
    <row r="888" spans="3:7" ht="14.7" thickTop="1" x14ac:dyDescent="0.55000000000000004">
      <c r="C888" s="124"/>
      <c r="G888" s="125"/>
    </row>
    <row r="889" spans="3:7" x14ac:dyDescent="0.55000000000000004">
      <c r="C889" s="124"/>
      <c r="D889" t="s">
        <v>189</v>
      </c>
      <c r="E889" s="26">
        <f ca="1">IF(VLOOKUP(D883,'2 Solid waste'!$D$122:$K$141,7,FALSE)="",VLOOKUP(D883,'2 Solid waste'!$D$122:$K$141,6,FALSE),VLOOKUP(D883,'2 Solid waste'!$D$122:$K$141,7,FALSE))+VLOOKUP(D883,'2 Solid waste'!$D$153:$J$172,5,FALSE)</f>
        <v>0</v>
      </c>
      <c r="G889" s="125"/>
    </row>
    <row r="890" spans="3:7" x14ac:dyDescent="0.55000000000000004">
      <c r="C890" s="124"/>
      <c r="G890" s="125"/>
    </row>
    <row r="891" spans="3:7" x14ac:dyDescent="0.55000000000000004">
      <c r="C891" s="124"/>
      <c r="D891" t="s">
        <v>371</v>
      </c>
      <c r="E891" s="64">
        <f ca="1">IF(VLOOKUP(D883,'2 Solid waste'!$D$51:$M$70,5,FALSE)="",VLOOKUP(D883,'2 Solid waste'!$D$51:$M$70,4,FALSE),VLOOKUP(D883,'2 Solid waste'!$D$51:$M$70,5,FALSE))</f>
        <v>0</v>
      </c>
      <c r="G891" s="125"/>
    </row>
    <row r="892" spans="3:7" x14ac:dyDescent="0.55000000000000004">
      <c r="C892" s="124"/>
      <c r="D892" t="s">
        <v>372</v>
      </c>
      <c r="E892" s="26">
        <f ca="1">IF(VLOOKUP(D883,'2 Solid waste'!$D$51:$M$70,7,FALSE)="",VLOOKUP(D883,'2 Solid waste'!$D$51:$M$70,6,FALSE),VLOOKUP(D883,'2 Solid waste'!$D$51:$M$70,7,FALSE))</f>
        <v>0</v>
      </c>
      <c r="G892" s="125"/>
    </row>
    <row r="893" spans="3:7" x14ac:dyDescent="0.55000000000000004">
      <c r="C893" s="124"/>
      <c r="D893" t="s">
        <v>373</v>
      </c>
      <c r="E893" s="26">
        <f ca="1">IF(VLOOKUP(D883,'2 Solid waste'!$D$51:$M$70,9,FALSE)="",VLOOKUP(D883,'2 Solid waste'!$D$51:$M$70,8,FALSE),VLOOKUP(D883,'2 Solid waste'!$D$51:$M$70,9,FALSE))</f>
        <v>0</v>
      </c>
      <c r="G893" s="125"/>
    </row>
    <row r="894" spans="3:7" x14ac:dyDescent="0.55000000000000004">
      <c r="C894" s="124"/>
      <c r="D894" t="s">
        <v>374</v>
      </c>
      <c r="E894" s="26">
        <f ca="1">IF(VLOOKUP(D883,'2 Solid waste'!$D$87:$I$106,5,FALSE)="",VLOOKUP(D883,'2 Solid waste'!$D$87:$I$106,4,FALSE),VLOOKUP(D883,'2 Solid waste'!$D$87:$I$106,5,FALSE))</f>
        <v>0</v>
      </c>
      <c r="G894" s="125"/>
    </row>
    <row r="895" spans="3:7" ht="14.7" thickBot="1" x14ac:dyDescent="0.6">
      <c r="C895" s="124"/>
      <c r="D895" s="1" t="s">
        <v>145</v>
      </c>
      <c r="E895" s="37">
        <f ca="1">SUM(E891:E894)</f>
        <v>0</v>
      </c>
      <c r="G895" s="125"/>
    </row>
    <row r="896" spans="3:7" ht="14.7" thickTop="1" x14ac:dyDescent="0.55000000000000004">
      <c r="C896" s="124"/>
      <c r="D896" s="1"/>
      <c r="E896" s="15"/>
      <c r="G896" s="125"/>
    </row>
    <row r="897" spans="3:11" x14ac:dyDescent="0.55000000000000004">
      <c r="C897" s="124"/>
      <c r="D897" t="s">
        <v>384</v>
      </c>
      <c r="E897" s="26">
        <f ca="1">IF(VLOOKUP(D883,'2 Solid waste'!$D$122:$K$141,5,FALSE)="",VLOOKUP(D883,'2 Solid waste'!$D$122:$K$141,4,FALSE),VLOOKUP(D883,'2 Solid waste'!$D$122:$K$141,5,FALSE))+VLOOKUP(D883,'2 Solid waste'!$D$153:$J$172,7,FALSE)</f>
        <v>0</v>
      </c>
      <c r="G897" s="125"/>
    </row>
    <row r="898" spans="3:11" x14ac:dyDescent="0.55000000000000004">
      <c r="C898" s="124"/>
      <c r="G898" s="125"/>
    </row>
    <row r="899" spans="3:11" ht="14.7" thickBot="1" x14ac:dyDescent="0.6">
      <c r="C899" s="124"/>
      <c r="D899" s="1" t="s">
        <v>375</v>
      </c>
      <c r="E899" s="37">
        <f ca="1">VLOOKUP(D883,'2 Solid waste'!$D$153:$K$172,8,FALSE)</f>
        <v>0</v>
      </c>
      <c r="G899" s="125"/>
    </row>
    <row r="900" spans="3:11" ht="14.7" thickTop="1" x14ac:dyDescent="0.55000000000000004">
      <c r="C900" s="124"/>
      <c r="G900" s="125"/>
    </row>
    <row r="901" spans="3:11" x14ac:dyDescent="0.55000000000000004">
      <c r="C901" s="124"/>
      <c r="G901" s="125"/>
    </row>
    <row r="902" spans="3:11" x14ac:dyDescent="0.55000000000000004">
      <c r="C902" s="124"/>
      <c r="G902" s="125"/>
    </row>
    <row r="903" spans="3:11" x14ac:dyDescent="0.55000000000000004">
      <c r="C903" s="124"/>
      <c r="G903" s="125"/>
    </row>
    <row r="904" spans="3:11" x14ac:dyDescent="0.55000000000000004">
      <c r="C904" s="124"/>
      <c r="G904" s="125"/>
    </row>
    <row r="905" spans="3:11" x14ac:dyDescent="0.55000000000000004">
      <c r="C905" s="124"/>
      <c r="G905" s="125"/>
    </row>
    <row r="906" spans="3:11" x14ac:dyDescent="0.55000000000000004">
      <c r="C906" s="124"/>
      <c r="G906" s="125"/>
    </row>
    <row r="907" spans="3:11" x14ac:dyDescent="0.55000000000000004">
      <c r="C907" s="124"/>
      <c r="G907" s="125"/>
    </row>
    <row r="908" spans="3:11" x14ac:dyDescent="0.55000000000000004">
      <c r="C908" s="124"/>
      <c r="G908" s="125"/>
      <c r="I908" s="232" t="s">
        <v>385</v>
      </c>
    </row>
    <row r="909" spans="3:11" x14ac:dyDescent="0.55000000000000004">
      <c r="C909" s="124"/>
      <c r="G909" s="125"/>
      <c r="I909" s="110"/>
      <c r="J909" s="102" t="s">
        <v>390</v>
      </c>
      <c r="K909" s="102" t="s">
        <v>391</v>
      </c>
    </row>
    <row r="910" spans="3:11" x14ac:dyDescent="0.55000000000000004">
      <c r="C910" s="124"/>
      <c r="G910" s="125"/>
      <c r="I910" s="110" t="str">
        <f>D886</f>
        <v>Fixed cost</v>
      </c>
      <c r="J910" s="100">
        <f ca="1">E886/1000</f>
        <v>0</v>
      </c>
      <c r="K910" s="102"/>
    </row>
    <row r="911" spans="3:11" x14ac:dyDescent="0.55000000000000004">
      <c r="C911" s="124"/>
      <c r="G911" s="125"/>
      <c r="I911" s="110" t="str">
        <f>"Surplus"</f>
        <v>Surplus</v>
      </c>
      <c r="J911" s="100">
        <f ca="1">E889/1000</f>
        <v>0</v>
      </c>
      <c r="K911" s="110"/>
    </row>
    <row r="912" spans="3:11" x14ac:dyDescent="0.55000000000000004">
      <c r="C912" s="124"/>
      <c r="G912" s="125"/>
      <c r="I912" s="110" t="str">
        <f>"Tariff revenue"</f>
        <v>Tariff revenue</v>
      </c>
      <c r="J912" s="100"/>
      <c r="K912" s="101">
        <f ca="1">E899/1000</f>
        <v>0</v>
      </c>
    </row>
    <row r="913" spans="3:11" x14ac:dyDescent="0.55000000000000004">
      <c r="C913" s="124"/>
      <c r="G913" s="125"/>
      <c r="I913" s="110" t="str">
        <f>"External grants &amp; subsidies"</f>
        <v>External grants &amp; subsidies</v>
      </c>
      <c r="J913" s="100"/>
      <c r="K913" s="101">
        <f ca="1">E894/1000</f>
        <v>0</v>
      </c>
    </row>
    <row r="914" spans="3:11" x14ac:dyDescent="0.55000000000000004">
      <c r="C914" s="124"/>
      <c r="G914" s="125"/>
      <c r="I914" s="110" t="str">
        <f>"Other non-tariff revenue"</f>
        <v>Other non-tariff revenue</v>
      </c>
      <c r="J914" s="100"/>
      <c r="K914" s="101">
        <f ca="1">SUM(E891:E893)/1000</f>
        <v>0</v>
      </c>
    </row>
    <row r="915" spans="3:11" x14ac:dyDescent="0.55000000000000004">
      <c r="C915" s="124"/>
      <c r="G915" s="125"/>
      <c r="I915" s="110" t="str">
        <f>"Deficit"</f>
        <v>Deficit</v>
      </c>
      <c r="J915" s="100"/>
      <c r="K915" s="101">
        <f ca="1">E897/1000</f>
        <v>0</v>
      </c>
    </row>
    <row r="916" spans="3:11" x14ac:dyDescent="0.55000000000000004">
      <c r="C916" s="124"/>
      <c r="G916" s="125"/>
    </row>
    <row r="917" spans="3:11" x14ac:dyDescent="0.55000000000000004">
      <c r="C917" s="124"/>
      <c r="G917" s="125"/>
    </row>
    <row r="918" spans="3:11" x14ac:dyDescent="0.55000000000000004">
      <c r="C918" s="124"/>
      <c r="G918" s="125"/>
    </row>
    <row r="919" spans="3:11" x14ac:dyDescent="0.55000000000000004">
      <c r="C919" s="124"/>
      <c r="E919" s="220" t="s">
        <v>250</v>
      </c>
      <c r="G919" s="125"/>
    </row>
    <row r="920" spans="3:11" x14ac:dyDescent="0.55000000000000004">
      <c r="C920" s="124"/>
      <c r="D920" t="str">
        <f>IF('2 Solid waste'!$E$13='2 Solid waste'!$P$13,"Cost per customer","Cost per bin collected")</f>
        <v>Cost per bin collected</v>
      </c>
      <c r="E920" s="64">
        <f ca="1">VLOOKUP(D883,'2 Solid waste'!$D$153:$M$172,10,FALSE)</f>
        <v>0</v>
      </c>
      <c r="G920" s="125"/>
    </row>
    <row r="921" spans="3:11" x14ac:dyDescent="0.55000000000000004">
      <c r="C921" s="124"/>
      <c r="D921" t="s">
        <v>375</v>
      </c>
      <c r="E921" s="64">
        <f ca="1">VLOOKUP(D883,'2 Solid waste'!$D$153:$M$172,9,FALSE)</f>
        <v>0</v>
      </c>
      <c r="G921" s="125"/>
    </row>
    <row r="922" spans="3:11" x14ac:dyDescent="0.55000000000000004">
      <c r="C922" s="124"/>
      <c r="D922" t="s">
        <v>378</v>
      </c>
      <c r="E922" s="64">
        <f ca="1">IFERROR(IF(E889=0,E897,E889)/E887,0)</f>
        <v>0</v>
      </c>
      <c r="G922" s="125"/>
    </row>
    <row r="923" spans="3:11" x14ac:dyDescent="0.55000000000000004">
      <c r="C923" s="124"/>
      <c r="G923" s="125"/>
    </row>
    <row r="924" spans="3:11" x14ac:dyDescent="0.55000000000000004">
      <c r="C924" s="124"/>
      <c r="D924" t="s">
        <v>379</v>
      </c>
      <c r="E924" s="64">
        <f ca="1">'3 Solid waste'!G365</f>
        <v>0</v>
      </c>
      <c r="G924" s="125"/>
    </row>
    <row r="925" spans="3:11" ht="14.7" thickBot="1" x14ac:dyDescent="0.6">
      <c r="C925" s="130"/>
      <c r="D925" s="131"/>
      <c r="E925" s="131"/>
      <c r="F925" s="131"/>
      <c r="G925" s="132"/>
    </row>
  </sheetData>
  <sheetProtection sheet="1" objects="1" scenarios="1"/>
  <mergeCells count="2">
    <mergeCell ref="E1:E2"/>
    <mergeCell ref="G1:G2"/>
  </mergeCells>
  <pageMargins left="0.7" right="0.7" top="0.75" bottom="0.75" header="0.3" footer="0.3"/>
  <pageSetup paperSize="9" scale="86" orientation="portrait" r:id="rId1"/>
  <rowBreaks count="19" manualBreakCount="19">
    <brk id="51" min="1" max="7" man="1"/>
    <brk id="97" min="1" max="7" man="1"/>
    <brk id="143" min="1" max="7" man="1"/>
    <brk id="189" min="1" max="7" man="1"/>
    <brk id="235" min="1" max="7" man="1"/>
    <brk id="281" min="1" max="7" man="1"/>
    <brk id="328" min="1" max="7" man="1"/>
    <brk id="374" min="1" max="7" man="1"/>
    <brk id="420" min="1" max="7" man="1"/>
    <brk id="466" min="1" max="7" man="1"/>
    <brk id="512" min="1" max="7" man="1"/>
    <brk id="558" min="1" max="7" man="1"/>
    <brk id="604" min="1" max="7" man="1"/>
    <brk id="650" min="1" max="7" man="1"/>
    <brk id="696" min="1" max="7" man="1"/>
    <brk id="742" min="1" max="7" man="1"/>
    <brk id="788" min="1" max="7" man="1"/>
    <brk id="834" min="1" max="7" man="1"/>
    <brk id="880" min="1" max="7" man="1"/>
  </rowBreaks>
  <drawing r:id="rId2"/>
  <legacyDrawing r:id="rId3"/>
  <controls>
    <mc:AlternateContent xmlns:mc="http://schemas.openxmlformats.org/markup-compatibility/2006">
      <mc:Choice Requires="x14">
        <control shapeId="52690944" r:id="rId4" name="cbSWRCus">
          <controlPr defaultSize="0" autoLine="0" r:id="rId5">
            <anchor moveWithCells="1">
              <from>
                <xdr:col>3</xdr:col>
                <xdr:colOff>2537460</xdr:colOff>
                <xdr:row>2</xdr:row>
                <xdr:rowOff>60960</xdr:rowOff>
              </from>
              <to>
                <xdr:col>5</xdr:col>
                <xdr:colOff>60960</xdr:colOff>
                <xdr:row>3</xdr:row>
                <xdr:rowOff>99060</xdr:rowOff>
              </to>
            </anchor>
          </controlPr>
        </control>
      </mc:Choice>
      <mc:Fallback>
        <control shapeId="52690944" r:id="rId4" name="cbSWRCus"/>
      </mc:Fallback>
    </mc:AlternateContent>
    <mc:AlternateContent xmlns:mc="http://schemas.openxmlformats.org/markup-compatibility/2006">
      <mc:Choice Requires="x14">
        <control shapeId="52690945" r:id="rId6" name="cbSWR">
          <controlPr defaultSize="0" autoLine="0" r:id="rId7">
            <anchor moveWithCells="1">
              <from>
                <xdr:col>5</xdr:col>
                <xdr:colOff>449580</xdr:colOff>
                <xdr:row>2</xdr:row>
                <xdr:rowOff>53340</xdr:rowOff>
              </from>
              <to>
                <xdr:col>8</xdr:col>
                <xdr:colOff>60960</xdr:colOff>
                <xdr:row>3</xdr:row>
                <xdr:rowOff>91440</xdr:rowOff>
              </to>
            </anchor>
          </controlPr>
        </control>
      </mc:Choice>
      <mc:Fallback>
        <control shapeId="52690945" r:id="rId6" name="cbSWR"/>
      </mc:Fallback>
    </mc:AlternateContent>
  </controls>
</worksheet>
</file>

<file path=xl/worksheets/sheet3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986D0BA-7217-460B-BA10-D3673A611B7E}">
  <sheetPr codeName="Sheet25">
    <tabColor theme="6" tint="-0.499984740745262"/>
  </sheetPr>
  <dimension ref="A1:K96"/>
  <sheetViews>
    <sheetView showGridLines="0" workbookViewId="0">
      <pane ySplit="4" topLeftCell="A5" activePane="bottomLeft" state="frozen"/>
      <selection pane="bottomLeft" activeCell="D12" sqref="D12"/>
    </sheetView>
  </sheetViews>
  <sheetFormatPr defaultColWidth="14.7890625" defaultRowHeight="14.4" x14ac:dyDescent="0.55000000000000004"/>
  <cols>
    <col min="1" max="1" width="3.20703125" style="117" customWidth="1"/>
    <col min="2" max="2" width="3.20703125" customWidth="1"/>
    <col min="3" max="3" width="3.5234375" customWidth="1"/>
    <col min="4" max="4" width="20.5234375" bestFit="1" customWidth="1"/>
    <col min="5" max="5" width="19.7890625" customWidth="1"/>
    <col min="6" max="6" width="22.7890625" customWidth="1"/>
    <col min="7" max="7" width="23.7890625" customWidth="1"/>
    <col min="8" max="8" width="25.20703125" customWidth="1"/>
    <col min="11" max="13" width="14.7890625" customWidth="1"/>
  </cols>
  <sheetData>
    <row r="1" spans="1:9" x14ac:dyDescent="0.55000000000000004">
      <c r="A1"/>
      <c r="F1" s="1807" t="s">
        <v>206</v>
      </c>
    </row>
    <row r="2" spans="1:9" x14ac:dyDescent="0.55000000000000004">
      <c r="A2"/>
      <c r="F2" s="1807"/>
    </row>
    <row r="3" spans="1:9" x14ac:dyDescent="0.55000000000000004">
      <c r="A3"/>
    </row>
    <row r="4" spans="1:9" x14ac:dyDescent="0.55000000000000004">
      <c r="A4"/>
    </row>
    <row r="5" spans="1:9" s="117" customFormat="1" x14ac:dyDescent="0.55000000000000004"/>
    <row r="7" spans="1:9" x14ac:dyDescent="0.55000000000000004">
      <c r="C7" s="1804" t="s">
        <v>569</v>
      </c>
      <c r="D7" s="1804"/>
      <c r="E7" s="1804"/>
      <c r="F7" s="1804"/>
      <c r="G7" s="1804"/>
      <c r="H7" s="1804"/>
      <c r="I7" s="1804"/>
    </row>
    <row r="8" spans="1:9" x14ac:dyDescent="0.55000000000000004">
      <c r="C8" s="1804"/>
      <c r="D8" s="1804"/>
      <c r="E8" s="1804"/>
      <c r="F8" s="1804"/>
      <c r="G8" s="1804"/>
      <c r="H8" s="1804"/>
      <c r="I8" s="1804"/>
    </row>
    <row r="9" spans="1:9" x14ac:dyDescent="0.55000000000000004">
      <c r="C9" s="1804"/>
      <c r="D9" s="1804"/>
      <c r="E9" s="1804"/>
      <c r="F9" s="1804"/>
      <c r="G9" s="1804"/>
      <c r="H9" s="1804"/>
      <c r="I9" s="1804"/>
    </row>
    <row r="10" spans="1:9" ht="14.7" thickBot="1" x14ac:dyDescent="0.6"/>
    <row r="11" spans="1:9" x14ac:dyDescent="0.55000000000000004">
      <c r="C11" s="121"/>
      <c r="D11" s="122"/>
      <c r="E11" s="122"/>
      <c r="F11" s="122"/>
      <c r="G11" s="122"/>
      <c r="H11" s="122"/>
      <c r="I11" s="123"/>
    </row>
    <row r="12" spans="1:9" x14ac:dyDescent="0.55000000000000004">
      <c r="C12" s="124"/>
      <c r="D12" s="1" t="s">
        <v>572</v>
      </c>
      <c r="I12" s="125"/>
    </row>
    <row r="13" spans="1:9" x14ac:dyDescent="0.55000000000000004">
      <c r="C13" s="124"/>
      <c r="D13" s="1804" t="s">
        <v>570</v>
      </c>
      <c r="E13" s="1804"/>
      <c r="F13" s="1804"/>
      <c r="G13" s="1804"/>
      <c r="H13" s="1804"/>
      <c r="I13" s="125"/>
    </row>
    <row r="14" spans="1:9" x14ac:dyDescent="0.55000000000000004">
      <c r="C14" s="124"/>
      <c r="D14" s="1804"/>
      <c r="E14" s="1804"/>
      <c r="F14" s="1804"/>
      <c r="G14" s="1804"/>
      <c r="H14" s="1804"/>
      <c r="I14" s="125"/>
    </row>
    <row r="15" spans="1:9" x14ac:dyDescent="0.55000000000000004">
      <c r="C15" s="124"/>
      <c r="I15" s="125"/>
    </row>
    <row r="16" spans="1:9" ht="28.8" x14ac:dyDescent="0.55000000000000004">
      <c r="C16" s="124"/>
      <c r="D16" s="238" t="s">
        <v>396</v>
      </c>
      <c r="E16" s="162" t="s">
        <v>398</v>
      </c>
      <c r="F16" s="162" t="s">
        <v>403</v>
      </c>
      <c r="G16" s="162" t="s">
        <v>404</v>
      </c>
      <c r="I16" s="125"/>
    </row>
    <row r="17" spans="3:11" x14ac:dyDescent="0.55000000000000004">
      <c r="C17" s="124"/>
      <c r="D17" s="128" t="s">
        <v>402</v>
      </c>
      <c r="E17" s="13"/>
      <c r="F17" s="111"/>
      <c r="G17" s="111"/>
      <c r="I17" s="125"/>
    </row>
    <row r="18" spans="3:11" x14ac:dyDescent="0.55000000000000004">
      <c r="C18" s="124"/>
      <c r="D18" t="s">
        <v>400</v>
      </c>
      <c r="E18" s="13"/>
      <c r="F18" s="111"/>
      <c r="G18" s="111"/>
      <c r="I18" s="125"/>
    </row>
    <row r="19" spans="3:11" x14ac:dyDescent="0.55000000000000004">
      <c r="C19" s="124"/>
      <c r="D19" t="s">
        <v>425</v>
      </c>
      <c r="E19" s="13"/>
      <c r="F19" s="111"/>
      <c r="G19" s="111"/>
      <c r="I19" s="125"/>
    </row>
    <row r="20" spans="3:11" x14ac:dyDescent="0.55000000000000004">
      <c r="C20" s="124"/>
      <c r="D20" t="s">
        <v>401</v>
      </c>
      <c r="E20" s="13"/>
      <c r="F20" s="111"/>
      <c r="G20" s="111"/>
      <c r="I20" s="125"/>
    </row>
    <row r="21" spans="3:11" x14ac:dyDescent="0.55000000000000004">
      <c r="C21" s="124"/>
      <c r="I21" s="125"/>
    </row>
    <row r="22" spans="3:11" x14ac:dyDescent="0.55000000000000004">
      <c r="C22" s="124"/>
      <c r="D22" s="1" t="s">
        <v>573</v>
      </c>
      <c r="I22" s="125"/>
    </row>
    <row r="23" spans="3:11" x14ac:dyDescent="0.55000000000000004">
      <c r="C23" s="124"/>
      <c r="D23" s="1804" t="s">
        <v>571</v>
      </c>
      <c r="E23" s="1804"/>
      <c r="F23" s="1804"/>
      <c r="G23" s="1804"/>
      <c r="H23" s="1804"/>
      <c r="I23" s="125"/>
    </row>
    <row r="24" spans="3:11" x14ac:dyDescent="0.55000000000000004">
      <c r="C24" s="124"/>
      <c r="D24" s="1804"/>
      <c r="E24" s="1804"/>
      <c r="F24" s="1804"/>
      <c r="G24" s="1804"/>
      <c r="H24" s="1804"/>
      <c r="I24" s="125"/>
    </row>
    <row r="25" spans="3:11" x14ac:dyDescent="0.55000000000000004">
      <c r="C25" s="124"/>
      <c r="I25" s="125"/>
    </row>
    <row r="26" spans="3:11" x14ac:dyDescent="0.55000000000000004">
      <c r="C26" s="124"/>
      <c r="D26" s="238" t="s">
        <v>396</v>
      </c>
      <c r="E26" s="238" t="s">
        <v>16</v>
      </c>
      <c r="F26" s="238" t="s">
        <v>18</v>
      </c>
      <c r="G26" s="238" t="s">
        <v>17</v>
      </c>
      <c r="H26" s="238" t="s">
        <v>19</v>
      </c>
      <c r="I26" s="167"/>
      <c r="J26" s="239"/>
      <c r="K26" s="239"/>
    </row>
    <row r="27" spans="3:11" x14ac:dyDescent="0.55000000000000004">
      <c r="C27" s="124"/>
      <c r="D27" s="128" t="s">
        <v>402</v>
      </c>
      <c r="E27" s="14" t="s">
        <v>29</v>
      </c>
      <c r="F27" s="14" t="s">
        <v>30</v>
      </c>
      <c r="G27" s="14" t="s">
        <v>29</v>
      </c>
      <c r="H27" s="14" t="s">
        <v>30</v>
      </c>
      <c r="I27" s="125"/>
      <c r="J27" s="239"/>
      <c r="K27" s="239"/>
    </row>
    <row r="28" spans="3:11" x14ac:dyDescent="0.55000000000000004">
      <c r="C28" s="124"/>
      <c r="D28" t="s">
        <v>400</v>
      </c>
      <c r="E28" s="14" t="s">
        <v>30</v>
      </c>
      <c r="F28" s="14" t="s">
        <v>30</v>
      </c>
      <c r="G28" s="14" t="s">
        <v>30</v>
      </c>
      <c r="H28" s="14" t="s">
        <v>30</v>
      </c>
      <c r="I28" s="125"/>
    </row>
    <row r="29" spans="3:11" x14ac:dyDescent="0.55000000000000004">
      <c r="C29" s="124"/>
      <c r="D29" t="s">
        <v>425</v>
      </c>
      <c r="E29" s="14" t="s">
        <v>30</v>
      </c>
      <c r="F29" s="14" t="s">
        <v>30</v>
      </c>
      <c r="G29" s="14" t="s">
        <v>30</v>
      </c>
      <c r="H29" s="14" t="s">
        <v>30</v>
      </c>
      <c r="I29" s="125"/>
    </row>
    <row r="30" spans="3:11" x14ac:dyDescent="0.55000000000000004">
      <c r="C30" s="124"/>
      <c r="D30" t="s">
        <v>401</v>
      </c>
      <c r="E30" s="14" t="s">
        <v>30</v>
      </c>
      <c r="F30" s="14" t="s">
        <v>31</v>
      </c>
      <c r="G30" s="14" t="s">
        <v>30</v>
      </c>
      <c r="H30" s="14" t="s">
        <v>30</v>
      </c>
      <c r="I30" s="125"/>
    </row>
    <row r="31" spans="3:11" x14ac:dyDescent="0.55000000000000004">
      <c r="C31" s="124"/>
      <c r="G31" s="9"/>
      <c r="I31" s="125"/>
    </row>
    <row r="32" spans="3:11" ht="14.55" customHeight="1" x14ac:dyDescent="0.55000000000000004">
      <c r="C32" s="124"/>
      <c r="D32" s="1804" t="s">
        <v>574</v>
      </c>
      <c r="E32" s="1804"/>
      <c r="F32" s="1804"/>
      <c r="G32" s="1804"/>
      <c r="H32" s="1804"/>
      <c r="I32" s="125"/>
    </row>
    <row r="33" spans="3:11" x14ac:dyDescent="0.55000000000000004">
      <c r="C33" s="124"/>
      <c r="D33" s="1804"/>
      <c r="E33" s="1804"/>
      <c r="F33" s="1804"/>
      <c r="G33" s="1804"/>
      <c r="H33" s="1804"/>
      <c r="I33" s="125"/>
    </row>
    <row r="34" spans="3:11" x14ac:dyDescent="0.55000000000000004">
      <c r="C34" s="124"/>
      <c r="D34" s="1804"/>
      <c r="E34" s="1804"/>
      <c r="F34" s="1804"/>
      <c r="G34" s="1804"/>
      <c r="H34" s="1804"/>
      <c r="I34" s="125"/>
    </row>
    <row r="35" spans="3:11" x14ac:dyDescent="0.55000000000000004">
      <c r="C35" s="124"/>
      <c r="G35" s="9"/>
      <c r="I35" s="125"/>
    </row>
    <row r="36" spans="3:11" ht="28.8" x14ac:dyDescent="0.55000000000000004">
      <c r="C36" s="124"/>
      <c r="D36" s="238" t="s">
        <v>396</v>
      </c>
      <c r="E36" s="8" t="s">
        <v>568</v>
      </c>
      <c r="F36" s="8" t="s">
        <v>441</v>
      </c>
      <c r="G36" s="9"/>
      <c r="I36" s="125"/>
    </row>
    <row r="37" spans="3:11" x14ac:dyDescent="0.55000000000000004">
      <c r="C37" s="124"/>
      <c r="D37" s="128" t="s">
        <v>268</v>
      </c>
      <c r="E37" s="112" t="e">
        <f>VLOOKUP(G27,'E Summary'!$A$3:$AC$23,3,FALSE)</f>
        <v>#N/A</v>
      </c>
      <c r="F37" s="111" t="s">
        <v>89</v>
      </c>
      <c r="G37" s="9"/>
      <c r="I37" s="125"/>
      <c r="K37" s="126" t="s">
        <v>89</v>
      </c>
    </row>
    <row r="38" spans="3:11" x14ac:dyDescent="0.55000000000000004">
      <c r="C38" s="124"/>
      <c r="D38" t="s">
        <v>400</v>
      </c>
      <c r="E38" s="112" t="str">
        <f>VLOOKUP(G28,'E Summary'!$A$3:$AC$23,3,FALSE)</f>
        <v xml:space="preserve">Annual </v>
      </c>
      <c r="F38" s="111" t="s">
        <v>89</v>
      </c>
      <c r="G38" s="9"/>
      <c r="I38" s="125"/>
      <c r="K38" s="126" t="s">
        <v>439</v>
      </c>
    </row>
    <row r="39" spans="3:11" x14ac:dyDescent="0.55000000000000004">
      <c r="C39" s="124"/>
      <c r="D39" t="s">
        <v>425</v>
      </c>
      <c r="E39" s="112" t="str">
        <f>VLOOKUP(G29,'E Summary'!$A$3:$AC$23,3,FALSE)</f>
        <v xml:space="preserve">Annual </v>
      </c>
      <c r="F39" s="111" t="s">
        <v>89</v>
      </c>
      <c r="G39" s="9"/>
      <c r="I39" s="125"/>
      <c r="K39" s="126" t="s">
        <v>440</v>
      </c>
    </row>
    <row r="40" spans="3:11" x14ac:dyDescent="0.55000000000000004">
      <c r="C40" s="124"/>
      <c r="D40" t="s">
        <v>401</v>
      </c>
      <c r="E40" s="112" t="str">
        <f>VLOOKUP(G30,'E Summary'!$A$3:$AC$23,3,FALSE)</f>
        <v xml:space="preserve">Annual </v>
      </c>
      <c r="F40" s="111" t="s">
        <v>89</v>
      </c>
      <c r="G40" s="9"/>
      <c r="I40" s="125"/>
    </row>
    <row r="41" spans="3:11" x14ac:dyDescent="0.55000000000000004">
      <c r="C41" s="124"/>
      <c r="G41" s="9"/>
      <c r="I41" s="125"/>
    </row>
    <row r="42" spans="3:11" x14ac:dyDescent="0.55000000000000004">
      <c r="C42" s="124"/>
      <c r="G42" s="9"/>
      <c r="I42" s="125"/>
    </row>
    <row r="43" spans="3:11" x14ac:dyDescent="0.55000000000000004">
      <c r="C43" s="124"/>
      <c r="D43" s="1" t="s">
        <v>575</v>
      </c>
      <c r="I43" s="125"/>
    </row>
    <row r="44" spans="3:11" x14ac:dyDescent="0.55000000000000004">
      <c r="C44" s="124"/>
      <c r="D44" s="120" t="s">
        <v>449</v>
      </c>
      <c r="I44" s="125"/>
    </row>
    <row r="45" spans="3:11" x14ac:dyDescent="0.55000000000000004">
      <c r="C45" s="124"/>
      <c r="D45" s="1"/>
      <c r="I45" s="125"/>
    </row>
    <row r="46" spans="3:11" x14ac:dyDescent="0.55000000000000004">
      <c r="C46" s="124"/>
      <c r="E46" s="112" t="s">
        <v>428</v>
      </c>
      <c r="F46" s="112" t="s">
        <v>429</v>
      </c>
      <c r="G46" s="112" t="s">
        <v>430</v>
      </c>
      <c r="H46" s="112" t="s">
        <v>431</v>
      </c>
      <c r="I46" s="125"/>
    </row>
    <row r="47" spans="3:11" x14ac:dyDescent="0.55000000000000004">
      <c r="C47" s="124"/>
      <c r="D47" s="128" t="s">
        <v>268</v>
      </c>
      <c r="E47" s="40">
        <f>'W Affordability'!G22</f>
        <v>0</v>
      </c>
      <c r="F47" s="40">
        <f ca="1">'S Affordability'!G22</f>
        <v>0</v>
      </c>
      <c r="G47" s="40">
        <f>'E Affordability'!B19</f>
        <v>0</v>
      </c>
      <c r="H47" s="40">
        <f>'SW Affordability'!B5</f>
        <v>0</v>
      </c>
      <c r="I47" s="125"/>
    </row>
    <row r="48" spans="3:11" x14ac:dyDescent="0.55000000000000004">
      <c r="C48" s="124"/>
      <c r="D48" t="s">
        <v>400</v>
      </c>
      <c r="E48" s="40">
        <f>'W Affordability'!G43</f>
        <v>0</v>
      </c>
      <c r="F48" s="40">
        <f ca="1">'S Affordability'!G45</f>
        <v>0</v>
      </c>
      <c r="G48" s="40">
        <f ca="1">'E Affordability'!B37</f>
        <v>0</v>
      </c>
      <c r="H48" s="40">
        <f>'SW Affordability'!B9</f>
        <v>0</v>
      </c>
      <c r="I48" s="125"/>
    </row>
    <row r="49" spans="3:9" x14ac:dyDescent="0.55000000000000004">
      <c r="C49" s="124"/>
      <c r="D49" t="s">
        <v>425</v>
      </c>
      <c r="E49" s="40">
        <f>'W Affordability'!G64</f>
        <v>0</v>
      </c>
      <c r="F49" s="40">
        <f ca="1">'S Affordability'!G66</f>
        <v>0</v>
      </c>
      <c r="G49" s="40">
        <f ca="1">'E Affordability'!B55</f>
        <v>0</v>
      </c>
      <c r="H49" s="40">
        <f>'SW Affordability'!B13</f>
        <v>0</v>
      </c>
      <c r="I49" s="125"/>
    </row>
    <row r="50" spans="3:9" x14ac:dyDescent="0.55000000000000004">
      <c r="C50" s="124"/>
      <c r="D50" t="s">
        <v>401</v>
      </c>
      <c r="E50" s="40">
        <f>'W Affordability'!G85</f>
        <v>0</v>
      </c>
      <c r="F50" s="40">
        <f>'S Affordability'!G87</f>
        <v>0</v>
      </c>
      <c r="G50" s="40">
        <f ca="1">'E Affordability'!B73</f>
        <v>0</v>
      </c>
      <c r="H50" s="40">
        <f>'SW Affordability'!B17</f>
        <v>0</v>
      </c>
      <c r="I50" s="125"/>
    </row>
    <row r="51" spans="3:9" x14ac:dyDescent="0.55000000000000004">
      <c r="C51" s="124"/>
      <c r="I51" s="125"/>
    </row>
    <row r="52" spans="3:9" x14ac:dyDescent="0.55000000000000004">
      <c r="C52" s="124"/>
      <c r="D52" s="1" t="s">
        <v>576</v>
      </c>
      <c r="I52" s="125"/>
    </row>
    <row r="53" spans="3:9" x14ac:dyDescent="0.55000000000000004">
      <c r="C53" s="124"/>
      <c r="D53" s="120" t="s">
        <v>450</v>
      </c>
      <c r="I53" s="125"/>
    </row>
    <row r="54" spans="3:9" x14ac:dyDescent="0.55000000000000004">
      <c r="C54" s="124"/>
      <c r="I54" s="125"/>
    </row>
    <row r="55" spans="3:9" x14ac:dyDescent="0.55000000000000004">
      <c r="C55" s="124"/>
      <c r="E55" s="112" t="s">
        <v>428</v>
      </c>
      <c r="F55" s="112" t="s">
        <v>429</v>
      </c>
      <c r="G55" s="112" t="s">
        <v>430</v>
      </c>
      <c r="H55" s="112" t="s">
        <v>431</v>
      </c>
      <c r="I55" s="125"/>
    </row>
    <row r="56" spans="3:9" x14ac:dyDescent="0.55000000000000004">
      <c r="C56" s="124"/>
      <c r="D56" s="128" t="s">
        <v>268</v>
      </c>
      <c r="E56" s="97">
        <f>IFERROR(E47/E17,0)</f>
        <v>0</v>
      </c>
      <c r="F56" s="97">
        <f ca="1">IFERROR(F47/E17,0)</f>
        <v>0</v>
      </c>
      <c r="G56" s="97">
        <f>IFERROR(G47/E17,0)</f>
        <v>0</v>
      </c>
      <c r="H56" s="97">
        <f>IFERROR(H47/E17,0)</f>
        <v>0</v>
      </c>
      <c r="I56" s="125"/>
    </row>
    <row r="57" spans="3:9" x14ac:dyDescent="0.55000000000000004">
      <c r="C57" s="124"/>
      <c r="D57" t="s">
        <v>400</v>
      </c>
      <c r="E57" s="97">
        <f>IFERROR(E48/E18,0)</f>
        <v>0</v>
      </c>
      <c r="F57" s="97">
        <f ca="1">IFERROR(F48/E18,0)</f>
        <v>0</v>
      </c>
      <c r="G57" s="97">
        <f ca="1">IFERROR(G48/E18,0)</f>
        <v>0</v>
      </c>
      <c r="H57" s="97">
        <f>IFERROR(H48/E18,0)</f>
        <v>0</v>
      </c>
      <c r="I57" s="125"/>
    </row>
    <row r="58" spans="3:9" x14ac:dyDescent="0.55000000000000004">
      <c r="C58" s="124"/>
      <c r="D58" t="s">
        <v>425</v>
      </c>
      <c r="E58" s="97">
        <f>IFERROR(E49/E19,0)</f>
        <v>0</v>
      </c>
      <c r="F58" s="97">
        <f ca="1">IFERROR(F49/E19,0)</f>
        <v>0</v>
      </c>
      <c r="G58" s="97">
        <f ca="1">IFERROR(G49/E19,0)</f>
        <v>0</v>
      </c>
      <c r="H58" s="97">
        <f>IFERROR(H49/E19,0)</f>
        <v>0</v>
      </c>
      <c r="I58" s="125"/>
    </row>
    <row r="59" spans="3:9" x14ac:dyDescent="0.55000000000000004">
      <c r="C59" s="124"/>
      <c r="D59" t="s">
        <v>401</v>
      </c>
      <c r="E59" s="97">
        <f>IFERROR(E50/E20,0)</f>
        <v>0</v>
      </c>
      <c r="F59" s="97">
        <f>IFERROR(F50/E20,0)</f>
        <v>0</v>
      </c>
      <c r="G59" s="97">
        <f ca="1">IFERROR(G50/E20,0)</f>
        <v>0</v>
      </c>
      <c r="H59" s="97">
        <f>IFERROR(H50/E20,0)</f>
        <v>0</v>
      </c>
      <c r="I59" s="125"/>
    </row>
    <row r="60" spans="3:9" x14ac:dyDescent="0.55000000000000004">
      <c r="C60" s="124"/>
      <c r="I60" s="125"/>
    </row>
    <row r="61" spans="3:9" x14ac:dyDescent="0.55000000000000004">
      <c r="C61" s="124"/>
      <c r="D61" s="1" t="s">
        <v>447</v>
      </c>
      <c r="I61" s="125"/>
    </row>
    <row r="62" spans="3:9" x14ac:dyDescent="0.55000000000000004">
      <c r="C62" s="124"/>
      <c r="I62" s="125"/>
    </row>
    <row r="63" spans="3:9" x14ac:dyDescent="0.55000000000000004">
      <c r="C63" s="124"/>
      <c r="I63" s="125"/>
    </row>
    <row r="64" spans="3:9" x14ac:dyDescent="0.55000000000000004">
      <c r="C64" s="124"/>
      <c r="I64" s="125"/>
    </row>
    <row r="65" spans="3:9" x14ac:dyDescent="0.55000000000000004">
      <c r="C65" s="124"/>
      <c r="I65" s="125"/>
    </row>
    <row r="66" spans="3:9" x14ac:dyDescent="0.55000000000000004">
      <c r="C66" s="124"/>
      <c r="I66" s="125"/>
    </row>
    <row r="67" spans="3:9" x14ac:dyDescent="0.55000000000000004">
      <c r="C67" s="124"/>
      <c r="I67" s="125"/>
    </row>
    <row r="68" spans="3:9" x14ac:dyDescent="0.55000000000000004">
      <c r="C68" s="124"/>
      <c r="I68" s="125"/>
    </row>
    <row r="69" spans="3:9" x14ac:dyDescent="0.55000000000000004">
      <c r="C69" s="124"/>
      <c r="I69" s="125"/>
    </row>
    <row r="70" spans="3:9" x14ac:dyDescent="0.55000000000000004">
      <c r="C70" s="124"/>
      <c r="I70" s="125"/>
    </row>
    <row r="71" spans="3:9" x14ac:dyDescent="0.55000000000000004">
      <c r="C71" s="124"/>
      <c r="I71" s="125"/>
    </row>
    <row r="72" spans="3:9" x14ac:dyDescent="0.55000000000000004">
      <c r="C72" s="124"/>
      <c r="I72" s="125"/>
    </row>
    <row r="73" spans="3:9" x14ac:dyDescent="0.55000000000000004">
      <c r="C73" s="124"/>
      <c r="I73" s="125"/>
    </row>
    <row r="74" spans="3:9" x14ac:dyDescent="0.55000000000000004">
      <c r="C74" s="124"/>
      <c r="I74" s="125"/>
    </row>
    <row r="75" spans="3:9" x14ac:dyDescent="0.55000000000000004">
      <c r="C75" s="124"/>
      <c r="I75" s="125"/>
    </row>
    <row r="76" spans="3:9" x14ac:dyDescent="0.55000000000000004">
      <c r="C76" s="124"/>
      <c r="I76" s="125"/>
    </row>
    <row r="77" spans="3:9" x14ac:dyDescent="0.55000000000000004">
      <c r="C77" s="124"/>
      <c r="I77" s="125"/>
    </row>
    <row r="78" spans="3:9" x14ac:dyDescent="0.55000000000000004">
      <c r="C78" s="124"/>
      <c r="D78" s="1" t="s">
        <v>577</v>
      </c>
      <c r="I78" s="125"/>
    </row>
    <row r="79" spans="3:9" x14ac:dyDescent="0.55000000000000004">
      <c r="C79" s="124"/>
      <c r="I79" s="125"/>
    </row>
    <row r="80" spans="3:9" x14ac:dyDescent="0.55000000000000004">
      <c r="C80" s="124"/>
      <c r="I80" s="125"/>
    </row>
    <row r="81" spans="3:9" x14ac:dyDescent="0.55000000000000004">
      <c r="C81" s="124"/>
      <c r="I81" s="125"/>
    </row>
    <row r="82" spans="3:9" x14ac:dyDescent="0.55000000000000004">
      <c r="C82" s="124"/>
      <c r="I82" s="125"/>
    </row>
    <row r="83" spans="3:9" x14ac:dyDescent="0.55000000000000004">
      <c r="C83" s="124"/>
      <c r="I83" s="125"/>
    </row>
    <row r="84" spans="3:9" x14ac:dyDescent="0.55000000000000004">
      <c r="C84" s="124"/>
      <c r="I84" s="125"/>
    </row>
    <row r="85" spans="3:9" x14ac:dyDescent="0.55000000000000004">
      <c r="C85" s="124"/>
      <c r="I85" s="125"/>
    </row>
    <row r="86" spans="3:9" x14ac:dyDescent="0.55000000000000004">
      <c r="C86" s="124"/>
      <c r="I86" s="125"/>
    </row>
    <row r="87" spans="3:9" x14ac:dyDescent="0.55000000000000004">
      <c r="C87" s="124"/>
      <c r="I87" s="125"/>
    </row>
    <row r="88" spans="3:9" x14ac:dyDescent="0.55000000000000004">
      <c r="C88" s="124"/>
      <c r="I88" s="125"/>
    </row>
    <row r="89" spans="3:9" x14ac:dyDescent="0.55000000000000004">
      <c r="C89" s="124"/>
      <c r="I89" s="125"/>
    </row>
    <row r="90" spans="3:9" x14ac:dyDescent="0.55000000000000004">
      <c r="C90" s="124"/>
      <c r="I90" s="125"/>
    </row>
    <row r="91" spans="3:9" x14ac:dyDescent="0.55000000000000004">
      <c r="C91" s="124"/>
      <c r="I91" s="125"/>
    </row>
    <row r="92" spans="3:9" x14ac:dyDescent="0.55000000000000004">
      <c r="C92" s="124"/>
      <c r="I92" s="125"/>
    </row>
    <row r="93" spans="3:9" x14ac:dyDescent="0.55000000000000004">
      <c r="C93" s="124"/>
      <c r="I93" s="125"/>
    </row>
    <row r="94" spans="3:9" x14ac:dyDescent="0.55000000000000004">
      <c r="C94" s="124"/>
      <c r="I94" s="125"/>
    </row>
    <row r="95" spans="3:9" x14ac:dyDescent="0.55000000000000004">
      <c r="C95" s="124"/>
      <c r="I95" s="125"/>
    </row>
    <row r="96" spans="3:9" ht="14.7" thickBot="1" x14ac:dyDescent="0.6">
      <c r="C96" s="130"/>
      <c r="D96" s="131"/>
      <c r="E96" s="131"/>
      <c r="F96" s="131"/>
      <c r="G96" s="131"/>
      <c r="H96" s="131"/>
      <c r="I96" s="132"/>
    </row>
  </sheetData>
  <sheetProtection sheet="1" objects="1" scenarios="1"/>
  <mergeCells count="5">
    <mergeCell ref="C7:I9"/>
    <mergeCell ref="D13:H14"/>
    <mergeCell ref="D23:H24"/>
    <mergeCell ref="D32:H34"/>
    <mergeCell ref="F1:F2"/>
  </mergeCells>
  <dataValidations count="2">
    <dataValidation type="list" allowBlank="1" showInputMessage="1" showErrorMessage="1" sqref="F38:F40" xr:uid="{8D008DFD-371D-467C-A9C1-74D21FEE9B51}">
      <formula1>#REF!</formula1>
    </dataValidation>
    <dataValidation type="list" allowBlank="1" showInputMessage="1" showErrorMessage="1" sqref="F37" xr:uid="{1BFE1A90-8817-4FBD-81F1-2423097FE2F1}">
      <formula1>$K$37:$K$39</formula1>
    </dataValidation>
  </dataValidations>
  <pageMargins left="0.7" right="0.7" top="0.75" bottom="0.75" header="0.3" footer="0.3"/>
  <drawing r:id="rId1"/>
  <legacyDrawing r:id="rId2"/>
  <controls>
    <mc:AlternateContent xmlns:mc="http://schemas.openxmlformats.org/markup-compatibility/2006">
      <mc:Choice Requires="x14">
        <control shapeId="52688896" r:id="rId3" name="cbAfford">
          <controlPr defaultSize="0" autoLine="0" r:id="rId4">
            <anchor moveWithCells="1">
              <from>
                <xdr:col>5</xdr:col>
                <xdr:colOff>60960</xdr:colOff>
                <xdr:row>2</xdr:row>
                <xdr:rowOff>68580</xdr:rowOff>
              </from>
              <to>
                <xdr:col>6</xdr:col>
                <xdr:colOff>209550</xdr:colOff>
                <xdr:row>3</xdr:row>
                <xdr:rowOff>99060</xdr:rowOff>
              </to>
            </anchor>
          </controlPr>
        </control>
      </mc:Choice>
      <mc:Fallback>
        <control shapeId="52688896" r:id="rId3" name="cbAfford"/>
      </mc:Fallback>
    </mc:AlternateContent>
  </controls>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3F3B308-3A7B-460F-86F4-A57D0E8418FE}">
  <sheetPr codeName="Sheet26"/>
  <dimension ref="A1"/>
  <sheetViews>
    <sheetView workbookViewId="0"/>
  </sheetViews>
  <sheetFormatPr defaultRowHeight="14.4" x14ac:dyDescent="0.55000000000000004"/>
  <sheetData/>
  <pageMargins left="0.7" right="0.7" top="0.75" bottom="0.75" header="0.3" footer="0.3"/>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CFEBD7-8476-40E1-AB5E-44CAC6F17609}">
  <sheetPr codeName="Sheet27"/>
  <dimension ref="A1:AG23"/>
  <sheetViews>
    <sheetView workbookViewId="0">
      <selection activeCell="A2" sqref="A2"/>
    </sheetView>
  </sheetViews>
  <sheetFormatPr defaultColWidth="8.7890625" defaultRowHeight="14.4" x14ac:dyDescent="0.55000000000000004"/>
  <cols>
    <col min="1" max="1" width="29.5234375" customWidth="1"/>
    <col min="2" max="2" width="12.7890625" customWidth="1"/>
    <col min="3" max="3" width="15.7890625" bestFit="1" customWidth="1"/>
    <col min="4" max="4" width="5" bestFit="1" customWidth="1"/>
    <col min="5" max="5" width="5.7890625" bestFit="1" customWidth="1"/>
    <col min="6" max="9" width="6.7890625" bestFit="1" customWidth="1"/>
    <col min="10" max="14" width="5.7890625" bestFit="1" customWidth="1"/>
    <col min="15" max="18" width="6.7890625" bestFit="1" customWidth="1"/>
    <col min="19" max="22" width="5" bestFit="1" customWidth="1"/>
    <col min="23" max="28" width="6.7890625" bestFit="1" customWidth="1"/>
    <col min="29" max="33" width="7.7890625" bestFit="1" customWidth="1"/>
  </cols>
  <sheetData>
    <row r="1" spans="1:33" x14ac:dyDescent="0.55000000000000004">
      <c r="A1" s="1" t="s">
        <v>427</v>
      </c>
      <c r="B1">
        <v>2</v>
      </c>
      <c r="C1">
        <v>3</v>
      </c>
      <c r="D1">
        <v>4</v>
      </c>
      <c r="E1">
        <v>5</v>
      </c>
      <c r="F1">
        <v>6</v>
      </c>
      <c r="G1">
        <v>7</v>
      </c>
      <c r="H1">
        <v>8</v>
      </c>
      <c r="I1">
        <v>9</v>
      </c>
      <c r="J1">
        <v>10</v>
      </c>
      <c r="K1">
        <v>11</v>
      </c>
      <c r="L1">
        <v>12</v>
      </c>
      <c r="M1">
        <v>13</v>
      </c>
      <c r="N1">
        <v>14</v>
      </c>
      <c r="O1">
        <v>15</v>
      </c>
      <c r="P1">
        <v>16</v>
      </c>
      <c r="Q1">
        <v>17</v>
      </c>
      <c r="R1">
        <v>18</v>
      </c>
      <c r="S1">
        <v>19</v>
      </c>
      <c r="T1">
        <v>20</v>
      </c>
      <c r="U1">
        <v>21</v>
      </c>
      <c r="V1">
        <v>22</v>
      </c>
      <c r="W1">
        <v>23</v>
      </c>
      <c r="X1">
        <v>24</v>
      </c>
      <c r="Y1">
        <v>25</v>
      </c>
      <c r="Z1">
        <v>26</v>
      </c>
      <c r="AA1">
        <v>27</v>
      </c>
      <c r="AB1">
        <v>28</v>
      </c>
      <c r="AC1">
        <v>29</v>
      </c>
      <c r="AD1">
        <v>30</v>
      </c>
      <c r="AE1">
        <v>31</v>
      </c>
      <c r="AF1">
        <v>32</v>
      </c>
      <c r="AG1">
        <v>33</v>
      </c>
    </row>
    <row r="2" spans="1:33" x14ac:dyDescent="0.55000000000000004">
      <c r="A2" s="1"/>
      <c r="D2" s="1827" t="s">
        <v>409</v>
      </c>
      <c r="E2" s="1827"/>
      <c r="F2" s="1827"/>
      <c r="G2" s="1827"/>
      <c r="H2" s="1827"/>
      <c r="I2" s="1827"/>
      <c r="J2" s="1827"/>
      <c r="K2" s="1827"/>
      <c r="L2" s="1827"/>
      <c r="M2" s="1827"/>
      <c r="N2" s="1827" t="s">
        <v>80</v>
      </c>
      <c r="O2" s="1827"/>
      <c r="P2" s="1827"/>
      <c r="Q2" s="1827"/>
      <c r="R2" s="1827"/>
      <c r="S2" s="1827"/>
      <c r="T2" s="1827"/>
      <c r="U2" s="1827"/>
      <c r="V2" s="1827"/>
      <c r="W2" s="1827"/>
      <c r="X2" s="1827" t="s">
        <v>407</v>
      </c>
      <c r="Y2" s="1827"/>
      <c r="Z2" s="1827"/>
      <c r="AA2" s="1827"/>
      <c r="AB2" s="1827"/>
      <c r="AC2" s="1827"/>
      <c r="AD2" s="1827"/>
      <c r="AE2" s="1827"/>
      <c r="AF2" s="1827"/>
      <c r="AG2" s="1827"/>
    </row>
    <row r="3" spans="1:33" x14ac:dyDescent="0.55000000000000004">
      <c r="B3" t="s">
        <v>406</v>
      </c>
      <c r="C3" t="s">
        <v>98</v>
      </c>
      <c r="D3">
        <v>1</v>
      </c>
      <c r="E3">
        <v>2</v>
      </c>
      <c r="F3">
        <v>3</v>
      </c>
      <c r="G3">
        <v>4</v>
      </c>
      <c r="H3">
        <v>5</v>
      </c>
      <c r="I3">
        <v>6</v>
      </c>
      <c r="J3">
        <v>7</v>
      </c>
      <c r="K3">
        <v>8</v>
      </c>
      <c r="L3">
        <v>9</v>
      </c>
      <c r="M3">
        <v>10</v>
      </c>
      <c r="N3">
        <v>1</v>
      </c>
      <c r="O3">
        <v>2</v>
      </c>
      <c r="P3">
        <v>3</v>
      </c>
      <c r="Q3">
        <v>4</v>
      </c>
      <c r="R3">
        <v>5</v>
      </c>
      <c r="S3">
        <v>6</v>
      </c>
      <c r="T3">
        <v>7</v>
      </c>
      <c r="U3">
        <v>8</v>
      </c>
      <c r="V3">
        <v>9</v>
      </c>
      <c r="W3">
        <v>10</v>
      </c>
      <c r="X3">
        <v>1</v>
      </c>
      <c r="Y3">
        <v>2</v>
      </c>
      <c r="Z3">
        <v>3</v>
      </c>
      <c r="AA3">
        <v>4</v>
      </c>
      <c r="AB3">
        <v>5</v>
      </c>
      <c r="AC3">
        <v>6</v>
      </c>
      <c r="AD3">
        <v>7</v>
      </c>
      <c r="AE3">
        <v>8</v>
      </c>
      <c r="AF3">
        <v>9</v>
      </c>
      <c r="AG3">
        <v>10</v>
      </c>
    </row>
    <row r="4" spans="1:33" x14ac:dyDescent="0.55000000000000004">
      <c r="A4" t="str">
        <f>'2 Customer data'!D21</f>
        <v>Domestic: Conventional</v>
      </c>
      <c r="B4" s="332">
        <f ca="1">'3 Water'!H26</f>
        <v>293.79212399782381</v>
      </c>
      <c r="C4" s="333">
        <f>'3 Water'!G35</f>
        <v>5</v>
      </c>
      <c r="D4" s="332">
        <f>IFERROR(VLOOKUP(D3,'3 Water'!$E$39:$J$48,2,FALSE),0)</f>
        <v>0</v>
      </c>
      <c r="E4" s="332">
        <f>IFERROR(VLOOKUP(E3,'3 Water'!$E$39:$J$48,2,FALSE),0)</f>
        <v>6.01</v>
      </c>
      <c r="F4" s="332">
        <f>IFERROR(VLOOKUP(F3,'3 Water'!$E$39:$J$48,2,FALSE),0)</f>
        <v>15.01</v>
      </c>
      <c r="G4" s="332">
        <f>IFERROR(VLOOKUP(G3,'3 Water'!$E$39:$J$48,2,FALSE),0)</f>
        <v>30.01</v>
      </c>
      <c r="H4" s="332">
        <f>IFERROR(VLOOKUP(H3,'3 Water'!$E$39:$J$48,2,FALSE),0)</f>
        <v>40.01</v>
      </c>
      <c r="I4" s="332">
        <f>IFERROR(VLOOKUP(I3,'3 Water'!$E$39:$J$48,2,FALSE),0)</f>
        <v>0</v>
      </c>
      <c r="J4" s="332">
        <f>IFERROR(VLOOKUP(J3,'3 Water'!$E$39:$J$48,2,FALSE),0)</f>
        <v>0</v>
      </c>
      <c r="K4" s="332">
        <f>IFERROR(VLOOKUP(K3,'3 Water'!$E$39:$J$48,2,FALSE),0)</f>
        <v>0</v>
      </c>
      <c r="L4" s="332">
        <f>IFERROR(VLOOKUP(L3,'3 Water'!$E$39:$J$48,2,FALSE),0)</f>
        <v>0</v>
      </c>
      <c r="M4" s="332">
        <f>IFERROR(VLOOKUP(M3,'3 Water'!$E$39:$J$48,2,FALSE),0)</f>
        <v>0</v>
      </c>
      <c r="N4" s="332">
        <f>IFERROR(VLOOKUP(N3,'3 Water'!$E$39:$J$48,3,FALSE),0)</f>
        <v>6</v>
      </c>
      <c r="O4" s="332">
        <f>IFERROR(VLOOKUP(O3,'3 Water'!$E$39:$J$48,3,FALSE),0)</f>
        <v>15</v>
      </c>
      <c r="P4" s="332">
        <f>IFERROR(VLOOKUP(P3,'3 Water'!$E$39:$J$48,3,FALSE),0)</f>
        <v>30</v>
      </c>
      <c r="Q4" s="332">
        <f>IFERROR(VLOOKUP(Q3,'3 Water'!$E$39:$J$48,3,FALSE),0)</f>
        <v>40</v>
      </c>
      <c r="R4" s="332" t="str">
        <f>IFERROR(VLOOKUP(R3,'3 Water'!$E$39:$J$48,3,FALSE),0)</f>
        <v>more</v>
      </c>
      <c r="S4" s="332">
        <f>IFERROR(VLOOKUP(S3,'3 Water'!$E$39:$J$48,3,FALSE),0)</f>
        <v>0</v>
      </c>
      <c r="T4" s="332">
        <f>IFERROR(VLOOKUP(T3,'3 Water'!$E$39:$J$48,3,FALSE),0)</f>
        <v>0</v>
      </c>
      <c r="U4" s="332">
        <f>IFERROR(VLOOKUP(U3,'3 Water'!$E$39:$J$48,3,FALSE),0)</f>
        <v>0</v>
      </c>
      <c r="V4" s="332">
        <f>IFERROR(VLOOKUP(V3,'3 Water'!$E$39:$J$48,3,FALSE),0)</f>
        <v>0</v>
      </c>
      <c r="W4" s="332">
        <f>IFERROR(VLOOKUP(W3,'3 Water'!$E$39:$J$48,3,FALSE),0)</f>
        <v>0</v>
      </c>
      <c r="X4" s="332">
        <f ca="1">IFERROR(VLOOKUP(X3,'3 Water'!$E$39:$J$48,6,FALSE),0)</f>
        <v>7.1277396182581754</v>
      </c>
      <c r="Y4" s="332">
        <f ca="1">IFERROR(VLOOKUP(Y3,'3 Water'!$E$39:$J$48,6,FALSE),0)</f>
        <v>8.4802745919998603</v>
      </c>
      <c r="Z4" s="332">
        <f ca="1">IFERROR(VLOOKUP(Z3,'3 Water'!$E$39:$J$48,6,FALSE),0)</f>
        <v>17.535077314438666</v>
      </c>
      <c r="AA4" s="332">
        <f ca="1">IFERROR(VLOOKUP(AA3,'3 Water'!$E$39:$J$48,6,FALSE),0)</f>
        <v>21.909869641010221</v>
      </c>
      <c r="AB4" s="332">
        <f ca="1">IFERROR(VLOOKUP(AB3,'3 Water'!$E$39:$J$48,6,FALSE),0)</f>
        <v>28.935869902836501</v>
      </c>
      <c r="AC4" s="332">
        <f>IFERROR(VLOOKUP(AC3,'3 Water'!$E$39:$J$48,6,FALSE),0)</f>
        <v>0</v>
      </c>
      <c r="AD4" s="332">
        <f>IFERROR(VLOOKUP(AD3,'3 Water'!$E$39:$J$48,6,FALSE),0)</f>
        <v>0</v>
      </c>
      <c r="AE4" s="332">
        <f>IFERROR(VLOOKUP(AE3,'3 Water'!$E$39:$J$48,6,FALSE),0)</f>
        <v>0</v>
      </c>
      <c r="AF4" s="332">
        <f>IFERROR(VLOOKUP(AF3,'3 Water'!$E$39:$J$48,6,FALSE),0)</f>
        <v>0</v>
      </c>
      <c r="AG4" s="332">
        <f>IFERROR(VLOOKUP(AG3,'3 Water'!$E$39:$J$48,6,FALSE),0)</f>
        <v>0</v>
      </c>
    </row>
    <row r="5" spans="1:33" x14ac:dyDescent="0.55000000000000004">
      <c r="A5" t="str">
        <f>'2 Customer data'!D22</f>
        <v>Domestic: Prepaid</v>
      </c>
      <c r="B5" s="332">
        <f ca="1">'3 Water'!H67</f>
        <v>293.79212399782381</v>
      </c>
      <c r="C5" s="333">
        <f>'3 Water'!G76</f>
        <v>1</v>
      </c>
      <c r="D5" s="332">
        <f>IFERROR(VLOOKUP(D3,'3 Water'!$E$80:$J$89,2,FALSE),0)</f>
        <v>0</v>
      </c>
      <c r="E5" s="332">
        <f>IFERROR(VLOOKUP(E3,'3 Water'!$E$80:$J$89,2,FALSE),0)</f>
        <v>0</v>
      </c>
      <c r="F5" s="332">
        <f>IFERROR(VLOOKUP(F3,'3 Water'!$E$80:$J$89,2,FALSE),0)</f>
        <v>0</v>
      </c>
      <c r="G5" s="332">
        <f>IFERROR(VLOOKUP(G3,'3 Water'!$E$80:$J$89,2,FALSE),0)</f>
        <v>0</v>
      </c>
      <c r="H5" s="332">
        <f>IFERROR(VLOOKUP(H3,'3 Water'!$E$80:$J$89,2,FALSE),0)</f>
        <v>0</v>
      </c>
      <c r="I5" s="332">
        <f>IFERROR(VLOOKUP(I3,'3 Water'!$E$80:$J$89,2,FALSE),0)</f>
        <v>0</v>
      </c>
      <c r="J5" s="332">
        <f>IFERROR(VLOOKUP(J3,'3 Water'!$E$80:$J$89,2,FALSE),0)</f>
        <v>0</v>
      </c>
      <c r="K5" s="332">
        <f>IFERROR(VLOOKUP(K3,'3 Water'!$E$80:$J$89,2,FALSE),0)</f>
        <v>0</v>
      </c>
      <c r="L5" s="332">
        <f>IFERROR(VLOOKUP(L3,'3 Water'!$E$80:$J$89,2,FALSE),0)</f>
        <v>0</v>
      </c>
      <c r="M5" s="332">
        <f>IFERROR(VLOOKUP(M3,'3 Water'!$E$80:$J$89,2,FALSE),0)</f>
        <v>0</v>
      </c>
      <c r="N5" s="332">
        <f>IFERROR(VLOOKUP(N3,'3 Water'!$E$80:$J$89,3,FALSE),0)</f>
        <v>0</v>
      </c>
      <c r="O5" s="332">
        <f>IFERROR(VLOOKUP(O3,'3 Water'!$E$80:$J$89,3,FALSE),0)</f>
        <v>0</v>
      </c>
      <c r="P5" s="332">
        <f>IFERROR(VLOOKUP(P3,'3 Water'!$E$80:$J$89,3,FALSE),0)</f>
        <v>0</v>
      </c>
      <c r="Q5" s="332">
        <f>IFERROR(VLOOKUP(Q3,'3 Water'!$E$80:$J$89,3,FALSE),0)</f>
        <v>0</v>
      </c>
      <c r="R5" s="332">
        <f>IFERROR(VLOOKUP(R3,'3 Water'!$E$80:$J$89,3,FALSE),0)</f>
        <v>0</v>
      </c>
      <c r="S5" s="332">
        <f>IFERROR(VLOOKUP(S3,'3 Water'!$E$80:$J$89,3,FALSE),0)</f>
        <v>0</v>
      </c>
      <c r="T5" s="332">
        <f>IFERROR(VLOOKUP(T3,'3 Water'!$E$80:$J$89,3,FALSE),0)</f>
        <v>0</v>
      </c>
      <c r="U5" s="332">
        <f>IFERROR(VLOOKUP(U3,'3 Water'!$E$80:$J$89,3,FALSE),0)</f>
        <v>0</v>
      </c>
      <c r="V5" s="332">
        <f>IFERROR(VLOOKUP(V3,'3 Water'!$E$80:$J$89,3,FALSE),0)</f>
        <v>0</v>
      </c>
      <c r="W5" s="332">
        <f>IFERROR(VLOOKUP(W3,'3 Water'!$E$80:$J$89,3,FALSE),0)</f>
        <v>0</v>
      </c>
      <c r="X5" s="332">
        <f ca="1">IFERROR(VLOOKUP(X3,'3 Water'!$E$80:$J$89,6,FALSE),0)</f>
        <v>9.6424905692326135</v>
      </c>
      <c r="Y5" s="332">
        <f>IFERROR(VLOOKUP(Y3,'3 Water'!$E$80:$J$89,6,FALSE),0)</f>
        <v>0</v>
      </c>
      <c r="Z5" s="332">
        <f>IFERROR(VLOOKUP(Z3,'3 Water'!$E$80:$J$89,6,FALSE),0)</f>
        <v>0</v>
      </c>
      <c r="AA5" s="332">
        <f>IFERROR(VLOOKUP(AA3,'3 Water'!$E$80:$J$89,6,FALSE),0)</f>
        <v>0</v>
      </c>
      <c r="AB5" s="332">
        <f>IFERROR(VLOOKUP(AB3,'3 Water'!$E$80:$J$89,6,FALSE),0)</f>
        <v>0</v>
      </c>
      <c r="AC5" s="332">
        <f>IFERROR(VLOOKUP(AC3,'3 Water'!$E$80:$J$89,6,FALSE),0)</f>
        <v>0</v>
      </c>
      <c r="AD5" s="332">
        <f>IFERROR(VLOOKUP(AD3,'3 Water'!$E$80:$J$89,6,FALSE),0)</f>
        <v>0</v>
      </c>
      <c r="AE5" s="332">
        <f>IFERROR(VLOOKUP(AE3,'3 Water'!$E$80:$J$89,6,FALSE),0)</f>
        <v>0</v>
      </c>
      <c r="AF5" s="332">
        <f>IFERROR(VLOOKUP(AF3,'3 Water'!$E$80:$J$89,6,FALSE),0)</f>
        <v>0</v>
      </c>
      <c r="AG5" s="332">
        <f>IFERROR(VLOOKUP(AG3,'3 Water'!$E$80:$J$89,6,FALSE),0)</f>
        <v>0</v>
      </c>
    </row>
    <row r="6" spans="1:33" x14ac:dyDescent="0.55000000000000004">
      <c r="A6" t="str">
        <f>'2 Customer data'!D23</f>
        <v>Sport Clubs</v>
      </c>
      <c r="B6" s="332">
        <f ca="1">'3 Water'!H108</f>
        <v>293.79212399782381</v>
      </c>
      <c r="C6" s="333">
        <f>'3 Water'!G117</f>
        <v>2</v>
      </c>
      <c r="D6" s="332">
        <f>IFERROR(VLOOKUP(D3,'3 Water'!$E$121:$J$130,2,FALSE),0)</f>
        <v>0</v>
      </c>
      <c r="E6" s="332">
        <f>IFERROR(VLOOKUP(E3,'3 Water'!$E$121:$J$130,2,FALSE),0)</f>
        <v>500.01</v>
      </c>
      <c r="F6" s="332">
        <f>IFERROR(VLOOKUP(F3,'3 Water'!$E$121:$J$130,2,FALSE),0)</f>
        <v>0</v>
      </c>
      <c r="G6" s="332">
        <f>IFERROR(VLOOKUP(G3,'3 Water'!$E$121:$J$130,2,FALSE),0)</f>
        <v>0</v>
      </c>
      <c r="H6" s="332">
        <f>IFERROR(VLOOKUP(H3,'3 Water'!$E$121:$J$130,2,FALSE),0)</f>
        <v>0</v>
      </c>
      <c r="I6" s="332">
        <f>IFERROR(VLOOKUP(I3,'3 Water'!$E$121:$J$130,2,FALSE),0)</f>
        <v>0</v>
      </c>
      <c r="J6" s="332">
        <f>IFERROR(VLOOKUP(J3,'3 Water'!$E$121:$J$130,2,FALSE),0)</f>
        <v>0</v>
      </c>
      <c r="K6" s="332">
        <f>IFERROR(VLOOKUP(K3,'3 Water'!$E$121:$J$130,2,FALSE),0)</f>
        <v>0</v>
      </c>
      <c r="L6" s="332">
        <f>IFERROR(VLOOKUP(L3,'3 Water'!$E$121:$J$130,2,FALSE),0)</f>
        <v>0</v>
      </c>
      <c r="M6" s="332">
        <f>IFERROR(VLOOKUP(M3,'3 Water'!$E$121:$J$130,2,FALSE),0)</f>
        <v>0</v>
      </c>
      <c r="N6" s="332">
        <f>IFERROR(VLOOKUP(N3,'3 Water'!$E$121:$J$130,3,FALSE),0)</f>
        <v>500</v>
      </c>
      <c r="O6" s="332" t="str">
        <f>IFERROR(VLOOKUP(O3,'3 Water'!$E$121:$J$130,3,FALSE),0)</f>
        <v>more</v>
      </c>
      <c r="P6" s="332">
        <f>IFERROR(VLOOKUP(P3,'3 Water'!$E$121:$J$130,3,FALSE),0)</f>
        <v>0</v>
      </c>
      <c r="Q6" s="332">
        <f>IFERROR(VLOOKUP(Q3,'3 Water'!$E$121:$J$130,3,FALSE),0)</f>
        <v>0</v>
      </c>
      <c r="R6" s="332">
        <f>IFERROR(VLOOKUP(R3,'3 Water'!$E$121:$J$130,3,FALSE),0)</f>
        <v>0</v>
      </c>
      <c r="S6" s="332">
        <f>IFERROR(VLOOKUP(S3,'3 Water'!$E$121:$J$130,3,FALSE),0)</f>
        <v>0</v>
      </c>
      <c r="T6" s="332">
        <f>IFERROR(VLOOKUP(T3,'3 Water'!$E$121:$J$130,3,FALSE),0)</f>
        <v>0</v>
      </c>
      <c r="U6" s="332">
        <f>IFERROR(VLOOKUP(U3,'3 Water'!$E$121:$J$130,3,FALSE),0)</f>
        <v>0</v>
      </c>
      <c r="V6" s="332">
        <f>IFERROR(VLOOKUP(V3,'3 Water'!$E$121:$J$130,3,FALSE),0)</f>
        <v>0</v>
      </c>
      <c r="W6" s="332">
        <f>IFERROR(VLOOKUP(W3,'3 Water'!$E$121:$J$130,3,FALSE),0)</f>
        <v>0</v>
      </c>
      <c r="X6" s="332">
        <f ca="1">IFERROR(VLOOKUP(X3,'3 Water'!$E$121:$J$130,6,FALSE),0)</f>
        <v>20.12933190188118</v>
      </c>
      <c r="Y6" s="332">
        <f ca="1">IFERROR(VLOOKUP(Y3,'3 Water'!$E$121:$J$130,6,FALSE),0)</f>
        <v>22.299022653553777</v>
      </c>
      <c r="Z6" s="332">
        <f>IFERROR(VLOOKUP(Z3,'3 Water'!$E$121:$J$130,6,FALSE),0)</f>
        <v>0</v>
      </c>
      <c r="AA6" s="332">
        <f>IFERROR(VLOOKUP(AA3,'3 Water'!$E$121:$J$130,6,FALSE),0)</f>
        <v>0</v>
      </c>
      <c r="AB6" s="332">
        <f>IFERROR(VLOOKUP(AB3,'3 Water'!$E$121:$J$130,6,FALSE),0)</f>
        <v>0</v>
      </c>
      <c r="AC6" s="332">
        <f>IFERROR(VLOOKUP(AC3,'3 Water'!$E$121:$J$130,6,FALSE),0)</f>
        <v>0</v>
      </c>
      <c r="AD6" s="332">
        <f>IFERROR(VLOOKUP(AD3,'3 Water'!$E$121:$J$130,6,FALSE),0)</f>
        <v>0</v>
      </c>
      <c r="AE6" s="332">
        <f>IFERROR(VLOOKUP(AE3,'3 Water'!$E$121:$J$130,6,FALSE),0)</f>
        <v>0</v>
      </c>
      <c r="AF6" s="332">
        <f>IFERROR(VLOOKUP(AF3,'3 Water'!$E$121:$J$130,6,FALSE),0)</f>
        <v>0</v>
      </c>
      <c r="AG6" s="332">
        <f>IFERROR(VLOOKUP(AG3,'3 Water'!$E$121:$J$130,6,FALSE),0)</f>
        <v>0</v>
      </c>
    </row>
    <row r="7" spans="1:33" x14ac:dyDescent="0.55000000000000004">
      <c r="A7" t="str">
        <f>'2 Customer data'!D24</f>
        <v>Schools</v>
      </c>
      <c r="B7" s="332">
        <f ca="1">'3 Water'!H149</f>
        <v>293.79212399782381</v>
      </c>
      <c r="C7" s="333">
        <f>'3 Water'!G158</f>
        <v>2</v>
      </c>
      <c r="D7" s="332">
        <f>IFERROR(VLOOKUP(D3,'3 Water'!$E$162:$J$171,2,FALSE),0)</f>
        <v>0</v>
      </c>
      <c r="E7" s="332">
        <f>IFERROR(VLOOKUP(E3,'3 Water'!$E$162:$J$171,2,FALSE),0)</f>
        <v>500.01</v>
      </c>
      <c r="F7" s="332">
        <f>IFERROR(VLOOKUP(F3,'3 Water'!$E$162:$J$171,2,FALSE),0)</f>
        <v>0</v>
      </c>
      <c r="G7" s="332">
        <f>IFERROR(VLOOKUP(G3,'3 Water'!$E$162:$J$171,2,FALSE),0)</f>
        <v>0</v>
      </c>
      <c r="H7" s="332">
        <f>IFERROR(VLOOKUP(H3,'3 Water'!$E$162:$J$171,2,FALSE),0)</f>
        <v>0</v>
      </c>
      <c r="I7" s="332">
        <f>IFERROR(VLOOKUP(I3,'3 Water'!$E$162:$J$171,2,FALSE),0)</f>
        <v>0</v>
      </c>
      <c r="J7" s="332">
        <f>IFERROR(VLOOKUP(J3,'3 Water'!$E$162:$J$171,2,FALSE),0)</f>
        <v>0</v>
      </c>
      <c r="K7" s="332">
        <f>IFERROR(VLOOKUP(K3,'3 Water'!$E$162:$J$171,2,FALSE),0)</f>
        <v>0</v>
      </c>
      <c r="L7" s="332">
        <f>IFERROR(VLOOKUP(L3,'3 Water'!$E$162:$J$171,2,FALSE),0)</f>
        <v>0</v>
      </c>
      <c r="M7" s="332">
        <f>IFERROR(VLOOKUP(M3,'3 Water'!$E$162:$J$171,2,FALSE),0)</f>
        <v>0</v>
      </c>
      <c r="N7" s="332">
        <f>IFERROR(VLOOKUP(N3,'3 Water'!$E$162:$J$171,3,FALSE),0)</f>
        <v>500</v>
      </c>
      <c r="O7" s="332" t="str">
        <f>IFERROR(VLOOKUP(O3,'3 Water'!$E$162:$J$171,3,FALSE),0)</f>
        <v>more</v>
      </c>
      <c r="P7" s="332">
        <f>IFERROR(VLOOKUP(P3,'3 Water'!$E$162:$J$171,3,FALSE),0)</f>
        <v>0</v>
      </c>
      <c r="Q7" s="332">
        <f>IFERROR(VLOOKUP(Q3,'3 Water'!$E$162:$J$171,3,FALSE),0)</f>
        <v>0</v>
      </c>
      <c r="R7" s="332">
        <f>IFERROR(VLOOKUP(R3,'3 Water'!$E$162:$J$171,3,FALSE),0)</f>
        <v>0</v>
      </c>
      <c r="S7" s="332">
        <f>IFERROR(VLOOKUP(S3,'3 Water'!$E$162:$J$171,3,FALSE),0)</f>
        <v>0</v>
      </c>
      <c r="T7" s="332">
        <f>IFERROR(VLOOKUP(T3,'3 Water'!$E$162:$J$171,3,FALSE),0)</f>
        <v>0</v>
      </c>
      <c r="U7" s="332">
        <f>IFERROR(VLOOKUP(U3,'3 Water'!$E$162:$J$171,3,FALSE),0)</f>
        <v>0</v>
      </c>
      <c r="V7" s="332">
        <f>IFERROR(VLOOKUP(V3,'3 Water'!$E$162:$J$171,3,FALSE),0)</f>
        <v>0</v>
      </c>
      <c r="W7" s="332">
        <f>IFERROR(VLOOKUP(W3,'3 Water'!$E$162:$J$171,3,FALSE),0)</f>
        <v>0</v>
      </c>
      <c r="X7" s="332">
        <f ca="1">IFERROR(VLOOKUP(X3,'3 Water'!$E$162:$J$171,6,FALSE),0)</f>
        <v>20.643822973475459</v>
      </c>
      <c r="Y7" s="332">
        <f ca="1">IFERROR(VLOOKUP(Y3,'3 Water'!$E$162:$J$171,6,FALSE),0)</f>
        <v>22.868969441477713</v>
      </c>
      <c r="Z7" s="332">
        <f>IFERROR(VLOOKUP(Z3,'3 Water'!$E$162:$J$171,6,FALSE),0)</f>
        <v>0</v>
      </c>
      <c r="AA7" s="332">
        <f>IFERROR(VLOOKUP(AA3,'3 Water'!$E$162:$J$171,6,FALSE),0)</f>
        <v>0</v>
      </c>
      <c r="AB7" s="332">
        <f>IFERROR(VLOOKUP(AB3,'3 Water'!$E$162:$J$171,6,FALSE),0)</f>
        <v>0</v>
      </c>
      <c r="AC7" s="332">
        <f>IFERROR(VLOOKUP(AC3,'3 Water'!$E$162:$J$171,6,FALSE),0)</f>
        <v>0</v>
      </c>
      <c r="AD7" s="332">
        <f>IFERROR(VLOOKUP(AD3,'3 Water'!$E$162:$J$171,6,FALSE),0)</f>
        <v>0</v>
      </c>
      <c r="AE7" s="332">
        <f>IFERROR(VLOOKUP(AE3,'3 Water'!$E$162:$J$171,6,FALSE),0)</f>
        <v>0</v>
      </c>
      <c r="AF7" s="332">
        <f>IFERROR(VLOOKUP(AF3,'3 Water'!$E$162:$J$171,6,FALSE),0)</f>
        <v>0</v>
      </c>
      <c r="AG7" s="332">
        <f>IFERROR(VLOOKUP(AG3,'3 Water'!$E$162:$J$171,6,FALSE),0)</f>
        <v>0</v>
      </c>
    </row>
    <row r="8" spans="1:33" x14ac:dyDescent="0.55000000000000004">
      <c r="A8" t="str">
        <f>'2 Customer data'!D25</f>
        <v>Industrial</v>
      </c>
      <c r="B8" s="332">
        <f ca="1">'3 Water'!H190</f>
        <v>293.79212399782381</v>
      </c>
      <c r="C8" s="333">
        <f>'3 Water'!G199</f>
        <v>3</v>
      </c>
      <c r="D8" s="332">
        <f>IFERROR(VLOOKUP(D3,'3 Water'!$E$203:$J$212,2,FALSE),0)</f>
        <v>0</v>
      </c>
      <c r="E8" s="332">
        <f>IFERROR(VLOOKUP(E3,'3 Water'!$E$203:$J$212,2,FALSE),0)</f>
        <v>30.01</v>
      </c>
      <c r="F8" s="332">
        <f>IFERROR(VLOOKUP(F3,'3 Water'!$E$203:$J$212,2,FALSE),0)</f>
        <v>40.01</v>
      </c>
      <c r="G8" s="332">
        <f>IFERROR(VLOOKUP(G3,'3 Water'!$E$203:$J$212,2,FALSE),0)</f>
        <v>0</v>
      </c>
      <c r="H8" s="332">
        <f>IFERROR(VLOOKUP(H3,'3 Water'!$E$203:$J$212,2,FALSE),0)</f>
        <v>0</v>
      </c>
      <c r="I8" s="332">
        <f>IFERROR(VLOOKUP(I3,'3 Water'!$E$203:$J$212,2,FALSE),0)</f>
        <v>0</v>
      </c>
      <c r="J8" s="332">
        <f>IFERROR(VLOOKUP(J3,'3 Water'!$E$203:$J$212,2,FALSE),0)</f>
        <v>0</v>
      </c>
      <c r="K8" s="332">
        <f>IFERROR(VLOOKUP(K3,'3 Water'!$E$203:$J$212,2,FALSE),0)</f>
        <v>0</v>
      </c>
      <c r="L8" s="332">
        <f>IFERROR(VLOOKUP(L3,'3 Water'!$E$203:$J$212,2,FALSE),0)</f>
        <v>0</v>
      </c>
      <c r="M8" s="332">
        <f>IFERROR(VLOOKUP(M3,'3 Water'!$E$203:$J$212,2,FALSE),0)</f>
        <v>0</v>
      </c>
      <c r="N8" s="332">
        <f>IFERROR(VLOOKUP(N3,'3 Water'!$E$203:$J$212,3,FALSE),0)</f>
        <v>30</v>
      </c>
      <c r="O8" s="332">
        <f>IFERROR(VLOOKUP(O3,'3 Water'!$E$203:$J$212,3,FALSE),0)</f>
        <v>40</v>
      </c>
      <c r="P8" s="332" t="str">
        <f>IFERROR(VLOOKUP(P3,'3 Water'!$E$203:$J$212,3,FALSE),0)</f>
        <v>more</v>
      </c>
      <c r="Q8" s="332">
        <f>IFERROR(VLOOKUP(Q3,'3 Water'!$E$203:$J$212,3,FALSE),0)</f>
        <v>0</v>
      </c>
      <c r="R8" s="332">
        <f>IFERROR(VLOOKUP(R3,'3 Water'!$E$203:$J$212,3,FALSE),0)</f>
        <v>0</v>
      </c>
      <c r="S8" s="332">
        <f>IFERROR(VLOOKUP(S3,'3 Water'!$E$203:$J$212,3,FALSE),0)</f>
        <v>0</v>
      </c>
      <c r="T8" s="332">
        <f>IFERROR(VLOOKUP(T3,'3 Water'!$E$203:$J$212,3,FALSE),0)</f>
        <v>0</v>
      </c>
      <c r="U8" s="332">
        <f>IFERROR(VLOOKUP(U3,'3 Water'!$E$203:$J$212,3,FALSE),0)</f>
        <v>0</v>
      </c>
      <c r="V8" s="332">
        <f>IFERROR(VLOOKUP(V3,'3 Water'!$E$203:$J$212,3,FALSE),0)</f>
        <v>0</v>
      </c>
      <c r="W8" s="332">
        <f>IFERROR(VLOOKUP(W3,'3 Water'!$E$203:$J$212,3,FALSE),0)</f>
        <v>0</v>
      </c>
      <c r="X8" s="332">
        <f ca="1">IFERROR(VLOOKUP(X3,'3 Water'!$E$203:$J$212,6,FALSE),0)</f>
        <v>10.775169552364734</v>
      </c>
      <c r="Y8" s="332">
        <f ca="1">IFERROR(VLOOKUP(Y3,'3 Water'!$E$203:$J$212,6,FALSE),0)</f>
        <v>14.546285306587965</v>
      </c>
      <c r="Z8" s="332">
        <f ca="1">IFERROR(VLOOKUP(Z3,'3 Water'!$E$203:$J$212,6,FALSE),0)</f>
        <v>21.379980692834373</v>
      </c>
      <c r="AA8" s="332">
        <f>IFERROR(VLOOKUP(AA3,'3 Water'!$E$203:$J$212,6,FALSE),0)</f>
        <v>0</v>
      </c>
      <c r="AB8" s="332">
        <f>IFERROR(VLOOKUP(AB3,'3 Water'!$E$203:$J$212,6,FALSE),0)</f>
        <v>0</v>
      </c>
      <c r="AC8" s="332">
        <f>IFERROR(VLOOKUP(AC3,'3 Water'!$E$203:$J$212,6,FALSE),0)</f>
        <v>0</v>
      </c>
      <c r="AD8" s="332">
        <f>IFERROR(VLOOKUP(AD3,'3 Water'!$E$203:$J$212,6,FALSE),0)</f>
        <v>0</v>
      </c>
      <c r="AE8" s="332">
        <f>IFERROR(VLOOKUP(AE3,'3 Water'!$E$203:$J$212,6,FALSE),0)</f>
        <v>0</v>
      </c>
      <c r="AF8" s="332">
        <f>IFERROR(VLOOKUP(AF3,'3 Water'!$E$203:$J$212,6,FALSE),0)</f>
        <v>0</v>
      </c>
      <c r="AG8" s="332">
        <f>IFERROR(VLOOKUP(AG3,'3 Water'!$E$203:$J$212,6,FALSE),0)</f>
        <v>0</v>
      </c>
    </row>
    <row r="9" spans="1:33" x14ac:dyDescent="0.55000000000000004">
      <c r="A9" t="str">
        <f>'2 Customer data'!D26</f>
        <v>Commercial</v>
      </c>
      <c r="B9" s="332">
        <f ca="1">'3 Water'!H231</f>
        <v>293.79212399782381</v>
      </c>
      <c r="C9" s="333">
        <f>'3 Water'!G240</f>
        <v>3</v>
      </c>
      <c r="D9" s="332">
        <f>IFERROR(VLOOKUP(D3,'3 Water'!$E$244:$J$253,2,FALSE),0)</f>
        <v>0</v>
      </c>
      <c r="E9" s="332">
        <f>IFERROR(VLOOKUP(E3,'3 Water'!$E$244:$J$253,2,FALSE),0)</f>
        <v>30.01</v>
      </c>
      <c r="F9" s="332">
        <f>IFERROR(VLOOKUP(F3,'3 Water'!$E$244:$J$253,2,FALSE),0)</f>
        <v>40.01</v>
      </c>
      <c r="G9" s="332">
        <f>IFERROR(VLOOKUP(G3,'3 Water'!$E$244:$J$253,2,FALSE),0)</f>
        <v>0</v>
      </c>
      <c r="H9" s="332">
        <f>IFERROR(VLOOKUP(H3,'3 Water'!$E$244:$J$253,2,FALSE),0)</f>
        <v>0</v>
      </c>
      <c r="I9" s="332">
        <f>IFERROR(VLOOKUP(I3,'3 Water'!$E$244:$J$253,2,FALSE),0)</f>
        <v>0</v>
      </c>
      <c r="J9" s="332">
        <f>IFERROR(VLOOKUP(J3,'3 Water'!$E$244:$J$253,2,FALSE),0)</f>
        <v>0</v>
      </c>
      <c r="K9" s="332">
        <f>IFERROR(VLOOKUP(K3,'3 Water'!$E$244:$J$253,2,FALSE),0)</f>
        <v>0</v>
      </c>
      <c r="L9" s="332">
        <f>IFERROR(VLOOKUP(L3,'3 Water'!$E$244:$J$253,2,FALSE),0)</f>
        <v>0</v>
      </c>
      <c r="M9" s="332">
        <f>IFERROR(VLOOKUP(M3,'3 Water'!$E$244:$J$253,2,FALSE),0)</f>
        <v>0</v>
      </c>
      <c r="N9" s="332">
        <f>IFERROR(VLOOKUP(N3,'3 Water'!$E$244:$J$253,3,FALSE),0)</f>
        <v>30</v>
      </c>
      <c r="O9" s="332">
        <f>IFERROR(VLOOKUP(O3,'3 Water'!$E$244:$J$253,3,FALSE),0)</f>
        <v>40</v>
      </c>
      <c r="P9" s="332" t="str">
        <f>IFERROR(VLOOKUP(P3,'3 Water'!$E$244:$J$253,3,FALSE),0)</f>
        <v>more</v>
      </c>
      <c r="Q9" s="332">
        <f>IFERROR(VLOOKUP(Q3,'3 Water'!$E$244:$J$253,3,FALSE),0)</f>
        <v>0</v>
      </c>
      <c r="R9" s="332">
        <f>IFERROR(VLOOKUP(R3,'3 Water'!$E$244:$J$253,3,FALSE),0)</f>
        <v>0</v>
      </c>
      <c r="S9" s="332">
        <f>IFERROR(VLOOKUP(S3,'3 Water'!$E$244:$J$253,3,FALSE),0)</f>
        <v>0</v>
      </c>
      <c r="T9" s="332">
        <f>IFERROR(VLOOKUP(T3,'3 Water'!$E$244:$J$253,3,FALSE),0)</f>
        <v>0</v>
      </c>
      <c r="U9" s="332">
        <f>IFERROR(VLOOKUP(U3,'3 Water'!$E$244:$J$253,3,FALSE),0)</f>
        <v>0</v>
      </c>
      <c r="V9" s="332">
        <f>IFERROR(VLOOKUP(V3,'3 Water'!$E$244:$J$253,3,FALSE),0)</f>
        <v>0</v>
      </c>
      <c r="W9" s="332">
        <f>IFERROR(VLOOKUP(W3,'3 Water'!$E$244:$J$253,3,FALSE),0)</f>
        <v>0</v>
      </c>
      <c r="X9" s="332">
        <f ca="1">IFERROR(VLOOKUP(X3,'3 Water'!$E$244:$J$253,6,FALSE),0)</f>
        <v>12.70779674269545</v>
      </c>
      <c r="Y9" s="332">
        <f ca="1">IFERROR(VLOOKUP(Y3,'3 Water'!$E$244:$J$253,6,FALSE),0)</f>
        <v>17.350693555367585</v>
      </c>
      <c r="Z9" s="332">
        <f ca="1">IFERROR(VLOOKUP(Z3,'3 Water'!$E$244:$J$253,6,FALSE),0)</f>
        <v>25.41996944845657</v>
      </c>
      <c r="AA9" s="332">
        <f>IFERROR(VLOOKUP(AA3,'3 Water'!$E$244:$J$253,6,FALSE),0)</f>
        <v>0</v>
      </c>
      <c r="AB9" s="332">
        <f>IFERROR(VLOOKUP(AB3,'3 Water'!$E$244:$J$253,6,FALSE),0)</f>
        <v>0</v>
      </c>
      <c r="AC9" s="332">
        <f>IFERROR(VLOOKUP(AC3,'3 Water'!$E$244:$J$253,6,FALSE),0)</f>
        <v>0</v>
      </c>
      <c r="AD9" s="332">
        <f>IFERROR(VLOOKUP(AD3,'3 Water'!$E$244:$J$253,6,FALSE),0)</f>
        <v>0</v>
      </c>
      <c r="AE9" s="332">
        <f>IFERROR(VLOOKUP(AE3,'3 Water'!$E$244:$J$253,6,FALSE),0)</f>
        <v>0</v>
      </c>
      <c r="AF9" s="332">
        <f>IFERROR(VLOOKUP(AF3,'3 Water'!$E$244:$J$253,6,FALSE),0)</f>
        <v>0</v>
      </c>
      <c r="AG9" s="332">
        <f>IFERROR(VLOOKUP(AG3,'3 Water'!$E$244:$J$253,6,FALSE),0)</f>
        <v>0</v>
      </c>
    </row>
    <row r="10" spans="1:33" x14ac:dyDescent="0.55000000000000004">
      <c r="A10" t="str">
        <f>'2 Customer data'!D27</f>
        <v>Old Age Homes</v>
      </c>
      <c r="B10" s="332">
        <f ca="1">'3 Water'!H272</f>
        <v>293.79212399782381</v>
      </c>
      <c r="C10" s="333">
        <f>'3 Water'!G281</f>
        <v>5</v>
      </c>
      <c r="D10" s="332">
        <f>IFERROR(VLOOKUP(D3,'3 Water'!$E$285:$J$294,2,FALSE),0)</f>
        <v>0</v>
      </c>
      <c r="E10" s="332">
        <f>IFERROR(VLOOKUP(E3,'3 Water'!$E$285:$J$294,2,FALSE),0)</f>
        <v>6.01</v>
      </c>
      <c r="F10" s="332">
        <f>IFERROR(VLOOKUP(F3,'3 Water'!$E$285:$J$294,2,FALSE),0)</f>
        <v>15.01</v>
      </c>
      <c r="G10" s="332">
        <f>IFERROR(VLOOKUP(G3,'3 Water'!$E$285:$J$294,2,FALSE),0)</f>
        <v>30.01</v>
      </c>
      <c r="H10" s="332">
        <f>IFERROR(VLOOKUP(H3,'3 Water'!$E$285:$J$294,2,FALSE),0)</f>
        <v>40.01</v>
      </c>
      <c r="I10" s="332">
        <f>IFERROR(VLOOKUP(I3,'3 Water'!$E$285:$J$294,2,FALSE),0)</f>
        <v>0</v>
      </c>
      <c r="J10" s="332">
        <f>IFERROR(VLOOKUP(J3,'3 Water'!$E$285:$J$294,2,FALSE),0)</f>
        <v>0</v>
      </c>
      <c r="K10" s="332">
        <f>IFERROR(VLOOKUP(K3,'3 Water'!$E$285:$J$294,2,FALSE),0)</f>
        <v>0</v>
      </c>
      <c r="L10" s="332">
        <f>IFERROR(VLOOKUP(L3,'3 Water'!$E$285:$J$294,2,FALSE),0)</f>
        <v>0</v>
      </c>
      <c r="M10" s="332">
        <f>IFERROR(VLOOKUP(M3,'3 Water'!$E$285:$J$294,2,FALSE),0)</f>
        <v>0</v>
      </c>
      <c r="N10" s="332">
        <f>IFERROR(VLOOKUP(N3,'3 Water'!$E$285:$J$294,3,FALSE),0)</f>
        <v>6</v>
      </c>
      <c r="O10" s="332">
        <f>IFERROR(VLOOKUP(O3,'3 Water'!$E$285:$J$294,3,FALSE),0)</f>
        <v>15</v>
      </c>
      <c r="P10" s="332">
        <f>IFERROR(VLOOKUP(P3,'3 Water'!$E$285:$J$294,3,FALSE),0)</f>
        <v>30</v>
      </c>
      <c r="Q10" s="332">
        <f>IFERROR(VLOOKUP(Q3,'3 Water'!$E$285:$J$294,3,FALSE),0)</f>
        <v>40</v>
      </c>
      <c r="R10" s="332" t="str">
        <f>IFERROR(VLOOKUP(R3,'3 Water'!$E$285:$J$294,3,FALSE),0)</f>
        <v>more</v>
      </c>
      <c r="S10" s="332">
        <f>IFERROR(VLOOKUP(S3,'3 Water'!$E$285:$J$294,3,FALSE),0)</f>
        <v>0</v>
      </c>
      <c r="T10" s="332">
        <f>IFERROR(VLOOKUP(T3,'3 Water'!$E$285:$J$294,3,FALSE),0)</f>
        <v>0</v>
      </c>
      <c r="U10" s="332">
        <f>IFERROR(VLOOKUP(U3,'3 Water'!$E$285:$J$294,3,FALSE),0)</f>
        <v>0</v>
      </c>
      <c r="V10" s="332">
        <f>IFERROR(VLOOKUP(V3,'3 Water'!$E$285:$J$294,3,FALSE),0)</f>
        <v>0</v>
      </c>
      <c r="W10" s="332">
        <f>IFERROR(VLOOKUP(W3,'3 Water'!$E$285:$J$294,3,FALSE),0)</f>
        <v>0</v>
      </c>
      <c r="X10" s="332">
        <f ca="1">IFERROR(VLOOKUP(X3,'3 Water'!$E$285:$J$294,6,FALSE),0)</f>
        <v>541.64310940482926</v>
      </c>
      <c r="Y10" s="332">
        <f ca="1">IFERROR(VLOOKUP(Y3,'3 Water'!$E$285:$J$294,6,FALSE),0)</f>
        <v>644.42341396023755</v>
      </c>
      <c r="Z10" s="332">
        <f ca="1">IFERROR(VLOOKUP(Z3,'3 Water'!$E$285:$J$294,6,FALSE),0)</f>
        <v>1332.505718351091</v>
      </c>
      <c r="AA10" s="332">
        <f ca="1">IFERROR(VLOOKUP(AA3,'3 Water'!$E$285:$J$294,6,FALSE),0)</f>
        <v>1664.9499777758851</v>
      </c>
      <c r="AB10" s="332">
        <f ca="1">IFERROR(VLOOKUP(AB3,'3 Water'!$E$285:$J$294,6,FALSE),0)</f>
        <v>2198.8618253336263</v>
      </c>
      <c r="AC10" s="332">
        <f>IFERROR(VLOOKUP(AC3,'3 Water'!$E$285:$J$294,6,FALSE),0)</f>
        <v>0</v>
      </c>
      <c r="AD10" s="332">
        <f>IFERROR(VLOOKUP(AD3,'3 Water'!$E$285:$J$294,6,FALSE),0)</f>
        <v>0</v>
      </c>
      <c r="AE10" s="332">
        <f>IFERROR(VLOOKUP(AE3,'3 Water'!$E$285:$J$294,6,FALSE),0)</f>
        <v>0</v>
      </c>
      <c r="AF10" s="332">
        <f>IFERROR(VLOOKUP(AF3,'3 Water'!$E$285:$J$294,6,FALSE),0)</f>
        <v>0</v>
      </c>
      <c r="AG10" s="332">
        <f>IFERROR(VLOOKUP(AG3,'3 Water'!$E$285:$J$294,6,FALSE),0)</f>
        <v>0</v>
      </c>
    </row>
    <row r="11" spans="1:33" x14ac:dyDescent="0.55000000000000004">
      <c r="A11" t="str">
        <f>'2 Customer data'!D28</f>
        <v>Safe Houses</v>
      </c>
      <c r="B11" s="332">
        <f ca="1">'3 Water'!H313</f>
        <v>293.79212399782381</v>
      </c>
      <c r="C11" s="333">
        <f>'3 Water'!G322</f>
        <v>5</v>
      </c>
      <c r="D11" s="332">
        <f>IFERROR(VLOOKUP(D3,'3 Water'!$E$326:$J$335,2,FALSE),0)</f>
        <v>0</v>
      </c>
      <c r="E11" s="332">
        <f>IFERROR(VLOOKUP(E3,'3 Water'!$E$326:$J$335,2,FALSE),0)</f>
        <v>6.01</v>
      </c>
      <c r="F11" s="332">
        <f>IFERROR(VLOOKUP(F3,'3 Water'!$E$326:$J$335,2,FALSE),0)</f>
        <v>15.01</v>
      </c>
      <c r="G11" s="332">
        <f>IFERROR(VLOOKUP(G3,'3 Water'!$E$326:$J$335,2,FALSE),0)</f>
        <v>30.01</v>
      </c>
      <c r="H11" s="332">
        <f>IFERROR(VLOOKUP(H3,'3 Water'!$E$326:$J$335,2,FALSE),0)</f>
        <v>40.01</v>
      </c>
      <c r="I11" s="332">
        <f>IFERROR(VLOOKUP(I3,'3 Water'!$E$326:$J$335,2,FALSE),0)</f>
        <v>0</v>
      </c>
      <c r="J11" s="332">
        <f>IFERROR(VLOOKUP(J3,'3 Water'!$E$326:$J$335,2,FALSE),0)</f>
        <v>0</v>
      </c>
      <c r="K11" s="332">
        <f>IFERROR(VLOOKUP(K3,'3 Water'!$E$326:$J$335,2,FALSE),0)</f>
        <v>0</v>
      </c>
      <c r="L11" s="332">
        <f>IFERROR(VLOOKUP(L3,'3 Water'!$E$326:$J$335,2,FALSE),0)</f>
        <v>0</v>
      </c>
      <c r="M11" s="332">
        <f>IFERROR(VLOOKUP(M3,'3 Water'!$E$326:$J$335,2,FALSE),0)</f>
        <v>0</v>
      </c>
      <c r="N11" s="332">
        <f>IFERROR(VLOOKUP(N3,'3 Water'!$E$326:$J$335,3,FALSE),0)</f>
        <v>6</v>
      </c>
      <c r="O11" s="332">
        <f>IFERROR(VLOOKUP(O3,'3 Water'!$E$326:$J$335,3,FALSE),0)</f>
        <v>15</v>
      </c>
      <c r="P11" s="332">
        <f>IFERROR(VLOOKUP(P3,'3 Water'!$E$326:$J$335,3,FALSE),0)</f>
        <v>30</v>
      </c>
      <c r="Q11" s="332">
        <f>IFERROR(VLOOKUP(Q3,'3 Water'!$E$326:$J$335,3,FALSE),0)</f>
        <v>40</v>
      </c>
      <c r="R11" s="332" t="str">
        <f>IFERROR(VLOOKUP(R3,'3 Water'!$E$326:$J$335,3,FALSE),0)</f>
        <v>more</v>
      </c>
      <c r="S11" s="332">
        <f>IFERROR(VLOOKUP(S3,'3 Water'!$E$326:$J$335,3,FALSE),0)</f>
        <v>0</v>
      </c>
      <c r="T11" s="332">
        <f>IFERROR(VLOOKUP(T3,'3 Water'!$E$326:$J$335,3,FALSE),0)</f>
        <v>0</v>
      </c>
      <c r="U11" s="332">
        <f>IFERROR(VLOOKUP(U3,'3 Water'!$E$326:$J$335,3,FALSE),0)</f>
        <v>0</v>
      </c>
      <c r="V11" s="332">
        <f>IFERROR(VLOOKUP(V3,'3 Water'!$E$326:$J$335,3,FALSE),0)</f>
        <v>0</v>
      </c>
      <c r="W11" s="332">
        <f>IFERROR(VLOOKUP(W3,'3 Water'!$E$326:$J$335,3,FALSE),0)</f>
        <v>0</v>
      </c>
      <c r="X11" s="332">
        <f ca="1">IFERROR(VLOOKUP(X3,'3 Water'!$E$326:$J$335,6,FALSE),0)</f>
        <v>6.1160624154569856</v>
      </c>
      <c r="Y11" s="332">
        <f ca="1">IFERROR(VLOOKUP(Y3,'3 Water'!$E$326:$J$335,6,FALSE),0)</f>
        <v>7.8897205159395103</v>
      </c>
      <c r="Z11" s="332">
        <f ca="1">IFERROR(VLOOKUP(Z3,'3 Water'!$E$326:$J$335,6,FALSE),0)</f>
        <v>13.833309971280608</v>
      </c>
      <c r="AA11" s="332">
        <f ca="1">IFERROR(VLOOKUP(AA3,'3 Water'!$E$326:$J$335,6,FALSE),0)</f>
        <v>16.360194592701202</v>
      </c>
      <c r="AB11" s="332">
        <f ca="1">IFERROR(VLOOKUP(AB3,'3 Water'!$E$326:$J$335,6,FALSE),0)</f>
        <v>19.951257305799118</v>
      </c>
      <c r="AC11" s="332">
        <f>IFERROR(VLOOKUP(AC3,'3 Water'!$E$326:$J$335,6,FALSE),0)</f>
        <v>0</v>
      </c>
      <c r="AD11" s="332">
        <f>IFERROR(VLOOKUP(AD3,'3 Water'!$E$326:$J$335,6,FALSE),0)</f>
        <v>0</v>
      </c>
      <c r="AE11" s="332">
        <f>IFERROR(VLOOKUP(AE3,'3 Water'!$E$326:$J$335,6,FALSE),0)</f>
        <v>0</v>
      </c>
      <c r="AF11" s="332">
        <f>IFERROR(VLOOKUP(AF3,'3 Water'!$E$326:$J$335,6,FALSE),0)</f>
        <v>0</v>
      </c>
      <c r="AG11" s="332">
        <f>IFERROR(VLOOKUP(AG3,'3 Water'!$E$326:$J$335,6,FALSE),0)</f>
        <v>0</v>
      </c>
    </row>
    <row r="12" spans="1:33" x14ac:dyDescent="0.55000000000000004">
      <c r="A12" t="str">
        <f>'2 Customer data'!D29</f>
        <v>Proefplaas</v>
      </c>
      <c r="B12" s="332">
        <f ca="1">'3 Water'!H354</f>
        <v>293.79212399782381</v>
      </c>
      <c r="C12" s="333">
        <f>'3 Water'!G363</f>
        <v>3</v>
      </c>
      <c r="D12" s="332">
        <f>IFERROR(VLOOKUP(D3,'3 Water'!$E$367:$J$376,2,FALSE),0)</f>
        <v>0</v>
      </c>
      <c r="E12" s="332">
        <f>IFERROR(VLOOKUP(E3,'3 Water'!$E$367:$J$376,2,FALSE),0)</f>
        <v>167.01</v>
      </c>
      <c r="F12" s="332">
        <f>IFERROR(VLOOKUP(F3,'3 Water'!$E$367:$J$376,2,FALSE),0)</f>
        <v>222.01</v>
      </c>
      <c r="G12" s="332">
        <f>IFERROR(VLOOKUP(G3,'3 Water'!$E$367:$J$376,2,FALSE),0)</f>
        <v>0</v>
      </c>
      <c r="H12" s="332">
        <f>IFERROR(VLOOKUP(H3,'3 Water'!$E$367:$J$376,2,FALSE),0)</f>
        <v>0</v>
      </c>
      <c r="I12" s="332">
        <f>IFERROR(VLOOKUP(I3,'3 Water'!$E$367:$J$376,2,FALSE),0)</f>
        <v>0</v>
      </c>
      <c r="J12" s="332">
        <f>IFERROR(VLOOKUP(J3,'3 Water'!$E$367:$J$376,2,FALSE),0)</f>
        <v>0</v>
      </c>
      <c r="K12" s="332">
        <f>IFERROR(VLOOKUP(K3,'3 Water'!$E$367:$J$376,2,FALSE),0)</f>
        <v>0</v>
      </c>
      <c r="L12" s="332">
        <f>IFERROR(VLOOKUP(L3,'3 Water'!$E$367:$J$376,2,FALSE),0)</f>
        <v>0</v>
      </c>
      <c r="M12" s="332">
        <f>IFERROR(VLOOKUP(M3,'3 Water'!$E$367:$J$376,2,FALSE),0)</f>
        <v>0</v>
      </c>
      <c r="N12" s="332">
        <f>IFERROR(VLOOKUP(N3,'3 Water'!$E$367:$J$376,3,FALSE),0)</f>
        <v>167</v>
      </c>
      <c r="O12" s="332">
        <f>IFERROR(VLOOKUP(O3,'3 Water'!$E$367:$J$376,3,FALSE),0)</f>
        <v>222</v>
      </c>
      <c r="P12" s="332" t="str">
        <f>IFERROR(VLOOKUP(P3,'3 Water'!$E$367:$J$376,3,FALSE),0)</f>
        <v>more</v>
      </c>
      <c r="Q12" s="332">
        <f>IFERROR(VLOOKUP(Q3,'3 Water'!$E$367:$J$376,3,FALSE),0)</f>
        <v>0</v>
      </c>
      <c r="R12" s="332">
        <f>IFERROR(VLOOKUP(R3,'3 Water'!$E$367:$J$376,3,FALSE),0)</f>
        <v>0</v>
      </c>
      <c r="S12" s="332">
        <f>IFERROR(VLOOKUP(S3,'3 Water'!$E$367:$J$376,3,FALSE),0)</f>
        <v>0</v>
      </c>
      <c r="T12" s="332">
        <f>IFERROR(VLOOKUP(T3,'3 Water'!$E$367:$J$376,3,FALSE),0)</f>
        <v>0</v>
      </c>
      <c r="U12" s="332">
        <f>IFERROR(VLOOKUP(U3,'3 Water'!$E$367:$J$376,3,FALSE),0)</f>
        <v>0</v>
      </c>
      <c r="V12" s="332">
        <f>IFERROR(VLOOKUP(V3,'3 Water'!$E$367:$J$376,3,FALSE),0)</f>
        <v>0</v>
      </c>
      <c r="W12" s="332">
        <f>IFERROR(VLOOKUP(W3,'3 Water'!$E$367:$J$376,3,FALSE),0)</f>
        <v>0</v>
      </c>
      <c r="X12" s="332">
        <f ca="1">IFERROR(VLOOKUP(X3,'3 Water'!$E$367:$J$376,6,FALSE),0)</f>
        <v>9.0273960603057333</v>
      </c>
      <c r="Y12" s="332">
        <f ca="1">IFERROR(VLOOKUP(Y3,'3 Water'!$E$367:$J$376,6,FALSE),0)</f>
        <v>10.87683740263537</v>
      </c>
      <c r="Z12" s="332">
        <f ca="1">IFERROR(VLOOKUP(Z3,'3 Water'!$E$367:$J$376,6,FALSE),0)</f>
        <v>29.462206957521733</v>
      </c>
      <c r="AA12" s="332">
        <f>IFERROR(VLOOKUP(AA3,'3 Water'!$E$367:$J$376,6,FALSE),0)</f>
        <v>0</v>
      </c>
      <c r="AB12" s="332">
        <f>IFERROR(VLOOKUP(AB3,'3 Water'!$E$367:$J$376,6,FALSE),0)</f>
        <v>0</v>
      </c>
      <c r="AC12" s="332">
        <f>IFERROR(VLOOKUP(AC3,'3 Water'!$E$367:$J$376,6,FALSE),0)</f>
        <v>0</v>
      </c>
      <c r="AD12" s="332">
        <f>IFERROR(VLOOKUP(AD3,'3 Water'!$E$367:$J$376,6,FALSE),0)</f>
        <v>0</v>
      </c>
      <c r="AE12" s="332">
        <f>IFERROR(VLOOKUP(AE3,'3 Water'!$E$367:$J$376,6,FALSE),0)</f>
        <v>0</v>
      </c>
      <c r="AF12" s="332">
        <f>IFERROR(VLOOKUP(AF3,'3 Water'!$E$367:$J$376,6,FALSE),0)</f>
        <v>0</v>
      </c>
      <c r="AG12" s="332">
        <f>IFERROR(VLOOKUP(AG3,'3 Water'!$E$367:$J$376,6,FALSE),0)</f>
        <v>0</v>
      </c>
    </row>
    <row r="13" spans="1:33" x14ac:dyDescent="0.55000000000000004">
      <c r="A13">
        <f>'2 Customer data'!D30</f>
        <v>0</v>
      </c>
      <c r="B13" s="332">
        <f>'3 Water'!H395</f>
        <v>0</v>
      </c>
      <c r="C13" s="333">
        <f>'3 Water'!G404</f>
        <v>10</v>
      </c>
      <c r="D13" s="332">
        <f>IFERROR(VLOOKUP(D3,'3 Water'!$E$408:$J$417,2,FALSE),0)</f>
        <v>0</v>
      </c>
      <c r="E13" s="332">
        <f>IFERROR(VLOOKUP(E3,'3 Water'!$E$408:$J$417,2,FALSE),0)</f>
        <v>0.01</v>
      </c>
      <c r="F13" s="332">
        <f>IFERROR(VLOOKUP(F3,'3 Water'!$E$408:$J$417,2,FALSE),0)</f>
        <v>0.01</v>
      </c>
      <c r="G13" s="332">
        <f>IFERROR(VLOOKUP(G3,'3 Water'!$E$408:$J$417,2,FALSE),0)</f>
        <v>0.01</v>
      </c>
      <c r="H13" s="332">
        <f>IFERROR(VLOOKUP(H3,'3 Water'!$E$408:$J$417,2,FALSE),0)</f>
        <v>0.01</v>
      </c>
      <c r="I13" s="332">
        <f>IFERROR(VLOOKUP(I3,'3 Water'!$E$408:$J$417,2,FALSE),0)</f>
        <v>0.01</v>
      </c>
      <c r="J13" s="332">
        <f>IFERROR(VLOOKUP(J3,'3 Water'!$E$408:$J$417,2,FALSE),0)</f>
        <v>0.01</v>
      </c>
      <c r="K13" s="332">
        <f>IFERROR(VLOOKUP(K3,'3 Water'!$E$408:$J$417,2,FALSE),0)</f>
        <v>0.01</v>
      </c>
      <c r="L13" s="332">
        <f>IFERROR(VLOOKUP(L3,'3 Water'!$E$408:$J$417,2,FALSE),0)</f>
        <v>0.01</v>
      </c>
      <c r="M13" s="332">
        <f>IFERROR(VLOOKUP(M3,'3 Water'!$E$408:$J$417,2,FALSE),0)</f>
        <v>0.01</v>
      </c>
      <c r="N13" s="332">
        <f>IFERROR(VLOOKUP(N3,'3 Water'!$E$408:$J$417,3,FALSE),0)</f>
        <v>0</v>
      </c>
      <c r="O13" s="332">
        <f>IFERROR(VLOOKUP(O3,'3 Water'!$E$408:$J$417,3,FALSE),0)</f>
        <v>0</v>
      </c>
      <c r="P13" s="332">
        <f>IFERROR(VLOOKUP(P3,'3 Water'!$E$408:$J$417,3,FALSE),0)</f>
        <v>0</v>
      </c>
      <c r="Q13" s="332">
        <f>IFERROR(VLOOKUP(Q3,'3 Water'!$E$408:$J$417,3,FALSE),0)</f>
        <v>0</v>
      </c>
      <c r="R13" s="332">
        <f>IFERROR(VLOOKUP(R3,'3 Water'!$E$408:$J$417,3,FALSE),0)</f>
        <v>0</v>
      </c>
      <c r="S13" s="332">
        <f>IFERROR(VLOOKUP(S3,'3 Water'!$E$408:$J$417,3,FALSE),0)</f>
        <v>0</v>
      </c>
      <c r="T13" s="332">
        <f>IFERROR(VLOOKUP(T3,'3 Water'!$E$408:$J$417,3,FALSE),0)</f>
        <v>0</v>
      </c>
      <c r="U13" s="332">
        <f>IFERROR(VLOOKUP(U3,'3 Water'!$E$408:$J$417,3,FALSE),0)</f>
        <v>0</v>
      </c>
      <c r="V13" s="332">
        <f>IFERROR(VLOOKUP(V3,'3 Water'!$E$408:$J$417,3,FALSE),0)</f>
        <v>0</v>
      </c>
      <c r="W13" s="332" t="str">
        <f>IFERROR(VLOOKUP(W3,'3 Water'!$E$408:$J$417,3,FALSE),0)</f>
        <v>More</v>
      </c>
      <c r="X13" s="332">
        <f>IFERROR(VLOOKUP(X3,'3 Water'!$E$408:$J$417,6,FALSE),0)</f>
        <v>0</v>
      </c>
      <c r="Y13" s="332">
        <f ca="1">IFERROR(VLOOKUP(Y3,'3 Water'!$E$408:$J$417,6,FALSE),0)</f>
        <v>0</v>
      </c>
      <c r="Z13" s="332">
        <f ca="1">IFERROR(VLOOKUP(Z3,'3 Water'!$E$408:$J$417,6,FALSE),0)</f>
        <v>0</v>
      </c>
      <c r="AA13" s="332">
        <f ca="1">IFERROR(VLOOKUP(AA3,'3 Water'!$E$408:$J$417,6,FALSE),0)</f>
        <v>0</v>
      </c>
      <c r="AB13" s="332">
        <f ca="1">IFERROR(VLOOKUP(AB3,'3 Water'!$E$408:$J$417,6,FALSE),0)</f>
        <v>0</v>
      </c>
      <c r="AC13" s="332">
        <f ca="1">IFERROR(VLOOKUP(AC3,'3 Water'!$E$408:$J$417,6,FALSE),0)</f>
        <v>0</v>
      </c>
      <c r="AD13" s="332">
        <f ca="1">IFERROR(VLOOKUP(AD3,'3 Water'!$E$408:$J$417,6,FALSE),0)</f>
        <v>0</v>
      </c>
      <c r="AE13" s="332">
        <f ca="1">IFERROR(VLOOKUP(AE3,'3 Water'!$E$408:$J$417,6,FALSE),0)</f>
        <v>0</v>
      </c>
      <c r="AF13" s="332">
        <f ca="1">IFERROR(VLOOKUP(AF3,'3 Water'!$E$408:$J$417,6,FALSE),0)</f>
        <v>0</v>
      </c>
      <c r="AG13" s="332">
        <f ca="1">IFERROR(VLOOKUP(AG3,'3 Water'!$E$408:$J$417,6,FALSE),0)</f>
        <v>0</v>
      </c>
    </row>
    <row r="14" spans="1:33" x14ac:dyDescent="0.55000000000000004">
      <c r="A14">
        <f>'2 Customer data'!D31</f>
        <v>0</v>
      </c>
      <c r="B14" s="332">
        <f>'3 Water'!H436</f>
        <v>0</v>
      </c>
      <c r="C14" s="333">
        <f>'3 Water'!G445</f>
        <v>10</v>
      </c>
      <c r="D14" s="332">
        <f>IFERROR(VLOOKUP(D3,'3 Water'!$E$449:$J$458,2,FALSE),0)</f>
        <v>0</v>
      </c>
      <c r="E14" s="332">
        <f>IFERROR(VLOOKUP(E3,'3 Water'!$E$449:$J$458,2,FALSE),0)</f>
        <v>0.01</v>
      </c>
      <c r="F14" s="332">
        <f>IFERROR(VLOOKUP(F3,'3 Water'!$E$449:$J$458,2,FALSE),0)</f>
        <v>0.01</v>
      </c>
      <c r="G14" s="332">
        <f>IFERROR(VLOOKUP(G3,'3 Water'!$E$449:$J$458,2,FALSE),0)</f>
        <v>0.01</v>
      </c>
      <c r="H14" s="332">
        <f>IFERROR(VLOOKUP(H3,'3 Water'!$E$449:$J$458,2,FALSE),0)</f>
        <v>0.01</v>
      </c>
      <c r="I14" s="332">
        <f>IFERROR(VLOOKUP(I3,'3 Water'!$E$449:$J$458,2,FALSE),0)</f>
        <v>0.01</v>
      </c>
      <c r="J14" s="332">
        <f>IFERROR(VLOOKUP(J3,'3 Water'!$E$449:$J$458,2,FALSE),0)</f>
        <v>0.01</v>
      </c>
      <c r="K14" s="332">
        <f>IFERROR(VLOOKUP(K3,'3 Water'!$E$449:$J$458,2,FALSE),0)</f>
        <v>0.01</v>
      </c>
      <c r="L14" s="332">
        <f>IFERROR(VLOOKUP(L3,'3 Water'!$E$449:$J$458,2,FALSE),0)</f>
        <v>0.01</v>
      </c>
      <c r="M14" s="332">
        <f>IFERROR(VLOOKUP(M3,'3 Water'!$E$449:$J$458,2,FALSE),0)</f>
        <v>0.01</v>
      </c>
      <c r="N14" s="332">
        <f>IFERROR(VLOOKUP(N3,'3 Water'!$E$449:$J$458,3,FALSE),0)</f>
        <v>0</v>
      </c>
      <c r="O14" s="332">
        <f>IFERROR(VLOOKUP(O3,'3 Water'!$E$449:$J$458,3,FALSE),0)</f>
        <v>0</v>
      </c>
      <c r="P14" s="332">
        <f>IFERROR(VLOOKUP(P3,'3 Water'!$E$449:$J$458,3,FALSE),0)</f>
        <v>0</v>
      </c>
      <c r="Q14" s="332">
        <f>IFERROR(VLOOKUP(Q3,'3 Water'!$E$449:$J$458,3,FALSE),0)</f>
        <v>0</v>
      </c>
      <c r="R14" s="332">
        <f>IFERROR(VLOOKUP(R3,'3 Water'!$E$449:$J$458,3,FALSE),0)</f>
        <v>0</v>
      </c>
      <c r="S14" s="332">
        <f>IFERROR(VLOOKUP(S3,'3 Water'!$E$449:$J$458,3,FALSE),0)</f>
        <v>0</v>
      </c>
      <c r="T14" s="332">
        <f>IFERROR(VLOOKUP(T3,'3 Water'!$E$449:$J$458,3,FALSE),0)</f>
        <v>0</v>
      </c>
      <c r="U14" s="332">
        <f>IFERROR(VLOOKUP(U3,'3 Water'!$E$449:$J$458,3,FALSE),0)</f>
        <v>0</v>
      </c>
      <c r="V14" s="332">
        <f>IFERROR(VLOOKUP(V3,'3 Water'!$E$449:$J$458,3,FALSE),0)</f>
        <v>0</v>
      </c>
      <c r="W14" s="332" t="str">
        <f>IFERROR(VLOOKUP(W3,'3 Water'!$E$449:$J$458,3,FALSE),0)</f>
        <v>More</v>
      </c>
      <c r="X14" s="332">
        <f>IFERROR(VLOOKUP(X3,'3 Water'!$E$449:$J$458,6,FALSE),0)</f>
        <v>0</v>
      </c>
      <c r="Y14" s="332">
        <f ca="1">IFERROR(VLOOKUP(Y3,'3 Water'!$E$449:$J$458,6,FALSE),0)</f>
        <v>0</v>
      </c>
      <c r="Z14" s="332">
        <f ca="1">IFERROR(VLOOKUP(Z3,'3 Water'!$E$449:$J$458,6,FALSE),0)</f>
        <v>0</v>
      </c>
      <c r="AA14" s="332">
        <f ca="1">IFERROR(VLOOKUP(AA3,'3 Water'!$E$449:$J$458,6,FALSE),0)</f>
        <v>0</v>
      </c>
      <c r="AB14" s="332">
        <f ca="1">IFERROR(VLOOKUP(AB3,'3 Water'!$E$449:$J$458,6,FALSE),0)</f>
        <v>0</v>
      </c>
      <c r="AC14" s="332">
        <f ca="1">IFERROR(VLOOKUP(AC3,'3 Water'!$E$449:$J$458,6,FALSE),0)</f>
        <v>0</v>
      </c>
      <c r="AD14" s="332">
        <f ca="1">IFERROR(VLOOKUP(AD3,'3 Water'!$E$449:$J$458,6,FALSE),0)</f>
        <v>0</v>
      </c>
      <c r="AE14" s="332">
        <f ca="1">IFERROR(VLOOKUP(AE3,'3 Water'!$E$449:$J$458,6,FALSE),0)</f>
        <v>0</v>
      </c>
      <c r="AF14" s="332">
        <f ca="1">IFERROR(VLOOKUP(AF3,'3 Water'!$E$449:$J$458,6,FALSE),0)</f>
        <v>0</v>
      </c>
      <c r="AG14" s="332">
        <f ca="1">IFERROR(VLOOKUP(AG3,'3 Water'!$E$449:$J$458,6,FALSE),0)</f>
        <v>0</v>
      </c>
    </row>
    <row r="15" spans="1:33" x14ac:dyDescent="0.55000000000000004">
      <c r="A15">
        <f>'2 Customer data'!D32</f>
        <v>0</v>
      </c>
      <c r="B15" s="332">
        <f>'3 Water'!H477</f>
        <v>0</v>
      </c>
      <c r="C15" s="333">
        <f>'3 Water'!G486</f>
        <v>10</v>
      </c>
      <c r="D15" s="332">
        <f>IFERROR(VLOOKUP(D3,'3 Water'!$E$490:$J$499,2,FALSE),0)</f>
        <v>0</v>
      </c>
      <c r="E15" s="332">
        <f>IFERROR(VLOOKUP(E3,'3 Water'!$E$490:$J$499,2,FALSE),0)</f>
        <v>0.01</v>
      </c>
      <c r="F15" s="332">
        <f>IFERROR(VLOOKUP(F3,'3 Water'!$E$490:$J$499,2,FALSE),0)</f>
        <v>0.01</v>
      </c>
      <c r="G15" s="332">
        <f>IFERROR(VLOOKUP(G3,'3 Water'!$E$490:$J$499,2,FALSE),0)</f>
        <v>0.01</v>
      </c>
      <c r="H15" s="332">
        <f>IFERROR(VLOOKUP(H3,'3 Water'!$E$490:$J$499,2,FALSE),0)</f>
        <v>0.01</v>
      </c>
      <c r="I15" s="332">
        <f>IFERROR(VLOOKUP(I3,'3 Water'!$E$490:$J$499,2,FALSE),0)</f>
        <v>0.01</v>
      </c>
      <c r="J15" s="332">
        <f>IFERROR(VLOOKUP(J3,'3 Water'!$E$490:$J$499,2,FALSE),0)</f>
        <v>0.01</v>
      </c>
      <c r="K15" s="332">
        <f>IFERROR(VLOOKUP(K3,'3 Water'!$E$490:$J$499,2,FALSE),0)</f>
        <v>0.01</v>
      </c>
      <c r="L15" s="332">
        <f>IFERROR(VLOOKUP(L3,'3 Water'!$E$490:$J$499,2,FALSE),0)</f>
        <v>0.01</v>
      </c>
      <c r="M15" s="332">
        <f>IFERROR(VLOOKUP(M3,'3 Water'!$E$490:$J$499,2,FALSE),0)</f>
        <v>0.01</v>
      </c>
      <c r="N15" s="332">
        <f>IFERROR(VLOOKUP(N3,'3 Water'!$E$490:$J$499,3,FALSE),0)</f>
        <v>0</v>
      </c>
      <c r="O15" s="332">
        <f>IFERROR(VLOOKUP(O3,'3 Water'!$E$490:$J$499,3,FALSE),0)</f>
        <v>0</v>
      </c>
      <c r="P15" s="332">
        <f>IFERROR(VLOOKUP(P3,'3 Water'!$E$490:$J$499,3,FALSE),0)</f>
        <v>0</v>
      </c>
      <c r="Q15" s="332">
        <f>IFERROR(VLOOKUP(Q3,'3 Water'!$E$490:$J$499,3,FALSE),0)</f>
        <v>0</v>
      </c>
      <c r="R15" s="332">
        <f>IFERROR(VLOOKUP(R3,'3 Water'!$E$490:$J$499,3,FALSE),0)</f>
        <v>0</v>
      </c>
      <c r="S15" s="332">
        <f>IFERROR(VLOOKUP(S3,'3 Water'!$E$490:$J$499,3,FALSE),0)</f>
        <v>0</v>
      </c>
      <c r="T15" s="332">
        <f>IFERROR(VLOOKUP(T3,'3 Water'!$E$490:$J$499,3,FALSE),0)</f>
        <v>0</v>
      </c>
      <c r="U15" s="332">
        <f>IFERROR(VLOOKUP(U3,'3 Water'!$E$490:$J$499,3,FALSE),0)</f>
        <v>0</v>
      </c>
      <c r="V15" s="332">
        <f>IFERROR(VLOOKUP(V3,'3 Water'!$E$490:$J$499,3,FALSE),0)</f>
        <v>0</v>
      </c>
      <c r="W15" s="332" t="str">
        <f>IFERROR(VLOOKUP(W3,'3 Water'!$E$490:$J$499,3,FALSE),0)</f>
        <v>More</v>
      </c>
      <c r="X15" s="332">
        <f>IFERROR(VLOOKUP(X3,'3 Water'!$E$490:$J$499,6,FALSE),0)</f>
        <v>0</v>
      </c>
      <c r="Y15" s="332">
        <f ca="1">IFERROR(VLOOKUP(Y3,'3 Water'!$E$490:$J$499,6,FALSE),0)</f>
        <v>0</v>
      </c>
      <c r="Z15" s="332">
        <f ca="1">IFERROR(VLOOKUP(Z3,'3 Water'!$E$490:$J$499,6,FALSE),0)</f>
        <v>0</v>
      </c>
      <c r="AA15" s="332">
        <f ca="1">IFERROR(VLOOKUP(AA3,'3 Water'!$E$490:$J$499,6,FALSE),0)</f>
        <v>0</v>
      </c>
      <c r="AB15" s="332">
        <f ca="1">IFERROR(VLOOKUP(AB3,'3 Water'!$E$490:$J$499,6,FALSE),0)</f>
        <v>0</v>
      </c>
      <c r="AC15" s="332">
        <f ca="1">IFERROR(VLOOKUP(AC3,'3 Water'!$E$490:$J$499,6,FALSE),0)</f>
        <v>0</v>
      </c>
      <c r="AD15" s="332">
        <f ca="1">IFERROR(VLOOKUP(AD3,'3 Water'!$E$490:$J$499,6,FALSE),0)</f>
        <v>0</v>
      </c>
      <c r="AE15" s="332">
        <f ca="1">IFERROR(VLOOKUP(AE3,'3 Water'!$E$490:$J$499,6,FALSE),0)</f>
        <v>0</v>
      </c>
      <c r="AF15" s="332">
        <f ca="1">IFERROR(VLOOKUP(AF3,'3 Water'!$E$490:$J$499,6,FALSE),0)</f>
        <v>0</v>
      </c>
      <c r="AG15" s="332">
        <f ca="1">IFERROR(VLOOKUP(AG3,'3 Water'!$E$490:$J$499,6,FALSE),0)</f>
        <v>0</v>
      </c>
    </row>
    <row r="16" spans="1:33" x14ac:dyDescent="0.55000000000000004">
      <c r="A16">
        <f>'2 Customer data'!D33</f>
        <v>0</v>
      </c>
      <c r="B16" s="332">
        <f>'3 Water'!H518</f>
        <v>0</v>
      </c>
      <c r="C16" s="333">
        <f>'3 Water'!G527</f>
        <v>10</v>
      </c>
      <c r="D16" s="332">
        <f>IFERROR(VLOOKUP(D3,'3 Water'!$E$531:$J$540,2,FALSE),0)</f>
        <v>0</v>
      </c>
      <c r="E16" s="332">
        <f>IFERROR(VLOOKUP(E3,'3 Water'!$E$531:$J$540,2,FALSE),0)</f>
        <v>0.01</v>
      </c>
      <c r="F16" s="332">
        <f>IFERROR(VLOOKUP(F3,'3 Water'!$E$531:$J$540,2,FALSE),0)</f>
        <v>0.01</v>
      </c>
      <c r="G16" s="332">
        <f>IFERROR(VLOOKUP(G3,'3 Water'!$E$531:$J$540,2,FALSE),0)</f>
        <v>0.01</v>
      </c>
      <c r="H16" s="332">
        <f>IFERROR(VLOOKUP(H3,'3 Water'!$E$531:$J$540,2,FALSE),0)</f>
        <v>0.01</v>
      </c>
      <c r="I16" s="332">
        <f>IFERROR(VLOOKUP(I3,'3 Water'!$E$531:$J$540,2,FALSE),0)</f>
        <v>0.01</v>
      </c>
      <c r="J16" s="332">
        <f>IFERROR(VLOOKUP(J3,'3 Water'!$E$531:$J$540,2,FALSE),0)</f>
        <v>0.01</v>
      </c>
      <c r="K16" s="332">
        <f>IFERROR(VLOOKUP(K3,'3 Water'!$E$531:$J$540,2,FALSE),0)</f>
        <v>0.01</v>
      </c>
      <c r="L16" s="332">
        <f>IFERROR(VLOOKUP(L3,'3 Water'!$E$531:$J$540,2,FALSE),0)</f>
        <v>0.01</v>
      </c>
      <c r="M16" s="332">
        <f>IFERROR(VLOOKUP(M3,'3 Water'!$E$531:$J$540,2,FALSE),0)</f>
        <v>0.01</v>
      </c>
      <c r="N16" s="332">
        <f>IFERROR(VLOOKUP(N3,'3 Water'!$E$531:$J$540,3,FALSE),0)</f>
        <v>0</v>
      </c>
      <c r="O16" s="332">
        <f>IFERROR(VLOOKUP(O3,'3 Water'!$E$531:$J$540,3,FALSE),0)</f>
        <v>0</v>
      </c>
      <c r="P16" s="332">
        <f>IFERROR(VLOOKUP(P3,'3 Water'!$E$531:$J$540,3,FALSE),0)</f>
        <v>0</v>
      </c>
      <c r="Q16" s="332">
        <f>IFERROR(VLOOKUP(Q3,'3 Water'!$E$531:$J$540,3,FALSE),0)</f>
        <v>0</v>
      </c>
      <c r="R16" s="332">
        <f>IFERROR(VLOOKUP(R3,'3 Water'!$E$531:$J$540,3,FALSE),0)</f>
        <v>0</v>
      </c>
      <c r="S16" s="332">
        <f>IFERROR(VLOOKUP(S3,'3 Water'!$E$531:$J$540,3,FALSE),0)</f>
        <v>0</v>
      </c>
      <c r="T16" s="332">
        <f>IFERROR(VLOOKUP(T3,'3 Water'!$E$531:$J$540,3,FALSE),0)</f>
        <v>0</v>
      </c>
      <c r="U16" s="332">
        <f>IFERROR(VLOOKUP(U3,'3 Water'!$E$531:$J$540,3,FALSE),0)</f>
        <v>0</v>
      </c>
      <c r="V16" s="332">
        <f>IFERROR(VLOOKUP(V3,'3 Water'!$E$531:$J$540,3,FALSE),0)</f>
        <v>0</v>
      </c>
      <c r="W16" s="332" t="str">
        <f>IFERROR(VLOOKUP(W3,'3 Water'!$E$531:$J$540,3,FALSE),0)</f>
        <v>More</v>
      </c>
      <c r="X16" s="332">
        <f>IFERROR(VLOOKUP(X3,'3 Water'!$E$531:$J$540,6,FALSE),0)</f>
        <v>0</v>
      </c>
      <c r="Y16" s="332">
        <f ca="1">IFERROR(VLOOKUP(Y3,'3 Water'!$E$531:$J$540,6,FALSE),0)</f>
        <v>0</v>
      </c>
      <c r="Z16" s="332">
        <f ca="1">IFERROR(VLOOKUP(Z3,'3 Water'!$E$531:$J$540,6,FALSE),0)</f>
        <v>0</v>
      </c>
      <c r="AA16" s="332">
        <f ca="1">IFERROR(VLOOKUP(AA3,'3 Water'!$E$531:$J$540,6,FALSE),0)</f>
        <v>0</v>
      </c>
      <c r="AB16" s="332">
        <f ca="1">IFERROR(VLOOKUP(AB3,'3 Water'!$E$531:$J$540,6,FALSE),0)</f>
        <v>0</v>
      </c>
      <c r="AC16" s="332">
        <f ca="1">IFERROR(VLOOKUP(AC3,'3 Water'!$E$531:$J$540,6,FALSE),0)</f>
        <v>0</v>
      </c>
      <c r="AD16" s="332">
        <f ca="1">IFERROR(VLOOKUP(AD3,'3 Water'!$E$531:$J$540,6,FALSE),0)</f>
        <v>0</v>
      </c>
      <c r="AE16" s="332">
        <f ca="1">IFERROR(VLOOKUP(AE3,'3 Water'!$E$531:$J$540,6,FALSE),0)</f>
        <v>0</v>
      </c>
      <c r="AF16" s="332">
        <f ca="1">IFERROR(VLOOKUP(AF3,'3 Water'!$E$531:$J$540,6,FALSE),0)</f>
        <v>0</v>
      </c>
      <c r="AG16" s="332">
        <f ca="1">IFERROR(VLOOKUP(AG3,'3 Water'!$E$531:$J$540,6,FALSE),0)</f>
        <v>0</v>
      </c>
    </row>
    <row r="17" spans="1:33" x14ac:dyDescent="0.55000000000000004">
      <c r="A17">
        <f>'2 Customer data'!D34</f>
        <v>0</v>
      </c>
      <c r="B17" s="332">
        <f>'3 Water'!H559</f>
        <v>0</v>
      </c>
      <c r="C17" s="333">
        <f>'3 Water'!G568</f>
        <v>10</v>
      </c>
      <c r="D17" s="332">
        <f>IFERROR(VLOOKUP(D3,'3 Water'!$E$572:$J$581,2,FALSE),0)</f>
        <v>0</v>
      </c>
      <c r="E17" s="332">
        <f>IFERROR(VLOOKUP(E3,'3 Water'!$E$572:$J$581,2,FALSE),0)</f>
        <v>0.01</v>
      </c>
      <c r="F17" s="332">
        <f>IFERROR(VLOOKUP(F3,'3 Water'!$E$572:$J$581,2,FALSE),0)</f>
        <v>0.01</v>
      </c>
      <c r="G17" s="332">
        <f>IFERROR(VLOOKUP(G3,'3 Water'!$E$572:$J$581,2,FALSE),0)</f>
        <v>0.01</v>
      </c>
      <c r="H17" s="332">
        <f>IFERROR(VLOOKUP(H3,'3 Water'!$E$572:$J$581,2,FALSE),0)</f>
        <v>0.01</v>
      </c>
      <c r="I17" s="332">
        <f>IFERROR(VLOOKUP(I3,'3 Water'!$E$572:$J$581,2,FALSE),0)</f>
        <v>0.01</v>
      </c>
      <c r="J17" s="332">
        <f>IFERROR(VLOOKUP(J3,'3 Water'!$E$572:$J$581,2,FALSE),0)</f>
        <v>0.01</v>
      </c>
      <c r="K17" s="332">
        <f>IFERROR(VLOOKUP(K3,'3 Water'!$E$572:$J$581,2,FALSE),0)</f>
        <v>0.01</v>
      </c>
      <c r="L17" s="332">
        <f>IFERROR(VLOOKUP(L3,'3 Water'!$E$572:$J$581,2,FALSE),0)</f>
        <v>0.01</v>
      </c>
      <c r="M17" s="332">
        <f>IFERROR(VLOOKUP(M3,'3 Water'!$E$572:$J$581,2,FALSE),0)</f>
        <v>0.01</v>
      </c>
      <c r="N17" s="332">
        <f>IFERROR(VLOOKUP(N3,'3 Water'!$E$572:$J$581,3,FALSE),0)</f>
        <v>0</v>
      </c>
      <c r="O17" s="332">
        <f>IFERROR(VLOOKUP(O3,'3 Water'!$E$572:$J$581,3,FALSE),0)</f>
        <v>0</v>
      </c>
      <c r="P17" s="332">
        <f>IFERROR(VLOOKUP(P3,'3 Water'!$E$572:$J$581,3,FALSE),0)</f>
        <v>0</v>
      </c>
      <c r="Q17" s="332">
        <f>IFERROR(VLOOKUP(Q3,'3 Water'!$E$572:$J$581,3,FALSE),0)</f>
        <v>0</v>
      </c>
      <c r="R17" s="332">
        <f>IFERROR(VLOOKUP(R3,'3 Water'!$E$572:$J$581,3,FALSE),0)</f>
        <v>0</v>
      </c>
      <c r="S17" s="332">
        <f>IFERROR(VLOOKUP(S3,'3 Water'!$E$572:$J$581,3,FALSE),0)</f>
        <v>0</v>
      </c>
      <c r="T17" s="332">
        <f>IFERROR(VLOOKUP(T3,'3 Water'!$E$572:$J$581,3,FALSE),0)</f>
        <v>0</v>
      </c>
      <c r="U17" s="332">
        <f>IFERROR(VLOOKUP(U3,'3 Water'!$E$572:$J$581,3,FALSE),0)</f>
        <v>0</v>
      </c>
      <c r="V17" s="332">
        <f>IFERROR(VLOOKUP(V3,'3 Water'!$E$572:$J$581,3,FALSE),0)</f>
        <v>0</v>
      </c>
      <c r="W17" s="332" t="str">
        <f>IFERROR(VLOOKUP(W3,'3 Water'!$E$572:$J$581,3,FALSE),0)</f>
        <v>More</v>
      </c>
      <c r="X17" s="332">
        <f>IFERROR(VLOOKUP(X3,'3 Water'!$E$572:$J$581,6,FALSE),0)</f>
        <v>0</v>
      </c>
      <c r="Y17" s="332">
        <f ca="1">IFERROR(VLOOKUP(Y3,'3 Water'!$E$572:$J$581,6,FALSE),0)</f>
        <v>0</v>
      </c>
      <c r="Z17" s="332">
        <f ca="1">IFERROR(VLOOKUP(Z3,'3 Water'!$E$572:$J$581,6,FALSE),0)</f>
        <v>0</v>
      </c>
      <c r="AA17" s="332">
        <f ca="1">IFERROR(VLOOKUP(AA3,'3 Water'!$E$572:$J$581,6,FALSE),0)</f>
        <v>0</v>
      </c>
      <c r="AB17" s="332">
        <f ca="1">IFERROR(VLOOKUP(AB3,'3 Water'!$E$572:$J$581,6,FALSE),0)</f>
        <v>0</v>
      </c>
      <c r="AC17" s="332">
        <f ca="1">IFERROR(VLOOKUP(AC3,'3 Water'!$E$572:$J$581,6,FALSE),0)</f>
        <v>0</v>
      </c>
      <c r="AD17" s="332">
        <f ca="1">IFERROR(VLOOKUP(AD3,'3 Water'!$E$572:$J$581,6,FALSE),0)</f>
        <v>0</v>
      </c>
      <c r="AE17" s="332">
        <f ca="1">IFERROR(VLOOKUP(AE3,'3 Water'!$E$572:$J$581,6,FALSE),0)</f>
        <v>0</v>
      </c>
      <c r="AF17" s="332">
        <f ca="1">IFERROR(VLOOKUP(AF3,'3 Water'!$E$572:$J$581,6,FALSE),0)</f>
        <v>0</v>
      </c>
      <c r="AG17" s="332">
        <f ca="1">IFERROR(VLOOKUP(AG3,'3 Water'!$E$572:$J$581,6,FALSE),0)</f>
        <v>0</v>
      </c>
    </row>
    <row r="18" spans="1:33" x14ac:dyDescent="0.55000000000000004">
      <c r="A18">
        <f>'2 Customer data'!D35</f>
        <v>0</v>
      </c>
      <c r="B18" s="332">
        <f>'3 Water'!H600</f>
        <v>0</v>
      </c>
      <c r="C18" s="333">
        <f>'3 Water'!G609</f>
        <v>10</v>
      </c>
      <c r="D18" s="332">
        <f>IFERROR(VLOOKUP(D3,'3 Water'!$E$613:$J$622,2,FALSE),0)</f>
        <v>0</v>
      </c>
      <c r="E18" s="332">
        <f>IFERROR(VLOOKUP(E3,'3 Water'!$E$613:$J$622,2,FALSE),0)</f>
        <v>0.01</v>
      </c>
      <c r="F18" s="332">
        <f>IFERROR(VLOOKUP(F3,'3 Water'!$E$613:$J$622,2,FALSE),0)</f>
        <v>0.01</v>
      </c>
      <c r="G18" s="332">
        <f>IFERROR(VLOOKUP(G3,'3 Water'!$E$613:$J$622,2,FALSE),0)</f>
        <v>0.01</v>
      </c>
      <c r="H18" s="332">
        <f>IFERROR(VLOOKUP(H3,'3 Water'!$E$613:$J$622,2,FALSE),0)</f>
        <v>0.01</v>
      </c>
      <c r="I18" s="332">
        <f>IFERROR(VLOOKUP(I3,'3 Water'!$E$613:$J$622,2,FALSE),0)</f>
        <v>0.01</v>
      </c>
      <c r="J18" s="332">
        <f>IFERROR(VLOOKUP(J3,'3 Water'!$E$613:$J$622,2,FALSE),0)</f>
        <v>0.01</v>
      </c>
      <c r="K18" s="332">
        <f>IFERROR(VLOOKUP(K3,'3 Water'!$E$613:$J$622,2,FALSE),0)</f>
        <v>0.01</v>
      </c>
      <c r="L18" s="332">
        <f>IFERROR(VLOOKUP(L3,'3 Water'!$E$613:$J$622,2,FALSE),0)</f>
        <v>0.01</v>
      </c>
      <c r="M18" s="332">
        <f>IFERROR(VLOOKUP(M3,'3 Water'!$E$613:$J$622,2,FALSE),0)</f>
        <v>0.01</v>
      </c>
      <c r="N18" s="332">
        <f>IFERROR(VLOOKUP(N3,'3 Water'!$E$613:$J$622,3,FALSE),0)</f>
        <v>0</v>
      </c>
      <c r="O18" s="332">
        <f>IFERROR(VLOOKUP(O3,'3 Water'!$E$613:$J$622,3,FALSE),0)</f>
        <v>0</v>
      </c>
      <c r="P18" s="332">
        <f>IFERROR(VLOOKUP(P3,'3 Water'!$E$613:$J$622,3,FALSE),0)</f>
        <v>0</v>
      </c>
      <c r="Q18" s="332">
        <f>IFERROR(VLOOKUP(Q3,'3 Water'!$E$613:$J$622,3,FALSE),0)</f>
        <v>0</v>
      </c>
      <c r="R18" s="332">
        <f>IFERROR(VLOOKUP(R3,'3 Water'!$E$613:$J$622,3,FALSE),0)</f>
        <v>0</v>
      </c>
      <c r="S18" s="332">
        <f>IFERROR(VLOOKUP(S3,'3 Water'!$E$613:$J$622,3,FALSE),0)</f>
        <v>0</v>
      </c>
      <c r="T18" s="332">
        <f>IFERROR(VLOOKUP(T3,'3 Water'!$E$613:$J$622,3,FALSE),0)</f>
        <v>0</v>
      </c>
      <c r="U18" s="332">
        <f>IFERROR(VLOOKUP(U3,'3 Water'!$E$613:$J$622,3,FALSE),0)</f>
        <v>0</v>
      </c>
      <c r="V18" s="332">
        <f>IFERROR(VLOOKUP(V3,'3 Water'!$E$613:$J$622,3,FALSE),0)</f>
        <v>0</v>
      </c>
      <c r="W18" s="332" t="str">
        <f>IFERROR(VLOOKUP(W3,'3 Water'!$E$613:$J$622,3,FALSE),0)</f>
        <v>More</v>
      </c>
      <c r="X18" s="332">
        <f>IFERROR(VLOOKUP(X3,'3 Water'!$E$613:$J$622,6,FALSE),0)</f>
        <v>0</v>
      </c>
      <c r="Y18" s="332">
        <f ca="1">IFERROR(VLOOKUP(Y3,'3 Water'!$E$613:$J$622,6,FALSE),0)</f>
        <v>0</v>
      </c>
      <c r="Z18" s="332">
        <f ca="1">IFERROR(VLOOKUP(Z3,'3 Water'!$E$613:$J$622,6,FALSE),0)</f>
        <v>0</v>
      </c>
      <c r="AA18" s="332">
        <f ca="1">IFERROR(VLOOKUP(AA3,'3 Water'!$E$613:$J$622,6,FALSE),0)</f>
        <v>0</v>
      </c>
      <c r="AB18" s="332">
        <f ca="1">IFERROR(VLOOKUP(AB3,'3 Water'!$E$613:$J$622,6,FALSE),0)</f>
        <v>0</v>
      </c>
      <c r="AC18" s="332">
        <f ca="1">IFERROR(VLOOKUP(AC3,'3 Water'!$E$613:$J$622,6,FALSE),0)</f>
        <v>0</v>
      </c>
      <c r="AD18" s="332">
        <f ca="1">IFERROR(VLOOKUP(AD3,'3 Water'!$E$613:$J$622,6,FALSE),0)</f>
        <v>0</v>
      </c>
      <c r="AE18" s="332">
        <f ca="1">IFERROR(VLOOKUP(AE3,'3 Water'!$E$613:$J$622,6,FALSE),0)</f>
        <v>0</v>
      </c>
      <c r="AF18" s="332">
        <f ca="1">IFERROR(VLOOKUP(AF3,'3 Water'!$E$613:$J$622,6,FALSE),0)</f>
        <v>0</v>
      </c>
      <c r="AG18" s="332">
        <f ca="1">IFERROR(VLOOKUP(AG3,'3 Water'!$E$613:$J$622,6,FALSE),0)</f>
        <v>0</v>
      </c>
    </row>
    <row r="19" spans="1:33" x14ac:dyDescent="0.55000000000000004">
      <c r="A19">
        <f>'2 Customer data'!D36</f>
        <v>0</v>
      </c>
      <c r="B19" s="332">
        <f>'3 Water'!H641</f>
        <v>0</v>
      </c>
      <c r="C19" s="333">
        <f>'3 Water'!G650</f>
        <v>10</v>
      </c>
      <c r="D19" s="332">
        <f>IFERROR(VLOOKUP(D3,'3 Water'!$E$654:$J$663,2,FALSE),0)</f>
        <v>0</v>
      </c>
      <c r="E19" s="332">
        <f>IFERROR(VLOOKUP(E3,'3 Water'!$E$654:$J$663,2,FALSE),0)</f>
        <v>0.01</v>
      </c>
      <c r="F19" s="332">
        <f>IFERROR(VLOOKUP(F3,'3 Water'!$E$654:$J$663,2,FALSE),0)</f>
        <v>0.01</v>
      </c>
      <c r="G19" s="332">
        <f>IFERROR(VLOOKUP(G3,'3 Water'!$E$654:$J$663,2,FALSE),0)</f>
        <v>0.01</v>
      </c>
      <c r="H19" s="332">
        <f>IFERROR(VLOOKUP(H3,'3 Water'!$E$654:$J$663,2,FALSE),0)</f>
        <v>0.01</v>
      </c>
      <c r="I19" s="332">
        <f>IFERROR(VLOOKUP(I3,'3 Water'!$E$654:$J$663,2,FALSE),0)</f>
        <v>0.01</v>
      </c>
      <c r="J19" s="332">
        <f>IFERROR(VLOOKUP(J3,'3 Water'!$E$654:$J$663,2,FALSE),0)</f>
        <v>0.01</v>
      </c>
      <c r="K19" s="332">
        <f>IFERROR(VLOOKUP(K3,'3 Water'!$E$654:$J$663,2,FALSE),0)</f>
        <v>0.01</v>
      </c>
      <c r="L19" s="332">
        <f>IFERROR(VLOOKUP(L3,'3 Water'!$E$654:$J$663,2,FALSE),0)</f>
        <v>0.01</v>
      </c>
      <c r="M19" s="332">
        <f>IFERROR(VLOOKUP(M3,'3 Water'!$E$654:$J$663,2,FALSE),0)</f>
        <v>0.01</v>
      </c>
      <c r="N19" s="332">
        <f>IFERROR(VLOOKUP(N3,'3 Water'!$E$654:$J$663,3,FALSE),0)</f>
        <v>0</v>
      </c>
      <c r="O19" s="332">
        <f>IFERROR(VLOOKUP(O3,'3 Water'!$E$654:$J$663,3,FALSE),0)</f>
        <v>0</v>
      </c>
      <c r="P19" s="332">
        <f>IFERROR(VLOOKUP(P3,'3 Water'!$E$654:$J$663,3,FALSE),0)</f>
        <v>0</v>
      </c>
      <c r="Q19" s="332">
        <f>IFERROR(VLOOKUP(Q3,'3 Water'!$E$654:$J$663,3,FALSE),0)</f>
        <v>0</v>
      </c>
      <c r="R19" s="332">
        <f>IFERROR(VLOOKUP(R3,'3 Water'!$E$654:$J$663,3,FALSE),0)</f>
        <v>0</v>
      </c>
      <c r="S19" s="332">
        <f>IFERROR(VLOOKUP(S3,'3 Water'!$E$654:$J$663,3,FALSE),0)</f>
        <v>0</v>
      </c>
      <c r="T19" s="332">
        <f>IFERROR(VLOOKUP(T3,'3 Water'!$E$654:$J$663,3,FALSE),0)</f>
        <v>0</v>
      </c>
      <c r="U19" s="332">
        <f>IFERROR(VLOOKUP(U3,'3 Water'!$E$654:$J$663,3,FALSE),0)</f>
        <v>0</v>
      </c>
      <c r="V19" s="332">
        <f>IFERROR(VLOOKUP(V3,'3 Water'!$E$654:$J$663,3,FALSE),0)</f>
        <v>0</v>
      </c>
      <c r="W19" s="332" t="str">
        <f>IFERROR(VLOOKUP(W3,'3 Water'!$E$654:$J$663,3,FALSE),0)</f>
        <v>More</v>
      </c>
      <c r="X19" s="332">
        <f>IFERROR(VLOOKUP(X3,'3 Water'!$E$654:$J$663,6,FALSE),0)</f>
        <v>0</v>
      </c>
      <c r="Y19" s="332">
        <f ca="1">IFERROR(VLOOKUP(Y3,'3 Water'!$E$654:$J$663,6,FALSE),0)</f>
        <v>0</v>
      </c>
      <c r="Z19" s="332">
        <f ca="1">IFERROR(VLOOKUP(Z3,'3 Water'!$E$654:$J$663,6,FALSE),0)</f>
        <v>0</v>
      </c>
      <c r="AA19" s="332">
        <f ca="1">IFERROR(VLOOKUP(AA3,'3 Water'!$E$654:$J$663,6,FALSE),0)</f>
        <v>0</v>
      </c>
      <c r="AB19" s="332">
        <f ca="1">IFERROR(VLOOKUP(AB3,'3 Water'!$E$654:$J$663,6,FALSE),0)</f>
        <v>0</v>
      </c>
      <c r="AC19" s="332">
        <f ca="1">IFERROR(VLOOKUP(AC3,'3 Water'!$E$654:$J$663,6,FALSE),0)</f>
        <v>0</v>
      </c>
      <c r="AD19" s="332">
        <f ca="1">IFERROR(VLOOKUP(AD3,'3 Water'!$E$654:$J$663,6,FALSE),0)</f>
        <v>0</v>
      </c>
      <c r="AE19" s="332">
        <f ca="1">IFERROR(VLOOKUP(AE3,'3 Water'!$E$654:$J$663,6,FALSE),0)</f>
        <v>0</v>
      </c>
      <c r="AF19" s="332">
        <f ca="1">IFERROR(VLOOKUP(AF3,'3 Water'!$E$654:$J$663,6,FALSE),0)</f>
        <v>0</v>
      </c>
      <c r="AG19" s="332">
        <f ca="1">IFERROR(VLOOKUP(AG3,'3 Water'!$E$654:$J$663,6,FALSE),0)</f>
        <v>0</v>
      </c>
    </row>
    <row r="20" spans="1:33" x14ac:dyDescent="0.55000000000000004">
      <c r="A20">
        <f>'2 Customer data'!D37</f>
        <v>0</v>
      </c>
      <c r="B20" s="332">
        <f>'3 Water'!H682</f>
        <v>0</v>
      </c>
      <c r="C20" s="333">
        <f>'3 Water'!G691</f>
        <v>10</v>
      </c>
      <c r="D20" s="332">
        <f>IFERROR(VLOOKUP(D3,'3 Water'!$E$695:$J$704,2,FALSE),0)</f>
        <v>0</v>
      </c>
      <c r="E20" s="332">
        <f>IFERROR(VLOOKUP(E3,'3 Water'!$E$695:$J$704,2,FALSE),0)</f>
        <v>0.01</v>
      </c>
      <c r="F20" s="332">
        <f>IFERROR(VLOOKUP(F3,'3 Water'!$E$695:$J$704,2,FALSE),0)</f>
        <v>0.01</v>
      </c>
      <c r="G20" s="332">
        <f>IFERROR(VLOOKUP(G3,'3 Water'!$E$695:$J$704,2,FALSE),0)</f>
        <v>0.01</v>
      </c>
      <c r="H20" s="332">
        <f>IFERROR(VLOOKUP(H3,'3 Water'!$E$695:$J$704,2,FALSE),0)</f>
        <v>0.01</v>
      </c>
      <c r="I20" s="332">
        <f>IFERROR(VLOOKUP(I3,'3 Water'!$E$695:$J$704,2,FALSE),0)</f>
        <v>0.01</v>
      </c>
      <c r="J20" s="332">
        <f>IFERROR(VLOOKUP(J3,'3 Water'!$E$695:$J$704,2,FALSE),0)</f>
        <v>0.01</v>
      </c>
      <c r="K20" s="332">
        <f>IFERROR(VLOOKUP(K3,'3 Water'!$E$695:$J$704,2,FALSE),0)</f>
        <v>0.01</v>
      </c>
      <c r="L20" s="332">
        <f>IFERROR(VLOOKUP(L3,'3 Water'!$E$695:$J$704,2,FALSE),0)</f>
        <v>0.01</v>
      </c>
      <c r="M20" s="332">
        <f>IFERROR(VLOOKUP(M3,'3 Water'!$E$695:$J$704,2,FALSE),0)</f>
        <v>0.01</v>
      </c>
      <c r="N20" s="332">
        <f>IFERROR(VLOOKUP(N3,'3 Water'!$E$695:$J$704,3,FALSE),0)</f>
        <v>0</v>
      </c>
      <c r="O20" s="332">
        <f>IFERROR(VLOOKUP(O3,'3 Water'!$E$695:$J$704,3,FALSE),0)</f>
        <v>0</v>
      </c>
      <c r="P20" s="332">
        <f>IFERROR(VLOOKUP(P3,'3 Water'!$E$695:$J$704,3,FALSE),0)</f>
        <v>0</v>
      </c>
      <c r="Q20" s="332">
        <f>IFERROR(VLOOKUP(Q3,'3 Water'!$E$695:$J$704,3,FALSE),0)</f>
        <v>0</v>
      </c>
      <c r="R20" s="332">
        <f>IFERROR(VLOOKUP(R3,'3 Water'!$E$695:$J$704,3,FALSE),0)</f>
        <v>0</v>
      </c>
      <c r="S20" s="332">
        <f>IFERROR(VLOOKUP(S3,'3 Water'!$E$695:$J$704,3,FALSE),0)</f>
        <v>0</v>
      </c>
      <c r="T20" s="332">
        <f>IFERROR(VLOOKUP(T3,'3 Water'!$E$695:$J$704,3,FALSE),0)</f>
        <v>0</v>
      </c>
      <c r="U20" s="332">
        <f>IFERROR(VLOOKUP(U3,'3 Water'!$E$695:$J$704,3,FALSE),0)</f>
        <v>0</v>
      </c>
      <c r="V20" s="332">
        <f>IFERROR(VLOOKUP(V3,'3 Water'!$E$695:$J$704,3,FALSE),0)</f>
        <v>0</v>
      </c>
      <c r="W20" s="332" t="str">
        <f>IFERROR(VLOOKUP(W3,'3 Water'!$E$695:$J$704,3,FALSE),0)</f>
        <v>More</v>
      </c>
      <c r="X20" s="332">
        <f>IFERROR(VLOOKUP(X3,'3 Water'!$E$695:$J$704,6,FALSE),0)</f>
        <v>0</v>
      </c>
      <c r="Y20" s="332">
        <f ca="1">IFERROR(VLOOKUP(Y3,'3 Water'!$E$695:$J$704,6,FALSE),0)</f>
        <v>0</v>
      </c>
      <c r="Z20" s="332">
        <f ca="1">IFERROR(VLOOKUP(Z3,'3 Water'!$E$695:$J$704,6,FALSE),0)</f>
        <v>0</v>
      </c>
      <c r="AA20" s="332">
        <f ca="1">IFERROR(VLOOKUP(AA3,'3 Water'!$E$695:$J$704,6,FALSE),0)</f>
        <v>0</v>
      </c>
      <c r="AB20" s="332">
        <f ca="1">IFERROR(VLOOKUP(AB3,'3 Water'!$E$695:$J$704,6,FALSE),0)</f>
        <v>0</v>
      </c>
      <c r="AC20" s="332">
        <f ca="1">IFERROR(VLOOKUP(AC3,'3 Water'!$E$695:$J$704,6,FALSE),0)</f>
        <v>0</v>
      </c>
      <c r="AD20" s="332">
        <f ca="1">IFERROR(VLOOKUP(AD3,'3 Water'!$E$695:$J$704,6,FALSE),0)</f>
        <v>0</v>
      </c>
      <c r="AE20" s="332">
        <f ca="1">IFERROR(VLOOKUP(AE3,'3 Water'!$E$695:$J$704,6,FALSE),0)</f>
        <v>0</v>
      </c>
      <c r="AF20" s="332">
        <f ca="1">IFERROR(VLOOKUP(AF3,'3 Water'!$E$695:$J$704,6,FALSE),0)</f>
        <v>0</v>
      </c>
      <c r="AG20" s="332">
        <f ca="1">IFERROR(VLOOKUP(AG3,'3 Water'!$E$695:$J$704,6,FALSE),0)</f>
        <v>0</v>
      </c>
    </row>
    <row r="21" spans="1:33" x14ac:dyDescent="0.55000000000000004">
      <c r="A21">
        <f>'2 Customer data'!D38</f>
        <v>0</v>
      </c>
      <c r="B21" s="332">
        <f>'3 Water'!H723</f>
        <v>0</v>
      </c>
      <c r="C21" s="333">
        <f>'3 Water'!G732</f>
        <v>10</v>
      </c>
      <c r="D21" s="332">
        <f>IFERROR(VLOOKUP(D3,'3 Water'!$E$736:$J$745,2,FALSE),0)</f>
        <v>0</v>
      </c>
      <c r="E21" s="332">
        <f>IFERROR(VLOOKUP(E3,'3 Water'!$E$736:$J$745,2,FALSE),0)</f>
        <v>0.01</v>
      </c>
      <c r="F21" s="332">
        <f>IFERROR(VLOOKUP(F3,'3 Water'!$E$736:$J$745,2,FALSE),0)</f>
        <v>0.01</v>
      </c>
      <c r="G21" s="332">
        <f>IFERROR(VLOOKUP(G3,'3 Water'!$E$736:$J$745,2,FALSE),0)</f>
        <v>0.01</v>
      </c>
      <c r="H21" s="332">
        <f>IFERROR(VLOOKUP(H3,'3 Water'!$E$736:$J$745,2,FALSE),0)</f>
        <v>0.01</v>
      </c>
      <c r="I21" s="332">
        <f>IFERROR(VLOOKUP(I3,'3 Water'!$E$736:$J$745,2,FALSE),0)</f>
        <v>0.01</v>
      </c>
      <c r="J21" s="332">
        <f>IFERROR(VLOOKUP(J3,'3 Water'!$E$736:$J$745,2,FALSE),0)</f>
        <v>0.01</v>
      </c>
      <c r="K21" s="332">
        <f>IFERROR(VLOOKUP(K3,'3 Water'!$E$736:$J$745,2,FALSE),0)</f>
        <v>0.01</v>
      </c>
      <c r="L21" s="332">
        <f>IFERROR(VLOOKUP(L3,'3 Water'!$E$736:$J$745,2,FALSE),0)</f>
        <v>0.01</v>
      </c>
      <c r="M21" s="332">
        <f>IFERROR(VLOOKUP(M3,'3 Water'!$E$736:$J$745,2,FALSE),0)</f>
        <v>0.01</v>
      </c>
      <c r="N21" s="332">
        <f>IFERROR(VLOOKUP(N3,'3 Water'!$E$736:$J$745,3,FALSE),0)</f>
        <v>0</v>
      </c>
      <c r="O21" s="332">
        <f>IFERROR(VLOOKUP(O3,'3 Water'!$E$736:$J$745,3,FALSE),0)</f>
        <v>0</v>
      </c>
      <c r="P21" s="332">
        <f>IFERROR(VLOOKUP(P3,'3 Water'!$E$736:$J$745,3,FALSE),0)</f>
        <v>0</v>
      </c>
      <c r="Q21" s="332">
        <f>IFERROR(VLOOKUP(Q3,'3 Water'!$E$736:$J$745,3,FALSE),0)</f>
        <v>0</v>
      </c>
      <c r="R21" s="332">
        <f>IFERROR(VLOOKUP(R3,'3 Water'!$E$736:$J$745,3,FALSE),0)</f>
        <v>0</v>
      </c>
      <c r="S21" s="332">
        <f>IFERROR(VLOOKUP(S3,'3 Water'!$E$736:$J$745,3,FALSE),0)</f>
        <v>0</v>
      </c>
      <c r="T21" s="332">
        <f>IFERROR(VLOOKUP(T3,'3 Water'!$E$736:$J$745,3,FALSE),0)</f>
        <v>0</v>
      </c>
      <c r="U21" s="332">
        <f>IFERROR(VLOOKUP(U3,'3 Water'!$E$736:$J$745,3,FALSE),0)</f>
        <v>0</v>
      </c>
      <c r="V21" s="332">
        <f>IFERROR(VLOOKUP(V3,'3 Water'!$E$736:$J$745,3,FALSE),0)</f>
        <v>0</v>
      </c>
      <c r="W21" s="332" t="str">
        <f>IFERROR(VLOOKUP(W3,'3 Water'!$E$736:$J$745,3,FALSE),0)</f>
        <v>More</v>
      </c>
      <c r="X21" s="332">
        <f>IFERROR(VLOOKUP(X3,'3 Water'!$E$736:$J$745,6,FALSE),0)</f>
        <v>0</v>
      </c>
      <c r="Y21" s="332">
        <f ca="1">IFERROR(VLOOKUP(Y3,'3 Water'!$E$736:$J$745,6,FALSE),0)</f>
        <v>0</v>
      </c>
      <c r="Z21" s="332">
        <f ca="1">IFERROR(VLOOKUP(Z3,'3 Water'!$E$736:$J$745,6,FALSE),0)</f>
        <v>0</v>
      </c>
      <c r="AA21" s="332">
        <f ca="1">IFERROR(VLOOKUP(AA3,'3 Water'!$E$736:$J$745,6,FALSE),0)</f>
        <v>0</v>
      </c>
      <c r="AB21" s="332">
        <f ca="1">IFERROR(VLOOKUP(AB3,'3 Water'!$E$736:$J$745,6,FALSE),0)</f>
        <v>0</v>
      </c>
      <c r="AC21" s="332">
        <f ca="1">IFERROR(VLOOKUP(AC3,'3 Water'!$E$736:$J$745,6,FALSE),0)</f>
        <v>0</v>
      </c>
      <c r="AD21" s="332">
        <f ca="1">IFERROR(VLOOKUP(AD3,'3 Water'!$E$736:$J$745,6,FALSE),0)</f>
        <v>0</v>
      </c>
      <c r="AE21" s="332">
        <f ca="1">IFERROR(VLOOKUP(AE3,'3 Water'!$E$736:$J$745,6,FALSE),0)</f>
        <v>0</v>
      </c>
      <c r="AF21" s="332">
        <f ca="1">IFERROR(VLOOKUP(AF3,'3 Water'!$E$736:$J$745,6,FALSE),0)</f>
        <v>0</v>
      </c>
      <c r="AG21" s="332">
        <f ca="1">IFERROR(VLOOKUP(AG3,'3 Water'!$E$736:$J$745,6,FALSE),0)</f>
        <v>0</v>
      </c>
    </row>
    <row r="22" spans="1:33" x14ac:dyDescent="0.55000000000000004">
      <c r="A22">
        <f>'2 Customer data'!D39</f>
        <v>0</v>
      </c>
      <c r="B22" s="332">
        <f>'3 Water'!H764</f>
        <v>0</v>
      </c>
      <c r="C22" s="333">
        <f>'3 Water'!G773</f>
        <v>10</v>
      </c>
      <c r="D22" s="332">
        <f>IFERROR(VLOOKUP(D3,'3 Water'!$E$777:$J$786,2,FALSE),0)</f>
        <v>0</v>
      </c>
      <c r="E22" s="332">
        <f>IFERROR(VLOOKUP(E3,'3 Water'!$E$777:$J$786,2,FALSE),0)</f>
        <v>0.01</v>
      </c>
      <c r="F22" s="332">
        <f>IFERROR(VLOOKUP(F3,'3 Water'!$E$777:$J$786,2,FALSE),0)</f>
        <v>0.01</v>
      </c>
      <c r="G22" s="332">
        <f>IFERROR(VLOOKUP(G3,'3 Water'!$E$777:$J$786,2,FALSE),0)</f>
        <v>0.01</v>
      </c>
      <c r="H22" s="332">
        <f>IFERROR(VLOOKUP(H3,'3 Water'!$E$777:$J$786,2,FALSE),0)</f>
        <v>0.01</v>
      </c>
      <c r="I22" s="332">
        <f>IFERROR(VLOOKUP(I3,'3 Water'!$E$777:$J$786,2,FALSE),0)</f>
        <v>0.01</v>
      </c>
      <c r="J22" s="332">
        <f>IFERROR(VLOOKUP(J3,'3 Water'!$E$777:$J$786,2,FALSE),0)</f>
        <v>0.01</v>
      </c>
      <c r="K22" s="332">
        <f>IFERROR(VLOOKUP(K3,'3 Water'!$E$777:$J$786,2,FALSE),0)</f>
        <v>0.01</v>
      </c>
      <c r="L22" s="332">
        <f>IFERROR(VLOOKUP(L3,'3 Water'!$E$777:$J$786,2,FALSE),0)</f>
        <v>0.01</v>
      </c>
      <c r="M22" s="332">
        <f>IFERROR(VLOOKUP(M3,'3 Water'!$E$777:$J$786,2,FALSE),0)</f>
        <v>0.01</v>
      </c>
      <c r="N22" s="332">
        <f>IFERROR(VLOOKUP(N3,'3 Water'!$E$777:$J$786,3,FALSE),0)</f>
        <v>0</v>
      </c>
      <c r="O22" s="332">
        <f>IFERROR(VLOOKUP(O3,'3 Water'!$E$777:$J$786,3,FALSE),0)</f>
        <v>0</v>
      </c>
      <c r="P22" s="332">
        <f>IFERROR(VLOOKUP(P3,'3 Water'!$E$777:$J$786,3,FALSE),0)</f>
        <v>0</v>
      </c>
      <c r="Q22" s="332">
        <f>IFERROR(VLOOKUP(Q3,'3 Water'!$E$777:$J$786,3,FALSE),0)</f>
        <v>0</v>
      </c>
      <c r="R22" s="332">
        <f>IFERROR(VLOOKUP(R3,'3 Water'!$E$777:$J$786,3,FALSE),0)</f>
        <v>0</v>
      </c>
      <c r="S22" s="332">
        <f>IFERROR(VLOOKUP(S3,'3 Water'!$E$777:$J$786,3,FALSE),0)</f>
        <v>0</v>
      </c>
      <c r="T22" s="332">
        <f>IFERROR(VLOOKUP(T3,'3 Water'!$E$777:$J$786,3,FALSE),0)</f>
        <v>0</v>
      </c>
      <c r="U22" s="332">
        <f>IFERROR(VLOOKUP(U3,'3 Water'!$E$777:$J$786,3,FALSE),0)</f>
        <v>0</v>
      </c>
      <c r="V22" s="332">
        <f>IFERROR(VLOOKUP(V3,'3 Water'!$E$777:$J$786,3,FALSE),0)</f>
        <v>0</v>
      </c>
      <c r="W22" s="332" t="str">
        <f>IFERROR(VLOOKUP(W3,'3 Water'!$E$777:$J$786,3,FALSE),0)</f>
        <v>More</v>
      </c>
      <c r="X22" s="332">
        <f>IFERROR(VLOOKUP(X3,'3 Water'!$E$777:$J$786,6,FALSE),0)</f>
        <v>0</v>
      </c>
      <c r="Y22" s="332">
        <f ca="1">IFERROR(VLOOKUP(Y3,'3 Water'!$E$777:$J$786,6,FALSE),0)</f>
        <v>0</v>
      </c>
      <c r="Z22" s="332">
        <f ca="1">IFERROR(VLOOKUP(Z3,'3 Water'!$E$777:$J$786,6,FALSE),0)</f>
        <v>0</v>
      </c>
      <c r="AA22" s="332">
        <f ca="1">IFERROR(VLOOKUP(AA3,'3 Water'!$E$777:$J$786,6,FALSE),0)</f>
        <v>0</v>
      </c>
      <c r="AB22" s="332">
        <f ca="1">IFERROR(VLOOKUP(AB3,'3 Water'!$E$777:$J$786,6,FALSE),0)</f>
        <v>0</v>
      </c>
      <c r="AC22" s="332">
        <f ca="1">IFERROR(VLOOKUP(AC3,'3 Water'!$E$777:$J$786,6,FALSE),0)</f>
        <v>0</v>
      </c>
      <c r="AD22" s="332">
        <f ca="1">IFERROR(VLOOKUP(AD3,'3 Water'!$E$777:$J$786,6,FALSE),0)</f>
        <v>0</v>
      </c>
      <c r="AE22" s="332">
        <f ca="1">IFERROR(VLOOKUP(AE3,'3 Water'!$E$777:$J$786,6,FALSE),0)</f>
        <v>0</v>
      </c>
      <c r="AF22" s="332">
        <f ca="1">IFERROR(VLOOKUP(AF3,'3 Water'!$E$777:$J$786,6,FALSE),0)</f>
        <v>0</v>
      </c>
      <c r="AG22" s="332">
        <f ca="1">IFERROR(VLOOKUP(AG3,'3 Water'!$E$777:$J$786,6,FALSE),0)</f>
        <v>0</v>
      </c>
    </row>
    <row r="23" spans="1:33" x14ac:dyDescent="0.55000000000000004">
      <c r="A23">
        <f>'2 Customer data'!D40</f>
        <v>0</v>
      </c>
      <c r="B23" s="332">
        <f>'3 Water'!H805</f>
        <v>0</v>
      </c>
      <c r="C23" s="333">
        <f>'3 Water'!G814</f>
        <v>3</v>
      </c>
      <c r="D23" s="332">
        <f>IFERROR(VLOOKUP(D3,'3 Water'!$E$818:$J$827,2,FALSE),0)</f>
        <v>0</v>
      </c>
      <c r="E23" s="332">
        <f>IFERROR(VLOOKUP(E3,'3 Water'!$E$818:$J$827,2,FALSE),0)</f>
        <v>0.01</v>
      </c>
      <c r="F23" s="332">
        <f>IFERROR(VLOOKUP(F3,'3 Water'!$E$818:$J$827,2,FALSE),0)</f>
        <v>0.01</v>
      </c>
      <c r="G23" s="332">
        <f>IFERROR(VLOOKUP(G3,'3 Water'!$E$818:$J$827,2,FALSE),0)</f>
        <v>0</v>
      </c>
      <c r="H23" s="332">
        <f>IFERROR(VLOOKUP(H3,'3 Water'!$E$818:$J$827,2,FALSE),0)</f>
        <v>0</v>
      </c>
      <c r="I23" s="332">
        <f>IFERROR(VLOOKUP(I3,'3 Water'!$E$818:$J$827,2,FALSE),0)</f>
        <v>0</v>
      </c>
      <c r="J23" s="332">
        <f>IFERROR(VLOOKUP(J3,'3 Water'!$E$818:$J$827,2,FALSE),0)</f>
        <v>0</v>
      </c>
      <c r="K23" s="332">
        <f>IFERROR(VLOOKUP(K3,'3 Water'!$E$818:$J$827,2,FALSE),0)</f>
        <v>0</v>
      </c>
      <c r="L23" s="332">
        <f>IFERROR(VLOOKUP(L3,'3 Water'!$E$818:$J$827,2,FALSE),0)</f>
        <v>0</v>
      </c>
      <c r="M23" s="332">
        <f>IFERROR(VLOOKUP(M3,'3 Water'!$E$818:$J$827,2,FALSE),0)</f>
        <v>0</v>
      </c>
      <c r="N23" s="332">
        <f>IFERROR(VLOOKUP(N3,'3 Water'!$E$818:$J$827,3,FALSE),0)</f>
        <v>0</v>
      </c>
      <c r="O23" s="332">
        <f>IFERROR(VLOOKUP(O3,'3 Water'!$E$818:$J$827,3,FALSE),0)</f>
        <v>0</v>
      </c>
      <c r="P23" s="332">
        <f>IFERROR(VLOOKUP(P3,'3 Water'!$E$818:$J$827,3,FALSE),0)</f>
        <v>0</v>
      </c>
      <c r="Q23" s="332">
        <f>IFERROR(VLOOKUP(Q3,'3 Water'!$E$818:$J$827,3,FALSE),0)</f>
        <v>0</v>
      </c>
      <c r="R23" s="332">
        <f>IFERROR(VLOOKUP(R3,'3 Water'!$E$818:$J$827,3,FALSE),0)</f>
        <v>0</v>
      </c>
      <c r="S23" s="332">
        <f>IFERROR(VLOOKUP(S3,'3 Water'!$E$818:$J$827,3,FALSE),0)</f>
        <v>0</v>
      </c>
      <c r="T23" s="332">
        <f>IFERROR(VLOOKUP(T3,'3 Water'!$E$818:$J$827,3,FALSE),0)</f>
        <v>0</v>
      </c>
      <c r="U23" s="332">
        <f>IFERROR(VLOOKUP(U3,'3 Water'!$E$818:$J$827,3,FALSE),0)</f>
        <v>0</v>
      </c>
      <c r="V23" s="332">
        <f>IFERROR(VLOOKUP(V3,'3 Water'!$E$818:$J$827,3,FALSE),0)</f>
        <v>0</v>
      </c>
      <c r="W23" s="332">
        <f>IFERROR(VLOOKUP(W3,'3 Water'!$E$818:$J$827,3,FALSE),0)</f>
        <v>0</v>
      </c>
      <c r="X23" s="332">
        <f>IFERROR(VLOOKUP(X3,'3 Water'!$E$818:$J$827,6,FALSE),0)</f>
        <v>0</v>
      </c>
      <c r="Y23" s="332">
        <f ca="1">IFERROR(VLOOKUP(Y3,'3 Water'!$E$818:$J$827,6,FALSE),0)</f>
        <v>0</v>
      </c>
      <c r="Z23" s="332">
        <f ca="1">IFERROR(VLOOKUP(Z3,'3 Water'!$E$818:$J$827,6,FALSE),0)</f>
        <v>0</v>
      </c>
      <c r="AA23" s="332">
        <f>IFERROR(VLOOKUP(AA3,'3 Water'!$E$818:$J$827,6,FALSE),0)</f>
        <v>0</v>
      </c>
      <c r="AB23" s="332">
        <f>IFERROR(VLOOKUP(AB3,'3 Water'!$E$818:$J$827,6,FALSE),0)</f>
        <v>0</v>
      </c>
      <c r="AC23" s="332">
        <f>IFERROR(VLOOKUP(AC3,'3 Water'!$E$818:$J$827,6,FALSE),0)</f>
        <v>0</v>
      </c>
      <c r="AD23" s="332">
        <f>IFERROR(VLOOKUP(AD3,'3 Water'!$E$818:$J$827,6,FALSE),0)</f>
        <v>0</v>
      </c>
      <c r="AE23" s="332">
        <f>IFERROR(VLOOKUP(AE3,'3 Water'!$E$818:$J$827,6,FALSE),0)</f>
        <v>0</v>
      </c>
      <c r="AF23" s="332">
        <f>IFERROR(VLOOKUP(AF3,'3 Water'!$E$818:$J$827,6,FALSE),0)</f>
        <v>0</v>
      </c>
      <c r="AG23" s="332">
        <f>IFERROR(VLOOKUP(AG3,'3 Water'!$E$818:$J$827,6,FALSE),0)</f>
        <v>0</v>
      </c>
    </row>
  </sheetData>
  <sheetProtection sheet="1" objects="1" scenarios="1"/>
  <mergeCells count="3">
    <mergeCell ref="X2:AG2"/>
    <mergeCell ref="D2:M2"/>
    <mergeCell ref="N2:W2"/>
  </mergeCells>
  <pageMargins left="0.7" right="0.7" top="0.75" bottom="0.75" header="0.3" footer="0.3"/>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F13E95-8F00-48B5-9962-E5374397174F}">
  <sheetPr codeName="Sheet28"/>
  <dimension ref="A1:AQ23"/>
  <sheetViews>
    <sheetView workbookViewId="0"/>
  </sheetViews>
  <sheetFormatPr defaultRowHeight="14.4" x14ac:dyDescent="0.55000000000000004"/>
  <cols>
    <col min="1" max="1" width="26.20703125" bestFit="1" customWidth="1"/>
    <col min="2" max="2" width="11.20703125" bestFit="1" customWidth="1"/>
    <col min="3" max="3" width="15.7890625" bestFit="1" customWidth="1"/>
  </cols>
  <sheetData>
    <row r="1" spans="1:43" x14ac:dyDescent="0.55000000000000004">
      <c r="A1" s="1" t="s">
        <v>432</v>
      </c>
      <c r="B1">
        <v>2</v>
      </c>
      <c r="C1">
        <v>3</v>
      </c>
      <c r="D1">
        <v>4</v>
      </c>
      <c r="E1">
        <v>5</v>
      </c>
      <c r="F1">
        <v>6</v>
      </c>
      <c r="G1">
        <v>7</v>
      </c>
      <c r="H1">
        <v>8</v>
      </c>
      <c r="I1">
        <v>9</v>
      </c>
      <c r="J1">
        <v>10</v>
      </c>
      <c r="K1">
        <v>11</v>
      </c>
      <c r="L1">
        <v>12</v>
      </c>
      <c r="M1">
        <v>13</v>
      </c>
      <c r="N1">
        <v>14</v>
      </c>
      <c r="O1">
        <v>15</v>
      </c>
      <c r="P1">
        <v>16</v>
      </c>
      <c r="Q1">
        <v>17</v>
      </c>
      <c r="R1">
        <v>18</v>
      </c>
      <c r="S1">
        <v>19</v>
      </c>
      <c r="T1">
        <v>20</v>
      </c>
      <c r="U1">
        <v>21</v>
      </c>
      <c r="V1">
        <v>22</v>
      </c>
      <c r="W1">
        <v>23</v>
      </c>
      <c r="X1">
        <v>24</v>
      </c>
      <c r="Y1">
        <v>25</v>
      </c>
      <c r="Z1">
        <v>26</v>
      </c>
      <c r="AA1">
        <v>27</v>
      </c>
      <c r="AB1">
        <v>28</v>
      </c>
      <c r="AC1">
        <v>29</v>
      </c>
      <c r="AD1">
        <v>30</v>
      </c>
      <c r="AE1">
        <v>31</v>
      </c>
      <c r="AF1">
        <v>32</v>
      </c>
      <c r="AG1">
        <v>33</v>
      </c>
      <c r="AH1">
        <v>34</v>
      </c>
      <c r="AI1">
        <v>35</v>
      </c>
      <c r="AJ1">
        <v>36</v>
      </c>
      <c r="AK1">
        <v>37</v>
      </c>
      <c r="AL1">
        <v>38</v>
      </c>
      <c r="AM1">
        <v>39</v>
      </c>
      <c r="AN1">
        <v>40</v>
      </c>
      <c r="AO1">
        <v>41</v>
      </c>
      <c r="AP1">
        <v>42</v>
      </c>
      <c r="AQ1">
        <v>43</v>
      </c>
    </row>
    <row r="2" spans="1:43" x14ac:dyDescent="0.55000000000000004">
      <c r="A2" s="1"/>
      <c r="D2" s="1827" t="s">
        <v>409</v>
      </c>
      <c r="E2" s="1827"/>
      <c r="F2" s="1827"/>
      <c r="G2" s="1827"/>
      <c r="H2" s="1827"/>
      <c r="I2" s="1827"/>
      <c r="J2" s="1827"/>
      <c r="K2" s="1827"/>
      <c r="L2" s="1827"/>
      <c r="M2" s="1827"/>
      <c r="N2" s="1827" t="s">
        <v>80</v>
      </c>
      <c r="O2" s="1827"/>
      <c r="P2" s="1827"/>
      <c r="Q2" s="1827"/>
      <c r="R2" s="1827"/>
      <c r="S2" s="1827"/>
      <c r="T2" s="1827"/>
      <c r="U2" s="1827"/>
      <c r="V2" s="1827"/>
      <c r="W2" s="1827"/>
      <c r="X2" s="1827" t="s">
        <v>582</v>
      </c>
      <c r="Y2" s="1827"/>
      <c r="Z2" s="1827"/>
      <c r="AA2" s="1827"/>
      <c r="AB2" s="1827"/>
      <c r="AC2" s="1827"/>
      <c r="AD2" s="1827"/>
      <c r="AE2" s="1827"/>
      <c r="AF2" s="1827"/>
      <c r="AG2" s="1827"/>
      <c r="AH2" s="1828" t="s">
        <v>337</v>
      </c>
      <c r="AI2" s="1828"/>
      <c r="AJ2" s="1828"/>
      <c r="AK2" s="1828"/>
      <c r="AL2" s="1828"/>
      <c r="AM2" s="1828"/>
      <c r="AN2" s="1828"/>
      <c r="AO2" s="1828"/>
      <c r="AP2" s="1828"/>
      <c r="AQ2" s="1828"/>
    </row>
    <row r="3" spans="1:43" x14ac:dyDescent="0.55000000000000004">
      <c r="B3" t="s">
        <v>406</v>
      </c>
      <c r="C3" t="s">
        <v>98</v>
      </c>
      <c r="D3">
        <v>1</v>
      </c>
      <c r="E3">
        <v>2</v>
      </c>
      <c r="F3">
        <v>3</v>
      </c>
      <c r="G3">
        <v>4</v>
      </c>
      <c r="H3">
        <v>5</v>
      </c>
      <c r="I3">
        <v>6</v>
      </c>
      <c r="J3">
        <v>7</v>
      </c>
      <c r="K3">
        <v>8</v>
      </c>
      <c r="L3">
        <v>9</v>
      </c>
      <c r="M3">
        <v>10</v>
      </c>
      <c r="N3">
        <v>1</v>
      </c>
      <c r="O3">
        <v>2</v>
      </c>
      <c r="P3">
        <v>3</v>
      </c>
      <c r="Q3">
        <v>4</v>
      </c>
      <c r="R3">
        <v>5</v>
      </c>
      <c r="S3">
        <v>6</v>
      </c>
      <c r="T3">
        <v>7</v>
      </c>
      <c r="U3">
        <v>8</v>
      </c>
      <c r="V3">
        <v>9</v>
      </c>
      <c r="W3">
        <v>10</v>
      </c>
      <c r="X3">
        <v>1</v>
      </c>
      <c r="Y3">
        <v>2</v>
      </c>
      <c r="Z3">
        <v>3</v>
      </c>
      <c r="AA3">
        <v>4</v>
      </c>
      <c r="AB3">
        <v>5</v>
      </c>
      <c r="AC3">
        <v>6</v>
      </c>
      <c r="AD3">
        <v>7</v>
      </c>
      <c r="AE3">
        <v>8</v>
      </c>
      <c r="AF3">
        <v>9</v>
      </c>
      <c r="AG3">
        <v>10</v>
      </c>
      <c r="AH3" s="10">
        <v>1</v>
      </c>
      <c r="AI3" s="10">
        <v>2</v>
      </c>
      <c r="AJ3" s="10">
        <v>3</v>
      </c>
      <c r="AK3" s="10">
        <v>4</v>
      </c>
      <c r="AL3" s="10">
        <v>5</v>
      </c>
      <c r="AM3" s="10">
        <v>6</v>
      </c>
      <c r="AN3" s="10">
        <v>7</v>
      </c>
      <c r="AO3" s="10">
        <v>8</v>
      </c>
      <c r="AP3" s="10">
        <v>9</v>
      </c>
      <c r="AQ3" s="10">
        <v>10</v>
      </c>
    </row>
    <row r="4" spans="1:43" x14ac:dyDescent="0.55000000000000004">
      <c r="A4" t="str">
        <f>'2 Customer data'!D57</f>
        <v>Domestic</v>
      </c>
      <c r="B4" s="6">
        <f>'3 Sanitation'!H26</f>
        <v>0</v>
      </c>
      <c r="C4" s="7">
        <f>'3 Sanitation'!H35</f>
        <v>1</v>
      </c>
      <c r="D4" s="6">
        <f>IFERROR(VLOOKUP(D$3,'3 Sanitation'!$E$39:$M$48,3,FALSE),0)</f>
        <v>0</v>
      </c>
      <c r="E4" s="6">
        <f>IFERROR(VLOOKUP(E$3,'3 Sanitation'!$E$39:$M$48,3,FALSE),0)</f>
        <v>0</v>
      </c>
      <c r="F4" s="6">
        <f>IFERROR(VLOOKUP(F$3,'3 Sanitation'!$E$39:$M$48,3,FALSE),0)</f>
        <v>0</v>
      </c>
      <c r="G4" s="6">
        <f>IFERROR(VLOOKUP(G$3,'3 Sanitation'!$E$39:$M$48,3,FALSE),0)</f>
        <v>0</v>
      </c>
      <c r="H4" s="6">
        <f>IFERROR(VLOOKUP(H$3,'3 Sanitation'!$E$39:$M$48,3,FALSE),0)</f>
        <v>0</v>
      </c>
      <c r="I4" s="6">
        <f>IFERROR(VLOOKUP(I$3,'3 Sanitation'!$E$39:$M$48,3,FALSE),0)</f>
        <v>0</v>
      </c>
      <c r="J4" s="6">
        <f>IFERROR(VLOOKUP(J$3,'3 Sanitation'!$E$39:$M$48,3,FALSE),0)</f>
        <v>0</v>
      </c>
      <c r="K4" s="6">
        <f>IFERROR(VLOOKUP(K$3,'3 Sanitation'!$E$39:$M$48,3,FALSE),0)</f>
        <v>0</v>
      </c>
      <c r="L4" s="6">
        <f>IFERROR(VLOOKUP(L$3,'3 Sanitation'!$E$39:$M$48,3,FALSE),0)</f>
        <v>0</v>
      </c>
      <c r="M4" s="6">
        <f>IFERROR(VLOOKUP(M$3,'3 Sanitation'!$E$39:$M$48,3,FALSE),0)</f>
        <v>0</v>
      </c>
      <c r="N4" s="6">
        <f>IFERROR(VLOOKUP(N$3,'3 Sanitation'!$E$39:$M$48,4,FALSE),0)</f>
        <v>0</v>
      </c>
      <c r="O4" s="6">
        <f>IFERROR(VLOOKUP(O$3,'3 Sanitation'!$E$39:$M$48,4,FALSE),0)</f>
        <v>0</v>
      </c>
      <c r="P4" s="6">
        <f>IFERROR(VLOOKUP(P$3,'3 Sanitation'!$E$39:$M$48,4,FALSE),0)</f>
        <v>0</v>
      </c>
      <c r="Q4" s="6">
        <f>IFERROR(VLOOKUP(Q$3,'3 Sanitation'!$E$39:$M$48,4,FALSE),0)</f>
        <v>0</v>
      </c>
      <c r="R4" s="6">
        <f>IFERROR(VLOOKUP(R$3,'3 Sanitation'!$E$39:$M$48,4,FALSE),0)</f>
        <v>0</v>
      </c>
      <c r="S4" s="6">
        <f>IFERROR(VLOOKUP(S$3,'3 Sanitation'!$E$39:$M$48,4,FALSE),0)</f>
        <v>0</v>
      </c>
      <c r="T4" s="6">
        <f>IFERROR(VLOOKUP(T$3,'3 Sanitation'!$E$39:$M$48,4,FALSE),0)</f>
        <v>0</v>
      </c>
      <c r="U4" s="6">
        <f>IFERROR(VLOOKUP(U$3,'3 Sanitation'!$E$39:$M$48,4,FALSE),0)</f>
        <v>0</v>
      </c>
      <c r="V4" s="6">
        <f>IFERROR(VLOOKUP(V$3,'3 Sanitation'!$E$39:$M$48,4,FALSE),0)</f>
        <v>0</v>
      </c>
      <c r="W4" s="6">
        <f>IFERROR(VLOOKUP(W$3,'3 Sanitation'!$E$39:$M$48,4,FALSE),0)</f>
        <v>0</v>
      </c>
      <c r="X4" s="6">
        <f ca="1">IFERROR(VLOOKUP(X$3,'3 Sanitation'!$E$39:$M$48,8,FALSE),0)</f>
        <v>30.430839490593527</v>
      </c>
      <c r="Y4" s="6">
        <f>IFERROR(VLOOKUP(Y$3,'3 Sanitation'!$E$39:$M$48,8,FALSE),0)</f>
        <v>0</v>
      </c>
      <c r="Z4" s="6">
        <f>IFERROR(VLOOKUP(Z$3,'3 Sanitation'!$E$39:$M$48,8,FALSE),0)</f>
        <v>0</v>
      </c>
      <c r="AA4" s="6">
        <f>IFERROR(VLOOKUP(AA$3,'3 Sanitation'!$E$39:$M$48,8,FALSE),0)</f>
        <v>0</v>
      </c>
      <c r="AB4" s="6">
        <f>IFERROR(VLOOKUP(AB$3,'3 Sanitation'!$E$39:$M$48,8,FALSE),0)</f>
        <v>0</v>
      </c>
      <c r="AC4" s="6">
        <f>IFERROR(VLOOKUP(AC$3,'3 Sanitation'!$E$39:$M$48,8,FALSE),0)</f>
        <v>0</v>
      </c>
      <c r="AD4" s="6">
        <f>IFERROR(VLOOKUP(AD$3,'3 Sanitation'!$E$39:$M$48,8,FALSE),0)</f>
        <v>0</v>
      </c>
      <c r="AE4" s="6">
        <f>IFERROR(VLOOKUP(AE$3,'3 Sanitation'!$E$39:$M$48,8,FALSE),0)</f>
        <v>0</v>
      </c>
      <c r="AF4" s="6">
        <f>IFERROR(VLOOKUP(AF$3,'3 Sanitation'!$E$39:$M$48,8,FALSE),0)</f>
        <v>0</v>
      </c>
      <c r="AG4" s="6">
        <f>IFERROR(VLOOKUP(AG$3,'3 Sanitation'!$E$39:$M$48,8,FALSE),0)</f>
        <v>0</v>
      </c>
      <c r="AH4" s="6">
        <f ca="1">IFERROR(VLOOKUP(AH$3,'3 Sanitation'!$E$39:$M$48,9,FALSE),0)</f>
        <v>21.301587643415466</v>
      </c>
      <c r="AI4" s="6">
        <f>IFERROR(VLOOKUP(AI$3,'3 Sanitation'!$E$39:$M$48,9,FALSE),0)</f>
        <v>0</v>
      </c>
      <c r="AJ4" s="6">
        <f>IFERROR(VLOOKUP(AJ$3,'3 Sanitation'!$E$39:$M$48,9,FALSE),0)</f>
        <v>0</v>
      </c>
      <c r="AK4" s="6">
        <f>IFERROR(VLOOKUP(AK$3,'3 Sanitation'!$E$39:$M$48,9,FALSE),0)</f>
        <v>0</v>
      </c>
      <c r="AL4" s="6">
        <f>IFERROR(VLOOKUP(AL$3,'3 Sanitation'!$E$39:$M$48,9,FALSE),0)</f>
        <v>0</v>
      </c>
      <c r="AM4" s="6">
        <f>IFERROR(VLOOKUP(AM$3,'3 Sanitation'!$E$39:$M$48,9,FALSE),0)</f>
        <v>0</v>
      </c>
      <c r="AN4" s="6">
        <f>IFERROR(VLOOKUP(AN$3,'3 Sanitation'!$E$39:$M$48,9,FALSE),0)</f>
        <v>0</v>
      </c>
      <c r="AO4" s="6">
        <f>IFERROR(VLOOKUP(AO$3,'3 Sanitation'!$E$39:$M$48,9,FALSE),0)</f>
        <v>0</v>
      </c>
      <c r="AP4" s="6">
        <f>IFERROR(VLOOKUP(AP$3,'3 Sanitation'!$E$39:$M$48,9,FALSE),0)</f>
        <v>0</v>
      </c>
      <c r="AQ4" s="6">
        <f>IFERROR(VLOOKUP(AQ$3,'3 Sanitation'!$E$39:$M$48,9,FALSE),0)</f>
        <v>0</v>
      </c>
    </row>
    <row r="5" spans="1:43" x14ac:dyDescent="0.55000000000000004">
      <c r="A5" t="str">
        <f>'2 Customer data'!D58</f>
        <v>Commercial</v>
      </c>
      <c r="B5" s="6">
        <f>'3 Sanitation'!H67</f>
        <v>0</v>
      </c>
      <c r="C5" s="7">
        <f>'3 Sanitation'!H76</f>
        <v>1</v>
      </c>
      <c r="D5" s="6">
        <f>IFERROR(VLOOKUP(D$3,'3 Sanitation'!$E$80:$M$89,3,FALSE),0)</f>
        <v>0</v>
      </c>
      <c r="E5" s="6">
        <f>IFERROR(VLOOKUP(E$3,'3 Sanitation'!$E$80:$M$89,3,FALSE),0)</f>
        <v>0</v>
      </c>
      <c r="F5" s="6">
        <f>IFERROR(VLOOKUP(F$3,'3 Sanitation'!$E$80:$M$89,3,FALSE),0)</f>
        <v>0</v>
      </c>
      <c r="G5" s="6">
        <f>IFERROR(VLOOKUP(G$3,'3 Sanitation'!$E$80:$M$89,3,FALSE),0)</f>
        <v>0</v>
      </c>
      <c r="H5" s="6">
        <f>IFERROR(VLOOKUP(H$3,'3 Sanitation'!$E$80:$M$89,3,FALSE),0)</f>
        <v>0</v>
      </c>
      <c r="I5" s="6">
        <f>IFERROR(VLOOKUP(I$3,'3 Sanitation'!$E$80:$M$89,3,FALSE),0)</f>
        <v>0</v>
      </c>
      <c r="J5" s="6">
        <f>IFERROR(VLOOKUP(J$3,'3 Sanitation'!$E$80:$M$89,3,FALSE),0)</f>
        <v>0</v>
      </c>
      <c r="K5" s="6">
        <f>IFERROR(VLOOKUP(K$3,'3 Sanitation'!$E$80:$M$89,3,FALSE),0)</f>
        <v>0</v>
      </c>
      <c r="L5" s="6">
        <f>IFERROR(VLOOKUP(L$3,'3 Sanitation'!$E$80:$M$89,3,FALSE),0)</f>
        <v>0</v>
      </c>
      <c r="M5" s="6">
        <f>IFERROR(VLOOKUP(M$3,'3 Sanitation'!$E$80:$M$89,3,FALSE),0)</f>
        <v>0</v>
      </c>
      <c r="N5" s="6">
        <f>IFERROR(VLOOKUP(N$3,'3 Sanitation'!$E$80:$M$89,4,FALSE),0)</f>
        <v>0</v>
      </c>
      <c r="O5" s="6">
        <f>IFERROR(VLOOKUP(O$3,'3 Sanitation'!$E$80:$M$89,4,FALSE),0)</f>
        <v>0</v>
      </c>
      <c r="P5" s="6">
        <f>IFERROR(VLOOKUP(P$3,'3 Sanitation'!$E$80:$M$89,4,FALSE),0)</f>
        <v>0</v>
      </c>
      <c r="Q5" s="6">
        <f>IFERROR(VLOOKUP(Q$3,'3 Sanitation'!$E$80:$M$89,4,FALSE),0)</f>
        <v>0</v>
      </c>
      <c r="R5" s="6">
        <f>IFERROR(VLOOKUP(R$3,'3 Sanitation'!$E$80:$M$89,4,FALSE),0)</f>
        <v>0</v>
      </c>
      <c r="S5" s="6">
        <f>IFERROR(VLOOKUP(S$3,'3 Sanitation'!$E$80:$M$89,4,FALSE),0)</f>
        <v>0</v>
      </c>
      <c r="T5" s="6">
        <f>IFERROR(VLOOKUP(T$3,'3 Sanitation'!$E$80:$M$89,4,FALSE),0)</f>
        <v>0</v>
      </c>
      <c r="U5" s="6">
        <f>IFERROR(VLOOKUP(U$3,'3 Sanitation'!$E$80:$M$89,4,FALSE),0)</f>
        <v>0</v>
      </c>
      <c r="V5" s="6">
        <f>IFERROR(VLOOKUP(V$3,'3 Sanitation'!$E$80:$M$89,4,FALSE),0)</f>
        <v>0</v>
      </c>
      <c r="W5" s="6">
        <f>IFERROR(VLOOKUP(W$3,'3 Sanitation'!$E$80:$M$89,4,FALSE),0)</f>
        <v>0</v>
      </c>
      <c r="X5" s="6">
        <f ca="1">IFERROR(VLOOKUP(X$3,'3 Sanitation'!$E$80:$M$89,8,FALSE),0)</f>
        <v>8.4913993853234313</v>
      </c>
      <c r="Y5" s="6">
        <f>IFERROR(VLOOKUP(Y$3,'3 Sanitation'!$E$80:$M$89,8,FALSE),0)</f>
        <v>0</v>
      </c>
      <c r="Z5" s="6">
        <f>IFERROR(VLOOKUP(Z$3,'3 Sanitation'!$E$80:$M$89,8,FALSE),0)</f>
        <v>0</v>
      </c>
      <c r="AA5" s="6">
        <f>IFERROR(VLOOKUP(AA$3,'3 Sanitation'!$E$80:$M$89,8,FALSE),0)</f>
        <v>0</v>
      </c>
      <c r="AB5" s="6">
        <f>IFERROR(VLOOKUP(AB$3,'3 Sanitation'!$E$80:$M$89,8,FALSE),0)</f>
        <v>0</v>
      </c>
      <c r="AC5" s="6">
        <f>IFERROR(VLOOKUP(AC$3,'3 Sanitation'!$E$80:$M$89,8,FALSE),0)</f>
        <v>0</v>
      </c>
      <c r="AD5" s="6">
        <f>IFERROR(VLOOKUP(AD$3,'3 Sanitation'!$E$80:$M$89,8,FALSE),0)</f>
        <v>0</v>
      </c>
      <c r="AE5" s="6">
        <f>IFERROR(VLOOKUP(AE$3,'3 Sanitation'!$E$80:$M$89,8,FALSE),0)</f>
        <v>0</v>
      </c>
      <c r="AF5" s="6">
        <f>IFERROR(VLOOKUP(AF$3,'3 Sanitation'!$E$80:$M$89,8,FALSE),0)</f>
        <v>0</v>
      </c>
      <c r="AG5" s="6">
        <f>IFERROR(VLOOKUP(AG$3,'3 Sanitation'!$E$80:$M$89,8,FALSE),0)</f>
        <v>0</v>
      </c>
      <c r="AH5" s="6">
        <f ca="1">IFERROR(VLOOKUP(AH$3,'3 Sanitation'!$E$80:$M$89,9,FALSE),0)</f>
        <v>5.9439795697264017</v>
      </c>
      <c r="AI5" s="6">
        <f>IFERROR(VLOOKUP(AI$3,'3 Sanitation'!$E$80:$M$89,9,FALSE),0)</f>
        <v>0</v>
      </c>
      <c r="AJ5" s="6">
        <f>IFERROR(VLOOKUP(AJ$3,'3 Sanitation'!$E$80:$M$89,9,FALSE),0)</f>
        <v>0</v>
      </c>
      <c r="AK5" s="6">
        <f>IFERROR(VLOOKUP(AK$3,'3 Sanitation'!$E$80:$M$89,9,FALSE),0)</f>
        <v>0</v>
      </c>
      <c r="AL5" s="6">
        <f>IFERROR(VLOOKUP(AL$3,'3 Sanitation'!$E$80:$M$89,9,FALSE),0)</f>
        <v>0</v>
      </c>
      <c r="AM5" s="6">
        <f>IFERROR(VLOOKUP(AM$3,'3 Sanitation'!$E$80:$M$89,9,FALSE),0)</f>
        <v>0</v>
      </c>
      <c r="AN5" s="6">
        <f>IFERROR(VLOOKUP(AN$3,'3 Sanitation'!$E$80:$M$89,9,FALSE),0)</f>
        <v>0</v>
      </c>
      <c r="AO5" s="6">
        <f>IFERROR(VLOOKUP(AO$3,'3 Sanitation'!$E$80:$M$89,9,FALSE),0)</f>
        <v>0</v>
      </c>
      <c r="AP5" s="6">
        <f>IFERROR(VLOOKUP(AP$3,'3 Sanitation'!$E$80:$M$89,9,FALSE),0)</f>
        <v>0</v>
      </c>
      <c r="AQ5" s="6">
        <f>IFERROR(VLOOKUP(AQ$3,'3 Sanitation'!$E$80:$M$89,9,FALSE),0)</f>
        <v>0</v>
      </c>
    </row>
    <row r="6" spans="1:43" x14ac:dyDescent="0.55000000000000004">
      <c r="A6" t="str">
        <f>'2 Customer data'!D59</f>
        <v>Old Age Homes</v>
      </c>
      <c r="B6" s="6">
        <f>'3 Sanitation'!H108</f>
        <v>0</v>
      </c>
      <c r="C6" s="7">
        <f>'3 Sanitation'!H117</f>
        <v>1</v>
      </c>
      <c r="D6" s="6">
        <f>IFERROR(VLOOKUP(D$3,'3 Sanitation'!$E$121:$M$130,3,FALSE),0)</f>
        <v>0</v>
      </c>
      <c r="E6" s="6">
        <f>IFERROR(VLOOKUP(E$3,'3 Sanitation'!$E$121:$M$130,3,FALSE),0)</f>
        <v>0</v>
      </c>
      <c r="F6" s="6">
        <f>IFERROR(VLOOKUP(F$3,'3 Sanitation'!$E$121:$M$130,3,FALSE),0)</f>
        <v>0</v>
      </c>
      <c r="G6" s="6">
        <f>IFERROR(VLOOKUP(G$3,'3 Sanitation'!$E$121:$M$130,3,FALSE),0)</f>
        <v>0</v>
      </c>
      <c r="H6" s="6">
        <f>IFERROR(VLOOKUP(H$3,'3 Sanitation'!$E$121:$M$130,3,FALSE),0)</f>
        <v>0</v>
      </c>
      <c r="I6" s="6">
        <f>IFERROR(VLOOKUP(I$3,'3 Sanitation'!$E$121:$M$130,3,FALSE),0)</f>
        <v>0</v>
      </c>
      <c r="J6" s="6">
        <f>IFERROR(VLOOKUP(J$3,'3 Sanitation'!$E$121:$M$130,3,FALSE),0)</f>
        <v>0</v>
      </c>
      <c r="K6" s="6">
        <f>IFERROR(VLOOKUP(K$3,'3 Sanitation'!$E$121:$M$130,3,FALSE),0)</f>
        <v>0</v>
      </c>
      <c r="L6" s="6">
        <f>IFERROR(VLOOKUP(L$3,'3 Sanitation'!$E$121:$M$130,3,FALSE),0)</f>
        <v>0</v>
      </c>
      <c r="M6" s="6">
        <f>IFERROR(VLOOKUP(M$3,'3 Sanitation'!$E$121:$M$130,3,FALSE),0)</f>
        <v>0</v>
      </c>
      <c r="N6" s="6">
        <f>IFERROR(VLOOKUP(N$3,'3 Sanitation'!$E$121:$M$130,4,FALSE),0)</f>
        <v>0</v>
      </c>
      <c r="O6" s="6">
        <f>IFERROR(VLOOKUP(O$3,'3 Sanitation'!$E$121:$M$130,4,FALSE),0)</f>
        <v>0</v>
      </c>
      <c r="P6" s="6">
        <f>IFERROR(VLOOKUP(P$3,'3 Sanitation'!$E$121:$M$130,4,FALSE),0)</f>
        <v>0</v>
      </c>
      <c r="Q6" s="6">
        <f>IFERROR(VLOOKUP(Q$3,'3 Sanitation'!$E$121:$M$130,4,FALSE),0)</f>
        <v>0</v>
      </c>
      <c r="R6" s="6">
        <f>IFERROR(VLOOKUP(R$3,'3 Sanitation'!$E$121:$M$130,4,FALSE),0)</f>
        <v>0</v>
      </c>
      <c r="S6" s="6">
        <f>IFERROR(VLOOKUP(S$3,'3 Sanitation'!$E$121:$M$130,4,FALSE),0)</f>
        <v>0</v>
      </c>
      <c r="T6" s="6">
        <f>IFERROR(VLOOKUP(T$3,'3 Sanitation'!$E$121:$M$130,4,FALSE),0)</f>
        <v>0</v>
      </c>
      <c r="U6" s="6">
        <f>IFERROR(VLOOKUP(U$3,'3 Sanitation'!$E$121:$M$130,4,FALSE),0)</f>
        <v>0</v>
      </c>
      <c r="V6" s="6">
        <f>IFERROR(VLOOKUP(V$3,'3 Sanitation'!$E$121:$M$130,4,FALSE),0)</f>
        <v>0</v>
      </c>
      <c r="W6" s="6">
        <f>IFERROR(VLOOKUP(W$3,'3 Sanitation'!$E$121:$M$130,4,FALSE),0)</f>
        <v>0</v>
      </c>
      <c r="X6" s="6">
        <f ca="1">IFERROR(VLOOKUP(X$3,'3 Sanitation'!$E$121:$M$130,8,FALSE),0)</f>
        <v>7.0166244547471166</v>
      </c>
      <c r="Y6" s="6">
        <f>IFERROR(VLOOKUP(Y$3,'3 Sanitation'!$E$121:$M$130,8,FALSE),0)</f>
        <v>0</v>
      </c>
      <c r="Z6" s="6">
        <f>IFERROR(VLOOKUP(Z$3,'3 Sanitation'!$E$121:$M$130,8,FALSE),0)</f>
        <v>0</v>
      </c>
      <c r="AA6" s="6">
        <f>IFERROR(VLOOKUP(AA$3,'3 Sanitation'!$E$121:$M$130,8,FALSE),0)</f>
        <v>0</v>
      </c>
      <c r="AB6" s="6">
        <f>IFERROR(VLOOKUP(AB$3,'3 Sanitation'!$E$121:$M$130,8,FALSE),0)</f>
        <v>0</v>
      </c>
      <c r="AC6" s="6">
        <f>IFERROR(VLOOKUP(AC$3,'3 Sanitation'!$E$121:$M$130,8,FALSE),0)</f>
        <v>0</v>
      </c>
      <c r="AD6" s="6">
        <f>IFERROR(VLOOKUP(AD$3,'3 Sanitation'!$E$121:$M$130,8,FALSE),0)</f>
        <v>0</v>
      </c>
      <c r="AE6" s="6">
        <f>IFERROR(VLOOKUP(AE$3,'3 Sanitation'!$E$121:$M$130,8,FALSE),0)</f>
        <v>0</v>
      </c>
      <c r="AF6" s="6">
        <f>IFERROR(VLOOKUP(AF$3,'3 Sanitation'!$E$121:$M$130,8,FALSE),0)</f>
        <v>0</v>
      </c>
      <c r="AG6" s="6">
        <f>IFERROR(VLOOKUP(AG$3,'3 Sanitation'!$E$121:$M$130,8,FALSE),0)</f>
        <v>0</v>
      </c>
      <c r="AH6" s="6">
        <f ca="1">IFERROR(VLOOKUP(AH$3,'3 Sanitation'!$E$121:$M$130,9,FALSE),0)</f>
        <v>4.9116371183229814</v>
      </c>
      <c r="AI6" s="6">
        <f>IFERROR(VLOOKUP(AI$3,'3 Sanitation'!$E$121:$M$130,9,FALSE),0)</f>
        <v>0</v>
      </c>
      <c r="AJ6" s="6">
        <f>IFERROR(VLOOKUP(AJ$3,'3 Sanitation'!$E$121:$M$130,9,FALSE),0)</f>
        <v>0</v>
      </c>
      <c r="AK6" s="6">
        <f>IFERROR(VLOOKUP(AK$3,'3 Sanitation'!$E$121:$M$130,9,FALSE),0)</f>
        <v>0</v>
      </c>
      <c r="AL6" s="6">
        <f>IFERROR(VLOOKUP(AL$3,'3 Sanitation'!$E$121:$M$130,9,FALSE),0)</f>
        <v>0</v>
      </c>
      <c r="AM6" s="6">
        <f>IFERROR(VLOOKUP(AM$3,'3 Sanitation'!$E$121:$M$130,9,FALSE),0)</f>
        <v>0</v>
      </c>
      <c r="AN6" s="6">
        <f>IFERROR(VLOOKUP(AN$3,'3 Sanitation'!$E$121:$M$130,9,FALSE),0)</f>
        <v>0</v>
      </c>
      <c r="AO6" s="6">
        <f>IFERROR(VLOOKUP(AO$3,'3 Sanitation'!$E$121:$M$130,9,FALSE),0)</f>
        <v>0</v>
      </c>
      <c r="AP6" s="6">
        <f>IFERROR(VLOOKUP(AP$3,'3 Sanitation'!$E$121:$M$130,9,FALSE),0)</f>
        <v>0</v>
      </c>
      <c r="AQ6" s="6">
        <f>IFERROR(VLOOKUP(AQ$3,'3 Sanitation'!$E$121:$M$130,9,FALSE),0)</f>
        <v>0</v>
      </c>
    </row>
    <row r="7" spans="1:43" x14ac:dyDescent="0.55000000000000004">
      <c r="A7" t="str">
        <f>'2 Customer data'!D60</f>
        <v>Safe Houses</v>
      </c>
      <c r="B7" s="6">
        <f>'3 Sanitation'!H149</f>
        <v>0</v>
      </c>
      <c r="C7" s="7">
        <f>'3 Sanitation'!H158</f>
        <v>1</v>
      </c>
      <c r="D7" s="6">
        <f>IFERROR(VLOOKUP(D$3,'3 Sanitation'!$E$162:$M$171,3,FALSE),0)</f>
        <v>0</v>
      </c>
      <c r="E7" s="6">
        <f>IFERROR(VLOOKUP(E$3,'3 Sanitation'!$E$162:$M$171,3,FALSE),0)</f>
        <v>0</v>
      </c>
      <c r="F7" s="6">
        <f>IFERROR(VLOOKUP(F$3,'3 Sanitation'!$E$162:$M$171,3,FALSE),0)</f>
        <v>0</v>
      </c>
      <c r="G7" s="6">
        <f>IFERROR(VLOOKUP(G$3,'3 Sanitation'!$E$162:$M$171,3,FALSE),0)</f>
        <v>0</v>
      </c>
      <c r="H7" s="6">
        <f>IFERROR(VLOOKUP(H$3,'3 Sanitation'!$E$162:$M$171,3,FALSE),0)</f>
        <v>0</v>
      </c>
      <c r="I7" s="6">
        <f>IFERROR(VLOOKUP(I$3,'3 Sanitation'!$E$162:$M$171,3,FALSE),0)</f>
        <v>0</v>
      </c>
      <c r="J7" s="6">
        <f>IFERROR(VLOOKUP(J$3,'3 Sanitation'!$E$162:$M$171,3,FALSE),0)</f>
        <v>0</v>
      </c>
      <c r="K7" s="6">
        <f>IFERROR(VLOOKUP(K$3,'3 Sanitation'!$E$162:$M$171,3,FALSE),0)</f>
        <v>0</v>
      </c>
      <c r="L7" s="6">
        <f>IFERROR(VLOOKUP(L$3,'3 Sanitation'!$E$162:$M$171,3,FALSE),0)</f>
        <v>0</v>
      </c>
      <c r="M7" s="6">
        <f>IFERROR(VLOOKUP(M$3,'3 Sanitation'!$E$162:$M$171,3,FALSE),0)</f>
        <v>0</v>
      </c>
      <c r="N7" s="6">
        <f>IFERROR(VLOOKUP(N$3,'3 Sanitation'!$E$162:$M$171,4,FALSE),0)</f>
        <v>0</v>
      </c>
      <c r="O7" s="6">
        <f>IFERROR(VLOOKUP(O$3,'3 Sanitation'!$E$162:$M$171,4,FALSE),0)</f>
        <v>0</v>
      </c>
      <c r="P7" s="6">
        <f>IFERROR(VLOOKUP(P$3,'3 Sanitation'!$E$162:$M$171,4,FALSE),0)</f>
        <v>0</v>
      </c>
      <c r="Q7" s="6">
        <f>IFERROR(VLOOKUP(Q$3,'3 Sanitation'!$E$162:$M$171,4,FALSE),0)</f>
        <v>0</v>
      </c>
      <c r="R7" s="6">
        <f>IFERROR(VLOOKUP(R$3,'3 Sanitation'!$E$162:$M$171,4,FALSE),0)</f>
        <v>0</v>
      </c>
      <c r="S7" s="6">
        <f>IFERROR(VLOOKUP(S$3,'3 Sanitation'!$E$162:$M$171,4,FALSE),0)</f>
        <v>0</v>
      </c>
      <c r="T7" s="6">
        <f>IFERROR(VLOOKUP(T$3,'3 Sanitation'!$E$162:$M$171,4,FALSE),0)</f>
        <v>0</v>
      </c>
      <c r="U7" s="6">
        <f>IFERROR(VLOOKUP(U$3,'3 Sanitation'!$E$162:$M$171,4,FALSE),0)</f>
        <v>0</v>
      </c>
      <c r="V7" s="6">
        <f>IFERROR(VLOOKUP(V$3,'3 Sanitation'!$E$162:$M$171,4,FALSE),0)</f>
        <v>0</v>
      </c>
      <c r="W7" s="6">
        <f>IFERROR(VLOOKUP(W$3,'3 Sanitation'!$E$162:$M$171,4,FALSE),0)</f>
        <v>0</v>
      </c>
      <c r="X7" s="6">
        <f ca="1">IFERROR(VLOOKUP(X$3,'3 Sanitation'!$E$162:$M$171,8,FALSE),0)</f>
        <v>6.1318366490697764</v>
      </c>
      <c r="Y7" s="6">
        <f>IFERROR(VLOOKUP(Y$3,'3 Sanitation'!$E$162:$M$171,8,FALSE),0)</f>
        <v>0</v>
      </c>
      <c r="Z7" s="6">
        <f>IFERROR(VLOOKUP(Z$3,'3 Sanitation'!$E$162:$M$171,8,FALSE),0)</f>
        <v>0</v>
      </c>
      <c r="AA7" s="6">
        <f>IFERROR(VLOOKUP(AA$3,'3 Sanitation'!$E$162:$M$171,8,FALSE),0)</f>
        <v>0</v>
      </c>
      <c r="AB7" s="6">
        <f>IFERROR(VLOOKUP(AB$3,'3 Sanitation'!$E$162:$M$171,8,FALSE),0)</f>
        <v>0</v>
      </c>
      <c r="AC7" s="6">
        <f>IFERROR(VLOOKUP(AC$3,'3 Sanitation'!$E$162:$M$171,8,FALSE),0)</f>
        <v>0</v>
      </c>
      <c r="AD7" s="6">
        <f>IFERROR(VLOOKUP(AD$3,'3 Sanitation'!$E$162:$M$171,8,FALSE),0)</f>
        <v>0</v>
      </c>
      <c r="AE7" s="6">
        <f>IFERROR(VLOOKUP(AE$3,'3 Sanitation'!$E$162:$M$171,8,FALSE),0)</f>
        <v>0</v>
      </c>
      <c r="AF7" s="6">
        <f>IFERROR(VLOOKUP(AF$3,'3 Sanitation'!$E$162:$M$171,8,FALSE),0)</f>
        <v>0</v>
      </c>
      <c r="AG7" s="6">
        <f>IFERROR(VLOOKUP(AG$3,'3 Sanitation'!$E$162:$M$171,8,FALSE),0)</f>
        <v>0</v>
      </c>
      <c r="AH7" s="6">
        <f ca="1">IFERROR(VLOOKUP(AH$3,'3 Sanitation'!$E$162:$M$171,9,FALSE),0)</f>
        <v>4.2922856543488432</v>
      </c>
      <c r="AI7" s="6">
        <f>IFERROR(VLOOKUP(AI$3,'3 Sanitation'!$E$162:$M$171,9,FALSE),0)</f>
        <v>0</v>
      </c>
      <c r="AJ7" s="6">
        <f>IFERROR(VLOOKUP(AJ$3,'3 Sanitation'!$E$162:$M$171,9,FALSE),0)</f>
        <v>0</v>
      </c>
      <c r="AK7" s="6">
        <f>IFERROR(VLOOKUP(AK$3,'3 Sanitation'!$E$162:$M$171,9,FALSE),0)</f>
        <v>0</v>
      </c>
      <c r="AL7" s="6">
        <f>IFERROR(VLOOKUP(AL$3,'3 Sanitation'!$E$162:$M$171,9,FALSE),0)</f>
        <v>0</v>
      </c>
      <c r="AM7" s="6">
        <f>IFERROR(VLOOKUP(AM$3,'3 Sanitation'!$E$162:$M$171,9,FALSE),0)</f>
        <v>0</v>
      </c>
      <c r="AN7" s="6">
        <f>IFERROR(VLOOKUP(AN$3,'3 Sanitation'!$E$162:$M$171,9,FALSE),0)</f>
        <v>0</v>
      </c>
      <c r="AO7" s="6">
        <f>IFERROR(VLOOKUP(AO$3,'3 Sanitation'!$E$162:$M$171,9,FALSE),0)</f>
        <v>0</v>
      </c>
      <c r="AP7" s="6">
        <f>IFERROR(VLOOKUP(AP$3,'3 Sanitation'!$E$162:$M$171,9,FALSE),0)</f>
        <v>0</v>
      </c>
      <c r="AQ7" s="6">
        <f>IFERROR(VLOOKUP(AQ$3,'3 Sanitation'!$E$162:$M$171,9,FALSE),0)</f>
        <v>0</v>
      </c>
    </row>
    <row r="8" spans="1:43" x14ac:dyDescent="0.55000000000000004">
      <c r="A8" t="str">
        <f>'2 Customer data'!D61</f>
        <v>Schools</v>
      </c>
      <c r="B8" s="2">
        <f>'3 Sanitation'!H190</f>
        <v>0</v>
      </c>
      <c r="C8" s="4">
        <f>'3 Sanitation'!H199</f>
        <v>1</v>
      </c>
      <c r="D8" s="2">
        <f>IFERROR(VLOOKUP(D$3,'3 Sanitation'!$E$203:$M$212,3,FALSE),0)</f>
        <v>0</v>
      </c>
      <c r="E8" s="2">
        <f>IFERROR(VLOOKUP(E$3,'3 Sanitation'!$E$203:$M$212,3,FALSE),0)</f>
        <v>0</v>
      </c>
      <c r="F8" s="2">
        <f>IFERROR(VLOOKUP(F$3,'3 Sanitation'!$E$203:$M$212,3,FALSE),0)</f>
        <v>0</v>
      </c>
      <c r="G8" s="2">
        <f>IFERROR(VLOOKUP(G$3,'3 Sanitation'!$E$203:$M$212,3,FALSE),0)</f>
        <v>0</v>
      </c>
      <c r="H8" s="2">
        <f>IFERROR(VLOOKUP(H$3,'3 Sanitation'!$E$203:$M$212,3,FALSE),0)</f>
        <v>0</v>
      </c>
      <c r="I8" s="2">
        <f>IFERROR(VLOOKUP(I$3,'3 Sanitation'!$E$203:$M$212,3,FALSE),0)</f>
        <v>0</v>
      </c>
      <c r="J8" s="2">
        <f>IFERROR(VLOOKUP(J$3,'3 Sanitation'!$E$203:$M$212,3,FALSE),0)</f>
        <v>0</v>
      </c>
      <c r="K8" s="2">
        <f>IFERROR(VLOOKUP(K$3,'3 Sanitation'!$E$203:$M$212,3,FALSE),0)</f>
        <v>0</v>
      </c>
      <c r="L8" s="2">
        <f>IFERROR(VLOOKUP(L$3,'3 Sanitation'!$E$203:$M$212,3,FALSE),0)</f>
        <v>0</v>
      </c>
      <c r="M8" s="2">
        <f>IFERROR(VLOOKUP(M$3,'3 Sanitation'!$E$203:$M$212,3,FALSE),0)</f>
        <v>0</v>
      </c>
      <c r="N8" s="2">
        <f>IFERROR(VLOOKUP(N$3,'3 Sanitation'!$E$203:$M$212,4,FALSE),0)</f>
        <v>0</v>
      </c>
      <c r="O8" s="2">
        <f>IFERROR(VLOOKUP(O$3,'3 Sanitation'!$E$203:$M$212,4,FALSE),0)</f>
        <v>0</v>
      </c>
      <c r="P8" s="2">
        <f>IFERROR(VLOOKUP(P$3,'3 Sanitation'!$E$203:$M$212,4,FALSE),0)</f>
        <v>0</v>
      </c>
      <c r="Q8" s="2">
        <f>IFERROR(VLOOKUP(Q$3,'3 Sanitation'!$E$203:$M$212,4,FALSE),0)</f>
        <v>0</v>
      </c>
      <c r="R8" s="2">
        <f>IFERROR(VLOOKUP(R$3,'3 Sanitation'!$E$203:$M$212,4,FALSE),0)</f>
        <v>0</v>
      </c>
      <c r="S8" s="2">
        <f>IFERROR(VLOOKUP(S$3,'3 Sanitation'!$E$203:$M$212,4,FALSE),0)</f>
        <v>0</v>
      </c>
      <c r="T8" s="2">
        <f>IFERROR(VLOOKUP(T$3,'3 Sanitation'!$E$203:$M$212,4,FALSE),0)</f>
        <v>0</v>
      </c>
      <c r="U8" s="2">
        <f>IFERROR(VLOOKUP(U$3,'3 Sanitation'!$E$203:$M$212,4,FALSE),0)</f>
        <v>0</v>
      </c>
      <c r="V8" s="2">
        <f>IFERROR(VLOOKUP(V$3,'3 Sanitation'!$E$203:$M$212,4,FALSE),0)</f>
        <v>0</v>
      </c>
      <c r="W8" s="2">
        <f>IFERROR(VLOOKUP(W$3,'3 Sanitation'!$E$203:$M$212,4,FALSE),0)</f>
        <v>0</v>
      </c>
      <c r="X8" s="2">
        <f ca="1">IFERROR(VLOOKUP(X$3,'3 Sanitation'!$E$203:$M$212,8,FALSE),0)</f>
        <v>7.7084806660357916</v>
      </c>
      <c r="Y8" s="2">
        <f>IFERROR(VLOOKUP(Y$3,'3 Sanitation'!$E$203:$M$212,8,FALSE),0)</f>
        <v>0</v>
      </c>
      <c r="Z8" s="2">
        <f>IFERROR(VLOOKUP(Z$3,'3 Sanitation'!$E$203:$M$212,8,FALSE),0)</f>
        <v>0</v>
      </c>
      <c r="AA8" s="2">
        <f>IFERROR(VLOOKUP(AA$3,'3 Sanitation'!$E$203:$M$212,8,FALSE),0)</f>
        <v>0</v>
      </c>
      <c r="AB8" s="2">
        <f>IFERROR(VLOOKUP(AB$3,'3 Sanitation'!$E$203:$M$212,8,FALSE),0)</f>
        <v>0</v>
      </c>
      <c r="AC8" s="2">
        <f>IFERROR(VLOOKUP(AC$3,'3 Sanitation'!$E$203:$M$212,8,FALSE),0)</f>
        <v>0</v>
      </c>
      <c r="AD8" s="2">
        <f>IFERROR(VLOOKUP(AD$3,'3 Sanitation'!$E$203:$M$212,8,FALSE),0)</f>
        <v>0</v>
      </c>
      <c r="AE8" s="2">
        <f>IFERROR(VLOOKUP(AE$3,'3 Sanitation'!$E$203:$M$212,8,FALSE),0)</f>
        <v>0</v>
      </c>
      <c r="AF8" s="2">
        <f>IFERROR(VLOOKUP(AF$3,'3 Sanitation'!$E$203:$M$212,8,FALSE),0)</f>
        <v>0</v>
      </c>
      <c r="AG8" s="2">
        <f>IFERROR(VLOOKUP(AG$3,'3 Sanitation'!$E$203:$M$212,8,FALSE),0)</f>
        <v>0</v>
      </c>
      <c r="AH8" s="2">
        <f ca="1">IFERROR(VLOOKUP(AH$3,'3 Sanitation'!$E$203:$M$212,9,FALSE),0)</f>
        <v>5.395936466225054</v>
      </c>
      <c r="AI8" s="2">
        <f>IFERROR(VLOOKUP(AI$3,'3 Sanitation'!$E$203:$M$212,9,FALSE),0)</f>
        <v>0</v>
      </c>
      <c r="AJ8" s="2">
        <f>IFERROR(VLOOKUP(AJ$3,'3 Sanitation'!$E$203:$M$212,9,FALSE),0)</f>
        <v>0</v>
      </c>
      <c r="AK8" s="2">
        <f>IFERROR(VLOOKUP(AK$3,'3 Sanitation'!$E$203:$M$212,9,FALSE),0)</f>
        <v>0</v>
      </c>
      <c r="AL8" s="2">
        <f>IFERROR(VLOOKUP(AL$3,'3 Sanitation'!$E$203:$M$212,9,FALSE),0)</f>
        <v>0</v>
      </c>
      <c r="AM8" s="2">
        <f>IFERROR(VLOOKUP(AM$3,'3 Sanitation'!$E$203:$M$212,9,FALSE),0)</f>
        <v>0</v>
      </c>
      <c r="AN8" s="2">
        <f>IFERROR(VLOOKUP(AN$3,'3 Sanitation'!$E$203:$M$212,9,FALSE),0)</f>
        <v>0</v>
      </c>
      <c r="AO8" s="2">
        <f>IFERROR(VLOOKUP(AO$3,'3 Sanitation'!$E$203:$M$212,9,FALSE),0)</f>
        <v>0</v>
      </c>
      <c r="AP8" s="2">
        <f>IFERROR(VLOOKUP(AP$3,'3 Sanitation'!$E$203:$M$212,9,FALSE),0)</f>
        <v>0</v>
      </c>
      <c r="AQ8" s="2">
        <f>IFERROR(VLOOKUP(AQ$3,'3 Sanitation'!$E$203:$M$212,9,FALSE),0)</f>
        <v>0</v>
      </c>
    </row>
    <row r="9" spans="1:43" x14ac:dyDescent="0.55000000000000004">
      <c r="A9" t="str">
        <f>'2 Customer data'!D62</f>
        <v>Government</v>
      </c>
      <c r="B9" s="2">
        <f>'3 Sanitation'!H231</f>
        <v>0</v>
      </c>
      <c r="C9" s="4">
        <f>'3 Sanitation'!H240</f>
        <v>1</v>
      </c>
      <c r="D9" s="2">
        <f>IFERROR(VLOOKUP(D$3,'3 Sanitation'!$E$244:$M$253,3,FALSE),0)</f>
        <v>0</v>
      </c>
      <c r="E9" s="2">
        <f>IFERROR(VLOOKUP(E$3,'3 Sanitation'!$E$244:$M$253,3,FALSE),0)</f>
        <v>0</v>
      </c>
      <c r="F9" s="2">
        <f>IFERROR(VLOOKUP(F$3,'3 Sanitation'!$E$244:$M$253,3,FALSE),0)</f>
        <v>0</v>
      </c>
      <c r="G9" s="2">
        <f>IFERROR(VLOOKUP(G$3,'3 Sanitation'!$E$244:$M$253,3,FALSE),0)</f>
        <v>0</v>
      </c>
      <c r="H9" s="2">
        <f>IFERROR(VLOOKUP(H$3,'3 Sanitation'!$E$244:$M$253,3,FALSE),0)</f>
        <v>0</v>
      </c>
      <c r="I9" s="2">
        <f>IFERROR(VLOOKUP(I$3,'3 Sanitation'!$E$244:$M$253,3,FALSE),0)</f>
        <v>0</v>
      </c>
      <c r="J9" s="2">
        <f>IFERROR(VLOOKUP(J$3,'3 Sanitation'!$E$244:$M$253,3,FALSE),0)</f>
        <v>0</v>
      </c>
      <c r="K9" s="2">
        <f>IFERROR(VLOOKUP(K$3,'3 Sanitation'!$E$244:$M$253,3,FALSE),0)</f>
        <v>0</v>
      </c>
      <c r="L9" s="2">
        <f>IFERROR(VLOOKUP(L$3,'3 Sanitation'!$E$244:$M$253,3,FALSE),0)</f>
        <v>0</v>
      </c>
      <c r="M9" s="2">
        <f>IFERROR(VLOOKUP(M$3,'3 Sanitation'!$E$244:$M$253,3,FALSE),0)</f>
        <v>0</v>
      </c>
      <c r="N9" s="2">
        <f>IFERROR(VLOOKUP(N$3,'3 Sanitation'!$E$244:$M$253,4,FALSE),0)</f>
        <v>0</v>
      </c>
      <c r="O9" s="2">
        <f>IFERROR(VLOOKUP(O$3,'3 Sanitation'!$E$244:$M$253,4,FALSE),0)</f>
        <v>0</v>
      </c>
      <c r="P9" s="2">
        <f>IFERROR(VLOOKUP(P$3,'3 Sanitation'!$E$244:$M$253,4,FALSE),0)</f>
        <v>0</v>
      </c>
      <c r="Q9" s="2">
        <f>IFERROR(VLOOKUP(Q$3,'3 Sanitation'!$E$244:$M$253,4,FALSE),0)</f>
        <v>0</v>
      </c>
      <c r="R9" s="2">
        <f>IFERROR(VLOOKUP(R$3,'3 Sanitation'!$E$244:$M$253,4,FALSE),0)</f>
        <v>0</v>
      </c>
      <c r="S9" s="2">
        <f>IFERROR(VLOOKUP(S$3,'3 Sanitation'!$E$244:$M$253,4,FALSE),0)</f>
        <v>0</v>
      </c>
      <c r="T9" s="2">
        <f>IFERROR(VLOOKUP(T$3,'3 Sanitation'!$E$244:$M$253,4,FALSE),0)</f>
        <v>0</v>
      </c>
      <c r="U9" s="2">
        <f>IFERROR(VLOOKUP(U$3,'3 Sanitation'!$E$244:$M$253,4,FALSE),0)</f>
        <v>0</v>
      </c>
      <c r="V9" s="2">
        <f>IFERROR(VLOOKUP(V$3,'3 Sanitation'!$E$244:$M$253,4,FALSE),0)</f>
        <v>0</v>
      </c>
      <c r="W9" s="2">
        <f>IFERROR(VLOOKUP(W$3,'3 Sanitation'!$E$244:$M$253,4,FALSE),0)</f>
        <v>0</v>
      </c>
      <c r="X9" s="2">
        <f ca="1">IFERROR(VLOOKUP(X$3,'3 Sanitation'!$E$244:$M$253,8,FALSE),0)</f>
        <v>0</v>
      </c>
      <c r="Y9" s="2">
        <f>IFERROR(VLOOKUP(Y$3,'3 Sanitation'!$E$244:$M$253,8,FALSE),0)</f>
        <v>0</v>
      </c>
      <c r="Z9" s="2">
        <f>IFERROR(VLOOKUP(Z$3,'3 Sanitation'!$E$244:$M$253,8,FALSE),0)</f>
        <v>0</v>
      </c>
      <c r="AA9" s="2">
        <f>IFERROR(VLOOKUP(AA$3,'3 Sanitation'!$E$244:$M$253,8,FALSE),0)</f>
        <v>0</v>
      </c>
      <c r="AB9" s="2">
        <f>IFERROR(VLOOKUP(AB$3,'3 Sanitation'!$E$244:$M$253,8,FALSE),0)</f>
        <v>0</v>
      </c>
      <c r="AC9" s="2">
        <f>IFERROR(VLOOKUP(AC$3,'3 Sanitation'!$E$244:$M$253,8,FALSE),0)</f>
        <v>0</v>
      </c>
      <c r="AD9" s="2">
        <f>IFERROR(VLOOKUP(AD$3,'3 Sanitation'!$E$244:$M$253,8,FALSE),0)</f>
        <v>0</v>
      </c>
      <c r="AE9" s="2">
        <f>IFERROR(VLOOKUP(AE$3,'3 Sanitation'!$E$244:$M$253,8,FALSE),0)</f>
        <v>0</v>
      </c>
      <c r="AF9" s="2">
        <f>IFERROR(VLOOKUP(AF$3,'3 Sanitation'!$E$244:$M$253,8,FALSE),0)</f>
        <v>0</v>
      </c>
      <c r="AG9" s="2">
        <f>IFERROR(VLOOKUP(AG$3,'3 Sanitation'!$E$244:$M$253,8,FALSE),0)</f>
        <v>0</v>
      </c>
      <c r="AH9" s="2">
        <f ca="1">IFERROR(VLOOKUP(AH$3,'3 Sanitation'!$E$244:$M$253,9,FALSE),0)</f>
        <v>0</v>
      </c>
      <c r="AI9" s="2">
        <f>IFERROR(VLOOKUP(AI$3,'3 Sanitation'!$E$244:$M$253,9,FALSE),0)</f>
        <v>0</v>
      </c>
      <c r="AJ9" s="2">
        <f>IFERROR(VLOOKUP(AJ$3,'3 Sanitation'!$E$244:$M$253,9,FALSE),0)</f>
        <v>0</v>
      </c>
      <c r="AK9" s="2">
        <f>IFERROR(VLOOKUP(AK$3,'3 Sanitation'!$E$244:$M$253,9,FALSE),0)</f>
        <v>0</v>
      </c>
      <c r="AL9" s="2">
        <f>IFERROR(VLOOKUP(AL$3,'3 Sanitation'!$E$244:$M$253,9,FALSE),0)</f>
        <v>0</v>
      </c>
      <c r="AM9" s="2">
        <f>IFERROR(VLOOKUP(AM$3,'3 Sanitation'!$E$244:$M$253,9,FALSE),0)</f>
        <v>0</v>
      </c>
      <c r="AN9" s="2">
        <f>IFERROR(VLOOKUP(AN$3,'3 Sanitation'!$E$244:$M$253,9,FALSE),0)</f>
        <v>0</v>
      </c>
      <c r="AO9" s="2">
        <f>IFERROR(VLOOKUP(AO$3,'3 Sanitation'!$E$244:$M$253,9,FALSE),0)</f>
        <v>0</v>
      </c>
      <c r="AP9" s="2">
        <f>IFERROR(VLOOKUP(AP$3,'3 Sanitation'!$E$244:$M$253,9,FALSE),0)</f>
        <v>0</v>
      </c>
      <c r="AQ9" s="2">
        <f>IFERROR(VLOOKUP(AQ$3,'3 Sanitation'!$E$244:$M$253,9,FALSE),0)</f>
        <v>0</v>
      </c>
    </row>
    <row r="10" spans="1:43" x14ac:dyDescent="0.55000000000000004">
      <c r="A10" t="str">
        <f>'2 Customer data'!D63</f>
        <v>Sport Clubs</v>
      </c>
      <c r="B10" s="2">
        <f>'3 Sanitation'!H272</f>
        <v>0</v>
      </c>
      <c r="C10" s="4">
        <f>'3 Sanitation'!H281</f>
        <v>1</v>
      </c>
      <c r="D10" s="2">
        <f>IFERROR(VLOOKUP(D$3,'3 Sanitation'!$E$285:$M$294,3,FALSE),0)</f>
        <v>0</v>
      </c>
      <c r="E10" s="2">
        <f>IFERROR(VLOOKUP(E$3,'3 Sanitation'!$E$285:$M$294,3,FALSE),0)</f>
        <v>0</v>
      </c>
      <c r="F10" s="2">
        <f>IFERROR(VLOOKUP(F$3,'3 Sanitation'!$E$285:$M$294,3,FALSE),0)</f>
        <v>0</v>
      </c>
      <c r="G10" s="2">
        <f>IFERROR(VLOOKUP(G$3,'3 Sanitation'!$E$285:$M$294,3,FALSE),0)</f>
        <v>0</v>
      </c>
      <c r="H10" s="2">
        <f>IFERROR(VLOOKUP(H$3,'3 Sanitation'!$E$285:$M$294,3,FALSE),0)</f>
        <v>0</v>
      </c>
      <c r="I10" s="2">
        <f>IFERROR(VLOOKUP(I$3,'3 Sanitation'!$E$285:$M$294,3,FALSE),0)</f>
        <v>0</v>
      </c>
      <c r="J10" s="2">
        <f>IFERROR(VLOOKUP(J$3,'3 Sanitation'!$E$285:$M$294,3,FALSE),0)</f>
        <v>0</v>
      </c>
      <c r="K10" s="2">
        <f>IFERROR(VLOOKUP(K$3,'3 Sanitation'!$E$285:$M$294,3,FALSE),0)</f>
        <v>0</v>
      </c>
      <c r="L10" s="2">
        <f>IFERROR(VLOOKUP(L$3,'3 Sanitation'!$E$285:$M$294,3,FALSE),0)</f>
        <v>0</v>
      </c>
      <c r="M10" s="2">
        <f>IFERROR(VLOOKUP(M$3,'3 Sanitation'!$E$285:$M$294,3,FALSE),0)</f>
        <v>0</v>
      </c>
      <c r="N10" s="2">
        <f>IFERROR(VLOOKUP(N$3,'3 Sanitation'!$E$285:$M$294,4,FALSE),0)</f>
        <v>0</v>
      </c>
      <c r="O10" s="2">
        <f>IFERROR(VLOOKUP(O$3,'3 Sanitation'!$E$285:$M$294,4,FALSE),0)</f>
        <v>0</v>
      </c>
      <c r="P10" s="2">
        <f>IFERROR(VLOOKUP(P$3,'3 Sanitation'!$E$285:$M$294,4,FALSE),0)</f>
        <v>0</v>
      </c>
      <c r="Q10" s="2">
        <f>IFERROR(VLOOKUP(Q$3,'3 Sanitation'!$E$285:$M$294,4,FALSE),0)</f>
        <v>0</v>
      </c>
      <c r="R10" s="2">
        <f>IFERROR(VLOOKUP(R$3,'3 Sanitation'!$E$285:$M$294,4,FALSE),0)</f>
        <v>0</v>
      </c>
      <c r="S10" s="2">
        <f>IFERROR(VLOOKUP(S$3,'3 Sanitation'!$E$285:$M$294,4,FALSE),0)</f>
        <v>0</v>
      </c>
      <c r="T10" s="2">
        <f>IFERROR(VLOOKUP(T$3,'3 Sanitation'!$E$285:$M$294,4,FALSE),0)</f>
        <v>0</v>
      </c>
      <c r="U10" s="2">
        <f>IFERROR(VLOOKUP(U$3,'3 Sanitation'!$E$285:$M$294,4,FALSE),0)</f>
        <v>0</v>
      </c>
      <c r="V10" s="2">
        <f>IFERROR(VLOOKUP(V$3,'3 Sanitation'!$E$285:$M$294,4,FALSE),0)</f>
        <v>0</v>
      </c>
      <c r="W10" s="2">
        <f>IFERROR(VLOOKUP(W$3,'3 Sanitation'!$E$285:$M$294,4,FALSE),0)</f>
        <v>0</v>
      </c>
      <c r="X10" s="2">
        <f ca="1">IFERROR(VLOOKUP(X$3,'3 Sanitation'!$E$285:$M$294,8,FALSE),0)</f>
        <v>26.090743424938058</v>
      </c>
      <c r="Y10" s="2">
        <f>IFERROR(VLOOKUP(Y$3,'3 Sanitation'!$E$285:$M$294,8,FALSE),0)</f>
        <v>0</v>
      </c>
      <c r="Z10" s="2">
        <f>IFERROR(VLOOKUP(Z$3,'3 Sanitation'!$E$285:$M$294,8,FALSE),0)</f>
        <v>0</v>
      </c>
      <c r="AA10" s="2">
        <f>IFERROR(VLOOKUP(AA$3,'3 Sanitation'!$E$285:$M$294,8,FALSE),0)</f>
        <v>0</v>
      </c>
      <c r="AB10" s="2">
        <f>IFERROR(VLOOKUP(AB$3,'3 Sanitation'!$E$285:$M$294,8,FALSE),0)</f>
        <v>0</v>
      </c>
      <c r="AC10" s="2">
        <f>IFERROR(VLOOKUP(AC$3,'3 Sanitation'!$E$285:$M$294,8,FALSE),0)</f>
        <v>0</v>
      </c>
      <c r="AD10" s="2">
        <f>IFERROR(VLOOKUP(AD$3,'3 Sanitation'!$E$285:$M$294,8,FALSE),0)</f>
        <v>0</v>
      </c>
      <c r="AE10" s="2">
        <f>IFERROR(VLOOKUP(AE$3,'3 Sanitation'!$E$285:$M$294,8,FALSE),0)</f>
        <v>0</v>
      </c>
      <c r="AF10" s="2">
        <f>IFERROR(VLOOKUP(AF$3,'3 Sanitation'!$E$285:$M$294,8,FALSE),0)</f>
        <v>0</v>
      </c>
      <c r="AG10" s="2">
        <f>IFERROR(VLOOKUP(AG$3,'3 Sanitation'!$E$285:$M$294,8,FALSE),0)</f>
        <v>0</v>
      </c>
      <c r="AH10" s="2">
        <f ca="1">IFERROR(VLOOKUP(AH$3,'3 Sanitation'!$E$285:$M$294,9,FALSE),0)</f>
        <v>18.263520397456642</v>
      </c>
      <c r="AI10" s="2">
        <f>IFERROR(VLOOKUP(AI$3,'3 Sanitation'!$E$285:$M$294,9,FALSE),0)</f>
        <v>0</v>
      </c>
      <c r="AJ10" s="2">
        <f>IFERROR(VLOOKUP(AJ$3,'3 Sanitation'!$E$285:$M$294,9,FALSE),0)</f>
        <v>0</v>
      </c>
      <c r="AK10" s="2">
        <f>IFERROR(VLOOKUP(AK$3,'3 Sanitation'!$E$285:$M$294,9,FALSE),0)</f>
        <v>0</v>
      </c>
      <c r="AL10" s="2">
        <f>IFERROR(VLOOKUP(AL$3,'3 Sanitation'!$E$285:$M$294,9,FALSE),0)</f>
        <v>0</v>
      </c>
      <c r="AM10" s="2">
        <f>IFERROR(VLOOKUP(AM$3,'3 Sanitation'!$E$285:$M$294,9,FALSE),0)</f>
        <v>0</v>
      </c>
      <c r="AN10" s="2">
        <f>IFERROR(VLOOKUP(AN$3,'3 Sanitation'!$E$285:$M$294,9,FALSE),0)</f>
        <v>0</v>
      </c>
      <c r="AO10" s="2">
        <f>IFERROR(VLOOKUP(AO$3,'3 Sanitation'!$E$285:$M$294,9,FALSE),0)</f>
        <v>0</v>
      </c>
      <c r="AP10" s="2">
        <f>IFERROR(VLOOKUP(AP$3,'3 Sanitation'!$E$285:$M$294,9,FALSE),0)</f>
        <v>0</v>
      </c>
      <c r="AQ10" s="2">
        <f>IFERROR(VLOOKUP(AQ$3,'3 Sanitation'!$E$285:$M$294,9,FALSE),0)</f>
        <v>0</v>
      </c>
    </row>
    <row r="11" spans="1:43" x14ac:dyDescent="0.55000000000000004">
      <c r="A11" t="str">
        <f>'2 Customer data'!D64</f>
        <v>Churches</v>
      </c>
      <c r="B11" s="2">
        <f>'3 Sanitation'!H313</f>
        <v>0</v>
      </c>
      <c r="C11" s="4">
        <f>'3 Sanitation'!H322</f>
        <v>1</v>
      </c>
      <c r="D11" s="2">
        <f>IFERROR(VLOOKUP(D$3,'3 Sanitation'!$E$326:$M$335,3,FALSE),0)</f>
        <v>0</v>
      </c>
      <c r="E11" s="2">
        <f>IFERROR(VLOOKUP(E$3,'3 Sanitation'!$E$326:$M$335,3,FALSE),0)</f>
        <v>0</v>
      </c>
      <c r="F11" s="2">
        <f>IFERROR(VLOOKUP(F$3,'3 Sanitation'!$E$326:$M$335,3,FALSE),0)</f>
        <v>0</v>
      </c>
      <c r="G11" s="2">
        <f>IFERROR(VLOOKUP(G$3,'3 Sanitation'!$E$326:$M$335,3,FALSE),0)</f>
        <v>0</v>
      </c>
      <c r="H11" s="2">
        <f>IFERROR(VLOOKUP(H$3,'3 Sanitation'!$E$326:$M$335,3,FALSE),0)</f>
        <v>0</v>
      </c>
      <c r="I11" s="2">
        <f>IFERROR(VLOOKUP(I$3,'3 Sanitation'!$E$326:$M$335,3,FALSE),0)</f>
        <v>0</v>
      </c>
      <c r="J11" s="2">
        <f>IFERROR(VLOOKUP(J$3,'3 Sanitation'!$E$326:$M$335,3,FALSE),0)</f>
        <v>0</v>
      </c>
      <c r="K11" s="2">
        <f>IFERROR(VLOOKUP(K$3,'3 Sanitation'!$E$326:$M$335,3,FALSE),0)</f>
        <v>0</v>
      </c>
      <c r="L11" s="2">
        <f>IFERROR(VLOOKUP(L$3,'3 Sanitation'!$E$326:$M$335,3,FALSE),0)</f>
        <v>0</v>
      </c>
      <c r="M11" s="2">
        <f>IFERROR(VLOOKUP(M$3,'3 Sanitation'!$E$326:$M$335,3,FALSE),0)</f>
        <v>0</v>
      </c>
      <c r="N11" s="2">
        <f>IFERROR(VLOOKUP(N$3,'3 Sanitation'!$E$326:$M$335,4,FALSE),0)</f>
        <v>0</v>
      </c>
      <c r="O11" s="2">
        <f>IFERROR(VLOOKUP(O$3,'3 Sanitation'!$E$326:$M$335,4,FALSE),0)</f>
        <v>0</v>
      </c>
      <c r="P11" s="2">
        <f>IFERROR(VLOOKUP(P$3,'3 Sanitation'!$E$326:$M$335,4,FALSE),0)</f>
        <v>0</v>
      </c>
      <c r="Q11" s="2">
        <f>IFERROR(VLOOKUP(Q$3,'3 Sanitation'!$E$326:$M$335,4,FALSE),0)</f>
        <v>0</v>
      </c>
      <c r="R11" s="2">
        <f>IFERROR(VLOOKUP(R$3,'3 Sanitation'!$E$326:$M$335,4,FALSE),0)</f>
        <v>0</v>
      </c>
      <c r="S11" s="2">
        <f>IFERROR(VLOOKUP(S$3,'3 Sanitation'!$E$326:$M$335,4,FALSE),0)</f>
        <v>0</v>
      </c>
      <c r="T11" s="2">
        <f>IFERROR(VLOOKUP(T$3,'3 Sanitation'!$E$326:$M$335,4,FALSE),0)</f>
        <v>0</v>
      </c>
      <c r="U11" s="2">
        <f>IFERROR(VLOOKUP(U$3,'3 Sanitation'!$E$326:$M$335,4,FALSE),0)</f>
        <v>0</v>
      </c>
      <c r="V11" s="2">
        <f>IFERROR(VLOOKUP(V$3,'3 Sanitation'!$E$326:$M$335,4,FALSE),0)</f>
        <v>0</v>
      </c>
      <c r="W11" s="2">
        <f>IFERROR(VLOOKUP(W$3,'3 Sanitation'!$E$326:$M$335,4,FALSE),0)</f>
        <v>0</v>
      </c>
      <c r="X11" s="2">
        <f ca="1">IFERROR(VLOOKUP(X$3,'3 Sanitation'!$E$326:$M$335,8,FALSE),0)</f>
        <v>0</v>
      </c>
      <c r="Y11" s="2">
        <f>IFERROR(VLOOKUP(Y$3,'3 Sanitation'!$E$326:$M$335,8,FALSE),0)</f>
        <v>0</v>
      </c>
      <c r="Z11" s="2">
        <f>IFERROR(VLOOKUP(Z$3,'3 Sanitation'!$E$326:$M$335,8,FALSE),0)</f>
        <v>0</v>
      </c>
      <c r="AA11" s="2">
        <f>IFERROR(VLOOKUP(AA$3,'3 Sanitation'!$E$326:$M$335,8,FALSE),0)</f>
        <v>0</v>
      </c>
      <c r="AB11" s="2">
        <f>IFERROR(VLOOKUP(AB$3,'3 Sanitation'!$E$326:$M$335,8,FALSE),0)</f>
        <v>0</v>
      </c>
      <c r="AC11" s="2">
        <f>IFERROR(VLOOKUP(AC$3,'3 Sanitation'!$E$326:$M$335,8,FALSE),0)</f>
        <v>0</v>
      </c>
      <c r="AD11" s="2">
        <f>IFERROR(VLOOKUP(AD$3,'3 Sanitation'!$E$326:$M$335,8,FALSE),0)</f>
        <v>0</v>
      </c>
      <c r="AE11" s="2">
        <f>IFERROR(VLOOKUP(AE$3,'3 Sanitation'!$E$326:$M$335,8,FALSE),0)</f>
        <v>0</v>
      </c>
      <c r="AF11" s="2">
        <f>IFERROR(VLOOKUP(AF$3,'3 Sanitation'!$E$326:$M$335,8,FALSE),0)</f>
        <v>0</v>
      </c>
      <c r="AG11" s="2">
        <f>IFERROR(VLOOKUP(AG$3,'3 Sanitation'!$E$326:$M$335,8,FALSE),0)</f>
        <v>0</v>
      </c>
      <c r="AH11" s="2">
        <f ca="1">IFERROR(VLOOKUP(AH$3,'3 Sanitation'!$E$326:$M$335,9,FALSE),0)</f>
        <v>0</v>
      </c>
      <c r="AI11" s="2">
        <f>IFERROR(VLOOKUP(AI$3,'3 Sanitation'!$E$326:$M$335,9,FALSE),0)</f>
        <v>0</v>
      </c>
      <c r="AJ11" s="2">
        <f>IFERROR(VLOOKUP(AJ$3,'3 Sanitation'!$E$326:$M$335,9,FALSE),0)</f>
        <v>0</v>
      </c>
      <c r="AK11" s="2">
        <f>IFERROR(VLOOKUP(AK$3,'3 Sanitation'!$E$326:$M$335,9,FALSE),0)</f>
        <v>0</v>
      </c>
      <c r="AL11" s="2">
        <f>IFERROR(VLOOKUP(AL$3,'3 Sanitation'!$E$326:$M$335,9,FALSE),0)</f>
        <v>0</v>
      </c>
      <c r="AM11" s="2">
        <f>IFERROR(VLOOKUP(AM$3,'3 Sanitation'!$E$326:$M$335,9,FALSE),0)</f>
        <v>0</v>
      </c>
      <c r="AN11" s="2">
        <f>IFERROR(VLOOKUP(AN$3,'3 Sanitation'!$E$326:$M$335,9,FALSE),0)</f>
        <v>0</v>
      </c>
      <c r="AO11" s="2">
        <f>IFERROR(VLOOKUP(AO$3,'3 Sanitation'!$E$326:$M$335,9,FALSE),0)</f>
        <v>0</v>
      </c>
      <c r="AP11" s="2">
        <f>IFERROR(VLOOKUP(AP$3,'3 Sanitation'!$E$326:$M$335,9,FALSE),0)</f>
        <v>0</v>
      </c>
      <c r="AQ11" s="2">
        <f>IFERROR(VLOOKUP(AQ$3,'3 Sanitation'!$E$326:$M$335,9,FALSE),0)</f>
        <v>0</v>
      </c>
    </row>
    <row r="12" spans="1:43" x14ac:dyDescent="0.55000000000000004">
      <c r="A12" t="str">
        <f>'2 Customer data'!D65</f>
        <v>Agricultural</v>
      </c>
      <c r="B12" s="2">
        <f>'3 Sanitation'!H354</f>
        <v>0</v>
      </c>
      <c r="C12" s="4">
        <f>'3 Sanitation'!H363</f>
        <v>1</v>
      </c>
      <c r="D12" s="2">
        <f>IFERROR(VLOOKUP(D$3,'3 Sanitation'!$E$367:$M$376,3,FALSE),0)</f>
        <v>0</v>
      </c>
      <c r="E12" s="2">
        <f>IFERROR(VLOOKUP(E$3,'3 Sanitation'!$E$367:$M$376,3,FALSE),0)</f>
        <v>0</v>
      </c>
      <c r="F12" s="2">
        <f>IFERROR(VLOOKUP(F$3,'3 Sanitation'!$E$367:$M$376,3,FALSE),0)</f>
        <v>0</v>
      </c>
      <c r="G12" s="2">
        <f>IFERROR(VLOOKUP(G$3,'3 Sanitation'!$E$367:$M$376,3,FALSE),0)</f>
        <v>0</v>
      </c>
      <c r="H12" s="2">
        <f>IFERROR(VLOOKUP(H$3,'3 Sanitation'!$E$367:$M$376,3,FALSE),0)</f>
        <v>0</v>
      </c>
      <c r="I12" s="2">
        <f>IFERROR(VLOOKUP(I$3,'3 Sanitation'!$E$367:$M$376,3,FALSE),0)</f>
        <v>0</v>
      </c>
      <c r="J12" s="2">
        <f>IFERROR(VLOOKUP(J$3,'3 Sanitation'!$E$367:$M$376,3,FALSE),0)</f>
        <v>0</v>
      </c>
      <c r="K12" s="2">
        <f>IFERROR(VLOOKUP(K$3,'3 Sanitation'!$E$367:$M$376,3,FALSE),0)</f>
        <v>0</v>
      </c>
      <c r="L12" s="2">
        <f>IFERROR(VLOOKUP(L$3,'3 Sanitation'!$E$367:$M$376,3,FALSE),0)</f>
        <v>0</v>
      </c>
      <c r="M12" s="2">
        <f>IFERROR(VLOOKUP(M$3,'3 Sanitation'!$E$367:$M$376,3,FALSE),0)</f>
        <v>0</v>
      </c>
      <c r="N12" s="2">
        <f>IFERROR(VLOOKUP(N$3,'3 Sanitation'!$E$367:$M$376,4,FALSE),0)</f>
        <v>0</v>
      </c>
      <c r="O12" s="2">
        <f>IFERROR(VLOOKUP(O$3,'3 Sanitation'!$E$367:$M$376,4,FALSE),0)</f>
        <v>0</v>
      </c>
      <c r="P12" s="2">
        <f>IFERROR(VLOOKUP(P$3,'3 Sanitation'!$E$367:$M$376,4,FALSE),0)</f>
        <v>0</v>
      </c>
      <c r="Q12" s="2">
        <f>IFERROR(VLOOKUP(Q$3,'3 Sanitation'!$E$367:$M$376,4,FALSE),0)</f>
        <v>0</v>
      </c>
      <c r="R12" s="2">
        <f>IFERROR(VLOOKUP(R$3,'3 Sanitation'!$E$367:$M$376,4,FALSE),0)</f>
        <v>0</v>
      </c>
      <c r="S12" s="2">
        <f>IFERROR(VLOOKUP(S$3,'3 Sanitation'!$E$367:$M$376,4,FALSE),0)</f>
        <v>0</v>
      </c>
      <c r="T12" s="2">
        <f>IFERROR(VLOOKUP(T$3,'3 Sanitation'!$E$367:$M$376,4,FALSE),0)</f>
        <v>0</v>
      </c>
      <c r="U12" s="2">
        <f>IFERROR(VLOOKUP(U$3,'3 Sanitation'!$E$367:$M$376,4,FALSE),0)</f>
        <v>0</v>
      </c>
      <c r="V12" s="2">
        <f>IFERROR(VLOOKUP(V$3,'3 Sanitation'!$E$367:$M$376,4,FALSE),0)</f>
        <v>0</v>
      </c>
      <c r="W12" s="2">
        <f>IFERROR(VLOOKUP(W$3,'3 Sanitation'!$E$367:$M$376,4,FALSE),0)</f>
        <v>0</v>
      </c>
      <c r="X12" s="2">
        <f ca="1">IFERROR(VLOOKUP(X$3,'3 Sanitation'!$E$367:$M$376,8,FALSE),0)</f>
        <v>25.58610285326596</v>
      </c>
      <c r="Y12" s="2">
        <f>IFERROR(VLOOKUP(Y$3,'3 Sanitation'!$E$367:$M$376,8,FALSE),0)</f>
        <v>0</v>
      </c>
      <c r="Z12" s="2">
        <f>IFERROR(VLOOKUP(Z$3,'3 Sanitation'!$E$367:$M$376,8,FALSE),0)</f>
        <v>0</v>
      </c>
      <c r="AA12" s="2">
        <f>IFERROR(VLOOKUP(AA$3,'3 Sanitation'!$E$367:$M$376,8,FALSE),0)</f>
        <v>0</v>
      </c>
      <c r="AB12" s="2">
        <f>IFERROR(VLOOKUP(AB$3,'3 Sanitation'!$E$367:$M$376,8,FALSE),0)</f>
        <v>0</v>
      </c>
      <c r="AC12" s="2">
        <f>IFERROR(VLOOKUP(AC$3,'3 Sanitation'!$E$367:$M$376,8,FALSE),0)</f>
        <v>0</v>
      </c>
      <c r="AD12" s="2">
        <f>IFERROR(VLOOKUP(AD$3,'3 Sanitation'!$E$367:$M$376,8,FALSE),0)</f>
        <v>0</v>
      </c>
      <c r="AE12" s="2">
        <f>IFERROR(VLOOKUP(AE$3,'3 Sanitation'!$E$367:$M$376,8,FALSE),0)</f>
        <v>0</v>
      </c>
      <c r="AF12" s="2">
        <f>IFERROR(VLOOKUP(AF$3,'3 Sanitation'!$E$367:$M$376,8,FALSE),0)</f>
        <v>0</v>
      </c>
      <c r="AG12" s="2">
        <f>IFERROR(VLOOKUP(AG$3,'3 Sanitation'!$E$367:$M$376,8,FALSE),0)</f>
        <v>0</v>
      </c>
      <c r="AH12" s="2">
        <f ca="1">IFERROR(VLOOKUP(AH$3,'3 Sanitation'!$E$367:$M$376,9,FALSE),0)</f>
        <v>17.91027199728617</v>
      </c>
      <c r="AI12" s="2">
        <f>IFERROR(VLOOKUP(AI$3,'3 Sanitation'!$E$367:$M$376,9,FALSE),0)</f>
        <v>0</v>
      </c>
      <c r="AJ12" s="2">
        <f>IFERROR(VLOOKUP(AJ$3,'3 Sanitation'!$E$367:$M$376,9,FALSE),0)</f>
        <v>0</v>
      </c>
      <c r="AK12" s="2">
        <f>IFERROR(VLOOKUP(AK$3,'3 Sanitation'!$E$367:$M$376,9,FALSE),0)</f>
        <v>0</v>
      </c>
      <c r="AL12" s="2">
        <f>IFERROR(VLOOKUP(AL$3,'3 Sanitation'!$E$367:$M$376,9,FALSE),0)</f>
        <v>0</v>
      </c>
      <c r="AM12" s="2">
        <f>IFERROR(VLOOKUP(AM$3,'3 Sanitation'!$E$367:$M$376,9,FALSE),0)</f>
        <v>0</v>
      </c>
      <c r="AN12" s="2">
        <f>IFERROR(VLOOKUP(AN$3,'3 Sanitation'!$E$367:$M$376,9,FALSE),0)</f>
        <v>0</v>
      </c>
      <c r="AO12" s="2">
        <f>IFERROR(VLOOKUP(AO$3,'3 Sanitation'!$E$367:$M$376,9,FALSE),0)</f>
        <v>0</v>
      </c>
      <c r="AP12" s="2">
        <f>IFERROR(VLOOKUP(AP$3,'3 Sanitation'!$E$367:$M$376,9,FALSE),0)</f>
        <v>0</v>
      </c>
      <c r="AQ12" s="2">
        <f>IFERROR(VLOOKUP(AQ$3,'3 Sanitation'!$E$367:$M$376,9,FALSE),0)</f>
        <v>0</v>
      </c>
    </row>
    <row r="13" spans="1:43" x14ac:dyDescent="0.55000000000000004">
      <c r="A13">
        <f>'2 Customer data'!D66</f>
        <v>0</v>
      </c>
      <c r="B13" s="2">
        <f>'3 Sanitation'!H395</f>
        <v>0</v>
      </c>
      <c r="C13" s="4">
        <f>'3 Sanitation'!H404</f>
        <v>10</v>
      </c>
      <c r="D13" s="2">
        <f>IFERROR(VLOOKUP(D$3,'3 Sanitation'!$E$408:$M$417,3,FALSE),0)</f>
        <v>0</v>
      </c>
      <c r="E13" s="2">
        <f>IFERROR(VLOOKUP(E$3,'3 Sanitation'!$E$408:$M$417,3,FALSE),0)</f>
        <v>0.01</v>
      </c>
      <c r="F13" s="2">
        <f>IFERROR(VLOOKUP(F$3,'3 Sanitation'!$E$408:$M$417,3,FALSE),0)</f>
        <v>0.01</v>
      </c>
      <c r="G13" s="2">
        <f>IFERROR(VLOOKUP(G$3,'3 Sanitation'!$E$408:$M$417,3,FALSE),0)</f>
        <v>0.01</v>
      </c>
      <c r="H13" s="2">
        <f>IFERROR(VLOOKUP(H$3,'3 Sanitation'!$E$408:$M$417,3,FALSE),0)</f>
        <v>0.01</v>
      </c>
      <c r="I13" s="2">
        <f>IFERROR(VLOOKUP(I$3,'3 Sanitation'!$E$408:$M$417,3,FALSE),0)</f>
        <v>0.01</v>
      </c>
      <c r="J13" s="2">
        <f>IFERROR(VLOOKUP(J$3,'3 Sanitation'!$E$408:$M$417,3,FALSE),0)</f>
        <v>0.01</v>
      </c>
      <c r="K13" s="2">
        <f>IFERROR(VLOOKUP(K$3,'3 Sanitation'!$E$408:$M$417,3,FALSE),0)</f>
        <v>0.01</v>
      </c>
      <c r="L13" s="2">
        <f>IFERROR(VLOOKUP(L$3,'3 Sanitation'!$E$408:$M$417,3,FALSE),0)</f>
        <v>0.01</v>
      </c>
      <c r="M13" s="2">
        <f>IFERROR(VLOOKUP(M$3,'3 Sanitation'!$E$408:$M$417,3,FALSE),0)</f>
        <v>0.01</v>
      </c>
      <c r="N13" s="2">
        <f>IFERROR(VLOOKUP(N$3,'3 Sanitation'!$E$408:$M$417,4,FALSE),0)</f>
        <v>0</v>
      </c>
      <c r="O13" s="2">
        <f>IFERROR(VLOOKUP(O$3,'3 Sanitation'!$E$408:$M$417,4,FALSE),0)</f>
        <v>0</v>
      </c>
      <c r="P13" s="2">
        <f>IFERROR(VLOOKUP(P$3,'3 Sanitation'!$E$408:$M$417,4,FALSE),0)</f>
        <v>0</v>
      </c>
      <c r="Q13" s="2">
        <f>IFERROR(VLOOKUP(Q$3,'3 Sanitation'!$E$408:$M$417,4,FALSE),0)</f>
        <v>0</v>
      </c>
      <c r="R13" s="2">
        <f>IFERROR(VLOOKUP(R$3,'3 Sanitation'!$E$408:$M$417,4,FALSE),0)</f>
        <v>0</v>
      </c>
      <c r="S13" s="2">
        <f>IFERROR(VLOOKUP(S$3,'3 Sanitation'!$E$408:$M$417,4,FALSE),0)</f>
        <v>0</v>
      </c>
      <c r="T13" s="2">
        <f>IFERROR(VLOOKUP(T$3,'3 Sanitation'!$E$408:$M$417,4,FALSE),0)</f>
        <v>0</v>
      </c>
      <c r="U13" s="2">
        <f>IFERROR(VLOOKUP(U$3,'3 Sanitation'!$E$408:$M$417,4,FALSE),0)</f>
        <v>0</v>
      </c>
      <c r="V13" s="2">
        <f>IFERROR(VLOOKUP(V$3,'3 Sanitation'!$E$408:$M$417,4,FALSE),0)</f>
        <v>0</v>
      </c>
      <c r="W13" s="2" t="str">
        <f>IFERROR(VLOOKUP(W$3,'3 Sanitation'!$E$408:$M$417,4,FALSE),0)</f>
        <v>More</v>
      </c>
      <c r="X13" s="2">
        <f>IFERROR(VLOOKUP(X$3,'3 Sanitation'!$E$408:$M$417,8,FALSE),0)</f>
        <v>0</v>
      </c>
      <c r="Y13" s="2">
        <f ca="1">IFERROR(VLOOKUP(Y$3,'3 Sanitation'!$E$408:$M$417,8,FALSE),0)</f>
        <v>0</v>
      </c>
      <c r="Z13" s="2">
        <f ca="1">IFERROR(VLOOKUP(Z$3,'3 Sanitation'!$E$408:$M$417,8,FALSE),0)</f>
        <v>0</v>
      </c>
      <c r="AA13" s="2">
        <f ca="1">IFERROR(VLOOKUP(AA$3,'3 Sanitation'!$E$408:$M$417,8,FALSE),0)</f>
        <v>0</v>
      </c>
      <c r="AB13" s="2">
        <f ca="1">IFERROR(VLOOKUP(AB$3,'3 Sanitation'!$E$408:$M$417,8,FALSE),0)</f>
        <v>0</v>
      </c>
      <c r="AC13" s="2">
        <f ca="1">IFERROR(VLOOKUP(AC$3,'3 Sanitation'!$E$408:$M$417,8,FALSE),0)</f>
        <v>0</v>
      </c>
      <c r="AD13" s="2">
        <f ca="1">IFERROR(VLOOKUP(AD$3,'3 Sanitation'!$E$408:$M$417,8,FALSE),0)</f>
        <v>0</v>
      </c>
      <c r="AE13" s="2">
        <f ca="1">IFERROR(VLOOKUP(AE$3,'3 Sanitation'!$E$408:$M$417,8,FALSE),0)</f>
        <v>0</v>
      </c>
      <c r="AF13" s="2">
        <f ca="1">IFERROR(VLOOKUP(AF$3,'3 Sanitation'!$E$408:$M$417,8,FALSE),0)</f>
        <v>0</v>
      </c>
      <c r="AG13" s="2">
        <f ca="1">IFERROR(VLOOKUP(AG$3,'3 Sanitation'!$E$408:$M$417,8,FALSE),0)</f>
        <v>0</v>
      </c>
      <c r="AH13" s="2">
        <f>IFERROR(VLOOKUP(AH$3,'3 Sanitation'!$E$408:$M$417,9,FALSE),0)</f>
        <v>0</v>
      </c>
      <c r="AI13" s="2">
        <f ca="1">IFERROR(VLOOKUP(AI$3,'3 Sanitation'!$E$408:$M$417,9,FALSE),0)</f>
        <v>0</v>
      </c>
      <c r="AJ13" s="2">
        <f ca="1">IFERROR(VLOOKUP(AJ$3,'3 Sanitation'!$E$408:$M$417,9,FALSE),0)</f>
        <v>0</v>
      </c>
      <c r="AK13" s="2">
        <f ca="1">IFERROR(VLOOKUP(AK$3,'3 Sanitation'!$E$408:$M$417,9,FALSE),0)</f>
        <v>0</v>
      </c>
      <c r="AL13" s="2">
        <f ca="1">IFERROR(VLOOKUP(AL$3,'3 Sanitation'!$E$408:$M$417,9,FALSE),0)</f>
        <v>0</v>
      </c>
      <c r="AM13" s="2">
        <f ca="1">IFERROR(VLOOKUP(AM$3,'3 Sanitation'!$E$408:$M$417,9,FALSE),0)</f>
        <v>0</v>
      </c>
      <c r="AN13" s="2">
        <f ca="1">IFERROR(VLOOKUP(AN$3,'3 Sanitation'!$E$408:$M$417,9,FALSE),0)</f>
        <v>0</v>
      </c>
      <c r="AO13" s="2">
        <f ca="1">IFERROR(VLOOKUP(AO$3,'3 Sanitation'!$E$408:$M$417,9,FALSE),0)</f>
        <v>0</v>
      </c>
      <c r="AP13" s="2">
        <f ca="1">IFERROR(VLOOKUP(AP$3,'3 Sanitation'!$E$408:$M$417,9,FALSE),0)</f>
        <v>0</v>
      </c>
      <c r="AQ13" s="2">
        <f ca="1">IFERROR(VLOOKUP(AQ$3,'3 Sanitation'!$E$408:$M$417,9,FALSE),0)</f>
        <v>0</v>
      </c>
    </row>
    <row r="14" spans="1:43" x14ac:dyDescent="0.55000000000000004">
      <c r="A14">
        <f>'2 Customer data'!D67</f>
        <v>0</v>
      </c>
      <c r="B14" s="2">
        <f>'3 Sanitation'!H436</f>
        <v>0</v>
      </c>
      <c r="C14" s="4">
        <f>'3 Sanitation'!H445</f>
        <v>10</v>
      </c>
      <c r="D14" s="2">
        <f>IFERROR(VLOOKUP(D$3,'3 Sanitation'!$E$449:$M$458,3,FALSE),0)</f>
        <v>0</v>
      </c>
      <c r="E14" s="2">
        <f>IFERROR(VLOOKUP(E$3,'3 Sanitation'!$E$449:$M$458,3,FALSE),0)</f>
        <v>0.01</v>
      </c>
      <c r="F14" s="2">
        <f>IFERROR(VLOOKUP(F$3,'3 Sanitation'!$E$449:$M$458,3,FALSE),0)</f>
        <v>0.01</v>
      </c>
      <c r="G14" s="2">
        <f>IFERROR(VLOOKUP(G$3,'3 Sanitation'!$E$449:$M$458,3,FALSE),0)</f>
        <v>0.01</v>
      </c>
      <c r="H14" s="2">
        <f>IFERROR(VLOOKUP(H$3,'3 Sanitation'!$E$449:$M$458,3,FALSE),0)</f>
        <v>0.01</v>
      </c>
      <c r="I14" s="2">
        <f>IFERROR(VLOOKUP(I$3,'3 Sanitation'!$E$449:$M$458,3,FALSE),0)</f>
        <v>0.01</v>
      </c>
      <c r="J14" s="2">
        <f>IFERROR(VLOOKUP(J$3,'3 Sanitation'!$E$449:$M$458,3,FALSE),0)</f>
        <v>0.01</v>
      </c>
      <c r="K14" s="2">
        <f>IFERROR(VLOOKUP(K$3,'3 Sanitation'!$E$449:$M$458,3,FALSE),0)</f>
        <v>0.01</v>
      </c>
      <c r="L14" s="2">
        <f>IFERROR(VLOOKUP(L$3,'3 Sanitation'!$E$449:$M$458,3,FALSE),0)</f>
        <v>0.01</v>
      </c>
      <c r="M14" s="2">
        <f>IFERROR(VLOOKUP(M$3,'3 Sanitation'!$E$449:$M$458,3,FALSE),0)</f>
        <v>0.01</v>
      </c>
      <c r="N14" s="2">
        <f>IFERROR(VLOOKUP(N$3,'3 Sanitation'!$E$449:$M$458,4,FALSE),0)</f>
        <v>0</v>
      </c>
      <c r="O14" s="2">
        <f>IFERROR(VLOOKUP(O$3,'3 Sanitation'!$E$449:$M$458,4,FALSE),0)</f>
        <v>0</v>
      </c>
      <c r="P14" s="2">
        <f>IFERROR(VLOOKUP(P$3,'3 Sanitation'!$E$449:$M$458,4,FALSE),0)</f>
        <v>0</v>
      </c>
      <c r="Q14" s="2">
        <f>IFERROR(VLOOKUP(Q$3,'3 Sanitation'!$E$449:$M$458,4,FALSE),0)</f>
        <v>0</v>
      </c>
      <c r="R14" s="2">
        <f>IFERROR(VLOOKUP(R$3,'3 Sanitation'!$E$449:$M$458,4,FALSE),0)</f>
        <v>0</v>
      </c>
      <c r="S14" s="2">
        <f>IFERROR(VLOOKUP(S$3,'3 Sanitation'!$E$449:$M$458,4,FALSE),0)</f>
        <v>0</v>
      </c>
      <c r="T14" s="2">
        <f>IFERROR(VLOOKUP(T$3,'3 Sanitation'!$E$449:$M$458,4,FALSE),0)</f>
        <v>0</v>
      </c>
      <c r="U14" s="2">
        <f>IFERROR(VLOOKUP(U$3,'3 Sanitation'!$E$449:$M$458,4,FALSE),0)</f>
        <v>0</v>
      </c>
      <c r="V14" s="2">
        <f>IFERROR(VLOOKUP(V$3,'3 Sanitation'!$E$449:$M$458,4,FALSE),0)</f>
        <v>0</v>
      </c>
      <c r="W14" s="2" t="str">
        <f>IFERROR(VLOOKUP(W$3,'3 Sanitation'!$E$449:$M$458,4,FALSE),0)</f>
        <v>More</v>
      </c>
      <c r="X14" s="2">
        <f>IFERROR(VLOOKUP(X$3,'3 Sanitation'!$E$449:$M$458,8,FALSE),0)</f>
        <v>0</v>
      </c>
      <c r="Y14" s="2">
        <f ca="1">IFERROR(VLOOKUP(Y$3,'3 Sanitation'!$E$449:$M$458,8,FALSE),0)</f>
        <v>0</v>
      </c>
      <c r="Z14" s="2">
        <f ca="1">IFERROR(VLOOKUP(Z$3,'3 Sanitation'!$E$449:$M$458,8,FALSE),0)</f>
        <v>0</v>
      </c>
      <c r="AA14" s="2">
        <f ca="1">IFERROR(VLOOKUP(AA$3,'3 Sanitation'!$E$449:$M$458,8,FALSE),0)</f>
        <v>0</v>
      </c>
      <c r="AB14" s="2">
        <f ca="1">IFERROR(VLOOKUP(AB$3,'3 Sanitation'!$E$449:$M$458,8,FALSE),0)</f>
        <v>0</v>
      </c>
      <c r="AC14" s="2">
        <f ca="1">IFERROR(VLOOKUP(AC$3,'3 Sanitation'!$E$449:$M$458,8,FALSE),0)</f>
        <v>0</v>
      </c>
      <c r="AD14" s="2">
        <f ca="1">IFERROR(VLOOKUP(AD$3,'3 Sanitation'!$E$449:$M$458,8,FALSE),0)</f>
        <v>0</v>
      </c>
      <c r="AE14" s="2">
        <f ca="1">IFERROR(VLOOKUP(AE$3,'3 Sanitation'!$E$449:$M$458,8,FALSE),0)</f>
        <v>0</v>
      </c>
      <c r="AF14" s="2">
        <f ca="1">IFERROR(VLOOKUP(AF$3,'3 Sanitation'!$E$449:$M$458,8,FALSE),0)</f>
        <v>0</v>
      </c>
      <c r="AG14" s="2">
        <f ca="1">IFERROR(VLOOKUP(AG$3,'3 Sanitation'!$E$449:$M$458,8,FALSE),0)</f>
        <v>0</v>
      </c>
      <c r="AH14" s="2">
        <f>IFERROR(VLOOKUP(AH$3,'3 Sanitation'!$E$449:$M$458,9,FALSE),0)</f>
        <v>0</v>
      </c>
      <c r="AI14" s="2">
        <f ca="1">IFERROR(VLOOKUP(AI$3,'3 Sanitation'!$E$449:$M$458,9,FALSE),0)</f>
        <v>0</v>
      </c>
      <c r="AJ14" s="2">
        <f ca="1">IFERROR(VLOOKUP(AJ$3,'3 Sanitation'!$E$449:$M$458,9,FALSE),0)</f>
        <v>0</v>
      </c>
      <c r="AK14" s="2">
        <f ca="1">IFERROR(VLOOKUP(AK$3,'3 Sanitation'!$E$449:$M$458,9,FALSE),0)</f>
        <v>0</v>
      </c>
      <c r="AL14" s="2">
        <f ca="1">IFERROR(VLOOKUP(AL$3,'3 Sanitation'!$E$449:$M$458,9,FALSE),0)</f>
        <v>0</v>
      </c>
      <c r="AM14" s="2">
        <f ca="1">IFERROR(VLOOKUP(AM$3,'3 Sanitation'!$E$449:$M$458,9,FALSE),0)</f>
        <v>0</v>
      </c>
      <c r="AN14" s="2">
        <f ca="1">IFERROR(VLOOKUP(AN$3,'3 Sanitation'!$E$449:$M$458,9,FALSE),0)</f>
        <v>0</v>
      </c>
      <c r="AO14" s="2">
        <f ca="1">IFERROR(VLOOKUP(AO$3,'3 Sanitation'!$E$449:$M$458,9,FALSE),0)</f>
        <v>0</v>
      </c>
      <c r="AP14" s="2">
        <f ca="1">IFERROR(VLOOKUP(AP$3,'3 Sanitation'!$E$449:$M$458,9,FALSE),0)</f>
        <v>0</v>
      </c>
      <c r="AQ14" s="2">
        <f ca="1">IFERROR(VLOOKUP(AQ$3,'3 Sanitation'!$E$449:$M$458,9,FALSE),0)</f>
        <v>0</v>
      </c>
    </row>
    <row r="15" spans="1:43" x14ac:dyDescent="0.55000000000000004">
      <c r="A15">
        <f>'2 Customer data'!D68</f>
        <v>0</v>
      </c>
      <c r="B15" s="2">
        <f>'3 Sanitation'!H477</f>
        <v>0</v>
      </c>
      <c r="C15" s="4">
        <f>'3 Sanitation'!H486</f>
        <v>10</v>
      </c>
      <c r="D15" s="2">
        <f>IFERROR(VLOOKUP(D$3,'3 Sanitation'!$E$490:$M$499,3,FALSE),0)</f>
        <v>0</v>
      </c>
      <c r="E15" s="2">
        <f>IFERROR(VLOOKUP(E$3,'3 Sanitation'!$E$490:$M$499,3,FALSE),0)</f>
        <v>0.01</v>
      </c>
      <c r="F15" s="2">
        <f>IFERROR(VLOOKUP(F$3,'3 Sanitation'!$E$490:$M$499,3,FALSE),0)</f>
        <v>0.01</v>
      </c>
      <c r="G15" s="2">
        <f>IFERROR(VLOOKUP(G$3,'3 Sanitation'!$E$490:$M$499,3,FALSE),0)</f>
        <v>0.01</v>
      </c>
      <c r="H15" s="2">
        <f>IFERROR(VLOOKUP(H$3,'3 Sanitation'!$E$490:$M$499,3,FALSE),0)</f>
        <v>0.01</v>
      </c>
      <c r="I15" s="2">
        <f>IFERROR(VLOOKUP(I$3,'3 Sanitation'!$E$490:$M$499,3,FALSE),0)</f>
        <v>0.01</v>
      </c>
      <c r="J15" s="2">
        <f>IFERROR(VLOOKUP(J$3,'3 Sanitation'!$E$490:$M$499,3,FALSE),0)</f>
        <v>0.01</v>
      </c>
      <c r="K15" s="2">
        <f>IFERROR(VLOOKUP(K$3,'3 Sanitation'!$E$490:$M$499,3,FALSE),0)</f>
        <v>0.01</v>
      </c>
      <c r="L15" s="2">
        <f>IFERROR(VLOOKUP(L$3,'3 Sanitation'!$E$490:$M$499,3,FALSE),0)</f>
        <v>0.01</v>
      </c>
      <c r="M15" s="2">
        <f>IFERROR(VLOOKUP(M$3,'3 Sanitation'!$E$490:$M$499,3,FALSE),0)</f>
        <v>0.01</v>
      </c>
      <c r="N15" s="2">
        <f>IFERROR(VLOOKUP(N$3,'3 Sanitation'!$E$490:$M$499,4,FALSE),0)</f>
        <v>0</v>
      </c>
      <c r="O15" s="2">
        <f>IFERROR(VLOOKUP(O$3,'3 Sanitation'!$E$490:$M$499,4,FALSE),0)</f>
        <v>0</v>
      </c>
      <c r="P15" s="2">
        <f>IFERROR(VLOOKUP(P$3,'3 Sanitation'!$E$490:$M$499,4,FALSE),0)</f>
        <v>0</v>
      </c>
      <c r="Q15" s="2">
        <f>IFERROR(VLOOKUP(Q$3,'3 Sanitation'!$E$490:$M$499,4,FALSE),0)</f>
        <v>0</v>
      </c>
      <c r="R15" s="2">
        <f>IFERROR(VLOOKUP(R$3,'3 Sanitation'!$E$490:$M$499,4,FALSE),0)</f>
        <v>0</v>
      </c>
      <c r="S15" s="2">
        <f>IFERROR(VLOOKUP(S$3,'3 Sanitation'!$E$490:$M$499,4,FALSE),0)</f>
        <v>0</v>
      </c>
      <c r="T15" s="2">
        <f>IFERROR(VLOOKUP(T$3,'3 Sanitation'!$E$490:$M$499,4,FALSE),0)</f>
        <v>0</v>
      </c>
      <c r="U15" s="2">
        <f>IFERROR(VLOOKUP(U$3,'3 Sanitation'!$E$490:$M$499,4,FALSE),0)</f>
        <v>0</v>
      </c>
      <c r="V15" s="2">
        <f>IFERROR(VLOOKUP(V$3,'3 Sanitation'!$E$490:$M$499,4,FALSE),0)</f>
        <v>0</v>
      </c>
      <c r="W15" s="2" t="str">
        <f>IFERROR(VLOOKUP(W$3,'3 Sanitation'!$E$490:$M$499,4,FALSE),0)</f>
        <v>More</v>
      </c>
      <c r="X15" s="2">
        <f>IFERROR(VLOOKUP(X$3,'3 Sanitation'!$E$490:$M$499,8,FALSE),0)</f>
        <v>0</v>
      </c>
      <c r="Y15" s="2">
        <f ca="1">IFERROR(VLOOKUP(Y$3,'3 Sanitation'!$E$490:$M$499,8,FALSE),0)</f>
        <v>0</v>
      </c>
      <c r="Z15" s="2">
        <f ca="1">IFERROR(VLOOKUP(Z$3,'3 Sanitation'!$E$490:$M$499,8,FALSE),0)</f>
        <v>0</v>
      </c>
      <c r="AA15" s="2">
        <f ca="1">IFERROR(VLOOKUP(AA$3,'3 Sanitation'!$E$490:$M$499,8,FALSE),0)</f>
        <v>0</v>
      </c>
      <c r="AB15" s="2">
        <f ca="1">IFERROR(VLOOKUP(AB$3,'3 Sanitation'!$E$490:$M$499,8,FALSE),0)</f>
        <v>0</v>
      </c>
      <c r="AC15" s="2">
        <f ca="1">IFERROR(VLOOKUP(AC$3,'3 Sanitation'!$E$490:$M$499,8,FALSE),0)</f>
        <v>0</v>
      </c>
      <c r="AD15" s="2">
        <f ca="1">IFERROR(VLOOKUP(AD$3,'3 Sanitation'!$E$490:$M$499,8,FALSE),0)</f>
        <v>0</v>
      </c>
      <c r="AE15" s="2">
        <f ca="1">IFERROR(VLOOKUP(AE$3,'3 Sanitation'!$E$490:$M$499,8,FALSE),0)</f>
        <v>0</v>
      </c>
      <c r="AF15" s="2">
        <f ca="1">IFERROR(VLOOKUP(AF$3,'3 Sanitation'!$E$490:$M$499,8,FALSE),0)</f>
        <v>0</v>
      </c>
      <c r="AG15" s="2">
        <f ca="1">IFERROR(VLOOKUP(AG$3,'3 Sanitation'!$E$490:$M$499,8,FALSE),0)</f>
        <v>0</v>
      </c>
      <c r="AH15" s="2">
        <f>IFERROR(VLOOKUP(AH$3,'3 Sanitation'!$E$490:$M$499,9,FALSE),0)</f>
        <v>0</v>
      </c>
      <c r="AI15" s="2">
        <f ca="1">IFERROR(VLOOKUP(AI$3,'3 Sanitation'!$E$490:$M$499,9,FALSE),0)</f>
        <v>0</v>
      </c>
      <c r="AJ15" s="2">
        <f ca="1">IFERROR(VLOOKUP(AJ$3,'3 Sanitation'!$E$490:$M$499,9,FALSE),0)</f>
        <v>0</v>
      </c>
      <c r="AK15" s="2">
        <f ca="1">IFERROR(VLOOKUP(AK$3,'3 Sanitation'!$E$490:$M$499,9,FALSE),0)</f>
        <v>0</v>
      </c>
      <c r="AL15" s="2">
        <f ca="1">IFERROR(VLOOKUP(AL$3,'3 Sanitation'!$E$490:$M$499,9,FALSE),0)</f>
        <v>0</v>
      </c>
      <c r="AM15" s="2">
        <f ca="1">IFERROR(VLOOKUP(AM$3,'3 Sanitation'!$E$490:$M$499,9,FALSE),0)</f>
        <v>0</v>
      </c>
      <c r="AN15" s="2">
        <f ca="1">IFERROR(VLOOKUP(AN$3,'3 Sanitation'!$E$490:$M$499,9,FALSE),0)</f>
        <v>0</v>
      </c>
      <c r="AO15" s="2">
        <f ca="1">IFERROR(VLOOKUP(AO$3,'3 Sanitation'!$E$490:$M$499,9,FALSE),0)</f>
        <v>0</v>
      </c>
      <c r="AP15" s="2">
        <f ca="1">IFERROR(VLOOKUP(AP$3,'3 Sanitation'!$E$490:$M$499,9,FALSE),0)</f>
        <v>0</v>
      </c>
      <c r="AQ15" s="2">
        <f ca="1">IFERROR(VLOOKUP(AQ$3,'3 Sanitation'!$E$490:$M$499,9,FALSE),0)</f>
        <v>0</v>
      </c>
    </row>
    <row r="16" spans="1:43" x14ac:dyDescent="0.55000000000000004">
      <c r="A16">
        <f>'2 Customer data'!D69</f>
        <v>0</v>
      </c>
      <c r="B16" s="2">
        <f>'3 Sanitation'!H518</f>
        <v>0</v>
      </c>
      <c r="C16" s="4">
        <f>'3 Sanitation'!H527</f>
        <v>10</v>
      </c>
      <c r="D16" s="2">
        <f>IFERROR(VLOOKUP(D$3,'3 Sanitation'!$E$531:$M$540,3,FALSE),0)</f>
        <v>0</v>
      </c>
      <c r="E16" s="2">
        <f>IFERROR(VLOOKUP(E$3,'3 Sanitation'!$E$531:$M$540,3,FALSE),0)</f>
        <v>0.01</v>
      </c>
      <c r="F16" s="2">
        <f>IFERROR(VLOOKUP(F$3,'3 Sanitation'!$E$531:$M$540,3,FALSE),0)</f>
        <v>0.01</v>
      </c>
      <c r="G16" s="2">
        <f>IFERROR(VLOOKUP(G$3,'3 Sanitation'!$E$531:$M$540,3,FALSE),0)</f>
        <v>0.01</v>
      </c>
      <c r="H16" s="2">
        <f>IFERROR(VLOOKUP(H$3,'3 Sanitation'!$E$531:$M$540,3,FALSE),0)</f>
        <v>0.01</v>
      </c>
      <c r="I16" s="2">
        <f>IFERROR(VLOOKUP(I$3,'3 Sanitation'!$E$531:$M$540,3,FALSE),0)</f>
        <v>0.01</v>
      </c>
      <c r="J16" s="2">
        <f>IFERROR(VLOOKUP(J$3,'3 Sanitation'!$E$531:$M$540,3,FALSE),0)</f>
        <v>0.01</v>
      </c>
      <c r="K16" s="2">
        <f>IFERROR(VLOOKUP(K$3,'3 Sanitation'!$E$531:$M$540,3,FALSE),0)</f>
        <v>0.01</v>
      </c>
      <c r="L16" s="2">
        <f>IFERROR(VLOOKUP(L$3,'3 Sanitation'!$E$531:$M$540,3,FALSE),0)</f>
        <v>0.01</v>
      </c>
      <c r="M16" s="2">
        <f>IFERROR(VLOOKUP(M$3,'3 Sanitation'!$E$531:$M$540,3,FALSE),0)</f>
        <v>0.01</v>
      </c>
      <c r="N16" s="2">
        <f>IFERROR(VLOOKUP(N$3,'3 Sanitation'!$E$531:$M$540,4,FALSE),0)</f>
        <v>0</v>
      </c>
      <c r="O16" s="2">
        <f>IFERROR(VLOOKUP(O$3,'3 Sanitation'!$E$531:$M$540,4,FALSE),0)</f>
        <v>0</v>
      </c>
      <c r="P16" s="2">
        <f>IFERROR(VLOOKUP(P$3,'3 Sanitation'!$E$531:$M$540,4,FALSE),0)</f>
        <v>0</v>
      </c>
      <c r="Q16" s="2">
        <f>IFERROR(VLOOKUP(Q$3,'3 Sanitation'!$E$531:$M$540,4,FALSE),0)</f>
        <v>0</v>
      </c>
      <c r="R16" s="2">
        <f>IFERROR(VLOOKUP(R$3,'3 Sanitation'!$E$531:$M$540,4,FALSE),0)</f>
        <v>0</v>
      </c>
      <c r="S16" s="2">
        <f>IFERROR(VLOOKUP(S$3,'3 Sanitation'!$E$531:$M$540,4,FALSE),0)</f>
        <v>0</v>
      </c>
      <c r="T16" s="2">
        <f>IFERROR(VLOOKUP(T$3,'3 Sanitation'!$E$531:$M$540,4,FALSE),0)</f>
        <v>0</v>
      </c>
      <c r="U16" s="2">
        <f>IFERROR(VLOOKUP(U$3,'3 Sanitation'!$E$531:$M$540,4,FALSE),0)</f>
        <v>0</v>
      </c>
      <c r="V16" s="2">
        <f>IFERROR(VLOOKUP(V$3,'3 Sanitation'!$E$531:$M$540,4,FALSE),0)</f>
        <v>0</v>
      </c>
      <c r="W16" s="2" t="str">
        <f>IFERROR(VLOOKUP(W$3,'3 Sanitation'!$E$531:$M$540,4,FALSE),0)</f>
        <v>More</v>
      </c>
      <c r="X16" s="2">
        <f>IFERROR(VLOOKUP(X$3,'3 Sanitation'!$E$531:$M$540,8,FALSE),0)</f>
        <v>0</v>
      </c>
      <c r="Y16" s="2">
        <f ca="1">IFERROR(VLOOKUP(Y$3,'3 Sanitation'!$E$531:$M$540,8,FALSE),0)</f>
        <v>0</v>
      </c>
      <c r="Z16" s="2">
        <f ca="1">IFERROR(VLOOKUP(Z$3,'3 Sanitation'!$E$531:$M$540,8,FALSE),0)</f>
        <v>0</v>
      </c>
      <c r="AA16" s="2">
        <f ca="1">IFERROR(VLOOKUP(AA$3,'3 Sanitation'!$E$531:$M$540,8,FALSE),0)</f>
        <v>0</v>
      </c>
      <c r="AB16" s="2">
        <f ca="1">IFERROR(VLOOKUP(AB$3,'3 Sanitation'!$E$531:$M$540,8,FALSE),0)</f>
        <v>0</v>
      </c>
      <c r="AC16" s="2">
        <f ca="1">IFERROR(VLOOKUP(AC$3,'3 Sanitation'!$E$531:$M$540,8,FALSE),0)</f>
        <v>0</v>
      </c>
      <c r="AD16" s="2">
        <f ca="1">IFERROR(VLOOKUP(AD$3,'3 Sanitation'!$E$531:$M$540,8,FALSE),0)</f>
        <v>0</v>
      </c>
      <c r="AE16" s="2">
        <f ca="1">IFERROR(VLOOKUP(AE$3,'3 Sanitation'!$E$531:$M$540,8,FALSE),0)</f>
        <v>0</v>
      </c>
      <c r="AF16" s="2">
        <f ca="1">IFERROR(VLOOKUP(AF$3,'3 Sanitation'!$E$531:$M$540,8,FALSE),0)</f>
        <v>0</v>
      </c>
      <c r="AG16" s="2">
        <f ca="1">IFERROR(VLOOKUP(AG$3,'3 Sanitation'!$E$531:$M$540,8,FALSE),0)</f>
        <v>0</v>
      </c>
      <c r="AH16" s="2">
        <f>IFERROR(VLOOKUP(AH$3,'3 Sanitation'!$E$531:$M$540,9,FALSE),0)</f>
        <v>0</v>
      </c>
      <c r="AI16" s="2">
        <f ca="1">IFERROR(VLOOKUP(AI$3,'3 Sanitation'!$E$531:$M$540,9,FALSE),0)</f>
        <v>0</v>
      </c>
      <c r="AJ16" s="2">
        <f ca="1">IFERROR(VLOOKUP(AJ$3,'3 Sanitation'!$E$531:$M$540,9,FALSE),0)</f>
        <v>0</v>
      </c>
      <c r="AK16" s="2">
        <f ca="1">IFERROR(VLOOKUP(AK$3,'3 Sanitation'!$E$531:$M$540,9,FALSE),0)</f>
        <v>0</v>
      </c>
      <c r="AL16" s="2">
        <f ca="1">IFERROR(VLOOKUP(AL$3,'3 Sanitation'!$E$531:$M$540,9,FALSE),0)</f>
        <v>0</v>
      </c>
      <c r="AM16" s="2">
        <f ca="1">IFERROR(VLOOKUP(AM$3,'3 Sanitation'!$E$531:$M$540,9,FALSE),0)</f>
        <v>0</v>
      </c>
      <c r="AN16" s="2">
        <f ca="1">IFERROR(VLOOKUP(AN$3,'3 Sanitation'!$E$531:$M$540,9,FALSE),0)</f>
        <v>0</v>
      </c>
      <c r="AO16" s="2">
        <f ca="1">IFERROR(VLOOKUP(AO$3,'3 Sanitation'!$E$531:$M$540,9,FALSE),0)</f>
        <v>0</v>
      </c>
      <c r="AP16" s="2">
        <f ca="1">IFERROR(VLOOKUP(AP$3,'3 Sanitation'!$E$531:$M$540,9,FALSE),0)</f>
        <v>0</v>
      </c>
      <c r="AQ16" s="2">
        <f ca="1">IFERROR(VLOOKUP(AQ$3,'3 Sanitation'!$E$531:$M$540,9,FALSE),0)</f>
        <v>0</v>
      </c>
    </row>
    <row r="17" spans="1:43" x14ac:dyDescent="0.55000000000000004">
      <c r="A17">
        <f>'2 Customer data'!D70</f>
        <v>0</v>
      </c>
      <c r="B17" s="2">
        <f>'3 Sanitation'!H559</f>
        <v>0</v>
      </c>
      <c r="C17" s="4">
        <f>'3 Sanitation'!H568</f>
        <v>10</v>
      </c>
      <c r="D17" s="2">
        <f>IFERROR(VLOOKUP(D$3,'3 Sanitation'!$E$572:$M$581,3,FALSE),0)</f>
        <v>0</v>
      </c>
      <c r="E17" s="2">
        <f>IFERROR(VLOOKUP(E$3,'3 Sanitation'!$E$572:$M$581,3,FALSE),0)</f>
        <v>0.01</v>
      </c>
      <c r="F17" s="2">
        <f>IFERROR(VLOOKUP(F$3,'3 Sanitation'!$E$572:$M$581,3,FALSE),0)</f>
        <v>0.01</v>
      </c>
      <c r="G17" s="2">
        <f>IFERROR(VLOOKUP(G$3,'3 Sanitation'!$E$572:$M$581,3,FALSE),0)</f>
        <v>0.01</v>
      </c>
      <c r="H17" s="2">
        <f>IFERROR(VLOOKUP(H$3,'3 Sanitation'!$E$572:$M$581,3,FALSE),0)</f>
        <v>0.01</v>
      </c>
      <c r="I17" s="2">
        <f>IFERROR(VLOOKUP(I$3,'3 Sanitation'!$E$572:$M$581,3,FALSE),0)</f>
        <v>0.01</v>
      </c>
      <c r="J17" s="2">
        <f>IFERROR(VLOOKUP(J$3,'3 Sanitation'!$E$572:$M$581,3,FALSE),0)</f>
        <v>0.01</v>
      </c>
      <c r="K17" s="2">
        <f>IFERROR(VLOOKUP(K$3,'3 Sanitation'!$E$572:$M$581,3,FALSE),0)</f>
        <v>0.01</v>
      </c>
      <c r="L17" s="2">
        <f>IFERROR(VLOOKUP(L$3,'3 Sanitation'!$E$572:$M$581,3,FALSE),0)</f>
        <v>0.01</v>
      </c>
      <c r="M17" s="2">
        <f>IFERROR(VLOOKUP(M$3,'3 Sanitation'!$E$572:$M$581,3,FALSE),0)</f>
        <v>0.01</v>
      </c>
      <c r="N17" s="2">
        <f>IFERROR(VLOOKUP(N$3,'3 Sanitation'!$E$572:$M$581,4,FALSE),0)</f>
        <v>0</v>
      </c>
      <c r="O17" s="2">
        <f>IFERROR(VLOOKUP(O$3,'3 Sanitation'!$E$572:$M$581,4,FALSE),0)</f>
        <v>0</v>
      </c>
      <c r="P17" s="2">
        <f>IFERROR(VLOOKUP(P$3,'3 Sanitation'!$E$572:$M$581,4,FALSE),0)</f>
        <v>0</v>
      </c>
      <c r="Q17" s="2">
        <f>IFERROR(VLOOKUP(Q$3,'3 Sanitation'!$E$572:$M$581,4,FALSE),0)</f>
        <v>0</v>
      </c>
      <c r="R17" s="2">
        <f>IFERROR(VLOOKUP(R$3,'3 Sanitation'!$E$572:$M$581,4,FALSE),0)</f>
        <v>0</v>
      </c>
      <c r="S17" s="2">
        <f>IFERROR(VLOOKUP(S$3,'3 Sanitation'!$E$572:$M$581,4,FALSE),0)</f>
        <v>0</v>
      </c>
      <c r="T17" s="2">
        <f>IFERROR(VLOOKUP(T$3,'3 Sanitation'!$E$572:$M$581,4,FALSE),0)</f>
        <v>0</v>
      </c>
      <c r="U17" s="2">
        <f>IFERROR(VLOOKUP(U$3,'3 Sanitation'!$E$572:$M$581,4,FALSE),0)</f>
        <v>0</v>
      </c>
      <c r="V17" s="2">
        <f>IFERROR(VLOOKUP(V$3,'3 Sanitation'!$E$572:$M$581,4,FALSE),0)</f>
        <v>0</v>
      </c>
      <c r="W17" s="2" t="str">
        <f>IFERROR(VLOOKUP(W$3,'3 Sanitation'!$E$572:$M$581,4,FALSE),0)</f>
        <v>More</v>
      </c>
      <c r="X17" s="2">
        <f>IFERROR(VLOOKUP(X$3,'3 Sanitation'!$E$572:$M$581,8,FALSE),0)</f>
        <v>0</v>
      </c>
      <c r="Y17" s="2">
        <f ca="1">IFERROR(VLOOKUP(Y$3,'3 Sanitation'!$E$572:$M$581,8,FALSE),0)</f>
        <v>0</v>
      </c>
      <c r="Z17" s="2">
        <f ca="1">IFERROR(VLOOKUP(Z$3,'3 Sanitation'!$E$572:$M$581,8,FALSE),0)</f>
        <v>0</v>
      </c>
      <c r="AA17" s="2">
        <f ca="1">IFERROR(VLOOKUP(AA$3,'3 Sanitation'!$E$572:$M$581,8,FALSE),0)</f>
        <v>0</v>
      </c>
      <c r="AB17" s="2">
        <f ca="1">IFERROR(VLOOKUP(AB$3,'3 Sanitation'!$E$572:$M$581,8,FALSE),0)</f>
        <v>0</v>
      </c>
      <c r="AC17" s="2">
        <f ca="1">IFERROR(VLOOKUP(AC$3,'3 Sanitation'!$E$572:$M$581,8,FALSE),0)</f>
        <v>0</v>
      </c>
      <c r="AD17" s="2">
        <f ca="1">IFERROR(VLOOKUP(AD$3,'3 Sanitation'!$E$572:$M$581,8,FALSE),0)</f>
        <v>0</v>
      </c>
      <c r="AE17" s="2">
        <f ca="1">IFERROR(VLOOKUP(AE$3,'3 Sanitation'!$E$572:$M$581,8,FALSE),0)</f>
        <v>0</v>
      </c>
      <c r="AF17" s="2">
        <f ca="1">IFERROR(VLOOKUP(AF$3,'3 Sanitation'!$E$572:$M$581,8,FALSE),0)</f>
        <v>0</v>
      </c>
      <c r="AG17" s="2">
        <f ca="1">IFERROR(VLOOKUP(AG$3,'3 Sanitation'!$E$572:$M$581,8,FALSE),0)</f>
        <v>0</v>
      </c>
      <c r="AH17" s="2">
        <f>IFERROR(VLOOKUP(AH$3,'3 Sanitation'!$E$572:$M$581,9,FALSE),0)</f>
        <v>0</v>
      </c>
      <c r="AI17" s="2">
        <f ca="1">IFERROR(VLOOKUP(AI$3,'3 Sanitation'!$E$572:$M$581,9,FALSE),0)</f>
        <v>0</v>
      </c>
      <c r="AJ17" s="2">
        <f ca="1">IFERROR(VLOOKUP(AJ$3,'3 Sanitation'!$E$572:$M$581,9,FALSE),0)</f>
        <v>0</v>
      </c>
      <c r="AK17" s="2">
        <f ca="1">IFERROR(VLOOKUP(AK$3,'3 Sanitation'!$E$572:$M$581,9,FALSE),0)</f>
        <v>0</v>
      </c>
      <c r="AL17" s="2">
        <f ca="1">IFERROR(VLOOKUP(AL$3,'3 Sanitation'!$E$572:$M$581,9,FALSE),0)</f>
        <v>0</v>
      </c>
      <c r="AM17" s="2">
        <f ca="1">IFERROR(VLOOKUP(AM$3,'3 Sanitation'!$E$572:$M$581,9,FALSE),0)</f>
        <v>0</v>
      </c>
      <c r="AN17" s="2">
        <f ca="1">IFERROR(VLOOKUP(AN$3,'3 Sanitation'!$E$572:$M$581,9,FALSE),0)</f>
        <v>0</v>
      </c>
      <c r="AO17" s="2">
        <f ca="1">IFERROR(VLOOKUP(AO$3,'3 Sanitation'!$E$572:$M$581,9,FALSE),0)</f>
        <v>0</v>
      </c>
      <c r="AP17" s="2">
        <f ca="1">IFERROR(VLOOKUP(AP$3,'3 Sanitation'!$E$572:$M$581,9,FALSE),0)</f>
        <v>0</v>
      </c>
      <c r="AQ17" s="2">
        <f ca="1">IFERROR(VLOOKUP(AQ$3,'3 Sanitation'!$E$572:$M$581,9,FALSE),0)</f>
        <v>0</v>
      </c>
    </row>
    <row r="18" spans="1:43" x14ac:dyDescent="0.55000000000000004">
      <c r="A18">
        <f>'2 Customer data'!D71</f>
        <v>0</v>
      </c>
      <c r="B18" s="2">
        <f>'3 Sanitation'!H600</f>
        <v>0</v>
      </c>
      <c r="C18" s="4">
        <f>'3 Sanitation'!H609</f>
        <v>10</v>
      </c>
      <c r="D18" s="2">
        <f>IFERROR(VLOOKUP(D$3,'3 Sanitation'!$E$613:$M$622,3,FALSE),0)</f>
        <v>0</v>
      </c>
      <c r="E18" s="2">
        <f>IFERROR(VLOOKUP(E$3,'3 Sanitation'!$E$613:$M$622,3,FALSE),0)</f>
        <v>0.01</v>
      </c>
      <c r="F18" s="2">
        <f>IFERROR(VLOOKUP(F$3,'3 Sanitation'!$E$613:$M$622,3,FALSE),0)</f>
        <v>0.01</v>
      </c>
      <c r="G18" s="2">
        <f>IFERROR(VLOOKUP(G$3,'3 Sanitation'!$E$613:$M$622,3,FALSE),0)</f>
        <v>0.01</v>
      </c>
      <c r="H18" s="2">
        <f>IFERROR(VLOOKUP(H$3,'3 Sanitation'!$E$613:$M$622,3,FALSE),0)</f>
        <v>0.01</v>
      </c>
      <c r="I18" s="2">
        <f>IFERROR(VLOOKUP(I$3,'3 Sanitation'!$E$613:$M$622,3,FALSE),0)</f>
        <v>0.01</v>
      </c>
      <c r="J18" s="2">
        <f>IFERROR(VLOOKUP(J$3,'3 Sanitation'!$E$613:$M$622,3,FALSE),0)</f>
        <v>0.01</v>
      </c>
      <c r="K18" s="2">
        <f>IFERROR(VLOOKUP(K$3,'3 Sanitation'!$E$613:$M$622,3,FALSE),0)</f>
        <v>0.01</v>
      </c>
      <c r="L18" s="2">
        <f>IFERROR(VLOOKUP(L$3,'3 Sanitation'!$E$613:$M$622,3,FALSE),0)</f>
        <v>0.01</v>
      </c>
      <c r="M18" s="2">
        <f>IFERROR(VLOOKUP(M$3,'3 Sanitation'!$E$613:$M$622,3,FALSE),0)</f>
        <v>0.01</v>
      </c>
      <c r="N18" s="2">
        <f>IFERROR(VLOOKUP(N$3,'3 Sanitation'!$E$613:$M$622,4,FALSE),0)</f>
        <v>0</v>
      </c>
      <c r="O18" s="2">
        <f>IFERROR(VLOOKUP(O$3,'3 Sanitation'!$E$613:$M$622,4,FALSE),0)</f>
        <v>0</v>
      </c>
      <c r="P18" s="2">
        <f>IFERROR(VLOOKUP(P$3,'3 Sanitation'!$E$613:$M$622,4,FALSE),0)</f>
        <v>0</v>
      </c>
      <c r="Q18" s="2">
        <f>IFERROR(VLOOKUP(Q$3,'3 Sanitation'!$E$613:$M$622,4,FALSE),0)</f>
        <v>0</v>
      </c>
      <c r="R18" s="2">
        <f>IFERROR(VLOOKUP(R$3,'3 Sanitation'!$E$613:$M$622,4,FALSE),0)</f>
        <v>0</v>
      </c>
      <c r="S18" s="2">
        <f>IFERROR(VLOOKUP(S$3,'3 Sanitation'!$E$613:$M$622,4,FALSE),0)</f>
        <v>0</v>
      </c>
      <c r="T18" s="2">
        <f>IFERROR(VLOOKUP(T$3,'3 Sanitation'!$E$613:$M$622,4,FALSE),0)</f>
        <v>0</v>
      </c>
      <c r="U18" s="2">
        <f>IFERROR(VLOOKUP(U$3,'3 Sanitation'!$E$613:$M$622,4,FALSE),0)</f>
        <v>0</v>
      </c>
      <c r="V18" s="2">
        <f>IFERROR(VLOOKUP(V$3,'3 Sanitation'!$E$613:$M$622,4,FALSE),0)</f>
        <v>0</v>
      </c>
      <c r="W18" s="2" t="str">
        <f>IFERROR(VLOOKUP(W$3,'3 Sanitation'!$E$613:$M$622,4,FALSE),0)</f>
        <v>More</v>
      </c>
      <c r="X18" s="2">
        <f>IFERROR(VLOOKUP(X$3,'3 Sanitation'!$E$613:$M$622,8,FALSE),0)</f>
        <v>0</v>
      </c>
      <c r="Y18" s="2">
        <f ca="1">IFERROR(VLOOKUP(Y$3,'3 Sanitation'!$E$613:$M$622,8,FALSE),0)</f>
        <v>0</v>
      </c>
      <c r="Z18" s="2">
        <f ca="1">IFERROR(VLOOKUP(Z$3,'3 Sanitation'!$E$613:$M$622,8,FALSE),0)</f>
        <v>0</v>
      </c>
      <c r="AA18" s="2">
        <f ca="1">IFERROR(VLOOKUP(AA$3,'3 Sanitation'!$E$613:$M$622,8,FALSE),0)</f>
        <v>0</v>
      </c>
      <c r="AB18" s="2">
        <f ca="1">IFERROR(VLOOKUP(AB$3,'3 Sanitation'!$E$613:$M$622,8,FALSE),0)</f>
        <v>0</v>
      </c>
      <c r="AC18" s="2">
        <f ca="1">IFERROR(VLOOKUP(AC$3,'3 Sanitation'!$E$613:$M$622,8,FALSE),0)</f>
        <v>0</v>
      </c>
      <c r="AD18" s="2">
        <f ca="1">IFERROR(VLOOKUP(AD$3,'3 Sanitation'!$E$613:$M$622,8,FALSE),0)</f>
        <v>0</v>
      </c>
      <c r="AE18" s="2">
        <f ca="1">IFERROR(VLOOKUP(AE$3,'3 Sanitation'!$E$613:$M$622,8,FALSE),0)</f>
        <v>0</v>
      </c>
      <c r="AF18" s="2">
        <f ca="1">IFERROR(VLOOKUP(AF$3,'3 Sanitation'!$E$613:$M$622,8,FALSE),0)</f>
        <v>0</v>
      </c>
      <c r="AG18" s="2">
        <f ca="1">IFERROR(VLOOKUP(AG$3,'3 Sanitation'!$E$613:$M$622,8,FALSE),0)</f>
        <v>0</v>
      </c>
      <c r="AH18" s="2">
        <f>IFERROR(VLOOKUP(AH$3,'3 Sanitation'!$E$613:$M$622,9,FALSE),0)</f>
        <v>0</v>
      </c>
      <c r="AI18" s="2">
        <f ca="1">IFERROR(VLOOKUP(AI$3,'3 Sanitation'!$E$613:$M$622,9,FALSE),0)</f>
        <v>0</v>
      </c>
      <c r="AJ18" s="2">
        <f ca="1">IFERROR(VLOOKUP(AJ$3,'3 Sanitation'!$E$613:$M$622,9,FALSE),0)</f>
        <v>0</v>
      </c>
      <c r="AK18" s="2">
        <f ca="1">IFERROR(VLOOKUP(AK$3,'3 Sanitation'!$E$613:$M$622,9,FALSE),0)</f>
        <v>0</v>
      </c>
      <c r="AL18" s="2">
        <f ca="1">IFERROR(VLOOKUP(AL$3,'3 Sanitation'!$E$613:$M$622,9,FALSE),0)</f>
        <v>0</v>
      </c>
      <c r="AM18" s="2">
        <f ca="1">IFERROR(VLOOKUP(AM$3,'3 Sanitation'!$E$613:$M$622,9,FALSE),0)</f>
        <v>0</v>
      </c>
      <c r="AN18" s="2">
        <f ca="1">IFERROR(VLOOKUP(AN$3,'3 Sanitation'!$E$613:$M$622,9,FALSE),0)</f>
        <v>0</v>
      </c>
      <c r="AO18" s="2">
        <f ca="1">IFERROR(VLOOKUP(AO$3,'3 Sanitation'!$E$613:$M$622,9,FALSE),0)</f>
        <v>0</v>
      </c>
      <c r="AP18" s="2">
        <f ca="1">IFERROR(VLOOKUP(AP$3,'3 Sanitation'!$E$613:$M$622,9,FALSE),0)</f>
        <v>0</v>
      </c>
      <c r="AQ18" s="2">
        <f ca="1">IFERROR(VLOOKUP(AQ$3,'3 Sanitation'!$E$613:$M$622,9,FALSE),0)</f>
        <v>0</v>
      </c>
    </row>
    <row r="19" spans="1:43" x14ac:dyDescent="0.55000000000000004">
      <c r="A19">
        <f>'2 Customer data'!D72</f>
        <v>0</v>
      </c>
      <c r="B19" s="2">
        <f>'3 Sanitation'!H641</f>
        <v>0</v>
      </c>
      <c r="C19" s="4">
        <f>'3 Sanitation'!H650</f>
        <v>10</v>
      </c>
      <c r="D19" s="2">
        <f>IFERROR(VLOOKUP(D$3,'3 Sanitation'!$E$654:$M$663,3,FALSE),0)</f>
        <v>0</v>
      </c>
      <c r="E19" s="2">
        <f>IFERROR(VLOOKUP(E$3,'3 Sanitation'!$E$654:$M$663,3,FALSE),0)</f>
        <v>0.01</v>
      </c>
      <c r="F19" s="2">
        <f>IFERROR(VLOOKUP(F$3,'3 Sanitation'!$E$654:$M$663,3,FALSE),0)</f>
        <v>0.01</v>
      </c>
      <c r="G19" s="2">
        <f>IFERROR(VLOOKUP(G$3,'3 Sanitation'!$E$654:$M$663,3,FALSE),0)</f>
        <v>0.01</v>
      </c>
      <c r="H19" s="2">
        <f>IFERROR(VLOOKUP(H$3,'3 Sanitation'!$E$654:$M$663,3,FALSE),0)</f>
        <v>0.01</v>
      </c>
      <c r="I19" s="2">
        <f>IFERROR(VLOOKUP(I$3,'3 Sanitation'!$E$654:$M$663,3,FALSE),0)</f>
        <v>0.01</v>
      </c>
      <c r="J19" s="2">
        <f>IFERROR(VLOOKUP(J$3,'3 Sanitation'!$E$654:$M$663,3,FALSE),0)</f>
        <v>0.01</v>
      </c>
      <c r="K19" s="2">
        <f>IFERROR(VLOOKUP(K$3,'3 Sanitation'!$E$654:$M$663,3,FALSE),0)</f>
        <v>0.01</v>
      </c>
      <c r="L19" s="2">
        <f>IFERROR(VLOOKUP(L$3,'3 Sanitation'!$E$654:$M$663,3,FALSE),0)</f>
        <v>0.01</v>
      </c>
      <c r="M19" s="2">
        <f>IFERROR(VLOOKUP(M$3,'3 Sanitation'!$E$654:$M$663,3,FALSE),0)</f>
        <v>0.01</v>
      </c>
      <c r="N19" s="2">
        <f>IFERROR(VLOOKUP(N$3,'3 Sanitation'!$E$654:$M$663,4,FALSE),0)</f>
        <v>0</v>
      </c>
      <c r="O19" s="2">
        <f>IFERROR(VLOOKUP(O$3,'3 Sanitation'!$E$654:$M$663,4,FALSE),0)</f>
        <v>0</v>
      </c>
      <c r="P19" s="2">
        <f>IFERROR(VLOOKUP(P$3,'3 Sanitation'!$E$654:$M$663,4,FALSE),0)</f>
        <v>0</v>
      </c>
      <c r="Q19" s="2">
        <f>IFERROR(VLOOKUP(Q$3,'3 Sanitation'!$E$654:$M$663,4,FALSE),0)</f>
        <v>0</v>
      </c>
      <c r="R19" s="2">
        <f>IFERROR(VLOOKUP(R$3,'3 Sanitation'!$E$654:$M$663,4,FALSE),0)</f>
        <v>0</v>
      </c>
      <c r="S19" s="2">
        <f>IFERROR(VLOOKUP(S$3,'3 Sanitation'!$E$654:$M$663,4,FALSE),0)</f>
        <v>0</v>
      </c>
      <c r="T19" s="2">
        <f>IFERROR(VLOOKUP(T$3,'3 Sanitation'!$E$654:$M$663,4,FALSE),0)</f>
        <v>0</v>
      </c>
      <c r="U19" s="2">
        <f>IFERROR(VLOOKUP(U$3,'3 Sanitation'!$E$654:$M$663,4,FALSE),0)</f>
        <v>0</v>
      </c>
      <c r="V19" s="2">
        <f>IFERROR(VLOOKUP(V$3,'3 Sanitation'!$E$654:$M$663,4,FALSE),0)</f>
        <v>0</v>
      </c>
      <c r="W19" s="2" t="str">
        <f>IFERROR(VLOOKUP(W$3,'3 Sanitation'!$E$654:$M$663,4,FALSE),0)</f>
        <v>More</v>
      </c>
      <c r="X19" s="2">
        <f>IFERROR(VLOOKUP(X$3,'3 Sanitation'!$E$654:$M$663,8,FALSE),0)</f>
        <v>0</v>
      </c>
      <c r="Y19" s="2">
        <f ca="1">IFERROR(VLOOKUP(Y$3,'3 Sanitation'!$E$654:$M$663,8,FALSE),0)</f>
        <v>0</v>
      </c>
      <c r="Z19" s="2">
        <f ca="1">IFERROR(VLOOKUP(Z$3,'3 Sanitation'!$E$654:$M$663,8,FALSE),0)</f>
        <v>0</v>
      </c>
      <c r="AA19" s="2">
        <f ca="1">IFERROR(VLOOKUP(AA$3,'3 Sanitation'!$E$654:$M$663,8,FALSE),0)</f>
        <v>0</v>
      </c>
      <c r="AB19" s="2">
        <f ca="1">IFERROR(VLOOKUP(AB$3,'3 Sanitation'!$E$654:$M$663,8,FALSE),0)</f>
        <v>0</v>
      </c>
      <c r="AC19" s="2">
        <f ca="1">IFERROR(VLOOKUP(AC$3,'3 Sanitation'!$E$654:$M$663,8,FALSE),0)</f>
        <v>0</v>
      </c>
      <c r="AD19" s="2">
        <f ca="1">IFERROR(VLOOKUP(AD$3,'3 Sanitation'!$E$654:$M$663,8,FALSE),0)</f>
        <v>0</v>
      </c>
      <c r="AE19" s="2">
        <f ca="1">IFERROR(VLOOKUP(AE$3,'3 Sanitation'!$E$654:$M$663,8,FALSE),0)</f>
        <v>0</v>
      </c>
      <c r="AF19" s="2">
        <f ca="1">IFERROR(VLOOKUP(AF$3,'3 Sanitation'!$E$654:$M$663,8,FALSE),0)</f>
        <v>0</v>
      </c>
      <c r="AG19" s="2">
        <f ca="1">IFERROR(VLOOKUP(AG$3,'3 Sanitation'!$E$654:$M$663,8,FALSE),0)</f>
        <v>0</v>
      </c>
      <c r="AH19" s="2">
        <f>IFERROR(VLOOKUP(AH$3,'3 Sanitation'!$E$654:$M$663,9,FALSE),0)</f>
        <v>0</v>
      </c>
      <c r="AI19" s="2">
        <f ca="1">IFERROR(VLOOKUP(AI$3,'3 Sanitation'!$E$654:$M$663,9,FALSE),0)</f>
        <v>0</v>
      </c>
      <c r="AJ19" s="2">
        <f ca="1">IFERROR(VLOOKUP(AJ$3,'3 Sanitation'!$E$654:$M$663,9,FALSE),0)</f>
        <v>0</v>
      </c>
      <c r="AK19" s="2">
        <f ca="1">IFERROR(VLOOKUP(AK$3,'3 Sanitation'!$E$654:$M$663,9,FALSE),0)</f>
        <v>0</v>
      </c>
      <c r="AL19" s="2">
        <f ca="1">IFERROR(VLOOKUP(AL$3,'3 Sanitation'!$E$654:$M$663,9,FALSE),0)</f>
        <v>0</v>
      </c>
      <c r="AM19" s="2">
        <f ca="1">IFERROR(VLOOKUP(AM$3,'3 Sanitation'!$E$654:$M$663,9,FALSE),0)</f>
        <v>0</v>
      </c>
      <c r="AN19" s="2">
        <f ca="1">IFERROR(VLOOKUP(AN$3,'3 Sanitation'!$E$654:$M$663,9,FALSE),0)</f>
        <v>0</v>
      </c>
      <c r="AO19" s="2">
        <f ca="1">IFERROR(VLOOKUP(AO$3,'3 Sanitation'!$E$654:$M$663,9,FALSE),0)</f>
        <v>0</v>
      </c>
      <c r="AP19" s="2">
        <f ca="1">IFERROR(VLOOKUP(AP$3,'3 Sanitation'!$E$654:$M$663,9,FALSE),0)</f>
        <v>0</v>
      </c>
      <c r="AQ19" s="2">
        <f ca="1">IFERROR(VLOOKUP(AQ$3,'3 Sanitation'!$E$654:$M$663,9,FALSE),0)</f>
        <v>0</v>
      </c>
    </row>
    <row r="20" spans="1:43" x14ac:dyDescent="0.55000000000000004">
      <c r="A20">
        <f>'2 Customer data'!D73</f>
        <v>0</v>
      </c>
      <c r="B20" s="2">
        <f>'3 Sanitation'!H682</f>
        <v>0</v>
      </c>
      <c r="C20" s="4">
        <f>'3 Sanitation'!H691</f>
        <v>10</v>
      </c>
      <c r="D20" s="2">
        <f>IFERROR(VLOOKUP(D$3,'3 Sanitation'!$E$695:$M$704,3,FALSE),0)</f>
        <v>0</v>
      </c>
      <c r="E20" s="2">
        <f>IFERROR(VLOOKUP(E$3,'3 Sanitation'!$E$695:$M$704,3,FALSE),0)</f>
        <v>0.01</v>
      </c>
      <c r="F20" s="2">
        <f>IFERROR(VLOOKUP(F$3,'3 Sanitation'!$E$695:$M$704,3,FALSE),0)</f>
        <v>0.01</v>
      </c>
      <c r="G20" s="2">
        <f>IFERROR(VLOOKUP(G$3,'3 Sanitation'!$E$695:$M$704,3,FALSE),0)</f>
        <v>0.01</v>
      </c>
      <c r="H20" s="2">
        <f>IFERROR(VLOOKUP(H$3,'3 Sanitation'!$E$695:$M$704,3,FALSE),0)</f>
        <v>0.01</v>
      </c>
      <c r="I20" s="2">
        <f>IFERROR(VLOOKUP(I$3,'3 Sanitation'!$E$695:$M$704,3,FALSE),0)</f>
        <v>0.01</v>
      </c>
      <c r="J20" s="2">
        <f>IFERROR(VLOOKUP(J$3,'3 Sanitation'!$E$695:$M$704,3,FALSE),0)</f>
        <v>0.01</v>
      </c>
      <c r="K20" s="2">
        <f>IFERROR(VLOOKUP(K$3,'3 Sanitation'!$E$695:$M$704,3,FALSE),0)</f>
        <v>0.01</v>
      </c>
      <c r="L20" s="2">
        <f>IFERROR(VLOOKUP(L$3,'3 Sanitation'!$E$695:$M$704,3,FALSE),0)</f>
        <v>0.01</v>
      </c>
      <c r="M20" s="2">
        <f>IFERROR(VLOOKUP(M$3,'3 Sanitation'!$E$695:$M$704,3,FALSE),0)</f>
        <v>0.01</v>
      </c>
      <c r="N20" s="2">
        <f>IFERROR(VLOOKUP(N$3,'3 Sanitation'!$E$695:$M$704,4,FALSE),0)</f>
        <v>0</v>
      </c>
      <c r="O20" s="2">
        <f>IFERROR(VLOOKUP(O$3,'3 Sanitation'!$E$695:$M$704,4,FALSE),0)</f>
        <v>0</v>
      </c>
      <c r="P20" s="2">
        <f>IFERROR(VLOOKUP(P$3,'3 Sanitation'!$E$695:$M$704,4,FALSE),0)</f>
        <v>0</v>
      </c>
      <c r="Q20" s="2">
        <f>IFERROR(VLOOKUP(Q$3,'3 Sanitation'!$E$695:$M$704,4,FALSE),0)</f>
        <v>0</v>
      </c>
      <c r="R20" s="2">
        <f>IFERROR(VLOOKUP(R$3,'3 Sanitation'!$E$695:$M$704,4,FALSE),0)</f>
        <v>0</v>
      </c>
      <c r="S20" s="2">
        <f>IFERROR(VLOOKUP(S$3,'3 Sanitation'!$E$695:$M$704,4,FALSE),0)</f>
        <v>0</v>
      </c>
      <c r="T20" s="2">
        <f>IFERROR(VLOOKUP(T$3,'3 Sanitation'!$E$695:$M$704,4,FALSE),0)</f>
        <v>0</v>
      </c>
      <c r="U20" s="2">
        <f>IFERROR(VLOOKUP(U$3,'3 Sanitation'!$E$695:$M$704,4,FALSE),0)</f>
        <v>0</v>
      </c>
      <c r="V20" s="2">
        <f>IFERROR(VLOOKUP(V$3,'3 Sanitation'!$E$695:$M$704,4,FALSE),0)</f>
        <v>0</v>
      </c>
      <c r="W20" s="2" t="str">
        <f>IFERROR(VLOOKUP(W$3,'3 Sanitation'!$E$695:$M$704,4,FALSE),0)</f>
        <v>More</v>
      </c>
      <c r="X20" s="2">
        <f>IFERROR(VLOOKUP(X$3,'3 Sanitation'!$E$695:$M$704,8,FALSE),0)</f>
        <v>0</v>
      </c>
      <c r="Y20" s="2">
        <f ca="1">IFERROR(VLOOKUP(Y$3,'3 Sanitation'!$E$695:$M$704,8,FALSE),0)</f>
        <v>0</v>
      </c>
      <c r="Z20" s="2">
        <f ca="1">IFERROR(VLOOKUP(Z$3,'3 Sanitation'!$E$695:$M$704,8,FALSE),0)</f>
        <v>0</v>
      </c>
      <c r="AA20" s="2">
        <f ca="1">IFERROR(VLOOKUP(AA$3,'3 Sanitation'!$E$695:$M$704,8,FALSE),0)</f>
        <v>0</v>
      </c>
      <c r="AB20" s="2">
        <f ca="1">IFERROR(VLOOKUP(AB$3,'3 Sanitation'!$E$695:$M$704,8,FALSE),0)</f>
        <v>0</v>
      </c>
      <c r="AC20" s="2">
        <f ca="1">IFERROR(VLOOKUP(AC$3,'3 Sanitation'!$E$695:$M$704,8,FALSE),0)</f>
        <v>0</v>
      </c>
      <c r="AD20" s="2">
        <f ca="1">IFERROR(VLOOKUP(AD$3,'3 Sanitation'!$E$695:$M$704,8,FALSE),0)</f>
        <v>0</v>
      </c>
      <c r="AE20" s="2">
        <f ca="1">IFERROR(VLOOKUP(AE$3,'3 Sanitation'!$E$695:$M$704,8,FALSE),0)</f>
        <v>0</v>
      </c>
      <c r="AF20" s="2">
        <f ca="1">IFERROR(VLOOKUP(AF$3,'3 Sanitation'!$E$695:$M$704,8,FALSE),0)</f>
        <v>0</v>
      </c>
      <c r="AG20" s="2">
        <f ca="1">IFERROR(VLOOKUP(AG$3,'3 Sanitation'!$E$695:$M$704,8,FALSE),0)</f>
        <v>0</v>
      </c>
      <c r="AH20" s="2">
        <f>IFERROR(VLOOKUP(AH$3,'3 Sanitation'!$E$695:$M$704,9,FALSE),0)</f>
        <v>0</v>
      </c>
      <c r="AI20" s="2">
        <f ca="1">IFERROR(VLOOKUP(AI$3,'3 Sanitation'!$E$695:$M$704,9,FALSE),0)</f>
        <v>0</v>
      </c>
      <c r="AJ20" s="2">
        <f ca="1">IFERROR(VLOOKUP(AJ$3,'3 Sanitation'!$E$695:$M$704,9,FALSE),0)</f>
        <v>0</v>
      </c>
      <c r="AK20" s="2">
        <f ca="1">IFERROR(VLOOKUP(AK$3,'3 Sanitation'!$E$695:$M$704,9,FALSE),0)</f>
        <v>0</v>
      </c>
      <c r="AL20" s="2">
        <f ca="1">IFERROR(VLOOKUP(AL$3,'3 Sanitation'!$E$695:$M$704,9,FALSE),0)</f>
        <v>0</v>
      </c>
      <c r="AM20" s="2">
        <f ca="1">IFERROR(VLOOKUP(AM$3,'3 Sanitation'!$E$695:$M$704,9,FALSE),0)</f>
        <v>0</v>
      </c>
      <c r="AN20" s="2">
        <f ca="1">IFERROR(VLOOKUP(AN$3,'3 Sanitation'!$E$695:$M$704,9,FALSE),0)</f>
        <v>0</v>
      </c>
      <c r="AO20" s="2">
        <f ca="1">IFERROR(VLOOKUP(AO$3,'3 Sanitation'!$E$695:$M$704,9,FALSE),0)</f>
        <v>0</v>
      </c>
      <c r="AP20" s="2">
        <f ca="1">IFERROR(VLOOKUP(AP$3,'3 Sanitation'!$E$695:$M$704,9,FALSE),0)</f>
        <v>0</v>
      </c>
      <c r="AQ20" s="2">
        <f ca="1">IFERROR(VLOOKUP(AQ$3,'3 Sanitation'!$E$695:$M$704,9,FALSE),0)</f>
        <v>0</v>
      </c>
    </row>
    <row r="21" spans="1:43" x14ac:dyDescent="0.55000000000000004">
      <c r="A21">
        <f>'2 Customer data'!D74</f>
        <v>0</v>
      </c>
      <c r="B21" s="2">
        <f>'3 Sanitation'!H723</f>
        <v>0</v>
      </c>
      <c r="C21" s="4">
        <f>'3 Sanitation'!H732</f>
        <v>10</v>
      </c>
      <c r="D21" s="2">
        <f>IFERROR(VLOOKUP(D$3,'3 Sanitation'!$E$736:$M$745,3,FALSE),0)</f>
        <v>0</v>
      </c>
      <c r="E21" s="2">
        <f>IFERROR(VLOOKUP(E$3,'3 Sanitation'!$E$736:$M$745,3,FALSE),0)</f>
        <v>0.01</v>
      </c>
      <c r="F21" s="2">
        <f>IFERROR(VLOOKUP(F$3,'3 Sanitation'!$E$736:$M$745,3,FALSE),0)</f>
        <v>0.01</v>
      </c>
      <c r="G21" s="2">
        <f>IFERROR(VLOOKUP(G$3,'3 Sanitation'!$E$736:$M$745,3,FALSE),0)</f>
        <v>0.01</v>
      </c>
      <c r="H21" s="2">
        <f>IFERROR(VLOOKUP(H$3,'3 Sanitation'!$E$736:$M$745,3,FALSE),0)</f>
        <v>0.01</v>
      </c>
      <c r="I21" s="2">
        <f>IFERROR(VLOOKUP(I$3,'3 Sanitation'!$E$736:$M$745,3,FALSE),0)</f>
        <v>0.01</v>
      </c>
      <c r="J21" s="2">
        <f>IFERROR(VLOOKUP(J$3,'3 Sanitation'!$E$736:$M$745,3,FALSE),0)</f>
        <v>0.01</v>
      </c>
      <c r="K21" s="2">
        <f>IFERROR(VLOOKUP(K$3,'3 Sanitation'!$E$736:$M$745,3,FALSE),0)</f>
        <v>0.01</v>
      </c>
      <c r="L21" s="2">
        <f>IFERROR(VLOOKUP(L$3,'3 Sanitation'!$E$736:$M$745,3,FALSE),0)</f>
        <v>0.01</v>
      </c>
      <c r="M21" s="2">
        <f>IFERROR(VLOOKUP(M$3,'3 Sanitation'!$E$736:$M$745,3,FALSE),0)</f>
        <v>0.01</v>
      </c>
      <c r="N21" s="2">
        <f>IFERROR(VLOOKUP(N$3,'3 Sanitation'!$E$736:$M$745,4,FALSE),0)</f>
        <v>0</v>
      </c>
      <c r="O21" s="2">
        <f>IFERROR(VLOOKUP(O$3,'3 Sanitation'!$E$736:$M$745,4,FALSE),0)</f>
        <v>0</v>
      </c>
      <c r="P21" s="2">
        <f>IFERROR(VLOOKUP(P$3,'3 Sanitation'!$E$736:$M$745,4,FALSE),0)</f>
        <v>0</v>
      </c>
      <c r="Q21" s="2">
        <f>IFERROR(VLOOKUP(Q$3,'3 Sanitation'!$E$736:$M$745,4,FALSE),0)</f>
        <v>0</v>
      </c>
      <c r="R21" s="2">
        <f>IFERROR(VLOOKUP(R$3,'3 Sanitation'!$E$736:$M$745,4,FALSE),0)</f>
        <v>0</v>
      </c>
      <c r="S21" s="2">
        <f>IFERROR(VLOOKUP(S$3,'3 Sanitation'!$E$736:$M$745,4,FALSE),0)</f>
        <v>0</v>
      </c>
      <c r="T21" s="2">
        <f>IFERROR(VLOOKUP(T$3,'3 Sanitation'!$E$736:$M$745,4,FALSE),0)</f>
        <v>0</v>
      </c>
      <c r="U21" s="2">
        <f>IFERROR(VLOOKUP(U$3,'3 Sanitation'!$E$736:$M$745,4,FALSE),0)</f>
        <v>0</v>
      </c>
      <c r="V21" s="2">
        <f>IFERROR(VLOOKUP(V$3,'3 Sanitation'!$E$736:$M$745,4,FALSE),0)</f>
        <v>0</v>
      </c>
      <c r="W21" s="2" t="str">
        <f>IFERROR(VLOOKUP(W$3,'3 Sanitation'!$E$736:$M$745,4,FALSE),0)</f>
        <v>More</v>
      </c>
      <c r="X21" s="2">
        <f>IFERROR(VLOOKUP(X$3,'3 Sanitation'!$E$736:$M$745,8,FALSE),0)</f>
        <v>0</v>
      </c>
      <c r="Y21" s="2">
        <f ca="1">IFERROR(VLOOKUP(Y$3,'3 Sanitation'!$E$736:$M$745,8,FALSE),0)</f>
        <v>0</v>
      </c>
      <c r="Z21" s="2">
        <f ca="1">IFERROR(VLOOKUP(Z$3,'3 Sanitation'!$E$736:$M$745,8,FALSE),0)</f>
        <v>0</v>
      </c>
      <c r="AA21" s="2">
        <f ca="1">IFERROR(VLOOKUP(AA$3,'3 Sanitation'!$E$736:$M$745,8,FALSE),0)</f>
        <v>0</v>
      </c>
      <c r="AB21" s="2">
        <f ca="1">IFERROR(VLOOKUP(AB$3,'3 Sanitation'!$E$736:$M$745,8,FALSE),0)</f>
        <v>0</v>
      </c>
      <c r="AC21" s="2">
        <f ca="1">IFERROR(VLOOKUP(AC$3,'3 Sanitation'!$E$736:$M$745,8,FALSE),0)</f>
        <v>0</v>
      </c>
      <c r="AD21" s="2">
        <f ca="1">IFERROR(VLOOKUP(AD$3,'3 Sanitation'!$E$736:$M$745,8,FALSE),0)</f>
        <v>0</v>
      </c>
      <c r="AE21" s="2">
        <f ca="1">IFERROR(VLOOKUP(AE$3,'3 Sanitation'!$E$736:$M$745,8,FALSE),0)</f>
        <v>0</v>
      </c>
      <c r="AF21" s="2">
        <f ca="1">IFERROR(VLOOKUP(AF$3,'3 Sanitation'!$E$736:$M$745,8,FALSE),0)</f>
        <v>0</v>
      </c>
      <c r="AG21" s="2">
        <f ca="1">IFERROR(VLOOKUP(AG$3,'3 Sanitation'!$E$736:$M$745,8,FALSE),0)</f>
        <v>0</v>
      </c>
      <c r="AH21" s="2">
        <f>IFERROR(VLOOKUP(AH$3,'3 Sanitation'!$E$736:$M$745,9,FALSE),0)</f>
        <v>0</v>
      </c>
      <c r="AI21" s="2">
        <f ca="1">IFERROR(VLOOKUP(AI$3,'3 Sanitation'!$E$736:$M$745,9,FALSE),0)</f>
        <v>0</v>
      </c>
      <c r="AJ21" s="2">
        <f ca="1">IFERROR(VLOOKUP(AJ$3,'3 Sanitation'!$E$736:$M$745,9,FALSE),0)</f>
        <v>0</v>
      </c>
      <c r="AK21" s="2">
        <f ca="1">IFERROR(VLOOKUP(AK$3,'3 Sanitation'!$E$736:$M$745,9,FALSE),0)</f>
        <v>0</v>
      </c>
      <c r="AL21" s="2">
        <f ca="1">IFERROR(VLOOKUP(AL$3,'3 Sanitation'!$E$736:$M$745,9,FALSE),0)</f>
        <v>0</v>
      </c>
      <c r="AM21" s="2">
        <f ca="1">IFERROR(VLOOKUP(AM$3,'3 Sanitation'!$E$736:$M$745,9,FALSE),0)</f>
        <v>0</v>
      </c>
      <c r="AN21" s="2">
        <f ca="1">IFERROR(VLOOKUP(AN$3,'3 Sanitation'!$E$736:$M$745,9,FALSE),0)</f>
        <v>0</v>
      </c>
      <c r="AO21" s="2">
        <f ca="1">IFERROR(VLOOKUP(AO$3,'3 Sanitation'!$E$736:$M$745,9,FALSE),0)</f>
        <v>0</v>
      </c>
      <c r="AP21" s="2">
        <f ca="1">IFERROR(VLOOKUP(AP$3,'3 Sanitation'!$E$736:$M$745,9,FALSE),0)</f>
        <v>0</v>
      </c>
      <c r="AQ21" s="2">
        <f ca="1">IFERROR(VLOOKUP(AQ$3,'3 Sanitation'!$E$736:$M$745,9,FALSE),0)</f>
        <v>0</v>
      </c>
    </row>
    <row r="22" spans="1:43" x14ac:dyDescent="0.55000000000000004">
      <c r="A22">
        <f>'2 Customer data'!D75</f>
        <v>0</v>
      </c>
      <c r="B22" s="2">
        <f>'3 Sanitation'!H764</f>
        <v>0</v>
      </c>
      <c r="C22" s="4">
        <f>'3 Sanitation'!H773</f>
        <v>10</v>
      </c>
      <c r="D22" s="2">
        <f>IFERROR(VLOOKUP(D$3,'3 Sanitation'!$E$777:$M$786,3,FALSE),0)</f>
        <v>0</v>
      </c>
      <c r="E22" s="2">
        <f>IFERROR(VLOOKUP(E$3,'3 Sanitation'!$E$777:$M$786,3,FALSE),0)</f>
        <v>0.01</v>
      </c>
      <c r="F22" s="2">
        <f>IFERROR(VLOOKUP(F$3,'3 Sanitation'!$E$777:$M$786,3,FALSE),0)</f>
        <v>0.01</v>
      </c>
      <c r="G22" s="2">
        <f>IFERROR(VLOOKUP(G$3,'3 Sanitation'!$E$777:$M$786,3,FALSE),0)</f>
        <v>0.01</v>
      </c>
      <c r="H22" s="2">
        <f>IFERROR(VLOOKUP(H$3,'3 Sanitation'!$E$777:$M$786,3,FALSE),0)</f>
        <v>0.01</v>
      </c>
      <c r="I22" s="2">
        <f>IFERROR(VLOOKUP(I$3,'3 Sanitation'!$E$777:$M$786,3,FALSE),0)</f>
        <v>0.01</v>
      </c>
      <c r="J22" s="2">
        <f>IFERROR(VLOOKUP(J$3,'3 Sanitation'!$E$777:$M$786,3,FALSE),0)</f>
        <v>0.01</v>
      </c>
      <c r="K22" s="2">
        <f>IFERROR(VLOOKUP(K$3,'3 Sanitation'!$E$777:$M$786,3,FALSE),0)</f>
        <v>0.01</v>
      </c>
      <c r="L22" s="2">
        <f>IFERROR(VLOOKUP(L$3,'3 Sanitation'!$E$777:$M$786,3,FALSE),0)</f>
        <v>0.01</v>
      </c>
      <c r="M22" s="2">
        <f>IFERROR(VLOOKUP(M$3,'3 Sanitation'!$E$777:$M$786,3,FALSE),0)</f>
        <v>0.01</v>
      </c>
      <c r="N22" s="2">
        <f>IFERROR(VLOOKUP(N$3,'3 Sanitation'!$E$777:$M$786,4,FALSE),0)</f>
        <v>0</v>
      </c>
      <c r="O22" s="2">
        <f>IFERROR(VLOOKUP(O$3,'3 Sanitation'!$E$777:$M$786,4,FALSE),0)</f>
        <v>0</v>
      </c>
      <c r="P22" s="2">
        <f>IFERROR(VLOOKUP(P$3,'3 Sanitation'!$E$777:$M$786,4,FALSE),0)</f>
        <v>0</v>
      </c>
      <c r="Q22" s="2">
        <f>IFERROR(VLOOKUP(Q$3,'3 Sanitation'!$E$777:$M$786,4,FALSE),0)</f>
        <v>0</v>
      </c>
      <c r="R22" s="2">
        <f>IFERROR(VLOOKUP(R$3,'3 Sanitation'!$E$777:$M$786,4,FALSE),0)</f>
        <v>0</v>
      </c>
      <c r="S22" s="2">
        <f>IFERROR(VLOOKUP(S$3,'3 Sanitation'!$E$777:$M$786,4,FALSE),0)</f>
        <v>0</v>
      </c>
      <c r="T22" s="2">
        <f>IFERROR(VLOOKUP(T$3,'3 Sanitation'!$E$777:$M$786,4,FALSE),0)</f>
        <v>0</v>
      </c>
      <c r="U22" s="2">
        <f>IFERROR(VLOOKUP(U$3,'3 Sanitation'!$E$777:$M$786,4,FALSE),0)</f>
        <v>0</v>
      </c>
      <c r="V22" s="2">
        <f>IFERROR(VLOOKUP(V$3,'3 Sanitation'!$E$777:$M$786,4,FALSE),0)</f>
        <v>0</v>
      </c>
      <c r="W22" s="2" t="str">
        <f>IFERROR(VLOOKUP(W$3,'3 Sanitation'!$E$777:$M$786,4,FALSE),0)</f>
        <v>More</v>
      </c>
      <c r="X22" s="2">
        <f>IFERROR(VLOOKUP(X$3,'3 Sanitation'!$E$777:$M$786,8,FALSE),0)</f>
        <v>0</v>
      </c>
      <c r="Y22" s="2">
        <f ca="1">IFERROR(VLOOKUP(Y$3,'3 Sanitation'!$E$777:$M$786,8,FALSE),0)</f>
        <v>0</v>
      </c>
      <c r="Z22" s="2">
        <f ca="1">IFERROR(VLOOKUP(Z$3,'3 Sanitation'!$E$777:$M$786,8,FALSE),0)</f>
        <v>0</v>
      </c>
      <c r="AA22" s="2">
        <f ca="1">IFERROR(VLOOKUP(AA$3,'3 Sanitation'!$E$777:$M$786,8,FALSE),0)</f>
        <v>0</v>
      </c>
      <c r="AB22" s="2">
        <f ca="1">IFERROR(VLOOKUP(AB$3,'3 Sanitation'!$E$777:$M$786,8,FALSE),0)</f>
        <v>0</v>
      </c>
      <c r="AC22" s="2">
        <f ca="1">IFERROR(VLOOKUP(AC$3,'3 Sanitation'!$E$777:$M$786,8,FALSE),0)</f>
        <v>0</v>
      </c>
      <c r="AD22" s="2">
        <f ca="1">IFERROR(VLOOKUP(AD$3,'3 Sanitation'!$E$777:$M$786,8,FALSE),0)</f>
        <v>0</v>
      </c>
      <c r="AE22" s="2">
        <f ca="1">IFERROR(VLOOKUP(AE$3,'3 Sanitation'!$E$777:$M$786,8,FALSE),0)</f>
        <v>0</v>
      </c>
      <c r="AF22" s="2">
        <f ca="1">IFERROR(VLOOKUP(AF$3,'3 Sanitation'!$E$777:$M$786,8,FALSE),0)</f>
        <v>0</v>
      </c>
      <c r="AG22" s="2">
        <f ca="1">IFERROR(VLOOKUP(AG$3,'3 Sanitation'!$E$777:$M$786,8,FALSE),0)</f>
        <v>0</v>
      </c>
      <c r="AH22" s="2">
        <f>IFERROR(VLOOKUP(AH$3,'3 Sanitation'!$E$777:$M$786,9,FALSE),0)</f>
        <v>0</v>
      </c>
      <c r="AI22" s="2">
        <f ca="1">IFERROR(VLOOKUP(AI$3,'3 Sanitation'!$E$777:$M$786,9,FALSE),0)</f>
        <v>0</v>
      </c>
      <c r="AJ22" s="2">
        <f ca="1">IFERROR(VLOOKUP(AJ$3,'3 Sanitation'!$E$777:$M$786,9,FALSE),0)</f>
        <v>0</v>
      </c>
      <c r="AK22" s="2">
        <f ca="1">IFERROR(VLOOKUP(AK$3,'3 Sanitation'!$E$777:$M$786,9,FALSE),0)</f>
        <v>0</v>
      </c>
      <c r="AL22" s="2">
        <f ca="1">IFERROR(VLOOKUP(AL$3,'3 Sanitation'!$E$777:$M$786,9,FALSE),0)</f>
        <v>0</v>
      </c>
      <c r="AM22" s="2">
        <f ca="1">IFERROR(VLOOKUP(AM$3,'3 Sanitation'!$E$777:$M$786,9,FALSE),0)</f>
        <v>0</v>
      </c>
      <c r="AN22" s="2">
        <f ca="1">IFERROR(VLOOKUP(AN$3,'3 Sanitation'!$E$777:$M$786,9,FALSE),0)</f>
        <v>0</v>
      </c>
      <c r="AO22" s="2">
        <f ca="1">IFERROR(VLOOKUP(AO$3,'3 Sanitation'!$E$777:$M$786,9,FALSE),0)</f>
        <v>0</v>
      </c>
      <c r="AP22" s="2">
        <f ca="1">IFERROR(VLOOKUP(AP$3,'3 Sanitation'!$E$777:$M$786,9,FALSE),0)</f>
        <v>0</v>
      </c>
      <c r="AQ22" s="2">
        <f ca="1">IFERROR(VLOOKUP(AQ$3,'3 Sanitation'!$E$777:$M$786,9,FALSE),0)</f>
        <v>0</v>
      </c>
    </row>
    <row r="23" spans="1:43" x14ac:dyDescent="0.55000000000000004">
      <c r="A23">
        <f>'2 Customer data'!D76</f>
        <v>0</v>
      </c>
      <c r="B23" s="2">
        <f>'3 Sanitation'!H805</f>
        <v>0</v>
      </c>
      <c r="C23" s="4">
        <f>'3 Sanitation'!H814</f>
        <v>10</v>
      </c>
      <c r="D23" s="2">
        <f>IFERROR(VLOOKUP(D$3,'3 Sanitation'!$E$818:$M$827,3,FALSE),0)</f>
        <v>0</v>
      </c>
      <c r="E23" s="2">
        <f>IFERROR(VLOOKUP(E$3,'3 Sanitation'!$E$818:$M$827,3,FALSE),0)</f>
        <v>0.01</v>
      </c>
      <c r="F23" s="2">
        <f>IFERROR(VLOOKUP(F$3,'3 Sanitation'!$E$818:$M$827,3,FALSE),0)</f>
        <v>0.01</v>
      </c>
      <c r="G23" s="2">
        <f>IFERROR(VLOOKUP(G$3,'3 Sanitation'!$E$818:$M$827,3,FALSE),0)</f>
        <v>0.01</v>
      </c>
      <c r="H23" s="2">
        <f>IFERROR(VLOOKUP(H$3,'3 Sanitation'!$E$818:$M$827,3,FALSE),0)</f>
        <v>0.01</v>
      </c>
      <c r="I23" s="2">
        <f>IFERROR(VLOOKUP(I$3,'3 Sanitation'!$E$818:$M$827,3,FALSE),0)</f>
        <v>0.01</v>
      </c>
      <c r="J23" s="2">
        <f>IFERROR(VLOOKUP(J$3,'3 Sanitation'!$E$818:$M$827,3,FALSE),0)</f>
        <v>0.01</v>
      </c>
      <c r="K23" s="2">
        <f>IFERROR(VLOOKUP(K$3,'3 Sanitation'!$E$818:$M$827,3,FALSE),0)</f>
        <v>0.01</v>
      </c>
      <c r="L23" s="2">
        <f>IFERROR(VLOOKUP(L$3,'3 Sanitation'!$E$818:$M$827,3,FALSE),0)</f>
        <v>0.01</v>
      </c>
      <c r="M23" s="2">
        <f>IFERROR(VLOOKUP(M$3,'3 Sanitation'!$E$818:$M$827,3,FALSE),0)</f>
        <v>0.01</v>
      </c>
      <c r="N23" s="2">
        <f>IFERROR(VLOOKUP(N$3,'3 Sanitation'!$E$818:$M$827,4,FALSE),0)</f>
        <v>0</v>
      </c>
      <c r="O23" s="2">
        <f>IFERROR(VLOOKUP(O$3,'3 Sanitation'!$E$818:$M$827,4,FALSE),0)</f>
        <v>0</v>
      </c>
      <c r="P23" s="2">
        <f>IFERROR(VLOOKUP(P$3,'3 Sanitation'!$E$818:$M$827,4,FALSE),0)</f>
        <v>0</v>
      </c>
      <c r="Q23" s="2">
        <f>IFERROR(VLOOKUP(Q$3,'3 Sanitation'!$E$818:$M$827,4,FALSE),0)</f>
        <v>0</v>
      </c>
      <c r="R23" s="2">
        <f>IFERROR(VLOOKUP(R$3,'3 Sanitation'!$E$818:$M$827,4,FALSE),0)</f>
        <v>0</v>
      </c>
      <c r="S23" s="2">
        <f>IFERROR(VLOOKUP(S$3,'3 Sanitation'!$E$818:$M$827,4,FALSE),0)</f>
        <v>0</v>
      </c>
      <c r="T23" s="2">
        <f>IFERROR(VLOOKUP(T$3,'3 Sanitation'!$E$818:$M$827,4,FALSE),0)</f>
        <v>0</v>
      </c>
      <c r="U23" s="2">
        <f>IFERROR(VLOOKUP(U$3,'3 Sanitation'!$E$818:$M$827,4,FALSE),0)</f>
        <v>0</v>
      </c>
      <c r="V23" s="2">
        <f>IFERROR(VLOOKUP(V$3,'3 Sanitation'!$E$818:$M$827,4,FALSE),0)</f>
        <v>0</v>
      </c>
      <c r="W23" s="2" t="str">
        <f>IFERROR(VLOOKUP(W$3,'3 Sanitation'!$E$818:$M$827,4,FALSE),0)</f>
        <v>More</v>
      </c>
      <c r="X23" s="2">
        <f>IFERROR(VLOOKUP(X$3,'3 Sanitation'!$E$818:$M$827,8,FALSE),0)</f>
        <v>0</v>
      </c>
      <c r="Y23" s="2">
        <f ca="1">IFERROR(VLOOKUP(Y$3,'3 Sanitation'!$E$818:$M$827,8,FALSE),0)</f>
        <v>0</v>
      </c>
      <c r="Z23" s="2">
        <f ca="1">IFERROR(VLOOKUP(Z$3,'3 Sanitation'!$E$818:$M$827,8,FALSE),0)</f>
        <v>0</v>
      </c>
      <c r="AA23" s="2">
        <f ca="1">IFERROR(VLOOKUP(AA$3,'3 Sanitation'!$E$818:$M$827,8,FALSE),0)</f>
        <v>0</v>
      </c>
      <c r="AB23" s="2">
        <f ca="1">IFERROR(VLOOKUP(AB$3,'3 Sanitation'!$E$818:$M$827,8,FALSE),0)</f>
        <v>0</v>
      </c>
      <c r="AC23" s="2">
        <f ca="1">IFERROR(VLOOKUP(AC$3,'3 Sanitation'!$E$818:$M$827,8,FALSE),0)</f>
        <v>0</v>
      </c>
      <c r="AD23" s="2">
        <f ca="1">IFERROR(VLOOKUP(AD$3,'3 Sanitation'!$E$818:$M$827,8,FALSE),0)</f>
        <v>0</v>
      </c>
      <c r="AE23" s="2">
        <f ca="1">IFERROR(VLOOKUP(AE$3,'3 Sanitation'!$E$818:$M$827,8,FALSE),0)</f>
        <v>0</v>
      </c>
      <c r="AF23" s="2">
        <f ca="1">IFERROR(VLOOKUP(AF$3,'3 Sanitation'!$E$818:$M$827,8,FALSE),0)</f>
        <v>0</v>
      </c>
      <c r="AG23" s="2">
        <f ca="1">IFERROR(VLOOKUP(AG$3,'3 Sanitation'!$E$818:$M$827,8,FALSE),0)</f>
        <v>0</v>
      </c>
      <c r="AH23" s="2">
        <f>IFERROR(VLOOKUP(AH$3,'3 Sanitation'!$E$818:$M$827,9,FALSE),0)</f>
        <v>0</v>
      </c>
      <c r="AI23" s="2">
        <f ca="1">IFERROR(VLOOKUP(AI$3,'3 Sanitation'!$E$818:$M$827,9,FALSE),0)</f>
        <v>0</v>
      </c>
      <c r="AJ23" s="2">
        <f ca="1">IFERROR(VLOOKUP(AJ$3,'3 Sanitation'!$E$818:$M$827,9,FALSE),0)</f>
        <v>0</v>
      </c>
      <c r="AK23" s="2">
        <f ca="1">IFERROR(VLOOKUP(AK$3,'3 Sanitation'!$E$818:$M$827,9,FALSE),0)</f>
        <v>0</v>
      </c>
      <c r="AL23" s="2">
        <f ca="1">IFERROR(VLOOKUP(AL$3,'3 Sanitation'!$E$818:$M$827,9,FALSE),0)</f>
        <v>0</v>
      </c>
      <c r="AM23" s="2">
        <f ca="1">IFERROR(VLOOKUP(AM$3,'3 Sanitation'!$E$818:$M$827,9,FALSE),0)</f>
        <v>0</v>
      </c>
      <c r="AN23" s="2">
        <f ca="1">IFERROR(VLOOKUP(AN$3,'3 Sanitation'!$E$818:$M$827,9,FALSE),0)</f>
        <v>0</v>
      </c>
      <c r="AO23" s="2">
        <f ca="1">IFERROR(VLOOKUP(AO$3,'3 Sanitation'!$E$818:$M$827,9,FALSE),0)</f>
        <v>0</v>
      </c>
      <c r="AP23" s="2">
        <f ca="1">IFERROR(VLOOKUP(AP$3,'3 Sanitation'!$E$818:$M$827,9,FALSE),0)</f>
        <v>0</v>
      </c>
      <c r="AQ23" s="2">
        <f ca="1">IFERROR(VLOOKUP(AQ$3,'3 Sanitation'!$E$818:$M$827,9,FALSE),0)</f>
        <v>0</v>
      </c>
    </row>
  </sheetData>
  <sheetProtection sheet="1" objects="1" scenarios="1"/>
  <mergeCells count="4">
    <mergeCell ref="D2:M2"/>
    <mergeCell ref="N2:W2"/>
    <mergeCell ref="X2:AG2"/>
    <mergeCell ref="AH2:AQ2"/>
  </mergeCells>
  <pageMargins left="0.7" right="0.7" top="0.75" bottom="0.75" header="0.3" footer="0.3"/>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819BC9A-FB4F-4C7F-BE77-0FDD73C1BEEB}">
  <sheetPr codeName="Sheet29"/>
  <dimension ref="A1:AC23"/>
  <sheetViews>
    <sheetView workbookViewId="0">
      <selection activeCell="F9" sqref="F9"/>
    </sheetView>
  </sheetViews>
  <sheetFormatPr defaultRowHeight="14.4" x14ac:dyDescent="0.55000000000000004"/>
  <cols>
    <col min="1" max="1" width="26.20703125" bestFit="1" customWidth="1"/>
    <col min="2" max="2" width="11.20703125" bestFit="1" customWidth="1"/>
    <col min="3" max="3" width="11.20703125" customWidth="1"/>
    <col min="4" max="4" width="15.7890625" bestFit="1" customWidth="1"/>
  </cols>
  <sheetData>
    <row r="1" spans="1:29" x14ac:dyDescent="0.55000000000000004">
      <c r="A1" s="1" t="s">
        <v>433</v>
      </c>
      <c r="B1">
        <v>2</v>
      </c>
      <c r="C1">
        <v>3</v>
      </c>
      <c r="D1">
        <v>4</v>
      </c>
      <c r="E1">
        <v>5</v>
      </c>
      <c r="F1">
        <v>6</v>
      </c>
      <c r="G1">
        <v>7</v>
      </c>
      <c r="H1">
        <v>8</v>
      </c>
      <c r="I1">
        <v>9</v>
      </c>
      <c r="J1">
        <v>10</v>
      </c>
      <c r="K1">
        <v>11</v>
      </c>
      <c r="L1">
        <v>12</v>
      </c>
      <c r="M1">
        <v>13</v>
      </c>
      <c r="N1">
        <v>14</v>
      </c>
      <c r="O1">
        <v>15</v>
      </c>
      <c r="P1">
        <v>16</v>
      </c>
      <c r="Q1">
        <v>17</v>
      </c>
      <c r="R1">
        <v>18</v>
      </c>
      <c r="S1">
        <v>19</v>
      </c>
      <c r="T1">
        <v>20</v>
      </c>
      <c r="U1">
        <v>21</v>
      </c>
      <c r="V1">
        <v>22</v>
      </c>
      <c r="W1">
        <v>23</v>
      </c>
      <c r="X1">
        <v>24</v>
      </c>
      <c r="Y1">
        <v>25</v>
      </c>
      <c r="Z1">
        <v>26</v>
      </c>
      <c r="AA1">
        <v>27</v>
      </c>
      <c r="AB1">
        <v>28</v>
      </c>
      <c r="AC1">
        <v>29</v>
      </c>
    </row>
    <row r="2" spans="1:29" x14ac:dyDescent="0.55000000000000004">
      <c r="A2" s="1"/>
      <c r="E2" s="1827" t="s">
        <v>409</v>
      </c>
      <c r="F2" s="1827"/>
      <c r="G2" s="1827"/>
      <c r="H2" s="1827"/>
      <c r="I2" s="1827"/>
      <c r="J2" s="1827" t="s">
        <v>80</v>
      </c>
      <c r="K2" s="1827"/>
      <c r="L2" s="1827"/>
      <c r="M2" s="1827"/>
      <c r="N2" s="1827"/>
      <c r="O2" s="1827" t="s">
        <v>438</v>
      </c>
      <c r="P2" s="1827"/>
      <c r="Q2" s="1827"/>
      <c r="R2" s="1827"/>
      <c r="S2" s="1827"/>
      <c r="T2" s="1827" t="s">
        <v>434</v>
      </c>
      <c r="U2" s="1827"/>
      <c r="V2" s="1827"/>
      <c r="W2" s="1827"/>
      <c r="X2" s="1827"/>
      <c r="Y2" s="1827" t="s">
        <v>435</v>
      </c>
      <c r="Z2" s="1827"/>
      <c r="AA2" s="1827"/>
      <c r="AB2" s="1827"/>
      <c r="AC2" s="1827"/>
    </row>
    <row r="3" spans="1:29" x14ac:dyDescent="0.55000000000000004">
      <c r="B3" t="s">
        <v>406</v>
      </c>
      <c r="C3" t="s">
        <v>399</v>
      </c>
      <c r="D3" t="s">
        <v>98</v>
      </c>
      <c r="E3">
        <v>1</v>
      </c>
      <c r="F3">
        <v>2</v>
      </c>
      <c r="G3">
        <v>3</v>
      </c>
      <c r="H3">
        <v>4</v>
      </c>
      <c r="I3">
        <v>5</v>
      </c>
      <c r="J3">
        <v>1</v>
      </c>
      <c r="K3">
        <v>2</v>
      </c>
      <c r="L3">
        <v>3</v>
      </c>
      <c r="M3">
        <v>4</v>
      </c>
      <c r="N3">
        <v>5</v>
      </c>
      <c r="O3">
        <v>1</v>
      </c>
      <c r="P3">
        <v>2</v>
      </c>
      <c r="Q3">
        <v>3</v>
      </c>
      <c r="R3">
        <v>4</v>
      </c>
      <c r="S3">
        <v>5</v>
      </c>
      <c r="T3">
        <v>1</v>
      </c>
      <c r="U3">
        <v>2</v>
      </c>
      <c r="V3">
        <v>3</v>
      </c>
      <c r="W3">
        <v>4</v>
      </c>
      <c r="X3">
        <v>5</v>
      </c>
      <c r="Y3">
        <v>1</v>
      </c>
      <c r="Z3">
        <v>2</v>
      </c>
      <c r="AA3">
        <v>3</v>
      </c>
      <c r="AB3">
        <v>4</v>
      </c>
      <c r="AC3">
        <v>5</v>
      </c>
    </row>
    <row r="4" spans="1:29" x14ac:dyDescent="0.55000000000000004">
      <c r="A4" t="str">
        <f>'2 Customer data'!D93</f>
        <v>Bulk Customers LV: TOU</v>
      </c>
      <c r="B4" s="2">
        <f>'3 Electricity'!I26</f>
        <v>0</v>
      </c>
      <c r="C4" s="2" t="str">
        <f>'3 Electricity'!G34</f>
        <v>Seasonal</v>
      </c>
      <c r="D4" s="4">
        <f>IF('3 Electricity'!G34='3 Electricity'!V34,'3 Electricity'!I41,'3 Electricity'!I57)</f>
        <v>1</v>
      </c>
      <c r="E4" s="2">
        <f>IFERROR(IF('3 Electricity'!$G$34='3 Electricity'!$V$34,VLOOKUP('E Summary'!E$3,'3 Electricity'!$F$45:$K$49,2,FALSE),VLOOKUP('E Summary'!E$3,'3 Electricity'!$F$64:$N$68,2,FALSE)),0)</f>
        <v>0</v>
      </c>
      <c r="F4" s="2">
        <f>IFERROR(IF('3 Electricity'!$G$34='3 Electricity'!$V$34,VLOOKUP('E Summary'!F3,'3 Electricity'!$F$45:$K$49,2,FALSE),VLOOKUP('E Summary'!F3,'3 Electricity'!$F$64:$N$68,2,FALSE)),0)</f>
        <v>0</v>
      </c>
      <c r="G4" s="2">
        <f>IFERROR(IF('3 Electricity'!$G$34='3 Electricity'!$V$34,VLOOKUP('E Summary'!G3,'3 Electricity'!$F$45:$K$49,2,FALSE),VLOOKUP('E Summary'!G3,'3 Electricity'!$F$64:$N$68,2,FALSE)),0)</f>
        <v>0</v>
      </c>
      <c r="H4" s="2">
        <f>IFERROR(IF('3 Electricity'!$G$34='3 Electricity'!$V$34,VLOOKUP('E Summary'!H3,'3 Electricity'!$F$45:$K$49,2,FALSE),VLOOKUP('E Summary'!H3,'3 Electricity'!$F$64:$N$68,2,FALSE)),0)</f>
        <v>0</v>
      </c>
      <c r="I4" s="2">
        <f>IFERROR(IF('3 Electricity'!$G$34='3 Electricity'!$V$34,VLOOKUP('E Summary'!I3,'3 Electricity'!$F$45:$K$49,2,FALSE),VLOOKUP('E Summary'!I3,'3 Electricity'!$F$64:$N$68,2,FALSE)),0)</f>
        <v>0</v>
      </c>
      <c r="J4" s="2" t="str">
        <f>IFERROR(IF('3 Electricity'!$G$34='3 Electricity'!$V$34,VLOOKUP('E Summary'!J3,'3 Electricity'!$F$45:$K$49,3,FALSE),VLOOKUP('E Summary'!J3,'3 Electricity'!$F$64:$N$68,3,FALSE)),0)</f>
        <v>more</v>
      </c>
      <c r="K4" s="2">
        <f>IFERROR(IF('3 Electricity'!$G$34='3 Electricity'!$V$34,VLOOKUP('E Summary'!K3,'3 Electricity'!$F$45:$K$49,3,FALSE),VLOOKUP('E Summary'!K3,'3 Electricity'!$F$64:$N$68,3,FALSE)),0)</f>
        <v>0</v>
      </c>
      <c r="L4" s="2">
        <f>IFERROR(IF('3 Electricity'!$G$34='3 Electricity'!$V$34,VLOOKUP('E Summary'!L3,'3 Electricity'!$F$45:$K$49,3,FALSE),VLOOKUP('E Summary'!L3,'3 Electricity'!$F$64:$N$68,3,FALSE)),0)</f>
        <v>0</v>
      </c>
      <c r="M4" s="2">
        <f>IFERROR(IF('3 Electricity'!$G$34='3 Electricity'!$V$34,VLOOKUP('E Summary'!M3,'3 Electricity'!$F$45:$K$49,3,FALSE),VLOOKUP('E Summary'!M3,'3 Electricity'!$F$64:$N$68,3,FALSE)),0)</f>
        <v>0</v>
      </c>
      <c r="N4" s="2">
        <f>IFERROR(IF('3 Electricity'!$G$34='3 Electricity'!$V$34,VLOOKUP('E Summary'!N3,'3 Electricity'!$F$45:$K$49,3,FALSE),VLOOKUP('E Summary'!N3,'3 Electricity'!$F$64:$N$68,3,FALSE)),0)</f>
        <v>0</v>
      </c>
      <c r="O4" s="2">
        <f>IFERROR(IF('3 Electricity'!$G$34='3 Electricity'!$V$34,VLOOKUP('E Summary'!O3,'3 Electricity'!$F$45:$K$49,6,FALSE),0),0)</f>
        <v>0</v>
      </c>
      <c r="P4" s="2">
        <f>IFERROR(IF('3 Electricity'!$G$34='3 Electricity'!$V$34,VLOOKUP('E Summary'!P3,'3 Electricity'!$F$45:$K$49,6,FALSE),0),0)</f>
        <v>0</v>
      </c>
      <c r="Q4" s="2">
        <f>IFERROR(IF('3 Electricity'!$G$34='3 Electricity'!$V$34,VLOOKUP('E Summary'!Q3,'3 Electricity'!$F$45:$K$49,6,FALSE),0),0)</f>
        <v>0</v>
      </c>
      <c r="R4" s="2">
        <f>IFERROR(IF('3 Electricity'!$G$34='3 Electricity'!$V$34,VLOOKUP('E Summary'!R3,'3 Electricity'!$F$45:$K$49,6,FALSE),0),0)</f>
        <v>0</v>
      </c>
      <c r="S4" s="2">
        <f>IFERROR(IF('3 Electricity'!$G$34='3 Electricity'!$V$34,VLOOKUP('E Summary'!S3,'3 Electricity'!$F$45:$K$49,6,FALSE),0),0)</f>
        <v>0</v>
      </c>
      <c r="T4" s="2">
        <f ca="1">IFERROR(IF('3 Electricity'!$G$34='3 Electricity'!$V$34,0,VLOOKUP('E Summary'!T3,'3 Electricity'!$F$64:$N$68,8,FALSE)),0)</f>
        <v>3.2172584268423674</v>
      </c>
      <c r="U4" s="2">
        <f>IFERROR(IF('3 Electricity'!$G$34='3 Electricity'!$V$34,0,VLOOKUP('E Summary'!U3,'3 Electricity'!$F$64:$N$68,8,FALSE)),0)</f>
        <v>0</v>
      </c>
      <c r="V4" s="2">
        <f>IFERROR(IF('3 Electricity'!$G$34='3 Electricity'!$V$34,0,VLOOKUP('E Summary'!V3,'3 Electricity'!$F$64:$N$68,8,FALSE)),0)</f>
        <v>0</v>
      </c>
      <c r="W4" s="2">
        <f>IFERROR(IF('3 Electricity'!$G$34='3 Electricity'!$V$34,0,VLOOKUP('E Summary'!W3,'3 Electricity'!$F$64:$N$68,8,FALSE)),0)</f>
        <v>0</v>
      </c>
      <c r="X4" s="2">
        <f>IFERROR(IF('3 Electricity'!$G$34='3 Electricity'!$V$34,0,VLOOKUP('E Summary'!X3,'3 Electricity'!$F$64:$N$68,8,FALSE)),0)</f>
        <v>0</v>
      </c>
      <c r="Y4" s="2">
        <f ca="1">IFERROR(IF('3 Electricity'!$G$34='3 Electricity'!$V$34,0,VLOOKUP(Y3,'3 Electricity'!$F$64:$N$68,9,FALSE)),0)</f>
        <v>2.5551974602507785</v>
      </c>
      <c r="Z4" s="2">
        <f>IFERROR(IF('3 Electricity'!$G$34='3 Electricity'!$V$34,0,VLOOKUP(Z3,'3 Electricity'!$F$64:$N$68,9,FALSE)),0)</f>
        <v>0</v>
      </c>
      <c r="AA4" s="2">
        <f>IFERROR(IF('3 Electricity'!$G$34='3 Electricity'!$V$34,0,VLOOKUP(AA3,'3 Electricity'!$F$64:$N$68,9,FALSE)),0)</f>
        <v>0</v>
      </c>
      <c r="AB4" s="2">
        <f>IFERROR(IF('3 Electricity'!$G$34='3 Electricity'!$V$34,0,VLOOKUP(AB3,'3 Electricity'!$F$64:$N$68,9,FALSE)),0)</f>
        <v>0</v>
      </c>
      <c r="AC4" s="2">
        <f>IFERROR(IF('3 Electricity'!$G$34='3 Electricity'!$V$34,0,VLOOKUP(AC3,'3 Electricity'!$F$64:$N$68,9,FALSE)),0)</f>
        <v>0</v>
      </c>
    </row>
    <row r="5" spans="1:29" x14ac:dyDescent="0.55000000000000004">
      <c r="A5" t="str">
        <f>'2 Customer data'!D94</f>
        <v>Bulk Customers MV: TOU</v>
      </c>
      <c r="B5" s="2">
        <f>'3 Electricity'!I88</f>
        <v>0</v>
      </c>
      <c r="C5" s="2" t="str">
        <f>'3 Electricity'!G96</f>
        <v xml:space="preserve">Seasonal </v>
      </c>
      <c r="D5" s="4">
        <f>IF('3 Electricity'!G96='3 Electricity'!V96,'3 Electricity'!I103,'3 Electricity'!I119)</f>
        <v>1</v>
      </c>
      <c r="E5" s="2">
        <f>IFERROR(IF('3 Electricity'!$G$96='3 Electricity'!$V$96,VLOOKUP('E Summary'!E$3,'3 Electricity'!$F$107:$K$111,2,FALSE),VLOOKUP('E Summary'!E$3,'3 Electricity'!$F$126:$N$130,2,FALSE)),0)</f>
        <v>0</v>
      </c>
      <c r="F5" s="2">
        <f>IFERROR(IF('3 Electricity'!$G$96='3 Electricity'!$V$96,VLOOKUP('E Summary'!F$3,'3 Electricity'!$F$107:$K$111,2,FALSE),VLOOKUP('E Summary'!F$3,'3 Electricity'!$F$126:$N$130,2,FALSE)),0)</f>
        <v>0</v>
      </c>
      <c r="G5" s="2">
        <f>IFERROR(IF('3 Electricity'!$G$96='3 Electricity'!$V$96,VLOOKUP('E Summary'!G$3,'3 Electricity'!$F$107:$K$111,2,FALSE),VLOOKUP('E Summary'!G$3,'3 Electricity'!$F$126:$N$130,2,FALSE)),0)</f>
        <v>0</v>
      </c>
      <c r="H5" s="2">
        <f>IFERROR(IF('3 Electricity'!$G$96='3 Electricity'!$V$96,VLOOKUP('E Summary'!H$3,'3 Electricity'!$F$107:$K$111,2,FALSE),VLOOKUP('E Summary'!H$3,'3 Electricity'!$F$126:$N$130,2,FALSE)),0)</f>
        <v>0</v>
      </c>
      <c r="I5" s="2">
        <f>IFERROR(IF('3 Electricity'!$G$96='3 Electricity'!$V$96,VLOOKUP('E Summary'!I$3,'3 Electricity'!$F$107:$K$111,2,FALSE),VLOOKUP('E Summary'!I$3,'3 Electricity'!$F$126:$N$130,2,FALSE)),0)</f>
        <v>0</v>
      </c>
      <c r="J5" s="2">
        <f>IFERROR(IF('3 Electricity'!$G$96='3 Electricity'!$V$96,VLOOKUP('E Summary'!J$3,'3 Electricity'!$F$107:$K$111,3,FALSE),VLOOKUP('E Summary'!J$3,'3 Electricity'!$F$126:$N$130,3,FALSE)),0)</f>
        <v>0</v>
      </c>
      <c r="K5" s="2">
        <f>IFERROR(IF('3 Electricity'!$G$96='3 Electricity'!$V$96,VLOOKUP('E Summary'!K$3,'3 Electricity'!$F$107:$K$111,3,FALSE),VLOOKUP('E Summary'!K$3,'3 Electricity'!$F$126:$N$130,3,FALSE)),0)</f>
        <v>0</v>
      </c>
      <c r="L5" s="2">
        <f>IFERROR(IF('3 Electricity'!$G$96='3 Electricity'!$V$96,VLOOKUP('E Summary'!L$3,'3 Electricity'!$F$107:$K$111,3,FALSE),VLOOKUP('E Summary'!L$3,'3 Electricity'!$F$126:$N$130,3,FALSE)),0)</f>
        <v>0</v>
      </c>
      <c r="M5" s="2">
        <f>IFERROR(IF('3 Electricity'!$G$96='3 Electricity'!$V$96,VLOOKUP('E Summary'!M$3,'3 Electricity'!$F$107:$K$111,3,FALSE),VLOOKUP('E Summary'!M$3,'3 Electricity'!$F$126:$N$130,3,FALSE)),0)</f>
        <v>0</v>
      </c>
      <c r="N5" s="2">
        <f>IFERROR(IF('3 Electricity'!$G$96='3 Electricity'!$V$96,VLOOKUP('E Summary'!N$3,'3 Electricity'!$F$107:$K$111,3,FALSE),VLOOKUP('E Summary'!N$3,'3 Electricity'!$F$126:$N$130,3,FALSE)),0)</f>
        <v>0</v>
      </c>
      <c r="O5" s="2">
        <f>IFERROR(IF('3 Electricity'!$G$96='3 Electricity'!$V$96,VLOOKUP('E Summary'!O$3,'3 Electricity'!$F$107:$K$111,6,FALSE),0),0)</f>
        <v>0</v>
      </c>
      <c r="P5" s="2">
        <f>IFERROR(IF('3 Electricity'!$G$96='3 Electricity'!$V$96,VLOOKUP('E Summary'!P$3,'3 Electricity'!$F$107:$K$111,6,FALSE),0),0)</f>
        <v>0</v>
      </c>
      <c r="Q5" s="2">
        <f>IFERROR(IF('3 Electricity'!$G$96='3 Electricity'!$V$96,VLOOKUP('E Summary'!Q$3,'3 Electricity'!$F$107:$K$111,6,FALSE),0),0)</f>
        <v>0</v>
      </c>
      <c r="R5" s="2">
        <f>IFERROR(IF('3 Electricity'!$G$96='3 Electricity'!$V$96,VLOOKUP('E Summary'!R$3,'3 Electricity'!$F$107:$K$111,6,FALSE),0),0)</f>
        <v>0</v>
      </c>
      <c r="S5" s="2">
        <f>IFERROR(IF('3 Electricity'!$G$96='3 Electricity'!$V$96,VLOOKUP('E Summary'!S$3,'3 Electricity'!$F$107:$K$111,6,FALSE),0),0)</f>
        <v>0</v>
      </c>
      <c r="T5" s="2">
        <f ca="1">IFERROR(IF('3 Electricity'!$G$96='3 Electricity'!$V$96,0,VLOOKUP('E Summary'!T$3,'3 Electricity'!$F$126:$N$130,8,FALSE)),0)</f>
        <v>3.1918000814117646</v>
      </c>
      <c r="U5" s="2">
        <f>IFERROR(IF('3 Electricity'!$G$96='3 Electricity'!$V$96,0,VLOOKUP('E Summary'!U$3,'3 Electricity'!$F$126:$N$130,8,FALSE)),0)</f>
        <v>0</v>
      </c>
      <c r="V5" s="2">
        <f>IFERROR(IF('3 Electricity'!$G$96='3 Electricity'!$V$96,0,VLOOKUP('E Summary'!V$3,'3 Electricity'!$F$126:$N$130,8,FALSE)),0)</f>
        <v>0</v>
      </c>
      <c r="W5" s="2">
        <f>IFERROR(IF('3 Electricity'!$G$96='3 Electricity'!$V$96,0,VLOOKUP('E Summary'!W$3,'3 Electricity'!$F$126:$N$130,8,FALSE)),0)</f>
        <v>0</v>
      </c>
      <c r="X5" s="2">
        <f>IFERROR(IF('3 Electricity'!$G$96='3 Electricity'!$V$96,0,VLOOKUP('E Summary'!X$3,'3 Electricity'!$F$126:$N$130,8,FALSE)),0)</f>
        <v>0</v>
      </c>
      <c r="Y5" s="2">
        <f ca="1">IFERROR(IF('3 Electricity'!$G$96='3 Electricity'!$V$96,0,VLOOKUP('E Summary'!Y$3,'3 Electricity'!$F$126:$N$130,9,FALSE)),0)</f>
        <v>2.5212233858303432</v>
      </c>
      <c r="Z5" s="2">
        <f>IFERROR(IF('3 Electricity'!$G$96='3 Electricity'!$V$96,0,VLOOKUP('E Summary'!Z$3,'3 Electricity'!$F$126:$N$130,9,FALSE)),0)</f>
        <v>0</v>
      </c>
      <c r="AA5" s="2">
        <f>IFERROR(IF('3 Electricity'!$G$96='3 Electricity'!$V$96,0,VLOOKUP('E Summary'!AA$3,'3 Electricity'!$F$126:$N$130,9,FALSE)),0)</f>
        <v>0</v>
      </c>
      <c r="AB5" s="2">
        <f>IFERROR(IF('3 Electricity'!$G$96='3 Electricity'!$V$96,0,VLOOKUP('E Summary'!AB$3,'3 Electricity'!$F$126:$N$130,9,FALSE)),0)</f>
        <v>0</v>
      </c>
      <c r="AC5" s="2">
        <f>IFERROR(IF('3 Electricity'!$G$96='3 Electricity'!$V$96,0,VLOOKUP('E Summary'!AC$3,'3 Electricity'!$F$126:$N$130,9,FALSE)),0)</f>
        <v>0</v>
      </c>
    </row>
    <row r="6" spans="1:29" x14ac:dyDescent="0.55000000000000004">
      <c r="A6" t="str">
        <f>'2 Customer data'!D95</f>
        <v>Small Customers: Commercial</v>
      </c>
      <c r="B6" s="6">
        <f>'3 Electricity'!I150</f>
        <v>0</v>
      </c>
      <c r="C6" s="6" t="str">
        <f>'3 Electricity'!G158</f>
        <v xml:space="preserve">Annual </v>
      </c>
      <c r="D6" s="7">
        <f>IF('3 Electricity'!G158='3 Electricity'!V158,'3 Electricity'!I165,'3 Electricity'!I181)</f>
        <v>1</v>
      </c>
      <c r="E6" s="6">
        <f>IFERROR(IF('3 Electricity'!$G$158='3 Electricity'!$V$158,VLOOKUP('E Summary'!E$3,'3 Electricity'!$F$169:$K$173,2,FALSE),VLOOKUP('E Summary'!E$3,'3 Electricity'!$F$188:$N$192,2,FALSE)),0)</f>
        <v>0</v>
      </c>
      <c r="F6" s="6">
        <f>IFERROR(IF('3 Electricity'!$G$158='3 Electricity'!$V$158,VLOOKUP('E Summary'!F$3,'3 Electricity'!$F$169:$K$173,2,FALSE),VLOOKUP('E Summary'!F$3,'3 Electricity'!$F$188:$N$192,2,FALSE)),0)</f>
        <v>0</v>
      </c>
      <c r="G6" s="6">
        <f>IFERROR(IF('3 Electricity'!$G$158='3 Electricity'!$V$158,VLOOKUP('E Summary'!G$3,'3 Electricity'!$F$169:$K$173,2,FALSE),VLOOKUP('E Summary'!G$3,'3 Electricity'!$F$188:$N$192,2,FALSE)),0)</f>
        <v>0</v>
      </c>
      <c r="H6" s="6">
        <f>IFERROR(IF('3 Electricity'!$G$158='3 Electricity'!$V$158,VLOOKUP('E Summary'!H$3,'3 Electricity'!$F$169:$K$173,2,FALSE),VLOOKUP('E Summary'!H$3,'3 Electricity'!$F$188:$N$192,2,FALSE)),0)</f>
        <v>0</v>
      </c>
      <c r="I6" s="6">
        <f>IFERROR(IF('3 Electricity'!$G$158='3 Electricity'!$V$158,VLOOKUP('E Summary'!I$3,'3 Electricity'!$F$169:$K$173,2,FALSE),VLOOKUP('E Summary'!I$3,'3 Electricity'!$F$188:$N$192,2,FALSE)),0)</f>
        <v>0</v>
      </c>
      <c r="J6" s="6" t="str">
        <f>IFERROR(IF('3 Electricity'!$G$158='3 Electricity'!$V$158,VLOOKUP('E Summary'!J$3,'3 Electricity'!$F$169:$K$173,3,FALSE),VLOOKUP('E Summary'!J$3,'3 Electricity'!$F$188:$N$192,3,FALSE)),0)</f>
        <v>more</v>
      </c>
      <c r="K6" s="6">
        <f>IFERROR(IF('3 Electricity'!$G$158='3 Electricity'!$V$158,VLOOKUP('E Summary'!K$3,'3 Electricity'!$F$169:$K$173,3,FALSE),VLOOKUP('E Summary'!K$3,'3 Electricity'!$F$188:$N$192,3,FALSE)),0)</f>
        <v>0</v>
      </c>
      <c r="L6" s="6">
        <f>IFERROR(IF('3 Electricity'!$G$158='3 Electricity'!$V$158,VLOOKUP('E Summary'!L$3,'3 Electricity'!$F$169:$K$173,3,FALSE),VLOOKUP('E Summary'!L$3,'3 Electricity'!$F$188:$N$192,3,FALSE)),0)</f>
        <v>0</v>
      </c>
      <c r="M6" s="6">
        <f>IFERROR(IF('3 Electricity'!$G$158='3 Electricity'!$V$158,VLOOKUP('E Summary'!M$3,'3 Electricity'!$F$169:$K$173,3,FALSE),VLOOKUP('E Summary'!M$3,'3 Electricity'!$F$188:$N$192,3,FALSE)),0)</f>
        <v>0</v>
      </c>
      <c r="N6" s="6">
        <f>IFERROR(IF('3 Electricity'!$G$158='3 Electricity'!$V$158,VLOOKUP('E Summary'!N$3,'3 Electricity'!$F$169:$K$173,3,FALSE),VLOOKUP('E Summary'!N$3,'3 Electricity'!$F$188:$N$192,3,FALSE)),0)</f>
        <v>0</v>
      </c>
      <c r="O6" s="6">
        <f ca="1">IFERROR(IF('3 Electricity'!$G$158='3 Electricity'!$V$158,VLOOKUP('E Summary'!O$3,'3 Electricity'!$F$169:$K$173,6,FALSE),0),0)</f>
        <v>3.2608831006816787</v>
      </c>
      <c r="P6" s="6">
        <f>IFERROR(IF('3 Electricity'!$G$158='3 Electricity'!$V$158,VLOOKUP('E Summary'!P$3,'3 Electricity'!$F$169:$K$173,6,FALSE),0),0)</f>
        <v>0</v>
      </c>
      <c r="Q6" s="6">
        <f>IFERROR(IF('3 Electricity'!$G$158='3 Electricity'!$V$158,VLOOKUP('E Summary'!Q$3,'3 Electricity'!$F$169:$K$173,6,FALSE),0),0)</f>
        <v>0</v>
      </c>
      <c r="R6" s="6">
        <f>IFERROR(IF('3 Electricity'!$G$158='3 Electricity'!$V$158,VLOOKUP('E Summary'!R$3,'3 Electricity'!$F$169:$K$173,6,FALSE),0),0)</f>
        <v>0</v>
      </c>
      <c r="S6" s="6">
        <f>IFERROR(IF('3 Electricity'!$G$158='3 Electricity'!$V$158,VLOOKUP('E Summary'!S$3,'3 Electricity'!$F$169:$K$173,6,FALSE),0),0)</f>
        <v>0</v>
      </c>
      <c r="T6" s="6">
        <f>IFERROR(IF('3 Electricity'!$G$158='3 Electricity'!$V$158,0,VLOOKUP('E Summary'!T$3,'3 Electricity'!$F$188:$N$192,8,FALSE)),0)</f>
        <v>0</v>
      </c>
      <c r="U6" s="6">
        <f>IFERROR(IF('3 Electricity'!$G$158='3 Electricity'!$V$158,0,VLOOKUP('E Summary'!U$3,'3 Electricity'!$F$188:$N$192,8,FALSE)),0)</f>
        <v>0</v>
      </c>
      <c r="V6" s="6">
        <f>IFERROR(IF('3 Electricity'!$G$158='3 Electricity'!$V$158,0,VLOOKUP('E Summary'!V$3,'3 Electricity'!$F$188:$N$192,8,FALSE)),0)</f>
        <v>0</v>
      </c>
      <c r="W6" s="6">
        <f>IFERROR(IF('3 Electricity'!$G$158='3 Electricity'!$V$158,0,VLOOKUP('E Summary'!W$3,'3 Electricity'!$F$188:$N$192,8,FALSE)),0)</f>
        <v>0</v>
      </c>
      <c r="X6" s="6">
        <f>IFERROR(IF('3 Electricity'!$G$158='3 Electricity'!$V$158,0,VLOOKUP('E Summary'!X$3,'3 Electricity'!$F$188:$N$192,8,FALSE)),0)</f>
        <v>0</v>
      </c>
      <c r="Y6" s="6">
        <f>IFERROR(IF('3 Electricity'!$G$158='3 Electricity'!$V$158,0,VLOOKUP('E Summary'!Y$3,'3 Electricity'!$F$188:$N$192,9,FALSE)),0)</f>
        <v>0</v>
      </c>
      <c r="Z6" s="6">
        <f>IFERROR(IF('3 Electricity'!$G$158='3 Electricity'!$V$158,0,VLOOKUP('E Summary'!Z$3,'3 Electricity'!$F$188:$N$192,9,FALSE)),0)</f>
        <v>0</v>
      </c>
      <c r="AA6" s="6">
        <f>IFERROR(IF('3 Electricity'!$G$158='3 Electricity'!$V$158,0,VLOOKUP('E Summary'!AA$3,'3 Electricity'!$F$188:$N$192,9,FALSE)),0)</f>
        <v>0</v>
      </c>
      <c r="AB6" s="6">
        <f>IFERROR(IF('3 Electricity'!$G$158='3 Electricity'!$V$158,0,VLOOKUP('E Summary'!AB$3,'3 Electricity'!$F$188:$N$192,9,FALSE)),0)</f>
        <v>0</v>
      </c>
      <c r="AC6" s="6">
        <f>IFERROR(IF('3 Electricity'!$G$158='3 Electricity'!$V$158,0,VLOOKUP('E Summary'!AC$3,'3 Electricity'!$F$188:$N$192,9,FALSE)),0)</f>
        <v>0</v>
      </c>
    </row>
    <row r="7" spans="1:29" x14ac:dyDescent="0.55000000000000004">
      <c r="A7" t="str">
        <f>'2 Customer data'!D96</f>
        <v>Small Customers: TOU</v>
      </c>
      <c r="B7" s="6">
        <f>'3 Electricity'!I212</f>
        <v>0</v>
      </c>
      <c r="C7" s="6" t="str">
        <f>'3 Electricity'!G220</f>
        <v xml:space="preserve">Seasonal </v>
      </c>
      <c r="D7" s="7">
        <f>IF('3 Electricity'!G220='3 Electricity'!V220,'3 Electricity'!I227,'3 Electricity'!I243)</f>
        <v>1</v>
      </c>
      <c r="E7" s="6">
        <f>IFERROR(IF('3 Electricity'!$G$220='3 Electricity'!$V$220,VLOOKUP('E Summary'!E$3,'3 Electricity'!$F$231:$K$235,2,FALSE),VLOOKUP('E Summary'!E$3,'3 Electricity'!$F$250:$N$254,2,FALSE)),0)</f>
        <v>0</v>
      </c>
      <c r="F7" s="6">
        <f>IFERROR(IF('3 Electricity'!$G$220='3 Electricity'!$V$220,VLOOKUP('E Summary'!F$3,'3 Electricity'!$F$231:$K$235,2,FALSE),VLOOKUP('E Summary'!F$3,'3 Electricity'!$F$250:$N$254,2,FALSE)),0)</f>
        <v>0</v>
      </c>
      <c r="G7" s="6">
        <f>IFERROR(IF('3 Electricity'!$G$220='3 Electricity'!$V$220,VLOOKUP('E Summary'!G$3,'3 Electricity'!$F$231:$K$235,2,FALSE),VLOOKUP('E Summary'!G$3,'3 Electricity'!$F$250:$N$254,2,FALSE)),0)</f>
        <v>0</v>
      </c>
      <c r="H7" s="6">
        <f>IFERROR(IF('3 Electricity'!$G$220='3 Electricity'!$V$220,VLOOKUP('E Summary'!H$3,'3 Electricity'!$F$231:$K$235,2,FALSE),VLOOKUP('E Summary'!H$3,'3 Electricity'!$F$250:$N$254,2,FALSE)),0)</f>
        <v>0</v>
      </c>
      <c r="I7" s="6">
        <f>IFERROR(IF('3 Electricity'!$G$220='3 Electricity'!$V$220,VLOOKUP('E Summary'!I$3,'3 Electricity'!$F$231:$K$235,2,FALSE),VLOOKUP('E Summary'!I$3,'3 Electricity'!$F$250:$N$254,2,FALSE)),0)</f>
        <v>0</v>
      </c>
      <c r="J7" s="6">
        <f>IFERROR(IF('3 Electricity'!$G$220='3 Electricity'!$V$220,VLOOKUP('E Summary'!J$3,'3 Electricity'!$F$231:$K$235,3,FALSE),VLOOKUP('E Summary'!J$3,'3 Electricity'!$F$250:$N$254,3,FALSE)),0)</f>
        <v>0</v>
      </c>
      <c r="K7" s="6">
        <f>IFERROR(IF('3 Electricity'!$G$220='3 Electricity'!$V$220,VLOOKUP('E Summary'!K$3,'3 Electricity'!$F$231:$K$235,3,FALSE),VLOOKUP('E Summary'!K$3,'3 Electricity'!$F$250:$N$254,3,FALSE)),0)</f>
        <v>0</v>
      </c>
      <c r="L7" s="6">
        <f>IFERROR(IF('3 Electricity'!$G$220='3 Electricity'!$V$220,VLOOKUP('E Summary'!L$3,'3 Electricity'!$F$231:$K$235,3,FALSE),VLOOKUP('E Summary'!L$3,'3 Electricity'!$F$250:$N$254,3,FALSE)),0)</f>
        <v>0</v>
      </c>
      <c r="M7" s="6">
        <f>IFERROR(IF('3 Electricity'!$G$220='3 Electricity'!$V$220,VLOOKUP('E Summary'!M$3,'3 Electricity'!$F$231:$K$235,3,FALSE),VLOOKUP('E Summary'!M$3,'3 Electricity'!$F$250:$N$254,3,FALSE)),0)</f>
        <v>0</v>
      </c>
      <c r="N7" s="6">
        <f>IFERROR(IF('3 Electricity'!$G$220='3 Electricity'!$V$220,VLOOKUP('E Summary'!N$3,'3 Electricity'!$F$231:$K$235,3,FALSE),VLOOKUP('E Summary'!N$3,'3 Electricity'!$F$250:$N$254,3,FALSE)),0)</f>
        <v>0</v>
      </c>
      <c r="O7" s="6">
        <f>IFERROR(IF('3 Electricity'!$G$220='3 Electricity'!$V$220,VLOOKUP('E Summary'!O$3,'3 Electricity'!$F$231:$K$235,6,FALSE),0),0)</f>
        <v>0</v>
      </c>
      <c r="P7" s="6">
        <f>IFERROR(IF('3 Electricity'!$G$220='3 Electricity'!$V$220,VLOOKUP('E Summary'!P$3,'3 Electricity'!$F$231:$K$235,6,FALSE),0),0)</f>
        <v>0</v>
      </c>
      <c r="Q7" s="6">
        <f>IFERROR(IF('3 Electricity'!$G$220='3 Electricity'!$V$220,VLOOKUP('E Summary'!Q$3,'3 Electricity'!$F$231:$K$235,6,FALSE),0),0)</f>
        <v>0</v>
      </c>
      <c r="R7" s="6">
        <f>IFERROR(IF('3 Electricity'!$G$220='3 Electricity'!$V$220,VLOOKUP('E Summary'!R$3,'3 Electricity'!$F$231:$K$235,6,FALSE),0),0)</f>
        <v>0</v>
      </c>
      <c r="S7" s="6">
        <f>IFERROR(IF('3 Electricity'!$G$220='3 Electricity'!$V$220,VLOOKUP('E Summary'!S$3,'3 Electricity'!$F$231:$K$235,6,FALSE),0),0)</f>
        <v>0</v>
      </c>
      <c r="T7" s="6">
        <f ca="1">IFERROR(IF('3 Electricity'!$G$220='3 Electricity'!$V$220,0,VLOOKUP('E Summary'!T$3,'3 Electricity'!$F$250:$N$254,8,FALSE)),0)</f>
        <v>4.193932908488045</v>
      </c>
      <c r="U7" s="6">
        <f>IFERROR(IF('3 Electricity'!$G$220='3 Electricity'!$V$220,0,VLOOKUP('E Summary'!U$3,'3 Electricity'!$F$250:$N$254,8,FALSE)),0)</f>
        <v>0</v>
      </c>
      <c r="V7" s="6">
        <f>IFERROR(IF('3 Electricity'!$G$220='3 Electricity'!$V$220,0,VLOOKUP('E Summary'!V$3,'3 Electricity'!$F$250:$N$254,8,FALSE)),0)</f>
        <v>0</v>
      </c>
      <c r="W7" s="6">
        <f>IFERROR(IF('3 Electricity'!$G$220='3 Electricity'!$V$220,0,VLOOKUP('E Summary'!W$3,'3 Electricity'!$F$250:$N$254,8,FALSE)),0)</f>
        <v>0</v>
      </c>
      <c r="X7" s="6">
        <f>IFERROR(IF('3 Electricity'!$G$220='3 Electricity'!$V$220,0,VLOOKUP('E Summary'!X$3,'3 Electricity'!$F$250:$N$254,8,FALSE)),0)</f>
        <v>0</v>
      </c>
      <c r="Y7" s="6">
        <f ca="1">IFERROR(IF('3 Electricity'!$G$220='3 Electricity'!$V$220,0,VLOOKUP('E Summary'!Y$3,'3 Electricity'!$F$250:$N$254,9,FALSE)),0)</f>
        <v>3.3128886177056009</v>
      </c>
      <c r="Z7" s="6">
        <f>IFERROR(IF('3 Electricity'!$G$220='3 Electricity'!$V$220,0,VLOOKUP('E Summary'!Z$3,'3 Electricity'!$F$250:$N$254,9,FALSE)),0)</f>
        <v>0</v>
      </c>
      <c r="AA7" s="6">
        <f>IFERROR(IF('3 Electricity'!$G$220='3 Electricity'!$V$220,0,VLOOKUP('E Summary'!AA$3,'3 Electricity'!$F$250:$N$254,9,FALSE)),0)</f>
        <v>0</v>
      </c>
      <c r="AB7" s="6">
        <f>IFERROR(IF('3 Electricity'!$G$220='3 Electricity'!$V$220,0,VLOOKUP('E Summary'!AB$3,'3 Electricity'!$F$250:$N$254,9,FALSE)),0)</f>
        <v>0</v>
      </c>
      <c r="AC7" s="6">
        <f>IFERROR(IF('3 Electricity'!$G$220='3 Electricity'!$V$220,0,VLOOKUP('E Summary'!AC$3,'3 Electricity'!$F$250:$N$254,9,FALSE)),0)</f>
        <v>0</v>
      </c>
    </row>
    <row r="8" spans="1:29" x14ac:dyDescent="0.55000000000000004">
      <c r="A8" t="str">
        <f>'2 Customer data'!D97</f>
        <v>Domestic</v>
      </c>
      <c r="B8" s="6">
        <f>'3 Electricity'!I274</f>
        <v>0</v>
      </c>
      <c r="C8" s="6" t="str">
        <f>'3 Electricity'!G282</f>
        <v xml:space="preserve">Annual </v>
      </c>
      <c r="D8" s="7">
        <f>IF('3 Electricity'!G282='3 Electricity'!V282,'3 Electricity'!I289,'3 Electricity'!I305)</f>
        <v>1</v>
      </c>
      <c r="E8" s="6">
        <f>IFERROR(IF('3 Electricity'!$G$282='3 Electricity'!$V$282,VLOOKUP('E Summary'!E$3,'3 Electricity'!$F$293:$K$297,2,FALSE),VLOOKUP('E Summary'!E$3,'3 Electricity'!$F$312:$N$316,2,FALSE)),0)</f>
        <v>0</v>
      </c>
      <c r="F8" s="6">
        <f>IFERROR(IF('3 Electricity'!$G$282='3 Electricity'!$V$282,VLOOKUP('E Summary'!F$3,'3 Electricity'!$F$293:$K$297,2,FALSE),VLOOKUP('E Summary'!F$3,'3 Electricity'!$F$312:$N$316,2,FALSE)),0)</f>
        <v>0</v>
      </c>
      <c r="G8" s="6">
        <f>IFERROR(IF('3 Electricity'!$G$282='3 Electricity'!$V$282,VLOOKUP('E Summary'!G$3,'3 Electricity'!$F$293:$K$297,2,FALSE),VLOOKUP('E Summary'!G$3,'3 Electricity'!$F$312:$N$316,2,FALSE)),0)</f>
        <v>0</v>
      </c>
      <c r="H8" s="6">
        <f>IFERROR(IF('3 Electricity'!$G$282='3 Electricity'!$V$282,VLOOKUP('E Summary'!H$3,'3 Electricity'!$F$293:$K$297,2,FALSE),VLOOKUP('E Summary'!H$3,'3 Electricity'!$F$312:$N$316,2,FALSE)),0)</f>
        <v>0</v>
      </c>
      <c r="I8" s="6">
        <f>IFERROR(IF('3 Electricity'!$G$282='3 Electricity'!$V$282,VLOOKUP('E Summary'!I$3,'3 Electricity'!$F$293:$K$297,2,FALSE),VLOOKUP('E Summary'!I$3,'3 Electricity'!$F$312:$N$316,2,FALSE)),0)</f>
        <v>0</v>
      </c>
      <c r="J8" s="6">
        <f>IFERROR(IF('3 Electricity'!$G$282='3 Electricity'!$V$282,VLOOKUP('E Summary'!J$3,'3 Electricity'!$F$293:$K$297,3,FALSE),VLOOKUP('E Summary'!J$3,'3 Electricity'!$F$312:$N$316,3,FALSE)),0)</f>
        <v>0</v>
      </c>
      <c r="K8" s="6">
        <f>IFERROR(IF('3 Electricity'!$G$282='3 Electricity'!$V$282,VLOOKUP('E Summary'!K$3,'3 Electricity'!$F$293:$K$297,3,FALSE),VLOOKUP('E Summary'!K$3,'3 Electricity'!$F$312:$N$316,3,FALSE)),0)</f>
        <v>0</v>
      </c>
      <c r="L8" s="6">
        <f>IFERROR(IF('3 Electricity'!$G$282='3 Electricity'!$V$282,VLOOKUP('E Summary'!L$3,'3 Electricity'!$F$293:$K$297,3,FALSE),VLOOKUP('E Summary'!L$3,'3 Electricity'!$F$312:$N$316,3,FALSE)),0)</f>
        <v>0</v>
      </c>
      <c r="M8" s="6">
        <f>IFERROR(IF('3 Electricity'!$G$282='3 Electricity'!$V$282,VLOOKUP('E Summary'!M$3,'3 Electricity'!$F$293:$K$297,3,FALSE),VLOOKUP('E Summary'!M$3,'3 Electricity'!$F$312:$N$316,3,FALSE)),0)</f>
        <v>0</v>
      </c>
      <c r="N8" s="6">
        <f>IFERROR(IF('3 Electricity'!$G$282='3 Electricity'!$V$282,VLOOKUP('E Summary'!N$3,'3 Electricity'!$F$293:$K$297,3,FALSE),VLOOKUP('E Summary'!N$3,'3 Electricity'!$F$312:$N$316,3,FALSE)),0)</f>
        <v>0</v>
      </c>
      <c r="O8" s="6">
        <f ca="1">IFERROR(IF('3 Electricity'!$G$282='3 Electricity'!$V$282,VLOOKUP('E Summary'!O$3,'3 Electricity'!$F$293:$K$297,6,FALSE),0),0)</f>
        <v>14.878552585771075</v>
      </c>
      <c r="P8" s="6">
        <f>IFERROR(IF('3 Electricity'!$G$282='3 Electricity'!$V$282,VLOOKUP('E Summary'!P$3,'3 Electricity'!$F$293:$K$297,6,FALSE),0),0)</f>
        <v>0</v>
      </c>
      <c r="Q8" s="6">
        <f>IFERROR(IF('3 Electricity'!$G$282='3 Electricity'!$V$282,VLOOKUP('E Summary'!Q$3,'3 Electricity'!$F$293:$K$297,6,FALSE),0),0)</f>
        <v>0</v>
      </c>
      <c r="R8" s="6">
        <f>IFERROR(IF('3 Electricity'!$G$282='3 Electricity'!$V$282,VLOOKUP('E Summary'!R$3,'3 Electricity'!$F$293:$K$297,6,FALSE),0),0)</f>
        <v>0</v>
      </c>
      <c r="S8" s="6">
        <f>IFERROR(IF('3 Electricity'!$G$282='3 Electricity'!$V$282,VLOOKUP('E Summary'!S$3,'3 Electricity'!$F$293:$K$297,6,FALSE),0),0)</f>
        <v>0</v>
      </c>
      <c r="T8" s="6">
        <f>IFERROR(IF('3 Electricity'!$G$282='3 Electricity'!$V$282,0,VLOOKUP('E Summary'!T$3,'3 Electricity'!$F$312:$N$316,8,FALSE)),0)</f>
        <v>0</v>
      </c>
      <c r="U8" s="6">
        <f>IFERROR(IF('3 Electricity'!$G$282='3 Electricity'!$V$282,0,VLOOKUP('E Summary'!U$3,'3 Electricity'!$F$312:$N$316,8,FALSE)),0)</f>
        <v>0</v>
      </c>
      <c r="V8" s="6">
        <f>IFERROR(IF('3 Electricity'!$G$282='3 Electricity'!$V$282,0,VLOOKUP('E Summary'!V$3,'3 Electricity'!$F$312:$N$316,8,FALSE)),0)</f>
        <v>0</v>
      </c>
      <c r="W8" s="6">
        <f>IFERROR(IF('3 Electricity'!$G$282='3 Electricity'!$V$282,0,VLOOKUP('E Summary'!W$3,'3 Electricity'!$F$312:$N$316,8,FALSE)),0)</f>
        <v>0</v>
      </c>
      <c r="X8" s="6">
        <f>IFERROR(IF('3 Electricity'!$G$282='3 Electricity'!$V$282,0,VLOOKUP('E Summary'!X$3,'3 Electricity'!$F$312:$N$316,8,FALSE)),0)</f>
        <v>0</v>
      </c>
      <c r="Y8" s="6">
        <f>IFERROR(IF('3 Electricity'!$G$282='3 Electricity'!$V$282,0,VLOOKUP('E Summary'!Y$3,'3 Electricity'!$F$312:$N$316,9,FALSE)),0)</f>
        <v>0</v>
      </c>
      <c r="Z8" s="6">
        <f>IFERROR(IF('3 Electricity'!$G$282='3 Electricity'!$V$282,0,VLOOKUP('E Summary'!Z$3,'3 Electricity'!$F$312:$N$316,9,FALSE)),0)</f>
        <v>0</v>
      </c>
      <c r="AA8" s="6">
        <f>IFERROR(IF('3 Electricity'!$G$282='3 Electricity'!$V$282,0,VLOOKUP('E Summary'!AA$3,'3 Electricity'!$F$312:$N$316,9,FALSE)),0)</f>
        <v>0</v>
      </c>
      <c r="AB8" s="6">
        <f>IFERROR(IF('3 Electricity'!$G$282='3 Electricity'!$V$282,0,VLOOKUP('E Summary'!AB$3,'3 Electricity'!$F$312:$N$316,9,FALSE)),0)</f>
        <v>0</v>
      </c>
      <c r="AC8" s="6">
        <f>IFERROR(IF('3 Electricity'!$G$282='3 Electricity'!$V$282,0,VLOOKUP('E Summary'!AC$3,'3 Electricity'!$F$312:$N$316,9,FALSE)),0)</f>
        <v>0</v>
      </c>
    </row>
    <row r="9" spans="1:29" x14ac:dyDescent="0.55000000000000004">
      <c r="A9" t="str">
        <f>'2 Customer data'!D98</f>
        <v>Prepaid: Domestic</v>
      </c>
      <c r="B9" s="6">
        <f>'3 Electricity'!I336</f>
        <v>0</v>
      </c>
      <c r="C9" s="6" t="str">
        <f>'3 Electricity'!G344</f>
        <v xml:space="preserve">Annual </v>
      </c>
      <c r="D9" s="7">
        <f>IF('3 Electricity'!G344='3 Electricity'!V344,'3 Electricity'!I351,'3 Electricity'!I367)</f>
        <v>1</v>
      </c>
      <c r="E9" s="6">
        <f>IFERROR(IF('3 Electricity'!$G$344='3 Electricity'!$V$344,VLOOKUP('E Summary'!E$3,'3 Electricity'!$F$355:$K$359,2,FALSE),VLOOKUP('E Summary'!E$3,'3 Electricity'!$F$374:$N$378,2,FALSE)),0)</f>
        <v>0</v>
      </c>
      <c r="F9" s="6">
        <f>IFERROR(IF('3 Electricity'!$G$344='3 Electricity'!$V$344,VLOOKUP('E Summary'!F$3,'3 Electricity'!$F$355:$K$359,2,FALSE),VLOOKUP('E Summary'!F$3,'3 Electricity'!$F$374:$N$378,2,FALSE)),0)</f>
        <v>0</v>
      </c>
      <c r="G9" s="6">
        <f>IFERROR(IF('3 Electricity'!$G$344='3 Electricity'!$V$344,VLOOKUP('E Summary'!G$3,'3 Electricity'!$F$355:$K$359,2,FALSE),VLOOKUP('E Summary'!G$3,'3 Electricity'!$F$374:$N$378,2,FALSE)),0)</f>
        <v>0</v>
      </c>
      <c r="H9" s="6">
        <f>IFERROR(IF('3 Electricity'!$G$344='3 Electricity'!$V$344,VLOOKUP('E Summary'!H$3,'3 Electricity'!$F$355:$K$359,2,FALSE),VLOOKUP('E Summary'!H$3,'3 Electricity'!$F$374:$N$378,2,FALSE)),0)</f>
        <v>0</v>
      </c>
      <c r="I9" s="6">
        <f>IFERROR(IF('3 Electricity'!$G$344='3 Electricity'!$V$344,VLOOKUP('E Summary'!I$3,'3 Electricity'!$F$355:$K$359,2,FALSE),VLOOKUP('E Summary'!I$3,'3 Electricity'!$F$374:$N$378,2,FALSE)),0)</f>
        <v>0</v>
      </c>
      <c r="J9" s="6">
        <f>IFERROR(IF('3 Electricity'!$G$344='3 Electricity'!$V$344,VLOOKUP('E Summary'!J$3,'3 Electricity'!$F$355:$K$359,3,FALSE),VLOOKUP('E Summary'!J$3,'3 Electricity'!$F$374:$N$378,3,FALSE)),0)</f>
        <v>0</v>
      </c>
      <c r="K9" s="6">
        <f>IFERROR(IF('3 Electricity'!$G$344='3 Electricity'!$V$344,VLOOKUP('E Summary'!K$3,'3 Electricity'!$F$355:$K$359,3,FALSE),VLOOKUP('E Summary'!K$3,'3 Electricity'!$F$374:$N$378,3,FALSE)),0)</f>
        <v>0</v>
      </c>
      <c r="L9" s="6">
        <f>IFERROR(IF('3 Electricity'!$G$344='3 Electricity'!$V$344,VLOOKUP('E Summary'!L$3,'3 Electricity'!$F$355:$K$359,3,FALSE),VLOOKUP('E Summary'!L$3,'3 Electricity'!$F$374:$N$378,3,FALSE)),0)</f>
        <v>0</v>
      </c>
      <c r="M9" s="6">
        <f>IFERROR(IF('3 Electricity'!$G$344='3 Electricity'!$V$344,VLOOKUP('E Summary'!M$3,'3 Electricity'!$F$355:$K$359,3,FALSE),VLOOKUP('E Summary'!M$3,'3 Electricity'!$F$374:$N$378,3,FALSE)),0)</f>
        <v>0</v>
      </c>
      <c r="N9" s="6">
        <f>IFERROR(IF('3 Electricity'!$G$344='3 Electricity'!$V$344,VLOOKUP('E Summary'!N$3,'3 Electricity'!$F$355:$K$359,3,FALSE),VLOOKUP('E Summary'!N$3,'3 Electricity'!$F$374:$N$378,3,FALSE)),0)</f>
        <v>0</v>
      </c>
      <c r="O9" s="6">
        <f ca="1">IFERROR(IF('3 Electricity'!$G$344='3 Electricity'!$V$344,VLOOKUP('E Summary'!O$3,'3 Electricity'!$F$355:$K$359,6,FALSE),0),0)</f>
        <v>4.6411254823075101</v>
      </c>
      <c r="P9" s="6">
        <f>IFERROR(IF('3 Electricity'!$G$344='3 Electricity'!$V$344,VLOOKUP('E Summary'!P$3,'3 Electricity'!$F$355:$K$359,6,FALSE),0),0)</f>
        <v>0</v>
      </c>
      <c r="Q9" s="6">
        <f>IFERROR(IF('3 Electricity'!$G$344='3 Electricity'!$V$344,VLOOKUP('E Summary'!Q$3,'3 Electricity'!$F$355:$K$359,6,FALSE),0),0)</f>
        <v>0</v>
      </c>
      <c r="R9" s="6">
        <f>IFERROR(IF('3 Electricity'!$G$344='3 Electricity'!$V$344,VLOOKUP('E Summary'!R$3,'3 Electricity'!$F$355:$K$359,6,FALSE),0),0)</f>
        <v>0</v>
      </c>
      <c r="S9" s="6">
        <f>IFERROR(IF('3 Electricity'!$G$344='3 Electricity'!$V$344,VLOOKUP('E Summary'!S$3,'3 Electricity'!$F$355:$K$359,6,FALSE),0),0)</f>
        <v>0</v>
      </c>
      <c r="T9" s="6">
        <f>IFERROR(IF('3 Electricity'!$G$344='3 Electricity'!$V$344,0,VLOOKUP('E Summary'!T$3,'3 Electricity'!$F$374:$N$378,8,FALSE)),0)</f>
        <v>0</v>
      </c>
      <c r="U9" s="6">
        <f>IFERROR(IF('3 Electricity'!$G$344='3 Electricity'!$V$344,0,VLOOKUP('E Summary'!U$3,'3 Electricity'!$F$374:$N$378,8,FALSE)),0)</f>
        <v>0</v>
      </c>
      <c r="V9" s="6">
        <f>IFERROR(IF('3 Electricity'!$G$344='3 Electricity'!$V$344,0,VLOOKUP('E Summary'!V$3,'3 Electricity'!$F$374:$N$378,8,FALSE)),0)</f>
        <v>0</v>
      </c>
      <c r="W9" s="6">
        <f>IFERROR(IF('3 Electricity'!$G$344='3 Electricity'!$V$344,0,VLOOKUP('E Summary'!W$3,'3 Electricity'!$F$374:$N$378,8,FALSE)),0)</f>
        <v>0</v>
      </c>
      <c r="X9" s="6">
        <f>IFERROR(IF('3 Electricity'!$G$344='3 Electricity'!$V$344,0,VLOOKUP('E Summary'!X$3,'3 Electricity'!$F$374:$N$378,8,FALSE)),0)</f>
        <v>0</v>
      </c>
      <c r="Y9" s="6">
        <f>IFERROR(IF('3 Electricity'!$G$344='3 Electricity'!$V$344,0,VLOOKUP('E Summary'!Y$3,'3 Electricity'!$F$374:$N$378,9,FALSE)),0)</f>
        <v>0</v>
      </c>
      <c r="Z9" s="6">
        <f>IFERROR(IF('3 Electricity'!$G$344='3 Electricity'!$V$344,0,VLOOKUP('E Summary'!Z$3,'3 Electricity'!$F$374:$N$378,9,FALSE)),0)</f>
        <v>0</v>
      </c>
      <c r="AA9" s="6">
        <f>IFERROR(IF('3 Electricity'!$G$344='3 Electricity'!$V$344,0,VLOOKUP('E Summary'!AA$3,'3 Electricity'!$F$374:$N$378,9,FALSE)),0)</f>
        <v>0</v>
      </c>
      <c r="AB9" s="6">
        <f>IFERROR(IF('3 Electricity'!$G$344='3 Electricity'!$V$344,0,VLOOKUP('E Summary'!AB$3,'3 Electricity'!$F$374:$N$378,9,FALSE)),0)</f>
        <v>0</v>
      </c>
      <c r="AC9" s="6">
        <f>IFERROR(IF('3 Electricity'!$G$344='3 Electricity'!$V$344,0,VLOOKUP('E Summary'!AC$3,'3 Electricity'!$F$374:$N$378,9,FALSE)),0)</f>
        <v>0</v>
      </c>
    </row>
    <row r="10" spans="1:29" x14ac:dyDescent="0.55000000000000004">
      <c r="A10" t="str">
        <f>'2 Customer data'!D99</f>
        <v>Prepaid:  Domestic Lifeline</v>
      </c>
      <c r="B10" s="6">
        <f>'3 Electricity'!I398</f>
        <v>0</v>
      </c>
      <c r="C10" s="6" t="str">
        <f>'3 Electricity'!G406</f>
        <v xml:space="preserve">Annual </v>
      </c>
      <c r="D10" s="7">
        <f>IF('3 Electricity'!G406='3 Electricity'!V406,'3 Electricity'!I413,'3 Electricity'!I429)</f>
        <v>1</v>
      </c>
      <c r="E10" s="6">
        <f>IFERROR(IF('3 Electricity'!$G$406='3 Electricity'!$V$406,VLOOKUP('E Summary'!E$3,'3 Electricity'!$F$417:$K$421,2,FALSE),VLOOKUP('E Summary'!E$3,'3 Electricity'!$F$436:$N$440,2,FALSE)),0)</f>
        <v>0</v>
      </c>
      <c r="F10" s="6">
        <f>IFERROR(IF('3 Electricity'!$G$406='3 Electricity'!$V$406,VLOOKUP('E Summary'!F$3,'3 Electricity'!$F$417:$K$421,2,FALSE),VLOOKUP('E Summary'!F$3,'3 Electricity'!$F$436:$N$440,2,FALSE)),0)</f>
        <v>0</v>
      </c>
      <c r="G10" s="6">
        <f>IFERROR(IF('3 Electricity'!$G$406='3 Electricity'!$V$406,VLOOKUP('E Summary'!G$3,'3 Electricity'!$F$417:$K$421,2,FALSE),VLOOKUP('E Summary'!G$3,'3 Electricity'!$F$436:$N$440,2,FALSE)),0)</f>
        <v>0</v>
      </c>
      <c r="H10" s="6">
        <f>IFERROR(IF('3 Electricity'!$G$406='3 Electricity'!$V$406,VLOOKUP('E Summary'!H$3,'3 Electricity'!$F$417:$K$421,2,FALSE),VLOOKUP('E Summary'!H$3,'3 Electricity'!$F$436:$N$440,2,FALSE)),0)</f>
        <v>0</v>
      </c>
      <c r="I10" s="6">
        <f>IFERROR(IF('3 Electricity'!$G$406='3 Electricity'!$V$406,VLOOKUP('E Summary'!I$3,'3 Electricity'!$F$417:$K$421,2,FALSE),VLOOKUP('E Summary'!I$3,'3 Electricity'!$F$436:$N$440,2,FALSE)),0)</f>
        <v>0</v>
      </c>
      <c r="J10" s="6">
        <f>IFERROR(IF('3 Electricity'!$G$406='3 Electricity'!$V$406,VLOOKUP('E Summary'!J$3,'3 Electricity'!$F$417:$K$421,3,FALSE),VLOOKUP('E Summary'!J$3,'3 Electricity'!$F$436:$N$440,3,FALSE)),0)</f>
        <v>0</v>
      </c>
      <c r="K10" s="6">
        <f>IFERROR(IF('3 Electricity'!$G$406='3 Electricity'!$V$406,VLOOKUP('E Summary'!K$3,'3 Electricity'!$F$417:$K$421,3,FALSE),VLOOKUP('E Summary'!K$3,'3 Electricity'!$F$436:$N$440,3,FALSE)),0)</f>
        <v>0</v>
      </c>
      <c r="L10" s="6">
        <f>IFERROR(IF('3 Electricity'!$G$406='3 Electricity'!$V$406,VLOOKUP('E Summary'!L$3,'3 Electricity'!$F$417:$K$421,3,FALSE),VLOOKUP('E Summary'!L$3,'3 Electricity'!$F$436:$N$440,3,FALSE)),0)</f>
        <v>0</v>
      </c>
      <c r="M10" s="6">
        <f>IFERROR(IF('3 Electricity'!$G$406='3 Electricity'!$V$406,VLOOKUP('E Summary'!M$3,'3 Electricity'!$F$417:$K$421,3,FALSE),VLOOKUP('E Summary'!M$3,'3 Electricity'!$F$436:$N$440,3,FALSE)),0)</f>
        <v>0</v>
      </c>
      <c r="N10" s="6">
        <f>IFERROR(IF('3 Electricity'!$G$406='3 Electricity'!$V$406,VLOOKUP('E Summary'!N$3,'3 Electricity'!$F$417:$K$421,3,FALSE),VLOOKUP('E Summary'!N$3,'3 Electricity'!$F$436:$N$440,3,FALSE)),0)</f>
        <v>0</v>
      </c>
      <c r="O10" s="6">
        <f ca="1">IFERROR(IF('3 Electricity'!$G$406='3 Electricity'!$V$406,VLOOKUP('E Summary'!O$3,'3 Electricity'!$F$417:$K$421,6,FALSE),0),0)</f>
        <v>6.4231901085446648</v>
      </c>
      <c r="P10" s="6">
        <f>IFERROR(IF('3 Electricity'!$G$406='3 Electricity'!$V$406,VLOOKUP('E Summary'!P$3,'3 Electricity'!$F$417:$K$421,6,FALSE),0),0)</f>
        <v>0</v>
      </c>
      <c r="Q10" s="6">
        <f>IFERROR(IF('3 Electricity'!$G$406='3 Electricity'!$V$406,VLOOKUP('E Summary'!Q$3,'3 Electricity'!$F$417:$K$421,6,FALSE),0),0)</f>
        <v>0</v>
      </c>
      <c r="R10" s="6">
        <f>IFERROR(IF('3 Electricity'!$G$406='3 Electricity'!$V$406,VLOOKUP('E Summary'!R$3,'3 Electricity'!$F$417:$K$421,6,FALSE),0),0)</f>
        <v>0</v>
      </c>
      <c r="S10" s="6">
        <f>IFERROR(IF('3 Electricity'!$G$406='3 Electricity'!$V$406,VLOOKUP('E Summary'!S$3,'3 Electricity'!$F$417:$K$421,6,FALSE),0),0)</f>
        <v>0</v>
      </c>
      <c r="T10" s="6">
        <f>IFERROR(IF('3 Electricity'!$G$406='3 Electricity'!$V$406,0,VLOOKUP('E Summary'!T$3,'3 Electricity'!$F$436:$N$440,8,FALSE)),0)</f>
        <v>0</v>
      </c>
      <c r="U10" s="6">
        <f>IFERROR(IF('3 Electricity'!$G$406='3 Electricity'!$V$406,0,VLOOKUP('E Summary'!U$3,'3 Electricity'!$F$436:$N$440,8,FALSE)),0)</f>
        <v>0</v>
      </c>
      <c r="V10" s="6">
        <f>IFERROR(IF('3 Electricity'!$G$406='3 Electricity'!$V$406,0,VLOOKUP('E Summary'!V$3,'3 Electricity'!$F$436:$N$440,8,FALSE)),0)</f>
        <v>0</v>
      </c>
      <c r="W10" s="6">
        <f>IFERROR(IF('3 Electricity'!$G$406='3 Electricity'!$V$406,0,VLOOKUP('E Summary'!W$3,'3 Electricity'!$F$436:$N$440,8,FALSE)),0)</f>
        <v>0</v>
      </c>
      <c r="X10" s="6">
        <f>IFERROR(IF('3 Electricity'!$G$406='3 Electricity'!$V$406,0,VLOOKUP('E Summary'!X$3,'3 Electricity'!$F$436:$N$440,8,FALSE)),0)</f>
        <v>0</v>
      </c>
      <c r="Y10" s="6">
        <f>IFERROR(IF('3 Electricity'!$G$406='3 Electricity'!$V$406,0,VLOOKUP('E Summary'!Y$3,'3 Electricity'!$F$436:$N$440,9,FALSE)),0)</f>
        <v>0</v>
      </c>
      <c r="Z10" s="6">
        <f>IFERROR(IF('3 Electricity'!$G$406='3 Electricity'!$V$406,0,VLOOKUP('E Summary'!Z$3,'3 Electricity'!$F$436:$N$440,9,FALSE)),0)</f>
        <v>0</v>
      </c>
      <c r="AA10" s="6">
        <f>IFERROR(IF('3 Electricity'!$G$406='3 Electricity'!$V$406,0,VLOOKUP('E Summary'!AA$3,'3 Electricity'!$F$436:$N$440,9,FALSE)),0)</f>
        <v>0</v>
      </c>
      <c r="AB10" s="6">
        <f>IFERROR(IF('3 Electricity'!$G$406='3 Electricity'!$V$406,0,VLOOKUP('E Summary'!AB$3,'3 Electricity'!$F$436:$N$440,9,FALSE)),0)</f>
        <v>0</v>
      </c>
      <c r="AC10" s="6">
        <f>IFERROR(IF('3 Electricity'!$G$406='3 Electricity'!$V$406,0,VLOOKUP('E Summary'!AC$3,'3 Electricity'!$F$436:$N$440,9,FALSE)),0)</f>
        <v>0</v>
      </c>
    </row>
    <row r="11" spans="1:29" x14ac:dyDescent="0.55000000000000004">
      <c r="A11" t="str">
        <f>'2 Customer data'!D100</f>
        <v>Prepaid: Indigent</v>
      </c>
      <c r="B11" s="6">
        <f>'3 Electricity'!I460</f>
        <v>0</v>
      </c>
      <c r="C11" s="6" t="str">
        <f>'3 Electricity'!G468</f>
        <v xml:space="preserve">Annual </v>
      </c>
      <c r="D11" s="7">
        <f>IF('3 Electricity'!G468='3 Electricity'!V468,'3 Electricity'!I475,'3 Electricity'!I491)</f>
        <v>1</v>
      </c>
      <c r="E11" s="6">
        <f>IFERROR(IF('3 Electricity'!$G$468='3 Electricity'!$V$468,VLOOKUP('E Summary'!E$3,'3 Electricity'!$F$479:$K$483,2,FALSE),VLOOKUP('E Summary'!E$3,'3 Electricity'!$F$498:$N$502,2,FALSE)),0)</f>
        <v>0</v>
      </c>
      <c r="F11" s="6">
        <f>IFERROR(IF('3 Electricity'!$G$468='3 Electricity'!$V$468,VLOOKUP('E Summary'!F$3,'3 Electricity'!$F$479:$K$483,2,FALSE),VLOOKUP('E Summary'!F$3,'3 Electricity'!$F$498:$N$502,2,FALSE)),0)</f>
        <v>0</v>
      </c>
      <c r="G11" s="6">
        <f>IFERROR(IF('3 Electricity'!$G$468='3 Electricity'!$V$468,VLOOKUP('E Summary'!G$3,'3 Electricity'!$F$479:$K$483,2,FALSE),VLOOKUP('E Summary'!G$3,'3 Electricity'!$F$498:$N$502,2,FALSE)),0)</f>
        <v>0</v>
      </c>
      <c r="H11" s="6">
        <f>IFERROR(IF('3 Electricity'!$G$468='3 Electricity'!$V$468,VLOOKUP('E Summary'!H$3,'3 Electricity'!$F$479:$K$483,2,FALSE),VLOOKUP('E Summary'!H$3,'3 Electricity'!$F$498:$N$502,2,FALSE)),0)</f>
        <v>0</v>
      </c>
      <c r="I11" s="6">
        <f>IFERROR(IF('3 Electricity'!$G$468='3 Electricity'!$V$468,VLOOKUP('E Summary'!I$3,'3 Electricity'!$F$479:$K$483,2,FALSE),VLOOKUP('E Summary'!I$3,'3 Electricity'!$F$498:$N$502,2,FALSE)),0)</f>
        <v>0</v>
      </c>
      <c r="J11" s="6">
        <f>IFERROR(IF('3 Electricity'!$G$468='3 Electricity'!$V$468,VLOOKUP('E Summary'!J$3,'3 Electricity'!$F$479:$K$483,3,FALSE),VLOOKUP('E Summary'!J$3,'3 Electricity'!$F$498:$N$502,3,FALSE)),0)</f>
        <v>0</v>
      </c>
      <c r="K11" s="6">
        <f>IFERROR(IF('3 Electricity'!$G$468='3 Electricity'!$V$468,VLOOKUP('E Summary'!K$3,'3 Electricity'!$F$479:$K$483,3,FALSE),VLOOKUP('E Summary'!K$3,'3 Electricity'!$F$498:$N$502,3,FALSE)),0)</f>
        <v>0</v>
      </c>
      <c r="L11" s="6">
        <f>IFERROR(IF('3 Electricity'!$G$468='3 Electricity'!$V$468,VLOOKUP('E Summary'!L$3,'3 Electricity'!$F$479:$K$483,3,FALSE),VLOOKUP('E Summary'!L$3,'3 Electricity'!$F$498:$N$502,3,FALSE)),0)</f>
        <v>0</v>
      </c>
      <c r="M11" s="6">
        <f>IFERROR(IF('3 Electricity'!$G$468='3 Electricity'!$V$468,VLOOKUP('E Summary'!M$3,'3 Electricity'!$F$479:$K$483,3,FALSE),VLOOKUP('E Summary'!M$3,'3 Electricity'!$F$498:$N$502,3,FALSE)),0)</f>
        <v>0</v>
      </c>
      <c r="N11" s="6">
        <f>IFERROR(IF('3 Electricity'!$G$468='3 Electricity'!$V$468,VLOOKUP('E Summary'!N$3,'3 Electricity'!$F$479:$K$483,3,FALSE),VLOOKUP('E Summary'!N$3,'3 Electricity'!$F$498:$N$502,3,FALSE)),0)</f>
        <v>0</v>
      </c>
      <c r="O11" s="6">
        <f ca="1">IFERROR(IF('3 Electricity'!$G$468='3 Electricity'!$V$468,VLOOKUP('E Summary'!O$3,'3 Electricity'!$F$479:$K$483,6,FALSE),0),0)</f>
        <v>2.993874325157218</v>
      </c>
      <c r="P11" s="6">
        <f>IFERROR(IF('3 Electricity'!$G$468='3 Electricity'!$V$468,VLOOKUP('E Summary'!P$3,'3 Electricity'!$F$479:$K$483,6,FALSE),0),0)</f>
        <v>0</v>
      </c>
      <c r="Q11" s="6">
        <f>IFERROR(IF('3 Electricity'!$G$468='3 Electricity'!$V$468,VLOOKUP('E Summary'!Q$3,'3 Electricity'!$F$479:$K$483,6,FALSE),0),0)</f>
        <v>0</v>
      </c>
      <c r="R11" s="6">
        <f>IFERROR(IF('3 Electricity'!$G$468='3 Electricity'!$V$468,VLOOKUP('E Summary'!R$3,'3 Electricity'!$F$479:$K$483,6,FALSE),0),0)</f>
        <v>0</v>
      </c>
      <c r="S11" s="6">
        <f>IFERROR(IF('3 Electricity'!$G$468='3 Electricity'!$V$468,VLOOKUP('E Summary'!S$3,'3 Electricity'!$F$479:$K$483,6,FALSE),0),0)</f>
        <v>0</v>
      </c>
      <c r="T11" s="6">
        <f>IFERROR(IF('3 Electricity'!$G$468='3 Electricity'!$V$468,0,VLOOKUP('E Summary'!T$3,'3 Electricity'!$F$498:$N$502,8,FALSE)),0)</f>
        <v>0</v>
      </c>
      <c r="U11" s="6">
        <f>IFERROR(IF('3 Electricity'!$G$468='3 Electricity'!$V$468,0,VLOOKUP('E Summary'!U$3,'3 Electricity'!$F$498:$N$502,8,FALSE)),0)</f>
        <v>0</v>
      </c>
      <c r="V11" s="6">
        <f>IFERROR(IF('3 Electricity'!$G$468='3 Electricity'!$V$468,0,VLOOKUP('E Summary'!V$3,'3 Electricity'!$F$498:$N$502,8,FALSE)),0)</f>
        <v>0</v>
      </c>
      <c r="W11" s="6">
        <f>IFERROR(IF('3 Electricity'!$G$468='3 Electricity'!$V$468,0,VLOOKUP('E Summary'!W$3,'3 Electricity'!$F$498:$N$502,8,FALSE)),0)</f>
        <v>0</v>
      </c>
      <c r="X11" s="6">
        <f>IFERROR(IF('3 Electricity'!$G$468='3 Electricity'!$V$468,0,VLOOKUP('E Summary'!X$3,'3 Electricity'!$F$498:$N$502,8,FALSE)),0)</f>
        <v>0</v>
      </c>
      <c r="Y11" s="6">
        <f>IFERROR(IF('3 Electricity'!$G$468='3 Electricity'!$V$468,0,VLOOKUP('E Summary'!Y$3,'3 Electricity'!$F$498:$N$502,9,FALSE)),0)</f>
        <v>0</v>
      </c>
      <c r="Z11" s="6">
        <f>IFERROR(IF('3 Electricity'!$G$468='3 Electricity'!$V$468,0,VLOOKUP('E Summary'!Z$3,'3 Electricity'!$F$498:$N$502,9,FALSE)),0)</f>
        <v>0</v>
      </c>
      <c r="AA11" s="6">
        <f>IFERROR(IF('3 Electricity'!$G$468='3 Electricity'!$V$468,0,VLOOKUP('E Summary'!AA$3,'3 Electricity'!$F$498:$N$502,9,FALSE)),0)</f>
        <v>0</v>
      </c>
      <c r="AB11" s="6">
        <f>IFERROR(IF('3 Electricity'!$G$468='3 Electricity'!$V$468,0,VLOOKUP('E Summary'!AB$3,'3 Electricity'!$F$498:$N$502,9,FALSE)),0)</f>
        <v>0</v>
      </c>
      <c r="AC11" s="6">
        <f>IFERROR(IF('3 Electricity'!$G$468='3 Electricity'!$V$468,0,VLOOKUP('E Summary'!AC$3,'3 Electricity'!$F$498:$N$502,9,FALSE)),0)</f>
        <v>0</v>
      </c>
    </row>
    <row r="12" spans="1:29" x14ac:dyDescent="0.55000000000000004">
      <c r="A12" t="str">
        <f>'2 Customer data'!D101</f>
        <v>Prepaid: Commercial</v>
      </c>
      <c r="B12" s="2">
        <f>'3 Electricity'!I522</f>
        <v>0</v>
      </c>
      <c r="C12" s="2" t="str">
        <f>'3 Electricity'!G530</f>
        <v xml:space="preserve">Annual </v>
      </c>
      <c r="D12" s="4">
        <f>IF('3 Electricity'!G530='3 Electricity'!V530,'3 Electricity'!I537,'3 Electricity'!I553)</f>
        <v>1</v>
      </c>
      <c r="E12" s="6">
        <f>IFERROR(IF('3 Electricity'!$G$530='3 Electricity'!$V$530,VLOOKUP('E Summary'!E$3,'3 Electricity'!$F$541:$K$545,2,FALSE),VLOOKUP('E Summary'!E$3,'3 Electricity'!$F$560:$N$564,2,FALSE)),0)</f>
        <v>0</v>
      </c>
      <c r="F12" s="6">
        <f>IFERROR(IF('3 Electricity'!$G$530='3 Electricity'!$V$530,VLOOKUP('E Summary'!F$3,'3 Electricity'!$F$541:$K$545,2,FALSE),VLOOKUP('E Summary'!F$3,'3 Electricity'!$F$560:$N$564,2,FALSE)),0)</f>
        <v>0</v>
      </c>
      <c r="G12" s="6">
        <f>IFERROR(IF('3 Electricity'!$G$530='3 Electricity'!$V$530,VLOOKUP('E Summary'!G$3,'3 Electricity'!$F$541:$K$545,2,FALSE),VLOOKUP('E Summary'!G$3,'3 Electricity'!$F$560:$N$564,2,FALSE)),0)</f>
        <v>0</v>
      </c>
      <c r="H12" s="6">
        <f>IFERROR(IF('3 Electricity'!$G$530='3 Electricity'!$V$530,VLOOKUP('E Summary'!H$3,'3 Electricity'!$F$541:$K$545,2,FALSE),VLOOKUP('E Summary'!H$3,'3 Electricity'!$F$560:$N$564,2,FALSE)),0)</f>
        <v>0</v>
      </c>
      <c r="I12" s="6">
        <f>IFERROR(IF('3 Electricity'!$G$530='3 Electricity'!$V$530,VLOOKUP('E Summary'!I$3,'3 Electricity'!$F$541:$K$545,2,FALSE),VLOOKUP('E Summary'!I$3,'3 Electricity'!$F$560:$N$564,2,FALSE)),0)</f>
        <v>0</v>
      </c>
      <c r="J12" s="6">
        <f>IFERROR(IF('3 Electricity'!$G$530='3 Electricity'!$V$530,VLOOKUP('E Summary'!J$3,'3 Electricity'!$F$541:$K$545,3,FALSE),VLOOKUP('E Summary'!J$3,'3 Electricity'!$F$560:$N$564,3,FALSE)),0)</f>
        <v>0</v>
      </c>
      <c r="K12" s="6">
        <f>IFERROR(IF('3 Electricity'!$G$530='3 Electricity'!$V$530,VLOOKUP('E Summary'!K$3,'3 Electricity'!$F$541:$K$545,3,FALSE),VLOOKUP('E Summary'!K$3,'3 Electricity'!$F$560:$N$564,3,FALSE)),0)</f>
        <v>0</v>
      </c>
      <c r="L12" s="6">
        <f>IFERROR(IF('3 Electricity'!$G$530='3 Electricity'!$V$530,VLOOKUP('E Summary'!L$3,'3 Electricity'!$F$541:$K$545,3,FALSE),VLOOKUP('E Summary'!L$3,'3 Electricity'!$F$560:$N$564,3,FALSE)),0)</f>
        <v>0</v>
      </c>
      <c r="M12" s="6">
        <f>IFERROR(IF('3 Electricity'!$G$530='3 Electricity'!$V$530,VLOOKUP('E Summary'!M$3,'3 Electricity'!$F$541:$K$545,3,FALSE),VLOOKUP('E Summary'!M$3,'3 Electricity'!$F$560:$N$564,3,FALSE)),0)</f>
        <v>0</v>
      </c>
      <c r="N12" s="6">
        <f>IFERROR(IF('3 Electricity'!$G$530='3 Electricity'!$V$530,VLOOKUP('E Summary'!N$3,'3 Electricity'!$F$541:$K$545,3,FALSE),VLOOKUP('E Summary'!N$3,'3 Electricity'!$F$560:$N$564,3,FALSE)),0)</f>
        <v>0</v>
      </c>
      <c r="O12" s="6">
        <f ca="1">IFERROR(IF('3 Electricity'!$G$530='3 Electricity'!$V$530,VLOOKUP('E Summary'!O$3,'3 Electricity'!$F$541:$K$545,6,FALSE),0),0)</f>
        <v>3.2560691215176032</v>
      </c>
      <c r="P12" s="6">
        <f>IFERROR(IF('3 Electricity'!$G$530='3 Electricity'!$V$530,VLOOKUP('E Summary'!P$3,'3 Electricity'!$F$541:$K$545,6,FALSE),0),0)</f>
        <v>0</v>
      </c>
      <c r="Q12" s="6">
        <f>IFERROR(IF('3 Electricity'!$G$530='3 Electricity'!$V$530,VLOOKUP('E Summary'!Q$3,'3 Electricity'!$F$541:$K$545,6,FALSE),0),0)</f>
        <v>0</v>
      </c>
      <c r="R12" s="6">
        <f>IFERROR(IF('3 Electricity'!$G$530='3 Electricity'!$V$530,VLOOKUP('E Summary'!R$3,'3 Electricity'!$F$541:$K$545,6,FALSE),0),0)</f>
        <v>0</v>
      </c>
      <c r="S12" s="6">
        <f>IFERROR(IF('3 Electricity'!$G$530='3 Electricity'!$V$530,VLOOKUP('E Summary'!S$3,'3 Electricity'!$F$541:$K$545,6,FALSE),0),0)</f>
        <v>0</v>
      </c>
      <c r="T12" s="6">
        <f>IFERROR(IF('3 Electricity'!$G$530='3 Electricity'!$V$530,0,VLOOKUP('E Summary'!T$3,'3 Electricity'!$F$560:$N$564,8,FALSE)),0)</f>
        <v>0</v>
      </c>
      <c r="U12" s="6">
        <f>IFERROR(IF('3 Electricity'!$G$530='3 Electricity'!$V$530,0,VLOOKUP('E Summary'!U$3,'3 Electricity'!$F$560:$N$564,8,FALSE)),0)</f>
        <v>0</v>
      </c>
      <c r="V12" s="6">
        <f>IFERROR(IF('3 Electricity'!$G$530='3 Electricity'!$V$530,0,VLOOKUP('E Summary'!V$3,'3 Electricity'!$F$560:$N$564,8,FALSE)),0)</f>
        <v>0</v>
      </c>
      <c r="W12" s="6">
        <f>IFERROR(IF('3 Electricity'!$G$530='3 Electricity'!$V$530,0,VLOOKUP('E Summary'!W$3,'3 Electricity'!$F$560:$N$564,8,FALSE)),0)</f>
        <v>0</v>
      </c>
      <c r="X12" s="6">
        <f>IFERROR(IF('3 Electricity'!$G$530='3 Electricity'!$V$530,0,VLOOKUP('E Summary'!X$3,'3 Electricity'!$F$560:$N$564,8,FALSE)),0)</f>
        <v>0</v>
      </c>
      <c r="Y12" s="6">
        <f>IFERROR(IF('3 Electricity'!$G$530='3 Electricity'!$V$530,0,VLOOKUP('E Summary'!Y$3,'3 Electricity'!$F$560:$N$564,9,FALSE)),0)</f>
        <v>0</v>
      </c>
      <c r="Z12" s="6">
        <f>IFERROR(IF('3 Electricity'!$G$530='3 Electricity'!$V$530,0,VLOOKUP('E Summary'!Z$3,'3 Electricity'!$F$560:$N$564,9,FALSE)),0)</f>
        <v>0</v>
      </c>
      <c r="AA12" s="6">
        <f>IFERROR(IF('3 Electricity'!$G$530='3 Electricity'!$V$530,0,VLOOKUP('E Summary'!AA$3,'3 Electricity'!$F$560:$N$564,9,FALSE)),0)</f>
        <v>0</v>
      </c>
      <c r="AB12" s="6">
        <f>IFERROR(IF('3 Electricity'!$G$530='3 Electricity'!$V$530,0,VLOOKUP('E Summary'!AB$3,'3 Electricity'!$F$560:$N$564,9,FALSE)),0)</f>
        <v>0</v>
      </c>
      <c r="AC12" s="6">
        <f>IFERROR(IF('3 Electricity'!$G$530='3 Electricity'!$V$530,0,VLOOKUP('E Summary'!AC$3,'3 Electricity'!$F$560:$N$564,9,FALSE)),0)</f>
        <v>0</v>
      </c>
    </row>
    <row r="13" spans="1:29" x14ac:dyDescent="0.55000000000000004">
      <c r="A13">
        <f>'2 Customer data'!D102</f>
        <v>0</v>
      </c>
      <c r="B13" s="2">
        <f>'3 Electricity'!I584</f>
        <v>0</v>
      </c>
      <c r="C13" s="2" t="str">
        <f>'3 Electricity'!G592</f>
        <v xml:space="preserve">Annual </v>
      </c>
      <c r="D13" s="4">
        <f>IF('3 Electricity'!G592='3 Electricity'!V592,'3 Electricity'!I599,'3 Electricity'!I615)</f>
        <v>5</v>
      </c>
      <c r="E13" s="6">
        <f>IFERROR(IF('3 Electricity'!$G$592='3 Electricity'!$V$592,VLOOKUP('E Summary'!E$3,'3 Electricity'!$F$603:$K$607,2,FALSE),VLOOKUP('E Summary'!E$3,'3 Electricity'!$F$622:$N$626,2,FALSE)),0)</f>
        <v>0</v>
      </c>
      <c r="F13" s="6">
        <f>IFERROR(IF('3 Electricity'!$G$592='3 Electricity'!$V$592,VLOOKUP('E Summary'!F$3,'3 Electricity'!$F$603:$K$607,2,FALSE),VLOOKUP('E Summary'!F$3,'3 Electricity'!$F$622:$N$626,2,FALSE)),0)</f>
        <v>0.01</v>
      </c>
      <c r="G13" s="6">
        <f>IFERROR(IF('3 Electricity'!$G$592='3 Electricity'!$V$592,VLOOKUP('E Summary'!G$3,'3 Electricity'!$F$603:$K$607,2,FALSE),VLOOKUP('E Summary'!G$3,'3 Electricity'!$F$622:$N$626,2,FALSE)),0)</f>
        <v>0.01</v>
      </c>
      <c r="H13" s="6">
        <f>IFERROR(IF('3 Electricity'!$G$592='3 Electricity'!$V$592,VLOOKUP('E Summary'!H$3,'3 Electricity'!$F$603:$K$607,2,FALSE),VLOOKUP('E Summary'!H$3,'3 Electricity'!$F$622:$N$626,2,FALSE)),0)</f>
        <v>0.01</v>
      </c>
      <c r="I13" s="6">
        <f>IFERROR(IF('3 Electricity'!$G$592='3 Electricity'!$V$592,VLOOKUP('E Summary'!I$3,'3 Electricity'!$F$603:$K$607,2,FALSE),VLOOKUP('E Summary'!I$3,'3 Electricity'!$F$622:$N$626,2,FALSE)),0)</f>
        <v>0.01</v>
      </c>
      <c r="J13" s="6">
        <f>IFERROR(IF('3 Electricity'!$G$592='3 Electricity'!$V$592,VLOOKUP('E Summary'!J$3,'3 Electricity'!$F$603:$K$607,3,FALSE),VLOOKUP('E Summary'!J$3,'3 Electricity'!$F$622:$N$626,3,FALSE)),0)</f>
        <v>0</v>
      </c>
      <c r="K13" s="6">
        <f>IFERROR(IF('3 Electricity'!$G$592='3 Electricity'!$V$592,VLOOKUP('E Summary'!K$3,'3 Electricity'!$F$603:$K$607,3,FALSE),VLOOKUP('E Summary'!K$3,'3 Electricity'!$F$622:$N$626,3,FALSE)),0)</f>
        <v>0</v>
      </c>
      <c r="L13" s="6">
        <f>IFERROR(IF('3 Electricity'!$G$592='3 Electricity'!$V$592,VLOOKUP('E Summary'!L$3,'3 Electricity'!$F$603:$K$607,3,FALSE),VLOOKUP('E Summary'!L$3,'3 Electricity'!$F$622:$N$626,3,FALSE)),0)</f>
        <v>0</v>
      </c>
      <c r="M13" s="6">
        <f>IFERROR(IF('3 Electricity'!$G$592='3 Electricity'!$V$592,VLOOKUP('E Summary'!M$3,'3 Electricity'!$F$603:$K$607,3,FALSE),VLOOKUP('E Summary'!M$3,'3 Electricity'!$F$622:$N$626,3,FALSE)),0)</f>
        <v>0</v>
      </c>
      <c r="N13" s="6" t="str">
        <f>IFERROR(IF('3 Electricity'!$G$592='3 Electricity'!$V$592,VLOOKUP('E Summary'!N$3,'3 Electricity'!$F$603:$K$607,3,FALSE),VLOOKUP('E Summary'!N$3,'3 Electricity'!$F$622:$N$626,3,FALSE)),0)</f>
        <v>More</v>
      </c>
      <c r="O13" s="6">
        <f ca="1">IFERROR(IF('3 Electricity'!$G$592='3 Electricity'!$V$592,VLOOKUP('E Summary'!O$3,'3 Electricity'!$F$603:$K$607,6,FALSE),0),0)</f>
        <v>0</v>
      </c>
      <c r="P13" s="6">
        <f ca="1">IFERROR(IF('3 Electricity'!$G$592='3 Electricity'!$V$592,VLOOKUP('E Summary'!P$3,'3 Electricity'!$F$603:$K$607,6,FALSE),0),0)</f>
        <v>0</v>
      </c>
      <c r="Q13" s="6">
        <f ca="1">IFERROR(IF('3 Electricity'!$G$592='3 Electricity'!$V$592,VLOOKUP('E Summary'!Q$3,'3 Electricity'!$F$603:$K$607,6,FALSE),0),0)</f>
        <v>0</v>
      </c>
      <c r="R13" s="6">
        <f ca="1">IFERROR(IF('3 Electricity'!$G$592='3 Electricity'!$V$592,VLOOKUP('E Summary'!R$3,'3 Electricity'!$F$603:$K$607,6,FALSE),0),0)</f>
        <v>0</v>
      </c>
      <c r="S13" s="6">
        <f ca="1">IFERROR(IF('3 Electricity'!$G$592='3 Electricity'!$V$592,VLOOKUP('E Summary'!S$3,'3 Electricity'!$F$603:$K$607,6,FALSE),0),0)</f>
        <v>0</v>
      </c>
      <c r="T13" s="6">
        <f>IFERROR(IF('3 Electricity'!$G$592='3 Electricity'!$V$592,0,VLOOKUP('E Summary'!T$3,'3 Electricity'!$F$622:$N$626,8,FALSE)),0)</f>
        <v>0</v>
      </c>
      <c r="U13" s="6">
        <f>IFERROR(IF('3 Electricity'!$G$592='3 Electricity'!$V$592,0,VLOOKUP('E Summary'!U$3,'3 Electricity'!$F$622:$N$626,8,FALSE)),0)</f>
        <v>0</v>
      </c>
      <c r="V13" s="6">
        <f>IFERROR(IF('3 Electricity'!$G$592='3 Electricity'!$V$592,0,VLOOKUP('E Summary'!V$3,'3 Electricity'!$F$622:$N$626,8,FALSE)),0)</f>
        <v>0</v>
      </c>
      <c r="W13" s="6">
        <f>IFERROR(IF('3 Electricity'!$G$592='3 Electricity'!$V$592,0,VLOOKUP('E Summary'!W$3,'3 Electricity'!$F$622:$N$626,8,FALSE)),0)</f>
        <v>0</v>
      </c>
      <c r="X13" s="6">
        <f>IFERROR(IF('3 Electricity'!$G$592='3 Electricity'!$V$592,0,VLOOKUP('E Summary'!X$3,'3 Electricity'!$F$622:$N$626,8,FALSE)),0)</f>
        <v>0</v>
      </c>
      <c r="Y13" s="6">
        <f>IFERROR(IF('3 Electricity'!$G$592='3 Electricity'!$V$592,0,VLOOKUP('E Summary'!Y$3,'3 Electricity'!$F$622:$N$626,9,FALSE)),0)</f>
        <v>0</v>
      </c>
      <c r="Z13" s="6">
        <f>IFERROR(IF('3 Electricity'!$G$592='3 Electricity'!$V$592,0,VLOOKUP('E Summary'!Z$3,'3 Electricity'!$F$622:$N$626,9,FALSE)),0)</f>
        <v>0</v>
      </c>
      <c r="AA13" s="6">
        <f>IFERROR(IF('3 Electricity'!$G$592='3 Electricity'!$V$592,0,VLOOKUP('E Summary'!AA$3,'3 Electricity'!$F$622:$N$626,9,FALSE)),0)</f>
        <v>0</v>
      </c>
      <c r="AB13" s="6">
        <f>IFERROR(IF('3 Electricity'!$G$592='3 Electricity'!$V$592,0,VLOOKUP('E Summary'!AB$3,'3 Electricity'!$F$622:$N$626,9,FALSE)),0)</f>
        <v>0</v>
      </c>
      <c r="AC13" s="6">
        <f>IFERROR(IF('3 Electricity'!$G$592='3 Electricity'!$V$592,0,VLOOKUP('E Summary'!AC$3,'3 Electricity'!$F$622:$N$626,9,FALSE)),0)</f>
        <v>0</v>
      </c>
    </row>
    <row r="14" spans="1:29" x14ac:dyDescent="0.55000000000000004">
      <c r="A14">
        <f>'2 Customer data'!D103</f>
        <v>0</v>
      </c>
      <c r="B14" s="2">
        <f>'3 Electricity'!I646</f>
        <v>0</v>
      </c>
      <c r="C14" s="2" t="str">
        <f>'3 Electricity'!G654</f>
        <v xml:space="preserve">Annual </v>
      </c>
      <c r="D14" s="4">
        <f>IF('3 Electricity'!G654='3 Electricity'!V654,'3 Electricity'!I661,'3 Electricity'!I677)</f>
        <v>5</v>
      </c>
      <c r="E14" s="6">
        <f>IFERROR(IF('3 Electricity'!$G$654='3 Electricity'!$V$654,VLOOKUP('E Summary'!E$3,'3 Electricity'!$F$665:$K$669,2,FALSE),VLOOKUP('E Summary'!E$3,'3 Electricity'!$F$684:$N$688,2,FALSE)),0)</f>
        <v>0</v>
      </c>
      <c r="F14" s="6">
        <f>IFERROR(IF('3 Electricity'!$G$654='3 Electricity'!$V$654,VLOOKUP('E Summary'!F$3,'3 Electricity'!$F$665:$K$669,2,FALSE),VLOOKUP('E Summary'!F$3,'3 Electricity'!$F$684:$N$688,2,FALSE)),0)</f>
        <v>0.01</v>
      </c>
      <c r="G14" s="6">
        <f>IFERROR(IF('3 Electricity'!$G$654='3 Electricity'!$V$654,VLOOKUP('E Summary'!G$3,'3 Electricity'!$F$665:$K$669,2,FALSE),VLOOKUP('E Summary'!G$3,'3 Electricity'!$F$684:$N$688,2,FALSE)),0)</f>
        <v>0.01</v>
      </c>
      <c r="H14" s="6">
        <f>IFERROR(IF('3 Electricity'!$G$654='3 Electricity'!$V$654,VLOOKUP('E Summary'!H$3,'3 Electricity'!$F$665:$K$669,2,FALSE),VLOOKUP('E Summary'!H$3,'3 Electricity'!$F$684:$N$688,2,FALSE)),0)</f>
        <v>0.01</v>
      </c>
      <c r="I14" s="6">
        <f>IFERROR(IF('3 Electricity'!$G$654='3 Electricity'!$V$654,VLOOKUP('E Summary'!I$3,'3 Electricity'!$F$665:$K$669,2,FALSE),VLOOKUP('E Summary'!I$3,'3 Electricity'!$F$684:$N$688,2,FALSE)),0)</f>
        <v>0.01</v>
      </c>
      <c r="J14" s="6">
        <f>IFERROR(IF('3 Electricity'!$G$654='3 Electricity'!$V$654,VLOOKUP('E Summary'!J$3,'3 Electricity'!$F$665:$K$669,3,FALSE),VLOOKUP('E Summary'!J$3,'3 Electricity'!$F$684:$N$688,3,FALSE)),0)</f>
        <v>0</v>
      </c>
      <c r="K14" s="6">
        <f>IFERROR(IF('3 Electricity'!$G$654='3 Electricity'!$V$654,VLOOKUP('E Summary'!K$3,'3 Electricity'!$F$665:$K$669,3,FALSE),VLOOKUP('E Summary'!K$3,'3 Electricity'!$F$684:$N$688,3,FALSE)),0)</f>
        <v>0</v>
      </c>
      <c r="L14" s="6">
        <f>IFERROR(IF('3 Electricity'!$G$654='3 Electricity'!$V$654,VLOOKUP('E Summary'!L$3,'3 Electricity'!$F$665:$K$669,3,FALSE),VLOOKUP('E Summary'!L$3,'3 Electricity'!$F$684:$N$688,3,FALSE)),0)</f>
        <v>0</v>
      </c>
      <c r="M14" s="6">
        <f>IFERROR(IF('3 Electricity'!$G$654='3 Electricity'!$V$654,VLOOKUP('E Summary'!M$3,'3 Electricity'!$F$665:$K$669,3,FALSE),VLOOKUP('E Summary'!M$3,'3 Electricity'!$F$684:$N$688,3,FALSE)),0)</f>
        <v>0</v>
      </c>
      <c r="N14" s="6" t="str">
        <f>IFERROR(IF('3 Electricity'!$G$654='3 Electricity'!$V$654,VLOOKUP('E Summary'!N$3,'3 Electricity'!$F$665:$K$669,3,FALSE),VLOOKUP('E Summary'!N$3,'3 Electricity'!$F$684:$N$688,3,FALSE)),0)</f>
        <v>More</v>
      </c>
      <c r="O14" s="6">
        <f ca="1">IFERROR(IF('3 Electricity'!$G$654='3 Electricity'!$V$654,VLOOKUP('E Summary'!O$3,'3 Electricity'!$F$665:$K$669,6,FALSE),0),0)</f>
        <v>0</v>
      </c>
      <c r="P14" s="6">
        <f ca="1">IFERROR(IF('3 Electricity'!$G$654='3 Electricity'!$V$654,VLOOKUP('E Summary'!P$3,'3 Electricity'!$F$665:$K$669,6,FALSE),0),0)</f>
        <v>0</v>
      </c>
      <c r="Q14" s="6">
        <f ca="1">IFERROR(IF('3 Electricity'!$G$654='3 Electricity'!$V$654,VLOOKUP('E Summary'!Q$3,'3 Electricity'!$F$665:$K$669,6,FALSE),0),0)</f>
        <v>0</v>
      </c>
      <c r="R14" s="6">
        <f ca="1">IFERROR(IF('3 Electricity'!$G$654='3 Electricity'!$V$654,VLOOKUP('E Summary'!R$3,'3 Electricity'!$F$665:$K$669,6,FALSE),0),0)</f>
        <v>0</v>
      </c>
      <c r="S14" s="6">
        <f ca="1">IFERROR(IF('3 Electricity'!$G$654='3 Electricity'!$V$654,VLOOKUP('E Summary'!S$3,'3 Electricity'!$F$665:$K$669,6,FALSE),0),0)</f>
        <v>0</v>
      </c>
      <c r="T14" s="6">
        <f>IFERROR(IF('3 Electricity'!$G$654='3 Electricity'!$V$654,0,VLOOKUP('E Summary'!T$3,'3 Electricity'!$F$684:$N$688,8,FALSE)),0)</f>
        <v>0</v>
      </c>
      <c r="U14" s="6">
        <f>IFERROR(IF('3 Electricity'!$G$654='3 Electricity'!$V$654,0,VLOOKUP('E Summary'!U$3,'3 Electricity'!$F$684:$N$688,8,FALSE)),0)</f>
        <v>0</v>
      </c>
      <c r="V14" s="6">
        <f>IFERROR(IF('3 Electricity'!$G$654='3 Electricity'!$V$654,0,VLOOKUP('E Summary'!V$3,'3 Electricity'!$F$684:$N$688,8,FALSE)),0)</f>
        <v>0</v>
      </c>
      <c r="W14" s="6">
        <f>IFERROR(IF('3 Electricity'!$G$654='3 Electricity'!$V$654,0,VLOOKUP('E Summary'!W$3,'3 Electricity'!$F$684:$N$688,8,FALSE)),0)</f>
        <v>0</v>
      </c>
      <c r="X14" s="6">
        <f>IFERROR(IF('3 Electricity'!$G$654='3 Electricity'!$V$654,0,VLOOKUP('E Summary'!X$3,'3 Electricity'!$F$684:$N$688,8,FALSE)),0)</f>
        <v>0</v>
      </c>
      <c r="Y14" s="6">
        <f>IFERROR(IF('3 Electricity'!$G$654='3 Electricity'!$V$654,0,VLOOKUP('E Summary'!Y$3,'3 Electricity'!$F$684:$N$688,9,FALSE)),0)</f>
        <v>0</v>
      </c>
      <c r="Z14" s="6">
        <f>IFERROR(IF('3 Electricity'!$G$654='3 Electricity'!$V$654,0,VLOOKUP('E Summary'!Z$3,'3 Electricity'!$F$684:$N$688,9,FALSE)),0)</f>
        <v>0</v>
      </c>
      <c r="AA14" s="6">
        <f>IFERROR(IF('3 Electricity'!$G$654='3 Electricity'!$V$654,0,VLOOKUP('E Summary'!AA$3,'3 Electricity'!$F$684:$N$688,9,FALSE)),0)</f>
        <v>0</v>
      </c>
      <c r="AB14" s="6">
        <f>IFERROR(IF('3 Electricity'!$G$654='3 Electricity'!$V$654,0,VLOOKUP('E Summary'!AB$3,'3 Electricity'!$F$684:$N$688,9,FALSE)),0)</f>
        <v>0</v>
      </c>
      <c r="AC14" s="6">
        <f>IFERROR(IF('3 Electricity'!$G$654='3 Electricity'!$V$654,0,VLOOKUP('E Summary'!AC$3,'3 Electricity'!$F$684:$N$688,9,FALSE)),0)</f>
        <v>0</v>
      </c>
    </row>
    <row r="15" spans="1:29" x14ac:dyDescent="0.55000000000000004">
      <c r="A15">
        <f>'2 Customer data'!D104</f>
        <v>0</v>
      </c>
      <c r="B15" s="2">
        <f>'3 Electricity'!I708</f>
        <v>0</v>
      </c>
      <c r="C15" s="2" t="str">
        <f>'3 Electricity'!G716</f>
        <v xml:space="preserve">Annual </v>
      </c>
      <c r="D15" s="4">
        <f>IF('3 Electricity'!G716='3 Electricity'!V716,'3 Electricity'!I723,'3 Electricity'!I739)</f>
        <v>5</v>
      </c>
      <c r="E15" s="6">
        <f>IFERROR(IF('3 Electricity'!$G$716='3 Electricity'!$V$716,VLOOKUP('E Summary'!E$3,'3 Electricity'!$F$727:$K$731,2,FALSE),VLOOKUP('E Summary'!E$3,'3 Electricity'!$F$746:$N$750,2,FALSE)),0)</f>
        <v>0</v>
      </c>
      <c r="F15" s="6">
        <f>IFERROR(IF('3 Electricity'!$G$716='3 Electricity'!$V$716,VLOOKUP('E Summary'!F$3,'3 Electricity'!$F$727:$K$731,2,FALSE),VLOOKUP('E Summary'!F$3,'3 Electricity'!$F$746:$N$750,2,FALSE)),0)</f>
        <v>0.01</v>
      </c>
      <c r="G15" s="6">
        <f>IFERROR(IF('3 Electricity'!$G$716='3 Electricity'!$V$716,VLOOKUP('E Summary'!G$3,'3 Electricity'!$F$727:$K$731,2,FALSE),VLOOKUP('E Summary'!G$3,'3 Electricity'!$F$746:$N$750,2,FALSE)),0)</f>
        <v>0.01</v>
      </c>
      <c r="H15" s="6">
        <f>IFERROR(IF('3 Electricity'!$G$716='3 Electricity'!$V$716,VLOOKUP('E Summary'!H$3,'3 Electricity'!$F$727:$K$731,2,FALSE),VLOOKUP('E Summary'!H$3,'3 Electricity'!$F$746:$N$750,2,FALSE)),0)</f>
        <v>0.01</v>
      </c>
      <c r="I15" s="6">
        <f>IFERROR(IF('3 Electricity'!$G$716='3 Electricity'!$V$716,VLOOKUP('E Summary'!I$3,'3 Electricity'!$F$727:$K$731,2,FALSE),VLOOKUP('E Summary'!I$3,'3 Electricity'!$F$746:$N$750,2,FALSE)),0)</f>
        <v>0.01</v>
      </c>
      <c r="J15" s="6">
        <f>IFERROR(IF('3 Electricity'!$G$716='3 Electricity'!$V$716,VLOOKUP('E Summary'!J$3,'3 Electricity'!$F$727:$K$731,3,FALSE),VLOOKUP('E Summary'!J$3,'3 Electricity'!$F$746:$N$750,3,FALSE)),0)</f>
        <v>0</v>
      </c>
      <c r="K15" s="6">
        <f>IFERROR(IF('3 Electricity'!$G$716='3 Electricity'!$V$716,VLOOKUP('E Summary'!K$3,'3 Electricity'!$F$727:$K$731,3,FALSE),VLOOKUP('E Summary'!K$3,'3 Electricity'!$F$746:$N$750,3,FALSE)),0)</f>
        <v>0</v>
      </c>
      <c r="L15" s="6">
        <f>IFERROR(IF('3 Electricity'!$G$716='3 Electricity'!$V$716,VLOOKUP('E Summary'!L$3,'3 Electricity'!$F$727:$K$731,3,FALSE),VLOOKUP('E Summary'!L$3,'3 Electricity'!$F$746:$N$750,3,FALSE)),0)</f>
        <v>0</v>
      </c>
      <c r="M15" s="6">
        <f>IFERROR(IF('3 Electricity'!$G$716='3 Electricity'!$V$716,VLOOKUP('E Summary'!M$3,'3 Electricity'!$F$727:$K$731,3,FALSE),VLOOKUP('E Summary'!M$3,'3 Electricity'!$F$746:$N$750,3,FALSE)),0)</f>
        <v>0</v>
      </c>
      <c r="N15" s="6" t="str">
        <f>IFERROR(IF('3 Electricity'!$G$716='3 Electricity'!$V$716,VLOOKUP('E Summary'!N$3,'3 Electricity'!$F$727:$K$731,3,FALSE),VLOOKUP('E Summary'!N$3,'3 Electricity'!$F$746:$N$750,3,FALSE)),0)</f>
        <v>More</v>
      </c>
      <c r="O15" s="6">
        <f ca="1">IFERROR(IF('3 Electricity'!$G$716='3 Electricity'!$V$716,VLOOKUP('E Summary'!O$3,'3 Electricity'!$F$727:$K$731,6,FALSE),0),0)</f>
        <v>0</v>
      </c>
      <c r="P15" s="6">
        <f ca="1">IFERROR(IF('3 Electricity'!$G$716='3 Electricity'!$V$716,VLOOKUP('E Summary'!P$3,'3 Electricity'!$F$727:$K$731,6,FALSE),0),0)</f>
        <v>0</v>
      </c>
      <c r="Q15" s="6">
        <f ca="1">IFERROR(IF('3 Electricity'!$G$716='3 Electricity'!$V$716,VLOOKUP('E Summary'!Q$3,'3 Electricity'!$F$727:$K$731,6,FALSE),0),0)</f>
        <v>0</v>
      </c>
      <c r="R15" s="6">
        <f ca="1">IFERROR(IF('3 Electricity'!$G$716='3 Electricity'!$V$716,VLOOKUP('E Summary'!R$3,'3 Electricity'!$F$727:$K$731,6,FALSE),0),0)</f>
        <v>0</v>
      </c>
      <c r="S15" s="6">
        <f ca="1">IFERROR(IF('3 Electricity'!$G$716='3 Electricity'!$V$716,VLOOKUP('E Summary'!S$3,'3 Electricity'!$F$727:$K$731,6,FALSE),0),0)</f>
        <v>0</v>
      </c>
      <c r="T15" s="6">
        <f>IFERROR(IF('3 Electricity'!$G$716='3 Electricity'!$V$716,0,VLOOKUP('E Summary'!T$3,'3 Electricity'!$F$746:$N$750,8,FALSE)),0)</f>
        <v>0</v>
      </c>
      <c r="U15" s="6">
        <f>IFERROR(IF('3 Electricity'!$G$716='3 Electricity'!$V$716,0,VLOOKUP('E Summary'!U$3,'3 Electricity'!$F$746:$N$750,8,FALSE)),0)</f>
        <v>0</v>
      </c>
      <c r="V15" s="6">
        <f>IFERROR(IF('3 Electricity'!$G$716='3 Electricity'!$V$716,0,VLOOKUP('E Summary'!V$3,'3 Electricity'!$F$746:$N$750,8,FALSE)),0)</f>
        <v>0</v>
      </c>
      <c r="W15" s="6">
        <f>IFERROR(IF('3 Electricity'!$G$716='3 Electricity'!$V$716,0,VLOOKUP('E Summary'!W$3,'3 Electricity'!$F$746:$N$750,8,FALSE)),0)</f>
        <v>0</v>
      </c>
      <c r="X15" s="6">
        <f>IFERROR(IF('3 Electricity'!$G$716='3 Electricity'!$V$716,0,VLOOKUP('E Summary'!X$3,'3 Electricity'!$F$746:$N$750,8,FALSE)),0)</f>
        <v>0</v>
      </c>
      <c r="Y15" s="6">
        <f>IFERROR(IF('3 Electricity'!$G$716='3 Electricity'!$V$716,0,VLOOKUP('E Summary'!Y$3,'3 Electricity'!$F$746:$N$750,9,FALSE)),0)</f>
        <v>0</v>
      </c>
      <c r="Z15" s="6">
        <f>IFERROR(IF('3 Electricity'!$G$716='3 Electricity'!$V$716,0,VLOOKUP('E Summary'!Z$3,'3 Electricity'!$F$746:$N$750,9,FALSE)),0)</f>
        <v>0</v>
      </c>
      <c r="AA15" s="6">
        <f>IFERROR(IF('3 Electricity'!$G$716='3 Electricity'!$V$716,0,VLOOKUP('E Summary'!AA$3,'3 Electricity'!$F$746:$N$750,9,FALSE)),0)</f>
        <v>0</v>
      </c>
      <c r="AB15" s="6">
        <f>IFERROR(IF('3 Electricity'!$G$716='3 Electricity'!$V$716,0,VLOOKUP('E Summary'!AB$3,'3 Electricity'!$F$746:$N$750,9,FALSE)),0)</f>
        <v>0</v>
      </c>
      <c r="AC15" s="6">
        <f>IFERROR(IF('3 Electricity'!$G$716='3 Electricity'!$V$716,0,VLOOKUP('E Summary'!AC$3,'3 Electricity'!$F$746:$N$750,9,FALSE)),0)</f>
        <v>0</v>
      </c>
    </row>
    <row r="16" spans="1:29" x14ac:dyDescent="0.55000000000000004">
      <c r="A16">
        <f>'2 Customer data'!D105</f>
        <v>0</v>
      </c>
      <c r="B16" s="2">
        <f>'3 Electricity'!I770</f>
        <v>0</v>
      </c>
      <c r="C16" s="2" t="str">
        <f>'3 Electricity'!G778</f>
        <v xml:space="preserve">Annual </v>
      </c>
      <c r="D16" s="4">
        <f>IF('3 Electricity'!G778='3 Electricity'!V778,'3 Electricity'!I785,'3 Electricity'!I801)</f>
        <v>5</v>
      </c>
      <c r="E16" s="6">
        <f>IFERROR(IF('3 Electricity'!$G$778='3 Electricity'!$V$778,VLOOKUP('E Summary'!E$3,'3 Electricity'!$F$789:$K$793,2,FALSE),VLOOKUP('E Summary'!E$3,'3 Electricity'!$F$808:$N$812,2,FALSE)),0)</f>
        <v>0</v>
      </c>
      <c r="F16" s="6">
        <f>IFERROR(IF('3 Electricity'!$G$778='3 Electricity'!$V$778,VLOOKUP('E Summary'!F$3,'3 Electricity'!$F$789:$K$793,2,FALSE),VLOOKUP('E Summary'!F$3,'3 Electricity'!$F$808:$N$812,2,FALSE)),0)</f>
        <v>0.01</v>
      </c>
      <c r="G16" s="6">
        <f>IFERROR(IF('3 Electricity'!$G$778='3 Electricity'!$V$778,VLOOKUP('E Summary'!G$3,'3 Electricity'!$F$789:$K$793,2,FALSE),VLOOKUP('E Summary'!G$3,'3 Electricity'!$F$808:$N$812,2,FALSE)),0)</f>
        <v>0.01</v>
      </c>
      <c r="H16" s="6">
        <f>IFERROR(IF('3 Electricity'!$G$778='3 Electricity'!$V$778,VLOOKUP('E Summary'!H$3,'3 Electricity'!$F$789:$K$793,2,FALSE),VLOOKUP('E Summary'!H$3,'3 Electricity'!$F$808:$N$812,2,FALSE)),0)</f>
        <v>0.01</v>
      </c>
      <c r="I16" s="6">
        <f>IFERROR(IF('3 Electricity'!$G$778='3 Electricity'!$V$778,VLOOKUP('E Summary'!I$3,'3 Electricity'!$F$789:$K$793,2,FALSE),VLOOKUP('E Summary'!I$3,'3 Electricity'!$F$808:$N$812,2,FALSE)),0)</f>
        <v>0.01</v>
      </c>
      <c r="J16" s="6">
        <f>IFERROR(IF('3 Electricity'!$G$778='3 Electricity'!$V$778,VLOOKUP('E Summary'!J$3,'3 Electricity'!$F$789:$K$793,3,FALSE),VLOOKUP('E Summary'!J$3,'3 Electricity'!$F$808:$N$812,3,FALSE)),0)</f>
        <v>0</v>
      </c>
      <c r="K16" s="6">
        <f>IFERROR(IF('3 Electricity'!$G$778='3 Electricity'!$V$778,VLOOKUP('E Summary'!K$3,'3 Electricity'!$F$789:$K$793,3,FALSE),VLOOKUP('E Summary'!K$3,'3 Electricity'!$F$808:$N$812,3,FALSE)),0)</f>
        <v>0</v>
      </c>
      <c r="L16" s="6">
        <f>IFERROR(IF('3 Electricity'!$G$778='3 Electricity'!$V$778,VLOOKUP('E Summary'!L$3,'3 Electricity'!$F$789:$K$793,3,FALSE),VLOOKUP('E Summary'!L$3,'3 Electricity'!$F$808:$N$812,3,FALSE)),0)</f>
        <v>0</v>
      </c>
      <c r="M16" s="6">
        <f>IFERROR(IF('3 Electricity'!$G$778='3 Electricity'!$V$778,VLOOKUP('E Summary'!M$3,'3 Electricity'!$F$789:$K$793,3,FALSE),VLOOKUP('E Summary'!M$3,'3 Electricity'!$F$808:$N$812,3,FALSE)),0)</f>
        <v>0</v>
      </c>
      <c r="N16" s="6" t="str">
        <f>IFERROR(IF('3 Electricity'!$G$778='3 Electricity'!$V$778,VLOOKUP('E Summary'!N$3,'3 Electricity'!$F$789:$K$793,3,FALSE),VLOOKUP('E Summary'!N$3,'3 Electricity'!$F$808:$N$812,3,FALSE)),0)</f>
        <v>More</v>
      </c>
      <c r="O16" s="6">
        <f ca="1">IFERROR(IF('3 Electricity'!$G$778='3 Electricity'!$V$778,VLOOKUP('E Summary'!O$3,'3 Electricity'!$F$789:$K$793,6,FALSE),0),0)</f>
        <v>0</v>
      </c>
      <c r="P16" s="6">
        <f ca="1">IFERROR(IF('3 Electricity'!$G$778='3 Electricity'!$V$778,VLOOKUP('E Summary'!P$3,'3 Electricity'!$F$789:$K$793,6,FALSE),0),0)</f>
        <v>0</v>
      </c>
      <c r="Q16" s="6">
        <f ca="1">IFERROR(IF('3 Electricity'!$G$778='3 Electricity'!$V$778,VLOOKUP('E Summary'!Q$3,'3 Electricity'!$F$789:$K$793,6,FALSE),0),0)</f>
        <v>0</v>
      </c>
      <c r="R16" s="6">
        <f ca="1">IFERROR(IF('3 Electricity'!$G$778='3 Electricity'!$V$778,VLOOKUP('E Summary'!R$3,'3 Electricity'!$F$789:$K$793,6,FALSE),0),0)</f>
        <v>0</v>
      </c>
      <c r="S16" s="6">
        <f ca="1">IFERROR(IF('3 Electricity'!$G$778='3 Electricity'!$V$778,VLOOKUP('E Summary'!S$3,'3 Electricity'!$F$789:$K$793,6,FALSE),0),0)</f>
        <v>0</v>
      </c>
      <c r="T16" s="6">
        <f>IFERROR(IF('3 Electricity'!$G$840='3 Electricity'!$V$840,0,VLOOKUP('E Summary'!T$3,'3 Electricity'!$F$870:$N$874,8,FALSE)),0)</f>
        <v>0</v>
      </c>
      <c r="U16" s="6">
        <f>IFERROR(IF('3 Electricity'!$G$840='3 Electricity'!$V$840,0,VLOOKUP('E Summary'!U$3,'3 Electricity'!$F$870:$N$874,8,FALSE)),0)</f>
        <v>0</v>
      </c>
      <c r="V16" s="6">
        <f>IFERROR(IF('3 Electricity'!$G$840='3 Electricity'!$V$840,0,VLOOKUP('E Summary'!V$3,'3 Electricity'!$F$870:$N$874,8,FALSE)),0)</f>
        <v>0</v>
      </c>
      <c r="W16" s="6">
        <f>IFERROR(IF('3 Electricity'!$G$840='3 Electricity'!$V$840,0,VLOOKUP('E Summary'!W$3,'3 Electricity'!$F$870:$N$874,8,FALSE)),0)</f>
        <v>0</v>
      </c>
      <c r="X16" s="6">
        <f>IFERROR(IF('3 Electricity'!$G$840='3 Electricity'!$V$840,0,VLOOKUP('E Summary'!X$3,'3 Electricity'!$F$870:$N$874,8,FALSE)),0)</f>
        <v>0</v>
      </c>
      <c r="Y16" s="6">
        <f>IFERROR(IF('3 Electricity'!$G$840='3 Electricity'!$V$840,0,VLOOKUP('E Summary'!Y$3,'3 Electricity'!$F$870:$N$874,9,FALSE)),0)</f>
        <v>0</v>
      </c>
      <c r="Z16" s="6">
        <f>IFERROR(IF('3 Electricity'!$G$840='3 Electricity'!$V$840,0,VLOOKUP('E Summary'!Z$3,'3 Electricity'!$F$870:$N$874,9,FALSE)),0)</f>
        <v>0</v>
      </c>
      <c r="AA16" s="6">
        <f>IFERROR(IF('3 Electricity'!$G$840='3 Electricity'!$V$840,0,VLOOKUP('E Summary'!AA$3,'3 Electricity'!$F$870:$N$874,9,FALSE)),0)</f>
        <v>0</v>
      </c>
      <c r="AB16" s="6">
        <f>IFERROR(IF('3 Electricity'!$G$840='3 Electricity'!$V$840,0,VLOOKUP('E Summary'!AB$3,'3 Electricity'!$F$870:$N$874,9,FALSE)),0)</f>
        <v>0</v>
      </c>
      <c r="AC16" s="6">
        <f>IFERROR(IF('3 Electricity'!$G$840='3 Electricity'!$V$840,0,VLOOKUP('E Summary'!AC$3,'3 Electricity'!$F$870:$N$874,9,FALSE)),0)</f>
        <v>0</v>
      </c>
    </row>
    <row r="17" spans="1:29" x14ac:dyDescent="0.55000000000000004">
      <c r="A17">
        <f>'2 Customer data'!D106</f>
        <v>0</v>
      </c>
      <c r="B17" s="2">
        <f>'3 Electricity'!I832</f>
        <v>0</v>
      </c>
      <c r="C17" s="2" t="str">
        <f>'3 Electricity'!G840</f>
        <v xml:space="preserve">Annual </v>
      </c>
      <c r="D17" s="4">
        <f>IF('3 Electricity'!G840='3 Electricity'!V840,'3 Electricity'!I847,'3 Electricity'!I863)</f>
        <v>5</v>
      </c>
      <c r="E17" s="6">
        <f>IFERROR(IF('3 Electricity'!$G$840='3 Electricity'!$V$840,VLOOKUP('E Summary'!E$3,'3 Electricity'!$F$851:$K$855,2,FALSE),VLOOKUP('E Summary'!E$3,'3 Electricity'!$F$870:$N$874,2,FALSE)),0)</f>
        <v>0</v>
      </c>
      <c r="F17" s="6">
        <f>IFERROR(IF('3 Electricity'!$G$840='3 Electricity'!$V$840,VLOOKUP('E Summary'!F$3,'3 Electricity'!$F$851:$K$855,2,FALSE),VLOOKUP('E Summary'!F$3,'3 Electricity'!$F$870:$N$874,2,FALSE)),0)</f>
        <v>0.01</v>
      </c>
      <c r="G17" s="6">
        <f>IFERROR(IF('3 Electricity'!$G$840='3 Electricity'!$V$840,VLOOKUP('E Summary'!G$3,'3 Electricity'!$F$851:$K$855,2,FALSE),VLOOKUP('E Summary'!G$3,'3 Electricity'!$F$870:$N$874,2,FALSE)),0)</f>
        <v>0.01</v>
      </c>
      <c r="H17" s="6">
        <f>IFERROR(IF('3 Electricity'!$G$840='3 Electricity'!$V$840,VLOOKUP('E Summary'!H$3,'3 Electricity'!$F$851:$K$855,2,FALSE),VLOOKUP('E Summary'!H$3,'3 Electricity'!$F$870:$N$874,2,FALSE)),0)</f>
        <v>0.01</v>
      </c>
      <c r="I17" s="6">
        <f>IFERROR(IF('3 Electricity'!$G$840='3 Electricity'!$V$840,VLOOKUP('E Summary'!I$3,'3 Electricity'!$F$851:$K$855,2,FALSE),VLOOKUP('E Summary'!I$3,'3 Electricity'!$F$870:$N$874,2,FALSE)),0)</f>
        <v>0.01</v>
      </c>
      <c r="J17" s="6">
        <f>IFERROR(IF('3 Electricity'!$G$840='3 Electricity'!$V$840,VLOOKUP('E Summary'!J$3,'3 Electricity'!$F$851:$K$855,3,FALSE),VLOOKUP('E Summary'!J$3,'3 Electricity'!$F$870:$N$874,3,FALSE)),0)</f>
        <v>0</v>
      </c>
      <c r="K17" s="6">
        <f>IFERROR(IF('3 Electricity'!$G$840='3 Electricity'!$V$840,VLOOKUP('E Summary'!K$3,'3 Electricity'!$F$851:$K$855,3,FALSE),VLOOKUP('E Summary'!K$3,'3 Electricity'!$F$870:$N$874,3,FALSE)),0)</f>
        <v>0</v>
      </c>
      <c r="L17" s="6">
        <f>IFERROR(IF('3 Electricity'!$G$840='3 Electricity'!$V$840,VLOOKUP('E Summary'!L$3,'3 Electricity'!$F$851:$K$855,3,FALSE),VLOOKUP('E Summary'!L$3,'3 Electricity'!$F$870:$N$874,3,FALSE)),0)</f>
        <v>0</v>
      </c>
      <c r="M17" s="6">
        <f>IFERROR(IF('3 Electricity'!$G$840='3 Electricity'!$V$840,VLOOKUP('E Summary'!M$3,'3 Electricity'!$F$851:$K$855,3,FALSE),VLOOKUP('E Summary'!M$3,'3 Electricity'!$F$870:$N$874,3,FALSE)),0)</f>
        <v>0</v>
      </c>
      <c r="N17" s="6" t="str">
        <f>IFERROR(IF('3 Electricity'!$G$840='3 Electricity'!$V$840,VLOOKUP('E Summary'!N$3,'3 Electricity'!$F$851:$K$855,3,FALSE),VLOOKUP('E Summary'!N$3,'3 Electricity'!$F$870:$N$874,3,FALSE)),0)</f>
        <v>More</v>
      </c>
      <c r="O17" s="6">
        <f ca="1">IFERROR(IF('3 Electricity'!$G$840='3 Electricity'!$V$840,VLOOKUP('E Summary'!O$3,'3 Electricity'!$F$851:$K$855,6,FALSE),0),0)</f>
        <v>0</v>
      </c>
      <c r="P17" s="6">
        <f ca="1">IFERROR(IF('3 Electricity'!$G$840='3 Electricity'!$V$840,VLOOKUP('E Summary'!P$3,'3 Electricity'!$F$851:$K$855,6,FALSE),0),0)</f>
        <v>0</v>
      </c>
      <c r="Q17" s="6">
        <f ca="1">IFERROR(IF('3 Electricity'!$G$840='3 Electricity'!$V$840,VLOOKUP('E Summary'!Q$3,'3 Electricity'!$F$851:$K$855,6,FALSE),0),0)</f>
        <v>0</v>
      </c>
      <c r="R17" s="6">
        <f ca="1">IFERROR(IF('3 Electricity'!$G$840='3 Electricity'!$V$840,VLOOKUP('E Summary'!R$3,'3 Electricity'!$F$851:$K$855,6,FALSE),0),0)</f>
        <v>0</v>
      </c>
      <c r="S17" s="6">
        <f ca="1">IFERROR(IF('3 Electricity'!$G$840='3 Electricity'!$V$840,VLOOKUP('E Summary'!S$3,'3 Electricity'!$F$851:$K$855,6,FALSE),0),0)</f>
        <v>0</v>
      </c>
      <c r="T17" s="6">
        <f>IFERROR(IF('3 Electricity'!$G$840='3 Electricity'!$V$840,0,VLOOKUP('E Summary'!T$3,'3 Electricity'!$F$870:$N$874,8,FALSE)),0)</f>
        <v>0</v>
      </c>
      <c r="U17" s="6">
        <f>IFERROR(IF('3 Electricity'!$G$840='3 Electricity'!$V$840,0,VLOOKUP('E Summary'!U$3,'3 Electricity'!$F$870:$N$874,8,FALSE)),0)</f>
        <v>0</v>
      </c>
      <c r="V17" s="6">
        <f>IFERROR(IF('3 Electricity'!$G$840='3 Electricity'!$V$840,0,VLOOKUP('E Summary'!V$3,'3 Electricity'!$F$870:$N$874,8,FALSE)),0)</f>
        <v>0</v>
      </c>
      <c r="W17" s="6">
        <f>IFERROR(IF('3 Electricity'!$G$840='3 Electricity'!$V$840,0,VLOOKUP('E Summary'!W$3,'3 Electricity'!$F$870:$N$874,8,FALSE)),0)</f>
        <v>0</v>
      </c>
      <c r="X17" s="6">
        <f>IFERROR(IF('3 Electricity'!$G$840='3 Electricity'!$V$840,0,VLOOKUP('E Summary'!X$3,'3 Electricity'!$F$870:$N$874,8,FALSE)),0)</f>
        <v>0</v>
      </c>
      <c r="Y17" s="6">
        <f>IFERROR(IF('3 Electricity'!$G$840='3 Electricity'!$V$840,0,VLOOKUP('E Summary'!Y$3,'3 Electricity'!$F$870:$N$874,9,FALSE)),0)</f>
        <v>0</v>
      </c>
      <c r="Z17" s="6">
        <f>IFERROR(IF('3 Electricity'!$G$840='3 Electricity'!$V$840,0,VLOOKUP('E Summary'!Z$3,'3 Electricity'!$F$870:$N$874,9,FALSE)),0)</f>
        <v>0</v>
      </c>
      <c r="AA17" s="6">
        <f>IFERROR(IF('3 Electricity'!$G$840='3 Electricity'!$V$840,0,VLOOKUP('E Summary'!AA$3,'3 Electricity'!$F$870:$N$874,9,FALSE)),0)</f>
        <v>0</v>
      </c>
      <c r="AB17" s="6">
        <f>IFERROR(IF('3 Electricity'!$G$840='3 Electricity'!$V$840,0,VLOOKUP('E Summary'!AB$3,'3 Electricity'!$F$870:$N$874,9,FALSE)),0)</f>
        <v>0</v>
      </c>
      <c r="AC17" s="6">
        <f>IFERROR(IF('3 Electricity'!$G$840='3 Electricity'!$V$840,0,VLOOKUP('E Summary'!AC$3,'3 Electricity'!$F$870:$N$874,9,FALSE)),0)</f>
        <v>0</v>
      </c>
    </row>
    <row r="18" spans="1:29" x14ac:dyDescent="0.55000000000000004">
      <c r="A18">
        <f>'2 Customer data'!D107</f>
        <v>0</v>
      </c>
      <c r="B18" s="6">
        <f>'3 Electricity'!I894</f>
        <v>0</v>
      </c>
      <c r="C18" s="6" t="str">
        <f>'3 Electricity'!G902</f>
        <v xml:space="preserve">Annual </v>
      </c>
      <c r="D18" s="7">
        <f>IF('3 Electricity'!G902='3 Electricity'!V902,'3 Electricity'!I909,'3 Electricity'!I925)</f>
        <v>5</v>
      </c>
      <c r="E18" s="6">
        <f>IFERROR(IF('3 Electricity'!$G$902='3 Electricity'!$V$902,VLOOKUP('E Summary'!E$3,'3 Electricity'!$F$913:$K$917,2,FALSE),VLOOKUP('E Summary'!E$3,'3 Electricity'!$F$932:$N$936,2,FALSE)),0)</f>
        <v>0</v>
      </c>
      <c r="F18" s="6">
        <f>IFERROR(IF('3 Electricity'!$G$902='3 Electricity'!$V$902,VLOOKUP('E Summary'!F$3,'3 Electricity'!$F$913:$K$917,2,FALSE),VLOOKUP('E Summary'!F$3,'3 Electricity'!$F$932:$N$936,2,FALSE)),0)</f>
        <v>0.01</v>
      </c>
      <c r="G18" s="6">
        <f>IFERROR(IF('3 Electricity'!$G$902='3 Electricity'!$V$902,VLOOKUP('E Summary'!G$3,'3 Electricity'!$F$913:$K$917,2,FALSE),VLOOKUP('E Summary'!G$3,'3 Electricity'!$F$932:$N$936,2,FALSE)),0)</f>
        <v>0.01</v>
      </c>
      <c r="H18" s="6">
        <f>IFERROR(IF('3 Electricity'!$G$902='3 Electricity'!$V$902,VLOOKUP('E Summary'!H$3,'3 Electricity'!$F$913:$K$917,2,FALSE),VLOOKUP('E Summary'!H$3,'3 Electricity'!$F$932:$N$936,2,FALSE)),0)</f>
        <v>0.01</v>
      </c>
      <c r="I18" s="6">
        <f>IFERROR(IF('3 Electricity'!$G$902='3 Electricity'!$V$902,VLOOKUP('E Summary'!I$3,'3 Electricity'!$F$913:$K$917,2,FALSE),VLOOKUP('E Summary'!I$3,'3 Electricity'!$F$932:$N$936,2,FALSE)),0)</f>
        <v>0.01</v>
      </c>
      <c r="J18" s="6">
        <f>IFERROR(IF('3 Electricity'!$G$902='3 Electricity'!$V$902,VLOOKUP('E Summary'!J$3,'3 Electricity'!$F$913:$K$917,3,FALSE),VLOOKUP('E Summary'!J$3,'3 Electricity'!$F$932:$N$936,3,FALSE)),0)</f>
        <v>0</v>
      </c>
      <c r="K18" s="6">
        <f>IFERROR(IF('3 Electricity'!$G$902='3 Electricity'!$V$902,VLOOKUP('E Summary'!K$3,'3 Electricity'!$F$913:$K$917,3,FALSE),VLOOKUP('E Summary'!K$3,'3 Electricity'!$F$932:$N$936,3,FALSE)),0)</f>
        <v>0</v>
      </c>
      <c r="L18" s="6">
        <f>IFERROR(IF('3 Electricity'!$G$902='3 Electricity'!$V$902,VLOOKUP('E Summary'!L$3,'3 Electricity'!$F$913:$K$917,3,FALSE),VLOOKUP('E Summary'!L$3,'3 Electricity'!$F$932:$N$936,3,FALSE)),0)</f>
        <v>0</v>
      </c>
      <c r="M18" s="6">
        <f>IFERROR(IF('3 Electricity'!$G$902='3 Electricity'!$V$902,VLOOKUP('E Summary'!M$3,'3 Electricity'!$F$913:$K$917,3,FALSE),VLOOKUP('E Summary'!M$3,'3 Electricity'!$F$932:$N$936,3,FALSE)),0)</f>
        <v>0</v>
      </c>
      <c r="N18" s="6" t="str">
        <f>IFERROR(IF('3 Electricity'!$G$902='3 Electricity'!$V$902,VLOOKUP('E Summary'!N$3,'3 Electricity'!$F$913:$K$917,3,FALSE),VLOOKUP('E Summary'!N$3,'3 Electricity'!$F$932:$N$936,3,FALSE)),0)</f>
        <v>More</v>
      </c>
      <c r="O18" s="6">
        <f ca="1">IFERROR(IF('3 Electricity'!$G$902='3 Electricity'!$V$902,VLOOKUP('E Summary'!O$3,'3 Electricity'!$F$913:$K$917,6,FALSE),0),0)</f>
        <v>0</v>
      </c>
      <c r="P18" s="6">
        <f ca="1">IFERROR(IF('3 Electricity'!$G$902='3 Electricity'!$V$902,VLOOKUP('E Summary'!P$3,'3 Electricity'!$F$913:$K$917,6,FALSE),0),0)</f>
        <v>0</v>
      </c>
      <c r="Q18" s="6">
        <f ca="1">IFERROR(IF('3 Electricity'!$G$902='3 Electricity'!$V$902,VLOOKUP('E Summary'!Q$3,'3 Electricity'!$F$913:$K$917,6,FALSE),0),0)</f>
        <v>0</v>
      </c>
      <c r="R18" s="6">
        <f ca="1">IFERROR(IF('3 Electricity'!$G$902='3 Electricity'!$V$902,VLOOKUP('E Summary'!R$3,'3 Electricity'!$F$913:$K$917,6,FALSE),0),0)</f>
        <v>0</v>
      </c>
      <c r="S18" s="6">
        <f ca="1">IFERROR(IF('3 Electricity'!$G$902='3 Electricity'!$V$902,VLOOKUP('E Summary'!S$3,'3 Electricity'!$F$913:$K$917,6,FALSE),0),0)</f>
        <v>0</v>
      </c>
      <c r="T18" s="6">
        <f>IFERROR(IF('3 Electricity'!$G$902='3 Electricity'!$V$902,0,VLOOKUP('E Summary'!T$3,'3 Electricity'!$F$932:$N$936,8,FALSE)),0)</f>
        <v>0</v>
      </c>
      <c r="U18" s="6">
        <f>IFERROR(IF('3 Electricity'!$G$902='3 Electricity'!$V$902,0,VLOOKUP('E Summary'!U$3,'3 Electricity'!$F$932:$N$936,8,FALSE)),0)</f>
        <v>0</v>
      </c>
      <c r="V18" s="6">
        <f>IFERROR(IF('3 Electricity'!$G$902='3 Electricity'!$V$902,0,VLOOKUP('E Summary'!V$3,'3 Electricity'!$F$932:$N$936,8,FALSE)),0)</f>
        <v>0</v>
      </c>
      <c r="W18" s="6">
        <f>IFERROR(IF('3 Electricity'!$G$902='3 Electricity'!$V$902,0,VLOOKUP('E Summary'!W$3,'3 Electricity'!$F$932:$N$936,8,FALSE)),0)</f>
        <v>0</v>
      </c>
      <c r="X18" s="6">
        <f>IFERROR(IF('3 Electricity'!$G$902='3 Electricity'!$V$902,0,VLOOKUP('E Summary'!X$3,'3 Electricity'!$F$932:$N$936,8,FALSE)),0)</f>
        <v>0</v>
      </c>
      <c r="Y18" s="6">
        <f>IFERROR(IF('3 Electricity'!$G$902='3 Electricity'!$V$902,0,VLOOKUP('E Summary'!Y$3,'3 Electricity'!$F$932:$N$936,9,FALSE)),0)</f>
        <v>0</v>
      </c>
      <c r="Z18" s="6">
        <f>IFERROR(IF('3 Electricity'!$G$902='3 Electricity'!$V$902,0,VLOOKUP('E Summary'!Z$3,'3 Electricity'!$F$932:$N$936,9,FALSE)),0)</f>
        <v>0</v>
      </c>
      <c r="AA18" s="6">
        <f>IFERROR(IF('3 Electricity'!$G$902='3 Electricity'!$V$902,0,VLOOKUP('E Summary'!AA$3,'3 Electricity'!$F$932:$N$936,9,FALSE)),0)</f>
        <v>0</v>
      </c>
      <c r="AB18" s="6">
        <f>IFERROR(IF('3 Electricity'!$G$902='3 Electricity'!$V$902,0,VLOOKUP('E Summary'!AB$3,'3 Electricity'!$F$932:$N$936,9,FALSE)),0)</f>
        <v>0</v>
      </c>
      <c r="AC18" s="6">
        <f>IFERROR(IF('3 Electricity'!$G$902='3 Electricity'!$V$902,0,VLOOKUP('E Summary'!AC$3,'3 Electricity'!$F$932:$N$936,9,FALSE)),0)</f>
        <v>0</v>
      </c>
    </row>
    <row r="19" spans="1:29" x14ac:dyDescent="0.55000000000000004">
      <c r="A19">
        <f>'2 Customer data'!D108</f>
        <v>0</v>
      </c>
      <c r="B19" s="2">
        <f>'3 Electricity'!I956</f>
        <v>0</v>
      </c>
      <c r="C19" s="2" t="str">
        <f>'3 Electricity'!G964</f>
        <v xml:space="preserve">Seasonal </v>
      </c>
      <c r="D19" s="4">
        <f>IF('3 Electricity'!G964='3 Electricity'!V964,'3 Electricity'!I971,'3 Electricity'!I987)</f>
        <v>5</v>
      </c>
      <c r="E19" s="6">
        <f>IFERROR(IF('3 Electricity'!$G$964='3 Electricity'!$V$964,VLOOKUP('E Summary'!E$3,'3 Electricity'!$F$975:$K$979,2,FALSE),VLOOKUP('E Summary'!E$3,'3 Electricity'!$F$994:$N$998,2,FALSE)),0)</f>
        <v>0</v>
      </c>
      <c r="F19" s="6">
        <f>IFERROR(IF('3 Electricity'!$G$964='3 Electricity'!$V$964,VLOOKUP('E Summary'!F$3,'3 Electricity'!$F$975:$K$979,2,FALSE),VLOOKUP('E Summary'!F$3,'3 Electricity'!$F$994:$N$998,2,FALSE)),0)</f>
        <v>0.01</v>
      </c>
      <c r="G19" s="6">
        <f>IFERROR(IF('3 Electricity'!$G$964='3 Electricity'!$V$964,VLOOKUP('E Summary'!G$3,'3 Electricity'!$F$975:$K$979,2,FALSE),VLOOKUP('E Summary'!G$3,'3 Electricity'!$F$994:$N$998,2,FALSE)),0)</f>
        <v>0.01</v>
      </c>
      <c r="H19" s="6">
        <f>IFERROR(IF('3 Electricity'!$G$964='3 Electricity'!$V$964,VLOOKUP('E Summary'!H$3,'3 Electricity'!$F$975:$K$979,2,FALSE),VLOOKUP('E Summary'!H$3,'3 Electricity'!$F$994:$N$998,2,FALSE)),0)</f>
        <v>0.01</v>
      </c>
      <c r="I19" s="6">
        <f>IFERROR(IF('3 Electricity'!$G$964='3 Electricity'!$V$964,VLOOKUP('E Summary'!I$3,'3 Electricity'!$F$975:$K$979,2,FALSE),VLOOKUP('E Summary'!I$3,'3 Electricity'!$F$994:$N$998,2,FALSE)),0)</f>
        <v>0.01</v>
      </c>
      <c r="J19" s="6">
        <f>IFERROR(IF('3 Electricity'!$G$964='3 Electricity'!$V$964,VLOOKUP('E Summary'!J$3,'3 Electricity'!$F$975:$K$979,3,FALSE),VLOOKUP('E Summary'!J$3,'3 Electricity'!$F$994:$N$998,3,FALSE)),0)</f>
        <v>0</v>
      </c>
      <c r="K19" s="6">
        <f>IFERROR(IF('3 Electricity'!$G$964='3 Electricity'!$V$964,VLOOKUP('E Summary'!K$3,'3 Electricity'!$F$975:$K$979,3,FALSE),VLOOKUP('E Summary'!K$3,'3 Electricity'!$F$994:$N$998,3,FALSE)),0)</f>
        <v>0</v>
      </c>
      <c r="L19" s="6">
        <f>IFERROR(IF('3 Electricity'!$G$964='3 Electricity'!$V$964,VLOOKUP('E Summary'!L$3,'3 Electricity'!$F$975:$K$979,3,FALSE),VLOOKUP('E Summary'!L$3,'3 Electricity'!$F$994:$N$998,3,FALSE)),0)</f>
        <v>0</v>
      </c>
      <c r="M19" s="6">
        <f>IFERROR(IF('3 Electricity'!$G$964='3 Electricity'!$V$964,VLOOKUP('E Summary'!M$3,'3 Electricity'!$F$975:$K$979,3,FALSE),VLOOKUP('E Summary'!M$3,'3 Electricity'!$F$994:$N$998,3,FALSE)),0)</f>
        <v>0</v>
      </c>
      <c r="N19" s="6" t="str">
        <f>IFERROR(IF('3 Electricity'!$G$964='3 Electricity'!$V$964,VLOOKUP('E Summary'!N$3,'3 Electricity'!$F$975:$K$979,3,FALSE),VLOOKUP('E Summary'!N$3,'3 Electricity'!$F$994:$N$998,3,FALSE)),0)</f>
        <v>More</v>
      </c>
      <c r="O19" s="6">
        <f>IFERROR(IF('3 Electricity'!$G$964='3 Electricity'!$V$964,VLOOKUP('E Summary'!O$3,'3 Electricity'!$F$975:$K$979,6,FALSE),0),0)</f>
        <v>0</v>
      </c>
      <c r="P19" s="6">
        <f>IFERROR(IF('3 Electricity'!$G$964='3 Electricity'!$V$964,VLOOKUP('E Summary'!P$3,'3 Electricity'!$F$975:$K$979,6,FALSE),0),0)</f>
        <v>0</v>
      </c>
      <c r="Q19" s="6">
        <f>IFERROR(IF('3 Electricity'!$G$964='3 Electricity'!$V$964,VLOOKUP('E Summary'!Q$3,'3 Electricity'!$F$975:$K$979,6,FALSE),0),0)</f>
        <v>0</v>
      </c>
      <c r="R19" s="6">
        <f>IFERROR(IF('3 Electricity'!$G$964='3 Electricity'!$V$964,VLOOKUP('E Summary'!R$3,'3 Electricity'!$F$975:$K$979,6,FALSE),0),0)</f>
        <v>0</v>
      </c>
      <c r="S19" s="6">
        <f>IFERROR(IF('3 Electricity'!$G$964='3 Electricity'!$V$964,VLOOKUP('E Summary'!S$3,'3 Electricity'!$F$975:$K$979,6,FALSE),0),0)</f>
        <v>0</v>
      </c>
      <c r="T19" s="6">
        <f ca="1">IFERROR(IF('3 Electricity'!$G$964='3 Electricity'!$V$964,0,VLOOKUP('E Summary'!T$3,'3 Electricity'!$F$994:$N$998,8,FALSE)),0)</f>
        <v>0</v>
      </c>
      <c r="U19" s="6">
        <f ca="1">IFERROR(IF('3 Electricity'!$G$964='3 Electricity'!$V$964,0,VLOOKUP('E Summary'!U$3,'3 Electricity'!$F$994:$N$998,8,FALSE)),0)</f>
        <v>0</v>
      </c>
      <c r="V19" s="6">
        <f ca="1">IFERROR(IF('3 Electricity'!$G$964='3 Electricity'!$V$964,0,VLOOKUP('E Summary'!V$3,'3 Electricity'!$F$994:$N$998,8,FALSE)),0)</f>
        <v>0</v>
      </c>
      <c r="W19" s="6">
        <f ca="1">IFERROR(IF('3 Electricity'!$G$964='3 Electricity'!$V$964,0,VLOOKUP('E Summary'!W$3,'3 Electricity'!$F$994:$N$998,8,FALSE)),0)</f>
        <v>0</v>
      </c>
      <c r="X19" s="6">
        <f ca="1">IFERROR(IF('3 Electricity'!$G$964='3 Electricity'!$V$964,0,VLOOKUP('E Summary'!X$3,'3 Electricity'!$F$994:$N$998,8,FALSE)),0)</f>
        <v>0</v>
      </c>
      <c r="Y19" s="6">
        <f ca="1">IFERROR(IF('3 Electricity'!$G$964='3 Electricity'!$V$964,0,VLOOKUP('E Summary'!Y$3,'3 Electricity'!$F$994:$N$998,9,FALSE)),0)</f>
        <v>0</v>
      </c>
      <c r="Z19" s="6">
        <f ca="1">IFERROR(IF('3 Electricity'!$G$964='3 Electricity'!$V$964,0,VLOOKUP('E Summary'!Z$3,'3 Electricity'!$F$994:$N$998,9,FALSE)),0)</f>
        <v>0</v>
      </c>
      <c r="AA19" s="6">
        <f ca="1">IFERROR(IF('3 Electricity'!$G$964='3 Electricity'!$V$964,0,VLOOKUP('E Summary'!AA$3,'3 Electricity'!$F$994:$N$998,9,FALSE)),0)</f>
        <v>0</v>
      </c>
      <c r="AB19" s="6">
        <f ca="1">IFERROR(IF('3 Electricity'!$G$964='3 Electricity'!$V$964,0,VLOOKUP('E Summary'!AB$3,'3 Electricity'!$F$994:$N$998,9,FALSE)),0)</f>
        <v>0</v>
      </c>
      <c r="AC19" s="6">
        <f ca="1">IFERROR(IF('3 Electricity'!$G$964='3 Electricity'!$V$964,0,VLOOKUP('E Summary'!AC$3,'3 Electricity'!$F$994:$N$998,9,FALSE)),0)</f>
        <v>0</v>
      </c>
    </row>
    <row r="20" spans="1:29" x14ac:dyDescent="0.55000000000000004">
      <c r="A20">
        <f>'2 Customer data'!D109</f>
        <v>0</v>
      </c>
      <c r="B20" s="2">
        <f>'3 Electricity'!I1018</f>
        <v>0</v>
      </c>
      <c r="C20" s="2" t="str">
        <f>'3 Electricity'!G1026</f>
        <v xml:space="preserve">Seasonal </v>
      </c>
      <c r="D20" s="4">
        <f>IF('3 Electricity'!G1026='3 Electricity'!V1026,'3 Electricity'!I1033,'3 Electricity'!I1049)</f>
        <v>5</v>
      </c>
      <c r="E20" s="6">
        <f>IFERROR(IF('3 Electricity'!$G$1026='3 Electricity'!$V$1026,VLOOKUP('E Summary'!E$3,'3 Electricity'!$F$1037:$K$1041,2,FALSE),VLOOKUP('E Summary'!E$3,'3 Electricity'!$F$1056:$N$1060,2,FALSE)),0)</f>
        <v>0</v>
      </c>
      <c r="F20" s="6">
        <f>IFERROR(IF('3 Electricity'!$G$1026='3 Electricity'!$V$1026,VLOOKUP('E Summary'!F$3,'3 Electricity'!$F$1037:$K$1041,2,FALSE),VLOOKUP('E Summary'!F$3,'3 Electricity'!$F$1056:$N$1060,2,FALSE)),0)</f>
        <v>0.01</v>
      </c>
      <c r="G20" s="6">
        <f>IFERROR(IF('3 Electricity'!$G$1026='3 Electricity'!$V$1026,VLOOKUP('E Summary'!G$3,'3 Electricity'!$F$1037:$K$1041,2,FALSE),VLOOKUP('E Summary'!G$3,'3 Electricity'!$F$1056:$N$1060,2,FALSE)),0)</f>
        <v>0.01</v>
      </c>
      <c r="H20" s="6">
        <f>IFERROR(IF('3 Electricity'!$G$1026='3 Electricity'!$V$1026,VLOOKUP('E Summary'!H$3,'3 Electricity'!$F$1037:$K$1041,2,FALSE),VLOOKUP('E Summary'!H$3,'3 Electricity'!$F$1056:$N$1060,2,FALSE)),0)</f>
        <v>0.01</v>
      </c>
      <c r="I20" s="6">
        <f>IFERROR(IF('3 Electricity'!$G$1026='3 Electricity'!$V$1026,VLOOKUP('E Summary'!I$3,'3 Electricity'!$F$1037:$K$1041,2,FALSE),VLOOKUP('E Summary'!I$3,'3 Electricity'!$F$1056:$N$1060,2,FALSE)),0)</f>
        <v>0.01</v>
      </c>
      <c r="J20" s="6">
        <f>IFERROR(IF('3 Electricity'!$G$1026='3 Electricity'!$V$1026,VLOOKUP('E Summary'!J$3,'3 Electricity'!$F$1037:$K$1041,3,FALSE),VLOOKUP('E Summary'!J$3,'3 Electricity'!$F$1056:$N$1060,3,FALSE)),0)</f>
        <v>0</v>
      </c>
      <c r="K20" s="6">
        <f>IFERROR(IF('3 Electricity'!$G$1026='3 Electricity'!$V$1026,VLOOKUP('E Summary'!K$3,'3 Electricity'!$F$1037:$K$1041,3,FALSE),VLOOKUP('E Summary'!K$3,'3 Electricity'!$F$1056:$N$1060,3,FALSE)),0)</f>
        <v>0</v>
      </c>
      <c r="L20" s="6">
        <f>IFERROR(IF('3 Electricity'!$G$1026='3 Electricity'!$V$1026,VLOOKUP('E Summary'!L$3,'3 Electricity'!$F$1037:$K$1041,3,FALSE),VLOOKUP('E Summary'!L$3,'3 Electricity'!$F$1056:$N$1060,3,FALSE)),0)</f>
        <v>0</v>
      </c>
      <c r="M20" s="6">
        <f>IFERROR(IF('3 Electricity'!$G$1026='3 Electricity'!$V$1026,VLOOKUP('E Summary'!M$3,'3 Electricity'!$F$1037:$K$1041,3,FALSE),VLOOKUP('E Summary'!M$3,'3 Electricity'!$F$1056:$N$1060,3,FALSE)),0)</f>
        <v>0</v>
      </c>
      <c r="N20" s="6" t="str">
        <f>IFERROR(IF('3 Electricity'!$G$1026='3 Electricity'!$V$1026,VLOOKUP('E Summary'!N$3,'3 Electricity'!$F$1037:$K$1041,3,FALSE),VLOOKUP('E Summary'!N$3,'3 Electricity'!$F$1056:$N$1060,3,FALSE)),0)</f>
        <v>More</v>
      </c>
      <c r="O20" s="6">
        <f>IFERROR(IF('3 Electricity'!$G$1026='3 Electricity'!$V$1026,VLOOKUP('E Summary'!O$3,'3 Electricity'!$F$1037:$K$1041,6,FALSE),0),0)</f>
        <v>0</v>
      </c>
      <c r="P20" s="6">
        <f>IFERROR(IF('3 Electricity'!$G$1026='3 Electricity'!$V$1026,VLOOKUP('E Summary'!P$3,'3 Electricity'!$F$1037:$K$1041,6,FALSE),0),0)</f>
        <v>0</v>
      </c>
      <c r="Q20" s="6">
        <f>IFERROR(IF('3 Electricity'!$G$1026='3 Electricity'!$V$1026,VLOOKUP('E Summary'!Q$3,'3 Electricity'!$F$1037:$K$1041,6,FALSE),0),0)</f>
        <v>0</v>
      </c>
      <c r="R20" s="6">
        <f>IFERROR(IF('3 Electricity'!$G$1026='3 Electricity'!$V$1026,VLOOKUP('E Summary'!R$3,'3 Electricity'!$F$1037:$K$1041,6,FALSE),0),0)</f>
        <v>0</v>
      </c>
      <c r="S20" s="6">
        <f>IFERROR(IF('3 Electricity'!$G$1026='3 Electricity'!$V$1026,VLOOKUP('E Summary'!S$3,'3 Electricity'!$F$1037:$K$1041,6,FALSE),0),0)</f>
        <v>0</v>
      </c>
      <c r="T20" s="6">
        <f ca="1">IFERROR(IF('3 Electricity'!$G$1026='3 Electricity'!$V$1026,0,VLOOKUP('E Summary'!T$3,'3 Electricity'!$F$1056:$N$1060,8,FALSE)),0)</f>
        <v>0</v>
      </c>
      <c r="U20" s="6">
        <f ca="1">IFERROR(IF('3 Electricity'!$G$1026='3 Electricity'!$V$1026,0,VLOOKUP('E Summary'!U$3,'3 Electricity'!$F$1056:$N$1060,8,FALSE)),0)</f>
        <v>0</v>
      </c>
      <c r="V20" s="6">
        <f ca="1">IFERROR(IF('3 Electricity'!$G$1026='3 Electricity'!$V$1026,0,VLOOKUP('E Summary'!V$3,'3 Electricity'!$F$1056:$N$1060,8,FALSE)),0)</f>
        <v>0</v>
      </c>
      <c r="W20" s="6">
        <f ca="1">IFERROR(IF('3 Electricity'!$G$1026='3 Electricity'!$V$1026,0,VLOOKUP('E Summary'!W$3,'3 Electricity'!$F$1056:$N$1060,8,FALSE)),0)</f>
        <v>0</v>
      </c>
      <c r="X20" s="6">
        <f ca="1">IFERROR(IF('3 Electricity'!$G$1026='3 Electricity'!$V$1026,0,VLOOKUP('E Summary'!X$3,'3 Electricity'!$F$1056:$N$1060,8,FALSE)),0)</f>
        <v>0</v>
      </c>
      <c r="Y20" s="6">
        <f ca="1">IFERROR(IF('3 Electricity'!$G$1026='3 Electricity'!$V$1026,0,VLOOKUP('E Summary'!Y$3,'3 Electricity'!$F$1056:$N$1060,9,FALSE)),0)</f>
        <v>0</v>
      </c>
      <c r="Z20" s="6">
        <f ca="1">IFERROR(IF('3 Electricity'!$G$1026='3 Electricity'!$V$1026,0,VLOOKUP('E Summary'!Z$3,'3 Electricity'!$F$1056:$N$1060,9,FALSE)),0)</f>
        <v>0</v>
      </c>
      <c r="AA20" s="6">
        <f ca="1">IFERROR(IF('3 Electricity'!$G$1026='3 Electricity'!$V$1026,0,VLOOKUP('E Summary'!AA$3,'3 Electricity'!$F$1056:$N$1060,9,FALSE)),0)</f>
        <v>0</v>
      </c>
      <c r="AB20" s="6">
        <f ca="1">IFERROR(IF('3 Electricity'!$G$1026='3 Electricity'!$V$1026,0,VLOOKUP('E Summary'!AB$3,'3 Electricity'!$F$1056:$N$1060,9,FALSE)),0)</f>
        <v>0</v>
      </c>
      <c r="AC20" s="6">
        <f ca="1">IFERROR(IF('3 Electricity'!$G$1026='3 Electricity'!$V$1026,0,VLOOKUP('E Summary'!AC$3,'3 Electricity'!$F$1056:$N$1060,9,FALSE)),0)</f>
        <v>0</v>
      </c>
    </row>
    <row r="21" spans="1:29" x14ac:dyDescent="0.55000000000000004">
      <c r="A21">
        <f>'2 Customer data'!D110</f>
        <v>0</v>
      </c>
      <c r="B21" s="2">
        <f>'3 Electricity'!I1080</f>
        <v>0</v>
      </c>
      <c r="C21" s="2" t="str">
        <f>'3 Electricity'!G1088</f>
        <v xml:space="preserve">Seasonal </v>
      </c>
      <c r="D21" s="4">
        <f>IF('3 Electricity'!G1088='3 Electricity'!V1088,'3 Electricity'!I1095,'3 Electricity'!I1111)</f>
        <v>5</v>
      </c>
      <c r="E21" s="6">
        <f>IFERROR(IF('3 Electricity'!$G$1088='3 Electricity'!$V$1088,VLOOKUP('E Summary'!E$3,'3 Electricity'!$F$1099:$K$1103,2,FALSE),VLOOKUP('E Summary'!E$3,'3 Electricity'!$F$1118:$N$1122,2,FALSE)),0)</f>
        <v>0</v>
      </c>
      <c r="F21" s="6">
        <f>IFERROR(IF('3 Electricity'!$G$1088='3 Electricity'!$V$1088,VLOOKUP('E Summary'!F$3,'3 Electricity'!$F$1099:$K$1103,2,FALSE),VLOOKUP('E Summary'!F$3,'3 Electricity'!$F$1118:$N$1122,2,FALSE)),0)</f>
        <v>0.01</v>
      </c>
      <c r="G21" s="6">
        <f>IFERROR(IF('3 Electricity'!$G$1088='3 Electricity'!$V$1088,VLOOKUP('E Summary'!G$3,'3 Electricity'!$F$1099:$K$1103,2,FALSE),VLOOKUP('E Summary'!G$3,'3 Electricity'!$F$1118:$N$1122,2,FALSE)),0)</f>
        <v>0.01</v>
      </c>
      <c r="H21" s="6">
        <f>IFERROR(IF('3 Electricity'!$G$1088='3 Electricity'!$V$1088,VLOOKUP('E Summary'!H$3,'3 Electricity'!$F$1099:$K$1103,2,FALSE),VLOOKUP('E Summary'!H$3,'3 Electricity'!$F$1118:$N$1122,2,FALSE)),0)</f>
        <v>0.01</v>
      </c>
      <c r="I21" s="6">
        <f>IFERROR(IF('3 Electricity'!$G$1088='3 Electricity'!$V$1088,VLOOKUP('E Summary'!I$3,'3 Electricity'!$F$1099:$K$1103,2,FALSE),VLOOKUP('E Summary'!I$3,'3 Electricity'!$F$1118:$N$1122,2,FALSE)),0)</f>
        <v>0.01</v>
      </c>
      <c r="J21" s="6">
        <f>IFERROR(IF('3 Electricity'!$G$1088='3 Electricity'!$V$1088,VLOOKUP('E Summary'!J$3,'3 Electricity'!$F$1099:$K$1103,3,FALSE),VLOOKUP('E Summary'!J$3,'3 Electricity'!$F$1118:$N$1122,3,FALSE)),0)</f>
        <v>0</v>
      </c>
      <c r="K21" s="6">
        <f>IFERROR(IF('3 Electricity'!$G$1088='3 Electricity'!$V$1088,VLOOKUP('E Summary'!K$3,'3 Electricity'!$F$1099:$K$1103,3,FALSE),VLOOKUP('E Summary'!K$3,'3 Electricity'!$F$1118:$N$1122,3,FALSE)),0)</f>
        <v>0</v>
      </c>
      <c r="L21" s="6">
        <f>IFERROR(IF('3 Electricity'!$G$1088='3 Electricity'!$V$1088,VLOOKUP('E Summary'!L$3,'3 Electricity'!$F$1099:$K$1103,3,FALSE),VLOOKUP('E Summary'!L$3,'3 Electricity'!$F$1118:$N$1122,3,FALSE)),0)</f>
        <v>0</v>
      </c>
      <c r="M21" s="6">
        <f>IFERROR(IF('3 Electricity'!$G$1088='3 Electricity'!$V$1088,VLOOKUP('E Summary'!M$3,'3 Electricity'!$F$1099:$K$1103,3,FALSE),VLOOKUP('E Summary'!M$3,'3 Electricity'!$F$1118:$N$1122,3,FALSE)),0)</f>
        <v>0</v>
      </c>
      <c r="N21" s="6" t="str">
        <f>IFERROR(IF('3 Electricity'!$G$1088='3 Electricity'!$V$1088,VLOOKUP('E Summary'!N$3,'3 Electricity'!$F$1099:$K$1103,3,FALSE),VLOOKUP('E Summary'!N$3,'3 Electricity'!$F$1118:$N$1122,3,FALSE)),0)</f>
        <v>More</v>
      </c>
      <c r="O21" s="6">
        <f>IFERROR(IF('3 Electricity'!$G$1088='3 Electricity'!$V$1088,VLOOKUP('E Summary'!O$3,'3 Electricity'!$F$1099:$K$1103,6,FALSE),0),0)</f>
        <v>0</v>
      </c>
      <c r="P21" s="6">
        <f>IFERROR(IF('3 Electricity'!$G$1088='3 Electricity'!$V$1088,VLOOKUP('E Summary'!P$3,'3 Electricity'!$F$1099:$K$1103,6,FALSE),0),0)</f>
        <v>0</v>
      </c>
      <c r="Q21" s="6">
        <f>IFERROR(IF('3 Electricity'!$G$1088='3 Electricity'!$V$1088,VLOOKUP('E Summary'!Q$3,'3 Electricity'!$F$1099:$K$1103,6,FALSE),0),0)</f>
        <v>0</v>
      </c>
      <c r="R21" s="6">
        <f>IFERROR(IF('3 Electricity'!$G$1088='3 Electricity'!$V$1088,VLOOKUP('E Summary'!R$3,'3 Electricity'!$F$1099:$K$1103,6,FALSE),0),0)</f>
        <v>0</v>
      </c>
      <c r="S21" s="6">
        <f>IFERROR(IF('3 Electricity'!$G$1088='3 Electricity'!$V$1088,VLOOKUP('E Summary'!S$3,'3 Electricity'!$F$1099:$K$1103,6,FALSE),0),0)</f>
        <v>0</v>
      </c>
      <c r="T21" s="6">
        <f ca="1">IFERROR(IF('3 Electricity'!$G$1088='3 Electricity'!$V$1088,0,VLOOKUP('E Summary'!T$3,'3 Electricity'!$F$1118:$N$1122,8,FALSE)),0)</f>
        <v>0</v>
      </c>
      <c r="U21" s="6">
        <f ca="1">IFERROR(IF('3 Electricity'!$G$1088='3 Electricity'!$V$1088,0,VLOOKUP('E Summary'!U$3,'3 Electricity'!$F$1118:$N$1122,8,FALSE)),0)</f>
        <v>0</v>
      </c>
      <c r="V21" s="6">
        <f ca="1">IFERROR(IF('3 Electricity'!$G$1088='3 Electricity'!$V$1088,0,VLOOKUP('E Summary'!V$3,'3 Electricity'!$F$1118:$N$1122,8,FALSE)),0)</f>
        <v>0</v>
      </c>
      <c r="W21" s="6">
        <f ca="1">IFERROR(IF('3 Electricity'!$G$1088='3 Electricity'!$V$1088,0,VLOOKUP('E Summary'!W$3,'3 Electricity'!$F$1118:$N$1122,8,FALSE)),0)</f>
        <v>0</v>
      </c>
      <c r="X21" s="6">
        <f ca="1">IFERROR(IF('3 Electricity'!$G$1088='3 Electricity'!$V$1088,0,VLOOKUP('E Summary'!X$3,'3 Electricity'!$F$1118:$N$1122,8,FALSE)),0)</f>
        <v>0</v>
      </c>
      <c r="Y21" s="6">
        <f ca="1">IFERROR(IF('3 Electricity'!$G$1088='3 Electricity'!$V$1088,0,VLOOKUP('E Summary'!Y$3,'3 Electricity'!$F$1118:$N$1122,9,FALSE)),0)</f>
        <v>0</v>
      </c>
      <c r="Z21" s="6">
        <f ca="1">IFERROR(IF('3 Electricity'!$G$1088='3 Electricity'!$V$1088,0,VLOOKUP('E Summary'!Z$3,'3 Electricity'!$F$1118:$N$1122,9,FALSE)),0)</f>
        <v>0</v>
      </c>
      <c r="AA21" s="6">
        <f ca="1">IFERROR(IF('3 Electricity'!$G$1088='3 Electricity'!$V$1088,0,VLOOKUP('E Summary'!AA$3,'3 Electricity'!$F$1118:$N$1122,9,FALSE)),0)</f>
        <v>0</v>
      </c>
      <c r="AB21" s="6">
        <f ca="1">IFERROR(IF('3 Electricity'!$G$1088='3 Electricity'!$V$1088,0,VLOOKUP('E Summary'!AB$3,'3 Electricity'!$F$1118:$N$1122,9,FALSE)),0)</f>
        <v>0</v>
      </c>
      <c r="AC21" s="6">
        <f ca="1">IFERROR(IF('3 Electricity'!$G$1088='3 Electricity'!$V$1088,0,VLOOKUP('E Summary'!AC$3,'3 Electricity'!$F$1118:$N$1122,9,FALSE)),0)</f>
        <v>0</v>
      </c>
    </row>
    <row r="22" spans="1:29" x14ac:dyDescent="0.55000000000000004">
      <c r="A22">
        <f>'2 Customer data'!D111</f>
        <v>0</v>
      </c>
      <c r="B22" s="2">
        <f>'3 Electricity'!I1142</f>
        <v>0</v>
      </c>
      <c r="C22" s="2" t="str">
        <f>'3 Electricity'!G1150</f>
        <v xml:space="preserve">Seasonal </v>
      </c>
      <c r="D22" s="4">
        <f>IF('3 Electricity'!G1150='3 Electricity'!V1150,'3 Electricity'!I1157,'3 Electricity'!I1173)</f>
        <v>5</v>
      </c>
      <c r="E22" s="6">
        <f>IFERROR(IF('3 Electricity'!$G$1150='3 Electricity'!$V$1150,VLOOKUP('E Summary'!E$3,'3 Electricity'!$F$1161:$K$1165,2,FALSE),VLOOKUP('E Summary'!E$3,'3 Electricity'!$F$1180:$N$1184,2,FALSE)),0)</f>
        <v>0</v>
      </c>
      <c r="F22" s="6">
        <f>IFERROR(IF('3 Electricity'!$G$1150='3 Electricity'!$V$1150,VLOOKUP('E Summary'!F$3,'3 Electricity'!$F$1161:$K$1165,2,FALSE),VLOOKUP('E Summary'!F$3,'3 Electricity'!$F$1180:$N$1184,2,FALSE)),0)</f>
        <v>0.01</v>
      </c>
      <c r="G22" s="6">
        <f>IFERROR(IF('3 Electricity'!$G$1150='3 Electricity'!$V$1150,VLOOKUP('E Summary'!G$3,'3 Electricity'!$F$1161:$K$1165,2,FALSE),VLOOKUP('E Summary'!G$3,'3 Electricity'!$F$1180:$N$1184,2,FALSE)),0)</f>
        <v>0.01</v>
      </c>
      <c r="H22" s="6">
        <f>IFERROR(IF('3 Electricity'!$G$1150='3 Electricity'!$V$1150,VLOOKUP('E Summary'!H$3,'3 Electricity'!$F$1161:$K$1165,2,FALSE),VLOOKUP('E Summary'!H$3,'3 Electricity'!$F$1180:$N$1184,2,FALSE)),0)</f>
        <v>0.01</v>
      </c>
      <c r="I22" s="6">
        <f>IFERROR(IF('3 Electricity'!$G$1150='3 Electricity'!$V$1150,VLOOKUP('E Summary'!I$3,'3 Electricity'!$F$1161:$K$1165,2,FALSE),VLOOKUP('E Summary'!I$3,'3 Electricity'!$F$1180:$N$1184,2,FALSE)),0)</f>
        <v>0.01</v>
      </c>
      <c r="J22" s="6">
        <f>IFERROR(IF('3 Electricity'!$G$1150='3 Electricity'!$V$1150,VLOOKUP('E Summary'!J$3,'3 Electricity'!$F$1161:$K$1165,3,FALSE),VLOOKUP('E Summary'!J$3,'3 Electricity'!$F$1180:$N$1184,3,FALSE)),0)</f>
        <v>0</v>
      </c>
      <c r="K22" s="6">
        <f>IFERROR(IF('3 Electricity'!$G$1150='3 Electricity'!$V$1150,VLOOKUP('E Summary'!K$3,'3 Electricity'!$F$1161:$K$1165,3,FALSE),VLOOKUP('E Summary'!K$3,'3 Electricity'!$F$1180:$N$1184,3,FALSE)),0)</f>
        <v>0</v>
      </c>
      <c r="L22" s="6">
        <f>IFERROR(IF('3 Electricity'!$G$1150='3 Electricity'!$V$1150,VLOOKUP('E Summary'!L$3,'3 Electricity'!$F$1161:$K$1165,3,FALSE),VLOOKUP('E Summary'!L$3,'3 Electricity'!$F$1180:$N$1184,3,FALSE)),0)</f>
        <v>0</v>
      </c>
      <c r="M22" s="6">
        <f>IFERROR(IF('3 Electricity'!$G$1150='3 Electricity'!$V$1150,VLOOKUP('E Summary'!M$3,'3 Electricity'!$F$1161:$K$1165,3,FALSE),VLOOKUP('E Summary'!M$3,'3 Electricity'!$F$1180:$N$1184,3,FALSE)),0)</f>
        <v>0</v>
      </c>
      <c r="N22" s="6" t="str">
        <f>IFERROR(IF('3 Electricity'!$G$1150='3 Electricity'!$V$1150,VLOOKUP('E Summary'!N$3,'3 Electricity'!$F$1161:$K$1165,3,FALSE),VLOOKUP('E Summary'!N$3,'3 Electricity'!$F$1180:$N$1184,3,FALSE)),0)</f>
        <v>More</v>
      </c>
      <c r="O22" s="6">
        <f>IFERROR(IF('3 Electricity'!$G$1150='3 Electricity'!$V$1150,VLOOKUP('E Summary'!O$3,'3 Electricity'!$F$1161:$K$1165,6,FALSE),0),0)</f>
        <v>0</v>
      </c>
      <c r="P22" s="6">
        <f>IFERROR(IF('3 Electricity'!$G$1150='3 Electricity'!$V$1150,VLOOKUP('E Summary'!P$3,'3 Electricity'!$F$1161:$K$1165,6,FALSE),0),0)</f>
        <v>0</v>
      </c>
      <c r="Q22" s="6">
        <f>IFERROR(IF('3 Electricity'!$G$1150='3 Electricity'!$V$1150,VLOOKUP('E Summary'!Q$3,'3 Electricity'!$F$1161:$K$1165,6,FALSE),0),0)</f>
        <v>0</v>
      </c>
      <c r="R22" s="6">
        <f>IFERROR(IF('3 Electricity'!$G$1150='3 Electricity'!$V$1150,VLOOKUP('E Summary'!R$3,'3 Electricity'!$F$1161:$K$1165,6,FALSE),0),0)</f>
        <v>0</v>
      </c>
      <c r="S22" s="6">
        <f>IFERROR(IF('3 Electricity'!$G$1150='3 Electricity'!$V$1150,VLOOKUP('E Summary'!S$3,'3 Electricity'!$F$1161:$K$1165,6,FALSE),0),0)</f>
        <v>0</v>
      </c>
      <c r="T22" s="6">
        <f ca="1">IFERROR(IF('3 Electricity'!$G$1212='3 Electricity'!$V$1212,0,VLOOKUP('E Summary'!T$3,'3 Electricity'!$F$1242:$N$1246,8,FALSE)),0)</f>
        <v>0</v>
      </c>
      <c r="U22" s="6">
        <f ca="1">IFERROR(IF('3 Electricity'!$G$1212='3 Electricity'!$V$1212,0,VLOOKUP('E Summary'!U$3,'3 Electricity'!$F$1242:$N$1246,8,FALSE)),0)</f>
        <v>0</v>
      </c>
      <c r="V22" s="6">
        <f ca="1">IFERROR(IF('3 Electricity'!$G$1212='3 Electricity'!$V$1212,0,VLOOKUP('E Summary'!V$3,'3 Electricity'!$F$1242:$N$1246,8,FALSE)),0)</f>
        <v>0</v>
      </c>
      <c r="W22" s="6">
        <f ca="1">IFERROR(IF('3 Electricity'!$G$1212='3 Electricity'!$V$1212,0,VLOOKUP('E Summary'!W$3,'3 Electricity'!$F$1242:$N$1246,8,FALSE)),0)</f>
        <v>0</v>
      </c>
      <c r="X22" s="6">
        <f ca="1">IFERROR(IF('3 Electricity'!$G$1212='3 Electricity'!$V$1212,0,VLOOKUP('E Summary'!X$3,'3 Electricity'!$F$1242:$N$1246,8,FALSE)),0)</f>
        <v>0</v>
      </c>
      <c r="Y22" s="6">
        <f ca="1">IFERROR(IF('3 Electricity'!$G$1212='3 Electricity'!$V$1212,0,VLOOKUP('E Summary'!Y$3,'3 Electricity'!$F$1242:$N$1246,9,FALSE)),0)</f>
        <v>0</v>
      </c>
      <c r="Z22" s="6">
        <f ca="1">IFERROR(IF('3 Electricity'!$G$1212='3 Electricity'!$V$1212,0,VLOOKUP('E Summary'!Z$3,'3 Electricity'!$F$1242:$N$1246,9,FALSE)),0)</f>
        <v>0</v>
      </c>
      <c r="AA22" s="6">
        <f ca="1">IFERROR(IF('3 Electricity'!$G$1212='3 Electricity'!$V$1212,0,VLOOKUP('E Summary'!AA$3,'3 Electricity'!$F$1242:$N$1246,9,FALSE)),0)</f>
        <v>0</v>
      </c>
      <c r="AB22" s="6">
        <f ca="1">IFERROR(IF('3 Electricity'!$G$1212='3 Electricity'!$V$1212,0,VLOOKUP('E Summary'!AB$3,'3 Electricity'!$F$1242:$N$1246,9,FALSE)),0)</f>
        <v>0</v>
      </c>
      <c r="AC22" s="6">
        <f ca="1">IFERROR(IF('3 Electricity'!$G$1212='3 Electricity'!$V$1212,0,VLOOKUP('E Summary'!AC$3,'3 Electricity'!$F$1242:$N$1246,9,FALSE)),0)</f>
        <v>0</v>
      </c>
    </row>
    <row r="23" spans="1:29" x14ac:dyDescent="0.55000000000000004">
      <c r="A23">
        <f>'2 Customer data'!D112</f>
        <v>0</v>
      </c>
      <c r="B23" s="2">
        <f>'3 Electricity'!I1204</f>
        <v>0</v>
      </c>
      <c r="C23" s="2" t="str">
        <f>'3 Electricity'!G1212</f>
        <v xml:space="preserve">Seasonal </v>
      </c>
      <c r="D23" s="4">
        <f>IF('3 Electricity'!G1212='3 Electricity'!V1212,'3 Electricity'!I1219,'3 Electricity'!I1235)</f>
        <v>5</v>
      </c>
      <c r="E23" s="6">
        <f>IFERROR(IF('3 Electricity'!$G$1212='3 Electricity'!$V$1212,VLOOKUP('E Summary'!E$3,'3 Electricity'!$F$1223:$K$1227,2,FALSE),VLOOKUP('E Summary'!E$3,'3 Electricity'!$F$1242:$N$1246,2,FALSE)),0)</f>
        <v>0</v>
      </c>
      <c r="F23" s="6">
        <f>IFERROR(IF('3 Electricity'!$G$1212='3 Electricity'!$V$1212,VLOOKUP('E Summary'!F$3,'3 Electricity'!$F$1223:$K$1227,2,FALSE),VLOOKUP('E Summary'!F$3,'3 Electricity'!$F$1242:$N$1246,2,FALSE)),0)</f>
        <v>0.01</v>
      </c>
      <c r="G23" s="6">
        <f>IFERROR(IF('3 Electricity'!$G$1212='3 Electricity'!$V$1212,VLOOKUP('E Summary'!G$3,'3 Electricity'!$F$1223:$K$1227,2,FALSE),VLOOKUP('E Summary'!G$3,'3 Electricity'!$F$1242:$N$1246,2,FALSE)),0)</f>
        <v>0.01</v>
      </c>
      <c r="H23" s="6">
        <f>IFERROR(IF('3 Electricity'!$G$1212='3 Electricity'!$V$1212,VLOOKUP('E Summary'!H$3,'3 Electricity'!$F$1223:$K$1227,2,FALSE),VLOOKUP('E Summary'!H$3,'3 Electricity'!$F$1242:$N$1246,2,FALSE)),0)</f>
        <v>0.01</v>
      </c>
      <c r="I23" s="6">
        <f>IFERROR(IF('3 Electricity'!$G$1212='3 Electricity'!$V$1212,VLOOKUP('E Summary'!I$3,'3 Electricity'!$F$1223:$K$1227,2,FALSE),VLOOKUP('E Summary'!I$3,'3 Electricity'!$F$1242:$N$1246,2,FALSE)),0)</f>
        <v>0.01</v>
      </c>
      <c r="J23" s="6">
        <f>IFERROR(IF('3 Electricity'!$G$1212='3 Electricity'!$V$1212,VLOOKUP('E Summary'!J$3,'3 Electricity'!$F$1223:$K$1227,3,FALSE),VLOOKUP('E Summary'!J$3,'3 Electricity'!$F$1242:$N$1246,3,FALSE)),0)</f>
        <v>0</v>
      </c>
      <c r="K23" s="6">
        <f>IFERROR(IF('3 Electricity'!$G$1212='3 Electricity'!$V$1212,VLOOKUP('E Summary'!K$3,'3 Electricity'!$F$1223:$K$1227,3,FALSE),VLOOKUP('E Summary'!K$3,'3 Electricity'!$F$1242:$N$1246,3,FALSE)),0)</f>
        <v>0</v>
      </c>
      <c r="L23" s="6">
        <f>IFERROR(IF('3 Electricity'!$G$1212='3 Electricity'!$V$1212,VLOOKUP('E Summary'!L$3,'3 Electricity'!$F$1223:$K$1227,3,FALSE),VLOOKUP('E Summary'!L$3,'3 Electricity'!$F$1242:$N$1246,3,FALSE)),0)</f>
        <v>0</v>
      </c>
      <c r="M23" s="6">
        <f>IFERROR(IF('3 Electricity'!$G$1212='3 Electricity'!$V$1212,VLOOKUP('E Summary'!M$3,'3 Electricity'!$F$1223:$K$1227,3,FALSE),VLOOKUP('E Summary'!M$3,'3 Electricity'!$F$1242:$N$1246,3,FALSE)),0)</f>
        <v>0</v>
      </c>
      <c r="N23" s="6" t="str">
        <f>IFERROR(IF('3 Electricity'!$G$1212='3 Electricity'!$V$1212,VLOOKUP('E Summary'!N$3,'3 Electricity'!$F$1223:$K$1227,3,FALSE),VLOOKUP('E Summary'!N$3,'3 Electricity'!$F$1242:$N$1246,3,FALSE)),0)</f>
        <v>More</v>
      </c>
      <c r="O23" s="6">
        <f>IFERROR(IF('3 Electricity'!$G$1212='3 Electricity'!$V$1212,VLOOKUP('E Summary'!O$3,'3 Electricity'!$F$1223:$K$1227,6,FALSE),0),0)</f>
        <v>0</v>
      </c>
      <c r="P23" s="6">
        <f>IFERROR(IF('3 Electricity'!$G$1212='3 Electricity'!$V$1212,VLOOKUP('E Summary'!P$3,'3 Electricity'!$F$1223:$K$1227,6,FALSE),0),0)</f>
        <v>0</v>
      </c>
      <c r="Q23" s="6">
        <f>IFERROR(IF('3 Electricity'!$G$1212='3 Electricity'!$V$1212,VLOOKUP('E Summary'!Q$3,'3 Electricity'!$F$1223:$K$1227,6,FALSE),0),0)</f>
        <v>0</v>
      </c>
      <c r="R23" s="6">
        <f>IFERROR(IF('3 Electricity'!$G$1212='3 Electricity'!$V$1212,VLOOKUP('E Summary'!R$3,'3 Electricity'!$F$1223:$K$1227,6,FALSE),0),0)</f>
        <v>0</v>
      </c>
      <c r="S23" s="6">
        <f>IFERROR(IF('3 Electricity'!$G$1212='3 Electricity'!$V$1212,VLOOKUP('E Summary'!S$3,'3 Electricity'!$F$1223:$K$1227,6,FALSE),0),0)</f>
        <v>0</v>
      </c>
      <c r="T23" s="6">
        <f ca="1">IFERROR(IF('3 Electricity'!$G$1212='3 Electricity'!$V$1212,0,VLOOKUP('E Summary'!T$3,'3 Electricity'!$F$1242:$N$1246,8,FALSE)),0)</f>
        <v>0</v>
      </c>
      <c r="U23" s="6">
        <f ca="1">IFERROR(IF('3 Electricity'!$G$1212='3 Electricity'!$V$1212,0,VLOOKUP('E Summary'!U$3,'3 Electricity'!$F$1242:$N$1246,8,FALSE)),0)</f>
        <v>0</v>
      </c>
      <c r="V23" s="6">
        <f ca="1">IFERROR(IF('3 Electricity'!$G$1212='3 Electricity'!$V$1212,0,VLOOKUP('E Summary'!V$3,'3 Electricity'!$F$1242:$N$1246,8,FALSE)),0)</f>
        <v>0</v>
      </c>
      <c r="W23" s="6">
        <f ca="1">IFERROR(IF('3 Electricity'!$G$1212='3 Electricity'!$V$1212,0,VLOOKUP('E Summary'!W$3,'3 Electricity'!$F$1242:$N$1246,8,FALSE)),0)</f>
        <v>0</v>
      </c>
      <c r="X23" s="6">
        <f ca="1">IFERROR(IF('3 Electricity'!$G$1212='3 Electricity'!$V$1212,0,VLOOKUP('E Summary'!X$3,'3 Electricity'!$F$1242:$N$1246,8,FALSE)),0)</f>
        <v>0</v>
      </c>
      <c r="Y23" s="6">
        <f ca="1">IFERROR(IF('3 Electricity'!$G$1212='3 Electricity'!$V$1212,0,VLOOKUP('E Summary'!Y$3,'3 Electricity'!$F$1242:$N$1246,9,FALSE)),0)</f>
        <v>0</v>
      </c>
      <c r="Z23" s="6">
        <f ca="1">IFERROR(IF('3 Electricity'!$G$1212='3 Electricity'!$V$1212,0,VLOOKUP('E Summary'!Z$3,'3 Electricity'!$F$1242:$N$1246,9,FALSE)),0)</f>
        <v>0</v>
      </c>
      <c r="AA23" s="6">
        <f ca="1">IFERROR(IF('3 Electricity'!$G$1212='3 Electricity'!$V$1212,0,VLOOKUP('E Summary'!AA$3,'3 Electricity'!$F$1242:$N$1246,9,FALSE)),0)</f>
        <v>0</v>
      </c>
      <c r="AB23" s="6">
        <f ca="1">IFERROR(IF('3 Electricity'!$G$1212='3 Electricity'!$V$1212,0,VLOOKUP('E Summary'!AB$3,'3 Electricity'!$F$1242:$N$1246,9,FALSE)),0)</f>
        <v>0</v>
      </c>
      <c r="AC23" s="6">
        <f ca="1">IFERROR(IF('3 Electricity'!$G$1212='3 Electricity'!$V$1212,0,VLOOKUP('E Summary'!AC$3,'3 Electricity'!$F$1242:$N$1246,9,FALSE)),0)</f>
        <v>0</v>
      </c>
    </row>
  </sheetData>
  <sheetProtection sheet="1" objects="1" scenarios="1"/>
  <mergeCells count="5">
    <mergeCell ref="E2:I2"/>
    <mergeCell ref="J2:N2"/>
    <mergeCell ref="O2:S2"/>
    <mergeCell ref="Y2:AC2"/>
    <mergeCell ref="T2:X2"/>
  </mergeCells>
  <pageMargins left="0.7" right="0.7" top="0.75" bottom="0.75" header="0.3" footer="0.3"/>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47FF82B-7453-410F-A370-73A82CE86E20}">
  <sheetPr codeName="Sheet30"/>
  <dimension ref="A1:B23"/>
  <sheetViews>
    <sheetView workbookViewId="0"/>
  </sheetViews>
  <sheetFormatPr defaultRowHeight="14.4" x14ac:dyDescent="0.55000000000000004"/>
  <cols>
    <col min="1" max="1" width="26.20703125" bestFit="1" customWidth="1"/>
    <col min="2" max="2" width="11.20703125" bestFit="1" customWidth="1"/>
  </cols>
  <sheetData>
    <row r="1" spans="1:2" x14ac:dyDescent="0.55000000000000004">
      <c r="A1" s="1" t="s">
        <v>445</v>
      </c>
      <c r="B1">
        <v>2</v>
      </c>
    </row>
    <row r="2" spans="1:2" x14ac:dyDescent="0.55000000000000004">
      <c r="A2" s="1"/>
    </row>
    <row r="3" spans="1:2" x14ac:dyDescent="0.55000000000000004">
      <c r="B3" t="s">
        <v>406</v>
      </c>
    </row>
    <row r="4" spans="1:2" x14ac:dyDescent="0.55000000000000004">
      <c r="A4" t="str">
        <f>'2 Customer data'!D129</f>
        <v>Residential</v>
      </c>
      <c r="B4" s="2">
        <f ca="1">'3 Solid waste'!G23</f>
        <v>336.54363136610073</v>
      </c>
    </row>
    <row r="5" spans="1:2" x14ac:dyDescent="0.55000000000000004">
      <c r="A5" t="str">
        <f>'2 Customer data'!D130</f>
        <v>Commercial</v>
      </c>
      <c r="B5" s="2">
        <f ca="1">'3 Solid waste'!G41</f>
        <v>427.26095650511155</v>
      </c>
    </row>
    <row r="6" spans="1:2" x14ac:dyDescent="0.55000000000000004">
      <c r="A6" t="str">
        <f>'2 Customer data'!D131</f>
        <v>Sport Clubs</v>
      </c>
      <c r="B6" s="2">
        <f ca="1">'3 Solid waste'!G59</f>
        <v>427.26095650511144</v>
      </c>
    </row>
    <row r="7" spans="1:2" x14ac:dyDescent="0.55000000000000004">
      <c r="A7" t="str">
        <f>'2 Customer data'!D132</f>
        <v>Old Age Homes</v>
      </c>
      <c r="B7" s="2">
        <f ca="1">'3 Solid waste'!G77</f>
        <v>336.54363136610078</v>
      </c>
    </row>
    <row r="8" spans="1:2" x14ac:dyDescent="0.55000000000000004">
      <c r="A8" t="str">
        <f>'2 Customer data'!D133</f>
        <v>Safe Houses</v>
      </c>
      <c r="B8" s="2">
        <f ca="1">'3 Solid waste'!G95</f>
        <v>336.54363136610073</v>
      </c>
    </row>
    <row r="9" spans="1:2" x14ac:dyDescent="0.55000000000000004">
      <c r="A9">
        <f>'2 Customer data'!D134</f>
        <v>0</v>
      </c>
      <c r="B9" s="2">
        <f ca="1">'3 Solid waste'!G113</f>
        <v>0</v>
      </c>
    </row>
    <row r="10" spans="1:2" x14ac:dyDescent="0.55000000000000004">
      <c r="A10">
        <f>'2 Customer data'!D135</f>
        <v>0</v>
      </c>
      <c r="B10" s="2">
        <f ca="1">'3 Solid waste'!G131</f>
        <v>0</v>
      </c>
    </row>
    <row r="11" spans="1:2" x14ac:dyDescent="0.55000000000000004">
      <c r="A11">
        <f>'2 Customer data'!D136</f>
        <v>0</v>
      </c>
      <c r="B11" s="2">
        <f ca="1">'3 Solid waste'!G149</f>
        <v>0</v>
      </c>
    </row>
    <row r="12" spans="1:2" x14ac:dyDescent="0.55000000000000004">
      <c r="A12">
        <f>'2 Customer data'!D137</f>
        <v>0</v>
      </c>
      <c r="B12" s="2">
        <f ca="1">'3 Solid waste'!G167</f>
        <v>0</v>
      </c>
    </row>
    <row r="13" spans="1:2" x14ac:dyDescent="0.55000000000000004">
      <c r="A13">
        <f>'2 Customer data'!D138</f>
        <v>0</v>
      </c>
      <c r="B13" s="2">
        <f ca="1">'3 Solid waste'!G185</f>
        <v>0</v>
      </c>
    </row>
    <row r="14" spans="1:2" x14ac:dyDescent="0.55000000000000004">
      <c r="A14">
        <f>'2 Customer data'!D139</f>
        <v>0</v>
      </c>
      <c r="B14" s="2">
        <f ca="1">'3 Solid waste'!G203</f>
        <v>0</v>
      </c>
    </row>
    <row r="15" spans="1:2" x14ac:dyDescent="0.55000000000000004">
      <c r="A15">
        <f>'2 Customer data'!D140</f>
        <v>0</v>
      </c>
      <c r="B15" s="2">
        <f ca="1">'3 Solid waste'!G221</f>
        <v>0</v>
      </c>
    </row>
    <row r="16" spans="1:2" x14ac:dyDescent="0.55000000000000004">
      <c r="A16">
        <f>'2 Customer data'!D141</f>
        <v>0</v>
      </c>
      <c r="B16" s="2">
        <f ca="1">'3 Solid waste'!G239</f>
        <v>0</v>
      </c>
    </row>
    <row r="17" spans="1:2" x14ac:dyDescent="0.55000000000000004">
      <c r="A17">
        <f>'2 Customer data'!D142</f>
        <v>0</v>
      </c>
      <c r="B17" s="2">
        <f ca="1">'3 Solid waste'!G257</f>
        <v>0</v>
      </c>
    </row>
    <row r="18" spans="1:2" x14ac:dyDescent="0.55000000000000004">
      <c r="A18">
        <f>'2 Customer data'!D143</f>
        <v>0</v>
      </c>
      <c r="B18" s="2">
        <f ca="1">'3 Solid waste'!G275</f>
        <v>0</v>
      </c>
    </row>
    <row r="19" spans="1:2" x14ac:dyDescent="0.55000000000000004">
      <c r="A19">
        <f>'2 Customer data'!D144</f>
        <v>0</v>
      </c>
      <c r="B19" s="2">
        <f ca="1">'3 Solid waste'!G293</f>
        <v>0</v>
      </c>
    </row>
    <row r="20" spans="1:2" x14ac:dyDescent="0.55000000000000004">
      <c r="A20">
        <f>'2 Customer data'!D145</f>
        <v>0</v>
      </c>
      <c r="B20" s="2">
        <f ca="1">'3 Solid waste'!G311</f>
        <v>0</v>
      </c>
    </row>
    <row r="21" spans="1:2" x14ac:dyDescent="0.55000000000000004">
      <c r="A21">
        <f>'2 Customer data'!D146</f>
        <v>0</v>
      </c>
      <c r="B21" s="2">
        <f ca="1">'3 Solid waste'!G329</f>
        <v>0</v>
      </c>
    </row>
    <row r="22" spans="1:2" x14ac:dyDescent="0.55000000000000004">
      <c r="A22">
        <f>'2 Customer data'!D147</f>
        <v>0</v>
      </c>
      <c r="B22" s="2">
        <f ca="1">'3 Solid waste'!G347</f>
        <v>0</v>
      </c>
    </row>
    <row r="23" spans="1:2" x14ac:dyDescent="0.55000000000000004">
      <c r="A23">
        <f>'2 Customer data'!D148</f>
        <v>0</v>
      </c>
      <c r="B23" s="2">
        <f ca="1">'3 Solid waste'!G365</f>
        <v>0</v>
      </c>
    </row>
  </sheetData>
  <sheetProtection sheet="1" objects="1" scenarios="1"/>
  <pageMargins left="0.7" right="0.7" top="0.75" bottom="0.75" header="0.3" footer="0.3"/>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05D229D-7CE6-4926-919C-6D9DAB68DE34}">
  <sheetPr codeName="Sheet31"/>
  <dimension ref="A1:G85"/>
  <sheetViews>
    <sheetView workbookViewId="0">
      <selection activeCell="A4" sqref="A4"/>
    </sheetView>
  </sheetViews>
  <sheetFormatPr defaultRowHeight="14.4" x14ac:dyDescent="0.55000000000000004"/>
  <cols>
    <col min="1" max="1" width="27.20703125" customWidth="1"/>
    <col min="2" max="2" width="16.5234375" customWidth="1"/>
    <col min="3" max="3" width="14.7890625" customWidth="1"/>
    <col min="4" max="4" width="11.5234375" customWidth="1"/>
    <col min="6" max="6" width="15" customWidth="1"/>
    <col min="7" max="7" width="13.5234375" customWidth="1"/>
  </cols>
  <sheetData>
    <row r="1" spans="1:7" x14ac:dyDescent="0.55000000000000004">
      <c r="A1" s="1" t="s">
        <v>426</v>
      </c>
    </row>
    <row r="3" spans="1:7" x14ac:dyDescent="0.55000000000000004">
      <c r="B3" s="1" t="s">
        <v>397</v>
      </c>
      <c r="C3" s="1" t="s">
        <v>405</v>
      </c>
    </row>
    <row r="4" spans="1:7" x14ac:dyDescent="0.55000000000000004">
      <c r="A4" s="1" t="str">
        <f>Affordability!$D$27</f>
        <v xml:space="preserve">Indigent </v>
      </c>
      <c r="B4" s="1" t="str">
        <f>Affordability!E27</f>
        <v>Indigents</v>
      </c>
      <c r="C4" s="1">
        <f>Affordability!F17</f>
        <v>0</v>
      </c>
    </row>
    <row r="5" spans="1:7" x14ac:dyDescent="0.55000000000000004">
      <c r="A5" t="s">
        <v>406</v>
      </c>
      <c r="B5" s="2" t="e">
        <f>VLOOKUP(B4,'W Summary'!$A$4:$AG$23,2,FALSE)</f>
        <v>#N/A</v>
      </c>
    </row>
    <row r="7" spans="1:7" x14ac:dyDescent="0.55000000000000004">
      <c r="A7" t="s">
        <v>408</v>
      </c>
      <c r="B7" t="e">
        <f>VLOOKUP(B4,'W Summary'!$A$4:$AG$23,3,FALSE)</f>
        <v>#N/A</v>
      </c>
    </row>
    <row r="9" spans="1:7" ht="28.8" x14ac:dyDescent="0.55000000000000004">
      <c r="A9" s="9"/>
      <c r="B9" s="9"/>
      <c r="C9" s="9" t="s">
        <v>92</v>
      </c>
      <c r="D9" s="9" t="s">
        <v>420</v>
      </c>
      <c r="E9" s="9" t="s">
        <v>100</v>
      </c>
      <c r="F9" s="8" t="s">
        <v>421</v>
      </c>
      <c r="G9" s="8" t="s">
        <v>422</v>
      </c>
    </row>
    <row r="10" spans="1:7" x14ac:dyDescent="0.55000000000000004">
      <c r="A10" t="s">
        <v>410</v>
      </c>
      <c r="B10">
        <v>1</v>
      </c>
      <c r="C10" s="2" t="e">
        <f>VLOOKUP(B4,'W Summary'!$A$4:$AG$23,'W Summary'!D$1,FALSE)</f>
        <v>#N/A</v>
      </c>
      <c r="D10" s="2" t="e">
        <f>VLOOKUP(B4,'W Summary'!$A$4:$AG$23,'W Summary'!N$1,FALSE)</f>
        <v>#N/A</v>
      </c>
      <c r="E10" s="2" t="e">
        <f>VLOOKUP(B4,'W Summary'!$A$4:$AG$23,'W Summary'!X$1,FALSE)</f>
        <v>#N/A</v>
      </c>
      <c r="F10" s="2" t="e">
        <f>IF(B7&lt;B10,0,IF(C4&lt;C10,0,IF(B7=B10,C4-C10,IF(AND(C4&gt;C10,C4&lt;=D10),C4-C10,D10-C10))))</f>
        <v>#N/A</v>
      </c>
      <c r="G10" s="2" t="e">
        <f>E10*F10</f>
        <v>#N/A</v>
      </c>
    </row>
    <row r="11" spans="1:7" x14ac:dyDescent="0.55000000000000004">
      <c r="A11" t="s">
        <v>411</v>
      </c>
      <c r="B11">
        <v>2</v>
      </c>
      <c r="C11" s="2" t="e">
        <f>VLOOKUP(B4,'W Summary'!$A$4:$AG$23,'W Summary'!E$1,FALSE)</f>
        <v>#N/A</v>
      </c>
      <c r="D11" s="2" t="e">
        <f>VLOOKUP(B4,'W Summary'!$A$4:$AG$23,'W Summary'!O$1,FALSE)</f>
        <v>#N/A</v>
      </c>
      <c r="E11" s="2" t="e">
        <f>VLOOKUP(B4,'W Summary'!$A$4:$AG$23,'W Summary'!Y$1,FALSE)</f>
        <v>#N/A</v>
      </c>
      <c r="F11" s="2" t="e">
        <f>IF(B7&lt;B11,0,IF(C4&lt;C11,0,IF(B7=B11,C4-C11,IF(AND(C4&gt;C11,C4&lt;=D11),C4-C11,D11-C11))))</f>
        <v>#N/A</v>
      </c>
      <c r="G11" s="2" t="e">
        <f t="shared" ref="G11:G19" si="0">E11*F11</f>
        <v>#N/A</v>
      </c>
    </row>
    <row r="12" spans="1:7" x14ac:dyDescent="0.55000000000000004">
      <c r="A12" t="s">
        <v>412</v>
      </c>
      <c r="B12">
        <v>3</v>
      </c>
      <c r="C12" s="2" t="e">
        <f>VLOOKUP(B4,'W Summary'!$A$4:$AG$23,'W Summary'!F$1,FALSE)</f>
        <v>#N/A</v>
      </c>
      <c r="D12" s="2" t="e">
        <f>VLOOKUP(B4,'W Summary'!$A$4:$AG$23,'W Summary'!P$1,FALSE)</f>
        <v>#N/A</v>
      </c>
      <c r="E12" s="2" t="e">
        <f>VLOOKUP(B4,'W Summary'!$A$4:$AG$23,'W Summary'!Z$1,FALSE)</f>
        <v>#N/A</v>
      </c>
      <c r="F12" s="2" t="e">
        <f>IF(B7&lt;B12,0,IF(C4&lt;C12,0,IF(B7=B12,C4-C12,IF(AND(C4&gt;C12,C4&lt;=D12),C4-C12,D12-C12))))</f>
        <v>#N/A</v>
      </c>
      <c r="G12" s="2" t="e">
        <f t="shared" si="0"/>
        <v>#N/A</v>
      </c>
    </row>
    <row r="13" spans="1:7" x14ac:dyDescent="0.55000000000000004">
      <c r="A13" t="s">
        <v>413</v>
      </c>
      <c r="B13">
        <v>4</v>
      </c>
      <c r="C13" s="2" t="e">
        <f>VLOOKUP(B4,'W Summary'!$A$4:$AG$23,'W Summary'!G$1,FALSE)</f>
        <v>#N/A</v>
      </c>
      <c r="D13" s="2" t="e">
        <f>VLOOKUP(B4,'W Summary'!$A$4:$AG$23,'W Summary'!Q$1,FALSE)</f>
        <v>#N/A</v>
      </c>
      <c r="E13" s="2" t="e">
        <f>VLOOKUP(B4,'W Summary'!$A$4:$AG$23,'W Summary'!AA$1,FALSE)</f>
        <v>#N/A</v>
      </c>
      <c r="F13" s="2" t="e">
        <f>IF(B7&lt;B13,0,IF(C4&lt;C13,0,IF(B7=B13,C4-C13,IF(AND(C4&gt;C13,C4&lt;=D13),C4-C13,D13-C13))))</f>
        <v>#N/A</v>
      </c>
      <c r="G13" s="2" t="e">
        <f t="shared" si="0"/>
        <v>#N/A</v>
      </c>
    </row>
    <row r="14" spans="1:7" x14ac:dyDescent="0.55000000000000004">
      <c r="A14" t="s">
        <v>414</v>
      </c>
      <c r="B14">
        <v>5</v>
      </c>
      <c r="C14" s="2" t="e">
        <f>VLOOKUP(B4,'W Summary'!$A$4:$AG$23,'W Summary'!H$1,FALSE)</f>
        <v>#N/A</v>
      </c>
      <c r="D14" s="2" t="e">
        <f>VLOOKUP(B4,'W Summary'!$A$4:$AG$23,'W Summary'!R$1,FALSE)</f>
        <v>#N/A</v>
      </c>
      <c r="E14" s="2" t="e">
        <f>VLOOKUP(B4,'W Summary'!$A$4:$AG$23,'W Summary'!AB$1,FALSE)</f>
        <v>#N/A</v>
      </c>
      <c r="F14" s="2" t="e">
        <f>IF(B7&lt;B14,0,IF(C4&lt;C14,0,IF(B7=B14,C4-C14,IF(AND(C4&gt;C14,C4&lt;=D14),C4-C14,D14-C14))))</f>
        <v>#N/A</v>
      </c>
      <c r="G14" s="2" t="e">
        <f t="shared" si="0"/>
        <v>#N/A</v>
      </c>
    </row>
    <row r="15" spans="1:7" x14ac:dyDescent="0.55000000000000004">
      <c r="A15" t="s">
        <v>415</v>
      </c>
      <c r="B15">
        <v>6</v>
      </c>
      <c r="C15" s="2" t="e">
        <f>VLOOKUP(B4,'W Summary'!$A$4:$AG$23,'W Summary'!I$1,FALSE)</f>
        <v>#N/A</v>
      </c>
      <c r="D15" s="2" t="e">
        <f>VLOOKUP(B4,'W Summary'!$A$4:$AG$23,'W Summary'!S$1,FALSE)</f>
        <v>#N/A</v>
      </c>
      <c r="E15" s="2" t="e">
        <f>VLOOKUP(B4,'W Summary'!$A$4:$AG$23,'W Summary'!AC$1,FALSE)</f>
        <v>#N/A</v>
      </c>
      <c r="F15" s="2" t="e">
        <f>IF(B7&lt;B15,0,IF(C4&lt;C15,0,IF(B7=B15,C4-C15,IF(AND(C4&gt;C15,C4&lt;=D15),C4-C15,D15-C15))))</f>
        <v>#N/A</v>
      </c>
      <c r="G15" s="2" t="e">
        <f t="shared" si="0"/>
        <v>#N/A</v>
      </c>
    </row>
    <row r="16" spans="1:7" x14ac:dyDescent="0.55000000000000004">
      <c r="A16" t="s">
        <v>416</v>
      </c>
      <c r="B16">
        <v>7</v>
      </c>
      <c r="C16" s="2" t="e">
        <f>VLOOKUP(B4,'W Summary'!$A$4:$AG$23,'W Summary'!J$1,FALSE)</f>
        <v>#N/A</v>
      </c>
      <c r="D16" s="2" t="e">
        <f>VLOOKUP(B4,'W Summary'!$A$4:$AG$23,'W Summary'!T$1,FALSE)</f>
        <v>#N/A</v>
      </c>
      <c r="E16" s="2" t="e">
        <f>VLOOKUP(B4,'W Summary'!$A$4:$AG$23,'W Summary'!AD$1,FALSE)</f>
        <v>#N/A</v>
      </c>
      <c r="F16" s="2" t="e">
        <f>IF(B7&lt;B16,0,IF(C4&lt;C16,0,IF(B7=B16,C4-C16,IF(AND(C4&gt;C16,C4&lt;=D16),C4-C16,D16-C16))))</f>
        <v>#N/A</v>
      </c>
      <c r="G16" s="2" t="e">
        <f t="shared" si="0"/>
        <v>#N/A</v>
      </c>
    </row>
    <row r="17" spans="1:7" x14ac:dyDescent="0.55000000000000004">
      <c r="A17" t="s">
        <v>417</v>
      </c>
      <c r="B17">
        <v>8</v>
      </c>
      <c r="C17" s="2" t="e">
        <f>VLOOKUP(B4,'W Summary'!$A$4:$AG$23,'W Summary'!K$1,FALSE)</f>
        <v>#N/A</v>
      </c>
      <c r="D17" s="2" t="e">
        <f>VLOOKUP(B4,'W Summary'!$A$4:$AG$23,'W Summary'!U$1,FALSE)</f>
        <v>#N/A</v>
      </c>
      <c r="E17" s="2" t="e">
        <f>VLOOKUP(B4,'W Summary'!$A$4:$AG$23,'W Summary'!AE$1,FALSE)</f>
        <v>#N/A</v>
      </c>
      <c r="F17" s="2" t="e">
        <f>IF(B7&lt;B17,0,IF(C4&lt;C17,0,IF(B7=B17,C4-C17,IF(AND(C4&gt;C17,C4&lt;=D17),C4-C17,D17-C17))))</f>
        <v>#N/A</v>
      </c>
      <c r="G17" s="2" t="e">
        <f t="shared" si="0"/>
        <v>#N/A</v>
      </c>
    </row>
    <row r="18" spans="1:7" x14ac:dyDescent="0.55000000000000004">
      <c r="A18" t="s">
        <v>418</v>
      </c>
      <c r="B18">
        <v>9</v>
      </c>
      <c r="C18" s="2" t="e">
        <f>VLOOKUP(B4,'W Summary'!$A$4:$AG$23,'W Summary'!L$1,FALSE)</f>
        <v>#N/A</v>
      </c>
      <c r="D18" s="2" t="e">
        <f>VLOOKUP(B4,'W Summary'!$A$4:$AG$23,'W Summary'!V$1,FALSE)</f>
        <v>#N/A</v>
      </c>
      <c r="E18" s="2" t="e">
        <f>VLOOKUP(B4,'W Summary'!$A$4:$AG$23,'W Summary'!AF$1,FALSE)</f>
        <v>#N/A</v>
      </c>
      <c r="F18" s="2" t="e">
        <f>IF(B7&lt;B18,0,IF(C4&lt;C18,0,IF(B7=B18,C4-C18,IF(AND(C4&gt;C18,C4&lt;=D18),C4-C18,D18-C18))))</f>
        <v>#N/A</v>
      </c>
      <c r="G18" s="2" t="e">
        <f t="shared" si="0"/>
        <v>#N/A</v>
      </c>
    </row>
    <row r="19" spans="1:7" x14ac:dyDescent="0.55000000000000004">
      <c r="A19" t="s">
        <v>419</v>
      </c>
      <c r="B19">
        <v>10</v>
      </c>
      <c r="C19" s="2" t="e">
        <f>VLOOKUP(B4,'W Summary'!$A$4:$AG$23,'W Summary'!M$1,FALSE)</f>
        <v>#N/A</v>
      </c>
      <c r="D19" s="2" t="e">
        <f>VLOOKUP(B4,'W Summary'!$A$4:$AG$23,'W Summary'!W$1,FALSE)</f>
        <v>#N/A</v>
      </c>
      <c r="E19" s="2" t="e">
        <f>VLOOKUP(B4,'W Summary'!$A$4:$AG$23,'W Summary'!AG$1,FALSE)</f>
        <v>#N/A</v>
      </c>
      <c r="F19" s="2" t="e">
        <f>IF(B7&lt;B19,0,IF(C4&lt;C19,0,IF(B7=B19,C4-C19,IF(AND(C4&gt;C19,C4&lt;=D19),C4-C19,D19-C19))))</f>
        <v>#N/A</v>
      </c>
      <c r="G19" s="2" t="e">
        <f t="shared" si="0"/>
        <v>#N/A</v>
      </c>
    </row>
    <row r="20" spans="1:7" x14ac:dyDescent="0.55000000000000004">
      <c r="A20" t="s">
        <v>423</v>
      </c>
      <c r="G20" s="5" t="e">
        <f>SUM(G10:G19)</f>
        <v>#N/A</v>
      </c>
    </row>
    <row r="21" spans="1:7" x14ac:dyDescent="0.55000000000000004">
      <c r="A21" t="s">
        <v>379</v>
      </c>
      <c r="G21" s="5" t="e">
        <f>B5</f>
        <v>#N/A</v>
      </c>
    </row>
    <row r="22" spans="1:7" x14ac:dyDescent="0.55000000000000004">
      <c r="A22" t="s">
        <v>424</v>
      </c>
      <c r="G22" s="5">
        <f>IFERROR(SUM(G20:G21),0)</f>
        <v>0</v>
      </c>
    </row>
    <row r="24" spans="1:7" x14ac:dyDescent="0.55000000000000004">
      <c r="B24" s="1" t="s">
        <v>397</v>
      </c>
      <c r="C24" s="1" t="s">
        <v>405</v>
      </c>
    </row>
    <row r="25" spans="1:7" x14ac:dyDescent="0.55000000000000004">
      <c r="A25" s="1" t="str">
        <f>Affordability!$D$28</f>
        <v xml:space="preserve">Low Income </v>
      </c>
      <c r="B25" s="1" t="str">
        <f>Affordability!E28</f>
        <v>Domestic</v>
      </c>
      <c r="C25" s="1">
        <f>Affordability!F18</f>
        <v>0</v>
      </c>
    </row>
    <row r="26" spans="1:7" x14ac:dyDescent="0.55000000000000004">
      <c r="A26" t="s">
        <v>406</v>
      </c>
      <c r="B26" s="2" t="e">
        <f>VLOOKUP(B25,'W Summary'!$A$4:$AG$23,2,FALSE)</f>
        <v>#N/A</v>
      </c>
    </row>
    <row r="28" spans="1:7" x14ac:dyDescent="0.55000000000000004">
      <c r="A28" t="s">
        <v>408</v>
      </c>
      <c r="B28" t="e">
        <f>VLOOKUP(B25,'W Summary'!$A$4:$AG$23,3,FALSE)</f>
        <v>#N/A</v>
      </c>
    </row>
    <row r="30" spans="1:7" ht="28.8" x14ac:dyDescent="0.55000000000000004">
      <c r="A30" s="9"/>
      <c r="B30" s="9"/>
      <c r="C30" s="9" t="s">
        <v>92</v>
      </c>
      <c r="D30" s="9" t="s">
        <v>420</v>
      </c>
      <c r="E30" s="9" t="s">
        <v>100</v>
      </c>
      <c r="F30" s="8" t="s">
        <v>421</v>
      </c>
      <c r="G30" s="8" t="s">
        <v>422</v>
      </c>
    </row>
    <row r="31" spans="1:7" x14ac:dyDescent="0.55000000000000004">
      <c r="A31" t="s">
        <v>410</v>
      </c>
      <c r="B31">
        <v>1</v>
      </c>
      <c r="C31" s="2" t="e">
        <f>VLOOKUP(B25,'W Summary'!$A$4:$AG$23,'W Summary'!D$1,FALSE)</f>
        <v>#N/A</v>
      </c>
      <c r="D31" s="2" t="e">
        <f>VLOOKUP(B25,'W Summary'!$A$4:$AG$23,'W Summary'!N$1,FALSE)</f>
        <v>#N/A</v>
      </c>
      <c r="E31" s="2" t="e">
        <f>VLOOKUP(B25,'W Summary'!$A$4:$AG$23,'W Summary'!X$1,FALSE)</f>
        <v>#N/A</v>
      </c>
      <c r="F31" s="2" t="e">
        <f>IF(B28&lt;B31,0,IF(C25&lt;C31,0,IF(B28=B31,C25-C31,IF(AND(C25&gt;C31,C25&lt;=D31),C25-C31,D31-C31))))</f>
        <v>#N/A</v>
      </c>
      <c r="G31" s="2" t="e">
        <f>E31*F31</f>
        <v>#N/A</v>
      </c>
    </row>
    <row r="32" spans="1:7" x14ac:dyDescent="0.55000000000000004">
      <c r="A32" t="s">
        <v>411</v>
      </c>
      <c r="B32">
        <v>2</v>
      </c>
      <c r="C32" s="2" t="e">
        <f>VLOOKUP(B25,'W Summary'!$A$4:$AG$23,'W Summary'!E$1,FALSE)</f>
        <v>#N/A</v>
      </c>
      <c r="D32" s="2" t="e">
        <f>VLOOKUP(B25,'W Summary'!$A$4:$AG$23,'W Summary'!O$1,FALSE)</f>
        <v>#N/A</v>
      </c>
      <c r="E32" s="2" t="e">
        <f>VLOOKUP(B25,'W Summary'!$A$4:$AG$23,'W Summary'!Y$1,FALSE)</f>
        <v>#N/A</v>
      </c>
      <c r="F32" s="2" t="e">
        <f>IF(B28&lt;B32,0,IF(C25&lt;C32,0,IF(B28=B32,C25-C32,IF(AND(C25&gt;C32,C25&lt;=D32),C25-C32,D32-C32))))</f>
        <v>#N/A</v>
      </c>
      <c r="G32" s="2" t="e">
        <f t="shared" ref="G32:G40" si="1">E32*F32</f>
        <v>#N/A</v>
      </c>
    </row>
    <row r="33" spans="1:7" x14ac:dyDescent="0.55000000000000004">
      <c r="A33" t="s">
        <v>412</v>
      </c>
      <c r="B33">
        <v>3</v>
      </c>
      <c r="C33" s="2" t="e">
        <f>VLOOKUP(B25,'W Summary'!$A$4:$AG$23,'W Summary'!F$1,FALSE)</f>
        <v>#N/A</v>
      </c>
      <c r="D33" s="2" t="e">
        <f>VLOOKUP(B25,'W Summary'!$A$4:$AG$23,'W Summary'!P$1,FALSE)</f>
        <v>#N/A</v>
      </c>
      <c r="E33" s="2" t="e">
        <f>VLOOKUP(B25,'W Summary'!$A$4:$AG$23,'W Summary'!Z$1,FALSE)</f>
        <v>#N/A</v>
      </c>
      <c r="F33" s="2" t="e">
        <f>IF(B28&lt;B33,0,IF(C25&lt;C33,0,IF(B28=B33,C25-C33,IF(AND(C25&gt;C33,C25&lt;=D33),C25-C33,D33-C33))))</f>
        <v>#N/A</v>
      </c>
      <c r="G33" s="2" t="e">
        <f t="shared" si="1"/>
        <v>#N/A</v>
      </c>
    </row>
    <row r="34" spans="1:7" x14ac:dyDescent="0.55000000000000004">
      <c r="A34" t="s">
        <v>413</v>
      </c>
      <c r="B34">
        <v>4</v>
      </c>
      <c r="C34" s="2" t="e">
        <f>VLOOKUP(B25,'W Summary'!$A$4:$AG$23,'W Summary'!G$1,FALSE)</f>
        <v>#N/A</v>
      </c>
      <c r="D34" s="2" t="e">
        <f>VLOOKUP(B25,'W Summary'!$A$4:$AG$23,'W Summary'!Q$1,FALSE)</f>
        <v>#N/A</v>
      </c>
      <c r="E34" s="2" t="e">
        <f>VLOOKUP(B25,'W Summary'!$A$4:$AG$23,'W Summary'!AA$1,FALSE)</f>
        <v>#N/A</v>
      </c>
      <c r="F34" s="2" t="e">
        <f>IF(B28&lt;B34,0,IF(C25&lt;C34,0,IF(B28=B34,C25-C34,IF(AND(C25&gt;C34,C25&lt;=D34),C25-C34,D34-C34))))</f>
        <v>#N/A</v>
      </c>
      <c r="G34" s="2" t="e">
        <f t="shared" si="1"/>
        <v>#N/A</v>
      </c>
    </row>
    <row r="35" spans="1:7" x14ac:dyDescent="0.55000000000000004">
      <c r="A35" t="s">
        <v>414</v>
      </c>
      <c r="B35">
        <v>5</v>
      </c>
      <c r="C35" s="2" t="e">
        <f>VLOOKUP(B25,'W Summary'!$A$4:$AG$23,'W Summary'!H$1,FALSE)</f>
        <v>#N/A</v>
      </c>
      <c r="D35" s="2" t="e">
        <f>VLOOKUP(B25,'W Summary'!$A$4:$AG$23,'W Summary'!R$1,FALSE)</f>
        <v>#N/A</v>
      </c>
      <c r="E35" s="2" t="e">
        <f>VLOOKUP(B25,'W Summary'!$A$4:$AG$23,'W Summary'!AB$1,FALSE)</f>
        <v>#N/A</v>
      </c>
      <c r="F35" s="2" t="e">
        <f>IF(B28&lt;B35,0,IF(C25&lt;C35,0,IF(B28=B35,C25-C35,IF(AND(C25&gt;C35,C25&lt;=D35),C25-C35,D35-C35))))</f>
        <v>#N/A</v>
      </c>
      <c r="G35" s="2" t="e">
        <f t="shared" si="1"/>
        <v>#N/A</v>
      </c>
    </row>
    <row r="36" spans="1:7" x14ac:dyDescent="0.55000000000000004">
      <c r="A36" t="s">
        <v>415</v>
      </c>
      <c r="B36">
        <v>6</v>
      </c>
      <c r="C36" s="2" t="e">
        <f>VLOOKUP(B25,'W Summary'!$A$4:$AG$23,'W Summary'!I$1,FALSE)</f>
        <v>#N/A</v>
      </c>
      <c r="D36" s="2" t="e">
        <f>VLOOKUP(B25,'W Summary'!$A$4:$AG$23,'W Summary'!S$1,FALSE)</f>
        <v>#N/A</v>
      </c>
      <c r="E36" s="2" t="e">
        <f>VLOOKUP(B25,'W Summary'!$A$4:$AG$23,'W Summary'!AC$1,FALSE)</f>
        <v>#N/A</v>
      </c>
      <c r="F36" s="2" t="e">
        <f>IF(B28&lt;B36,0,IF(C25&lt;C36,0,IF(B28=B36,C25-C36,IF(AND(C25&gt;C36,C25&lt;=D36),C25-C36,D36-C36))))</f>
        <v>#N/A</v>
      </c>
      <c r="G36" s="2" t="e">
        <f t="shared" si="1"/>
        <v>#N/A</v>
      </c>
    </row>
    <row r="37" spans="1:7" x14ac:dyDescent="0.55000000000000004">
      <c r="A37" t="s">
        <v>416</v>
      </c>
      <c r="B37">
        <v>7</v>
      </c>
      <c r="C37" s="2" t="e">
        <f>VLOOKUP(B25,'W Summary'!$A$4:$AG$23,'W Summary'!J$1,FALSE)</f>
        <v>#N/A</v>
      </c>
      <c r="D37" s="2" t="e">
        <f>VLOOKUP(B25,'W Summary'!$A$4:$AG$23,'W Summary'!T$1,FALSE)</f>
        <v>#N/A</v>
      </c>
      <c r="E37" s="2" t="e">
        <f>VLOOKUP(B25,'W Summary'!$A$4:$AG$23,'W Summary'!AD$1,FALSE)</f>
        <v>#N/A</v>
      </c>
      <c r="F37" s="2" t="e">
        <f>IF(B28&lt;B37,0,IF(C25&lt;C37,0,IF(B28=B37,C25-C37,IF(AND(C25&gt;C37,C25&lt;=D37),C25-C37,D37-C37))))</f>
        <v>#N/A</v>
      </c>
      <c r="G37" s="2" t="e">
        <f t="shared" si="1"/>
        <v>#N/A</v>
      </c>
    </row>
    <row r="38" spans="1:7" x14ac:dyDescent="0.55000000000000004">
      <c r="A38" t="s">
        <v>417</v>
      </c>
      <c r="B38">
        <v>8</v>
      </c>
      <c r="C38" s="2" t="e">
        <f>VLOOKUP(B25,'W Summary'!$A$4:$AG$23,'W Summary'!K$1,FALSE)</f>
        <v>#N/A</v>
      </c>
      <c r="D38" s="2" t="e">
        <f>VLOOKUP(B25,'W Summary'!$A$4:$AG$23,'W Summary'!U$1,FALSE)</f>
        <v>#N/A</v>
      </c>
      <c r="E38" s="2" t="e">
        <f>VLOOKUP(B25,'W Summary'!$A$4:$AG$23,'W Summary'!AE$1,FALSE)</f>
        <v>#N/A</v>
      </c>
      <c r="F38" s="2" t="e">
        <f>IF(B28&lt;B38,0,IF(C25&lt;C38,0,IF(B28=B38,C25-C38,IF(AND(C25&gt;C38,C25&lt;=D38),C25-C38,D38-C38))))</f>
        <v>#N/A</v>
      </c>
      <c r="G38" s="2" t="e">
        <f t="shared" si="1"/>
        <v>#N/A</v>
      </c>
    </row>
    <row r="39" spans="1:7" x14ac:dyDescent="0.55000000000000004">
      <c r="A39" t="s">
        <v>418</v>
      </c>
      <c r="B39">
        <v>9</v>
      </c>
      <c r="C39" s="2" t="e">
        <f>VLOOKUP(B25,'W Summary'!$A$4:$AG$23,'W Summary'!L$1,FALSE)</f>
        <v>#N/A</v>
      </c>
      <c r="D39" s="2" t="e">
        <f>VLOOKUP(B25,'W Summary'!$A$4:$AG$23,'W Summary'!V$1,FALSE)</f>
        <v>#N/A</v>
      </c>
      <c r="E39" s="2" t="e">
        <f>VLOOKUP(B25,'W Summary'!$A$4:$AG$23,'W Summary'!AF$1,FALSE)</f>
        <v>#N/A</v>
      </c>
      <c r="F39" s="2" t="e">
        <f>IF(B28&lt;B39,0,IF(C25&lt;C39,0,IF(B28=B39,C25-C39,IF(AND(C25&gt;C39,C25&lt;=D39),C25-C39,D39-C39))))</f>
        <v>#N/A</v>
      </c>
      <c r="G39" s="2" t="e">
        <f t="shared" si="1"/>
        <v>#N/A</v>
      </c>
    </row>
    <row r="40" spans="1:7" x14ac:dyDescent="0.55000000000000004">
      <c r="A40" t="s">
        <v>419</v>
      </c>
      <c r="B40">
        <v>10</v>
      </c>
      <c r="C40" s="2" t="e">
        <f>VLOOKUP(B25,'W Summary'!$A$4:$AG$23,'W Summary'!M$1,FALSE)</f>
        <v>#N/A</v>
      </c>
      <c r="D40" s="2" t="e">
        <f>VLOOKUP(B25,'W Summary'!$A$4:$AG$23,'W Summary'!W$1,FALSE)</f>
        <v>#N/A</v>
      </c>
      <c r="E40" s="2" t="e">
        <f>VLOOKUP(B25,'W Summary'!$A$4:$AG$23,'W Summary'!AG$1,FALSE)</f>
        <v>#N/A</v>
      </c>
      <c r="F40" s="2" t="e">
        <f>IF(B28&lt;B40,0,IF(C25&lt;C40,0,IF(B28=B40,C25-C40,IF(AND(C25&gt;C40,C25&lt;=D40),C25-C40,D40-C40))))</f>
        <v>#N/A</v>
      </c>
      <c r="G40" s="2" t="e">
        <f t="shared" si="1"/>
        <v>#N/A</v>
      </c>
    </row>
    <row r="41" spans="1:7" x14ac:dyDescent="0.55000000000000004">
      <c r="A41" t="s">
        <v>423</v>
      </c>
      <c r="G41" s="5" t="e">
        <f>SUM(G31:G40)</f>
        <v>#N/A</v>
      </c>
    </row>
    <row r="42" spans="1:7" x14ac:dyDescent="0.55000000000000004">
      <c r="A42" t="s">
        <v>379</v>
      </c>
      <c r="G42" s="5" t="e">
        <f>B26</f>
        <v>#N/A</v>
      </c>
    </row>
    <row r="43" spans="1:7" x14ac:dyDescent="0.55000000000000004">
      <c r="A43" t="s">
        <v>424</v>
      </c>
      <c r="G43" s="5">
        <f>IFERROR(SUM(G41:G42),0)</f>
        <v>0</v>
      </c>
    </row>
    <row r="45" spans="1:7" x14ac:dyDescent="0.55000000000000004">
      <c r="B45" s="1" t="s">
        <v>397</v>
      </c>
      <c r="C45" s="1" t="s">
        <v>405</v>
      </c>
    </row>
    <row r="46" spans="1:7" x14ac:dyDescent="0.55000000000000004">
      <c r="A46" s="1" t="str">
        <f>Affordability!$D$29</f>
        <v>Middle Income</v>
      </c>
      <c r="B46" s="1" t="str">
        <f>Affordability!E29</f>
        <v>Domestic</v>
      </c>
      <c r="C46" s="1">
        <f>Affordability!F19</f>
        <v>0</v>
      </c>
    </row>
    <row r="47" spans="1:7" x14ac:dyDescent="0.55000000000000004">
      <c r="A47" t="s">
        <v>406</v>
      </c>
      <c r="B47" s="2" t="e">
        <f>VLOOKUP(B46,'W Summary'!$A$4:$AG$23,2,FALSE)</f>
        <v>#N/A</v>
      </c>
    </row>
    <row r="49" spans="1:7" x14ac:dyDescent="0.55000000000000004">
      <c r="A49" t="s">
        <v>408</v>
      </c>
      <c r="B49" t="e">
        <f>VLOOKUP(B46,'W Summary'!$A$4:$AG$23,3,FALSE)</f>
        <v>#N/A</v>
      </c>
    </row>
    <row r="51" spans="1:7" ht="28.8" x14ac:dyDescent="0.55000000000000004">
      <c r="A51" s="9"/>
      <c r="B51" s="9"/>
      <c r="C51" s="9" t="s">
        <v>92</v>
      </c>
      <c r="D51" s="9" t="s">
        <v>420</v>
      </c>
      <c r="E51" s="9" t="s">
        <v>100</v>
      </c>
      <c r="F51" s="8" t="s">
        <v>421</v>
      </c>
      <c r="G51" s="8" t="s">
        <v>422</v>
      </c>
    </row>
    <row r="52" spans="1:7" x14ac:dyDescent="0.55000000000000004">
      <c r="A52" t="s">
        <v>410</v>
      </c>
      <c r="B52">
        <v>1</v>
      </c>
      <c r="C52" s="2" t="e">
        <f>VLOOKUP(B46,'W Summary'!$A$4:$AG$23,'W Summary'!D$1,FALSE)</f>
        <v>#N/A</v>
      </c>
      <c r="D52" s="2" t="e">
        <f>VLOOKUP(B46,'W Summary'!$A$4:$AG$23,'W Summary'!N$1,FALSE)</f>
        <v>#N/A</v>
      </c>
      <c r="E52" s="2" t="e">
        <f>VLOOKUP(B46,'W Summary'!$A$4:$AG$23,'W Summary'!X$1,FALSE)</f>
        <v>#N/A</v>
      </c>
      <c r="F52" s="2" t="e">
        <f>IF(B49&lt;B52,0,IF(C46&lt;C52,0,IF(B49=B52,C46-C52,IF(AND(C46&gt;C52,C46&lt;=D52),C46-C52,D52-C52))))</f>
        <v>#N/A</v>
      </c>
      <c r="G52" s="2" t="e">
        <f>E52*F52</f>
        <v>#N/A</v>
      </c>
    </row>
    <row r="53" spans="1:7" x14ac:dyDescent="0.55000000000000004">
      <c r="A53" t="s">
        <v>411</v>
      </c>
      <c r="B53">
        <v>2</v>
      </c>
      <c r="C53" s="2" t="e">
        <f>VLOOKUP(B46,'W Summary'!$A$4:$AG$23,'W Summary'!E$1,FALSE)</f>
        <v>#N/A</v>
      </c>
      <c r="D53" s="2" t="e">
        <f>VLOOKUP(B46,'W Summary'!$A$4:$AG$23,'W Summary'!O$1,FALSE)</f>
        <v>#N/A</v>
      </c>
      <c r="E53" s="2" t="e">
        <f>VLOOKUP(B46,'W Summary'!$A$4:$AG$23,'W Summary'!Y$1,FALSE)</f>
        <v>#N/A</v>
      </c>
      <c r="F53" s="2" t="e">
        <f>IF(B49&lt;B53,0,IF(C46&lt;C53,0,IF(B49=B53,C46-C53,IF(AND(C46&gt;C53,C46&lt;=D53),C46-C53,D53-C53))))</f>
        <v>#N/A</v>
      </c>
      <c r="G53" s="2" t="e">
        <f t="shared" ref="G53:G61" si="2">E53*F53</f>
        <v>#N/A</v>
      </c>
    </row>
    <row r="54" spans="1:7" x14ac:dyDescent="0.55000000000000004">
      <c r="A54" t="s">
        <v>412</v>
      </c>
      <c r="B54">
        <v>3</v>
      </c>
      <c r="C54" s="2" t="e">
        <f>VLOOKUP(B46,'W Summary'!$A$4:$AG$23,'W Summary'!F$1,FALSE)</f>
        <v>#N/A</v>
      </c>
      <c r="D54" s="2" t="e">
        <f>VLOOKUP(B46,'W Summary'!$A$4:$AG$23,'W Summary'!P$1,FALSE)</f>
        <v>#N/A</v>
      </c>
      <c r="E54" s="2" t="e">
        <f>VLOOKUP(B46,'W Summary'!$A$4:$AG$23,'W Summary'!Z$1,FALSE)</f>
        <v>#N/A</v>
      </c>
      <c r="F54" s="2" t="e">
        <f>IF(B49&lt;B54,0,IF(C46&lt;C54,0,IF(B49=B54,C46-C54,IF(AND(C46&gt;C54,C46&lt;=D54),C46-C54,D54-C54))))</f>
        <v>#N/A</v>
      </c>
      <c r="G54" s="2" t="e">
        <f t="shared" si="2"/>
        <v>#N/A</v>
      </c>
    </row>
    <row r="55" spans="1:7" x14ac:dyDescent="0.55000000000000004">
      <c r="A55" t="s">
        <v>413</v>
      </c>
      <c r="B55">
        <v>4</v>
      </c>
      <c r="C55" s="2" t="e">
        <f>VLOOKUP(B46,'W Summary'!$A$4:$AG$23,'W Summary'!G$1,FALSE)</f>
        <v>#N/A</v>
      </c>
      <c r="D55" s="2" t="e">
        <f>VLOOKUP(B46,'W Summary'!$A$4:$AG$23,'W Summary'!Q$1,FALSE)</f>
        <v>#N/A</v>
      </c>
      <c r="E55" s="2" t="e">
        <f>VLOOKUP(B46,'W Summary'!$A$4:$AG$23,'W Summary'!AA$1,FALSE)</f>
        <v>#N/A</v>
      </c>
      <c r="F55" s="2" t="e">
        <f>IF(B49&lt;B55,0,IF(C46&lt;C55,0,IF(B49=B55,C46-C55,IF(AND(C46&gt;C55,C46&lt;=D55),C46-C55,D55-C55))))</f>
        <v>#N/A</v>
      </c>
      <c r="G55" s="2" t="e">
        <f t="shared" si="2"/>
        <v>#N/A</v>
      </c>
    </row>
    <row r="56" spans="1:7" x14ac:dyDescent="0.55000000000000004">
      <c r="A56" t="s">
        <v>414</v>
      </c>
      <c r="B56">
        <v>5</v>
      </c>
      <c r="C56" s="2" t="e">
        <f>VLOOKUP(B46,'W Summary'!$A$4:$AG$23,'W Summary'!H$1,FALSE)</f>
        <v>#N/A</v>
      </c>
      <c r="D56" s="2" t="e">
        <f>VLOOKUP(B46,'W Summary'!$A$4:$AG$23,'W Summary'!R$1,FALSE)</f>
        <v>#N/A</v>
      </c>
      <c r="E56" s="2" t="e">
        <f>VLOOKUP(B46,'W Summary'!$A$4:$AG$23,'W Summary'!AB$1,FALSE)</f>
        <v>#N/A</v>
      </c>
      <c r="F56" s="2" t="e">
        <f>IF(B49&lt;B56,0,IF(C46&lt;C56,0,IF(B49=B56,C46-C56,IF(AND(C46&gt;C56,C46&lt;=D56),C46-C56,D56-C56))))</f>
        <v>#N/A</v>
      </c>
      <c r="G56" s="2" t="e">
        <f t="shared" si="2"/>
        <v>#N/A</v>
      </c>
    </row>
    <row r="57" spans="1:7" x14ac:dyDescent="0.55000000000000004">
      <c r="A57" t="s">
        <v>415</v>
      </c>
      <c r="B57">
        <v>6</v>
      </c>
      <c r="C57" s="2" t="e">
        <f>VLOOKUP(B46,'W Summary'!$A$4:$AG$23,'W Summary'!I$1,FALSE)</f>
        <v>#N/A</v>
      </c>
      <c r="D57" s="2" t="e">
        <f>VLOOKUP(B46,'W Summary'!$A$4:$AG$23,'W Summary'!S$1,FALSE)</f>
        <v>#N/A</v>
      </c>
      <c r="E57" s="2" t="e">
        <f>VLOOKUP(B46,'W Summary'!$A$4:$AG$23,'W Summary'!AC$1,FALSE)</f>
        <v>#N/A</v>
      </c>
      <c r="F57" s="2" t="e">
        <f>IF(B49&lt;B57,0,IF(C46&lt;C57,0,IF(B49=B57,C46-C57,IF(AND(C46&gt;C57,C46&lt;=D57),C46-C57,D57-C57))))</f>
        <v>#N/A</v>
      </c>
      <c r="G57" s="2" t="e">
        <f t="shared" si="2"/>
        <v>#N/A</v>
      </c>
    </row>
    <row r="58" spans="1:7" x14ac:dyDescent="0.55000000000000004">
      <c r="A58" t="s">
        <v>416</v>
      </c>
      <c r="B58">
        <v>7</v>
      </c>
      <c r="C58" s="2" t="e">
        <f>VLOOKUP(B46,'W Summary'!$A$4:$AG$23,'W Summary'!J$1,FALSE)</f>
        <v>#N/A</v>
      </c>
      <c r="D58" s="2" t="e">
        <f>VLOOKUP(B46,'W Summary'!$A$4:$AG$23,'W Summary'!T$1,FALSE)</f>
        <v>#N/A</v>
      </c>
      <c r="E58" s="2" t="e">
        <f>VLOOKUP(B46,'W Summary'!$A$4:$AG$23,'W Summary'!AD$1,FALSE)</f>
        <v>#N/A</v>
      </c>
      <c r="F58" s="2" t="e">
        <f>IF(B49&lt;B58,0,IF(C46&lt;C58,0,IF(B49=B58,C46-C58,IF(AND(C46&gt;C58,C46&lt;=D58),C46-C58,D58-C58))))</f>
        <v>#N/A</v>
      </c>
      <c r="G58" s="2" t="e">
        <f t="shared" si="2"/>
        <v>#N/A</v>
      </c>
    </row>
    <row r="59" spans="1:7" x14ac:dyDescent="0.55000000000000004">
      <c r="A59" t="s">
        <v>417</v>
      </c>
      <c r="B59">
        <v>8</v>
      </c>
      <c r="C59" s="2" t="e">
        <f>VLOOKUP(B46,'W Summary'!$A$4:$AG$23,'W Summary'!K$1,FALSE)</f>
        <v>#N/A</v>
      </c>
      <c r="D59" s="2" t="e">
        <f>VLOOKUP(B46,'W Summary'!$A$4:$AG$23,'W Summary'!U$1,FALSE)</f>
        <v>#N/A</v>
      </c>
      <c r="E59" s="2" t="e">
        <f>VLOOKUP(B46,'W Summary'!$A$4:$AG$23,'W Summary'!AE$1,FALSE)</f>
        <v>#N/A</v>
      </c>
      <c r="F59" s="2" t="e">
        <f>IF(B49&lt;B59,0,IF(C46&lt;C59,0,IF(B49=B59,C46-C59,IF(AND(C46&gt;C59,C46&lt;=D59),C46-C59,D59-C59))))</f>
        <v>#N/A</v>
      </c>
      <c r="G59" s="2" t="e">
        <f t="shared" si="2"/>
        <v>#N/A</v>
      </c>
    </row>
    <row r="60" spans="1:7" x14ac:dyDescent="0.55000000000000004">
      <c r="A60" t="s">
        <v>418</v>
      </c>
      <c r="B60">
        <v>9</v>
      </c>
      <c r="C60" s="2" t="e">
        <f>VLOOKUP(B46,'W Summary'!$A$4:$AG$23,'W Summary'!L$1,FALSE)</f>
        <v>#N/A</v>
      </c>
      <c r="D60" s="2" t="e">
        <f>VLOOKUP(B46,'W Summary'!$A$4:$AG$23,'W Summary'!V$1,FALSE)</f>
        <v>#N/A</v>
      </c>
      <c r="E60" s="2" t="e">
        <f>VLOOKUP(B46,'W Summary'!$A$4:$AG$23,'W Summary'!AF$1,FALSE)</f>
        <v>#N/A</v>
      </c>
      <c r="F60" s="2" t="e">
        <f>IF(B49&lt;B60,0,IF(C46&lt;C60,0,IF(B49=B60,C46-C60,IF(AND(C46&gt;C60,C46&lt;=D60),C46-C60,D60-C60))))</f>
        <v>#N/A</v>
      </c>
      <c r="G60" s="2" t="e">
        <f t="shared" si="2"/>
        <v>#N/A</v>
      </c>
    </row>
    <row r="61" spans="1:7" x14ac:dyDescent="0.55000000000000004">
      <c r="A61" t="s">
        <v>419</v>
      </c>
      <c r="B61">
        <v>10</v>
      </c>
      <c r="C61" s="2" t="e">
        <f>VLOOKUP(B46,'W Summary'!$A$4:$AG$23,'W Summary'!M$1,FALSE)</f>
        <v>#N/A</v>
      </c>
      <c r="D61" s="2" t="e">
        <f>VLOOKUP(B46,'W Summary'!$A$4:$AG$23,'W Summary'!W$1,FALSE)</f>
        <v>#N/A</v>
      </c>
      <c r="E61" s="2" t="e">
        <f>VLOOKUP(B46,'W Summary'!$A$4:$AG$23,'W Summary'!AG$1,FALSE)</f>
        <v>#N/A</v>
      </c>
      <c r="F61" s="2" t="e">
        <f>IF(B49&lt;B61,0,IF(C46&lt;C61,0,IF(B49=B61,C46-C61,IF(AND(C46&gt;C61,C46&lt;=D61),C46-C61,D61-C61))))</f>
        <v>#N/A</v>
      </c>
      <c r="G61" s="2" t="e">
        <f t="shared" si="2"/>
        <v>#N/A</v>
      </c>
    </row>
    <row r="62" spans="1:7" x14ac:dyDescent="0.55000000000000004">
      <c r="A62" t="s">
        <v>423</v>
      </c>
      <c r="G62" s="5" t="e">
        <f>SUM(G52:G61)</f>
        <v>#N/A</v>
      </c>
    </row>
    <row r="63" spans="1:7" x14ac:dyDescent="0.55000000000000004">
      <c r="A63" t="s">
        <v>379</v>
      </c>
      <c r="G63" s="5" t="e">
        <f>B47</f>
        <v>#N/A</v>
      </c>
    </row>
    <row r="64" spans="1:7" x14ac:dyDescent="0.55000000000000004">
      <c r="A64" t="s">
        <v>424</v>
      </c>
      <c r="G64" s="5">
        <f>IFERROR(SUM(G62:G63),0)</f>
        <v>0</v>
      </c>
    </row>
    <row r="66" spans="1:7" x14ac:dyDescent="0.55000000000000004">
      <c r="B66" s="1" t="s">
        <v>397</v>
      </c>
      <c r="C66" s="1" t="s">
        <v>405</v>
      </c>
    </row>
    <row r="67" spans="1:7" x14ac:dyDescent="0.55000000000000004">
      <c r="A67" s="1" t="str">
        <f>Affordability!$D$30</f>
        <v xml:space="preserve">High Income </v>
      </c>
      <c r="B67" s="1" t="str">
        <f>Affordability!E30</f>
        <v>Domestic</v>
      </c>
      <c r="C67" s="1">
        <f>Affordability!F20</f>
        <v>0</v>
      </c>
    </row>
    <row r="68" spans="1:7" x14ac:dyDescent="0.55000000000000004">
      <c r="A68" t="s">
        <v>406</v>
      </c>
      <c r="B68" s="2" t="e">
        <f>VLOOKUP(B67,'W Summary'!$A$4:$AG$23,2,FALSE)</f>
        <v>#N/A</v>
      </c>
    </row>
    <row r="70" spans="1:7" x14ac:dyDescent="0.55000000000000004">
      <c r="A70" t="s">
        <v>408</v>
      </c>
      <c r="B70" t="e">
        <f>VLOOKUP(B67,'W Summary'!$A$4:$AG$23,3,FALSE)</f>
        <v>#N/A</v>
      </c>
    </row>
    <row r="72" spans="1:7" ht="28.8" x14ac:dyDescent="0.55000000000000004">
      <c r="A72" s="9"/>
      <c r="B72" s="9"/>
      <c r="C72" s="9" t="s">
        <v>92</v>
      </c>
      <c r="D72" s="9" t="s">
        <v>420</v>
      </c>
      <c r="E72" s="9" t="s">
        <v>100</v>
      </c>
      <c r="F72" s="8" t="s">
        <v>421</v>
      </c>
      <c r="G72" s="8" t="s">
        <v>422</v>
      </c>
    </row>
    <row r="73" spans="1:7" x14ac:dyDescent="0.55000000000000004">
      <c r="A73" t="s">
        <v>410</v>
      </c>
      <c r="B73">
        <v>1</v>
      </c>
      <c r="C73" s="2" t="e">
        <f>VLOOKUP(B67,'W Summary'!$A$4:$AG$23,'W Summary'!D$1,FALSE)</f>
        <v>#N/A</v>
      </c>
      <c r="D73" s="2" t="e">
        <f>VLOOKUP(B67,'W Summary'!$A$4:$AG$23,'W Summary'!N$1,FALSE)</f>
        <v>#N/A</v>
      </c>
      <c r="E73" s="2" t="e">
        <f>VLOOKUP(B67,'W Summary'!$A$4:$AG$23,'W Summary'!X$1,FALSE)</f>
        <v>#N/A</v>
      </c>
      <c r="F73" s="2" t="e">
        <f>IF(B70&lt;B73,0,IF(C67&lt;C73,0,IF(B70=B73,C67-C73,IF(AND(C67&gt;C73,C67&lt;=D73),C67-C73,D73-C73))))</f>
        <v>#N/A</v>
      </c>
      <c r="G73" s="2" t="e">
        <f>E73*F73</f>
        <v>#N/A</v>
      </c>
    </row>
    <row r="74" spans="1:7" x14ac:dyDescent="0.55000000000000004">
      <c r="A74" t="s">
        <v>411</v>
      </c>
      <c r="B74">
        <v>2</v>
      </c>
      <c r="C74" s="2" t="e">
        <f>VLOOKUP(B67,'W Summary'!$A$4:$AG$23,'W Summary'!E$1,FALSE)</f>
        <v>#N/A</v>
      </c>
      <c r="D74" s="2" t="e">
        <f>VLOOKUP(B67,'W Summary'!$A$4:$AG$23,'W Summary'!O$1,FALSE)</f>
        <v>#N/A</v>
      </c>
      <c r="E74" s="2" t="e">
        <f>VLOOKUP(B67,'W Summary'!$A$4:$AG$23,'W Summary'!Y$1,FALSE)</f>
        <v>#N/A</v>
      </c>
      <c r="F74" s="2" t="e">
        <f>IF(B70&lt;B74,0,IF(C67&lt;C74,0,IF(B70=B74,C67-C74,IF(AND(C67&gt;C74,C67&lt;=D74),C67-C74,D74-C74))))</f>
        <v>#N/A</v>
      </c>
      <c r="G74" s="2" t="e">
        <f t="shared" ref="G74:G82" si="3">E74*F74</f>
        <v>#N/A</v>
      </c>
    </row>
    <row r="75" spans="1:7" x14ac:dyDescent="0.55000000000000004">
      <c r="A75" t="s">
        <v>412</v>
      </c>
      <c r="B75">
        <v>3</v>
      </c>
      <c r="C75" s="2" t="e">
        <f>VLOOKUP(B67,'W Summary'!$A$4:$AG$23,'W Summary'!F$1,FALSE)</f>
        <v>#N/A</v>
      </c>
      <c r="D75" s="2" t="e">
        <f>VLOOKUP(B67,'W Summary'!$A$4:$AG$23,'W Summary'!P$1,FALSE)</f>
        <v>#N/A</v>
      </c>
      <c r="E75" s="2" t="e">
        <f>VLOOKUP(B67,'W Summary'!$A$4:$AG$23,'W Summary'!Z$1,FALSE)</f>
        <v>#N/A</v>
      </c>
      <c r="F75" s="2" t="e">
        <f>IF(B70&lt;B75,0,IF(C67&lt;C75,0,IF(B70=B75,C67-C75,IF(AND(C67&gt;C75,C67&lt;=D75),C67-C75,D75-C75))))</f>
        <v>#N/A</v>
      </c>
      <c r="G75" s="2" t="e">
        <f t="shared" si="3"/>
        <v>#N/A</v>
      </c>
    </row>
    <row r="76" spans="1:7" x14ac:dyDescent="0.55000000000000004">
      <c r="A76" t="s">
        <v>413</v>
      </c>
      <c r="B76">
        <v>4</v>
      </c>
      <c r="C76" s="2" t="e">
        <f>VLOOKUP(B67,'W Summary'!$A$4:$AG$23,'W Summary'!G$1,FALSE)</f>
        <v>#N/A</v>
      </c>
      <c r="D76" s="2" t="e">
        <f>VLOOKUP(B67,'W Summary'!$A$4:$AG$23,'W Summary'!Q$1,FALSE)</f>
        <v>#N/A</v>
      </c>
      <c r="E76" s="2" t="e">
        <f>VLOOKUP(B67,'W Summary'!$A$4:$AG$23,'W Summary'!AA$1,FALSE)</f>
        <v>#N/A</v>
      </c>
      <c r="F76" s="2" t="e">
        <f>IF(B70&lt;B76,0,IF(C67&lt;C76,0,IF(B70=B76,C67-C76,IF(AND(C67&gt;C76,C67&lt;=D76),C67-C76,D76-C76))))</f>
        <v>#N/A</v>
      </c>
      <c r="G76" s="2" t="e">
        <f t="shared" si="3"/>
        <v>#N/A</v>
      </c>
    </row>
    <row r="77" spans="1:7" x14ac:dyDescent="0.55000000000000004">
      <c r="A77" t="s">
        <v>414</v>
      </c>
      <c r="B77">
        <v>5</v>
      </c>
      <c r="C77" s="2" t="e">
        <f>VLOOKUP(B67,'W Summary'!$A$4:$AG$23,'W Summary'!H$1,FALSE)</f>
        <v>#N/A</v>
      </c>
      <c r="D77" s="2" t="e">
        <f>VLOOKUP(B67,'W Summary'!$A$4:$AG$23,'W Summary'!R$1,FALSE)</f>
        <v>#N/A</v>
      </c>
      <c r="E77" s="2" t="e">
        <f>VLOOKUP(B67,'W Summary'!$A$4:$AG$23,'W Summary'!AB$1,FALSE)</f>
        <v>#N/A</v>
      </c>
      <c r="F77" s="2" t="e">
        <f>IF(B70&lt;B77,0,IF(C67&lt;C77,0,IF(B70=B77,C67-C77,IF(AND(C67&gt;C77,C67&lt;=D77),C67-C77,D77-C77))))</f>
        <v>#N/A</v>
      </c>
      <c r="G77" s="2" t="e">
        <f t="shared" si="3"/>
        <v>#N/A</v>
      </c>
    </row>
    <row r="78" spans="1:7" x14ac:dyDescent="0.55000000000000004">
      <c r="A78" t="s">
        <v>415</v>
      </c>
      <c r="B78">
        <v>6</v>
      </c>
      <c r="C78" s="2" t="e">
        <f>VLOOKUP(B67,'W Summary'!$A$4:$AG$23,'W Summary'!I$1,FALSE)</f>
        <v>#N/A</v>
      </c>
      <c r="D78" s="2" t="e">
        <f>VLOOKUP(B67,'W Summary'!$A$4:$AG$23,'W Summary'!S$1,FALSE)</f>
        <v>#N/A</v>
      </c>
      <c r="E78" s="2" t="e">
        <f>VLOOKUP(B67,'W Summary'!$A$4:$AG$23,'W Summary'!AC$1,FALSE)</f>
        <v>#N/A</v>
      </c>
      <c r="F78" s="2" t="e">
        <f>IF(B70&lt;B78,0,IF(C67&lt;C78,0,IF(B70=B78,C67-C78,IF(AND(C67&gt;C78,C67&lt;=D78),C67-C78,D78-C78))))</f>
        <v>#N/A</v>
      </c>
      <c r="G78" s="2" t="e">
        <f t="shared" si="3"/>
        <v>#N/A</v>
      </c>
    </row>
    <row r="79" spans="1:7" x14ac:dyDescent="0.55000000000000004">
      <c r="A79" t="s">
        <v>416</v>
      </c>
      <c r="B79">
        <v>7</v>
      </c>
      <c r="C79" s="2" t="e">
        <f>VLOOKUP(B67,'W Summary'!$A$4:$AG$23,'W Summary'!J$1,FALSE)</f>
        <v>#N/A</v>
      </c>
      <c r="D79" s="2" t="e">
        <f>VLOOKUP(B67,'W Summary'!$A$4:$AG$23,'W Summary'!T$1,FALSE)</f>
        <v>#N/A</v>
      </c>
      <c r="E79" s="2" t="e">
        <f>VLOOKUP(B67,'W Summary'!$A$4:$AG$23,'W Summary'!AD$1,FALSE)</f>
        <v>#N/A</v>
      </c>
      <c r="F79" s="2" t="e">
        <f>IF(B70&lt;B79,0,IF(C67&lt;C79,0,IF(B70=B79,C67-C79,IF(AND(C67&gt;C79,C67&lt;=D79),C67-C79,D79-C79))))</f>
        <v>#N/A</v>
      </c>
      <c r="G79" s="2" t="e">
        <f t="shared" si="3"/>
        <v>#N/A</v>
      </c>
    </row>
    <row r="80" spans="1:7" x14ac:dyDescent="0.55000000000000004">
      <c r="A80" t="s">
        <v>417</v>
      </c>
      <c r="B80">
        <v>8</v>
      </c>
      <c r="C80" s="2" t="e">
        <f>VLOOKUP(B67,'W Summary'!$A$4:$AG$23,'W Summary'!K$1,FALSE)</f>
        <v>#N/A</v>
      </c>
      <c r="D80" s="2" t="e">
        <f>VLOOKUP(B67,'W Summary'!$A$4:$AG$23,'W Summary'!U$1,FALSE)</f>
        <v>#N/A</v>
      </c>
      <c r="E80" s="2" t="e">
        <f>VLOOKUP(B67,'W Summary'!$A$4:$AG$23,'W Summary'!AE$1,FALSE)</f>
        <v>#N/A</v>
      </c>
      <c r="F80" s="2" t="e">
        <f>IF(B70&lt;B80,0,IF(C67&lt;C80,0,IF(B70=B80,C67-C80,IF(AND(C67&gt;C80,C67&lt;=D80),C67-C80,D80-C80))))</f>
        <v>#N/A</v>
      </c>
      <c r="G80" s="2" t="e">
        <f t="shared" si="3"/>
        <v>#N/A</v>
      </c>
    </row>
    <row r="81" spans="1:7" x14ac:dyDescent="0.55000000000000004">
      <c r="A81" t="s">
        <v>418</v>
      </c>
      <c r="B81">
        <v>9</v>
      </c>
      <c r="C81" s="2" t="e">
        <f>VLOOKUP(B67,'W Summary'!$A$4:$AG$23,'W Summary'!L$1,FALSE)</f>
        <v>#N/A</v>
      </c>
      <c r="D81" s="2" t="e">
        <f>VLOOKUP(B67,'W Summary'!$A$4:$AG$23,'W Summary'!V$1,FALSE)</f>
        <v>#N/A</v>
      </c>
      <c r="E81" s="2" t="e">
        <f>VLOOKUP(B67,'W Summary'!$A$4:$AG$23,'W Summary'!AF$1,FALSE)</f>
        <v>#N/A</v>
      </c>
      <c r="F81" s="2" t="e">
        <f>IF(B70&lt;B81,0,IF(C67&lt;C81,0,IF(B70=B81,C67-C81,IF(AND(C67&gt;C81,C67&lt;=D81),C67-C81,D81-C81))))</f>
        <v>#N/A</v>
      </c>
      <c r="G81" s="2" t="e">
        <f t="shared" si="3"/>
        <v>#N/A</v>
      </c>
    </row>
    <row r="82" spans="1:7" x14ac:dyDescent="0.55000000000000004">
      <c r="A82" t="s">
        <v>419</v>
      </c>
      <c r="B82">
        <v>10</v>
      </c>
      <c r="C82" s="2" t="e">
        <f>VLOOKUP(B67,'W Summary'!$A$4:$AG$23,'W Summary'!M$1,FALSE)</f>
        <v>#N/A</v>
      </c>
      <c r="D82" s="2" t="e">
        <f>VLOOKUP(B67,'W Summary'!$A$4:$AG$23,'W Summary'!W$1,FALSE)</f>
        <v>#N/A</v>
      </c>
      <c r="E82" s="2" t="e">
        <f>VLOOKUP(B67,'W Summary'!$A$4:$AG$23,'W Summary'!AG$1,FALSE)</f>
        <v>#N/A</v>
      </c>
      <c r="F82" s="2" t="e">
        <f>IF(B70&lt;B82,0,IF(C67&lt;C82,0,IF(B70=B82,C67-C82,IF(AND(C67&gt;C82,C67&lt;=D82),C67-C82,D82-C82))))</f>
        <v>#N/A</v>
      </c>
      <c r="G82" s="2" t="e">
        <f t="shared" si="3"/>
        <v>#N/A</v>
      </c>
    </row>
    <row r="83" spans="1:7" x14ac:dyDescent="0.55000000000000004">
      <c r="A83" t="s">
        <v>423</v>
      </c>
      <c r="G83" s="5" t="e">
        <f>SUM(G73:G82)</f>
        <v>#N/A</v>
      </c>
    </row>
    <row r="84" spans="1:7" x14ac:dyDescent="0.55000000000000004">
      <c r="A84" t="s">
        <v>379</v>
      </c>
      <c r="G84" s="5" t="e">
        <f>B68</f>
        <v>#N/A</v>
      </c>
    </row>
    <row r="85" spans="1:7" x14ac:dyDescent="0.55000000000000004">
      <c r="A85" t="s">
        <v>424</v>
      </c>
      <c r="G85" s="5">
        <f>IFERROR(SUM(G83:G84),0)</f>
        <v>0</v>
      </c>
    </row>
  </sheetData>
  <sheetProtection sheet="1" objects="1" scenarios="1"/>
  <phoneticPr fontId="4" type="noConversion"/>
  <pageMargins left="0.7" right="0.7" top="0.75" bottom="0.75" header="0.3" footer="0.3"/>
  <pageSetup paperSize="9" orientation="portrait" r:id="rId1"/>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137718-A215-4688-8EC1-FC376D092D3F}">
  <sheetPr codeName="Sheet32"/>
  <dimension ref="A1:G87"/>
  <sheetViews>
    <sheetView workbookViewId="0"/>
  </sheetViews>
  <sheetFormatPr defaultRowHeight="14.4" x14ac:dyDescent="0.55000000000000004"/>
  <cols>
    <col min="1" max="1" width="28.5234375" bestFit="1" customWidth="1"/>
    <col min="2" max="2" width="17" bestFit="1" customWidth="1"/>
    <col min="3" max="3" width="14.7890625" bestFit="1" customWidth="1"/>
    <col min="4" max="4" width="14.7890625" customWidth="1"/>
    <col min="6" max="6" width="12.5234375" customWidth="1"/>
    <col min="7" max="7" width="13.7890625" customWidth="1"/>
  </cols>
  <sheetData>
    <row r="1" spans="1:7" x14ac:dyDescent="0.55000000000000004">
      <c r="A1" s="1" t="s">
        <v>443</v>
      </c>
    </row>
    <row r="3" spans="1:7" x14ac:dyDescent="0.55000000000000004">
      <c r="B3" s="1" t="s">
        <v>397</v>
      </c>
      <c r="C3" s="1" t="s">
        <v>99</v>
      </c>
      <c r="D3" s="1" t="s">
        <v>583</v>
      </c>
    </row>
    <row r="4" spans="1:7" x14ac:dyDescent="0.55000000000000004">
      <c r="A4" s="1" t="str">
        <f>Affordability!$D$27</f>
        <v xml:space="preserve">Indigent </v>
      </c>
      <c r="B4" s="1" t="str">
        <f>Affordability!F27</f>
        <v>Domestic</v>
      </c>
      <c r="C4" s="3">
        <f>IFERROR(VLOOKUP(B4,'2 Customer data'!$D$57:$L$76,9,0),0)</f>
        <v>0.7</v>
      </c>
      <c r="D4" s="1">
        <f>Affordability!F17</f>
        <v>0</v>
      </c>
    </row>
    <row r="5" spans="1:7" x14ac:dyDescent="0.55000000000000004">
      <c r="A5" t="s">
        <v>406</v>
      </c>
      <c r="B5" s="2">
        <f>IFERROR(VLOOKUP(B4,'S Summary'!$A$4:$AG$23,2,FALSE),0)</f>
        <v>0</v>
      </c>
    </row>
    <row r="7" spans="1:7" x14ac:dyDescent="0.55000000000000004">
      <c r="A7" t="s">
        <v>408</v>
      </c>
      <c r="B7">
        <f>VLOOKUP(B4,'S Summary'!$A$4:$AG$23,3,FALSE)</f>
        <v>1</v>
      </c>
    </row>
    <row r="9" spans="1:7" ht="28.8" x14ac:dyDescent="0.55000000000000004">
      <c r="A9" s="9"/>
      <c r="B9" s="9"/>
      <c r="C9" s="9" t="s">
        <v>92</v>
      </c>
      <c r="D9" s="9" t="s">
        <v>420</v>
      </c>
      <c r="E9" s="11" t="s">
        <v>584</v>
      </c>
      <c r="F9" s="8" t="s">
        <v>444</v>
      </c>
      <c r="G9" s="8" t="s">
        <v>422</v>
      </c>
    </row>
    <row r="10" spans="1:7" x14ac:dyDescent="0.55000000000000004">
      <c r="A10" t="s">
        <v>410</v>
      </c>
      <c r="B10">
        <v>1</v>
      </c>
      <c r="C10" s="2">
        <f>VLOOKUP(B4,'S Summary'!$A$4:$AG$23,'S Summary'!D$1,FALSE)</f>
        <v>0</v>
      </c>
      <c r="D10" s="2">
        <f>VLOOKUP(B4,'S Summary'!$A$4:$AG$23,'S Summary'!N$1,FALSE)</f>
        <v>0</v>
      </c>
      <c r="E10" s="12">
        <f ca="1">VLOOKUP(B4,'S Summary'!$A$4:$AQ$23,'S Summary'!AH$1,FALSE)</f>
        <v>21.301587643415466</v>
      </c>
      <c r="F10" s="12">
        <f>IF(D10=0,0,IF(D4&lt;=D10,D4,D10))</f>
        <v>0</v>
      </c>
      <c r="G10" s="2">
        <f ca="1">E10*F10</f>
        <v>0</v>
      </c>
    </row>
    <row r="11" spans="1:7" x14ac:dyDescent="0.55000000000000004">
      <c r="A11" t="s">
        <v>411</v>
      </c>
      <c r="B11">
        <v>2</v>
      </c>
      <c r="C11" s="2">
        <f>VLOOKUP(B4,'S Summary'!$A$4:$AG$23,'S Summary'!E$1,FALSE)</f>
        <v>0</v>
      </c>
      <c r="D11" s="2">
        <f>VLOOKUP(B4,'S Summary'!$A$4:$AG$23,'S Summary'!O$1,FALSE)</f>
        <v>0</v>
      </c>
      <c r="E11" s="12">
        <f>VLOOKUP(B4,'S Summary'!$A$4:$AQ$23,'S Summary'!AI$1,FALSE)</f>
        <v>0</v>
      </c>
      <c r="F11" s="12">
        <f>IF(D11=0,0,IF(D4&lt;=D10,0,IF(D4&lt;=D11,D4-D10,D11-D10)))</f>
        <v>0</v>
      </c>
      <c r="G11" s="2">
        <f t="shared" ref="G11:G19" si="0">E11*F11</f>
        <v>0</v>
      </c>
    </row>
    <row r="12" spans="1:7" x14ac:dyDescent="0.55000000000000004">
      <c r="A12" t="s">
        <v>412</v>
      </c>
      <c r="B12">
        <v>3</v>
      </c>
      <c r="C12" s="2">
        <f>VLOOKUP(B4,'S Summary'!$A$4:$AG$23,'S Summary'!F$1,FALSE)</f>
        <v>0</v>
      </c>
      <c r="D12" s="2">
        <f>VLOOKUP(B4,'S Summary'!$A$4:$AG$23,'S Summary'!P$1,FALSE)</f>
        <v>0</v>
      </c>
      <c r="E12" s="12">
        <f>VLOOKUP(B4,'S Summary'!$A$4:$AQ$23,'S Summary'!AJ$1,FALSE)</f>
        <v>0</v>
      </c>
      <c r="F12" s="12">
        <f>IF(D12=0,0,IF(D4&lt;=D11,0,IF(D4&lt;=D12,D4-D11,D12-D11)))</f>
        <v>0</v>
      </c>
      <c r="G12" s="2">
        <f t="shared" si="0"/>
        <v>0</v>
      </c>
    </row>
    <row r="13" spans="1:7" x14ac:dyDescent="0.55000000000000004">
      <c r="A13" t="s">
        <v>413</v>
      </c>
      <c r="B13">
        <v>4</v>
      </c>
      <c r="C13" s="2">
        <f>VLOOKUP(B4,'S Summary'!$A$4:$AG$23,'S Summary'!G$1,FALSE)</f>
        <v>0</v>
      </c>
      <c r="D13" s="2">
        <f>VLOOKUP(B4,'S Summary'!$A$4:$AG$23,'S Summary'!Q$1,FALSE)</f>
        <v>0</v>
      </c>
      <c r="E13" s="12">
        <f>VLOOKUP(B4,'S Summary'!$A$4:$AQ$23,'S Summary'!AK$1,FALSE)</f>
        <v>0</v>
      </c>
      <c r="F13" s="12">
        <f>IF(D13=0,0,IF(D4&lt;=D12,0,IF(D4&lt;=D13,D4-D12,D13-D12)))</f>
        <v>0</v>
      </c>
      <c r="G13" s="2">
        <f t="shared" si="0"/>
        <v>0</v>
      </c>
    </row>
    <row r="14" spans="1:7" x14ac:dyDescent="0.55000000000000004">
      <c r="A14" t="s">
        <v>414</v>
      </c>
      <c r="B14">
        <v>5</v>
      </c>
      <c r="C14" s="2">
        <f>VLOOKUP(B4,'S Summary'!$A$4:$AG$23,'S Summary'!H$1,FALSE)</f>
        <v>0</v>
      </c>
      <c r="D14" s="2">
        <f>VLOOKUP(B4,'S Summary'!$A$4:$AG$23,'S Summary'!R$1,FALSE)</f>
        <v>0</v>
      </c>
      <c r="E14" s="12">
        <f>VLOOKUP(B4,'S Summary'!$A$4:$AQ$23,'S Summary'!AL$1,FALSE)</f>
        <v>0</v>
      </c>
      <c r="F14" s="12">
        <f>IF(D14=0,0,IF(D4&lt;=D13,0,IF(D4&lt;=D14,D4-D13,D14-D13)))</f>
        <v>0</v>
      </c>
      <c r="G14" s="2">
        <f t="shared" si="0"/>
        <v>0</v>
      </c>
    </row>
    <row r="15" spans="1:7" x14ac:dyDescent="0.55000000000000004">
      <c r="A15" t="s">
        <v>415</v>
      </c>
      <c r="B15">
        <v>6</v>
      </c>
      <c r="C15" s="2">
        <f>VLOOKUP(B4,'S Summary'!$A$4:$AG$23,'S Summary'!I$1,FALSE)</f>
        <v>0</v>
      </c>
      <c r="D15" s="2">
        <f>VLOOKUP(B4,'S Summary'!$A$4:$AG$23,'S Summary'!S$1,FALSE)</f>
        <v>0</v>
      </c>
      <c r="E15" s="12">
        <f>VLOOKUP(B4,'S Summary'!$A$4:$AQ$23,'S Summary'!AM$1,FALSE)</f>
        <v>0</v>
      </c>
      <c r="F15" s="12">
        <f>IF(D15=0,0,IF(D4&lt;=D14,0,IF(D4&lt;=D15,D4-D14,D15-D14)))</f>
        <v>0</v>
      </c>
      <c r="G15" s="2">
        <f t="shared" si="0"/>
        <v>0</v>
      </c>
    </row>
    <row r="16" spans="1:7" x14ac:dyDescent="0.55000000000000004">
      <c r="A16" t="s">
        <v>416</v>
      </c>
      <c r="B16">
        <v>7</v>
      </c>
      <c r="C16" s="2">
        <f>VLOOKUP(B4,'S Summary'!$A$4:$AG$23,'S Summary'!J$1,FALSE)</f>
        <v>0</v>
      </c>
      <c r="D16" s="2">
        <f>VLOOKUP(B4,'S Summary'!$A$4:$AG$23,'S Summary'!T$1,FALSE)</f>
        <v>0</v>
      </c>
      <c r="E16" s="12">
        <f>VLOOKUP(B4,'S Summary'!$A$4:$AQ$23,'S Summary'!AN$1,FALSE)</f>
        <v>0</v>
      </c>
      <c r="F16" s="12">
        <f>IF(D16=0,0,IF(D4&lt;=D15,0,IF(D4&lt;=D16,D4-D15,D16-D15)))</f>
        <v>0</v>
      </c>
      <c r="G16" s="2">
        <f t="shared" si="0"/>
        <v>0</v>
      </c>
    </row>
    <row r="17" spans="1:7" x14ac:dyDescent="0.55000000000000004">
      <c r="A17" t="s">
        <v>417</v>
      </c>
      <c r="B17">
        <v>8</v>
      </c>
      <c r="C17" s="2">
        <f>VLOOKUP(B4,'S Summary'!$A$4:$AG$23,'S Summary'!K$1,FALSE)</f>
        <v>0</v>
      </c>
      <c r="D17" s="2">
        <f>VLOOKUP(B4,'S Summary'!$A$4:$AG$23,'S Summary'!U$1,FALSE)</f>
        <v>0</v>
      </c>
      <c r="E17" s="12">
        <f>VLOOKUP(B4,'S Summary'!$A$4:$AQ$23,'S Summary'!AO$1,FALSE)</f>
        <v>0</v>
      </c>
      <c r="F17" s="12">
        <f>IF(D17=0,0,IF(D4&lt;=D16,0,IF(D4&lt;=D17,D4-D16,D17-D16)))</f>
        <v>0</v>
      </c>
      <c r="G17" s="2">
        <f t="shared" si="0"/>
        <v>0</v>
      </c>
    </row>
    <row r="18" spans="1:7" x14ac:dyDescent="0.55000000000000004">
      <c r="A18" t="s">
        <v>418</v>
      </c>
      <c r="B18">
        <v>9</v>
      </c>
      <c r="C18" s="2">
        <f>VLOOKUP(B4,'S Summary'!$A$4:$AG$23,'S Summary'!L$1,FALSE)</f>
        <v>0</v>
      </c>
      <c r="D18" s="2">
        <f>VLOOKUP(B4,'S Summary'!$A$4:$AG$23,'S Summary'!V$1,FALSE)</f>
        <v>0</v>
      </c>
      <c r="E18" s="12">
        <f>VLOOKUP(B4,'S Summary'!$A$4:$AQ$23,'S Summary'!AP$1,FALSE)</f>
        <v>0</v>
      </c>
      <c r="F18" s="12">
        <f>IF(D18=0,0,IF(D4&lt;=D17,0,IF(D4&lt;=D18,D4-D17,D18-D17)))</f>
        <v>0</v>
      </c>
      <c r="G18" s="2">
        <f t="shared" si="0"/>
        <v>0</v>
      </c>
    </row>
    <row r="19" spans="1:7" x14ac:dyDescent="0.55000000000000004">
      <c r="A19" t="s">
        <v>419</v>
      </c>
      <c r="B19">
        <v>10</v>
      </c>
      <c r="C19" s="2">
        <f>VLOOKUP(B4,'S Summary'!$A$4:$AG$23,'S Summary'!M$1,FALSE)</f>
        <v>0</v>
      </c>
      <c r="D19" s="2">
        <f>VLOOKUP(B4,'S Summary'!$A$4:$AG$23,'S Summary'!W$1,FALSE)</f>
        <v>0</v>
      </c>
      <c r="E19" s="12">
        <f>VLOOKUP(B4,'S Summary'!$A$4:$AQ$23,'S Summary'!AQ$1,FALSE)</f>
        <v>0</v>
      </c>
      <c r="F19" s="12">
        <f>IF(D4&lt;=D18,0,D4-SUM(F10:F18))</f>
        <v>0</v>
      </c>
      <c r="G19" s="2">
        <f t="shared" si="0"/>
        <v>0</v>
      </c>
    </row>
    <row r="20" spans="1:7" x14ac:dyDescent="0.55000000000000004">
      <c r="A20" t="s">
        <v>423</v>
      </c>
      <c r="G20" s="5">
        <f ca="1">SUM(G10:G19)</f>
        <v>0</v>
      </c>
    </row>
    <row r="21" spans="1:7" x14ac:dyDescent="0.55000000000000004">
      <c r="A21" t="s">
        <v>379</v>
      </c>
      <c r="G21" s="5">
        <f>B5</f>
        <v>0</v>
      </c>
    </row>
    <row r="22" spans="1:7" x14ac:dyDescent="0.55000000000000004">
      <c r="A22" t="s">
        <v>424</v>
      </c>
      <c r="G22" s="5">
        <f ca="1">IFERROR(SUM(G20:G21),0)</f>
        <v>0</v>
      </c>
    </row>
    <row r="24" spans="1:7" x14ac:dyDescent="0.55000000000000004">
      <c r="A24" s="1" t="s">
        <v>443</v>
      </c>
    </row>
    <row r="26" spans="1:7" x14ac:dyDescent="0.55000000000000004">
      <c r="B26" s="1" t="s">
        <v>397</v>
      </c>
      <c r="C26" s="1" t="s">
        <v>99</v>
      </c>
      <c r="D26" s="1" t="s">
        <v>583</v>
      </c>
    </row>
    <row r="27" spans="1:7" x14ac:dyDescent="0.55000000000000004">
      <c r="A27" s="1" t="str">
        <f>Affordability!$D$28</f>
        <v xml:space="preserve">Low Income </v>
      </c>
      <c r="B27" s="1" t="str">
        <f>Affordability!F28</f>
        <v>Domestic</v>
      </c>
      <c r="C27" s="3">
        <f>IFERROR(VLOOKUP(B27,'2 Customer data'!$D$57:$L$76,9,0),0)</f>
        <v>0.7</v>
      </c>
      <c r="D27" s="1">
        <f>Affordability!F18</f>
        <v>0</v>
      </c>
    </row>
    <row r="28" spans="1:7" x14ac:dyDescent="0.55000000000000004">
      <c r="A28" t="s">
        <v>406</v>
      </c>
      <c r="B28" s="2">
        <f>IFERROR(VLOOKUP(B27,'S Summary'!$A$4:$AG$23,2,FALSE),0)</f>
        <v>0</v>
      </c>
    </row>
    <row r="30" spans="1:7" x14ac:dyDescent="0.55000000000000004">
      <c r="A30" t="s">
        <v>408</v>
      </c>
      <c r="B30">
        <f>VLOOKUP(B27,'S Summary'!$A$4:$AG$23,3,FALSE)</f>
        <v>1</v>
      </c>
    </row>
    <row r="32" spans="1:7" ht="28.8" x14ac:dyDescent="0.55000000000000004">
      <c r="A32" s="9"/>
      <c r="B32" s="9"/>
      <c r="C32" s="9" t="s">
        <v>92</v>
      </c>
      <c r="D32" s="9" t="s">
        <v>420</v>
      </c>
      <c r="E32" s="11" t="s">
        <v>584</v>
      </c>
      <c r="F32" s="8" t="s">
        <v>444</v>
      </c>
      <c r="G32" s="8" t="s">
        <v>422</v>
      </c>
    </row>
    <row r="33" spans="1:7" x14ac:dyDescent="0.55000000000000004">
      <c r="A33" t="s">
        <v>410</v>
      </c>
      <c r="B33">
        <v>1</v>
      </c>
      <c r="C33" s="2">
        <f>VLOOKUP(B27,'S Summary'!$A$4:$AG$23,'S Summary'!D$1,FALSE)</f>
        <v>0</v>
      </c>
      <c r="D33" s="2">
        <f>VLOOKUP(B27,'S Summary'!$A$4:$AG$23,'S Summary'!N$1,FALSE)</f>
        <v>0</v>
      </c>
      <c r="E33" s="12">
        <f ca="1">VLOOKUP(B27,'S Summary'!$A$4:$AQ$23,'S Summary'!AH$1,FALSE)</f>
        <v>21.301587643415466</v>
      </c>
      <c r="F33" s="12">
        <f>IF(D33=0,0,IF(D27&lt;=D33,D27,D33))</f>
        <v>0</v>
      </c>
      <c r="G33" s="2">
        <f ca="1">E33*F33</f>
        <v>0</v>
      </c>
    </row>
    <row r="34" spans="1:7" x14ac:dyDescent="0.55000000000000004">
      <c r="A34" t="s">
        <v>411</v>
      </c>
      <c r="B34">
        <v>2</v>
      </c>
      <c r="C34" s="2">
        <f>VLOOKUP(B27,'S Summary'!$A$4:$AG$23,'S Summary'!E$1,FALSE)</f>
        <v>0</v>
      </c>
      <c r="D34" s="2">
        <f>VLOOKUP(B27,'S Summary'!$A$4:$AG$23,'S Summary'!O$1,FALSE)</f>
        <v>0</v>
      </c>
      <c r="E34" s="12">
        <f>VLOOKUP(B27,'S Summary'!$A$4:$AQ$23,'S Summary'!AI$1,FALSE)</f>
        <v>0</v>
      </c>
      <c r="F34" s="12">
        <f>IF(D34=0,0,IF(D27&lt;=D33,0,IF(D27&lt;=D34,D27-D33,D34-D33)))</f>
        <v>0</v>
      </c>
      <c r="G34" s="2">
        <f t="shared" ref="G34:G42" si="1">E34*F34</f>
        <v>0</v>
      </c>
    </row>
    <row r="35" spans="1:7" x14ac:dyDescent="0.55000000000000004">
      <c r="A35" t="s">
        <v>412</v>
      </c>
      <c r="B35">
        <v>3</v>
      </c>
      <c r="C35" s="2">
        <f>VLOOKUP(B27,'S Summary'!$A$4:$AG$23,'S Summary'!F$1,FALSE)</f>
        <v>0</v>
      </c>
      <c r="D35" s="2">
        <f>VLOOKUP(B27,'S Summary'!$A$4:$AG$23,'S Summary'!P$1,FALSE)</f>
        <v>0</v>
      </c>
      <c r="E35" s="12">
        <f>VLOOKUP(B27,'S Summary'!$A$4:$AQ$23,'S Summary'!AJ$1,FALSE)</f>
        <v>0</v>
      </c>
      <c r="F35" s="12">
        <f>IF(D35=0,0,IF(D27&lt;=D34,0,IF(D27&lt;=D35,D27-D34,D35-D34)))</f>
        <v>0</v>
      </c>
      <c r="G35" s="2">
        <f t="shared" si="1"/>
        <v>0</v>
      </c>
    </row>
    <row r="36" spans="1:7" x14ac:dyDescent="0.55000000000000004">
      <c r="A36" t="s">
        <v>413</v>
      </c>
      <c r="B36">
        <v>4</v>
      </c>
      <c r="C36" s="2">
        <f>VLOOKUP(B27,'S Summary'!$A$4:$AG$23,'S Summary'!G$1,FALSE)</f>
        <v>0</v>
      </c>
      <c r="D36" s="2">
        <f>VLOOKUP(B27,'S Summary'!$A$4:$AG$23,'S Summary'!Q$1,FALSE)</f>
        <v>0</v>
      </c>
      <c r="E36" s="12">
        <f>VLOOKUP(B27,'S Summary'!$A$4:$AQ$23,'S Summary'!AK$1,FALSE)</f>
        <v>0</v>
      </c>
      <c r="F36" s="12">
        <f>IF(D36=0,0,IF(D27&lt;=D35,0,IF(D27&lt;=D36,D27-D35,D36-D35)))</f>
        <v>0</v>
      </c>
      <c r="G36" s="2">
        <f t="shared" si="1"/>
        <v>0</v>
      </c>
    </row>
    <row r="37" spans="1:7" x14ac:dyDescent="0.55000000000000004">
      <c r="A37" t="s">
        <v>414</v>
      </c>
      <c r="B37">
        <v>5</v>
      </c>
      <c r="C37" s="2">
        <f>VLOOKUP(B27,'S Summary'!$A$4:$AG$23,'S Summary'!H$1,FALSE)</f>
        <v>0</v>
      </c>
      <c r="D37" s="2">
        <f>VLOOKUP(B27,'S Summary'!$A$4:$AG$23,'S Summary'!R$1,FALSE)</f>
        <v>0</v>
      </c>
      <c r="E37" s="12">
        <f>VLOOKUP(B27,'S Summary'!$A$4:$AQ$23,'S Summary'!AL$1,FALSE)</f>
        <v>0</v>
      </c>
      <c r="F37" s="12">
        <f>IF(D37=0,0,IF(D27&lt;=D36,0,IF(D27&lt;=D37,D27-D36,D37-D36)))</f>
        <v>0</v>
      </c>
      <c r="G37" s="2">
        <f t="shared" si="1"/>
        <v>0</v>
      </c>
    </row>
    <row r="38" spans="1:7" x14ac:dyDescent="0.55000000000000004">
      <c r="A38" t="s">
        <v>415</v>
      </c>
      <c r="B38">
        <v>6</v>
      </c>
      <c r="C38" s="2">
        <f>VLOOKUP(B27,'S Summary'!$A$4:$AG$23,'S Summary'!I$1,FALSE)</f>
        <v>0</v>
      </c>
      <c r="D38" s="2">
        <f>VLOOKUP(B27,'S Summary'!$A$4:$AG$23,'S Summary'!S$1,FALSE)</f>
        <v>0</v>
      </c>
      <c r="E38" s="12">
        <f>VLOOKUP(B27,'S Summary'!$A$4:$AQ$23,'S Summary'!AM$1,FALSE)</f>
        <v>0</v>
      </c>
      <c r="F38" s="12">
        <f>IF(D38=0,0,IF(D27&lt;=D37,0,IF(D27&lt;=D38,D27-D37,D38-D37)))</f>
        <v>0</v>
      </c>
      <c r="G38" s="2">
        <f t="shared" si="1"/>
        <v>0</v>
      </c>
    </row>
    <row r="39" spans="1:7" x14ac:dyDescent="0.55000000000000004">
      <c r="A39" t="s">
        <v>416</v>
      </c>
      <c r="B39">
        <v>7</v>
      </c>
      <c r="C39" s="2">
        <f>VLOOKUP(B27,'S Summary'!$A$4:$AG$23,'S Summary'!J$1,FALSE)</f>
        <v>0</v>
      </c>
      <c r="D39" s="2">
        <f>VLOOKUP(B27,'S Summary'!$A$4:$AG$23,'S Summary'!T$1,FALSE)</f>
        <v>0</v>
      </c>
      <c r="E39" s="12">
        <f>VLOOKUP(B27,'S Summary'!$A$4:$AQ$23,'S Summary'!AN$1,FALSE)</f>
        <v>0</v>
      </c>
      <c r="F39" s="12">
        <f>IF(D39=0,0,IF(D27&lt;=D38,0,IF(D27&lt;=D39,D27-D38,D39-D38)))</f>
        <v>0</v>
      </c>
      <c r="G39" s="2">
        <f t="shared" si="1"/>
        <v>0</v>
      </c>
    </row>
    <row r="40" spans="1:7" x14ac:dyDescent="0.55000000000000004">
      <c r="A40" t="s">
        <v>417</v>
      </c>
      <c r="B40">
        <v>8</v>
      </c>
      <c r="C40" s="2">
        <f>VLOOKUP(B27,'S Summary'!$A$4:$AG$23,'S Summary'!K$1,FALSE)</f>
        <v>0</v>
      </c>
      <c r="D40" s="2">
        <f>VLOOKUP(B27,'S Summary'!$A$4:$AG$23,'S Summary'!U$1,FALSE)</f>
        <v>0</v>
      </c>
      <c r="E40" s="12">
        <f>VLOOKUP(B27,'S Summary'!$A$4:$AQ$23,'S Summary'!AO$1,FALSE)</f>
        <v>0</v>
      </c>
      <c r="F40" s="12">
        <f>IF(D40=0,0,IF(D27&lt;=D39,0,IF(D27&lt;=D40,D27-D39,D40-D39)))</f>
        <v>0</v>
      </c>
      <c r="G40" s="2">
        <f t="shared" si="1"/>
        <v>0</v>
      </c>
    </row>
    <row r="41" spans="1:7" x14ac:dyDescent="0.55000000000000004">
      <c r="A41" t="s">
        <v>418</v>
      </c>
      <c r="B41">
        <v>9</v>
      </c>
      <c r="C41" s="2">
        <f>VLOOKUP(B27,'S Summary'!$A$4:$AG$23,'S Summary'!L$1,FALSE)</f>
        <v>0</v>
      </c>
      <c r="D41" s="2">
        <f>VLOOKUP(B27,'S Summary'!$A$4:$AG$23,'S Summary'!V$1,FALSE)</f>
        <v>0</v>
      </c>
      <c r="E41" s="12">
        <f>VLOOKUP(B27,'S Summary'!$A$4:$AQ$23,'S Summary'!AP$1,FALSE)</f>
        <v>0</v>
      </c>
      <c r="F41" s="12">
        <f>IF(D41=0,0,IF(D27&lt;=D40,0,IF(D27&lt;=D41,D27-D40,D41-D40)))</f>
        <v>0</v>
      </c>
      <c r="G41" s="2">
        <f t="shared" si="1"/>
        <v>0</v>
      </c>
    </row>
    <row r="42" spans="1:7" x14ac:dyDescent="0.55000000000000004">
      <c r="A42" t="s">
        <v>419</v>
      </c>
      <c r="B42">
        <v>10</v>
      </c>
      <c r="C42" s="2">
        <f>VLOOKUP(B27,'S Summary'!$A$4:$AG$23,'S Summary'!M$1,FALSE)</f>
        <v>0</v>
      </c>
      <c r="D42" s="2">
        <f>VLOOKUP(B27,'S Summary'!$A$4:$AG$23,'S Summary'!W$1,FALSE)</f>
        <v>0</v>
      </c>
      <c r="E42" s="12">
        <f>VLOOKUP(B27,'S Summary'!$A$4:$AQ$23,'S Summary'!AQ$1,FALSE)</f>
        <v>0</v>
      </c>
      <c r="F42" s="12">
        <f>IF(D27&lt;=D41,0,D27-SUM(F33:F41))</f>
        <v>0</v>
      </c>
      <c r="G42" s="2">
        <f t="shared" si="1"/>
        <v>0</v>
      </c>
    </row>
    <row r="43" spans="1:7" x14ac:dyDescent="0.55000000000000004">
      <c r="A43" t="s">
        <v>423</v>
      </c>
      <c r="G43" s="5">
        <f ca="1">SUM(G33:G42)</f>
        <v>0</v>
      </c>
    </row>
    <row r="44" spans="1:7" x14ac:dyDescent="0.55000000000000004">
      <c r="A44" t="s">
        <v>379</v>
      </c>
      <c r="G44" s="5">
        <f>B28</f>
        <v>0</v>
      </c>
    </row>
    <row r="45" spans="1:7" x14ac:dyDescent="0.55000000000000004">
      <c r="A45" t="s">
        <v>424</v>
      </c>
      <c r="G45" s="5">
        <f ca="1">IFERROR(SUM(G43:G44),0)</f>
        <v>0</v>
      </c>
    </row>
    <row r="46" spans="1:7" x14ac:dyDescent="0.55000000000000004">
      <c r="A46" s="1"/>
      <c r="B46" s="1"/>
      <c r="C46" s="1"/>
    </row>
    <row r="47" spans="1:7" x14ac:dyDescent="0.55000000000000004">
      <c r="B47" s="1" t="s">
        <v>397</v>
      </c>
      <c r="C47" s="1" t="s">
        <v>99</v>
      </c>
      <c r="D47" s="1" t="s">
        <v>583</v>
      </c>
    </row>
    <row r="48" spans="1:7" x14ac:dyDescent="0.55000000000000004">
      <c r="A48" s="1" t="str">
        <f>Affordability!$D$29</f>
        <v>Middle Income</v>
      </c>
      <c r="B48" s="1" t="str">
        <f>Affordability!F29</f>
        <v>Domestic</v>
      </c>
      <c r="C48" s="3">
        <f>IFERROR(VLOOKUP(B48,'2 Customer data'!$D$57:$L$76,9,0),0)</f>
        <v>0.7</v>
      </c>
      <c r="D48" s="1">
        <f>Affordability!F19</f>
        <v>0</v>
      </c>
    </row>
    <row r="49" spans="1:7" x14ac:dyDescent="0.55000000000000004">
      <c r="A49" t="s">
        <v>406</v>
      </c>
      <c r="B49" s="2">
        <f>IFERROR(VLOOKUP(B48,'S Summary'!$A$4:$AG$23,2,FALSE),0)</f>
        <v>0</v>
      </c>
    </row>
    <row r="51" spans="1:7" x14ac:dyDescent="0.55000000000000004">
      <c r="A51" t="s">
        <v>408</v>
      </c>
      <c r="B51">
        <f>VLOOKUP(B48,'S Summary'!$A$4:$AG$23,3,FALSE)</f>
        <v>1</v>
      </c>
    </row>
    <row r="53" spans="1:7" ht="28.8" x14ac:dyDescent="0.55000000000000004">
      <c r="A53" s="9"/>
      <c r="B53" s="9"/>
      <c r="C53" s="9" t="s">
        <v>92</v>
      </c>
      <c r="D53" s="9" t="s">
        <v>420</v>
      </c>
      <c r="E53" s="11" t="s">
        <v>584</v>
      </c>
      <c r="F53" s="8" t="s">
        <v>444</v>
      </c>
      <c r="G53" s="8" t="s">
        <v>422</v>
      </c>
    </row>
    <row r="54" spans="1:7" x14ac:dyDescent="0.55000000000000004">
      <c r="A54" t="s">
        <v>410</v>
      </c>
      <c r="B54">
        <v>1</v>
      </c>
      <c r="C54" s="2">
        <f>VLOOKUP(B48,'S Summary'!$A$4:$AG$23,'S Summary'!D$1,FALSE)</f>
        <v>0</v>
      </c>
      <c r="D54" s="2">
        <f>VLOOKUP(B48,'S Summary'!$A$4:$AG$23,'S Summary'!N$1,FALSE)</f>
        <v>0</v>
      </c>
      <c r="E54" s="12">
        <f ca="1">VLOOKUP(B48,'S Summary'!$A$4:$AQ$23,'S Summary'!AH$1,FALSE)</f>
        <v>21.301587643415466</v>
      </c>
      <c r="F54" s="12">
        <f>IF(D54=0,0,IF(D48&lt;=D54,D48,D54))</f>
        <v>0</v>
      </c>
      <c r="G54" s="2">
        <f ca="1">E54*F54</f>
        <v>0</v>
      </c>
    </row>
    <row r="55" spans="1:7" x14ac:dyDescent="0.55000000000000004">
      <c r="A55" t="s">
        <v>411</v>
      </c>
      <c r="B55">
        <v>2</v>
      </c>
      <c r="C55" s="2">
        <f>VLOOKUP(B48,'S Summary'!$A$4:$AG$23,'S Summary'!E$1,FALSE)</f>
        <v>0</v>
      </c>
      <c r="D55" s="2">
        <f>VLOOKUP(B48,'S Summary'!$A$4:$AG$23,'S Summary'!O$1,FALSE)</f>
        <v>0</v>
      </c>
      <c r="E55" s="12">
        <f>VLOOKUP(B48,'S Summary'!$A$4:$AQ$23,'S Summary'!AI$1,FALSE)</f>
        <v>0</v>
      </c>
      <c r="F55" s="12">
        <f>IF(D55=0,0,IF(D48&lt;=D54,0,IF(D48&lt;=D55,D48-D54,D55-D54)))</f>
        <v>0</v>
      </c>
      <c r="G55" s="2">
        <f t="shared" ref="G55:G63" si="2">E55*F55</f>
        <v>0</v>
      </c>
    </row>
    <row r="56" spans="1:7" x14ac:dyDescent="0.55000000000000004">
      <c r="A56" t="s">
        <v>412</v>
      </c>
      <c r="B56">
        <v>3</v>
      </c>
      <c r="C56" s="2">
        <f>VLOOKUP(B48,'S Summary'!$A$4:$AG$23,'S Summary'!F$1,FALSE)</f>
        <v>0</v>
      </c>
      <c r="D56" s="2">
        <f>VLOOKUP(B48,'S Summary'!$A$4:$AG$23,'S Summary'!P$1,FALSE)</f>
        <v>0</v>
      </c>
      <c r="E56" s="12">
        <f>VLOOKUP(B48,'S Summary'!$A$4:$AQ$23,'S Summary'!AJ$1,FALSE)</f>
        <v>0</v>
      </c>
      <c r="F56" s="12">
        <f>IF(D56=0,0,IF(D48&lt;=D55,0,IF(D48&lt;=D56,D48-D55,D56-D55)))</f>
        <v>0</v>
      </c>
      <c r="G56" s="2">
        <f t="shared" si="2"/>
        <v>0</v>
      </c>
    </row>
    <row r="57" spans="1:7" x14ac:dyDescent="0.55000000000000004">
      <c r="A57" t="s">
        <v>413</v>
      </c>
      <c r="B57">
        <v>4</v>
      </c>
      <c r="C57" s="2">
        <f>VLOOKUP(B48,'S Summary'!$A$4:$AG$23,'S Summary'!G$1,FALSE)</f>
        <v>0</v>
      </c>
      <c r="D57" s="2">
        <f>VLOOKUP(B48,'S Summary'!$A$4:$AG$23,'S Summary'!Q$1,FALSE)</f>
        <v>0</v>
      </c>
      <c r="E57" s="12">
        <f>VLOOKUP(B48,'S Summary'!$A$4:$AQ$23,'S Summary'!AK$1,FALSE)</f>
        <v>0</v>
      </c>
      <c r="F57" s="12">
        <f>IF(D57=0,0,IF(D48&lt;=D56,0,IF(D48&lt;=D57,D48-D56,D57-D56)))</f>
        <v>0</v>
      </c>
      <c r="G57" s="2">
        <f t="shared" si="2"/>
        <v>0</v>
      </c>
    </row>
    <row r="58" spans="1:7" x14ac:dyDescent="0.55000000000000004">
      <c r="A58" t="s">
        <v>414</v>
      </c>
      <c r="B58">
        <v>5</v>
      </c>
      <c r="C58" s="2">
        <f>VLOOKUP(B48,'S Summary'!$A$4:$AG$23,'S Summary'!H$1,FALSE)</f>
        <v>0</v>
      </c>
      <c r="D58" s="2">
        <f>VLOOKUP(B48,'S Summary'!$A$4:$AG$23,'S Summary'!R$1,FALSE)</f>
        <v>0</v>
      </c>
      <c r="E58" s="12">
        <f>VLOOKUP(B48,'S Summary'!$A$4:$AQ$23,'S Summary'!AL$1,FALSE)</f>
        <v>0</v>
      </c>
      <c r="F58" s="12">
        <f>IF(D58=0,0,IF(D48&lt;=D57,0,IF(D48&lt;=D58,D48-D57,D58-D57)))</f>
        <v>0</v>
      </c>
      <c r="G58" s="2">
        <f t="shared" si="2"/>
        <v>0</v>
      </c>
    </row>
    <row r="59" spans="1:7" x14ac:dyDescent="0.55000000000000004">
      <c r="A59" t="s">
        <v>415</v>
      </c>
      <c r="B59">
        <v>6</v>
      </c>
      <c r="C59" s="2">
        <f>VLOOKUP(B48,'S Summary'!$A$4:$AG$23,'S Summary'!I$1,FALSE)</f>
        <v>0</v>
      </c>
      <c r="D59" s="2">
        <f>VLOOKUP(B48,'S Summary'!$A$4:$AG$23,'S Summary'!S$1,FALSE)</f>
        <v>0</v>
      </c>
      <c r="E59" s="12">
        <f>VLOOKUP(B48,'S Summary'!$A$4:$AQ$23,'S Summary'!AM$1,FALSE)</f>
        <v>0</v>
      </c>
      <c r="F59" s="12">
        <f>IF(D59=0,0,IF(D48&lt;=D58,0,IF(D48&lt;=D59,D48-D58,D59-D58)))</f>
        <v>0</v>
      </c>
      <c r="G59" s="2">
        <f t="shared" si="2"/>
        <v>0</v>
      </c>
    </row>
    <row r="60" spans="1:7" x14ac:dyDescent="0.55000000000000004">
      <c r="A60" t="s">
        <v>416</v>
      </c>
      <c r="B60">
        <v>7</v>
      </c>
      <c r="C60" s="2">
        <f>VLOOKUP(B48,'S Summary'!$A$4:$AG$23,'S Summary'!J$1,FALSE)</f>
        <v>0</v>
      </c>
      <c r="D60" s="2">
        <f>VLOOKUP(B48,'S Summary'!$A$4:$AG$23,'S Summary'!T$1,FALSE)</f>
        <v>0</v>
      </c>
      <c r="E60" s="12">
        <f>VLOOKUP(B48,'S Summary'!$A$4:$AQ$23,'S Summary'!AN$1,FALSE)</f>
        <v>0</v>
      </c>
      <c r="F60" s="12">
        <f>IF(D60=0,0,IF(D48&lt;=D59,0,IF(D48&lt;=D60,D48-D59,D60-D59)))</f>
        <v>0</v>
      </c>
      <c r="G60" s="2">
        <f t="shared" si="2"/>
        <v>0</v>
      </c>
    </row>
    <row r="61" spans="1:7" x14ac:dyDescent="0.55000000000000004">
      <c r="A61" t="s">
        <v>417</v>
      </c>
      <c r="B61">
        <v>8</v>
      </c>
      <c r="C61" s="2">
        <f>VLOOKUP(B48,'S Summary'!$A$4:$AG$23,'S Summary'!K$1,FALSE)</f>
        <v>0</v>
      </c>
      <c r="D61" s="2">
        <f>VLOOKUP(B48,'S Summary'!$A$4:$AG$23,'S Summary'!U$1,FALSE)</f>
        <v>0</v>
      </c>
      <c r="E61" s="12">
        <f>VLOOKUP(B48,'S Summary'!$A$4:$AQ$23,'S Summary'!AO$1,FALSE)</f>
        <v>0</v>
      </c>
      <c r="F61" s="12">
        <f>IF(D61=0,0,IF(D48&lt;=D60,0,IF(D48&lt;=D61,D48-D60,D61-D60)))</f>
        <v>0</v>
      </c>
      <c r="G61" s="2">
        <f t="shared" si="2"/>
        <v>0</v>
      </c>
    </row>
    <row r="62" spans="1:7" x14ac:dyDescent="0.55000000000000004">
      <c r="A62" t="s">
        <v>418</v>
      </c>
      <c r="B62">
        <v>9</v>
      </c>
      <c r="C62" s="2">
        <f>VLOOKUP(B48,'S Summary'!$A$4:$AG$23,'S Summary'!L$1,FALSE)</f>
        <v>0</v>
      </c>
      <c r="D62" s="2">
        <f>VLOOKUP(B48,'S Summary'!$A$4:$AG$23,'S Summary'!V$1,FALSE)</f>
        <v>0</v>
      </c>
      <c r="E62" s="12">
        <f>VLOOKUP(B48,'S Summary'!$A$4:$AQ$23,'S Summary'!AP$1,FALSE)</f>
        <v>0</v>
      </c>
      <c r="F62" s="12">
        <f>IF(D62=0,0,IF(D48&lt;=D61,0,IF(D48&lt;=D62,D48-D61,D62-D61)))</f>
        <v>0</v>
      </c>
      <c r="G62" s="2">
        <f t="shared" si="2"/>
        <v>0</v>
      </c>
    </row>
    <row r="63" spans="1:7" x14ac:dyDescent="0.55000000000000004">
      <c r="A63" t="s">
        <v>419</v>
      </c>
      <c r="B63">
        <v>10</v>
      </c>
      <c r="C63" s="2">
        <f>VLOOKUP(B48,'S Summary'!$A$4:$AG$23,'S Summary'!M$1,FALSE)</f>
        <v>0</v>
      </c>
      <c r="D63" s="2">
        <f>VLOOKUP(B48,'S Summary'!$A$4:$AG$23,'S Summary'!W$1,FALSE)</f>
        <v>0</v>
      </c>
      <c r="E63" s="12">
        <f>VLOOKUP(B48,'S Summary'!$A$4:$AQ$23,'S Summary'!AQ$1,FALSE)</f>
        <v>0</v>
      </c>
      <c r="F63" s="12">
        <f>IF(D48&lt;=D62,0,D48-SUM(F54:F62))</f>
        <v>0</v>
      </c>
      <c r="G63" s="2">
        <f t="shared" si="2"/>
        <v>0</v>
      </c>
    </row>
    <row r="64" spans="1:7" x14ac:dyDescent="0.55000000000000004">
      <c r="A64" t="s">
        <v>423</v>
      </c>
      <c r="G64" s="5">
        <f ca="1">SUM(G54:G63)</f>
        <v>0</v>
      </c>
    </row>
    <row r="65" spans="1:7" x14ac:dyDescent="0.55000000000000004">
      <c r="A65" t="s">
        <v>379</v>
      </c>
      <c r="G65" s="5">
        <f>B49</f>
        <v>0</v>
      </c>
    </row>
    <row r="66" spans="1:7" x14ac:dyDescent="0.55000000000000004">
      <c r="A66" t="s">
        <v>424</v>
      </c>
      <c r="G66" s="5">
        <f ca="1">IFERROR(SUM(G64:G65),0)</f>
        <v>0</v>
      </c>
    </row>
    <row r="67" spans="1:7" x14ac:dyDescent="0.55000000000000004">
      <c r="A67" s="1"/>
      <c r="B67" s="1"/>
      <c r="C67" s="1"/>
    </row>
    <row r="68" spans="1:7" x14ac:dyDescent="0.55000000000000004">
      <c r="B68" s="1" t="s">
        <v>397</v>
      </c>
      <c r="C68" s="1" t="s">
        <v>99</v>
      </c>
      <c r="D68" s="1" t="s">
        <v>583</v>
      </c>
    </row>
    <row r="69" spans="1:7" x14ac:dyDescent="0.55000000000000004">
      <c r="A69" s="1" t="str">
        <f>Affordability!$D$30</f>
        <v xml:space="preserve">High Income </v>
      </c>
      <c r="B69" s="1" t="str">
        <f>Affordability!F30</f>
        <v>Domestic Flats</v>
      </c>
      <c r="C69" s="3">
        <f>IFERROR(VLOOKUP(B69,'2 Customer data'!$D$57:$L$76,9,0),0)</f>
        <v>0</v>
      </c>
      <c r="D69" s="1">
        <f>Affordability!F20</f>
        <v>0</v>
      </c>
    </row>
    <row r="70" spans="1:7" x14ac:dyDescent="0.55000000000000004">
      <c r="A70" t="s">
        <v>406</v>
      </c>
      <c r="B70" s="2">
        <f>IFERROR(VLOOKUP(B69,'S Summary'!$A$4:$AG$23,2,FALSE),0)</f>
        <v>0</v>
      </c>
    </row>
    <row r="72" spans="1:7" x14ac:dyDescent="0.55000000000000004">
      <c r="A72" t="s">
        <v>408</v>
      </c>
      <c r="B72" t="e">
        <f>VLOOKUP(B69,'S Summary'!$A$4:$AG$23,3,FALSE)</f>
        <v>#N/A</v>
      </c>
    </row>
    <row r="74" spans="1:7" ht="28.8" x14ac:dyDescent="0.55000000000000004">
      <c r="A74" s="9"/>
      <c r="B74" s="9"/>
      <c r="C74" s="9" t="s">
        <v>92</v>
      </c>
      <c r="D74" s="9" t="s">
        <v>420</v>
      </c>
      <c r="E74" s="11" t="s">
        <v>584</v>
      </c>
      <c r="F74" s="8" t="s">
        <v>444</v>
      </c>
      <c r="G74" s="8" t="s">
        <v>422</v>
      </c>
    </row>
    <row r="75" spans="1:7" x14ac:dyDescent="0.55000000000000004">
      <c r="A75" t="s">
        <v>410</v>
      </c>
      <c r="B75">
        <v>1</v>
      </c>
      <c r="C75" s="2" t="e">
        <f>VLOOKUP(B69,'S Summary'!$A$4:$AG$23,'S Summary'!D$1,FALSE)</f>
        <v>#N/A</v>
      </c>
      <c r="D75" s="2" t="e">
        <f>VLOOKUP(B69,'S Summary'!$A$4:$AG$23,'S Summary'!N$1,FALSE)</f>
        <v>#N/A</v>
      </c>
      <c r="E75" s="12" t="e">
        <f>VLOOKUP(B69,'S Summary'!$A$4:$AQ$23,'S Summary'!AH$1,FALSE)</f>
        <v>#N/A</v>
      </c>
      <c r="F75" s="12" t="e">
        <f>IF(D75=0,0,IF(D69&lt;=D75,D69,D75))</f>
        <v>#N/A</v>
      </c>
      <c r="G75" s="2" t="e">
        <f>E75*F75</f>
        <v>#N/A</v>
      </c>
    </row>
    <row r="76" spans="1:7" x14ac:dyDescent="0.55000000000000004">
      <c r="A76" t="s">
        <v>411</v>
      </c>
      <c r="B76">
        <v>2</v>
      </c>
      <c r="C76" s="2" t="e">
        <f>VLOOKUP(B69,'S Summary'!$A$4:$AG$23,'S Summary'!E$1,FALSE)</f>
        <v>#N/A</v>
      </c>
      <c r="D76" s="2" t="e">
        <f>VLOOKUP(B69,'S Summary'!$A$4:$AG$23,'S Summary'!O$1,FALSE)</f>
        <v>#N/A</v>
      </c>
      <c r="E76" s="12" t="e">
        <f>VLOOKUP(B69,'S Summary'!$A$4:$AQ$23,'S Summary'!AI$1,FALSE)</f>
        <v>#N/A</v>
      </c>
      <c r="F76" s="12" t="e">
        <f>IF(D76=0,0,IF(D69&lt;=D75,0,IF(D69&lt;=D76,D69-D75,D76-D75)))</f>
        <v>#N/A</v>
      </c>
      <c r="G76" s="2" t="e">
        <f t="shared" ref="G76:G84" si="3">E76*F76</f>
        <v>#N/A</v>
      </c>
    </row>
    <row r="77" spans="1:7" x14ac:dyDescent="0.55000000000000004">
      <c r="A77" t="s">
        <v>412</v>
      </c>
      <c r="B77">
        <v>3</v>
      </c>
      <c r="C77" s="2" t="e">
        <f>VLOOKUP(B69,'S Summary'!$A$4:$AG$23,'S Summary'!F$1,FALSE)</f>
        <v>#N/A</v>
      </c>
      <c r="D77" s="2" t="e">
        <f>VLOOKUP(B69,'S Summary'!$A$4:$AG$23,'S Summary'!P$1,FALSE)</f>
        <v>#N/A</v>
      </c>
      <c r="E77" s="12" t="e">
        <f>VLOOKUP(B69,'S Summary'!$A$4:$AQ$23,'S Summary'!AJ$1,FALSE)</f>
        <v>#N/A</v>
      </c>
      <c r="F77" s="12" t="e">
        <f>IF(D77=0,0,IF(D69&lt;=D76,0,IF(D69&lt;=D77,D69-D76,D77-D76)))</f>
        <v>#N/A</v>
      </c>
      <c r="G77" s="2" t="e">
        <f t="shared" si="3"/>
        <v>#N/A</v>
      </c>
    </row>
    <row r="78" spans="1:7" x14ac:dyDescent="0.55000000000000004">
      <c r="A78" t="s">
        <v>413</v>
      </c>
      <c r="B78">
        <v>4</v>
      </c>
      <c r="C78" s="2" t="e">
        <f>VLOOKUP(B69,'S Summary'!$A$4:$AG$23,'S Summary'!G$1,FALSE)</f>
        <v>#N/A</v>
      </c>
      <c r="D78" s="2" t="e">
        <f>VLOOKUP(B69,'S Summary'!$A$4:$AG$23,'S Summary'!Q$1,FALSE)</f>
        <v>#N/A</v>
      </c>
      <c r="E78" s="12" t="e">
        <f>VLOOKUP(B69,'S Summary'!$A$4:$AQ$23,'S Summary'!AK$1,FALSE)</f>
        <v>#N/A</v>
      </c>
      <c r="F78" s="12" t="e">
        <f>IF(D78=0,0,IF(D69&lt;=D77,0,IF(D69&lt;=D78,D69-D77,D78-D77)))</f>
        <v>#N/A</v>
      </c>
      <c r="G78" s="2" t="e">
        <f t="shared" si="3"/>
        <v>#N/A</v>
      </c>
    </row>
    <row r="79" spans="1:7" x14ac:dyDescent="0.55000000000000004">
      <c r="A79" t="s">
        <v>414</v>
      </c>
      <c r="B79">
        <v>5</v>
      </c>
      <c r="C79" s="2" t="e">
        <f>VLOOKUP(B69,'S Summary'!$A$4:$AG$23,'S Summary'!H$1,FALSE)</f>
        <v>#N/A</v>
      </c>
      <c r="D79" s="2" t="e">
        <f>VLOOKUP(B69,'S Summary'!$A$4:$AG$23,'S Summary'!R$1,FALSE)</f>
        <v>#N/A</v>
      </c>
      <c r="E79" s="12" t="e">
        <f>VLOOKUP(B69,'S Summary'!$A$4:$AQ$23,'S Summary'!AL$1,FALSE)</f>
        <v>#N/A</v>
      </c>
      <c r="F79" s="12" t="e">
        <f>IF(D79=0,0,IF(D69&lt;=D78,0,IF(D69&lt;=D79,D69-D78,D79-D78)))</f>
        <v>#N/A</v>
      </c>
      <c r="G79" s="2" t="e">
        <f t="shared" si="3"/>
        <v>#N/A</v>
      </c>
    </row>
    <row r="80" spans="1:7" x14ac:dyDescent="0.55000000000000004">
      <c r="A80" t="s">
        <v>415</v>
      </c>
      <c r="B80">
        <v>6</v>
      </c>
      <c r="C80" s="2" t="e">
        <f>VLOOKUP(B69,'S Summary'!$A$4:$AG$23,'S Summary'!I$1,FALSE)</f>
        <v>#N/A</v>
      </c>
      <c r="D80" s="2" t="e">
        <f>VLOOKUP(B69,'S Summary'!$A$4:$AG$23,'S Summary'!S$1,FALSE)</f>
        <v>#N/A</v>
      </c>
      <c r="E80" s="12" t="e">
        <f>VLOOKUP(B69,'S Summary'!$A$4:$AQ$23,'S Summary'!AM$1,FALSE)</f>
        <v>#N/A</v>
      </c>
      <c r="F80" s="12" t="e">
        <f>IF(D80=0,0,IF(D69&lt;=D79,0,IF(D69&lt;=D80,D69-D79,D80-D79)))</f>
        <v>#N/A</v>
      </c>
      <c r="G80" s="2" t="e">
        <f t="shared" si="3"/>
        <v>#N/A</v>
      </c>
    </row>
    <row r="81" spans="1:7" x14ac:dyDescent="0.55000000000000004">
      <c r="A81" t="s">
        <v>416</v>
      </c>
      <c r="B81">
        <v>7</v>
      </c>
      <c r="C81" s="2" t="e">
        <f>VLOOKUP(B69,'S Summary'!$A$4:$AG$23,'S Summary'!J$1,FALSE)</f>
        <v>#N/A</v>
      </c>
      <c r="D81" s="2" t="e">
        <f>VLOOKUP(B69,'S Summary'!$A$4:$AG$23,'S Summary'!T$1,FALSE)</f>
        <v>#N/A</v>
      </c>
      <c r="E81" s="12" t="e">
        <f>VLOOKUP(B69,'S Summary'!$A$4:$AQ$23,'S Summary'!AN$1,FALSE)</f>
        <v>#N/A</v>
      </c>
      <c r="F81" s="12" t="e">
        <f>IF(D81=0,0,IF(D69&lt;=D80,0,IF(D69&lt;=D81,D69-D80,D81-D80)))</f>
        <v>#N/A</v>
      </c>
      <c r="G81" s="2" t="e">
        <f t="shared" si="3"/>
        <v>#N/A</v>
      </c>
    </row>
    <row r="82" spans="1:7" x14ac:dyDescent="0.55000000000000004">
      <c r="A82" t="s">
        <v>417</v>
      </c>
      <c r="B82">
        <v>8</v>
      </c>
      <c r="C82" s="2" t="e">
        <f>VLOOKUP(B69,'S Summary'!$A$4:$AG$23,'S Summary'!K$1,FALSE)</f>
        <v>#N/A</v>
      </c>
      <c r="D82" s="2" t="e">
        <f>VLOOKUP(B69,'S Summary'!$A$4:$AG$23,'S Summary'!U$1,FALSE)</f>
        <v>#N/A</v>
      </c>
      <c r="E82" s="12" t="e">
        <f>VLOOKUP(B69,'S Summary'!$A$4:$AQ$23,'S Summary'!AO$1,FALSE)</f>
        <v>#N/A</v>
      </c>
      <c r="F82" s="12" t="e">
        <f>IF(D82=0,0,IF(D69&lt;=D81,0,IF(D69&lt;=D82,D69-D81,D82-D81)))</f>
        <v>#N/A</v>
      </c>
      <c r="G82" s="2" t="e">
        <f t="shared" si="3"/>
        <v>#N/A</v>
      </c>
    </row>
    <row r="83" spans="1:7" x14ac:dyDescent="0.55000000000000004">
      <c r="A83" t="s">
        <v>418</v>
      </c>
      <c r="B83">
        <v>9</v>
      </c>
      <c r="C83" s="2" t="e">
        <f>VLOOKUP(B69,'S Summary'!$A$4:$AG$23,'S Summary'!L$1,FALSE)</f>
        <v>#N/A</v>
      </c>
      <c r="D83" s="2" t="e">
        <f>VLOOKUP(B69,'S Summary'!$A$4:$AG$23,'S Summary'!V$1,FALSE)</f>
        <v>#N/A</v>
      </c>
      <c r="E83" s="12" t="e">
        <f>VLOOKUP(B69,'S Summary'!$A$4:$AQ$23,'S Summary'!AP$1,FALSE)</f>
        <v>#N/A</v>
      </c>
      <c r="F83" s="12" t="e">
        <f>IF(D83=0,0,IF(D69&lt;=D82,0,IF(D69&lt;=D83,D69-D82,D83-D82)))</f>
        <v>#N/A</v>
      </c>
      <c r="G83" s="2" t="e">
        <f t="shared" si="3"/>
        <v>#N/A</v>
      </c>
    </row>
    <row r="84" spans="1:7" x14ac:dyDescent="0.55000000000000004">
      <c r="A84" t="s">
        <v>419</v>
      </c>
      <c r="B84">
        <v>10</v>
      </c>
      <c r="C84" s="2" t="e">
        <f>VLOOKUP(B69,'S Summary'!$A$4:$AG$23,'S Summary'!M$1,FALSE)</f>
        <v>#N/A</v>
      </c>
      <c r="D84" s="2" t="e">
        <f>VLOOKUP(B69,'S Summary'!$A$4:$AG$23,'S Summary'!W$1,FALSE)</f>
        <v>#N/A</v>
      </c>
      <c r="E84" s="12" t="e">
        <f>VLOOKUP(B69,'S Summary'!$A$4:$AQ$23,'S Summary'!AQ$1,FALSE)</f>
        <v>#N/A</v>
      </c>
      <c r="F84" s="12" t="e">
        <f>IF(D69&lt;=D83,0,D69-SUM(F75:F83))</f>
        <v>#N/A</v>
      </c>
      <c r="G84" s="2" t="e">
        <f t="shared" si="3"/>
        <v>#N/A</v>
      </c>
    </row>
    <row r="85" spans="1:7" x14ac:dyDescent="0.55000000000000004">
      <c r="A85" t="s">
        <v>423</v>
      </c>
      <c r="G85" s="5" t="e">
        <f>SUM(G75:G84)</f>
        <v>#N/A</v>
      </c>
    </row>
    <row r="86" spans="1:7" x14ac:dyDescent="0.55000000000000004">
      <c r="A86" t="s">
        <v>379</v>
      </c>
      <c r="G86" s="5">
        <f>B70</f>
        <v>0</v>
      </c>
    </row>
    <row r="87" spans="1:7" x14ac:dyDescent="0.55000000000000004">
      <c r="A87" t="s">
        <v>424</v>
      </c>
      <c r="G87" s="5">
        <f>IFERROR(SUM(G85:G86),0)</f>
        <v>0</v>
      </c>
    </row>
  </sheetData>
  <sheetProtection sheet="1" objects="1" scenarios="1"/>
  <pageMargins left="0.7" right="0.7" top="0.75" bottom="0.75" header="0.3" footer="0.3"/>
  <pageSetup paperSize="9" orientation="portrait" r:id="rId1"/>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D6C499-DB44-4DED-85AA-BFA06E8C127C}">
  <sheetPr codeName="Sheet33"/>
  <dimension ref="A1:N73"/>
  <sheetViews>
    <sheetView workbookViewId="0"/>
  </sheetViews>
  <sheetFormatPr defaultRowHeight="14.4" x14ac:dyDescent="0.55000000000000004"/>
  <cols>
    <col min="1" max="1" width="27.7890625" customWidth="1"/>
    <col min="2" max="2" width="16.7890625" customWidth="1"/>
    <col min="3" max="10" width="14.7890625" customWidth="1"/>
    <col min="11" max="11" width="15.20703125" customWidth="1"/>
  </cols>
  <sheetData>
    <row r="1" spans="1:14" x14ac:dyDescent="0.55000000000000004">
      <c r="A1" s="1" t="s">
        <v>426</v>
      </c>
    </row>
    <row r="3" spans="1:14" x14ac:dyDescent="0.55000000000000004">
      <c r="B3" s="1" t="s">
        <v>397</v>
      </c>
      <c r="C3" s="1" t="s">
        <v>405</v>
      </c>
    </row>
    <row r="4" spans="1:14" x14ac:dyDescent="0.55000000000000004">
      <c r="A4" s="1" t="str">
        <f>Affordability!D37</f>
        <v>Indigent</v>
      </c>
      <c r="B4" s="1" t="str">
        <f>Affordability!G27</f>
        <v>Indigents</v>
      </c>
      <c r="C4" s="1">
        <f>Affordability!G17</f>
        <v>0</v>
      </c>
    </row>
    <row r="5" spans="1:14" x14ac:dyDescent="0.55000000000000004">
      <c r="A5" t="s">
        <v>406</v>
      </c>
      <c r="B5" s="2" t="e">
        <f>VLOOKUP(B4,'E Summary'!$A$3:$AC$23,2,FALSE)</f>
        <v>#N/A</v>
      </c>
    </row>
    <row r="6" spans="1:14" x14ac:dyDescent="0.55000000000000004">
      <c r="A6" t="s">
        <v>399</v>
      </c>
      <c r="B6" s="2" t="e">
        <f>VLOOKUP(B4,'E Summary'!$A$3:$AC$23,3,FALSE)</f>
        <v>#N/A</v>
      </c>
      <c r="M6" t="s">
        <v>89</v>
      </c>
      <c r="N6" t="s">
        <v>90</v>
      </c>
    </row>
    <row r="7" spans="1:14" x14ac:dyDescent="0.55000000000000004">
      <c r="A7" t="s">
        <v>442</v>
      </c>
      <c r="B7" s="2" t="e">
        <f>VLOOKUP(A4,Affordability!$D$37:$F$40,2,FALSE)</f>
        <v>#N/A</v>
      </c>
    </row>
    <row r="8" spans="1:14" x14ac:dyDescent="0.55000000000000004">
      <c r="A8" t="s">
        <v>408</v>
      </c>
      <c r="B8" t="e">
        <f>VLOOKUP(B4,'E Summary'!$A$4:$AC$23,4,FALSE)</f>
        <v>#N/A</v>
      </c>
      <c r="N8" t="s">
        <v>439</v>
      </c>
    </row>
    <row r="9" spans="1:14" x14ac:dyDescent="0.55000000000000004">
      <c r="N9" t="s">
        <v>440</v>
      </c>
    </row>
    <row r="10" spans="1:14" ht="28.8" x14ac:dyDescent="0.55000000000000004">
      <c r="A10" s="9"/>
      <c r="B10" s="9"/>
      <c r="C10" s="9" t="s">
        <v>92</v>
      </c>
      <c r="D10" s="9" t="s">
        <v>420</v>
      </c>
      <c r="E10" s="9" t="e">
        <f>IF(B6=M6,"Annual Tariff","N/A")</f>
        <v>#N/A</v>
      </c>
      <c r="F10" s="8" t="s">
        <v>436</v>
      </c>
      <c r="G10" s="8" t="s">
        <v>437</v>
      </c>
      <c r="H10" s="8" t="s">
        <v>421</v>
      </c>
      <c r="I10" s="8" t="e">
        <f>IF($B$6=$M$6,"Monthly charge","N/A")</f>
        <v>#N/A</v>
      </c>
      <c r="J10" s="8" t="e">
        <f>IF($B$6&lt;&gt;$M$6,"High Season Monthly Charge","N/A")</f>
        <v>#N/A</v>
      </c>
      <c r="K10" s="8" t="e">
        <f>IF($B$6&lt;&gt;$M$6,"Low Season Monthly Charge","N/A")</f>
        <v>#N/A</v>
      </c>
    </row>
    <row r="11" spans="1:14" x14ac:dyDescent="0.55000000000000004">
      <c r="A11" t="s">
        <v>410</v>
      </c>
      <c r="B11">
        <v>1</v>
      </c>
      <c r="C11" s="2" t="e">
        <f>VLOOKUP(B4,'E Summary'!$A$4:$AC$23,'E Summary'!E$1,FALSE)</f>
        <v>#N/A</v>
      </c>
      <c r="D11" s="2" t="e">
        <f>VLOOKUP(B4,'E Summary'!$A$4:$AC$23,'E Summary'!J$1,FALSE)</f>
        <v>#N/A</v>
      </c>
      <c r="E11" s="2" t="e">
        <f>IF(B6=M6,VLOOKUP(B4,'E Summary'!$A$4:$AC$23,'E Summary'!O$1,FALSE),0)</f>
        <v>#N/A</v>
      </c>
      <c r="F11" s="2" t="e">
        <f>IF(B6=M6,0,VLOOKUP(B4,'E Summary'!$A$4:$AC$23,'E Summary'!T$1,FALSE))</f>
        <v>#N/A</v>
      </c>
      <c r="G11" s="2" t="e">
        <f>IF(B6=M6,0,VLOOKUP(B4,'E Summary'!$A$4:$AC$23,'E Summary'!Y$1,FALSE))</f>
        <v>#N/A</v>
      </c>
      <c r="H11" s="12" t="e">
        <f>IF(D11=0,0,IF(C4&lt;=D11,C4,D11))</f>
        <v>#N/A</v>
      </c>
      <c r="I11" s="2" t="e">
        <f>E11*$H11</f>
        <v>#N/A</v>
      </c>
      <c r="J11" s="2" t="e">
        <f>F11*$H11</f>
        <v>#N/A</v>
      </c>
      <c r="K11" s="2" t="e">
        <f>G11*$H11</f>
        <v>#N/A</v>
      </c>
    </row>
    <row r="12" spans="1:14" x14ac:dyDescent="0.55000000000000004">
      <c r="A12" t="s">
        <v>411</v>
      </c>
      <c r="B12">
        <v>2</v>
      </c>
      <c r="C12" s="2" t="e">
        <f>VLOOKUP(B4,'E Summary'!$A$4:$AC$23,'E Summary'!F$1,FALSE)</f>
        <v>#N/A</v>
      </c>
      <c r="D12" s="2" t="e">
        <f>VLOOKUP(B4,'E Summary'!$A$4:$AC$23,'E Summary'!K$1,FALSE)</f>
        <v>#N/A</v>
      </c>
      <c r="E12" s="2" t="e">
        <f>IF(B6=M6,VLOOKUP(B4,'E Summary'!$A$4:$AC$23,'E Summary'!P$1,FALSE),0)</f>
        <v>#N/A</v>
      </c>
      <c r="F12" s="2" t="e">
        <f>IF(B6=M6,0,VLOOKUP(B4,'E Summary'!$A$4:$AC$23,'E Summary'!U$1,FALSE))</f>
        <v>#N/A</v>
      </c>
      <c r="G12" s="2" t="e">
        <f>IF(B6=M6,0,VLOOKUP(B4,'E Summary'!$A$4:$AC$23,'E Summary'!Z$1,FALSE))</f>
        <v>#N/A</v>
      </c>
      <c r="H12" s="12" t="e">
        <f>IF(D12=0,0,IF($C$4&lt;=D11,0,IF($C$4&lt;=D12,$C$4-D11,D12-D11)))</f>
        <v>#N/A</v>
      </c>
      <c r="I12" s="2" t="e">
        <f t="shared" ref="I12:K15" si="0">E12*$H12</f>
        <v>#N/A</v>
      </c>
      <c r="J12" s="2" t="e">
        <f t="shared" si="0"/>
        <v>#N/A</v>
      </c>
      <c r="K12" s="2" t="e">
        <f t="shared" si="0"/>
        <v>#N/A</v>
      </c>
    </row>
    <row r="13" spans="1:14" x14ac:dyDescent="0.55000000000000004">
      <c r="A13" t="s">
        <v>412</v>
      </c>
      <c r="B13">
        <v>3</v>
      </c>
      <c r="C13" s="2" t="e">
        <f>VLOOKUP(B4,'E Summary'!$A$4:$AC$23,'E Summary'!G$1,FALSE)</f>
        <v>#N/A</v>
      </c>
      <c r="D13" s="2" t="e">
        <f>VLOOKUP(B4,'E Summary'!$A$4:$AC$23,'E Summary'!L$1,FALSE)</f>
        <v>#N/A</v>
      </c>
      <c r="E13" s="2" t="e">
        <f>IF(B6=M6,VLOOKUP(B4,'E Summary'!$A$4:$AC$23,'E Summary'!Q$1,FALSE),0)</f>
        <v>#N/A</v>
      </c>
      <c r="F13" s="2" t="e">
        <f>IF(B6=M6,0,VLOOKUP(B4,'E Summary'!$A$4:$AC$23,'E Summary'!V$1,FALSE))</f>
        <v>#N/A</v>
      </c>
      <c r="G13" s="2" t="e">
        <f>IF(B6=M6,0,VLOOKUP(B4,'E Summary'!$A$4:$AC$23,'E Summary'!AA$1,FALSE))</f>
        <v>#N/A</v>
      </c>
      <c r="H13" s="12" t="e">
        <f>IF(D13=0,0,IF($C$4&lt;=D12,0,IF($C$4&lt;=D13,$C$4-D12,D13-D12)))</f>
        <v>#N/A</v>
      </c>
      <c r="I13" s="2" t="e">
        <f t="shared" si="0"/>
        <v>#N/A</v>
      </c>
      <c r="J13" s="2" t="e">
        <f t="shared" si="0"/>
        <v>#N/A</v>
      </c>
      <c r="K13" s="2" t="e">
        <f t="shared" si="0"/>
        <v>#N/A</v>
      </c>
    </row>
    <row r="14" spans="1:14" x14ac:dyDescent="0.55000000000000004">
      <c r="A14" t="s">
        <v>413</v>
      </c>
      <c r="B14">
        <v>4</v>
      </c>
      <c r="C14" s="2" t="e">
        <f>VLOOKUP(B4,'E Summary'!$A$4:$AC$23,'E Summary'!H$1,FALSE)</f>
        <v>#N/A</v>
      </c>
      <c r="D14" s="2" t="e">
        <f>VLOOKUP(B4,'E Summary'!$A$4:$AC$23,'E Summary'!M$1,FALSE)</f>
        <v>#N/A</v>
      </c>
      <c r="E14" s="2" t="e">
        <f>IF(B6=M6,VLOOKUP(B4,'E Summary'!$A$4:$AC$23,'E Summary'!R$1,FALSE),0)</f>
        <v>#N/A</v>
      </c>
      <c r="F14" s="2" t="e">
        <f>IF(B6=M6,0,VLOOKUP(B4,'E Summary'!$A$4:$AC$23,'E Summary'!W$1,FALSE))</f>
        <v>#N/A</v>
      </c>
      <c r="G14" s="2" t="e">
        <f>IF(B6=M6,0,VLOOKUP(B4,'E Summary'!$A$4:$AC$23,'E Summary'!AB$1,FALSE))</f>
        <v>#N/A</v>
      </c>
      <c r="H14" s="12" t="e">
        <f>IF(D14=0,0,IF($C$4&lt;=D13,0,IF($C$4&lt;=D14,$C$4-D13,D14-D13)))</f>
        <v>#N/A</v>
      </c>
      <c r="I14" s="2" t="e">
        <f t="shared" si="0"/>
        <v>#N/A</v>
      </c>
      <c r="J14" s="2" t="e">
        <f t="shared" si="0"/>
        <v>#N/A</v>
      </c>
      <c r="K14" s="2" t="e">
        <f t="shared" si="0"/>
        <v>#N/A</v>
      </c>
    </row>
    <row r="15" spans="1:14" x14ac:dyDescent="0.55000000000000004">
      <c r="A15" t="s">
        <v>414</v>
      </c>
      <c r="B15">
        <v>5</v>
      </c>
      <c r="C15" s="2" t="e">
        <f>VLOOKUP(B4,'E Summary'!$A$4:$AC$23,'E Summary'!I$1,FALSE)</f>
        <v>#N/A</v>
      </c>
      <c r="D15" s="2" t="e">
        <f>VLOOKUP(B4,'E Summary'!$A$4:$AC$23,'E Summary'!N$1,FALSE)</f>
        <v>#N/A</v>
      </c>
      <c r="E15" s="2" t="e">
        <f>IF(B6=M6,VLOOKUP(B4,'E Summary'!$A$4:$AC$23,'E Summary'!S$1,FALSE),0)</f>
        <v>#N/A</v>
      </c>
      <c r="F15" s="2" t="e">
        <f>IF(B6=M6,0,VLOOKUP(B4,'E Summary'!$A$4:$AC$23,'E Summary'!X$1,FALSE))</f>
        <v>#N/A</v>
      </c>
      <c r="G15" s="2" t="e">
        <f>IF(B6=M6,0,VLOOKUP(B4,'E Summary'!$A$4:$AC$23,'E Summary'!AC$1,FALSE))</f>
        <v>#N/A</v>
      </c>
      <c r="H15" s="12" t="e">
        <f>IF(C4&lt;=F14,0,C4-SUM(H11:H14))</f>
        <v>#N/A</v>
      </c>
      <c r="I15" s="2" t="e">
        <f t="shared" si="0"/>
        <v>#N/A</v>
      </c>
      <c r="J15" s="2" t="e">
        <f t="shared" si="0"/>
        <v>#N/A</v>
      </c>
      <c r="K15" s="2" t="e">
        <f t="shared" si="0"/>
        <v>#N/A</v>
      </c>
    </row>
    <row r="16" spans="1:14" x14ac:dyDescent="0.55000000000000004">
      <c r="C16" s="2"/>
      <c r="D16" s="2"/>
      <c r="E16" s="2"/>
      <c r="F16" s="2"/>
      <c r="G16" s="2"/>
      <c r="H16" s="2"/>
      <c r="I16" s="2" t="e">
        <f>SUM(I11:I15)</f>
        <v>#N/A</v>
      </c>
      <c r="J16" s="2" t="e">
        <f>SUM(J11:J15)</f>
        <v>#N/A</v>
      </c>
      <c r="K16" s="2" t="e">
        <f>SUM(K11:K15)</f>
        <v>#N/A</v>
      </c>
    </row>
    <row r="17" spans="1:14" x14ac:dyDescent="0.55000000000000004">
      <c r="A17" t="s">
        <v>423</v>
      </c>
      <c r="B17" s="5" t="e">
        <f>IF(B7=M6,I16,IF(B7=N8,J16,K16))</f>
        <v>#N/A</v>
      </c>
      <c r="J17" s="5"/>
    </row>
    <row r="18" spans="1:14" x14ac:dyDescent="0.55000000000000004">
      <c r="A18" t="s">
        <v>379</v>
      </c>
      <c r="B18" s="5" t="e">
        <f>B5</f>
        <v>#N/A</v>
      </c>
      <c r="J18" s="5"/>
    </row>
    <row r="19" spans="1:14" x14ac:dyDescent="0.55000000000000004">
      <c r="A19" t="s">
        <v>424</v>
      </c>
      <c r="B19" s="5">
        <f>IFERROR(SUM(B17:B18),0)</f>
        <v>0</v>
      </c>
      <c r="J19" s="5"/>
    </row>
    <row r="21" spans="1:14" x14ac:dyDescent="0.55000000000000004">
      <c r="B21" s="1" t="s">
        <v>397</v>
      </c>
      <c r="C21" s="1" t="s">
        <v>405</v>
      </c>
    </row>
    <row r="22" spans="1:14" x14ac:dyDescent="0.55000000000000004">
      <c r="A22" s="1" t="str">
        <f>Affordability!$D$28</f>
        <v xml:space="preserve">Low Income </v>
      </c>
      <c r="B22" s="1" t="str">
        <f>Affordability!G28</f>
        <v>Domestic</v>
      </c>
      <c r="C22" s="1">
        <f>Affordability!G18</f>
        <v>0</v>
      </c>
    </row>
    <row r="23" spans="1:14" x14ac:dyDescent="0.55000000000000004">
      <c r="A23" t="s">
        <v>406</v>
      </c>
      <c r="B23" s="2">
        <f>VLOOKUP(B22,'E Summary'!$A$3:$AC$23,2,FALSE)</f>
        <v>0</v>
      </c>
    </row>
    <row r="24" spans="1:14" x14ac:dyDescent="0.55000000000000004">
      <c r="A24" t="s">
        <v>399</v>
      </c>
      <c r="B24" s="2" t="str">
        <f>VLOOKUP(B22,'E Summary'!$A$3:$AC$23,3,FALSE)</f>
        <v xml:space="preserve">Annual </v>
      </c>
      <c r="M24" t="s">
        <v>89</v>
      </c>
      <c r="N24" t="s">
        <v>90</v>
      </c>
    </row>
    <row r="25" spans="1:14" x14ac:dyDescent="0.55000000000000004">
      <c r="A25" t="s">
        <v>442</v>
      </c>
      <c r="B25" s="2" t="str">
        <f>VLOOKUP(A22,Affordability!$D$37:$F$40,2,FALSE)</f>
        <v xml:space="preserve">Annual </v>
      </c>
    </row>
    <row r="26" spans="1:14" x14ac:dyDescent="0.55000000000000004">
      <c r="A26" t="s">
        <v>408</v>
      </c>
      <c r="B26">
        <f>VLOOKUP(B22,'E Summary'!$A$4:$AC$23,4,FALSE)</f>
        <v>1</v>
      </c>
      <c r="N26" t="s">
        <v>439</v>
      </c>
    </row>
    <row r="27" spans="1:14" x14ac:dyDescent="0.55000000000000004">
      <c r="N27" t="s">
        <v>440</v>
      </c>
    </row>
    <row r="28" spans="1:14" ht="28.8" x14ac:dyDescent="0.55000000000000004">
      <c r="A28" s="9"/>
      <c r="B28" s="9"/>
      <c r="C28" s="9" t="s">
        <v>92</v>
      </c>
      <c r="D28" s="9" t="s">
        <v>420</v>
      </c>
      <c r="E28" s="9" t="str">
        <f>IF(B24=M24,"Annual Tariff","N/A")</f>
        <v>Annual Tariff</v>
      </c>
      <c r="F28" s="8" t="s">
        <v>436</v>
      </c>
      <c r="G28" s="8" t="s">
        <v>437</v>
      </c>
      <c r="H28" s="8" t="s">
        <v>421</v>
      </c>
      <c r="I28" s="8" t="e">
        <f>IF($B$6=$M$6,"Monthly charge","N/A")</f>
        <v>#N/A</v>
      </c>
      <c r="J28" s="8" t="e">
        <f>IF($B$6&lt;&gt;$M$6,"High Season Monthly Charge","N/A")</f>
        <v>#N/A</v>
      </c>
      <c r="K28" s="8" t="e">
        <f>IF($B$6&lt;&gt;$M$6,"Low Season Monthly Charge","N/A")</f>
        <v>#N/A</v>
      </c>
    </row>
    <row r="29" spans="1:14" x14ac:dyDescent="0.55000000000000004">
      <c r="A29" t="s">
        <v>410</v>
      </c>
      <c r="B29">
        <v>1</v>
      </c>
      <c r="C29" s="2">
        <f>VLOOKUP(B22,'E Summary'!$A$4:$AC$23,'E Summary'!E$1,FALSE)</f>
        <v>0</v>
      </c>
      <c r="D29" s="2">
        <f>VLOOKUP(B22,'E Summary'!$A$4:$AC$23,'E Summary'!J$1,FALSE)</f>
        <v>0</v>
      </c>
      <c r="E29" s="2">
        <f ca="1">IF(B24=M24,VLOOKUP(B22,'E Summary'!$A$4:$AC$23,'E Summary'!O$1,FALSE),0)</f>
        <v>14.878552585771075</v>
      </c>
      <c r="F29" s="2">
        <f>IF(B24=M24,0,VLOOKUP(B22,'E Summary'!$A$4:$AC$23,'E Summary'!T$1,FALSE))</f>
        <v>0</v>
      </c>
      <c r="G29" s="2">
        <f>IF(B24=M24,0,VLOOKUP(B22,'E Summary'!$A$4:$AC$23,'E Summary'!Y$1,FALSE))</f>
        <v>0</v>
      </c>
      <c r="H29" s="12">
        <f>IF(D29=0,0,IF(C22&lt;=D29,C22,D29))</f>
        <v>0</v>
      </c>
      <c r="I29" s="2">
        <f t="shared" ref="I29:K33" ca="1" si="1">E29*$H29</f>
        <v>0</v>
      </c>
      <c r="J29" s="2">
        <f t="shared" si="1"/>
        <v>0</v>
      </c>
      <c r="K29" s="2">
        <f t="shared" si="1"/>
        <v>0</v>
      </c>
    </row>
    <row r="30" spans="1:14" x14ac:dyDescent="0.55000000000000004">
      <c r="A30" t="s">
        <v>411</v>
      </c>
      <c r="B30">
        <v>2</v>
      </c>
      <c r="C30" s="2">
        <f>VLOOKUP(B22,'E Summary'!$A$4:$AC$23,'E Summary'!F$1,FALSE)</f>
        <v>0</v>
      </c>
      <c r="D30" s="2">
        <f>VLOOKUP(B22,'E Summary'!$A$4:$AC$23,'E Summary'!K$1,FALSE)</f>
        <v>0</v>
      </c>
      <c r="E30" s="2">
        <f>IF(B24=M24,VLOOKUP(B22,'E Summary'!$A$4:$AC$23,'E Summary'!P$1,FALSE),0)</f>
        <v>0</v>
      </c>
      <c r="F30" s="2">
        <f>IF(B24=M24,0,VLOOKUP(B22,'E Summary'!$A$4:$AC$23,'E Summary'!U$1,FALSE))</f>
        <v>0</v>
      </c>
      <c r="G30" s="2">
        <f>IF(B24=M24,0,VLOOKUP(B22,'E Summary'!$A$4:$AC$23,'E Summary'!Z$1,FALSE))</f>
        <v>0</v>
      </c>
      <c r="H30" s="12">
        <f>IF(D30=0,0,IF($C$4&lt;=D29,0,IF($C$4&lt;=D30,$C$4-D29,D30-D29)))</f>
        <v>0</v>
      </c>
      <c r="I30" s="2">
        <f t="shared" si="1"/>
        <v>0</v>
      </c>
      <c r="J30" s="2">
        <f t="shared" si="1"/>
        <v>0</v>
      </c>
      <c r="K30" s="2">
        <f t="shared" si="1"/>
        <v>0</v>
      </c>
    </row>
    <row r="31" spans="1:14" x14ac:dyDescent="0.55000000000000004">
      <c r="A31" t="s">
        <v>412</v>
      </c>
      <c r="B31">
        <v>3</v>
      </c>
      <c r="C31" s="2">
        <f>VLOOKUP(B22,'E Summary'!$A$4:$AC$23,'E Summary'!G$1,FALSE)</f>
        <v>0</v>
      </c>
      <c r="D31" s="2">
        <f>VLOOKUP(B22,'E Summary'!$A$4:$AC$23,'E Summary'!L$1,FALSE)</f>
        <v>0</v>
      </c>
      <c r="E31" s="2">
        <f>IF(B24=M24,VLOOKUP(B22,'E Summary'!$A$4:$AC$23,'E Summary'!Q$1,FALSE),0)</f>
        <v>0</v>
      </c>
      <c r="F31" s="2">
        <f>IF(B24=M24,0,VLOOKUP(B22,'E Summary'!$A$4:$AC$23,'E Summary'!V$1,FALSE))</f>
        <v>0</v>
      </c>
      <c r="G31" s="2">
        <f>IF(B24=M24,0,VLOOKUP(B22,'E Summary'!$A$4:$AC$23,'E Summary'!AA$1,FALSE))</f>
        <v>0</v>
      </c>
      <c r="H31" s="12">
        <f>IF(D31=0,0,IF($C$4&lt;=D30,0,IF($C$4&lt;=D31,$C$4-D30,D31-D30)))</f>
        <v>0</v>
      </c>
      <c r="I31" s="2">
        <f t="shared" si="1"/>
        <v>0</v>
      </c>
      <c r="J31" s="2">
        <f t="shared" si="1"/>
        <v>0</v>
      </c>
      <c r="K31" s="2">
        <f t="shared" si="1"/>
        <v>0</v>
      </c>
    </row>
    <row r="32" spans="1:14" x14ac:dyDescent="0.55000000000000004">
      <c r="A32" t="s">
        <v>413</v>
      </c>
      <c r="B32">
        <v>4</v>
      </c>
      <c r="C32" s="2">
        <f>VLOOKUP(B22,'E Summary'!$A$4:$AC$23,'E Summary'!H$1,FALSE)</f>
        <v>0</v>
      </c>
      <c r="D32" s="2">
        <f>VLOOKUP(B22,'E Summary'!$A$4:$AC$23,'E Summary'!M$1,FALSE)</f>
        <v>0</v>
      </c>
      <c r="E32" s="2">
        <f>IF(B24=M24,VLOOKUP(B22,'E Summary'!$A$4:$AC$23,'E Summary'!R$1,FALSE),0)</f>
        <v>0</v>
      </c>
      <c r="F32" s="2">
        <f>IF(B24=M24,0,VLOOKUP(B22,'E Summary'!$A$4:$AC$23,'E Summary'!W$1,FALSE))</f>
        <v>0</v>
      </c>
      <c r="G32" s="2">
        <f>IF(B24=M24,0,VLOOKUP(B22,'E Summary'!$A$4:$AC$23,'E Summary'!AB$1,FALSE))</f>
        <v>0</v>
      </c>
      <c r="H32" s="12">
        <f>IF(D32=0,0,IF($C$4&lt;=D31,0,IF($C$4&lt;=D32,$C$4-D31,D32-D31)))</f>
        <v>0</v>
      </c>
      <c r="I32" s="2">
        <f t="shared" si="1"/>
        <v>0</v>
      </c>
      <c r="J32" s="2">
        <f t="shared" si="1"/>
        <v>0</v>
      </c>
      <c r="K32" s="2">
        <f t="shared" si="1"/>
        <v>0</v>
      </c>
    </row>
    <row r="33" spans="1:14" x14ac:dyDescent="0.55000000000000004">
      <c r="A33" t="s">
        <v>414</v>
      </c>
      <c r="B33">
        <v>5</v>
      </c>
      <c r="C33" s="2">
        <f>VLOOKUP(B22,'E Summary'!$A$4:$AC$23,'E Summary'!I$1,FALSE)</f>
        <v>0</v>
      </c>
      <c r="D33" s="2">
        <f>VLOOKUP(B22,'E Summary'!$A$4:$AC$23,'E Summary'!N$1,FALSE)</f>
        <v>0</v>
      </c>
      <c r="E33" s="2">
        <f>IF(B24=M24,VLOOKUP(B22,'E Summary'!$A$4:$AC$23,'E Summary'!S$1,FALSE),0)</f>
        <v>0</v>
      </c>
      <c r="F33" s="2">
        <f>IF(B24=M24,0,VLOOKUP(B22,'E Summary'!$A$4:$AC$23,'E Summary'!X$1,FALSE))</f>
        <v>0</v>
      </c>
      <c r="G33" s="2">
        <f>IF(B24=M24,0,VLOOKUP(B22,'E Summary'!$A$4:$AC$23,'E Summary'!AC$1,FALSE))</f>
        <v>0</v>
      </c>
      <c r="H33" s="12">
        <f>IF(C22&lt;=F32,0,C22-SUM(H29:H32))</f>
        <v>0</v>
      </c>
      <c r="I33" s="2">
        <f t="shared" si="1"/>
        <v>0</v>
      </c>
      <c r="J33" s="2">
        <f t="shared" si="1"/>
        <v>0</v>
      </c>
      <c r="K33" s="2">
        <f t="shared" si="1"/>
        <v>0</v>
      </c>
    </row>
    <row r="34" spans="1:14" x14ac:dyDescent="0.55000000000000004">
      <c r="C34" s="2"/>
      <c r="D34" s="2"/>
      <c r="E34" s="2"/>
      <c r="F34" s="2"/>
      <c r="G34" s="2"/>
      <c r="H34" s="2"/>
      <c r="I34" s="2">
        <f ca="1">SUM(I29:I33)</f>
        <v>0</v>
      </c>
      <c r="J34" s="2">
        <f>SUM(J29:J33)</f>
        <v>0</v>
      </c>
      <c r="K34" s="2">
        <f>SUM(K29:K33)</f>
        <v>0</v>
      </c>
    </row>
    <row r="35" spans="1:14" x14ac:dyDescent="0.55000000000000004">
      <c r="A35" t="s">
        <v>423</v>
      </c>
      <c r="B35" s="5">
        <f ca="1">IF(B25=M24,I34,IF(B25=N26,J34,K34))</f>
        <v>0</v>
      </c>
      <c r="J35" s="5"/>
    </row>
    <row r="36" spans="1:14" x14ac:dyDescent="0.55000000000000004">
      <c r="A36" t="s">
        <v>379</v>
      </c>
      <c r="B36" s="5">
        <f>B23</f>
        <v>0</v>
      </c>
      <c r="J36" s="5"/>
    </row>
    <row r="37" spans="1:14" x14ac:dyDescent="0.55000000000000004">
      <c r="A37" t="s">
        <v>424</v>
      </c>
      <c r="B37" s="5">
        <f ca="1">IFERROR(SUM(B35:B36),0)</f>
        <v>0</v>
      </c>
      <c r="J37" s="5"/>
    </row>
    <row r="39" spans="1:14" x14ac:dyDescent="0.55000000000000004">
      <c r="B39" s="1" t="s">
        <v>397</v>
      </c>
      <c r="C39" s="1" t="s">
        <v>405</v>
      </c>
    </row>
    <row r="40" spans="1:14" x14ac:dyDescent="0.55000000000000004">
      <c r="A40" s="1" t="str">
        <f>Affordability!$D$29</f>
        <v>Middle Income</v>
      </c>
      <c r="B40" s="1" t="str">
        <f>Affordability!G29</f>
        <v>Domestic</v>
      </c>
      <c r="C40" s="1">
        <f>Affordability!G19</f>
        <v>0</v>
      </c>
    </row>
    <row r="41" spans="1:14" x14ac:dyDescent="0.55000000000000004">
      <c r="A41" t="s">
        <v>406</v>
      </c>
      <c r="B41" s="2">
        <f>VLOOKUP(B40,'E Summary'!$A$3:$AC$23,2,FALSE)</f>
        <v>0</v>
      </c>
    </row>
    <row r="42" spans="1:14" x14ac:dyDescent="0.55000000000000004">
      <c r="A42" t="s">
        <v>399</v>
      </c>
      <c r="B42" s="2" t="str">
        <f>VLOOKUP(B40,'E Summary'!$A$3:$AC$23,3,FALSE)</f>
        <v xml:space="preserve">Annual </v>
      </c>
      <c r="M42" t="s">
        <v>89</v>
      </c>
      <c r="N42" t="s">
        <v>90</v>
      </c>
    </row>
    <row r="43" spans="1:14" x14ac:dyDescent="0.55000000000000004">
      <c r="A43" t="s">
        <v>442</v>
      </c>
      <c r="B43" s="2" t="str">
        <f>VLOOKUP(A40,Affordability!$D$37:$F$40,2,FALSE)</f>
        <v xml:space="preserve">Annual </v>
      </c>
    </row>
    <row r="44" spans="1:14" x14ac:dyDescent="0.55000000000000004">
      <c r="A44" t="s">
        <v>408</v>
      </c>
      <c r="B44">
        <f>VLOOKUP(B40,'E Summary'!$A$4:$AC$23,4,FALSE)</f>
        <v>1</v>
      </c>
      <c r="N44" t="s">
        <v>439</v>
      </c>
    </row>
    <row r="45" spans="1:14" x14ac:dyDescent="0.55000000000000004">
      <c r="N45" t="s">
        <v>440</v>
      </c>
    </row>
    <row r="46" spans="1:14" ht="28.8" x14ac:dyDescent="0.55000000000000004">
      <c r="A46" s="9"/>
      <c r="B46" s="9"/>
      <c r="C46" s="9" t="s">
        <v>92</v>
      </c>
      <c r="D46" s="9" t="s">
        <v>420</v>
      </c>
      <c r="E46" s="9" t="str">
        <f>IF(B42=M42,"Annual Tariff","N/A")</f>
        <v>Annual Tariff</v>
      </c>
      <c r="F46" s="8" t="s">
        <v>436</v>
      </c>
      <c r="G46" s="8" t="s">
        <v>437</v>
      </c>
      <c r="H46" s="8" t="s">
        <v>421</v>
      </c>
      <c r="I46" s="8" t="e">
        <f>IF($B$6=$M$6,"Monthly charge","N/A")</f>
        <v>#N/A</v>
      </c>
      <c r="J46" s="8" t="e">
        <f>IF($B$6&lt;&gt;$M$6,"High Season Monthly Charge","N/A")</f>
        <v>#N/A</v>
      </c>
      <c r="K46" s="8" t="e">
        <f>IF($B$6&lt;&gt;$M$6,"Low Season Monthly Charge","N/A")</f>
        <v>#N/A</v>
      </c>
    </row>
    <row r="47" spans="1:14" x14ac:dyDescent="0.55000000000000004">
      <c r="A47" t="s">
        <v>410</v>
      </c>
      <c r="B47">
        <v>1</v>
      </c>
      <c r="C47" s="2">
        <f>VLOOKUP(B40,'E Summary'!$A$4:$AC$23,'E Summary'!E$1,FALSE)</f>
        <v>0</v>
      </c>
      <c r="D47" s="2">
        <f>VLOOKUP(B40,'E Summary'!$A$4:$AC$23,'E Summary'!J$1,FALSE)</f>
        <v>0</v>
      </c>
      <c r="E47" s="2">
        <f ca="1">IF(B42=M42,VLOOKUP(B40,'E Summary'!$A$4:$AC$23,'E Summary'!O$1,FALSE),0)</f>
        <v>14.878552585771075</v>
      </c>
      <c r="F47" s="2">
        <f>IF(B42=M42,0,VLOOKUP(B40,'E Summary'!$A$4:$AC$23,'E Summary'!T$1,FALSE))</f>
        <v>0</v>
      </c>
      <c r="G47" s="2">
        <f>IF(B42=M42,0,VLOOKUP(B40,'E Summary'!$A$4:$AC$23,'E Summary'!Y$1,FALSE))</f>
        <v>0</v>
      </c>
      <c r="H47" s="12">
        <f>IF(D47=0,0,IF(C40&lt;=D47,C40,D47))</f>
        <v>0</v>
      </c>
      <c r="I47" s="2">
        <f t="shared" ref="I47:K51" ca="1" si="2">E47*$H47</f>
        <v>0</v>
      </c>
      <c r="J47" s="2">
        <f t="shared" si="2"/>
        <v>0</v>
      </c>
      <c r="K47" s="2">
        <f t="shared" si="2"/>
        <v>0</v>
      </c>
    </row>
    <row r="48" spans="1:14" x14ac:dyDescent="0.55000000000000004">
      <c r="A48" t="s">
        <v>411</v>
      </c>
      <c r="B48">
        <v>2</v>
      </c>
      <c r="C48" s="2">
        <f>VLOOKUP(B40,'E Summary'!$A$4:$AC$23,'E Summary'!F$1,FALSE)</f>
        <v>0</v>
      </c>
      <c r="D48" s="2">
        <f>VLOOKUP(B40,'E Summary'!$A$4:$AC$23,'E Summary'!K$1,FALSE)</f>
        <v>0</v>
      </c>
      <c r="E48" s="2">
        <f>IF(B42=M42,VLOOKUP(B40,'E Summary'!$A$4:$AC$23,'E Summary'!P$1,FALSE),0)</f>
        <v>0</v>
      </c>
      <c r="F48" s="2">
        <f>IF(B42=M42,0,VLOOKUP(B40,'E Summary'!$A$4:$AC$23,'E Summary'!U$1,FALSE))</f>
        <v>0</v>
      </c>
      <c r="G48" s="2">
        <f>IF(B42=M42,0,VLOOKUP(B40,'E Summary'!$A$4:$AC$23,'E Summary'!Z$1,FALSE))</f>
        <v>0</v>
      </c>
      <c r="H48" s="12">
        <f>IF(D48=0,0,IF($C$4&lt;=D47,0,IF($C$4&lt;=D48,$C$4-D47,D48-D47)))</f>
        <v>0</v>
      </c>
      <c r="I48" s="2">
        <f t="shared" si="2"/>
        <v>0</v>
      </c>
      <c r="J48" s="2">
        <f t="shared" si="2"/>
        <v>0</v>
      </c>
      <c r="K48" s="2">
        <f t="shared" si="2"/>
        <v>0</v>
      </c>
    </row>
    <row r="49" spans="1:14" x14ac:dyDescent="0.55000000000000004">
      <c r="A49" t="s">
        <v>412</v>
      </c>
      <c r="B49">
        <v>3</v>
      </c>
      <c r="C49" s="2">
        <f>VLOOKUP(B40,'E Summary'!$A$4:$AC$23,'E Summary'!G$1,FALSE)</f>
        <v>0</v>
      </c>
      <c r="D49" s="2">
        <f>VLOOKUP(B40,'E Summary'!$A$4:$AC$23,'E Summary'!L$1,FALSE)</f>
        <v>0</v>
      </c>
      <c r="E49" s="2">
        <f>IF(B42=M42,VLOOKUP(B40,'E Summary'!$A$4:$AC$23,'E Summary'!Q$1,FALSE),0)</f>
        <v>0</v>
      </c>
      <c r="F49" s="2">
        <f>IF(B42=M42,0,VLOOKUP(B40,'E Summary'!$A$4:$AC$23,'E Summary'!V$1,FALSE))</f>
        <v>0</v>
      </c>
      <c r="G49" s="2">
        <f>IF(B42=M42,0,VLOOKUP(B40,'E Summary'!$A$4:$AC$23,'E Summary'!AA$1,FALSE))</f>
        <v>0</v>
      </c>
      <c r="H49" s="12">
        <f>IF(D49=0,0,IF($C$4&lt;=D48,0,IF($C$4&lt;=D49,$C$4-D48,D49-D48)))</f>
        <v>0</v>
      </c>
      <c r="I49" s="2">
        <f t="shared" si="2"/>
        <v>0</v>
      </c>
      <c r="J49" s="2">
        <f t="shared" si="2"/>
        <v>0</v>
      </c>
      <c r="K49" s="2">
        <f t="shared" si="2"/>
        <v>0</v>
      </c>
    </row>
    <row r="50" spans="1:14" x14ac:dyDescent="0.55000000000000004">
      <c r="A50" t="s">
        <v>413</v>
      </c>
      <c r="B50">
        <v>4</v>
      </c>
      <c r="C50" s="2">
        <f>VLOOKUP(B40,'E Summary'!$A$4:$AC$23,'E Summary'!H$1,FALSE)</f>
        <v>0</v>
      </c>
      <c r="D50" s="2">
        <f>VLOOKUP(B40,'E Summary'!$A$4:$AC$23,'E Summary'!M$1,FALSE)</f>
        <v>0</v>
      </c>
      <c r="E50" s="2">
        <f>IF(B42=M42,VLOOKUP(B40,'E Summary'!$A$4:$AC$23,'E Summary'!R$1,FALSE),0)</f>
        <v>0</v>
      </c>
      <c r="F50" s="2">
        <f>IF(B42=M42,0,VLOOKUP(B40,'E Summary'!$A$4:$AC$23,'E Summary'!W$1,FALSE))</f>
        <v>0</v>
      </c>
      <c r="G50" s="2">
        <f>IF(B42=M42,0,VLOOKUP(B40,'E Summary'!$A$4:$AC$23,'E Summary'!AB$1,FALSE))</f>
        <v>0</v>
      </c>
      <c r="H50" s="12">
        <f>IF(D50=0,0,IF($C$4&lt;=D49,0,IF($C$4&lt;=D50,$C$4-D49,D50-D49)))</f>
        <v>0</v>
      </c>
      <c r="I50" s="2">
        <f t="shared" si="2"/>
        <v>0</v>
      </c>
      <c r="J50" s="2">
        <f t="shared" si="2"/>
        <v>0</v>
      </c>
      <c r="K50" s="2">
        <f t="shared" si="2"/>
        <v>0</v>
      </c>
    </row>
    <row r="51" spans="1:14" x14ac:dyDescent="0.55000000000000004">
      <c r="A51" t="s">
        <v>414</v>
      </c>
      <c r="B51">
        <v>5</v>
      </c>
      <c r="C51" s="2">
        <f>VLOOKUP(B40,'E Summary'!$A$4:$AC$23,'E Summary'!I$1,FALSE)</f>
        <v>0</v>
      </c>
      <c r="D51" s="2">
        <f>VLOOKUP(B40,'E Summary'!$A$4:$AC$23,'E Summary'!N$1,FALSE)</f>
        <v>0</v>
      </c>
      <c r="E51" s="2">
        <f>IF(B42=M42,VLOOKUP(B40,'E Summary'!$A$4:$AC$23,'E Summary'!S$1,FALSE),0)</f>
        <v>0</v>
      </c>
      <c r="F51" s="2">
        <f>IF(B42=M42,0,VLOOKUP(B40,'E Summary'!$A$4:$AC$23,'E Summary'!X$1,FALSE))</f>
        <v>0</v>
      </c>
      <c r="G51" s="2">
        <f>IF(B42=M42,0,VLOOKUP(B40,'E Summary'!$A$4:$AC$23,'E Summary'!AC$1,FALSE))</f>
        <v>0</v>
      </c>
      <c r="H51" s="12">
        <f>IF(C40&lt;=F50,0,C40-SUM(H47:H50))</f>
        <v>0</v>
      </c>
      <c r="I51" s="2">
        <f t="shared" si="2"/>
        <v>0</v>
      </c>
      <c r="J51" s="2">
        <f t="shared" si="2"/>
        <v>0</v>
      </c>
      <c r="K51" s="2">
        <f t="shared" si="2"/>
        <v>0</v>
      </c>
    </row>
    <row r="52" spans="1:14" x14ac:dyDescent="0.55000000000000004">
      <c r="C52" s="2"/>
      <c r="D52" s="2"/>
      <c r="E52" s="2"/>
      <c r="F52" s="2"/>
      <c r="G52" s="2"/>
      <c r="H52" s="2"/>
      <c r="I52" s="2">
        <f ca="1">SUM(I47:I51)</f>
        <v>0</v>
      </c>
      <c r="J52" s="2">
        <f>SUM(J47:J51)</f>
        <v>0</v>
      </c>
      <c r="K52" s="2">
        <f>SUM(K47:K51)</f>
        <v>0</v>
      </c>
    </row>
    <row r="53" spans="1:14" x14ac:dyDescent="0.55000000000000004">
      <c r="A53" t="s">
        <v>423</v>
      </c>
      <c r="B53" s="5">
        <f ca="1">IF(B43=M42,I52,IF(B43=N44,J52,K52))</f>
        <v>0</v>
      </c>
      <c r="J53" s="5"/>
    </row>
    <row r="54" spans="1:14" x14ac:dyDescent="0.55000000000000004">
      <c r="A54" t="s">
        <v>379</v>
      </c>
      <c r="B54" s="5">
        <f>B41</f>
        <v>0</v>
      </c>
      <c r="J54" s="5"/>
    </row>
    <row r="55" spans="1:14" x14ac:dyDescent="0.55000000000000004">
      <c r="A55" t="s">
        <v>424</v>
      </c>
      <c r="B55" s="5">
        <f ca="1">IFERROR(SUM(B53:B54),0)</f>
        <v>0</v>
      </c>
      <c r="J55" s="5"/>
    </row>
    <row r="57" spans="1:14" x14ac:dyDescent="0.55000000000000004">
      <c r="B57" s="1" t="s">
        <v>397</v>
      </c>
      <c r="C57" s="1" t="s">
        <v>405</v>
      </c>
    </row>
    <row r="58" spans="1:14" x14ac:dyDescent="0.55000000000000004">
      <c r="A58" s="1" t="str">
        <f>Affordability!$D$30</f>
        <v xml:space="preserve">High Income </v>
      </c>
      <c r="B58" s="1" t="str">
        <f>Affordability!G30</f>
        <v>Domestic</v>
      </c>
      <c r="C58" s="1">
        <f>Affordability!G20</f>
        <v>0</v>
      </c>
    </row>
    <row r="59" spans="1:14" x14ac:dyDescent="0.55000000000000004">
      <c r="A59" t="s">
        <v>406</v>
      </c>
      <c r="B59" s="2">
        <f>VLOOKUP(B58,'E Summary'!$A$3:$AC$23,2,FALSE)</f>
        <v>0</v>
      </c>
    </row>
    <row r="60" spans="1:14" x14ac:dyDescent="0.55000000000000004">
      <c r="A60" t="s">
        <v>399</v>
      </c>
      <c r="B60" s="2" t="str">
        <f>VLOOKUP(B58,'E Summary'!$A$3:$AC$23,3,FALSE)</f>
        <v xml:space="preserve">Annual </v>
      </c>
      <c r="M60" t="s">
        <v>89</v>
      </c>
      <c r="N60" t="s">
        <v>90</v>
      </c>
    </row>
    <row r="61" spans="1:14" x14ac:dyDescent="0.55000000000000004">
      <c r="A61" t="s">
        <v>442</v>
      </c>
      <c r="B61" s="2" t="str">
        <f>VLOOKUP(A58,Affordability!$D$37:$F$40,2,FALSE)</f>
        <v xml:space="preserve">Annual </v>
      </c>
    </row>
    <row r="62" spans="1:14" x14ac:dyDescent="0.55000000000000004">
      <c r="A62" t="s">
        <v>408</v>
      </c>
      <c r="B62">
        <f>VLOOKUP(B58,'E Summary'!$A$4:$AC$23,4,FALSE)</f>
        <v>1</v>
      </c>
      <c r="N62" t="s">
        <v>439</v>
      </c>
    </row>
    <row r="63" spans="1:14" x14ac:dyDescent="0.55000000000000004">
      <c r="N63" t="s">
        <v>440</v>
      </c>
    </row>
    <row r="64" spans="1:14" ht="28.8" x14ac:dyDescent="0.55000000000000004">
      <c r="A64" s="9"/>
      <c r="B64" s="9"/>
      <c r="C64" s="9" t="s">
        <v>92</v>
      </c>
      <c r="D64" s="9" t="s">
        <v>420</v>
      </c>
      <c r="E64" s="9" t="str">
        <f>IF(B60=M60,"Annual Tariff","N/A")</f>
        <v>Annual Tariff</v>
      </c>
      <c r="F64" s="8" t="s">
        <v>436</v>
      </c>
      <c r="G64" s="8" t="s">
        <v>437</v>
      </c>
      <c r="H64" s="8" t="s">
        <v>421</v>
      </c>
      <c r="I64" s="8" t="e">
        <f>IF($B$6=$M$6,"Monthly charge","N/A")</f>
        <v>#N/A</v>
      </c>
      <c r="J64" s="8" t="e">
        <f>IF($B$6&lt;&gt;$M$6,"High Season Monthly Charge","N/A")</f>
        <v>#N/A</v>
      </c>
      <c r="K64" s="8" t="e">
        <f>IF($B$6&lt;&gt;$M$6,"Low Season Monthly Charge","N/A")</f>
        <v>#N/A</v>
      </c>
    </row>
    <row r="65" spans="1:11" x14ac:dyDescent="0.55000000000000004">
      <c r="A65" t="s">
        <v>410</v>
      </c>
      <c r="B65">
        <v>1</v>
      </c>
      <c r="C65" s="2">
        <f>VLOOKUP(B58,'E Summary'!$A$4:$AC$23,'E Summary'!E$1,FALSE)</f>
        <v>0</v>
      </c>
      <c r="D65" s="2">
        <f>VLOOKUP(B58,'E Summary'!$A$4:$AC$23,'E Summary'!J$1,FALSE)</f>
        <v>0</v>
      </c>
      <c r="E65" s="2">
        <f ca="1">IF(B60=M60,VLOOKUP(B58,'E Summary'!$A$4:$AC$23,'E Summary'!O$1,FALSE),0)</f>
        <v>14.878552585771075</v>
      </c>
      <c r="F65" s="2">
        <f>IF(B60=M60,0,VLOOKUP(B58,'E Summary'!$A$4:$AC$23,'E Summary'!T$1,FALSE))</f>
        <v>0</v>
      </c>
      <c r="G65" s="2">
        <f>IF(B60=M60,0,VLOOKUP(B58,'E Summary'!$A$4:$AC$23,'E Summary'!Y$1,FALSE))</f>
        <v>0</v>
      </c>
      <c r="H65" s="12">
        <f>IF(D65=0,0,IF(C58&lt;=D65,C58,D65))</f>
        <v>0</v>
      </c>
      <c r="I65" s="2">
        <f t="shared" ref="I65:K69" ca="1" si="3">E65*$H65</f>
        <v>0</v>
      </c>
      <c r="J65" s="2">
        <f t="shared" si="3"/>
        <v>0</v>
      </c>
      <c r="K65" s="2">
        <f t="shared" si="3"/>
        <v>0</v>
      </c>
    </row>
    <row r="66" spans="1:11" x14ac:dyDescent="0.55000000000000004">
      <c r="A66" t="s">
        <v>411</v>
      </c>
      <c r="B66">
        <v>2</v>
      </c>
      <c r="C66" s="2">
        <f>VLOOKUP(B58,'E Summary'!$A$4:$AC$23,'E Summary'!F$1,FALSE)</f>
        <v>0</v>
      </c>
      <c r="D66" s="2">
        <f>VLOOKUP(B58,'E Summary'!$A$4:$AC$23,'E Summary'!K$1,FALSE)</f>
        <v>0</v>
      </c>
      <c r="E66" s="2">
        <f>IF(B60=M60,VLOOKUP(B58,'E Summary'!$A$4:$AC$23,'E Summary'!P$1,FALSE),0)</f>
        <v>0</v>
      </c>
      <c r="F66" s="2">
        <f>IF(B60=M60,0,VLOOKUP(B58,'E Summary'!$A$4:$AC$23,'E Summary'!U$1,FALSE))</f>
        <v>0</v>
      </c>
      <c r="G66" s="2">
        <f>IF(B60=M60,0,VLOOKUP(B58,'E Summary'!$A$4:$AC$23,'E Summary'!Z$1,FALSE))</f>
        <v>0</v>
      </c>
      <c r="H66" s="12">
        <f>IF(D66=0,0,IF($C$4&lt;=D65,0,IF($C$4&lt;=D66,$C$4-D65,D66-D65)))</f>
        <v>0</v>
      </c>
      <c r="I66" s="2">
        <f t="shared" si="3"/>
        <v>0</v>
      </c>
      <c r="J66" s="2">
        <f t="shared" si="3"/>
        <v>0</v>
      </c>
      <c r="K66" s="2">
        <f t="shared" si="3"/>
        <v>0</v>
      </c>
    </row>
    <row r="67" spans="1:11" x14ac:dyDescent="0.55000000000000004">
      <c r="A67" t="s">
        <v>412</v>
      </c>
      <c r="B67">
        <v>3</v>
      </c>
      <c r="C67" s="2">
        <f>VLOOKUP(B58,'E Summary'!$A$4:$AC$23,'E Summary'!G$1,FALSE)</f>
        <v>0</v>
      </c>
      <c r="D67" s="2">
        <f>VLOOKUP(B58,'E Summary'!$A$4:$AC$23,'E Summary'!L$1,FALSE)</f>
        <v>0</v>
      </c>
      <c r="E67" s="2">
        <f>IF(B60=M60,VLOOKUP(B58,'E Summary'!$A$4:$AC$23,'E Summary'!Q$1,FALSE),0)</f>
        <v>0</v>
      </c>
      <c r="F67" s="2">
        <f>IF(B60=M60,0,VLOOKUP(B58,'E Summary'!$A$4:$AC$23,'E Summary'!V$1,FALSE))</f>
        <v>0</v>
      </c>
      <c r="G67" s="2">
        <f>IF(B60=M60,0,VLOOKUP(B58,'E Summary'!$A$4:$AC$23,'E Summary'!AA$1,FALSE))</f>
        <v>0</v>
      </c>
      <c r="H67" s="12">
        <f>IF(D67=0,0,IF($C$4&lt;=D66,0,IF($C$4&lt;=D67,$C$4-D66,D67-D66)))</f>
        <v>0</v>
      </c>
      <c r="I67" s="2">
        <f t="shared" si="3"/>
        <v>0</v>
      </c>
      <c r="J67" s="2">
        <f t="shared" si="3"/>
        <v>0</v>
      </c>
      <c r="K67" s="2">
        <f t="shared" si="3"/>
        <v>0</v>
      </c>
    </row>
    <row r="68" spans="1:11" x14ac:dyDescent="0.55000000000000004">
      <c r="A68" t="s">
        <v>413</v>
      </c>
      <c r="B68">
        <v>4</v>
      </c>
      <c r="C68" s="2">
        <f>VLOOKUP(B58,'E Summary'!$A$4:$AC$23,'E Summary'!H$1,FALSE)</f>
        <v>0</v>
      </c>
      <c r="D68" s="2">
        <f>VLOOKUP(B58,'E Summary'!$A$4:$AC$23,'E Summary'!M$1,FALSE)</f>
        <v>0</v>
      </c>
      <c r="E68" s="2">
        <f>IF(B60=M60,VLOOKUP(B58,'E Summary'!$A$4:$AC$23,'E Summary'!R$1,FALSE),0)</f>
        <v>0</v>
      </c>
      <c r="F68" s="2">
        <f>IF(B60=M60,0,VLOOKUP(B58,'E Summary'!$A$4:$AC$23,'E Summary'!W$1,FALSE))</f>
        <v>0</v>
      </c>
      <c r="G68" s="2">
        <f>IF(B60=M60,0,VLOOKUP(B58,'E Summary'!$A$4:$AC$23,'E Summary'!AB$1,FALSE))</f>
        <v>0</v>
      </c>
      <c r="H68" s="12">
        <f>IF(D68=0,0,IF($C$4&lt;=D67,0,IF($C$4&lt;=D68,$C$4-D67,D68-D67)))</f>
        <v>0</v>
      </c>
      <c r="I68" s="2">
        <f t="shared" si="3"/>
        <v>0</v>
      </c>
      <c r="J68" s="2">
        <f t="shared" si="3"/>
        <v>0</v>
      </c>
      <c r="K68" s="2">
        <f t="shared" si="3"/>
        <v>0</v>
      </c>
    </row>
    <row r="69" spans="1:11" x14ac:dyDescent="0.55000000000000004">
      <c r="A69" t="s">
        <v>414</v>
      </c>
      <c r="B69">
        <v>5</v>
      </c>
      <c r="C69" s="2">
        <f>VLOOKUP(B58,'E Summary'!$A$4:$AC$23,'E Summary'!I$1,FALSE)</f>
        <v>0</v>
      </c>
      <c r="D69" s="2">
        <f>VLOOKUP(B58,'E Summary'!$A$4:$AC$23,'E Summary'!N$1,FALSE)</f>
        <v>0</v>
      </c>
      <c r="E69" s="2">
        <f>IF(B60=M60,VLOOKUP(B58,'E Summary'!$A$4:$AC$23,'E Summary'!S$1,FALSE),0)</f>
        <v>0</v>
      </c>
      <c r="F69" s="2">
        <f>IF(B60=M60,0,VLOOKUP(B58,'E Summary'!$A$4:$AC$23,'E Summary'!X$1,FALSE))</f>
        <v>0</v>
      </c>
      <c r="G69" s="2">
        <f>IF(B60=M60,0,VLOOKUP(B58,'E Summary'!$A$4:$AC$23,'E Summary'!AC$1,FALSE))</f>
        <v>0</v>
      </c>
      <c r="H69" s="12">
        <f>IF(C58&lt;=F68,0,C58-SUM(H65:H68))</f>
        <v>0</v>
      </c>
      <c r="I69" s="2">
        <f t="shared" si="3"/>
        <v>0</v>
      </c>
      <c r="J69" s="2">
        <f t="shared" si="3"/>
        <v>0</v>
      </c>
      <c r="K69" s="2">
        <f t="shared" si="3"/>
        <v>0</v>
      </c>
    </row>
    <row r="70" spans="1:11" x14ac:dyDescent="0.55000000000000004">
      <c r="C70" s="2"/>
      <c r="D70" s="2"/>
      <c r="E70" s="2"/>
      <c r="F70" s="2"/>
      <c r="G70" s="2"/>
      <c r="H70" s="2"/>
      <c r="I70" s="2">
        <f ca="1">SUM(I65:I69)</f>
        <v>0</v>
      </c>
      <c r="J70" s="2">
        <f>SUM(J65:J69)</f>
        <v>0</v>
      </c>
      <c r="K70" s="2">
        <f>SUM(K65:K69)</f>
        <v>0</v>
      </c>
    </row>
    <row r="71" spans="1:11" x14ac:dyDescent="0.55000000000000004">
      <c r="A71" t="s">
        <v>423</v>
      </c>
      <c r="B71" s="5">
        <f ca="1">IF(B61=M60,I70,IF(B61=N62,J70,K70))</f>
        <v>0</v>
      </c>
      <c r="J71" s="5"/>
    </row>
    <row r="72" spans="1:11" x14ac:dyDescent="0.55000000000000004">
      <c r="A72" t="s">
        <v>379</v>
      </c>
      <c r="B72" s="5">
        <f>B59</f>
        <v>0</v>
      </c>
      <c r="J72" s="5"/>
    </row>
    <row r="73" spans="1:11" x14ac:dyDescent="0.55000000000000004">
      <c r="A73" t="s">
        <v>424</v>
      </c>
      <c r="B73" s="5">
        <f ca="1">IFERROR(SUM(B71:B72),0)</f>
        <v>0</v>
      </c>
      <c r="J73" s="5"/>
    </row>
  </sheetData>
  <sheetProtection sheet="1" objects="1" scenarios="1"/>
  <pageMargins left="0.7" right="0.7" top="0.75" bottom="0.75" header="0.3" footer="0.3"/>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584FB4D-6C7D-4E06-A3DF-617F13B02ABB}">
  <sheetPr codeName="Sheet34"/>
  <dimension ref="A1:C17"/>
  <sheetViews>
    <sheetView workbookViewId="0"/>
  </sheetViews>
  <sheetFormatPr defaultRowHeight="14.4" x14ac:dyDescent="0.55000000000000004"/>
  <cols>
    <col min="1" max="1" width="32.20703125" bestFit="1" customWidth="1"/>
    <col min="2" max="2" width="17" bestFit="1" customWidth="1"/>
    <col min="3" max="3" width="14.7890625" bestFit="1" customWidth="1"/>
  </cols>
  <sheetData>
    <row r="1" spans="1:3" x14ac:dyDescent="0.55000000000000004">
      <c r="A1" s="1" t="s">
        <v>446</v>
      </c>
    </row>
    <row r="3" spans="1:3" x14ac:dyDescent="0.55000000000000004">
      <c r="B3" s="1" t="s">
        <v>397</v>
      </c>
      <c r="C3" s="1"/>
    </row>
    <row r="4" spans="1:3" x14ac:dyDescent="0.55000000000000004">
      <c r="A4" s="1" t="str">
        <f>Affordability!$D$27</f>
        <v xml:space="preserve">Indigent </v>
      </c>
      <c r="B4" s="1" t="str">
        <f>Affordability!H27</f>
        <v>Domestic</v>
      </c>
      <c r="C4" s="1"/>
    </row>
    <row r="5" spans="1:3" x14ac:dyDescent="0.55000000000000004">
      <c r="A5" t="s">
        <v>406</v>
      </c>
      <c r="B5" s="2">
        <f>IFERROR(VLOOKUP(B4,'SW Summary'!$A$4:$B$23,2,FALSE),0)</f>
        <v>0</v>
      </c>
    </row>
    <row r="7" spans="1:3" x14ac:dyDescent="0.55000000000000004">
      <c r="B7" s="1" t="s">
        <v>397</v>
      </c>
      <c r="C7" s="1"/>
    </row>
    <row r="8" spans="1:3" x14ac:dyDescent="0.55000000000000004">
      <c r="A8" s="1" t="str">
        <f>Affordability!$D$28</f>
        <v xml:space="preserve">Low Income </v>
      </c>
      <c r="B8" s="1" t="str">
        <f>Affordability!H28</f>
        <v>Domestic</v>
      </c>
      <c r="C8" s="1"/>
    </row>
    <row r="9" spans="1:3" x14ac:dyDescent="0.55000000000000004">
      <c r="A9" t="s">
        <v>406</v>
      </c>
      <c r="B9" s="2">
        <f>IFERROR(VLOOKUP(B8,'SW Summary'!$A$4:$B$23,2,FALSE),0)</f>
        <v>0</v>
      </c>
    </row>
    <row r="11" spans="1:3" x14ac:dyDescent="0.55000000000000004">
      <c r="B11" s="1" t="s">
        <v>397</v>
      </c>
      <c r="C11" s="1"/>
    </row>
    <row r="12" spans="1:3" x14ac:dyDescent="0.55000000000000004">
      <c r="A12" s="1" t="str">
        <f>Affordability!$D$29</f>
        <v>Middle Income</v>
      </c>
      <c r="B12" s="1" t="str">
        <f>Affordability!H29</f>
        <v>Domestic</v>
      </c>
      <c r="C12" s="1"/>
    </row>
    <row r="13" spans="1:3" x14ac:dyDescent="0.55000000000000004">
      <c r="A13" t="s">
        <v>406</v>
      </c>
      <c r="B13" s="2">
        <f>IFERROR(VLOOKUP(B12,'SW Summary'!$A$4:$B$23,2,FALSE),0)</f>
        <v>0</v>
      </c>
    </row>
    <row r="15" spans="1:3" x14ac:dyDescent="0.55000000000000004">
      <c r="B15" s="1" t="s">
        <v>397</v>
      </c>
      <c r="C15" s="1"/>
    </row>
    <row r="16" spans="1:3" x14ac:dyDescent="0.55000000000000004">
      <c r="A16" s="1" t="str">
        <f>Affordability!$D$30</f>
        <v xml:space="preserve">High Income </v>
      </c>
      <c r="B16" s="1" t="str">
        <f>Affordability!H30</f>
        <v>Domestic</v>
      </c>
      <c r="C16" s="1"/>
    </row>
    <row r="17" spans="1:2" x14ac:dyDescent="0.55000000000000004">
      <c r="A17" t="s">
        <v>406</v>
      </c>
      <c r="B17" s="2">
        <f>IFERROR(VLOOKUP(B16,'SW Summary'!$A$4:$B$23,2,FALSE),0)</f>
        <v>0</v>
      </c>
    </row>
  </sheetData>
  <sheetProtection sheet="1" objects="1" scenarios="1"/>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5A2A9B823DE14846B051EF15B3CE4DF4" ma:contentTypeVersion="1" ma:contentTypeDescription="Create a new document." ma:contentTypeScope="" ma:versionID="5a1292fefd1bb1adedda5bd08bf1dfff">
  <xsd:schema xmlns:xsd="http://www.w3.org/2001/XMLSchema" xmlns:xs="http://www.w3.org/2001/XMLSchema" xmlns:p="http://schemas.microsoft.com/office/2006/metadata/properties" xmlns:ns1="http://schemas.microsoft.com/sharepoint/v3" targetNamespace="http://schemas.microsoft.com/office/2006/metadata/properties" ma:root="true" ma:fieldsID="a447206dab0015f8b9f8924535193e8c" ns1:_="">
    <xsd:import namespace="http://schemas.microsoft.com/sharepoint/v3"/>
    <xsd:element name="properties">
      <xsd:complexType>
        <xsd:sequence>
          <xsd:element name="documentManagement">
            <xsd:complexType>
              <xsd:all>
                <xsd:element ref="ns1:PublishingStartDate" minOccurs="0"/>
                <xsd:element ref="ns1:PublishingExpirationDat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PublishingStartDate" ma:index="8" nillable="true" ma:displayName="Scheduling Start Date" ma:description="" ma:hidden="true" ma:internalName="PublishingStartDate">
      <xsd:simpleType>
        <xsd:restriction base="dms:Unknown"/>
      </xsd:simpleType>
    </xsd:element>
    <xsd:element name="PublishingExpirationDate" ma:index="9" nillable="true" ma:displayName="Scheduling End Date" ma:description="" ma:hidden="true" ma:internalName="PublishingExpirationDate">
      <xsd:simpleType>
        <xsd:restriction base="dms:Unknow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PublishingExpirationDate xmlns="http://schemas.microsoft.com/sharepoint/v3" xsi:nil="true"/>
    <PublishingStartDate xmlns="http://schemas.microsoft.com/sharepoint/v3"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458205E4-D11D-4677-8F3A-BC6097F447C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2AFE4BB7-352A-4BEA-9C5E-356C3BF73E3F}">
  <ds:schemaRefs>
    <ds:schemaRef ds:uri="http://schemas.microsoft.com/office/2006/metadata/properties"/>
    <ds:schemaRef ds:uri="http://schemas.microsoft.com/office/infopath/2007/PartnerControls"/>
    <ds:schemaRef ds:uri="http://schemas.microsoft.com/sharepoint/v3"/>
  </ds:schemaRefs>
</ds:datastoreItem>
</file>

<file path=customXml/itemProps3.xml><?xml version="1.0" encoding="utf-8"?>
<ds:datastoreItem xmlns:ds="http://schemas.openxmlformats.org/officeDocument/2006/customXml" ds:itemID="{DAFDEED1-8DEC-462C-A02D-EC6999486857}">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47</vt:i4>
      </vt:variant>
      <vt:variant>
        <vt:lpstr>Named Ranges</vt:lpstr>
      </vt:variant>
      <vt:variant>
        <vt:i4>5</vt:i4>
      </vt:variant>
    </vt:vector>
  </HeadingPairs>
  <TitlesOfParts>
    <vt:vector size="52" baseType="lpstr">
      <vt:lpstr>Main menu</vt:lpstr>
      <vt:lpstr>User instructions</vt:lpstr>
      <vt:lpstr>PART A Guide </vt:lpstr>
      <vt:lpstr>Dd</vt:lpstr>
      <vt:lpstr>PART B Graphs</vt:lpstr>
      <vt:lpstr>PART C- Municipal Details</vt:lpstr>
      <vt:lpstr>1.Outcomes</vt:lpstr>
      <vt:lpstr>2.High Level Reconciliation</vt:lpstr>
      <vt:lpstr>3.Inc &amp; Exp per Function</vt:lpstr>
      <vt:lpstr>4.Inc &amp; Exp Summary</vt:lpstr>
      <vt:lpstr>5.Cons and detailed recon</vt:lpstr>
      <vt:lpstr>6.Summary</vt:lpstr>
      <vt:lpstr>Revenue</vt:lpstr>
      <vt:lpstr>Expenditure</vt:lpstr>
      <vt:lpstr>Revenue required</vt:lpstr>
      <vt:lpstr>Surplus</vt:lpstr>
      <vt:lpstr>1 Customer data</vt:lpstr>
      <vt:lpstr>1 Water</vt:lpstr>
      <vt:lpstr>1 Sanitation per Volume</vt:lpstr>
      <vt:lpstr>1 Sanitation per Units</vt:lpstr>
      <vt:lpstr>1 Sanitation per Valuation</vt:lpstr>
      <vt:lpstr>1 Sanitation per Erf Size</vt:lpstr>
      <vt:lpstr>1 Electricity</vt:lpstr>
      <vt:lpstr>1 Solid waste</vt:lpstr>
      <vt:lpstr>2 Customer data</vt:lpstr>
      <vt:lpstr>2 Water</vt:lpstr>
      <vt:lpstr>2 Sanitation</vt:lpstr>
      <vt:lpstr>2 Electricity</vt:lpstr>
      <vt:lpstr>2 Solid waste</vt:lpstr>
      <vt:lpstr>3 Water</vt:lpstr>
      <vt:lpstr>3 Sanitation</vt:lpstr>
      <vt:lpstr>3 Electricity</vt:lpstr>
      <vt:lpstr>3 Solid waste</vt:lpstr>
      <vt:lpstr>Water report</vt:lpstr>
      <vt:lpstr>Sanitation report</vt:lpstr>
      <vt:lpstr>Electricity report</vt:lpstr>
      <vt:lpstr>Solid waste report</vt:lpstr>
      <vt:lpstr>Affordability</vt:lpstr>
      <vt:lpstr>Engines</vt:lpstr>
      <vt:lpstr>W Summary</vt:lpstr>
      <vt:lpstr>S Summary</vt:lpstr>
      <vt:lpstr>E Summary</vt:lpstr>
      <vt:lpstr>SW Summary</vt:lpstr>
      <vt:lpstr>W Affordability</vt:lpstr>
      <vt:lpstr>S Affordability</vt:lpstr>
      <vt:lpstr>E Affordability</vt:lpstr>
      <vt:lpstr>SW Affordability</vt:lpstr>
      <vt:lpstr>'3 Solid waste'!Print_Area</vt:lpstr>
      <vt:lpstr>'Electricity report'!Print_Area</vt:lpstr>
      <vt:lpstr>'Sanitation report'!Print_Area</vt:lpstr>
      <vt:lpstr>'Solid waste report'!Print_Area</vt:lpstr>
      <vt:lpstr>'Water report'!Print_Area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Noxolo Mahlalela</dc:creator>
  <cp:lastModifiedBy>Carisha Hendricks</cp:lastModifiedBy>
  <cp:lastPrinted>2019-11-20T07:54:38Z</cp:lastPrinted>
  <dcterms:created xsi:type="dcterms:W3CDTF">2019-09-26T11:23:51Z</dcterms:created>
  <dcterms:modified xsi:type="dcterms:W3CDTF">2026-06-01T08:06:14Z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0x01010002441ADCC9AB2D488C245AE33F344305</vt:lpwstr>
  </property>
</Properties>
</file>